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jainglobalcom-my.sharepoint.com/personal/abderrahmane_mahoudi_jainglobal_com/Documents/Desktop/"/>
    </mc:Choice>
  </mc:AlternateContent>
  <xr:revisionPtr revIDLastSave="12" documentId="8_{4B152590-38E8-4DAA-A6F0-C9BC9EF42298}" xr6:coauthVersionLast="47" xr6:coauthVersionMax="47" xr10:uidLastSave="{9F2D5142-F7D2-412C-90E5-CAA6C2915DC6}"/>
  <bookViews>
    <workbookView xWindow="-120" yWindow="-120" windowWidth="57840" windowHeight="23520" xr2:uid="{9AB45BF3-ECEB-44F8-840B-4EB450F43ABE}"/>
  </bookViews>
  <sheets>
    <sheet name="PnL" sheetId="18" r:id="rId1"/>
    <sheet name="Opt" sheetId="23" r:id="rId2"/>
    <sheet name="Trades" sheetId="19" r:id="rId3"/>
    <sheet name="Histo" sheetId="20" r:id="rId4"/>
    <sheet name="Futs" sheetId="1" r:id="rId5"/>
    <sheet name="Dtd" sheetId="25" r:id="rId6"/>
    <sheet name="Crd" sheetId="4" r:id="rId7"/>
    <sheet name="NGL" sheetId="13" r:id="rId8"/>
    <sheet name="Lts" sheetId="8" r:id="rId9"/>
    <sheet name="Mid" sheetId="6" r:id="rId10"/>
    <sheet name="Hvy" sheetId="9" r:id="rId11"/>
    <sheet name="FFA" sheetId="12" r:id="rId12"/>
    <sheet name="Mrg" sheetId="11" r:id="rId13"/>
    <sheet name="EIA" sheetId="14" r:id="rId14"/>
    <sheet name="COT" sheetId="16" r:id="rId15"/>
    <sheet name="Arbs" sheetId="17" r:id="rId16"/>
    <sheet name="Prints" sheetId="24" r:id="rId17"/>
    <sheet name="Wnd ULSD" sheetId="21" r:id="rId18"/>
    <sheet name="ICE" sheetId="5" r:id="rId19"/>
    <sheet name="Sheet1" sheetId="26" r:id="rId20"/>
    <sheet name="Crv" sheetId="3" r:id="rId21"/>
    <sheet name="Refs" sheetId="2" r:id="rId22"/>
    <sheet name="Diagnostics" sheetId="7" r:id="rId23"/>
  </sheets>
  <functionGroups builtInGroupCount="19"/>
  <definedNames>
    <definedName name="_xleta.AVERAGE" hidden="1" xlm="1">#NAME?</definedName>
    <definedName name="_xleta.CEILING" hidden="1" xlm="1">#NAME?</definedName>
    <definedName name="_xleta.DATE" hidden="1" xlm="1">#NAME?</definedName>
    <definedName name="_xleta.DATEVALUE" hidden="1" xlm="1">#NAME?</definedName>
    <definedName name="_xleta.DELTA" hidden="1" xlm="1">#NAME?</definedName>
    <definedName name="_xleta.EXP" hidden="1" xlm="1">#NAME?</definedName>
    <definedName name="_xleta.FLOOR.MATH" hidden="1" xlm="1">#NAME?</definedName>
    <definedName name="_xleta.GAMMA" hidden="1" xlm="1">#NAME?</definedName>
    <definedName name="_xleta.IF" hidden="1" xlm="1">#NAME?</definedName>
    <definedName name="_xleta.INDEX" hidden="1" xlm="1">#NAME?</definedName>
    <definedName name="_xleta.LEFT" hidden="1" xlm="1">#NAME?</definedName>
    <definedName name="_xleta.MAX" hidden="1" xlm="1">#NAME?</definedName>
    <definedName name="_xleta.MID" hidden="1" xlm="1">#NAME?</definedName>
    <definedName name="_xleta.MONTH" hidden="1" xlm="1">#NAME?</definedName>
    <definedName name="_xleta.MROUND" hidden="1" xlm="1">#NAME?</definedName>
    <definedName name="_xleta.N" hidden="1" xlm="1">#NAME?</definedName>
    <definedName name="_xleta.PRICE" hidden="1" xlm="1">#NAME?</definedName>
    <definedName name="_xleta.RIGHT" hidden="1" xlm="1">#NAME?</definedName>
    <definedName name="_xleta.RTD" hidden="1" xlm="1">#NAME?</definedName>
    <definedName name="_xleta.SKEW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IME" hidden="1" xlm="1">#NAME?</definedName>
    <definedName name="_xleta.TODAY" hidden="1" xlm="1">#NAME?</definedName>
    <definedName name="_xlpm.ok" hidden="1" xlm="1">#NAME?</definedName>
    <definedName name="_xlpm.x" hidden="1" xlm="1">#NAME?</definedName>
    <definedName name="_xlpm.y" hidden="1" xlm="1">#NAME?</definedName>
    <definedName name="SpreadsheetBuilder_1" hidden="1">Prints!$A$3:$B$5</definedName>
    <definedName name="SpreadsheetBuilder_2" hidden="1">Prints!$A$2:$C$3</definedName>
    <definedName name="TimeCHI">Refs!$F$2</definedName>
    <definedName name="TimeDUB">Refs!$F$5</definedName>
    <definedName name="TimeLDN">Refs!$F$4</definedName>
    <definedName name="TimeNYC">Refs!$F$3</definedName>
    <definedName name="TimeSGP">Refs!$F$6</definedName>
    <definedName name="Workbook_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6" i="18" l="1"/>
  <c r="G102" i="18"/>
  <c r="H102" i="18"/>
  <c r="G84" i="18"/>
  <c r="H84" i="18"/>
  <c r="J45" i="14" a="1"/>
  <c r="J45" i="14"/>
  <c r="D30" i="14" a="1"/>
  <c r="D30" i="14"/>
  <c r="J20" i="14" a="1"/>
  <c r="J20" i="14"/>
  <c r="D59" i="14" a="1"/>
  <c r="D59" i="14"/>
  <c r="J35" i="14" a="1"/>
  <c r="J35" i="14"/>
  <c r="D38" i="14" a="1"/>
  <c r="D38" i="14"/>
  <c r="J13" i="14" a="1"/>
  <c r="J13" i="14"/>
  <c r="D37" i="14" a="1"/>
  <c r="D37" i="14"/>
  <c r="L41" i="16" a="1"/>
  <c r="L41" i="16"/>
  <c r="N32" i="16" a="1"/>
  <c r="N32" i="16"/>
  <c r="M32" i="16" a="1"/>
  <c r="M32" i="16"/>
  <c r="K91" i="16" a="1"/>
  <c r="K91" i="16"/>
  <c r="N83" i="16" a="1"/>
  <c r="N83" i="16"/>
  <c r="M56" i="16" a="1"/>
  <c r="M56" i="16"/>
  <c r="L35" i="16" a="1"/>
  <c r="L35" i="16"/>
  <c r="N88" i="16" a="1"/>
  <c r="N88" i="16"/>
  <c r="I94" i="16" a="1"/>
  <c r="I94" i="16"/>
  <c r="J35" i="16" a="1"/>
  <c r="J35" i="16"/>
  <c r="H80" i="16" a="1"/>
  <c r="H80" i="16"/>
  <c r="H90" i="16" a="1"/>
  <c r="H90" i="16"/>
  <c r="J77" i="16" a="1"/>
  <c r="J77" i="16"/>
  <c r="G77" i="16" a="1"/>
  <c r="G77" i="16"/>
  <c r="H79" i="16" a="1"/>
  <c r="H79" i="16"/>
  <c r="J79" i="16" a="1"/>
  <c r="J79" i="16"/>
  <c r="I62" i="16" a="1"/>
  <c r="I62" i="16"/>
  <c r="H88" i="16" a="1"/>
  <c r="H88" i="16"/>
  <c r="J88" i="16" a="1"/>
  <c r="J88" i="16"/>
  <c r="G42" i="16" a="1"/>
  <c r="G42" i="16"/>
  <c r="G84" i="16" a="1"/>
  <c r="G84" i="16"/>
  <c r="G56" i="16" a="1"/>
  <c r="G56" i="16"/>
  <c r="G62" i="16" a="1"/>
  <c r="G62" i="16"/>
  <c r="J63" i="16" a="1"/>
  <c r="J63" i="16"/>
  <c r="H52" i="16" a="1"/>
  <c r="H52" i="16"/>
  <c r="H39" i="16" a="1"/>
  <c r="H39" i="16"/>
  <c r="H42" i="16" a="1"/>
  <c r="H42" i="16"/>
  <c r="H38" i="16" a="1"/>
  <c r="H38" i="16"/>
  <c r="G91" i="16" a="1"/>
  <c r="G91" i="16"/>
  <c r="J52" i="16" a="1"/>
  <c r="J52" i="16"/>
  <c r="G83" i="16" a="1"/>
  <c r="G83" i="16"/>
  <c r="H86" i="16" a="1"/>
  <c r="H86" i="16"/>
  <c r="J31" i="16" a="1"/>
  <c r="J31" i="16"/>
  <c r="H32" i="16" a="1"/>
  <c r="H32" i="16"/>
  <c r="G36" i="16" a="1"/>
  <c r="G36" i="16"/>
  <c r="J32" i="16" a="1"/>
  <c r="J32" i="16"/>
  <c r="H95" i="16" a="1"/>
  <c r="H95" i="16"/>
  <c r="H60" i="16" a="1"/>
  <c r="H60" i="16"/>
  <c r="H62" i="16" a="1"/>
  <c r="H62" i="16"/>
  <c r="H59" i="16" a="1"/>
  <c r="H59" i="16"/>
  <c r="H63" i="16" a="1"/>
  <c r="H63" i="16"/>
  <c r="G53" i="16" a="1"/>
  <c r="G53" i="16"/>
  <c r="I93" i="16" a="1"/>
  <c r="I93" i="16"/>
  <c r="G55" i="16" a="1"/>
  <c r="G55" i="16"/>
  <c r="G81" i="16" a="1"/>
  <c r="G81" i="16"/>
  <c r="I63" i="16" a="1"/>
  <c r="I63" i="16"/>
  <c r="G88" i="16" a="1"/>
  <c r="G88" i="16"/>
  <c r="I53" i="16" a="1"/>
  <c r="I53" i="16"/>
  <c r="J34" i="16" a="1"/>
  <c r="J34" i="16"/>
  <c r="H77" i="16" a="1"/>
  <c r="H77" i="16"/>
  <c r="J38" i="16" a="1"/>
  <c r="J38" i="16"/>
  <c r="G94" i="16" a="1"/>
  <c r="G94" i="16"/>
  <c r="H43" i="16" a="1"/>
  <c r="H43" i="16"/>
  <c r="H57" i="16" a="1"/>
  <c r="H57" i="16"/>
  <c r="H53" i="16" a="1"/>
  <c r="H53" i="16"/>
  <c r="H41" i="16" a="1"/>
  <c r="H41" i="16"/>
  <c r="G38" i="16" a="1"/>
  <c r="G38" i="16"/>
  <c r="I87" i="16" a="1"/>
  <c r="I87" i="16"/>
  <c r="I32" i="16" a="1"/>
  <c r="I32" i="16"/>
  <c r="J93" i="16" a="1"/>
  <c r="J93" i="16"/>
  <c r="J95" i="16" a="1"/>
  <c r="J95" i="16"/>
  <c r="H94" i="16" a="1"/>
  <c r="H94" i="16"/>
  <c r="J41" i="16" a="1"/>
  <c r="J41" i="16"/>
  <c r="J84" i="16" a="1"/>
  <c r="J84" i="16"/>
  <c r="J91" i="16" a="1"/>
  <c r="J91" i="16"/>
  <c r="H31" i="16" a="1"/>
  <c r="H31" i="16"/>
  <c r="G41" i="16" a="1"/>
  <c r="G41" i="16"/>
  <c r="I84" i="16" a="1"/>
  <c r="I84" i="16"/>
  <c r="G59" i="16" a="1"/>
  <c r="G59" i="16"/>
  <c r="J90" i="16" a="1"/>
  <c r="J90" i="16"/>
  <c r="J76" i="16" a="1"/>
  <c r="J76" i="16"/>
  <c r="J55" i="16" a="1"/>
  <c r="J55" i="16"/>
  <c r="G52" i="16" a="1"/>
  <c r="G52" i="16"/>
  <c r="J83" i="16" a="1"/>
  <c r="J83" i="16"/>
  <c r="I86" i="16" a="1"/>
  <c r="I86" i="16"/>
  <c r="J80" i="16" a="1"/>
  <c r="J80" i="16"/>
  <c r="J62" i="16" a="1"/>
  <c r="J62" i="16"/>
  <c r="J86" i="16" a="1"/>
  <c r="J86" i="16"/>
  <c r="H91" i="16" a="1"/>
  <c r="H91" i="16"/>
  <c r="J57" i="16" a="1"/>
  <c r="J57" i="16"/>
  <c r="H36" i="16" a="1"/>
  <c r="H36" i="16"/>
  <c r="H76" i="16" a="1"/>
  <c r="H76" i="16"/>
  <c r="H93" i="16" a="1"/>
  <c r="H93" i="16"/>
  <c r="G57" i="16" a="1"/>
  <c r="G57" i="16"/>
  <c r="G60" i="16" a="1"/>
  <c r="G60" i="16"/>
  <c r="I34" i="16" a="1"/>
  <c r="I34" i="16"/>
  <c r="G43" i="16" a="1"/>
  <c r="G43" i="16"/>
  <c r="G32" i="16" a="1"/>
  <c r="G32" i="16"/>
  <c r="H34" i="16" a="1"/>
  <c r="H34" i="16"/>
  <c r="I77" i="16" a="1"/>
  <c r="I77" i="16"/>
  <c r="G39" i="16" a="1"/>
  <c r="G39" i="16"/>
  <c r="G93" i="16" a="1"/>
  <c r="G93" i="16"/>
  <c r="I41" i="16" a="1"/>
  <c r="I41" i="16"/>
  <c r="H84" i="16" a="1"/>
  <c r="H84" i="16"/>
  <c r="I55" i="16" a="1"/>
  <c r="I55" i="16"/>
  <c r="J36" i="16" a="1"/>
  <c r="J36" i="16"/>
  <c r="H83" i="16" a="1"/>
  <c r="H83" i="16"/>
  <c r="G76" i="16" a="1"/>
  <c r="G76" i="16"/>
  <c r="G79" i="16" a="1"/>
  <c r="G79" i="16"/>
  <c r="G64" i="16" a="1"/>
  <c r="G64" i="16"/>
  <c r="J42" i="16" a="1"/>
  <c r="J42" i="16"/>
  <c r="I79" i="16" a="1"/>
  <c r="I79" i="16"/>
  <c r="J60" i="16" a="1"/>
  <c r="J60" i="16"/>
  <c r="G31" i="16" a="1"/>
  <c r="G31" i="16"/>
  <c r="J87" i="16" a="1"/>
  <c r="J87" i="16"/>
  <c r="H64" i="16" a="1"/>
  <c r="H64" i="16"/>
  <c r="G35" i="16" a="1"/>
  <c r="G35" i="16"/>
  <c r="G95" i="16" a="1"/>
  <c r="G95" i="16"/>
  <c r="I42" i="16" a="1"/>
  <c r="I42" i="16"/>
  <c r="J56" i="16" a="1"/>
  <c r="J56" i="16"/>
  <c r="I45" i="14" a="1"/>
  <c r="I45" i="14"/>
  <c r="C44" i="14" a="1"/>
  <c r="C44" i="14"/>
  <c r="I12" i="14" a="1"/>
  <c r="I12" i="14"/>
  <c r="I21" i="14" a="1"/>
  <c r="I21" i="14"/>
  <c r="C51" i="14" a="1"/>
  <c r="C51" i="14"/>
  <c r="I23" i="14" a="1"/>
  <c r="I23" i="14"/>
  <c r="C56" i="14" a="1"/>
  <c r="C56" i="14"/>
  <c r="J53" i="16" a="1"/>
  <c r="J53" i="16"/>
  <c r="J39" i="16" a="1"/>
  <c r="J39" i="16"/>
  <c r="I60" i="16" a="1"/>
  <c r="I60" i="16"/>
  <c r="J64" i="16" a="1"/>
  <c r="J64" i="16"/>
  <c r="I39" i="16" a="1"/>
  <c r="I39" i="16"/>
  <c r="I80" i="16" a="1"/>
  <c r="I80" i="16"/>
  <c r="G87" i="16" a="1"/>
  <c r="G87" i="16"/>
  <c r="I91" i="16" a="1"/>
  <c r="I91" i="16"/>
  <c r="C20" i="14" a="1"/>
  <c r="C20" i="14"/>
  <c r="I35" i="16" a="1"/>
  <c r="I35" i="16"/>
  <c r="G80" i="16" a="1"/>
  <c r="G80" i="16"/>
  <c r="G90" i="16" a="1"/>
  <c r="G90" i="16"/>
  <c r="H35" i="16" a="1"/>
  <c r="H35" i="16"/>
  <c r="G34" i="16" a="1"/>
  <c r="G34" i="16"/>
  <c r="J81" i="16" a="1"/>
  <c r="J81" i="16"/>
  <c r="H81" i="16" a="1"/>
  <c r="H81" i="16"/>
  <c r="G63" i="16" a="1"/>
  <c r="G63" i="16"/>
  <c r="J59" i="16" a="1"/>
  <c r="J59" i="16"/>
  <c r="I56" i="16" a="1"/>
  <c r="I56" i="16"/>
  <c r="J94" i="16" a="1"/>
  <c r="J94" i="16"/>
  <c r="H56" i="16" a="1"/>
  <c r="H56" i="16"/>
  <c r="H55" i="16" a="1"/>
  <c r="H55" i="16"/>
  <c r="J43" i="16" a="1"/>
  <c r="J43" i="16"/>
  <c r="H87" i="16" a="1"/>
  <c r="H87" i="16"/>
  <c r="G86" i="16" a="1"/>
  <c r="G86" i="16"/>
  <c r="I20" i="14" a="1"/>
  <c r="I20" i="14"/>
  <c r="C23" i="14" a="1"/>
  <c r="C23" i="14"/>
  <c r="C45" i="14" a="1"/>
  <c r="C45" i="14"/>
  <c r="C58" i="14" a="1"/>
  <c r="C58" i="14"/>
  <c r="I29" i="14" a="1"/>
  <c r="I29" i="14"/>
  <c r="I6" i="14" a="1"/>
  <c r="I6" i="14"/>
  <c r="C24" i="14" a="1"/>
  <c r="C24" i="14"/>
  <c r="C43" i="14" a="1"/>
  <c r="C43" i="14"/>
  <c r="I53" i="14" a="1"/>
  <c r="I53" i="14"/>
  <c r="I35" i="14" a="1"/>
  <c r="I35" i="14"/>
  <c r="I39" i="14" a="1"/>
  <c r="I39" i="14"/>
  <c r="I51" i="14" a="1"/>
  <c r="I51" i="14"/>
  <c r="I36" i="14" a="1"/>
  <c r="I36" i="14"/>
  <c r="C14" i="14" a="1"/>
  <c r="C14" i="14"/>
  <c r="I43" i="14" a="1"/>
  <c r="I43" i="14"/>
  <c r="C37" i="14" a="1"/>
  <c r="C37" i="14"/>
  <c r="L42" i="16" a="1"/>
  <c r="L42" i="16"/>
  <c r="L31" i="16" a="1"/>
  <c r="L31" i="16"/>
  <c r="N55" i="16" a="1"/>
  <c r="N55" i="16"/>
  <c r="K86" i="16" a="1"/>
  <c r="K86" i="16"/>
  <c r="M84" i="16" a="1"/>
  <c r="M84" i="16"/>
  <c r="L36" i="16" a="1"/>
  <c r="L36" i="16"/>
  <c r="L43" i="16" a="1"/>
  <c r="L43" i="16"/>
  <c r="L64" i="16" a="1"/>
  <c r="L64" i="16"/>
  <c r="J11" i="14" a="1"/>
  <c r="J11" i="14"/>
  <c r="J36" i="14" a="1"/>
  <c r="J36" i="14"/>
  <c r="D35" i="14" a="1"/>
  <c r="D35" i="14"/>
  <c r="D15" i="14" a="1"/>
  <c r="D15" i="14"/>
  <c r="J4" i="14" a="1"/>
  <c r="J4" i="14"/>
  <c r="J27" i="14" a="1"/>
  <c r="J27" i="14"/>
  <c r="J23" i="14" a="1"/>
  <c r="J23" i="14"/>
  <c r="J32" i="14" a="1"/>
  <c r="J32" i="14"/>
  <c r="D10" i="14" a="1"/>
  <c r="D10" i="14"/>
  <c r="I28" i="14" a="1"/>
  <c r="I28" i="14"/>
  <c r="I52" i="14" a="1"/>
  <c r="I52" i="14"/>
  <c r="I19" i="14" a="1"/>
  <c r="I19" i="14"/>
  <c r="I14" i="14" a="1"/>
  <c r="I14" i="14"/>
  <c r="C59" i="14" a="1"/>
  <c r="C59" i="14"/>
  <c r="I13" i="14" a="1"/>
  <c r="I13" i="14"/>
  <c r="I38" i="14" a="1"/>
  <c r="I38" i="14"/>
  <c r="I11" i="14" a="1"/>
  <c r="I11" i="14"/>
  <c r="C22" i="14" a="1"/>
  <c r="C22" i="14"/>
  <c r="C8" i="14" a="1"/>
  <c r="C8" i="14"/>
  <c r="I44" i="14" a="1"/>
  <c r="I44" i="14"/>
  <c r="C42" i="14" a="1"/>
  <c r="C42" i="14"/>
  <c r="I31" i="14" a="1"/>
  <c r="I31" i="14"/>
  <c r="C50" i="14" a="1"/>
  <c r="C50" i="14"/>
  <c r="I30" i="14" a="1"/>
  <c r="I30" i="14"/>
  <c r="I48" i="14" a="1"/>
  <c r="I48" i="14"/>
  <c r="C25" i="14" a="1"/>
  <c r="C25" i="14"/>
  <c r="N64" i="16" a="1"/>
  <c r="N64" i="16"/>
  <c r="N52" i="16" a="1"/>
  <c r="N52" i="16"/>
  <c r="N60" i="16" a="1"/>
  <c r="N60" i="16"/>
  <c r="M41" i="16" a="1"/>
  <c r="M41" i="16"/>
  <c r="N79" i="16" a="1"/>
  <c r="N79" i="16"/>
  <c r="L83" i="16" a="1"/>
  <c r="L83" i="16"/>
  <c r="I24" i="14" a="1"/>
  <c r="I24" i="14"/>
  <c r="C9" i="14" a="1"/>
  <c r="C9" i="14"/>
  <c r="I32" i="14" a="1"/>
  <c r="I32" i="14"/>
  <c r="C10" i="14" a="1"/>
  <c r="C10" i="14"/>
  <c r="C57" i="14" a="1"/>
  <c r="C57" i="14"/>
  <c r="C7" i="14" a="1"/>
  <c r="C7" i="14"/>
  <c r="I2" i="14" a="1"/>
  <c r="I2" i="14"/>
  <c r="I15" i="14" a="1"/>
  <c r="I15" i="14"/>
  <c r="I55" i="14" a="1"/>
  <c r="I55" i="14"/>
  <c r="C31" i="14" a="1"/>
  <c r="C31" i="14"/>
  <c r="M35" i="16" a="1"/>
  <c r="M35" i="16"/>
  <c r="K63" i="16" a="1"/>
  <c r="K63" i="16"/>
  <c r="L84" i="16" a="1"/>
  <c r="L84" i="16"/>
  <c r="N59" i="16" a="1"/>
  <c r="N59" i="16"/>
  <c r="K60" i="16" a="1"/>
  <c r="K60" i="16"/>
  <c r="N95" i="16" a="1"/>
  <c r="N95" i="16"/>
  <c r="K57" i="16" a="1"/>
  <c r="K57" i="16"/>
  <c r="K93" i="16" a="1"/>
  <c r="K93" i="16"/>
  <c r="L94" i="16" a="1"/>
  <c r="L94" i="16"/>
  <c r="N43" i="16" a="1"/>
  <c r="N43" i="16"/>
  <c r="K36" i="16" a="1"/>
  <c r="K36" i="16"/>
  <c r="L91" i="16" a="1"/>
  <c r="L91" i="16"/>
  <c r="J53" i="14" a="1"/>
  <c r="J53" i="14"/>
  <c r="K35" i="16" a="1"/>
  <c r="K35" i="16"/>
  <c r="J7" i="14" a="1"/>
  <c r="J7" i="14"/>
  <c r="D5" i="14" a="1"/>
  <c r="D5" i="14"/>
  <c r="M53" i="16" a="1"/>
  <c r="M53" i="16"/>
  <c r="K34" i="16" a="1"/>
  <c r="K34" i="16"/>
  <c r="J46" i="14" a="1"/>
  <c r="J46" i="14"/>
  <c r="M91" i="16" a="1"/>
  <c r="M91" i="16"/>
  <c r="D23" i="14" a="1"/>
  <c r="D23" i="14"/>
  <c r="D22" i="14" a="1"/>
  <c r="D22" i="14"/>
  <c r="J29" i="14" a="1"/>
  <c r="J29" i="14"/>
  <c r="D44" i="14" a="1"/>
  <c r="D44" i="14"/>
  <c r="L90" i="16" a="1"/>
  <c r="L90" i="16"/>
  <c r="K59" i="16" a="1"/>
  <c r="K59" i="16"/>
  <c r="N63" i="16" a="1"/>
  <c r="N63" i="16"/>
  <c r="M87" i="16" a="1"/>
  <c r="M87" i="16"/>
  <c r="K43" i="16" a="1"/>
  <c r="K43" i="16"/>
  <c r="N80" i="16" a="1"/>
  <c r="N80" i="16"/>
  <c r="L77" i="16" a="1"/>
  <c r="L77" i="16"/>
  <c r="N31" i="16" a="1"/>
  <c r="N31" i="16"/>
  <c r="I46" i="14" a="1"/>
  <c r="I46" i="14"/>
  <c r="I37" i="14" a="1"/>
  <c r="I37" i="14"/>
  <c r="D8" i="14" a="1"/>
  <c r="D8" i="14"/>
  <c r="I4" i="14" a="1"/>
  <c r="I4" i="14"/>
  <c r="I54" i="14" a="1"/>
  <c r="I54" i="14"/>
  <c r="I47" i="14" a="1"/>
  <c r="I47" i="14"/>
  <c r="D58" i="14" a="1"/>
  <c r="D58" i="14"/>
  <c r="I40" i="14" a="1"/>
  <c r="I40" i="14"/>
  <c r="C13" i="14" a="1"/>
  <c r="C13" i="14"/>
  <c r="J8" i="14" a="1"/>
  <c r="J8" i="14"/>
  <c r="D2" i="14" a="1"/>
  <c r="D2" i="14"/>
  <c r="I8" i="14" a="1"/>
  <c r="I8" i="14"/>
  <c r="C2" i="14" a="1"/>
  <c r="C2" i="14"/>
  <c r="D36" i="14" a="1"/>
  <c r="D36" i="14"/>
  <c r="D20" i="14" a="1"/>
  <c r="D20" i="14"/>
  <c r="D43" i="14" a="1"/>
  <c r="D43" i="14"/>
  <c r="J52" i="14" a="1"/>
  <c r="J52" i="14"/>
  <c r="J37" i="14" a="1"/>
  <c r="J37" i="14"/>
  <c r="L62" i="16" a="1"/>
  <c r="L62" i="16"/>
  <c r="K32" i="16" a="1"/>
  <c r="K32" i="16"/>
  <c r="L39" i="16" a="1"/>
  <c r="L39" i="16"/>
  <c r="N77" i="16" a="1"/>
  <c r="N77" i="16"/>
  <c r="M79" i="16" a="1"/>
  <c r="M79" i="16"/>
  <c r="K95" i="16" a="1"/>
  <c r="K95" i="16"/>
  <c r="K90" i="16" a="1"/>
  <c r="K90" i="16"/>
  <c r="K94" i="16" a="1"/>
  <c r="K94" i="16"/>
  <c r="C4" i="14" a="1"/>
  <c r="C4" i="14"/>
  <c r="I56" i="14" a="1"/>
  <c r="I56" i="14"/>
  <c r="C52" i="14" a="1"/>
  <c r="C52" i="14"/>
  <c r="C36" i="14" a="1"/>
  <c r="C36" i="14"/>
  <c r="I22" i="14" a="1"/>
  <c r="I22" i="14"/>
  <c r="C49" i="14" a="1"/>
  <c r="C49" i="14"/>
  <c r="I27" i="14" a="1"/>
  <c r="I27" i="14"/>
  <c r="I16" i="14" a="1"/>
  <c r="I16" i="14"/>
  <c r="C6" i="14" a="1"/>
  <c r="C6" i="14"/>
  <c r="C15" i="14" a="1"/>
  <c r="C15" i="14"/>
  <c r="C30" i="14" a="1"/>
  <c r="C30" i="14"/>
  <c r="D51" i="14" a="1"/>
  <c r="D51" i="14"/>
  <c r="I7" i="14" a="1"/>
  <c r="I7" i="14"/>
  <c r="C5" i="14" a="1"/>
  <c r="C5" i="14"/>
  <c r="I3" i="14" a="1"/>
  <c r="I3" i="14"/>
  <c r="C35" i="14" a="1"/>
  <c r="C35" i="14"/>
  <c r="C3" i="14" a="1"/>
  <c r="C3" i="14"/>
  <c r="C21" i="14" a="1"/>
  <c r="C21" i="14"/>
  <c r="I5" i="14" a="1"/>
  <c r="I5" i="14"/>
  <c r="N84" i="16" a="1"/>
  <c r="N84" i="16"/>
  <c r="K41" i="16" a="1"/>
  <c r="K41" i="16"/>
  <c r="N93" i="16" a="1"/>
  <c r="N93" i="16"/>
  <c r="L63" i="16" a="1"/>
  <c r="L63" i="16"/>
  <c r="N94" i="16" a="1"/>
  <c r="N94" i="16"/>
  <c r="K77" i="16" a="1"/>
  <c r="K77" i="16"/>
  <c r="N91" i="16" a="1"/>
  <c r="N91" i="16"/>
  <c r="L86" i="16" a="1"/>
  <c r="L86" i="16"/>
  <c r="L57" i="16" a="1"/>
  <c r="L57" i="16"/>
  <c r="L93" i="16" a="1"/>
  <c r="L93" i="16"/>
  <c r="M42" i="16" a="1"/>
  <c r="M42" i="16"/>
  <c r="L32" i="16" a="1"/>
  <c r="L32" i="16"/>
  <c r="M80" i="16" a="1"/>
  <c r="M80" i="16"/>
  <c r="L95" i="16" a="1"/>
  <c r="L95" i="16"/>
  <c r="K87" i="16" a="1"/>
  <c r="K87" i="16"/>
  <c r="L76" i="16" a="1"/>
  <c r="L76" i="16"/>
  <c r="K88" i="16" a="1"/>
  <c r="K88" i="16"/>
  <c r="N57" i="16" a="1"/>
  <c r="N57" i="16"/>
  <c r="C38" i="14" a="1"/>
  <c r="C38" i="14"/>
  <c r="N38" i="16" a="1"/>
  <c r="N38" i="16"/>
  <c r="K52" i="16" a="1"/>
  <c r="K52" i="16"/>
  <c r="K31" i="16" a="1"/>
  <c r="K31" i="16"/>
  <c r="N87" i="16" a="1"/>
  <c r="N87" i="16"/>
  <c r="K56" i="16" a="1"/>
  <c r="K56" i="16"/>
  <c r="K62" i="16" a="1"/>
  <c r="K62" i="16"/>
  <c r="J38" i="14" a="1"/>
  <c r="J38" i="14"/>
  <c r="J16" i="14" a="1"/>
  <c r="J16" i="14"/>
  <c r="D6" i="14" a="1"/>
  <c r="D6" i="14"/>
  <c r="J55" i="14" a="1"/>
  <c r="J55" i="14"/>
  <c r="J2" i="14" a="1"/>
  <c r="J2" i="14"/>
  <c r="D52" i="14" a="1"/>
  <c r="D52" i="14"/>
  <c r="J22" i="14" a="1"/>
  <c r="J22" i="14"/>
  <c r="D14" i="14" a="1"/>
  <c r="D14" i="14"/>
  <c r="J56" i="14" a="1"/>
  <c r="J56" i="14"/>
  <c r="D57" i="14" a="1"/>
  <c r="D57" i="14"/>
  <c r="J44" i="14" a="1"/>
  <c r="J44" i="14"/>
  <c r="D31" i="14" a="1"/>
  <c r="D31" i="14"/>
  <c r="D29" i="14" a="1"/>
  <c r="J15" i="14" a="1"/>
  <c r="D29" i="14" l="1"/>
  <c r="J15" i="14"/>
  <c r="J30" i="14" a="1"/>
  <c r="J30" i="14"/>
  <c r="D4" i="14" a="1"/>
  <c r="D4" i="14"/>
  <c r="J47" i="14" a="1"/>
  <c r="J47" i="14"/>
  <c r="J12" i="14" a="1"/>
  <c r="J12" i="14"/>
  <c r="L87" i="16" a="1"/>
  <c r="L87" i="16"/>
  <c r="M34" i="16" a="1"/>
  <c r="M34" i="16"/>
  <c r="L55" i="16" a="1"/>
  <c r="L55" i="16"/>
  <c r="N90" i="16" a="1"/>
  <c r="N90" i="16"/>
  <c r="L88" i="16" a="1"/>
  <c r="L88" i="16"/>
  <c r="N35" i="16" a="1"/>
  <c r="N35" i="16"/>
  <c r="M62" i="16" a="1"/>
  <c r="M62" i="16"/>
  <c r="K64" i="16" a="1"/>
  <c r="K64" i="16"/>
  <c r="K53" i="16" a="1"/>
  <c r="K53" i="16"/>
  <c r="M93" i="16" a="1"/>
  <c r="M93" i="16"/>
  <c r="M60" i="16" a="1"/>
  <c r="M60" i="16"/>
  <c r="L59" i="16" a="1"/>
  <c r="L59" i="16"/>
  <c r="L60" i="16" a="1"/>
  <c r="L60" i="16"/>
  <c r="L38" i="16" a="1"/>
  <c r="L38" i="16"/>
  <c r="N41" i="16" a="1"/>
  <c r="N41" i="16"/>
  <c r="N36" i="16" a="1"/>
  <c r="N36" i="16"/>
  <c r="D50" i="14" a="1"/>
  <c r="D50" i="14"/>
  <c r="D45" i="14" a="1"/>
  <c r="D45" i="14"/>
  <c r="D24" i="14" a="1"/>
  <c r="D24" i="14"/>
  <c r="J21" i="14" a="1"/>
  <c r="J21" i="14"/>
  <c r="D3" i="14" a="1"/>
  <c r="D3" i="14"/>
  <c r="J19" i="14" a="1"/>
  <c r="J19" i="14"/>
  <c r="D56" i="14" a="1"/>
  <c r="D56" i="14"/>
  <c r="D49" i="14" a="1"/>
  <c r="D49" i="14"/>
  <c r="J6" i="14" a="1"/>
  <c r="J6" i="14"/>
  <c r="J54" i="14" a="1"/>
  <c r="J54" i="14"/>
  <c r="J43" i="14" a="1"/>
  <c r="J43" i="14"/>
  <c r="J48" i="14" a="1"/>
  <c r="J48" i="14"/>
  <c r="D25" i="14" a="1"/>
  <c r="D25" i="14"/>
  <c r="D42" i="14" a="1"/>
  <c r="D42" i="14"/>
  <c r="D21" i="14" a="1"/>
  <c r="D21" i="14"/>
  <c r="J39" i="14" a="1"/>
  <c r="J39" i="14"/>
  <c r="L79" i="16" a="1"/>
  <c r="L79" i="16"/>
  <c r="M39" i="16" a="1"/>
  <c r="M39" i="16"/>
  <c r="M86" i="16" a="1"/>
  <c r="M86" i="16"/>
  <c r="K80" i="16" a="1"/>
  <c r="K80" i="16"/>
  <c r="L80" i="16" a="1"/>
  <c r="L80" i="16"/>
  <c r="L56" i="16" a="1"/>
  <c r="L56" i="16"/>
  <c r="K42" i="16" a="1"/>
  <c r="K42" i="16"/>
  <c r="N39" i="16" a="1"/>
  <c r="N39" i="16"/>
  <c r="M63" i="16" a="1"/>
  <c r="M63" i="16"/>
  <c r="N86" i="16" a="1"/>
  <c r="N86" i="16"/>
  <c r="L53" i="16" a="1"/>
  <c r="L53" i="16"/>
  <c r="K83" i="16" a="1"/>
  <c r="K83" i="16"/>
  <c r="L81" i="16" a="1"/>
  <c r="L81" i="16"/>
  <c r="M77" i="16" a="1"/>
  <c r="M77" i="16"/>
  <c r="K39" i="16" a="1"/>
  <c r="K39" i="16"/>
  <c r="K38" i="16" a="1"/>
  <c r="K38" i="16"/>
  <c r="J3" i="14" a="1"/>
  <c r="J3" i="14"/>
  <c r="J24" i="14" a="1"/>
  <c r="J24" i="14"/>
  <c r="D9" i="14" a="1"/>
  <c r="D9" i="14"/>
  <c r="D7" i="14" a="1"/>
  <c r="D7" i="14"/>
  <c r="J51" i="14" a="1"/>
  <c r="J51" i="14"/>
  <c r="J40" i="14" a="1"/>
  <c r="J40" i="14"/>
  <c r="D13" i="14" a="1"/>
  <c r="D13" i="14"/>
  <c r="J31" i="14" a="1"/>
  <c r="J31" i="14"/>
  <c r="J5" i="14" a="1"/>
  <c r="J5" i="14"/>
  <c r="J28" i="14" a="1"/>
  <c r="J28" i="14"/>
  <c r="K76" i="16" a="1"/>
  <c r="K76" i="16"/>
  <c r="L34" i="16" a="1"/>
  <c r="L34" i="16"/>
  <c r="K55" i="16" a="1"/>
  <c r="K55" i="16"/>
  <c r="N42" i="16" a="1"/>
  <c r="N42" i="16"/>
  <c r="K81" i="16" a="1"/>
  <c r="K81" i="16"/>
  <c r="N56" i="16" a="1"/>
  <c r="N56" i="16"/>
  <c r="K79" i="16" a="1"/>
  <c r="K79" i="16"/>
  <c r="N76" i="16" a="1"/>
  <c r="N76" i="16"/>
  <c r="J14" i="14" a="1"/>
  <c r="J14" i="14"/>
  <c r="N81" i="16" a="1"/>
  <c r="N81" i="16"/>
  <c r="K84" i="16" a="1"/>
  <c r="K84" i="16"/>
  <c r="N62" i="16" a="1"/>
  <c r="N62" i="16"/>
  <c r="L52" i="16" a="1"/>
  <c r="L52" i="16"/>
  <c r="N34" i="16" a="1"/>
  <c r="N34" i="16"/>
  <c r="M55" i="16" a="1"/>
  <c r="M55" i="16"/>
  <c r="M94" i="16" a="1"/>
  <c r="M94" i="16"/>
  <c r="N53" i="16" a="1"/>
  <c r="N53" i="16"/>
  <c r="AF55" i="23"/>
  <c r="AM122" i="23"/>
  <c r="AM184" i="23"/>
  <c r="AF140" i="23"/>
  <c r="AF139" i="23"/>
  <c r="AF138" i="23"/>
  <c r="AF137" i="23"/>
  <c r="AF136" i="23"/>
  <c r="AF135" i="23"/>
  <c r="AF134" i="23"/>
  <c r="AF133" i="23"/>
  <c r="AF132" i="23"/>
  <c r="AF131" i="23"/>
  <c r="AF130" i="23"/>
  <c r="AF129" i="23"/>
  <c r="AF128" i="23"/>
  <c r="AF127" i="23"/>
  <c r="AF126" i="23"/>
  <c r="AF194" i="23"/>
  <c r="AM195" i="23"/>
  <c r="AM192" i="23"/>
  <c r="AM113" i="23"/>
  <c r="AF52" i="23"/>
  <c r="AF54" i="23"/>
  <c r="D73" i="23" a="1"/>
  <c r="D73" i="23"/>
  <c r="D27" i="23" a="1"/>
  <c r="D27" i="23"/>
  <c r="B12" i="23"/>
  <c r="F12" i="23"/>
  <c r="C73" i="23" a="1"/>
  <c r="C73" i="23"/>
  <c r="C27" i="23" a="1"/>
  <c r="C27" i="23"/>
  <c r="B74" i="23" a="1"/>
  <c r="B74" i="23"/>
  <c r="B30" i="23" a="1"/>
  <c r="B30" i="23"/>
  <c r="E72" i="23" a="1"/>
  <c r="E72" i="23"/>
  <c r="E26" i="23" a="1"/>
  <c r="E26" i="23"/>
  <c r="AM72" i="23"/>
  <c r="AM71" i="23"/>
  <c r="AM70" i="23"/>
  <c r="AM69" i="23"/>
  <c r="AM68" i="23"/>
  <c r="AM67" i="23"/>
  <c r="AM66" i="23"/>
  <c r="AM65" i="23"/>
  <c r="AM64" i="23"/>
  <c r="AM63" i="23"/>
  <c r="AM62" i="23"/>
  <c r="AM61" i="23"/>
  <c r="AM60" i="23"/>
  <c r="AM59" i="23"/>
  <c r="AM58" i="23"/>
  <c r="AM57" i="23"/>
  <c r="AM56" i="23"/>
  <c r="E74" i="23" a="1"/>
  <c r="E74" i="23"/>
  <c r="E30" i="23" a="1"/>
  <c r="E30" i="23"/>
  <c r="D72" i="23" a="1"/>
  <c r="D72" i="23"/>
  <c r="D26" i="23" a="1"/>
  <c r="D26" i="23"/>
  <c r="AM191" i="23"/>
  <c r="F74" i="23" a="1"/>
  <c r="F74" i="23"/>
  <c r="F30" i="23" a="1"/>
  <c r="F30" i="23"/>
  <c r="D74" i="23" a="1"/>
  <c r="D74" i="23"/>
  <c r="D30" i="23" a="1"/>
  <c r="D30" i="23"/>
  <c r="B77" i="23" a="1"/>
  <c r="B77" i="23"/>
  <c r="B36" i="23" a="1"/>
  <c r="B36" i="23"/>
  <c r="E36" i="23" a="1"/>
  <c r="E36" i="23"/>
  <c r="B72" i="23" a="1"/>
  <c r="B72" i="23"/>
  <c r="B26" i="23" a="1"/>
  <c r="B26" i="23"/>
  <c r="AF73" i="23"/>
  <c r="F36" i="23" a="1"/>
  <c r="F36" i="23"/>
  <c r="B73" i="23" a="1"/>
  <c r="B73" i="23"/>
  <c r="B27" i="23" a="1"/>
  <c r="B27" i="23"/>
  <c r="C77" i="23" a="1"/>
  <c r="C77" i="23"/>
  <c r="C36" i="23" a="1"/>
  <c r="C36" i="23"/>
  <c r="C72" i="23" a="1"/>
  <c r="C72" i="23"/>
  <c r="C26" i="23" a="1"/>
  <c r="C26" i="23"/>
  <c r="AM186" i="23"/>
  <c r="D77" i="23" a="1"/>
  <c r="D77" i="23"/>
  <c r="D36" i="23" a="1"/>
  <c r="D36" i="23"/>
  <c r="E73" i="23" a="1"/>
  <c r="E73" i="23"/>
  <c r="E27" i="23" a="1"/>
  <c r="E27" i="23"/>
  <c r="F72" i="23" a="1"/>
  <c r="F72" i="23"/>
  <c r="F26" i="23" a="1"/>
  <c r="F26" i="23"/>
  <c r="F73" i="23" a="1"/>
  <c r="F73" i="23"/>
  <c r="F27" i="23" a="1"/>
  <c r="F27" i="23"/>
  <c r="C74" i="23" a="1"/>
  <c r="C74" i="23"/>
  <c r="C30" i="23" a="1"/>
  <c r="C30" i="23"/>
  <c r="E12" i="23"/>
  <c r="C12" i="23"/>
  <c r="D12" i="23"/>
  <c r="AM50" i="23"/>
  <c r="AF49" i="23"/>
  <c r="AF124" i="23"/>
  <c r="AF116" i="23"/>
  <c r="AF191" i="23"/>
  <c r="AM187" i="23"/>
  <c r="AM51" i="23"/>
  <c r="AM73" i="23"/>
  <c r="AM119" i="23"/>
  <c r="AM112" i="23"/>
  <c r="AM197" i="23"/>
  <c r="AM190" i="23"/>
  <c r="AM120" i="23"/>
  <c r="AF112" i="23"/>
  <c r="AM115" i="23"/>
  <c r="AF184" i="23"/>
  <c r="AM77" i="23"/>
  <c r="AF118" i="23"/>
  <c r="AM196" i="23"/>
  <c r="AF196" i="23"/>
  <c r="AF119" i="23"/>
  <c r="AF198" i="23"/>
  <c r="AM76" i="23"/>
  <c r="AF197" i="23"/>
  <c r="AF192" i="23"/>
  <c r="AF200" i="23"/>
  <c r="AM198" i="23"/>
  <c r="AM114" i="23"/>
  <c r="AM54" i="23"/>
  <c r="AM189" i="23"/>
  <c r="AF79" i="23"/>
  <c r="AF78" i="23"/>
  <c r="AM208" i="23"/>
  <c r="AM207" i="23"/>
  <c r="AM206" i="23"/>
  <c r="AM205" i="23"/>
  <c r="AM204" i="23"/>
  <c r="AM203" i="23"/>
  <c r="AM202" i="23"/>
  <c r="AM201" i="23"/>
  <c r="AM123" i="23"/>
  <c r="AF122" i="23"/>
  <c r="AM118" i="23"/>
  <c r="AF188" i="23"/>
  <c r="AM200" i="23"/>
  <c r="AF115" i="23"/>
  <c r="AF125" i="23"/>
  <c r="AF195" i="23"/>
  <c r="AM53" i="23"/>
  <c r="AF121" i="23"/>
  <c r="AF113" i="23"/>
  <c r="AM194" i="23"/>
  <c r="AM75" i="23"/>
  <c r="AF51" i="23"/>
  <c r="AF117" i="23"/>
  <c r="AF187" i="23"/>
  <c r="AM124" i="23"/>
  <c r="AM117" i="23"/>
  <c r="AM52" i="23"/>
  <c r="AM121" i="23"/>
  <c r="AF190" i="23"/>
  <c r="AF77" i="23"/>
  <c r="AF186" i="23"/>
  <c r="AF74" i="23"/>
  <c r="AF199" i="23"/>
  <c r="AF114" i="23"/>
  <c r="AM49" i="23"/>
  <c r="AF72" i="23"/>
  <c r="AF71" i="23"/>
  <c r="AF70" i="23"/>
  <c r="AF69" i="23"/>
  <c r="AF68" i="23"/>
  <c r="AF67" i="23"/>
  <c r="AF66" i="23"/>
  <c r="AF65" i="23"/>
  <c r="AF64" i="23"/>
  <c r="AF63" i="23"/>
  <c r="AF62" i="23"/>
  <c r="AF61" i="23"/>
  <c r="AF60" i="23"/>
  <c r="AF59" i="23"/>
  <c r="AF58" i="23"/>
  <c r="AF57" i="23"/>
  <c r="AF56" i="23"/>
  <c r="AM199" i="23"/>
  <c r="AM125" i="23"/>
  <c r="AM140" i="23"/>
  <c r="AM139" i="23"/>
  <c r="AM138" i="23"/>
  <c r="AM137" i="23"/>
  <c r="AM136" i="23"/>
  <c r="AM135" i="23"/>
  <c r="AM134" i="23"/>
  <c r="AM133" i="23"/>
  <c r="AM132" i="23"/>
  <c r="AM131" i="23"/>
  <c r="AM130" i="23"/>
  <c r="AM129" i="23"/>
  <c r="AM128" i="23"/>
  <c r="AM127" i="23"/>
  <c r="AM126" i="23"/>
  <c r="AF53" i="23"/>
  <c r="AF50" i="23"/>
  <c r="AM185" i="23"/>
  <c r="AF76" i="23"/>
  <c r="AM188" i="23"/>
  <c r="AF75" i="23"/>
  <c r="AM55" i="23"/>
  <c r="AF123" i="23"/>
  <c r="AF208" i="23"/>
  <c r="AF207" i="23"/>
  <c r="AF206" i="23"/>
  <c r="AF205" i="23"/>
  <c r="AF204" i="23"/>
  <c r="AF203" i="23"/>
  <c r="AF202" i="23"/>
  <c r="AF201" i="23"/>
  <c r="AF120" i="23"/>
  <c r="AM193" i="23"/>
  <c r="AM116" i="23"/>
  <c r="AF185" i="23"/>
  <c r="AM79" i="23"/>
  <c r="AM78" i="23"/>
  <c r="AF193" i="23"/>
  <c r="AM74" i="23"/>
  <c r="AF189" i="23"/>
  <c r="J11" i="23" a="1"/>
  <c r="J11" i="23"/>
  <c r="J27" i="23" a="1"/>
  <c r="J27" i="23"/>
  <c r="I11" i="23" a="1"/>
  <c r="I11" i="23"/>
  <c r="I77" i="23" a="1"/>
  <c r="I77" i="23"/>
  <c r="I36" i="23" a="1"/>
  <c r="I36" i="23"/>
  <c r="J26" i="23" a="1"/>
  <c r="J26" i="23"/>
  <c r="K36" i="23" a="1"/>
  <c r="K36" i="23"/>
  <c r="I27" i="23" a="1"/>
  <c r="I27" i="23"/>
  <c r="K12" i="23"/>
  <c r="J77" i="23" a="1"/>
  <c r="J77" i="23"/>
  <c r="J36" i="23" a="1"/>
  <c r="J36" i="23"/>
  <c r="K27" i="23" a="1"/>
  <c r="K27" i="23"/>
  <c r="K26" i="23" a="1"/>
  <c r="K26" i="23"/>
  <c r="J12" i="23"/>
  <c r="K11" i="23" a="1"/>
  <c r="K11" i="23"/>
  <c r="J74" i="23" a="1"/>
  <c r="J74" i="23"/>
  <c r="J30" i="23" a="1"/>
  <c r="J30" i="23"/>
  <c r="I26" i="23" a="1"/>
  <c r="I26" i="23"/>
  <c r="K74" i="23" a="1"/>
  <c r="K74" i="23"/>
  <c r="K30" i="23" a="1"/>
  <c r="K30" i="23"/>
  <c r="I74" i="23" a="1"/>
  <c r="I74" i="23"/>
  <c r="I30" i="23" a="1"/>
  <c r="I30" i="23"/>
  <c r="I12" i="23"/>
  <c r="AW74" i="23" a="1"/>
  <c r="AW74" i="23"/>
  <c r="AW54" i="23" a="1"/>
  <c r="AW54" i="23"/>
  <c r="O23" i="17" a="1"/>
  <c r="O23" i="17"/>
  <c r="AW34" i="23" a="1"/>
  <c r="AW34" i="23"/>
  <c r="AD7" i="17" a="1"/>
  <c r="AD7" i="17"/>
  <c r="M10" i="21" a="1"/>
  <c r="M10" i="21"/>
  <c r="M9" i="21" a="1"/>
  <c r="M9" i="21"/>
  <c r="O20" i="17" a="1"/>
  <c r="O20" i="17"/>
  <c r="D1" i="14" a="1"/>
  <c r="D1" i="14"/>
  <c r="N74" i="16" a="1"/>
  <c r="N74" i="16"/>
  <c r="N4" i="16" a="1"/>
  <c r="N4" i="16"/>
  <c r="N29" i="16" a="1"/>
  <c r="N29" i="16"/>
  <c r="E1779" i="5" l="1"/>
  <c r="C3" i="24"/>
  <c r="F3" i="24"/>
  <c r="D3" i="24"/>
  <c r="E3" i="24"/>
  <c r="I3" i="24"/>
  <c r="B19" i="21" a="1"/>
  <c r="B19" i="21" l="1"/>
  <c r="E2" i="5"/>
  <c r="B2" i="5"/>
  <c r="A1" i="26"/>
  <c r="C1" i="14" l="1"/>
  <c r="J3" i="5"/>
  <c r="G3" i="5"/>
  <c r="E3" i="5"/>
  <c r="F3" i="5" s="1"/>
  <c r="E5" i="14" l="1"/>
  <c r="K36" i="14"/>
  <c r="E8" i="14"/>
  <c r="E45" i="14"/>
  <c r="E51" i="14"/>
  <c r="E52" i="14"/>
  <c r="K4" i="14"/>
  <c r="E30" i="14"/>
  <c r="K20" i="14"/>
  <c r="E15" i="14"/>
  <c r="E14" i="14"/>
  <c r="K7" i="14"/>
  <c r="K32" i="14"/>
  <c r="E22" i="14"/>
  <c r="E10" i="14"/>
  <c r="E6" i="14"/>
  <c r="K3" i="14"/>
  <c r="K8" i="14"/>
  <c r="E42" i="14"/>
  <c r="E31" i="14"/>
  <c r="K22" i="14"/>
  <c r="K54" i="14"/>
  <c r="K47" i="14"/>
  <c r="K28" i="14"/>
  <c r="K52" i="14"/>
  <c r="E57" i="14"/>
  <c r="K44" i="14"/>
  <c r="K2" i="14"/>
  <c r="E7" i="14"/>
  <c r="E20" i="14"/>
  <c r="K43" i="14"/>
  <c r="K27" i="14"/>
  <c r="E58" i="14"/>
  <c r="E25" i="14"/>
  <c r="E44" i="14"/>
  <c r="K53" i="14"/>
  <c r="K11" i="14"/>
  <c r="K6" i="14"/>
  <c r="E59" i="14"/>
  <c r="K55" i="14"/>
  <c r="K30" i="14"/>
  <c r="K45" i="14"/>
  <c r="E32" i="14"/>
  <c r="K35" i="14"/>
  <c r="K51" i="14"/>
  <c r="K16" i="14"/>
  <c r="K39" i="14"/>
  <c r="K40" i="14"/>
  <c r="E43" i="14"/>
  <c r="E24" i="14"/>
  <c r="K19" i="14"/>
  <c r="K12" i="14"/>
  <c r="K15" i="14"/>
  <c r="E36" i="14"/>
  <c r="K37" i="14"/>
  <c r="E4" i="14"/>
  <c r="K23" i="14"/>
  <c r="K14" i="14"/>
  <c r="E2" i="14"/>
  <c r="E50" i="14"/>
  <c r="K21" i="14"/>
  <c r="K31" i="14"/>
  <c r="E46" i="14"/>
  <c r="K48" i="14"/>
  <c r="K5" i="14"/>
  <c r="K46" i="14"/>
  <c r="E9" i="14"/>
  <c r="E60" i="14"/>
  <c r="E56" i="14"/>
  <c r="E23" i="14"/>
  <c r="E38" i="14"/>
  <c r="D12" i="14"/>
  <c r="K24" i="14"/>
  <c r="E53" i="14"/>
  <c r="E49" i="14"/>
  <c r="D11" i="14"/>
  <c r="D16" i="14" s="1"/>
  <c r="K38" i="14"/>
  <c r="E37" i="14"/>
  <c r="E39" i="14"/>
  <c r="E35" i="14"/>
  <c r="E21" i="14"/>
  <c r="K56" i="14"/>
  <c r="K13" i="14"/>
  <c r="E26" i="14"/>
  <c r="K29" i="14"/>
  <c r="O65" i="18"/>
  <c r="R65" i="18" s="1"/>
  <c r="AA60" i="18"/>
  <c r="AB60" i="18" s="1"/>
  <c r="AC60" i="18" s="1"/>
  <c r="D35" i="18"/>
  <c r="D34" i="18"/>
  <c r="D33" i="18"/>
  <c r="AL30" i="18"/>
  <c r="AK30" i="18"/>
  <c r="AJ30" i="18"/>
  <c r="AI30" i="18"/>
  <c r="AH30" i="18"/>
  <c r="AG30" i="18"/>
  <c r="AF30" i="18"/>
  <c r="D30" i="18"/>
  <c r="D29" i="18"/>
  <c r="V24" i="18"/>
  <c r="U24" i="18"/>
  <c r="K23" i="18"/>
  <c r="AL14" i="18"/>
  <c r="AK14" i="18"/>
  <c r="AJ14" i="18"/>
  <c r="AI14" i="18"/>
  <c r="AH14" i="18"/>
  <c r="AG14" i="18"/>
  <c r="S14" i="18"/>
  <c r="O14" i="18"/>
  <c r="H9" i="18"/>
  <c r="G8" i="18"/>
  <c r="G9" i="18"/>
  <c r="H8" i="18"/>
  <c r="C11" i="14" l="1"/>
  <c r="C12" i="14"/>
  <c r="E3" i="14"/>
  <c r="E11" i="14" s="1"/>
  <c r="E13" i="14"/>
  <c r="E12" i="14" s="1"/>
  <c r="AM30" i="18"/>
  <c r="AM14" i="18"/>
  <c r="R67" i="18"/>
  <c r="G7" i="18" a="1"/>
  <c r="C16" i="14" l="1"/>
  <c r="E16" i="14"/>
  <c r="G7" i="18"/>
  <c r="H7" i="18" a="1"/>
  <c r="G6" i="18"/>
  <c r="H6" i="18" s="1" a="1"/>
  <c r="H6" i="18" l="1"/>
  <c r="H7" i="18"/>
  <c r="A2" i="18"/>
  <c r="AT4" i="18" l="1"/>
  <c r="G72" i="2" l="1"/>
  <c r="F72" i="2"/>
  <c r="E72" i="2"/>
  <c r="B72" i="2"/>
  <c r="G71" i="2"/>
  <c r="F71" i="2"/>
  <c r="E71" i="2"/>
  <c r="B71" i="2"/>
  <c r="G70" i="2"/>
  <c r="F70" i="2"/>
  <c r="E70" i="2"/>
  <c r="B70" i="2"/>
  <c r="G69" i="2"/>
  <c r="F69" i="2"/>
  <c r="E69" i="2"/>
  <c r="B69" i="2"/>
  <c r="G68" i="2"/>
  <c r="F68" i="2"/>
  <c r="E68" i="2"/>
  <c r="B68" i="2"/>
  <c r="G67" i="2"/>
  <c r="B67" i="2"/>
  <c r="F16" i="2"/>
  <c r="F6" i="2" s="1"/>
  <c r="K19" i="18" s="1"/>
  <c r="F15" i="2"/>
  <c r="F5" i="2" s="1"/>
  <c r="J14" i="2"/>
  <c r="I14" i="2"/>
  <c r="J13" i="2"/>
  <c r="H13" i="2" s="1"/>
  <c r="F13" i="2" s="1"/>
  <c r="F3" i="2" s="1"/>
  <c r="K17" i="18" s="1"/>
  <c r="J12" i="2"/>
  <c r="H12" i="2" s="1"/>
  <c r="F12" i="2" s="1"/>
  <c r="F2" i="2" s="1"/>
  <c r="O9" i="2"/>
  <c r="N9" i="2"/>
  <c r="O8" i="2"/>
  <c r="N8" i="2"/>
  <c r="O7" i="2"/>
  <c r="N7" i="2"/>
  <c r="O6" i="2"/>
  <c r="N6" i="2"/>
  <c r="O5" i="2"/>
  <c r="N5" i="2"/>
  <c r="O4" i="2"/>
  <c r="N4" i="2"/>
  <c r="O3" i="2"/>
  <c r="N3" i="2"/>
  <c r="O2" i="2"/>
  <c r="N2" i="2"/>
  <c r="B4" i="7"/>
  <c r="H14" i="2" l="1"/>
  <c r="F14" i="2" s="1"/>
  <c r="F4" i="2" s="1"/>
  <c r="Q9" i="2"/>
  <c r="Q8" i="2"/>
  <c r="Q6" i="2"/>
  <c r="Q2" i="2"/>
  <c r="P7" i="2"/>
  <c r="P8" i="2"/>
  <c r="Q5" i="2"/>
  <c r="Q3" i="2"/>
  <c r="Q7" i="2"/>
  <c r="A2" i="3"/>
  <c r="U2057" i="5"/>
  <c r="T2057" i="5"/>
  <c r="O2057" i="5"/>
  <c r="N2057" i="5"/>
  <c r="M2057" i="5"/>
  <c r="L2057" i="5"/>
  <c r="K2057" i="5"/>
  <c r="J2057" i="5"/>
  <c r="I2057" i="5"/>
  <c r="H2057" i="5"/>
  <c r="G2057" i="5"/>
  <c r="E2057" i="5"/>
  <c r="F2057" i="5" s="1"/>
  <c r="B2057" i="5"/>
  <c r="U2056" i="5"/>
  <c r="T2056" i="5"/>
  <c r="O2056" i="5"/>
  <c r="N2056" i="5"/>
  <c r="M2056" i="5"/>
  <c r="L2056" i="5"/>
  <c r="K2056" i="5"/>
  <c r="J2056" i="5"/>
  <c r="I2056" i="5"/>
  <c r="H2056" i="5"/>
  <c r="G2056" i="5"/>
  <c r="E2056" i="5"/>
  <c r="B2056" i="5"/>
  <c r="U2055" i="5"/>
  <c r="T2055" i="5"/>
  <c r="O2055" i="5"/>
  <c r="N2055" i="5"/>
  <c r="M2055" i="5"/>
  <c r="L2055" i="5"/>
  <c r="K2055" i="5"/>
  <c r="J2055" i="5"/>
  <c r="I2055" i="5"/>
  <c r="H2055" i="5"/>
  <c r="G2055" i="5"/>
  <c r="E2055" i="5"/>
  <c r="F2055" i="5" s="1"/>
  <c r="B2055" i="5"/>
  <c r="U2054" i="5"/>
  <c r="T2054" i="5"/>
  <c r="O2054" i="5"/>
  <c r="N2054" i="5"/>
  <c r="M2054" i="5"/>
  <c r="L2054" i="5"/>
  <c r="K2054" i="5"/>
  <c r="J2054" i="5"/>
  <c r="I2054" i="5"/>
  <c r="H2054" i="5"/>
  <c r="G2054" i="5"/>
  <c r="E2054" i="5"/>
  <c r="F2054" i="5" s="1"/>
  <c r="B2054" i="5"/>
  <c r="U2053" i="5"/>
  <c r="T2053" i="5"/>
  <c r="O2053" i="5"/>
  <c r="N2053" i="5"/>
  <c r="M2053" i="5"/>
  <c r="L2053" i="5"/>
  <c r="K2053" i="5"/>
  <c r="J2053" i="5"/>
  <c r="I2053" i="5"/>
  <c r="H2053" i="5"/>
  <c r="G2053" i="5"/>
  <c r="E2053" i="5"/>
  <c r="F2053" i="5" s="1"/>
  <c r="B2053" i="5"/>
  <c r="U2052" i="5"/>
  <c r="T2052" i="5"/>
  <c r="O2052" i="5"/>
  <c r="N2052" i="5"/>
  <c r="M2052" i="5"/>
  <c r="L2052" i="5"/>
  <c r="K2052" i="5"/>
  <c r="J2052" i="5"/>
  <c r="I2052" i="5"/>
  <c r="H2052" i="5"/>
  <c r="G2052" i="5"/>
  <c r="E2052" i="5"/>
  <c r="B2052" i="5"/>
  <c r="U2051" i="5"/>
  <c r="T2051" i="5"/>
  <c r="O2051" i="5"/>
  <c r="N2051" i="5"/>
  <c r="M2051" i="5"/>
  <c r="L2051" i="5"/>
  <c r="K2051" i="5"/>
  <c r="J2051" i="5"/>
  <c r="I2051" i="5"/>
  <c r="H2051" i="5"/>
  <c r="G2051" i="5"/>
  <c r="E2051" i="5"/>
  <c r="F2051" i="5" s="1"/>
  <c r="B2051" i="5"/>
  <c r="U2050" i="5"/>
  <c r="T2050" i="5"/>
  <c r="O2050" i="5"/>
  <c r="N2050" i="5"/>
  <c r="M2050" i="5"/>
  <c r="L2050" i="5"/>
  <c r="K2050" i="5"/>
  <c r="J2050" i="5"/>
  <c r="I2050" i="5"/>
  <c r="H2050" i="5"/>
  <c r="G2050" i="5"/>
  <c r="E2050" i="5"/>
  <c r="B2050" i="5"/>
  <c r="U2049" i="5"/>
  <c r="T2049" i="5"/>
  <c r="O2049" i="5"/>
  <c r="N2049" i="5"/>
  <c r="M2049" i="5"/>
  <c r="L2049" i="5"/>
  <c r="K2049" i="5"/>
  <c r="J2049" i="5"/>
  <c r="I2049" i="5"/>
  <c r="H2049" i="5"/>
  <c r="G2049" i="5"/>
  <c r="E2049" i="5"/>
  <c r="F2049" i="5" s="1"/>
  <c r="B2049" i="5"/>
  <c r="U2048" i="5"/>
  <c r="T2048" i="5"/>
  <c r="O2048" i="5"/>
  <c r="N2048" i="5"/>
  <c r="M2048" i="5"/>
  <c r="L2048" i="5"/>
  <c r="K2048" i="5"/>
  <c r="J2048" i="5"/>
  <c r="I2048" i="5"/>
  <c r="H2048" i="5"/>
  <c r="G2048" i="5"/>
  <c r="E2048" i="5"/>
  <c r="F2048" i="5" s="1"/>
  <c r="B2048" i="5"/>
  <c r="U2047" i="5"/>
  <c r="T2047" i="5"/>
  <c r="O2047" i="5"/>
  <c r="N2047" i="5"/>
  <c r="M2047" i="5"/>
  <c r="L2047" i="5"/>
  <c r="K2047" i="5"/>
  <c r="J2047" i="5"/>
  <c r="I2047" i="5"/>
  <c r="H2047" i="5"/>
  <c r="G2047" i="5"/>
  <c r="E2047" i="5"/>
  <c r="F2047" i="5" s="1"/>
  <c r="B2047" i="5"/>
  <c r="U2046" i="5"/>
  <c r="T2046" i="5"/>
  <c r="O2046" i="5"/>
  <c r="N2046" i="5"/>
  <c r="M2046" i="5"/>
  <c r="L2046" i="5"/>
  <c r="K2046" i="5"/>
  <c r="J2046" i="5"/>
  <c r="I2046" i="5"/>
  <c r="H2046" i="5"/>
  <c r="G2046" i="5"/>
  <c r="E2046" i="5"/>
  <c r="B2046" i="5"/>
  <c r="U2045" i="5"/>
  <c r="T2045" i="5"/>
  <c r="O2045" i="5"/>
  <c r="N2045" i="5"/>
  <c r="M2045" i="5"/>
  <c r="L2045" i="5"/>
  <c r="K2045" i="5"/>
  <c r="J2045" i="5"/>
  <c r="I2045" i="5"/>
  <c r="H2045" i="5"/>
  <c r="G2045" i="5"/>
  <c r="E2045" i="5"/>
  <c r="F2045" i="5" s="1"/>
  <c r="B2045" i="5"/>
  <c r="U2044" i="5"/>
  <c r="T2044" i="5"/>
  <c r="O2044" i="5"/>
  <c r="N2044" i="5"/>
  <c r="M2044" i="5"/>
  <c r="L2044" i="5"/>
  <c r="K2044" i="5"/>
  <c r="J2044" i="5"/>
  <c r="I2044" i="5"/>
  <c r="H2044" i="5"/>
  <c r="G2044" i="5"/>
  <c r="E2044" i="5"/>
  <c r="W2044" i="5" s="1"/>
  <c r="B2044" i="5"/>
  <c r="U2043" i="5"/>
  <c r="T2043" i="5"/>
  <c r="O2043" i="5"/>
  <c r="N2043" i="5"/>
  <c r="M2043" i="5"/>
  <c r="L2043" i="5"/>
  <c r="K2043" i="5"/>
  <c r="J2043" i="5"/>
  <c r="I2043" i="5"/>
  <c r="H2043" i="5"/>
  <c r="G2043" i="5"/>
  <c r="E2043" i="5"/>
  <c r="F2043" i="5" s="1"/>
  <c r="B2043" i="5"/>
  <c r="U2042" i="5"/>
  <c r="T2042" i="5"/>
  <c r="O2042" i="5"/>
  <c r="N2042" i="5"/>
  <c r="M2042" i="5"/>
  <c r="L2042" i="5"/>
  <c r="K2042" i="5"/>
  <c r="J2042" i="5"/>
  <c r="I2042" i="5"/>
  <c r="H2042" i="5"/>
  <c r="G2042" i="5"/>
  <c r="E2042" i="5"/>
  <c r="B2042" i="5"/>
  <c r="U2041" i="5"/>
  <c r="T2041" i="5"/>
  <c r="O2041" i="5"/>
  <c r="N2041" i="5"/>
  <c r="M2041" i="5"/>
  <c r="L2041" i="5"/>
  <c r="K2041" i="5"/>
  <c r="J2041" i="5"/>
  <c r="I2041" i="5"/>
  <c r="H2041" i="5"/>
  <c r="G2041" i="5"/>
  <c r="E2041" i="5"/>
  <c r="F2041" i="5" s="1"/>
  <c r="B2041" i="5"/>
  <c r="U2040" i="5"/>
  <c r="T2040" i="5"/>
  <c r="O2040" i="5"/>
  <c r="N2040" i="5"/>
  <c r="M2040" i="5"/>
  <c r="L2040" i="5"/>
  <c r="K2040" i="5"/>
  <c r="J2040" i="5"/>
  <c r="I2040" i="5"/>
  <c r="H2040" i="5"/>
  <c r="G2040" i="5"/>
  <c r="E2040" i="5"/>
  <c r="F2040" i="5" s="1"/>
  <c r="B2040" i="5"/>
  <c r="U2039" i="5"/>
  <c r="T2039" i="5"/>
  <c r="O2039" i="5"/>
  <c r="N2039" i="5"/>
  <c r="M2039" i="5"/>
  <c r="L2039" i="5"/>
  <c r="K2039" i="5"/>
  <c r="J2039" i="5"/>
  <c r="I2039" i="5"/>
  <c r="H2039" i="5"/>
  <c r="G2039" i="5"/>
  <c r="E2039" i="5"/>
  <c r="F2039" i="5" s="1"/>
  <c r="B2039" i="5"/>
  <c r="U2038" i="5"/>
  <c r="T2038" i="5"/>
  <c r="O2038" i="5"/>
  <c r="N2038" i="5"/>
  <c r="M2038" i="5"/>
  <c r="L2038" i="5"/>
  <c r="K2038" i="5"/>
  <c r="J2038" i="5"/>
  <c r="I2038" i="5"/>
  <c r="H2038" i="5"/>
  <c r="G2038" i="5"/>
  <c r="E2038" i="5"/>
  <c r="F2038" i="5" s="1"/>
  <c r="B2038" i="5"/>
  <c r="U2037" i="5"/>
  <c r="T2037" i="5"/>
  <c r="O2037" i="5"/>
  <c r="N2037" i="5"/>
  <c r="M2037" i="5"/>
  <c r="L2037" i="5"/>
  <c r="K2037" i="5"/>
  <c r="J2037" i="5"/>
  <c r="I2037" i="5"/>
  <c r="H2037" i="5"/>
  <c r="G2037" i="5"/>
  <c r="E2037" i="5"/>
  <c r="F2037" i="5" s="1"/>
  <c r="B2037" i="5"/>
  <c r="U2036" i="5"/>
  <c r="T2036" i="5"/>
  <c r="O2036" i="5"/>
  <c r="N2036" i="5"/>
  <c r="M2036" i="5"/>
  <c r="L2036" i="5"/>
  <c r="K2036" i="5"/>
  <c r="J2036" i="5"/>
  <c r="I2036" i="5"/>
  <c r="H2036" i="5"/>
  <c r="G2036" i="5"/>
  <c r="E2036" i="5"/>
  <c r="F2036" i="5" s="1"/>
  <c r="B2036" i="5"/>
  <c r="U2035" i="5"/>
  <c r="T2035" i="5"/>
  <c r="O2035" i="5"/>
  <c r="N2035" i="5"/>
  <c r="M2035" i="5"/>
  <c r="L2035" i="5"/>
  <c r="K2035" i="5"/>
  <c r="J2035" i="5"/>
  <c r="I2035" i="5"/>
  <c r="H2035" i="5"/>
  <c r="G2035" i="5"/>
  <c r="E2035" i="5"/>
  <c r="F2035" i="5" s="1"/>
  <c r="B2035" i="5"/>
  <c r="U2034" i="5"/>
  <c r="T2034" i="5"/>
  <c r="O2034" i="5"/>
  <c r="N2034" i="5"/>
  <c r="M2034" i="5"/>
  <c r="L2034" i="5"/>
  <c r="K2034" i="5"/>
  <c r="J2034" i="5"/>
  <c r="I2034" i="5"/>
  <c r="H2034" i="5"/>
  <c r="G2034" i="5"/>
  <c r="E2034" i="5"/>
  <c r="F2034" i="5" s="1"/>
  <c r="B2034" i="5"/>
  <c r="U2033" i="5"/>
  <c r="T2033" i="5"/>
  <c r="O2033" i="5"/>
  <c r="N2033" i="5"/>
  <c r="M2033" i="5"/>
  <c r="L2033" i="5"/>
  <c r="K2033" i="5"/>
  <c r="J2033" i="5"/>
  <c r="I2033" i="5"/>
  <c r="H2033" i="5"/>
  <c r="G2033" i="5"/>
  <c r="E2033" i="5"/>
  <c r="F2033" i="5" s="1"/>
  <c r="B2033" i="5"/>
  <c r="U2032" i="5"/>
  <c r="T2032" i="5"/>
  <c r="O2032" i="5"/>
  <c r="N2032" i="5"/>
  <c r="M2032" i="5"/>
  <c r="L2032" i="5"/>
  <c r="K2032" i="5"/>
  <c r="J2032" i="5"/>
  <c r="I2032" i="5"/>
  <c r="H2032" i="5"/>
  <c r="G2032" i="5"/>
  <c r="E2032" i="5"/>
  <c r="F2032" i="5" s="1"/>
  <c r="B2032" i="5"/>
  <c r="U2031" i="5"/>
  <c r="T2031" i="5"/>
  <c r="O2031" i="5"/>
  <c r="N2031" i="5"/>
  <c r="M2031" i="5"/>
  <c r="L2031" i="5"/>
  <c r="K2031" i="5"/>
  <c r="J2031" i="5"/>
  <c r="I2031" i="5"/>
  <c r="H2031" i="5"/>
  <c r="G2031" i="5"/>
  <c r="E2031" i="5"/>
  <c r="F2031" i="5" s="1"/>
  <c r="B2031" i="5"/>
  <c r="U2030" i="5"/>
  <c r="T2030" i="5"/>
  <c r="O2030" i="5"/>
  <c r="N2030" i="5"/>
  <c r="M2030" i="5"/>
  <c r="L2030" i="5"/>
  <c r="K2030" i="5"/>
  <c r="J2030" i="5"/>
  <c r="I2030" i="5"/>
  <c r="H2030" i="5"/>
  <c r="G2030" i="5"/>
  <c r="E2030" i="5"/>
  <c r="F2030" i="5" s="1"/>
  <c r="B2030" i="5"/>
  <c r="U2029" i="5"/>
  <c r="T2029" i="5"/>
  <c r="O2029" i="5"/>
  <c r="N2029" i="5"/>
  <c r="M2029" i="5"/>
  <c r="L2029" i="5"/>
  <c r="K2029" i="5"/>
  <c r="J2029" i="5"/>
  <c r="I2029" i="5"/>
  <c r="H2029" i="5"/>
  <c r="G2029" i="5"/>
  <c r="E2029" i="5"/>
  <c r="B2029" i="5"/>
  <c r="U2028" i="5"/>
  <c r="T2028" i="5"/>
  <c r="O2028" i="5"/>
  <c r="N2028" i="5"/>
  <c r="M2028" i="5"/>
  <c r="L2028" i="5"/>
  <c r="K2028" i="5"/>
  <c r="J2028" i="5"/>
  <c r="I2028" i="5"/>
  <c r="H2028" i="5"/>
  <c r="G2028" i="5"/>
  <c r="E2028" i="5"/>
  <c r="F2028" i="5" s="1"/>
  <c r="B2028" i="5"/>
  <c r="U2027" i="5"/>
  <c r="T2027" i="5"/>
  <c r="O2027" i="5"/>
  <c r="N2027" i="5"/>
  <c r="M2027" i="5"/>
  <c r="L2027" i="5"/>
  <c r="K2027" i="5"/>
  <c r="J2027" i="5"/>
  <c r="I2027" i="5"/>
  <c r="H2027" i="5"/>
  <c r="G2027" i="5"/>
  <c r="E2027" i="5"/>
  <c r="F2027" i="5" s="1"/>
  <c r="B2027" i="5"/>
  <c r="U2026" i="5"/>
  <c r="T2026" i="5"/>
  <c r="O2026" i="5"/>
  <c r="N2026" i="5"/>
  <c r="M2026" i="5"/>
  <c r="L2026" i="5"/>
  <c r="K2026" i="5"/>
  <c r="J2026" i="5"/>
  <c r="I2026" i="5"/>
  <c r="H2026" i="5"/>
  <c r="G2026" i="5"/>
  <c r="E2026" i="5"/>
  <c r="F2026" i="5" s="1"/>
  <c r="B2026" i="5"/>
  <c r="W2026" i="5" s="1"/>
  <c r="U2025" i="5"/>
  <c r="T2025" i="5"/>
  <c r="O2025" i="5"/>
  <c r="N2025" i="5"/>
  <c r="M2025" i="5"/>
  <c r="L2025" i="5"/>
  <c r="K2025" i="5"/>
  <c r="J2025" i="5"/>
  <c r="I2025" i="5"/>
  <c r="H2025" i="5"/>
  <c r="G2025" i="5"/>
  <c r="E2025" i="5"/>
  <c r="F2025" i="5" s="1"/>
  <c r="B2025" i="5"/>
  <c r="U2024" i="5"/>
  <c r="T2024" i="5"/>
  <c r="O2024" i="5"/>
  <c r="N2024" i="5"/>
  <c r="M2024" i="5"/>
  <c r="L2024" i="5"/>
  <c r="K2024" i="5"/>
  <c r="J2024" i="5"/>
  <c r="I2024" i="5"/>
  <c r="H2024" i="5"/>
  <c r="G2024" i="5"/>
  <c r="E2024" i="5"/>
  <c r="F2024" i="5" s="1"/>
  <c r="B2024" i="5"/>
  <c r="U2023" i="5"/>
  <c r="T2023" i="5"/>
  <c r="O2023" i="5"/>
  <c r="N2023" i="5"/>
  <c r="M2023" i="5"/>
  <c r="L2023" i="5"/>
  <c r="K2023" i="5"/>
  <c r="J2023" i="5"/>
  <c r="I2023" i="5"/>
  <c r="H2023" i="5"/>
  <c r="G2023" i="5"/>
  <c r="E2023" i="5"/>
  <c r="F2023" i="5" s="1"/>
  <c r="B2023" i="5"/>
  <c r="U2022" i="5"/>
  <c r="T2022" i="5"/>
  <c r="O2022" i="5"/>
  <c r="N2022" i="5"/>
  <c r="M2022" i="5"/>
  <c r="L2022" i="5"/>
  <c r="K2022" i="5"/>
  <c r="J2022" i="5"/>
  <c r="I2022" i="5"/>
  <c r="H2022" i="5"/>
  <c r="G2022" i="5"/>
  <c r="E2022" i="5"/>
  <c r="F2022" i="5" s="1"/>
  <c r="B2022" i="5"/>
  <c r="U2021" i="5"/>
  <c r="T2021" i="5"/>
  <c r="O2021" i="5"/>
  <c r="N2021" i="5"/>
  <c r="M2021" i="5"/>
  <c r="L2021" i="5"/>
  <c r="K2021" i="5"/>
  <c r="J2021" i="5"/>
  <c r="I2021" i="5"/>
  <c r="H2021" i="5"/>
  <c r="G2021" i="5"/>
  <c r="E2021" i="5"/>
  <c r="F2021" i="5" s="1"/>
  <c r="B2021" i="5"/>
  <c r="U2020" i="5"/>
  <c r="T2020" i="5"/>
  <c r="O2020" i="5"/>
  <c r="N2020" i="5"/>
  <c r="M2020" i="5"/>
  <c r="L2020" i="5"/>
  <c r="K2020" i="5"/>
  <c r="J2020" i="5"/>
  <c r="I2020" i="5"/>
  <c r="H2020" i="5"/>
  <c r="G2020" i="5"/>
  <c r="E2020" i="5"/>
  <c r="B2020" i="5"/>
  <c r="U2019" i="5"/>
  <c r="T2019" i="5"/>
  <c r="O2019" i="5"/>
  <c r="N2019" i="5"/>
  <c r="M2019" i="5"/>
  <c r="L2019" i="5"/>
  <c r="K2019" i="5"/>
  <c r="J2019" i="5"/>
  <c r="I2019" i="5"/>
  <c r="H2019" i="5"/>
  <c r="G2019" i="5"/>
  <c r="E2019" i="5"/>
  <c r="F2019" i="5" s="1"/>
  <c r="B2019" i="5"/>
  <c r="U2018" i="5"/>
  <c r="T2018" i="5"/>
  <c r="O2018" i="5"/>
  <c r="N2018" i="5"/>
  <c r="M2018" i="5"/>
  <c r="L2018" i="5"/>
  <c r="K2018" i="5"/>
  <c r="J2018" i="5"/>
  <c r="I2018" i="5"/>
  <c r="H2018" i="5"/>
  <c r="G2018" i="5"/>
  <c r="E2018" i="5"/>
  <c r="F2018" i="5" s="1"/>
  <c r="B2018" i="5"/>
  <c r="U2017" i="5"/>
  <c r="T2017" i="5"/>
  <c r="O2017" i="5"/>
  <c r="N2017" i="5"/>
  <c r="M2017" i="5"/>
  <c r="L2017" i="5"/>
  <c r="K2017" i="5"/>
  <c r="J2017" i="5"/>
  <c r="I2017" i="5"/>
  <c r="H2017" i="5"/>
  <c r="G2017" i="5"/>
  <c r="E2017" i="5"/>
  <c r="F2017" i="5" s="1"/>
  <c r="B2017" i="5"/>
  <c r="U2016" i="5"/>
  <c r="T2016" i="5"/>
  <c r="O2016" i="5"/>
  <c r="N2016" i="5"/>
  <c r="M2016" i="5"/>
  <c r="L2016" i="5"/>
  <c r="K2016" i="5"/>
  <c r="J2016" i="5"/>
  <c r="I2016" i="5"/>
  <c r="H2016" i="5"/>
  <c r="G2016" i="5"/>
  <c r="E2016" i="5"/>
  <c r="F2016" i="5" s="1"/>
  <c r="B2016" i="5"/>
  <c r="U2015" i="5"/>
  <c r="T2015" i="5"/>
  <c r="O2015" i="5"/>
  <c r="N2015" i="5"/>
  <c r="M2015" i="5"/>
  <c r="L2015" i="5"/>
  <c r="K2015" i="5"/>
  <c r="J2015" i="5"/>
  <c r="I2015" i="5"/>
  <c r="H2015" i="5"/>
  <c r="G2015" i="5"/>
  <c r="E2015" i="5"/>
  <c r="F2015" i="5" s="1"/>
  <c r="B2015" i="5"/>
  <c r="U2014" i="5"/>
  <c r="T2014" i="5"/>
  <c r="O2014" i="5"/>
  <c r="N2014" i="5"/>
  <c r="M2014" i="5"/>
  <c r="L2014" i="5"/>
  <c r="K2014" i="5"/>
  <c r="J2014" i="5"/>
  <c r="I2014" i="5"/>
  <c r="H2014" i="5"/>
  <c r="G2014" i="5"/>
  <c r="E2014" i="5"/>
  <c r="F2014" i="5" s="1"/>
  <c r="B2014" i="5"/>
  <c r="U2013" i="5"/>
  <c r="T2013" i="5"/>
  <c r="O2013" i="5"/>
  <c r="N2013" i="5"/>
  <c r="M2013" i="5"/>
  <c r="L2013" i="5"/>
  <c r="K2013" i="5"/>
  <c r="J2013" i="5"/>
  <c r="I2013" i="5"/>
  <c r="H2013" i="5"/>
  <c r="G2013" i="5"/>
  <c r="E2013" i="5"/>
  <c r="F2013" i="5" s="1"/>
  <c r="B2013" i="5"/>
  <c r="U2012" i="5"/>
  <c r="T2012" i="5"/>
  <c r="O2012" i="5"/>
  <c r="N2012" i="5"/>
  <c r="M2012" i="5"/>
  <c r="L2012" i="5"/>
  <c r="K2012" i="5"/>
  <c r="J2012" i="5"/>
  <c r="I2012" i="5"/>
  <c r="H2012" i="5"/>
  <c r="G2012" i="5"/>
  <c r="E2012" i="5"/>
  <c r="F2012" i="5" s="1"/>
  <c r="B2012" i="5"/>
  <c r="U2011" i="5"/>
  <c r="T2011" i="5"/>
  <c r="O2011" i="5"/>
  <c r="N2011" i="5"/>
  <c r="M2011" i="5"/>
  <c r="L2011" i="5"/>
  <c r="K2011" i="5"/>
  <c r="J2011" i="5"/>
  <c r="I2011" i="5"/>
  <c r="H2011" i="5"/>
  <c r="G2011" i="5"/>
  <c r="E2011" i="5"/>
  <c r="F2011" i="5" s="1"/>
  <c r="B2011" i="5"/>
  <c r="U2010" i="5"/>
  <c r="T2010" i="5"/>
  <c r="O2010" i="5"/>
  <c r="N2010" i="5"/>
  <c r="M2010" i="5"/>
  <c r="L2010" i="5"/>
  <c r="K2010" i="5"/>
  <c r="J2010" i="5"/>
  <c r="I2010" i="5"/>
  <c r="H2010" i="5"/>
  <c r="G2010" i="5"/>
  <c r="E2010" i="5"/>
  <c r="F2010" i="5" s="1"/>
  <c r="B2010" i="5"/>
  <c r="U2009" i="5"/>
  <c r="T2009" i="5"/>
  <c r="O2009" i="5"/>
  <c r="N2009" i="5"/>
  <c r="M2009" i="5"/>
  <c r="L2009" i="5"/>
  <c r="K2009" i="5"/>
  <c r="J2009" i="5"/>
  <c r="I2009" i="5"/>
  <c r="H2009" i="5"/>
  <c r="G2009" i="5"/>
  <c r="E2009" i="5"/>
  <c r="F2009" i="5" s="1"/>
  <c r="B2009" i="5"/>
  <c r="U2008" i="5"/>
  <c r="T2008" i="5"/>
  <c r="O2008" i="5"/>
  <c r="N2008" i="5"/>
  <c r="M2008" i="5"/>
  <c r="L2008" i="5"/>
  <c r="K2008" i="5"/>
  <c r="J2008" i="5"/>
  <c r="I2008" i="5"/>
  <c r="H2008" i="5"/>
  <c r="G2008" i="5"/>
  <c r="E2008" i="5"/>
  <c r="F2008" i="5" s="1"/>
  <c r="B2008" i="5"/>
  <c r="U2007" i="5"/>
  <c r="T2007" i="5"/>
  <c r="O2007" i="5"/>
  <c r="N2007" i="5"/>
  <c r="M2007" i="5"/>
  <c r="L2007" i="5"/>
  <c r="K2007" i="5"/>
  <c r="J2007" i="5"/>
  <c r="I2007" i="5"/>
  <c r="H2007" i="5"/>
  <c r="G2007" i="5"/>
  <c r="E2007" i="5"/>
  <c r="F2007" i="5" s="1"/>
  <c r="B2007" i="5"/>
  <c r="U2006" i="5"/>
  <c r="T2006" i="5"/>
  <c r="O2006" i="5"/>
  <c r="N2006" i="5"/>
  <c r="M2006" i="5"/>
  <c r="L2006" i="5"/>
  <c r="K2006" i="5"/>
  <c r="J2006" i="5"/>
  <c r="I2006" i="5"/>
  <c r="H2006" i="5"/>
  <c r="G2006" i="5"/>
  <c r="E2006" i="5"/>
  <c r="F2006" i="5" s="1"/>
  <c r="B2006" i="5"/>
  <c r="U2005" i="5"/>
  <c r="T2005" i="5"/>
  <c r="O2005" i="5"/>
  <c r="N2005" i="5"/>
  <c r="M2005" i="5"/>
  <c r="L2005" i="5"/>
  <c r="K2005" i="5"/>
  <c r="J2005" i="5"/>
  <c r="I2005" i="5"/>
  <c r="H2005" i="5"/>
  <c r="G2005" i="5"/>
  <c r="E2005" i="5"/>
  <c r="F2005" i="5" s="1"/>
  <c r="B2005" i="5"/>
  <c r="U2004" i="5"/>
  <c r="T2004" i="5"/>
  <c r="O2004" i="5"/>
  <c r="N2004" i="5"/>
  <c r="M2004" i="5"/>
  <c r="L2004" i="5"/>
  <c r="K2004" i="5"/>
  <c r="J2004" i="5"/>
  <c r="I2004" i="5"/>
  <c r="H2004" i="5"/>
  <c r="G2004" i="5"/>
  <c r="E2004" i="5"/>
  <c r="F2004" i="5" s="1"/>
  <c r="B2004" i="5"/>
  <c r="U2003" i="5"/>
  <c r="T2003" i="5"/>
  <c r="O2003" i="5"/>
  <c r="N2003" i="5"/>
  <c r="M2003" i="5"/>
  <c r="L2003" i="5"/>
  <c r="K2003" i="5"/>
  <c r="J2003" i="5"/>
  <c r="I2003" i="5"/>
  <c r="H2003" i="5"/>
  <c r="G2003" i="5"/>
  <c r="E2003" i="5"/>
  <c r="F2003" i="5" s="1"/>
  <c r="B2003" i="5"/>
  <c r="U2002" i="5"/>
  <c r="T2002" i="5"/>
  <c r="O2002" i="5"/>
  <c r="N2002" i="5"/>
  <c r="M2002" i="5"/>
  <c r="L2002" i="5"/>
  <c r="K2002" i="5"/>
  <c r="J2002" i="5"/>
  <c r="I2002" i="5"/>
  <c r="H2002" i="5"/>
  <c r="G2002" i="5"/>
  <c r="E2002" i="5"/>
  <c r="B2002" i="5"/>
  <c r="U2001" i="5"/>
  <c r="T2001" i="5"/>
  <c r="O2001" i="5"/>
  <c r="N2001" i="5"/>
  <c r="M2001" i="5"/>
  <c r="L2001" i="5"/>
  <c r="K2001" i="5"/>
  <c r="J2001" i="5"/>
  <c r="I2001" i="5"/>
  <c r="H2001" i="5"/>
  <c r="G2001" i="5"/>
  <c r="E2001" i="5"/>
  <c r="F2001" i="5" s="1"/>
  <c r="B2001" i="5"/>
  <c r="U2000" i="5"/>
  <c r="T2000" i="5"/>
  <c r="O2000" i="5"/>
  <c r="N2000" i="5"/>
  <c r="M2000" i="5"/>
  <c r="L2000" i="5"/>
  <c r="K2000" i="5"/>
  <c r="J2000" i="5"/>
  <c r="I2000" i="5"/>
  <c r="H2000" i="5"/>
  <c r="G2000" i="5"/>
  <c r="E2000" i="5"/>
  <c r="F2000" i="5" s="1"/>
  <c r="B2000" i="5"/>
  <c r="U1999" i="5"/>
  <c r="T1999" i="5"/>
  <c r="O1999" i="5"/>
  <c r="N1999" i="5"/>
  <c r="M1999" i="5"/>
  <c r="L1999" i="5"/>
  <c r="K1999" i="5"/>
  <c r="J1999" i="5"/>
  <c r="I1999" i="5"/>
  <c r="H1999" i="5"/>
  <c r="G1999" i="5"/>
  <c r="E1999" i="5"/>
  <c r="F1999" i="5" s="1"/>
  <c r="B1999" i="5"/>
  <c r="U1998" i="5"/>
  <c r="T1998" i="5"/>
  <c r="O1998" i="5"/>
  <c r="N1998" i="5"/>
  <c r="M1998" i="5"/>
  <c r="L1998" i="5"/>
  <c r="K1998" i="5"/>
  <c r="J1998" i="5"/>
  <c r="I1998" i="5"/>
  <c r="H1998" i="5"/>
  <c r="G1998" i="5"/>
  <c r="E1998" i="5"/>
  <c r="F1998" i="5" s="1"/>
  <c r="B1998" i="5"/>
  <c r="U1997" i="5"/>
  <c r="T1997" i="5"/>
  <c r="O1997" i="5"/>
  <c r="N1997" i="5"/>
  <c r="M1997" i="5"/>
  <c r="L1997" i="5"/>
  <c r="K1997" i="5"/>
  <c r="J1997" i="5"/>
  <c r="I1997" i="5"/>
  <c r="H1997" i="5"/>
  <c r="G1997" i="5"/>
  <c r="E1997" i="5"/>
  <c r="F1997" i="5" s="1"/>
  <c r="B1997" i="5"/>
  <c r="U1996" i="5"/>
  <c r="T1996" i="5"/>
  <c r="O1996" i="5"/>
  <c r="N1996" i="5"/>
  <c r="M1996" i="5"/>
  <c r="L1996" i="5"/>
  <c r="K1996" i="5"/>
  <c r="J1996" i="5"/>
  <c r="I1996" i="5"/>
  <c r="H1996" i="5"/>
  <c r="G1996" i="5"/>
  <c r="E1996" i="5"/>
  <c r="F1996" i="5" s="1"/>
  <c r="B1996" i="5"/>
  <c r="U1995" i="5"/>
  <c r="T1995" i="5"/>
  <c r="O1995" i="5"/>
  <c r="N1995" i="5"/>
  <c r="M1995" i="5"/>
  <c r="L1995" i="5"/>
  <c r="K1995" i="5"/>
  <c r="J1995" i="5"/>
  <c r="I1995" i="5"/>
  <c r="H1995" i="5"/>
  <c r="G1995" i="5"/>
  <c r="E1995" i="5"/>
  <c r="F1995" i="5" s="1"/>
  <c r="B1995" i="5"/>
  <c r="U1994" i="5"/>
  <c r="T1994" i="5"/>
  <c r="O1994" i="5"/>
  <c r="N1994" i="5"/>
  <c r="M1994" i="5"/>
  <c r="L1994" i="5"/>
  <c r="K1994" i="5"/>
  <c r="J1994" i="5"/>
  <c r="I1994" i="5"/>
  <c r="H1994" i="5"/>
  <c r="G1994" i="5"/>
  <c r="E1994" i="5"/>
  <c r="F1994" i="5" s="1"/>
  <c r="B1994" i="5"/>
  <c r="U1993" i="5"/>
  <c r="T1993" i="5"/>
  <c r="O1993" i="5"/>
  <c r="N1993" i="5"/>
  <c r="M1993" i="5"/>
  <c r="L1993" i="5"/>
  <c r="K1993" i="5"/>
  <c r="J1993" i="5"/>
  <c r="I1993" i="5"/>
  <c r="H1993" i="5"/>
  <c r="G1993" i="5"/>
  <c r="E1993" i="5"/>
  <c r="F1993" i="5" s="1"/>
  <c r="B1993" i="5"/>
  <c r="U1992" i="5"/>
  <c r="T1992" i="5"/>
  <c r="O1992" i="5"/>
  <c r="N1992" i="5"/>
  <c r="M1992" i="5"/>
  <c r="L1992" i="5"/>
  <c r="K1992" i="5"/>
  <c r="J1992" i="5"/>
  <c r="I1992" i="5"/>
  <c r="H1992" i="5"/>
  <c r="G1992" i="5"/>
  <c r="E1992" i="5"/>
  <c r="F1992" i="5" s="1"/>
  <c r="B1992" i="5"/>
  <c r="U1991" i="5"/>
  <c r="T1991" i="5"/>
  <c r="O1991" i="5"/>
  <c r="N1991" i="5"/>
  <c r="M1991" i="5"/>
  <c r="L1991" i="5"/>
  <c r="K1991" i="5"/>
  <c r="J1991" i="5"/>
  <c r="I1991" i="5"/>
  <c r="H1991" i="5"/>
  <c r="G1991" i="5"/>
  <c r="E1991" i="5"/>
  <c r="F1991" i="5" s="1"/>
  <c r="B1991" i="5"/>
  <c r="U1990" i="5"/>
  <c r="T1990" i="5"/>
  <c r="O1990" i="5"/>
  <c r="N1990" i="5"/>
  <c r="M1990" i="5"/>
  <c r="L1990" i="5"/>
  <c r="K1990" i="5"/>
  <c r="J1990" i="5"/>
  <c r="I1990" i="5"/>
  <c r="H1990" i="5"/>
  <c r="G1990" i="5"/>
  <c r="E1990" i="5"/>
  <c r="F1990" i="5" s="1"/>
  <c r="B1990" i="5"/>
  <c r="W1990" i="5" s="1"/>
  <c r="U1989" i="5"/>
  <c r="T1989" i="5"/>
  <c r="O1989" i="5"/>
  <c r="N1989" i="5"/>
  <c r="M1989" i="5"/>
  <c r="L1989" i="5"/>
  <c r="K1989" i="5"/>
  <c r="J1989" i="5"/>
  <c r="I1989" i="5"/>
  <c r="H1989" i="5"/>
  <c r="G1989" i="5"/>
  <c r="E1989" i="5"/>
  <c r="F1989" i="5" s="1"/>
  <c r="B1989" i="5"/>
  <c r="U1988" i="5"/>
  <c r="T1988" i="5"/>
  <c r="O1988" i="5"/>
  <c r="N1988" i="5"/>
  <c r="M1988" i="5"/>
  <c r="L1988" i="5"/>
  <c r="K1988" i="5"/>
  <c r="J1988" i="5"/>
  <c r="I1988" i="5"/>
  <c r="H1988" i="5"/>
  <c r="G1988" i="5"/>
  <c r="E1988" i="5"/>
  <c r="F1988" i="5" s="1"/>
  <c r="B1988" i="5"/>
  <c r="U1987" i="5"/>
  <c r="T1987" i="5"/>
  <c r="O1987" i="5"/>
  <c r="N1987" i="5"/>
  <c r="M1987" i="5"/>
  <c r="L1987" i="5"/>
  <c r="K1987" i="5"/>
  <c r="J1987" i="5"/>
  <c r="I1987" i="5"/>
  <c r="H1987" i="5"/>
  <c r="G1987" i="5"/>
  <c r="E1987" i="5"/>
  <c r="F1987" i="5" s="1"/>
  <c r="B1987" i="5"/>
  <c r="U1986" i="5"/>
  <c r="T1986" i="5"/>
  <c r="O1986" i="5"/>
  <c r="N1986" i="5"/>
  <c r="M1986" i="5"/>
  <c r="L1986" i="5"/>
  <c r="K1986" i="5"/>
  <c r="J1986" i="5"/>
  <c r="I1986" i="5"/>
  <c r="H1986" i="5"/>
  <c r="G1986" i="5"/>
  <c r="E1986" i="5"/>
  <c r="F1986" i="5" s="1"/>
  <c r="B1986" i="5"/>
  <c r="U1985" i="5"/>
  <c r="T1985" i="5"/>
  <c r="O1985" i="5"/>
  <c r="N1985" i="5"/>
  <c r="M1985" i="5"/>
  <c r="L1985" i="5"/>
  <c r="K1985" i="5"/>
  <c r="J1985" i="5"/>
  <c r="I1985" i="5"/>
  <c r="H1985" i="5"/>
  <c r="G1985" i="5"/>
  <c r="E1985" i="5"/>
  <c r="F1985" i="5" s="1"/>
  <c r="B1985" i="5"/>
  <c r="U1984" i="5"/>
  <c r="T1984" i="5"/>
  <c r="O1984" i="5"/>
  <c r="N1984" i="5"/>
  <c r="M1984" i="5"/>
  <c r="L1984" i="5"/>
  <c r="K1984" i="5"/>
  <c r="J1984" i="5"/>
  <c r="I1984" i="5"/>
  <c r="H1984" i="5"/>
  <c r="G1984" i="5"/>
  <c r="E1984" i="5"/>
  <c r="B1984" i="5"/>
  <c r="U1983" i="5"/>
  <c r="T1983" i="5"/>
  <c r="O1983" i="5"/>
  <c r="N1983" i="5"/>
  <c r="M1983" i="5"/>
  <c r="L1983" i="5"/>
  <c r="K1983" i="5"/>
  <c r="J1983" i="5"/>
  <c r="I1983" i="5"/>
  <c r="H1983" i="5"/>
  <c r="G1983" i="5"/>
  <c r="E1983" i="5"/>
  <c r="F1983" i="5" s="1"/>
  <c r="B1983" i="5"/>
  <c r="U1982" i="5"/>
  <c r="T1982" i="5"/>
  <c r="O1982" i="5"/>
  <c r="N1982" i="5"/>
  <c r="M1982" i="5"/>
  <c r="L1982" i="5"/>
  <c r="K1982" i="5"/>
  <c r="J1982" i="5"/>
  <c r="I1982" i="5"/>
  <c r="H1982" i="5"/>
  <c r="G1982" i="5"/>
  <c r="E1982" i="5"/>
  <c r="F1982" i="5" s="1"/>
  <c r="B1982" i="5"/>
  <c r="U1981" i="5"/>
  <c r="T1981" i="5"/>
  <c r="O1981" i="5"/>
  <c r="N1981" i="5"/>
  <c r="M1981" i="5"/>
  <c r="L1981" i="5"/>
  <c r="K1981" i="5"/>
  <c r="J1981" i="5"/>
  <c r="I1981" i="5"/>
  <c r="H1981" i="5"/>
  <c r="G1981" i="5"/>
  <c r="E1981" i="5"/>
  <c r="F1981" i="5" s="1"/>
  <c r="B1981" i="5"/>
  <c r="U1980" i="5"/>
  <c r="T1980" i="5"/>
  <c r="O1980" i="5"/>
  <c r="N1980" i="5"/>
  <c r="M1980" i="5"/>
  <c r="L1980" i="5"/>
  <c r="K1980" i="5"/>
  <c r="J1980" i="5"/>
  <c r="I1980" i="5"/>
  <c r="H1980" i="5"/>
  <c r="G1980" i="5"/>
  <c r="E1980" i="5"/>
  <c r="F1980" i="5" s="1"/>
  <c r="B1980" i="5"/>
  <c r="U1979" i="5"/>
  <c r="T1979" i="5"/>
  <c r="O1979" i="5"/>
  <c r="N1979" i="5"/>
  <c r="M1979" i="5"/>
  <c r="L1979" i="5"/>
  <c r="K1979" i="5"/>
  <c r="J1979" i="5"/>
  <c r="I1979" i="5"/>
  <c r="H1979" i="5"/>
  <c r="G1979" i="5"/>
  <c r="E1979" i="5"/>
  <c r="F1979" i="5" s="1"/>
  <c r="B1979" i="5"/>
  <c r="U1978" i="5"/>
  <c r="T1978" i="5"/>
  <c r="O1978" i="5"/>
  <c r="N1978" i="5"/>
  <c r="M1978" i="5"/>
  <c r="L1978" i="5"/>
  <c r="K1978" i="5"/>
  <c r="J1978" i="5"/>
  <c r="I1978" i="5"/>
  <c r="H1978" i="5"/>
  <c r="G1978" i="5"/>
  <c r="E1978" i="5"/>
  <c r="F1978" i="5" s="1"/>
  <c r="B1978" i="5"/>
  <c r="U1977" i="5"/>
  <c r="T1977" i="5"/>
  <c r="O1977" i="5"/>
  <c r="N1977" i="5"/>
  <c r="M1977" i="5"/>
  <c r="L1977" i="5"/>
  <c r="K1977" i="5"/>
  <c r="J1977" i="5"/>
  <c r="I1977" i="5"/>
  <c r="H1977" i="5"/>
  <c r="G1977" i="5"/>
  <c r="E1977" i="5"/>
  <c r="F1977" i="5" s="1"/>
  <c r="B1977" i="5"/>
  <c r="U1976" i="5"/>
  <c r="T1976" i="5"/>
  <c r="O1976" i="5"/>
  <c r="N1976" i="5"/>
  <c r="M1976" i="5"/>
  <c r="L1976" i="5"/>
  <c r="K1976" i="5"/>
  <c r="J1976" i="5"/>
  <c r="I1976" i="5"/>
  <c r="H1976" i="5"/>
  <c r="G1976" i="5"/>
  <c r="E1976" i="5"/>
  <c r="F1976" i="5" s="1"/>
  <c r="B1976" i="5"/>
  <c r="U1975" i="5"/>
  <c r="T1975" i="5"/>
  <c r="O1975" i="5"/>
  <c r="N1975" i="5"/>
  <c r="M1975" i="5"/>
  <c r="L1975" i="5"/>
  <c r="K1975" i="5"/>
  <c r="J1975" i="5"/>
  <c r="I1975" i="5"/>
  <c r="H1975" i="5"/>
  <c r="G1975" i="5"/>
  <c r="E1975" i="5"/>
  <c r="F1975" i="5" s="1"/>
  <c r="B1975" i="5"/>
  <c r="U1974" i="5"/>
  <c r="T1974" i="5"/>
  <c r="O1974" i="5"/>
  <c r="N1974" i="5"/>
  <c r="M1974" i="5"/>
  <c r="L1974" i="5"/>
  <c r="K1974" i="5"/>
  <c r="J1974" i="5"/>
  <c r="I1974" i="5"/>
  <c r="H1974" i="5"/>
  <c r="G1974" i="5"/>
  <c r="E1974" i="5"/>
  <c r="F1974" i="5" s="1"/>
  <c r="B1974" i="5"/>
  <c r="U1973" i="5"/>
  <c r="T1973" i="5"/>
  <c r="O1973" i="5"/>
  <c r="N1973" i="5"/>
  <c r="M1973" i="5"/>
  <c r="L1973" i="5"/>
  <c r="K1973" i="5"/>
  <c r="J1973" i="5"/>
  <c r="I1973" i="5"/>
  <c r="H1973" i="5"/>
  <c r="G1973" i="5"/>
  <c r="E1973" i="5"/>
  <c r="F1973" i="5" s="1"/>
  <c r="B1973" i="5"/>
  <c r="U1972" i="5"/>
  <c r="T1972" i="5"/>
  <c r="O1972" i="5"/>
  <c r="N1972" i="5"/>
  <c r="M1972" i="5"/>
  <c r="L1972" i="5"/>
  <c r="K1972" i="5"/>
  <c r="J1972" i="5"/>
  <c r="I1972" i="5"/>
  <c r="H1972" i="5"/>
  <c r="G1972" i="5"/>
  <c r="E1972" i="5"/>
  <c r="F1972" i="5" s="1"/>
  <c r="B1972" i="5"/>
  <c r="U1971" i="5"/>
  <c r="T1971" i="5"/>
  <c r="O1971" i="5"/>
  <c r="N1971" i="5"/>
  <c r="M1971" i="5"/>
  <c r="L1971" i="5"/>
  <c r="K1971" i="5"/>
  <c r="J1971" i="5"/>
  <c r="I1971" i="5"/>
  <c r="H1971" i="5"/>
  <c r="G1971" i="5"/>
  <c r="E1971" i="5"/>
  <c r="F1971" i="5" s="1"/>
  <c r="B1971" i="5"/>
  <c r="U1970" i="5"/>
  <c r="T1970" i="5"/>
  <c r="O1970" i="5"/>
  <c r="N1970" i="5"/>
  <c r="M1970" i="5"/>
  <c r="L1970" i="5"/>
  <c r="K1970" i="5"/>
  <c r="J1970" i="5"/>
  <c r="I1970" i="5"/>
  <c r="H1970" i="5"/>
  <c r="G1970" i="5"/>
  <c r="E1970" i="5"/>
  <c r="F1970" i="5" s="1"/>
  <c r="B1970" i="5"/>
  <c r="U1969" i="5"/>
  <c r="T1969" i="5"/>
  <c r="O1969" i="5"/>
  <c r="N1969" i="5"/>
  <c r="M1969" i="5"/>
  <c r="L1969" i="5"/>
  <c r="K1969" i="5"/>
  <c r="J1969" i="5"/>
  <c r="I1969" i="5"/>
  <c r="H1969" i="5"/>
  <c r="G1969" i="5"/>
  <c r="E1969" i="5"/>
  <c r="F1969" i="5" s="1"/>
  <c r="B1969" i="5"/>
  <c r="U1968" i="5"/>
  <c r="T1968" i="5"/>
  <c r="O1968" i="5"/>
  <c r="N1968" i="5"/>
  <c r="M1968" i="5"/>
  <c r="L1968" i="5"/>
  <c r="K1968" i="5"/>
  <c r="J1968" i="5"/>
  <c r="I1968" i="5"/>
  <c r="H1968" i="5"/>
  <c r="G1968" i="5"/>
  <c r="E1968" i="5"/>
  <c r="F1968" i="5" s="1"/>
  <c r="B1968" i="5"/>
  <c r="U1967" i="5"/>
  <c r="T1967" i="5"/>
  <c r="O1967" i="5"/>
  <c r="N1967" i="5"/>
  <c r="M1967" i="5"/>
  <c r="L1967" i="5"/>
  <c r="K1967" i="5"/>
  <c r="J1967" i="5"/>
  <c r="I1967" i="5"/>
  <c r="H1967" i="5"/>
  <c r="G1967" i="5"/>
  <c r="E1967" i="5"/>
  <c r="F1967" i="5" s="1"/>
  <c r="B1967" i="5"/>
  <c r="U1966" i="5"/>
  <c r="T1966" i="5"/>
  <c r="O1966" i="5"/>
  <c r="N1966" i="5"/>
  <c r="M1966" i="5"/>
  <c r="L1966" i="5"/>
  <c r="K1966" i="5"/>
  <c r="J1966" i="5"/>
  <c r="I1966" i="5"/>
  <c r="H1966" i="5"/>
  <c r="G1966" i="5"/>
  <c r="E1966" i="5"/>
  <c r="B1966" i="5"/>
  <c r="U1965" i="5"/>
  <c r="T1965" i="5"/>
  <c r="O1965" i="5"/>
  <c r="N1965" i="5"/>
  <c r="M1965" i="5"/>
  <c r="L1965" i="5"/>
  <c r="K1965" i="5"/>
  <c r="J1965" i="5"/>
  <c r="I1965" i="5"/>
  <c r="H1965" i="5"/>
  <c r="G1965" i="5"/>
  <c r="E1965" i="5"/>
  <c r="B1965" i="5"/>
  <c r="U1964" i="5"/>
  <c r="T1964" i="5"/>
  <c r="O1964" i="5"/>
  <c r="N1964" i="5"/>
  <c r="M1964" i="5"/>
  <c r="L1964" i="5"/>
  <c r="K1964" i="5"/>
  <c r="J1964" i="5"/>
  <c r="I1964" i="5"/>
  <c r="H1964" i="5"/>
  <c r="G1964" i="5"/>
  <c r="E1964" i="5"/>
  <c r="F1964" i="5" s="1"/>
  <c r="B1964" i="5"/>
  <c r="U1963" i="5"/>
  <c r="T1963" i="5"/>
  <c r="O1963" i="5"/>
  <c r="N1963" i="5"/>
  <c r="M1963" i="5"/>
  <c r="L1963" i="5"/>
  <c r="K1963" i="5"/>
  <c r="J1963" i="5"/>
  <c r="I1963" i="5"/>
  <c r="H1963" i="5"/>
  <c r="G1963" i="5"/>
  <c r="E1963" i="5"/>
  <c r="F1963" i="5" s="1"/>
  <c r="B1963" i="5"/>
  <c r="U1962" i="5"/>
  <c r="T1962" i="5"/>
  <c r="O1962" i="5"/>
  <c r="N1962" i="5"/>
  <c r="M1962" i="5"/>
  <c r="L1962" i="5"/>
  <c r="K1962" i="5"/>
  <c r="J1962" i="5"/>
  <c r="I1962" i="5"/>
  <c r="H1962" i="5"/>
  <c r="G1962" i="5"/>
  <c r="E1962" i="5"/>
  <c r="F1962" i="5" s="1"/>
  <c r="B1962" i="5"/>
  <c r="U1961" i="5"/>
  <c r="T1961" i="5"/>
  <c r="O1961" i="5"/>
  <c r="N1961" i="5"/>
  <c r="M1961" i="5"/>
  <c r="L1961" i="5"/>
  <c r="K1961" i="5"/>
  <c r="J1961" i="5"/>
  <c r="I1961" i="5"/>
  <c r="H1961" i="5"/>
  <c r="G1961" i="5"/>
  <c r="E1961" i="5"/>
  <c r="F1961" i="5" s="1"/>
  <c r="B1961" i="5"/>
  <c r="U1960" i="5"/>
  <c r="T1960" i="5"/>
  <c r="O1960" i="5"/>
  <c r="N1960" i="5"/>
  <c r="M1960" i="5"/>
  <c r="L1960" i="5"/>
  <c r="K1960" i="5"/>
  <c r="J1960" i="5"/>
  <c r="I1960" i="5"/>
  <c r="H1960" i="5"/>
  <c r="G1960" i="5"/>
  <c r="E1960" i="5"/>
  <c r="B1960" i="5"/>
  <c r="U1959" i="5"/>
  <c r="T1959" i="5"/>
  <c r="O1959" i="5"/>
  <c r="N1959" i="5"/>
  <c r="M1959" i="5"/>
  <c r="L1959" i="5"/>
  <c r="K1959" i="5"/>
  <c r="J1959" i="5"/>
  <c r="I1959" i="5"/>
  <c r="H1959" i="5"/>
  <c r="G1959" i="5"/>
  <c r="E1959" i="5"/>
  <c r="F1959" i="5" s="1"/>
  <c r="B1959" i="5"/>
  <c r="U1958" i="5"/>
  <c r="T1958" i="5"/>
  <c r="O1958" i="5"/>
  <c r="N1958" i="5"/>
  <c r="M1958" i="5"/>
  <c r="L1958" i="5"/>
  <c r="K1958" i="5"/>
  <c r="J1958" i="5"/>
  <c r="I1958" i="5"/>
  <c r="H1958" i="5"/>
  <c r="G1958" i="5"/>
  <c r="E1958" i="5"/>
  <c r="F1958" i="5" s="1"/>
  <c r="B1958" i="5"/>
  <c r="U1957" i="5"/>
  <c r="T1957" i="5"/>
  <c r="O1957" i="5"/>
  <c r="N1957" i="5"/>
  <c r="M1957" i="5"/>
  <c r="L1957" i="5"/>
  <c r="K1957" i="5"/>
  <c r="J1957" i="5"/>
  <c r="I1957" i="5"/>
  <c r="H1957" i="5"/>
  <c r="G1957" i="5"/>
  <c r="E1957" i="5"/>
  <c r="F1957" i="5" s="1"/>
  <c r="B1957" i="5"/>
  <c r="U1956" i="5"/>
  <c r="T1956" i="5"/>
  <c r="O1956" i="5"/>
  <c r="N1956" i="5"/>
  <c r="M1956" i="5"/>
  <c r="L1956" i="5"/>
  <c r="K1956" i="5"/>
  <c r="J1956" i="5"/>
  <c r="I1956" i="5"/>
  <c r="H1956" i="5"/>
  <c r="G1956" i="5"/>
  <c r="E1956" i="5"/>
  <c r="F1956" i="5" s="1"/>
  <c r="B1956" i="5"/>
  <c r="U1955" i="5"/>
  <c r="T1955" i="5"/>
  <c r="O1955" i="5"/>
  <c r="N1955" i="5"/>
  <c r="M1955" i="5"/>
  <c r="L1955" i="5"/>
  <c r="K1955" i="5"/>
  <c r="J1955" i="5"/>
  <c r="I1955" i="5"/>
  <c r="H1955" i="5"/>
  <c r="G1955" i="5"/>
  <c r="E1955" i="5"/>
  <c r="F1955" i="5" s="1"/>
  <c r="B1955" i="5"/>
  <c r="U1954" i="5"/>
  <c r="T1954" i="5"/>
  <c r="O1954" i="5"/>
  <c r="N1954" i="5"/>
  <c r="M1954" i="5"/>
  <c r="L1954" i="5"/>
  <c r="K1954" i="5"/>
  <c r="J1954" i="5"/>
  <c r="I1954" i="5"/>
  <c r="H1954" i="5"/>
  <c r="G1954" i="5"/>
  <c r="E1954" i="5"/>
  <c r="F1954" i="5" s="1"/>
  <c r="B1954" i="5"/>
  <c r="U1953" i="5"/>
  <c r="T1953" i="5"/>
  <c r="O1953" i="5"/>
  <c r="N1953" i="5"/>
  <c r="M1953" i="5"/>
  <c r="L1953" i="5"/>
  <c r="K1953" i="5"/>
  <c r="J1953" i="5"/>
  <c r="I1953" i="5"/>
  <c r="H1953" i="5"/>
  <c r="G1953" i="5"/>
  <c r="E1953" i="5"/>
  <c r="F1953" i="5" s="1"/>
  <c r="B1953" i="5"/>
  <c r="W1952" i="5"/>
  <c r="U1952" i="5"/>
  <c r="T1952" i="5"/>
  <c r="O1952" i="5"/>
  <c r="N1952" i="5"/>
  <c r="M1952" i="5"/>
  <c r="K1952" i="5"/>
  <c r="J1952" i="5"/>
  <c r="I1952" i="5"/>
  <c r="H1952" i="5"/>
  <c r="G1952" i="5"/>
  <c r="E1952" i="5"/>
  <c r="F1952" i="5" s="1"/>
  <c r="W1951" i="5"/>
  <c r="U1951" i="5"/>
  <c r="T1951" i="5"/>
  <c r="O1951" i="5"/>
  <c r="N1951" i="5"/>
  <c r="M1951" i="5"/>
  <c r="K1951" i="5"/>
  <c r="J1951" i="5"/>
  <c r="I1951" i="5"/>
  <c r="H1951" i="5"/>
  <c r="G1951" i="5"/>
  <c r="E1951" i="5"/>
  <c r="F1951" i="5" s="1"/>
  <c r="W1950" i="5"/>
  <c r="U1950" i="5"/>
  <c r="T1950" i="5"/>
  <c r="O1950" i="5"/>
  <c r="N1950" i="5"/>
  <c r="M1950" i="5"/>
  <c r="K1950" i="5"/>
  <c r="J1950" i="5"/>
  <c r="I1950" i="5"/>
  <c r="H1950" i="5"/>
  <c r="G1950" i="5"/>
  <c r="E1950" i="5"/>
  <c r="F1950" i="5" s="1"/>
  <c r="W1949" i="5"/>
  <c r="U1949" i="5"/>
  <c r="T1949" i="5"/>
  <c r="O1949" i="5"/>
  <c r="N1949" i="5"/>
  <c r="M1949" i="5"/>
  <c r="K1949" i="5"/>
  <c r="J1949" i="5"/>
  <c r="I1949" i="5"/>
  <c r="H1949" i="5"/>
  <c r="G1949" i="5"/>
  <c r="E1949" i="5"/>
  <c r="F1949" i="5" s="1"/>
  <c r="W1948" i="5"/>
  <c r="U1948" i="5"/>
  <c r="T1948" i="5"/>
  <c r="O1948" i="5"/>
  <c r="N1948" i="5"/>
  <c r="M1948" i="5"/>
  <c r="K1948" i="5"/>
  <c r="J1948" i="5"/>
  <c r="I1948" i="5"/>
  <c r="H1948" i="5"/>
  <c r="G1948" i="5"/>
  <c r="E1948" i="5"/>
  <c r="F1948" i="5" s="1"/>
  <c r="W1947" i="5"/>
  <c r="U1947" i="5"/>
  <c r="T1947" i="5"/>
  <c r="O1947" i="5"/>
  <c r="N1947" i="5"/>
  <c r="M1947" i="5"/>
  <c r="K1947" i="5"/>
  <c r="J1947" i="5"/>
  <c r="I1947" i="5"/>
  <c r="H1947" i="5"/>
  <c r="G1947" i="5"/>
  <c r="E1947" i="5"/>
  <c r="F1947" i="5" s="1"/>
  <c r="W1946" i="5"/>
  <c r="U1946" i="5"/>
  <c r="T1946" i="5"/>
  <c r="O1946" i="5"/>
  <c r="N1946" i="5"/>
  <c r="M1946" i="5"/>
  <c r="K1946" i="5"/>
  <c r="J1946" i="5"/>
  <c r="I1946" i="5"/>
  <c r="H1946" i="5"/>
  <c r="G1946" i="5"/>
  <c r="E1946" i="5"/>
  <c r="F1946" i="5" s="1"/>
  <c r="W1945" i="5"/>
  <c r="U1945" i="5"/>
  <c r="T1945" i="5"/>
  <c r="O1945" i="5"/>
  <c r="N1945" i="5"/>
  <c r="M1945" i="5"/>
  <c r="K1945" i="5"/>
  <c r="J1945" i="5"/>
  <c r="I1945" i="5"/>
  <c r="H1945" i="5"/>
  <c r="G1945" i="5"/>
  <c r="E1945" i="5"/>
  <c r="F1945" i="5" s="1"/>
  <c r="W1944" i="5"/>
  <c r="U1944" i="5"/>
  <c r="T1944" i="5"/>
  <c r="O1944" i="5"/>
  <c r="N1944" i="5"/>
  <c r="M1944" i="5"/>
  <c r="K1944" i="5"/>
  <c r="J1944" i="5"/>
  <c r="I1944" i="5"/>
  <c r="H1944" i="5"/>
  <c r="G1944" i="5"/>
  <c r="E1944" i="5"/>
  <c r="F1944" i="5" s="1"/>
  <c r="W1943" i="5"/>
  <c r="U1943" i="5"/>
  <c r="T1943" i="5"/>
  <c r="O1943" i="5"/>
  <c r="N1943" i="5"/>
  <c r="M1943" i="5"/>
  <c r="K1943" i="5"/>
  <c r="J1943" i="5"/>
  <c r="I1943" i="5"/>
  <c r="H1943" i="5"/>
  <c r="G1943" i="5"/>
  <c r="E1943" i="5"/>
  <c r="F1943" i="5" s="1"/>
  <c r="W1942" i="5"/>
  <c r="U1942" i="5"/>
  <c r="T1942" i="5"/>
  <c r="O1942" i="5"/>
  <c r="N1942" i="5"/>
  <c r="M1942" i="5"/>
  <c r="K1942" i="5"/>
  <c r="J1942" i="5"/>
  <c r="I1942" i="5"/>
  <c r="H1942" i="5"/>
  <c r="G1942" i="5"/>
  <c r="E1942" i="5"/>
  <c r="F1942" i="5" s="1"/>
  <c r="W1941" i="5"/>
  <c r="U1941" i="5"/>
  <c r="T1941" i="5"/>
  <c r="O1941" i="5"/>
  <c r="N1941" i="5"/>
  <c r="M1941" i="5"/>
  <c r="K1941" i="5"/>
  <c r="J1941" i="5"/>
  <c r="I1941" i="5"/>
  <c r="H1941" i="5"/>
  <c r="G1941" i="5"/>
  <c r="E1941" i="5"/>
  <c r="F1941" i="5" s="1"/>
  <c r="W1940" i="5"/>
  <c r="U1940" i="5"/>
  <c r="T1940" i="5"/>
  <c r="O1940" i="5"/>
  <c r="N1940" i="5"/>
  <c r="M1940" i="5"/>
  <c r="K1940" i="5"/>
  <c r="J1940" i="5"/>
  <c r="I1940" i="5"/>
  <c r="H1940" i="5"/>
  <c r="G1940" i="5"/>
  <c r="E1940" i="5"/>
  <c r="F1940" i="5" s="1"/>
  <c r="W1939" i="5"/>
  <c r="U1939" i="5"/>
  <c r="T1939" i="5"/>
  <c r="O1939" i="5"/>
  <c r="N1939" i="5"/>
  <c r="M1939" i="5"/>
  <c r="K1939" i="5"/>
  <c r="J1939" i="5"/>
  <c r="I1939" i="5"/>
  <c r="H1939" i="5"/>
  <c r="G1939" i="5"/>
  <c r="E1939" i="5"/>
  <c r="F1939" i="5" s="1"/>
  <c r="W1938" i="5"/>
  <c r="U1938" i="5"/>
  <c r="T1938" i="5"/>
  <c r="O1938" i="5"/>
  <c r="N1938" i="5"/>
  <c r="M1938" i="5"/>
  <c r="K1938" i="5"/>
  <c r="J1938" i="5"/>
  <c r="I1938" i="5"/>
  <c r="H1938" i="5"/>
  <c r="G1938" i="5"/>
  <c r="E1938" i="5"/>
  <c r="F1938" i="5" s="1"/>
  <c r="W1937" i="5"/>
  <c r="U1937" i="5"/>
  <c r="T1937" i="5"/>
  <c r="O1937" i="5"/>
  <c r="N1937" i="5"/>
  <c r="M1937" i="5"/>
  <c r="K1937" i="5"/>
  <c r="J1937" i="5"/>
  <c r="I1937" i="5"/>
  <c r="H1937" i="5"/>
  <c r="G1937" i="5"/>
  <c r="E1937" i="5"/>
  <c r="F1937" i="5" s="1"/>
  <c r="W1936" i="5"/>
  <c r="U1936" i="5"/>
  <c r="T1936" i="5"/>
  <c r="O1936" i="5"/>
  <c r="N1936" i="5"/>
  <c r="M1936" i="5"/>
  <c r="K1936" i="5"/>
  <c r="J1936" i="5"/>
  <c r="I1936" i="5"/>
  <c r="H1936" i="5"/>
  <c r="G1936" i="5"/>
  <c r="E1936" i="5"/>
  <c r="F1936" i="5" s="1"/>
  <c r="W1935" i="5"/>
  <c r="U1935" i="5"/>
  <c r="T1935" i="5"/>
  <c r="O1935" i="5"/>
  <c r="N1935" i="5"/>
  <c r="M1935" i="5"/>
  <c r="K1935" i="5"/>
  <c r="J1935" i="5"/>
  <c r="I1935" i="5"/>
  <c r="H1935" i="5"/>
  <c r="G1935" i="5"/>
  <c r="E1935" i="5"/>
  <c r="F1935" i="5" s="1"/>
  <c r="W1934" i="5"/>
  <c r="U1934" i="5"/>
  <c r="T1934" i="5"/>
  <c r="O1934" i="5"/>
  <c r="N1934" i="5"/>
  <c r="M1934" i="5"/>
  <c r="K1934" i="5"/>
  <c r="J1934" i="5"/>
  <c r="I1934" i="5"/>
  <c r="H1934" i="5"/>
  <c r="G1934" i="5"/>
  <c r="E1934" i="5"/>
  <c r="F1934" i="5" s="1"/>
  <c r="W1933" i="5"/>
  <c r="U1933" i="5"/>
  <c r="T1933" i="5"/>
  <c r="O1933" i="5"/>
  <c r="N1933" i="5"/>
  <c r="M1933" i="5"/>
  <c r="K1933" i="5"/>
  <c r="J1933" i="5"/>
  <c r="I1933" i="5"/>
  <c r="H1933" i="5"/>
  <c r="G1933" i="5"/>
  <c r="E1933" i="5"/>
  <c r="F1933" i="5" s="1"/>
  <c r="W1932" i="5"/>
  <c r="U1932" i="5"/>
  <c r="T1932" i="5"/>
  <c r="O1932" i="5"/>
  <c r="N1932" i="5"/>
  <c r="M1932" i="5"/>
  <c r="K1932" i="5"/>
  <c r="J1932" i="5"/>
  <c r="I1932" i="5"/>
  <c r="H1932" i="5"/>
  <c r="G1932" i="5"/>
  <c r="E1932" i="5"/>
  <c r="F1932" i="5" s="1"/>
  <c r="W1931" i="5"/>
  <c r="U1931" i="5"/>
  <c r="T1931" i="5"/>
  <c r="O1931" i="5"/>
  <c r="N1931" i="5"/>
  <c r="M1931" i="5"/>
  <c r="K1931" i="5"/>
  <c r="J1931" i="5"/>
  <c r="I1931" i="5"/>
  <c r="H1931" i="5"/>
  <c r="G1931" i="5"/>
  <c r="E1931" i="5"/>
  <c r="F1931" i="5" s="1"/>
  <c r="W1930" i="5"/>
  <c r="U1930" i="5"/>
  <c r="T1930" i="5"/>
  <c r="O1930" i="5"/>
  <c r="N1930" i="5"/>
  <c r="M1930" i="5"/>
  <c r="K1930" i="5"/>
  <c r="J1930" i="5"/>
  <c r="I1930" i="5"/>
  <c r="H1930" i="5"/>
  <c r="G1930" i="5"/>
  <c r="E1930" i="5"/>
  <c r="F1930" i="5" s="1"/>
  <c r="W1929" i="5"/>
  <c r="U1929" i="5"/>
  <c r="T1929" i="5"/>
  <c r="O1929" i="5"/>
  <c r="N1929" i="5"/>
  <c r="M1929" i="5"/>
  <c r="K1929" i="5"/>
  <c r="J1929" i="5"/>
  <c r="I1929" i="5"/>
  <c r="H1929" i="5"/>
  <c r="G1929" i="5"/>
  <c r="E1929" i="5"/>
  <c r="F1929" i="5" s="1"/>
  <c r="W1928" i="5"/>
  <c r="U1928" i="5"/>
  <c r="T1928" i="5"/>
  <c r="O1928" i="5"/>
  <c r="N1928" i="5"/>
  <c r="M1928" i="5"/>
  <c r="K1928" i="5"/>
  <c r="J1928" i="5"/>
  <c r="I1928" i="5"/>
  <c r="H1928" i="5"/>
  <c r="G1928" i="5"/>
  <c r="E1928" i="5"/>
  <c r="F1928" i="5" s="1"/>
  <c r="W1927" i="5"/>
  <c r="U1927" i="5"/>
  <c r="T1927" i="5"/>
  <c r="O1927" i="5"/>
  <c r="N1927" i="5"/>
  <c r="M1927" i="5"/>
  <c r="K1927" i="5"/>
  <c r="J1927" i="5"/>
  <c r="I1927" i="5"/>
  <c r="H1927" i="5"/>
  <c r="G1927" i="5"/>
  <c r="E1927" i="5"/>
  <c r="F1927" i="5" s="1"/>
  <c r="W1926" i="5"/>
  <c r="U1926" i="5"/>
  <c r="T1926" i="5"/>
  <c r="O1926" i="5"/>
  <c r="N1926" i="5"/>
  <c r="M1926" i="5"/>
  <c r="K1926" i="5"/>
  <c r="J1926" i="5"/>
  <c r="I1926" i="5"/>
  <c r="H1926" i="5"/>
  <c r="G1926" i="5"/>
  <c r="E1926" i="5"/>
  <c r="F1926" i="5" s="1"/>
  <c r="W1925" i="5"/>
  <c r="U1925" i="5"/>
  <c r="T1925" i="5"/>
  <c r="O1925" i="5"/>
  <c r="N1925" i="5"/>
  <c r="M1925" i="5"/>
  <c r="K1925" i="5"/>
  <c r="J1925" i="5"/>
  <c r="I1925" i="5"/>
  <c r="H1925" i="5"/>
  <c r="G1925" i="5"/>
  <c r="E1925" i="5"/>
  <c r="F1925" i="5" s="1"/>
  <c r="W1924" i="5"/>
  <c r="U1924" i="5"/>
  <c r="T1924" i="5"/>
  <c r="O1924" i="5"/>
  <c r="N1924" i="5"/>
  <c r="M1924" i="5"/>
  <c r="K1924" i="5"/>
  <c r="J1924" i="5"/>
  <c r="I1924" i="5"/>
  <c r="H1924" i="5"/>
  <c r="G1924" i="5"/>
  <c r="E1924" i="5"/>
  <c r="F1924" i="5" s="1"/>
  <c r="W1923" i="5"/>
  <c r="U1923" i="5"/>
  <c r="T1923" i="5"/>
  <c r="O1923" i="5"/>
  <c r="N1923" i="5"/>
  <c r="M1923" i="5"/>
  <c r="K1923" i="5"/>
  <c r="J1923" i="5"/>
  <c r="I1923" i="5"/>
  <c r="H1923" i="5"/>
  <c r="G1923" i="5"/>
  <c r="E1923" i="5"/>
  <c r="F1923" i="5" s="1"/>
  <c r="W1922" i="5"/>
  <c r="U1922" i="5"/>
  <c r="T1922" i="5"/>
  <c r="O1922" i="5"/>
  <c r="N1922" i="5"/>
  <c r="M1922" i="5"/>
  <c r="K1922" i="5"/>
  <c r="J1922" i="5"/>
  <c r="I1922" i="5"/>
  <c r="H1922" i="5"/>
  <c r="G1922" i="5"/>
  <c r="E1922" i="5"/>
  <c r="F1922" i="5" s="1"/>
  <c r="W1921" i="5"/>
  <c r="U1921" i="5"/>
  <c r="T1921" i="5"/>
  <c r="O1921" i="5"/>
  <c r="N1921" i="5"/>
  <c r="M1921" i="5"/>
  <c r="K1921" i="5"/>
  <c r="J1921" i="5"/>
  <c r="I1921" i="5"/>
  <c r="H1921" i="5"/>
  <c r="G1921" i="5"/>
  <c r="E1921" i="5"/>
  <c r="F1921" i="5" s="1"/>
  <c r="W1920" i="5"/>
  <c r="U1920" i="5"/>
  <c r="T1920" i="5"/>
  <c r="O1920" i="5"/>
  <c r="N1920" i="5"/>
  <c r="M1920" i="5"/>
  <c r="K1920" i="5"/>
  <c r="J1920" i="5"/>
  <c r="I1920" i="5"/>
  <c r="H1920" i="5"/>
  <c r="G1920" i="5"/>
  <c r="E1920" i="5"/>
  <c r="F1920" i="5" s="1"/>
  <c r="W1919" i="5"/>
  <c r="U1919" i="5"/>
  <c r="T1919" i="5"/>
  <c r="O1919" i="5"/>
  <c r="N1919" i="5"/>
  <c r="M1919" i="5"/>
  <c r="K1919" i="5"/>
  <c r="J1919" i="5"/>
  <c r="I1919" i="5"/>
  <c r="H1919" i="5"/>
  <c r="G1919" i="5"/>
  <c r="E1919" i="5"/>
  <c r="F1919" i="5" s="1"/>
  <c r="W1918" i="5"/>
  <c r="U1918" i="5"/>
  <c r="T1918" i="5"/>
  <c r="O1918" i="5"/>
  <c r="N1918" i="5"/>
  <c r="M1918" i="5"/>
  <c r="K1918" i="5"/>
  <c r="J1918" i="5"/>
  <c r="I1918" i="5"/>
  <c r="H1918" i="5"/>
  <c r="G1918" i="5"/>
  <c r="E1918" i="5"/>
  <c r="F1918" i="5" s="1"/>
  <c r="W1917" i="5"/>
  <c r="U1917" i="5"/>
  <c r="T1917" i="5"/>
  <c r="O1917" i="5"/>
  <c r="N1917" i="5"/>
  <c r="M1917" i="5"/>
  <c r="K1917" i="5"/>
  <c r="J1917" i="5"/>
  <c r="I1917" i="5"/>
  <c r="H1917" i="5"/>
  <c r="G1917" i="5"/>
  <c r="E1917" i="5"/>
  <c r="F1917" i="5" s="1"/>
  <c r="W1916" i="5"/>
  <c r="U1916" i="5"/>
  <c r="T1916" i="5"/>
  <c r="O1916" i="5"/>
  <c r="N1916" i="5"/>
  <c r="M1916" i="5"/>
  <c r="K1916" i="5"/>
  <c r="J1916" i="5"/>
  <c r="I1916" i="5"/>
  <c r="H1916" i="5"/>
  <c r="G1916" i="5"/>
  <c r="E1916" i="5"/>
  <c r="F1916" i="5" s="1"/>
  <c r="W1915" i="5"/>
  <c r="U1915" i="5"/>
  <c r="T1915" i="5"/>
  <c r="O1915" i="5"/>
  <c r="N1915" i="5"/>
  <c r="M1915" i="5"/>
  <c r="K1915" i="5"/>
  <c r="J1915" i="5"/>
  <c r="I1915" i="5"/>
  <c r="H1915" i="5"/>
  <c r="G1915" i="5"/>
  <c r="E1915" i="5"/>
  <c r="F1915" i="5" s="1"/>
  <c r="W1914" i="5"/>
  <c r="U1914" i="5"/>
  <c r="T1914" i="5"/>
  <c r="O1914" i="5"/>
  <c r="N1914" i="5"/>
  <c r="M1914" i="5"/>
  <c r="K1914" i="5"/>
  <c r="J1914" i="5"/>
  <c r="I1914" i="5"/>
  <c r="H1914" i="5"/>
  <c r="G1914" i="5"/>
  <c r="E1914" i="5"/>
  <c r="F1914" i="5" s="1"/>
  <c r="W1913" i="5"/>
  <c r="U1913" i="5"/>
  <c r="T1913" i="5"/>
  <c r="O1913" i="5"/>
  <c r="N1913" i="5"/>
  <c r="M1913" i="5"/>
  <c r="K1913" i="5"/>
  <c r="J1913" i="5"/>
  <c r="I1913" i="5"/>
  <c r="H1913" i="5"/>
  <c r="G1913" i="5"/>
  <c r="E1913" i="5"/>
  <c r="F1913" i="5" s="1"/>
  <c r="W1912" i="5"/>
  <c r="U1912" i="5"/>
  <c r="T1912" i="5"/>
  <c r="O1912" i="5"/>
  <c r="N1912" i="5"/>
  <c r="M1912" i="5"/>
  <c r="K1912" i="5"/>
  <c r="J1912" i="5"/>
  <c r="I1912" i="5"/>
  <c r="H1912" i="5"/>
  <c r="G1912" i="5"/>
  <c r="E1912" i="5"/>
  <c r="F1912" i="5" s="1"/>
  <c r="W1911" i="5"/>
  <c r="U1911" i="5"/>
  <c r="T1911" i="5"/>
  <c r="O1911" i="5"/>
  <c r="N1911" i="5"/>
  <c r="M1911" i="5"/>
  <c r="K1911" i="5"/>
  <c r="J1911" i="5"/>
  <c r="I1911" i="5"/>
  <c r="H1911" i="5"/>
  <c r="G1911" i="5"/>
  <c r="E1911" i="5"/>
  <c r="F1911" i="5" s="1"/>
  <c r="W1910" i="5"/>
  <c r="U1910" i="5"/>
  <c r="T1910" i="5"/>
  <c r="O1910" i="5"/>
  <c r="N1910" i="5"/>
  <c r="M1910" i="5"/>
  <c r="K1910" i="5"/>
  <c r="J1910" i="5"/>
  <c r="I1910" i="5"/>
  <c r="H1910" i="5"/>
  <c r="G1910" i="5"/>
  <c r="E1910" i="5"/>
  <c r="F1910" i="5" s="1"/>
  <c r="W1909" i="5"/>
  <c r="U1909" i="5"/>
  <c r="T1909" i="5"/>
  <c r="O1909" i="5"/>
  <c r="N1909" i="5"/>
  <c r="M1909" i="5"/>
  <c r="K1909" i="5"/>
  <c r="J1909" i="5"/>
  <c r="I1909" i="5"/>
  <c r="H1909" i="5"/>
  <c r="G1909" i="5"/>
  <c r="E1909" i="5"/>
  <c r="F1909" i="5" s="1"/>
  <c r="W1908" i="5"/>
  <c r="U1908" i="5"/>
  <c r="T1908" i="5"/>
  <c r="O1908" i="5"/>
  <c r="N1908" i="5"/>
  <c r="M1908" i="5"/>
  <c r="K1908" i="5"/>
  <c r="J1908" i="5"/>
  <c r="I1908" i="5"/>
  <c r="H1908" i="5"/>
  <c r="G1908" i="5"/>
  <c r="E1908" i="5"/>
  <c r="F1908" i="5" s="1"/>
  <c r="W1907" i="5"/>
  <c r="U1907" i="5"/>
  <c r="T1907" i="5"/>
  <c r="O1907" i="5"/>
  <c r="N1907" i="5"/>
  <c r="M1907" i="5"/>
  <c r="K1907" i="5"/>
  <c r="J1907" i="5"/>
  <c r="I1907" i="5"/>
  <c r="H1907" i="5"/>
  <c r="G1907" i="5"/>
  <c r="E1907" i="5"/>
  <c r="F1907" i="5" s="1"/>
  <c r="W1906" i="5"/>
  <c r="U1906" i="5"/>
  <c r="T1906" i="5"/>
  <c r="O1906" i="5"/>
  <c r="N1906" i="5"/>
  <c r="M1906" i="5"/>
  <c r="K1906" i="5"/>
  <c r="J1906" i="5"/>
  <c r="I1906" i="5"/>
  <c r="H1906" i="5"/>
  <c r="G1906" i="5"/>
  <c r="E1906" i="5"/>
  <c r="F1906" i="5" s="1"/>
  <c r="W1905" i="5"/>
  <c r="U1905" i="5"/>
  <c r="T1905" i="5"/>
  <c r="O1905" i="5"/>
  <c r="N1905" i="5"/>
  <c r="M1905" i="5"/>
  <c r="K1905" i="5"/>
  <c r="J1905" i="5"/>
  <c r="I1905" i="5"/>
  <c r="H1905" i="5"/>
  <c r="G1905" i="5"/>
  <c r="E1905" i="5"/>
  <c r="F1905" i="5" s="1"/>
  <c r="W1904" i="5"/>
  <c r="U1904" i="5"/>
  <c r="T1904" i="5"/>
  <c r="O1904" i="5"/>
  <c r="N1904" i="5"/>
  <c r="M1904" i="5"/>
  <c r="K1904" i="5"/>
  <c r="J1904" i="5"/>
  <c r="I1904" i="5"/>
  <c r="H1904" i="5"/>
  <c r="G1904" i="5"/>
  <c r="E1904" i="5"/>
  <c r="F1904" i="5" s="1"/>
  <c r="W1903" i="5"/>
  <c r="U1903" i="5"/>
  <c r="T1903" i="5"/>
  <c r="O1903" i="5"/>
  <c r="N1903" i="5"/>
  <c r="M1903" i="5"/>
  <c r="K1903" i="5"/>
  <c r="J1903" i="5"/>
  <c r="I1903" i="5"/>
  <c r="H1903" i="5"/>
  <c r="G1903" i="5"/>
  <c r="E1903" i="5"/>
  <c r="F1903" i="5" s="1"/>
  <c r="W1902" i="5"/>
  <c r="U1902" i="5"/>
  <c r="T1902" i="5"/>
  <c r="O1902" i="5"/>
  <c r="N1902" i="5"/>
  <c r="M1902" i="5"/>
  <c r="K1902" i="5"/>
  <c r="J1902" i="5"/>
  <c r="I1902" i="5"/>
  <c r="H1902" i="5"/>
  <c r="G1902" i="5"/>
  <c r="E1902" i="5"/>
  <c r="F1902" i="5" s="1"/>
  <c r="W1901" i="5"/>
  <c r="U1901" i="5"/>
  <c r="T1901" i="5"/>
  <c r="O1901" i="5"/>
  <c r="N1901" i="5"/>
  <c r="M1901" i="5"/>
  <c r="K1901" i="5"/>
  <c r="J1901" i="5"/>
  <c r="I1901" i="5"/>
  <c r="H1901" i="5"/>
  <c r="G1901" i="5"/>
  <c r="E1901" i="5"/>
  <c r="F1901" i="5" s="1"/>
  <c r="W1900" i="5"/>
  <c r="U1900" i="5"/>
  <c r="T1900" i="5"/>
  <c r="O1900" i="5"/>
  <c r="N1900" i="5"/>
  <c r="M1900" i="5"/>
  <c r="K1900" i="5"/>
  <c r="J1900" i="5"/>
  <c r="I1900" i="5"/>
  <c r="H1900" i="5"/>
  <c r="G1900" i="5"/>
  <c r="E1900" i="5"/>
  <c r="F1900" i="5" s="1"/>
  <c r="W1899" i="5"/>
  <c r="U1899" i="5"/>
  <c r="T1899" i="5"/>
  <c r="O1899" i="5"/>
  <c r="N1899" i="5"/>
  <c r="M1899" i="5"/>
  <c r="K1899" i="5"/>
  <c r="J1899" i="5"/>
  <c r="I1899" i="5"/>
  <c r="H1899" i="5"/>
  <c r="G1899" i="5"/>
  <c r="E1899" i="5"/>
  <c r="F1899" i="5" s="1"/>
  <c r="W1898" i="5"/>
  <c r="U1898" i="5"/>
  <c r="T1898" i="5"/>
  <c r="O1898" i="5"/>
  <c r="N1898" i="5"/>
  <c r="M1898" i="5"/>
  <c r="K1898" i="5"/>
  <c r="J1898" i="5"/>
  <c r="I1898" i="5"/>
  <c r="H1898" i="5"/>
  <c r="G1898" i="5"/>
  <c r="E1898" i="5"/>
  <c r="F1898" i="5" s="1"/>
  <c r="W1897" i="5"/>
  <c r="U1897" i="5"/>
  <c r="T1897" i="5"/>
  <c r="O1897" i="5"/>
  <c r="N1897" i="5"/>
  <c r="M1897" i="5"/>
  <c r="K1897" i="5"/>
  <c r="J1897" i="5"/>
  <c r="I1897" i="5"/>
  <c r="H1897" i="5"/>
  <c r="G1897" i="5"/>
  <c r="E1897" i="5"/>
  <c r="F1897" i="5" s="1"/>
  <c r="W1896" i="5"/>
  <c r="U1896" i="5"/>
  <c r="T1896" i="5"/>
  <c r="O1896" i="5"/>
  <c r="N1896" i="5"/>
  <c r="M1896" i="5"/>
  <c r="K1896" i="5"/>
  <c r="J1896" i="5"/>
  <c r="I1896" i="5"/>
  <c r="H1896" i="5"/>
  <c r="G1896" i="5"/>
  <c r="E1896" i="5"/>
  <c r="F1896" i="5" s="1"/>
  <c r="W1895" i="5"/>
  <c r="U1895" i="5"/>
  <c r="T1895" i="5"/>
  <c r="O1895" i="5"/>
  <c r="N1895" i="5"/>
  <c r="M1895" i="5"/>
  <c r="K1895" i="5"/>
  <c r="J1895" i="5"/>
  <c r="I1895" i="5"/>
  <c r="H1895" i="5"/>
  <c r="G1895" i="5"/>
  <c r="E1895" i="5"/>
  <c r="F1895" i="5" s="1"/>
  <c r="W1894" i="5"/>
  <c r="U1894" i="5"/>
  <c r="T1894" i="5"/>
  <c r="O1894" i="5"/>
  <c r="N1894" i="5"/>
  <c r="M1894" i="5"/>
  <c r="K1894" i="5"/>
  <c r="J1894" i="5"/>
  <c r="I1894" i="5"/>
  <c r="H1894" i="5"/>
  <c r="G1894" i="5"/>
  <c r="E1894" i="5"/>
  <c r="F1894" i="5" s="1"/>
  <c r="W1893" i="5"/>
  <c r="U1893" i="5"/>
  <c r="T1893" i="5"/>
  <c r="O1893" i="5"/>
  <c r="N1893" i="5"/>
  <c r="M1893" i="5"/>
  <c r="K1893" i="5"/>
  <c r="J1893" i="5"/>
  <c r="I1893" i="5"/>
  <c r="H1893" i="5"/>
  <c r="G1893" i="5"/>
  <c r="E1893" i="5"/>
  <c r="F1893" i="5" s="1"/>
  <c r="W1892" i="5"/>
  <c r="U1892" i="5"/>
  <c r="T1892" i="5"/>
  <c r="O1892" i="5"/>
  <c r="N1892" i="5"/>
  <c r="M1892" i="5"/>
  <c r="K1892" i="5"/>
  <c r="J1892" i="5"/>
  <c r="I1892" i="5"/>
  <c r="H1892" i="5"/>
  <c r="G1892" i="5"/>
  <c r="E1892" i="5"/>
  <c r="F1892" i="5" s="1"/>
  <c r="W1891" i="5"/>
  <c r="U1891" i="5"/>
  <c r="T1891" i="5"/>
  <c r="O1891" i="5"/>
  <c r="N1891" i="5"/>
  <c r="M1891" i="5"/>
  <c r="K1891" i="5"/>
  <c r="J1891" i="5"/>
  <c r="I1891" i="5"/>
  <c r="H1891" i="5"/>
  <c r="G1891" i="5"/>
  <c r="E1891" i="5"/>
  <c r="F1891" i="5" s="1"/>
  <c r="W1890" i="5"/>
  <c r="U1890" i="5"/>
  <c r="T1890" i="5"/>
  <c r="O1890" i="5"/>
  <c r="N1890" i="5"/>
  <c r="M1890" i="5"/>
  <c r="K1890" i="5"/>
  <c r="J1890" i="5"/>
  <c r="I1890" i="5"/>
  <c r="H1890" i="5"/>
  <c r="G1890" i="5"/>
  <c r="E1890" i="5"/>
  <c r="F1890" i="5" s="1"/>
  <c r="W1889" i="5"/>
  <c r="U1889" i="5"/>
  <c r="T1889" i="5"/>
  <c r="O1889" i="5"/>
  <c r="N1889" i="5"/>
  <c r="M1889" i="5"/>
  <c r="K1889" i="5"/>
  <c r="J1889" i="5"/>
  <c r="I1889" i="5"/>
  <c r="H1889" i="5"/>
  <c r="G1889" i="5"/>
  <c r="E1889" i="5"/>
  <c r="F1889" i="5" s="1"/>
  <c r="W1888" i="5"/>
  <c r="U1888" i="5"/>
  <c r="T1888" i="5"/>
  <c r="O1888" i="5"/>
  <c r="N1888" i="5"/>
  <c r="M1888" i="5"/>
  <c r="K1888" i="5"/>
  <c r="J1888" i="5"/>
  <c r="I1888" i="5"/>
  <c r="H1888" i="5"/>
  <c r="G1888" i="5"/>
  <c r="E1888" i="5"/>
  <c r="F1888" i="5" s="1"/>
  <c r="W1887" i="5"/>
  <c r="U1887" i="5"/>
  <c r="T1887" i="5"/>
  <c r="O1887" i="5"/>
  <c r="N1887" i="5"/>
  <c r="M1887" i="5"/>
  <c r="K1887" i="5"/>
  <c r="J1887" i="5"/>
  <c r="I1887" i="5"/>
  <c r="H1887" i="5"/>
  <c r="G1887" i="5"/>
  <c r="E1887" i="5"/>
  <c r="F1887" i="5" s="1"/>
  <c r="W1886" i="5"/>
  <c r="U1886" i="5"/>
  <c r="T1886" i="5"/>
  <c r="O1886" i="5"/>
  <c r="N1886" i="5"/>
  <c r="M1886" i="5"/>
  <c r="K1886" i="5"/>
  <c r="J1886" i="5"/>
  <c r="I1886" i="5"/>
  <c r="H1886" i="5"/>
  <c r="G1886" i="5"/>
  <c r="E1886" i="5"/>
  <c r="F1886" i="5" s="1"/>
  <c r="W1885" i="5"/>
  <c r="U1885" i="5"/>
  <c r="T1885" i="5"/>
  <c r="O1885" i="5"/>
  <c r="N1885" i="5"/>
  <c r="M1885" i="5"/>
  <c r="K1885" i="5"/>
  <c r="J1885" i="5"/>
  <c r="I1885" i="5"/>
  <c r="H1885" i="5"/>
  <c r="G1885" i="5"/>
  <c r="E1885" i="5"/>
  <c r="F1885" i="5" s="1"/>
  <c r="W1884" i="5"/>
  <c r="U1884" i="5"/>
  <c r="T1884" i="5"/>
  <c r="O1884" i="5"/>
  <c r="N1884" i="5"/>
  <c r="M1884" i="5"/>
  <c r="K1884" i="5"/>
  <c r="J1884" i="5"/>
  <c r="I1884" i="5"/>
  <c r="H1884" i="5"/>
  <c r="G1884" i="5"/>
  <c r="E1884" i="5"/>
  <c r="F1884" i="5" s="1"/>
  <c r="W1883" i="5"/>
  <c r="U1883" i="5"/>
  <c r="T1883" i="5"/>
  <c r="O1883" i="5"/>
  <c r="N1883" i="5"/>
  <c r="M1883" i="5"/>
  <c r="K1883" i="5"/>
  <c r="J1883" i="5"/>
  <c r="I1883" i="5"/>
  <c r="H1883" i="5"/>
  <c r="G1883" i="5"/>
  <c r="E1883" i="5"/>
  <c r="F1883" i="5" s="1"/>
  <c r="W1882" i="5"/>
  <c r="U1882" i="5"/>
  <c r="T1882" i="5"/>
  <c r="O1882" i="5"/>
  <c r="N1882" i="5"/>
  <c r="M1882" i="5"/>
  <c r="K1882" i="5"/>
  <c r="J1882" i="5"/>
  <c r="I1882" i="5"/>
  <c r="H1882" i="5"/>
  <c r="G1882" i="5"/>
  <c r="E1882" i="5"/>
  <c r="F1882" i="5" s="1"/>
  <c r="W1881" i="5"/>
  <c r="U1881" i="5"/>
  <c r="T1881" i="5"/>
  <c r="O1881" i="5"/>
  <c r="N1881" i="5"/>
  <c r="M1881" i="5"/>
  <c r="K1881" i="5"/>
  <c r="J1881" i="5"/>
  <c r="I1881" i="5"/>
  <c r="H1881" i="5"/>
  <c r="G1881" i="5"/>
  <c r="E1881" i="5"/>
  <c r="F1881" i="5" s="1"/>
  <c r="W1880" i="5"/>
  <c r="U1880" i="5"/>
  <c r="T1880" i="5"/>
  <c r="O1880" i="5"/>
  <c r="N1880" i="5"/>
  <c r="M1880" i="5"/>
  <c r="K1880" i="5"/>
  <c r="J1880" i="5"/>
  <c r="I1880" i="5"/>
  <c r="H1880" i="5"/>
  <c r="G1880" i="5"/>
  <c r="E1880" i="5"/>
  <c r="F1880" i="5" s="1"/>
  <c r="W1879" i="5"/>
  <c r="U1879" i="5"/>
  <c r="T1879" i="5"/>
  <c r="O1879" i="5"/>
  <c r="N1879" i="5"/>
  <c r="M1879" i="5"/>
  <c r="K1879" i="5"/>
  <c r="J1879" i="5"/>
  <c r="I1879" i="5"/>
  <c r="H1879" i="5"/>
  <c r="G1879" i="5"/>
  <c r="E1879" i="5"/>
  <c r="F1879" i="5" s="1"/>
  <c r="W1878" i="5"/>
  <c r="U1878" i="5"/>
  <c r="T1878" i="5"/>
  <c r="O1878" i="5"/>
  <c r="N1878" i="5"/>
  <c r="M1878" i="5"/>
  <c r="K1878" i="5"/>
  <c r="J1878" i="5"/>
  <c r="I1878" i="5"/>
  <c r="H1878" i="5"/>
  <c r="G1878" i="5"/>
  <c r="E1878" i="5"/>
  <c r="F1878" i="5" s="1"/>
  <c r="W1877" i="5"/>
  <c r="U1877" i="5"/>
  <c r="T1877" i="5"/>
  <c r="O1877" i="5"/>
  <c r="N1877" i="5"/>
  <c r="M1877" i="5"/>
  <c r="K1877" i="5"/>
  <c r="J1877" i="5"/>
  <c r="I1877" i="5"/>
  <c r="H1877" i="5"/>
  <c r="G1877" i="5"/>
  <c r="E1877" i="5"/>
  <c r="F1877" i="5" s="1"/>
  <c r="W1876" i="5"/>
  <c r="U1876" i="5"/>
  <c r="T1876" i="5"/>
  <c r="O1876" i="5"/>
  <c r="N1876" i="5"/>
  <c r="M1876" i="5"/>
  <c r="K1876" i="5"/>
  <c r="J1876" i="5"/>
  <c r="I1876" i="5"/>
  <c r="H1876" i="5"/>
  <c r="G1876" i="5"/>
  <c r="E1876" i="5"/>
  <c r="F1876" i="5" s="1"/>
  <c r="W1875" i="5"/>
  <c r="U1875" i="5"/>
  <c r="T1875" i="5"/>
  <c r="O1875" i="5"/>
  <c r="N1875" i="5"/>
  <c r="M1875" i="5"/>
  <c r="K1875" i="5"/>
  <c r="J1875" i="5"/>
  <c r="I1875" i="5"/>
  <c r="H1875" i="5"/>
  <c r="G1875" i="5"/>
  <c r="E1875" i="5"/>
  <c r="F1875" i="5" s="1"/>
  <c r="W1874" i="5"/>
  <c r="U1874" i="5"/>
  <c r="T1874" i="5"/>
  <c r="O1874" i="5"/>
  <c r="N1874" i="5"/>
  <c r="M1874" i="5"/>
  <c r="K1874" i="5"/>
  <c r="J1874" i="5"/>
  <c r="I1874" i="5"/>
  <c r="H1874" i="5"/>
  <c r="G1874" i="5"/>
  <c r="E1874" i="5"/>
  <c r="F1874" i="5" s="1"/>
  <c r="W1873" i="5"/>
  <c r="U1873" i="5"/>
  <c r="T1873" i="5"/>
  <c r="O1873" i="5"/>
  <c r="N1873" i="5"/>
  <c r="M1873" i="5"/>
  <c r="K1873" i="5"/>
  <c r="J1873" i="5"/>
  <c r="I1873" i="5"/>
  <c r="H1873" i="5"/>
  <c r="G1873" i="5"/>
  <c r="E1873" i="5"/>
  <c r="F1873" i="5" s="1"/>
  <c r="W1872" i="5"/>
  <c r="U1872" i="5"/>
  <c r="T1872" i="5"/>
  <c r="O1872" i="5"/>
  <c r="N1872" i="5"/>
  <c r="M1872" i="5"/>
  <c r="K1872" i="5"/>
  <c r="J1872" i="5"/>
  <c r="I1872" i="5"/>
  <c r="H1872" i="5"/>
  <c r="G1872" i="5"/>
  <c r="E1872" i="5"/>
  <c r="F1872" i="5" s="1"/>
  <c r="W1871" i="5"/>
  <c r="U1871" i="5"/>
  <c r="T1871" i="5"/>
  <c r="O1871" i="5"/>
  <c r="N1871" i="5"/>
  <c r="M1871" i="5"/>
  <c r="K1871" i="5"/>
  <c r="J1871" i="5"/>
  <c r="I1871" i="5"/>
  <c r="H1871" i="5"/>
  <c r="G1871" i="5"/>
  <c r="E1871" i="5"/>
  <c r="F1871" i="5" s="1"/>
  <c r="W1870" i="5"/>
  <c r="U1870" i="5"/>
  <c r="T1870" i="5"/>
  <c r="O1870" i="5"/>
  <c r="N1870" i="5"/>
  <c r="M1870" i="5"/>
  <c r="K1870" i="5"/>
  <c r="J1870" i="5"/>
  <c r="I1870" i="5"/>
  <c r="H1870" i="5"/>
  <c r="G1870" i="5"/>
  <c r="E1870" i="5"/>
  <c r="F1870" i="5" s="1"/>
  <c r="W1869" i="5"/>
  <c r="U1869" i="5"/>
  <c r="T1869" i="5"/>
  <c r="O1869" i="5"/>
  <c r="N1869" i="5"/>
  <c r="M1869" i="5"/>
  <c r="K1869" i="5"/>
  <c r="J1869" i="5"/>
  <c r="I1869" i="5"/>
  <c r="H1869" i="5"/>
  <c r="G1869" i="5"/>
  <c r="E1869" i="5"/>
  <c r="F1869" i="5" s="1"/>
  <c r="W1868" i="5"/>
  <c r="U1868" i="5"/>
  <c r="T1868" i="5"/>
  <c r="O1868" i="5"/>
  <c r="N1868" i="5"/>
  <c r="M1868" i="5"/>
  <c r="K1868" i="5"/>
  <c r="J1868" i="5"/>
  <c r="I1868" i="5"/>
  <c r="H1868" i="5"/>
  <c r="G1868" i="5"/>
  <c r="E1868" i="5"/>
  <c r="F1868" i="5" s="1"/>
  <c r="W1867" i="5"/>
  <c r="U1867" i="5"/>
  <c r="T1867" i="5"/>
  <c r="O1867" i="5"/>
  <c r="N1867" i="5"/>
  <c r="M1867" i="5"/>
  <c r="K1867" i="5"/>
  <c r="J1867" i="5"/>
  <c r="I1867" i="5"/>
  <c r="H1867" i="5"/>
  <c r="G1867" i="5"/>
  <c r="E1867" i="5"/>
  <c r="F1867" i="5" s="1"/>
  <c r="W1866" i="5"/>
  <c r="U1866" i="5"/>
  <c r="T1866" i="5"/>
  <c r="O1866" i="5"/>
  <c r="N1866" i="5"/>
  <c r="M1866" i="5"/>
  <c r="K1866" i="5"/>
  <c r="J1866" i="5"/>
  <c r="I1866" i="5"/>
  <c r="H1866" i="5"/>
  <c r="G1866" i="5"/>
  <c r="E1866" i="5"/>
  <c r="F1866" i="5" s="1"/>
  <c r="W1865" i="5"/>
  <c r="U1865" i="5"/>
  <c r="T1865" i="5"/>
  <c r="O1865" i="5"/>
  <c r="N1865" i="5"/>
  <c r="M1865" i="5"/>
  <c r="K1865" i="5"/>
  <c r="J1865" i="5"/>
  <c r="I1865" i="5"/>
  <c r="H1865" i="5"/>
  <c r="G1865" i="5"/>
  <c r="E1865" i="5"/>
  <c r="F1865" i="5" s="1"/>
  <c r="W1864" i="5"/>
  <c r="U1864" i="5"/>
  <c r="T1864" i="5"/>
  <c r="O1864" i="5"/>
  <c r="N1864" i="5"/>
  <c r="M1864" i="5"/>
  <c r="K1864" i="5"/>
  <c r="J1864" i="5"/>
  <c r="I1864" i="5"/>
  <c r="H1864" i="5"/>
  <c r="G1864" i="5"/>
  <c r="E1864" i="5"/>
  <c r="F1864" i="5" s="1"/>
  <c r="W1863" i="5"/>
  <c r="U1863" i="5"/>
  <c r="T1863" i="5"/>
  <c r="O1863" i="5"/>
  <c r="N1863" i="5"/>
  <c r="M1863" i="5"/>
  <c r="K1863" i="5"/>
  <c r="J1863" i="5"/>
  <c r="I1863" i="5"/>
  <c r="H1863" i="5"/>
  <c r="G1863" i="5"/>
  <c r="E1863" i="5"/>
  <c r="F1863" i="5" s="1"/>
  <c r="W1862" i="5"/>
  <c r="U1862" i="5"/>
  <c r="T1862" i="5"/>
  <c r="O1862" i="5"/>
  <c r="N1862" i="5"/>
  <c r="M1862" i="5"/>
  <c r="K1862" i="5"/>
  <c r="J1862" i="5"/>
  <c r="I1862" i="5"/>
  <c r="H1862" i="5"/>
  <c r="G1862" i="5"/>
  <c r="E1862" i="5"/>
  <c r="F1862" i="5" s="1"/>
  <c r="W1861" i="5"/>
  <c r="U1861" i="5"/>
  <c r="T1861" i="5"/>
  <c r="O1861" i="5"/>
  <c r="N1861" i="5"/>
  <c r="M1861" i="5"/>
  <c r="K1861" i="5"/>
  <c r="J1861" i="5"/>
  <c r="I1861" i="5"/>
  <c r="H1861" i="5"/>
  <c r="G1861" i="5"/>
  <c r="E1861" i="5"/>
  <c r="F1861" i="5" s="1"/>
  <c r="W1860" i="5"/>
  <c r="U1860" i="5"/>
  <c r="T1860" i="5"/>
  <c r="O1860" i="5"/>
  <c r="N1860" i="5"/>
  <c r="M1860" i="5"/>
  <c r="K1860" i="5"/>
  <c r="J1860" i="5"/>
  <c r="I1860" i="5"/>
  <c r="H1860" i="5"/>
  <c r="G1860" i="5"/>
  <c r="E1860" i="5"/>
  <c r="F1860" i="5" s="1"/>
  <c r="W1859" i="5"/>
  <c r="U1859" i="5"/>
  <c r="T1859" i="5"/>
  <c r="O1859" i="5"/>
  <c r="N1859" i="5"/>
  <c r="M1859" i="5"/>
  <c r="K1859" i="5"/>
  <c r="J1859" i="5"/>
  <c r="I1859" i="5"/>
  <c r="H1859" i="5"/>
  <c r="G1859" i="5"/>
  <c r="E1859" i="5"/>
  <c r="F1859" i="5" s="1"/>
  <c r="W1858" i="5"/>
  <c r="U1858" i="5"/>
  <c r="T1858" i="5"/>
  <c r="O1858" i="5"/>
  <c r="N1858" i="5"/>
  <c r="M1858" i="5"/>
  <c r="K1858" i="5"/>
  <c r="J1858" i="5"/>
  <c r="I1858" i="5"/>
  <c r="H1858" i="5"/>
  <c r="G1858" i="5"/>
  <c r="E1858" i="5"/>
  <c r="F1858" i="5" s="1"/>
  <c r="W1857" i="5"/>
  <c r="U1857" i="5"/>
  <c r="T1857" i="5"/>
  <c r="O1857" i="5"/>
  <c r="N1857" i="5"/>
  <c r="M1857" i="5"/>
  <c r="K1857" i="5"/>
  <c r="J1857" i="5"/>
  <c r="I1857" i="5"/>
  <c r="H1857" i="5"/>
  <c r="G1857" i="5"/>
  <c r="E1857" i="5"/>
  <c r="F1857" i="5" s="1"/>
  <c r="W1856" i="5"/>
  <c r="U1856" i="5"/>
  <c r="T1856" i="5"/>
  <c r="O1856" i="5"/>
  <c r="N1856" i="5"/>
  <c r="M1856" i="5"/>
  <c r="K1856" i="5"/>
  <c r="J1856" i="5"/>
  <c r="I1856" i="5"/>
  <c r="H1856" i="5"/>
  <c r="G1856" i="5"/>
  <c r="E1856" i="5"/>
  <c r="F1856" i="5" s="1"/>
  <c r="W1855" i="5"/>
  <c r="U1855" i="5"/>
  <c r="T1855" i="5"/>
  <c r="O1855" i="5"/>
  <c r="N1855" i="5"/>
  <c r="M1855" i="5"/>
  <c r="K1855" i="5"/>
  <c r="J1855" i="5"/>
  <c r="I1855" i="5"/>
  <c r="H1855" i="5"/>
  <c r="G1855" i="5"/>
  <c r="E1855" i="5"/>
  <c r="F1855" i="5" s="1"/>
  <c r="W1854" i="5"/>
  <c r="U1854" i="5"/>
  <c r="T1854" i="5"/>
  <c r="O1854" i="5"/>
  <c r="N1854" i="5"/>
  <c r="M1854" i="5"/>
  <c r="K1854" i="5"/>
  <c r="J1854" i="5"/>
  <c r="I1854" i="5"/>
  <c r="H1854" i="5"/>
  <c r="G1854" i="5"/>
  <c r="E1854" i="5"/>
  <c r="F1854" i="5" s="1"/>
  <c r="W1853" i="5"/>
  <c r="U1853" i="5"/>
  <c r="T1853" i="5"/>
  <c r="O1853" i="5"/>
  <c r="N1853" i="5"/>
  <c r="M1853" i="5"/>
  <c r="K1853" i="5"/>
  <c r="J1853" i="5"/>
  <c r="I1853" i="5"/>
  <c r="H1853" i="5"/>
  <c r="G1853" i="5"/>
  <c r="E1853" i="5"/>
  <c r="F1853" i="5" s="1"/>
  <c r="W1852" i="5"/>
  <c r="U1852" i="5"/>
  <c r="T1852" i="5"/>
  <c r="O1852" i="5"/>
  <c r="N1852" i="5"/>
  <c r="M1852" i="5"/>
  <c r="K1852" i="5"/>
  <c r="J1852" i="5"/>
  <c r="I1852" i="5"/>
  <c r="H1852" i="5"/>
  <c r="G1852" i="5"/>
  <c r="E1852" i="5"/>
  <c r="F1852" i="5" s="1"/>
  <c r="W1851" i="5"/>
  <c r="U1851" i="5"/>
  <c r="T1851" i="5"/>
  <c r="O1851" i="5"/>
  <c r="N1851" i="5"/>
  <c r="M1851" i="5"/>
  <c r="K1851" i="5"/>
  <c r="J1851" i="5"/>
  <c r="I1851" i="5"/>
  <c r="H1851" i="5"/>
  <c r="G1851" i="5"/>
  <c r="E1851" i="5"/>
  <c r="F1851" i="5" s="1"/>
  <c r="W1850" i="5"/>
  <c r="U1850" i="5"/>
  <c r="T1850" i="5"/>
  <c r="O1850" i="5"/>
  <c r="N1850" i="5"/>
  <c r="M1850" i="5"/>
  <c r="K1850" i="5"/>
  <c r="J1850" i="5"/>
  <c r="I1850" i="5"/>
  <c r="H1850" i="5"/>
  <c r="G1850" i="5"/>
  <c r="E1850" i="5"/>
  <c r="F1850" i="5" s="1"/>
  <c r="W1849" i="5"/>
  <c r="U1849" i="5"/>
  <c r="T1849" i="5"/>
  <c r="O1849" i="5"/>
  <c r="N1849" i="5"/>
  <c r="M1849" i="5"/>
  <c r="K1849" i="5"/>
  <c r="J1849" i="5"/>
  <c r="I1849" i="5"/>
  <c r="H1849" i="5"/>
  <c r="G1849" i="5"/>
  <c r="E1849" i="5"/>
  <c r="F1849" i="5" s="1"/>
  <c r="W1848" i="5"/>
  <c r="U1848" i="5"/>
  <c r="T1848" i="5"/>
  <c r="O1848" i="5"/>
  <c r="N1848" i="5"/>
  <c r="M1848" i="5"/>
  <c r="K1848" i="5"/>
  <c r="J1848" i="5"/>
  <c r="I1848" i="5"/>
  <c r="H1848" i="5"/>
  <c r="G1848" i="5"/>
  <c r="E1848" i="5"/>
  <c r="F1848" i="5" s="1"/>
  <c r="W1847" i="5"/>
  <c r="U1847" i="5"/>
  <c r="T1847" i="5"/>
  <c r="O1847" i="5"/>
  <c r="N1847" i="5"/>
  <c r="M1847" i="5"/>
  <c r="K1847" i="5"/>
  <c r="J1847" i="5"/>
  <c r="I1847" i="5"/>
  <c r="H1847" i="5"/>
  <c r="G1847" i="5"/>
  <c r="E1847" i="5"/>
  <c r="F1847" i="5" s="1"/>
  <c r="W1846" i="5"/>
  <c r="U1846" i="5"/>
  <c r="T1846" i="5"/>
  <c r="O1846" i="5"/>
  <c r="N1846" i="5"/>
  <c r="M1846" i="5"/>
  <c r="K1846" i="5"/>
  <c r="J1846" i="5"/>
  <c r="I1846" i="5"/>
  <c r="H1846" i="5"/>
  <c r="G1846" i="5"/>
  <c r="E1846" i="5"/>
  <c r="F1846" i="5" s="1"/>
  <c r="W1845" i="5"/>
  <c r="U1845" i="5"/>
  <c r="T1845" i="5"/>
  <c r="O1845" i="5"/>
  <c r="N1845" i="5"/>
  <c r="M1845" i="5"/>
  <c r="K1845" i="5"/>
  <c r="J1845" i="5"/>
  <c r="I1845" i="5"/>
  <c r="H1845" i="5"/>
  <c r="G1845" i="5"/>
  <c r="E1845" i="5"/>
  <c r="F1845" i="5" s="1"/>
  <c r="W1844" i="5"/>
  <c r="U1844" i="5"/>
  <c r="T1844" i="5"/>
  <c r="O1844" i="5"/>
  <c r="N1844" i="5"/>
  <c r="M1844" i="5"/>
  <c r="K1844" i="5"/>
  <c r="J1844" i="5"/>
  <c r="I1844" i="5"/>
  <c r="H1844" i="5"/>
  <c r="G1844" i="5"/>
  <c r="E1844" i="5"/>
  <c r="F1844" i="5" s="1"/>
  <c r="W1843" i="5"/>
  <c r="U1843" i="5"/>
  <c r="T1843" i="5"/>
  <c r="O1843" i="5"/>
  <c r="N1843" i="5"/>
  <c r="M1843" i="5"/>
  <c r="K1843" i="5"/>
  <c r="J1843" i="5"/>
  <c r="I1843" i="5"/>
  <c r="H1843" i="5"/>
  <c r="G1843" i="5"/>
  <c r="E1843" i="5"/>
  <c r="F1843" i="5" s="1"/>
  <c r="W1842" i="5"/>
  <c r="U1842" i="5"/>
  <c r="T1842" i="5"/>
  <c r="O1842" i="5"/>
  <c r="N1842" i="5"/>
  <c r="M1842" i="5"/>
  <c r="K1842" i="5"/>
  <c r="J1842" i="5"/>
  <c r="I1842" i="5"/>
  <c r="H1842" i="5"/>
  <c r="G1842" i="5"/>
  <c r="E1842" i="5"/>
  <c r="F1842" i="5" s="1"/>
  <c r="W1841" i="5"/>
  <c r="U1841" i="5"/>
  <c r="T1841" i="5"/>
  <c r="O1841" i="5"/>
  <c r="N1841" i="5"/>
  <c r="M1841" i="5"/>
  <c r="K1841" i="5"/>
  <c r="J1841" i="5"/>
  <c r="I1841" i="5"/>
  <c r="H1841" i="5"/>
  <c r="G1841" i="5"/>
  <c r="E1841" i="5"/>
  <c r="F1841" i="5" s="1"/>
  <c r="W1840" i="5"/>
  <c r="U1840" i="5"/>
  <c r="T1840" i="5"/>
  <c r="O1840" i="5"/>
  <c r="N1840" i="5"/>
  <c r="M1840" i="5"/>
  <c r="K1840" i="5"/>
  <c r="J1840" i="5"/>
  <c r="I1840" i="5"/>
  <c r="H1840" i="5"/>
  <c r="G1840" i="5"/>
  <c r="E1840" i="5"/>
  <c r="F1840" i="5" s="1"/>
  <c r="W1839" i="5"/>
  <c r="U1839" i="5"/>
  <c r="T1839" i="5"/>
  <c r="O1839" i="5"/>
  <c r="N1839" i="5"/>
  <c r="M1839" i="5"/>
  <c r="K1839" i="5"/>
  <c r="J1839" i="5"/>
  <c r="I1839" i="5"/>
  <c r="H1839" i="5"/>
  <c r="G1839" i="5"/>
  <c r="E1839" i="5"/>
  <c r="F1839" i="5" s="1"/>
  <c r="W1838" i="5"/>
  <c r="U1838" i="5"/>
  <c r="T1838" i="5"/>
  <c r="O1838" i="5"/>
  <c r="N1838" i="5"/>
  <c r="M1838" i="5"/>
  <c r="K1838" i="5"/>
  <c r="J1838" i="5"/>
  <c r="I1838" i="5"/>
  <c r="H1838" i="5"/>
  <c r="G1838" i="5"/>
  <c r="E1838" i="5"/>
  <c r="F1838" i="5" s="1"/>
  <c r="W1837" i="5"/>
  <c r="U1837" i="5"/>
  <c r="T1837" i="5"/>
  <c r="O1837" i="5"/>
  <c r="N1837" i="5"/>
  <c r="M1837" i="5"/>
  <c r="K1837" i="5"/>
  <c r="J1837" i="5"/>
  <c r="I1837" i="5"/>
  <c r="H1837" i="5"/>
  <c r="G1837" i="5"/>
  <c r="E1837" i="5"/>
  <c r="F1837" i="5" s="1"/>
  <c r="W1836" i="5"/>
  <c r="U1836" i="5"/>
  <c r="T1836" i="5"/>
  <c r="O1836" i="5"/>
  <c r="N1836" i="5"/>
  <c r="M1836" i="5"/>
  <c r="K1836" i="5"/>
  <c r="J1836" i="5"/>
  <c r="I1836" i="5"/>
  <c r="H1836" i="5"/>
  <c r="G1836" i="5"/>
  <c r="E1836" i="5"/>
  <c r="F1836" i="5" s="1"/>
  <c r="W1835" i="5"/>
  <c r="U1835" i="5"/>
  <c r="T1835" i="5"/>
  <c r="O1835" i="5"/>
  <c r="N1835" i="5"/>
  <c r="M1835" i="5"/>
  <c r="K1835" i="5"/>
  <c r="J1835" i="5"/>
  <c r="I1835" i="5"/>
  <c r="H1835" i="5"/>
  <c r="G1835" i="5"/>
  <c r="E1835" i="5"/>
  <c r="F1835" i="5" s="1"/>
  <c r="W1834" i="5"/>
  <c r="U1834" i="5"/>
  <c r="T1834" i="5"/>
  <c r="O1834" i="5"/>
  <c r="N1834" i="5"/>
  <c r="M1834" i="5"/>
  <c r="K1834" i="5"/>
  <c r="J1834" i="5"/>
  <c r="I1834" i="5"/>
  <c r="H1834" i="5"/>
  <c r="G1834" i="5"/>
  <c r="E1834" i="5"/>
  <c r="F1834" i="5" s="1"/>
  <c r="W1833" i="5"/>
  <c r="U1833" i="5"/>
  <c r="T1833" i="5"/>
  <c r="O1833" i="5"/>
  <c r="N1833" i="5"/>
  <c r="M1833" i="5"/>
  <c r="K1833" i="5"/>
  <c r="J1833" i="5"/>
  <c r="I1833" i="5"/>
  <c r="H1833" i="5"/>
  <c r="G1833" i="5"/>
  <c r="E1833" i="5"/>
  <c r="F1833" i="5" s="1"/>
  <c r="W1832" i="5"/>
  <c r="U1832" i="5"/>
  <c r="T1832" i="5"/>
  <c r="O1832" i="5"/>
  <c r="N1832" i="5"/>
  <c r="M1832" i="5"/>
  <c r="K1832" i="5"/>
  <c r="J1832" i="5"/>
  <c r="I1832" i="5"/>
  <c r="H1832" i="5"/>
  <c r="G1832" i="5"/>
  <c r="E1832" i="5"/>
  <c r="F1832" i="5" s="1"/>
  <c r="W1831" i="5"/>
  <c r="U1831" i="5"/>
  <c r="T1831" i="5"/>
  <c r="O1831" i="5"/>
  <c r="N1831" i="5"/>
  <c r="M1831" i="5"/>
  <c r="K1831" i="5"/>
  <c r="J1831" i="5"/>
  <c r="I1831" i="5"/>
  <c r="H1831" i="5"/>
  <c r="G1831" i="5"/>
  <c r="E1831" i="5"/>
  <c r="F1831" i="5" s="1"/>
  <c r="W1830" i="5"/>
  <c r="U1830" i="5"/>
  <c r="T1830" i="5"/>
  <c r="O1830" i="5"/>
  <c r="N1830" i="5"/>
  <c r="M1830" i="5"/>
  <c r="K1830" i="5"/>
  <c r="J1830" i="5"/>
  <c r="I1830" i="5"/>
  <c r="H1830" i="5"/>
  <c r="G1830" i="5"/>
  <c r="E1830" i="5"/>
  <c r="F1830" i="5" s="1"/>
  <c r="W1829" i="5"/>
  <c r="U1829" i="5"/>
  <c r="T1829" i="5"/>
  <c r="O1829" i="5"/>
  <c r="N1829" i="5"/>
  <c r="M1829" i="5"/>
  <c r="K1829" i="5"/>
  <c r="J1829" i="5"/>
  <c r="I1829" i="5"/>
  <c r="H1829" i="5"/>
  <c r="G1829" i="5"/>
  <c r="E1829" i="5"/>
  <c r="F1829" i="5" s="1"/>
  <c r="W1828" i="5"/>
  <c r="U1828" i="5"/>
  <c r="T1828" i="5"/>
  <c r="O1828" i="5"/>
  <c r="N1828" i="5"/>
  <c r="M1828" i="5"/>
  <c r="K1828" i="5"/>
  <c r="J1828" i="5"/>
  <c r="I1828" i="5"/>
  <c r="H1828" i="5"/>
  <c r="G1828" i="5"/>
  <c r="E1828" i="5"/>
  <c r="F1828" i="5" s="1"/>
  <c r="W1827" i="5"/>
  <c r="U1827" i="5"/>
  <c r="T1827" i="5"/>
  <c r="O1827" i="5"/>
  <c r="N1827" i="5"/>
  <c r="M1827" i="5"/>
  <c r="K1827" i="5"/>
  <c r="J1827" i="5"/>
  <c r="I1827" i="5"/>
  <c r="H1827" i="5"/>
  <c r="G1827" i="5"/>
  <c r="E1827" i="5"/>
  <c r="F1827" i="5" s="1"/>
  <c r="W1826" i="5"/>
  <c r="U1826" i="5"/>
  <c r="T1826" i="5"/>
  <c r="O1826" i="5"/>
  <c r="N1826" i="5"/>
  <c r="M1826" i="5"/>
  <c r="K1826" i="5"/>
  <c r="J1826" i="5"/>
  <c r="I1826" i="5"/>
  <c r="H1826" i="5"/>
  <c r="G1826" i="5"/>
  <c r="E1826" i="5"/>
  <c r="F1826" i="5" s="1"/>
  <c r="W1825" i="5"/>
  <c r="U1825" i="5"/>
  <c r="T1825" i="5"/>
  <c r="O1825" i="5"/>
  <c r="N1825" i="5"/>
  <c r="M1825" i="5"/>
  <c r="K1825" i="5"/>
  <c r="J1825" i="5"/>
  <c r="I1825" i="5"/>
  <c r="H1825" i="5"/>
  <c r="G1825" i="5"/>
  <c r="E1825" i="5"/>
  <c r="F1825" i="5" s="1"/>
  <c r="W1824" i="5"/>
  <c r="U1824" i="5"/>
  <c r="T1824" i="5"/>
  <c r="O1824" i="5"/>
  <c r="N1824" i="5"/>
  <c r="M1824" i="5"/>
  <c r="K1824" i="5"/>
  <c r="J1824" i="5"/>
  <c r="I1824" i="5"/>
  <c r="H1824" i="5"/>
  <c r="G1824" i="5"/>
  <c r="E1824" i="5"/>
  <c r="F1824" i="5" s="1"/>
  <c r="W1823" i="5"/>
  <c r="U1823" i="5"/>
  <c r="T1823" i="5"/>
  <c r="O1823" i="5"/>
  <c r="N1823" i="5"/>
  <c r="M1823" i="5"/>
  <c r="K1823" i="5"/>
  <c r="J1823" i="5"/>
  <c r="I1823" i="5"/>
  <c r="H1823" i="5"/>
  <c r="G1823" i="5"/>
  <c r="E1823" i="5"/>
  <c r="F1823" i="5" s="1"/>
  <c r="W1822" i="5"/>
  <c r="U1822" i="5"/>
  <c r="T1822" i="5"/>
  <c r="O1822" i="5"/>
  <c r="N1822" i="5"/>
  <c r="M1822" i="5"/>
  <c r="K1822" i="5"/>
  <c r="J1822" i="5"/>
  <c r="I1822" i="5"/>
  <c r="H1822" i="5"/>
  <c r="G1822" i="5"/>
  <c r="E1822" i="5"/>
  <c r="F1822" i="5" s="1"/>
  <c r="W1821" i="5"/>
  <c r="U1821" i="5"/>
  <c r="T1821" i="5"/>
  <c r="O1821" i="5"/>
  <c r="N1821" i="5"/>
  <c r="M1821" i="5"/>
  <c r="K1821" i="5"/>
  <c r="J1821" i="5"/>
  <c r="I1821" i="5"/>
  <c r="H1821" i="5"/>
  <c r="G1821" i="5"/>
  <c r="E1821" i="5"/>
  <c r="F1821" i="5" s="1"/>
  <c r="W1820" i="5"/>
  <c r="U1820" i="5"/>
  <c r="T1820" i="5"/>
  <c r="O1820" i="5"/>
  <c r="N1820" i="5"/>
  <c r="M1820" i="5"/>
  <c r="K1820" i="5"/>
  <c r="J1820" i="5"/>
  <c r="I1820" i="5"/>
  <c r="H1820" i="5"/>
  <c r="G1820" i="5"/>
  <c r="E1820" i="5"/>
  <c r="F1820" i="5" s="1"/>
  <c r="W1819" i="5"/>
  <c r="U1819" i="5"/>
  <c r="T1819" i="5"/>
  <c r="O1819" i="5"/>
  <c r="N1819" i="5"/>
  <c r="M1819" i="5"/>
  <c r="K1819" i="5"/>
  <c r="J1819" i="5"/>
  <c r="I1819" i="5"/>
  <c r="H1819" i="5"/>
  <c r="G1819" i="5"/>
  <c r="E1819" i="5"/>
  <c r="F1819" i="5" s="1"/>
  <c r="W1818" i="5"/>
  <c r="U1818" i="5"/>
  <c r="T1818" i="5"/>
  <c r="O1818" i="5"/>
  <c r="N1818" i="5"/>
  <c r="M1818" i="5"/>
  <c r="K1818" i="5"/>
  <c r="J1818" i="5"/>
  <c r="I1818" i="5"/>
  <c r="H1818" i="5"/>
  <c r="G1818" i="5"/>
  <c r="E1818" i="5"/>
  <c r="F1818" i="5" s="1"/>
  <c r="W1817" i="5"/>
  <c r="U1817" i="5"/>
  <c r="T1817" i="5"/>
  <c r="O1817" i="5"/>
  <c r="N1817" i="5"/>
  <c r="M1817" i="5"/>
  <c r="K1817" i="5"/>
  <c r="J1817" i="5"/>
  <c r="I1817" i="5"/>
  <c r="H1817" i="5"/>
  <c r="G1817" i="5"/>
  <c r="E1817" i="5"/>
  <c r="F1817" i="5" s="1"/>
  <c r="W1816" i="5"/>
  <c r="U1816" i="5"/>
  <c r="T1816" i="5"/>
  <c r="O1816" i="5"/>
  <c r="N1816" i="5"/>
  <c r="M1816" i="5"/>
  <c r="K1816" i="5"/>
  <c r="J1816" i="5"/>
  <c r="I1816" i="5"/>
  <c r="H1816" i="5"/>
  <c r="G1816" i="5"/>
  <c r="E1816" i="5"/>
  <c r="F1816" i="5" s="1"/>
  <c r="W1815" i="5"/>
  <c r="U1815" i="5"/>
  <c r="T1815" i="5"/>
  <c r="O1815" i="5"/>
  <c r="N1815" i="5"/>
  <c r="M1815" i="5"/>
  <c r="K1815" i="5"/>
  <c r="J1815" i="5"/>
  <c r="I1815" i="5"/>
  <c r="H1815" i="5"/>
  <c r="G1815" i="5"/>
  <c r="E1815" i="5"/>
  <c r="F1815" i="5" s="1"/>
  <c r="W1814" i="5"/>
  <c r="U1814" i="5"/>
  <c r="T1814" i="5"/>
  <c r="O1814" i="5"/>
  <c r="N1814" i="5"/>
  <c r="M1814" i="5"/>
  <c r="K1814" i="5"/>
  <c r="J1814" i="5"/>
  <c r="I1814" i="5"/>
  <c r="H1814" i="5"/>
  <c r="G1814" i="5"/>
  <c r="E1814" i="5"/>
  <c r="F1814" i="5" s="1"/>
  <c r="W1813" i="5"/>
  <c r="U1813" i="5"/>
  <c r="T1813" i="5"/>
  <c r="O1813" i="5"/>
  <c r="N1813" i="5"/>
  <c r="M1813" i="5"/>
  <c r="K1813" i="5"/>
  <c r="J1813" i="5"/>
  <c r="I1813" i="5"/>
  <c r="H1813" i="5"/>
  <c r="G1813" i="5"/>
  <c r="E1813" i="5"/>
  <c r="F1813" i="5" s="1"/>
  <c r="W1812" i="5"/>
  <c r="U1812" i="5"/>
  <c r="T1812" i="5"/>
  <c r="O1812" i="5"/>
  <c r="N1812" i="5"/>
  <c r="M1812" i="5"/>
  <c r="K1812" i="5"/>
  <c r="J1812" i="5"/>
  <c r="I1812" i="5"/>
  <c r="H1812" i="5"/>
  <c r="G1812" i="5"/>
  <c r="E1812" i="5"/>
  <c r="F1812" i="5" s="1"/>
  <c r="W1811" i="5"/>
  <c r="U1811" i="5"/>
  <c r="T1811" i="5"/>
  <c r="O1811" i="5"/>
  <c r="N1811" i="5"/>
  <c r="M1811" i="5"/>
  <c r="K1811" i="5"/>
  <c r="J1811" i="5"/>
  <c r="I1811" i="5"/>
  <c r="H1811" i="5"/>
  <c r="G1811" i="5"/>
  <c r="E1811" i="5"/>
  <c r="F1811" i="5" s="1"/>
  <c r="W1810" i="5"/>
  <c r="U1810" i="5"/>
  <c r="T1810" i="5"/>
  <c r="O1810" i="5"/>
  <c r="N1810" i="5"/>
  <c r="M1810" i="5"/>
  <c r="K1810" i="5"/>
  <c r="J1810" i="5"/>
  <c r="I1810" i="5"/>
  <c r="H1810" i="5"/>
  <c r="G1810" i="5"/>
  <c r="E1810" i="5"/>
  <c r="F1810" i="5" s="1"/>
  <c r="W1809" i="5"/>
  <c r="U1809" i="5"/>
  <c r="T1809" i="5"/>
  <c r="O1809" i="5"/>
  <c r="N1809" i="5"/>
  <c r="M1809" i="5"/>
  <c r="K1809" i="5"/>
  <c r="J1809" i="5"/>
  <c r="I1809" i="5"/>
  <c r="H1809" i="5"/>
  <c r="G1809" i="5"/>
  <c r="E1809" i="5"/>
  <c r="F1809" i="5" s="1"/>
  <c r="W1808" i="5"/>
  <c r="U1808" i="5"/>
  <c r="T1808" i="5"/>
  <c r="O1808" i="5"/>
  <c r="N1808" i="5"/>
  <c r="M1808" i="5"/>
  <c r="K1808" i="5"/>
  <c r="J1808" i="5"/>
  <c r="I1808" i="5"/>
  <c r="H1808" i="5"/>
  <c r="G1808" i="5"/>
  <c r="E1808" i="5"/>
  <c r="F1808" i="5" s="1"/>
  <c r="W1807" i="5"/>
  <c r="U1807" i="5"/>
  <c r="T1807" i="5"/>
  <c r="O1807" i="5"/>
  <c r="N1807" i="5"/>
  <c r="M1807" i="5"/>
  <c r="K1807" i="5"/>
  <c r="J1807" i="5"/>
  <c r="I1807" i="5"/>
  <c r="H1807" i="5"/>
  <c r="G1807" i="5"/>
  <c r="E1807" i="5"/>
  <c r="F1807" i="5" s="1"/>
  <c r="W1806" i="5"/>
  <c r="U1806" i="5"/>
  <c r="T1806" i="5"/>
  <c r="O1806" i="5"/>
  <c r="N1806" i="5"/>
  <c r="M1806" i="5"/>
  <c r="K1806" i="5"/>
  <c r="J1806" i="5"/>
  <c r="I1806" i="5"/>
  <c r="H1806" i="5"/>
  <c r="G1806" i="5"/>
  <c r="E1806" i="5"/>
  <c r="F1806" i="5" s="1"/>
  <c r="W1805" i="5"/>
  <c r="U1805" i="5"/>
  <c r="T1805" i="5"/>
  <c r="O1805" i="5"/>
  <c r="N1805" i="5"/>
  <c r="M1805" i="5"/>
  <c r="K1805" i="5"/>
  <c r="J1805" i="5"/>
  <c r="I1805" i="5"/>
  <c r="H1805" i="5"/>
  <c r="G1805" i="5"/>
  <c r="E1805" i="5"/>
  <c r="F1805" i="5" s="1"/>
  <c r="W1804" i="5"/>
  <c r="U1804" i="5"/>
  <c r="T1804" i="5"/>
  <c r="O1804" i="5"/>
  <c r="N1804" i="5"/>
  <c r="M1804" i="5"/>
  <c r="K1804" i="5"/>
  <c r="J1804" i="5"/>
  <c r="I1804" i="5"/>
  <c r="H1804" i="5"/>
  <c r="G1804" i="5"/>
  <c r="E1804" i="5"/>
  <c r="F1804" i="5" s="1"/>
  <c r="W1803" i="5"/>
  <c r="U1803" i="5"/>
  <c r="T1803" i="5"/>
  <c r="O1803" i="5"/>
  <c r="N1803" i="5"/>
  <c r="M1803" i="5"/>
  <c r="K1803" i="5"/>
  <c r="J1803" i="5"/>
  <c r="I1803" i="5"/>
  <c r="H1803" i="5"/>
  <c r="G1803" i="5"/>
  <c r="E1803" i="5"/>
  <c r="F1803" i="5" s="1"/>
  <c r="W1802" i="5"/>
  <c r="U1802" i="5"/>
  <c r="T1802" i="5"/>
  <c r="O1802" i="5"/>
  <c r="N1802" i="5"/>
  <c r="M1802" i="5"/>
  <c r="K1802" i="5"/>
  <c r="J1802" i="5"/>
  <c r="I1802" i="5"/>
  <c r="H1802" i="5"/>
  <c r="G1802" i="5"/>
  <c r="E1802" i="5"/>
  <c r="F1802" i="5" s="1"/>
  <c r="W1801" i="5"/>
  <c r="U1801" i="5"/>
  <c r="T1801" i="5"/>
  <c r="O1801" i="5"/>
  <c r="N1801" i="5"/>
  <c r="M1801" i="5"/>
  <c r="K1801" i="5"/>
  <c r="J1801" i="5"/>
  <c r="I1801" i="5"/>
  <c r="H1801" i="5"/>
  <c r="G1801" i="5"/>
  <c r="E1801" i="5"/>
  <c r="F1801" i="5" s="1"/>
  <c r="W1800" i="5"/>
  <c r="U1800" i="5"/>
  <c r="T1800" i="5"/>
  <c r="O1800" i="5"/>
  <c r="N1800" i="5"/>
  <c r="M1800" i="5"/>
  <c r="K1800" i="5"/>
  <c r="J1800" i="5"/>
  <c r="I1800" i="5"/>
  <c r="H1800" i="5"/>
  <c r="G1800" i="5"/>
  <c r="E1800" i="5"/>
  <c r="F1800" i="5" s="1"/>
  <c r="W1799" i="5"/>
  <c r="U1799" i="5"/>
  <c r="T1799" i="5"/>
  <c r="O1799" i="5"/>
  <c r="N1799" i="5"/>
  <c r="M1799" i="5"/>
  <c r="K1799" i="5"/>
  <c r="J1799" i="5"/>
  <c r="I1799" i="5"/>
  <c r="H1799" i="5"/>
  <c r="G1799" i="5"/>
  <c r="E1799" i="5"/>
  <c r="F1799" i="5" s="1"/>
  <c r="W1798" i="5"/>
  <c r="U1798" i="5"/>
  <c r="T1798" i="5"/>
  <c r="O1798" i="5"/>
  <c r="N1798" i="5"/>
  <c r="M1798" i="5"/>
  <c r="K1798" i="5"/>
  <c r="J1798" i="5"/>
  <c r="I1798" i="5"/>
  <c r="H1798" i="5"/>
  <c r="G1798" i="5"/>
  <c r="E1798" i="5"/>
  <c r="F1798" i="5" s="1"/>
  <c r="W1797" i="5"/>
  <c r="U1797" i="5"/>
  <c r="T1797" i="5"/>
  <c r="O1797" i="5"/>
  <c r="N1797" i="5"/>
  <c r="M1797" i="5"/>
  <c r="K1797" i="5"/>
  <c r="J1797" i="5"/>
  <c r="I1797" i="5"/>
  <c r="H1797" i="5"/>
  <c r="G1797" i="5"/>
  <c r="E1797" i="5"/>
  <c r="F1797" i="5" s="1"/>
  <c r="W1796" i="5"/>
  <c r="U1796" i="5"/>
  <c r="T1796" i="5"/>
  <c r="O1796" i="5"/>
  <c r="N1796" i="5"/>
  <c r="M1796" i="5"/>
  <c r="K1796" i="5"/>
  <c r="J1796" i="5"/>
  <c r="I1796" i="5"/>
  <c r="H1796" i="5"/>
  <c r="G1796" i="5"/>
  <c r="E1796" i="5"/>
  <c r="F1796" i="5" s="1"/>
  <c r="W1795" i="5"/>
  <c r="U1795" i="5"/>
  <c r="T1795" i="5"/>
  <c r="O1795" i="5"/>
  <c r="N1795" i="5"/>
  <c r="M1795" i="5"/>
  <c r="K1795" i="5"/>
  <c r="J1795" i="5"/>
  <c r="I1795" i="5"/>
  <c r="H1795" i="5"/>
  <c r="G1795" i="5"/>
  <c r="E1795" i="5"/>
  <c r="F1795" i="5" s="1"/>
  <c r="W1794" i="5"/>
  <c r="U1794" i="5"/>
  <c r="T1794" i="5"/>
  <c r="O1794" i="5"/>
  <c r="N1794" i="5"/>
  <c r="M1794" i="5"/>
  <c r="K1794" i="5"/>
  <c r="J1794" i="5"/>
  <c r="I1794" i="5"/>
  <c r="H1794" i="5"/>
  <c r="G1794" i="5"/>
  <c r="E1794" i="5"/>
  <c r="F1794" i="5" s="1"/>
  <c r="W1793" i="5"/>
  <c r="U1793" i="5"/>
  <c r="T1793" i="5"/>
  <c r="O1793" i="5"/>
  <c r="N1793" i="5"/>
  <c r="M1793" i="5"/>
  <c r="K1793" i="5"/>
  <c r="J1793" i="5"/>
  <c r="I1793" i="5"/>
  <c r="H1793" i="5"/>
  <c r="G1793" i="5"/>
  <c r="E1793" i="5"/>
  <c r="F1793" i="5" s="1"/>
  <c r="W1792" i="5"/>
  <c r="U1792" i="5"/>
  <c r="T1792" i="5"/>
  <c r="O1792" i="5"/>
  <c r="N1792" i="5"/>
  <c r="M1792" i="5"/>
  <c r="K1792" i="5"/>
  <c r="J1792" i="5"/>
  <c r="I1792" i="5"/>
  <c r="H1792" i="5"/>
  <c r="G1792" i="5"/>
  <c r="E1792" i="5"/>
  <c r="F1792" i="5" s="1"/>
  <c r="W1791" i="5"/>
  <c r="U1791" i="5"/>
  <c r="T1791" i="5"/>
  <c r="O1791" i="5"/>
  <c r="N1791" i="5"/>
  <c r="M1791" i="5"/>
  <c r="K1791" i="5"/>
  <c r="J1791" i="5"/>
  <c r="I1791" i="5"/>
  <c r="H1791" i="5"/>
  <c r="G1791" i="5"/>
  <c r="E1791" i="5"/>
  <c r="F1791" i="5" s="1"/>
  <c r="W1790" i="5"/>
  <c r="U1790" i="5"/>
  <c r="T1790" i="5"/>
  <c r="O1790" i="5"/>
  <c r="N1790" i="5"/>
  <c r="M1790" i="5"/>
  <c r="K1790" i="5"/>
  <c r="J1790" i="5"/>
  <c r="I1790" i="5"/>
  <c r="H1790" i="5"/>
  <c r="G1790" i="5"/>
  <c r="E1790" i="5"/>
  <c r="F1790" i="5" s="1"/>
  <c r="W1789" i="5"/>
  <c r="U1789" i="5"/>
  <c r="T1789" i="5"/>
  <c r="O1789" i="5"/>
  <c r="N1789" i="5"/>
  <c r="M1789" i="5"/>
  <c r="K1789" i="5"/>
  <c r="J1789" i="5"/>
  <c r="I1789" i="5"/>
  <c r="H1789" i="5"/>
  <c r="G1789" i="5"/>
  <c r="E1789" i="5"/>
  <c r="F1789" i="5" s="1"/>
  <c r="W1788" i="5"/>
  <c r="U1788" i="5"/>
  <c r="T1788" i="5"/>
  <c r="O1788" i="5"/>
  <c r="N1788" i="5"/>
  <c r="M1788" i="5"/>
  <c r="K1788" i="5"/>
  <c r="J1788" i="5"/>
  <c r="I1788" i="5"/>
  <c r="H1788" i="5"/>
  <c r="G1788" i="5"/>
  <c r="E1788" i="5"/>
  <c r="F1788" i="5" s="1"/>
  <c r="W1787" i="5"/>
  <c r="U1787" i="5"/>
  <c r="T1787" i="5"/>
  <c r="O1787" i="5"/>
  <c r="N1787" i="5"/>
  <c r="M1787" i="5"/>
  <c r="K1787" i="5"/>
  <c r="J1787" i="5"/>
  <c r="I1787" i="5"/>
  <c r="H1787" i="5"/>
  <c r="G1787" i="5"/>
  <c r="E1787" i="5"/>
  <c r="F1787" i="5" s="1"/>
  <c r="W1786" i="5"/>
  <c r="U1786" i="5"/>
  <c r="T1786" i="5"/>
  <c r="O1786" i="5"/>
  <c r="N1786" i="5"/>
  <c r="M1786" i="5"/>
  <c r="K1786" i="5"/>
  <c r="J1786" i="5"/>
  <c r="I1786" i="5"/>
  <c r="H1786" i="5"/>
  <c r="G1786" i="5"/>
  <c r="E1786" i="5"/>
  <c r="F1786" i="5" s="1"/>
  <c r="W1785" i="5"/>
  <c r="U1785" i="5"/>
  <c r="T1785" i="5"/>
  <c r="O1785" i="5"/>
  <c r="N1785" i="5"/>
  <c r="M1785" i="5"/>
  <c r="K1785" i="5"/>
  <c r="J1785" i="5"/>
  <c r="I1785" i="5"/>
  <c r="H1785" i="5"/>
  <c r="G1785" i="5"/>
  <c r="E1785" i="5"/>
  <c r="F1785" i="5" s="1"/>
  <c r="W1784" i="5"/>
  <c r="U1784" i="5"/>
  <c r="T1784" i="5"/>
  <c r="O1784" i="5"/>
  <c r="N1784" i="5"/>
  <c r="M1784" i="5"/>
  <c r="K1784" i="5"/>
  <c r="J1784" i="5"/>
  <c r="I1784" i="5"/>
  <c r="H1784" i="5"/>
  <c r="G1784" i="5"/>
  <c r="E1784" i="5"/>
  <c r="F1784" i="5" s="1"/>
  <c r="W1783" i="5"/>
  <c r="U1783" i="5"/>
  <c r="T1783" i="5"/>
  <c r="O1783" i="5"/>
  <c r="N1783" i="5"/>
  <c r="M1783" i="5"/>
  <c r="K1783" i="5"/>
  <c r="J1783" i="5"/>
  <c r="I1783" i="5"/>
  <c r="H1783" i="5"/>
  <c r="G1783" i="5"/>
  <c r="E1783" i="5"/>
  <c r="F1783" i="5" s="1"/>
  <c r="W1782" i="5"/>
  <c r="U1782" i="5"/>
  <c r="T1782" i="5"/>
  <c r="O1782" i="5"/>
  <c r="N1782" i="5"/>
  <c r="M1782" i="5"/>
  <c r="K1782" i="5"/>
  <c r="J1782" i="5"/>
  <c r="I1782" i="5"/>
  <c r="H1782" i="5"/>
  <c r="G1782" i="5"/>
  <c r="E1782" i="5"/>
  <c r="F1782" i="5" s="1"/>
  <c r="W1781" i="5"/>
  <c r="U1781" i="5"/>
  <c r="T1781" i="5"/>
  <c r="O1781" i="5"/>
  <c r="N1781" i="5"/>
  <c r="M1781" i="5"/>
  <c r="K1781" i="5"/>
  <c r="J1781" i="5"/>
  <c r="I1781" i="5"/>
  <c r="H1781" i="5"/>
  <c r="G1781" i="5"/>
  <c r="E1781" i="5"/>
  <c r="F1781" i="5" s="1"/>
  <c r="W1780" i="5"/>
  <c r="U1780" i="5"/>
  <c r="T1780" i="5"/>
  <c r="O1780" i="5"/>
  <c r="N1780" i="5"/>
  <c r="M1780" i="5"/>
  <c r="K1780" i="5"/>
  <c r="J1780" i="5"/>
  <c r="I1780" i="5"/>
  <c r="H1780" i="5"/>
  <c r="G1780" i="5"/>
  <c r="E1780" i="5"/>
  <c r="F1780" i="5" s="1"/>
  <c r="W1779" i="5"/>
  <c r="U1779" i="5"/>
  <c r="T1779" i="5"/>
  <c r="O1779" i="5"/>
  <c r="N1779" i="5"/>
  <c r="M1779" i="5"/>
  <c r="K1779" i="5"/>
  <c r="J1779" i="5"/>
  <c r="I1779" i="5"/>
  <c r="H1779" i="5"/>
  <c r="G1779" i="5"/>
  <c r="F1779" i="5"/>
  <c r="W1778" i="5"/>
  <c r="U1778" i="5"/>
  <c r="T1778" i="5"/>
  <c r="O1778" i="5"/>
  <c r="N1778" i="5"/>
  <c r="M1778" i="5"/>
  <c r="K1778" i="5"/>
  <c r="J1778" i="5"/>
  <c r="I1778" i="5"/>
  <c r="H1778" i="5"/>
  <c r="G1778" i="5"/>
  <c r="E1778" i="5"/>
  <c r="F1778" i="5" s="1"/>
  <c r="U1777" i="5"/>
  <c r="T1777" i="5"/>
  <c r="O1777" i="5"/>
  <c r="N1777" i="5"/>
  <c r="M1777" i="5"/>
  <c r="L1777" i="5"/>
  <c r="K1777" i="5"/>
  <c r="J1777" i="5"/>
  <c r="I1777" i="5"/>
  <c r="H1777" i="5"/>
  <c r="G1777" i="5"/>
  <c r="E1777" i="5"/>
  <c r="B1777" i="5"/>
  <c r="U1776" i="5"/>
  <c r="T1776" i="5"/>
  <c r="O1776" i="5"/>
  <c r="N1776" i="5"/>
  <c r="M1776" i="5"/>
  <c r="L1776" i="5"/>
  <c r="K1776" i="5"/>
  <c r="J1776" i="5"/>
  <c r="I1776" i="5"/>
  <c r="H1776" i="5"/>
  <c r="G1776" i="5"/>
  <c r="E1776" i="5"/>
  <c r="F1776" i="5" s="1"/>
  <c r="B1776" i="5"/>
  <c r="U1775" i="5"/>
  <c r="T1775" i="5"/>
  <c r="O1775" i="5"/>
  <c r="N1775" i="5"/>
  <c r="M1775" i="5"/>
  <c r="L1775" i="5"/>
  <c r="K1775" i="5"/>
  <c r="J1775" i="5"/>
  <c r="I1775" i="5"/>
  <c r="H1775" i="5"/>
  <c r="G1775" i="5"/>
  <c r="E1775" i="5"/>
  <c r="F1775" i="5" s="1"/>
  <c r="B1775" i="5"/>
  <c r="U1774" i="5"/>
  <c r="T1774" i="5"/>
  <c r="O1774" i="5"/>
  <c r="N1774" i="5"/>
  <c r="M1774" i="5"/>
  <c r="L1774" i="5"/>
  <c r="K1774" i="5"/>
  <c r="J1774" i="5"/>
  <c r="I1774" i="5"/>
  <c r="H1774" i="5"/>
  <c r="G1774" i="5"/>
  <c r="E1774" i="5"/>
  <c r="F1774" i="5" s="1"/>
  <c r="B1774" i="5"/>
  <c r="U1773" i="5"/>
  <c r="T1773" i="5"/>
  <c r="O1773" i="5"/>
  <c r="N1773" i="5"/>
  <c r="M1773" i="5"/>
  <c r="L1773" i="5"/>
  <c r="K1773" i="5"/>
  <c r="J1773" i="5"/>
  <c r="I1773" i="5"/>
  <c r="H1773" i="5"/>
  <c r="G1773" i="5"/>
  <c r="E1773" i="5"/>
  <c r="F1773" i="5" s="1"/>
  <c r="B1773" i="5"/>
  <c r="U1772" i="5"/>
  <c r="T1772" i="5"/>
  <c r="O1772" i="5"/>
  <c r="N1772" i="5"/>
  <c r="M1772" i="5"/>
  <c r="L1772" i="5"/>
  <c r="K1772" i="5"/>
  <c r="J1772" i="5"/>
  <c r="I1772" i="5"/>
  <c r="H1772" i="5"/>
  <c r="G1772" i="5"/>
  <c r="E1772" i="5"/>
  <c r="F1772" i="5" s="1"/>
  <c r="B1772" i="5"/>
  <c r="U1771" i="5"/>
  <c r="T1771" i="5"/>
  <c r="O1771" i="5"/>
  <c r="N1771" i="5"/>
  <c r="M1771" i="5"/>
  <c r="L1771" i="5"/>
  <c r="K1771" i="5"/>
  <c r="J1771" i="5"/>
  <c r="I1771" i="5"/>
  <c r="H1771" i="5"/>
  <c r="G1771" i="5"/>
  <c r="E1771" i="5"/>
  <c r="F1771" i="5" s="1"/>
  <c r="B1771" i="5"/>
  <c r="U1770" i="5"/>
  <c r="T1770" i="5"/>
  <c r="O1770" i="5"/>
  <c r="N1770" i="5"/>
  <c r="M1770" i="5"/>
  <c r="L1770" i="5"/>
  <c r="K1770" i="5"/>
  <c r="J1770" i="5"/>
  <c r="I1770" i="5"/>
  <c r="H1770" i="5"/>
  <c r="G1770" i="5"/>
  <c r="E1770" i="5"/>
  <c r="F1770" i="5" s="1"/>
  <c r="B1770" i="5"/>
  <c r="U1769" i="5"/>
  <c r="T1769" i="5"/>
  <c r="O1769" i="5"/>
  <c r="N1769" i="5"/>
  <c r="M1769" i="5"/>
  <c r="L1769" i="5"/>
  <c r="K1769" i="5"/>
  <c r="J1769" i="5"/>
  <c r="I1769" i="5"/>
  <c r="H1769" i="5"/>
  <c r="G1769" i="5"/>
  <c r="E1769" i="5"/>
  <c r="F1769" i="5" s="1"/>
  <c r="B1769" i="5"/>
  <c r="U1768" i="5"/>
  <c r="T1768" i="5"/>
  <c r="O1768" i="5"/>
  <c r="N1768" i="5"/>
  <c r="M1768" i="5"/>
  <c r="L1768" i="5"/>
  <c r="K1768" i="5"/>
  <c r="J1768" i="5"/>
  <c r="I1768" i="5"/>
  <c r="H1768" i="5"/>
  <c r="G1768" i="5"/>
  <c r="E1768" i="5"/>
  <c r="F1768" i="5" s="1"/>
  <c r="B1768" i="5"/>
  <c r="U1767" i="5"/>
  <c r="T1767" i="5"/>
  <c r="O1767" i="5"/>
  <c r="N1767" i="5"/>
  <c r="M1767" i="5"/>
  <c r="L1767" i="5"/>
  <c r="K1767" i="5"/>
  <c r="J1767" i="5"/>
  <c r="I1767" i="5"/>
  <c r="H1767" i="5"/>
  <c r="G1767" i="5"/>
  <c r="E1767" i="5"/>
  <c r="F1767" i="5" s="1"/>
  <c r="B1767" i="5"/>
  <c r="U1766" i="5"/>
  <c r="T1766" i="5"/>
  <c r="O1766" i="5"/>
  <c r="N1766" i="5"/>
  <c r="M1766" i="5"/>
  <c r="L1766" i="5"/>
  <c r="K1766" i="5"/>
  <c r="J1766" i="5"/>
  <c r="I1766" i="5"/>
  <c r="H1766" i="5"/>
  <c r="G1766" i="5"/>
  <c r="E1766" i="5"/>
  <c r="F1766" i="5" s="1"/>
  <c r="B1766" i="5"/>
  <c r="U1765" i="5"/>
  <c r="T1765" i="5"/>
  <c r="O1765" i="5"/>
  <c r="N1765" i="5"/>
  <c r="M1765" i="5"/>
  <c r="L1765" i="5"/>
  <c r="K1765" i="5"/>
  <c r="J1765" i="5"/>
  <c r="I1765" i="5"/>
  <c r="H1765" i="5"/>
  <c r="G1765" i="5"/>
  <c r="E1765" i="5"/>
  <c r="B1765" i="5"/>
  <c r="U1764" i="5"/>
  <c r="T1764" i="5"/>
  <c r="O1764" i="5"/>
  <c r="N1764" i="5"/>
  <c r="M1764" i="5"/>
  <c r="L1764" i="5"/>
  <c r="K1764" i="5"/>
  <c r="J1764" i="5"/>
  <c r="I1764" i="5"/>
  <c r="H1764" i="5"/>
  <c r="G1764" i="5"/>
  <c r="E1764" i="5"/>
  <c r="F1764" i="5" s="1"/>
  <c r="B1764" i="5"/>
  <c r="U1763" i="5"/>
  <c r="T1763" i="5"/>
  <c r="O1763" i="5"/>
  <c r="N1763" i="5"/>
  <c r="M1763" i="5"/>
  <c r="L1763" i="5"/>
  <c r="K1763" i="5"/>
  <c r="J1763" i="5"/>
  <c r="I1763" i="5"/>
  <c r="H1763" i="5"/>
  <c r="G1763" i="5"/>
  <c r="E1763" i="5"/>
  <c r="F1763" i="5" s="1"/>
  <c r="B1763" i="5"/>
  <c r="U1762" i="5"/>
  <c r="T1762" i="5"/>
  <c r="O1762" i="5"/>
  <c r="N1762" i="5"/>
  <c r="M1762" i="5"/>
  <c r="L1762" i="5"/>
  <c r="K1762" i="5"/>
  <c r="J1762" i="5"/>
  <c r="I1762" i="5"/>
  <c r="H1762" i="5"/>
  <c r="G1762" i="5"/>
  <c r="E1762" i="5"/>
  <c r="F1762" i="5" s="1"/>
  <c r="B1762" i="5"/>
  <c r="U1761" i="5"/>
  <c r="T1761" i="5"/>
  <c r="O1761" i="5"/>
  <c r="N1761" i="5"/>
  <c r="M1761" i="5"/>
  <c r="L1761" i="5"/>
  <c r="K1761" i="5"/>
  <c r="J1761" i="5"/>
  <c r="I1761" i="5"/>
  <c r="H1761" i="5"/>
  <c r="G1761" i="5"/>
  <c r="E1761" i="5"/>
  <c r="F1761" i="5" s="1"/>
  <c r="B1761" i="5"/>
  <c r="U1760" i="5"/>
  <c r="T1760" i="5"/>
  <c r="O1760" i="5"/>
  <c r="N1760" i="5"/>
  <c r="M1760" i="5"/>
  <c r="L1760" i="5"/>
  <c r="K1760" i="5"/>
  <c r="J1760" i="5"/>
  <c r="I1760" i="5"/>
  <c r="H1760" i="5"/>
  <c r="G1760" i="5"/>
  <c r="E1760" i="5"/>
  <c r="F1760" i="5" s="1"/>
  <c r="B1760" i="5"/>
  <c r="U1759" i="5"/>
  <c r="T1759" i="5"/>
  <c r="O1759" i="5"/>
  <c r="N1759" i="5"/>
  <c r="M1759" i="5"/>
  <c r="L1759" i="5"/>
  <c r="K1759" i="5"/>
  <c r="J1759" i="5"/>
  <c r="I1759" i="5"/>
  <c r="H1759" i="5"/>
  <c r="G1759" i="5"/>
  <c r="E1759" i="5"/>
  <c r="F1759" i="5" s="1"/>
  <c r="B1759" i="5"/>
  <c r="U1758" i="5"/>
  <c r="T1758" i="5"/>
  <c r="O1758" i="5"/>
  <c r="N1758" i="5"/>
  <c r="M1758" i="5"/>
  <c r="L1758" i="5"/>
  <c r="K1758" i="5"/>
  <c r="J1758" i="5"/>
  <c r="I1758" i="5"/>
  <c r="H1758" i="5"/>
  <c r="G1758" i="5"/>
  <c r="E1758" i="5"/>
  <c r="F1758" i="5" s="1"/>
  <c r="B1758" i="5"/>
  <c r="U1757" i="5"/>
  <c r="T1757" i="5"/>
  <c r="O1757" i="5"/>
  <c r="N1757" i="5"/>
  <c r="M1757" i="5"/>
  <c r="L1757" i="5"/>
  <c r="K1757" i="5"/>
  <c r="J1757" i="5"/>
  <c r="I1757" i="5"/>
  <c r="H1757" i="5"/>
  <c r="G1757" i="5"/>
  <c r="E1757" i="5"/>
  <c r="F1757" i="5" s="1"/>
  <c r="B1757" i="5"/>
  <c r="U1756" i="5"/>
  <c r="T1756" i="5"/>
  <c r="O1756" i="5"/>
  <c r="N1756" i="5"/>
  <c r="M1756" i="5"/>
  <c r="L1756" i="5"/>
  <c r="K1756" i="5"/>
  <c r="J1756" i="5"/>
  <c r="I1756" i="5"/>
  <c r="H1756" i="5"/>
  <c r="G1756" i="5"/>
  <c r="E1756" i="5"/>
  <c r="F1756" i="5" s="1"/>
  <c r="B1756" i="5"/>
  <c r="U1755" i="5"/>
  <c r="T1755" i="5"/>
  <c r="O1755" i="5"/>
  <c r="N1755" i="5"/>
  <c r="M1755" i="5"/>
  <c r="L1755" i="5"/>
  <c r="K1755" i="5"/>
  <c r="J1755" i="5"/>
  <c r="I1755" i="5"/>
  <c r="H1755" i="5"/>
  <c r="G1755" i="5"/>
  <c r="E1755" i="5"/>
  <c r="F1755" i="5" s="1"/>
  <c r="B1755" i="5"/>
  <c r="U1754" i="5"/>
  <c r="T1754" i="5"/>
  <c r="O1754" i="5"/>
  <c r="N1754" i="5"/>
  <c r="M1754" i="5"/>
  <c r="L1754" i="5"/>
  <c r="K1754" i="5"/>
  <c r="J1754" i="5"/>
  <c r="I1754" i="5"/>
  <c r="H1754" i="5"/>
  <c r="G1754" i="5"/>
  <c r="E1754" i="5"/>
  <c r="F1754" i="5" s="1"/>
  <c r="B1754" i="5"/>
  <c r="U1753" i="5"/>
  <c r="T1753" i="5"/>
  <c r="O1753" i="5"/>
  <c r="N1753" i="5"/>
  <c r="M1753" i="5"/>
  <c r="L1753" i="5"/>
  <c r="K1753" i="5"/>
  <c r="J1753" i="5"/>
  <c r="I1753" i="5"/>
  <c r="H1753" i="5"/>
  <c r="G1753" i="5"/>
  <c r="E1753" i="5"/>
  <c r="F1753" i="5" s="1"/>
  <c r="B1753" i="5"/>
  <c r="U1752" i="5"/>
  <c r="T1752" i="5"/>
  <c r="O1752" i="5"/>
  <c r="N1752" i="5"/>
  <c r="M1752" i="5"/>
  <c r="L1752" i="5"/>
  <c r="K1752" i="5"/>
  <c r="J1752" i="5"/>
  <c r="I1752" i="5"/>
  <c r="H1752" i="5"/>
  <c r="G1752" i="5"/>
  <c r="E1752" i="5"/>
  <c r="B1752" i="5"/>
  <c r="U1751" i="5"/>
  <c r="T1751" i="5"/>
  <c r="O1751" i="5"/>
  <c r="N1751" i="5"/>
  <c r="M1751" i="5"/>
  <c r="L1751" i="5"/>
  <c r="K1751" i="5"/>
  <c r="J1751" i="5"/>
  <c r="I1751" i="5"/>
  <c r="H1751" i="5"/>
  <c r="G1751" i="5"/>
  <c r="E1751" i="5"/>
  <c r="F1751" i="5" s="1"/>
  <c r="B1751" i="5"/>
  <c r="U1750" i="5"/>
  <c r="T1750" i="5"/>
  <c r="O1750" i="5"/>
  <c r="N1750" i="5"/>
  <c r="M1750" i="5"/>
  <c r="L1750" i="5"/>
  <c r="K1750" i="5"/>
  <c r="J1750" i="5"/>
  <c r="I1750" i="5"/>
  <c r="H1750" i="5"/>
  <c r="G1750" i="5"/>
  <c r="E1750" i="5"/>
  <c r="F1750" i="5" s="1"/>
  <c r="B1750" i="5"/>
  <c r="U1749" i="5"/>
  <c r="T1749" i="5"/>
  <c r="O1749" i="5"/>
  <c r="N1749" i="5"/>
  <c r="M1749" i="5"/>
  <c r="L1749" i="5"/>
  <c r="K1749" i="5"/>
  <c r="J1749" i="5"/>
  <c r="I1749" i="5"/>
  <c r="H1749" i="5"/>
  <c r="G1749" i="5"/>
  <c r="E1749" i="5"/>
  <c r="F1749" i="5" s="1"/>
  <c r="B1749" i="5"/>
  <c r="U1748" i="5"/>
  <c r="T1748" i="5"/>
  <c r="O1748" i="5"/>
  <c r="N1748" i="5"/>
  <c r="M1748" i="5"/>
  <c r="L1748" i="5"/>
  <c r="K1748" i="5"/>
  <c r="J1748" i="5"/>
  <c r="I1748" i="5"/>
  <c r="H1748" i="5"/>
  <c r="G1748" i="5"/>
  <c r="E1748" i="5"/>
  <c r="F1748" i="5" s="1"/>
  <c r="B1748" i="5"/>
  <c r="U1747" i="5"/>
  <c r="T1747" i="5"/>
  <c r="O1747" i="5"/>
  <c r="N1747" i="5"/>
  <c r="M1747" i="5"/>
  <c r="L1747" i="5"/>
  <c r="K1747" i="5"/>
  <c r="J1747" i="5"/>
  <c r="I1747" i="5"/>
  <c r="H1747" i="5"/>
  <c r="G1747" i="5"/>
  <c r="E1747" i="5"/>
  <c r="F1747" i="5" s="1"/>
  <c r="B1747" i="5"/>
  <c r="U1746" i="5"/>
  <c r="T1746" i="5"/>
  <c r="O1746" i="5"/>
  <c r="N1746" i="5"/>
  <c r="M1746" i="5"/>
  <c r="L1746" i="5"/>
  <c r="K1746" i="5"/>
  <c r="J1746" i="5"/>
  <c r="I1746" i="5"/>
  <c r="H1746" i="5"/>
  <c r="G1746" i="5"/>
  <c r="E1746" i="5"/>
  <c r="F1746" i="5" s="1"/>
  <c r="B1746" i="5"/>
  <c r="W1746" i="5" s="1"/>
  <c r="U1745" i="5"/>
  <c r="T1745" i="5"/>
  <c r="O1745" i="5"/>
  <c r="N1745" i="5"/>
  <c r="M1745" i="5"/>
  <c r="L1745" i="5"/>
  <c r="K1745" i="5"/>
  <c r="J1745" i="5"/>
  <c r="I1745" i="5"/>
  <c r="H1745" i="5"/>
  <c r="G1745" i="5"/>
  <c r="E1745" i="5"/>
  <c r="B1745" i="5"/>
  <c r="U1744" i="5"/>
  <c r="T1744" i="5"/>
  <c r="O1744" i="5"/>
  <c r="N1744" i="5"/>
  <c r="M1744" i="5"/>
  <c r="L1744" i="5"/>
  <c r="K1744" i="5"/>
  <c r="J1744" i="5"/>
  <c r="I1744" i="5"/>
  <c r="H1744" i="5"/>
  <c r="G1744" i="5"/>
  <c r="E1744" i="5"/>
  <c r="B1744" i="5"/>
  <c r="U1743" i="5"/>
  <c r="T1743" i="5"/>
  <c r="O1743" i="5"/>
  <c r="N1743" i="5"/>
  <c r="M1743" i="5"/>
  <c r="L1743" i="5"/>
  <c r="K1743" i="5"/>
  <c r="J1743" i="5"/>
  <c r="I1743" i="5"/>
  <c r="H1743" i="5"/>
  <c r="G1743" i="5"/>
  <c r="E1743" i="5"/>
  <c r="F1743" i="5" s="1"/>
  <c r="B1743" i="5"/>
  <c r="U1742" i="5"/>
  <c r="T1742" i="5"/>
  <c r="O1742" i="5"/>
  <c r="N1742" i="5"/>
  <c r="M1742" i="5"/>
  <c r="L1742" i="5"/>
  <c r="K1742" i="5"/>
  <c r="J1742" i="5"/>
  <c r="I1742" i="5"/>
  <c r="H1742" i="5"/>
  <c r="G1742" i="5"/>
  <c r="E1742" i="5"/>
  <c r="F1742" i="5" s="1"/>
  <c r="B1742" i="5"/>
  <c r="U1741" i="5"/>
  <c r="T1741" i="5"/>
  <c r="O1741" i="5"/>
  <c r="N1741" i="5"/>
  <c r="M1741" i="5"/>
  <c r="L1741" i="5"/>
  <c r="K1741" i="5"/>
  <c r="J1741" i="5"/>
  <c r="I1741" i="5"/>
  <c r="H1741" i="5"/>
  <c r="G1741" i="5"/>
  <c r="E1741" i="5"/>
  <c r="F1741" i="5" s="1"/>
  <c r="B1741" i="5"/>
  <c r="U1740" i="5"/>
  <c r="T1740" i="5"/>
  <c r="O1740" i="5"/>
  <c r="N1740" i="5"/>
  <c r="M1740" i="5"/>
  <c r="L1740" i="5"/>
  <c r="K1740" i="5"/>
  <c r="J1740" i="5"/>
  <c r="I1740" i="5"/>
  <c r="H1740" i="5"/>
  <c r="G1740" i="5"/>
  <c r="E1740" i="5"/>
  <c r="F1740" i="5" s="1"/>
  <c r="B1740" i="5"/>
  <c r="U1739" i="5"/>
  <c r="T1739" i="5"/>
  <c r="O1739" i="5"/>
  <c r="N1739" i="5"/>
  <c r="M1739" i="5"/>
  <c r="L1739" i="5"/>
  <c r="K1739" i="5"/>
  <c r="J1739" i="5"/>
  <c r="I1739" i="5"/>
  <c r="H1739" i="5"/>
  <c r="G1739" i="5"/>
  <c r="E1739" i="5"/>
  <c r="F1739" i="5" s="1"/>
  <c r="B1739" i="5"/>
  <c r="U1738" i="5"/>
  <c r="T1738" i="5"/>
  <c r="O1738" i="5"/>
  <c r="N1738" i="5"/>
  <c r="M1738" i="5"/>
  <c r="L1738" i="5"/>
  <c r="K1738" i="5"/>
  <c r="J1738" i="5"/>
  <c r="I1738" i="5"/>
  <c r="H1738" i="5"/>
  <c r="G1738" i="5"/>
  <c r="E1738" i="5"/>
  <c r="F1738" i="5" s="1"/>
  <c r="B1738" i="5"/>
  <c r="U1737" i="5"/>
  <c r="T1737" i="5"/>
  <c r="O1737" i="5"/>
  <c r="N1737" i="5"/>
  <c r="M1737" i="5"/>
  <c r="L1737" i="5"/>
  <c r="K1737" i="5"/>
  <c r="J1737" i="5"/>
  <c r="I1737" i="5"/>
  <c r="H1737" i="5"/>
  <c r="G1737" i="5"/>
  <c r="E1737" i="5"/>
  <c r="F1737" i="5" s="1"/>
  <c r="B1737" i="5"/>
  <c r="U1736" i="5"/>
  <c r="T1736" i="5"/>
  <c r="O1736" i="5"/>
  <c r="N1736" i="5"/>
  <c r="M1736" i="5"/>
  <c r="L1736" i="5"/>
  <c r="K1736" i="5"/>
  <c r="J1736" i="5"/>
  <c r="I1736" i="5"/>
  <c r="H1736" i="5"/>
  <c r="G1736" i="5"/>
  <c r="E1736" i="5"/>
  <c r="F1736" i="5" s="1"/>
  <c r="B1736" i="5"/>
  <c r="U1735" i="5"/>
  <c r="T1735" i="5"/>
  <c r="O1735" i="5"/>
  <c r="N1735" i="5"/>
  <c r="M1735" i="5"/>
  <c r="L1735" i="5"/>
  <c r="K1735" i="5"/>
  <c r="J1735" i="5"/>
  <c r="I1735" i="5"/>
  <c r="H1735" i="5"/>
  <c r="G1735" i="5"/>
  <c r="E1735" i="5"/>
  <c r="B1735" i="5"/>
  <c r="U1734" i="5"/>
  <c r="T1734" i="5"/>
  <c r="O1734" i="5"/>
  <c r="N1734" i="5"/>
  <c r="M1734" i="5"/>
  <c r="L1734" i="5"/>
  <c r="K1734" i="5"/>
  <c r="J1734" i="5"/>
  <c r="I1734" i="5"/>
  <c r="H1734" i="5"/>
  <c r="G1734" i="5"/>
  <c r="E1734" i="5"/>
  <c r="F1734" i="5" s="1"/>
  <c r="B1734" i="5"/>
  <c r="U1733" i="5"/>
  <c r="T1733" i="5"/>
  <c r="O1733" i="5"/>
  <c r="N1733" i="5"/>
  <c r="M1733" i="5"/>
  <c r="L1733" i="5"/>
  <c r="K1733" i="5"/>
  <c r="J1733" i="5"/>
  <c r="I1733" i="5"/>
  <c r="H1733" i="5"/>
  <c r="G1733" i="5"/>
  <c r="E1733" i="5"/>
  <c r="F1733" i="5" s="1"/>
  <c r="B1733" i="5"/>
  <c r="U1732" i="5"/>
  <c r="T1732" i="5"/>
  <c r="O1732" i="5"/>
  <c r="N1732" i="5"/>
  <c r="M1732" i="5"/>
  <c r="L1732" i="5"/>
  <c r="K1732" i="5"/>
  <c r="J1732" i="5"/>
  <c r="I1732" i="5"/>
  <c r="H1732" i="5"/>
  <c r="G1732" i="5"/>
  <c r="E1732" i="5"/>
  <c r="F1732" i="5" s="1"/>
  <c r="B1732" i="5"/>
  <c r="U1731" i="5"/>
  <c r="T1731" i="5"/>
  <c r="O1731" i="5"/>
  <c r="N1731" i="5"/>
  <c r="M1731" i="5"/>
  <c r="L1731" i="5"/>
  <c r="K1731" i="5"/>
  <c r="J1731" i="5"/>
  <c r="I1731" i="5"/>
  <c r="H1731" i="5"/>
  <c r="G1731" i="5"/>
  <c r="E1731" i="5"/>
  <c r="F1731" i="5" s="1"/>
  <c r="B1731" i="5"/>
  <c r="U1730" i="5"/>
  <c r="T1730" i="5"/>
  <c r="O1730" i="5"/>
  <c r="N1730" i="5"/>
  <c r="M1730" i="5"/>
  <c r="L1730" i="5"/>
  <c r="K1730" i="5"/>
  <c r="J1730" i="5"/>
  <c r="I1730" i="5"/>
  <c r="H1730" i="5"/>
  <c r="G1730" i="5"/>
  <c r="E1730" i="5"/>
  <c r="B1730" i="5"/>
  <c r="U1729" i="5"/>
  <c r="T1729" i="5"/>
  <c r="O1729" i="5"/>
  <c r="N1729" i="5"/>
  <c r="M1729" i="5"/>
  <c r="L1729" i="5"/>
  <c r="K1729" i="5"/>
  <c r="J1729" i="5"/>
  <c r="I1729" i="5"/>
  <c r="H1729" i="5"/>
  <c r="G1729" i="5"/>
  <c r="E1729" i="5"/>
  <c r="F1729" i="5" s="1"/>
  <c r="B1729" i="5"/>
  <c r="U1728" i="5"/>
  <c r="T1728" i="5"/>
  <c r="O1728" i="5"/>
  <c r="N1728" i="5"/>
  <c r="M1728" i="5"/>
  <c r="L1728" i="5"/>
  <c r="K1728" i="5"/>
  <c r="J1728" i="5"/>
  <c r="I1728" i="5"/>
  <c r="H1728" i="5"/>
  <c r="G1728" i="5"/>
  <c r="E1728" i="5"/>
  <c r="F1728" i="5" s="1"/>
  <c r="B1728" i="5"/>
  <c r="U1727" i="5"/>
  <c r="T1727" i="5"/>
  <c r="O1727" i="5"/>
  <c r="N1727" i="5"/>
  <c r="M1727" i="5"/>
  <c r="L1727" i="5"/>
  <c r="K1727" i="5"/>
  <c r="J1727" i="5"/>
  <c r="I1727" i="5"/>
  <c r="H1727" i="5"/>
  <c r="G1727" i="5"/>
  <c r="E1727" i="5"/>
  <c r="F1727" i="5" s="1"/>
  <c r="B1727" i="5"/>
  <c r="U1726" i="5"/>
  <c r="T1726" i="5"/>
  <c r="O1726" i="5"/>
  <c r="N1726" i="5"/>
  <c r="M1726" i="5"/>
  <c r="L1726" i="5"/>
  <c r="K1726" i="5"/>
  <c r="J1726" i="5"/>
  <c r="I1726" i="5"/>
  <c r="H1726" i="5"/>
  <c r="G1726" i="5"/>
  <c r="E1726" i="5"/>
  <c r="F1726" i="5" s="1"/>
  <c r="B1726" i="5"/>
  <c r="U1725" i="5"/>
  <c r="T1725" i="5"/>
  <c r="O1725" i="5"/>
  <c r="N1725" i="5"/>
  <c r="M1725" i="5"/>
  <c r="L1725" i="5"/>
  <c r="K1725" i="5"/>
  <c r="J1725" i="5"/>
  <c r="I1725" i="5"/>
  <c r="H1725" i="5"/>
  <c r="G1725" i="5"/>
  <c r="E1725" i="5"/>
  <c r="F1725" i="5" s="1"/>
  <c r="B1725" i="5"/>
  <c r="U1724" i="5"/>
  <c r="T1724" i="5"/>
  <c r="O1724" i="5"/>
  <c r="N1724" i="5"/>
  <c r="M1724" i="5"/>
  <c r="L1724" i="5"/>
  <c r="K1724" i="5"/>
  <c r="J1724" i="5"/>
  <c r="I1724" i="5"/>
  <c r="H1724" i="5"/>
  <c r="G1724" i="5"/>
  <c r="E1724" i="5"/>
  <c r="F1724" i="5" s="1"/>
  <c r="B1724" i="5"/>
  <c r="U1723" i="5"/>
  <c r="T1723" i="5"/>
  <c r="O1723" i="5"/>
  <c r="N1723" i="5"/>
  <c r="M1723" i="5"/>
  <c r="L1723" i="5"/>
  <c r="K1723" i="5"/>
  <c r="J1723" i="5"/>
  <c r="I1723" i="5"/>
  <c r="H1723" i="5"/>
  <c r="G1723" i="5"/>
  <c r="E1723" i="5"/>
  <c r="F1723" i="5" s="1"/>
  <c r="B1723" i="5"/>
  <c r="U1722" i="5"/>
  <c r="T1722" i="5"/>
  <c r="O1722" i="5"/>
  <c r="N1722" i="5"/>
  <c r="M1722" i="5"/>
  <c r="L1722" i="5"/>
  <c r="K1722" i="5"/>
  <c r="J1722" i="5"/>
  <c r="I1722" i="5"/>
  <c r="H1722" i="5"/>
  <c r="G1722" i="5"/>
  <c r="E1722" i="5"/>
  <c r="F1722" i="5" s="1"/>
  <c r="B1722" i="5"/>
  <c r="U1721" i="5"/>
  <c r="T1721" i="5"/>
  <c r="O1721" i="5"/>
  <c r="N1721" i="5"/>
  <c r="M1721" i="5"/>
  <c r="L1721" i="5"/>
  <c r="K1721" i="5"/>
  <c r="J1721" i="5"/>
  <c r="I1721" i="5"/>
  <c r="H1721" i="5"/>
  <c r="G1721" i="5"/>
  <c r="E1721" i="5"/>
  <c r="F1721" i="5" s="1"/>
  <c r="B1721" i="5"/>
  <c r="U1720" i="5"/>
  <c r="T1720" i="5"/>
  <c r="O1720" i="5"/>
  <c r="N1720" i="5"/>
  <c r="M1720" i="5"/>
  <c r="L1720" i="5"/>
  <c r="K1720" i="5"/>
  <c r="J1720" i="5"/>
  <c r="I1720" i="5"/>
  <c r="H1720" i="5"/>
  <c r="G1720" i="5"/>
  <c r="E1720" i="5"/>
  <c r="F1720" i="5" s="1"/>
  <c r="B1720" i="5"/>
  <c r="U1719" i="5"/>
  <c r="T1719" i="5"/>
  <c r="O1719" i="5"/>
  <c r="N1719" i="5"/>
  <c r="M1719" i="5"/>
  <c r="L1719" i="5"/>
  <c r="K1719" i="5"/>
  <c r="J1719" i="5"/>
  <c r="I1719" i="5"/>
  <c r="H1719" i="5"/>
  <c r="G1719" i="5"/>
  <c r="E1719" i="5"/>
  <c r="F1719" i="5" s="1"/>
  <c r="B1719" i="5"/>
  <c r="U1718" i="5"/>
  <c r="T1718" i="5"/>
  <c r="O1718" i="5"/>
  <c r="N1718" i="5"/>
  <c r="M1718" i="5"/>
  <c r="L1718" i="5"/>
  <c r="K1718" i="5"/>
  <c r="J1718" i="5"/>
  <c r="I1718" i="5"/>
  <c r="H1718" i="5"/>
  <c r="G1718" i="5"/>
  <c r="E1718" i="5"/>
  <c r="B1718" i="5"/>
  <c r="U1717" i="5"/>
  <c r="T1717" i="5"/>
  <c r="O1717" i="5"/>
  <c r="N1717" i="5"/>
  <c r="M1717" i="5"/>
  <c r="L1717" i="5"/>
  <c r="K1717" i="5"/>
  <c r="J1717" i="5"/>
  <c r="I1717" i="5"/>
  <c r="H1717" i="5"/>
  <c r="G1717" i="5"/>
  <c r="E1717" i="5"/>
  <c r="F1717" i="5" s="1"/>
  <c r="B1717" i="5"/>
  <c r="U1716" i="5"/>
  <c r="T1716" i="5"/>
  <c r="O1716" i="5"/>
  <c r="N1716" i="5"/>
  <c r="M1716" i="5"/>
  <c r="L1716" i="5"/>
  <c r="K1716" i="5"/>
  <c r="J1716" i="5"/>
  <c r="I1716" i="5"/>
  <c r="H1716" i="5"/>
  <c r="G1716" i="5"/>
  <c r="E1716" i="5"/>
  <c r="F1716" i="5" s="1"/>
  <c r="B1716" i="5"/>
  <c r="U1715" i="5"/>
  <c r="T1715" i="5"/>
  <c r="O1715" i="5"/>
  <c r="N1715" i="5"/>
  <c r="M1715" i="5"/>
  <c r="L1715" i="5"/>
  <c r="K1715" i="5"/>
  <c r="J1715" i="5"/>
  <c r="I1715" i="5"/>
  <c r="H1715" i="5"/>
  <c r="G1715" i="5"/>
  <c r="E1715" i="5"/>
  <c r="F1715" i="5" s="1"/>
  <c r="B1715" i="5"/>
  <c r="U1714" i="5"/>
  <c r="T1714" i="5"/>
  <c r="O1714" i="5"/>
  <c r="N1714" i="5"/>
  <c r="M1714" i="5"/>
  <c r="L1714" i="5"/>
  <c r="K1714" i="5"/>
  <c r="J1714" i="5"/>
  <c r="I1714" i="5"/>
  <c r="H1714" i="5"/>
  <c r="G1714" i="5"/>
  <c r="E1714" i="5"/>
  <c r="F1714" i="5" s="1"/>
  <c r="B1714" i="5"/>
  <c r="W1714" i="5" s="1"/>
  <c r="U1713" i="5"/>
  <c r="T1713" i="5"/>
  <c r="O1713" i="5"/>
  <c r="N1713" i="5"/>
  <c r="M1713" i="5"/>
  <c r="L1713" i="5"/>
  <c r="K1713" i="5"/>
  <c r="J1713" i="5"/>
  <c r="I1713" i="5"/>
  <c r="H1713" i="5"/>
  <c r="G1713" i="5"/>
  <c r="E1713" i="5"/>
  <c r="F1713" i="5" s="1"/>
  <c r="B1713" i="5"/>
  <c r="U1712" i="5"/>
  <c r="T1712" i="5"/>
  <c r="O1712" i="5"/>
  <c r="N1712" i="5"/>
  <c r="M1712" i="5"/>
  <c r="L1712" i="5"/>
  <c r="K1712" i="5"/>
  <c r="J1712" i="5"/>
  <c r="I1712" i="5"/>
  <c r="H1712" i="5"/>
  <c r="G1712" i="5"/>
  <c r="E1712" i="5"/>
  <c r="F1712" i="5" s="1"/>
  <c r="B1712" i="5"/>
  <c r="U1711" i="5"/>
  <c r="T1711" i="5"/>
  <c r="O1711" i="5"/>
  <c r="N1711" i="5"/>
  <c r="M1711" i="5"/>
  <c r="L1711" i="5"/>
  <c r="K1711" i="5"/>
  <c r="J1711" i="5"/>
  <c r="I1711" i="5"/>
  <c r="H1711" i="5"/>
  <c r="G1711" i="5"/>
  <c r="E1711" i="5"/>
  <c r="F1711" i="5" s="1"/>
  <c r="B1711" i="5"/>
  <c r="U1710" i="5"/>
  <c r="T1710" i="5"/>
  <c r="O1710" i="5"/>
  <c r="N1710" i="5"/>
  <c r="M1710" i="5"/>
  <c r="L1710" i="5"/>
  <c r="K1710" i="5"/>
  <c r="J1710" i="5"/>
  <c r="I1710" i="5"/>
  <c r="H1710" i="5"/>
  <c r="G1710" i="5"/>
  <c r="E1710" i="5"/>
  <c r="F1710" i="5" s="1"/>
  <c r="B1710" i="5"/>
  <c r="U1709" i="5"/>
  <c r="T1709" i="5"/>
  <c r="O1709" i="5"/>
  <c r="N1709" i="5"/>
  <c r="M1709" i="5"/>
  <c r="L1709" i="5"/>
  <c r="K1709" i="5"/>
  <c r="J1709" i="5"/>
  <c r="I1709" i="5"/>
  <c r="H1709" i="5"/>
  <c r="G1709" i="5"/>
  <c r="E1709" i="5"/>
  <c r="F1709" i="5" s="1"/>
  <c r="B1709" i="5"/>
  <c r="U1708" i="5"/>
  <c r="T1708" i="5"/>
  <c r="O1708" i="5"/>
  <c r="N1708" i="5"/>
  <c r="M1708" i="5"/>
  <c r="L1708" i="5"/>
  <c r="K1708" i="5"/>
  <c r="J1708" i="5"/>
  <c r="I1708" i="5"/>
  <c r="H1708" i="5"/>
  <c r="G1708" i="5"/>
  <c r="E1708" i="5"/>
  <c r="F1708" i="5" s="1"/>
  <c r="B1708" i="5"/>
  <c r="U1707" i="5"/>
  <c r="T1707" i="5"/>
  <c r="O1707" i="5"/>
  <c r="N1707" i="5"/>
  <c r="M1707" i="5"/>
  <c r="L1707" i="5"/>
  <c r="K1707" i="5"/>
  <c r="J1707" i="5"/>
  <c r="I1707" i="5"/>
  <c r="H1707" i="5"/>
  <c r="G1707" i="5"/>
  <c r="E1707" i="5"/>
  <c r="F1707" i="5" s="1"/>
  <c r="B1707" i="5"/>
  <c r="U1706" i="5"/>
  <c r="T1706" i="5"/>
  <c r="O1706" i="5"/>
  <c r="N1706" i="5"/>
  <c r="M1706" i="5"/>
  <c r="L1706" i="5"/>
  <c r="K1706" i="5"/>
  <c r="J1706" i="5"/>
  <c r="I1706" i="5"/>
  <c r="H1706" i="5"/>
  <c r="G1706" i="5"/>
  <c r="E1706" i="5"/>
  <c r="F1706" i="5" s="1"/>
  <c r="B1706" i="5"/>
  <c r="U1705" i="5"/>
  <c r="T1705" i="5"/>
  <c r="O1705" i="5"/>
  <c r="N1705" i="5"/>
  <c r="M1705" i="5"/>
  <c r="L1705" i="5"/>
  <c r="K1705" i="5"/>
  <c r="J1705" i="5"/>
  <c r="I1705" i="5"/>
  <c r="H1705" i="5"/>
  <c r="G1705" i="5"/>
  <c r="E1705" i="5"/>
  <c r="F1705" i="5" s="1"/>
  <c r="B1705" i="5"/>
  <c r="U1704" i="5"/>
  <c r="T1704" i="5"/>
  <c r="O1704" i="5"/>
  <c r="N1704" i="5"/>
  <c r="M1704" i="5"/>
  <c r="L1704" i="5"/>
  <c r="K1704" i="5"/>
  <c r="J1704" i="5"/>
  <c r="I1704" i="5"/>
  <c r="H1704" i="5"/>
  <c r="G1704" i="5"/>
  <c r="E1704" i="5"/>
  <c r="F1704" i="5" s="1"/>
  <c r="B1704" i="5"/>
  <c r="U1703" i="5"/>
  <c r="T1703" i="5"/>
  <c r="O1703" i="5"/>
  <c r="N1703" i="5"/>
  <c r="M1703" i="5"/>
  <c r="L1703" i="5"/>
  <c r="K1703" i="5"/>
  <c r="J1703" i="5"/>
  <c r="I1703" i="5"/>
  <c r="H1703" i="5"/>
  <c r="G1703" i="5"/>
  <c r="E1703" i="5"/>
  <c r="F1703" i="5" s="1"/>
  <c r="B1703" i="5"/>
  <c r="U1702" i="5"/>
  <c r="T1702" i="5"/>
  <c r="O1702" i="5"/>
  <c r="N1702" i="5"/>
  <c r="M1702" i="5"/>
  <c r="L1702" i="5"/>
  <c r="K1702" i="5"/>
  <c r="J1702" i="5"/>
  <c r="I1702" i="5"/>
  <c r="H1702" i="5"/>
  <c r="G1702" i="5"/>
  <c r="E1702" i="5"/>
  <c r="F1702" i="5" s="1"/>
  <c r="B1702" i="5"/>
  <c r="U1701" i="5"/>
  <c r="T1701" i="5"/>
  <c r="O1701" i="5"/>
  <c r="N1701" i="5"/>
  <c r="M1701" i="5"/>
  <c r="L1701" i="5"/>
  <c r="K1701" i="5"/>
  <c r="J1701" i="5"/>
  <c r="I1701" i="5"/>
  <c r="H1701" i="5"/>
  <c r="G1701" i="5"/>
  <c r="E1701" i="5"/>
  <c r="F1701" i="5" s="1"/>
  <c r="B1701" i="5"/>
  <c r="U1700" i="5"/>
  <c r="T1700" i="5"/>
  <c r="O1700" i="5"/>
  <c r="N1700" i="5"/>
  <c r="M1700" i="5"/>
  <c r="L1700" i="5"/>
  <c r="K1700" i="5"/>
  <c r="J1700" i="5"/>
  <c r="I1700" i="5"/>
  <c r="H1700" i="5"/>
  <c r="G1700" i="5"/>
  <c r="E1700" i="5"/>
  <c r="F1700" i="5" s="1"/>
  <c r="B1700" i="5"/>
  <c r="U1699" i="5"/>
  <c r="T1699" i="5"/>
  <c r="O1699" i="5"/>
  <c r="N1699" i="5"/>
  <c r="M1699" i="5"/>
  <c r="L1699" i="5"/>
  <c r="K1699" i="5"/>
  <c r="J1699" i="5"/>
  <c r="I1699" i="5"/>
  <c r="H1699" i="5"/>
  <c r="G1699" i="5"/>
  <c r="E1699" i="5"/>
  <c r="F1699" i="5" s="1"/>
  <c r="B1699" i="5"/>
  <c r="U1698" i="5"/>
  <c r="T1698" i="5"/>
  <c r="O1698" i="5"/>
  <c r="N1698" i="5"/>
  <c r="M1698" i="5"/>
  <c r="L1698" i="5"/>
  <c r="K1698" i="5"/>
  <c r="J1698" i="5"/>
  <c r="I1698" i="5"/>
  <c r="H1698" i="5"/>
  <c r="G1698" i="5"/>
  <c r="E1698" i="5"/>
  <c r="F1698" i="5" s="1"/>
  <c r="B1698" i="5"/>
  <c r="U1697" i="5"/>
  <c r="T1697" i="5"/>
  <c r="O1697" i="5"/>
  <c r="N1697" i="5"/>
  <c r="M1697" i="5"/>
  <c r="L1697" i="5"/>
  <c r="K1697" i="5"/>
  <c r="J1697" i="5"/>
  <c r="I1697" i="5"/>
  <c r="H1697" i="5"/>
  <c r="G1697" i="5"/>
  <c r="E1697" i="5"/>
  <c r="F1697" i="5" s="1"/>
  <c r="B1697" i="5"/>
  <c r="U1696" i="5"/>
  <c r="T1696" i="5"/>
  <c r="O1696" i="5"/>
  <c r="N1696" i="5"/>
  <c r="M1696" i="5"/>
  <c r="L1696" i="5"/>
  <c r="K1696" i="5"/>
  <c r="J1696" i="5"/>
  <c r="I1696" i="5"/>
  <c r="H1696" i="5"/>
  <c r="G1696" i="5"/>
  <c r="E1696" i="5"/>
  <c r="F1696" i="5" s="1"/>
  <c r="B1696" i="5"/>
  <c r="U1695" i="5"/>
  <c r="T1695" i="5"/>
  <c r="O1695" i="5"/>
  <c r="N1695" i="5"/>
  <c r="M1695" i="5"/>
  <c r="L1695" i="5"/>
  <c r="K1695" i="5"/>
  <c r="J1695" i="5"/>
  <c r="I1695" i="5"/>
  <c r="H1695" i="5"/>
  <c r="G1695" i="5"/>
  <c r="E1695" i="5"/>
  <c r="F1695" i="5" s="1"/>
  <c r="B1695" i="5"/>
  <c r="U1694" i="5"/>
  <c r="T1694" i="5"/>
  <c r="O1694" i="5"/>
  <c r="N1694" i="5"/>
  <c r="M1694" i="5"/>
  <c r="L1694" i="5"/>
  <c r="K1694" i="5"/>
  <c r="J1694" i="5"/>
  <c r="I1694" i="5"/>
  <c r="H1694" i="5"/>
  <c r="G1694" i="5"/>
  <c r="E1694" i="5"/>
  <c r="F1694" i="5" s="1"/>
  <c r="B1694" i="5"/>
  <c r="U1693" i="5"/>
  <c r="T1693" i="5"/>
  <c r="O1693" i="5"/>
  <c r="N1693" i="5"/>
  <c r="M1693" i="5"/>
  <c r="L1693" i="5"/>
  <c r="K1693" i="5"/>
  <c r="J1693" i="5"/>
  <c r="I1693" i="5"/>
  <c r="H1693" i="5"/>
  <c r="G1693" i="5"/>
  <c r="E1693" i="5"/>
  <c r="F1693" i="5" s="1"/>
  <c r="B1693" i="5"/>
  <c r="U1692" i="5"/>
  <c r="T1692" i="5"/>
  <c r="O1692" i="5"/>
  <c r="N1692" i="5"/>
  <c r="M1692" i="5"/>
  <c r="L1692" i="5"/>
  <c r="K1692" i="5"/>
  <c r="J1692" i="5"/>
  <c r="I1692" i="5"/>
  <c r="H1692" i="5"/>
  <c r="G1692" i="5"/>
  <c r="E1692" i="5"/>
  <c r="F1692" i="5" s="1"/>
  <c r="B1692" i="5"/>
  <c r="U1691" i="5"/>
  <c r="T1691" i="5"/>
  <c r="O1691" i="5"/>
  <c r="N1691" i="5"/>
  <c r="M1691" i="5"/>
  <c r="L1691" i="5"/>
  <c r="K1691" i="5"/>
  <c r="J1691" i="5"/>
  <c r="I1691" i="5"/>
  <c r="H1691" i="5"/>
  <c r="G1691" i="5"/>
  <c r="E1691" i="5"/>
  <c r="F1691" i="5" s="1"/>
  <c r="B1691" i="5"/>
  <c r="U1690" i="5"/>
  <c r="T1690" i="5"/>
  <c r="O1690" i="5"/>
  <c r="N1690" i="5"/>
  <c r="M1690" i="5"/>
  <c r="L1690" i="5"/>
  <c r="K1690" i="5"/>
  <c r="J1690" i="5"/>
  <c r="I1690" i="5"/>
  <c r="H1690" i="5"/>
  <c r="G1690" i="5"/>
  <c r="E1690" i="5"/>
  <c r="F1690" i="5" s="1"/>
  <c r="B1690" i="5"/>
  <c r="U1689" i="5"/>
  <c r="T1689" i="5"/>
  <c r="O1689" i="5"/>
  <c r="N1689" i="5"/>
  <c r="M1689" i="5"/>
  <c r="L1689" i="5"/>
  <c r="K1689" i="5"/>
  <c r="J1689" i="5"/>
  <c r="I1689" i="5"/>
  <c r="H1689" i="5"/>
  <c r="G1689" i="5"/>
  <c r="E1689" i="5"/>
  <c r="F1689" i="5" s="1"/>
  <c r="B1689" i="5"/>
  <c r="U1688" i="5"/>
  <c r="T1688" i="5"/>
  <c r="O1688" i="5"/>
  <c r="N1688" i="5"/>
  <c r="M1688" i="5"/>
  <c r="L1688" i="5"/>
  <c r="K1688" i="5"/>
  <c r="J1688" i="5"/>
  <c r="I1688" i="5"/>
  <c r="H1688" i="5"/>
  <c r="G1688" i="5"/>
  <c r="E1688" i="5"/>
  <c r="B1688" i="5"/>
  <c r="U1687" i="5"/>
  <c r="T1687" i="5"/>
  <c r="O1687" i="5"/>
  <c r="N1687" i="5"/>
  <c r="M1687" i="5"/>
  <c r="L1687" i="5"/>
  <c r="K1687" i="5"/>
  <c r="J1687" i="5"/>
  <c r="I1687" i="5"/>
  <c r="H1687" i="5"/>
  <c r="G1687" i="5"/>
  <c r="E1687" i="5"/>
  <c r="F1687" i="5" s="1"/>
  <c r="B1687" i="5"/>
  <c r="U1686" i="5"/>
  <c r="T1686" i="5"/>
  <c r="O1686" i="5"/>
  <c r="N1686" i="5"/>
  <c r="M1686" i="5"/>
  <c r="L1686" i="5"/>
  <c r="K1686" i="5"/>
  <c r="J1686" i="5"/>
  <c r="I1686" i="5"/>
  <c r="H1686" i="5"/>
  <c r="G1686" i="5"/>
  <c r="E1686" i="5"/>
  <c r="F1686" i="5" s="1"/>
  <c r="B1686" i="5"/>
  <c r="U1685" i="5"/>
  <c r="T1685" i="5"/>
  <c r="O1685" i="5"/>
  <c r="N1685" i="5"/>
  <c r="M1685" i="5"/>
  <c r="L1685" i="5"/>
  <c r="K1685" i="5"/>
  <c r="J1685" i="5"/>
  <c r="I1685" i="5"/>
  <c r="H1685" i="5"/>
  <c r="G1685" i="5"/>
  <c r="E1685" i="5"/>
  <c r="F1685" i="5" s="1"/>
  <c r="B1685" i="5"/>
  <c r="U1684" i="5"/>
  <c r="T1684" i="5"/>
  <c r="O1684" i="5"/>
  <c r="N1684" i="5"/>
  <c r="M1684" i="5"/>
  <c r="L1684" i="5"/>
  <c r="K1684" i="5"/>
  <c r="J1684" i="5"/>
  <c r="I1684" i="5"/>
  <c r="H1684" i="5"/>
  <c r="G1684" i="5"/>
  <c r="E1684" i="5"/>
  <c r="F1684" i="5" s="1"/>
  <c r="B1684" i="5"/>
  <c r="U1683" i="5"/>
  <c r="T1683" i="5"/>
  <c r="O1683" i="5"/>
  <c r="N1683" i="5"/>
  <c r="M1683" i="5"/>
  <c r="L1683" i="5"/>
  <c r="K1683" i="5"/>
  <c r="J1683" i="5"/>
  <c r="I1683" i="5"/>
  <c r="H1683" i="5"/>
  <c r="G1683" i="5"/>
  <c r="E1683" i="5"/>
  <c r="F1683" i="5" s="1"/>
  <c r="B1683" i="5"/>
  <c r="U1682" i="5"/>
  <c r="T1682" i="5"/>
  <c r="O1682" i="5"/>
  <c r="N1682" i="5"/>
  <c r="M1682" i="5"/>
  <c r="L1682" i="5"/>
  <c r="K1682" i="5"/>
  <c r="J1682" i="5"/>
  <c r="I1682" i="5"/>
  <c r="H1682" i="5"/>
  <c r="G1682" i="5"/>
  <c r="E1682" i="5"/>
  <c r="F1682" i="5" s="1"/>
  <c r="B1682" i="5"/>
  <c r="W1682" i="5" s="1"/>
  <c r="U1681" i="5"/>
  <c r="T1681" i="5"/>
  <c r="O1681" i="5"/>
  <c r="N1681" i="5"/>
  <c r="M1681" i="5"/>
  <c r="L1681" i="5"/>
  <c r="K1681" i="5"/>
  <c r="J1681" i="5"/>
  <c r="I1681" i="5"/>
  <c r="H1681" i="5"/>
  <c r="G1681" i="5"/>
  <c r="E1681" i="5"/>
  <c r="F1681" i="5" s="1"/>
  <c r="B1681" i="5"/>
  <c r="U1680" i="5"/>
  <c r="T1680" i="5"/>
  <c r="O1680" i="5"/>
  <c r="N1680" i="5"/>
  <c r="M1680" i="5"/>
  <c r="L1680" i="5"/>
  <c r="K1680" i="5"/>
  <c r="J1680" i="5"/>
  <c r="I1680" i="5"/>
  <c r="H1680" i="5"/>
  <c r="G1680" i="5"/>
  <c r="E1680" i="5"/>
  <c r="F1680" i="5" s="1"/>
  <c r="B1680" i="5"/>
  <c r="U1679" i="5"/>
  <c r="T1679" i="5"/>
  <c r="O1679" i="5"/>
  <c r="N1679" i="5"/>
  <c r="M1679" i="5"/>
  <c r="L1679" i="5"/>
  <c r="K1679" i="5"/>
  <c r="J1679" i="5"/>
  <c r="I1679" i="5"/>
  <c r="H1679" i="5"/>
  <c r="G1679" i="5"/>
  <c r="E1679" i="5"/>
  <c r="F1679" i="5" s="1"/>
  <c r="B1679" i="5"/>
  <c r="U1678" i="5"/>
  <c r="T1678" i="5"/>
  <c r="O1678" i="5"/>
  <c r="N1678" i="5"/>
  <c r="M1678" i="5"/>
  <c r="L1678" i="5"/>
  <c r="K1678" i="5"/>
  <c r="J1678" i="5"/>
  <c r="I1678" i="5"/>
  <c r="H1678" i="5"/>
  <c r="G1678" i="5"/>
  <c r="E1678" i="5"/>
  <c r="F1678" i="5" s="1"/>
  <c r="B1678" i="5"/>
  <c r="U1677" i="5"/>
  <c r="T1677" i="5"/>
  <c r="O1677" i="5"/>
  <c r="N1677" i="5"/>
  <c r="M1677" i="5"/>
  <c r="L1677" i="5"/>
  <c r="K1677" i="5"/>
  <c r="J1677" i="5"/>
  <c r="I1677" i="5"/>
  <c r="H1677" i="5"/>
  <c r="G1677" i="5"/>
  <c r="E1677" i="5"/>
  <c r="F1677" i="5" s="1"/>
  <c r="B1677" i="5"/>
  <c r="U1676" i="5"/>
  <c r="T1676" i="5"/>
  <c r="O1676" i="5"/>
  <c r="N1676" i="5"/>
  <c r="M1676" i="5"/>
  <c r="L1676" i="5"/>
  <c r="K1676" i="5"/>
  <c r="J1676" i="5"/>
  <c r="I1676" i="5"/>
  <c r="H1676" i="5"/>
  <c r="G1676" i="5"/>
  <c r="E1676" i="5"/>
  <c r="F1676" i="5" s="1"/>
  <c r="B1676" i="5"/>
  <c r="U1675" i="5"/>
  <c r="T1675" i="5"/>
  <c r="O1675" i="5"/>
  <c r="N1675" i="5"/>
  <c r="M1675" i="5"/>
  <c r="L1675" i="5"/>
  <c r="K1675" i="5"/>
  <c r="J1675" i="5"/>
  <c r="I1675" i="5"/>
  <c r="H1675" i="5"/>
  <c r="G1675" i="5"/>
  <c r="E1675" i="5"/>
  <c r="F1675" i="5" s="1"/>
  <c r="B1675" i="5"/>
  <c r="U1674" i="5"/>
  <c r="T1674" i="5"/>
  <c r="O1674" i="5"/>
  <c r="N1674" i="5"/>
  <c r="M1674" i="5"/>
  <c r="L1674" i="5"/>
  <c r="K1674" i="5"/>
  <c r="J1674" i="5"/>
  <c r="I1674" i="5"/>
  <c r="H1674" i="5"/>
  <c r="G1674" i="5"/>
  <c r="E1674" i="5"/>
  <c r="F1674" i="5" s="1"/>
  <c r="B1674" i="5"/>
  <c r="U1673" i="5"/>
  <c r="T1673" i="5"/>
  <c r="O1673" i="5"/>
  <c r="N1673" i="5"/>
  <c r="M1673" i="5"/>
  <c r="L1673" i="5"/>
  <c r="K1673" i="5"/>
  <c r="J1673" i="5"/>
  <c r="I1673" i="5"/>
  <c r="H1673" i="5"/>
  <c r="G1673" i="5"/>
  <c r="E1673" i="5"/>
  <c r="F1673" i="5" s="1"/>
  <c r="B1673" i="5"/>
  <c r="U1672" i="5"/>
  <c r="T1672" i="5"/>
  <c r="O1672" i="5"/>
  <c r="N1672" i="5"/>
  <c r="M1672" i="5"/>
  <c r="L1672" i="5"/>
  <c r="K1672" i="5"/>
  <c r="J1672" i="5"/>
  <c r="I1672" i="5"/>
  <c r="H1672" i="5"/>
  <c r="G1672" i="5"/>
  <c r="E1672" i="5"/>
  <c r="B1672" i="5"/>
  <c r="U1671" i="5"/>
  <c r="T1671" i="5"/>
  <c r="O1671" i="5"/>
  <c r="N1671" i="5"/>
  <c r="M1671" i="5"/>
  <c r="L1671" i="5"/>
  <c r="K1671" i="5"/>
  <c r="J1671" i="5"/>
  <c r="I1671" i="5"/>
  <c r="H1671" i="5"/>
  <c r="G1671" i="5"/>
  <c r="E1671" i="5"/>
  <c r="F1671" i="5" s="1"/>
  <c r="B1671" i="5"/>
  <c r="U1670" i="5"/>
  <c r="T1670" i="5"/>
  <c r="O1670" i="5"/>
  <c r="N1670" i="5"/>
  <c r="M1670" i="5"/>
  <c r="L1670" i="5"/>
  <c r="K1670" i="5"/>
  <c r="J1670" i="5"/>
  <c r="I1670" i="5"/>
  <c r="H1670" i="5"/>
  <c r="G1670" i="5"/>
  <c r="E1670" i="5"/>
  <c r="F1670" i="5" s="1"/>
  <c r="B1670" i="5"/>
  <c r="U1669" i="5"/>
  <c r="T1669" i="5"/>
  <c r="O1669" i="5"/>
  <c r="N1669" i="5"/>
  <c r="M1669" i="5"/>
  <c r="L1669" i="5"/>
  <c r="K1669" i="5"/>
  <c r="J1669" i="5"/>
  <c r="I1669" i="5"/>
  <c r="H1669" i="5"/>
  <c r="G1669" i="5"/>
  <c r="E1669" i="5"/>
  <c r="F1669" i="5" s="1"/>
  <c r="B1669" i="5"/>
  <c r="U1668" i="5"/>
  <c r="T1668" i="5"/>
  <c r="O1668" i="5"/>
  <c r="N1668" i="5"/>
  <c r="M1668" i="5"/>
  <c r="L1668" i="5"/>
  <c r="K1668" i="5"/>
  <c r="J1668" i="5"/>
  <c r="I1668" i="5"/>
  <c r="H1668" i="5"/>
  <c r="G1668" i="5"/>
  <c r="E1668" i="5"/>
  <c r="F1668" i="5" s="1"/>
  <c r="B1668" i="5"/>
  <c r="U1667" i="5"/>
  <c r="T1667" i="5"/>
  <c r="O1667" i="5"/>
  <c r="N1667" i="5"/>
  <c r="M1667" i="5"/>
  <c r="L1667" i="5"/>
  <c r="K1667" i="5"/>
  <c r="J1667" i="5"/>
  <c r="I1667" i="5"/>
  <c r="H1667" i="5"/>
  <c r="G1667" i="5"/>
  <c r="E1667" i="5"/>
  <c r="F1667" i="5" s="1"/>
  <c r="B1667" i="5"/>
  <c r="U1666" i="5"/>
  <c r="T1666" i="5"/>
  <c r="O1666" i="5"/>
  <c r="N1666" i="5"/>
  <c r="M1666" i="5"/>
  <c r="L1666" i="5"/>
  <c r="K1666" i="5"/>
  <c r="J1666" i="5"/>
  <c r="I1666" i="5"/>
  <c r="H1666" i="5"/>
  <c r="G1666" i="5"/>
  <c r="E1666" i="5"/>
  <c r="F1666" i="5" s="1"/>
  <c r="B1666" i="5"/>
  <c r="U1665" i="5"/>
  <c r="T1665" i="5"/>
  <c r="O1665" i="5"/>
  <c r="N1665" i="5"/>
  <c r="M1665" i="5"/>
  <c r="L1665" i="5"/>
  <c r="K1665" i="5"/>
  <c r="J1665" i="5"/>
  <c r="I1665" i="5"/>
  <c r="H1665" i="5"/>
  <c r="G1665" i="5"/>
  <c r="E1665" i="5"/>
  <c r="F1665" i="5" s="1"/>
  <c r="B1665" i="5"/>
  <c r="U1664" i="5"/>
  <c r="T1664" i="5"/>
  <c r="O1664" i="5"/>
  <c r="N1664" i="5"/>
  <c r="M1664" i="5"/>
  <c r="L1664" i="5"/>
  <c r="K1664" i="5"/>
  <c r="J1664" i="5"/>
  <c r="I1664" i="5"/>
  <c r="H1664" i="5"/>
  <c r="G1664" i="5"/>
  <c r="E1664" i="5"/>
  <c r="F1664" i="5" s="1"/>
  <c r="B1664" i="5"/>
  <c r="U1663" i="5"/>
  <c r="T1663" i="5"/>
  <c r="O1663" i="5"/>
  <c r="N1663" i="5"/>
  <c r="M1663" i="5"/>
  <c r="L1663" i="5"/>
  <c r="K1663" i="5"/>
  <c r="J1663" i="5"/>
  <c r="I1663" i="5"/>
  <c r="H1663" i="5"/>
  <c r="G1663" i="5"/>
  <c r="E1663" i="5"/>
  <c r="B1663" i="5"/>
  <c r="U1662" i="5"/>
  <c r="T1662" i="5"/>
  <c r="O1662" i="5"/>
  <c r="N1662" i="5"/>
  <c r="M1662" i="5"/>
  <c r="L1662" i="5"/>
  <c r="K1662" i="5"/>
  <c r="J1662" i="5"/>
  <c r="I1662" i="5"/>
  <c r="H1662" i="5"/>
  <c r="G1662" i="5"/>
  <c r="E1662" i="5"/>
  <c r="F1662" i="5" s="1"/>
  <c r="B1662" i="5"/>
  <c r="U1661" i="5"/>
  <c r="T1661" i="5"/>
  <c r="O1661" i="5"/>
  <c r="N1661" i="5"/>
  <c r="M1661" i="5"/>
  <c r="L1661" i="5"/>
  <c r="K1661" i="5"/>
  <c r="J1661" i="5"/>
  <c r="I1661" i="5"/>
  <c r="H1661" i="5"/>
  <c r="G1661" i="5"/>
  <c r="E1661" i="5"/>
  <c r="F1661" i="5" s="1"/>
  <c r="B1661" i="5"/>
  <c r="U1660" i="5"/>
  <c r="T1660" i="5"/>
  <c r="O1660" i="5"/>
  <c r="N1660" i="5"/>
  <c r="M1660" i="5"/>
  <c r="L1660" i="5"/>
  <c r="K1660" i="5"/>
  <c r="J1660" i="5"/>
  <c r="I1660" i="5"/>
  <c r="H1660" i="5"/>
  <c r="G1660" i="5"/>
  <c r="E1660" i="5"/>
  <c r="F1660" i="5" s="1"/>
  <c r="B1660" i="5"/>
  <c r="U1659" i="5"/>
  <c r="T1659" i="5"/>
  <c r="O1659" i="5"/>
  <c r="N1659" i="5"/>
  <c r="M1659" i="5"/>
  <c r="L1659" i="5"/>
  <c r="K1659" i="5"/>
  <c r="J1659" i="5"/>
  <c r="I1659" i="5"/>
  <c r="H1659" i="5"/>
  <c r="G1659" i="5"/>
  <c r="E1659" i="5"/>
  <c r="B1659" i="5"/>
  <c r="U1658" i="5"/>
  <c r="T1658" i="5"/>
  <c r="O1658" i="5"/>
  <c r="N1658" i="5"/>
  <c r="M1658" i="5"/>
  <c r="L1658" i="5"/>
  <c r="K1658" i="5"/>
  <c r="J1658" i="5"/>
  <c r="I1658" i="5"/>
  <c r="H1658" i="5"/>
  <c r="G1658" i="5"/>
  <c r="E1658" i="5"/>
  <c r="F1658" i="5" s="1"/>
  <c r="B1658" i="5"/>
  <c r="U1657" i="5"/>
  <c r="T1657" i="5"/>
  <c r="O1657" i="5"/>
  <c r="N1657" i="5"/>
  <c r="M1657" i="5"/>
  <c r="L1657" i="5"/>
  <c r="K1657" i="5"/>
  <c r="J1657" i="5"/>
  <c r="I1657" i="5"/>
  <c r="H1657" i="5"/>
  <c r="G1657" i="5"/>
  <c r="E1657" i="5"/>
  <c r="F1657" i="5" s="1"/>
  <c r="B1657" i="5"/>
  <c r="U1656" i="5"/>
  <c r="T1656" i="5"/>
  <c r="O1656" i="5"/>
  <c r="N1656" i="5"/>
  <c r="M1656" i="5"/>
  <c r="L1656" i="5"/>
  <c r="K1656" i="5"/>
  <c r="J1656" i="5"/>
  <c r="I1656" i="5"/>
  <c r="H1656" i="5"/>
  <c r="G1656" i="5"/>
  <c r="E1656" i="5"/>
  <c r="F1656" i="5" s="1"/>
  <c r="B1656" i="5"/>
  <c r="U1655" i="5"/>
  <c r="T1655" i="5"/>
  <c r="O1655" i="5"/>
  <c r="N1655" i="5"/>
  <c r="M1655" i="5"/>
  <c r="L1655" i="5"/>
  <c r="K1655" i="5"/>
  <c r="J1655" i="5"/>
  <c r="I1655" i="5"/>
  <c r="H1655" i="5"/>
  <c r="G1655" i="5"/>
  <c r="E1655" i="5"/>
  <c r="F1655" i="5" s="1"/>
  <c r="B1655" i="5"/>
  <c r="U1654" i="5"/>
  <c r="T1654" i="5"/>
  <c r="O1654" i="5"/>
  <c r="N1654" i="5"/>
  <c r="M1654" i="5"/>
  <c r="L1654" i="5"/>
  <c r="K1654" i="5"/>
  <c r="J1654" i="5"/>
  <c r="I1654" i="5"/>
  <c r="H1654" i="5"/>
  <c r="G1654" i="5"/>
  <c r="E1654" i="5"/>
  <c r="F1654" i="5" s="1"/>
  <c r="B1654" i="5"/>
  <c r="U1653" i="5"/>
  <c r="T1653" i="5"/>
  <c r="O1653" i="5"/>
  <c r="N1653" i="5"/>
  <c r="M1653" i="5"/>
  <c r="L1653" i="5"/>
  <c r="K1653" i="5"/>
  <c r="J1653" i="5"/>
  <c r="I1653" i="5"/>
  <c r="H1653" i="5"/>
  <c r="G1653" i="5"/>
  <c r="E1653" i="5"/>
  <c r="F1653" i="5" s="1"/>
  <c r="B1653" i="5"/>
  <c r="U1652" i="5"/>
  <c r="T1652" i="5"/>
  <c r="O1652" i="5"/>
  <c r="N1652" i="5"/>
  <c r="M1652" i="5"/>
  <c r="L1652" i="5"/>
  <c r="K1652" i="5"/>
  <c r="J1652" i="5"/>
  <c r="I1652" i="5"/>
  <c r="H1652" i="5"/>
  <c r="G1652" i="5"/>
  <c r="E1652" i="5"/>
  <c r="F1652" i="5" s="1"/>
  <c r="B1652" i="5"/>
  <c r="U1651" i="5"/>
  <c r="T1651" i="5"/>
  <c r="O1651" i="5"/>
  <c r="N1651" i="5"/>
  <c r="M1651" i="5"/>
  <c r="L1651" i="5"/>
  <c r="K1651" i="5"/>
  <c r="J1651" i="5"/>
  <c r="I1651" i="5"/>
  <c r="H1651" i="5"/>
  <c r="G1651" i="5"/>
  <c r="E1651" i="5"/>
  <c r="F1651" i="5" s="1"/>
  <c r="B1651" i="5"/>
  <c r="U1650" i="5"/>
  <c r="T1650" i="5"/>
  <c r="O1650" i="5"/>
  <c r="N1650" i="5"/>
  <c r="M1650" i="5"/>
  <c r="L1650" i="5"/>
  <c r="K1650" i="5"/>
  <c r="J1650" i="5"/>
  <c r="I1650" i="5"/>
  <c r="H1650" i="5"/>
  <c r="G1650" i="5"/>
  <c r="E1650" i="5"/>
  <c r="F1650" i="5" s="1"/>
  <c r="B1650" i="5"/>
  <c r="U1649" i="5"/>
  <c r="T1649" i="5"/>
  <c r="O1649" i="5"/>
  <c r="N1649" i="5"/>
  <c r="M1649" i="5"/>
  <c r="L1649" i="5"/>
  <c r="K1649" i="5"/>
  <c r="J1649" i="5"/>
  <c r="I1649" i="5"/>
  <c r="H1649" i="5"/>
  <c r="G1649" i="5"/>
  <c r="E1649" i="5"/>
  <c r="F1649" i="5" s="1"/>
  <c r="B1649" i="5"/>
  <c r="U1648" i="5"/>
  <c r="T1648" i="5"/>
  <c r="O1648" i="5"/>
  <c r="N1648" i="5"/>
  <c r="M1648" i="5"/>
  <c r="L1648" i="5"/>
  <c r="K1648" i="5"/>
  <c r="J1648" i="5"/>
  <c r="I1648" i="5"/>
  <c r="H1648" i="5"/>
  <c r="G1648" i="5"/>
  <c r="E1648" i="5"/>
  <c r="F1648" i="5" s="1"/>
  <c r="B1648" i="5"/>
  <c r="U1647" i="5"/>
  <c r="T1647" i="5"/>
  <c r="O1647" i="5"/>
  <c r="N1647" i="5"/>
  <c r="M1647" i="5"/>
  <c r="L1647" i="5"/>
  <c r="K1647" i="5"/>
  <c r="J1647" i="5"/>
  <c r="I1647" i="5"/>
  <c r="H1647" i="5"/>
  <c r="G1647" i="5"/>
  <c r="E1647" i="5"/>
  <c r="F1647" i="5" s="1"/>
  <c r="B1647" i="5"/>
  <c r="U1646" i="5"/>
  <c r="T1646" i="5"/>
  <c r="O1646" i="5"/>
  <c r="N1646" i="5"/>
  <c r="M1646" i="5"/>
  <c r="L1646" i="5"/>
  <c r="K1646" i="5"/>
  <c r="J1646" i="5"/>
  <c r="I1646" i="5"/>
  <c r="H1646" i="5"/>
  <c r="G1646" i="5"/>
  <c r="E1646" i="5"/>
  <c r="F1646" i="5" s="1"/>
  <c r="B1646" i="5"/>
  <c r="U1645" i="5"/>
  <c r="T1645" i="5"/>
  <c r="O1645" i="5"/>
  <c r="N1645" i="5"/>
  <c r="M1645" i="5"/>
  <c r="L1645" i="5"/>
  <c r="K1645" i="5"/>
  <c r="J1645" i="5"/>
  <c r="I1645" i="5"/>
  <c r="H1645" i="5"/>
  <c r="G1645" i="5"/>
  <c r="E1645" i="5"/>
  <c r="F1645" i="5" s="1"/>
  <c r="B1645" i="5"/>
  <c r="U1644" i="5"/>
  <c r="T1644" i="5"/>
  <c r="O1644" i="5"/>
  <c r="N1644" i="5"/>
  <c r="M1644" i="5"/>
  <c r="L1644" i="5"/>
  <c r="K1644" i="5"/>
  <c r="J1644" i="5"/>
  <c r="I1644" i="5"/>
  <c r="H1644" i="5"/>
  <c r="G1644" i="5"/>
  <c r="E1644" i="5"/>
  <c r="F1644" i="5" s="1"/>
  <c r="B1644" i="5"/>
  <c r="U1643" i="5"/>
  <c r="T1643" i="5"/>
  <c r="O1643" i="5"/>
  <c r="N1643" i="5"/>
  <c r="M1643" i="5"/>
  <c r="L1643" i="5"/>
  <c r="K1643" i="5"/>
  <c r="J1643" i="5"/>
  <c r="I1643" i="5"/>
  <c r="H1643" i="5"/>
  <c r="G1643" i="5"/>
  <c r="E1643" i="5"/>
  <c r="F1643" i="5" s="1"/>
  <c r="B1643" i="5"/>
  <c r="U1642" i="5"/>
  <c r="T1642" i="5"/>
  <c r="O1642" i="5"/>
  <c r="N1642" i="5"/>
  <c r="M1642" i="5"/>
  <c r="L1642" i="5"/>
  <c r="K1642" i="5"/>
  <c r="J1642" i="5"/>
  <c r="I1642" i="5"/>
  <c r="H1642" i="5"/>
  <c r="G1642" i="5"/>
  <c r="E1642" i="5"/>
  <c r="F1642" i="5" s="1"/>
  <c r="B1642" i="5"/>
  <c r="U1641" i="5"/>
  <c r="T1641" i="5"/>
  <c r="O1641" i="5"/>
  <c r="N1641" i="5"/>
  <c r="M1641" i="5"/>
  <c r="L1641" i="5"/>
  <c r="K1641" i="5"/>
  <c r="J1641" i="5"/>
  <c r="I1641" i="5"/>
  <c r="H1641" i="5"/>
  <c r="G1641" i="5"/>
  <c r="E1641" i="5"/>
  <c r="F1641" i="5" s="1"/>
  <c r="B1641" i="5"/>
  <c r="U1640" i="5"/>
  <c r="T1640" i="5"/>
  <c r="O1640" i="5"/>
  <c r="N1640" i="5"/>
  <c r="M1640" i="5"/>
  <c r="L1640" i="5"/>
  <c r="K1640" i="5"/>
  <c r="J1640" i="5"/>
  <c r="I1640" i="5"/>
  <c r="H1640" i="5"/>
  <c r="G1640" i="5"/>
  <c r="E1640" i="5"/>
  <c r="F1640" i="5" s="1"/>
  <c r="B1640" i="5"/>
  <c r="U1639" i="5"/>
  <c r="T1639" i="5"/>
  <c r="O1639" i="5"/>
  <c r="N1639" i="5"/>
  <c r="M1639" i="5"/>
  <c r="L1639" i="5"/>
  <c r="K1639" i="5"/>
  <c r="J1639" i="5"/>
  <c r="I1639" i="5"/>
  <c r="H1639" i="5"/>
  <c r="G1639" i="5"/>
  <c r="E1639" i="5"/>
  <c r="B1639" i="5"/>
  <c r="U1638" i="5"/>
  <c r="T1638" i="5"/>
  <c r="O1638" i="5"/>
  <c r="N1638" i="5"/>
  <c r="M1638" i="5"/>
  <c r="L1638" i="5"/>
  <c r="K1638" i="5"/>
  <c r="J1638" i="5"/>
  <c r="I1638" i="5"/>
  <c r="H1638" i="5"/>
  <c r="G1638" i="5"/>
  <c r="E1638" i="5"/>
  <c r="F1638" i="5" s="1"/>
  <c r="B1638" i="5"/>
  <c r="U1637" i="5"/>
  <c r="T1637" i="5"/>
  <c r="O1637" i="5"/>
  <c r="N1637" i="5"/>
  <c r="M1637" i="5"/>
  <c r="L1637" i="5"/>
  <c r="K1637" i="5"/>
  <c r="J1637" i="5"/>
  <c r="I1637" i="5"/>
  <c r="H1637" i="5"/>
  <c r="G1637" i="5"/>
  <c r="E1637" i="5"/>
  <c r="F1637" i="5" s="1"/>
  <c r="B1637" i="5"/>
  <c r="U1636" i="5"/>
  <c r="T1636" i="5"/>
  <c r="O1636" i="5"/>
  <c r="N1636" i="5"/>
  <c r="M1636" i="5"/>
  <c r="L1636" i="5"/>
  <c r="K1636" i="5"/>
  <c r="J1636" i="5"/>
  <c r="I1636" i="5"/>
  <c r="H1636" i="5"/>
  <c r="G1636" i="5"/>
  <c r="E1636" i="5"/>
  <c r="F1636" i="5" s="1"/>
  <c r="B1636" i="5"/>
  <c r="U1635" i="5"/>
  <c r="T1635" i="5"/>
  <c r="O1635" i="5"/>
  <c r="N1635" i="5"/>
  <c r="M1635" i="5"/>
  <c r="L1635" i="5"/>
  <c r="K1635" i="5"/>
  <c r="J1635" i="5"/>
  <c r="I1635" i="5"/>
  <c r="H1635" i="5"/>
  <c r="G1635" i="5"/>
  <c r="E1635" i="5"/>
  <c r="F1635" i="5" s="1"/>
  <c r="B1635" i="5"/>
  <c r="U1634" i="5"/>
  <c r="T1634" i="5"/>
  <c r="O1634" i="5"/>
  <c r="N1634" i="5"/>
  <c r="M1634" i="5"/>
  <c r="L1634" i="5"/>
  <c r="K1634" i="5"/>
  <c r="J1634" i="5"/>
  <c r="I1634" i="5"/>
  <c r="H1634" i="5"/>
  <c r="G1634" i="5"/>
  <c r="E1634" i="5"/>
  <c r="F1634" i="5" s="1"/>
  <c r="B1634" i="5"/>
  <c r="U1633" i="5"/>
  <c r="T1633" i="5"/>
  <c r="O1633" i="5"/>
  <c r="N1633" i="5"/>
  <c r="M1633" i="5"/>
  <c r="L1633" i="5"/>
  <c r="K1633" i="5"/>
  <c r="J1633" i="5"/>
  <c r="I1633" i="5"/>
  <c r="H1633" i="5"/>
  <c r="G1633" i="5"/>
  <c r="E1633" i="5"/>
  <c r="F1633" i="5" s="1"/>
  <c r="B1633" i="5"/>
  <c r="U1632" i="5"/>
  <c r="T1632" i="5"/>
  <c r="O1632" i="5"/>
  <c r="N1632" i="5"/>
  <c r="M1632" i="5"/>
  <c r="L1632" i="5"/>
  <c r="K1632" i="5"/>
  <c r="J1632" i="5"/>
  <c r="I1632" i="5"/>
  <c r="H1632" i="5"/>
  <c r="G1632" i="5"/>
  <c r="E1632" i="5"/>
  <c r="F1632" i="5" s="1"/>
  <c r="B1632" i="5"/>
  <c r="U1631" i="5"/>
  <c r="T1631" i="5"/>
  <c r="O1631" i="5"/>
  <c r="N1631" i="5"/>
  <c r="M1631" i="5"/>
  <c r="L1631" i="5"/>
  <c r="K1631" i="5"/>
  <c r="J1631" i="5"/>
  <c r="I1631" i="5"/>
  <c r="H1631" i="5"/>
  <c r="G1631" i="5"/>
  <c r="E1631" i="5"/>
  <c r="F1631" i="5" s="1"/>
  <c r="B1631" i="5"/>
  <c r="U1630" i="5"/>
  <c r="T1630" i="5"/>
  <c r="O1630" i="5"/>
  <c r="N1630" i="5"/>
  <c r="M1630" i="5"/>
  <c r="L1630" i="5"/>
  <c r="K1630" i="5"/>
  <c r="J1630" i="5"/>
  <c r="I1630" i="5"/>
  <c r="H1630" i="5"/>
  <c r="G1630" i="5"/>
  <c r="E1630" i="5"/>
  <c r="F1630" i="5" s="1"/>
  <c r="B1630" i="5"/>
  <c r="U1629" i="5"/>
  <c r="T1629" i="5"/>
  <c r="O1629" i="5"/>
  <c r="N1629" i="5"/>
  <c r="M1629" i="5"/>
  <c r="L1629" i="5"/>
  <c r="K1629" i="5"/>
  <c r="J1629" i="5"/>
  <c r="I1629" i="5"/>
  <c r="H1629" i="5"/>
  <c r="G1629" i="5"/>
  <c r="E1629" i="5"/>
  <c r="F1629" i="5" s="1"/>
  <c r="B1629" i="5"/>
  <c r="U1628" i="5"/>
  <c r="T1628" i="5"/>
  <c r="O1628" i="5"/>
  <c r="N1628" i="5"/>
  <c r="M1628" i="5"/>
  <c r="L1628" i="5"/>
  <c r="K1628" i="5"/>
  <c r="J1628" i="5"/>
  <c r="I1628" i="5"/>
  <c r="H1628" i="5"/>
  <c r="G1628" i="5"/>
  <c r="E1628" i="5"/>
  <c r="F1628" i="5" s="1"/>
  <c r="B1628" i="5"/>
  <c r="U1627" i="5"/>
  <c r="T1627" i="5"/>
  <c r="O1627" i="5"/>
  <c r="N1627" i="5"/>
  <c r="M1627" i="5"/>
  <c r="L1627" i="5"/>
  <c r="K1627" i="5"/>
  <c r="J1627" i="5"/>
  <c r="I1627" i="5"/>
  <c r="H1627" i="5"/>
  <c r="G1627" i="5"/>
  <c r="E1627" i="5"/>
  <c r="F1627" i="5" s="1"/>
  <c r="B1627" i="5"/>
  <c r="U1626" i="5"/>
  <c r="T1626" i="5"/>
  <c r="O1626" i="5"/>
  <c r="N1626" i="5"/>
  <c r="M1626" i="5"/>
  <c r="L1626" i="5"/>
  <c r="K1626" i="5"/>
  <c r="J1626" i="5"/>
  <c r="I1626" i="5"/>
  <c r="H1626" i="5"/>
  <c r="G1626" i="5"/>
  <c r="E1626" i="5"/>
  <c r="F1626" i="5" s="1"/>
  <c r="B1626" i="5"/>
  <c r="W1626" i="5" s="1"/>
  <c r="U1625" i="5"/>
  <c r="T1625" i="5"/>
  <c r="O1625" i="5"/>
  <c r="N1625" i="5"/>
  <c r="M1625" i="5"/>
  <c r="L1625" i="5"/>
  <c r="K1625" i="5"/>
  <c r="J1625" i="5"/>
  <c r="I1625" i="5"/>
  <c r="H1625" i="5"/>
  <c r="G1625" i="5"/>
  <c r="E1625" i="5"/>
  <c r="F1625" i="5" s="1"/>
  <c r="B1625" i="5"/>
  <c r="W1625" i="5" s="1"/>
  <c r="U1624" i="5"/>
  <c r="T1624" i="5"/>
  <c r="O1624" i="5"/>
  <c r="N1624" i="5"/>
  <c r="M1624" i="5"/>
  <c r="L1624" i="5"/>
  <c r="K1624" i="5"/>
  <c r="J1624" i="5"/>
  <c r="I1624" i="5"/>
  <c r="H1624" i="5"/>
  <c r="G1624" i="5"/>
  <c r="E1624" i="5"/>
  <c r="F1624" i="5" s="1"/>
  <c r="B1624" i="5"/>
  <c r="U1623" i="5"/>
  <c r="T1623" i="5"/>
  <c r="O1623" i="5"/>
  <c r="N1623" i="5"/>
  <c r="M1623" i="5"/>
  <c r="L1623" i="5"/>
  <c r="K1623" i="5"/>
  <c r="J1623" i="5"/>
  <c r="I1623" i="5"/>
  <c r="H1623" i="5"/>
  <c r="G1623" i="5"/>
  <c r="E1623" i="5"/>
  <c r="B1623" i="5"/>
  <c r="U1622" i="5"/>
  <c r="T1622" i="5"/>
  <c r="O1622" i="5"/>
  <c r="N1622" i="5"/>
  <c r="M1622" i="5"/>
  <c r="L1622" i="5"/>
  <c r="K1622" i="5"/>
  <c r="J1622" i="5"/>
  <c r="I1622" i="5"/>
  <c r="H1622" i="5"/>
  <c r="G1622" i="5"/>
  <c r="E1622" i="5"/>
  <c r="F1622" i="5" s="1"/>
  <c r="B1622" i="5"/>
  <c r="U1621" i="5"/>
  <c r="T1621" i="5"/>
  <c r="O1621" i="5"/>
  <c r="N1621" i="5"/>
  <c r="M1621" i="5"/>
  <c r="L1621" i="5"/>
  <c r="K1621" i="5"/>
  <c r="J1621" i="5"/>
  <c r="I1621" i="5"/>
  <c r="H1621" i="5"/>
  <c r="G1621" i="5"/>
  <c r="E1621" i="5"/>
  <c r="F1621" i="5" s="1"/>
  <c r="B1621" i="5"/>
  <c r="U1620" i="5"/>
  <c r="T1620" i="5"/>
  <c r="O1620" i="5"/>
  <c r="N1620" i="5"/>
  <c r="M1620" i="5"/>
  <c r="L1620" i="5"/>
  <c r="K1620" i="5"/>
  <c r="J1620" i="5"/>
  <c r="I1620" i="5"/>
  <c r="H1620" i="5"/>
  <c r="G1620" i="5"/>
  <c r="E1620" i="5"/>
  <c r="F1620" i="5" s="1"/>
  <c r="B1620" i="5"/>
  <c r="U1619" i="5"/>
  <c r="T1619" i="5"/>
  <c r="O1619" i="5"/>
  <c r="N1619" i="5"/>
  <c r="M1619" i="5"/>
  <c r="L1619" i="5"/>
  <c r="K1619" i="5"/>
  <c r="J1619" i="5"/>
  <c r="I1619" i="5"/>
  <c r="H1619" i="5"/>
  <c r="G1619" i="5"/>
  <c r="E1619" i="5"/>
  <c r="F1619" i="5" s="1"/>
  <c r="B1619" i="5"/>
  <c r="U1618" i="5"/>
  <c r="T1618" i="5"/>
  <c r="O1618" i="5"/>
  <c r="N1618" i="5"/>
  <c r="M1618" i="5"/>
  <c r="L1618" i="5"/>
  <c r="K1618" i="5"/>
  <c r="J1618" i="5"/>
  <c r="I1618" i="5"/>
  <c r="H1618" i="5"/>
  <c r="G1618" i="5"/>
  <c r="E1618" i="5"/>
  <c r="F1618" i="5" s="1"/>
  <c r="B1618" i="5"/>
  <c r="U1617" i="5"/>
  <c r="T1617" i="5"/>
  <c r="O1617" i="5"/>
  <c r="N1617" i="5"/>
  <c r="M1617" i="5"/>
  <c r="L1617" i="5"/>
  <c r="K1617" i="5"/>
  <c r="J1617" i="5"/>
  <c r="I1617" i="5"/>
  <c r="H1617" i="5"/>
  <c r="G1617" i="5"/>
  <c r="E1617" i="5"/>
  <c r="B1617" i="5"/>
  <c r="U1616" i="5"/>
  <c r="T1616" i="5"/>
  <c r="O1616" i="5"/>
  <c r="N1616" i="5"/>
  <c r="M1616" i="5"/>
  <c r="L1616" i="5"/>
  <c r="K1616" i="5"/>
  <c r="J1616" i="5"/>
  <c r="I1616" i="5"/>
  <c r="H1616" i="5"/>
  <c r="G1616" i="5"/>
  <c r="E1616" i="5"/>
  <c r="F1616" i="5" s="1"/>
  <c r="B1616" i="5"/>
  <c r="U1615" i="5"/>
  <c r="T1615" i="5"/>
  <c r="O1615" i="5"/>
  <c r="N1615" i="5"/>
  <c r="M1615" i="5"/>
  <c r="L1615" i="5"/>
  <c r="K1615" i="5"/>
  <c r="J1615" i="5"/>
  <c r="I1615" i="5"/>
  <c r="H1615" i="5"/>
  <c r="G1615" i="5"/>
  <c r="E1615" i="5"/>
  <c r="F1615" i="5" s="1"/>
  <c r="B1615" i="5"/>
  <c r="U1614" i="5"/>
  <c r="T1614" i="5"/>
  <c r="O1614" i="5"/>
  <c r="N1614" i="5"/>
  <c r="M1614" i="5"/>
  <c r="L1614" i="5"/>
  <c r="K1614" i="5"/>
  <c r="J1614" i="5"/>
  <c r="I1614" i="5"/>
  <c r="H1614" i="5"/>
  <c r="G1614" i="5"/>
  <c r="E1614" i="5"/>
  <c r="F1614" i="5" s="1"/>
  <c r="B1614" i="5"/>
  <c r="U1613" i="5"/>
  <c r="T1613" i="5"/>
  <c r="O1613" i="5"/>
  <c r="N1613" i="5"/>
  <c r="M1613" i="5"/>
  <c r="L1613" i="5"/>
  <c r="K1613" i="5"/>
  <c r="J1613" i="5"/>
  <c r="I1613" i="5"/>
  <c r="H1613" i="5"/>
  <c r="G1613" i="5"/>
  <c r="E1613" i="5"/>
  <c r="F1613" i="5" s="1"/>
  <c r="B1613" i="5"/>
  <c r="U1612" i="5"/>
  <c r="T1612" i="5"/>
  <c r="O1612" i="5"/>
  <c r="N1612" i="5"/>
  <c r="M1612" i="5"/>
  <c r="L1612" i="5"/>
  <c r="K1612" i="5"/>
  <c r="J1612" i="5"/>
  <c r="I1612" i="5"/>
  <c r="H1612" i="5"/>
  <c r="G1612" i="5"/>
  <c r="E1612" i="5"/>
  <c r="F1612" i="5" s="1"/>
  <c r="B1612" i="5"/>
  <c r="U1611" i="5"/>
  <c r="T1611" i="5"/>
  <c r="O1611" i="5"/>
  <c r="N1611" i="5"/>
  <c r="M1611" i="5"/>
  <c r="L1611" i="5"/>
  <c r="K1611" i="5"/>
  <c r="J1611" i="5"/>
  <c r="I1611" i="5"/>
  <c r="H1611" i="5"/>
  <c r="G1611" i="5"/>
  <c r="E1611" i="5"/>
  <c r="F1611" i="5" s="1"/>
  <c r="B1611" i="5"/>
  <c r="U1610" i="5"/>
  <c r="T1610" i="5"/>
  <c r="O1610" i="5"/>
  <c r="N1610" i="5"/>
  <c r="M1610" i="5"/>
  <c r="L1610" i="5"/>
  <c r="K1610" i="5"/>
  <c r="J1610" i="5"/>
  <c r="I1610" i="5"/>
  <c r="H1610" i="5"/>
  <c r="G1610" i="5"/>
  <c r="E1610" i="5"/>
  <c r="F1610" i="5" s="1"/>
  <c r="B1610" i="5"/>
  <c r="U1609" i="5"/>
  <c r="T1609" i="5"/>
  <c r="O1609" i="5"/>
  <c r="N1609" i="5"/>
  <c r="M1609" i="5"/>
  <c r="L1609" i="5"/>
  <c r="K1609" i="5"/>
  <c r="J1609" i="5"/>
  <c r="I1609" i="5"/>
  <c r="H1609" i="5"/>
  <c r="G1609" i="5"/>
  <c r="E1609" i="5"/>
  <c r="B1609" i="5"/>
  <c r="U1608" i="5"/>
  <c r="T1608" i="5"/>
  <c r="O1608" i="5"/>
  <c r="N1608" i="5"/>
  <c r="M1608" i="5"/>
  <c r="L1608" i="5"/>
  <c r="K1608" i="5"/>
  <c r="J1608" i="5"/>
  <c r="I1608" i="5"/>
  <c r="H1608" i="5"/>
  <c r="G1608" i="5"/>
  <c r="E1608" i="5"/>
  <c r="F1608" i="5" s="1"/>
  <c r="B1608" i="5"/>
  <c r="U1607" i="5"/>
  <c r="T1607" i="5"/>
  <c r="O1607" i="5"/>
  <c r="N1607" i="5"/>
  <c r="M1607" i="5"/>
  <c r="L1607" i="5"/>
  <c r="K1607" i="5"/>
  <c r="J1607" i="5"/>
  <c r="I1607" i="5"/>
  <c r="H1607" i="5"/>
  <c r="G1607" i="5"/>
  <c r="E1607" i="5"/>
  <c r="F1607" i="5" s="1"/>
  <c r="B1607" i="5"/>
  <c r="U1606" i="5"/>
  <c r="T1606" i="5"/>
  <c r="O1606" i="5"/>
  <c r="N1606" i="5"/>
  <c r="M1606" i="5"/>
  <c r="L1606" i="5"/>
  <c r="K1606" i="5"/>
  <c r="J1606" i="5"/>
  <c r="I1606" i="5"/>
  <c r="H1606" i="5"/>
  <c r="G1606" i="5"/>
  <c r="E1606" i="5"/>
  <c r="F1606" i="5" s="1"/>
  <c r="B1606" i="5"/>
  <c r="U1605" i="5"/>
  <c r="T1605" i="5"/>
  <c r="O1605" i="5"/>
  <c r="N1605" i="5"/>
  <c r="M1605" i="5"/>
  <c r="L1605" i="5"/>
  <c r="K1605" i="5"/>
  <c r="J1605" i="5"/>
  <c r="I1605" i="5"/>
  <c r="H1605" i="5"/>
  <c r="G1605" i="5"/>
  <c r="E1605" i="5"/>
  <c r="F1605" i="5" s="1"/>
  <c r="B1605" i="5"/>
  <c r="U1604" i="5"/>
  <c r="T1604" i="5"/>
  <c r="O1604" i="5"/>
  <c r="N1604" i="5"/>
  <c r="M1604" i="5"/>
  <c r="L1604" i="5"/>
  <c r="K1604" i="5"/>
  <c r="J1604" i="5"/>
  <c r="I1604" i="5"/>
  <c r="H1604" i="5"/>
  <c r="G1604" i="5"/>
  <c r="E1604" i="5"/>
  <c r="F1604" i="5" s="1"/>
  <c r="B1604" i="5"/>
  <c r="U1603" i="5"/>
  <c r="T1603" i="5"/>
  <c r="O1603" i="5"/>
  <c r="N1603" i="5"/>
  <c r="M1603" i="5"/>
  <c r="L1603" i="5"/>
  <c r="K1603" i="5"/>
  <c r="J1603" i="5"/>
  <c r="I1603" i="5"/>
  <c r="H1603" i="5"/>
  <c r="G1603" i="5"/>
  <c r="E1603" i="5"/>
  <c r="F1603" i="5" s="1"/>
  <c r="B1603" i="5"/>
  <c r="U1602" i="5"/>
  <c r="T1602" i="5"/>
  <c r="O1602" i="5"/>
  <c r="N1602" i="5"/>
  <c r="M1602" i="5"/>
  <c r="L1602" i="5"/>
  <c r="K1602" i="5"/>
  <c r="J1602" i="5"/>
  <c r="I1602" i="5"/>
  <c r="H1602" i="5"/>
  <c r="G1602" i="5"/>
  <c r="E1602" i="5"/>
  <c r="F1602" i="5" s="1"/>
  <c r="B1602" i="5"/>
  <c r="U1601" i="5"/>
  <c r="T1601" i="5"/>
  <c r="O1601" i="5"/>
  <c r="N1601" i="5"/>
  <c r="M1601" i="5"/>
  <c r="L1601" i="5"/>
  <c r="K1601" i="5"/>
  <c r="J1601" i="5"/>
  <c r="I1601" i="5"/>
  <c r="H1601" i="5"/>
  <c r="G1601" i="5"/>
  <c r="E1601" i="5"/>
  <c r="F1601" i="5" s="1"/>
  <c r="B1601" i="5"/>
  <c r="U1600" i="5"/>
  <c r="T1600" i="5"/>
  <c r="O1600" i="5"/>
  <c r="N1600" i="5"/>
  <c r="M1600" i="5"/>
  <c r="L1600" i="5"/>
  <c r="K1600" i="5"/>
  <c r="J1600" i="5"/>
  <c r="I1600" i="5"/>
  <c r="H1600" i="5"/>
  <c r="G1600" i="5"/>
  <c r="E1600" i="5"/>
  <c r="F1600" i="5" s="1"/>
  <c r="B1600" i="5"/>
  <c r="U1599" i="5"/>
  <c r="T1599" i="5"/>
  <c r="O1599" i="5"/>
  <c r="N1599" i="5"/>
  <c r="M1599" i="5"/>
  <c r="L1599" i="5"/>
  <c r="K1599" i="5"/>
  <c r="J1599" i="5"/>
  <c r="I1599" i="5"/>
  <c r="H1599" i="5"/>
  <c r="G1599" i="5"/>
  <c r="E1599" i="5"/>
  <c r="F1599" i="5" s="1"/>
  <c r="B1599" i="5"/>
  <c r="U1598" i="5"/>
  <c r="T1598" i="5"/>
  <c r="O1598" i="5"/>
  <c r="N1598" i="5"/>
  <c r="M1598" i="5"/>
  <c r="L1598" i="5"/>
  <c r="K1598" i="5"/>
  <c r="J1598" i="5"/>
  <c r="I1598" i="5"/>
  <c r="H1598" i="5"/>
  <c r="G1598" i="5"/>
  <c r="E1598" i="5"/>
  <c r="F1598" i="5" s="1"/>
  <c r="B1598" i="5"/>
  <c r="U1597" i="5"/>
  <c r="T1597" i="5"/>
  <c r="O1597" i="5"/>
  <c r="N1597" i="5"/>
  <c r="M1597" i="5"/>
  <c r="L1597" i="5"/>
  <c r="K1597" i="5"/>
  <c r="J1597" i="5"/>
  <c r="I1597" i="5"/>
  <c r="H1597" i="5"/>
  <c r="G1597" i="5"/>
  <c r="E1597" i="5"/>
  <c r="F1597" i="5" s="1"/>
  <c r="B1597" i="5"/>
  <c r="U1596" i="5"/>
  <c r="T1596" i="5"/>
  <c r="O1596" i="5"/>
  <c r="N1596" i="5"/>
  <c r="M1596" i="5"/>
  <c r="L1596" i="5"/>
  <c r="K1596" i="5"/>
  <c r="J1596" i="5"/>
  <c r="I1596" i="5"/>
  <c r="H1596" i="5"/>
  <c r="G1596" i="5"/>
  <c r="E1596" i="5"/>
  <c r="F1596" i="5" s="1"/>
  <c r="B1596" i="5"/>
  <c r="U1595" i="5"/>
  <c r="T1595" i="5"/>
  <c r="O1595" i="5"/>
  <c r="N1595" i="5"/>
  <c r="M1595" i="5"/>
  <c r="L1595" i="5"/>
  <c r="K1595" i="5"/>
  <c r="J1595" i="5"/>
  <c r="I1595" i="5"/>
  <c r="H1595" i="5"/>
  <c r="G1595" i="5"/>
  <c r="E1595" i="5"/>
  <c r="F1595" i="5" s="1"/>
  <c r="B1595" i="5"/>
  <c r="U1594" i="5"/>
  <c r="T1594" i="5"/>
  <c r="O1594" i="5"/>
  <c r="N1594" i="5"/>
  <c r="M1594" i="5"/>
  <c r="L1594" i="5"/>
  <c r="K1594" i="5"/>
  <c r="J1594" i="5"/>
  <c r="I1594" i="5"/>
  <c r="H1594" i="5"/>
  <c r="G1594" i="5"/>
  <c r="E1594" i="5"/>
  <c r="F1594" i="5" s="1"/>
  <c r="B1594" i="5"/>
  <c r="U1593" i="5"/>
  <c r="T1593" i="5"/>
  <c r="O1593" i="5"/>
  <c r="N1593" i="5"/>
  <c r="M1593" i="5"/>
  <c r="L1593" i="5"/>
  <c r="K1593" i="5"/>
  <c r="J1593" i="5"/>
  <c r="I1593" i="5"/>
  <c r="H1593" i="5"/>
  <c r="G1593" i="5"/>
  <c r="E1593" i="5"/>
  <c r="F1593" i="5" s="1"/>
  <c r="B1593" i="5"/>
  <c r="U1592" i="5"/>
  <c r="T1592" i="5"/>
  <c r="O1592" i="5"/>
  <c r="N1592" i="5"/>
  <c r="M1592" i="5"/>
  <c r="L1592" i="5"/>
  <c r="K1592" i="5"/>
  <c r="J1592" i="5"/>
  <c r="I1592" i="5"/>
  <c r="H1592" i="5"/>
  <c r="G1592" i="5"/>
  <c r="E1592" i="5"/>
  <c r="B1592" i="5"/>
  <c r="U1591" i="5"/>
  <c r="T1591" i="5"/>
  <c r="O1591" i="5"/>
  <c r="N1591" i="5"/>
  <c r="M1591" i="5"/>
  <c r="L1591" i="5"/>
  <c r="K1591" i="5"/>
  <c r="J1591" i="5"/>
  <c r="I1591" i="5"/>
  <c r="H1591" i="5"/>
  <c r="G1591" i="5"/>
  <c r="E1591" i="5"/>
  <c r="F1591" i="5" s="1"/>
  <c r="B1591" i="5"/>
  <c r="U1590" i="5"/>
  <c r="T1590" i="5"/>
  <c r="O1590" i="5"/>
  <c r="N1590" i="5"/>
  <c r="M1590" i="5"/>
  <c r="L1590" i="5"/>
  <c r="K1590" i="5"/>
  <c r="J1590" i="5"/>
  <c r="I1590" i="5"/>
  <c r="H1590" i="5"/>
  <c r="G1590" i="5"/>
  <c r="E1590" i="5"/>
  <c r="F1590" i="5" s="1"/>
  <c r="B1590" i="5"/>
  <c r="U1589" i="5"/>
  <c r="T1589" i="5"/>
  <c r="O1589" i="5"/>
  <c r="N1589" i="5"/>
  <c r="M1589" i="5"/>
  <c r="L1589" i="5"/>
  <c r="K1589" i="5"/>
  <c r="J1589" i="5"/>
  <c r="I1589" i="5"/>
  <c r="H1589" i="5"/>
  <c r="G1589" i="5"/>
  <c r="E1589" i="5"/>
  <c r="B1589" i="5"/>
  <c r="U1588" i="5"/>
  <c r="T1588" i="5"/>
  <c r="O1588" i="5"/>
  <c r="N1588" i="5"/>
  <c r="M1588" i="5"/>
  <c r="L1588" i="5"/>
  <c r="K1588" i="5"/>
  <c r="J1588" i="5"/>
  <c r="I1588" i="5"/>
  <c r="H1588" i="5"/>
  <c r="G1588" i="5"/>
  <c r="E1588" i="5"/>
  <c r="B1588" i="5"/>
  <c r="U1587" i="5"/>
  <c r="T1587" i="5"/>
  <c r="O1587" i="5"/>
  <c r="N1587" i="5"/>
  <c r="M1587" i="5"/>
  <c r="L1587" i="5"/>
  <c r="K1587" i="5"/>
  <c r="J1587" i="5"/>
  <c r="I1587" i="5"/>
  <c r="H1587" i="5"/>
  <c r="G1587" i="5"/>
  <c r="E1587" i="5"/>
  <c r="F1587" i="5" s="1"/>
  <c r="B1587" i="5"/>
  <c r="U1586" i="5"/>
  <c r="T1586" i="5"/>
  <c r="O1586" i="5"/>
  <c r="N1586" i="5"/>
  <c r="M1586" i="5"/>
  <c r="L1586" i="5"/>
  <c r="K1586" i="5"/>
  <c r="J1586" i="5"/>
  <c r="I1586" i="5"/>
  <c r="H1586" i="5"/>
  <c r="G1586" i="5"/>
  <c r="E1586" i="5"/>
  <c r="F1586" i="5" s="1"/>
  <c r="B1586" i="5"/>
  <c r="U1585" i="5"/>
  <c r="T1585" i="5"/>
  <c r="O1585" i="5"/>
  <c r="N1585" i="5"/>
  <c r="M1585" i="5"/>
  <c r="L1585" i="5"/>
  <c r="K1585" i="5"/>
  <c r="J1585" i="5"/>
  <c r="I1585" i="5"/>
  <c r="H1585" i="5"/>
  <c r="G1585" i="5"/>
  <c r="E1585" i="5"/>
  <c r="F1585" i="5" s="1"/>
  <c r="B1585" i="5"/>
  <c r="U1584" i="5"/>
  <c r="T1584" i="5"/>
  <c r="O1584" i="5"/>
  <c r="N1584" i="5"/>
  <c r="M1584" i="5"/>
  <c r="L1584" i="5"/>
  <c r="K1584" i="5"/>
  <c r="J1584" i="5"/>
  <c r="I1584" i="5"/>
  <c r="H1584" i="5"/>
  <c r="G1584" i="5"/>
  <c r="E1584" i="5"/>
  <c r="F1584" i="5" s="1"/>
  <c r="B1584" i="5"/>
  <c r="U1583" i="5"/>
  <c r="T1583" i="5"/>
  <c r="O1583" i="5"/>
  <c r="N1583" i="5"/>
  <c r="M1583" i="5"/>
  <c r="L1583" i="5"/>
  <c r="K1583" i="5"/>
  <c r="J1583" i="5"/>
  <c r="I1583" i="5"/>
  <c r="H1583" i="5"/>
  <c r="G1583" i="5"/>
  <c r="E1583" i="5"/>
  <c r="F1583" i="5" s="1"/>
  <c r="B1583" i="5"/>
  <c r="U1582" i="5"/>
  <c r="T1582" i="5"/>
  <c r="O1582" i="5"/>
  <c r="N1582" i="5"/>
  <c r="M1582" i="5"/>
  <c r="L1582" i="5"/>
  <c r="K1582" i="5"/>
  <c r="J1582" i="5"/>
  <c r="I1582" i="5"/>
  <c r="H1582" i="5"/>
  <c r="G1582" i="5"/>
  <c r="E1582" i="5"/>
  <c r="F1582" i="5" s="1"/>
  <c r="B1582" i="5"/>
  <c r="U1581" i="5"/>
  <c r="T1581" i="5"/>
  <c r="O1581" i="5"/>
  <c r="N1581" i="5"/>
  <c r="M1581" i="5"/>
  <c r="L1581" i="5"/>
  <c r="K1581" i="5"/>
  <c r="J1581" i="5"/>
  <c r="I1581" i="5"/>
  <c r="H1581" i="5"/>
  <c r="G1581" i="5"/>
  <c r="E1581" i="5"/>
  <c r="F1581" i="5" s="1"/>
  <c r="B1581" i="5"/>
  <c r="U1580" i="5"/>
  <c r="T1580" i="5"/>
  <c r="O1580" i="5"/>
  <c r="N1580" i="5"/>
  <c r="M1580" i="5"/>
  <c r="L1580" i="5"/>
  <c r="K1580" i="5"/>
  <c r="J1580" i="5"/>
  <c r="I1580" i="5"/>
  <c r="H1580" i="5"/>
  <c r="G1580" i="5"/>
  <c r="E1580" i="5"/>
  <c r="F1580" i="5" s="1"/>
  <c r="B1580" i="5"/>
  <c r="U1579" i="5"/>
  <c r="T1579" i="5"/>
  <c r="O1579" i="5"/>
  <c r="N1579" i="5"/>
  <c r="M1579" i="5"/>
  <c r="L1579" i="5"/>
  <c r="K1579" i="5"/>
  <c r="J1579" i="5"/>
  <c r="I1579" i="5"/>
  <c r="H1579" i="5"/>
  <c r="G1579" i="5"/>
  <c r="E1579" i="5"/>
  <c r="B1579" i="5"/>
  <c r="U1578" i="5"/>
  <c r="T1578" i="5"/>
  <c r="O1578" i="5"/>
  <c r="N1578" i="5"/>
  <c r="M1578" i="5"/>
  <c r="L1578" i="5"/>
  <c r="K1578" i="5"/>
  <c r="J1578" i="5"/>
  <c r="I1578" i="5"/>
  <c r="H1578" i="5"/>
  <c r="G1578" i="5"/>
  <c r="E1578" i="5"/>
  <c r="F1578" i="5" s="1"/>
  <c r="B1578" i="5"/>
  <c r="U1577" i="5"/>
  <c r="T1577" i="5"/>
  <c r="O1577" i="5"/>
  <c r="N1577" i="5"/>
  <c r="M1577" i="5"/>
  <c r="L1577" i="5"/>
  <c r="K1577" i="5"/>
  <c r="J1577" i="5"/>
  <c r="I1577" i="5"/>
  <c r="H1577" i="5"/>
  <c r="G1577" i="5"/>
  <c r="E1577" i="5"/>
  <c r="F1577" i="5" s="1"/>
  <c r="B1577" i="5"/>
  <c r="U1576" i="5"/>
  <c r="T1576" i="5"/>
  <c r="O1576" i="5"/>
  <c r="N1576" i="5"/>
  <c r="M1576" i="5"/>
  <c r="L1576" i="5"/>
  <c r="K1576" i="5"/>
  <c r="J1576" i="5"/>
  <c r="I1576" i="5"/>
  <c r="H1576" i="5"/>
  <c r="G1576" i="5"/>
  <c r="E1576" i="5"/>
  <c r="F1576" i="5" s="1"/>
  <c r="B1576" i="5"/>
  <c r="U1575" i="5"/>
  <c r="T1575" i="5"/>
  <c r="O1575" i="5"/>
  <c r="N1575" i="5"/>
  <c r="M1575" i="5"/>
  <c r="L1575" i="5"/>
  <c r="K1575" i="5"/>
  <c r="J1575" i="5"/>
  <c r="I1575" i="5"/>
  <c r="H1575" i="5"/>
  <c r="G1575" i="5"/>
  <c r="E1575" i="5"/>
  <c r="F1575" i="5" s="1"/>
  <c r="B1575" i="5"/>
  <c r="U1574" i="5"/>
  <c r="T1574" i="5"/>
  <c r="O1574" i="5"/>
  <c r="N1574" i="5"/>
  <c r="M1574" i="5"/>
  <c r="L1574" i="5"/>
  <c r="K1574" i="5"/>
  <c r="J1574" i="5"/>
  <c r="I1574" i="5"/>
  <c r="H1574" i="5"/>
  <c r="G1574" i="5"/>
  <c r="E1574" i="5"/>
  <c r="F1574" i="5" s="1"/>
  <c r="B1574" i="5"/>
  <c r="U1573" i="5"/>
  <c r="T1573" i="5"/>
  <c r="O1573" i="5"/>
  <c r="N1573" i="5"/>
  <c r="M1573" i="5"/>
  <c r="L1573" i="5"/>
  <c r="K1573" i="5"/>
  <c r="J1573" i="5"/>
  <c r="I1573" i="5"/>
  <c r="H1573" i="5"/>
  <c r="G1573" i="5"/>
  <c r="E1573" i="5"/>
  <c r="F1573" i="5" s="1"/>
  <c r="B1573" i="5"/>
  <c r="U1572" i="5"/>
  <c r="T1572" i="5"/>
  <c r="O1572" i="5"/>
  <c r="N1572" i="5"/>
  <c r="M1572" i="5"/>
  <c r="L1572" i="5"/>
  <c r="K1572" i="5"/>
  <c r="J1572" i="5"/>
  <c r="I1572" i="5"/>
  <c r="H1572" i="5"/>
  <c r="G1572" i="5"/>
  <c r="E1572" i="5"/>
  <c r="F1572" i="5" s="1"/>
  <c r="B1572" i="5"/>
  <c r="U1571" i="5"/>
  <c r="T1571" i="5"/>
  <c r="O1571" i="5"/>
  <c r="N1571" i="5"/>
  <c r="M1571" i="5"/>
  <c r="L1571" i="5"/>
  <c r="K1571" i="5"/>
  <c r="J1571" i="5"/>
  <c r="I1571" i="5"/>
  <c r="H1571" i="5"/>
  <c r="G1571" i="5"/>
  <c r="E1571" i="5"/>
  <c r="F1571" i="5" s="1"/>
  <c r="B1571" i="5"/>
  <c r="U1570" i="5"/>
  <c r="T1570" i="5"/>
  <c r="O1570" i="5"/>
  <c r="N1570" i="5"/>
  <c r="M1570" i="5"/>
  <c r="L1570" i="5"/>
  <c r="K1570" i="5"/>
  <c r="J1570" i="5"/>
  <c r="I1570" i="5"/>
  <c r="H1570" i="5"/>
  <c r="G1570" i="5"/>
  <c r="E1570" i="5"/>
  <c r="B1570" i="5"/>
  <c r="U1569" i="5"/>
  <c r="T1569" i="5"/>
  <c r="O1569" i="5"/>
  <c r="N1569" i="5"/>
  <c r="M1569" i="5"/>
  <c r="L1569" i="5"/>
  <c r="K1569" i="5"/>
  <c r="J1569" i="5"/>
  <c r="I1569" i="5"/>
  <c r="H1569" i="5"/>
  <c r="G1569" i="5"/>
  <c r="E1569" i="5"/>
  <c r="F1569" i="5" s="1"/>
  <c r="B1569" i="5"/>
  <c r="U1568" i="5"/>
  <c r="T1568" i="5"/>
  <c r="O1568" i="5"/>
  <c r="N1568" i="5"/>
  <c r="M1568" i="5"/>
  <c r="L1568" i="5"/>
  <c r="K1568" i="5"/>
  <c r="J1568" i="5"/>
  <c r="I1568" i="5"/>
  <c r="H1568" i="5"/>
  <c r="G1568" i="5"/>
  <c r="E1568" i="5"/>
  <c r="F1568" i="5" s="1"/>
  <c r="B1568" i="5"/>
  <c r="U1567" i="5"/>
  <c r="T1567" i="5"/>
  <c r="O1567" i="5"/>
  <c r="N1567" i="5"/>
  <c r="M1567" i="5"/>
  <c r="L1567" i="5"/>
  <c r="K1567" i="5"/>
  <c r="J1567" i="5"/>
  <c r="I1567" i="5"/>
  <c r="H1567" i="5"/>
  <c r="G1567" i="5"/>
  <c r="E1567" i="5"/>
  <c r="F1567" i="5" s="1"/>
  <c r="B1567" i="5"/>
  <c r="U1566" i="5"/>
  <c r="T1566" i="5"/>
  <c r="O1566" i="5"/>
  <c r="N1566" i="5"/>
  <c r="M1566" i="5"/>
  <c r="L1566" i="5"/>
  <c r="K1566" i="5"/>
  <c r="J1566" i="5"/>
  <c r="I1566" i="5"/>
  <c r="H1566" i="5"/>
  <c r="G1566" i="5"/>
  <c r="E1566" i="5"/>
  <c r="F1566" i="5" s="1"/>
  <c r="B1566" i="5"/>
  <c r="U1565" i="5"/>
  <c r="T1565" i="5"/>
  <c r="O1565" i="5"/>
  <c r="N1565" i="5"/>
  <c r="M1565" i="5"/>
  <c r="L1565" i="5"/>
  <c r="K1565" i="5"/>
  <c r="J1565" i="5"/>
  <c r="I1565" i="5"/>
  <c r="H1565" i="5"/>
  <c r="G1565" i="5"/>
  <c r="E1565" i="5"/>
  <c r="F1565" i="5" s="1"/>
  <c r="B1565" i="5"/>
  <c r="U1564" i="5"/>
  <c r="T1564" i="5"/>
  <c r="O1564" i="5"/>
  <c r="N1564" i="5"/>
  <c r="M1564" i="5"/>
  <c r="L1564" i="5"/>
  <c r="K1564" i="5"/>
  <c r="J1564" i="5"/>
  <c r="I1564" i="5"/>
  <c r="H1564" i="5"/>
  <c r="G1564" i="5"/>
  <c r="E1564" i="5"/>
  <c r="F1564" i="5" s="1"/>
  <c r="B1564" i="5"/>
  <c r="U1563" i="5"/>
  <c r="T1563" i="5"/>
  <c r="O1563" i="5"/>
  <c r="N1563" i="5"/>
  <c r="M1563" i="5"/>
  <c r="L1563" i="5"/>
  <c r="K1563" i="5"/>
  <c r="J1563" i="5"/>
  <c r="I1563" i="5"/>
  <c r="H1563" i="5"/>
  <c r="G1563" i="5"/>
  <c r="E1563" i="5"/>
  <c r="F1563" i="5" s="1"/>
  <c r="B1563" i="5"/>
  <c r="U1562" i="5"/>
  <c r="T1562" i="5"/>
  <c r="O1562" i="5"/>
  <c r="N1562" i="5"/>
  <c r="M1562" i="5"/>
  <c r="L1562" i="5"/>
  <c r="K1562" i="5"/>
  <c r="J1562" i="5"/>
  <c r="I1562" i="5"/>
  <c r="H1562" i="5"/>
  <c r="G1562" i="5"/>
  <c r="E1562" i="5"/>
  <c r="F1562" i="5" s="1"/>
  <c r="B1562" i="5"/>
  <c r="U1561" i="5"/>
  <c r="T1561" i="5"/>
  <c r="O1561" i="5"/>
  <c r="N1561" i="5"/>
  <c r="M1561" i="5"/>
  <c r="L1561" i="5"/>
  <c r="K1561" i="5"/>
  <c r="J1561" i="5"/>
  <c r="I1561" i="5"/>
  <c r="H1561" i="5"/>
  <c r="G1561" i="5"/>
  <c r="E1561" i="5"/>
  <c r="F1561" i="5" s="1"/>
  <c r="B1561" i="5"/>
  <c r="U1560" i="5"/>
  <c r="T1560" i="5"/>
  <c r="O1560" i="5"/>
  <c r="N1560" i="5"/>
  <c r="M1560" i="5"/>
  <c r="L1560" i="5"/>
  <c r="K1560" i="5"/>
  <c r="J1560" i="5"/>
  <c r="I1560" i="5"/>
  <c r="H1560" i="5"/>
  <c r="G1560" i="5"/>
  <c r="E1560" i="5"/>
  <c r="F1560" i="5" s="1"/>
  <c r="B1560" i="5"/>
  <c r="U1559" i="5"/>
  <c r="T1559" i="5"/>
  <c r="O1559" i="5"/>
  <c r="N1559" i="5"/>
  <c r="M1559" i="5"/>
  <c r="L1559" i="5"/>
  <c r="K1559" i="5"/>
  <c r="J1559" i="5"/>
  <c r="I1559" i="5"/>
  <c r="H1559" i="5"/>
  <c r="G1559" i="5"/>
  <c r="E1559" i="5"/>
  <c r="B1559" i="5"/>
  <c r="U1558" i="5"/>
  <c r="T1558" i="5"/>
  <c r="O1558" i="5"/>
  <c r="N1558" i="5"/>
  <c r="M1558" i="5"/>
  <c r="L1558" i="5"/>
  <c r="K1558" i="5"/>
  <c r="J1558" i="5"/>
  <c r="I1558" i="5"/>
  <c r="H1558" i="5"/>
  <c r="G1558" i="5"/>
  <c r="E1558" i="5"/>
  <c r="F1558" i="5" s="1"/>
  <c r="B1558" i="5"/>
  <c r="U1557" i="5"/>
  <c r="T1557" i="5"/>
  <c r="O1557" i="5"/>
  <c r="N1557" i="5"/>
  <c r="M1557" i="5"/>
  <c r="L1557" i="5"/>
  <c r="K1557" i="5"/>
  <c r="J1557" i="5"/>
  <c r="I1557" i="5"/>
  <c r="H1557" i="5"/>
  <c r="G1557" i="5"/>
  <c r="E1557" i="5"/>
  <c r="F1557" i="5" s="1"/>
  <c r="B1557" i="5"/>
  <c r="U1556" i="5"/>
  <c r="T1556" i="5"/>
  <c r="O1556" i="5"/>
  <c r="N1556" i="5"/>
  <c r="M1556" i="5"/>
  <c r="L1556" i="5"/>
  <c r="K1556" i="5"/>
  <c r="J1556" i="5"/>
  <c r="I1556" i="5"/>
  <c r="H1556" i="5"/>
  <c r="G1556" i="5"/>
  <c r="E1556" i="5"/>
  <c r="F1556" i="5" s="1"/>
  <c r="B1556" i="5"/>
  <c r="U1555" i="5"/>
  <c r="T1555" i="5"/>
  <c r="O1555" i="5"/>
  <c r="N1555" i="5"/>
  <c r="M1555" i="5"/>
  <c r="L1555" i="5"/>
  <c r="K1555" i="5"/>
  <c r="J1555" i="5"/>
  <c r="I1555" i="5"/>
  <c r="H1555" i="5"/>
  <c r="G1555" i="5"/>
  <c r="E1555" i="5"/>
  <c r="F1555" i="5" s="1"/>
  <c r="B1555" i="5"/>
  <c r="U1554" i="5"/>
  <c r="T1554" i="5"/>
  <c r="O1554" i="5"/>
  <c r="N1554" i="5"/>
  <c r="M1554" i="5"/>
  <c r="L1554" i="5"/>
  <c r="K1554" i="5"/>
  <c r="J1554" i="5"/>
  <c r="I1554" i="5"/>
  <c r="H1554" i="5"/>
  <c r="G1554" i="5"/>
  <c r="E1554" i="5"/>
  <c r="F1554" i="5" s="1"/>
  <c r="B1554" i="5"/>
  <c r="U1553" i="5"/>
  <c r="T1553" i="5"/>
  <c r="O1553" i="5"/>
  <c r="N1553" i="5"/>
  <c r="M1553" i="5"/>
  <c r="L1553" i="5"/>
  <c r="K1553" i="5"/>
  <c r="J1553" i="5"/>
  <c r="I1553" i="5"/>
  <c r="H1553" i="5"/>
  <c r="G1553" i="5"/>
  <c r="E1553" i="5"/>
  <c r="F1553" i="5" s="1"/>
  <c r="B1553" i="5"/>
  <c r="U1552" i="5"/>
  <c r="T1552" i="5"/>
  <c r="O1552" i="5"/>
  <c r="N1552" i="5"/>
  <c r="M1552" i="5"/>
  <c r="L1552" i="5"/>
  <c r="K1552" i="5"/>
  <c r="J1552" i="5"/>
  <c r="I1552" i="5"/>
  <c r="H1552" i="5"/>
  <c r="G1552" i="5"/>
  <c r="E1552" i="5"/>
  <c r="B1552" i="5"/>
  <c r="U1551" i="5"/>
  <c r="T1551" i="5"/>
  <c r="O1551" i="5"/>
  <c r="N1551" i="5"/>
  <c r="M1551" i="5"/>
  <c r="L1551" i="5"/>
  <c r="K1551" i="5"/>
  <c r="J1551" i="5"/>
  <c r="I1551" i="5"/>
  <c r="H1551" i="5"/>
  <c r="G1551" i="5"/>
  <c r="E1551" i="5"/>
  <c r="F1551" i="5" s="1"/>
  <c r="B1551" i="5"/>
  <c r="U1550" i="5"/>
  <c r="T1550" i="5"/>
  <c r="O1550" i="5"/>
  <c r="N1550" i="5"/>
  <c r="M1550" i="5"/>
  <c r="L1550" i="5"/>
  <c r="K1550" i="5"/>
  <c r="J1550" i="5"/>
  <c r="I1550" i="5"/>
  <c r="H1550" i="5"/>
  <c r="G1550" i="5"/>
  <c r="E1550" i="5"/>
  <c r="F1550" i="5" s="1"/>
  <c r="B1550" i="5"/>
  <c r="U1549" i="5"/>
  <c r="T1549" i="5"/>
  <c r="O1549" i="5"/>
  <c r="N1549" i="5"/>
  <c r="M1549" i="5"/>
  <c r="L1549" i="5"/>
  <c r="K1549" i="5"/>
  <c r="J1549" i="5"/>
  <c r="I1549" i="5"/>
  <c r="H1549" i="5"/>
  <c r="G1549" i="5"/>
  <c r="E1549" i="5"/>
  <c r="F1549" i="5" s="1"/>
  <c r="B1549" i="5"/>
  <c r="U1548" i="5"/>
  <c r="T1548" i="5"/>
  <c r="O1548" i="5"/>
  <c r="N1548" i="5"/>
  <c r="M1548" i="5"/>
  <c r="L1548" i="5"/>
  <c r="K1548" i="5"/>
  <c r="J1548" i="5"/>
  <c r="I1548" i="5"/>
  <c r="H1548" i="5"/>
  <c r="G1548" i="5"/>
  <c r="E1548" i="5"/>
  <c r="F1548" i="5" s="1"/>
  <c r="B1548" i="5"/>
  <c r="U1547" i="5"/>
  <c r="T1547" i="5"/>
  <c r="O1547" i="5"/>
  <c r="N1547" i="5"/>
  <c r="M1547" i="5"/>
  <c r="L1547" i="5"/>
  <c r="K1547" i="5"/>
  <c r="J1547" i="5"/>
  <c r="I1547" i="5"/>
  <c r="H1547" i="5"/>
  <c r="G1547" i="5"/>
  <c r="E1547" i="5"/>
  <c r="B1547" i="5"/>
  <c r="U1546" i="5"/>
  <c r="T1546" i="5"/>
  <c r="O1546" i="5"/>
  <c r="N1546" i="5"/>
  <c r="M1546" i="5"/>
  <c r="L1546" i="5"/>
  <c r="K1546" i="5"/>
  <c r="J1546" i="5"/>
  <c r="I1546" i="5"/>
  <c r="H1546" i="5"/>
  <c r="G1546" i="5"/>
  <c r="E1546" i="5"/>
  <c r="F1546" i="5" s="1"/>
  <c r="B1546" i="5"/>
  <c r="U1545" i="5"/>
  <c r="T1545" i="5"/>
  <c r="O1545" i="5"/>
  <c r="N1545" i="5"/>
  <c r="M1545" i="5"/>
  <c r="L1545" i="5"/>
  <c r="K1545" i="5"/>
  <c r="J1545" i="5"/>
  <c r="I1545" i="5"/>
  <c r="H1545" i="5"/>
  <c r="G1545" i="5"/>
  <c r="E1545" i="5"/>
  <c r="F1545" i="5" s="1"/>
  <c r="B1545" i="5"/>
  <c r="U1544" i="5"/>
  <c r="T1544" i="5"/>
  <c r="O1544" i="5"/>
  <c r="N1544" i="5"/>
  <c r="M1544" i="5"/>
  <c r="L1544" i="5"/>
  <c r="K1544" i="5"/>
  <c r="J1544" i="5"/>
  <c r="I1544" i="5"/>
  <c r="H1544" i="5"/>
  <c r="G1544" i="5"/>
  <c r="E1544" i="5"/>
  <c r="F1544" i="5" s="1"/>
  <c r="B1544" i="5"/>
  <c r="U1543" i="5"/>
  <c r="T1543" i="5"/>
  <c r="O1543" i="5"/>
  <c r="N1543" i="5"/>
  <c r="M1543" i="5"/>
  <c r="L1543" i="5"/>
  <c r="K1543" i="5"/>
  <c r="J1543" i="5"/>
  <c r="I1543" i="5"/>
  <c r="H1543" i="5"/>
  <c r="G1543" i="5"/>
  <c r="E1543" i="5"/>
  <c r="F1543" i="5" s="1"/>
  <c r="B1543" i="5"/>
  <c r="U1542" i="5"/>
  <c r="T1542" i="5"/>
  <c r="O1542" i="5"/>
  <c r="N1542" i="5"/>
  <c r="M1542" i="5"/>
  <c r="L1542" i="5"/>
  <c r="K1542" i="5"/>
  <c r="J1542" i="5"/>
  <c r="I1542" i="5"/>
  <c r="H1542" i="5"/>
  <c r="G1542" i="5"/>
  <c r="E1542" i="5"/>
  <c r="F1542" i="5" s="1"/>
  <c r="B1542" i="5"/>
  <c r="U1541" i="5"/>
  <c r="T1541" i="5"/>
  <c r="O1541" i="5"/>
  <c r="N1541" i="5"/>
  <c r="M1541" i="5"/>
  <c r="L1541" i="5"/>
  <c r="K1541" i="5"/>
  <c r="J1541" i="5"/>
  <c r="I1541" i="5"/>
  <c r="H1541" i="5"/>
  <c r="G1541" i="5"/>
  <c r="E1541" i="5"/>
  <c r="F1541" i="5" s="1"/>
  <c r="B1541" i="5"/>
  <c r="U1540" i="5"/>
  <c r="T1540" i="5"/>
  <c r="O1540" i="5"/>
  <c r="N1540" i="5"/>
  <c r="M1540" i="5"/>
  <c r="L1540" i="5"/>
  <c r="K1540" i="5"/>
  <c r="J1540" i="5"/>
  <c r="I1540" i="5"/>
  <c r="H1540" i="5"/>
  <c r="G1540" i="5"/>
  <c r="E1540" i="5"/>
  <c r="F1540" i="5" s="1"/>
  <c r="B1540" i="5"/>
  <c r="U1539" i="5"/>
  <c r="T1539" i="5"/>
  <c r="O1539" i="5"/>
  <c r="N1539" i="5"/>
  <c r="M1539" i="5"/>
  <c r="L1539" i="5"/>
  <c r="K1539" i="5"/>
  <c r="J1539" i="5"/>
  <c r="I1539" i="5"/>
  <c r="H1539" i="5"/>
  <c r="G1539" i="5"/>
  <c r="E1539" i="5"/>
  <c r="F1539" i="5" s="1"/>
  <c r="B1539" i="5"/>
  <c r="U1538" i="5"/>
  <c r="T1538" i="5"/>
  <c r="O1538" i="5"/>
  <c r="N1538" i="5"/>
  <c r="M1538" i="5"/>
  <c r="L1538" i="5"/>
  <c r="K1538" i="5"/>
  <c r="J1538" i="5"/>
  <c r="I1538" i="5"/>
  <c r="H1538" i="5"/>
  <c r="G1538" i="5"/>
  <c r="E1538" i="5"/>
  <c r="F1538" i="5" s="1"/>
  <c r="B1538" i="5"/>
  <c r="U1537" i="5"/>
  <c r="T1537" i="5"/>
  <c r="O1537" i="5"/>
  <c r="N1537" i="5"/>
  <c r="M1537" i="5"/>
  <c r="L1537" i="5"/>
  <c r="K1537" i="5"/>
  <c r="J1537" i="5"/>
  <c r="I1537" i="5"/>
  <c r="H1537" i="5"/>
  <c r="G1537" i="5"/>
  <c r="E1537" i="5"/>
  <c r="F1537" i="5" s="1"/>
  <c r="B1537" i="5"/>
  <c r="U1536" i="5"/>
  <c r="T1536" i="5"/>
  <c r="O1536" i="5"/>
  <c r="N1536" i="5"/>
  <c r="M1536" i="5"/>
  <c r="L1536" i="5"/>
  <c r="K1536" i="5"/>
  <c r="J1536" i="5"/>
  <c r="I1536" i="5"/>
  <c r="H1536" i="5"/>
  <c r="G1536" i="5"/>
  <c r="E1536" i="5"/>
  <c r="F1536" i="5" s="1"/>
  <c r="B1536" i="5"/>
  <c r="U1535" i="5"/>
  <c r="T1535" i="5"/>
  <c r="O1535" i="5"/>
  <c r="N1535" i="5"/>
  <c r="M1535" i="5"/>
  <c r="L1535" i="5"/>
  <c r="K1535" i="5"/>
  <c r="J1535" i="5"/>
  <c r="I1535" i="5"/>
  <c r="H1535" i="5"/>
  <c r="G1535" i="5"/>
  <c r="E1535" i="5"/>
  <c r="B1535" i="5"/>
  <c r="U1534" i="5"/>
  <c r="T1534" i="5"/>
  <c r="O1534" i="5"/>
  <c r="N1534" i="5"/>
  <c r="M1534" i="5"/>
  <c r="L1534" i="5"/>
  <c r="K1534" i="5"/>
  <c r="J1534" i="5"/>
  <c r="I1534" i="5"/>
  <c r="H1534" i="5"/>
  <c r="G1534" i="5"/>
  <c r="E1534" i="5"/>
  <c r="B1534" i="5"/>
  <c r="U1533" i="5"/>
  <c r="T1533" i="5"/>
  <c r="O1533" i="5"/>
  <c r="N1533" i="5"/>
  <c r="M1533" i="5"/>
  <c r="L1533" i="5"/>
  <c r="K1533" i="5"/>
  <c r="J1533" i="5"/>
  <c r="I1533" i="5"/>
  <c r="H1533" i="5"/>
  <c r="G1533" i="5"/>
  <c r="E1533" i="5"/>
  <c r="F1533" i="5" s="1"/>
  <c r="B1533" i="5"/>
  <c r="U1532" i="5"/>
  <c r="T1532" i="5"/>
  <c r="O1532" i="5"/>
  <c r="N1532" i="5"/>
  <c r="M1532" i="5"/>
  <c r="L1532" i="5"/>
  <c r="K1532" i="5"/>
  <c r="J1532" i="5"/>
  <c r="I1532" i="5"/>
  <c r="H1532" i="5"/>
  <c r="G1532" i="5"/>
  <c r="E1532" i="5"/>
  <c r="F1532" i="5" s="1"/>
  <c r="B1532" i="5"/>
  <c r="U1531" i="5"/>
  <c r="T1531" i="5"/>
  <c r="O1531" i="5"/>
  <c r="N1531" i="5"/>
  <c r="M1531" i="5"/>
  <c r="L1531" i="5"/>
  <c r="K1531" i="5"/>
  <c r="J1531" i="5"/>
  <c r="I1531" i="5"/>
  <c r="H1531" i="5"/>
  <c r="G1531" i="5"/>
  <c r="E1531" i="5"/>
  <c r="F1531" i="5" s="1"/>
  <c r="B1531" i="5"/>
  <c r="U1530" i="5"/>
  <c r="T1530" i="5"/>
  <c r="O1530" i="5"/>
  <c r="N1530" i="5"/>
  <c r="M1530" i="5"/>
  <c r="L1530" i="5"/>
  <c r="K1530" i="5"/>
  <c r="J1530" i="5"/>
  <c r="I1530" i="5"/>
  <c r="H1530" i="5"/>
  <c r="G1530" i="5"/>
  <c r="E1530" i="5"/>
  <c r="F1530" i="5" s="1"/>
  <c r="B1530" i="5"/>
  <c r="U1529" i="5"/>
  <c r="T1529" i="5"/>
  <c r="O1529" i="5"/>
  <c r="N1529" i="5"/>
  <c r="M1529" i="5"/>
  <c r="L1529" i="5"/>
  <c r="K1529" i="5"/>
  <c r="J1529" i="5"/>
  <c r="I1529" i="5"/>
  <c r="H1529" i="5"/>
  <c r="G1529" i="5"/>
  <c r="E1529" i="5"/>
  <c r="F1529" i="5" s="1"/>
  <c r="B1529" i="5"/>
  <c r="U1528" i="5"/>
  <c r="T1528" i="5"/>
  <c r="O1528" i="5"/>
  <c r="N1528" i="5"/>
  <c r="M1528" i="5"/>
  <c r="L1528" i="5"/>
  <c r="K1528" i="5"/>
  <c r="J1528" i="5"/>
  <c r="I1528" i="5"/>
  <c r="H1528" i="5"/>
  <c r="G1528" i="5"/>
  <c r="E1528" i="5"/>
  <c r="F1528" i="5" s="1"/>
  <c r="B1528" i="5"/>
  <c r="U1527" i="5"/>
  <c r="T1527" i="5"/>
  <c r="O1527" i="5"/>
  <c r="N1527" i="5"/>
  <c r="M1527" i="5"/>
  <c r="L1527" i="5"/>
  <c r="K1527" i="5"/>
  <c r="J1527" i="5"/>
  <c r="I1527" i="5"/>
  <c r="H1527" i="5"/>
  <c r="G1527" i="5"/>
  <c r="E1527" i="5"/>
  <c r="F1527" i="5" s="1"/>
  <c r="B1527" i="5"/>
  <c r="U1526" i="5"/>
  <c r="T1526" i="5"/>
  <c r="O1526" i="5"/>
  <c r="N1526" i="5"/>
  <c r="M1526" i="5"/>
  <c r="L1526" i="5"/>
  <c r="K1526" i="5"/>
  <c r="J1526" i="5"/>
  <c r="I1526" i="5"/>
  <c r="H1526" i="5"/>
  <c r="G1526" i="5"/>
  <c r="E1526" i="5"/>
  <c r="F1526" i="5" s="1"/>
  <c r="B1526" i="5"/>
  <c r="U1525" i="5"/>
  <c r="T1525" i="5"/>
  <c r="O1525" i="5"/>
  <c r="N1525" i="5"/>
  <c r="M1525" i="5"/>
  <c r="L1525" i="5"/>
  <c r="K1525" i="5"/>
  <c r="J1525" i="5"/>
  <c r="I1525" i="5"/>
  <c r="H1525" i="5"/>
  <c r="G1525" i="5"/>
  <c r="E1525" i="5"/>
  <c r="F1525" i="5" s="1"/>
  <c r="B1525" i="5"/>
  <c r="U1524" i="5"/>
  <c r="T1524" i="5"/>
  <c r="O1524" i="5"/>
  <c r="N1524" i="5"/>
  <c r="M1524" i="5"/>
  <c r="L1524" i="5"/>
  <c r="K1524" i="5"/>
  <c r="J1524" i="5"/>
  <c r="I1524" i="5"/>
  <c r="H1524" i="5"/>
  <c r="G1524" i="5"/>
  <c r="E1524" i="5"/>
  <c r="F1524" i="5" s="1"/>
  <c r="B1524" i="5"/>
  <c r="U1523" i="5"/>
  <c r="T1523" i="5"/>
  <c r="O1523" i="5"/>
  <c r="N1523" i="5"/>
  <c r="M1523" i="5"/>
  <c r="L1523" i="5"/>
  <c r="K1523" i="5"/>
  <c r="J1523" i="5"/>
  <c r="I1523" i="5"/>
  <c r="H1523" i="5"/>
  <c r="G1523" i="5"/>
  <c r="E1523" i="5"/>
  <c r="F1523" i="5" s="1"/>
  <c r="B1523" i="5"/>
  <c r="U1522" i="5"/>
  <c r="T1522" i="5"/>
  <c r="O1522" i="5"/>
  <c r="N1522" i="5"/>
  <c r="M1522" i="5"/>
  <c r="L1522" i="5"/>
  <c r="K1522" i="5"/>
  <c r="J1522" i="5"/>
  <c r="I1522" i="5"/>
  <c r="H1522" i="5"/>
  <c r="G1522" i="5"/>
  <c r="E1522" i="5"/>
  <c r="F1522" i="5" s="1"/>
  <c r="B1522" i="5"/>
  <c r="U1521" i="5"/>
  <c r="T1521" i="5"/>
  <c r="O1521" i="5"/>
  <c r="N1521" i="5"/>
  <c r="M1521" i="5"/>
  <c r="L1521" i="5"/>
  <c r="K1521" i="5"/>
  <c r="J1521" i="5"/>
  <c r="I1521" i="5"/>
  <c r="H1521" i="5"/>
  <c r="G1521" i="5"/>
  <c r="E1521" i="5"/>
  <c r="F1521" i="5" s="1"/>
  <c r="B1521" i="5"/>
  <c r="U1520" i="5"/>
  <c r="T1520" i="5"/>
  <c r="O1520" i="5"/>
  <c r="N1520" i="5"/>
  <c r="M1520" i="5"/>
  <c r="L1520" i="5"/>
  <c r="K1520" i="5"/>
  <c r="J1520" i="5"/>
  <c r="I1520" i="5"/>
  <c r="H1520" i="5"/>
  <c r="G1520" i="5"/>
  <c r="E1520" i="5"/>
  <c r="F1520" i="5" s="1"/>
  <c r="B1520" i="5"/>
  <c r="U1519" i="5"/>
  <c r="T1519" i="5"/>
  <c r="O1519" i="5"/>
  <c r="N1519" i="5"/>
  <c r="M1519" i="5"/>
  <c r="L1519" i="5"/>
  <c r="K1519" i="5"/>
  <c r="J1519" i="5"/>
  <c r="I1519" i="5"/>
  <c r="H1519" i="5"/>
  <c r="G1519" i="5"/>
  <c r="E1519" i="5"/>
  <c r="F1519" i="5" s="1"/>
  <c r="B1519" i="5"/>
  <c r="U1518" i="5"/>
  <c r="T1518" i="5"/>
  <c r="O1518" i="5"/>
  <c r="N1518" i="5"/>
  <c r="M1518" i="5"/>
  <c r="L1518" i="5"/>
  <c r="K1518" i="5"/>
  <c r="J1518" i="5"/>
  <c r="I1518" i="5"/>
  <c r="H1518" i="5"/>
  <c r="G1518" i="5"/>
  <c r="E1518" i="5"/>
  <c r="B1518" i="5"/>
  <c r="U1517" i="5"/>
  <c r="T1517" i="5"/>
  <c r="O1517" i="5"/>
  <c r="N1517" i="5"/>
  <c r="M1517" i="5"/>
  <c r="L1517" i="5"/>
  <c r="K1517" i="5"/>
  <c r="J1517" i="5"/>
  <c r="I1517" i="5"/>
  <c r="H1517" i="5"/>
  <c r="G1517" i="5"/>
  <c r="E1517" i="5"/>
  <c r="F1517" i="5" s="1"/>
  <c r="B1517" i="5"/>
  <c r="U1516" i="5"/>
  <c r="T1516" i="5"/>
  <c r="O1516" i="5"/>
  <c r="N1516" i="5"/>
  <c r="M1516" i="5"/>
  <c r="L1516" i="5"/>
  <c r="K1516" i="5"/>
  <c r="J1516" i="5"/>
  <c r="I1516" i="5"/>
  <c r="H1516" i="5"/>
  <c r="G1516" i="5"/>
  <c r="E1516" i="5"/>
  <c r="F1516" i="5" s="1"/>
  <c r="B1516" i="5"/>
  <c r="U1515" i="5"/>
  <c r="T1515" i="5"/>
  <c r="O1515" i="5"/>
  <c r="N1515" i="5"/>
  <c r="M1515" i="5"/>
  <c r="L1515" i="5"/>
  <c r="K1515" i="5"/>
  <c r="J1515" i="5"/>
  <c r="I1515" i="5"/>
  <c r="H1515" i="5"/>
  <c r="G1515" i="5"/>
  <c r="E1515" i="5"/>
  <c r="F1515" i="5" s="1"/>
  <c r="B1515" i="5"/>
  <c r="U1514" i="5"/>
  <c r="T1514" i="5"/>
  <c r="O1514" i="5"/>
  <c r="N1514" i="5"/>
  <c r="M1514" i="5"/>
  <c r="L1514" i="5"/>
  <c r="K1514" i="5"/>
  <c r="J1514" i="5"/>
  <c r="I1514" i="5"/>
  <c r="H1514" i="5"/>
  <c r="G1514" i="5"/>
  <c r="E1514" i="5"/>
  <c r="F1514" i="5" s="1"/>
  <c r="B1514" i="5"/>
  <c r="U1513" i="5"/>
  <c r="T1513" i="5"/>
  <c r="O1513" i="5"/>
  <c r="N1513" i="5"/>
  <c r="M1513" i="5"/>
  <c r="L1513" i="5"/>
  <c r="K1513" i="5"/>
  <c r="J1513" i="5"/>
  <c r="I1513" i="5"/>
  <c r="H1513" i="5"/>
  <c r="G1513" i="5"/>
  <c r="E1513" i="5"/>
  <c r="F1513" i="5" s="1"/>
  <c r="B1513" i="5"/>
  <c r="U1512" i="5"/>
  <c r="T1512" i="5"/>
  <c r="O1512" i="5"/>
  <c r="N1512" i="5"/>
  <c r="M1512" i="5"/>
  <c r="L1512" i="5"/>
  <c r="K1512" i="5"/>
  <c r="J1512" i="5"/>
  <c r="I1512" i="5"/>
  <c r="H1512" i="5"/>
  <c r="G1512" i="5"/>
  <c r="E1512" i="5"/>
  <c r="F1512" i="5" s="1"/>
  <c r="B1512" i="5"/>
  <c r="U1511" i="5"/>
  <c r="T1511" i="5"/>
  <c r="O1511" i="5"/>
  <c r="N1511" i="5"/>
  <c r="M1511" i="5"/>
  <c r="L1511" i="5"/>
  <c r="K1511" i="5"/>
  <c r="J1511" i="5"/>
  <c r="I1511" i="5"/>
  <c r="H1511" i="5"/>
  <c r="G1511" i="5"/>
  <c r="E1511" i="5"/>
  <c r="F1511" i="5" s="1"/>
  <c r="B1511" i="5"/>
  <c r="U1510" i="5"/>
  <c r="T1510" i="5"/>
  <c r="O1510" i="5"/>
  <c r="N1510" i="5"/>
  <c r="M1510" i="5"/>
  <c r="L1510" i="5"/>
  <c r="K1510" i="5"/>
  <c r="J1510" i="5"/>
  <c r="I1510" i="5"/>
  <c r="H1510" i="5"/>
  <c r="G1510" i="5"/>
  <c r="E1510" i="5"/>
  <c r="F1510" i="5" s="1"/>
  <c r="B1510" i="5"/>
  <c r="U1509" i="5"/>
  <c r="T1509" i="5"/>
  <c r="O1509" i="5"/>
  <c r="N1509" i="5"/>
  <c r="M1509" i="5"/>
  <c r="L1509" i="5"/>
  <c r="K1509" i="5"/>
  <c r="J1509" i="5"/>
  <c r="I1509" i="5"/>
  <c r="H1509" i="5"/>
  <c r="G1509" i="5"/>
  <c r="E1509" i="5"/>
  <c r="F1509" i="5" s="1"/>
  <c r="B1509" i="5"/>
  <c r="U1508" i="5"/>
  <c r="T1508" i="5"/>
  <c r="O1508" i="5"/>
  <c r="N1508" i="5"/>
  <c r="M1508" i="5"/>
  <c r="L1508" i="5"/>
  <c r="K1508" i="5"/>
  <c r="J1508" i="5"/>
  <c r="I1508" i="5"/>
  <c r="H1508" i="5"/>
  <c r="G1508" i="5"/>
  <c r="E1508" i="5"/>
  <c r="F1508" i="5" s="1"/>
  <c r="B1508" i="5"/>
  <c r="U1507" i="5"/>
  <c r="T1507" i="5"/>
  <c r="O1507" i="5"/>
  <c r="N1507" i="5"/>
  <c r="M1507" i="5"/>
  <c r="L1507" i="5"/>
  <c r="K1507" i="5"/>
  <c r="J1507" i="5"/>
  <c r="I1507" i="5"/>
  <c r="H1507" i="5"/>
  <c r="G1507" i="5"/>
  <c r="E1507" i="5"/>
  <c r="F1507" i="5" s="1"/>
  <c r="B1507" i="5"/>
  <c r="U1506" i="5"/>
  <c r="T1506" i="5"/>
  <c r="O1506" i="5"/>
  <c r="N1506" i="5"/>
  <c r="M1506" i="5"/>
  <c r="L1506" i="5"/>
  <c r="K1506" i="5"/>
  <c r="J1506" i="5"/>
  <c r="I1506" i="5"/>
  <c r="H1506" i="5"/>
  <c r="G1506" i="5"/>
  <c r="E1506" i="5"/>
  <c r="F1506" i="5" s="1"/>
  <c r="B1506" i="5"/>
  <c r="U1505" i="5"/>
  <c r="T1505" i="5"/>
  <c r="O1505" i="5"/>
  <c r="N1505" i="5"/>
  <c r="M1505" i="5"/>
  <c r="L1505" i="5"/>
  <c r="K1505" i="5"/>
  <c r="J1505" i="5"/>
  <c r="I1505" i="5"/>
  <c r="H1505" i="5"/>
  <c r="G1505" i="5"/>
  <c r="E1505" i="5"/>
  <c r="F1505" i="5" s="1"/>
  <c r="B1505" i="5"/>
  <c r="U1504" i="5"/>
  <c r="T1504" i="5"/>
  <c r="O1504" i="5"/>
  <c r="N1504" i="5"/>
  <c r="M1504" i="5"/>
  <c r="L1504" i="5"/>
  <c r="K1504" i="5"/>
  <c r="J1504" i="5"/>
  <c r="I1504" i="5"/>
  <c r="H1504" i="5"/>
  <c r="G1504" i="5"/>
  <c r="E1504" i="5"/>
  <c r="F1504" i="5" s="1"/>
  <c r="B1504" i="5"/>
  <c r="U1503" i="5"/>
  <c r="T1503" i="5"/>
  <c r="O1503" i="5"/>
  <c r="N1503" i="5"/>
  <c r="M1503" i="5"/>
  <c r="L1503" i="5"/>
  <c r="K1503" i="5"/>
  <c r="J1503" i="5"/>
  <c r="I1503" i="5"/>
  <c r="H1503" i="5"/>
  <c r="G1503" i="5"/>
  <c r="E1503" i="5"/>
  <c r="B1503" i="5"/>
  <c r="U1502" i="5"/>
  <c r="T1502" i="5"/>
  <c r="O1502" i="5"/>
  <c r="N1502" i="5"/>
  <c r="M1502" i="5"/>
  <c r="L1502" i="5"/>
  <c r="K1502" i="5"/>
  <c r="J1502" i="5"/>
  <c r="I1502" i="5"/>
  <c r="H1502" i="5"/>
  <c r="G1502" i="5"/>
  <c r="E1502" i="5"/>
  <c r="F1502" i="5" s="1"/>
  <c r="B1502" i="5"/>
  <c r="U1501" i="5"/>
  <c r="T1501" i="5"/>
  <c r="O1501" i="5"/>
  <c r="N1501" i="5"/>
  <c r="M1501" i="5"/>
  <c r="L1501" i="5"/>
  <c r="K1501" i="5"/>
  <c r="J1501" i="5"/>
  <c r="I1501" i="5"/>
  <c r="H1501" i="5"/>
  <c r="G1501" i="5"/>
  <c r="E1501" i="5"/>
  <c r="F1501" i="5" s="1"/>
  <c r="B1501" i="5"/>
  <c r="U1500" i="5"/>
  <c r="T1500" i="5"/>
  <c r="O1500" i="5"/>
  <c r="N1500" i="5"/>
  <c r="M1500" i="5"/>
  <c r="L1500" i="5"/>
  <c r="K1500" i="5"/>
  <c r="J1500" i="5"/>
  <c r="I1500" i="5"/>
  <c r="H1500" i="5"/>
  <c r="G1500" i="5"/>
  <c r="E1500" i="5"/>
  <c r="F1500" i="5" s="1"/>
  <c r="B1500" i="5"/>
  <c r="U1499" i="5"/>
  <c r="T1499" i="5"/>
  <c r="O1499" i="5"/>
  <c r="N1499" i="5"/>
  <c r="M1499" i="5"/>
  <c r="L1499" i="5"/>
  <c r="K1499" i="5"/>
  <c r="J1499" i="5"/>
  <c r="I1499" i="5"/>
  <c r="H1499" i="5"/>
  <c r="G1499" i="5"/>
  <c r="E1499" i="5"/>
  <c r="F1499" i="5" s="1"/>
  <c r="B1499" i="5"/>
  <c r="U1498" i="5"/>
  <c r="T1498" i="5"/>
  <c r="O1498" i="5"/>
  <c r="N1498" i="5"/>
  <c r="M1498" i="5"/>
  <c r="L1498" i="5"/>
  <c r="K1498" i="5"/>
  <c r="J1498" i="5"/>
  <c r="I1498" i="5"/>
  <c r="H1498" i="5"/>
  <c r="G1498" i="5"/>
  <c r="E1498" i="5"/>
  <c r="F1498" i="5" s="1"/>
  <c r="B1498" i="5"/>
  <c r="U1497" i="5"/>
  <c r="T1497" i="5"/>
  <c r="O1497" i="5"/>
  <c r="N1497" i="5"/>
  <c r="M1497" i="5"/>
  <c r="L1497" i="5"/>
  <c r="K1497" i="5"/>
  <c r="J1497" i="5"/>
  <c r="I1497" i="5"/>
  <c r="H1497" i="5"/>
  <c r="G1497" i="5"/>
  <c r="E1497" i="5"/>
  <c r="F1497" i="5" s="1"/>
  <c r="B1497" i="5"/>
  <c r="U1496" i="5"/>
  <c r="T1496" i="5"/>
  <c r="O1496" i="5"/>
  <c r="N1496" i="5"/>
  <c r="M1496" i="5"/>
  <c r="L1496" i="5"/>
  <c r="K1496" i="5"/>
  <c r="J1496" i="5"/>
  <c r="I1496" i="5"/>
  <c r="H1496" i="5"/>
  <c r="G1496" i="5"/>
  <c r="E1496" i="5"/>
  <c r="F1496" i="5" s="1"/>
  <c r="B1496" i="5"/>
  <c r="U1495" i="5"/>
  <c r="T1495" i="5"/>
  <c r="O1495" i="5"/>
  <c r="N1495" i="5"/>
  <c r="M1495" i="5"/>
  <c r="L1495" i="5"/>
  <c r="K1495" i="5"/>
  <c r="J1495" i="5"/>
  <c r="I1495" i="5"/>
  <c r="H1495" i="5"/>
  <c r="G1495" i="5"/>
  <c r="E1495" i="5"/>
  <c r="F1495" i="5" s="1"/>
  <c r="B1495" i="5"/>
  <c r="U1494" i="5"/>
  <c r="T1494" i="5"/>
  <c r="O1494" i="5"/>
  <c r="N1494" i="5"/>
  <c r="M1494" i="5"/>
  <c r="L1494" i="5"/>
  <c r="K1494" i="5"/>
  <c r="J1494" i="5"/>
  <c r="I1494" i="5"/>
  <c r="H1494" i="5"/>
  <c r="G1494" i="5"/>
  <c r="E1494" i="5"/>
  <c r="F1494" i="5" s="1"/>
  <c r="B1494" i="5"/>
  <c r="U1493" i="5"/>
  <c r="T1493" i="5"/>
  <c r="O1493" i="5"/>
  <c r="N1493" i="5"/>
  <c r="M1493" i="5"/>
  <c r="L1493" i="5"/>
  <c r="K1493" i="5"/>
  <c r="J1493" i="5"/>
  <c r="I1493" i="5"/>
  <c r="H1493" i="5"/>
  <c r="G1493" i="5"/>
  <c r="E1493" i="5"/>
  <c r="F1493" i="5" s="1"/>
  <c r="B1493" i="5"/>
  <c r="U1492" i="5"/>
  <c r="T1492" i="5"/>
  <c r="O1492" i="5"/>
  <c r="N1492" i="5"/>
  <c r="M1492" i="5"/>
  <c r="L1492" i="5"/>
  <c r="K1492" i="5"/>
  <c r="J1492" i="5"/>
  <c r="I1492" i="5"/>
  <c r="H1492" i="5"/>
  <c r="G1492" i="5"/>
  <c r="E1492" i="5"/>
  <c r="F1492" i="5" s="1"/>
  <c r="B1492" i="5"/>
  <c r="U1491" i="5"/>
  <c r="T1491" i="5"/>
  <c r="O1491" i="5"/>
  <c r="N1491" i="5"/>
  <c r="M1491" i="5"/>
  <c r="L1491" i="5"/>
  <c r="K1491" i="5"/>
  <c r="J1491" i="5"/>
  <c r="I1491" i="5"/>
  <c r="H1491" i="5"/>
  <c r="G1491" i="5"/>
  <c r="E1491" i="5"/>
  <c r="F1491" i="5" s="1"/>
  <c r="B1491" i="5"/>
  <c r="U1490" i="5"/>
  <c r="T1490" i="5"/>
  <c r="O1490" i="5"/>
  <c r="N1490" i="5"/>
  <c r="M1490" i="5"/>
  <c r="L1490" i="5"/>
  <c r="K1490" i="5"/>
  <c r="J1490" i="5"/>
  <c r="I1490" i="5"/>
  <c r="H1490" i="5"/>
  <c r="G1490" i="5"/>
  <c r="E1490" i="5"/>
  <c r="F1490" i="5" s="1"/>
  <c r="B1490" i="5"/>
  <c r="W1490" i="5" s="1"/>
  <c r="U1489" i="5"/>
  <c r="T1489" i="5"/>
  <c r="O1489" i="5"/>
  <c r="N1489" i="5"/>
  <c r="M1489" i="5"/>
  <c r="L1489" i="5"/>
  <c r="K1489" i="5"/>
  <c r="J1489" i="5"/>
  <c r="I1489" i="5"/>
  <c r="H1489" i="5"/>
  <c r="G1489" i="5"/>
  <c r="E1489" i="5"/>
  <c r="F1489" i="5" s="1"/>
  <c r="B1489" i="5"/>
  <c r="U1488" i="5"/>
  <c r="T1488" i="5"/>
  <c r="O1488" i="5"/>
  <c r="N1488" i="5"/>
  <c r="M1488" i="5"/>
  <c r="L1488" i="5"/>
  <c r="K1488" i="5"/>
  <c r="J1488" i="5"/>
  <c r="I1488" i="5"/>
  <c r="H1488" i="5"/>
  <c r="G1488" i="5"/>
  <c r="E1488" i="5"/>
  <c r="B1488" i="5"/>
  <c r="U1487" i="5"/>
  <c r="T1487" i="5"/>
  <c r="O1487" i="5"/>
  <c r="N1487" i="5"/>
  <c r="M1487" i="5"/>
  <c r="L1487" i="5"/>
  <c r="K1487" i="5"/>
  <c r="J1487" i="5"/>
  <c r="I1487" i="5"/>
  <c r="H1487" i="5"/>
  <c r="G1487" i="5"/>
  <c r="E1487" i="5"/>
  <c r="F1487" i="5" s="1"/>
  <c r="B1487" i="5"/>
  <c r="U1486" i="5"/>
  <c r="T1486" i="5"/>
  <c r="O1486" i="5"/>
  <c r="N1486" i="5"/>
  <c r="M1486" i="5"/>
  <c r="L1486" i="5"/>
  <c r="K1486" i="5"/>
  <c r="J1486" i="5"/>
  <c r="I1486" i="5"/>
  <c r="H1486" i="5"/>
  <c r="G1486" i="5"/>
  <c r="E1486" i="5"/>
  <c r="F1486" i="5" s="1"/>
  <c r="B1486" i="5"/>
  <c r="U1485" i="5"/>
  <c r="T1485" i="5"/>
  <c r="O1485" i="5"/>
  <c r="N1485" i="5"/>
  <c r="M1485" i="5"/>
  <c r="L1485" i="5"/>
  <c r="K1485" i="5"/>
  <c r="J1485" i="5"/>
  <c r="I1485" i="5"/>
  <c r="H1485" i="5"/>
  <c r="G1485" i="5"/>
  <c r="E1485" i="5"/>
  <c r="F1485" i="5" s="1"/>
  <c r="B1485" i="5"/>
  <c r="U1484" i="5"/>
  <c r="T1484" i="5"/>
  <c r="O1484" i="5"/>
  <c r="N1484" i="5"/>
  <c r="M1484" i="5"/>
  <c r="L1484" i="5"/>
  <c r="K1484" i="5"/>
  <c r="J1484" i="5"/>
  <c r="I1484" i="5"/>
  <c r="H1484" i="5"/>
  <c r="G1484" i="5"/>
  <c r="E1484" i="5"/>
  <c r="F1484" i="5" s="1"/>
  <c r="B1484" i="5"/>
  <c r="U1483" i="5"/>
  <c r="T1483" i="5"/>
  <c r="O1483" i="5"/>
  <c r="N1483" i="5"/>
  <c r="M1483" i="5"/>
  <c r="L1483" i="5"/>
  <c r="K1483" i="5"/>
  <c r="J1483" i="5"/>
  <c r="I1483" i="5"/>
  <c r="H1483" i="5"/>
  <c r="G1483" i="5"/>
  <c r="E1483" i="5"/>
  <c r="F1483" i="5" s="1"/>
  <c r="B1483" i="5"/>
  <c r="U1482" i="5"/>
  <c r="T1482" i="5"/>
  <c r="O1482" i="5"/>
  <c r="N1482" i="5"/>
  <c r="M1482" i="5"/>
  <c r="L1482" i="5"/>
  <c r="K1482" i="5"/>
  <c r="J1482" i="5"/>
  <c r="I1482" i="5"/>
  <c r="H1482" i="5"/>
  <c r="G1482" i="5"/>
  <c r="E1482" i="5"/>
  <c r="F1482" i="5" s="1"/>
  <c r="B1482" i="5"/>
  <c r="U1481" i="5"/>
  <c r="T1481" i="5"/>
  <c r="O1481" i="5"/>
  <c r="N1481" i="5"/>
  <c r="M1481" i="5"/>
  <c r="L1481" i="5"/>
  <c r="K1481" i="5"/>
  <c r="J1481" i="5"/>
  <c r="I1481" i="5"/>
  <c r="H1481" i="5"/>
  <c r="G1481" i="5"/>
  <c r="E1481" i="5"/>
  <c r="F1481" i="5" s="1"/>
  <c r="B1481" i="5"/>
  <c r="U1480" i="5"/>
  <c r="T1480" i="5"/>
  <c r="O1480" i="5"/>
  <c r="N1480" i="5"/>
  <c r="M1480" i="5"/>
  <c r="L1480" i="5"/>
  <c r="K1480" i="5"/>
  <c r="J1480" i="5"/>
  <c r="I1480" i="5"/>
  <c r="H1480" i="5"/>
  <c r="G1480" i="5"/>
  <c r="E1480" i="5"/>
  <c r="F1480" i="5" s="1"/>
  <c r="B1480" i="5"/>
  <c r="U1479" i="5"/>
  <c r="T1479" i="5"/>
  <c r="O1479" i="5"/>
  <c r="N1479" i="5"/>
  <c r="M1479" i="5"/>
  <c r="L1479" i="5"/>
  <c r="K1479" i="5"/>
  <c r="J1479" i="5"/>
  <c r="I1479" i="5"/>
  <c r="H1479" i="5"/>
  <c r="G1479" i="5"/>
  <c r="E1479" i="5"/>
  <c r="F1479" i="5" s="1"/>
  <c r="B1479" i="5"/>
  <c r="U1478" i="5"/>
  <c r="T1478" i="5"/>
  <c r="O1478" i="5"/>
  <c r="N1478" i="5"/>
  <c r="M1478" i="5"/>
  <c r="L1478" i="5"/>
  <c r="K1478" i="5"/>
  <c r="J1478" i="5"/>
  <c r="I1478" i="5"/>
  <c r="H1478" i="5"/>
  <c r="G1478" i="5"/>
  <c r="E1478" i="5"/>
  <c r="F1478" i="5" s="1"/>
  <c r="B1478" i="5"/>
  <c r="U1477" i="5"/>
  <c r="T1477" i="5"/>
  <c r="O1477" i="5"/>
  <c r="N1477" i="5"/>
  <c r="M1477" i="5"/>
  <c r="L1477" i="5"/>
  <c r="K1477" i="5"/>
  <c r="J1477" i="5"/>
  <c r="I1477" i="5"/>
  <c r="H1477" i="5"/>
  <c r="G1477" i="5"/>
  <c r="E1477" i="5"/>
  <c r="F1477" i="5" s="1"/>
  <c r="B1477" i="5"/>
  <c r="U1476" i="5"/>
  <c r="T1476" i="5"/>
  <c r="O1476" i="5"/>
  <c r="N1476" i="5"/>
  <c r="M1476" i="5"/>
  <c r="L1476" i="5"/>
  <c r="K1476" i="5"/>
  <c r="J1476" i="5"/>
  <c r="I1476" i="5"/>
  <c r="H1476" i="5"/>
  <c r="G1476" i="5"/>
  <c r="E1476" i="5"/>
  <c r="B1476" i="5"/>
  <c r="U1475" i="5"/>
  <c r="T1475" i="5"/>
  <c r="O1475" i="5"/>
  <c r="N1475" i="5"/>
  <c r="M1475" i="5"/>
  <c r="L1475" i="5"/>
  <c r="K1475" i="5"/>
  <c r="J1475" i="5"/>
  <c r="I1475" i="5"/>
  <c r="H1475" i="5"/>
  <c r="G1475" i="5"/>
  <c r="E1475" i="5"/>
  <c r="F1475" i="5" s="1"/>
  <c r="B1475" i="5"/>
  <c r="U1474" i="5"/>
  <c r="T1474" i="5"/>
  <c r="O1474" i="5"/>
  <c r="N1474" i="5"/>
  <c r="M1474" i="5"/>
  <c r="L1474" i="5"/>
  <c r="K1474" i="5"/>
  <c r="J1474" i="5"/>
  <c r="I1474" i="5"/>
  <c r="H1474" i="5"/>
  <c r="G1474" i="5"/>
  <c r="E1474" i="5"/>
  <c r="F1474" i="5" s="1"/>
  <c r="B1474" i="5"/>
  <c r="U1473" i="5"/>
  <c r="T1473" i="5"/>
  <c r="O1473" i="5"/>
  <c r="N1473" i="5"/>
  <c r="M1473" i="5"/>
  <c r="L1473" i="5"/>
  <c r="K1473" i="5"/>
  <c r="J1473" i="5"/>
  <c r="I1473" i="5"/>
  <c r="H1473" i="5"/>
  <c r="G1473" i="5"/>
  <c r="E1473" i="5"/>
  <c r="B1473" i="5"/>
  <c r="U1472" i="5"/>
  <c r="T1472" i="5"/>
  <c r="O1472" i="5"/>
  <c r="N1472" i="5"/>
  <c r="M1472" i="5"/>
  <c r="L1472" i="5"/>
  <c r="K1472" i="5"/>
  <c r="J1472" i="5"/>
  <c r="I1472" i="5"/>
  <c r="H1472" i="5"/>
  <c r="G1472" i="5"/>
  <c r="E1472" i="5"/>
  <c r="F1472" i="5" s="1"/>
  <c r="B1472" i="5"/>
  <c r="U1471" i="5"/>
  <c r="T1471" i="5"/>
  <c r="O1471" i="5"/>
  <c r="N1471" i="5"/>
  <c r="M1471" i="5"/>
  <c r="L1471" i="5"/>
  <c r="K1471" i="5"/>
  <c r="J1471" i="5"/>
  <c r="I1471" i="5"/>
  <c r="H1471" i="5"/>
  <c r="G1471" i="5"/>
  <c r="E1471" i="5"/>
  <c r="F1471" i="5" s="1"/>
  <c r="B1471" i="5"/>
  <c r="U1470" i="5"/>
  <c r="T1470" i="5"/>
  <c r="O1470" i="5"/>
  <c r="N1470" i="5"/>
  <c r="M1470" i="5"/>
  <c r="L1470" i="5"/>
  <c r="K1470" i="5"/>
  <c r="J1470" i="5"/>
  <c r="I1470" i="5"/>
  <c r="H1470" i="5"/>
  <c r="G1470" i="5"/>
  <c r="E1470" i="5"/>
  <c r="F1470" i="5" s="1"/>
  <c r="B1470" i="5"/>
  <c r="U1469" i="5"/>
  <c r="T1469" i="5"/>
  <c r="O1469" i="5"/>
  <c r="N1469" i="5"/>
  <c r="M1469" i="5"/>
  <c r="L1469" i="5"/>
  <c r="K1469" i="5"/>
  <c r="J1469" i="5"/>
  <c r="I1469" i="5"/>
  <c r="H1469" i="5"/>
  <c r="G1469" i="5"/>
  <c r="E1469" i="5"/>
  <c r="F1469" i="5" s="1"/>
  <c r="B1469" i="5"/>
  <c r="U1468" i="5"/>
  <c r="T1468" i="5"/>
  <c r="O1468" i="5"/>
  <c r="N1468" i="5"/>
  <c r="M1468" i="5"/>
  <c r="L1468" i="5"/>
  <c r="K1468" i="5"/>
  <c r="J1468" i="5"/>
  <c r="I1468" i="5"/>
  <c r="H1468" i="5"/>
  <c r="G1468" i="5"/>
  <c r="E1468" i="5"/>
  <c r="F1468" i="5" s="1"/>
  <c r="B1468" i="5"/>
  <c r="U1467" i="5"/>
  <c r="T1467" i="5"/>
  <c r="O1467" i="5"/>
  <c r="N1467" i="5"/>
  <c r="M1467" i="5"/>
  <c r="L1467" i="5"/>
  <c r="K1467" i="5"/>
  <c r="J1467" i="5"/>
  <c r="I1467" i="5"/>
  <c r="H1467" i="5"/>
  <c r="G1467" i="5"/>
  <c r="E1467" i="5"/>
  <c r="B1467" i="5"/>
  <c r="U1466" i="5"/>
  <c r="T1466" i="5"/>
  <c r="O1466" i="5"/>
  <c r="N1466" i="5"/>
  <c r="M1466" i="5"/>
  <c r="L1466" i="5"/>
  <c r="K1466" i="5"/>
  <c r="J1466" i="5"/>
  <c r="I1466" i="5"/>
  <c r="H1466" i="5"/>
  <c r="G1466" i="5"/>
  <c r="E1466" i="5"/>
  <c r="F1466" i="5" s="1"/>
  <c r="B1466" i="5"/>
  <c r="U1465" i="5"/>
  <c r="T1465" i="5"/>
  <c r="O1465" i="5"/>
  <c r="N1465" i="5"/>
  <c r="M1465" i="5"/>
  <c r="L1465" i="5"/>
  <c r="K1465" i="5"/>
  <c r="J1465" i="5"/>
  <c r="I1465" i="5"/>
  <c r="H1465" i="5"/>
  <c r="G1465" i="5"/>
  <c r="E1465" i="5"/>
  <c r="F1465" i="5" s="1"/>
  <c r="B1465" i="5"/>
  <c r="U1464" i="5"/>
  <c r="T1464" i="5"/>
  <c r="O1464" i="5"/>
  <c r="N1464" i="5"/>
  <c r="M1464" i="5"/>
  <c r="L1464" i="5"/>
  <c r="K1464" i="5"/>
  <c r="J1464" i="5"/>
  <c r="I1464" i="5"/>
  <c r="H1464" i="5"/>
  <c r="G1464" i="5"/>
  <c r="E1464" i="5"/>
  <c r="F1464" i="5" s="1"/>
  <c r="B1464" i="5"/>
  <c r="U1463" i="5"/>
  <c r="T1463" i="5"/>
  <c r="O1463" i="5"/>
  <c r="N1463" i="5"/>
  <c r="M1463" i="5"/>
  <c r="L1463" i="5"/>
  <c r="K1463" i="5"/>
  <c r="J1463" i="5"/>
  <c r="I1463" i="5"/>
  <c r="H1463" i="5"/>
  <c r="G1463" i="5"/>
  <c r="E1463" i="5"/>
  <c r="F1463" i="5" s="1"/>
  <c r="B1463" i="5"/>
  <c r="U1462" i="5"/>
  <c r="T1462" i="5"/>
  <c r="O1462" i="5"/>
  <c r="N1462" i="5"/>
  <c r="M1462" i="5"/>
  <c r="L1462" i="5"/>
  <c r="K1462" i="5"/>
  <c r="J1462" i="5"/>
  <c r="I1462" i="5"/>
  <c r="H1462" i="5"/>
  <c r="G1462" i="5"/>
  <c r="E1462" i="5"/>
  <c r="F1462" i="5" s="1"/>
  <c r="B1462" i="5"/>
  <c r="U1461" i="5"/>
  <c r="T1461" i="5"/>
  <c r="O1461" i="5"/>
  <c r="N1461" i="5"/>
  <c r="M1461" i="5"/>
  <c r="L1461" i="5"/>
  <c r="K1461" i="5"/>
  <c r="J1461" i="5"/>
  <c r="I1461" i="5"/>
  <c r="H1461" i="5"/>
  <c r="G1461" i="5"/>
  <c r="E1461" i="5"/>
  <c r="B1461" i="5"/>
  <c r="U1460" i="5"/>
  <c r="T1460" i="5"/>
  <c r="O1460" i="5"/>
  <c r="N1460" i="5"/>
  <c r="M1460" i="5"/>
  <c r="L1460" i="5"/>
  <c r="K1460" i="5"/>
  <c r="J1460" i="5"/>
  <c r="I1460" i="5"/>
  <c r="H1460" i="5"/>
  <c r="G1460" i="5"/>
  <c r="E1460" i="5"/>
  <c r="F1460" i="5" s="1"/>
  <c r="B1460" i="5"/>
  <c r="U1459" i="5"/>
  <c r="T1459" i="5"/>
  <c r="O1459" i="5"/>
  <c r="N1459" i="5"/>
  <c r="M1459" i="5"/>
  <c r="L1459" i="5"/>
  <c r="K1459" i="5"/>
  <c r="J1459" i="5"/>
  <c r="I1459" i="5"/>
  <c r="H1459" i="5"/>
  <c r="G1459" i="5"/>
  <c r="E1459" i="5"/>
  <c r="F1459" i="5" s="1"/>
  <c r="B1459" i="5"/>
  <c r="U1458" i="5"/>
  <c r="T1458" i="5"/>
  <c r="O1458" i="5"/>
  <c r="N1458" i="5"/>
  <c r="M1458" i="5"/>
  <c r="L1458" i="5"/>
  <c r="K1458" i="5"/>
  <c r="J1458" i="5"/>
  <c r="I1458" i="5"/>
  <c r="H1458" i="5"/>
  <c r="G1458" i="5"/>
  <c r="E1458" i="5"/>
  <c r="F1458" i="5" s="1"/>
  <c r="B1458" i="5"/>
  <c r="U1457" i="5"/>
  <c r="T1457" i="5"/>
  <c r="O1457" i="5"/>
  <c r="N1457" i="5"/>
  <c r="M1457" i="5"/>
  <c r="L1457" i="5"/>
  <c r="K1457" i="5"/>
  <c r="J1457" i="5"/>
  <c r="I1457" i="5"/>
  <c r="H1457" i="5"/>
  <c r="G1457" i="5"/>
  <c r="E1457" i="5"/>
  <c r="F1457" i="5" s="1"/>
  <c r="B1457" i="5"/>
  <c r="U1456" i="5"/>
  <c r="T1456" i="5"/>
  <c r="O1456" i="5"/>
  <c r="N1456" i="5"/>
  <c r="M1456" i="5"/>
  <c r="L1456" i="5"/>
  <c r="K1456" i="5"/>
  <c r="J1456" i="5"/>
  <c r="I1456" i="5"/>
  <c r="H1456" i="5"/>
  <c r="G1456" i="5"/>
  <c r="E1456" i="5"/>
  <c r="F1456" i="5" s="1"/>
  <c r="B1456" i="5"/>
  <c r="U1455" i="5"/>
  <c r="T1455" i="5"/>
  <c r="O1455" i="5"/>
  <c r="N1455" i="5"/>
  <c r="M1455" i="5"/>
  <c r="L1455" i="5"/>
  <c r="K1455" i="5"/>
  <c r="J1455" i="5"/>
  <c r="I1455" i="5"/>
  <c r="H1455" i="5"/>
  <c r="G1455" i="5"/>
  <c r="E1455" i="5"/>
  <c r="B1455" i="5"/>
  <c r="U1454" i="5"/>
  <c r="T1454" i="5"/>
  <c r="O1454" i="5"/>
  <c r="N1454" i="5"/>
  <c r="M1454" i="5"/>
  <c r="L1454" i="5"/>
  <c r="K1454" i="5"/>
  <c r="J1454" i="5"/>
  <c r="I1454" i="5"/>
  <c r="H1454" i="5"/>
  <c r="G1454" i="5"/>
  <c r="E1454" i="5"/>
  <c r="F1454" i="5" s="1"/>
  <c r="B1454" i="5"/>
  <c r="U1453" i="5"/>
  <c r="T1453" i="5"/>
  <c r="O1453" i="5"/>
  <c r="N1453" i="5"/>
  <c r="M1453" i="5"/>
  <c r="L1453" i="5"/>
  <c r="K1453" i="5"/>
  <c r="J1453" i="5"/>
  <c r="I1453" i="5"/>
  <c r="H1453" i="5"/>
  <c r="G1453" i="5"/>
  <c r="E1453" i="5"/>
  <c r="F1453" i="5" s="1"/>
  <c r="B1453" i="5"/>
  <c r="U1452" i="5"/>
  <c r="T1452" i="5"/>
  <c r="O1452" i="5"/>
  <c r="N1452" i="5"/>
  <c r="M1452" i="5"/>
  <c r="L1452" i="5"/>
  <c r="K1452" i="5"/>
  <c r="J1452" i="5"/>
  <c r="I1452" i="5"/>
  <c r="H1452" i="5"/>
  <c r="G1452" i="5"/>
  <c r="E1452" i="5"/>
  <c r="F1452" i="5" s="1"/>
  <c r="B1452" i="5"/>
  <c r="W1452" i="5" s="1"/>
  <c r="U1451" i="5"/>
  <c r="T1451" i="5"/>
  <c r="O1451" i="5"/>
  <c r="N1451" i="5"/>
  <c r="M1451" i="5"/>
  <c r="L1451" i="5"/>
  <c r="K1451" i="5"/>
  <c r="J1451" i="5"/>
  <c r="I1451" i="5"/>
  <c r="H1451" i="5"/>
  <c r="G1451" i="5"/>
  <c r="E1451" i="5"/>
  <c r="F1451" i="5" s="1"/>
  <c r="B1451" i="5"/>
  <c r="U1450" i="5"/>
  <c r="T1450" i="5"/>
  <c r="O1450" i="5"/>
  <c r="N1450" i="5"/>
  <c r="M1450" i="5"/>
  <c r="L1450" i="5"/>
  <c r="K1450" i="5"/>
  <c r="J1450" i="5"/>
  <c r="I1450" i="5"/>
  <c r="H1450" i="5"/>
  <c r="G1450" i="5"/>
  <c r="E1450" i="5"/>
  <c r="F1450" i="5" s="1"/>
  <c r="B1450" i="5"/>
  <c r="U1449" i="5"/>
  <c r="T1449" i="5"/>
  <c r="O1449" i="5"/>
  <c r="N1449" i="5"/>
  <c r="M1449" i="5"/>
  <c r="L1449" i="5"/>
  <c r="K1449" i="5"/>
  <c r="J1449" i="5"/>
  <c r="I1449" i="5"/>
  <c r="H1449" i="5"/>
  <c r="G1449" i="5"/>
  <c r="E1449" i="5"/>
  <c r="F1449" i="5" s="1"/>
  <c r="B1449" i="5"/>
  <c r="U1448" i="5"/>
  <c r="T1448" i="5"/>
  <c r="O1448" i="5"/>
  <c r="N1448" i="5"/>
  <c r="M1448" i="5"/>
  <c r="L1448" i="5"/>
  <c r="K1448" i="5"/>
  <c r="J1448" i="5"/>
  <c r="I1448" i="5"/>
  <c r="H1448" i="5"/>
  <c r="G1448" i="5"/>
  <c r="E1448" i="5"/>
  <c r="F1448" i="5" s="1"/>
  <c r="B1448" i="5"/>
  <c r="U1447" i="5"/>
  <c r="T1447" i="5"/>
  <c r="O1447" i="5"/>
  <c r="N1447" i="5"/>
  <c r="M1447" i="5"/>
  <c r="L1447" i="5"/>
  <c r="K1447" i="5"/>
  <c r="J1447" i="5"/>
  <c r="I1447" i="5"/>
  <c r="H1447" i="5"/>
  <c r="G1447" i="5"/>
  <c r="E1447" i="5"/>
  <c r="F1447" i="5" s="1"/>
  <c r="B1447" i="5"/>
  <c r="U1446" i="5"/>
  <c r="T1446" i="5"/>
  <c r="O1446" i="5"/>
  <c r="N1446" i="5"/>
  <c r="M1446" i="5"/>
  <c r="L1446" i="5"/>
  <c r="K1446" i="5"/>
  <c r="J1446" i="5"/>
  <c r="I1446" i="5"/>
  <c r="H1446" i="5"/>
  <c r="G1446" i="5"/>
  <c r="E1446" i="5"/>
  <c r="B1446" i="5"/>
  <c r="U1445" i="5"/>
  <c r="T1445" i="5"/>
  <c r="O1445" i="5"/>
  <c r="N1445" i="5"/>
  <c r="M1445" i="5"/>
  <c r="L1445" i="5"/>
  <c r="K1445" i="5"/>
  <c r="J1445" i="5"/>
  <c r="I1445" i="5"/>
  <c r="H1445" i="5"/>
  <c r="G1445" i="5"/>
  <c r="E1445" i="5"/>
  <c r="F1445" i="5" s="1"/>
  <c r="B1445" i="5"/>
  <c r="U1444" i="5"/>
  <c r="T1444" i="5"/>
  <c r="O1444" i="5"/>
  <c r="N1444" i="5"/>
  <c r="M1444" i="5"/>
  <c r="L1444" i="5"/>
  <c r="K1444" i="5"/>
  <c r="J1444" i="5"/>
  <c r="I1444" i="5"/>
  <c r="H1444" i="5"/>
  <c r="G1444" i="5"/>
  <c r="E1444" i="5"/>
  <c r="F1444" i="5" s="1"/>
  <c r="B1444" i="5"/>
  <c r="U1443" i="5"/>
  <c r="T1443" i="5"/>
  <c r="O1443" i="5"/>
  <c r="N1443" i="5"/>
  <c r="M1443" i="5"/>
  <c r="L1443" i="5"/>
  <c r="K1443" i="5"/>
  <c r="J1443" i="5"/>
  <c r="I1443" i="5"/>
  <c r="H1443" i="5"/>
  <c r="G1443" i="5"/>
  <c r="E1443" i="5"/>
  <c r="B1443" i="5"/>
  <c r="U1442" i="5"/>
  <c r="T1442" i="5"/>
  <c r="O1442" i="5"/>
  <c r="N1442" i="5"/>
  <c r="M1442" i="5"/>
  <c r="L1442" i="5"/>
  <c r="K1442" i="5"/>
  <c r="J1442" i="5"/>
  <c r="I1442" i="5"/>
  <c r="H1442" i="5"/>
  <c r="G1442" i="5"/>
  <c r="E1442" i="5"/>
  <c r="F1442" i="5" s="1"/>
  <c r="B1442" i="5"/>
  <c r="U1441" i="5"/>
  <c r="T1441" i="5"/>
  <c r="O1441" i="5"/>
  <c r="N1441" i="5"/>
  <c r="M1441" i="5"/>
  <c r="L1441" i="5"/>
  <c r="K1441" i="5"/>
  <c r="J1441" i="5"/>
  <c r="I1441" i="5"/>
  <c r="H1441" i="5"/>
  <c r="G1441" i="5"/>
  <c r="E1441" i="5"/>
  <c r="F1441" i="5" s="1"/>
  <c r="B1441" i="5"/>
  <c r="U1440" i="5"/>
  <c r="T1440" i="5"/>
  <c r="O1440" i="5"/>
  <c r="N1440" i="5"/>
  <c r="M1440" i="5"/>
  <c r="L1440" i="5"/>
  <c r="K1440" i="5"/>
  <c r="J1440" i="5"/>
  <c r="I1440" i="5"/>
  <c r="H1440" i="5"/>
  <c r="G1440" i="5"/>
  <c r="E1440" i="5"/>
  <c r="F1440" i="5" s="1"/>
  <c r="B1440" i="5"/>
  <c r="U1439" i="5"/>
  <c r="T1439" i="5"/>
  <c r="O1439" i="5"/>
  <c r="N1439" i="5"/>
  <c r="M1439" i="5"/>
  <c r="L1439" i="5"/>
  <c r="K1439" i="5"/>
  <c r="J1439" i="5"/>
  <c r="I1439" i="5"/>
  <c r="H1439" i="5"/>
  <c r="G1439" i="5"/>
  <c r="E1439" i="5"/>
  <c r="F1439" i="5" s="1"/>
  <c r="B1439" i="5"/>
  <c r="U1438" i="5"/>
  <c r="T1438" i="5"/>
  <c r="O1438" i="5"/>
  <c r="N1438" i="5"/>
  <c r="M1438" i="5"/>
  <c r="L1438" i="5"/>
  <c r="K1438" i="5"/>
  <c r="J1438" i="5"/>
  <c r="I1438" i="5"/>
  <c r="H1438" i="5"/>
  <c r="G1438" i="5"/>
  <c r="E1438" i="5"/>
  <c r="F1438" i="5" s="1"/>
  <c r="B1438" i="5"/>
  <c r="U1437" i="5"/>
  <c r="T1437" i="5"/>
  <c r="O1437" i="5"/>
  <c r="N1437" i="5"/>
  <c r="M1437" i="5"/>
  <c r="L1437" i="5"/>
  <c r="K1437" i="5"/>
  <c r="J1437" i="5"/>
  <c r="I1437" i="5"/>
  <c r="H1437" i="5"/>
  <c r="G1437" i="5"/>
  <c r="E1437" i="5"/>
  <c r="F1437" i="5" s="1"/>
  <c r="B1437" i="5"/>
  <c r="U1436" i="5"/>
  <c r="T1436" i="5"/>
  <c r="O1436" i="5"/>
  <c r="N1436" i="5"/>
  <c r="M1436" i="5"/>
  <c r="L1436" i="5"/>
  <c r="K1436" i="5"/>
  <c r="J1436" i="5"/>
  <c r="I1436" i="5"/>
  <c r="H1436" i="5"/>
  <c r="G1436" i="5"/>
  <c r="E1436" i="5"/>
  <c r="F1436" i="5" s="1"/>
  <c r="B1436" i="5"/>
  <c r="U1435" i="5"/>
  <c r="T1435" i="5"/>
  <c r="O1435" i="5"/>
  <c r="N1435" i="5"/>
  <c r="M1435" i="5"/>
  <c r="L1435" i="5"/>
  <c r="K1435" i="5"/>
  <c r="J1435" i="5"/>
  <c r="I1435" i="5"/>
  <c r="H1435" i="5"/>
  <c r="G1435" i="5"/>
  <c r="E1435" i="5"/>
  <c r="F1435" i="5" s="1"/>
  <c r="B1435" i="5"/>
  <c r="U1434" i="5"/>
  <c r="T1434" i="5"/>
  <c r="O1434" i="5"/>
  <c r="N1434" i="5"/>
  <c r="M1434" i="5"/>
  <c r="L1434" i="5"/>
  <c r="K1434" i="5"/>
  <c r="J1434" i="5"/>
  <c r="I1434" i="5"/>
  <c r="H1434" i="5"/>
  <c r="G1434" i="5"/>
  <c r="E1434" i="5"/>
  <c r="B1434" i="5"/>
  <c r="U1433" i="5"/>
  <c r="T1433" i="5"/>
  <c r="O1433" i="5"/>
  <c r="N1433" i="5"/>
  <c r="M1433" i="5"/>
  <c r="L1433" i="5"/>
  <c r="K1433" i="5"/>
  <c r="J1433" i="5"/>
  <c r="I1433" i="5"/>
  <c r="H1433" i="5"/>
  <c r="G1433" i="5"/>
  <c r="E1433" i="5"/>
  <c r="F1433" i="5" s="1"/>
  <c r="B1433" i="5"/>
  <c r="U1432" i="5"/>
  <c r="T1432" i="5"/>
  <c r="O1432" i="5"/>
  <c r="N1432" i="5"/>
  <c r="M1432" i="5"/>
  <c r="L1432" i="5"/>
  <c r="K1432" i="5"/>
  <c r="J1432" i="5"/>
  <c r="I1432" i="5"/>
  <c r="H1432" i="5"/>
  <c r="G1432" i="5"/>
  <c r="E1432" i="5"/>
  <c r="F1432" i="5" s="1"/>
  <c r="B1432" i="5"/>
  <c r="U1431" i="5"/>
  <c r="T1431" i="5"/>
  <c r="O1431" i="5"/>
  <c r="N1431" i="5"/>
  <c r="M1431" i="5"/>
  <c r="L1431" i="5"/>
  <c r="K1431" i="5"/>
  <c r="J1431" i="5"/>
  <c r="I1431" i="5"/>
  <c r="H1431" i="5"/>
  <c r="G1431" i="5"/>
  <c r="E1431" i="5"/>
  <c r="B1431" i="5"/>
  <c r="U1430" i="5"/>
  <c r="T1430" i="5"/>
  <c r="O1430" i="5"/>
  <c r="N1430" i="5"/>
  <c r="M1430" i="5"/>
  <c r="L1430" i="5"/>
  <c r="K1430" i="5"/>
  <c r="J1430" i="5"/>
  <c r="I1430" i="5"/>
  <c r="H1430" i="5"/>
  <c r="G1430" i="5"/>
  <c r="E1430" i="5"/>
  <c r="F1430" i="5" s="1"/>
  <c r="B1430" i="5"/>
  <c r="U1429" i="5"/>
  <c r="T1429" i="5"/>
  <c r="O1429" i="5"/>
  <c r="N1429" i="5"/>
  <c r="M1429" i="5"/>
  <c r="L1429" i="5"/>
  <c r="K1429" i="5"/>
  <c r="J1429" i="5"/>
  <c r="I1429" i="5"/>
  <c r="H1429" i="5"/>
  <c r="G1429" i="5"/>
  <c r="E1429" i="5"/>
  <c r="F1429" i="5" s="1"/>
  <c r="B1429" i="5"/>
  <c r="U1428" i="5"/>
  <c r="T1428" i="5"/>
  <c r="O1428" i="5"/>
  <c r="N1428" i="5"/>
  <c r="M1428" i="5"/>
  <c r="L1428" i="5"/>
  <c r="K1428" i="5"/>
  <c r="J1428" i="5"/>
  <c r="I1428" i="5"/>
  <c r="H1428" i="5"/>
  <c r="G1428" i="5"/>
  <c r="E1428" i="5"/>
  <c r="F1428" i="5" s="1"/>
  <c r="B1428" i="5"/>
  <c r="U1427" i="5"/>
  <c r="T1427" i="5"/>
  <c r="O1427" i="5"/>
  <c r="N1427" i="5"/>
  <c r="M1427" i="5"/>
  <c r="L1427" i="5"/>
  <c r="K1427" i="5"/>
  <c r="J1427" i="5"/>
  <c r="I1427" i="5"/>
  <c r="H1427" i="5"/>
  <c r="G1427" i="5"/>
  <c r="E1427" i="5"/>
  <c r="F1427" i="5" s="1"/>
  <c r="B1427" i="5"/>
  <c r="U1426" i="5"/>
  <c r="T1426" i="5"/>
  <c r="O1426" i="5"/>
  <c r="N1426" i="5"/>
  <c r="M1426" i="5"/>
  <c r="L1426" i="5"/>
  <c r="K1426" i="5"/>
  <c r="J1426" i="5"/>
  <c r="I1426" i="5"/>
  <c r="H1426" i="5"/>
  <c r="G1426" i="5"/>
  <c r="E1426" i="5"/>
  <c r="F1426" i="5" s="1"/>
  <c r="B1426" i="5"/>
  <c r="U1425" i="5"/>
  <c r="T1425" i="5"/>
  <c r="O1425" i="5"/>
  <c r="N1425" i="5"/>
  <c r="M1425" i="5"/>
  <c r="L1425" i="5"/>
  <c r="K1425" i="5"/>
  <c r="J1425" i="5"/>
  <c r="I1425" i="5"/>
  <c r="H1425" i="5"/>
  <c r="G1425" i="5"/>
  <c r="E1425" i="5"/>
  <c r="B1425" i="5"/>
  <c r="U1424" i="5"/>
  <c r="T1424" i="5"/>
  <c r="O1424" i="5"/>
  <c r="N1424" i="5"/>
  <c r="M1424" i="5"/>
  <c r="L1424" i="5"/>
  <c r="K1424" i="5"/>
  <c r="J1424" i="5"/>
  <c r="I1424" i="5"/>
  <c r="H1424" i="5"/>
  <c r="G1424" i="5"/>
  <c r="E1424" i="5"/>
  <c r="F1424" i="5" s="1"/>
  <c r="B1424" i="5"/>
  <c r="U1423" i="5"/>
  <c r="T1423" i="5"/>
  <c r="O1423" i="5"/>
  <c r="N1423" i="5"/>
  <c r="M1423" i="5"/>
  <c r="L1423" i="5"/>
  <c r="K1423" i="5"/>
  <c r="J1423" i="5"/>
  <c r="I1423" i="5"/>
  <c r="H1423" i="5"/>
  <c r="G1423" i="5"/>
  <c r="E1423" i="5"/>
  <c r="F1423" i="5" s="1"/>
  <c r="B1423" i="5"/>
  <c r="U1422" i="5"/>
  <c r="T1422" i="5"/>
  <c r="O1422" i="5"/>
  <c r="N1422" i="5"/>
  <c r="M1422" i="5"/>
  <c r="L1422" i="5"/>
  <c r="K1422" i="5"/>
  <c r="J1422" i="5"/>
  <c r="I1422" i="5"/>
  <c r="H1422" i="5"/>
  <c r="G1422" i="5"/>
  <c r="E1422" i="5"/>
  <c r="F1422" i="5" s="1"/>
  <c r="B1422" i="5"/>
  <c r="U1421" i="5"/>
  <c r="T1421" i="5"/>
  <c r="O1421" i="5"/>
  <c r="N1421" i="5"/>
  <c r="M1421" i="5"/>
  <c r="L1421" i="5"/>
  <c r="K1421" i="5"/>
  <c r="J1421" i="5"/>
  <c r="I1421" i="5"/>
  <c r="H1421" i="5"/>
  <c r="G1421" i="5"/>
  <c r="E1421" i="5"/>
  <c r="F1421" i="5" s="1"/>
  <c r="B1421" i="5"/>
  <c r="U1420" i="5"/>
  <c r="T1420" i="5"/>
  <c r="O1420" i="5"/>
  <c r="N1420" i="5"/>
  <c r="M1420" i="5"/>
  <c r="L1420" i="5"/>
  <c r="K1420" i="5"/>
  <c r="J1420" i="5"/>
  <c r="I1420" i="5"/>
  <c r="H1420" i="5"/>
  <c r="G1420" i="5"/>
  <c r="E1420" i="5"/>
  <c r="F1420" i="5" s="1"/>
  <c r="B1420" i="5"/>
  <c r="U1419" i="5"/>
  <c r="T1419" i="5"/>
  <c r="O1419" i="5"/>
  <c r="N1419" i="5"/>
  <c r="M1419" i="5"/>
  <c r="L1419" i="5"/>
  <c r="K1419" i="5"/>
  <c r="J1419" i="5"/>
  <c r="I1419" i="5"/>
  <c r="H1419" i="5"/>
  <c r="G1419" i="5"/>
  <c r="E1419" i="5"/>
  <c r="B1419" i="5"/>
  <c r="U1418" i="5"/>
  <c r="T1418" i="5"/>
  <c r="O1418" i="5"/>
  <c r="N1418" i="5"/>
  <c r="M1418" i="5"/>
  <c r="L1418" i="5"/>
  <c r="K1418" i="5"/>
  <c r="J1418" i="5"/>
  <c r="I1418" i="5"/>
  <c r="H1418" i="5"/>
  <c r="G1418" i="5"/>
  <c r="E1418" i="5"/>
  <c r="F1418" i="5" s="1"/>
  <c r="B1418" i="5"/>
  <c r="U1417" i="5"/>
  <c r="T1417" i="5"/>
  <c r="O1417" i="5"/>
  <c r="N1417" i="5"/>
  <c r="M1417" i="5"/>
  <c r="L1417" i="5"/>
  <c r="K1417" i="5"/>
  <c r="J1417" i="5"/>
  <c r="I1417" i="5"/>
  <c r="H1417" i="5"/>
  <c r="G1417" i="5"/>
  <c r="E1417" i="5"/>
  <c r="F1417" i="5" s="1"/>
  <c r="B1417" i="5"/>
  <c r="U1416" i="5"/>
  <c r="T1416" i="5"/>
  <c r="O1416" i="5"/>
  <c r="N1416" i="5"/>
  <c r="M1416" i="5"/>
  <c r="L1416" i="5"/>
  <c r="K1416" i="5"/>
  <c r="J1416" i="5"/>
  <c r="I1416" i="5"/>
  <c r="H1416" i="5"/>
  <c r="G1416" i="5"/>
  <c r="E1416" i="5"/>
  <c r="B1416" i="5"/>
  <c r="U1415" i="5"/>
  <c r="T1415" i="5"/>
  <c r="O1415" i="5"/>
  <c r="N1415" i="5"/>
  <c r="M1415" i="5"/>
  <c r="L1415" i="5"/>
  <c r="K1415" i="5"/>
  <c r="J1415" i="5"/>
  <c r="I1415" i="5"/>
  <c r="H1415" i="5"/>
  <c r="G1415" i="5"/>
  <c r="E1415" i="5"/>
  <c r="F1415" i="5" s="1"/>
  <c r="B1415" i="5"/>
  <c r="U1414" i="5"/>
  <c r="T1414" i="5"/>
  <c r="O1414" i="5"/>
  <c r="N1414" i="5"/>
  <c r="M1414" i="5"/>
  <c r="L1414" i="5"/>
  <c r="K1414" i="5"/>
  <c r="J1414" i="5"/>
  <c r="I1414" i="5"/>
  <c r="H1414" i="5"/>
  <c r="G1414" i="5"/>
  <c r="E1414" i="5"/>
  <c r="F1414" i="5" s="1"/>
  <c r="B1414" i="5"/>
  <c r="W1414" i="5" s="1"/>
  <c r="U1413" i="5"/>
  <c r="T1413" i="5"/>
  <c r="O1413" i="5"/>
  <c r="N1413" i="5"/>
  <c r="M1413" i="5"/>
  <c r="L1413" i="5"/>
  <c r="K1413" i="5"/>
  <c r="J1413" i="5"/>
  <c r="I1413" i="5"/>
  <c r="H1413" i="5"/>
  <c r="G1413" i="5"/>
  <c r="E1413" i="5"/>
  <c r="F1413" i="5" s="1"/>
  <c r="B1413" i="5"/>
  <c r="U1412" i="5"/>
  <c r="T1412" i="5"/>
  <c r="O1412" i="5"/>
  <c r="N1412" i="5"/>
  <c r="M1412" i="5"/>
  <c r="L1412" i="5"/>
  <c r="K1412" i="5"/>
  <c r="J1412" i="5"/>
  <c r="I1412" i="5"/>
  <c r="H1412" i="5"/>
  <c r="G1412" i="5"/>
  <c r="E1412" i="5"/>
  <c r="F1412" i="5" s="1"/>
  <c r="B1412" i="5"/>
  <c r="U1411" i="5"/>
  <c r="T1411" i="5"/>
  <c r="O1411" i="5"/>
  <c r="N1411" i="5"/>
  <c r="M1411" i="5"/>
  <c r="L1411" i="5"/>
  <c r="K1411" i="5"/>
  <c r="J1411" i="5"/>
  <c r="I1411" i="5"/>
  <c r="H1411" i="5"/>
  <c r="G1411" i="5"/>
  <c r="E1411" i="5"/>
  <c r="F1411" i="5" s="1"/>
  <c r="B1411" i="5"/>
  <c r="U1410" i="5"/>
  <c r="T1410" i="5"/>
  <c r="O1410" i="5"/>
  <c r="N1410" i="5"/>
  <c r="M1410" i="5"/>
  <c r="L1410" i="5"/>
  <c r="K1410" i="5"/>
  <c r="J1410" i="5"/>
  <c r="I1410" i="5"/>
  <c r="H1410" i="5"/>
  <c r="G1410" i="5"/>
  <c r="E1410" i="5"/>
  <c r="F1410" i="5" s="1"/>
  <c r="B1410" i="5"/>
  <c r="U1409" i="5"/>
  <c r="T1409" i="5"/>
  <c r="O1409" i="5"/>
  <c r="N1409" i="5"/>
  <c r="M1409" i="5"/>
  <c r="L1409" i="5"/>
  <c r="K1409" i="5"/>
  <c r="J1409" i="5"/>
  <c r="I1409" i="5"/>
  <c r="H1409" i="5"/>
  <c r="G1409" i="5"/>
  <c r="E1409" i="5"/>
  <c r="F1409" i="5" s="1"/>
  <c r="B1409" i="5"/>
  <c r="U1408" i="5"/>
  <c r="T1408" i="5"/>
  <c r="O1408" i="5"/>
  <c r="N1408" i="5"/>
  <c r="M1408" i="5"/>
  <c r="L1408" i="5"/>
  <c r="K1408" i="5"/>
  <c r="J1408" i="5"/>
  <c r="I1408" i="5"/>
  <c r="H1408" i="5"/>
  <c r="G1408" i="5"/>
  <c r="E1408" i="5"/>
  <c r="F1408" i="5" s="1"/>
  <c r="B1408" i="5"/>
  <c r="U1407" i="5"/>
  <c r="T1407" i="5"/>
  <c r="O1407" i="5"/>
  <c r="N1407" i="5"/>
  <c r="M1407" i="5"/>
  <c r="L1407" i="5"/>
  <c r="K1407" i="5"/>
  <c r="J1407" i="5"/>
  <c r="I1407" i="5"/>
  <c r="H1407" i="5"/>
  <c r="G1407" i="5"/>
  <c r="E1407" i="5"/>
  <c r="F1407" i="5" s="1"/>
  <c r="B1407" i="5"/>
  <c r="U1406" i="5"/>
  <c r="T1406" i="5"/>
  <c r="O1406" i="5"/>
  <c r="N1406" i="5"/>
  <c r="M1406" i="5"/>
  <c r="L1406" i="5"/>
  <c r="K1406" i="5"/>
  <c r="J1406" i="5"/>
  <c r="I1406" i="5"/>
  <c r="H1406" i="5"/>
  <c r="G1406" i="5"/>
  <c r="E1406" i="5"/>
  <c r="F1406" i="5" s="1"/>
  <c r="B1406" i="5"/>
  <c r="U1405" i="5"/>
  <c r="T1405" i="5"/>
  <c r="O1405" i="5"/>
  <c r="N1405" i="5"/>
  <c r="M1405" i="5"/>
  <c r="L1405" i="5"/>
  <c r="K1405" i="5"/>
  <c r="J1405" i="5"/>
  <c r="I1405" i="5"/>
  <c r="H1405" i="5"/>
  <c r="G1405" i="5"/>
  <c r="E1405" i="5"/>
  <c r="B1405" i="5"/>
  <c r="U1404" i="5"/>
  <c r="T1404" i="5"/>
  <c r="O1404" i="5"/>
  <c r="N1404" i="5"/>
  <c r="M1404" i="5"/>
  <c r="L1404" i="5"/>
  <c r="K1404" i="5"/>
  <c r="J1404" i="5"/>
  <c r="I1404" i="5"/>
  <c r="H1404" i="5"/>
  <c r="G1404" i="5"/>
  <c r="E1404" i="5"/>
  <c r="B1404" i="5"/>
  <c r="U1403" i="5"/>
  <c r="T1403" i="5"/>
  <c r="O1403" i="5"/>
  <c r="N1403" i="5"/>
  <c r="M1403" i="5"/>
  <c r="L1403" i="5"/>
  <c r="K1403" i="5"/>
  <c r="J1403" i="5"/>
  <c r="I1403" i="5"/>
  <c r="H1403" i="5"/>
  <c r="G1403" i="5"/>
  <c r="E1403" i="5"/>
  <c r="F1403" i="5" s="1"/>
  <c r="B1403" i="5"/>
  <c r="U1402" i="5"/>
  <c r="T1402" i="5"/>
  <c r="O1402" i="5"/>
  <c r="N1402" i="5"/>
  <c r="M1402" i="5"/>
  <c r="L1402" i="5"/>
  <c r="K1402" i="5"/>
  <c r="J1402" i="5"/>
  <c r="I1402" i="5"/>
  <c r="H1402" i="5"/>
  <c r="G1402" i="5"/>
  <c r="E1402" i="5"/>
  <c r="F1402" i="5" s="1"/>
  <c r="B1402" i="5"/>
  <c r="U1401" i="5"/>
  <c r="T1401" i="5"/>
  <c r="O1401" i="5"/>
  <c r="N1401" i="5"/>
  <c r="M1401" i="5"/>
  <c r="L1401" i="5"/>
  <c r="K1401" i="5"/>
  <c r="J1401" i="5"/>
  <c r="I1401" i="5"/>
  <c r="H1401" i="5"/>
  <c r="G1401" i="5"/>
  <c r="E1401" i="5"/>
  <c r="F1401" i="5" s="1"/>
  <c r="B1401" i="5"/>
  <c r="U1400" i="5"/>
  <c r="T1400" i="5"/>
  <c r="O1400" i="5"/>
  <c r="N1400" i="5"/>
  <c r="M1400" i="5"/>
  <c r="L1400" i="5"/>
  <c r="K1400" i="5"/>
  <c r="J1400" i="5"/>
  <c r="I1400" i="5"/>
  <c r="H1400" i="5"/>
  <c r="G1400" i="5"/>
  <c r="E1400" i="5"/>
  <c r="F1400" i="5" s="1"/>
  <c r="B1400" i="5"/>
  <c r="U1399" i="5"/>
  <c r="T1399" i="5"/>
  <c r="O1399" i="5"/>
  <c r="N1399" i="5"/>
  <c r="M1399" i="5"/>
  <c r="L1399" i="5"/>
  <c r="K1399" i="5"/>
  <c r="J1399" i="5"/>
  <c r="I1399" i="5"/>
  <c r="H1399" i="5"/>
  <c r="G1399" i="5"/>
  <c r="E1399" i="5"/>
  <c r="F1399" i="5" s="1"/>
  <c r="B1399" i="5"/>
  <c r="U1398" i="5"/>
  <c r="T1398" i="5"/>
  <c r="O1398" i="5"/>
  <c r="N1398" i="5"/>
  <c r="M1398" i="5"/>
  <c r="L1398" i="5"/>
  <c r="K1398" i="5"/>
  <c r="J1398" i="5"/>
  <c r="I1398" i="5"/>
  <c r="H1398" i="5"/>
  <c r="G1398" i="5"/>
  <c r="E1398" i="5"/>
  <c r="F1398" i="5" s="1"/>
  <c r="B1398" i="5"/>
  <c r="U1397" i="5"/>
  <c r="T1397" i="5"/>
  <c r="O1397" i="5"/>
  <c r="N1397" i="5"/>
  <c r="M1397" i="5"/>
  <c r="L1397" i="5"/>
  <c r="K1397" i="5"/>
  <c r="J1397" i="5"/>
  <c r="I1397" i="5"/>
  <c r="H1397" i="5"/>
  <c r="G1397" i="5"/>
  <c r="E1397" i="5"/>
  <c r="F1397" i="5" s="1"/>
  <c r="B1397" i="5"/>
  <c r="U1396" i="5"/>
  <c r="T1396" i="5"/>
  <c r="O1396" i="5"/>
  <c r="N1396" i="5"/>
  <c r="M1396" i="5"/>
  <c r="L1396" i="5"/>
  <c r="K1396" i="5"/>
  <c r="J1396" i="5"/>
  <c r="I1396" i="5"/>
  <c r="H1396" i="5"/>
  <c r="G1396" i="5"/>
  <c r="E1396" i="5"/>
  <c r="F1396" i="5" s="1"/>
  <c r="B1396" i="5"/>
  <c r="U1395" i="5"/>
  <c r="T1395" i="5"/>
  <c r="O1395" i="5"/>
  <c r="N1395" i="5"/>
  <c r="M1395" i="5"/>
  <c r="L1395" i="5"/>
  <c r="K1395" i="5"/>
  <c r="J1395" i="5"/>
  <c r="I1395" i="5"/>
  <c r="H1395" i="5"/>
  <c r="G1395" i="5"/>
  <c r="E1395" i="5"/>
  <c r="F1395" i="5" s="1"/>
  <c r="B1395" i="5"/>
  <c r="U1394" i="5"/>
  <c r="T1394" i="5"/>
  <c r="O1394" i="5"/>
  <c r="N1394" i="5"/>
  <c r="M1394" i="5"/>
  <c r="L1394" i="5"/>
  <c r="K1394" i="5"/>
  <c r="J1394" i="5"/>
  <c r="I1394" i="5"/>
  <c r="H1394" i="5"/>
  <c r="G1394" i="5"/>
  <c r="E1394" i="5"/>
  <c r="F1394" i="5" s="1"/>
  <c r="B1394" i="5"/>
  <c r="U1393" i="5"/>
  <c r="T1393" i="5"/>
  <c r="O1393" i="5"/>
  <c r="N1393" i="5"/>
  <c r="M1393" i="5"/>
  <c r="L1393" i="5"/>
  <c r="K1393" i="5"/>
  <c r="J1393" i="5"/>
  <c r="I1393" i="5"/>
  <c r="H1393" i="5"/>
  <c r="G1393" i="5"/>
  <c r="E1393" i="5"/>
  <c r="F1393" i="5" s="1"/>
  <c r="B1393" i="5"/>
  <c r="U1392" i="5"/>
  <c r="T1392" i="5"/>
  <c r="O1392" i="5"/>
  <c r="N1392" i="5"/>
  <c r="M1392" i="5"/>
  <c r="L1392" i="5"/>
  <c r="K1392" i="5"/>
  <c r="J1392" i="5"/>
  <c r="I1392" i="5"/>
  <c r="H1392" i="5"/>
  <c r="G1392" i="5"/>
  <c r="E1392" i="5"/>
  <c r="B1392" i="5"/>
  <c r="U1391" i="5"/>
  <c r="T1391" i="5"/>
  <c r="O1391" i="5"/>
  <c r="N1391" i="5"/>
  <c r="M1391" i="5"/>
  <c r="L1391" i="5"/>
  <c r="K1391" i="5"/>
  <c r="J1391" i="5"/>
  <c r="I1391" i="5"/>
  <c r="H1391" i="5"/>
  <c r="G1391" i="5"/>
  <c r="E1391" i="5"/>
  <c r="F1391" i="5" s="1"/>
  <c r="B1391" i="5"/>
  <c r="U1390" i="5"/>
  <c r="T1390" i="5"/>
  <c r="O1390" i="5"/>
  <c r="N1390" i="5"/>
  <c r="M1390" i="5"/>
  <c r="L1390" i="5"/>
  <c r="K1390" i="5"/>
  <c r="J1390" i="5"/>
  <c r="I1390" i="5"/>
  <c r="H1390" i="5"/>
  <c r="G1390" i="5"/>
  <c r="E1390" i="5"/>
  <c r="F1390" i="5" s="1"/>
  <c r="B1390" i="5"/>
  <c r="U1389" i="5"/>
  <c r="T1389" i="5"/>
  <c r="O1389" i="5"/>
  <c r="N1389" i="5"/>
  <c r="M1389" i="5"/>
  <c r="L1389" i="5"/>
  <c r="K1389" i="5"/>
  <c r="J1389" i="5"/>
  <c r="I1389" i="5"/>
  <c r="H1389" i="5"/>
  <c r="G1389" i="5"/>
  <c r="E1389" i="5"/>
  <c r="F1389" i="5" s="1"/>
  <c r="B1389" i="5"/>
  <c r="U1388" i="5"/>
  <c r="T1388" i="5"/>
  <c r="O1388" i="5"/>
  <c r="N1388" i="5"/>
  <c r="M1388" i="5"/>
  <c r="L1388" i="5"/>
  <c r="K1388" i="5"/>
  <c r="J1388" i="5"/>
  <c r="I1388" i="5"/>
  <c r="H1388" i="5"/>
  <c r="G1388" i="5"/>
  <c r="E1388" i="5"/>
  <c r="F1388" i="5" s="1"/>
  <c r="B1388" i="5"/>
  <c r="U1387" i="5"/>
  <c r="T1387" i="5"/>
  <c r="O1387" i="5"/>
  <c r="N1387" i="5"/>
  <c r="M1387" i="5"/>
  <c r="L1387" i="5"/>
  <c r="K1387" i="5"/>
  <c r="J1387" i="5"/>
  <c r="I1387" i="5"/>
  <c r="H1387" i="5"/>
  <c r="G1387" i="5"/>
  <c r="E1387" i="5"/>
  <c r="F1387" i="5" s="1"/>
  <c r="B1387" i="5"/>
  <c r="U1386" i="5"/>
  <c r="T1386" i="5"/>
  <c r="O1386" i="5"/>
  <c r="N1386" i="5"/>
  <c r="M1386" i="5"/>
  <c r="L1386" i="5"/>
  <c r="K1386" i="5"/>
  <c r="J1386" i="5"/>
  <c r="I1386" i="5"/>
  <c r="H1386" i="5"/>
  <c r="G1386" i="5"/>
  <c r="E1386" i="5"/>
  <c r="B1386" i="5"/>
  <c r="U1385" i="5"/>
  <c r="T1385" i="5"/>
  <c r="O1385" i="5"/>
  <c r="N1385" i="5"/>
  <c r="M1385" i="5"/>
  <c r="L1385" i="5"/>
  <c r="K1385" i="5"/>
  <c r="J1385" i="5"/>
  <c r="I1385" i="5"/>
  <c r="H1385" i="5"/>
  <c r="G1385" i="5"/>
  <c r="E1385" i="5"/>
  <c r="F1385" i="5" s="1"/>
  <c r="B1385" i="5"/>
  <c r="U1384" i="5"/>
  <c r="T1384" i="5"/>
  <c r="O1384" i="5"/>
  <c r="N1384" i="5"/>
  <c r="M1384" i="5"/>
  <c r="L1384" i="5"/>
  <c r="K1384" i="5"/>
  <c r="J1384" i="5"/>
  <c r="I1384" i="5"/>
  <c r="H1384" i="5"/>
  <c r="G1384" i="5"/>
  <c r="E1384" i="5"/>
  <c r="F1384" i="5" s="1"/>
  <c r="B1384" i="5"/>
  <c r="U1383" i="5"/>
  <c r="T1383" i="5"/>
  <c r="O1383" i="5"/>
  <c r="N1383" i="5"/>
  <c r="M1383" i="5"/>
  <c r="L1383" i="5"/>
  <c r="K1383" i="5"/>
  <c r="J1383" i="5"/>
  <c r="I1383" i="5"/>
  <c r="H1383" i="5"/>
  <c r="G1383" i="5"/>
  <c r="E1383" i="5"/>
  <c r="F1383" i="5" s="1"/>
  <c r="B1383" i="5"/>
  <c r="U1382" i="5"/>
  <c r="T1382" i="5"/>
  <c r="O1382" i="5"/>
  <c r="N1382" i="5"/>
  <c r="M1382" i="5"/>
  <c r="L1382" i="5"/>
  <c r="K1382" i="5"/>
  <c r="J1382" i="5"/>
  <c r="I1382" i="5"/>
  <c r="H1382" i="5"/>
  <c r="G1382" i="5"/>
  <c r="E1382" i="5"/>
  <c r="F1382" i="5" s="1"/>
  <c r="B1382" i="5"/>
  <c r="U1381" i="5"/>
  <c r="T1381" i="5"/>
  <c r="O1381" i="5"/>
  <c r="N1381" i="5"/>
  <c r="M1381" i="5"/>
  <c r="L1381" i="5"/>
  <c r="K1381" i="5"/>
  <c r="J1381" i="5"/>
  <c r="I1381" i="5"/>
  <c r="H1381" i="5"/>
  <c r="G1381" i="5"/>
  <c r="E1381" i="5"/>
  <c r="B1381" i="5"/>
  <c r="U1380" i="5"/>
  <c r="T1380" i="5"/>
  <c r="O1380" i="5"/>
  <c r="N1380" i="5"/>
  <c r="M1380" i="5"/>
  <c r="L1380" i="5"/>
  <c r="K1380" i="5"/>
  <c r="J1380" i="5"/>
  <c r="I1380" i="5"/>
  <c r="H1380" i="5"/>
  <c r="G1380" i="5"/>
  <c r="E1380" i="5"/>
  <c r="F1380" i="5" s="1"/>
  <c r="B1380" i="5"/>
  <c r="U1379" i="5"/>
  <c r="T1379" i="5"/>
  <c r="O1379" i="5"/>
  <c r="N1379" i="5"/>
  <c r="M1379" i="5"/>
  <c r="L1379" i="5"/>
  <c r="K1379" i="5"/>
  <c r="J1379" i="5"/>
  <c r="I1379" i="5"/>
  <c r="H1379" i="5"/>
  <c r="G1379" i="5"/>
  <c r="E1379" i="5"/>
  <c r="F1379" i="5" s="1"/>
  <c r="B1379" i="5"/>
  <c r="U1378" i="5"/>
  <c r="T1378" i="5"/>
  <c r="O1378" i="5"/>
  <c r="N1378" i="5"/>
  <c r="M1378" i="5"/>
  <c r="L1378" i="5"/>
  <c r="K1378" i="5"/>
  <c r="J1378" i="5"/>
  <c r="I1378" i="5"/>
  <c r="H1378" i="5"/>
  <c r="G1378" i="5"/>
  <c r="E1378" i="5"/>
  <c r="B1378" i="5"/>
  <c r="U1377" i="5"/>
  <c r="T1377" i="5"/>
  <c r="O1377" i="5"/>
  <c r="N1377" i="5"/>
  <c r="M1377" i="5"/>
  <c r="L1377" i="5"/>
  <c r="K1377" i="5"/>
  <c r="J1377" i="5"/>
  <c r="I1377" i="5"/>
  <c r="H1377" i="5"/>
  <c r="G1377" i="5"/>
  <c r="E1377" i="5"/>
  <c r="B1377" i="5"/>
  <c r="U1376" i="5"/>
  <c r="T1376" i="5"/>
  <c r="O1376" i="5"/>
  <c r="N1376" i="5"/>
  <c r="M1376" i="5"/>
  <c r="L1376" i="5"/>
  <c r="K1376" i="5"/>
  <c r="J1376" i="5"/>
  <c r="I1376" i="5"/>
  <c r="H1376" i="5"/>
  <c r="G1376" i="5"/>
  <c r="E1376" i="5"/>
  <c r="F1376" i="5" s="1"/>
  <c r="B1376" i="5"/>
  <c r="W1376" i="5" s="1"/>
  <c r="O1375" i="5"/>
  <c r="N1375" i="5"/>
  <c r="M1375" i="5"/>
  <c r="L1375" i="5"/>
  <c r="K1375" i="5"/>
  <c r="J1375" i="5"/>
  <c r="I1375" i="5"/>
  <c r="G1375" i="5"/>
  <c r="B1375" i="5"/>
  <c r="O1374" i="5"/>
  <c r="N1374" i="5"/>
  <c r="M1374" i="5"/>
  <c r="L1374" i="5"/>
  <c r="K1374" i="5"/>
  <c r="J1374" i="5"/>
  <c r="I1374" i="5"/>
  <c r="G1374" i="5"/>
  <c r="B1374" i="5"/>
  <c r="O1373" i="5"/>
  <c r="N1373" i="5"/>
  <c r="M1373" i="5"/>
  <c r="L1373" i="5"/>
  <c r="K1373" i="5"/>
  <c r="J1373" i="5"/>
  <c r="I1373" i="5"/>
  <c r="G1373" i="5"/>
  <c r="B1373" i="5"/>
  <c r="O1372" i="5"/>
  <c r="N1372" i="5"/>
  <c r="M1372" i="5"/>
  <c r="L1372" i="5"/>
  <c r="K1372" i="5"/>
  <c r="J1372" i="5"/>
  <c r="I1372" i="5"/>
  <c r="G1372" i="5"/>
  <c r="B1372" i="5"/>
  <c r="O1371" i="5"/>
  <c r="N1371" i="5"/>
  <c r="M1371" i="5"/>
  <c r="L1371" i="5"/>
  <c r="K1371" i="5"/>
  <c r="J1371" i="5"/>
  <c r="I1371" i="5"/>
  <c r="G1371" i="5"/>
  <c r="B1371" i="5"/>
  <c r="O1370" i="5"/>
  <c r="N1370" i="5"/>
  <c r="M1370" i="5"/>
  <c r="L1370" i="5"/>
  <c r="K1370" i="5"/>
  <c r="J1370" i="5"/>
  <c r="I1370" i="5"/>
  <c r="G1370" i="5"/>
  <c r="B1370" i="5"/>
  <c r="O1369" i="5"/>
  <c r="N1369" i="5"/>
  <c r="M1369" i="5"/>
  <c r="L1369" i="5"/>
  <c r="K1369" i="5"/>
  <c r="J1369" i="5"/>
  <c r="I1369" i="5"/>
  <c r="G1369" i="5"/>
  <c r="B1369" i="5"/>
  <c r="O1368" i="5"/>
  <c r="N1368" i="5"/>
  <c r="M1368" i="5"/>
  <c r="L1368" i="5"/>
  <c r="K1368" i="5"/>
  <c r="J1368" i="5"/>
  <c r="I1368" i="5"/>
  <c r="G1368" i="5"/>
  <c r="B1368" i="5"/>
  <c r="O1367" i="5"/>
  <c r="N1367" i="5"/>
  <c r="M1367" i="5"/>
  <c r="L1367" i="5"/>
  <c r="K1367" i="5"/>
  <c r="J1367" i="5"/>
  <c r="I1367" i="5"/>
  <c r="G1367" i="5"/>
  <c r="B1367" i="5"/>
  <c r="O1366" i="5"/>
  <c r="N1366" i="5"/>
  <c r="M1366" i="5"/>
  <c r="L1366" i="5"/>
  <c r="K1366" i="5"/>
  <c r="J1366" i="5"/>
  <c r="I1366" i="5"/>
  <c r="G1366" i="5"/>
  <c r="B1366" i="5"/>
  <c r="O1365" i="5"/>
  <c r="N1365" i="5"/>
  <c r="M1365" i="5"/>
  <c r="L1365" i="5"/>
  <c r="K1365" i="5"/>
  <c r="J1365" i="5"/>
  <c r="I1365" i="5"/>
  <c r="G1365" i="5"/>
  <c r="B1365" i="5"/>
  <c r="O1364" i="5"/>
  <c r="N1364" i="5"/>
  <c r="M1364" i="5"/>
  <c r="L1364" i="5"/>
  <c r="K1364" i="5"/>
  <c r="J1364" i="5"/>
  <c r="I1364" i="5"/>
  <c r="G1364" i="5"/>
  <c r="B1364" i="5"/>
  <c r="O1363" i="5"/>
  <c r="N1363" i="5"/>
  <c r="M1363" i="5"/>
  <c r="L1363" i="5"/>
  <c r="K1363" i="5"/>
  <c r="J1363" i="5"/>
  <c r="I1363" i="5"/>
  <c r="G1363" i="5"/>
  <c r="B1363" i="5"/>
  <c r="O1362" i="5"/>
  <c r="N1362" i="5"/>
  <c r="M1362" i="5"/>
  <c r="L1362" i="5"/>
  <c r="K1362" i="5"/>
  <c r="J1362" i="5"/>
  <c r="I1362" i="5"/>
  <c r="G1362" i="5"/>
  <c r="B1362" i="5"/>
  <c r="O1361" i="5"/>
  <c r="N1361" i="5"/>
  <c r="M1361" i="5"/>
  <c r="L1361" i="5"/>
  <c r="K1361" i="5"/>
  <c r="J1361" i="5"/>
  <c r="I1361" i="5"/>
  <c r="G1361" i="5"/>
  <c r="B1361" i="5"/>
  <c r="O1360" i="5"/>
  <c r="N1360" i="5"/>
  <c r="M1360" i="5"/>
  <c r="L1360" i="5"/>
  <c r="K1360" i="5"/>
  <c r="J1360" i="5"/>
  <c r="I1360" i="5"/>
  <c r="G1360" i="5"/>
  <c r="B1360" i="5"/>
  <c r="O1359" i="5"/>
  <c r="N1359" i="5"/>
  <c r="M1359" i="5"/>
  <c r="L1359" i="5"/>
  <c r="K1359" i="5"/>
  <c r="J1359" i="5"/>
  <c r="I1359" i="5"/>
  <c r="G1359" i="5"/>
  <c r="B1359" i="5"/>
  <c r="O1358" i="5"/>
  <c r="N1358" i="5"/>
  <c r="M1358" i="5"/>
  <c r="L1358" i="5"/>
  <c r="K1358" i="5"/>
  <c r="J1358" i="5"/>
  <c r="I1358" i="5"/>
  <c r="G1358" i="5"/>
  <c r="B1358" i="5"/>
  <c r="O1357" i="5"/>
  <c r="N1357" i="5"/>
  <c r="M1357" i="5"/>
  <c r="L1357" i="5"/>
  <c r="K1357" i="5"/>
  <c r="J1357" i="5"/>
  <c r="I1357" i="5"/>
  <c r="G1357" i="5"/>
  <c r="B1357" i="5"/>
  <c r="O1356" i="5"/>
  <c r="N1356" i="5"/>
  <c r="M1356" i="5"/>
  <c r="L1356" i="5"/>
  <c r="K1356" i="5"/>
  <c r="J1356" i="5"/>
  <c r="I1356" i="5"/>
  <c r="G1356" i="5"/>
  <c r="B1356" i="5"/>
  <c r="O1355" i="5"/>
  <c r="N1355" i="5"/>
  <c r="M1355" i="5"/>
  <c r="L1355" i="5"/>
  <c r="K1355" i="5"/>
  <c r="J1355" i="5"/>
  <c r="I1355" i="5"/>
  <c r="G1355" i="5"/>
  <c r="B1355" i="5"/>
  <c r="O1354" i="5"/>
  <c r="N1354" i="5"/>
  <c r="M1354" i="5"/>
  <c r="L1354" i="5"/>
  <c r="K1354" i="5"/>
  <c r="J1354" i="5"/>
  <c r="I1354" i="5"/>
  <c r="G1354" i="5"/>
  <c r="B1354" i="5"/>
  <c r="O1353" i="5"/>
  <c r="N1353" i="5"/>
  <c r="M1353" i="5"/>
  <c r="L1353" i="5"/>
  <c r="K1353" i="5"/>
  <c r="J1353" i="5"/>
  <c r="I1353" i="5"/>
  <c r="G1353" i="5"/>
  <c r="B1353" i="5"/>
  <c r="O1352" i="5"/>
  <c r="N1352" i="5"/>
  <c r="M1352" i="5"/>
  <c r="L1352" i="5"/>
  <c r="K1352" i="5"/>
  <c r="J1352" i="5"/>
  <c r="I1352" i="5"/>
  <c r="G1352" i="5"/>
  <c r="B1352" i="5"/>
  <c r="O1351" i="5"/>
  <c r="N1351" i="5"/>
  <c r="M1351" i="5"/>
  <c r="L1351" i="5"/>
  <c r="K1351" i="5"/>
  <c r="J1351" i="5"/>
  <c r="I1351" i="5"/>
  <c r="G1351" i="5"/>
  <c r="B1351" i="5"/>
  <c r="O1350" i="5"/>
  <c r="N1350" i="5"/>
  <c r="M1350" i="5"/>
  <c r="L1350" i="5"/>
  <c r="K1350" i="5"/>
  <c r="J1350" i="5"/>
  <c r="I1350" i="5"/>
  <c r="G1350" i="5"/>
  <c r="B1350" i="5"/>
  <c r="O1349" i="5"/>
  <c r="N1349" i="5"/>
  <c r="M1349" i="5"/>
  <c r="L1349" i="5"/>
  <c r="K1349" i="5"/>
  <c r="J1349" i="5"/>
  <c r="I1349" i="5"/>
  <c r="G1349" i="5"/>
  <c r="B1349" i="5"/>
  <c r="O1348" i="5"/>
  <c r="N1348" i="5"/>
  <c r="M1348" i="5"/>
  <c r="L1348" i="5"/>
  <c r="K1348" i="5"/>
  <c r="J1348" i="5"/>
  <c r="I1348" i="5"/>
  <c r="G1348" i="5"/>
  <c r="B1348" i="5"/>
  <c r="O1347" i="5"/>
  <c r="N1347" i="5"/>
  <c r="M1347" i="5"/>
  <c r="L1347" i="5"/>
  <c r="K1347" i="5"/>
  <c r="J1347" i="5"/>
  <c r="I1347" i="5"/>
  <c r="G1347" i="5"/>
  <c r="B1347" i="5"/>
  <c r="O1346" i="5"/>
  <c r="N1346" i="5"/>
  <c r="M1346" i="5"/>
  <c r="L1346" i="5"/>
  <c r="K1346" i="5"/>
  <c r="J1346" i="5"/>
  <c r="I1346" i="5"/>
  <c r="G1346" i="5"/>
  <c r="B1346" i="5"/>
  <c r="O1345" i="5"/>
  <c r="N1345" i="5"/>
  <c r="M1345" i="5"/>
  <c r="L1345" i="5"/>
  <c r="K1345" i="5"/>
  <c r="J1345" i="5"/>
  <c r="I1345" i="5"/>
  <c r="G1345" i="5"/>
  <c r="B1345" i="5"/>
  <c r="O1344" i="5"/>
  <c r="N1344" i="5"/>
  <c r="M1344" i="5"/>
  <c r="L1344" i="5"/>
  <c r="K1344" i="5"/>
  <c r="J1344" i="5"/>
  <c r="I1344" i="5"/>
  <c r="G1344" i="5"/>
  <c r="B1344" i="5"/>
  <c r="O1343" i="5"/>
  <c r="N1343" i="5"/>
  <c r="M1343" i="5"/>
  <c r="L1343" i="5"/>
  <c r="K1343" i="5"/>
  <c r="J1343" i="5"/>
  <c r="I1343" i="5"/>
  <c r="G1343" i="5"/>
  <c r="B1343" i="5"/>
  <c r="O1342" i="5"/>
  <c r="N1342" i="5"/>
  <c r="M1342" i="5"/>
  <c r="L1342" i="5"/>
  <c r="K1342" i="5"/>
  <c r="J1342" i="5"/>
  <c r="I1342" i="5"/>
  <c r="G1342" i="5"/>
  <c r="B1342" i="5"/>
  <c r="O1341" i="5"/>
  <c r="N1341" i="5"/>
  <c r="M1341" i="5"/>
  <c r="L1341" i="5"/>
  <c r="K1341" i="5"/>
  <c r="J1341" i="5"/>
  <c r="I1341" i="5"/>
  <c r="G1341" i="5"/>
  <c r="B1341" i="5"/>
  <c r="O1340" i="5"/>
  <c r="N1340" i="5"/>
  <c r="M1340" i="5"/>
  <c r="L1340" i="5"/>
  <c r="K1340" i="5"/>
  <c r="J1340" i="5"/>
  <c r="I1340" i="5"/>
  <c r="G1340" i="5"/>
  <c r="B1340" i="5"/>
  <c r="O1339" i="5"/>
  <c r="N1339" i="5"/>
  <c r="M1339" i="5"/>
  <c r="L1339" i="5"/>
  <c r="K1339" i="5"/>
  <c r="J1339" i="5"/>
  <c r="I1339" i="5"/>
  <c r="G1339" i="5"/>
  <c r="B1339" i="5"/>
  <c r="O1338" i="5"/>
  <c r="N1338" i="5"/>
  <c r="M1338" i="5"/>
  <c r="L1338" i="5"/>
  <c r="K1338" i="5"/>
  <c r="J1338" i="5"/>
  <c r="I1338" i="5"/>
  <c r="G1338" i="5"/>
  <c r="B1338" i="5"/>
  <c r="W1338" i="5" s="1"/>
  <c r="U1337" i="5"/>
  <c r="U1375" i="5" s="1"/>
  <c r="T1337" i="5"/>
  <c r="O1337" i="5"/>
  <c r="N1337" i="5"/>
  <c r="M1337" i="5"/>
  <c r="L1337" i="5"/>
  <c r="K1337" i="5"/>
  <c r="J1337" i="5"/>
  <c r="I1337" i="5"/>
  <c r="H1337" i="5"/>
  <c r="G1337" i="5"/>
  <c r="E1337" i="5"/>
  <c r="E1375" i="5" s="1"/>
  <c r="F1375" i="5" s="1"/>
  <c r="B1337" i="5"/>
  <c r="U1336" i="5"/>
  <c r="U1374" i="5" s="1"/>
  <c r="T1336" i="5"/>
  <c r="O1336" i="5"/>
  <c r="N1336" i="5"/>
  <c r="M1336" i="5"/>
  <c r="L1336" i="5"/>
  <c r="K1336" i="5"/>
  <c r="J1336" i="5"/>
  <c r="I1336" i="5"/>
  <c r="H1336" i="5"/>
  <c r="G1336" i="5"/>
  <c r="E1336" i="5"/>
  <c r="B1336" i="5"/>
  <c r="U1335" i="5"/>
  <c r="U1373" i="5" s="1"/>
  <c r="T1335" i="5"/>
  <c r="O1335" i="5"/>
  <c r="N1335" i="5"/>
  <c r="M1335" i="5"/>
  <c r="L1335" i="5"/>
  <c r="K1335" i="5"/>
  <c r="J1335" i="5"/>
  <c r="I1335" i="5"/>
  <c r="H1335" i="5"/>
  <c r="G1335" i="5"/>
  <c r="E1335" i="5"/>
  <c r="F1335" i="5" s="1"/>
  <c r="B1335" i="5"/>
  <c r="U1334" i="5"/>
  <c r="U1372" i="5" s="1"/>
  <c r="T1334" i="5"/>
  <c r="O1334" i="5"/>
  <c r="N1334" i="5"/>
  <c r="M1334" i="5"/>
  <c r="L1334" i="5"/>
  <c r="K1334" i="5"/>
  <c r="J1334" i="5"/>
  <c r="I1334" i="5"/>
  <c r="H1334" i="5"/>
  <c r="G1334" i="5"/>
  <c r="E1334" i="5"/>
  <c r="B1334" i="5"/>
  <c r="U1333" i="5"/>
  <c r="U1371" i="5" s="1"/>
  <c r="T1333" i="5"/>
  <c r="O1333" i="5"/>
  <c r="N1333" i="5"/>
  <c r="M1333" i="5"/>
  <c r="L1333" i="5"/>
  <c r="K1333" i="5"/>
  <c r="J1333" i="5"/>
  <c r="I1333" i="5"/>
  <c r="H1333" i="5"/>
  <c r="G1333" i="5"/>
  <c r="E1333" i="5"/>
  <c r="B1333" i="5"/>
  <c r="U1332" i="5"/>
  <c r="U1370" i="5" s="1"/>
  <c r="T1332" i="5"/>
  <c r="O1332" i="5"/>
  <c r="N1332" i="5"/>
  <c r="M1332" i="5"/>
  <c r="L1332" i="5"/>
  <c r="K1332" i="5"/>
  <c r="J1332" i="5"/>
  <c r="I1332" i="5"/>
  <c r="H1332" i="5"/>
  <c r="G1332" i="5"/>
  <c r="E1332" i="5"/>
  <c r="B1332" i="5"/>
  <c r="U1331" i="5"/>
  <c r="U1369" i="5" s="1"/>
  <c r="T1331" i="5"/>
  <c r="O1331" i="5"/>
  <c r="N1331" i="5"/>
  <c r="M1331" i="5"/>
  <c r="L1331" i="5"/>
  <c r="K1331" i="5"/>
  <c r="J1331" i="5"/>
  <c r="I1331" i="5"/>
  <c r="H1331" i="5"/>
  <c r="G1331" i="5"/>
  <c r="E1331" i="5"/>
  <c r="E1369" i="5" s="1"/>
  <c r="F1369" i="5" s="1"/>
  <c r="B1331" i="5"/>
  <c r="U1330" i="5"/>
  <c r="U1368" i="5" s="1"/>
  <c r="T1330" i="5"/>
  <c r="O1330" i="5"/>
  <c r="N1330" i="5"/>
  <c r="M1330" i="5"/>
  <c r="L1330" i="5"/>
  <c r="K1330" i="5"/>
  <c r="J1330" i="5"/>
  <c r="I1330" i="5"/>
  <c r="H1330" i="5"/>
  <c r="G1330" i="5"/>
  <c r="E1330" i="5"/>
  <c r="B1330" i="5"/>
  <c r="U1329" i="5"/>
  <c r="U1367" i="5" s="1"/>
  <c r="T1329" i="5"/>
  <c r="O1329" i="5"/>
  <c r="N1329" i="5"/>
  <c r="M1329" i="5"/>
  <c r="L1329" i="5"/>
  <c r="K1329" i="5"/>
  <c r="J1329" i="5"/>
  <c r="I1329" i="5"/>
  <c r="H1329" i="5"/>
  <c r="G1329" i="5"/>
  <c r="E1329" i="5"/>
  <c r="E1367" i="5" s="1"/>
  <c r="F1367" i="5" s="1"/>
  <c r="B1329" i="5"/>
  <c r="U1328" i="5"/>
  <c r="U1366" i="5" s="1"/>
  <c r="T1328" i="5"/>
  <c r="O1328" i="5"/>
  <c r="N1328" i="5"/>
  <c r="M1328" i="5"/>
  <c r="L1328" i="5"/>
  <c r="K1328" i="5"/>
  <c r="J1328" i="5"/>
  <c r="I1328" i="5"/>
  <c r="H1328" i="5"/>
  <c r="G1328" i="5"/>
  <c r="E1328" i="5"/>
  <c r="B1328" i="5"/>
  <c r="U1327" i="5"/>
  <c r="U1365" i="5" s="1"/>
  <c r="T1327" i="5"/>
  <c r="O1327" i="5"/>
  <c r="N1327" i="5"/>
  <c r="M1327" i="5"/>
  <c r="L1327" i="5"/>
  <c r="K1327" i="5"/>
  <c r="J1327" i="5"/>
  <c r="I1327" i="5"/>
  <c r="H1327" i="5"/>
  <c r="G1327" i="5"/>
  <c r="E1327" i="5"/>
  <c r="B1327" i="5"/>
  <c r="U1326" i="5"/>
  <c r="U1364" i="5" s="1"/>
  <c r="T1326" i="5"/>
  <c r="O1326" i="5"/>
  <c r="N1326" i="5"/>
  <c r="M1326" i="5"/>
  <c r="L1326" i="5"/>
  <c r="K1326" i="5"/>
  <c r="J1326" i="5"/>
  <c r="I1326" i="5"/>
  <c r="H1326" i="5"/>
  <c r="G1326" i="5"/>
  <c r="E1326" i="5"/>
  <c r="B1326" i="5"/>
  <c r="U1325" i="5"/>
  <c r="U1363" i="5" s="1"/>
  <c r="T1325" i="5"/>
  <c r="O1325" i="5"/>
  <c r="N1325" i="5"/>
  <c r="M1325" i="5"/>
  <c r="L1325" i="5"/>
  <c r="K1325" i="5"/>
  <c r="J1325" i="5"/>
  <c r="I1325" i="5"/>
  <c r="H1325" i="5"/>
  <c r="G1325" i="5"/>
  <c r="E1325" i="5"/>
  <c r="E1363" i="5" s="1"/>
  <c r="B1325" i="5"/>
  <c r="U1324" i="5"/>
  <c r="U1362" i="5" s="1"/>
  <c r="T1324" i="5"/>
  <c r="O1324" i="5"/>
  <c r="N1324" i="5"/>
  <c r="M1324" i="5"/>
  <c r="L1324" i="5"/>
  <c r="K1324" i="5"/>
  <c r="J1324" i="5"/>
  <c r="I1324" i="5"/>
  <c r="H1324" i="5"/>
  <c r="G1324" i="5"/>
  <c r="E1324" i="5"/>
  <c r="B1324" i="5"/>
  <c r="U1323" i="5"/>
  <c r="U1361" i="5" s="1"/>
  <c r="T1323" i="5"/>
  <c r="O1323" i="5"/>
  <c r="N1323" i="5"/>
  <c r="M1323" i="5"/>
  <c r="L1323" i="5"/>
  <c r="K1323" i="5"/>
  <c r="J1323" i="5"/>
  <c r="I1323" i="5"/>
  <c r="H1323" i="5"/>
  <c r="G1323" i="5"/>
  <c r="E1323" i="5"/>
  <c r="E1361" i="5" s="1"/>
  <c r="B1323" i="5"/>
  <c r="U1322" i="5"/>
  <c r="U1360" i="5" s="1"/>
  <c r="T1322" i="5"/>
  <c r="O1322" i="5"/>
  <c r="N1322" i="5"/>
  <c r="M1322" i="5"/>
  <c r="L1322" i="5"/>
  <c r="K1322" i="5"/>
  <c r="J1322" i="5"/>
  <c r="I1322" i="5"/>
  <c r="H1322" i="5"/>
  <c r="G1322" i="5"/>
  <c r="E1322" i="5"/>
  <c r="B1322" i="5"/>
  <c r="U1321" i="5"/>
  <c r="U1359" i="5" s="1"/>
  <c r="T1321" i="5"/>
  <c r="O1321" i="5"/>
  <c r="N1321" i="5"/>
  <c r="M1321" i="5"/>
  <c r="L1321" i="5"/>
  <c r="K1321" i="5"/>
  <c r="J1321" i="5"/>
  <c r="I1321" i="5"/>
  <c r="H1321" i="5"/>
  <c r="G1321" i="5"/>
  <c r="E1321" i="5"/>
  <c r="F1321" i="5" s="1"/>
  <c r="B1321" i="5"/>
  <c r="U1320" i="5"/>
  <c r="U1358" i="5" s="1"/>
  <c r="T1320" i="5"/>
  <c r="O1320" i="5"/>
  <c r="N1320" i="5"/>
  <c r="M1320" i="5"/>
  <c r="L1320" i="5"/>
  <c r="K1320" i="5"/>
  <c r="J1320" i="5"/>
  <c r="I1320" i="5"/>
  <c r="H1320" i="5"/>
  <c r="G1320" i="5"/>
  <c r="E1320" i="5"/>
  <c r="F1320" i="5" s="1"/>
  <c r="B1320" i="5"/>
  <c r="U1319" i="5"/>
  <c r="U1357" i="5" s="1"/>
  <c r="T1319" i="5"/>
  <c r="O1319" i="5"/>
  <c r="N1319" i="5"/>
  <c r="M1319" i="5"/>
  <c r="L1319" i="5"/>
  <c r="K1319" i="5"/>
  <c r="J1319" i="5"/>
  <c r="I1319" i="5"/>
  <c r="H1319" i="5"/>
  <c r="G1319" i="5"/>
  <c r="E1319" i="5"/>
  <c r="F1319" i="5" s="1"/>
  <c r="B1319" i="5"/>
  <c r="U1318" i="5"/>
  <c r="U1356" i="5" s="1"/>
  <c r="T1318" i="5"/>
  <c r="O1318" i="5"/>
  <c r="N1318" i="5"/>
  <c r="M1318" i="5"/>
  <c r="L1318" i="5"/>
  <c r="K1318" i="5"/>
  <c r="J1318" i="5"/>
  <c r="I1318" i="5"/>
  <c r="H1318" i="5"/>
  <c r="G1318" i="5"/>
  <c r="E1318" i="5"/>
  <c r="B1318" i="5"/>
  <c r="U1317" i="5"/>
  <c r="U1355" i="5" s="1"/>
  <c r="T1317" i="5"/>
  <c r="O1317" i="5"/>
  <c r="N1317" i="5"/>
  <c r="M1317" i="5"/>
  <c r="L1317" i="5"/>
  <c r="K1317" i="5"/>
  <c r="J1317" i="5"/>
  <c r="I1317" i="5"/>
  <c r="H1317" i="5"/>
  <c r="G1317" i="5"/>
  <c r="E1317" i="5"/>
  <c r="B1317" i="5"/>
  <c r="U1316" i="5"/>
  <c r="U1354" i="5" s="1"/>
  <c r="T1316" i="5"/>
  <c r="O1316" i="5"/>
  <c r="N1316" i="5"/>
  <c r="M1316" i="5"/>
  <c r="L1316" i="5"/>
  <c r="K1316" i="5"/>
  <c r="J1316" i="5"/>
  <c r="I1316" i="5"/>
  <c r="H1316" i="5"/>
  <c r="G1316" i="5"/>
  <c r="E1316" i="5"/>
  <c r="B1316" i="5"/>
  <c r="U1315" i="5"/>
  <c r="U1353" i="5" s="1"/>
  <c r="T1315" i="5"/>
  <c r="O1315" i="5"/>
  <c r="N1315" i="5"/>
  <c r="M1315" i="5"/>
  <c r="L1315" i="5"/>
  <c r="K1315" i="5"/>
  <c r="J1315" i="5"/>
  <c r="I1315" i="5"/>
  <c r="H1315" i="5"/>
  <c r="G1315" i="5"/>
  <c r="E1315" i="5"/>
  <c r="F1315" i="5" s="1"/>
  <c r="B1315" i="5"/>
  <c r="U1314" i="5"/>
  <c r="U1352" i="5" s="1"/>
  <c r="T1314" i="5"/>
  <c r="O1314" i="5"/>
  <c r="N1314" i="5"/>
  <c r="M1314" i="5"/>
  <c r="L1314" i="5"/>
  <c r="K1314" i="5"/>
  <c r="J1314" i="5"/>
  <c r="I1314" i="5"/>
  <c r="H1314" i="5"/>
  <c r="G1314" i="5"/>
  <c r="E1314" i="5"/>
  <c r="E1352" i="5" s="1"/>
  <c r="F1352" i="5" s="1"/>
  <c r="B1314" i="5"/>
  <c r="U1313" i="5"/>
  <c r="U1351" i="5" s="1"/>
  <c r="T1313" i="5"/>
  <c r="O1313" i="5"/>
  <c r="N1313" i="5"/>
  <c r="M1313" i="5"/>
  <c r="L1313" i="5"/>
  <c r="K1313" i="5"/>
  <c r="J1313" i="5"/>
  <c r="I1313" i="5"/>
  <c r="H1313" i="5"/>
  <c r="G1313" i="5"/>
  <c r="E1313" i="5"/>
  <c r="E1351" i="5" s="1"/>
  <c r="F1351" i="5" s="1"/>
  <c r="B1313" i="5"/>
  <c r="U1312" i="5"/>
  <c r="U1350" i="5" s="1"/>
  <c r="T1312" i="5"/>
  <c r="O1312" i="5"/>
  <c r="N1312" i="5"/>
  <c r="M1312" i="5"/>
  <c r="L1312" i="5"/>
  <c r="K1312" i="5"/>
  <c r="J1312" i="5"/>
  <c r="I1312" i="5"/>
  <c r="H1312" i="5"/>
  <c r="G1312" i="5"/>
  <c r="E1312" i="5"/>
  <c r="B1312" i="5"/>
  <c r="U1311" i="5"/>
  <c r="U1349" i="5" s="1"/>
  <c r="T1311" i="5"/>
  <c r="O1311" i="5"/>
  <c r="N1311" i="5"/>
  <c r="M1311" i="5"/>
  <c r="L1311" i="5"/>
  <c r="K1311" i="5"/>
  <c r="J1311" i="5"/>
  <c r="I1311" i="5"/>
  <c r="H1311" i="5"/>
  <c r="G1311" i="5"/>
  <c r="E1311" i="5"/>
  <c r="F1311" i="5" s="1"/>
  <c r="B1311" i="5"/>
  <c r="U1310" i="5"/>
  <c r="U1348" i="5" s="1"/>
  <c r="T1310" i="5"/>
  <c r="O1310" i="5"/>
  <c r="N1310" i="5"/>
  <c r="M1310" i="5"/>
  <c r="L1310" i="5"/>
  <c r="K1310" i="5"/>
  <c r="J1310" i="5"/>
  <c r="I1310" i="5"/>
  <c r="H1310" i="5"/>
  <c r="G1310" i="5"/>
  <c r="E1310" i="5"/>
  <c r="B1310" i="5"/>
  <c r="U1309" i="5"/>
  <c r="U1347" i="5" s="1"/>
  <c r="T1309" i="5"/>
  <c r="O1309" i="5"/>
  <c r="N1309" i="5"/>
  <c r="M1309" i="5"/>
  <c r="L1309" i="5"/>
  <c r="K1309" i="5"/>
  <c r="J1309" i="5"/>
  <c r="I1309" i="5"/>
  <c r="H1309" i="5"/>
  <c r="G1309" i="5"/>
  <c r="E1309" i="5"/>
  <c r="F1309" i="5" s="1"/>
  <c r="B1309" i="5"/>
  <c r="U1308" i="5"/>
  <c r="U1346" i="5" s="1"/>
  <c r="T1308" i="5"/>
  <c r="O1308" i="5"/>
  <c r="N1308" i="5"/>
  <c r="M1308" i="5"/>
  <c r="L1308" i="5"/>
  <c r="K1308" i="5"/>
  <c r="J1308" i="5"/>
  <c r="I1308" i="5"/>
  <c r="H1308" i="5"/>
  <c r="G1308" i="5"/>
  <c r="E1308" i="5"/>
  <c r="F1308" i="5" s="1"/>
  <c r="B1308" i="5"/>
  <c r="U1307" i="5"/>
  <c r="U1345" i="5" s="1"/>
  <c r="T1307" i="5"/>
  <c r="O1307" i="5"/>
  <c r="N1307" i="5"/>
  <c r="M1307" i="5"/>
  <c r="L1307" i="5"/>
  <c r="K1307" i="5"/>
  <c r="J1307" i="5"/>
  <c r="I1307" i="5"/>
  <c r="H1307" i="5"/>
  <c r="G1307" i="5"/>
  <c r="E1307" i="5"/>
  <c r="E1345" i="5" s="1"/>
  <c r="B1307" i="5"/>
  <c r="U1306" i="5"/>
  <c r="U1344" i="5" s="1"/>
  <c r="T1306" i="5"/>
  <c r="O1306" i="5"/>
  <c r="N1306" i="5"/>
  <c r="M1306" i="5"/>
  <c r="L1306" i="5"/>
  <c r="K1306" i="5"/>
  <c r="J1306" i="5"/>
  <c r="I1306" i="5"/>
  <c r="H1306" i="5"/>
  <c r="G1306" i="5"/>
  <c r="E1306" i="5"/>
  <c r="B1306" i="5"/>
  <c r="U1305" i="5"/>
  <c r="U1343" i="5" s="1"/>
  <c r="T1305" i="5"/>
  <c r="O1305" i="5"/>
  <c r="N1305" i="5"/>
  <c r="M1305" i="5"/>
  <c r="L1305" i="5"/>
  <c r="K1305" i="5"/>
  <c r="J1305" i="5"/>
  <c r="I1305" i="5"/>
  <c r="H1305" i="5"/>
  <c r="G1305" i="5"/>
  <c r="E1305" i="5"/>
  <c r="F1305" i="5" s="1"/>
  <c r="B1305" i="5"/>
  <c r="U1304" i="5"/>
  <c r="U1342" i="5" s="1"/>
  <c r="T1304" i="5"/>
  <c r="O1304" i="5"/>
  <c r="N1304" i="5"/>
  <c r="M1304" i="5"/>
  <c r="L1304" i="5"/>
  <c r="K1304" i="5"/>
  <c r="J1304" i="5"/>
  <c r="I1304" i="5"/>
  <c r="H1304" i="5"/>
  <c r="G1304" i="5"/>
  <c r="E1304" i="5"/>
  <c r="F1304" i="5" s="1"/>
  <c r="B1304" i="5"/>
  <c r="U1303" i="5"/>
  <c r="U1341" i="5" s="1"/>
  <c r="T1303" i="5"/>
  <c r="O1303" i="5"/>
  <c r="N1303" i="5"/>
  <c r="M1303" i="5"/>
  <c r="L1303" i="5"/>
  <c r="K1303" i="5"/>
  <c r="J1303" i="5"/>
  <c r="I1303" i="5"/>
  <c r="H1303" i="5"/>
  <c r="G1303" i="5"/>
  <c r="E1303" i="5"/>
  <c r="B1303" i="5"/>
  <c r="U1302" i="5"/>
  <c r="U1340" i="5" s="1"/>
  <c r="T1302" i="5"/>
  <c r="O1302" i="5"/>
  <c r="N1302" i="5"/>
  <c r="M1302" i="5"/>
  <c r="L1302" i="5"/>
  <c r="K1302" i="5"/>
  <c r="J1302" i="5"/>
  <c r="I1302" i="5"/>
  <c r="H1302" i="5"/>
  <c r="G1302" i="5"/>
  <c r="E1302" i="5"/>
  <c r="E1340" i="5" s="1"/>
  <c r="F1340" i="5" s="1"/>
  <c r="B1302" i="5"/>
  <c r="U1301" i="5"/>
  <c r="U1339" i="5" s="1"/>
  <c r="T1301" i="5"/>
  <c r="O1301" i="5"/>
  <c r="N1301" i="5"/>
  <c r="M1301" i="5"/>
  <c r="L1301" i="5"/>
  <c r="K1301" i="5"/>
  <c r="J1301" i="5"/>
  <c r="I1301" i="5"/>
  <c r="H1301" i="5"/>
  <c r="G1301" i="5"/>
  <c r="E1301" i="5"/>
  <c r="E1339" i="5" s="1"/>
  <c r="F1339" i="5" s="1"/>
  <c r="B1301" i="5"/>
  <c r="U1300" i="5"/>
  <c r="U1338" i="5" s="1"/>
  <c r="T1300" i="5"/>
  <c r="O1300" i="5"/>
  <c r="N1300" i="5"/>
  <c r="M1300" i="5"/>
  <c r="L1300" i="5"/>
  <c r="K1300" i="5"/>
  <c r="J1300" i="5"/>
  <c r="I1300" i="5"/>
  <c r="H1300" i="5"/>
  <c r="G1300" i="5"/>
  <c r="E1300" i="5"/>
  <c r="F1300" i="5" s="1"/>
  <c r="B1300" i="5"/>
  <c r="W1300" i="5" s="1"/>
  <c r="U1299" i="5"/>
  <c r="T1299" i="5"/>
  <c r="O1299" i="5"/>
  <c r="N1299" i="5"/>
  <c r="M1299" i="5"/>
  <c r="L1299" i="5"/>
  <c r="K1299" i="5"/>
  <c r="J1299" i="5"/>
  <c r="I1299" i="5"/>
  <c r="H1299" i="5"/>
  <c r="G1299" i="5"/>
  <c r="E1299" i="5"/>
  <c r="F1299" i="5" s="1"/>
  <c r="B1299" i="5"/>
  <c r="U1298" i="5"/>
  <c r="T1298" i="5"/>
  <c r="O1298" i="5"/>
  <c r="N1298" i="5"/>
  <c r="M1298" i="5"/>
  <c r="L1298" i="5"/>
  <c r="K1298" i="5"/>
  <c r="J1298" i="5"/>
  <c r="I1298" i="5"/>
  <c r="H1298" i="5"/>
  <c r="G1298" i="5"/>
  <c r="E1298" i="5"/>
  <c r="F1298" i="5" s="1"/>
  <c r="B1298" i="5"/>
  <c r="U1297" i="5"/>
  <c r="T1297" i="5"/>
  <c r="O1297" i="5"/>
  <c r="N1297" i="5"/>
  <c r="M1297" i="5"/>
  <c r="L1297" i="5"/>
  <c r="K1297" i="5"/>
  <c r="J1297" i="5"/>
  <c r="I1297" i="5"/>
  <c r="H1297" i="5"/>
  <c r="G1297" i="5"/>
  <c r="E1297" i="5"/>
  <c r="F1297" i="5" s="1"/>
  <c r="B1297" i="5"/>
  <c r="U1296" i="5"/>
  <c r="T1296" i="5"/>
  <c r="O1296" i="5"/>
  <c r="N1296" i="5"/>
  <c r="M1296" i="5"/>
  <c r="L1296" i="5"/>
  <c r="K1296" i="5"/>
  <c r="J1296" i="5"/>
  <c r="I1296" i="5"/>
  <c r="H1296" i="5"/>
  <c r="G1296" i="5"/>
  <c r="E1296" i="5"/>
  <c r="B1296" i="5"/>
  <c r="U1295" i="5"/>
  <c r="T1295" i="5"/>
  <c r="O1295" i="5"/>
  <c r="N1295" i="5"/>
  <c r="M1295" i="5"/>
  <c r="L1295" i="5"/>
  <c r="K1295" i="5"/>
  <c r="J1295" i="5"/>
  <c r="I1295" i="5"/>
  <c r="H1295" i="5"/>
  <c r="G1295" i="5"/>
  <c r="E1295" i="5"/>
  <c r="F1295" i="5" s="1"/>
  <c r="B1295" i="5"/>
  <c r="U1294" i="5"/>
  <c r="T1294" i="5"/>
  <c r="O1294" i="5"/>
  <c r="N1294" i="5"/>
  <c r="M1294" i="5"/>
  <c r="L1294" i="5"/>
  <c r="K1294" i="5"/>
  <c r="J1294" i="5"/>
  <c r="I1294" i="5"/>
  <c r="H1294" i="5"/>
  <c r="G1294" i="5"/>
  <c r="E1294" i="5"/>
  <c r="F1294" i="5" s="1"/>
  <c r="B1294" i="5"/>
  <c r="U1293" i="5"/>
  <c r="T1293" i="5"/>
  <c r="O1293" i="5"/>
  <c r="N1293" i="5"/>
  <c r="M1293" i="5"/>
  <c r="L1293" i="5"/>
  <c r="K1293" i="5"/>
  <c r="J1293" i="5"/>
  <c r="I1293" i="5"/>
  <c r="H1293" i="5"/>
  <c r="G1293" i="5"/>
  <c r="E1293" i="5"/>
  <c r="F1293" i="5" s="1"/>
  <c r="B1293" i="5"/>
  <c r="U1292" i="5"/>
  <c r="T1292" i="5"/>
  <c r="O1292" i="5"/>
  <c r="N1292" i="5"/>
  <c r="M1292" i="5"/>
  <c r="L1292" i="5"/>
  <c r="K1292" i="5"/>
  <c r="J1292" i="5"/>
  <c r="I1292" i="5"/>
  <c r="H1292" i="5"/>
  <c r="G1292" i="5"/>
  <c r="E1292" i="5"/>
  <c r="F1292" i="5" s="1"/>
  <c r="B1292" i="5"/>
  <c r="U1291" i="5"/>
  <c r="T1291" i="5"/>
  <c r="O1291" i="5"/>
  <c r="N1291" i="5"/>
  <c r="M1291" i="5"/>
  <c r="L1291" i="5"/>
  <c r="K1291" i="5"/>
  <c r="J1291" i="5"/>
  <c r="I1291" i="5"/>
  <c r="H1291" i="5"/>
  <c r="G1291" i="5"/>
  <c r="E1291" i="5"/>
  <c r="F1291" i="5" s="1"/>
  <c r="B1291" i="5"/>
  <c r="U1290" i="5"/>
  <c r="T1290" i="5"/>
  <c r="O1290" i="5"/>
  <c r="N1290" i="5"/>
  <c r="M1290" i="5"/>
  <c r="L1290" i="5"/>
  <c r="K1290" i="5"/>
  <c r="J1290" i="5"/>
  <c r="I1290" i="5"/>
  <c r="H1290" i="5"/>
  <c r="G1290" i="5"/>
  <c r="E1290" i="5"/>
  <c r="F1290" i="5" s="1"/>
  <c r="B1290" i="5"/>
  <c r="U1289" i="5"/>
  <c r="T1289" i="5"/>
  <c r="O1289" i="5"/>
  <c r="N1289" i="5"/>
  <c r="M1289" i="5"/>
  <c r="L1289" i="5"/>
  <c r="K1289" i="5"/>
  <c r="J1289" i="5"/>
  <c r="I1289" i="5"/>
  <c r="H1289" i="5"/>
  <c r="G1289" i="5"/>
  <c r="E1289" i="5"/>
  <c r="F1289" i="5" s="1"/>
  <c r="B1289" i="5"/>
  <c r="U1288" i="5"/>
  <c r="T1288" i="5"/>
  <c r="O1288" i="5"/>
  <c r="N1288" i="5"/>
  <c r="M1288" i="5"/>
  <c r="L1288" i="5"/>
  <c r="K1288" i="5"/>
  <c r="J1288" i="5"/>
  <c r="I1288" i="5"/>
  <c r="H1288" i="5"/>
  <c r="G1288" i="5"/>
  <c r="E1288" i="5"/>
  <c r="F1288" i="5" s="1"/>
  <c r="B1288" i="5"/>
  <c r="U1287" i="5"/>
  <c r="T1287" i="5"/>
  <c r="O1287" i="5"/>
  <c r="N1287" i="5"/>
  <c r="M1287" i="5"/>
  <c r="L1287" i="5"/>
  <c r="K1287" i="5"/>
  <c r="J1287" i="5"/>
  <c r="I1287" i="5"/>
  <c r="H1287" i="5"/>
  <c r="G1287" i="5"/>
  <c r="E1287" i="5"/>
  <c r="F1287" i="5" s="1"/>
  <c r="B1287" i="5"/>
  <c r="U1286" i="5"/>
  <c r="T1286" i="5"/>
  <c r="O1286" i="5"/>
  <c r="N1286" i="5"/>
  <c r="M1286" i="5"/>
  <c r="L1286" i="5"/>
  <c r="K1286" i="5"/>
  <c r="J1286" i="5"/>
  <c r="I1286" i="5"/>
  <c r="H1286" i="5"/>
  <c r="G1286" i="5"/>
  <c r="E1286" i="5"/>
  <c r="F1286" i="5" s="1"/>
  <c r="B1286" i="5"/>
  <c r="U1285" i="5"/>
  <c r="T1285" i="5"/>
  <c r="O1285" i="5"/>
  <c r="N1285" i="5"/>
  <c r="M1285" i="5"/>
  <c r="L1285" i="5"/>
  <c r="K1285" i="5"/>
  <c r="J1285" i="5"/>
  <c r="I1285" i="5"/>
  <c r="H1285" i="5"/>
  <c r="G1285" i="5"/>
  <c r="E1285" i="5"/>
  <c r="F1285" i="5" s="1"/>
  <c r="B1285" i="5"/>
  <c r="U1284" i="5"/>
  <c r="T1284" i="5"/>
  <c r="O1284" i="5"/>
  <c r="N1284" i="5"/>
  <c r="M1284" i="5"/>
  <c r="L1284" i="5"/>
  <c r="K1284" i="5"/>
  <c r="J1284" i="5"/>
  <c r="I1284" i="5"/>
  <c r="H1284" i="5"/>
  <c r="G1284" i="5"/>
  <c r="E1284" i="5"/>
  <c r="B1284" i="5"/>
  <c r="U1283" i="5"/>
  <c r="T1283" i="5"/>
  <c r="O1283" i="5"/>
  <c r="N1283" i="5"/>
  <c r="M1283" i="5"/>
  <c r="L1283" i="5"/>
  <c r="K1283" i="5"/>
  <c r="J1283" i="5"/>
  <c r="I1283" i="5"/>
  <c r="H1283" i="5"/>
  <c r="G1283" i="5"/>
  <c r="E1283" i="5"/>
  <c r="F1283" i="5" s="1"/>
  <c r="B1283" i="5"/>
  <c r="U1282" i="5"/>
  <c r="T1282" i="5"/>
  <c r="O1282" i="5"/>
  <c r="N1282" i="5"/>
  <c r="M1282" i="5"/>
  <c r="L1282" i="5"/>
  <c r="K1282" i="5"/>
  <c r="J1282" i="5"/>
  <c r="I1282" i="5"/>
  <c r="H1282" i="5"/>
  <c r="G1282" i="5"/>
  <c r="E1282" i="5"/>
  <c r="F1282" i="5" s="1"/>
  <c r="B1282" i="5"/>
  <c r="U1281" i="5"/>
  <c r="T1281" i="5"/>
  <c r="O1281" i="5"/>
  <c r="N1281" i="5"/>
  <c r="M1281" i="5"/>
  <c r="L1281" i="5"/>
  <c r="K1281" i="5"/>
  <c r="J1281" i="5"/>
  <c r="I1281" i="5"/>
  <c r="H1281" i="5"/>
  <c r="G1281" i="5"/>
  <c r="E1281" i="5"/>
  <c r="F1281" i="5" s="1"/>
  <c r="B1281" i="5"/>
  <c r="U1280" i="5"/>
  <c r="T1280" i="5"/>
  <c r="O1280" i="5"/>
  <c r="N1280" i="5"/>
  <c r="M1280" i="5"/>
  <c r="L1280" i="5"/>
  <c r="K1280" i="5"/>
  <c r="J1280" i="5"/>
  <c r="I1280" i="5"/>
  <c r="H1280" i="5"/>
  <c r="G1280" i="5"/>
  <c r="E1280" i="5"/>
  <c r="F1280" i="5" s="1"/>
  <c r="B1280" i="5"/>
  <c r="U1279" i="5"/>
  <c r="T1279" i="5"/>
  <c r="O1279" i="5"/>
  <c r="N1279" i="5"/>
  <c r="M1279" i="5"/>
  <c r="L1279" i="5"/>
  <c r="K1279" i="5"/>
  <c r="J1279" i="5"/>
  <c r="I1279" i="5"/>
  <c r="H1279" i="5"/>
  <c r="G1279" i="5"/>
  <c r="E1279" i="5"/>
  <c r="F1279" i="5" s="1"/>
  <c r="B1279" i="5"/>
  <c r="U1278" i="5"/>
  <c r="T1278" i="5"/>
  <c r="O1278" i="5"/>
  <c r="N1278" i="5"/>
  <c r="M1278" i="5"/>
  <c r="L1278" i="5"/>
  <c r="K1278" i="5"/>
  <c r="J1278" i="5"/>
  <c r="I1278" i="5"/>
  <c r="H1278" i="5"/>
  <c r="G1278" i="5"/>
  <c r="E1278" i="5"/>
  <c r="F1278" i="5" s="1"/>
  <c r="B1278" i="5"/>
  <c r="U1277" i="5"/>
  <c r="T1277" i="5"/>
  <c r="O1277" i="5"/>
  <c r="N1277" i="5"/>
  <c r="M1277" i="5"/>
  <c r="L1277" i="5"/>
  <c r="K1277" i="5"/>
  <c r="J1277" i="5"/>
  <c r="I1277" i="5"/>
  <c r="H1277" i="5"/>
  <c r="G1277" i="5"/>
  <c r="E1277" i="5"/>
  <c r="F1277" i="5" s="1"/>
  <c r="B1277" i="5"/>
  <c r="U1276" i="5"/>
  <c r="T1276" i="5"/>
  <c r="O1276" i="5"/>
  <c r="N1276" i="5"/>
  <c r="M1276" i="5"/>
  <c r="L1276" i="5"/>
  <c r="K1276" i="5"/>
  <c r="J1276" i="5"/>
  <c r="I1276" i="5"/>
  <c r="H1276" i="5"/>
  <c r="G1276" i="5"/>
  <c r="E1276" i="5"/>
  <c r="F1276" i="5" s="1"/>
  <c r="B1276" i="5"/>
  <c r="U1275" i="5"/>
  <c r="T1275" i="5"/>
  <c r="O1275" i="5"/>
  <c r="N1275" i="5"/>
  <c r="M1275" i="5"/>
  <c r="L1275" i="5"/>
  <c r="K1275" i="5"/>
  <c r="J1275" i="5"/>
  <c r="I1275" i="5"/>
  <c r="H1275" i="5"/>
  <c r="G1275" i="5"/>
  <c r="E1275" i="5"/>
  <c r="F1275" i="5" s="1"/>
  <c r="B1275" i="5"/>
  <c r="U1274" i="5"/>
  <c r="T1274" i="5"/>
  <c r="O1274" i="5"/>
  <c r="N1274" i="5"/>
  <c r="M1274" i="5"/>
  <c r="L1274" i="5"/>
  <c r="K1274" i="5"/>
  <c r="J1274" i="5"/>
  <c r="I1274" i="5"/>
  <c r="H1274" i="5"/>
  <c r="G1274" i="5"/>
  <c r="E1274" i="5"/>
  <c r="F1274" i="5" s="1"/>
  <c r="B1274" i="5"/>
  <c r="U1273" i="5"/>
  <c r="T1273" i="5"/>
  <c r="O1273" i="5"/>
  <c r="N1273" i="5"/>
  <c r="M1273" i="5"/>
  <c r="L1273" i="5"/>
  <c r="K1273" i="5"/>
  <c r="J1273" i="5"/>
  <c r="I1273" i="5"/>
  <c r="H1273" i="5"/>
  <c r="G1273" i="5"/>
  <c r="E1273" i="5"/>
  <c r="F1273" i="5" s="1"/>
  <c r="B1273" i="5"/>
  <c r="U1272" i="5"/>
  <c r="T1272" i="5"/>
  <c r="O1272" i="5"/>
  <c r="N1272" i="5"/>
  <c r="M1272" i="5"/>
  <c r="L1272" i="5"/>
  <c r="K1272" i="5"/>
  <c r="J1272" i="5"/>
  <c r="I1272" i="5"/>
  <c r="H1272" i="5"/>
  <c r="G1272" i="5"/>
  <c r="E1272" i="5"/>
  <c r="F1272" i="5" s="1"/>
  <c r="B1272" i="5"/>
  <c r="U1271" i="5"/>
  <c r="T1271" i="5"/>
  <c r="O1271" i="5"/>
  <c r="N1271" i="5"/>
  <c r="M1271" i="5"/>
  <c r="L1271" i="5"/>
  <c r="K1271" i="5"/>
  <c r="J1271" i="5"/>
  <c r="I1271" i="5"/>
  <c r="H1271" i="5"/>
  <c r="G1271" i="5"/>
  <c r="E1271" i="5"/>
  <c r="F1271" i="5" s="1"/>
  <c r="B1271" i="5"/>
  <c r="U1270" i="5"/>
  <c r="T1270" i="5"/>
  <c r="O1270" i="5"/>
  <c r="N1270" i="5"/>
  <c r="M1270" i="5"/>
  <c r="L1270" i="5"/>
  <c r="K1270" i="5"/>
  <c r="J1270" i="5"/>
  <c r="I1270" i="5"/>
  <c r="H1270" i="5"/>
  <c r="G1270" i="5"/>
  <c r="E1270" i="5"/>
  <c r="F1270" i="5" s="1"/>
  <c r="B1270" i="5"/>
  <c r="U1269" i="5"/>
  <c r="T1269" i="5"/>
  <c r="O1269" i="5"/>
  <c r="N1269" i="5"/>
  <c r="M1269" i="5"/>
  <c r="L1269" i="5"/>
  <c r="K1269" i="5"/>
  <c r="J1269" i="5"/>
  <c r="I1269" i="5"/>
  <c r="H1269" i="5"/>
  <c r="G1269" i="5"/>
  <c r="E1269" i="5"/>
  <c r="F1269" i="5" s="1"/>
  <c r="B1269" i="5"/>
  <c r="U1268" i="5"/>
  <c r="T1268" i="5"/>
  <c r="O1268" i="5"/>
  <c r="N1268" i="5"/>
  <c r="M1268" i="5"/>
  <c r="L1268" i="5"/>
  <c r="K1268" i="5"/>
  <c r="J1268" i="5"/>
  <c r="I1268" i="5"/>
  <c r="H1268" i="5"/>
  <c r="G1268" i="5"/>
  <c r="E1268" i="5"/>
  <c r="F1268" i="5" s="1"/>
  <c r="B1268" i="5"/>
  <c r="U1267" i="5"/>
  <c r="T1267" i="5"/>
  <c r="O1267" i="5"/>
  <c r="N1267" i="5"/>
  <c r="M1267" i="5"/>
  <c r="L1267" i="5"/>
  <c r="K1267" i="5"/>
  <c r="J1267" i="5"/>
  <c r="I1267" i="5"/>
  <c r="H1267" i="5"/>
  <c r="G1267" i="5"/>
  <c r="E1267" i="5"/>
  <c r="F1267" i="5" s="1"/>
  <c r="B1267" i="5"/>
  <c r="U1266" i="5"/>
  <c r="T1266" i="5"/>
  <c r="O1266" i="5"/>
  <c r="N1266" i="5"/>
  <c r="M1266" i="5"/>
  <c r="L1266" i="5"/>
  <c r="K1266" i="5"/>
  <c r="J1266" i="5"/>
  <c r="I1266" i="5"/>
  <c r="H1266" i="5"/>
  <c r="G1266" i="5"/>
  <c r="E1266" i="5"/>
  <c r="F1266" i="5" s="1"/>
  <c r="B1266" i="5"/>
  <c r="U1265" i="5"/>
  <c r="T1265" i="5"/>
  <c r="O1265" i="5"/>
  <c r="N1265" i="5"/>
  <c r="M1265" i="5"/>
  <c r="L1265" i="5"/>
  <c r="K1265" i="5"/>
  <c r="J1265" i="5"/>
  <c r="I1265" i="5"/>
  <c r="H1265" i="5"/>
  <c r="G1265" i="5"/>
  <c r="E1265" i="5"/>
  <c r="F1265" i="5" s="1"/>
  <c r="B1265" i="5"/>
  <c r="U1264" i="5"/>
  <c r="T1264" i="5"/>
  <c r="O1264" i="5"/>
  <c r="N1264" i="5"/>
  <c r="M1264" i="5"/>
  <c r="L1264" i="5"/>
  <c r="K1264" i="5"/>
  <c r="J1264" i="5"/>
  <c r="I1264" i="5"/>
  <c r="H1264" i="5"/>
  <c r="G1264" i="5"/>
  <c r="E1264" i="5"/>
  <c r="F1264" i="5" s="1"/>
  <c r="B1264" i="5"/>
  <c r="U1263" i="5"/>
  <c r="T1263" i="5"/>
  <c r="O1263" i="5"/>
  <c r="N1263" i="5"/>
  <c r="M1263" i="5"/>
  <c r="L1263" i="5"/>
  <c r="K1263" i="5"/>
  <c r="J1263" i="5"/>
  <c r="I1263" i="5"/>
  <c r="H1263" i="5"/>
  <c r="G1263" i="5"/>
  <c r="E1263" i="5"/>
  <c r="F1263" i="5" s="1"/>
  <c r="B1263" i="5"/>
  <c r="U1262" i="5"/>
  <c r="T1262" i="5"/>
  <c r="O1262" i="5"/>
  <c r="N1262" i="5"/>
  <c r="M1262" i="5"/>
  <c r="L1262" i="5"/>
  <c r="K1262" i="5"/>
  <c r="J1262" i="5"/>
  <c r="I1262" i="5"/>
  <c r="H1262" i="5"/>
  <c r="G1262" i="5"/>
  <c r="E1262" i="5"/>
  <c r="F1262" i="5" s="1"/>
  <c r="B1262" i="5"/>
  <c r="W1262" i="5" s="1"/>
  <c r="U1261" i="5"/>
  <c r="T1261" i="5"/>
  <c r="O1261" i="5"/>
  <c r="N1261" i="5"/>
  <c r="M1261" i="5"/>
  <c r="L1261" i="5"/>
  <c r="K1261" i="5"/>
  <c r="J1261" i="5"/>
  <c r="I1261" i="5"/>
  <c r="H1261" i="5"/>
  <c r="G1261" i="5"/>
  <c r="E1261" i="5"/>
  <c r="F1261" i="5" s="1"/>
  <c r="B1261" i="5"/>
  <c r="U1260" i="5"/>
  <c r="T1260" i="5"/>
  <c r="O1260" i="5"/>
  <c r="N1260" i="5"/>
  <c r="M1260" i="5"/>
  <c r="L1260" i="5"/>
  <c r="K1260" i="5"/>
  <c r="J1260" i="5"/>
  <c r="I1260" i="5"/>
  <c r="H1260" i="5"/>
  <c r="G1260" i="5"/>
  <c r="E1260" i="5"/>
  <c r="F1260" i="5" s="1"/>
  <c r="B1260" i="5"/>
  <c r="U1259" i="5"/>
  <c r="T1259" i="5"/>
  <c r="O1259" i="5"/>
  <c r="N1259" i="5"/>
  <c r="M1259" i="5"/>
  <c r="L1259" i="5"/>
  <c r="K1259" i="5"/>
  <c r="J1259" i="5"/>
  <c r="I1259" i="5"/>
  <c r="H1259" i="5"/>
  <c r="G1259" i="5"/>
  <c r="E1259" i="5"/>
  <c r="F1259" i="5" s="1"/>
  <c r="B1259" i="5"/>
  <c r="U1258" i="5"/>
  <c r="T1258" i="5"/>
  <c r="O1258" i="5"/>
  <c r="N1258" i="5"/>
  <c r="M1258" i="5"/>
  <c r="L1258" i="5"/>
  <c r="K1258" i="5"/>
  <c r="J1258" i="5"/>
  <c r="I1258" i="5"/>
  <c r="H1258" i="5"/>
  <c r="G1258" i="5"/>
  <c r="E1258" i="5"/>
  <c r="F1258" i="5" s="1"/>
  <c r="B1258" i="5"/>
  <c r="U1257" i="5"/>
  <c r="T1257" i="5"/>
  <c r="O1257" i="5"/>
  <c r="N1257" i="5"/>
  <c r="M1257" i="5"/>
  <c r="L1257" i="5"/>
  <c r="K1257" i="5"/>
  <c r="J1257" i="5"/>
  <c r="I1257" i="5"/>
  <c r="H1257" i="5"/>
  <c r="G1257" i="5"/>
  <c r="E1257" i="5"/>
  <c r="B1257" i="5"/>
  <c r="U1256" i="5"/>
  <c r="T1256" i="5"/>
  <c r="O1256" i="5"/>
  <c r="N1256" i="5"/>
  <c r="M1256" i="5"/>
  <c r="L1256" i="5"/>
  <c r="K1256" i="5"/>
  <c r="J1256" i="5"/>
  <c r="I1256" i="5"/>
  <c r="H1256" i="5"/>
  <c r="G1256" i="5"/>
  <c r="E1256" i="5"/>
  <c r="F1256" i="5" s="1"/>
  <c r="B1256" i="5"/>
  <c r="U1255" i="5"/>
  <c r="T1255" i="5"/>
  <c r="O1255" i="5"/>
  <c r="N1255" i="5"/>
  <c r="M1255" i="5"/>
  <c r="L1255" i="5"/>
  <c r="K1255" i="5"/>
  <c r="J1255" i="5"/>
  <c r="I1255" i="5"/>
  <c r="H1255" i="5"/>
  <c r="G1255" i="5"/>
  <c r="E1255" i="5"/>
  <c r="F1255" i="5" s="1"/>
  <c r="B1255" i="5"/>
  <c r="U1254" i="5"/>
  <c r="T1254" i="5"/>
  <c r="O1254" i="5"/>
  <c r="N1254" i="5"/>
  <c r="M1254" i="5"/>
  <c r="L1254" i="5"/>
  <c r="K1254" i="5"/>
  <c r="J1254" i="5"/>
  <c r="I1254" i="5"/>
  <c r="H1254" i="5"/>
  <c r="G1254" i="5"/>
  <c r="E1254" i="5"/>
  <c r="F1254" i="5" s="1"/>
  <c r="B1254" i="5"/>
  <c r="U1253" i="5"/>
  <c r="T1253" i="5"/>
  <c r="O1253" i="5"/>
  <c r="N1253" i="5"/>
  <c r="M1253" i="5"/>
  <c r="L1253" i="5"/>
  <c r="K1253" i="5"/>
  <c r="J1253" i="5"/>
  <c r="I1253" i="5"/>
  <c r="H1253" i="5"/>
  <c r="G1253" i="5"/>
  <c r="E1253" i="5"/>
  <c r="F1253" i="5" s="1"/>
  <c r="B1253" i="5"/>
  <c r="U1252" i="5"/>
  <c r="T1252" i="5"/>
  <c r="O1252" i="5"/>
  <c r="N1252" i="5"/>
  <c r="M1252" i="5"/>
  <c r="L1252" i="5"/>
  <c r="K1252" i="5"/>
  <c r="J1252" i="5"/>
  <c r="I1252" i="5"/>
  <c r="H1252" i="5"/>
  <c r="G1252" i="5"/>
  <c r="E1252" i="5"/>
  <c r="B1252" i="5"/>
  <c r="U1251" i="5"/>
  <c r="T1251" i="5"/>
  <c r="O1251" i="5"/>
  <c r="N1251" i="5"/>
  <c r="M1251" i="5"/>
  <c r="L1251" i="5"/>
  <c r="K1251" i="5"/>
  <c r="J1251" i="5"/>
  <c r="I1251" i="5"/>
  <c r="H1251" i="5"/>
  <c r="G1251" i="5"/>
  <c r="E1251" i="5"/>
  <c r="B1251" i="5"/>
  <c r="U1250" i="5"/>
  <c r="T1250" i="5"/>
  <c r="O1250" i="5"/>
  <c r="N1250" i="5"/>
  <c r="M1250" i="5"/>
  <c r="L1250" i="5"/>
  <c r="K1250" i="5"/>
  <c r="J1250" i="5"/>
  <c r="I1250" i="5"/>
  <c r="H1250" i="5"/>
  <c r="G1250" i="5"/>
  <c r="E1250" i="5"/>
  <c r="F1250" i="5" s="1"/>
  <c r="B1250" i="5"/>
  <c r="U1249" i="5"/>
  <c r="T1249" i="5"/>
  <c r="O1249" i="5"/>
  <c r="N1249" i="5"/>
  <c r="M1249" i="5"/>
  <c r="L1249" i="5"/>
  <c r="K1249" i="5"/>
  <c r="J1249" i="5"/>
  <c r="I1249" i="5"/>
  <c r="H1249" i="5"/>
  <c r="G1249" i="5"/>
  <c r="E1249" i="5"/>
  <c r="F1249" i="5" s="1"/>
  <c r="B1249" i="5"/>
  <c r="U1248" i="5"/>
  <c r="T1248" i="5"/>
  <c r="O1248" i="5"/>
  <c r="N1248" i="5"/>
  <c r="M1248" i="5"/>
  <c r="L1248" i="5"/>
  <c r="K1248" i="5"/>
  <c r="J1248" i="5"/>
  <c r="I1248" i="5"/>
  <c r="H1248" i="5"/>
  <c r="G1248" i="5"/>
  <c r="E1248" i="5"/>
  <c r="F1248" i="5" s="1"/>
  <c r="B1248" i="5"/>
  <c r="U1247" i="5"/>
  <c r="T1247" i="5"/>
  <c r="O1247" i="5"/>
  <c r="N1247" i="5"/>
  <c r="M1247" i="5"/>
  <c r="L1247" i="5"/>
  <c r="K1247" i="5"/>
  <c r="J1247" i="5"/>
  <c r="I1247" i="5"/>
  <c r="H1247" i="5"/>
  <c r="G1247" i="5"/>
  <c r="E1247" i="5"/>
  <c r="F1247" i="5" s="1"/>
  <c r="B1247" i="5"/>
  <c r="U1246" i="5"/>
  <c r="T1246" i="5"/>
  <c r="O1246" i="5"/>
  <c r="N1246" i="5"/>
  <c r="M1246" i="5"/>
  <c r="L1246" i="5"/>
  <c r="K1246" i="5"/>
  <c r="J1246" i="5"/>
  <c r="I1246" i="5"/>
  <c r="H1246" i="5"/>
  <c r="G1246" i="5"/>
  <c r="E1246" i="5"/>
  <c r="F1246" i="5" s="1"/>
  <c r="B1246" i="5"/>
  <c r="U1245" i="5"/>
  <c r="T1245" i="5"/>
  <c r="O1245" i="5"/>
  <c r="N1245" i="5"/>
  <c r="M1245" i="5"/>
  <c r="L1245" i="5"/>
  <c r="K1245" i="5"/>
  <c r="J1245" i="5"/>
  <c r="I1245" i="5"/>
  <c r="H1245" i="5"/>
  <c r="G1245" i="5"/>
  <c r="E1245" i="5"/>
  <c r="F1245" i="5" s="1"/>
  <c r="B1245" i="5"/>
  <c r="U1244" i="5"/>
  <c r="T1244" i="5"/>
  <c r="O1244" i="5"/>
  <c r="N1244" i="5"/>
  <c r="M1244" i="5"/>
  <c r="L1244" i="5"/>
  <c r="K1244" i="5"/>
  <c r="J1244" i="5"/>
  <c r="I1244" i="5"/>
  <c r="H1244" i="5"/>
  <c r="G1244" i="5"/>
  <c r="E1244" i="5"/>
  <c r="F1244" i="5" s="1"/>
  <c r="B1244" i="5"/>
  <c r="U1243" i="5"/>
  <c r="T1243" i="5"/>
  <c r="O1243" i="5"/>
  <c r="N1243" i="5"/>
  <c r="M1243" i="5"/>
  <c r="L1243" i="5"/>
  <c r="K1243" i="5"/>
  <c r="J1243" i="5"/>
  <c r="I1243" i="5"/>
  <c r="H1243" i="5"/>
  <c r="G1243" i="5"/>
  <c r="E1243" i="5"/>
  <c r="F1243" i="5" s="1"/>
  <c r="B1243" i="5"/>
  <c r="U1242" i="5"/>
  <c r="T1242" i="5"/>
  <c r="O1242" i="5"/>
  <c r="N1242" i="5"/>
  <c r="M1242" i="5"/>
  <c r="L1242" i="5"/>
  <c r="K1242" i="5"/>
  <c r="J1242" i="5"/>
  <c r="I1242" i="5"/>
  <c r="H1242" i="5"/>
  <c r="G1242" i="5"/>
  <c r="E1242" i="5"/>
  <c r="F1242" i="5" s="1"/>
  <c r="B1242" i="5"/>
  <c r="U1241" i="5"/>
  <c r="T1241" i="5"/>
  <c r="O1241" i="5"/>
  <c r="N1241" i="5"/>
  <c r="M1241" i="5"/>
  <c r="L1241" i="5"/>
  <c r="K1241" i="5"/>
  <c r="J1241" i="5"/>
  <c r="I1241" i="5"/>
  <c r="H1241" i="5"/>
  <c r="G1241" i="5"/>
  <c r="E1241" i="5"/>
  <c r="F1241" i="5" s="1"/>
  <c r="B1241" i="5"/>
  <c r="U1240" i="5"/>
  <c r="T1240" i="5"/>
  <c r="O1240" i="5"/>
  <c r="N1240" i="5"/>
  <c r="M1240" i="5"/>
  <c r="L1240" i="5"/>
  <c r="K1240" i="5"/>
  <c r="J1240" i="5"/>
  <c r="I1240" i="5"/>
  <c r="H1240" i="5"/>
  <c r="G1240" i="5"/>
  <c r="E1240" i="5"/>
  <c r="F1240" i="5" s="1"/>
  <c r="B1240" i="5"/>
  <c r="U1239" i="5"/>
  <c r="T1239" i="5"/>
  <c r="O1239" i="5"/>
  <c r="N1239" i="5"/>
  <c r="M1239" i="5"/>
  <c r="L1239" i="5"/>
  <c r="K1239" i="5"/>
  <c r="J1239" i="5"/>
  <c r="I1239" i="5"/>
  <c r="H1239" i="5"/>
  <c r="G1239" i="5"/>
  <c r="E1239" i="5"/>
  <c r="F1239" i="5" s="1"/>
  <c r="B1239" i="5"/>
  <c r="U1238" i="5"/>
  <c r="T1238" i="5"/>
  <c r="O1238" i="5"/>
  <c r="N1238" i="5"/>
  <c r="M1238" i="5"/>
  <c r="L1238" i="5"/>
  <c r="K1238" i="5"/>
  <c r="J1238" i="5"/>
  <c r="I1238" i="5"/>
  <c r="H1238" i="5"/>
  <c r="G1238" i="5"/>
  <c r="E1238" i="5"/>
  <c r="F1238" i="5" s="1"/>
  <c r="B1238" i="5"/>
  <c r="U1237" i="5"/>
  <c r="T1237" i="5"/>
  <c r="O1237" i="5"/>
  <c r="N1237" i="5"/>
  <c r="M1237" i="5"/>
  <c r="L1237" i="5"/>
  <c r="K1237" i="5"/>
  <c r="J1237" i="5"/>
  <c r="I1237" i="5"/>
  <c r="H1237" i="5"/>
  <c r="G1237" i="5"/>
  <c r="E1237" i="5"/>
  <c r="F1237" i="5" s="1"/>
  <c r="B1237" i="5"/>
  <c r="U1236" i="5"/>
  <c r="T1236" i="5"/>
  <c r="O1236" i="5"/>
  <c r="N1236" i="5"/>
  <c r="M1236" i="5"/>
  <c r="L1236" i="5"/>
  <c r="K1236" i="5"/>
  <c r="J1236" i="5"/>
  <c r="I1236" i="5"/>
  <c r="H1236" i="5"/>
  <c r="G1236" i="5"/>
  <c r="E1236" i="5"/>
  <c r="F1236" i="5" s="1"/>
  <c r="B1236" i="5"/>
  <c r="U1235" i="5"/>
  <c r="T1235" i="5"/>
  <c r="O1235" i="5"/>
  <c r="N1235" i="5"/>
  <c r="M1235" i="5"/>
  <c r="L1235" i="5"/>
  <c r="K1235" i="5"/>
  <c r="J1235" i="5"/>
  <c r="I1235" i="5"/>
  <c r="H1235" i="5"/>
  <c r="G1235" i="5"/>
  <c r="E1235" i="5"/>
  <c r="F1235" i="5" s="1"/>
  <c r="B1235" i="5"/>
  <c r="U1234" i="5"/>
  <c r="T1234" i="5"/>
  <c r="O1234" i="5"/>
  <c r="N1234" i="5"/>
  <c r="M1234" i="5"/>
  <c r="L1234" i="5"/>
  <c r="K1234" i="5"/>
  <c r="J1234" i="5"/>
  <c r="I1234" i="5"/>
  <c r="H1234" i="5"/>
  <c r="G1234" i="5"/>
  <c r="E1234" i="5"/>
  <c r="B1234" i="5"/>
  <c r="U1233" i="5"/>
  <c r="T1233" i="5"/>
  <c r="O1233" i="5"/>
  <c r="N1233" i="5"/>
  <c r="M1233" i="5"/>
  <c r="L1233" i="5"/>
  <c r="K1233" i="5"/>
  <c r="J1233" i="5"/>
  <c r="I1233" i="5"/>
  <c r="H1233" i="5"/>
  <c r="G1233" i="5"/>
  <c r="E1233" i="5"/>
  <c r="F1233" i="5" s="1"/>
  <c r="B1233" i="5"/>
  <c r="U1232" i="5"/>
  <c r="T1232" i="5"/>
  <c r="O1232" i="5"/>
  <c r="N1232" i="5"/>
  <c r="M1232" i="5"/>
  <c r="L1232" i="5"/>
  <c r="K1232" i="5"/>
  <c r="J1232" i="5"/>
  <c r="I1232" i="5"/>
  <c r="H1232" i="5"/>
  <c r="G1232" i="5"/>
  <c r="E1232" i="5"/>
  <c r="F1232" i="5" s="1"/>
  <c r="B1232" i="5"/>
  <c r="U1231" i="5"/>
  <c r="T1231" i="5"/>
  <c r="O1231" i="5"/>
  <c r="N1231" i="5"/>
  <c r="M1231" i="5"/>
  <c r="L1231" i="5"/>
  <c r="K1231" i="5"/>
  <c r="J1231" i="5"/>
  <c r="I1231" i="5"/>
  <c r="H1231" i="5"/>
  <c r="G1231" i="5"/>
  <c r="E1231" i="5"/>
  <c r="F1231" i="5" s="1"/>
  <c r="B1231" i="5"/>
  <c r="U1230" i="5"/>
  <c r="T1230" i="5"/>
  <c r="O1230" i="5"/>
  <c r="N1230" i="5"/>
  <c r="M1230" i="5"/>
  <c r="L1230" i="5"/>
  <c r="K1230" i="5"/>
  <c r="J1230" i="5"/>
  <c r="I1230" i="5"/>
  <c r="H1230" i="5"/>
  <c r="G1230" i="5"/>
  <c r="E1230" i="5"/>
  <c r="B1230" i="5"/>
  <c r="U1229" i="5"/>
  <c r="T1229" i="5"/>
  <c r="O1229" i="5"/>
  <c r="N1229" i="5"/>
  <c r="M1229" i="5"/>
  <c r="L1229" i="5"/>
  <c r="K1229" i="5"/>
  <c r="J1229" i="5"/>
  <c r="I1229" i="5"/>
  <c r="H1229" i="5"/>
  <c r="G1229" i="5"/>
  <c r="E1229" i="5"/>
  <c r="F1229" i="5" s="1"/>
  <c r="B1229" i="5"/>
  <c r="U1228" i="5"/>
  <c r="T1228" i="5"/>
  <c r="O1228" i="5"/>
  <c r="N1228" i="5"/>
  <c r="M1228" i="5"/>
  <c r="L1228" i="5"/>
  <c r="K1228" i="5"/>
  <c r="J1228" i="5"/>
  <c r="I1228" i="5"/>
  <c r="H1228" i="5"/>
  <c r="G1228" i="5"/>
  <c r="E1228" i="5"/>
  <c r="F1228" i="5" s="1"/>
  <c r="B1228" i="5"/>
  <c r="U1227" i="5"/>
  <c r="T1227" i="5"/>
  <c r="O1227" i="5"/>
  <c r="N1227" i="5"/>
  <c r="M1227" i="5"/>
  <c r="L1227" i="5"/>
  <c r="K1227" i="5"/>
  <c r="J1227" i="5"/>
  <c r="I1227" i="5"/>
  <c r="H1227" i="5"/>
  <c r="G1227" i="5"/>
  <c r="E1227" i="5"/>
  <c r="F1227" i="5" s="1"/>
  <c r="B1227" i="5"/>
  <c r="U1226" i="5"/>
  <c r="T1226" i="5"/>
  <c r="O1226" i="5"/>
  <c r="N1226" i="5"/>
  <c r="M1226" i="5"/>
  <c r="L1226" i="5"/>
  <c r="K1226" i="5"/>
  <c r="J1226" i="5"/>
  <c r="I1226" i="5"/>
  <c r="H1226" i="5"/>
  <c r="G1226" i="5"/>
  <c r="E1226" i="5"/>
  <c r="B1226" i="5"/>
  <c r="U1225" i="5"/>
  <c r="T1225" i="5"/>
  <c r="O1225" i="5"/>
  <c r="N1225" i="5"/>
  <c r="M1225" i="5"/>
  <c r="L1225" i="5"/>
  <c r="K1225" i="5"/>
  <c r="J1225" i="5"/>
  <c r="I1225" i="5"/>
  <c r="H1225" i="5"/>
  <c r="G1225" i="5"/>
  <c r="E1225" i="5"/>
  <c r="F1225" i="5" s="1"/>
  <c r="B1225" i="5"/>
  <c r="U1224" i="5"/>
  <c r="T1224" i="5"/>
  <c r="O1224" i="5"/>
  <c r="N1224" i="5"/>
  <c r="M1224" i="5"/>
  <c r="L1224" i="5"/>
  <c r="K1224" i="5"/>
  <c r="J1224" i="5"/>
  <c r="I1224" i="5"/>
  <c r="H1224" i="5"/>
  <c r="G1224" i="5"/>
  <c r="E1224" i="5"/>
  <c r="F1224" i="5" s="1"/>
  <c r="B1224" i="5"/>
  <c r="W1224" i="5" s="1"/>
  <c r="O1223" i="5"/>
  <c r="N1223" i="5"/>
  <c r="M1223" i="5"/>
  <c r="L1223" i="5"/>
  <c r="K1223" i="5"/>
  <c r="J1223" i="5"/>
  <c r="I1223" i="5"/>
  <c r="G1223" i="5"/>
  <c r="B1223" i="5"/>
  <c r="O1222" i="5"/>
  <c r="N1222" i="5"/>
  <c r="M1222" i="5"/>
  <c r="L1222" i="5"/>
  <c r="K1222" i="5"/>
  <c r="J1222" i="5"/>
  <c r="I1222" i="5"/>
  <c r="G1222" i="5"/>
  <c r="B1222" i="5"/>
  <c r="O1221" i="5"/>
  <c r="N1221" i="5"/>
  <c r="M1221" i="5"/>
  <c r="L1221" i="5"/>
  <c r="K1221" i="5"/>
  <c r="J1221" i="5"/>
  <c r="I1221" i="5"/>
  <c r="G1221" i="5"/>
  <c r="B1221" i="5"/>
  <c r="O1220" i="5"/>
  <c r="N1220" i="5"/>
  <c r="M1220" i="5"/>
  <c r="L1220" i="5"/>
  <c r="K1220" i="5"/>
  <c r="J1220" i="5"/>
  <c r="I1220" i="5"/>
  <c r="G1220" i="5"/>
  <c r="B1220" i="5"/>
  <c r="O1219" i="5"/>
  <c r="N1219" i="5"/>
  <c r="M1219" i="5"/>
  <c r="L1219" i="5"/>
  <c r="K1219" i="5"/>
  <c r="J1219" i="5"/>
  <c r="I1219" i="5"/>
  <c r="G1219" i="5"/>
  <c r="B1219" i="5"/>
  <c r="O1218" i="5"/>
  <c r="N1218" i="5"/>
  <c r="M1218" i="5"/>
  <c r="L1218" i="5"/>
  <c r="K1218" i="5"/>
  <c r="J1218" i="5"/>
  <c r="I1218" i="5"/>
  <c r="G1218" i="5"/>
  <c r="B1218" i="5"/>
  <c r="O1217" i="5"/>
  <c r="N1217" i="5"/>
  <c r="M1217" i="5"/>
  <c r="L1217" i="5"/>
  <c r="K1217" i="5"/>
  <c r="J1217" i="5"/>
  <c r="I1217" i="5"/>
  <c r="G1217" i="5"/>
  <c r="B1217" i="5"/>
  <c r="O1216" i="5"/>
  <c r="N1216" i="5"/>
  <c r="M1216" i="5"/>
  <c r="L1216" i="5"/>
  <c r="K1216" i="5"/>
  <c r="J1216" i="5"/>
  <c r="I1216" i="5"/>
  <c r="G1216" i="5"/>
  <c r="B1216" i="5"/>
  <c r="O1215" i="5"/>
  <c r="N1215" i="5"/>
  <c r="M1215" i="5"/>
  <c r="L1215" i="5"/>
  <c r="K1215" i="5"/>
  <c r="J1215" i="5"/>
  <c r="I1215" i="5"/>
  <c r="G1215" i="5"/>
  <c r="B1215" i="5"/>
  <c r="O1214" i="5"/>
  <c r="N1214" i="5"/>
  <c r="M1214" i="5"/>
  <c r="L1214" i="5"/>
  <c r="K1214" i="5"/>
  <c r="J1214" i="5"/>
  <c r="I1214" i="5"/>
  <c r="G1214" i="5"/>
  <c r="B1214" i="5"/>
  <c r="O1213" i="5"/>
  <c r="N1213" i="5"/>
  <c r="M1213" i="5"/>
  <c r="L1213" i="5"/>
  <c r="K1213" i="5"/>
  <c r="J1213" i="5"/>
  <c r="I1213" i="5"/>
  <c r="G1213" i="5"/>
  <c r="B1213" i="5"/>
  <c r="O1212" i="5"/>
  <c r="N1212" i="5"/>
  <c r="M1212" i="5"/>
  <c r="L1212" i="5"/>
  <c r="K1212" i="5"/>
  <c r="J1212" i="5"/>
  <c r="I1212" i="5"/>
  <c r="G1212" i="5"/>
  <c r="B1212" i="5"/>
  <c r="O1211" i="5"/>
  <c r="N1211" i="5"/>
  <c r="M1211" i="5"/>
  <c r="L1211" i="5"/>
  <c r="K1211" i="5"/>
  <c r="J1211" i="5"/>
  <c r="I1211" i="5"/>
  <c r="G1211" i="5"/>
  <c r="B1211" i="5"/>
  <c r="O1210" i="5"/>
  <c r="N1210" i="5"/>
  <c r="M1210" i="5"/>
  <c r="L1210" i="5"/>
  <c r="K1210" i="5"/>
  <c r="J1210" i="5"/>
  <c r="I1210" i="5"/>
  <c r="G1210" i="5"/>
  <c r="B1210" i="5"/>
  <c r="O1209" i="5"/>
  <c r="N1209" i="5"/>
  <c r="M1209" i="5"/>
  <c r="L1209" i="5"/>
  <c r="K1209" i="5"/>
  <c r="J1209" i="5"/>
  <c r="I1209" i="5"/>
  <c r="G1209" i="5"/>
  <c r="B1209" i="5"/>
  <c r="O1208" i="5"/>
  <c r="N1208" i="5"/>
  <c r="M1208" i="5"/>
  <c r="L1208" i="5"/>
  <c r="K1208" i="5"/>
  <c r="J1208" i="5"/>
  <c r="I1208" i="5"/>
  <c r="G1208" i="5"/>
  <c r="B1208" i="5"/>
  <c r="O1207" i="5"/>
  <c r="N1207" i="5"/>
  <c r="M1207" i="5"/>
  <c r="L1207" i="5"/>
  <c r="K1207" i="5"/>
  <c r="J1207" i="5"/>
  <c r="I1207" i="5"/>
  <c r="G1207" i="5"/>
  <c r="B1207" i="5"/>
  <c r="O1206" i="5"/>
  <c r="N1206" i="5"/>
  <c r="M1206" i="5"/>
  <c r="L1206" i="5"/>
  <c r="K1206" i="5"/>
  <c r="J1206" i="5"/>
  <c r="I1206" i="5"/>
  <c r="G1206" i="5"/>
  <c r="B1206" i="5"/>
  <c r="O1205" i="5"/>
  <c r="N1205" i="5"/>
  <c r="M1205" i="5"/>
  <c r="L1205" i="5"/>
  <c r="K1205" i="5"/>
  <c r="J1205" i="5"/>
  <c r="I1205" i="5"/>
  <c r="G1205" i="5"/>
  <c r="B1205" i="5"/>
  <c r="O1204" i="5"/>
  <c r="N1204" i="5"/>
  <c r="M1204" i="5"/>
  <c r="L1204" i="5"/>
  <c r="K1204" i="5"/>
  <c r="J1204" i="5"/>
  <c r="I1204" i="5"/>
  <c r="G1204" i="5"/>
  <c r="B1204" i="5"/>
  <c r="O1203" i="5"/>
  <c r="N1203" i="5"/>
  <c r="M1203" i="5"/>
  <c r="L1203" i="5"/>
  <c r="K1203" i="5"/>
  <c r="J1203" i="5"/>
  <c r="I1203" i="5"/>
  <c r="G1203" i="5"/>
  <c r="B1203" i="5"/>
  <c r="O1202" i="5"/>
  <c r="N1202" i="5"/>
  <c r="M1202" i="5"/>
  <c r="L1202" i="5"/>
  <c r="K1202" i="5"/>
  <c r="J1202" i="5"/>
  <c r="I1202" i="5"/>
  <c r="G1202" i="5"/>
  <c r="B1202" i="5"/>
  <c r="O1201" i="5"/>
  <c r="N1201" i="5"/>
  <c r="M1201" i="5"/>
  <c r="L1201" i="5"/>
  <c r="K1201" i="5"/>
  <c r="J1201" i="5"/>
  <c r="I1201" i="5"/>
  <c r="G1201" i="5"/>
  <c r="B1201" i="5"/>
  <c r="O1200" i="5"/>
  <c r="N1200" i="5"/>
  <c r="M1200" i="5"/>
  <c r="L1200" i="5"/>
  <c r="K1200" i="5"/>
  <c r="J1200" i="5"/>
  <c r="I1200" i="5"/>
  <c r="G1200" i="5"/>
  <c r="B1200" i="5"/>
  <c r="O1199" i="5"/>
  <c r="N1199" i="5"/>
  <c r="M1199" i="5"/>
  <c r="L1199" i="5"/>
  <c r="K1199" i="5"/>
  <c r="J1199" i="5"/>
  <c r="I1199" i="5"/>
  <c r="G1199" i="5"/>
  <c r="B1199" i="5"/>
  <c r="O1198" i="5"/>
  <c r="N1198" i="5"/>
  <c r="M1198" i="5"/>
  <c r="L1198" i="5"/>
  <c r="K1198" i="5"/>
  <c r="J1198" i="5"/>
  <c r="I1198" i="5"/>
  <c r="G1198" i="5"/>
  <c r="B1198" i="5"/>
  <c r="O1197" i="5"/>
  <c r="N1197" i="5"/>
  <c r="M1197" i="5"/>
  <c r="L1197" i="5"/>
  <c r="K1197" i="5"/>
  <c r="J1197" i="5"/>
  <c r="I1197" i="5"/>
  <c r="G1197" i="5"/>
  <c r="B1197" i="5"/>
  <c r="O1196" i="5"/>
  <c r="N1196" i="5"/>
  <c r="M1196" i="5"/>
  <c r="L1196" i="5"/>
  <c r="K1196" i="5"/>
  <c r="J1196" i="5"/>
  <c r="I1196" i="5"/>
  <c r="G1196" i="5"/>
  <c r="B1196" i="5"/>
  <c r="O1195" i="5"/>
  <c r="N1195" i="5"/>
  <c r="M1195" i="5"/>
  <c r="L1195" i="5"/>
  <c r="K1195" i="5"/>
  <c r="J1195" i="5"/>
  <c r="I1195" i="5"/>
  <c r="G1195" i="5"/>
  <c r="B1195" i="5"/>
  <c r="O1194" i="5"/>
  <c r="N1194" i="5"/>
  <c r="M1194" i="5"/>
  <c r="L1194" i="5"/>
  <c r="K1194" i="5"/>
  <c r="J1194" i="5"/>
  <c r="I1194" i="5"/>
  <c r="G1194" i="5"/>
  <c r="B1194" i="5"/>
  <c r="O1193" i="5"/>
  <c r="N1193" i="5"/>
  <c r="M1193" i="5"/>
  <c r="L1193" i="5"/>
  <c r="K1193" i="5"/>
  <c r="J1193" i="5"/>
  <c r="I1193" i="5"/>
  <c r="G1193" i="5"/>
  <c r="B1193" i="5"/>
  <c r="O1192" i="5"/>
  <c r="N1192" i="5"/>
  <c r="M1192" i="5"/>
  <c r="L1192" i="5"/>
  <c r="K1192" i="5"/>
  <c r="J1192" i="5"/>
  <c r="I1192" i="5"/>
  <c r="G1192" i="5"/>
  <c r="B1192" i="5"/>
  <c r="O1191" i="5"/>
  <c r="N1191" i="5"/>
  <c r="M1191" i="5"/>
  <c r="L1191" i="5"/>
  <c r="K1191" i="5"/>
  <c r="J1191" i="5"/>
  <c r="I1191" i="5"/>
  <c r="G1191" i="5"/>
  <c r="B1191" i="5"/>
  <c r="O1190" i="5"/>
  <c r="N1190" i="5"/>
  <c r="M1190" i="5"/>
  <c r="L1190" i="5"/>
  <c r="K1190" i="5"/>
  <c r="J1190" i="5"/>
  <c r="I1190" i="5"/>
  <c r="G1190" i="5"/>
  <c r="B1190" i="5"/>
  <c r="O1189" i="5"/>
  <c r="N1189" i="5"/>
  <c r="M1189" i="5"/>
  <c r="L1189" i="5"/>
  <c r="K1189" i="5"/>
  <c r="J1189" i="5"/>
  <c r="I1189" i="5"/>
  <c r="G1189" i="5"/>
  <c r="B1189" i="5"/>
  <c r="O1188" i="5"/>
  <c r="N1188" i="5"/>
  <c r="M1188" i="5"/>
  <c r="L1188" i="5"/>
  <c r="K1188" i="5"/>
  <c r="J1188" i="5"/>
  <c r="I1188" i="5"/>
  <c r="G1188" i="5"/>
  <c r="B1188" i="5"/>
  <c r="O1187" i="5"/>
  <c r="N1187" i="5"/>
  <c r="M1187" i="5"/>
  <c r="L1187" i="5"/>
  <c r="K1187" i="5"/>
  <c r="J1187" i="5"/>
  <c r="I1187" i="5"/>
  <c r="G1187" i="5"/>
  <c r="B1187" i="5"/>
  <c r="O1186" i="5"/>
  <c r="N1186" i="5"/>
  <c r="M1186" i="5"/>
  <c r="L1186" i="5"/>
  <c r="K1186" i="5"/>
  <c r="J1186" i="5"/>
  <c r="I1186" i="5"/>
  <c r="G1186" i="5"/>
  <c r="F1186" i="5"/>
  <c r="B1186" i="5"/>
  <c r="W1186" i="5" s="1"/>
  <c r="U1185" i="5"/>
  <c r="U1223" i="5" s="1"/>
  <c r="T1185" i="5"/>
  <c r="O1185" i="5"/>
  <c r="N1185" i="5"/>
  <c r="M1185" i="5"/>
  <c r="L1185" i="5"/>
  <c r="K1185" i="5"/>
  <c r="J1185" i="5"/>
  <c r="I1185" i="5"/>
  <c r="H1185" i="5"/>
  <c r="G1185" i="5"/>
  <c r="E1185" i="5"/>
  <c r="F1185" i="5" s="1"/>
  <c r="B1185" i="5"/>
  <c r="U1184" i="5"/>
  <c r="U1222" i="5" s="1"/>
  <c r="T1184" i="5"/>
  <c r="O1184" i="5"/>
  <c r="N1184" i="5"/>
  <c r="M1184" i="5"/>
  <c r="L1184" i="5"/>
  <c r="K1184" i="5"/>
  <c r="J1184" i="5"/>
  <c r="I1184" i="5"/>
  <c r="H1184" i="5"/>
  <c r="G1184" i="5"/>
  <c r="E1184" i="5"/>
  <c r="F1184" i="5" s="1"/>
  <c r="B1184" i="5"/>
  <c r="U1183" i="5"/>
  <c r="U1221" i="5" s="1"/>
  <c r="T1183" i="5"/>
  <c r="O1183" i="5"/>
  <c r="N1183" i="5"/>
  <c r="M1183" i="5"/>
  <c r="L1183" i="5"/>
  <c r="K1183" i="5"/>
  <c r="J1183" i="5"/>
  <c r="I1183" i="5"/>
  <c r="H1183" i="5"/>
  <c r="G1183" i="5"/>
  <c r="E1183" i="5"/>
  <c r="B1183" i="5"/>
  <c r="U1182" i="5"/>
  <c r="U1220" i="5" s="1"/>
  <c r="T1182" i="5"/>
  <c r="O1182" i="5"/>
  <c r="N1182" i="5"/>
  <c r="M1182" i="5"/>
  <c r="L1182" i="5"/>
  <c r="K1182" i="5"/>
  <c r="J1182" i="5"/>
  <c r="I1182" i="5"/>
  <c r="H1182" i="5"/>
  <c r="G1182" i="5"/>
  <c r="E1182" i="5"/>
  <c r="B1182" i="5"/>
  <c r="U1181" i="5"/>
  <c r="U1219" i="5" s="1"/>
  <c r="T1181" i="5"/>
  <c r="O1181" i="5"/>
  <c r="N1181" i="5"/>
  <c r="M1181" i="5"/>
  <c r="L1181" i="5"/>
  <c r="K1181" i="5"/>
  <c r="J1181" i="5"/>
  <c r="I1181" i="5"/>
  <c r="H1181" i="5"/>
  <c r="G1181" i="5"/>
  <c r="E1181" i="5"/>
  <c r="E1219" i="5" s="1"/>
  <c r="B1181" i="5"/>
  <c r="U1180" i="5"/>
  <c r="U1218" i="5" s="1"/>
  <c r="T1180" i="5"/>
  <c r="O1180" i="5"/>
  <c r="N1180" i="5"/>
  <c r="M1180" i="5"/>
  <c r="L1180" i="5"/>
  <c r="K1180" i="5"/>
  <c r="J1180" i="5"/>
  <c r="I1180" i="5"/>
  <c r="H1180" i="5"/>
  <c r="G1180" i="5"/>
  <c r="E1180" i="5"/>
  <c r="B1180" i="5"/>
  <c r="U1179" i="5"/>
  <c r="U1217" i="5" s="1"/>
  <c r="T1179" i="5"/>
  <c r="O1179" i="5"/>
  <c r="N1179" i="5"/>
  <c r="M1179" i="5"/>
  <c r="L1179" i="5"/>
  <c r="K1179" i="5"/>
  <c r="J1179" i="5"/>
  <c r="I1179" i="5"/>
  <c r="H1179" i="5"/>
  <c r="G1179" i="5"/>
  <c r="E1179" i="5"/>
  <c r="B1179" i="5"/>
  <c r="U1178" i="5"/>
  <c r="U1216" i="5" s="1"/>
  <c r="T1178" i="5"/>
  <c r="O1178" i="5"/>
  <c r="N1178" i="5"/>
  <c r="M1178" i="5"/>
  <c r="L1178" i="5"/>
  <c r="K1178" i="5"/>
  <c r="J1178" i="5"/>
  <c r="I1178" i="5"/>
  <c r="H1178" i="5"/>
  <c r="G1178" i="5"/>
  <c r="E1178" i="5"/>
  <c r="F1178" i="5" s="1"/>
  <c r="B1178" i="5"/>
  <c r="U1177" i="5"/>
  <c r="U1215" i="5" s="1"/>
  <c r="T1177" i="5"/>
  <c r="O1177" i="5"/>
  <c r="N1177" i="5"/>
  <c r="M1177" i="5"/>
  <c r="L1177" i="5"/>
  <c r="K1177" i="5"/>
  <c r="J1177" i="5"/>
  <c r="I1177" i="5"/>
  <c r="H1177" i="5"/>
  <c r="G1177" i="5"/>
  <c r="E1177" i="5"/>
  <c r="E1215" i="5" s="1"/>
  <c r="F1215" i="5" s="1"/>
  <c r="B1177" i="5"/>
  <c r="U1176" i="5"/>
  <c r="U1214" i="5" s="1"/>
  <c r="T1176" i="5"/>
  <c r="O1176" i="5"/>
  <c r="N1176" i="5"/>
  <c r="M1176" i="5"/>
  <c r="L1176" i="5"/>
  <c r="K1176" i="5"/>
  <c r="J1176" i="5"/>
  <c r="I1176" i="5"/>
  <c r="H1176" i="5"/>
  <c r="G1176" i="5"/>
  <c r="E1176" i="5"/>
  <c r="E1214" i="5" s="1"/>
  <c r="F1214" i="5" s="1"/>
  <c r="B1176" i="5"/>
  <c r="U1175" i="5"/>
  <c r="U1213" i="5" s="1"/>
  <c r="T1175" i="5"/>
  <c r="O1175" i="5"/>
  <c r="N1175" i="5"/>
  <c r="M1175" i="5"/>
  <c r="L1175" i="5"/>
  <c r="K1175" i="5"/>
  <c r="J1175" i="5"/>
  <c r="I1175" i="5"/>
  <c r="H1175" i="5"/>
  <c r="G1175" i="5"/>
  <c r="E1175" i="5"/>
  <c r="E1213" i="5" s="1"/>
  <c r="B1175" i="5"/>
  <c r="U1174" i="5"/>
  <c r="U1212" i="5" s="1"/>
  <c r="T1174" i="5"/>
  <c r="O1174" i="5"/>
  <c r="N1174" i="5"/>
  <c r="M1174" i="5"/>
  <c r="L1174" i="5"/>
  <c r="K1174" i="5"/>
  <c r="J1174" i="5"/>
  <c r="I1174" i="5"/>
  <c r="H1174" i="5"/>
  <c r="G1174" i="5"/>
  <c r="E1174" i="5"/>
  <c r="F1174" i="5" s="1"/>
  <c r="B1174" i="5"/>
  <c r="U1173" i="5"/>
  <c r="U1211" i="5" s="1"/>
  <c r="T1173" i="5"/>
  <c r="O1173" i="5"/>
  <c r="N1173" i="5"/>
  <c r="M1173" i="5"/>
  <c r="L1173" i="5"/>
  <c r="K1173" i="5"/>
  <c r="J1173" i="5"/>
  <c r="I1173" i="5"/>
  <c r="H1173" i="5"/>
  <c r="G1173" i="5"/>
  <c r="E1173" i="5"/>
  <c r="B1173" i="5"/>
  <c r="U1172" i="5"/>
  <c r="U1210" i="5" s="1"/>
  <c r="T1172" i="5"/>
  <c r="O1172" i="5"/>
  <c r="N1172" i="5"/>
  <c r="M1172" i="5"/>
  <c r="L1172" i="5"/>
  <c r="K1172" i="5"/>
  <c r="J1172" i="5"/>
  <c r="I1172" i="5"/>
  <c r="H1172" i="5"/>
  <c r="G1172" i="5"/>
  <c r="E1172" i="5"/>
  <c r="B1172" i="5"/>
  <c r="U1171" i="5"/>
  <c r="U1209" i="5" s="1"/>
  <c r="T1171" i="5"/>
  <c r="O1171" i="5"/>
  <c r="N1171" i="5"/>
  <c r="M1171" i="5"/>
  <c r="L1171" i="5"/>
  <c r="K1171" i="5"/>
  <c r="J1171" i="5"/>
  <c r="I1171" i="5"/>
  <c r="H1171" i="5"/>
  <c r="G1171" i="5"/>
  <c r="E1171" i="5"/>
  <c r="E1209" i="5" s="1"/>
  <c r="F1209" i="5" s="1"/>
  <c r="B1171" i="5"/>
  <c r="U1170" i="5"/>
  <c r="U1208" i="5" s="1"/>
  <c r="T1170" i="5"/>
  <c r="O1170" i="5"/>
  <c r="N1170" i="5"/>
  <c r="M1170" i="5"/>
  <c r="L1170" i="5"/>
  <c r="K1170" i="5"/>
  <c r="J1170" i="5"/>
  <c r="I1170" i="5"/>
  <c r="H1170" i="5"/>
  <c r="G1170" i="5"/>
  <c r="E1170" i="5"/>
  <c r="F1170" i="5" s="1"/>
  <c r="B1170" i="5"/>
  <c r="U1169" i="5"/>
  <c r="U1207" i="5" s="1"/>
  <c r="T1169" i="5"/>
  <c r="O1169" i="5"/>
  <c r="N1169" i="5"/>
  <c r="M1169" i="5"/>
  <c r="L1169" i="5"/>
  <c r="K1169" i="5"/>
  <c r="J1169" i="5"/>
  <c r="I1169" i="5"/>
  <c r="H1169" i="5"/>
  <c r="G1169" i="5"/>
  <c r="E1169" i="5"/>
  <c r="B1169" i="5"/>
  <c r="U1168" i="5"/>
  <c r="U1206" i="5" s="1"/>
  <c r="T1168" i="5"/>
  <c r="O1168" i="5"/>
  <c r="N1168" i="5"/>
  <c r="M1168" i="5"/>
  <c r="L1168" i="5"/>
  <c r="K1168" i="5"/>
  <c r="J1168" i="5"/>
  <c r="I1168" i="5"/>
  <c r="H1168" i="5"/>
  <c r="G1168" i="5"/>
  <c r="E1168" i="5"/>
  <c r="E1206" i="5" s="1"/>
  <c r="F1206" i="5" s="1"/>
  <c r="B1168" i="5"/>
  <c r="U1167" i="5"/>
  <c r="U1205" i="5" s="1"/>
  <c r="T1167" i="5"/>
  <c r="O1167" i="5"/>
  <c r="N1167" i="5"/>
  <c r="M1167" i="5"/>
  <c r="L1167" i="5"/>
  <c r="K1167" i="5"/>
  <c r="J1167" i="5"/>
  <c r="I1167" i="5"/>
  <c r="H1167" i="5"/>
  <c r="G1167" i="5"/>
  <c r="E1167" i="5"/>
  <c r="B1167" i="5"/>
  <c r="U1166" i="5"/>
  <c r="U1204" i="5" s="1"/>
  <c r="T1166" i="5"/>
  <c r="O1166" i="5"/>
  <c r="N1166" i="5"/>
  <c r="M1166" i="5"/>
  <c r="L1166" i="5"/>
  <c r="K1166" i="5"/>
  <c r="J1166" i="5"/>
  <c r="I1166" i="5"/>
  <c r="H1166" i="5"/>
  <c r="G1166" i="5"/>
  <c r="E1166" i="5"/>
  <c r="F1166" i="5" s="1"/>
  <c r="B1166" i="5"/>
  <c r="U1165" i="5"/>
  <c r="U1203" i="5" s="1"/>
  <c r="T1165" i="5"/>
  <c r="O1165" i="5"/>
  <c r="N1165" i="5"/>
  <c r="M1165" i="5"/>
  <c r="L1165" i="5"/>
  <c r="K1165" i="5"/>
  <c r="J1165" i="5"/>
  <c r="I1165" i="5"/>
  <c r="H1165" i="5"/>
  <c r="G1165" i="5"/>
  <c r="E1165" i="5"/>
  <c r="E1203" i="5" s="1"/>
  <c r="F1203" i="5" s="1"/>
  <c r="B1165" i="5"/>
  <c r="U1164" i="5"/>
  <c r="U1202" i="5" s="1"/>
  <c r="T1164" i="5"/>
  <c r="O1164" i="5"/>
  <c r="N1164" i="5"/>
  <c r="M1164" i="5"/>
  <c r="L1164" i="5"/>
  <c r="K1164" i="5"/>
  <c r="J1164" i="5"/>
  <c r="I1164" i="5"/>
  <c r="H1164" i="5"/>
  <c r="G1164" i="5"/>
  <c r="E1164" i="5"/>
  <c r="E1202" i="5" s="1"/>
  <c r="F1202" i="5" s="1"/>
  <c r="B1164" i="5"/>
  <c r="U1163" i="5"/>
  <c r="U1201" i="5" s="1"/>
  <c r="T1163" i="5"/>
  <c r="O1163" i="5"/>
  <c r="N1163" i="5"/>
  <c r="M1163" i="5"/>
  <c r="L1163" i="5"/>
  <c r="K1163" i="5"/>
  <c r="J1163" i="5"/>
  <c r="I1163" i="5"/>
  <c r="H1163" i="5"/>
  <c r="G1163" i="5"/>
  <c r="E1163" i="5"/>
  <c r="B1163" i="5"/>
  <c r="U1162" i="5"/>
  <c r="U1200" i="5" s="1"/>
  <c r="T1162" i="5"/>
  <c r="O1162" i="5"/>
  <c r="N1162" i="5"/>
  <c r="M1162" i="5"/>
  <c r="L1162" i="5"/>
  <c r="K1162" i="5"/>
  <c r="J1162" i="5"/>
  <c r="I1162" i="5"/>
  <c r="H1162" i="5"/>
  <c r="G1162" i="5"/>
  <c r="E1162" i="5"/>
  <c r="B1162" i="5"/>
  <c r="U1161" i="5"/>
  <c r="U1199" i="5" s="1"/>
  <c r="T1161" i="5"/>
  <c r="O1161" i="5"/>
  <c r="N1161" i="5"/>
  <c r="M1161" i="5"/>
  <c r="L1161" i="5"/>
  <c r="K1161" i="5"/>
  <c r="J1161" i="5"/>
  <c r="I1161" i="5"/>
  <c r="H1161" i="5"/>
  <c r="G1161" i="5"/>
  <c r="E1161" i="5"/>
  <c r="F1161" i="5" s="1"/>
  <c r="B1161" i="5"/>
  <c r="U1160" i="5"/>
  <c r="U1198" i="5" s="1"/>
  <c r="T1160" i="5"/>
  <c r="O1160" i="5"/>
  <c r="N1160" i="5"/>
  <c r="M1160" i="5"/>
  <c r="L1160" i="5"/>
  <c r="K1160" i="5"/>
  <c r="J1160" i="5"/>
  <c r="I1160" i="5"/>
  <c r="H1160" i="5"/>
  <c r="G1160" i="5"/>
  <c r="E1160" i="5"/>
  <c r="B1160" i="5"/>
  <c r="U1159" i="5"/>
  <c r="U1197" i="5" s="1"/>
  <c r="T1159" i="5"/>
  <c r="O1159" i="5"/>
  <c r="N1159" i="5"/>
  <c r="M1159" i="5"/>
  <c r="L1159" i="5"/>
  <c r="K1159" i="5"/>
  <c r="J1159" i="5"/>
  <c r="I1159" i="5"/>
  <c r="H1159" i="5"/>
  <c r="G1159" i="5"/>
  <c r="E1159" i="5"/>
  <c r="F1159" i="5" s="1"/>
  <c r="B1159" i="5"/>
  <c r="U1158" i="5"/>
  <c r="U1196" i="5" s="1"/>
  <c r="T1158" i="5"/>
  <c r="O1158" i="5"/>
  <c r="N1158" i="5"/>
  <c r="M1158" i="5"/>
  <c r="L1158" i="5"/>
  <c r="K1158" i="5"/>
  <c r="J1158" i="5"/>
  <c r="I1158" i="5"/>
  <c r="H1158" i="5"/>
  <c r="G1158" i="5"/>
  <c r="E1158" i="5"/>
  <c r="F1158" i="5" s="1"/>
  <c r="B1158" i="5"/>
  <c r="U1157" i="5"/>
  <c r="U1195" i="5" s="1"/>
  <c r="T1157" i="5"/>
  <c r="O1157" i="5"/>
  <c r="N1157" i="5"/>
  <c r="M1157" i="5"/>
  <c r="L1157" i="5"/>
  <c r="K1157" i="5"/>
  <c r="J1157" i="5"/>
  <c r="I1157" i="5"/>
  <c r="H1157" i="5"/>
  <c r="G1157" i="5"/>
  <c r="E1157" i="5"/>
  <c r="B1157" i="5"/>
  <c r="U1156" i="5"/>
  <c r="U1194" i="5" s="1"/>
  <c r="T1156" i="5"/>
  <c r="O1156" i="5"/>
  <c r="N1156" i="5"/>
  <c r="M1156" i="5"/>
  <c r="L1156" i="5"/>
  <c r="K1156" i="5"/>
  <c r="J1156" i="5"/>
  <c r="I1156" i="5"/>
  <c r="H1156" i="5"/>
  <c r="G1156" i="5"/>
  <c r="E1156" i="5"/>
  <c r="E1194" i="5" s="1"/>
  <c r="F1194" i="5" s="1"/>
  <c r="B1156" i="5"/>
  <c r="U1155" i="5"/>
  <c r="U1193" i="5" s="1"/>
  <c r="T1155" i="5"/>
  <c r="O1155" i="5"/>
  <c r="N1155" i="5"/>
  <c r="M1155" i="5"/>
  <c r="L1155" i="5"/>
  <c r="K1155" i="5"/>
  <c r="J1155" i="5"/>
  <c r="I1155" i="5"/>
  <c r="H1155" i="5"/>
  <c r="G1155" i="5"/>
  <c r="E1155" i="5"/>
  <c r="B1155" i="5"/>
  <c r="U1154" i="5"/>
  <c r="U1192" i="5" s="1"/>
  <c r="T1154" i="5"/>
  <c r="O1154" i="5"/>
  <c r="N1154" i="5"/>
  <c r="M1154" i="5"/>
  <c r="L1154" i="5"/>
  <c r="K1154" i="5"/>
  <c r="J1154" i="5"/>
  <c r="I1154" i="5"/>
  <c r="H1154" i="5"/>
  <c r="G1154" i="5"/>
  <c r="E1154" i="5"/>
  <c r="F1154" i="5" s="1"/>
  <c r="B1154" i="5"/>
  <c r="U1153" i="5"/>
  <c r="U1191" i="5" s="1"/>
  <c r="T1153" i="5"/>
  <c r="O1153" i="5"/>
  <c r="N1153" i="5"/>
  <c r="M1153" i="5"/>
  <c r="L1153" i="5"/>
  <c r="K1153" i="5"/>
  <c r="J1153" i="5"/>
  <c r="I1153" i="5"/>
  <c r="H1153" i="5"/>
  <c r="G1153" i="5"/>
  <c r="E1153" i="5"/>
  <c r="E1191" i="5" s="1"/>
  <c r="F1191" i="5" s="1"/>
  <c r="B1153" i="5"/>
  <c r="U1152" i="5"/>
  <c r="U1190" i="5" s="1"/>
  <c r="T1152" i="5"/>
  <c r="O1152" i="5"/>
  <c r="N1152" i="5"/>
  <c r="M1152" i="5"/>
  <c r="L1152" i="5"/>
  <c r="K1152" i="5"/>
  <c r="J1152" i="5"/>
  <c r="I1152" i="5"/>
  <c r="H1152" i="5"/>
  <c r="G1152" i="5"/>
  <c r="E1152" i="5"/>
  <c r="E1190" i="5" s="1"/>
  <c r="F1190" i="5" s="1"/>
  <c r="B1152" i="5"/>
  <c r="U1151" i="5"/>
  <c r="U1189" i="5" s="1"/>
  <c r="T1151" i="5"/>
  <c r="O1151" i="5"/>
  <c r="N1151" i="5"/>
  <c r="M1151" i="5"/>
  <c r="L1151" i="5"/>
  <c r="K1151" i="5"/>
  <c r="J1151" i="5"/>
  <c r="I1151" i="5"/>
  <c r="H1151" i="5"/>
  <c r="G1151" i="5"/>
  <c r="E1151" i="5"/>
  <c r="E1189" i="5" s="1"/>
  <c r="B1151" i="5"/>
  <c r="U1150" i="5"/>
  <c r="U1188" i="5" s="1"/>
  <c r="T1150" i="5"/>
  <c r="O1150" i="5"/>
  <c r="N1150" i="5"/>
  <c r="M1150" i="5"/>
  <c r="L1150" i="5"/>
  <c r="K1150" i="5"/>
  <c r="J1150" i="5"/>
  <c r="I1150" i="5"/>
  <c r="H1150" i="5"/>
  <c r="G1150" i="5"/>
  <c r="E1150" i="5"/>
  <c r="F1150" i="5" s="1"/>
  <c r="B1150" i="5"/>
  <c r="U1149" i="5"/>
  <c r="U1187" i="5" s="1"/>
  <c r="T1149" i="5"/>
  <c r="O1149" i="5"/>
  <c r="N1149" i="5"/>
  <c r="M1149" i="5"/>
  <c r="L1149" i="5"/>
  <c r="K1149" i="5"/>
  <c r="J1149" i="5"/>
  <c r="I1149" i="5"/>
  <c r="H1149" i="5"/>
  <c r="G1149" i="5"/>
  <c r="E1149" i="5"/>
  <c r="B1149" i="5"/>
  <c r="U1148" i="5"/>
  <c r="T1148" i="5"/>
  <c r="O1148" i="5"/>
  <c r="N1148" i="5"/>
  <c r="M1148" i="5"/>
  <c r="L1148" i="5"/>
  <c r="K1148" i="5"/>
  <c r="J1148" i="5"/>
  <c r="I1148" i="5"/>
  <c r="H1148" i="5"/>
  <c r="G1148" i="5"/>
  <c r="E1148" i="5"/>
  <c r="F1148" i="5" s="1"/>
  <c r="B1148" i="5"/>
  <c r="W1148" i="5" s="1"/>
  <c r="U1147" i="5"/>
  <c r="T1147" i="5"/>
  <c r="O1147" i="5"/>
  <c r="N1147" i="5"/>
  <c r="M1147" i="5"/>
  <c r="L1147" i="5"/>
  <c r="K1147" i="5"/>
  <c r="J1147" i="5"/>
  <c r="I1147" i="5"/>
  <c r="H1147" i="5"/>
  <c r="G1147" i="5"/>
  <c r="E1147" i="5"/>
  <c r="F1147" i="5" s="1"/>
  <c r="B1147" i="5"/>
  <c r="U1146" i="5"/>
  <c r="T1146" i="5"/>
  <c r="O1146" i="5"/>
  <c r="N1146" i="5"/>
  <c r="M1146" i="5"/>
  <c r="L1146" i="5"/>
  <c r="K1146" i="5"/>
  <c r="J1146" i="5"/>
  <c r="I1146" i="5"/>
  <c r="H1146" i="5"/>
  <c r="G1146" i="5"/>
  <c r="E1146" i="5"/>
  <c r="F1146" i="5" s="1"/>
  <c r="B1146" i="5"/>
  <c r="U1145" i="5"/>
  <c r="T1145" i="5"/>
  <c r="O1145" i="5"/>
  <c r="N1145" i="5"/>
  <c r="M1145" i="5"/>
  <c r="L1145" i="5"/>
  <c r="K1145" i="5"/>
  <c r="J1145" i="5"/>
  <c r="I1145" i="5"/>
  <c r="H1145" i="5"/>
  <c r="G1145" i="5"/>
  <c r="E1145" i="5"/>
  <c r="F1145" i="5" s="1"/>
  <c r="B1145" i="5"/>
  <c r="U1144" i="5"/>
  <c r="T1144" i="5"/>
  <c r="O1144" i="5"/>
  <c r="N1144" i="5"/>
  <c r="M1144" i="5"/>
  <c r="L1144" i="5"/>
  <c r="K1144" i="5"/>
  <c r="J1144" i="5"/>
  <c r="I1144" i="5"/>
  <c r="H1144" i="5"/>
  <c r="G1144" i="5"/>
  <c r="E1144" i="5"/>
  <c r="F1144" i="5" s="1"/>
  <c r="B1144" i="5"/>
  <c r="U1143" i="5"/>
  <c r="T1143" i="5"/>
  <c r="O1143" i="5"/>
  <c r="N1143" i="5"/>
  <c r="M1143" i="5"/>
  <c r="L1143" i="5"/>
  <c r="K1143" i="5"/>
  <c r="J1143" i="5"/>
  <c r="I1143" i="5"/>
  <c r="H1143" i="5"/>
  <c r="G1143" i="5"/>
  <c r="E1143" i="5"/>
  <c r="F1143" i="5" s="1"/>
  <c r="B1143" i="5"/>
  <c r="U1142" i="5"/>
  <c r="T1142" i="5"/>
  <c r="O1142" i="5"/>
  <c r="N1142" i="5"/>
  <c r="M1142" i="5"/>
  <c r="L1142" i="5"/>
  <c r="K1142" i="5"/>
  <c r="J1142" i="5"/>
  <c r="I1142" i="5"/>
  <c r="H1142" i="5"/>
  <c r="G1142" i="5"/>
  <c r="E1142" i="5"/>
  <c r="F1142" i="5" s="1"/>
  <c r="B1142" i="5"/>
  <c r="U1141" i="5"/>
  <c r="T1141" i="5"/>
  <c r="O1141" i="5"/>
  <c r="N1141" i="5"/>
  <c r="M1141" i="5"/>
  <c r="L1141" i="5"/>
  <c r="K1141" i="5"/>
  <c r="J1141" i="5"/>
  <c r="I1141" i="5"/>
  <c r="H1141" i="5"/>
  <c r="G1141" i="5"/>
  <c r="E1141" i="5"/>
  <c r="F1141" i="5" s="1"/>
  <c r="B1141" i="5"/>
  <c r="U1140" i="5"/>
  <c r="T1140" i="5"/>
  <c r="O1140" i="5"/>
  <c r="N1140" i="5"/>
  <c r="M1140" i="5"/>
  <c r="L1140" i="5"/>
  <c r="K1140" i="5"/>
  <c r="J1140" i="5"/>
  <c r="I1140" i="5"/>
  <c r="H1140" i="5"/>
  <c r="G1140" i="5"/>
  <c r="E1140" i="5"/>
  <c r="F1140" i="5" s="1"/>
  <c r="B1140" i="5"/>
  <c r="U1139" i="5"/>
  <c r="T1139" i="5"/>
  <c r="O1139" i="5"/>
  <c r="N1139" i="5"/>
  <c r="M1139" i="5"/>
  <c r="L1139" i="5"/>
  <c r="K1139" i="5"/>
  <c r="J1139" i="5"/>
  <c r="I1139" i="5"/>
  <c r="H1139" i="5"/>
  <c r="G1139" i="5"/>
  <c r="E1139" i="5"/>
  <c r="B1139" i="5"/>
  <c r="U1138" i="5"/>
  <c r="T1138" i="5"/>
  <c r="O1138" i="5"/>
  <c r="N1138" i="5"/>
  <c r="M1138" i="5"/>
  <c r="L1138" i="5"/>
  <c r="K1138" i="5"/>
  <c r="J1138" i="5"/>
  <c r="I1138" i="5"/>
  <c r="H1138" i="5"/>
  <c r="G1138" i="5"/>
  <c r="E1138" i="5"/>
  <c r="F1138" i="5" s="1"/>
  <c r="B1138" i="5"/>
  <c r="U1137" i="5"/>
  <c r="T1137" i="5"/>
  <c r="O1137" i="5"/>
  <c r="N1137" i="5"/>
  <c r="M1137" i="5"/>
  <c r="L1137" i="5"/>
  <c r="K1137" i="5"/>
  <c r="J1137" i="5"/>
  <c r="I1137" i="5"/>
  <c r="H1137" i="5"/>
  <c r="G1137" i="5"/>
  <c r="E1137" i="5"/>
  <c r="F1137" i="5" s="1"/>
  <c r="B1137" i="5"/>
  <c r="U1136" i="5"/>
  <c r="T1136" i="5"/>
  <c r="O1136" i="5"/>
  <c r="N1136" i="5"/>
  <c r="M1136" i="5"/>
  <c r="L1136" i="5"/>
  <c r="K1136" i="5"/>
  <c r="J1136" i="5"/>
  <c r="I1136" i="5"/>
  <c r="H1136" i="5"/>
  <c r="G1136" i="5"/>
  <c r="E1136" i="5"/>
  <c r="F1136" i="5" s="1"/>
  <c r="B1136" i="5"/>
  <c r="U1135" i="5"/>
  <c r="T1135" i="5"/>
  <c r="O1135" i="5"/>
  <c r="N1135" i="5"/>
  <c r="M1135" i="5"/>
  <c r="L1135" i="5"/>
  <c r="K1135" i="5"/>
  <c r="J1135" i="5"/>
  <c r="I1135" i="5"/>
  <c r="H1135" i="5"/>
  <c r="G1135" i="5"/>
  <c r="E1135" i="5"/>
  <c r="F1135" i="5" s="1"/>
  <c r="B1135" i="5"/>
  <c r="U1134" i="5"/>
  <c r="T1134" i="5"/>
  <c r="O1134" i="5"/>
  <c r="N1134" i="5"/>
  <c r="M1134" i="5"/>
  <c r="L1134" i="5"/>
  <c r="K1134" i="5"/>
  <c r="J1134" i="5"/>
  <c r="I1134" i="5"/>
  <c r="H1134" i="5"/>
  <c r="G1134" i="5"/>
  <c r="E1134" i="5"/>
  <c r="F1134" i="5" s="1"/>
  <c r="B1134" i="5"/>
  <c r="U1133" i="5"/>
  <c r="T1133" i="5"/>
  <c r="O1133" i="5"/>
  <c r="N1133" i="5"/>
  <c r="M1133" i="5"/>
  <c r="L1133" i="5"/>
  <c r="K1133" i="5"/>
  <c r="J1133" i="5"/>
  <c r="I1133" i="5"/>
  <c r="H1133" i="5"/>
  <c r="G1133" i="5"/>
  <c r="E1133" i="5"/>
  <c r="F1133" i="5" s="1"/>
  <c r="B1133" i="5"/>
  <c r="U1132" i="5"/>
  <c r="T1132" i="5"/>
  <c r="O1132" i="5"/>
  <c r="N1132" i="5"/>
  <c r="M1132" i="5"/>
  <c r="L1132" i="5"/>
  <c r="K1132" i="5"/>
  <c r="J1132" i="5"/>
  <c r="I1132" i="5"/>
  <c r="H1132" i="5"/>
  <c r="G1132" i="5"/>
  <c r="E1132" i="5"/>
  <c r="F1132" i="5" s="1"/>
  <c r="B1132" i="5"/>
  <c r="U1131" i="5"/>
  <c r="T1131" i="5"/>
  <c r="O1131" i="5"/>
  <c r="N1131" i="5"/>
  <c r="M1131" i="5"/>
  <c r="L1131" i="5"/>
  <c r="K1131" i="5"/>
  <c r="J1131" i="5"/>
  <c r="I1131" i="5"/>
  <c r="H1131" i="5"/>
  <c r="G1131" i="5"/>
  <c r="E1131" i="5"/>
  <c r="F1131" i="5" s="1"/>
  <c r="B1131" i="5"/>
  <c r="U1130" i="5"/>
  <c r="T1130" i="5"/>
  <c r="O1130" i="5"/>
  <c r="N1130" i="5"/>
  <c r="M1130" i="5"/>
  <c r="L1130" i="5"/>
  <c r="K1130" i="5"/>
  <c r="J1130" i="5"/>
  <c r="I1130" i="5"/>
  <c r="H1130" i="5"/>
  <c r="G1130" i="5"/>
  <c r="E1130" i="5"/>
  <c r="F1130" i="5" s="1"/>
  <c r="B1130" i="5"/>
  <c r="U1129" i="5"/>
  <c r="T1129" i="5"/>
  <c r="O1129" i="5"/>
  <c r="N1129" i="5"/>
  <c r="M1129" i="5"/>
  <c r="L1129" i="5"/>
  <c r="K1129" i="5"/>
  <c r="J1129" i="5"/>
  <c r="I1129" i="5"/>
  <c r="H1129" i="5"/>
  <c r="G1129" i="5"/>
  <c r="E1129" i="5"/>
  <c r="B1129" i="5"/>
  <c r="U1128" i="5"/>
  <c r="T1128" i="5"/>
  <c r="O1128" i="5"/>
  <c r="N1128" i="5"/>
  <c r="M1128" i="5"/>
  <c r="L1128" i="5"/>
  <c r="K1128" i="5"/>
  <c r="J1128" i="5"/>
  <c r="I1128" i="5"/>
  <c r="H1128" i="5"/>
  <c r="G1128" i="5"/>
  <c r="E1128" i="5"/>
  <c r="F1128" i="5" s="1"/>
  <c r="B1128" i="5"/>
  <c r="U1127" i="5"/>
  <c r="T1127" i="5"/>
  <c r="O1127" i="5"/>
  <c r="N1127" i="5"/>
  <c r="M1127" i="5"/>
  <c r="L1127" i="5"/>
  <c r="K1127" i="5"/>
  <c r="J1127" i="5"/>
  <c r="I1127" i="5"/>
  <c r="H1127" i="5"/>
  <c r="G1127" i="5"/>
  <c r="E1127" i="5"/>
  <c r="F1127" i="5" s="1"/>
  <c r="B1127" i="5"/>
  <c r="U1126" i="5"/>
  <c r="T1126" i="5"/>
  <c r="O1126" i="5"/>
  <c r="N1126" i="5"/>
  <c r="M1126" i="5"/>
  <c r="L1126" i="5"/>
  <c r="K1126" i="5"/>
  <c r="J1126" i="5"/>
  <c r="I1126" i="5"/>
  <c r="H1126" i="5"/>
  <c r="G1126" i="5"/>
  <c r="E1126" i="5"/>
  <c r="F1126" i="5" s="1"/>
  <c r="B1126" i="5"/>
  <c r="U1125" i="5"/>
  <c r="T1125" i="5"/>
  <c r="O1125" i="5"/>
  <c r="N1125" i="5"/>
  <c r="M1125" i="5"/>
  <c r="L1125" i="5"/>
  <c r="K1125" i="5"/>
  <c r="J1125" i="5"/>
  <c r="I1125" i="5"/>
  <c r="H1125" i="5"/>
  <c r="G1125" i="5"/>
  <c r="E1125" i="5"/>
  <c r="F1125" i="5" s="1"/>
  <c r="B1125" i="5"/>
  <c r="U1124" i="5"/>
  <c r="T1124" i="5"/>
  <c r="O1124" i="5"/>
  <c r="N1124" i="5"/>
  <c r="M1124" i="5"/>
  <c r="L1124" i="5"/>
  <c r="K1124" i="5"/>
  <c r="J1124" i="5"/>
  <c r="I1124" i="5"/>
  <c r="H1124" i="5"/>
  <c r="G1124" i="5"/>
  <c r="E1124" i="5"/>
  <c r="F1124" i="5" s="1"/>
  <c r="B1124" i="5"/>
  <c r="U1123" i="5"/>
  <c r="T1123" i="5"/>
  <c r="O1123" i="5"/>
  <c r="N1123" i="5"/>
  <c r="M1123" i="5"/>
  <c r="L1123" i="5"/>
  <c r="K1123" i="5"/>
  <c r="J1123" i="5"/>
  <c r="I1123" i="5"/>
  <c r="H1123" i="5"/>
  <c r="G1123" i="5"/>
  <c r="E1123" i="5"/>
  <c r="F1123" i="5" s="1"/>
  <c r="B1123" i="5"/>
  <c r="U1122" i="5"/>
  <c r="T1122" i="5"/>
  <c r="O1122" i="5"/>
  <c r="N1122" i="5"/>
  <c r="M1122" i="5"/>
  <c r="L1122" i="5"/>
  <c r="K1122" i="5"/>
  <c r="J1122" i="5"/>
  <c r="I1122" i="5"/>
  <c r="H1122" i="5"/>
  <c r="G1122" i="5"/>
  <c r="E1122" i="5"/>
  <c r="F1122" i="5" s="1"/>
  <c r="B1122" i="5"/>
  <c r="U1121" i="5"/>
  <c r="T1121" i="5"/>
  <c r="O1121" i="5"/>
  <c r="N1121" i="5"/>
  <c r="M1121" i="5"/>
  <c r="L1121" i="5"/>
  <c r="K1121" i="5"/>
  <c r="J1121" i="5"/>
  <c r="I1121" i="5"/>
  <c r="H1121" i="5"/>
  <c r="G1121" i="5"/>
  <c r="E1121" i="5"/>
  <c r="F1121" i="5" s="1"/>
  <c r="B1121" i="5"/>
  <c r="U1120" i="5"/>
  <c r="T1120" i="5"/>
  <c r="O1120" i="5"/>
  <c r="N1120" i="5"/>
  <c r="M1120" i="5"/>
  <c r="L1120" i="5"/>
  <c r="K1120" i="5"/>
  <c r="J1120" i="5"/>
  <c r="I1120" i="5"/>
  <c r="H1120" i="5"/>
  <c r="G1120" i="5"/>
  <c r="E1120" i="5"/>
  <c r="F1120" i="5" s="1"/>
  <c r="B1120" i="5"/>
  <c r="U1119" i="5"/>
  <c r="T1119" i="5"/>
  <c r="O1119" i="5"/>
  <c r="N1119" i="5"/>
  <c r="M1119" i="5"/>
  <c r="L1119" i="5"/>
  <c r="K1119" i="5"/>
  <c r="J1119" i="5"/>
  <c r="I1119" i="5"/>
  <c r="H1119" i="5"/>
  <c r="G1119" i="5"/>
  <c r="E1119" i="5"/>
  <c r="F1119" i="5" s="1"/>
  <c r="B1119" i="5"/>
  <c r="U1118" i="5"/>
  <c r="T1118" i="5"/>
  <c r="O1118" i="5"/>
  <c r="N1118" i="5"/>
  <c r="M1118" i="5"/>
  <c r="L1118" i="5"/>
  <c r="K1118" i="5"/>
  <c r="J1118" i="5"/>
  <c r="I1118" i="5"/>
  <c r="H1118" i="5"/>
  <c r="G1118" i="5"/>
  <c r="E1118" i="5"/>
  <c r="F1118" i="5" s="1"/>
  <c r="B1118" i="5"/>
  <c r="U1117" i="5"/>
  <c r="T1117" i="5"/>
  <c r="O1117" i="5"/>
  <c r="N1117" i="5"/>
  <c r="M1117" i="5"/>
  <c r="L1117" i="5"/>
  <c r="K1117" i="5"/>
  <c r="J1117" i="5"/>
  <c r="I1117" i="5"/>
  <c r="H1117" i="5"/>
  <c r="G1117" i="5"/>
  <c r="E1117" i="5"/>
  <c r="F1117" i="5" s="1"/>
  <c r="B1117" i="5"/>
  <c r="U1116" i="5"/>
  <c r="T1116" i="5"/>
  <c r="O1116" i="5"/>
  <c r="N1116" i="5"/>
  <c r="M1116" i="5"/>
  <c r="L1116" i="5"/>
  <c r="K1116" i="5"/>
  <c r="J1116" i="5"/>
  <c r="I1116" i="5"/>
  <c r="H1116" i="5"/>
  <c r="G1116" i="5"/>
  <c r="E1116" i="5"/>
  <c r="F1116" i="5" s="1"/>
  <c r="B1116" i="5"/>
  <c r="U1115" i="5"/>
  <c r="T1115" i="5"/>
  <c r="O1115" i="5"/>
  <c r="N1115" i="5"/>
  <c r="M1115" i="5"/>
  <c r="L1115" i="5"/>
  <c r="K1115" i="5"/>
  <c r="J1115" i="5"/>
  <c r="I1115" i="5"/>
  <c r="H1115" i="5"/>
  <c r="G1115" i="5"/>
  <c r="E1115" i="5"/>
  <c r="F1115" i="5" s="1"/>
  <c r="B1115" i="5"/>
  <c r="U1114" i="5"/>
  <c r="T1114" i="5"/>
  <c r="O1114" i="5"/>
  <c r="N1114" i="5"/>
  <c r="M1114" i="5"/>
  <c r="L1114" i="5"/>
  <c r="K1114" i="5"/>
  <c r="J1114" i="5"/>
  <c r="I1114" i="5"/>
  <c r="H1114" i="5"/>
  <c r="G1114" i="5"/>
  <c r="E1114" i="5"/>
  <c r="F1114" i="5" s="1"/>
  <c r="B1114" i="5"/>
  <c r="U1113" i="5"/>
  <c r="T1113" i="5"/>
  <c r="O1113" i="5"/>
  <c r="N1113" i="5"/>
  <c r="M1113" i="5"/>
  <c r="L1113" i="5"/>
  <c r="K1113" i="5"/>
  <c r="J1113" i="5"/>
  <c r="I1113" i="5"/>
  <c r="H1113" i="5"/>
  <c r="G1113" i="5"/>
  <c r="E1113" i="5"/>
  <c r="F1113" i="5" s="1"/>
  <c r="B1113" i="5"/>
  <c r="U1112" i="5"/>
  <c r="T1112" i="5"/>
  <c r="O1112" i="5"/>
  <c r="N1112" i="5"/>
  <c r="M1112" i="5"/>
  <c r="L1112" i="5"/>
  <c r="K1112" i="5"/>
  <c r="J1112" i="5"/>
  <c r="I1112" i="5"/>
  <c r="H1112" i="5"/>
  <c r="G1112" i="5"/>
  <c r="E1112" i="5"/>
  <c r="F1112" i="5" s="1"/>
  <c r="B1112" i="5"/>
  <c r="U1111" i="5"/>
  <c r="T1111" i="5"/>
  <c r="O1111" i="5"/>
  <c r="N1111" i="5"/>
  <c r="M1111" i="5"/>
  <c r="L1111" i="5"/>
  <c r="K1111" i="5"/>
  <c r="J1111" i="5"/>
  <c r="I1111" i="5"/>
  <c r="H1111" i="5"/>
  <c r="G1111" i="5"/>
  <c r="E1111" i="5"/>
  <c r="F1111" i="5" s="1"/>
  <c r="B1111" i="5"/>
  <c r="U1110" i="5"/>
  <c r="U1186" i="5" s="1"/>
  <c r="T1110" i="5"/>
  <c r="T1186" i="5" s="1"/>
  <c r="O1110" i="5"/>
  <c r="N1110" i="5"/>
  <c r="M1110" i="5"/>
  <c r="L1110" i="5"/>
  <c r="K1110" i="5"/>
  <c r="J1110" i="5"/>
  <c r="I1110" i="5"/>
  <c r="H1110" i="5"/>
  <c r="G1110" i="5"/>
  <c r="E1110" i="5"/>
  <c r="F1110" i="5" s="1"/>
  <c r="B1110" i="5"/>
  <c r="W1110" i="5" s="1"/>
  <c r="B1109" i="5"/>
  <c r="B1108" i="5"/>
  <c r="B1107" i="5"/>
  <c r="B1106" i="5"/>
  <c r="B1105" i="5"/>
  <c r="B1104" i="5"/>
  <c r="B1103" i="5"/>
  <c r="B1102" i="5"/>
  <c r="B1101" i="5"/>
  <c r="B1100" i="5"/>
  <c r="B1099" i="5"/>
  <c r="B1098" i="5"/>
  <c r="B1097" i="5"/>
  <c r="B1096" i="5"/>
  <c r="B1095" i="5"/>
  <c r="B1094" i="5"/>
  <c r="B1093" i="5"/>
  <c r="B1092" i="5"/>
  <c r="B1091" i="5"/>
  <c r="B1090" i="5"/>
  <c r="B1089" i="5"/>
  <c r="B1088" i="5"/>
  <c r="B1087" i="5"/>
  <c r="B1086" i="5"/>
  <c r="B1085" i="5"/>
  <c r="B1084" i="5"/>
  <c r="B1083" i="5"/>
  <c r="B1082" i="5"/>
  <c r="B1081" i="5"/>
  <c r="B1080" i="5"/>
  <c r="B1079" i="5"/>
  <c r="B1078" i="5"/>
  <c r="B1077" i="5"/>
  <c r="B1076" i="5"/>
  <c r="B1075" i="5"/>
  <c r="B1074" i="5"/>
  <c r="B1073" i="5"/>
  <c r="F1072" i="5"/>
  <c r="B1072" i="5"/>
  <c r="W1072" i="5" s="1"/>
  <c r="U1071" i="5"/>
  <c r="U1109" i="5" s="1"/>
  <c r="T1071" i="5"/>
  <c r="O1071" i="5"/>
  <c r="N1071" i="5"/>
  <c r="M1071" i="5"/>
  <c r="L1071" i="5"/>
  <c r="K1071" i="5"/>
  <c r="J1071" i="5"/>
  <c r="I1071" i="5"/>
  <c r="H1071" i="5"/>
  <c r="G1071" i="5"/>
  <c r="E1071" i="5"/>
  <c r="B1071" i="5"/>
  <c r="U1070" i="5"/>
  <c r="U1108" i="5" s="1"/>
  <c r="T1070" i="5"/>
  <c r="O1070" i="5"/>
  <c r="N1070" i="5"/>
  <c r="M1070" i="5"/>
  <c r="L1070" i="5"/>
  <c r="K1070" i="5"/>
  <c r="J1070" i="5"/>
  <c r="I1070" i="5"/>
  <c r="H1070" i="5"/>
  <c r="G1070" i="5"/>
  <c r="E1070" i="5"/>
  <c r="B1070" i="5"/>
  <c r="U1069" i="5"/>
  <c r="U1107" i="5" s="1"/>
  <c r="T1069" i="5"/>
  <c r="O1069" i="5"/>
  <c r="N1069" i="5"/>
  <c r="M1069" i="5"/>
  <c r="L1069" i="5"/>
  <c r="K1069" i="5"/>
  <c r="J1069" i="5"/>
  <c r="I1069" i="5"/>
  <c r="H1069" i="5"/>
  <c r="G1069" i="5"/>
  <c r="E1069" i="5"/>
  <c r="B1069" i="5"/>
  <c r="U1068" i="5"/>
  <c r="U1106" i="5" s="1"/>
  <c r="T1068" i="5"/>
  <c r="O1068" i="5"/>
  <c r="N1068" i="5"/>
  <c r="M1068" i="5"/>
  <c r="L1068" i="5"/>
  <c r="K1068" i="5"/>
  <c r="J1068" i="5"/>
  <c r="I1068" i="5"/>
  <c r="H1068" i="5"/>
  <c r="G1068" i="5"/>
  <c r="E1068" i="5"/>
  <c r="B1068" i="5"/>
  <c r="U1067" i="5"/>
  <c r="U1105" i="5" s="1"/>
  <c r="T1067" i="5"/>
  <c r="O1067" i="5"/>
  <c r="N1067" i="5"/>
  <c r="M1067" i="5"/>
  <c r="L1067" i="5"/>
  <c r="K1067" i="5"/>
  <c r="J1067" i="5"/>
  <c r="I1067" i="5"/>
  <c r="H1067" i="5"/>
  <c r="G1067" i="5"/>
  <c r="E1067" i="5"/>
  <c r="F1067" i="5" s="1"/>
  <c r="B1067" i="5"/>
  <c r="U1066" i="5"/>
  <c r="U1104" i="5" s="1"/>
  <c r="T1066" i="5"/>
  <c r="O1066" i="5"/>
  <c r="N1066" i="5"/>
  <c r="M1066" i="5"/>
  <c r="L1066" i="5"/>
  <c r="K1066" i="5"/>
  <c r="J1066" i="5"/>
  <c r="I1066" i="5"/>
  <c r="H1066" i="5"/>
  <c r="G1066" i="5"/>
  <c r="E1066" i="5"/>
  <c r="E1104" i="5" s="1"/>
  <c r="B1066" i="5"/>
  <c r="U1065" i="5"/>
  <c r="U1103" i="5" s="1"/>
  <c r="T1065" i="5"/>
  <c r="O1065" i="5"/>
  <c r="N1065" i="5"/>
  <c r="M1065" i="5"/>
  <c r="L1065" i="5"/>
  <c r="K1065" i="5"/>
  <c r="J1065" i="5"/>
  <c r="I1065" i="5"/>
  <c r="H1065" i="5"/>
  <c r="G1065" i="5"/>
  <c r="E1065" i="5"/>
  <c r="E1103" i="5" s="1"/>
  <c r="B1065" i="5"/>
  <c r="U1064" i="5"/>
  <c r="U1102" i="5" s="1"/>
  <c r="T1064" i="5"/>
  <c r="O1064" i="5"/>
  <c r="N1064" i="5"/>
  <c r="M1064" i="5"/>
  <c r="L1064" i="5"/>
  <c r="K1064" i="5"/>
  <c r="J1064" i="5"/>
  <c r="I1064" i="5"/>
  <c r="H1064" i="5"/>
  <c r="G1064" i="5"/>
  <c r="E1064" i="5"/>
  <c r="E1102" i="5" s="1"/>
  <c r="B1064" i="5"/>
  <c r="U1063" i="5"/>
  <c r="U1101" i="5" s="1"/>
  <c r="T1063" i="5"/>
  <c r="O1063" i="5"/>
  <c r="N1063" i="5"/>
  <c r="M1063" i="5"/>
  <c r="L1063" i="5"/>
  <c r="K1063" i="5"/>
  <c r="J1063" i="5"/>
  <c r="I1063" i="5"/>
  <c r="H1063" i="5"/>
  <c r="G1063" i="5"/>
  <c r="E1063" i="5"/>
  <c r="F1063" i="5" s="1"/>
  <c r="B1063" i="5"/>
  <c r="U1062" i="5"/>
  <c r="U1100" i="5" s="1"/>
  <c r="T1062" i="5"/>
  <c r="O1062" i="5"/>
  <c r="N1062" i="5"/>
  <c r="M1062" i="5"/>
  <c r="L1062" i="5"/>
  <c r="K1062" i="5"/>
  <c r="J1062" i="5"/>
  <c r="I1062" i="5"/>
  <c r="H1062" i="5"/>
  <c r="G1062" i="5"/>
  <c r="E1062" i="5"/>
  <c r="E1100" i="5" s="1"/>
  <c r="B1062" i="5"/>
  <c r="U1061" i="5"/>
  <c r="U1099" i="5" s="1"/>
  <c r="T1061" i="5"/>
  <c r="O1061" i="5"/>
  <c r="N1061" i="5"/>
  <c r="M1061" i="5"/>
  <c r="L1061" i="5"/>
  <c r="K1061" i="5"/>
  <c r="J1061" i="5"/>
  <c r="I1061" i="5"/>
  <c r="H1061" i="5"/>
  <c r="G1061" i="5"/>
  <c r="E1061" i="5"/>
  <c r="B1061" i="5"/>
  <c r="U1060" i="5"/>
  <c r="U1098" i="5" s="1"/>
  <c r="T1060" i="5"/>
  <c r="O1060" i="5"/>
  <c r="N1060" i="5"/>
  <c r="M1060" i="5"/>
  <c r="L1060" i="5"/>
  <c r="K1060" i="5"/>
  <c r="J1060" i="5"/>
  <c r="I1060" i="5"/>
  <c r="H1060" i="5"/>
  <c r="G1060" i="5"/>
  <c r="E1060" i="5"/>
  <c r="B1060" i="5"/>
  <c r="U1059" i="5"/>
  <c r="U1097" i="5" s="1"/>
  <c r="T1059" i="5"/>
  <c r="O1059" i="5"/>
  <c r="N1059" i="5"/>
  <c r="M1059" i="5"/>
  <c r="L1059" i="5"/>
  <c r="K1059" i="5"/>
  <c r="J1059" i="5"/>
  <c r="I1059" i="5"/>
  <c r="H1059" i="5"/>
  <c r="G1059" i="5"/>
  <c r="E1059" i="5"/>
  <c r="B1059" i="5"/>
  <c r="U1058" i="5"/>
  <c r="U1096" i="5" s="1"/>
  <c r="T1058" i="5"/>
  <c r="O1058" i="5"/>
  <c r="N1058" i="5"/>
  <c r="M1058" i="5"/>
  <c r="L1058" i="5"/>
  <c r="K1058" i="5"/>
  <c r="J1058" i="5"/>
  <c r="I1058" i="5"/>
  <c r="H1058" i="5"/>
  <c r="G1058" i="5"/>
  <c r="E1058" i="5"/>
  <c r="F1058" i="5" s="1"/>
  <c r="B1058" i="5"/>
  <c r="U1057" i="5"/>
  <c r="U1095" i="5" s="1"/>
  <c r="T1057" i="5"/>
  <c r="O1057" i="5"/>
  <c r="N1057" i="5"/>
  <c r="M1057" i="5"/>
  <c r="L1057" i="5"/>
  <c r="K1057" i="5"/>
  <c r="J1057" i="5"/>
  <c r="I1057" i="5"/>
  <c r="H1057" i="5"/>
  <c r="G1057" i="5"/>
  <c r="E1057" i="5"/>
  <c r="F1057" i="5" s="1"/>
  <c r="B1057" i="5"/>
  <c r="U1056" i="5"/>
  <c r="U1094" i="5" s="1"/>
  <c r="T1056" i="5"/>
  <c r="O1056" i="5"/>
  <c r="N1056" i="5"/>
  <c r="M1056" i="5"/>
  <c r="L1056" i="5"/>
  <c r="K1056" i="5"/>
  <c r="J1056" i="5"/>
  <c r="I1056" i="5"/>
  <c r="H1056" i="5"/>
  <c r="G1056" i="5"/>
  <c r="E1056" i="5"/>
  <c r="B1056" i="5"/>
  <c r="U1055" i="5"/>
  <c r="U1093" i="5" s="1"/>
  <c r="T1055" i="5"/>
  <c r="O1055" i="5"/>
  <c r="N1055" i="5"/>
  <c r="M1055" i="5"/>
  <c r="L1055" i="5"/>
  <c r="K1055" i="5"/>
  <c r="J1055" i="5"/>
  <c r="I1055" i="5"/>
  <c r="H1055" i="5"/>
  <c r="G1055" i="5"/>
  <c r="E1055" i="5"/>
  <c r="B1055" i="5"/>
  <c r="U1054" i="5"/>
  <c r="U1092" i="5" s="1"/>
  <c r="T1054" i="5"/>
  <c r="O1054" i="5"/>
  <c r="N1054" i="5"/>
  <c r="M1054" i="5"/>
  <c r="L1054" i="5"/>
  <c r="K1054" i="5"/>
  <c r="J1054" i="5"/>
  <c r="I1054" i="5"/>
  <c r="H1054" i="5"/>
  <c r="G1054" i="5"/>
  <c r="E1054" i="5"/>
  <c r="E1092" i="5" s="1"/>
  <c r="B1054" i="5"/>
  <c r="U1053" i="5"/>
  <c r="U1091" i="5" s="1"/>
  <c r="T1053" i="5"/>
  <c r="O1053" i="5"/>
  <c r="N1053" i="5"/>
  <c r="M1053" i="5"/>
  <c r="L1053" i="5"/>
  <c r="K1053" i="5"/>
  <c r="J1053" i="5"/>
  <c r="I1053" i="5"/>
  <c r="H1053" i="5"/>
  <c r="G1053" i="5"/>
  <c r="E1053" i="5"/>
  <c r="B1053" i="5"/>
  <c r="U1052" i="5"/>
  <c r="U1090" i="5" s="1"/>
  <c r="T1052" i="5"/>
  <c r="O1052" i="5"/>
  <c r="N1052" i="5"/>
  <c r="M1052" i="5"/>
  <c r="L1052" i="5"/>
  <c r="K1052" i="5"/>
  <c r="J1052" i="5"/>
  <c r="I1052" i="5"/>
  <c r="H1052" i="5"/>
  <c r="G1052" i="5"/>
  <c r="E1052" i="5"/>
  <c r="E1090" i="5" s="1"/>
  <c r="F1090" i="5" s="1"/>
  <c r="B1052" i="5"/>
  <c r="U1051" i="5"/>
  <c r="U1089" i="5" s="1"/>
  <c r="T1051" i="5"/>
  <c r="O1051" i="5"/>
  <c r="N1051" i="5"/>
  <c r="M1051" i="5"/>
  <c r="L1051" i="5"/>
  <c r="K1051" i="5"/>
  <c r="J1051" i="5"/>
  <c r="I1051" i="5"/>
  <c r="H1051" i="5"/>
  <c r="G1051" i="5"/>
  <c r="E1051" i="5"/>
  <c r="E1089" i="5" s="1"/>
  <c r="F1089" i="5" s="1"/>
  <c r="B1051" i="5"/>
  <c r="U1050" i="5"/>
  <c r="U1088" i="5" s="1"/>
  <c r="T1050" i="5"/>
  <c r="O1050" i="5"/>
  <c r="N1050" i="5"/>
  <c r="M1050" i="5"/>
  <c r="L1050" i="5"/>
  <c r="K1050" i="5"/>
  <c r="J1050" i="5"/>
  <c r="I1050" i="5"/>
  <c r="H1050" i="5"/>
  <c r="G1050" i="5"/>
  <c r="E1050" i="5"/>
  <c r="B1050" i="5"/>
  <c r="U1049" i="5"/>
  <c r="U1087" i="5" s="1"/>
  <c r="T1049" i="5"/>
  <c r="O1049" i="5"/>
  <c r="N1049" i="5"/>
  <c r="M1049" i="5"/>
  <c r="L1049" i="5"/>
  <c r="K1049" i="5"/>
  <c r="J1049" i="5"/>
  <c r="I1049" i="5"/>
  <c r="H1049" i="5"/>
  <c r="G1049" i="5"/>
  <c r="E1049" i="5"/>
  <c r="B1049" i="5"/>
  <c r="U1048" i="5"/>
  <c r="U1086" i="5" s="1"/>
  <c r="T1048" i="5"/>
  <c r="O1048" i="5"/>
  <c r="N1048" i="5"/>
  <c r="M1048" i="5"/>
  <c r="L1048" i="5"/>
  <c r="K1048" i="5"/>
  <c r="J1048" i="5"/>
  <c r="I1048" i="5"/>
  <c r="H1048" i="5"/>
  <c r="G1048" i="5"/>
  <c r="E1048" i="5"/>
  <c r="B1048" i="5"/>
  <c r="U1047" i="5"/>
  <c r="U1085" i="5" s="1"/>
  <c r="T1047" i="5"/>
  <c r="O1047" i="5"/>
  <c r="N1047" i="5"/>
  <c r="M1047" i="5"/>
  <c r="L1047" i="5"/>
  <c r="K1047" i="5"/>
  <c r="J1047" i="5"/>
  <c r="I1047" i="5"/>
  <c r="H1047" i="5"/>
  <c r="G1047" i="5"/>
  <c r="E1047" i="5"/>
  <c r="E1085" i="5" s="1"/>
  <c r="B1047" i="5"/>
  <c r="U1046" i="5"/>
  <c r="U1084" i="5" s="1"/>
  <c r="T1046" i="5"/>
  <c r="O1046" i="5"/>
  <c r="N1046" i="5"/>
  <c r="M1046" i="5"/>
  <c r="L1046" i="5"/>
  <c r="K1046" i="5"/>
  <c r="J1046" i="5"/>
  <c r="I1046" i="5"/>
  <c r="H1046" i="5"/>
  <c r="G1046" i="5"/>
  <c r="E1046" i="5"/>
  <c r="B1046" i="5"/>
  <c r="U1045" i="5"/>
  <c r="U1083" i="5" s="1"/>
  <c r="T1045" i="5"/>
  <c r="O1045" i="5"/>
  <c r="N1045" i="5"/>
  <c r="M1045" i="5"/>
  <c r="L1045" i="5"/>
  <c r="K1045" i="5"/>
  <c r="J1045" i="5"/>
  <c r="I1045" i="5"/>
  <c r="H1045" i="5"/>
  <c r="G1045" i="5"/>
  <c r="E1045" i="5"/>
  <c r="B1045" i="5"/>
  <c r="U1044" i="5"/>
  <c r="U1082" i="5" s="1"/>
  <c r="T1044" i="5"/>
  <c r="O1044" i="5"/>
  <c r="N1044" i="5"/>
  <c r="M1044" i="5"/>
  <c r="L1044" i="5"/>
  <c r="K1044" i="5"/>
  <c r="J1044" i="5"/>
  <c r="I1044" i="5"/>
  <c r="H1044" i="5"/>
  <c r="G1044" i="5"/>
  <c r="E1044" i="5"/>
  <c r="B1044" i="5"/>
  <c r="U1043" i="5"/>
  <c r="U1081" i="5" s="1"/>
  <c r="T1043" i="5"/>
  <c r="O1043" i="5"/>
  <c r="N1043" i="5"/>
  <c r="M1043" i="5"/>
  <c r="L1043" i="5"/>
  <c r="K1043" i="5"/>
  <c r="J1043" i="5"/>
  <c r="I1043" i="5"/>
  <c r="H1043" i="5"/>
  <c r="G1043" i="5"/>
  <c r="E1043" i="5"/>
  <c r="F1043" i="5" s="1"/>
  <c r="B1043" i="5"/>
  <c r="U1042" i="5"/>
  <c r="U1080" i="5" s="1"/>
  <c r="T1042" i="5"/>
  <c r="O1042" i="5"/>
  <c r="N1042" i="5"/>
  <c r="M1042" i="5"/>
  <c r="L1042" i="5"/>
  <c r="K1042" i="5"/>
  <c r="J1042" i="5"/>
  <c r="I1042" i="5"/>
  <c r="H1042" i="5"/>
  <c r="G1042" i="5"/>
  <c r="E1042" i="5"/>
  <c r="B1042" i="5"/>
  <c r="U1041" i="5"/>
  <c r="U1079" i="5" s="1"/>
  <c r="T1041" i="5"/>
  <c r="O1041" i="5"/>
  <c r="N1041" i="5"/>
  <c r="M1041" i="5"/>
  <c r="L1041" i="5"/>
  <c r="K1041" i="5"/>
  <c r="J1041" i="5"/>
  <c r="I1041" i="5"/>
  <c r="H1041" i="5"/>
  <c r="G1041" i="5"/>
  <c r="E1041" i="5"/>
  <c r="E1079" i="5" s="1"/>
  <c r="F1079" i="5" s="1"/>
  <c r="B1041" i="5"/>
  <c r="U1040" i="5"/>
  <c r="U1078" i="5" s="1"/>
  <c r="T1040" i="5"/>
  <c r="O1040" i="5"/>
  <c r="N1040" i="5"/>
  <c r="M1040" i="5"/>
  <c r="L1040" i="5"/>
  <c r="K1040" i="5"/>
  <c r="J1040" i="5"/>
  <c r="I1040" i="5"/>
  <c r="H1040" i="5"/>
  <c r="G1040" i="5"/>
  <c r="E1040" i="5"/>
  <c r="B1040" i="5"/>
  <c r="U1039" i="5"/>
  <c r="U1077" i="5" s="1"/>
  <c r="T1039" i="5"/>
  <c r="O1039" i="5"/>
  <c r="N1039" i="5"/>
  <c r="M1039" i="5"/>
  <c r="L1039" i="5"/>
  <c r="K1039" i="5"/>
  <c r="J1039" i="5"/>
  <c r="I1039" i="5"/>
  <c r="H1039" i="5"/>
  <c r="G1039" i="5"/>
  <c r="E1039" i="5"/>
  <c r="B1039" i="5"/>
  <c r="U1038" i="5"/>
  <c r="U1076" i="5" s="1"/>
  <c r="T1038" i="5"/>
  <c r="O1038" i="5"/>
  <c r="N1038" i="5"/>
  <c r="M1038" i="5"/>
  <c r="L1038" i="5"/>
  <c r="K1038" i="5"/>
  <c r="J1038" i="5"/>
  <c r="I1038" i="5"/>
  <c r="H1038" i="5"/>
  <c r="G1038" i="5"/>
  <c r="E1038" i="5"/>
  <c r="B1038" i="5"/>
  <c r="U1037" i="5"/>
  <c r="U1075" i="5" s="1"/>
  <c r="T1037" i="5"/>
  <c r="O1037" i="5"/>
  <c r="N1037" i="5"/>
  <c r="M1037" i="5"/>
  <c r="L1037" i="5"/>
  <c r="K1037" i="5"/>
  <c r="J1037" i="5"/>
  <c r="I1037" i="5"/>
  <c r="H1037" i="5"/>
  <c r="G1037" i="5"/>
  <c r="E1037" i="5"/>
  <c r="B1037" i="5"/>
  <c r="U1036" i="5"/>
  <c r="U1074" i="5" s="1"/>
  <c r="T1036" i="5"/>
  <c r="O1036" i="5"/>
  <c r="N1036" i="5"/>
  <c r="M1036" i="5"/>
  <c r="L1036" i="5"/>
  <c r="K1036" i="5"/>
  <c r="J1036" i="5"/>
  <c r="I1036" i="5"/>
  <c r="H1036" i="5"/>
  <c r="G1036" i="5"/>
  <c r="E1036" i="5"/>
  <c r="E1074" i="5" s="1"/>
  <c r="F1074" i="5" s="1"/>
  <c r="B1036" i="5"/>
  <c r="U1035" i="5"/>
  <c r="U1073" i="5" s="1"/>
  <c r="T1035" i="5"/>
  <c r="O1035" i="5"/>
  <c r="N1035" i="5"/>
  <c r="M1035" i="5"/>
  <c r="L1035" i="5"/>
  <c r="K1035" i="5"/>
  <c r="J1035" i="5"/>
  <c r="I1035" i="5"/>
  <c r="H1035" i="5"/>
  <c r="G1035" i="5"/>
  <c r="E1035" i="5"/>
  <c r="E1073" i="5" s="1"/>
  <c r="F1073" i="5" s="1"/>
  <c r="B1035" i="5"/>
  <c r="U1034" i="5"/>
  <c r="T1034" i="5"/>
  <c r="O1034" i="5"/>
  <c r="N1034" i="5"/>
  <c r="M1034" i="5"/>
  <c r="L1034" i="5"/>
  <c r="K1034" i="5"/>
  <c r="J1034" i="5"/>
  <c r="I1034" i="5"/>
  <c r="H1034" i="5"/>
  <c r="G1034" i="5"/>
  <c r="E1034" i="5"/>
  <c r="F1034" i="5" s="1"/>
  <c r="B1034" i="5"/>
  <c r="W1034" i="5" s="1"/>
  <c r="U1033" i="5"/>
  <c r="T1033" i="5"/>
  <c r="O1033" i="5"/>
  <c r="N1033" i="5"/>
  <c r="M1033" i="5"/>
  <c r="L1033" i="5"/>
  <c r="K1033" i="5"/>
  <c r="J1033" i="5"/>
  <c r="I1033" i="5"/>
  <c r="H1033" i="5"/>
  <c r="G1033" i="5"/>
  <c r="E1033" i="5"/>
  <c r="B1033" i="5"/>
  <c r="U1032" i="5"/>
  <c r="T1032" i="5"/>
  <c r="O1032" i="5"/>
  <c r="N1032" i="5"/>
  <c r="M1032" i="5"/>
  <c r="L1032" i="5"/>
  <c r="K1032" i="5"/>
  <c r="J1032" i="5"/>
  <c r="I1032" i="5"/>
  <c r="H1032" i="5"/>
  <c r="G1032" i="5"/>
  <c r="E1032" i="5"/>
  <c r="F1032" i="5" s="1"/>
  <c r="B1032" i="5"/>
  <c r="U1031" i="5"/>
  <c r="T1031" i="5"/>
  <c r="O1031" i="5"/>
  <c r="N1031" i="5"/>
  <c r="M1031" i="5"/>
  <c r="L1031" i="5"/>
  <c r="K1031" i="5"/>
  <c r="J1031" i="5"/>
  <c r="I1031" i="5"/>
  <c r="H1031" i="5"/>
  <c r="G1031" i="5"/>
  <c r="E1031" i="5"/>
  <c r="F1031" i="5" s="1"/>
  <c r="B1031" i="5"/>
  <c r="U1030" i="5"/>
  <c r="T1030" i="5"/>
  <c r="O1030" i="5"/>
  <c r="N1030" i="5"/>
  <c r="M1030" i="5"/>
  <c r="L1030" i="5"/>
  <c r="K1030" i="5"/>
  <c r="J1030" i="5"/>
  <c r="I1030" i="5"/>
  <c r="H1030" i="5"/>
  <c r="G1030" i="5"/>
  <c r="E1030" i="5"/>
  <c r="F1030" i="5" s="1"/>
  <c r="B1030" i="5"/>
  <c r="U1029" i="5"/>
  <c r="T1029" i="5"/>
  <c r="O1029" i="5"/>
  <c r="N1029" i="5"/>
  <c r="M1029" i="5"/>
  <c r="L1029" i="5"/>
  <c r="K1029" i="5"/>
  <c r="J1029" i="5"/>
  <c r="I1029" i="5"/>
  <c r="H1029" i="5"/>
  <c r="G1029" i="5"/>
  <c r="E1029" i="5"/>
  <c r="F1029" i="5" s="1"/>
  <c r="B1029" i="5"/>
  <c r="U1028" i="5"/>
  <c r="T1028" i="5"/>
  <c r="O1028" i="5"/>
  <c r="N1028" i="5"/>
  <c r="M1028" i="5"/>
  <c r="L1028" i="5"/>
  <c r="K1028" i="5"/>
  <c r="J1028" i="5"/>
  <c r="I1028" i="5"/>
  <c r="H1028" i="5"/>
  <c r="G1028" i="5"/>
  <c r="E1028" i="5"/>
  <c r="F1028" i="5" s="1"/>
  <c r="B1028" i="5"/>
  <c r="U1027" i="5"/>
  <c r="T1027" i="5"/>
  <c r="O1027" i="5"/>
  <c r="N1027" i="5"/>
  <c r="M1027" i="5"/>
  <c r="L1027" i="5"/>
  <c r="K1027" i="5"/>
  <c r="J1027" i="5"/>
  <c r="I1027" i="5"/>
  <c r="H1027" i="5"/>
  <c r="G1027" i="5"/>
  <c r="E1027" i="5"/>
  <c r="F1027" i="5" s="1"/>
  <c r="B1027" i="5"/>
  <c r="U1026" i="5"/>
  <c r="T1026" i="5"/>
  <c r="O1026" i="5"/>
  <c r="N1026" i="5"/>
  <c r="M1026" i="5"/>
  <c r="L1026" i="5"/>
  <c r="K1026" i="5"/>
  <c r="J1026" i="5"/>
  <c r="I1026" i="5"/>
  <c r="H1026" i="5"/>
  <c r="G1026" i="5"/>
  <c r="E1026" i="5"/>
  <c r="F1026" i="5" s="1"/>
  <c r="B1026" i="5"/>
  <c r="U1025" i="5"/>
  <c r="T1025" i="5"/>
  <c r="O1025" i="5"/>
  <c r="N1025" i="5"/>
  <c r="M1025" i="5"/>
  <c r="L1025" i="5"/>
  <c r="K1025" i="5"/>
  <c r="J1025" i="5"/>
  <c r="I1025" i="5"/>
  <c r="H1025" i="5"/>
  <c r="G1025" i="5"/>
  <c r="E1025" i="5"/>
  <c r="F1025" i="5" s="1"/>
  <c r="B1025" i="5"/>
  <c r="U1024" i="5"/>
  <c r="T1024" i="5"/>
  <c r="O1024" i="5"/>
  <c r="N1024" i="5"/>
  <c r="M1024" i="5"/>
  <c r="L1024" i="5"/>
  <c r="K1024" i="5"/>
  <c r="J1024" i="5"/>
  <c r="I1024" i="5"/>
  <c r="H1024" i="5"/>
  <c r="G1024" i="5"/>
  <c r="E1024" i="5"/>
  <c r="F1024" i="5" s="1"/>
  <c r="B1024" i="5"/>
  <c r="U1023" i="5"/>
  <c r="T1023" i="5"/>
  <c r="O1023" i="5"/>
  <c r="N1023" i="5"/>
  <c r="M1023" i="5"/>
  <c r="L1023" i="5"/>
  <c r="K1023" i="5"/>
  <c r="J1023" i="5"/>
  <c r="I1023" i="5"/>
  <c r="H1023" i="5"/>
  <c r="G1023" i="5"/>
  <c r="E1023" i="5"/>
  <c r="F1023" i="5" s="1"/>
  <c r="B1023" i="5"/>
  <c r="U1022" i="5"/>
  <c r="T1022" i="5"/>
  <c r="O1022" i="5"/>
  <c r="N1022" i="5"/>
  <c r="M1022" i="5"/>
  <c r="L1022" i="5"/>
  <c r="K1022" i="5"/>
  <c r="J1022" i="5"/>
  <c r="I1022" i="5"/>
  <c r="H1022" i="5"/>
  <c r="G1022" i="5"/>
  <c r="E1022" i="5"/>
  <c r="F1022" i="5" s="1"/>
  <c r="B1022" i="5"/>
  <c r="U1021" i="5"/>
  <c r="T1021" i="5"/>
  <c r="O1021" i="5"/>
  <c r="N1021" i="5"/>
  <c r="M1021" i="5"/>
  <c r="L1021" i="5"/>
  <c r="K1021" i="5"/>
  <c r="J1021" i="5"/>
  <c r="I1021" i="5"/>
  <c r="H1021" i="5"/>
  <c r="G1021" i="5"/>
  <c r="E1021" i="5"/>
  <c r="F1021" i="5" s="1"/>
  <c r="B1021" i="5"/>
  <c r="U1020" i="5"/>
  <c r="T1020" i="5"/>
  <c r="O1020" i="5"/>
  <c r="N1020" i="5"/>
  <c r="M1020" i="5"/>
  <c r="L1020" i="5"/>
  <c r="K1020" i="5"/>
  <c r="J1020" i="5"/>
  <c r="I1020" i="5"/>
  <c r="H1020" i="5"/>
  <c r="G1020" i="5"/>
  <c r="E1020" i="5"/>
  <c r="F1020" i="5" s="1"/>
  <c r="B1020" i="5"/>
  <c r="U1019" i="5"/>
  <c r="T1019" i="5"/>
  <c r="O1019" i="5"/>
  <c r="N1019" i="5"/>
  <c r="M1019" i="5"/>
  <c r="L1019" i="5"/>
  <c r="K1019" i="5"/>
  <c r="J1019" i="5"/>
  <c r="I1019" i="5"/>
  <c r="H1019" i="5"/>
  <c r="G1019" i="5"/>
  <c r="E1019" i="5"/>
  <c r="F1019" i="5" s="1"/>
  <c r="B1019" i="5"/>
  <c r="U1018" i="5"/>
  <c r="T1018" i="5"/>
  <c r="O1018" i="5"/>
  <c r="N1018" i="5"/>
  <c r="M1018" i="5"/>
  <c r="L1018" i="5"/>
  <c r="K1018" i="5"/>
  <c r="J1018" i="5"/>
  <c r="I1018" i="5"/>
  <c r="H1018" i="5"/>
  <c r="G1018" i="5"/>
  <c r="E1018" i="5"/>
  <c r="F1018" i="5" s="1"/>
  <c r="B1018" i="5"/>
  <c r="U1017" i="5"/>
  <c r="T1017" i="5"/>
  <c r="O1017" i="5"/>
  <c r="N1017" i="5"/>
  <c r="M1017" i="5"/>
  <c r="L1017" i="5"/>
  <c r="K1017" i="5"/>
  <c r="J1017" i="5"/>
  <c r="I1017" i="5"/>
  <c r="H1017" i="5"/>
  <c r="G1017" i="5"/>
  <c r="E1017" i="5"/>
  <c r="F1017" i="5" s="1"/>
  <c r="B1017" i="5"/>
  <c r="U1016" i="5"/>
  <c r="T1016" i="5"/>
  <c r="O1016" i="5"/>
  <c r="N1016" i="5"/>
  <c r="M1016" i="5"/>
  <c r="L1016" i="5"/>
  <c r="K1016" i="5"/>
  <c r="J1016" i="5"/>
  <c r="I1016" i="5"/>
  <c r="H1016" i="5"/>
  <c r="G1016" i="5"/>
  <c r="E1016" i="5"/>
  <c r="F1016" i="5" s="1"/>
  <c r="B1016" i="5"/>
  <c r="U1015" i="5"/>
  <c r="T1015" i="5"/>
  <c r="O1015" i="5"/>
  <c r="N1015" i="5"/>
  <c r="M1015" i="5"/>
  <c r="L1015" i="5"/>
  <c r="K1015" i="5"/>
  <c r="J1015" i="5"/>
  <c r="I1015" i="5"/>
  <c r="H1015" i="5"/>
  <c r="G1015" i="5"/>
  <c r="E1015" i="5"/>
  <c r="F1015" i="5" s="1"/>
  <c r="B1015" i="5"/>
  <c r="U1014" i="5"/>
  <c r="T1014" i="5"/>
  <c r="O1014" i="5"/>
  <c r="N1014" i="5"/>
  <c r="M1014" i="5"/>
  <c r="L1014" i="5"/>
  <c r="K1014" i="5"/>
  <c r="J1014" i="5"/>
  <c r="I1014" i="5"/>
  <c r="H1014" i="5"/>
  <c r="G1014" i="5"/>
  <c r="E1014" i="5"/>
  <c r="F1014" i="5" s="1"/>
  <c r="B1014" i="5"/>
  <c r="U1013" i="5"/>
  <c r="T1013" i="5"/>
  <c r="O1013" i="5"/>
  <c r="N1013" i="5"/>
  <c r="M1013" i="5"/>
  <c r="L1013" i="5"/>
  <c r="K1013" i="5"/>
  <c r="J1013" i="5"/>
  <c r="I1013" i="5"/>
  <c r="H1013" i="5"/>
  <c r="G1013" i="5"/>
  <c r="E1013" i="5"/>
  <c r="F1013" i="5" s="1"/>
  <c r="B1013" i="5"/>
  <c r="U1012" i="5"/>
  <c r="T1012" i="5"/>
  <c r="O1012" i="5"/>
  <c r="N1012" i="5"/>
  <c r="M1012" i="5"/>
  <c r="L1012" i="5"/>
  <c r="K1012" i="5"/>
  <c r="J1012" i="5"/>
  <c r="I1012" i="5"/>
  <c r="H1012" i="5"/>
  <c r="G1012" i="5"/>
  <c r="E1012" i="5"/>
  <c r="F1012" i="5" s="1"/>
  <c r="B1012" i="5"/>
  <c r="U1011" i="5"/>
  <c r="T1011" i="5"/>
  <c r="O1011" i="5"/>
  <c r="N1011" i="5"/>
  <c r="M1011" i="5"/>
  <c r="L1011" i="5"/>
  <c r="K1011" i="5"/>
  <c r="J1011" i="5"/>
  <c r="I1011" i="5"/>
  <c r="H1011" i="5"/>
  <c r="G1011" i="5"/>
  <c r="E1011" i="5"/>
  <c r="F1011" i="5" s="1"/>
  <c r="B1011" i="5"/>
  <c r="U1010" i="5"/>
  <c r="T1010" i="5"/>
  <c r="O1010" i="5"/>
  <c r="N1010" i="5"/>
  <c r="M1010" i="5"/>
  <c r="L1010" i="5"/>
  <c r="K1010" i="5"/>
  <c r="J1010" i="5"/>
  <c r="I1010" i="5"/>
  <c r="H1010" i="5"/>
  <c r="G1010" i="5"/>
  <c r="E1010" i="5"/>
  <c r="B1010" i="5"/>
  <c r="U1009" i="5"/>
  <c r="T1009" i="5"/>
  <c r="O1009" i="5"/>
  <c r="N1009" i="5"/>
  <c r="M1009" i="5"/>
  <c r="L1009" i="5"/>
  <c r="K1009" i="5"/>
  <c r="J1009" i="5"/>
  <c r="I1009" i="5"/>
  <c r="H1009" i="5"/>
  <c r="G1009" i="5"/>
  <c r="E1009" i="5"/>
  <c r="F1009" i="5" s="1"/>
  <c r="B1009" i="5"/>
  <c r="U1008" i="5"/>
  <c r="T1008" i="5"/>
  <c r="O1008" i="5"/>
  <c r="N1008" i="5"/>
  <c r="M1008" i="5"/>
  <c r="L1008" i="5"/>
  <c r="K1008" i="5"/>
  <c r="J1008" i="5"/>
  <c r="I1008" i="5"/>
  <c r="H1008" i="5"/>
  <c r="G1008" i="5"/>
  <c r="E1008" i="5"/>
  <c r="F1008" i="5" s="1"/>
  <c r="B1008" i="5"/>
  <c r="U1007" i="5"/>
  <c r="T1007" i="5"/>
  <c r="O1007" i="5"/>
  <c r="N1007" i="5"/>
  <c r="M1007" i="5"/>
  <c r="L1007" i="5"/>
  <c r="K1007" i="5"/>
  <c r="J1007" i="5"/>
  <c r="I1007" i="5"/>
  <c r="H1007" i="5"/>
  <c r="G1007" i="5"/>
  <c r="E1007" i="5"/>
  <c r="F1007" i="5" s="1"/>
  <c r="B1007" i="5"/>
  <c r="U1006" i="5"/>
  <c r="T1006" i="5"/>
  <c r="O1006" i="5"/>
  <c r="N1006" i="5"/>
  <c r="M1006" i="5"/>
  <c r="L1006" i="5"/>
  <c r="K1006" i="5"/>
  <c r="J1006" i="5"/>
  <c r="I1006" i="5"/>
  <c r="H1006" i="5"/>
  <c r="G1006" i="5"/>
  <c r="E1006" i="5"/>
  <c r="F1006" i="5" s="1"/>
  <c r="B1006" i="5"/>
  <c r="U1005" i="5"/>
  <c r="T1005" i="5"/>
  <c r="O1005" i="5"/>
  <c r="N1005" i="5"/>
  <c r="M1005" i="5"/>
  <c r="L1005" i="5"/>
  <c r="K1005" i="5"/>
  <c r="J1005" i="5"/>
  <c r="I1005" i="5"/>
  <c r="H1005" i="5"/>
  <c r="G1005" i="5"/>
  <c r="E1005" i="5"/>
  <c r="F1005" i="5" s="1"/>
  <c r="B1005" i="5"/>
  <c r="Y1004" i="5"/>
  <c r="U1004" i="5"/>
  <c r="T1004" i="5"/>
  <c r="O1004" i="5"/>
  <c r="N1004" i="5"/>
  <c r="M1004" i="5"/>
  <c r="L1004" i="5"/>
  <c r="K1004" i="5"/>
  <c r="J1004" i="5"/>
  <c r="I1004" i="5"/>
  <c r="H1004" i="5"/>
  <c r="G1004" i="5"/>
  <c r="E1004" i="5"/>
  <c r="F1004" i="5" s="1"/>
  <c r="B1004" i="5"/>
  <c r="U1003" i="5"/>
  <c r="T1003" i="5"/>
  <c r="O1003" i="5"/>
  <c r="N1003" i="5"/>
  <c r="M1003" i="5"/>
  <c r="L1003" i="5"/>
  <c r="K1003" i="5"/>
  <c r="J1003" i="5"/>
  <c r="I1003" i="5"/>
  <c r="H1003" i="5"/>
  <c r="G1003" i="5"/>
  <c r="E1003" i="5"/>
  <c r="F1003" i="5" s="1"/>
  <c r="B1003" i="5"/>
  <c r="U1002" i="5"/>
  <c r="T1002" i="5"/>
  <c r="O1002" i="5"/>
  <c r="N1002" i="5"/>
  <c r="M1002" i="5"/>
  <c r="L1002" i="5"/>
  <c r="K1002" i="5"/>
  <c r="J1002" i="5"/>
  <c r="I1002" i="5"/>
  <c r="H1002" i="5"/>
  <c r="G1002" i="5"/>
  <c r="E1002" i="5"/>
  <c r="F1002" i="5" s="1"/>
  <c r="B1002" i="5"/>
  <c r="U1001" i="5"/>
  <c r="T1001" i="5"/>
  <c r="O1001" i="5"/>
  <c r="N1001" i="5"/>
  <c r="M1001" i="5"/>
  <c r="L1001" i="5"/>
  <c r="K1001" i="5"/>
  <c r="J1001" i="5"/>
  <c r="I1001" i="5"/>
  <c r="H1001" i="5"/>
  <c r="G1001" i="5"/>
  <c r="E1001" i="5"/>
  <c r="F1001" i="5" s="1"/>
  <c r="B1001" i="5"/>
  <c r="U1000" i="5"/>
  <c r="T1000" i="5"/>
  <c r="O1000" i="5"/>
  <c r="N1000" i="5"/>
  <c r="M1000" i="5"/>
  <c r="L1000" i="5"/>
  <c r="K1000" i="5"/>
  <c r="J1000" i="5"/>
  <c r="I1000" i="5"/>
  <c r="H1000" i="5"/>
  <c r="G1000" i="5"/>
  <c r="E1000" i="5"/>
  <c r="F1000" i="5" s="1"/>
  <c r="B1000" i="5"/>
  <c r="U999" i="5"/>
  <c r="T999" i="5"/>
  <c r="O999" i="5"/>
  <c r="N999" i="5"/>
  <c r="M999" i="5"/>
  <c r="L999" i="5"/>
  <c r="K999" i="5"/>
  <c r="J999" i="5"/>
  <c r="I999" i="5"/>
  <c r="H999" i="5"/>
  <c r="G999" i="5"/>
  <c r="E999" i="5"/>
  <c r="F999" i="5" s="1"/>
  <c r="B999" i="5"/>
  <c r="U998" i="5"/>
  <c r="T998" i="5"/>
  <c r="O998" i="5"/>
  <c r="N998" i="5"/>
  <c r="M998" i="5"/>
  <c r="L998" i="5"/>
  <c r="K998" i="5"/>
  <c r="J998" i="5"/>
  <c r="I998" i="5"/>
  <c r="H998" i="5"/>
  <c r="G998" i="5"/>
  <c r="E998" i="5"/>
  <c r="F998" i="5" s="1"/>
  <c r="B998" i="5"/>
  <c r="U997" i="5"/>
  <c r="T997" i="5"/>
  <c r="O997" i="5"/>
  <c r="N997" i="5"/>
  <c r="M997" i="5"/>
  <c r="L997" i="5"/>
  <c r="K997" i="5"/>
  <c r="J997" i="5"/>
  <c r="I997" i="5"/>
  <c r="H997" i="5"/>
  <c r="G997" i="5"/>
  <c r="E997" i="5"/>
  <c r="F997" i="5" s="1"/>
  <c r="B997" i="5"/>
  <c r="U996" i="5"/>
  <c r="U1072" i="5" s="1"/>
  <c r="T996" i="5"/>
  <c r="T1072" i="5" s="1"/>
  <c r="O996" i="5"/>
  <c r="N996" i="5"/>
  <c r="M996" i="5"/>
  <c r="L996" i="5"/>
  <c r="K996" i="5"/>
  <c r="J996" i="5"/>
  <c r="I996" i="5"/>
  <c r="H996" i="5"/>
  <c r="G996" i="5"/>
  <c r="E996" i="5"/>
  <c r="F996" i="5" s="1"/>
  <c r="B996" i="5"/>
  <c r="W996" i="5" s="1"/>
  <c r="U995" i="5"/>
  <c r="T995" i="5"/>
  <c r="O995" i="5"/>
  <c r="N995" i="5"/>
  <c r="M995" i="5"/>
  <c r="L995" i="5"/>
  <c r="K995" i="5"/>
  <c r="J995" i="5"/>
  <c r="I995" i="5"/>
  <c r="H995" i="5"/>
  <c r="G995" i="5"/>
  <c r="E995" i="5"/>
  <c r="F995" i="5" s="1"/>
  <c r="B995" i="5"/>
  <c r="U994" i="5"/>
  <c r="T994" i="5"/>
  <c r="O994" i="5"/>
  <c r="N994" i="5"/>
  <c r="M994" i="5"/>
  <c r="L994" i="5"/>
  <c r="K994" i="5"/>
  <c r="J994" i="5"/>
  <c r="I994" i="5"/>
  <c r="H994" i="5"/>
  <c r="G994" i="5"/>
  <c r="E994" i="5"/>
  <c r="F994" i="5" s="1"/>
  <c r="B994" i="5"/>
  <c r="U993" i="5"/>
  <c r="T993" i="5"/>
  <c r="O993" i="5"/>
  <c r="N993" i="5"/>
  <c r="M993" i="5"/>
  <c r="L993" i="5"/>
  <c r="K993" i="5"/>
  <c r="J993" i="5"/>
  <c r="I993" i="5"/>
  <c r="H993" i="5"/>
  <c r="G993" i="5"/>
  <c r="E993" i="5"/>
  <c r="F993" i="5" s="1"/>
  <c r="B993" i="5"/>
  <c r="U992" i="5"/>
  <c r="T992" i="5"/>
  <c r="O992" i="5"/>
  <c r="N992" i="5"/>
  <c r="M992" i="5"/>
  <c r="L992" i="5"/>
  <c r="K992" i="5"/>
  <c r="J992" i="5"/>
  <c r="I992" i="5"/>
  <c r="H992" i="5"/>
  <c r="G992" i="5"/>
  <c r="E992" i="5"/>
  <c r="F992" i="5" s="1"/>
  <c r="B992" i="5"/>
  <c r="U991" i="5"/>
  <c r="T991" i="5"/>
  <c r="O991" i="5"/>
  <c r="N991" i="5"/>
  <c r="M991" i="5"/>
  <c r="L991" i="5"/>
  <c r="K991" i="5"/>
  <c r="J991" i="5"/>
  <c r="I991" i="5"/>
  <c r="H991" i="5"/>
  <c r="G991" i="5"/>
  <c r="E991" i="5"/>
  <c r="F991" i="5" s="1"/>
  <c r="B991" i="5"/>
  <c r="U990" i="5"/>
  <c r="T990" i="5"/>
  <c r="O990" i="5"/>
  <c r="N990" i="5"/>
  <c r="M990" i="5"/>
  <c r="L990" i="5"/>
  <c r="K990" i="5"/>
  <c r="J990" i="5"/>
  <c r="I990" i="5"/>
  <c r="H990" i="5"/>
  <c r="G990" i="5"/>
  <c r="E990" i="5"/>
  <c r="F990" i="5" s="1"/>
  <c r="B990" i="5"/>
  <c r="U989" i="5"/>
  <c r="T989" i="5"/>
  <c r="O989" i="5"/>
  <c r="N989" i="5"/>
  <c r="M989" i="5"/>
  <c r="L989" i="5"/>
  <c r="K989" i="5"/>
  <c r="J989" i="5"/>
  <c r="I989" i="5"/>
  <c r="H989" i="5"/>
  <c r="G989" i="5"/>
  <c r="E989" i="5"/>
  <c r="F989" i="5" s="1"/>
  <c r="B989" i="5"/>
  <c r="U988" i="5"/>
  <c r="T988" i="5"/>
  <c r="O988" i="5"/>
  <c r="N988" i="5"/>
  <c r="M988" i="5"/>
  <c r="L988" i="5"/>
  <c r="K988" i="5"/>
  <c r="J988" i="5"/>
  <c r="I988" i="5"/>
  <c r="H988" i="5"/>
  <c r="G988" i="5"/>
  <c r="E988" i="5"/>
  <c r="F988" i="5" s="1"/>
  <c r="B988" i="5"/>
  <c r="U987" i="5"/>
  <c r="T987" i="5"/>
  <c r="O987" i="5"/>
  <c r="N987" i="5"/>
  <c r="M987" i="5"/>
  <c r="L987" i="5"/>
  <c r="K987" i="5"/>
  <c r="J987" i="5"/>
  <c r="I987" i="5"/>
  <c r="H987" i="5"/>
  <c r="G987" i="5"/>
  <c r="E987" i="5"/>
  <c r="F987" i="5" s="1"/>
  <c r="B987" i="5"/>
  <c r="U986" i="5"/>
  <c r="T986" i="5"/>
  <c r="O986" i="5"/>
  <c r="N986" i="5"/>
  <c r="M986" i="5"/>
  <c r="L986" i="5"/>
  <c r="K986" i="5"/>
  <c r="J986" i="5"/>
  <c r="I986" i="5"/>
  <c r="H986" i="5"/>
  <c r="G986" i="5"/>
  <c r="E986" i="5"/>
  <c r="F986" i="5" s="1"/>
  <c r="B986" i="5"/>
  <c r="U985" i="5"/>
  <c r="T985" i="5"/>
  <c r="O985" i="5"/>
  <c r="N985" i="5"/>
  <c r="M985" i="5"/>
  <c r="L985" i="5"/>
  <c r="K985" i="5"/>
  <c r="J985" i="5"/>
  <c r="I985" i="5"/>
  <c r="H985" i="5"/>
  <c r="G985" i="5"/>
  <c r="E985" i="5"/>
  <c r="F985" i="5" s="1"/>
  <c r="B985" i="5"/>
  <c r="U984" i="5"/>
  <c r="T984" i="5"/>
  <c r="O984" i="5"/>
  <c r="N984" i="5"/>
  <c r="M984" i="5"/>
  <c r="L984" i="5"/>
  <c r="K984" i="5"/>
  <c r="J984" i="5"/>
  <c r="I984" i="5"/>
  <c r="H984" i="5"/>
  <c r="G984" i="5"/>
  <c r="E984" i="5"/>
  <c r="F984" i="5" s="1"/>
  <c r="B984" i="5"/>
  <c r="U983" i="5"/>
  <c r="T983" i="5"/>
  <c r="O983" i="5"/>
  <c r="N983" i="5"/>
  <c r="M983" i="5"/>
  <c r="L983" i="5"/>
  <c r="K983" i="5"/>
  <c r="J983" i="5"/>
  <c r="I983" i="5"/>
  <c r="H983" i="5"/>
  <c r="G983" i="5"/>
  <c r="E983" i="5"/>
  <c r="F983" i="5" s="1"/>
  <c r="B983" i="5"/>
  <c r="U982" i="5"/>
  <c r="T982" i="5"/>
  <c r="O982" i="5"/>
  <c r="N982" i="5"/>
  <c r="M982" i="5"/>
  <c r="L982" i="5"/>
  <c r="K982" i="5"/>
  <c r="J982" i="5"/>
  <c r="I982" i="5"/>
  <c r="H982" i="5"/>
  <c r="G982" i="5"/>
  <c r="E982" i="5"/>
  <c r="F982" i="5" s="1"/>
  <c r="B982" i="5"/>
  <c r="U981" i="5"/>
  <c r="T981" i="5"/>
  <c r="O981" i="5"/>
  <c r="N981" i="5"/>
  <c r="M981" i="5"/>
  <c r="L981" i="5"/>
  <c r="K981" i="5"/>
  <c r="J981" i="5"/>
  <c r="I981" i="5"/>
  <c r="H981" i="5"/>
  <c r="G981" i="5"/>
  <c r="E981" i="5"/>
  <c r="F981" i="5" s="1"/>
  <c r="B981" i="5"/>
  <c r="U980" i="5"/>
  <c r="T980" i="5"/>
  <c r="O980" i="5"/>
  <c r="N980" i="5"/>
  <c r="M980" i="5"/>
  <c r="L980" i="5"/>
  <c r="K980" i="5"/>
  <c r="J980" i="5"/>
  <c r="I980" i="5"/>
  <c r="H980" i="5"/>
  <c r="G980" i="5"/>
  <c r="E980" i="5"/>
  <c r="F980" i="5" s="1"/>
  <c r="B980" i="5"/>
  <c r="U979" i="5"/>
  <c r="T979" i="5"/>
  <c r="O979" i="5"/>
  <c r="N979" i="5"/>
  <c r="M979" i="5"/>
  <c r="L979" i="5"/>
  <c r="K979" i="5"/>
  <c r="J979" i="5"/>
  <c r="I979" i="5"/>
  <c r="H979" i="5"/>
  <c r="G979" i="5"/>
  <c r="E979" i="5"/>
  <c r="F979" i="5" s="1"/>
  <c r="B979" i="5"/>
  <c r="U978" i="5"/>
  <c r="T978" i="5"/>
  <c r="O978" i="5"/>
  <c r="N978" i="5"/>
  <c r="M978" i="5"/>
  <c r="L978" i="5"/>
  <c r="K978" i="5"/>
  <c r="J978" i="5"/>
  <c r="I978" i="5"/>
  <c r="H978" i="5"/>
  <c r="G978" i="5"/>
  <c r="E978" i="5"/>
  <c r="F978" i="5" s="1"/>
  <c r="B978" i="5"/>
  <c r="U977" i="5"/>
  <c r="T977" i="5"/>
  <c r="O977" i="5"/>
  <c r="N977" i="5"/>
  <c r="M977" i="5"/>
  <c r="L977" i="5"/>
  <c r="K977" i="5"/>
  <c r="J977" i="5"/>
  <c r="I977" i="5"/>
  <c r="H977" i="5"/>
  <c r="G977" i="5"/>
  <c r="E977" i="5"/>
  <c r="F977" i="5" s="1"/>
  <c r="B977" i="5"/>
  <c r="U976" i="5"/>
  <c r="T976" i="5"/>
  <c r="O976" i="5"/>
  <c r="N976" i="5"/>
  <c r="M976" i="5"/>
  <c r="L976" i="5"/>
  <c r="K976" i="5"/>
  <c r="J976" i="5"/>
  <c r="I976" i="5"/>
  <c r="H976" i="5"/>
  <c r="G976" i="5"/>
  <c r="E976" i="5"/>
  <c r="F976" i="5" s="1"/>
  <c r="B976" i="5"/>
  <c r="U975" i="5"/>
  <c r="T975" i="5"/>
  <c r="O975" i="5"/>
  <c r="N975" i="5"/>
  <c r="M975" i="5"/>
  <c r="L975" i="5"/>
  <c r="K975" i="5"/>
  <c r="J975" i="5"/>
  <c r="I975" i="5"/>
  <c r="H975" i="5"/>
  <c r="G975" i="5"/>
  <c r="E975" i="5"/>
  <c r="F975" i="5" s="1"/>
  <c r="B975" i="5"/>
  <c r="U974" i="5"/>
  <c r="T974" i="5"/>
  <c r="O974" i="5"/>
  <c r="N974" i="5"/>
  <c r="M974" i="5"/>
  <c r="L974" i="5"/>
  <c r="K974" i="5"/>
  <c r="J974" i="5"/>
  <c r="I974" i="5"/>
  <c r="H974" i="5"/>
  <c r="G974" i="5"/>
  <c r="E974" i="5"/>
  <c r="F974" i="5" s="1"/>
  <c r="B974" i="5"/>
  <c r="U973" i="5"/>
  <c r="T973" i="5"/>
  <c r="O973" i="5"/>
  <c r="N973" i="5"/>
  <c r="M973" i="5"/>
  <c r="L973" i="5"/>
  <c r="K973" i="5"/>
  <c r="J973" i="5"/>
  <c r="I973" i="5"/>
  <c r="H973" i="5"/>
  <c r="G973" i="5"/>
  <c r="E973" i="5"/>
  <c r="F973" i="5" s="1"/>
  <c r="B973" i="5"/>
  <c r="U972" i="5"/>
  <c r="T972" i="5"/>
  <c r="O972" i="5"/>
  <c r="N972" i="5"/>
  <c r="M972" i="5"/>
  <c r="L972" i="5"/>
  <c r="K972" i="5"/>
  <c r="J972" i="5"/>
  <c r="I972" i="5"/>
  <c r="H972" i="5"/>
  <c r="G972" i="5"/>
  <c r="E972" i="5"/>
  <c r="F972" i="5" s="1"/>
  <c r="B972" i="5"/>
  <c r="U971" i="5"/>
  <c r="T971" i="5"/>
  <c r="O971" i="5"/>
  <c r="N971" i="5"/>
  <c r="M971" i="5"/>
  <c r="L971" i="5"/>
  <c r="K971" i="5"/>
  <c r="J971" i="5"/>
  <c r="I971" i="5"/>
  <c r="H971" i="5"/>
  <c r="G971" i="5"/>
  <c r="E971" i="5"/>
  <c r="F971" i="5" s="1"/>
  <c r="B971" i="5"/>
  <c r="U970" i="5"/>
  <c r="T970" i="5"/>
  <c r="O970" i="5"/>
  <c r="N970" i="5"/>
  <c r="M970" i="5"/>
  <c r="L970" i="5"/>
  <c r="K970" i="5"/>
  <c r="J970" i="5"/>
  <c r="I970" i="5"/>
  <c r="H970" i="5"/>
  <c r="G970" i="5"/>
  <c r="E970" i="5"/>
  <c r="F970" i="5" s="1"/>
  <c r="B970" i="5"/>
  <c r="U969" i="5"/>
  <c r="T969" i="5"/>
  <c r="O969" i="5"/>
  <c r="N969" i="5"/>
  <c r="M969" i="5"/>
  <c r="L969" i="5"/>
  <c r="K969" i="5"/>
  <c r="J969" i="5"/>
  <c r="I969" i="5"/>
  <c r="H969" i="5"/>
  <c r="G969" i="5"/>
  <c r="E969" i="5"/>
  <c r="F969" i="5" s="1"/>
  <c r="B969" i="5"/>
  <c r="U968" i="5"/>
  <c r="T968" i="5"/>
  <c r="O968" i="5"/>
  <c r="N968" i="5"/>
  <c r="M968" i="5"/>
  <c r="L968" i="5"/>
  <c r="K968" i="5"/>
  <c r="J968" i="5"/>
  <c r="I968" i="5"/>
  <c r="H968" i="5"/>
  <c r="G968" i="5"/>
  <c r="E968" i="5"/>
  <c r="F968" i="5" s="1"/>
  <c r="B968" i="5"/>
  <c r="U967" i="5"/>
  <c r="T967" i="5"/>
  <c r="O967" i="5"/>
  <c r="N967" i="5"/>
  <c r="M967" i="5"/>
  <c r="L967" i="5"/>
  <c r="K967" i="5"/>
  <c r="J967" i="5"/>
  <c r="I967" i="5"/>
  <c r="H967" i="5"/>
  <c r="G967" i="5"/>
  <c r="E967" i="5"/>
  <c r="F967" i="5" s="1"/>
  <c r="B967" i="5"/>
  <c r="U966" i="5"/>
  <c r="T966" i="5"/>
  <c r="O966" i="5"/>
  <c r="N966" i="5"/>
  <c r="M966" i="5"/>
  <c r="L966" i="5"/>
  <c r="K966" i="5"/>
  <c r="J966" i="5"/>
  <c r="I966" i="5"/>
  <c r="H966" i="5"/>
  <c r="G966" i="5"/>
  <c r="E966" i="5"/>
  <c r="F966" i="5" s="1"/>
  <c r="B966" i="5"/>
  <c r="U965" i="5"/>
  <c r="T965" i="5"/>
  <c r="O965" i="5"/>
  <c r="N965" i="5"/>
  <c r="M965" i="5"/>
  <c r="L965" i="5"/>
  <c r="K965" i="5"/>
  <c r="J965" i="5"/>
  <c r="I965" i="5"/>
  <c r="H965" i="5"/>
  <c r="G965" i="5"/>
  <c r="E965" i="5"/>
  <c r="F965" i="5" s="1"/>
  <c r="B965" i="5"/>
  <c r="U964" i="5"/>
  <c r="T964" i="5"/>
  <c r="O964" i="5"/>
  <c r="N964" i="5"/>
  <c r="M964" i="5"/>
  <c r="L964" i="5"/>
  <c r="K964" i="5"/>
  <c r="J964" i="5"/>
  <c r="I964" i="5"/>
  <c r="H964" i="5"/>
  <c r="G964" i="5"/>
  <c r="E964" i="5"/>
  <c r="F964" i="5" s="1"/>
  <c r="B964" i="5"/>
  <c r="U963" i="5"/>
  <c r="T963" i="5"/>
  <c r="O963" i="5"/>
  <c r="N963" i="5"/>
  <c r="M963" i="5"/>
  <c r="L963" i="5"/>
  <c r="K963" i="5"/>
  <c r="J963" i="5"/>
  <c r="I963" i="5"/>
  <c r="H963" i="5"/>
  <c r="G963" i="5"/>
  <c r="E963" i="5"/>
  <c r="F963" i="5" s="1"/>
  <c r="B963" i="5"/>
  <c r="U962" i="5"/>
  <c r="T962" i="5"/>
  <c r="O962" i="5"/>
  <c r="N962" i="5"/>
  <c r="M962" i="5"/>
  <c r="L962" i="5"/>
  <c r="K962" i="5"/>
  <c r="J962" i="5"/>
  <c r="I962" i="5"/>
  <c r="H962" i="5"/>
  <c r="G962" i="5"/>
  <c r="E962" i="5"/>
  <c r="F962" i="5" s="1"/>
  <c r="B962" i="5"/>
  <c r="U961" i="5"/>
  <c r="T961" i="5"/>
  <c r="O961" i="5"/>
  <c r="N961" i="5"/>
  <c r="M961" i="5"/>
  <c r="L961" i="5"/>
  <c r="K961" i="5"/>
  <c r="J961" i="5"/>
  <c r="I961" i="5"/>
  <c r="H961" i="5"/>
  <c r="G961" i="5"/>
  <c r="E961" i="5"/>
  <c r="F961" i="5" s="1"/>
  <c r="B961" i="5"/>
  <c r="U960" i="5"/>
  <c r="T960" i="5"/>
  <c r="O960" i="5"/>
  <c r="N960" i="5"/>
  <c r="M960" i="5"/>
  <c r="L960" i="5"/>
  <c r="K960" i="5"/>
  <c r="J960" i="5"/>
  <c r="I960" i="5"/>
  <c r="H960" i="5"/>
  <c r="G960" i="5"/>
  <c r="E960" i="5"/>
  <c r="F960" i="5" s="1"/>
  <c r="B960" i="5"/>
  <c r="U959" i="5"/>
  <c r="T959" i="5"/>
  <c r="O959" i="5"/>
  <c r="N959" i="5"/>
  <c r="M959" i="5"/>
  <c r="L959" i="5"/>
  <c r="K959" i="5"/>
  <c r="J959" i="5"/>
  <c r="I959" i="5"/>
  <c r="H959" i="5"/>
  <c r="G959" i="5"/>
  <c r="E959" i="5"/>
  <c r="F959" i="5" s="1"/>
  <c r="B959" i="5"/>
  <c r="U958" i="5"/>
  <c r="T958" i="5"/>
  <c r="O958" i="5"/>
  <c r="N958" i="5"/>
  <c r="M958" i="5"/>
  <c r="L958" i="5"/>
  <c r="K958" i="5"/>
  <c r="J958" i="5"/>
  <c r="I958" i="5"/>
  <c r="H958" i="5"/>
  <c r="G958" i="5"/>
  <c r="E958" i="5"/>
  <c r="F958" i="5" s="1"/>
  <c r="B958" i="5"/>
  <c r="W958" i="5" s="1"/>
  <c r="U957" i="5"/>
  <c r="T957" i="5"/>
  <c r="O957" i="5"/>
  <c r="N957" i="5"/>
  <c r="M957" i="5"/>
  <c r="L957" i="5"/>
  <c r="K957" i="5"/>
  <c r="J957" i="5"/>
  <c r="I957" i="5"/>
  <c r="H957" i="5"/>
  <c r="G957" i="5"/>
  <c r="E957" i="5"/>
  <c r="F957" i="5" s="1"/>
  <c r="B957" i="5"/>
  <c r="U956" i="5"/>
  <c r="T956" i="5"/>
  <c r="O956" i="5"/>
  <c r="N956" i="5"/>
  <c r="M956" i="5"/>
  <c r="L956" i="5"/>
  <c r="K956" i="5"/>
  <c r="J956" i="5"/>
  <c r="I956" i="5"/>
  <c r="H956" i="5"/>
  <c r="G956" i="5"/>
  <c r="E956" i="5"/>
  <c r="F956" i="5" s="1"/>
  <c r="B956" i="5"/>
  <c r="U955" i="5"/>
  <c r="T955" i="5"/>
  <c r="O955" i="5"/>
  <c r="N955" i="5"/>
  <c r="M955" i="5"/>
  <c r="L955" i="5"/>
  <c r="K955" i="5"/>
  <c r="J955" i="5"/>
  <c r="I955" i="5"/>
  <c r="H955" i="5"/>
  <c r="G955" i="5"/>
  <c r="E955" i="5"/>
  <c r="F955" i="5" s="1"/>
  <c r="B955" i="5"/>
  <c r="U954" i="5"/>
  <c r="T954" i="5"/>
  <c r="O954" i="5"/>
  <c r="N954" i="5"/>
  <c r="M954" i="5"/>
  <c r="L954" i="5"/>
  <c r="K954" i="5"/>
  <c r="J954" i="5"/>
  <c r="I954" i="5"/>
  <c r="H954" i="5"/>
  <c r="G954" i="5"/>
  <c r="E954" i="5"/>
  <c r="F954" i="5" s="1"/>
  <c r="B954" i="5"/>
  <c r="U953" i="5"/>
  <c r="T953" i="5"/>
  <c r="O953" i="5"/>
  <c r="N953" i="5"/>
  <c r="M953" i="5"/>
  <c r="L953" i="5"/>
  <c r="K953" i="5"/>
  <c r="J953" i="5"/>
  <c r="I953" i="5"/>
  <c r="H953" i="5"/>
  <c r="G953" i="5"/>
  <c r="E953" i="5"/>
  <c r="F953" i="5" s="1"/>
  <c r="B953" i="5"/>
  <c r="U952" i="5"/>
  <c r="T952" i="5"/>
  <c r="O952" i="5"/>
  <c r="N952" i="5"/>
  <c r="M952" i="5"/>
  <c r="L952" i="5"/>
  <c r="K952" i="5"/>
  <c r="J952" i="5"/>
  <c r="I952" i="5"/>
  <c r="H952" i="5"/>
  <c r="G952" i="5"/>
  <c r="E952" i="5"/>
  <c r="F952" i="5" s="1"/>
  <c r="B952" i="5"/>
  <c r="U951" i="5"/>
  <c r="T951" i="5"/>
  <c r="O951" i="5"/>
  <c r="N951" i="5"/>
  <c r="M951" i="5"/>
  <c r="L951" i="5"/>
  <c r="K951" i="5"/>
  <c r="J951" i="5"/>
  <c r="I951" i="5"/>
  <c r="H951" i="5"/>
  <c r="G951" i="5"/>
  <c r="E951" i="5"/>
  <c r="F951" i="5" s="1"/>
  <c r="B951" i="5"/>
  <c r="U950" i="5"/>
  <c r="T950" i="5"/>
  <c r="O950" i="5"/>
  <c r="N950" i="5"/>
  <c r="M950" i="5"/>
  <c r="L950" i="5"/>
  <c r="K950" i="5"/>
  <c r="J950" i="5"/>
  <c r="I950" i="5"/>
  <c r="H950" i="5"/>
  <c r="G950" i="5"/>
  <c r="E950" i="5"/>
  <c r="F950" i="5" s="1"/>
  <c r="B950" i="5"/>
  <c r="U949" i="5"/>
  <c r="T949" i="5"/>
  <c r="O949" i="5"/>
  <c r="N949" i="5"/>
  <c r="M949" i="5"/>
  <c r="L949" i="5"/>
  <c r="K949" i="5"/>
  <c r="J949" i="5"/>
  <c r="I949" i="5"/>
  <c r="H949" i="5"/>
  <c r="G949" i="5"/>
  <c r="E949" i="5"/>
  <c r="F949" i="5" s="1"/>
  <c r="B949" i="5"/>
  <c r="U948" i="5"/>
  <c r="T948" i="5"/>
  <c r="O948" i="5"/>
  <c r="N948" i="5"/>
  <c r="M948" i="5"/>
  <c r="L948" i="5"/>
  <c r="K948" i="5"/>
  <c r="J948" i="5"/>
  <c r="I948" i="5"/>
  <c r="H948" i="5"/>
  <c r="G948" i="5"/>
  <c r="E948" i="5"/>
  <c r="F948" i="5" s="1"/>
  <c r="B948" i="5"/>
  <c r="U947" i="5"/>
  <c r="T947" i="5"/>
  <c r="O947" i="5"/>
  <c r="N947" i="5"/>
  <c r="M947" i="5"/>
  <c r="L947" i="5"/>
  <c r="K947" i="5"/>
  <c r="J947" i="5"/>
  <c r="I947" i="5"/>
  <c r="H947" i="5"/>
  <c r="G947" i="5"/>
  <c r="E947" i="5"/>
  <c r="F947" i="5" s="1"/>
  <c r="B947" i="5"/>
  <c r="U946" i="5"/>
  <c r="T946" i="5"/>
  <c r="O946" i="5"/>
  <c r="N946" i="5"/>
  <c r="M946" i="5"/>
  <c r="L946" i="5"/>
  <c r="K946" i="5"/>
  <c r="J946" i="5"/>
  <c r="I946" i="5"/>
  <c r="H946" i="5"/>
  <c r="G946" i="5"/>
  <c r="E946" i="5"/>
  <c r="F946" i="5" s="1"/>
  <c r="B946" i="5"/>
  <c r="U945" i="5"/>
  <c r="T945" i="5"/>
  <c r="O945" i="5"/>
  <c r="N945" i="5"/>
  <c r="M945" i="5"/>
  <c r="L945" i="5"/>
  <c r="K945" i="5"/>
  <c r="J945" i="5"/>
  <c r="I945" i="5"/>
  <c r="H945" i="5"/>
  <c r="G945" i="5"/>
  <c r="E945" i="5"/>
  <c r="F945" i="5" s="1"/>
  <c r="B945" i="5"/>
  <c r="U944" i="5"/>
  <c r="T944" i="5"/>
  <c r="O944" i="5"/>
  <c r="N944" i="5"/>
  <c r="M944" i="5"/>
  <c r="L944" i="5"/>
  <c r="K944" i="5"/>
  <c r="J944" i="5"/>
  <c r="I944" i="5"/>
  <c r="H944" i="5"/>
  <c r="G944" i="5"/>
  <c r="E944" i="5"/>
  <c r="B944" i="5"/>
  <c r="U943" i="5"/>
  <c r="T943" i="5"/>
  <c r="O943" i="5"/>
  <c r="N943" i="5"/>
  <c r="M943" i="5"/>
  <c r="L943" i="5"/>
  <c r="K943" i="5"/>
  <c r="J943" i="5"/>
  <c r="I943" i="5"/>
  <c r="H943" i="5"/>
  <c r="G943" i="5"/>
  <c r="E943" i="5"/>
  <c r="F943" i="5" s="1"/>
  <c r="B943" i="5"/>
  <c r="U942" i="5"/>
  <c r="T942" i="5"/>
  <c r="O942" i="5"/>
  <c r="N942" i="5"/>
  <c r="M942" i="5"/>
  <c r="L942" i="5"/>
  <c r="K942" i="5"/>
  <c r="J942" i="5"/>
  <c r="I942" i="5"/>
  <c r="H942" i="5"/>
  <c r="G942" i="5"/>
  <c r="E942" i="5"/>
  <c r="F942" i="5" s="1"/>
  <c r="B942" i="5"/>
  <c r="U941" i="5"/>
  <c r="T941" i="5"/>
  <c r="O941" i="5"/>
  <c r="N941" i="5"/>
  <c r="M941" i="5"/>
  <c r="L941" i="5"/>
  <c r="K941" i="5"/>
  <c r="J941" i="5"/>
  <c r="I941" i="5"/>
  <c r="H941" i="5"/>
  <c r="G941" i="5"/>
  <c r="E941" i="5"/>
  <c r="F941" i="5" s="1"/>
  <c r="B941" i="5"/>
  <c r="U940" i="5"/>
  <c r="T940" i="5"/>
  <c r="O940" i="5"/>
  <c r="N940" i="5"/>
  <c r="M940" i="5"/>
  <c r="L940" i="5"/>
  <c r="K940" i="5"/>
  <c r="J940" i="5"/>
  <c r="I940" i="5"/>
  <c r="H940" i="5"/>
  <c r="G940" i="5"/>
  <c r="E940" i="5"/>
  <c r="F940" i="5" s="1"/>
  <c r="B940" i="5"/>
  <c r="U939" i="5"/>
  <c r="T939" i="5"/>
  <c r="O939" i="5"/>
  <c r="N939" i="5"/>
  <c r="M939" i="5"/>
  <c r="L939" i="5"/>
  <c r="K939" i="5"/>
  <c r="J939" i="5"/>
  <c r="I939" i="5"/>
  <c r="H939" i="5"/>
  <c r="G939" i="5"/>
  <c r="E939" i="5"/>
  <c r="F939" i="5" s="1"/>
  <c r="B939" i="5"/>
  <c r="U938" i="5"/>
  <c r="T938" i="5"/>
  <c r="O938" i="5"/>
  <c r="N938" i="5"/>
  <c r="M938" i="5"/>
  <c r="L938" i="5"/>
  <c r="K938" i="5"/>
  <c r="J938" i="5"/>
  <c r="I938" i="5"/>
  <c r="H938" i="5"/>
  <c r="G938" i="5"/>
  <c r="E938" i="5"/>
  <c r="F938" i="5" s="1"/>
  <c r="B938" i="5"/>
  <c r="U937" i="5"/>
  <c r="T937" i="5"/>
  <c r="O937" i="5"/>
  <c r="N937" i="5"/>
  <c r="M937" i="5"/>
  <c r="L937" i="5"/>
  <c r="K937" i="5"/>
  <c r="J937" i="5"/>
  <c r="I937" i="5"/>
  <c r="H937" i="5"/>
  <c r="G937" i="5"/>
  <c r="E937" i="5"/>
  <c r="F937" i="5" s="1"/>
  <c r="B937" i="5"/>
  <c r="U936" i="5"/>
  <c r="T936" i="5"/>
  <c r="O936" i="5"/>
  <c r="N936" i="5"/>
  <c r="M936" i="5"/>
  <c r="L936" i="5"/>
  <c r="K936" i="5"/>
  <c r="J936" i="5"/>
  <c r="I936" i="5"/>
  <c r="H936" i="5"/>
  <c r="G936" i="5"/>
  <c r="E936" i="5"/>
  <c r="F936" i="5" s="1"/>
  <c r="B936" i="5"/>
  <c r="U935" i="5"/>
  <c r="T935" i="5"/>
  <c r="O935" i="5"/>
  <c r="N935" i="5"/>
  <c r="M935" i="5"/>
  <c r="L935" i="5"/>
  <c r="K935" i="5"/>
  <c r="J935" i="5"/>
  <c r="I935" i="5"/>
  <c r="H935" i="5"/>
  <c r="G935" i="5"/>
  <c r="E935" i="5"/>
  <c r="F935" i="5" s="1"/>
  <c r="B935" i="5"/>
  <c r="U934" i="5"/>
  <c r="T934" i="5"/>
  <c r="O934" i="5"/>
  <c r="N934" i="5"/>
  <c r="M934" i="5"/>
  <c r="L934" i="5"/>
  <c r="K934" i="5"/>
  <c r="J934" i="5"/>
  <c r="I934" i="5"/>
  <c r="H934" i="5"/>
  <c r="G934" i="5"/>
  <c r="E934" i="5"/>
  <c r="F934" i="5" s="1"/>
  <c r="B934" i="5"/>
  <c r="U933" i="5"/>
  <c r="T933" i="5"/>
  <c r="O933" i="5"/>
  <c r="N933" i="5"/>
  <c r="M933" i="5"/>
  <c r="L933" i="5"/>
  <c r="K933" i="5"/>
  <c r="J933" i="5"/>
  <c r="I933" i="5"/>
  <c r="H933" i="5"/>
  <c r="G933" i="5"/>
  <c r="E933" i="5"/>
  <c r="F933" i="5" s="1"/>
  <c r="B933" i="5"/>
  <c r="U932" i="5"/>
  <c r="T932" i="5"/>
  <c r="O932" i="5"/>
  <c r="N932" i="5"/>
  <c r="M932" i="5"/>
  <c r="L932" i="5"/>
  <c r="K932" i="5"/>
  <c r="J932" i="5"/>
  <c r="I932" i="5"/>
  <c r="H932" i="5"/>
  <c r="G932" i="5"/>
  <c r="E932" i="5"/>
  <c r="F932" i="5" s="1"/>
  <c r="B932" i="5"/>
  <c r="U931" i="5"/>
  <c r="T931" i="5"/>
  <c r="O931" i="5"/>
  <c r="N931" i="5"/>
  <c r="M931" i="5"/>
  <c r="L931" i="5"/>
  <c r="K931" i="5"/>
  <c r="J931" i="5"/>
  <c r="I931" i="5"/>
  <c r="H931" i="5"/>
  <c r="G931" i="5"/>
  <c r="E931" i="5"/>
  <c r="F931" i="5" s="1"/>
  <c r="B931" i="5"/>
  <c r="U930" i="5"/>
  <c r="T930" i="5"/>
  <c r="O930" i="5"/>
  <c r="N930" i="5"/>
  <c r="M930" i="5"/>
  <c r="L930" i="5"/>
  <c r="K930" i="5"/>
  <c r="J930" i="5"/>
  <c r="I930" i="5"/>
  <c r="H930" i="5"/>
  <c r="G930" i="5"/>
  <c r="E930" i="5"/>
  <c r="F930" i="5" s="1"/>
  <c r="B930" i="5"/>
  <c r="U929" i="5"/>
  <c r="T929" i="5"/>
  <c r="O929" i="5"/>
  <c r="N929" i="5"/>
  <c r="M929" i="5"/>
  <c r="L929" i="5"/>
  <c r="K929" i="5"/>
  <c r="J929" i="5"/>
  <c r="I929" i="5"/>
  <c r="H929" i="5"/>
  <c r="G929" i="5"/>
  <c r="E929" i="5"/>
  <c r="F929" i="5" s="1"/>
  <c r="B929" i="5"/>
  <c r="U928" i="5"/>
  <c r="T928" i="5"/>
  <c r="O928" i="5"/>
  <c r="N928" i="5"/>
  <c r="M928" i="5"/>
  <c r="L928" i="5"/>
  <c r="K928" i="5"/>
  <c r="J928" i="5"/>
  <c r="I928" i="5"/>
  <c r="H928" i="5"/>
  <c r="G928" i="5"/>
  <c r="E928" i="5"/>
  <c r="B928" i="5"/>
  <c r="U927" i="5"/>
  <c r="T927" i="5"/>
  <c r="O927" i="5"/>
  <c r="N927" i="5"/>
  <c r="M927" i="5"/>
  <c r="L927" i="5"/>
  <c r="K927" i="5"/>
  <c r="J927" i="5"/>
  <c r="I927" i="5"/>
  <c r="H927" i="5"/>
  <c r="G927" i="5"/>
  <c r="E927" i="5"/>
  <c r="B927" i="5"/>
  <c r="U926" i="5"/>
  <c r="T926" i="5"/>
  <c r="O926" i="5"/>
  <c r="N926" i="5"/>
  <c r="M926" i="5"/>
  <c r="L926" i="5"/>
  <c r="K926" i="5"/>
  <c r="J926" i="5"/>
  <c r="I926" i="5"/>
  <c r="H926" i="5"/>
  <c r="G926" i="5"/>
  <c r="E926" i="5"/>
  <c r="F926" i="5" s="1"/>
  <c r="B926" i="5"/>
  <c r="U925" i="5"/>
  <c r="T925" i="5"/>
  <c r="O925" i="5"/>
  <c r="N925" i="5"/>
  <c r="M925" i="5"/>
  <c r="L925" i="5"/>
  <c r="K925" i="5"/>
  <c r="J925" i="5"/>
  <c r="I925" i="5"/>
  <c r="H925" i="5"/>
  <c r="G925" i="5"/>
  <c r="E925" i="5"/>
  <c r="F925" i="5" s="1"/>
  <c r="B925" i="5"/>
  <c r="U924" i="5"/>
  <c r="T924" i="5"/>
  <c r="O924" i="5"/>
  <c r="N924" i="5"/>
  <c r="M924" i="5"/>
  <c r="L924" i="5"/>
  <c r="K924" i="5"/>
  <c r="J924" i="5"/>
  <c r="I924" i="5"/>
  <c r="H924" i="5"/>
  <c r="G924" i="5"/>
  <c r="E924" i="5"/>
  <c r="F924" i="5" s="1"/>
  <c r="B924" i="5"/>
  <c r="U923" i="5"/>
  <c r="T923" i="5"/>
  <c r="O923" i="5"/>
  <c r="N923" i="5"/>
  <c r="M923" i="5"/>
  <c r="L923" i="5"/>
  <c r="K923" i="5"/>
  <c r="J923" i="5"/>
  <c r="I923" i="5"/>
  <c r="H923" i="5"/>
  <c r="G923" i="5"/>
  <c r="E923" i="5"/>
  <c r="B923" i="5"/>
  <c r="U922" i="5"/>
  <c r="T922" i="5"/>
  <c r="O922" i="5"/>
  <c r="N922" i="5"/>
  <c r="M922" i="5"/>
  <c r="L922" i="5"/>
  <c r="K922" i="5"/>
  <c r="J922" i="5"/>
  <c r="I922" i="5"/>
  <c r="H922" i="5"/>
  <c r="G922" i="5"/>
  <c r="E922" i="5"/>
  <c r="F922" i="5" s="1"/>
  <c r="B922" i="5"/>
  <c r="U921" i="5"/>
  <c r="T921" i="5"/>
  <c r="O921" i="5"/>
  <c r="N921" i="5"/>
  <c r="M921" i="5"/>
  <c r="L921" i="5"/>
  <c r="K921" i="5"/>
  <c r="J921" i="5"/>
  <c r="I921" i="5"/>
  <c r="H921" i="5"/>
  <c r="G921" i="5"/>
  <c r="E921" i="5"/>
  <c r="F921" i="5" s="1"/>
  <c r="B921" i="5"/>
  <c r="U920" i="5"/>
  <c r="T920" i="5"/>
  <c r="O920" i="5"/>
  <c r="N920" i="5"/>
  <c r="M920" i="5"/>
  <c r="L920" i="5"/>
  <c r="K920" i="5"/>
  <c r="J920" i="5"/>
  <c r="I920" i="5"/>
  <c r="H920" i="5"/>
  <c r="G920" i="5"/>
  <c r="E920" i="5"/>
  <c r="F920" i="5" s="1"/>
  <c r="B920" i="5"/>
  <c r="W920" i="5" s="1"/>
  <c r="U919" i="5"/>
  <c r="T919" i="5"/>
  <c r="O919" i="5"/>
  <c r="N919" i="5"/>
  <c r="M919" i="5"/>
  <c r="L919" i="5"/>
  <c r="K919" i="5"/>
  <c r="J919" i="5"/>
  <c r="I919" i="5"/>
  <c r="H919" i="5"/>
  <c r="G919" i="5"/>
  <c r="E919" i="5"/>
  <c r="F919" i="5" s="1"/>
  <c r="B919" i="5"/>
  <c r="U918" i="5"/>
  <c r="T918" i="5"/>
  <c r="O918" i="5"/>
  <c r="N918" i="5"/>
  <c r="M918" i="5"/>
  <c r="L918" i="5"/>
  <c r="K918" i="5"/>
  <c r="J918" i="5"/>
  <c r="I918" i="5"/>
  <c r="H918" i="5"/>
  <c r="G918" i="5"/>
  <c r="E918" i="5"/>
  <c r="F918" i="5" s="1"/>
  <c r="B918" i="5"/>
  <c r="U917" i="5"/>
  <c r="T917" i="5"/>
  <c r="O917" i="5"/>
  <c r="N917" i="5"/>
  <c r="M917" i="5"/>
  <c r="L917" i="5"/>
  <c r="K917" i="5"/>
  <c r="J917" i="5"/>
  <c r="I917" i="5"/>
  <c r="H917" i="5"/>
  <c r="G917" i="5"/>
  <c r="E917" i="5"/>
  <c r="F917" i="5" s="1"/>
  <c r="B917" i="5"/>
  <c r="U916" i="5"/>
  <c r="T916" i="5"/>
  <c r="O916" i="5"/>
  <c r="N916" i="5"/>
  <c r="M916" i="5"/>
  <c r="L916" i="5"/>
  <c r="K916" i="5"/>
  <c r="J916" i="5"/>
  <c r="I916" i="5"/>
  <c r="H916" i="5"/>
  <c r="G916" i="5"/>
  <c r="E916" i="5"/>
  <c r="B916" i="5"/>
  <c r="U915" i="5"/>
  <c r="T915" i="5"/>
  <c r="O915" i="5"/>
  <c r="N915" i="5"/>
  <c r="M915" i="5"/>
  <c r="L915" i="5"/>
  <c r="K915" i="5"/>
  <c r="J915" i="5"/>
  <c r="I915" i="5"/>
  <c r="H915" i="5"/>
  <c r="G915" i="5"/>
  <c r="E915" i="5"/>
  <c r="F915" i="5" s="1"/>
  <c r="B915" i="5"/>
  <c r="U914" i="5"/>
  <c r="T914" i="5"/>
  <c r="O914" i="5"/>
  <c r="N914" i="5"/>
  <c r="M914" i="5"/>
  <c r="L914" i="5"/>
  <c r="K914" i="5"/>
  <c r="J914" i="5"/>
  <c r="I914" i="5"/>
  <c r="H914" i="5"/>
  <c r="G914" i="5"/>
  <c r="E914" i="5"/>
  <c r="F914" i="5" s="1"/>
  <c r="B914" i="5"/>
  <c r="U913" i="5"/>
  <c r="T913" i="5"/>
  <c r="O913" i="5"/>
  <c r="N913" i="5"/>
  <c r="M913" i="5"/>
  <c r="L913" i="5"/>
  <c r="K913" i="5"/>
  <c r="J913" i="5"/>
  <c r="I913" i="5"/>
  <c r="H913" i="5"/>
  <c r="G913" i="5"/>
  <c r="E913" i="5"/>
  <c r="F913" i="5" s="1"/>
  <c r="B913" i="5"/>
  <c r="U912" i="5"/>
  <c r="T912" i="5"/>
  <c r="O912" i="5"/>
  <c r="N912" i="5"/>
  <c r="M912" i="5"/>
  <c r="L912" i="5"/>
  <c r="K912" i="5"/>
  <c r="J912" i="5"/>
  <c r="I912" i="5"/>
  <c r="H912" i="5"/>
  <c r="G912" i="5"/>
  <c r="E912" i="5"/>
  <c r="F912" i="5" s="1"/>
  <c r="B912" i="5"/>
  <c r="U911" i="5"/>
  <c r="T911" i="5"/>
  <c r="O911" i="5"/>
  <c r="N911" i="5"/>
  <c r="M911" i="5"/>
  <c r="L911" i="5"/>
  <c r="K911" i="5"/>
  <c r="J911" i="5"/>
  <c r="I911" i="5"/>
  <c r="H911" i="5"/>
  <c r="G911" i="5"/>
  <c r="E911" i="5"/>
  <c r="F911" i="5" s="1"/>
  <c r="B911" i="5"/>
  <c r="U910" i="5"/>
  <c r="T910" i="5"/>
  <c r="O910" i="5"/>
  <c r="N910" i="5"/>
  <c r="M910" i="5"/>
  <c r="L910" i="5"/>
  <c r="K910" i="5"/>
  <c r="J910" i="5"/>
  <c r="I910" i="5"/>
  <c r="H910" i="5"/>
  <c r="G910" i="5"/>
  <c r="E910" i="5"/>
  <c r="F910" i="5" s="1"/>
  <c r="B910" i="5"/>
  <c r="U909" i="5"/>
  <c r="T909" i="5"/>
  <c r="O909" i="5"/>
  <c r="N909" i="5"/>
  <c r="M909" i="5"/>
  <c r="L909" i="5"/>
  <c r="K909" i="5"/>
  <c r="J909" i="5"/>
  <c r="I909" i="5"/>
  <c r="H909" i="5"/>
  <c r="G909" i="5"/>
  <c r="E909" i="5"/>
  <c r="B909" i="5"/>
  <c r="U908" i="5"/>
  <c r="T908" i="5"/>
  <c r="O908" i="5"/>
  <c r="N908" i="5"/>
  <c r="M908" i="5"/>
  <c r="L908" i="5"/>
  <c r="K908" i="5"/>
  <c r="J908" i="5"/>
  <c r="I908" i="5"/>
  <c r="H908" i="5"/>
  <c r="G908" i="5"/>
  <c r="E908" i="5"/>
  <c r="F908" i="5" s="1"/>
  <c r="B908" i="5"/>
  <c r="U907" i="5"/>
  <c r="T907" i="5"/>
  <c r="O907" i="5"/>
  <c r="N907" i="5"/>
  <c r="M907" i="5"/>
  <c r="L907" i="5"/>
  <c r="K907" i="5"/>
  <c r="J907" i="5"/>
  <c r="I907" i="5"/>
  <c r="H907" i="5"/>
  <c r="G907" i="5"/>
  <c r="E907" i="5"/>
  <c r="F907" i="5" s="1"/>
  <c r="B907" i="5"/>
  <c r="U906" i="5"/>
  <c r="T906" i="5"/>
  <c r="O906" i="5"/>
  <c r="N906" i="5"/>
  <c r="M906" i="5"/>
  <c r="L906" i="5"/>
  <c r="K906" i="5"/>
  <c r="J906" i="5"/>
  <c r="I906" i="5"/>
  <c r="H906" i="5"/>
  <c r="G906" i="5"/>
  <c r="E906" i="5"/>
  <c r="F906" i="5" s="1"/>
  <c r="B906" i="5"/>
  <c r="U905" i="5"/>
  <c r="T905" i="5"/>
  <c r="O905" i="5"/>
  <c r="N905" i="5"/>
  <c r="M905" i="5"/>
  <c r="L905" i="5"/>
  <c r="K905" i="5"/>
  <c r="J905" i="5"/>
  <c r="I905" i="5"/>
  <c r="H905" i="5"/>
  <c r="G905" i="5"/>
  <c r="E905" i="5"/>
  <c r="F905" i="5" s="1"/>
  <c r="B905" i="5"/>
  <c r="U904" i="5"/>
  <c r="T904" i="5"/>
  <c r="O904" i="5"/>
  <c r="N904" i="5"/>
  <c r="M904" i="5"/>
  <c r="L904" i="5"/>
  <c r="K904" i="5"/>
  <c r="J904" i="5"/>
  <c r="I904" i="5"/>
  <c r="H904" i="5"/>
  <c r="G904" i="5"/>
  <c r="E904" i="5"/>
  <c r="F904" i="5" s="1"/>
  <c r="B904" i="5"/>
  <c r="U903" i="5"/>
  <c r="T903" i="5"/>
  <c r="O903" i="5"/>
  <c r="N903" i="5"/>
  <c r="M903" i="5"/>
  <c r="L903" i="5"/>
  <c r="K903" i="5"/>
  <c r="J903" i="5"/>
  <c r="I903" i="5"/>
  <c r="H903" i="5"/>
  <c r="G903" i="5"/>
  <c r="E903" i="5"/>
  <c r="F903" i="5" s="1"/>
  <c r="B903" i="5"/>
  <c r="U902" i="5"/>
  <c r="T902" i="5"/>
  <c r="O902" i="5"/>
  <c r="N902" i="5"/>
  <c r="M902" i="5"/>
  <c r="L902" i="5"/>
  <c r="K902" i="5"/>
  <c r="J902" i="5"/>
  <c r="I902" i="5"/>
  <c r="H902" i="5"/>
  <c r="G902" i="5"/>
  <c r="E902" i="5"/>
  <c r="F902" i="5" s="1"/>
  <c r="B902" i="5"/>
  <c r="U901" i="5"/>
  <c r="T901" i="5"/>
  <c r="O901" i="5"/>
  <c r="N901" i="5"/>
  <c r="M901" i="5"/>
  <c r="L901" i="5"/>
  <c r="K901" i="5"/>
  <c r="J901" i="5"/>
  <c r="I901" i="5"/>
  <c r="H901" i="5"/>
  <c r="G901" i="5"/>
  <c r="E901" i="5"/>
  <c r="F901" i="5" s="1"/>
  <c r="B901" i="5"/>
  <c r="U900" i="5"/>
  <c r="T900" i="5"/>
  <c r="O900" i="5"/>
  <c r="N900" i="5"/>
  <c r="M900" i="5"/>
  <c r="L900" i="5"/>
  <c r="K900" i="5"/>
  <c r="J900" i="5"/>
  <c r="I900" i="5"/>
  <c r="H900" i="5"/>
  <c r="G900" i="5"/>
  <c r="E900" i="5"/>
  <c r="F900" i="5" s="1"/>
  <c r="B900" i="5"/>
  <c r="U899" i="5"/>
  <c r="T899" i="5"/>
  <c r="O899" i="5"/>
  <c r="N899" i="5"/>
  <c r="M899" i="5"/>
  <c r="L899" i="5"/>
  <c r="K899" i="5"/>
  <c r="J899" i="5"/>
  <c r="I899" i="5"/>
  <c r="H899" i="5"/>
  <c r="G899" i="5"/>
  <c r="E899" i="5"/>
  <c r="F899" i="5" s="1"/>
  <c r="B899" i="5"/>
  <c r="U898" i="5"/>
  <c r="T898" i="5"/>
  <c r="O898" i="5"/>
  <c r="N898" i="5"/>
  <c r="M898" i="5"/>
  <c r="L898" i="5"/>
  <c r="K898" i="5"/>
  <c r="J898" i="5"/>
  <c r="I898" i="5"/>
  <c r="H898" i="5"/>
  <c r="G898" i="5"/>
  <c r="E898" i="5"/>
  <c r="F898" i="5" s="1"/>
  <c r="B898" i="5"/>
  <c r="U897" i="5"/>
  <c r="T897" i="5"/>
  <c r="O897" i="5"/>
  <c r="N897" i="5"/>
  <c r="M897" i="5"/>
  <c r="L897" i="5"/>
  <c r="K897" i="5"/>
  <c r="J897" i="5"/>
  <c r="I897" i="5"/>
  <c r="H897" i="5"/>
  <c r="G897" i="5"/>
  <c r="E897" i="5"/>
  <c r="F897" i="5" s="1"/>
  <c r="B897" i="5"/>
  <c r="U896" i="5"/>
  <c r="T896" i="5"/>
  <c r="O896" i="5"/>
  <c r="N896" i="5"/>
  <c r="M896" i="5"/>
  <c r="L896" i="5"/>
  <c r="K896" i="5"/>
  <c r="J896" i="5"/>
  <c r="I896" i="5"/>
  <c r="H896" i="5"/>
  <c r="G896" i="5"/>
  <c r="E896" i="5"/>
  <c r="B896" i="5"/>
  <c r="U895" i="5"/>
  <c r="T895" i="5"/>
  <c r="O895" i="5"/>
  <c r="N895" i="5"/>
  <c r="M895" i="5"/>
  <c r="L895" i="5"/>
  <c r="K895" i="5"/>
  <c r="J895" i="5"/>
  <c r="I895" i="5"/>
  <c r="H895" i="5"/>
  <c r="G895" i="5"/>
  <c r="E895" i="5"/>
  <c r="F895" i="5" s="1"/>
  <c r="B895" i="5"/>
  <c r="U894" i="5"/>
  <c r="T894" i="5"/>
  <c r="O894" i="5"/>
  <c r="N894" i="5"/>
  <c r="M894" i="5"/>
  <c r="L894" i="5"/>
  <c r="K894" i="5"/>
  <c r="J894" i="5"/>
  <c r="I894" i="5"/>
  <c r="H894" i="5"/>
  <c r="G894" i="5"/>
  <c r="E894" i="5"/>
  <c r="F894" i="5" s="1"/>
  <c r="B894" i="5"/>
  <c r="U893" i="5"/>
  <c r="T893" i="5"/>
  <c r="O893" i="5"/>
  <c r="N893" i="5"/>
  <c r="M893" i="5"/>
  <c r="L893" i="5"/>
  <c r="K893" i="5"/>
  <c r="J893" i="5"/>
  <c r="I893" i="5"/>
  <c r="H893" i="5"/>
  <c r="G893" i="5"/>
  <c r="E893" i="5"/>
  <c r="F893" i="5" s="1"/>
  <c r="B893" i="5"/>
  <c r="U892" i="5"/>
  <c r="T892" i="5"/>
  <c r="O892" i="5"/>
  <c r="N892" i="5"/>
  <c r="M892" i="5"/>
  <c r="L892" i="5"/>
  <c r="K892" i="5"/>
  <c r="J892" i="5"/>
  <c r="I892" i="5"/>
  <c r="H892" i="5"/>
  <c r="G892" i="5"/>
  <c r="E892" i="5"/>
  <c r="F892" i="5" s="1"/>
  <c r="B892" i="5"/>
  <c r="U891" i="5"/>
  <c r="T891" i="5"/>
  <c r="O891" i="5"/>
  <c r="N891" i="5"/>
  <c r="M891" i="5"/>
  <c r="L891" i="5"/>
  <c r="K891" i="5"/>
  <c r="J891" i="5"/>
  <c r="I891" i="5"/>
  <c r="H891" i="5"/>
  <c r="G891" i="5"/>
  <c r="E891" i="5"/>
  <c r="F891" i="5" s="1"/>
  <c r="B891" i="5"/>
  <c r="U890" i="5"/>
  <c r="T890" i="5"/>
  <c r="O890" i="5"/>
  <c r="N890" i="5"/>
  <c r="M890" i="5"/>
  <c r="L890" i="5"/>
  <c r="K890" i="5"/>
  <c r="J890" i="5"/>
  <c r="I890" i="5"/>
  <c r="H890" i="5"/>
  <c r="G890" i="5"/>
  <c r="E890" i="5"/>
  <c r="F890" i="5" s="1"/>
  <c r="B890" i="5"/>
  <c r="U889" i="5"/>
  <c r="T889" i="5"/>
  <c r="O889" i="5"/>
  <c r="N889" i="5"/>
  <c r="M889" i="5"/>
  <c r="L889" i="5"/>
  <c r="K889" i="5"/>
  <c r="J889" i="5"/>
  <c r="I889" i="5"/>
  <c r="H889" i="5"/>
  <c r="G889" i="5"/>
  <c r="E889" i="5"/>
  <c r="F889" i="5" s="1"/>
  <c r="B889" i="5"/>
  <c r="U888" i="5"/>
  <c r="T888" i="5"/>
  <c r="O888" i="5"/>
  <c r="N888" i="5"/>
  <c r="M888" i="5"/>
  <c r="L888" i="5"/>
  <c r="K888" i="5"/>
  <c r="J888" i="5"/>
  <c r="I888" i="5"/>
  <c r="H888" i="5"/>
  <c r="G888" i="5"/>
  <c r="E888" i="5"/>
  <c r="F888" i="5" s="1"/>
  <c r="B888" i="5"/>
  <c r="U887" i="5"/>
  <c r="T887" i="5"/>
  <c r="O887" i="5"/>
  <c r="N887" i="5"/>
  <c r="M887" i="5"/>
  <c r="L887" i="5"/>
  <c r="K887" i="5"/>
  <c r="J887" i="5"/>
  <c r="I887" i="5"/>
  <c r="H887" i="5"/>
  <c r="G887" i="5"/>
  <c r="E887" i="5"/>
  <c r="F887" i="5" s="1"/>
  <c r="B887" i="5"/>
  <c r="U886" i="5"/>
  <c r="T886" i="5"/>
  <c r="O886" i="5"/>
  <c r="N886" i="5"/>
  <c r="M886" i="5"/>
  <c r="L886" i="5"/>
  <c r="K886" i="5"/>
  <c r="J886" i="5"/>
  <c r="I886" i="5"/>
  <c r="H886" i="5"/>
  <c r="G886" i="5"/>
  <c r="E886" i="5"/>
  <c r="F886" i="5" s="1"/>
  <c r="B886" i="5"/>
  <c r="U885" i="5"/>
  <c r="T885" i="5"/>
  <c r="O885" i="5"/>
  <c r="N885" i="5"/>
  <c r="M885" i="5"/>
  <c r="L885" i="5"/>
  <c r="K885" i="5"/>
  <c r="J885" i="5"/>
  <c r="I885" i="5"/>
  <c r="H885" i="5"/>
  <c r="G885" i="5"/>
  <c r="E885" i="5"/>
  <c r="F885" i="5" s="1"/>
  <c r="B885" i="5"/>
  <c r="U884" i="5"/>
  <c r="T884" i="5"/>
  <c r="O884" i="5"/>
  <c r="N884" i="5"/>
  <c r="M884" i="5"/>
  <c r="L884" i="5"/>
  <c r="K884" i="5"/>
  <c r="J884" i="5"/>
  <c r="I884" i="5"/>
  <c r="H884" i="5"/>
  <c r="G884" i="5"/>
  <c r="E884" i="5"/>
  <c r="F884" i="5" s="1"/>
  <c r="B884" i="5"/>
  <c r="U883" i="5"/>
  <c r="T883" i="5"/>
  <c r="O883" i="5"/>
  <c r="N883" i="5"/>
  <c r="M883" i="5"/>
  <c r="L883" i="5"/>
  <c r="K883" i="5"/>
  <c r="J883" i="5"/>
  <c r="I883" i="5"/>
  <c r="H883" i="5"/>
  <c r="G883" i="5"/>
  <c r="E883" i="5"/>
  <c r="F883" i="5" s="1"/>
  <c r="B883" i="5"/>
  <c r="U882" i="5"/>
  <c r="T882" i="5"/>
  <c r="O882" i="5"/>
  <c r="N882" i="5"/>
  <c r="M882" i="5"/>
  <c r="L882" i="5"/>
  <c r="K882" i="5"/>
  <c r="J882" i="5"/>
  <c r="I882" i="5"/>
  <c r="H882" i="5"/>
  <c r="G882" i="5"/>
  <c r="E882" i="5"/>
  <c r="F882" i="5" s="1"/>
  <c r="B882" i="5"/>
  <c r="W882" i="5" s="1"/>
  <c r="B881" i="5"/>
  <c r="B880" i="5"/>
  <c r="B879" i="5"/>
  <c r="B878" i="5"/>
  <c r="B877" i="5"/>
  <c r="B876" i="5"/>
  <c r="B875" i="5"/>
  <c r="B874" i="5"/>
  <c r="B873" i="5"/>
  <c r="B872" i="5"/>
  <c r="B871" i="5"/>
  <c r="B870" i="5"/>
  <c r="Y869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W844" i="5" s="1"/>
  <c r="U843" i="5"/>
  <c r="U881" i="5" s="1"/>
  <c r="T843" i="5"/>
  <c r="O843" i="5"/>
  <c r="N843" i="5"/>
  <c r="M843" i="5"/>
  <c r="L843" i="5"/>
  <c r="K843" i="5"/>
  <c r="J843" i="5"/>
  <c r="I843" i="5"/>
  <c r="H843" i="5"/>
  <c r="G843" i="5"/>
  <c r="E843" i="5"/>
  <c r="E881" i="5" s="1"/>
  <c r="F881" i="5" s="1"/>
  <c r="B843" i="5"/>
  <c r="U842" i="5"/>
  <c r="U880" i="5" s="1"/>
  <c r="T842" i="5"/>
  <c r="O842" i="5"/>
  <c r="N842" i="5"/>
  <c r="M842" i="5"/>
  <c r="L842" i="5"/>
  <c r="K842" i="5"/>
  <c r="J842" i="5"/>
  <c r="I842" i="5"/>
  <c r="H842" i="5"/>
  <c r="G842" i="5"/>
  <c r="E842" i="5"/>
  <c r="B842" i="5"/>
  <c r="U841" i="5"/>
  <c r="U879" i="5" s="1"/>
  <c r="T841" i="5"/>
  <c r="O841" i="5"/>
  <c r="N841" i="5"/>
  <c r="M841" i="5"/>
  <c r="L841" i="5"/>
  <c r="K841" i="5"/>
  <c r="J841" i="5"/>
  <c r="I841" i="5"/>
  <c r="H841" i="5"/>
  <c r="G841" i="5"/>
  <c r="E841" i="5"/>
  <c r="B841" i="5"/>
  <c r="U840" i="5"/>
  <c r="U878" i="5" s="1"/>
  <c r="T840" i="5"/>
  <c r="O840" i="5"/>
  <c r="N840" i="5"/>
  <c r="M840" i="5"/>
  <c r="L840" i="5"/>
  <c r="K840" i="5"/>
  <c r="J840" i="5"/>
  <c r="I840" i="5"/>
  <c r="H840" i="5"/>
  <c r="G840" i="5"/>
  <c r="E840" i="5"/>
  <c r="B840" i="5"/>
  <c r="U839" i="5"/>
  <c r="U877" i="5" s="1"/>
  <c r="T839" i="5"/>
  <c r="O839" i="5"/>
  <c r="N839" i="5"/>
  <c r="M839" i="5"/>
  <c r="L839" i="5"/>
  <c r="K839" i="5"/>
  <c r="J839" i="5"/>
  <c r="I839" i="5"/>
  <c r="H839" i="5"/>
  <c r="G839" i="5"/>
  <c r="E839" i="5"/>
  <c r="B839" i="5"/>
  <c r="U838" i="5"/>
  <c r="U876" i="5" s="1"/>
  <c r="T838" i="5"/>
  <c r="O838" i="5"/>
  <c r="N838" i="5"/>
  <c r="M838" i="5"/>
  <c r="L838" i="5"/>
  <c r="K838" i="5"/>
  <c r="J838" i="5"/>
  <c r="I838" i="5"/>
  <c r="H838" i="5"/>
  <c r="G838" i="5"/>
  <c r="E838" i="5"/>
  <c r="E876" i="5" s="1"/>
  <c r="F876" i="5" s="1"/>
  <c r="B838" i="5"/>
  <c r="U837" i="5"/>
  <c r="U875" i="5" s="1"/>
  <c r="T837" i="5"/>
  <c r="O837" i="5"/>
  <c r="N837" i="5"/>
  <c r="M837" i="5"/>
  <c r="L837" i="5"/>
  <c r="K837" i="5"/>
  <c r="J837" i="5"/>
  <c r="I837" i="5"/>
  <c r="H837" i="5"/>
  <c r="G837" i="5"/>
  <c r="E837" i="5"/>
  <c r="B837" i="5"/>
  <c r="U836" i="5"/>
  <c r="U874" i="5" s="1"/>
  <c r="T836" i="5"/>
  <c r="O836" i="5"/>
  <c r="N836" i="5"/>
  <c r="M836" i="5"/>
  <c r="L836" i="5"/>
  <c r="K836" i="5"/>
  <c r="J836" i="5"/>
  <c r="I836" i="5"/>
  <c r="H836" i="5"/>
  <c r="G836" i="5"/>
  <c r="E836" i="5"/>
  <c r="B836" i="5"/>
  <c r="U835" i="5"/>
  <c r="U873" i="5" s="1"/>
  <c r="T835" i="5"/>
  <c r="O835" i="5"/>
  <c r="N835" i="5"/>
  <c r="M835" i="5"/>
  <c r="L835" i="5"/>
  <c r="K835" i="5"/>
  <c r="J835" i="5"/>
  <c r="I835" i="5"/>
  <c r="H835" i="5"/>
  <c r="G835" i="5"/>
  <c r="E835" i="5"/>
  <c r="E873" i="5" s="1"/>
  <c r="F873" i="5" s="1"/>
  <c r="B835" i="5"/>
  <c r="U834" i="5"/>
  <c r="U872" i="5" s="1"/>
  <c r="T834" i="5"/>
  <c r="O834" i="5"/>
  <c r="N834" i="5"/>
  <c r="M834" i="5"/>
  <c r="L834" i="5"/>
  <c r="K834" i="5"/>
  <c r="J834" i="5"/>
  <c r="I834" i="5"/>
  <c r="H834" i="5"/>
  <c r="G834" i="5"/>
  <c r="E834" i="5"/>
  <c r="B834" i="5"/>
  <c r="U833" i="5"/>
  <c r="U871" i="5" s="1"/>
  <c r="T833" i="5"/>
  <c r="O833" i="5"/>
  <c r="N833" i="5"/>
  <c r="M833" i="5"/>
  <c r="L833" i="5"/>
  <c r="K833" i="5"/>
  <c r="J833" i="5"/>
  <c r="I833" i="5"/>
  <c r="H833" i="5"/>
  <c r="G833" i="5"/>
  <c r="E833" i="5"/>
  <c r="B833" i="5"/>
  <c r="U832" i="5"/>
  <c r="U870" i="5" s="1"/>
  <c r="T832" i="5"/>
  <c r="O832" i="5"/>
  <c r="N832" i="5"/>
  <c r="M832" i="5"/>
  <c r="L832" i="5"/>
  <c r="K832" i="5"/>
  <c r="J832" i="5"/>
  <c r="I832" i="5"/>
  <c r="H832" i="5"/>
  <c r="G832" i="5"/>
  <c r="E832" i="5"/>
  <c r="B832" i="5"/>
  <c r="U831" i="5"/>
  <c r="U869" i="5" s="1"/>
  <c r="T831" i="5"/>
  <c r="O831" i="5"/>
  <c r="N831" i="5"/>
  <c r="M831" i="5"/>
  <c r="L831" i="5"/>
  <c r="K831" i="5"/>
  <c r="J831" i="5"/>
  <c r="I831" i="5"/>
  <c r="H831" i="5"/>
  <c r="G831" i="5"/>
  <c r="E831" i="5"/>
  <c r="B831" i="5"/>
  <c r="U830" i="5"/>
  <c r="U868" i="5" s="1"/>
  <c r="T830" i="5"/>
  <c r="O830" i="5"/>
  <c r="N830" i="5"/>
  <c r="M830" i="5"/>
  <c r="L830" i="5"/>
  <c r="K830" i="5"/>
  <c r="J830" i="5"/>
  <c r="I830" i="5"/>
  <c r="H830" i="5"/>
  <c r="G830" i="5"/>
  <c r="E830" i="5"/>
  <c r="B830" i="5"/>
  <c r="U829" i="5"/>
  <c r="U867" i="5" s="1"/>
  <c r="T829" i="5"/>
  <c r="O829" i="5"/>
  <c r="N829" i="5"/>
  <c r="M829" i="5"/>
  <c r="L829" i="5"/>
  <c r="K829" i="5"/>
  <c r="J829" i="5"/>
  <c r="I829" i="5"/>
  <c r="H829" i="5"/>
  <c r="G829" i="5"/>
  <c r="E829" i="5"/>
  <c r="E867" i="5" s="1"/>
  <c r="B829" i="5"/>
  <c r="U828" i="5"/>
  <c r="U866" i="5" s="1"/>
  <c r="T828" i="5"/>
  <c r="O828" i="5"/>
  <c r="N828" i="5"/>
  <c r="M828" i="5"/>
  <c r="L828" i="5"/>
  <c r="K828" i="5"/>
  <c r="J828" i="5"/>
  <c r="I828" i="5"/>
  <c r="H828" i="5"/>
  <c r="G828" i="5"/>
  <c r="E828" i="5"/>
  <c r="B828" i="5"/>
  <c r="U827" i="5"/>
  <c r="U865" i="5" s="1"/>
  <c r="T827" i="5"/>
  <c r="O827" i="5"/>
  <c r="N827" i="5"/>
  <c r="M827" i="5"/>
  <c r="L827" i="5"/>
  <c r="K827" i="5"/>
  <c r="J827" i="5"/>
  <c r="I827" i="5"/>
  <c r="H827" i="5"/>
  <c r="G827" i="5"/>
  <c r="E827" i="5"/>
  <c r="B827" i="5"/>
  <c r="U826" i="5"/>
  <c r="U864" i="5" s="1"/>
  <c r="T826" i="5"/>
  <c r="O826" i="5"/>
  <c r="N826" i="5"/>
  <c r="M826" i="5"/>
  <c r="L826" i="5"/>
  <c r="K826" i="5"/>
  <c r="J826" i="5"/>
  <c r="I826" i="5"/>
  <c r="H826" i="5"/>
  <c r="G826" i="5"/>
  <c r="E826" i="5"/>
  <c r="E864" i="5" s="1"/>
  <c r="F864" i="5" s="1"/>
  <c r="B826" i="5"/>
  <c r="U825" i="5"/>
  <c r="U863" i="5" s="1"/>
  <c r="T825" i="5"/>
  <c r="O825" i="5"/>
  <c r="N825" i="5"/>
  <c r="M825" i="5"/>
  <c r="L825" i="5"/>
  <c r="K825" i="5"/>
  <c r="J825" i="5"/>
  <c r="I825" i="5"/>
  <c r="H825" i="5"/>
  <c r="G825" i="5"/>
  <c r="E825" i="5"/>
  <c r="F825" i="5" s="1"/>
  <c r="B825" i="5"/>
  <c r="U824" i="5"/>
  <c r="U862" i="5" s="1"/>
  <c r="T824" i="5"/>
  <c r="O824" i="5"/>
  <c r="N824" i="5"/>
  <c r="M824" i="5"/>
  <c r="L824" i="5"/>
  <c r="K824" i="5"/>
  <c r="J824" i="5"/>
  <c r="I824" i="5"/>
  <c r="H824" i="5"/>
  <c r="G824" i="5"/>
  <c r="E824" i="5"/>
  <c r="B824" i="5"/>
  <c r="U823" i="5"/>
  <c r="U861" i="5" s="1"/>
  <c r="T823" i="5"/>
  <c r="O823" i="5"/>
  <c r="N823" i="5"/>
  <c r="M823" i="5"/>
  <c r="L823" i="5"/>
  <c r="K823" i="5"/>
  <c r="J823" i="5"/>
  <c r="I823" i="5"/>
  <c r="H823" i="5"/>
  <c r="G823" i="5"/>
  <c r="E823" i="5"/>
  <c r="F823" i="5" s="1"/>
  <c r="B823" i="5"/>
  <c r="U822" i="5"/>
  <c r="U860" i="5" s="1"/>
  <c r="T822" i="5"/>
  <c r="O822" i="5"/>
  <c r="N822" i="5"/>
  <c r="M822" i="5"/>
  <c r="L822" i="5"/>
  <c r="K822" i="5"/>
  <c r="J822" i="5"/>
  <c r="I822" i="5"/>
  <c r="H822" i="5"/>
  <c r="G822" i="5"/>
  <c r="E822" i="5"/>
  <c r="B822" i="5"/>
  <c r="U821" i="5"/>
  <c r="U859" i="5" s="1"/>
  <c r="T821" i="5"/>
  <c r="O821" i="5"/>
  <c r="N821" i="5"/>
  <c r="M821" i="5"/>
  <c r="L821" i="5"/>
  <c r="K821" i="5"/>
  <c r="J821" i="5"/>
  <c r="I821" i="5"/>
  <c r="H821" i="5"/>
  <c r="G821" i="5"/>
  <c r="E821" i="5"/>
  <c r="B821" i="5"/>
  <c r="U820" i="5"/>
  <c r="U858" i="5" s="1"/>
  <c r="T820" i="5"/>
  <c r="O820" i="5"/>
  <c r="N820" i="5"/>
  <c r="M820" i="5"/>
  <c r="L820" i="5"/>
  <c r="K820" i="5"/>
  <c r="J820" i="5"/>
  <c r="I820" i="5"/>
  <c r="H820" i="5"/>
  <c r="G820" i="5"/>
  <c r="E820" i="5"/>
  <c r="E858" i="5" s="1"/>
  <c r="F858" i="5" s="1"/>
  <c r="B820" i="5"/>
  <c r="U819" i="5"/>
  <c r="U857" i="5" s="1"/>
  <c r="T819" i="5"/>
  <c r="O819" i="5"/>
  <c r="N819" i="5"/>
  <c r="M819" i="5"/>
  <c r="L819" i="5"/>
  <c r="K819" i="5"/>
  <c r="J819" i="5"/>
  <c r="I819" i="5"/>
  <c r="H819" i="5"/>
  <c r="G819" i="5"/>
  <c r="E819" i="5"/>
  <c r="E857" i="5" s="1"/>
  <c r="F857" i="5" s="1"/>
  <c r="B819" i="5"/>
  <c r="U818" i="5"/>
  <c r="U856" i="5" s="1"/>
  <c r="T818" i="5"/>
  <c r="O818" i="5"/>
  <c r="N818" i="5"/>
  <c r="M818" i="5"/>
  <c r="L818" i="5"/>
  <c r="K818" i="5"/>
  <c r="J818" i="5"/>
  <c r="I818" i="5"/>
  <c r="H818" i="5"/>
  <c r="G818" i="5"/>
  <c r="E818" i="5"/>
  <c r="B818" i="5"/>
  <c r="U817" i="5"/>
  <c r="U855" i="5" s="1"/>
  <c r="T817" i="5"/>
  <c r="O817" i="5"/>
  <c r="N817" i="5"/>
  <c r="M817" i="5"/>
  <c r="L817" i="5"/>
  <c r="K817" i="5"/>
  <c r="J817" i="5"/>
  <c r="I817" i="5"/>
  <c r="H817" i="5"/>
  <c r="G817" i="5"/>
  <c r="E817" i="5"/>
  <c r="B817" i="5"/>
  <c r="U816" i="5"/>
  <c r="U854" i="5" s="1"/>
  <c r="T816" i="5"/>
  <c r="O816" i="5"/>
  <c r="N816" i="5"/>
  <c r="M816" i="5"/>
  <c r="L816" i="5"/>
  <c r="K816" i="5"/>
  <c r="J816" i="5"/>
  <c r="I816" i="5"/>
  <c r="H816" i="5"/>
  <c r="G816" i="5"/>
  <c r="E816" i="5"/>
  <c r="B816" i="5"/>
  <c r="U815" i="5"/>
  <c r="U853" i="5" s="1"/>
  <c r="T815" i="5"/>
  <c r="O815" i="5"/>
  <c r="N815" i="5"/>
  <c r="M815" i="5"/>
  <c r="L815" i="5"/>
  <c r="K815" i="5"/>
  <c r="J815" i="5"/>
  <c r="I815" i="5"/>
  <c r="H815" i="5"/>
  <c r="G815" i="5"/>
  <c r="E815" i="5"/>
  <c r="E853" i="5" s="1"/>
  <c r="F853" i="5" s="1"/>
  <c r="B815" i="5"/>
  <c r="U814" i="5"/>
  <c r="U852" i="5" s="1"/>
  <c r="T814" i="5"/>
  <c r="O814" i="5"/>
  <c r="N814" i="5"/>
  <c r="M814" i="5"/>
  <c r="L814" i="5"/>
  <c r="K814" i="5"/>
  <c r="J814" i="5"/>
  <c r="I814" i="5"/>
  <c r="H814" i="5"/>
  <c r="G814" i="5"/>
  <c r="E814" i="5"/>
  <c r="E852" i="5" s="1"/>
  <c r="B814" i="5"/>
  <c r="U813" i="5"/>
  <c r="U851" i="5" s="1"/>
  <c r="T813" i="5"/>
  <c r="O813" i="5"/>
  <c r="N813" i="5"/>
  <c r="M813" i="5"/>
  <c r="L813" i="5"/>
  <c r="K813" i="5"/>
  <c r="J813" i="5"/>
  <c r="I813" i="5"/>
  <c r="H813" i="5"/>
  <c r="G813" i="5"/>
  <c r="E813" i="5"/>
  <c r="E851" i="5" s="1"/>
  <c r="B813" i="5"/>
  <c r="U812" i="5"/>
  <c r="U850" i="5" s="1"/>
  <c r="T812" i="5"/>
  <c r="O812" i="5"/>
  <c r="N812" i="5"/>
  <c r="M812" i="5"/>
  <c r="L812" i="5"/>
  <c r="K812" i="5"/>
  <c r="J812" i="5"/>
  <c r="I812" i="5"/>
  <c r="H812" i="5"/>
  <c r="G812" i="5"/>
  <c r="E812" i="5"/>
  <c r="B812" i="5"/>
  <c r="U811" i="5"/>
  <c r="U849" i="5" s="1"/>
  <c r="T811" i="5"/>
  <c r="O811" i="5"/>
  <c r="N811" i="5"/>
  <c r="M811" i="5"/>
  <c r="L811" i="5"/>
  <c r="K811" i="5"/>
  <c r="J811" i="5"/>
  <c r="I811" i="5"/>
  <c r="H811" i="5"/>
  <c r="G811" i="5"/>
  <c r="E811" i="5"/>
  <c r="B811" i="5"/>
  <c r="U810" i="5"/>
  <c r="U848" i="5" s="1"/>
  <c r="T810" i="5"/>
  <c r="O810" i="5"/>
  <c r="N810" i="5"/>
  <c r="M810" i="5"/>
  <c r="L810" i="5"/>
  <c r="K810" i="5"/>
  <c r="J810" i="5"/>
  <c r="I810" i="5"/>
  <c r="H810" i="5"/>
  <c r="G810" i="5"/>
  <c r="E810" i="5"/>
  <c r="B810" i="5"/>
  <c r="U809" i="5"/>
  <c r="U847" i="5" s="1"/>
  <c r="T809" i="5"/>
  <c r="O809" i="5"/>
  <c r="N809" i="5"/>
  <c r="M809" i="5"/>
  <c r="L809" i="5"/>
  <c r="K809" i="5"/>
  <c r="J809" i="5"/>
  <c r="I809" i="5"/>
  <c r="H809" i="5"/>
  <c r="G809" i="5"/>
  <c r="E809" i="5"/>
  <c r="B809" i="5"/>
  <c r="U808" i="5"/>
  <c r="U846" i="5" s="1"/>
  <c r="T808" i="5"/>
  <c r="O808" i="5"/>
  <c r="N808" i="5"/>
  <c r="M808" i="5"/>
  <c r="L808" i="5"/>
  <c r="K808" i="5"/>
  <c r="J808" i="5"/>
  <c r="I808" i="5"/>
  <c r="H808" i="5"/>
  <c r="G808" i="5"/>
  <c r="E808" i="5"/>
  <c r="E846" i="5" s="1"/>
  <c r="F846" i="5" s="1"/>
  <c r="B808" i="5"/>
  <c r="U807" i="5"/>
  <c r="U845" i="5" s="1"/>
  <c r="T807" i="5"/>
  <c r="O807" i="5"/>
  <c r="N807" i="5"/>
  <c r="M807" i="5"/>
  <c r="L807" i="5"/>
  <c r="K807" i="5"/>
  <c r="J807" i="5"/>
  <c r="I807" i="5"/>
  <c r="H807" i="5"/>
  <c r="G807" i="5"/>
  <c r="E807" i="5"/>
  <c r="E845" i="5" s="1"/>
  <c r="F845" i="5" s="1"/>
  <c r="B807" i="5"/>
  <c r="U806" i="5"/>
  <c r="U844" i="5" s="1"/>
  <c r="T806" i="5"/>
  <c r="O806" i="5"/>
  <c r="N806" i="5"/>
  <c r="M806" i="5"/>
  <c r="L806" i="5"/>
  <c r="K806" i="5"/>
  <c r="J806" i="5"/>
  <c r="I806" i="5"/>
  <c r="H806" i="5"/>
  <c r="G806" i="5"/>
  <c r="E806" i="5"/>
  <c r="B806" i="5"/>
  <c r="W806" i="5" s="1"/>
  <c r="U805" i="5"/>
  <c r="T805" i="5"/>
  <c r="O805" i="5"/>
  <c r="N805" i="5"/>
  <c r="M805" i="5"/>
  <c r="L805" i="5"/>
  <c r="K805" i="5"/>
  <c r="J805" i="5"/>
  <c r="I805" i="5"/>
  <c r="H805" i="5"/>
  <c r="G805" i="5"/>
  <c r="E805" i="5"/>
  <c r="B805" i="5"/>
  <c r="U804" i="5"/>
  <c r="T804" i="5"/>
  <c r="O804" i="5"/>
  <c r="N804" i="5"/>
  <c r="M804" i="5"/>
  <c r="L804" i="5"/>
  <c r="K804" i="5"/>
  <c r="J804" i="5"/>
  <c r="I804" i="5"/>
  <c r="H804" i="5"/>
  <c r="G804" i="5"/>
  <c r="E804" i="5"/>
  <c r="F804" i="5" s="1"/>
  <c r="B804" i="5"/>
  <c r="U803" i="5"/>
  <c r="T803" i="5"/>
  <c r="O803" i="5"/>
  <c r="N803" i="5"/>
  <c r="M803" i="5"/>
  <c r="L803" i="5"/>
  <c r="K803" i="5"/>
  <c r="J803" i="5"/>
  <c r="I803" i="5"/>
  <c r="H803" i="5"/>
  <c r="G803" i="5"/>
  <c r="E803" i="5"/>
  <c r="F803" i="5" s="1"/>
  <c r="B803" i="5"/>
  <c r="U802" i="5"/>
  <c r="T802" i="5"/>
  <c r="O802" i="5"/>
  <c r="N802" i="5"/>
  <c r="M802" i="5"/>
  <c r="L802" i="5"/>
  <c r="K802" i="5"/>
  <c r="J802" i="5"/>
  <c r="I802" i="5"/>
  <c r="H802" i="5"/>
  <c r="G802" i="5"/>
  <c r="E802" i="5"/>
  <c r="F802" i="5" s="1"/>
  <c r="B802" i="5"/>
  <c r="U801" i="5"/>
  <c r="T801" i="5"/>
  <c r="O801" i="5"/>
  <c r="N801" i="5"/>
  <c r="M801" i="5"/>
  <c r="L801" i="5"/>
  <c r="K801" i="5"/>
  <c r="J801" i="5"/>
  <c r="I801" i="5"/>
  <c r="H801" i="5"/>
  <c r="G801" i="5"/>
  <c r="E801" i="5"/>
  <c r="F801" i="5" s="1"/>
  <c r="B801" i="5"/>
  <c r="U800" i="5"/>
  <c r="T800" i="5"/>
  <c r="O800" i="5"/>
  <c r="N800" i="5"/>
  <c r="M800" i="5"/>
  <c r="L800" i="5"/>
  <c r="K800" i="5"/>
  <c r="J800" i="5"/>
  <c r="I800" i="5"/>
  <c r="H800" i="5"/>
  <c r="G800" i="5"/>
  <c r="E800" i="5"/>
  <c r="F800" i="5" s="1"/>
  <c r="B800" i="5"/>
  <c r="U799" i="5"/>
  <c r="T799" i="5"/>
  <c r="O799" i="5"/>
  <c r="N799" i="5"/>
  <c r="M799" i="5"/>
  <c r="L799" i="5"/>
  <c r="K799" i="5"/>
  <c r="J799" i="5"/>
  <c r="I799" i="5"/>
  <c r="H799" i="5"/>
  <c r="G799" i="5"/>
  <c r="E799" i="5"/>
  <c r="F799" i="5" s="1"/>
  <c r="B799" i="5"/>
  <c r="U798" i="5"/>
  <c r="T798" i="5"/>
  <c r="O798" i="5"/>
  <c r="N798" i="5"/>
  <c r="M798" i="5"/>
  <c r="L798" i="5"/>
  <c r="K798" i="5"/>
  <c r="J798" i="5"/>
  <c r="I798" i="5"/>
  <c r="H798" i="5"/>
  <c r="G798" i="5"/>
  <c r="E798" i="5"/>
  <c r="F798" i="5" s="1"/>
  <c r="B798" i="5"/>
  <c r="U797" i="5"/>
  <c r="T797" i="5"/>
  <c r="O797" i="5"/>
  <c r="N797" i="5"/>
  <c r="M797" i="5"/>
  <c r="L797" i="5"/>
  <c r="K797" i="5"/>
  <c r="J797" i="5"/>
  <c r="I797" i="5"/>
  <c r="H797" i="5"/>
  <c r="G797" i="5"/>
  <c r="E797" i="5"/>
  <c r="F797" i="5" s="1"/>
  <c r="B797" i="5"/>
  <c r="U796" i="5"/>
  <c r="T796" i="5"/>
  <c r="O796" i="5"/>
  <c r="N796" i="5"/>
  <c r="M796" i="5"/>
  <c r="L796" i="5"/>
  <c r="K796" i="5"/>
  <c r="J796" i="5"/>
  <c r="I796" i="5"/>
  <c r="H796" i="5"/>
  <c r="G796" i="5"/>
  <c r="E796" i="5"/>
  <c r="F796" i="5" s="1"/>
  <c r="B796" i="5"/>
  <c r="U795" i="5"/>
  <c r="T795" i="5"/>
  <c r="O795" i="5"/>
  <c r="N795" i="5"/>
  <c r="M795" i="5"/>
  <c r="L795" i="5"/>
  <c r="K795" i="5"/>
  <c r="J795" i="5"/>
  <c r="I795" i="5"/>
  <c r="H795" i="5"/>
  <c r="G795" i="5"/>
  <c r="E795" i="5"/>
  <c r="F795" i="5" s="1"/>
  <c r="B795" i="5"/>
  <c r="U794" i="5"/>
  <c r="T794" i="5"/>
  <c r="O794" i="5"/>
  <c r="N794" i="5"/>
  <c r="M794" i="5"/>
  <c r="L794" i="5"/>
  <c r="K794" i="5"/>
  <c r="J794" i="5"/>
  <c r="I794" i="5"/>
  <c r="H794" i="5"/>
  <c r="G794" i="5"/>
  <c r="E794" i="5"/>
  <c r="F794" i="5" s="1"/>
  <c r="B794" i="5"/>
  <c r="U793" i="5"/>
  <c r="T793" i="5"/>
  <c r="O793" i="5"/>
  <c r="N793" i="5"/>
  <c r="M793" i="5"/>
  <c r="L793" i="5"/>
  <c r="K793" i="5"/>
  <c r="J793" i="5"/>
  <c r="I793" i="5"/>
  <c r="H793" i="5"/>
  <c r="G793" i="5"/>
  <c r="E793" i="5"/>
  <c r="F793" i="5" s="1"/>
  <c r="B793" i="5"/>
  <c r="U792" i="5"/>
  <c r="T792" i="5"/>
  <c r="O792" i="5"/>
  <c r="N792" i="5"/>
  <c r="M792" i="5"/>
  <c r="L792" i="5"/>
  <c r="K792" i="5"/>
  <c r="J792" i="5"/>
  <c r="I792" i="5"/>
  <c r="H792" i="5"/>
  <c r="G792" i="5"/>
  <c r="E792" i="5"/>
  <c r="F792" i="5" s="1"/>
  <c r="B792" i="5"/>
  <c r="U791" i="5"/>
  <c r="T791" i="5"/>
  <c r="O791" i="5"/>
  <c r="N791" i="5"/>
  <c r="M791" i="5"/>
  <c r="L791" i="5"/>
  <c r="K791" i="5"/>
  <c r="J791" i="5"/>
  <c r="I791" i="5"/>
  <c r="H791" i="5"/>
  <c r="G791" i="5"/>
  <c r="E791" i="5"/>
  <c r="F791" i="5" s="1"/>
  <c r="B791" i="5"/>
  <c r="U790" i="5"/>
  <c r="T790" i="5"/>
  <c r="O790" i="5"/>
  <c r="N790" i="5"/>
  <c r="M790" i="5"/>
  <c r="L790" i="5"/>
  <c r="K790" i="5"/>
  <c r="J790" i="5"/>
  <c r="I790" i="5"/>
  <c r="H790" i="5"/>
  <c r="G790" i="5"/>
  <c r="E790" i="5"/>
  <c r="F790" i="5" s="1"/>
  <c r="B790" i="5"/>
  <c r="U789" i="5"/>
  <c r="T789" i="5"/>
  <c r="O789" i="5"/>
  <c r="N789" i="5"/>
  <c r="M789" i="5"/>
  <c r="L789" i="5"/>
  <c r="K789" i="5"/>
  <c r="J789" i="5"/>
  <c r="I789" i="5"/>
  <c r="H789" i="5"/>
  <c r="G789" i="5"/>
  <c r="E789" i="5"/>
  <c r="F789" i="5" s="1"/>
  <c r="B789" i="5"/>
  <c r="U788" i="5"/>
  <c r="T788" i="5"/>
  <c r="O788" i="5"/>
  <c r="N788" i="5"/>
  <c r="M788" i="5"/>
  <c r="L788" i="5"/>
  <c r="K788" i="5"/>
  <c r="J788" i="5"/>
  <c r="I788" i="5"/>
  <c r="H788" i="5"/>
  <c r="G788" i="5"/>
  <c r="E788" i="5"/>
  <c r="B788" i="5"/>
  <c r="U787" i="5"/>
  <c r="T787" i="5"/>
  <c r="O787" i="5"/>
  <c r="N787" i="5"/>
  <c r="M787" i="5"/>
  <c r="L787" i="5"/>
  <c r="K787" i="5"/>
  <c r="J787" i="5"/>
  <c r="I787" i="5"/>
  <c r="H787" i="5"/>
  <c r="G787" i="5"/>
  <c r="E787" i="5"/>
  <c r="B787" i="5"/>
  <c r="U786" i="5"/>
  <c r="T786" i="5"/>
  <c r="O786" i="5"/>
  <c r="N786" i="5"/>
  <c r="M786" i="5"/>
  <c r="L786" i="5"/>
  <c r="K786" i="5"/>
  <c r="J786" i="5"/>
  <c r="I786" i="5"/>
  <c r="H786" i="5"/>
  <c r="G786" i="5"/>
  <c r="E786" i="5"/>
  <c r="F786" i="5" s="1"/>
  <c r="B786" i="5"/>
  <c r="U785" i="5"/>
  <c r="T785" i="5"/>
  <c r="O785" i="5"/>
  <c r="N785" i="5"/>
  <c r="M785" i="5"/>
  <c r="L785" i="5"/>
  <c r="K785" i="5"/>
  <c r="J785" i="5"/>
  <c r="I785" i="5"/>
  <c r="H785" i="5"/>
  <c r="G785" i="5"/>
  <c r="E785" i="5"/>
  <c r="F785" i="5" s="1"/>
  <c r="B785" i="5"/>
  <c r="U784" i="5"/>
  <c r="T784" i="5"/>
  <c r="O784" i="5"/>
  <c r="N784" i="5"/>
  <c r="M784" i="5"/>
  <c r="L784" i="5"/>
  <c r="K784" i="5"/>
  <c r="J784" i="5"/>
  <c r="I784" i="5"/>
  <c r="H784" i="5"/>
  <c r="G784" i="5"/>
  <c r="E784" i="5"/>
  <c r="F784" i="5" s="1"/>
  <c r="B784" i="5"/>
  <c r="U783" i="5"/>
  <c r="T783" i="5"/>
  <c r="O783" i="5"/>
  <c r="N783" i="5"/>
  <c r="M783" i="5"/>
  <c r="L783" i="5"/>
  <c r="K783" i="5"/>
  <c r="J783" i="5"/>
  <c r="I783" i="5"/>
  <c r="H783" i="5"/>
  <c r="G783" i="5"/>
  <c r="E783" i="5"/>
  <c r="F783" i="5" s="1"/>
  <c r="B783" i="5"/>
  <c r="U782" i="5"/>
  <c r="T782" i="5"/>
  <c r="O782" i="5"/>
  <c r="N782" i="5"/>
  <c r="M782" i="5"/>
  <c r="L782" i="5"/>
  <c r="K782" i="5"/>
  <c r="J782" i="5"/>
  <c r="I782" i="5"/>
  <c r="H782" i="5"/>
  <c r="G782" i="5"/>
  <c r="E782" i="5"/>
  <c r="F782" i="5" s="1"/>
  <c r="B782" i="5"/>
  <c r="U781" i="5"/>
  <c r="T781" i="5"/>
  <c r="O781" i="5"/>
  <c r="N781" i="5"/>
  <c r="M781" i="5"/>
  <c r="L781" i="5"/>
  <c r="K781" i="5"/>
  <c r="J781" i="5"/>
  <c r="I781" i="5"/>
  <c r="H781" i="5"/>
  <c r="G781" i="5"/>
  <c r="E781" i="5"/>
  <c r="B781" i="5"/>
  <c r="U780" i="5"/>
  <c r="T780" i="5"/>
  <c r="O780" i="5"/>
  <c r="N780" i="5"/>
  <c r="M780" i="5"/>
  <c r="L780" i="5"/>
  <c r="K780" i="5"/>
  <c r="J780" i="5"/>
  <c r="I780" i="5"/>
  <c r="H780" i="5"/>
  <c r="G780" i="5"/>
  <c r="E780" i="5"/>
  <c r="F780" i="5" s="1"/>
  <c r="B780" i="5"/>
  <c r="U779" i="5"/>
  <c r="T779" i="5"/>
  <c r="O779" i="5"/>
  <c r="N779" i="5"/>
  <c r="M779" i="5"/>
  <c r="L779" i="5"/>
  <c r="K779" i="5"/>
  <c r="J779" i="5"/>
  <c r="I779" i="5"/>
  <c r="H779" i="5"/>
  <c r="G779" i="5"/>
  <c r="E779" i="5"/>
  <c r="F779" i="5" s="1"/>
  <c r="B779" i="5"/>
  <c r="U778" i="5"/>
  <c r="T778" i="5"/>
  <c r="O778" i="5"/>
  <c r="N778" i="5"/>
  <c r="M778" i="5"/>
  <c r="L778" i="5"/>
  <c r="K778" i="5"/>
  <c r="J778" i="5"/>
  <c r="I778" i="5"/>
  <c r="H778" i="5"/>
  <c r="G778" i="5"/>
  <c r="E778" i="5"/>
  <c r="F778" i="5" s="1"/>
  <c r="B778" i="5"/>
  <c r="U777" i="5"/>
  <c r="T777" i="5"/>
  <c r="O777" i="5"/>
  <c r="N777" i="5"/>
  <c r="M777" i="5"/>
  <c r="L777" i="5"/>
  <c r="K777" i="5"/>
  <c r="J777" i="5"/>
  <c r="I777" i="5"/>
  <c r="H777" i="5"/>
  <c r="G777" i="5"/>
  <c r="E777" i="5"/>
  <c r="F777" i="5" s="1"/>
  <c r="B777" i="5"/>
  <c r="U776" i="5"/>
  <c r="T776" i="5"/>
  <c r="O776" i="5"/>
  <c r="N776" i="5"/>
  <c r="M776" i="5"/>
  <c r="L776" i="5"/>
  <c r="K776" i="5"/>
  <c r="J776" i="5"/>
  <c r="I776" i="5"/>
  <c r="H776" i="5"/>
  <c r="G776" i="5"/>
  <c r="E776" i="5"/>
  <c r="F776" i="5" s="1"/>
  <c r="B776" i="5"/>
  <c r="U775" i="5"/>
  <c r="T775" i="5"/>
  <c r="O775" i="5"/>
  <c r="N775" i="5"/>
  <c r="M775" i="5"/>
  <c r="L775" i="5"/>
  <c r="K775" i="5"/>
  <c r="J775" i="5"/>
  <c r="I775" i="5"/>
  <c r="H775" i="5"/>
  <c r="G775" i="5"/>
  <c r="E775" i="5"/>
  <c r="B775" i="5"/>
  <c r="U774" i="5"/>
  <c r="T774" i="5"/>
  <c r="O774" i="5"/>
  <c r="N774" i="5"/>
  <c r="M774" i="5"/>
  <c r="L774" i="5"/>
  <c r="K774" i="5"/>
  <c r="J774" i="5"/>
  <c r="I774" i="5"/>
  <c r="H774" i="5"/>
  <c r="G774" i="5"/>
  <c r="E774" i="5"/>
  <c r="F774" i="5" s="1"/>
  <c r="B774" i="5"/>
  <c r="U773" i="5"/>
  <c r="T773" i="5"/>
  <c r="O773" i="5"/>
  <c r="N773" i="5"/>
  <c r="M773" i="5"/>
  <c r="L773" i="5"/>
  <c r="K773" i="5"/>
  <c r="J773" i="5"/>
  <c r="I773" i="5"/>
  <c r="H773" i="5"/>
  <c r="G773" i="5"/>
  <c r="E773" i="5"/>
  <c r="F773" i="5" s="1"/>
  <c r="B773" i="5"/>
  <c r="U772" i="5"/>
  <c r="T772" i="5"/>
  <c r="O772" i="5"/>
  <c r="N772" i="5"/>
  <c r="M772" i="5"/>
  <c r="L772" i="5"/>
  <c r="K772" i="5"/>
  <c r="J772" i="5"/>
  <c r="I772" i="5"/>
  <c r="H772" i="5"/>
  <c r="G772" i="5"/>
  <c r="E772" i="5"/>
  <c r="B772" i="5"/>
  <c r="U771" i="5"/>
  <c r="T771" i="5"/>
  <c r="O771" i="5"/>
  <c r="N771" i="5"/>
  <c r="M771" i="5"/>
  <c r="L771" i="5"/>
  <c r="K771" i="5"/>
  <c r="J771" i="5"/>
  <c r="I771" i="5"/>
  <c r="H771" i="5"/>
  <c r="G771" i="5"/>
  <c r="E771" i="5"/>
  <c r="F771" i="5" s="1"/>
  <c r="B771" i="5"/>
  <c r="U770" i="5"/>
  <c r="T770" i="5"/>
  <c r="O770" i="5"/>
  <c r="N770" i="5"/>
  <c r="M770" i="5"/>
  <c r="L770" i="5"/>
  <c r="K770" i="5"/>
  <c r="J770" i="5"/>
  <c r="I770" i="5"/>
  <c r="H770" i="5"/>
  <c r="G770" i="5"/>
  <c r="E770" i="5"/>
  <c r="F770" i="5" s="1"/>
  <c r="B770" i="5"/>
  <c r="U769" i="5"/>
  <c r="T769" i="5"/>
  <c r="O769" i="5"/>
  <c r="N769" i="5"/>
  <c r="M769" i="5"/>
  <c r="L769" i="5"/>
  <c r="K769" i="5"/>
  <c r="J769" i="5"/>
  <c r="I769" i="5"/>
  <c r="H769" i="5"/>
  <c r="G769" i="5"/>
  <c r="E769" i="5"/>
  <c r="F769" i="5" s="1"/>
  <c r="B769" i="5"/>
  <c r="U768" i="5"/>
  <c r="T768" i="5"/>
  <c r="O768" i="5"/>
  <c r="N768" i="5"/>
  <c r="M768" i="5"/>
  <c r="L768" i="5"/>
  <c r="K768" i="5"/>
  <c r="J768" i="5"/>
  <c r="I768" i="5"/>
  <c r="H768" i="5"/>
  <c r="G768" i="5"/>
  <c r="E768" i="5"/>
  <c r="F768" i="5" s="1"/>
  <c r="B768" i="5"/>
  <c r="W768" i="5" s="1"/>
  <c r="U767" i="5"/>
  <c r="T767" i="5"/>
  <c r="O767" i="5"/>
  <c r="N767" i="5"/>
  <c r="M767" i="5"/>
  <c r="L767" i="5"/>
  <c r="K767" i="5"/>
  <c r="J767" i="5"/>
  <c r="I767" i="5"/>
  <c r="H767" i="5"/>
  <c r="G767" i="5"/>
  <c r="E767" i="5"/>
  <c r="F767" i="5" s="1"/>
  <c r="B767" i="5"/>
  <c r="U766" i="5"/>
  <c r="T766" i="5"/>
  <c r="O766" i="5"/>
  <c r="N766" i="5"/>
  <c r="M766" i="5"/>
  <c r="L766" i="5"/>
  <c r="K766" i="5"/>
  <c r="J766" i="5"/>
  <c r="I766" i="5"/>
  <c r="H766" i="5"/>
  <c r="G766" i="5"/>
  <c r="E766" i="5"/>
  <c r="F766" i="5" s="1"/>
  <c r="B766" i="5"/>
  <c r="U765" i="5"/>
  <c r="T765" i="5"/>
  <c r="O765" i="5"/>
  <c r="N765" i="5"/>
  <c r="M765" i="5"/>
  <c r="L765" i="5"/>
  <c r="K765" i="5"/>
  <c r="J765" i="5"/>
  <c r="I765" i="5"/>
  <c r="H765" i="5"/>
  <c r="G765" i="5"/>
  <c r="E765" i="5"/>
  <c r="F765" i="5" s="1"/>
  <c r="B765" i="5"/>
  <c r="U764" i="5"/>
  <c r="T764" i="5"/>
  <c r="O764" i="5"/>
  <c r="N764" i="5"/>
  <c r="M764" i="5"/>
  <c r="L764" i="5"/>
  <c r="K764" i="5"/>
  <c r="J764" i="5"/>
  <c r="I764" i="5"/>
  <c r="H764" i="5"/>
  <c r="G764" i="5"/>
  <c r="E764" i="5"/>
  <c r="F764" i="5" s="1"/>
  <c r="B764" i="5"/>
  <c r="U763" i="5"/>
  <c r="T763" i="5"/>
  <c r="O763" i="5"/>
  <c r="N763" i="5"/>
  <c r="M763" i="5"/>
  <c r="L763" i="5"/>
  <c r="K763" i="5"/>
  <c r="J763" i="5"/>
  <c r="I763" i="5"/>
  <c r="H763" i="5"/>
  <c r="G763" i="5"/>
  <c r="E763" i="5"/>
  <c r="F763" i="5" s="1"/>
  <c r="B763" i="5"/>
  <c r="U762" i="5"/>
  <c r="T762" i="5"/>
  <c r="O762" i="5"/>
  <c r="N762" i="5"/>
  <c r="M762" i="5"/>
  <c r="L762" i="5"/>
  <c r="K762" i="5"/>
  <c r="J762" i="5"/>
  <c r="I762" i="5"/>
  <c r="H762" i="5"/>
  <c r="G762" i="5"/>
  <c r="E762" i="5"/>
  <c r="F762" i="5" s="1"/>
  <c r="B762" i="5"/>
  <c r="U761" i="5"/>
  <c r="T761" i="5"/>
  <c r="O761" i="5"/>
  <c r="N761" i="5"/>
  <c r="M761" i="5"/>
  <c r="L761" i="5"/>
  <c r="K761" i="5"/>
  <c r="J761" i="5"/>
  <c r="I761" i="5"/>
  <c r="H761" i="5"/>
  <c r="G761" i="5"/>
  <c r="E761" i="5"/>
  <c r="F761" i="5" s="1"/>
  <c r="B761" i="5"/>
  <c r="U760" i="5"/>
  <c r="T760" i="5"/>
  <c r="O760" i="5"/>
  <c r="N760" i="5"/>
  <c r="M760" i="5"/>
  <c r="L760" i="5"/>
  <c r="K760" i="5"/>
  <c r="J760" i="5"/>
  <c r="I760" i="5"/>
  <c r="H760" i="5"/>
  <c r="G760" i="5"/>
  <c r="E760" i="5"/>
  <c r="F760" i="5" s="1"/>
  <c r="B760" i="5"/>
  <c r="U759" i="5"/>
  <c r="T759" i="5"/>
  <c r="O759" i="5"/>
  <c r="N759" i="5"/>
  <c r="M759" i="5"/>
  <c r="L759" i="5"/>
  <c r="K759" i="5"/>
  <c r="J759" i="5"/>
  <c r="I759" i="5"/>
  <c r="H759" i="5"/>
  <c r="G759" i="5"/>
  <c r="E759" i="5"/>
  <c r="B759" i="5"/>
  <c r="U758" i="5"/>
  <c r="T758" i="5"/>
  <c r="O758" i="5"/>
  <c r="N758" i="5"/>
  <c r="M758" i="5"/>
  <c r="L758" i="5"/>
  <c r="K758" i="5"/>
  <c r="J758" i="5"/>
  <c r="I758" i="5"/>
  <c r="H758" i="5"/>
  <c r="G758" i="5"/>
  <c r="E758" i="5"/>
  <c r="F758" i="5" s="1"/>
  <c r="B758" i="5"/>
  <c r="U757" i="5"/>
  <c r="T757" i="5"/>
  <c r="O757" i="5"/>
  <c r="N757" i="5"/>
  <c r="M757" i="5"/>
  <c r="L757" i="5"/>
  <c r="K757" i="5"/>
  <c r="J757" i="5"/>
  <c r="I757" i="5"/>
  <c r="H757" i="5"/>
  <c r="G757" i="5"/>
  <c r="E757" i="5"/>
  <c r="B757" i="5"/>
  <c r="U756" i="5"/>
  <c r="T756" i="5"/>
  <c r="O756" i="5"/>
  <c r="N756" i="5"/>
  <c r="M756" i="5"/>
  <c r="L756" i="5"/>
  <c r="K756" i="5"/>
  <c r="J756" i="5"/>
  <c r="I756" i="5"/>
  <c r="H756" i="5"/>
  <c r="G756" i="5"/>
  <c r="E756" i="5"/>
  <c r="F756" i="5" s="1"/>
  <c r="B756" i="5"/>
  <c r="U755" i="5"/>
  <c r="T755" i="5"/>
  <c r="O755" i="5"/>
  <c r="N755" i="5"/>
  <c r="M755" i="5"/>
  <c r="L755" i="5"/>
  <c r="K755" i="5"/>
  <c r="J755" i="5"/>
  <c r="I755" i="5"/>
  <c r="H755" i="5"/>
  <c r="G755" i="5"/>
  <c r="E755" i="5"/>
  <c r="F755" i="5" s="1"/>
  <c r="B755" i="5"/>
  <c r="U754" i="5"/>
  <c r="T754" i="5"/>
  <c r="O754" i="5"/>
  <c r="N754" i="5"/>
  <c r="M754" i="5"/>
  <c r="L754" i="5"/>
  <c r="K754" i="5"/>
  <c r="J754" i="5"/>
  <c r="I754" i="5"/>
  <c r="H754" i="5"/>
  <c r="G754" i="5"/>
  <c r="E754" i="5"/>
  <c r="F754" i="5" s="1"/>
  <c r="B754" i="5"/>
  <c r="U753" i="5"/>
  <c r="T753" i="5"/>
  <c r="O753" i="5"/>
  <c r="N753" i="5"/>
  <c r="M753" i="5"/>
  <c r="L753" i="5"/>
  <c r="K753" i="5"/>
  <c r="J753" i="5"/>
  <c r="I753" i="5"/>
  <c r="H753" i="5"/>
  <c r="G753" i="5"/>
  <c r="E753" i="5"/>
  <c r="F753" i="5" s="1"/>
  <c r="B753" i="5"/>
  <c r="U752" i="5"/>
  <c r="T752" i="5"/>
  <c r="O752" i="5"/>
  <c r="N752" i="5"/>
  <c r="M752" i="5"/>
  <c r="L752" i="5"/>
  <c r="K752" i="5"/>
  <c r="J752" i="5"/>
  <c r="I752" i="5"/>
  <c r="H752" i="5"/>
  <c r="G752" i="5"/>
  <c r="E752" i="5"/>
  <c r="F752" i="5" s="1"/>
  <c r="B752" i="5"/>
  <c r="U751" i="5"/>
  <c r="T751" i="5"/>
  <c r="O751" i="5"/>
  <c r="N751" i="5"/>
  <c r="M751" i="5"/>
  <c r="L751" i="5"/>
  <c r="K751" i="5"/>
  <c r="J751" i="5"/>
  <c r="I751" i="5"/>
  <c r="H751" i="5"/>
  <c r="G751" i="5"/>
  <c r="E751" i="5"/>
  <c r="B751" i="5"/>
  <c r="U750" i="5"/>
  <c r="T750" i="5"/>
  <c r="O750" i="5"/>
  <c r="N750" i="5"/>
  <c r="M750" i="5"/>
  <c r="L750" i="5"/>
  <c r="K750" i="5"/>
  <c r="J750" i="5"/>
  <c r="I750" i="5"/>
  <c r="H750" i="5"/>
  <c r="G750" i="5"/>
  <c r="E750" i="5"/>
  <c r="B750" i="5"/>
  <c r="U749" i="5"/>
  <c r="T749" i="5"/>
  <c r="O749" i="5"/>
  <c r="N749" i="5"/>
  <c r="M749" i="5"/>
  <c r="L749" i="5"/>
  <c r="K749" i="5"/>
  <c r="J749" i="5"/>
  <c r="I749" i="5"/>
  <c r="H749" i="5"/>
  <c r="G749" i="5"/>
  <c r="E749" i="5"/>
  <c r="F749" i="5" s="1"/>
  <c r="B749" i="5"/>
  <c r="U748" i="5"/>
  <c r="T748" i="5"/>
  <c r="O748" i="5"/>
  <c r="N748" i="5"/>
  <c r="M748" i="5"/>
  <c r="L748" i="5"/>
  <c r="K748" i="5"/>
  <c r="J748" i="5"/>
  <c r="I748" i="5"/>
  <c r="H748" i="5"/>
  <c r="G748" i="5"/>
  <c r="E748" i="5"/>
  <c r="F748" i="5" s="1"/>
  <c r="B748" i="5"/>
  <c r="U747" i="5"/>
  <c r="T747" i="5"/>
  <c r="O747" i="5"/>
  <c r="N747" i="5"/>
  <c r="M747" i="5"/>
  <c r="L747" i="5"/>
  <c r="K747" i="5"/>
  <c r="J747" i="5"/>
  <c r="I747" i="5"/>
  <c r="H747" i="5"/>
  <c r="G747" i="5"/>
  <c r="E747" i="5"/>
  <c r="F747" i="5" s="1"/>
  <c r="B747" i="5"/>
  <c r="U746" i="5"/>
  <c r="T746" i="5"/>
  <c r="O746" i="5"/>
  <c r="N746" i="5"/>
  <c r="M746" i="5"/>
  <c r="L746" i="5"/>
  <c r="K746" i="5"/>
  <c r="J746" i="5"/>
  <c r="I746" i="5"/>
  <c r="H746" i="5"/>
  <c r="G746" i="5"/>
  <c r="E746" i="5"/>
  <c r="F746" i="5" s="1"/>
  <c r="B746" i="5"/>
  <c r="U745" i="5"/>
  <c r="T745" i="5"/>
  <c r="O745" i="5"/>
  <c r="N745" i="5"/>
  <c r="M745" i="5"/>
  <c r="L745" i="5"/>
  <c r="K745" i="5"/>
  <c r="J745" i="5"/>
  <c r="I745" i="5"/>
  <c r="H745" i="5"/>
  <c r="G745" i="5"/>
  <c r="E745" i="5"/>
  <c r="F745" i="5" s="1"/>
  <c r="B745" i="5"/>
  <c r="W745" i="5" s="1"/>
  <c r="U744" i="5"/>
  <c r="T744" i="5"/>
  <c r="O744" i="5"/>
  <c r="N744" i="5"/>
  <c r="M744" i="5"/>
  <c r="L744" i="5"/>
  <c r="K744" i="5"/>
  <c r="J744" i="5"/>
  <c r="I744" i="5"/>
  <c r="H744" i="5"/>
  <c r="G744" i="5"/>
  <c r="E744" i="5"/>
  <c r="F744" i="5" s="1"/>
  <c r="B744" i="5"/>
  <c r="U743" i="5"/>
  <c r="T743" i="5"/>
  <c r="O743" i="5"/>
  <c r="N743" i="5"/>
  <c r="M743" i="5"/>
  <c r="L743" i="5"/>
  <c r="K743" i="5"/>
  <c r="J743" i="5"/>
  <c r="I743" i="5"/>
  <c r="H743" i="5"/>
  <c r="G743" i="5"/>
  <c r="E743" i="5"/>
  <c r="F743" i="5" s="1"/>
  <c r="B743" i="5"/>
  <c r="U742" i="5"/>
  <c r="T742" i="5"/>
  <c r="O742" i="5"/>
  <c r="N742" i="5"/>
  <c r="M742" i="5"/>
  <c r="L742" i="5"/>
  <c r="K742" i="5"/>
  <c r="J742" i="5"/>
  <c r="I742" i="5"/>
  <c r="H742" i="5"/>
  <c r="G742" i="5"/>
  <c r="E742" i="5"/>
  <c r="F742" i="5" s="1"/>
  <c r="B742" i="5"/>
  <c r="U741" i="5"/>
  <c r="T741" i="5"/>
  <c r="O741" i="5"/>
  <c r="N741" i="5"/>
  <c r="M741" i="5"/>
  <c r="L741" i="5"/>
  <c r="K741" i="5"/>
  <c r="J741" i="5"/>
  <c r="I741" i="5"/>
  <c r="H741" i="5"/>
  <c r="G741" i="5"/>
  <c r="E741" i="5"/>
  <c r="F741" i="5" s="1"/>
  <c r="B741" i="5"/>
  <c r="U740" i="5"/>
  <c r="T740" i="5"/>
  <c r="O740" i="5"/>
  <c r="N740" i="5"/>
  <c r="M740" i="5"/>
  <c r="L740" i="5"/>
  <c r="K740" i="5"/>
  <c r="J740" i="5"/>
  <c r="I740" i="5"/>
  <c r="H740" i="5"/>
  <c r="G740" i="5"/>
  <c r="E740" i="5"/>
  <c r="F740" i="5" s="1"/>
  <c r="B740" i="5"/>
  <c r="U739" i="5"/>
  <c r="T739" i="5"/>
  <c r="O739" i="5"/>
  <c r="N739" i="5"/>
  <c r="M739" i="5"/>
  <c r="L739" i="5"/>
  <c r="K739" i="5"/>
  <c r="J739" i="5"/>
  <c r="I739" i="5"/>
  <c r="H739" i="5"/>
  <c r="G739" i="5"/>
  <c r="E739" i="5"/>
  <c r="F739" i="5" s="1"/>
  <c r="B739" i="5"/>
  <c r="U738" i="5"/>
  <c r="T738" i="5"/>
  <c r="O738" i="5"/>
  <c r="N738" i="5"/>
  <c r="M738" i="5"/>
  <c r="L738" i="5"/>
  <c r="K738" i="5"/>
  <c r="J738" i="5"/>
  <c r="I738" i="5"/>
  <c r="H738" i="5"/>
  <c r="G738" i="5"/>
  <c r="E738" i="5"/>
  <c r="F738" i="5" s="1"/>
  <c r="B738" i="5"/>
  <c r="U737" i="5"/>
  <c r="T737" i="5"/>
  <c r="O737" i="5"/>
  <c r="N737" i="5"/>
  <c r="M737" i="5"/>
  <c r="L737" i="5"/>
  <c r="K737" i="5"/>
  <c r="J737" i="5"/>
  <c r="I737" i="5"/>
  <c r="H737" i="5"/>
  <c r="G737" i="5"/>
  <c r="E737" i="5"/>
  <c r="F737" i="5" s="1"/>
  <c r="B737" i="5"/>
  <c r="U736" i="5"/>
  <c r="T736" i="5"/>
  <c r="O736" i="5"/>
  <c r="N736" i="5"/>
  <c r="M736" i="5"/>
  <c r="L736" i="5"/>
  <c r="K736" i="5"/>
  <c r="J736" i="5"/>
  <c r="I736" i="5"/>
  <c r="H736" i="5"/>
  <c r="G736" i="5"/>
  <c r="E736" i="5"/>
  <c r="F736" i="5" s="1"/>
  <c r="B736" i="5"/>
  <c r="U735" i="5"/>
  <c r="T735" i="5"/>
  <c r="O735" i="5"/>
  <c r="N735" i="5"/>
  <c r="M735" i="5"/>
  <c r="L735" i="5"/>
  <c r="K735" i="5"/>
  <c r="J735" i="5"/>
  <c r="I735" i="5"/>
  <c r="H735" i="5"/>
  <c r="G735" i="5"/>
  <c r="E735" i="5"/>
  <c r="F735" i="5" s="1"/>
  <c r="B735" i="5"/>
  <c r="U734" i="5"/>
  <c r="T734" i="5"/>
  <c r="O734" i="5"/>
  <c r="N734" i="5"/>
  <c r="M734" i="5"/>
  <c r="L734" i="5"/>
  <c r="K734" i="5"/>
  <c r="J734" i="5"/>
  <c r="I734" i="5"/>
  <c r="H734" i="5"/>
  <c r="G734" i="5"/>
  <c r="E734" i="5"/>
  <c r="B734" i="5"/>
  <c r="U733" i="5"/>
  <c r="T733" i="5"/>
  <c r="O733" i="5"/>
  <c r="N733" i="5"/>
  <c r="M733" i="5"/>
  <c r="L733" i="5"/>
  <c r="K733" i="5"/>
  <c r="J733" i="5"/>
  <c r="I733" i="5"/>
  <c r="H733" i="5"/>
  <c r="G733" i="5"/>
  <c r="E733" i="5"/>
  <c r="F733" i="5" s="1"/>
  <c r="B733" i="5"/>
  <c r="U732" i="5"/>
  <c r="T732" i="5"/>
  <c r="O732" i="5"/>
  <c r="N732" i="5"/>
  <c r="M732" i="5"/>
  <c r="L732" i="5"/>
  <c r="K732" i="5"/>
  <c r="J732" i="5"/>
  <c r="I732" i="5"/>
  <c r="H732" i="5"/>
  <c r="G732" i="5"/>
  <c r="E732" i="5"/>
  <c r="F732" i="5" s="1"/>
  <c r="B732" i="5"/>
  <c r="U731" i="5"/>
  <c r="T731" i="5"/>
  <c r="O731" i="5"/>
  <c r="N731" i="5"/>
  <c r="M731" i="5"/>
  <c r="L731" i="5"/>
  <c r="K731" i="5"/>
  <c r="J731" i="5"/>
  <c r="I731" i="5"/>
  <c r="H731" i="5"/>
  <c r="G731" i="5"/>
  <c r="E731" i="5"/>
  <c r="F731" i="5" s="1"/>
  <c r="B731" i="5"/>
  <c r="U730" i="5"/>
  <c r="T730" i="5"/>
  <c r="O730" i="5"/>
  <c r="N730" i="5"/>
  <c r="M730" i="5"/>
  <c r="L730" i="5"/>
  <c r="K730" i="5"/>
  <c r="J730" i="5"/>
  <c r="I730" i="5"/>
  <c r="H730" i="5"/>
  <c r="G730" i="5"/>
  <c r="E730" i="5"/>
  <c r="F730" i="5" s="1"/>
  <c r="B730" i="5"/>
  <c r="U729" i="5"/>
  <c r="T729" i="5"/>
  <c r="O729" i="5"/>
  <c r="N729" i="5"/>
  <c r="M729" i="5"/>
  <c r="L729" i="5"/>
  <c r="K729" i="5"/>
  <c r="J729" i="5"/>
  <c r="I729" i="5"/>
  <c r="H729" i="5"/>
  <c r="G729" i="5"/>
  <c r="E729" i="5"/>
  <c r="B729" i="5"/>
  <c r="U728" i="5"/>
  <c r="T728" i="5"/>
  <c r="O728" i="5"/>
  <c r="N728" i="5"/>
  <c r="M728" i="5"/>
  <c r="L728" i="5"/>
  <c r="K728" i="5"/>
  <c r="J728" i="5"/>
  <c r="I728" i="5"/>
  <c r="H728" i="5"/>
  <c r="G728" i="5"/>
  <c r="E728" i="5"/>
  <c r="F728" i="5" s="1"/>
  <c r="B728" i="5"/>
  <c r="U727" i="5"/>
  <c r="T727" i="5"/>
  <c r="O727" i="5"/>
  <c r="N727" i="5"/>
  <c r="M727" i="5"/>
  <c r="L727" i="5"/>
  <c r="K727" i="5"/>
  <c r="J727" i="5"/>
  <c r="I727" i="5"/>
  <c r="H727" i="5"/>
  <c r="G727" i="5"/>
  <c r="E727" i="5"/>
  <c r="F727" i="5" s="1"/>
  <c r="B727" i="5"/>
  <c r="U726" i="5"/>
  <c r="T726" i="5"/>
  <c r="O726" i="5"/>
  <c r="N726" i="5"/>
  <c r="M726" i="5"/>
  <c r="L726" i="5"/>
  <c r="K726" i="5"/>
  <c r="J726" i="5"/>
  <c r="I726" i="5"/>
  <c r="H726" i="5"/>
  <c r="G726" i="5"/>
  <c r="E726" i="5"/>
  <c r="F726" i="5" s="1"/>
  <c r="B726" i="5"/>
  <c r="U725" i="5"/>
  <c r="T725" i="5"/>
  <c r="O725" i="5"/>
  <c r="N725" i="5"/>
  <c r="M725" i="5"/>
  <c r="L725" i="5"/>
  <c r="K725" i="5"/>
  <c r="J725" i="5"/>
  <c r="I725" i="5"/>
  <c r="H725" i="5"/>
  <c r="G725" i="5"/>
  <c r="E725" i="5"/>
  <c r="F725" i="5" s="1"/>
  <c r="B725" i="5"/>
  <c r="U724" i="5"/>
  <c r="T724" i="5"/>
  <c r="O724" i="5"/>
  <c r="N724" i="5"/>
  <c r="M724" i="5"/>
  <c r="L724" i="5"/>
  <c r="K724" i="5"/>
  <c r="J724" i="5"/>
  <c r="I724" i="5"/>
  <c r="H724" i="5"/>
  <c r="G724" i="5"/>
  <c r="E724" i="5"/>
  <c r="F724" i="5" s="1"/>
  <c r="B724" i="5"/>
  <c r="U723" i="5"/>
  <c r="T723" i="5"/>
  <c r="O723" i="5"/>
  <c r="N723" i="5"/>
  <c r="M723" i="5"/>
  <c r="L723" i="5"/>
  <c r="K723" i="5"/>
  <c r="J723" i="5"/>
  <c r="I723" i="5"/>
  <c r="H723" i="5"/>
  <c r="G723" i="5"/>
  <c r="E723" i="5"/>
  <c r="B723" i="5"/>
  <c r="U722" i="5"/>
  <c r="T722" i="5"/>
  <c r="O722" i="5"/>
  <c r="N722" i="5"/>
  <c r="M722" i="5"/>
  <c r="L722" i="5"/>
  <c r="K722" i="5"/>
  <c r="J722" i="5"/>
  <c r="I722" i="5"/>
  <c r="H722" i="5"/>
  <c r="G722" i="5"/>
  <c r="E722" i="5"/>
  <c r="F722" i="5" s="1"/>
  <c r="B722" i="5"/>
  <c r="U721" i="5"/>
  <c r="T721" i="5"/>
  <c r="O721" i="5"/>
  <c r="N721" i="5"/>
  <c r="M721" i="5"/>
  <c r="L721" i="5"/>
  <c r="K721" i="5"/>
  <c r="J721" i="5"/>
  <c r="I721" i="5"/>
  <c r="H721" i="5"/>
  <c r="G721" i="5"/>
  <c r="E721" i="5"/>
  <c r="F721" i="5" s="1"/>
  <c r="B721" i="5"/>
  <c r="U720" i="5"/>
  <c r="T720" i="5"/>
  <c r="O720" i="5"/>
  <c r="N720" i="5"/>
  <c r="M720" i="5"/>
  <c r="L720" i="5"/>
  <c r="K720" i="5"/>
  <c r="J720" i="5"/>
  <c r="I720" i="5"/>
  <c r="H720" i="5"/>
  <c r="G720" i="5"/>
  <c r="E720" i="5"/>
  <c r="B720" i="5"/>
  <c r="U719" i="5"/>
  <c r="T719" i="5"/>
  <c r="O719" i="5"/>
  <c r="N719" i="5"/>
  <c r="M719" i="5"/>
  <c r="L719" i="5"/>
  <c r="K719" i="5"/>
  <c r="J719" i="5"/>
  <c r="I719" i="5"/>
  <c r="H719" i="5"/>
  <c r="G719" i="5"/>
  <c r="E719" i="5"/>
  <c r="B719" i="5"/>
  <c r="U718" i="5"/>
  <c r="T718" i="5"/>
  <c r="O718" i="5"/>
  <c r="N718" i="5"/>
  <c r="M718" i="5"/>
  <c r="L718" i="5"/>
  <c r="K718" i="5"/>
  <c r="J718" i="5"/>
  <c r="I718" i="5"/>
  <c r="H718" i="5"/>
  <c r="G718" i="5"/>
  <c r="E718" i="5"/>
  <c r="B718" i="5"/>
  <c r="U717" i="5"/>
  <c r="T717" i="5"/>
  <c r="O717" i="5"/>
  <c r="N717" i="5"/>
  <c r="M717" i="5"/>
  <c r="L717" i="5"/>
  <c r="K717" i="5"/>
  <c r="J717" i="5"/>
  <c r="I717" i="5"/>
  <c r="H717" i="5"/>
  <c r="G717" i="5"/>
  <c r="E717" i="5"/>
  <c r="F717" i="5" s="1"/>
  <c r="B717" i="5"/>
  <c r="U716" i="5"/>
  <c r="T716" i="5"/>
  <c r="O716" i="5"/>
  <c r="N716" i="5"/>
  <c r="M716" i="5"/>
  <c r="L716" i="5"/>
  <c r="K716" i="5"/>
  <c r="J716" i="5"/>
  <c r="I716" i="5"/>
  <c r="H716" i="5"/>
  <c r="G716" i="5"/>
  <c r="E716" i="5"/>
  <c r="F716" i="5" s="1"/>
  <c r="B716" i="5"/>
  <c r="U715" i="5"/>
  <c r="T715" i="5"/>
  <c r="O715" i="5"/>
  <c r="N715" i="5"/>
  <c r="M715" i="5"/>
  <c r="L715" i="5"/>
  <c r="K715" i="5"/>
  <c r="J715" i="5"/>
  <c r="I715" i="5"/>
  <c r="H715" i="5"/>
  <c r="G715" i="5"/>
  <c r="E715" i="5"/>
  <c r="F715" i="5" s="1"/>
  <c r="B715" i="5"/>
  <c r="U714" i="5"/>
  <c r="T714" i="5"/>
  <c r="O714" i="5"/>
  <c r="N714" i="5"/>
  <c r="M714" i="5"/>
  <c r="L714" i="5"/>
  <c r="K714" i="5"/>
  <c r="J714" i="5"/>
  <c r="I714" i="5"/>
  <c r="H714" i="5"/>
  <c r="G714" i="5"/>
  <c r="E714" i="5"/>
  <c r="F714" i="5" s="1"/>
  <c r="B714" i="5"/>
  <c r="U713" i="5"/>
  <c r="T713" i="5"/>
  <c r="O713" i="5"/>
  <c r="N713" i="5"/>
  <c r="M713" i="5"/>
  <c r="L713" i="5"/>
  <c r="K713" i="5"/>
  <c r="J713" i="5"/>
  <c r="I713" i="5"/>
  <c r="H713" i="5"/>
  <c r="G713" i="5"/>
  <c r="E713" i="5"/>
  <c r="F713" i="5" s="1"/>
  <c r="B713" i="5"/>
  <c r="U712" i="5"/>
  <c r="T712" i="5"/>
  <c r="O712" i="5"/>
  <c r="N712" i="5"/>
  <c r="M712" i="5"/>
  <c r="L712" i="5"/>
  <c r="K712" i="5"/>
  <c r="J712" i="5"/>
  <c r="I712" i="5"/>
  <c r="H712" i="5"/>
  <c r="G712" i="5"/>
  <c r="E712" i="5"/>
  <c r="F712" i="5" s="1"/>
  <c r="B712" i="5"/>
  <c r="U711" i="5"/>
  <c r="T711" i="5"/>
  <c r="O711" i="5"/>
  <c r="N711" i="5"/>
  <c r="M711" i="5"/>
  <c r="L711" i="5"/>
  <c r="K711" i="5"/>
  <c r="J711" i="5"/>
  <c r="I711" i="5"/>
  <c r="H711" i="5"/>
  <c r="G711" i="5"/>
  <c r="E711" i="5"/>
  <c r="F711" i="5" s="1"/>
  <c r="B711" i="5"/>
  <c r="U710" i="5"/>
  <c r="T710" i="5"/>
  <c r="O710" i="5"/>
  <c r="N710" i="5"/>
  <c r="M710" i="5"/>
  <c r="L710" i="5"/>
  <c r="K710" i="5"/>
  <c r="J710" i="5"/>
  <c r="I710" i="5"/>
  <c r="H710" i="5"/>
  <c r="G710" i="5"/>
  <c r="E710" i="5"/>
  <c r="F710" i="5" s="1"/>
  <c r="B710" i="5"/>
  <c r="U709" i="5"/>
  <c r="T709" i="5"/>
  <c r="O709" i="5"/>
  <c r="N709" i="5"/>
  <c r="M709" i="5"/>
  <c r="L709" i="5"/>
  <c r="K709" i="5"/>
  <c r="J709" i="5"/>
  <c r="I709" i="5"/>
  <c r="H709" i="5"/>
  <c r="G709" i="5"/>
  <c r="E709" i="5"/>
  <c r="F709" i="5" s="1"/>
  <c r="B709" i="5"/>
  <c r="U708" i="5"/>
  <c r="T708" i="5"/>
  <c r="O708" i="5"/>
  <c r="N708" i="5"/>
  <c r="M708" i="5"/>
  <c r="L708" i="5"/>
  <c r="K708" i="5"/>
  <c r="J708" i="5"/>
  <c r="I708" i="5"/>
  <c r="H708" i="5"/>
  <c r="G708" i="5"/>
  <c r="E708" i="5"/>
  <c r="F708" i="5" s="1"/>
  <c r="B708" i="5"/>
  <c r="U707" i="5"/>
  <c r="T707" i="5"/>
  <c r="O707" i="5"/>
  <c r="N707" i="5"/>
  <c r="M707" i="5"/>
  <c r="L707" i="5"/>
  <c r="K707" i="5"/>
  <c r="J707" i="5"/>
  <c r="I707" i="5"/>
  <c r="H707" i="5"/>
  <c r="G707" i="5"/>
  <c r="E707" i="5"/>
  <c r="F707" i="5" s="1"/>
  <c r="B707" i="5"/>
  <c r="W707" i="5" s="1"/>
  <c r="U706" i="5"/>
  <c r="T706" i="5"/>
  <c r="O706" i="5"/>
  <c r="N706" i="5"/>
  <c r="M706" i="5"/>
  <c r="L706" i="5"/>
  <c r="K706" i="5"/>
  <c r="J706" i="5"/>
  <c r="I706" i="5"/>
  <c r="H706" i="5"/>
  <c r="G706" i="5"/>
  <c r="E706" i="5"/>
  <c r="F706" i="5" s="1"/>
  <c r="B706" i="5"/>
  <c r="U705" i="5"/>
  <c r="T705" i="5"/>
  <c r="O705" i="5"/>
  <c r="N705" i="5"/>
  <c r="M705" i="5"/>
  <c r="L705" i="5"/>
  <c r="K705" i="5"/>
  <c r="J705" i="5"/>
  <c r="I705" i="5"/>
  <c r="H705" i="5"/>
  <c r="G705" i="5"/>
  <c r="E705" i="5"/>
  <c r="F705" i="5" s="1"/>
  <c r="B705" i="5"/>
  <c r="U704" i="5"/>
  <c r="T704" i="5"/>
  <c r="O704" i="5"/>
  <c r="N704" i="5"/>
  <c r="M704" i="5"/>
  <c r="L704" i="5"/>
  <c r="K704" i="5"/>
  <c r="J704" i="5"/>
  <c r="I704" i="5"/>
  <c r="H704" i="5"/>
  <c r="G704" i="5"/>
  <c r="E704" i="5"/>
  <c r="B704" i="5"/>
  <c r="U703" i="5"/>
  <c r="T703" i="5"/>
  <c r="O703" i="5"/>
  <c r="N703" i="5"/>
  <c r="M703" i="5"/>
  <c r="L703" i="5"/>
  <c r="K703" i="5"/>
  <c r="J703" i="5"/>
  <c r="I703" i="5"/>
  <c r="H703" i="5"/>
  <c r="G703" i="5"/>
  <c r="E703" i="5"/>
  <c r="F703" i="5" s="1"/>
  <c r="B703" i="5"/>
  <c r="U702" i="5"/>
  <c r="T702" i="5"/>
  <c r="O702" i="5"/>
  <c r="N702" i="5"/>
  <c r="M702" i="5"/>
  <c r="L702" i="5"/>
  <c r="K702" i="5"/>
  <c r="J702" i="5"/>
  <c r="I702" i="5"/>
  <c r="H702" i="5"/>
  <c r="G702" i="5"/>
  <c r="E702" i="5"/>
  <c r="B702" i="5"/>
  <c r="U701" i="5"/>
  <c r="T701" i="5"/>
  <c r="O701" i="5"/>
  <c r="N701" i="5"/>
  <c r="M701" i="5"/>
  <c r="L701" i="5"/>
  <c r="K701" i="5"/>
  <c r="J701" i="5"/>
  <c r="I701" i="5"/>
  <c r="H701" i="5"/>
  <c r="G701" i="5"/>
  <c r="E701" i="5"/>
  <c r="F701" i="5" s="1"/>
  <c r="B701" i="5"/>
  <c r="U700" i="5"/>
  <c r="T700" i="5"/>
  <c r="O700" i="5"/>
  <c r="N700" i="5"/>
  <c r="M700" i="5"/>
  <c r="L700" i="5"/>
  <c r="K700" i="5"/>
  <c r="J700" i="5"/>
  <c r="I700" i="5"/>
  <c r="H700" i="5"/>
  <c r="G700" i="5"/>
  <c r="E700" i="5"/>
  <c r="F700" i="5" s="1"/>
  <c r="B700" i="5"/>
  <c r="U699" i="5"/>
  <c r="T699" i="5"/>
  <c r="O699" i="5"/>
  <c r="N699" i="5"/>
  <c r="M699" i="5"/>
  <c r="L699" i="5"/>
  <c r="K699" i="5"/>
  <c r="J699" i="5"/>
  <c r="I699" i="5"/>
  <c r="H699" i="5"/>
  <c r="G699" i="5"/>
  <c r="E699" i="5"/>
  <c r="F699" i="5" s="1"/>
  <c r="B699" i="5"/>
  <c r="U698" i="5"/>
  <c r="T698" i="5"/>
  <c r="O698" i="5"/>
  <c r="N698" i="5"/>
  <c r="M698" i="5"/>
  <c r="L698" i="5"/>
  <c r="K698" i="5"/>
  <c r="J698" i="5"/>
  <c r="I698" i="5"/>
  <c r="H698" i="5"/>
  <c r="G698" i="5"/>
  <c r="E698" i="5"/>
  <c r="F698" i="5" s="1"/>
  <c r="B698" i="5"/>
  <c r="U697" i="5"/>
  <c r="T697" i="5"/>
  <c r="O697" i="5"/>
  <c r="N697" i="5"/>
  <c r="M697" i="5"/>
  <c r="L697" i="5"/>
  <c r="K697" i="5"/>
  <c r="J697" i="5"/>
  <c r="I697" i="5"/>
  <c r="H697" i="5"/>
  <c r="G697" i="5"/>
  <c r="E697" i="5"/>
  <c r="F697" i="5" s="1"/>
  <c r="B697" i="5"/>
  <c r="U696" i="5"/>
  <c r="T696" i="5"/>
  <c r="O696" i="5"/>
  <c r="N696" i="5"/>
  <c r="M696" i="5"/>
  <c r="L696" i="5"/>
  <c r="K696" i="5"/>
  <c r="J696" i="5"/>
  <c r="I696" i="5"/>
  <c r="H696" i="5"/>
  <c r="G696" i="5"/>
  <c r="E696" i="5"/>
  <c r="F696" i="5" s="1"/>
  <c r="B696" i="5"/>
  <c r="U695" i="5"/>
  <c r="T695" i="5"/>
  <c r="O695" i="5"/>
  <c r="N695" i="5"/>
  <c r="M695" i="5"/>
  <c r="L695" i="5"/>
  <c r="K695" i="5"/>
  <c r="J695" i="5"/>
  <c r="I695" i="5"/>
  <c r="H695" i="5"/>
  <c r="G695" i="5"/>
  <c r="E695" i="5"/>
  <c r="F695" i="5" s="1"/>
  <c r="B695" i="5"/>
  <c r="U694" i="5"/>
  <c r="T694" i="5"/>
  <c r="O694" i="5"/>
  <c r="N694" i="5"/>
  <c r="M694" i="5"/>
  <c r="L694" i="5"/>
  <c r="K694" i="5"/>
  <c r="J694" i="5"/>
  <c r="I694" i="5"/>
  <c r="H694" i="5"/>
  <c r="G694" i="5"/>
  <c r="E694" i="5"/>
  <c r="F694" i="5" s="1"/>
  <c r="B694" i="5"/>
  <c r="U693" i="5"/>
  <c r="T693" i="5"/>
  <c r="O693" i="5"/>
  <c r="N693" i="5"/>
  <c r="M693" i="5"/>
  <c r="L693" i="5"/>
  <c r="K693" i="5"/>
  <c r="J693" i="5"/>
  <c r="I693" i="5"/>
  <c r="H693" i="5"/>
  <c r="G693" i="5"/>
  <c r="E693" i="5"/>
  <c r="F693" i="5" s="1"/>
  <c r="B693" i="5"/>
  <c r="U692" i="5"/>
  <c r="T692" i="5"/>
  <c r="O692" i="5"/>
  <c r="N692" i="5"/>
  <c r="M692" i="5"/>
  <c r="L692" i="5"/>
  <c r="K692" i="5"/>
  <c r="J692" i="5"/>
  <c r="I692" i="5"/>
  <c r="H692" i="5"/>
  <c r="G692" i="5"/>
  <c r="E692" i="5"/>
  <c r="F692" i="5" s="1"/>
  <c r="B692" i="5"/>
  <c r="U691" i="5"/>
  <c r="T691" i="5"/>
  <c r="O691" i="5"/>
  <c r="N691" i="5"/>
  <c r="M691" i="5"/>
  <c r="L691" i="5"/>
  <c r="K691" i="5"/>
  <c r="J691" i="5"/>
  <c r="I691" i="5"/>
  <c r="H691" i="5"/>
  <c r="G691" i="5"/>
  <c r="E691" i="5"/>
  <c r="F691" i="5" s="1"/>
  <c r="B691" i="5"/>
  <c r="U690" i="5"/>
  <c r="T690" i="5"/>
  <c r="O690" i="5"/>
  <c r="N690" i="5"/>
  <c r="M690" i="5"/>
  <c r="L690" i="5"/>
  <c r="K690" i="5"/>
  <c r="J690" i="5"/>
  <c r="I690" i="5"/>
  <c r="H690" i="5"/>
  <c r="G690" i="5"/>
  <c r="E690" i="5"/>
  <c r="F690" i="5" s="1"/>
  <c r="B690" i="5"/>
  <c r="U689" i="5"/>
  <c r="T689" i="5"/>
  <c r="O689" i="5"/>
  <c r="N689" i="5"/>
  <c r="M689" i="5"/>
  <c r="L689" i="5"/>
  <c r="K689" i="5"/>
  <c r="J689" i="5"/>
  <c r="I689" i="5"/>
  <c r="H689" i="5"/>
  <c r="G689" i="5"/>
  <c r="E689" i="5"/>
  <c r="F689" i="5" s="1"/>
  <c r="B689" i="5"/>
  <c r="U688" i="5"/>
  <c r="T688" i="5"/>
  <c r="O688" i="5"/>
  <c r="N688" i="5"/>
  <c r="M688" i="5"/>
  <c r="L688" i="5"/>
  <c r="K688" i="5"/>
  <c r="J688" i="5"/>
  <c r="I688" i="5"/>
  <c r="H688" i="5"/>
  <c r="G688" i="5"/>
  <c r="E688" i="5"/>
  <c r="F688" i="5" s="1"/>
  <c r="B688" i="5"/>
  <c r="U687" i="5"/>
  <c r="T687" i="5"/>
  <c r="O687" i="5"/>
  <c r="N687" i="5"/>
  <c r="M687" i="5"/>
  <c r="L687" i="5"/>
  <c r="K687" i="5"/>
  <c r="J687" i="5"/>
  <c r="I687" i="5"/>
  <c r="H687" i="5"/>
  <c r="G687" i="5"/>
  <c r="E687" i="5"/>
  <c r="F687" i="5" s="1"/>
  <c r="B687" i="5"/>
  <c r="U686" i="5"/>
  <c r="T686" i="5"/>
  <c r="O686" i="5"/>
  <c r="N686" i="5"/>
  <c r="M686" i="5"/>
  <c r="L686" i="5"/>
  <c r="K686" i="5"/>
  <c r="J686" i="5"/>
  <c r="I686" i="5"/>
  <c r="H686" i="5"/>
  <c r="G686" i="5"/>
  <c r="E686" i="5"/>
  <c r="F686" i="5" s="1"/>
  <c r="B686" i="5"/>
  <c r="U685" i="5"/>
  <c r="T685" i="5"/>
  <c r="O685" i="5"/>
  <c r="N685" i="5"/>
  <c r="M685" i="5"/>
  <c r="L685" i="5"/>
  <c r="K685" i="5"/>
  <c r="J685" i="5"/>
  <c r="I685" i="5"/>
  <c r="H685" i="5"/>
  <c r="G685" i="5"/>
  <c r="E685" i="5"/>
  <c r="F685" i="5" s="1"/>
  <c r="B685" i="5"/>
  <c r="U684" i="5"/>
  <c r="T684" i="5"/>
  <c r="O684" i="5"/>
  <c r="N684" i="5"/>
  <c r="M684" i="5"/>
  <c r="L684" i="5"/>
  <c r="K684" i="5"/>
  <c r="J684" i="5"/>
  <c r="I684" i="5"/>
  <c r="H684" i="5"/>
  <c r="G684" i="5"/>
  <c r="E684" i="5"/>
  <c r="F684" i="5" s="1"/>
  <c r="B684" i="5"/>
  <c r="U683" i="5"/>
  <c r="T683" i="5"/>
  <c r="O683" i="5"/>
  <c r="N683" i="5"/>
  <c r="M683" i="5"/>
  <c r="L683" i="5"/>
  <c r="K683" i="5"/>
  <c r="J683" i="5"/>
  <c r="I683" i="5"/>
  <c r="H683" i="5"/>
  <c r="G683" i="5"/>
  <c r="E683" i="5"/>
  <c r="F683" i="5" s="1"/>
  <c r="B683" i="5"/>
  <c r="U682" i="5"/>
  <c r="T682" i="5"/>
  <c r="O682" i="5"/>
  <c r="N682" i="5"/>
  <c r="M682" i="5"/>
  <c r="L682" i="5"/>
  <c r="K682" i="5"/>
  <c r="J682" i="5"/>
  <c r="I682" i="5"/>
  <c r="H682" i="5"/>
  <c r="G682" i="5"/>
  <c r="E682" i="5"/>
  <c r="F682" i="5" s="1"/>
  <c r="B682" i="5"/>
  <c r="U681" i="5"/>
  <c r="T681" i="5"/>
  <c r="O681" i="5"/>
  <c r="N681" i="5"/>
  <c r="M681" i="5"/>
  <c r="L681" i="5"/>
  <c r="K681" i="5"/>
  <c r="J681" i="5"/>
  <c r="I681" i="5"/>
  <c r="H681" i="5"/>
  <c r="G681" i="5"/>
  <c r="E681" i="5"/>
  <c r="F681" i="5" s="1"/>
  <c r="B681" i="5"/>
  <c r="U680" i="5"/>
  <c r="T680" i="5"/>
  <c r="O680" i="5"/>
  <c r="N680" i="5"/>
  <c r="M680" i="5"/>
  <c r="L680" i="5"/>
  <c r="K680" i="5"/>
  <c r="J680" i="5"/>
  <c r="I680" i="5"/>
  <c r="H680" i="5"/>
  <c r="G680" i="5"/>
  <c r="E680" i="5"/>
  <c r="B680" i="5"/>
  <c r="U679" i="5"/>
  <c r="T679" i="5"/>
  <c r="O679" i="5"/>
  <c r="N679" i="5"/>
  <c r="M679" i="5"/>
  <c r="L679" i="5"/>
  <c r="K679" i="5"/>
  <c r="J679" i="5"/>
  <c r="I679" i="5"/>
  <c r="H679" i="5"/>
  <c r="G679" i="5"/>
  <c r="E679" i="5"/>
  <c r="B679" i="5"/>
  <c r="U678" i="5"/>
  <c r="T678" i="5"/>
  <c r="O678" i="5"/>
  <c r="N678" i="5"/>
  <c r="M678" i="5"/>
  <c r="L678" i="5"/>
  <c r="K678" i="5"/>
  <c r="J678" i="5"/>
  <c r="I678" i="5"/>
  <c r="H678" i="5"/>
  <c r="G678" i="5"/>
  <c r="E678" i="5"/>
  <c r="F678" i="5" s="1"/>
  <c r="B678" i="5"/>
  <c r="Y677" i="5"/>
  <c r="U677" i="5"/>
  <c r="T677" i="5"/>
  <c r="O677" i="5"/>
  <c r="N677" i="5"/>
  <c r="M677" i="5"/>
  <c r="L677" i="5"/>
  <c r="K677" i="5"/>
  <c r="J677" i="5"/>
  <c r="I677" i="5"/>
  <c r="H677" i="5"/>
  <c r="G677" i="5"/>
  <c r="E677" i="5"/>
  <c r="F677" i="5" s="1"/>
  <c r="B677" i="5"/>
  <c r="U676" i="5"/>
  <c r="T676" i="5"/>
  <c r="O676" i="5"/>
  <c r="N676" i="5"/>
  <c r="M676" i="5"/>
  <c r="L676" i="5"/>
  <c r="K676" i="5"/>
  <c r="J676" i="5"/>
  <c r="I676" i="5"/>
  <c r="H676" i="5"/>
  <c r="G676" i="5"/>
  <c r="E676" i="5"/>
  <c r="F676" i="5" s="1"/>
  <c r="B676" i="5"/>
  <c r="U675" i="5"/>
  <c r="T675" i="5"/>
  <c r="O675" i="5"/>
  <c r="N675" i="5"/>
  <c r="M675" i="5"/>
  <c r="L675" i="5"/>
  <c r="K675" i="5"/>
  <c r="J675" i="5"/>
  <c r="I675" i="5"/>
  <c r="H675" i="5"/>
  <c r="G675" i="5"/>
  <c r="E675" i="5"/>
  <c r="F675" i="5" s="1"/>
  <c r="B675" i="5"/>
  <c r="U674" i="5"/>
  <c r="T674" i="5"/>
  <c r="O674" i="5"/>
  <c r="N674" i="5"/>
  <c r="M674" i="5"/>
  <c r="L674" i="5"/>
  <c r="K674" i="5"/>
  <c r="J674" i="5"/>
  <c r="I674" i="5"/>
  <c r="H674" i="5"/>
  <c r="G674" i="5"/>
  <c r="E674" i="5"/>
  <c r="F674" i="5" s="1"/>
  <c r="B674" i="5"/>
  <c r="U673" i="5"/>
  <c r="T673" i="5"/>
  <c r="O673" i="5"/>
  <c r="N673" i="5"/>
  <c r="M673" i="5"/>
  <c r="L673" i="5"/>
  <c r="K673" i="5"/>
  <c r="J673" i="5"/>
  <c r="I673" i="5"/>
  <c r="H673" i="5"/>
  <c r="G673" i="5"/>
  <c r="E673" i="5"/>
  <c r="F673" i="5" s="1"/>
  <c r="B673" i="5"/>
  <c r="U672" i="5"/>
  <c r="T672" i="5"/>
  <c r="O672" i="5"/>
  <c r="N672" i="5"/>
  <c r="M672" i="5"/>
  <c r="L672" i="5"/>
  <c r="K672" i="5"/>
  <c r="J672" i="5"/>
  <c r="I672" i="5"/>
  <c r="H672" i="5"/>
  <c r="G672" i="5"/>
  <c r="E672" i="5"/>
  <c r="F672" i="5" s="1"/>
  <c r="B672" i="5"/>
  <c r="U671" i="5"/>
  <c r="T671" i="5"/>
  <c r="O671" i="5"/>
  <c r="N671" i="5"/>
  <c r="M671" i="5"/>
  <c r="L671" i="5"/>
  <c r="K671" i="5"/>
  <c r="J671" i="5"/>
  <c r="I671" i="5"/>
  <c r="H671" i="5"/>
  <c r="G671" i="5"/>
  <c r="E671" i="5"/>
  <c r="F671" i="5" s="1"/>
  <c r="B671" i="5"/>
  <c r="U670" i="5"/>
  <c r="T670" i="5"/>
  <c r="O670" i="5"/>
  <c r="N670" i="5"/>
  <c r="M670" i="5"/>
  <c r="L670" i="5"/>
  <c r="K670" i="5"/>
  <c r="J670" i="5"/>
  <c r="I670" i="5"/>
  <c r="H670" i="5"/>
  <c r="G670" i="5"/>
  <c r="E670" i="5"/>
  <c r="F670" i="5" s="1"/>
  <c r="B670" i="5"/>
  <c r="U669" i="5"/>
  <c r="T669" i="5"/>
  <c r="O669" i="5"/>
  <c r="N669" i="5"/>
  <c r="M669" i="5"/>
  <c r="L669" i="5"/>
  <c r="K669" i="5"/>
  <c r="J669" i="5"/>
  <c r="I669" i="5"/>
  <c r="H669" i="5"/>
  <c r="G669" i="5"/>
  <c r="E669" i="5"/>
  <c r="F669" i="5" s="1"/>
  <c r="B669" i="5"/>
  <c r="W669" i="5" s="1"/>
  <c r="U668" i="5"/>
  <c r="T668" i="5"/>
  <c r="O668" i="5"/>
  <c r="N668" i="5"/>
  <c r="M668" i="5"/>
  <c r="L668" i="5"/>
  <c r="K668" i="5"/>
  <c r="J668" i="5"/>
  <c r="I668" i="5"/>
  <c r="H668" i="5"/>
  <c r="G668" i="5"/>
  <c r="E668" i="5"/>
  <c r="F668" i="5" s="1"/>
  <c r="B668" i="5"/>
  <c r="U667" i="5"/>
  <c r="T667" i="5"/>
  <c r="O667" i="5"/>
  <c r="N667" i="5"/>
  <c r="M667" i="5"/>
  <c r="L667" i="5"/>
  <c r="K667" i="5"/>
  <c r="J667" i="5"/>
  <c r="I667" i="5"/>
  <c r="H667" i="5"/>
  <c r="G667" i="5"/>
  <c r="E667" i="5"/>
  <c r="F667" i="5" s="1"/>
  <c r="B667" i="5"/>
  <c r="U666" i="5"/>
  <c r="T666" i="5"/>
  <c r="O666" i="5"/>
  <c r="N666" i="5"/>
  <c r="M666" i="5"/>
  <c r="L666" i="5"/>
  <c r="K666" i="5"/>
  <c r="J666" i="5"/>
  <c r="I666" i="5"/>
  <c r="H666" i="5"/>
  <c r="G666" i="5"/>
  <c r="E666" i="5"/>
  <c r="F666" i="5" s="1"/>
  <c r="B666" i="5"/>
  <c r="U665" i="5"/>
  <c r="T665" i="5"/>
  <c r="O665" i="5"/>
  <c r="N665" i="5"/>
  <c r="M665" i="5"/>
  <c r="L665" i="5"/>
  <c r="K665" i="5"/>
  <c r="J665" i="5"/>
  <c r="I665" i="5"/>
  <c r="H665" i="5"/>
  <c r="G665" i="5"/>
  <c r="E665" i="5"/>
  <c r="F665" i="5" s="1"/>
  <c r="B665" i="5"/>
  <c r="U664" i="5"/>
  <c r="T664" i="5"/>
  <c r="O664" i="5"/>
  <c r="N664" i="5"/>
  <c r="M664" i="5"/>
  <c r="L664" i="5"/>
  <c r="K664" i="5"/>
  <c r="J664" i="5"/>
  <c r="I664" i="5"/>
  <c r="H664" i="5"/>
  <c r="G664" i="5"/>
  <c r="E664" i="5"/>
  <c r="F664" i="5" s="1"/>
  <c r="B664" i="5"/>
  <c r="U663" i="5"/>
  <c r="T663" i="5"/>
  <c r="O663" i="5"/>
  <c r="N663" i="5"/>
  <c r="M663" i="5"/>
  <c r="L663" i="5"/>
  <c r="K663" i="5"/>
  <c r="J663" i="5"/>
  <c r="I663" i="5"/>
  <c r="H663" i="5"/>
  <c r="G663" i="5"/>
  <c r="E663" i="5"/>
  <c r="F663" i="5" s="1"/>
  <c r="B663" i="5"/>
  <c r="U662" i="5"/>
  <c r="T662" i="5"/>
  <c r="O662" i="5"/>
  <c r="N662" i="5"/>
  <c r="M662" i="5"/>
  <c r="L662" i="5"/>
  <c r="K662" i="5"/>
  <c r="J662" i="5"/>
  <c r="I662" i="5"/>
  <c r="H662" i="5"/>
  <c r="G662" i="5"/>
  <c r="E662" i="5"/>
  <c r="F662" i="5" s="1"/>
  <c r="B662" i="5"/>
  <c r="U661" i="5"/>
  <c r="T661" i="5"/>
  <c r="O661" i="5"/>
  <c r="N661" i="5"/>
  <c r="M661" i="5"/>
  <c r="L661" i="5"/>
  <c r="K661" i="5"/>
  <c r="J661" i="5"/>
  <c r="I661" i="5"/>
  <c r="H661" i="5"/>
  <c r="G661" i="5"/>
  <c r="E661" i="5"/>
  <c r="F661" i="5" s="1"/>
  <c r="B661" i="5"/>
  <c r="U660" i="5"/>
  <c r="T660" i="5"/>
  <c r="O660" i="5"/>
  <c r="N660" i="5"/>
  <c r="M660" i="5"/>
  <c r="L660" i="5"/>
  <c r="K660" i="5"/>
  <c r="J660" i="5"/>
  <c r="I660" i="5"/>
  <c r="H660" i="5"/>
  <c r="G660" i="5"/>
  <c r="E660" i="5"/>
  <c r="F660" i="5" s="1"/>
  <c r="B660" i="5"/>
  <c r="U659" i="5"/>
  <c r="T659" i="5"/>
  <c r="O659" i="5"/>
  <c r="N659" i="5"/>
  <c r="M659" i="5"/>
  <c r="L659" i="5"/>
  <c r="K659" i="5"/>
  <c r="J659" i="5"/>
  <c r="I659" i="5"/>
  <c r="H659" i="5"/>
  <c r="G659" i="5"/>
  <c r="E659" i="5"/>
  <c r="F659" i="5" s="1"/>
  <c r="B659" i="5"/>
  <c r="U658" i="5"/>
  <c r="T658" i="5"/>
  <c r="O658" i="5"/>
  <c r="N658" i="5"/>
  <c r="M658" i="5"/>
  <c r="L658" i="5"/>
  <c r="K658" i="5"/>
  <c r="J658" i="5"/>
  <c r="I658" i="5"/>
  <c r="H658" i="5"/>
  <c r="G658" i="5"/>
  <c r="E658" i="5"/>
  <c r="F658" i="5" s="1"/>
  <c r="B658" i="5"/>
  <c r="U657" i="5"/>
  <c r="T657" i="5"/>
  <c r="O657" i="5"/>
  <c r="N657" i="5"/>
  <c r="M657" i="5"/>
  <c r="L657" i="5"/>
  <c r="K657" i="5"/>
  <c r="J657" i="5"/>
  <c r="I657" i="5"/>
  <c r="H657" i="5"/>
  <c r="G657" i="5"/>
  <c r="E657" i="5"/>
  <c r="F657" i="5" s="1"/>
  <c r="B657" i="5"/>
  <c r="U656" i="5"/>
  <c r="T656" i="5"/>
  <c r="O656" i="5"/>
  <c r="N656" i="5"/>
  <c r="M656" i="5"/>
  <c r="L656" i="5"/>
  <c r="K656" i="5"/>
  <c r="J656" i="5"/>
  <c r="I656" i="5"/>
  <c r="H656" i="5"/>
  <c r="G656" i="5"/>
  <c r="E656" i="5"/>
  <c r="F656" i="5" s="1"/>
  <c r="B656" i="5"/>
  <c r="U655" i="5"/>
  <c r="T655" i="5"/>
  <c r="O655" i="5"/>
  <c r="N655" i="5"/>
  <c r="M655" i="5"/>
  <c r="L655" i="5"/>
  <c r="K655" i="5"/>
  <c r="J655" i="5"/>
  <c r="I655" i="5"/>
  <c r="H655" i="5"/>
  <c r="G655" i="5"/>
  <c r="E655" i="5"/>
  <c r="F655" i="5" s="1"/>
  <c r="B655" i="5"/>
  <c r="U654" i="5"/>
  <c r="T654" i="5"/>
  <c r="O654" i="5"/>
  <c r="N654" i="5"/>
  <c r="M654" i="5"/>
  <c r="L654" i="5"/>
  <c r="K654" i="5"/>
  <c r="J654" i="5"/>
  <c r="I654" i="5"/>
  <c r="H654" i="5"/>
  <c r="G654" i="5"/>
  <c r="E654" i="5"/>
  <c r="F654" i="5" s="1"/>
  <c r="B654" i="5"/>
  <c r="U653" i="5"/>
  <c r="T653" i="5"/>
  <c r="O653" i="5"/>
  <c r="N653" i="5"/>
  <c r="M653" i="5"/>
  <c r="L653" i="5"/>
  <c r="K653" i="5"/>
  <c r="J653" i="5"/>
  <c r="I653" i="5"/>
  <c r="H653" i="5"/>
  <c r="G653" i="5"/>
  <c r="E653" i="5"/>
  <c r="F653" i="5" s="1"/>
  <c r="B653" i="5"/>
  <c r="U652" i="5"/>
  <c r="T652" i="5"/>
  <c r="O652" i="5"/>
  <c r="N652" i="5"/>
  <c r="M652" i="5"/>
  <c r="L652" i="5"/>
  <c r="K652" i="5"/>
  <c r="J652" i="5"/>
  <c r="I652" i="5"/>
  <c r="H652" i="5"/>
  <c r="G652" i="5"/>
  <c r="E652" i="5"/>
  <c r="F652" i="5" s="1"/>
  <c r="B652" i="5"/>
  <c r="U651" i="5"/>
  <c r="T651" i="5"/>
  <c r="O651" i="5"/>
  <c r="N651" i="5"/>
  <c r="M651" i="5"/>
  <c r="L651" i="5"/>
  <c r="K651" i="5"/>
  <c r="J651" i="5"/>
  <c r="I651" i="5"/>
  <c r="H651" i="5"/>
  <c r="G651" i="5"/>
  <c r="E651" i="5"/>
  <c r="F651" i="5" s="1"/>
  <c r="B651" i="5"/>
  <c r="U650" i="5"/>
  <c r="T650" i="5"/>
  <c r="O650" i="5"/>
  <c r="N650" i="5"/>
  <c r="M650" i="5"/>
  <c r="L650" i="5"/>
  <c r="K650" i="5"/>
  <c r="J650" i="5"/>
  <c r="I650" i="5"/>
  <c r="H650" i="5"/>
  <c r="G650" i="5"/>
  <c r="E650" i="5"/>
  <c r="F650" i="5" s="1"/>
  <c r="B650" i="5"/>
  <c r="U649" i="5"/>
  <c r="T649" i="5"/>
  <c r="O649" i="5"/>
  <c r="N649" i="5"/>
  <c r="M649" i="5"/>
  <c r="L649" i="5"/>
  <c r="K649" i="5"/>
  <c r="J649" i="5"/>
  <c r="I649" i="5"/>
  <c r="H649" i="5"/>
  <c r="G649" i="5"/>
  <c r="E649" i="5"/>
  <c r="F649" i="5" s="1"/>
  <c r="B649" i="5"/>
  <c r="U648" i="5"/>
  <c r="T648" i="5"/>
  <c r="O648" i="5"/>
  <c r="N648" i="5"/>
  <c r="M648" i="5"/>
  <c r="L648" i="5"/>
  <c r="K648" i="5"/>
  <c r="J648" i="5"/>
  <c r="I648" i="5"/>
  <c r="H648" i="5"/>
  <c r="G648" i="5"/>
  <c r="E648" i="5"/>
  <c r="F648" i="5" s="1"/>
  <c r="B648" i="5"/>
  <c r="U647" i="5"/>
  <c r="T647" i="5"/>
  <c r="O647" i="5"/>
  <c r="N647" i="5"/>
  <c r="M647" i="5"/>
  <c r="L647" i="5"/>
  <c r="K647" i="5"/>
  <c r="J647" i="5"/>
  <c r="I647" i="5"/>
  <c r="H647" i="5"/>
  <c r="G647" i="5"/>
  <c r="E647" i="5"/>
  <c r="F647" i="5" s="1"/>
  <c r="B647" i="5"/>
  <c r="U646" i="5"/>
  <c r="T646" i="5"/>
  <c r="O646" i="5"/>
  <c r="N646" i="5"/>
  <c r="M646" i="5"/>
  <c r="L646" i="5"/>
  <c r="K646" i="5"/>
  <c r="J646" i="5"/>
  <c r="I646" i="5"/>
  <c r="H646" i="5"/>
  <c r="G646" i="5"/>
  <c r="E646" i="5"/>
  <c r="F646" i="5" s="1"/>
  <c r="B646" i="5"/>
  <c r="U645" i="5"/>
  <c r="T645" i="5"/>
  <c r="O645" i="5"/>
  <c r="N645" i="5"/>
  <c r="M645" i="5"/>
  <c r="L645" i="5"/>
  <c r="K645" i="5"/>
  <c r="J645" i="5"/>
  <c r="I645" i="5"/>
  <c r="H645" i="5"/>
  <c r="G645" i="5"/>
  <c r="E645" i="5"/>
  <c r="F645" i="5" s="1"/>
  <c r="B645" i="5"/>
  <c r="U644" i="5"/>
  <c r="T644" i="5"/>
  <c r="O644" i="5"/>
  <c r="N644" i="5"/>
  <c r="M644" i="5"/>
  <c r="L644" i="5"/>
  <c r="K644" i="5"/>
  <c r="J644" i="5"/>
  <c r="I644" i="5"/>
  <c r="H644" i="5"/>
  <c r="G644" i="5"/>
  <c r="E644" i="5"/>
  <c r="F644" i="5" s="1"/>
  <c r="B644" i="5"/>
  <c r="U643" i="5"/>
  <c r="T643" i="5"/>
  <c r="O643" i="5"/>
  <c r="N643" i="5"/>
  <c r="M643" i="5"/>
  <c r="L643" i="5"/>
  <c r="K643" i="5"/>
  <c r="J643" i="5"/>
  <c r="I643" i="5"/>
  <c r="H643" i="5"/>
  <c r="G643" i="5"/>
  <c r="E643" i="5"/>
  <c r="B643" i="5"/>
  <c r="U642" i="5"/>
  <c r="T642" i="5"/>
  <c r="O642" i="5"/>
  <c r="N642" i="5"/>
  <c r="M642" i="5"/>
  <c r="L642" i="5"/>
  <c r="K642" i="5"/>
  <c r="J642" i="5"/>
  <c r="I642" i="5"/>
  <c r="H642" i="5"/>
  <c r="G642" i="5"/>
  <c r="E642" i="5"/>
  <c r="F642" i="5" s="1"/>
  <c r="B642" i="5"/>
  <c r="U641" i="5"/>
  <c r="T641" i="5"/>
  <c r="O641" i="5"/>
  <c r="N641" i="5"/>
  <c r="M641" i="5"/>
  <c r="L641" i="5"/>
  <c r="K641" i="5"/>
  <c r="J641" i="5"/>
  <c r="I641" i="5"/>
  <c r="H641" i="5"/>
  <c r="G641" i="5"/>
  <c r="E641" i="5"/>
  <c r="F641" i="5" s="1"/>
  <c r="B641" i="5"/>
  <c r="U640" i="5"/>
  <c r="T640" i="5"/>
  <c r="O640" i="5"/>
  <c r="N640" i="5"/>
  <c r="M640" i="5"/>
  <c r="L640" i="5"/>
  <c r="K640" i="5"/>
  <c r="J640" i="5"/>
  <c r="I640" i="5"/>
  <c r="H640" i="5"/>
  <c r="G640" i="5"/>
  <c r="E640" i="5"/>
  <c r="F640" i="5" s="1"/>
  <c r="B640" i="5"/>
  <c r="U639" i="5"/>
  <c r="T639" i="5"/>
  <c r="O639" i="5"/>
  <c r="N639" i="5"/>
  <c r="M639" i="5"/>
  <c r="L639" i="5"/>
  <c r="K639" i="5"/>
  <c r="J639" i="5"/>
  <c r="I639" i="5"/>
  <c r="H639" i="5"/>
  <c r="G639" i="5"/>
  <c r="E639" i="5"/>
  <c r="F639" i="5" s="1"/>
  <c r="B639" i="5"/>
  <c r="U638" i="5"/>
  <c r="T638" i="5"/>
  <c r="O638" i="5"/>
  <c r="N638" i="5"/>
  <c r="M638" i="5"/>
  <c r="L638" i="5"/>
  <c r="K638" i="5"/>
  <c r="J638" i="5"/>
  <c r="I638" i="5"/>
  <c r="H638" i="5"/>
  <c r="G638" i="5"/>
  <c r="E638" i="5"/>
  <c r="F638" i="5" s="1"/>
  <c r="B638" i="5"/>
  <c r="U637" i="5"/>
  <c r="T637" i="5"/>
  <c r="O637" i="5"/>
  <c r="N637" i="5"/>
  <c r="M637" i="5"/>
  <c r="L637" i="5"/>
  <c r="K637" i="5"/>
  <c r="J637" i="5"/>
  <c r="I637" i="5"/>
  <c r="H637" i="5"/>
  <c r="G637" i="5"/>
  <c r="E637" i="5"/>
  <c r="F637" i="5" s="1"/>
  <c r="B637" i="5"/>
  <c r="U636" i="5"/>
  <c r="T636" i="5"/>
  <c r="O636" i="5"/>
  <c r="N636" i="5"/>
  <c r="M636" i="5"/>
  <c r="L636" i="5"/>
  <c r="K636" i="5"/>
  <c r="J636" i="5"/>
  <c r="I636" i="5"/>
  <c r="H636" i="5"/>
  <c r="G636" i="5"/>
  <c r="E636" i="5"/>
  <c r="B636" i="5"/>
  <c r="U635" i="5"/>
  <c r="T635" i="5"/>
  <c r="O635" i="5"/>
  <c r="N635" i="5"/>
  <c r="M635" i="5"/>
  <c r="L635" i="5"/>
  <c r="K635" i="5"/>
  <c r="J635" i="5"/>
  <c r="I635" i="5"/>
  <c r="H635" i="5"/>
  <c r="G635" i="5"/>
  <c r="E635" i="5"/>
  <c r="F635" i="5" s="1"/>
  <c r="B635" i="5"/>
  <c r="U634" i="5"/>
  <c r="T634" i="5"/>
  <c r="O634" i="5"/>
  <c r="N634" i="5"/>
  <c r="M634" i="5"/>
  <c r="L634" i="5"/>
  <c r="K634" i="5"/>
  <c r="J634" i="5"/>
  <c r="I634" i="5"/>
  <c r="H634" i="5"/>
  <c r="G634" i="5"/>
  <c r="E634" i="5"/>
  <c r="F634" i="5" s="1"/>
  <c r="B634" i="5"/>
  <c r="U633" i="5"/>
  <c r="T633" i="5"/>
  <c r="O633" i="5"/>
  <c r="N633" i="5"/>
  <c r="M633" i="5"/>
  <c r="L633" i="5"/>
  <c r="K633" i="5"/>
  <c r="J633" i="5"/>
  <c r="I633" i="5"/>
  <c r="H633" i="5"/>
  <c r="G633" i="5"/>
  <c r="E633" i="5"/>
  <c r="F633" i="5" s="1"/>
  <c r="B633" i="5"/>
  <c r="U632" i="5"/>
  <c r="T632" i="5"/>
  <c r="O632" i="5"/>
  <c r="N632" i="5"/>
  <c r="M632" i="5"/>
  <c r="L632" i="5"/>
  <c r="K632" i="5"/>
  <c r="J632" i="5"/>
  <c r="I632" i="5"/>
  <c r="H632" i="5"/>
  <c r="G632" i="5"/>
  <c r="E632" i="5"/>
  <c r="F632" i="5" s="1"/>
  <c r="B632" i="5"/>
  <c r="U631" i="5"/>
  <c r="T631" i="5"/>
  <c r="O631" i="5"/>
  <c r="N631" i="5"/>
  <c r="M631" i="5"/>
  <c r="L631" i="5"/>
  <c r="K631" i="5"/>
  <c r="J631" i="5"/>
  <c r="I631" i="5"/>
  <c r="H631" i="5"/>
  <c r="G631" i="5"/>
  <c r="E631" i="5"/>
  <c r="F631" i="5" s="1"/>
  <c r="B631" i="5"/>
  <c r="W631" i="5" s="1"/>
  <c r="U630" i="5"/>
  <c r="T630" i="5"/>
  <c r="O630" i="5"/>
  <c r="N630" i="5"/>
  <c r="M630" i="5"/>
  <c r="L630" i="5"/>
  <c r="K630" i="5"/>
  <c r="J630" i="5"/>
  <c r="I630" i="5"/>
  <c r="H630" i="5"/>
  <c r="G630" i="5"/>
  <c r="E630" i="5"/>
  <c r="B630" i="5"/>
  <c r="U629" i="5"/>
  <c r="T629" i="5"/>
  <c r="O629" i="5"/>
  <c r="N629" i="5"/>
  <c r="M629" i="5"/>
  <c r="L629" i="5"/>
  <c r="K629" i="5"/>
  <c r="J629" i="5"/>
  <c r="I629" i="5"/>
  <c r="H629" i="5"/>
  <c r="G629" i="5"/>
  <c r="E629" i="5"/>
  <c r="F629" i="5" s="1"/>
  <c r="B629" i="5"/>
  <c r="U628" i="5"/>
  <c r="T628" i="5"/>
  <c r="O628" i="5"/>
  <c r="N628" i="5"/>
  <c r="M628" i="5"/>
  <c r="L628" i="5"/>
  <c r="K628" i="5"/>
  <c r="J628" i="5"/>
  <c r="I628" i="5"/>
  <c r="H628" i="5"/>
  <c r="G628" i="5"/>
  <c r="E628" i="5"/>
  <c r="F628" i="5" s="1"/>
  <c r="B628" i="5"/>
  <c r="U627" i="5"/>
  <c r="T627" i="5"/>
  <c r="O627" i="5"/>
  <c r="N627" i="5"/>
  <c r="M627" i="5"/>
  <c r="L627" i="5"/>
  <c r="K627" i="5"/>
  <c r="J627" i="5"/>
  <c r="I627" i="5"/>
  <c r="H627" i="5"/>
  <c r="G627" i="5"/>
  <c r="E627" i="5"/>
  <c r="F627" i="5" s="1"/>
  <c r="B627" i="5"/>
  <c r="U626" i="5"/>
  <c r="T626" i="5"/>
  <c r="O626" i="5"/>
  <c r="N626" i="5"/>
  <c r="M626" i="5"/>
  <c r="L626" i="5"/>
  <c r="K626" i="5"/>
  <c r="J626" i="5"/>
  <c r="I626" i="5"/>
  <c r="H626" i="5"/>
  <c r="G626" i="5"/>
  <c r="E626" i="5"/>
  <c r="F626" i="5" s="1"/>
  <c r="B626" i="5"/>
  <c r="U625" i="5"/>
  <c r="T625" i="5"/>
  <c r="O625" i="5"/>
  <c r="N625" i="5"/>
  <c r="M625" i="5"/>
  <c r="L625" i="5"/>
  <c r="K625" i="5"/>
  <c r="J625" i="5"/>
  <c r="I625" i="5"/>
  <c r="H625" i="5"/>
  <c r="G625" i="5"/>
  <c r="E625" i="5"/>
  <c r="F625" i="5" s="1"/>
  <c r="B625" i="5"/>
  <c r="U624" i="5"/>
  <c r="T624" i="5"/>
  <c r="O624" i="5"/>
  <c r="N624" i="5"/>
  <c r="M624" i="5"/>
  <c r="L624" i="5"/>
  <c r="K624" i="5"/>
  <c r="J624" i="5"/>
  <c r="I624" i="5"/>
  <c r="H624" i="5"/>
  <c r="G624" i="5"/>
  <c r="E624" i="5"/>
  <c r="F624" i="5" s="1"/>
  <c r="B624" i="5"/>
  <c r="U623" i="5"/>
  <c r="T623" i="5"/>
  <c r="O623" i="5"/>
  <c r="N623" i="5"/>
  <c r="M623" i="5"/>
  <c r="L623" i="5"/>
  <c r="K623" i="5"/>
  <c r="J623" i="5"/>
  <c r="I623" i="5"/>
  <c r="H623" i="5"/>
  <c r="G623" i="5"/>
  <c r="E623" i="5"/>
  <c r="B623" i="5"/>
  <c r="U622" i="5"/>
  <c r="T622" i="5"/>
  <c r="O622" i="5"/>
  <c r="N622" i="5"/>
  <c r="M622" i="5"/>
  <c r="L622" i="5"/>
  <c r="K622" i="5"/>
  <c r="J622" i="5"/>
  <c r="I622" i="5"/>
  <c r="H622" i="5"/>
  <c r="G622" i="5"/>
  <c r="E622" i="5"/>
  <c r="F622" i="5" s="1"/>
  <c r="B622" i="5"/>
  <c r="U621" i="5"/>
  <c r="T621" i="5"/>
  <c r="O621" i="5"/>
  <c r="N621" i="5"/>
  <c r="M621" i="5"/>
  <c r="L621" i="5"/>
  <c r="K621" i="5"/>
  <c r="J621" i="5"/>
  <c r="I621" i="5"/>
  <c r="H621" i="5"/>
  <c r="G621" i="5"/>
  <c r="E621" i="5"/>
  <c r="B621" i="5"/>
  <c r="U620" i="5"/>
  <c r="T620" i="5"/>
  <c r="O620" i="5"/>
  <c r="N620" i="5"/>
  <c r="M620" i="5"/>
  <c r="L620" i="5"/>
  <c r="K620" i="5"/>
  <c r="J620" i="5"/>
  <c r="I620" i="5"/>
  <c r="H620" i="5"/>
  <c r="G620" i="5"/>
  <c r="E620" i="5"/>
  <c r="F620" i="5" s="1"/>
  <c r="B620" i="5"/>
  <c r="U619" i="5"/>
  <c r="T619" i="5"/>
  <c r="O619" i="5"/>
  <c r="N619" i="5"/>
  <c r="M619" i="5"/>
  <c r="L619" i="5"/>
  <c r="K619" i="5"/>
  <c r="J619" i="5"/>
  <c r="I619" i="5"/>
  <c r="H619" i="5"/>
  <c r="G619" i="5"/>
  <c r="E619" i="5"/>
  <c r="F619" i="5" s="1"/>
  <c r="B619" i="5"/>
  <c r="U618" i="5"/>
  <c r="T618" i="5"/>
  <c r="O618" i="5"/>
  <c r="N618" i="5"/>
  <c r="M618" i="5"/>
  <c r="L618" i="5"/>
  <c r="K618" i="5"/>
  <c r="J618" i="5"/>
  <c r="I618" i="5"/>
  <c r="H618" i="5"/>
  <c r="G618" i="5"/>
  <c r="E618" i="5"/>
  <c r="B618" i="5"/>
  <c r="U617" i="5"/>
  <c r="T617" i="5"/>
  <c r="O617" i="5"/>
  <c r="N617" i="5"/>
  <c r="M617" i="5"/>
  <c r="L617" i="5"/>
  <c r="K617" i="5"/>
  <c r="J617" i="5"/>
  <c r="I617" i="5"/>
  <c r="H617" i="5"/>
  <c r="G617" i="5"/>
  <c r="E617" i="5"/>
  <c r="F617" i="5" s="1"/>
  <c r="B617" i="5"/>
  <c r="U616" i="5"/>
  <c r="T616" i="5"/>
  <c r="O616" i="5"/>
  <c r="N616" i="5"/>
  <c r="M616" i="5"/>
  <c r="L616" i="5"/>
  <c r="K616" i="5"/>
  <c r="J616" i="5"/>
  <c r="I616" i="5"/>
  <c r="H616" i="5"/>
  <c r="G616" i="5"/>
  <c r="E616" i="5"/>
  <c r="F616" i="5" s="1"/>
  <c r="B616" i="5"/>
  <c r="U615" i="5"/>
  <c r="T615" i="5"/>
  <c r="O615" i="5"/>
  <c r="N615" i="5"/>
  <c r="M615" i="5"/>
  <c r="L615" i="5"/>
  <c r="K615" i="5"/>
  <c r="J615" i="5"/>
  <c r="I615" i="5"/>
  <c r="H615" i="5"/>
  <c r="G615" i="5"/>
  <c r="E615" i="5"/>
  <c r="F615" i="5" s="1"/>
  <c r="B615" i="5"/>
  <c r="U614" i="5"/>
  <c r="T614" i="5"/>
  <c r="O614" i="5"/>
  <c r="N614" i="5"/>
  <c r="M614" i="5"/>
  <c r="L614" i="5"/>
  <c r="K614" i="5"/>
  <c r="J614" i="5"/>
  <c r="I614" i="5"/>
  <c r="H614" i="5"/>
  <c r="G614" i="5"/>
  <c r="E614" i="5"/>
  <c r="F614" i="5" s="1"/>
  <c r="B614" i="5"/>
  <c r="U613" i="5"/>
  <c r="T613" i="5"/>
  <c r="O613" i="5"/>
  <c r="N613" i="5"/>
  <c r="M613" i="5"/>
  <c r="L613" i="5"/>
  <c r="K613" i="5"/>
  <c r="J613" i="5"/>
  <c r="I613" i="5"/>
  <c r="H613" i="5"/>
  <c r="G613" i="5"/>
  <c r="E613" i="5"/>
  <c r="F613" i="5" s="1"/>
  <c r="B613" i="5"/>
  <c r="U612" i="5"/>
  <c r="T612" i="5"/>
  <c r="O612" i="5"/>
  <c r="N612" i="5"/>
  <c r="M612" i="5"/>
  <c r="L612" i="5"/>
  <c r="K612" i="5"/>
  <c r="J612" i="5"/>
  <c r="I612" i="5"/>
  <c r="H612" i="5"/>
  <c r="G612" i="5"/>
  <c r="E612" i="5"/>
  <c r="B612" i="5"/>
  <c r="U611" i="5"/>
  <c r="T611" i="5"/>
  <c r="O611" i="5"/>
  <c r="N611" i="5"/>
  <c r="M611" i="5"/>
  <c r="L611" i="5"/>
  <c r="K611" i="5"/>
  <c r="J611" i="5"/>
  <c r="I611" i="5"/>
  <c r="H611" i="5"/>
  <c r="G611" i="5"/>
  <c r="E611" i="5"/>
  <c r="F611" i="5" s="1"/>
  <c r="B611" i="5"/>
  <c r="U610" i="5"/>
  <c r="T610" i="5"/>
  <c r="O610" i="5"/>
  <c r="N610" i="5"/>
  <c r="M610" i="5"/>
  <c r="L610" i="5"/>
  <c r="K610" i="5"/>
  <c r="J610" i="5"/>
  <c r="I610" i="5"/>
  <c r="H610" i="5"/>
  <c r="G610" i="5"/>
  <c r="E610" i="5"/>
  <c r="F610" i="5" s="1"/>
  <c r="B610" i="5"/>
  <c r="U609" i="5"/>
  <c r="T609" i="5"/>
  <c r="O609" i="5"/>
  <c r="N609" i="5"/>
  <c r="M609" i="5"/>
  <c r="L609" i="5"/>
  <c r="K609" i="5"/>
  <c r="J609" i="5"/>
  <c r="I609" i="5"/>
  <c r="H609" i="5"/>
  <c r="G609" i="5"/>
  <c r="E609" i="5"/>
  <c r="F609" i="5" s="1"/>
  <c r="B609" i="5"/>
  <c r="U608" i="5"/>
  <c r="T608" i="5"/>
  <c r="O608" i="5"/>
  <c r="N608" i="5"/>
  <c r="M608" i="5"/>
  <c r="L608" i="5"/>
  <c r="K608" i="5"/>
  <c r="J608" i="5"/>
  <c r="I608" i="5"/>
  <c r="H608" i="5"/>
  <c r="G608" i="5"/>
  <c r="E608" i="5"/>
  <c r="F608" i="5" s="1"/>
  <c r="B608" i="5"/>
  <c r="U607" i="5"/>
  <c r="T607" i="5"/>
  <c r="O607" i="5"/>
  <c r="N607" i="5"/>
  <c r="M607" i="5"/>
  <c r="L607" i="5"/>
  <c r="K607" i="5"/>
  <c r="J607" i="5"/>
  <c r="I607" i="5"/>
  <c r="H607" i="5"/>
  <c r="G607" i="5"/>
  <c r="E607" i="5"/>
  <c r="F607" i="5" s="1"/>
  <c r="B607" i="5"/>
  <c r="U606" i="5"/>
  <c r="T606" i="5"/>
  <c r="O606" i="5"/>
  <c r="N606" i="5"/>
  <c r="M606" i="5"/>
  <c r="L606" i="5"/>
  <c r="K606" i="5"/>
  <c r="J606" i="5"/>
  <c r="I606" i="5"/>
  <c r="H606" i="5"/>
  <c r="G606" i="5"/>
  <c r="E606" i="5"/>
  <c r="F606" i="5" s="1"/>
  <c r="B606" i="5"/>
  <c r="U605" i="5"/>
  <c r="T605" i="5"/>
  <c r="O605" i="5"/>
  <c r="N605" i="5"/>
  <c r="M605" i="5"/>
  <c r="L605" i="5"/>
  <c r="K605" i="5"/>
  <c r="J605" i="5"/>
  <c r="I605" i="5"/>
  <c r="H605" i="5"/>
  <c r="G605" i="5"/>
  <c r="E605" i="5"/>
  <c r="F605" i="5" s="1"/>
  <c r="B605" i="5"/>
  <c r="U604" i="5"/>
  <c r="T604" i="5"/>
  <c r="O604" i="5"/>
  <c r="N604" i="5"/>
  <c r="M604" i="5"/>
  <c r="L604" i="5"/>
  <c r="K604" i="5"/>
  <c r="J604" i="5"/>
  <c r="I604" i="5"/>
  <c r="H604" i="5"/>
  <c r="G604" i="5"/>
  <c r="E604" i="5"/>
  <c r="F604" i="5" s="1"/>
  <c r="B604" i="5"/>
  <c r="U603" i="5"/>
  <c r="T603" i="5"/>
  <c r="O603" i="5"/>
  <c r="N603" i="5"/>
  <c r="M603" i="5"/>
  <c r="L603" i="5"/>
  <c r="K603" i="5"/>
  <c r="J603" i="5"/>
  <c r="I603" i="5"/>
  <c r="H603" i="5"/>
  <c r="G603" i="5"/>
  <c r="E603" i="5"/>
  <c r="F603" i="5" s="1"/>
  <c r="B603" i="5"/>
  <c r="U602" i="5"/>
  <c r="T602" i="5"/>
  <c r="O602" i="5"/>
  <c r="N602" i="5"/>
  <c r="M602" i="5"/>
  <c r="L602" i="5"/>
  <c r="K602" i="5"/>
  <c r="J602" i="5"/>
  <c r="I602" i="5"/>
  <c r="H602" i="5"/>
  <c r="G602" i="5"/>
  <c r="E602" i="5"/>
  <c r="F602" i="5" s="1"/>
  <c r="B602" i="5"/>
  <c r="U601" i="5"/>
  <c r="T601" i="5"/>
  <c r="O601" i="5"/>
  <c r="N601" i="5"/>
  <c r="M601" i="5"/>
  <c r="L601" i="5"/>
  <c r="K601" i="5"/>
  <c r="J601" i="5"/>
  <c r="I601" i="5"/>
  <c r="H601" i="5"/>
  <c r="G601" i="5"/>
  <c r="E601" i="5"/>
  <c r="F601" i="5" s="1"/>
  <c r="B601" i="5"/>
  <c r="U600" i="5"/>
  <c r="T600" i="5"/>
  <c r="O600" i="5"/>
  <c r="N600" i="5"/>
  <c r="M600" i="5"/>
  <c r="L600" i="5"/>
  <c r="K600" i="5"/>
  <c r="J600" i="5"/>
  <c r="I600" i="5"/>
  <c r="H600" i="5"/>
  <c r="G600" i="5"/>
  <c r="E600" i="5"/>
  <c r="F600" i="5" s="1"/>
  <c r="B600" i="5"/>
  <c r="U599" i="5"/>
  <c r="T599" i="5"/>
  <c r="O599" i="5"/>
  <c r="N599" i="5"/>
  <c r="M599" i="5"/>
  <c r="L599" i="5"/>
  <c r="K599" i="5"/>
  <c r="J599" i="5"/>
  <c r="I599" i="5"/>
  <c r="H599" i="5"/>
  <c r="G599" i="5"/>
  <c r="E599" i="5"/>
  <c r="F599" i="5" s="1"/>
  <c r="B599" i="5"/>
  <c r="U598" i="5"/>
  <c r="T598" i="5"/>
  <c r="O598" i="5"/>
  <c r="N598" i="5"/>
  <c r="M598" i="5"/>
  <c r="L598" i="5"/>
  <c r="K598" i="5"/>
  <c r="J598" i="5"/>
  <c r="I598" i="5"/>
  <c r="H598" i="5"/>
  <c r="G598" i="5"/>
  <c r="E598" i="5"/>
  <c r="F598" i="5" s="1"/>
  <c r="B598" i="5"/>
  <c r="U597" i="5"/>
  <c r="T597" i="5"/>
  <c r="O597" i="5"/>
  <c r="N597" i="5"/>
  <c r="M597" i="5"/>
  <c r="L597" i="5"/>
  <c r="K597" i="5"/>
  <c r="J597" i="5"/>
  <c r="I597" i="5"/>
  <c r="H597" i="5"/>
  <c r="G597" i="5"/>
  <c r="E597" i="5"/>
  <c r="F597" i="5" s="1"/>
  <c r="B597" i="5"/>
  <c r="U596" i="5"/>
  <c r="T596" i="5"/>
  <c r="O596" i="5"/>
  <c r="N596" i="5"/>
  <c r="M596" i="5"/>
  <c r="L596" i="5"/>
  <c r="K596" i="5"/>
  <c r="J596" i="5"/>
  <c r="I596" i="5"/>
  <c r="H596" i="5"/>
  <c r="G596" i="5"/>
  <c r="E596" i="5"/>
  <c r="F596" i="5" s="1"/>
  <c r="B596" i="5"/>
  <c r="U595" i="5"/>
  <c r="T595" i="5"/>
  <c r="O595" i="5"/>
  <c r="N595" i="5"/>
  <c r="M595" i="5"/>
  <c r="L595" i="5"/>
  <c r="K595" i="5"/>
  <c r="J595" i="5"/>
  <c r="I595" i="5"/>
  <c r="H595" i="5"/>
  <c r="G595" i="5"/>
  <c r="E595" i="5"/>
  <c r="F595" i="5" s="1"/>
  <c r="B595" i="5"/>
  <c r="U594" i="5"/>
  <c r="T594" i="5"/>
  <c r="O594" i="5"/>
  <c r="N594" i="5"/>
  <c r="M594" i="5"/>
  <c r="L594" i="5"/>
  <c r="K594" i="5"/>
  <c r="J594" i="5"/>
  <c r="I594" i="5"/>
  <c r="H594" i="5"/>
  <c r="G594" i="5"/>
  <c r="E594" i="5"/>
  <c r="B594" i="5"/>
  <c r="U593" i="5"/>
  <c r="T593" i="5"/>
  <c r="O593" i="5"/>
  <c r="N593" i="5"/>
  <c r="M593" i="5"/>
  <c r="L593" i="5"/>
  <c r="K593" i="5"/>
  <c r="J593" i="5"/>
  <c r="I593" i="5"/>
  <c r="H593" i="5"/>
  <c r="G593" i="5"/>
  <c r="E593" i="5"/>
  <c r="F593" i="5" s="1"/>
  <c r="B593" i="5"/>
  <c r="W593" i="5" s="1"/>
  <c r="U592" i="5"/>
  <c r="T592" i="5"/>
  <c r="O592" i="5"/>
  <c r="N592" i="5"/>
  <c r="M592" i="5"/>
  <c r="L592" i="5"/>
  <c r="K592" i="5"/>
  <c r="J592" i="5"/>
  <c r="I592" i="5"/>
  <c r="H592" i="5"/>
  <c r="G592" i="5"/>
  <c r="E592" i="5"/>
  <c r="F592" i="5" s="1"/>
  <c r="B592" i="5"/>
  <c r="U591" i="5"/>
  <c r="T591" i="5"/>
  <c r="O591" i="5"/>
  <c r="N591" i="5"/>
  <c r="M591" i="5"/>
  <c r="L591" i="5"/>
  <c r="K591" i="5"/>
  <c r="J591" i="5"/>
  <c r="I591" i="5"/>
  <c r="H591" i="5"/>
  <c r="G591" i="5"/>
  <c r="E591" i="5"/>
  <c r="F591" i="5" s="1"/>
  <c r="B591" i="5"/>
  <c r="U590" i="5"/>
  <c r="T590" i="5"/>
  <c r="O590" i="5"/>
  <c r="N590" i="5"/>
  <c r="M590" i="5"/>
  <c r="L590" i="5"/>
  <c r="K590" i="5"/>
  <c r="J590" i="5"/>
  <c r="I590" i="5"/>
  <c r="H590" i="5"/>
  <c r="G590" i="5"/>
  <c r="E590" i="5"/>
  <c r="F590" i="5" s="1"/>
  <c r="B590" i="5"/>
  <c r="U589" i="5"/>
  <c r="T589" i="5"/>
  <c r="O589" i="5"/>
  <c r="N589" i="5"/>
  <c r="M589" i="5"/>
  <c r="L589" i="5"/>
  <c r="K589" i="5"/>
  <c r="J589" i="5"/>
  <c r="I589" i="5"/>
  <c r="H589" i="5"/>
  <c r="G589" i="5"/>
  <c r="E589" i="5"/>
  <c r="F589" i="5" s="1"/>
  <c r="B589" i="5"/>
  <c r="U588" i="5"/>
  <c r="T588" i="5"/>
  <c r="O588" i="5"/>
  <c r="N588" i="5"/>
  <c r="M588" i="5"/>
  <c r="L588" i="5"/>
  <c r="K588" i="5"/>
  <c r="J588" i="5"/>
  <c r="I588" i="5"/>
  <c r="H588" i="5"/>
  <c r="G588" i="5"/>
  <c r="E588" i="5"/>
  <c r="F588" i="5" s="1"/>
  <c r="B588" i="5"/>
  <c r="U587" i="5"/>
  <c r="T587" i="5"/>
  <c r="O587" i="5"/>
  <c r="N587" i="5"/>
  <c r="M587" i="5"/>
  <c r="L587" i="5"/>
  <c r="K587" i="5"/>
  <c r="J587" i="5"/>
  <c r="I587" i="5"/>
  <c r="H587" i="5"/>
  <c r="G587" i="5"/>
  <c r="E587" i="5"/>
  <c r="F587" i="5" s="1"/>
  <c r="B587" i="5"/>
  <c r="U586" i="5"/>
  <c r="T586" i="5"/>
  <c r="O586" i="5"/>
  <c r="N586" i="5"/>
  <c r="M586" i="5"/>
  <c r="L586" i="5"/>
  <c r="K586" i="5"/>
  <c r="J586" i="5"/>
  <c r="I586" i="5"/>
  <c r="H586" i="5"/>
  <c r="G586" i="5"/>
  <c r="E586" i="5"/>
  <c r="F586" i="5" s="1"/>
  <c r="B586" i="5"/>
  <c r="U585" i="5"/>
  <c r="T585" i="5"/>
  <c r="O585" i="5"/>
  <c r="N585" i="5"/>
  <c r="M585" i="5"/>
  <c r="L585" i="5"/>
  <c r="K585" i="5"/>
  <c r="J585" i="5"/>
  <c r="I585" i="5"/>
  <c r="H585" i="5"/>
  <c r="G585" i="5"/>
  <c r="E585" i="5"/>
  <c r="B585" i="5"/>
  <c r="U584" i="5"/>
  <c r="T584" i="5"/>
  <c r="O584" i="5"/>
  <c r="N584" i="5"/>
  <c r="M584" i="5"/>
  <c r="L584" i="5"/>
  <c r="K584" i="5"/>
  <c r="J584" i="5"/>
  <c r="I584" i="5"/>
  <c r="H584" i="5"/>
  <c r="G584" i="5"/>
  <c r="E584" i="5"/>
  <c r="F584" i="5" s="1"/>
  <c r="B584" i="5"/>
  <c r="U583" i="5"/>
  <c r="T583" i="5"/>
  <c r="O583" i="5"/>
  <c r="N583" i="5"/>
  <c r="M583" i="5"/>
  <c r="L583" i="5"/>
  <c r="K583" i="5"/>
  <c r="J583" i="5"/>
  <c r="I583" i="5"/>
  <c r="H583" i="5"/>
  <c r="G583" i="5"/>
  <c r="E583" i="5"/>
  <c r="F583" i="5" s="1"/>
  <c r="B583" i="5"/>
  <c r="U582" i="5"/>
  <c r="T582" i="5"/>
  <c r="O582" i="5"/>
  <c r="N582" i="5"/>
  <c r="M582" i="5"/>
  <c r="L582" i="5"/>
  <c r="K582" i="5"/>
  <c r="J582" i="5"/>
  <c r="I582" i="5"/>
  <c r="H582" i="5"/>
  <c r="G582" i="5"/>
  <c r="E582" i="5"/>
  <c r="F582" i="5" s="1"/>
  <c r="B582" i="5"/>
  <c r="U581" i="5"/>
  <c r="T581" i="5"/>
  <c r="O581" i="5"/>
  <c r="N581" i="5"/>
  <c r="M581" i="5"/>
  <c r="L581" i="5"/>
  <c r="K581" i="5"/>
  <c r="J581" i="5"/>
  <c r="I581" i="5"/>
  <c r="H581" i="5"/>
  <c r="G581" i="5"/>
  <c r="E581" i="5"/>
  <c r="B581" i="5"/>
  <c r="U580" i="5"/>
  <c r="T580" i="5"/>
  <c r="O580" i="5"/>
  <c r="N580" i="5"/>
  <c r="M580" i="5"/>
  <c r="L580" i="5"/>
  <c r="K580" i="5"/>
  <c r="J580" i="5"/>
  <c r="I580" i="5"/>
  <c r="H580" i="5"/>
  <c r="G580" i="5"/>
  <c r="E580" i="5"/>
  <c r="F580" i="5" s="1"/>
  <c r="B580" i="5"/>
  <c r="U579" i="5"/>
  <c r="T579" i="5"/>
  <c r="O579" i="5"/>
  <c r="N579" i="5"/>
  <c r="M579" i="5"/>
  <c r="L579" i="5"/>
  <c r="K579" i="5"/>
  <c r="J579" i="5"/>
  <c r="I579" i="5"/>
  <c r="H579" i="5"/>
  <c r="G579" i="5"/>
  <c r="E579" i="5"/>
  <c r="F579" i="5" s="1"/>
  <c r="B579" i="5"/>
  <c r="U578" i="5"/>
  <c r="T578" i="5"/>
  <c r="O578" i="5"/>
  <c r="N578" i="5"/>
  <c r="M578" i="5"/>
  <c r="L578" i="5"/>
  <c r="K578" i="5"/>
  <c r="J578" i="5"/>
  <c r="I578" i="5"/>
  <c r="H578" i="5"/>
  <c r="G578" i="5"/>
  <c r="E578" i="5"/>
  <c r="F578" i="5" s="1"/>
  <c r="B578" i="5"/>
  <c r="U577" i="5"/>
  <c r="T577" i="5"/>
  <c r="O577" i="5"/>
  <c r="N577" i="5"/>
  <c r="M577" i="5"/>
  <c r="L577" i="5"/>
  <c r="K577" i="5"/>
  <c r="J577" i="5"/>
  <c r="I577" i="5"/>
  <c r="H577" i="5"/>
  <c r="G577" i="5"/>
  <c r="E577" i="5"/>
  <c r="F577" i="5" s="1"/>
  <c r="B577" i="5"/>
  <c r="U576" i="5"/>
  <c r="T576" i="5"/>
  <c r="O576" i="5"/>
  <c r="N576" i="5"/>
  <c r="M576" i="5"/>
  <c r="L576" i="5"/>
  <c r="K576" i="5"/>
  <c r="J576" i="5"/>
  <c r="I576" i="5"/>
  <c r="H576" i="5"/>
  <c r="G576" i="5"/>
  <c r="E576" i="5"/>
  <c r="B576" i="5"/>
  <c r="U575" i="5"/>
  <c r="T575" i="5"/>
  <c r="O575" i="5"/>
  <c r="N575" i="5"/>
  <c r="M575" i="5"/>
  <c r="L575" i="5"/>
  <c r="K575" i="5"/>
  <c r="J575" i="5"/>
  <c r="I575" i="5"/>
  <c r="H575" i="5"/>
  <c r="G575" i="5"/>
  <c r="E575" i="5"/>
  <c r="B575" i="5"/>
  <c r="U574" i="5"/>
  <c r="T574" i="5"/>
  <c r="O574" i="5"/>
  <c r="N574" i="5"/>
  <c r="M574" i="5"/>
  <c r="L574" i="5"/>
  <c r="K574" i="5"/>
  <c r="J574" i="5"/>
  <c r="I574" i="5"/>
  <c r="H574" i="5"/>
  <c r="G574" i="5"/>
  <c r="E574" i="5"/>
  <c r="F574" i="5" s="1"/>
  <c r="B574" i="5"/>
  <c r="U573" i="5"/>
  <c r="T573" i="5"/>
  <c r="O573" i="5"/>
  <c r="N573" i="5"/>
  <c r="M573" i="5"/>
  <c r="L573" i="5"/>
  <c r="K573" i="5"/>
  <c r="J573" i="5"/>
  <c r="I573" i="5"/>
  <c r="H573" i="5"/>
  <c r="G573" i="5"/>
  <c r="E573" i="5"/>
  <c r="F573" i="5" s="1"/>
  <c r="B573" i="5"/>
  <c r="U572" i="5"/>
  <c r="T572" i="5"/>
  <c r="O572" i="5"/>
  <c r="N572" i="5"/>
  <c r="M572" i="5"/>
  <c r="L572" i="5"/>
  <c r="K572" i="5"/>
  <c r="J572" i="5"/>
  <c r="I572" i="5"/>
  <c r="H572" i="5"/>
  <c r="G572" i="5"/>
  <c r="E572" i="5"/>
  <c r="F572" i="5" s="1"/>
  <c r="B572" i="5"/>
  <c r="U571" i="5"/>
  <c r="T571" i="5"/>
  <c r="O571" i="5"/>
  <c r="N571" i="5"/>
  <c r="M571" i="5"/>
  <c r="L571" i="5"/>
  <c r="K571" i="5"/>
  <c r="J571" i="5"/>
  <c r="I571" i="5"/>
  <c r="H571" i="5"/>
  <c r="G571" i="5"/>
  <c r="E571" i="5"/>
  <c r="F571" i="5" s="1"/>
  <c r="B571" i="5"/>
  <c r="U570" i="5"/>
  <c r="T570" i="5"/>
  <c r="O570" i="5"/>
  <c r="N570" i="5"/>
  <c r="M570" i="5"/>
  <c r="L570" i="5"/>
  <c r="K570" i="5"/>
  <c r="J570" i="5"/>
  <c r="I570" i="5"/>
  <c r="H570" i="5"/>
  <c r="G570" i="5"/>
  <c r="E570" i="5"/>
  <c r="F570" i="5" s="1"/>
  <c r="B570" i="5"/>
  <c r="U569" i="5"/>
  <c r="T569" i="5"/>
  <c r="O569" i="5"/>
  <c r="N569" i="5"/>
  <c r="M569" i="5"/>
  <c r="L569" i="5"/>
  <c r="K569" i="5"/>
  <c r="J569" i="5"/>
  <c r="I569" i="5"/>
  <c r="H569" i="5"/>
  <c r="G569" i="5"/>
  <c r="E569" i="5"/>
  <c r="F569" i="5" s="1"/>
  <c r="B569" i="5"/>
  <c r="U568" i="5"/>
  <c r="T568" i="5"/>
  <c r="O568" i="5"/>
  <c r="N568" i="5"/>
  <c r="M568" i="5"/>
  <c r="L568" i="5"/>
  <c r="K568" i="5"/>
  <c r="J568" i="5"/>
  <c r="I568" i="5"/>
  <c r="H568" i="5"/>
  <c r="G568" i="5"/>
  <c r="E568" i="5"/>
  <c r="F568" i="5" s="1"/>
  <c r="B568" i="5"/>
  <c r="U567" i="5"/>
  <c r="T567" i="5"/>
  <c r="O567" i="5"/>
  <c r="N567" i="5"/>
  <c r="M567" i="5"/>
  <c r="L567" i="5"/>
  <c r="K567" i="5"/>
  <c r="J567" i="5"/>
  <c r="I567" i="5"/>
  <c r="H567" i="5"/>
  <c r="G567" i="5"/>
  <c r="E567" i="5"/>
  <c r="F567" i="5" s="1"/>
  <c r="B567" i="5"/>
  <c r="U566" i="5"/>
  <c r="T566" i="5"/>
  <c r="O566" i="5"/>
  <c r="N566" i="5"/>
  <c r="M566" i="5"/>
  <c r="L566" i="5"/>
  <c r="K566" i="5"/>
  <c r="J566" i="5"/>
  <c r="I566" i="5"/>
  <c r="H566" i="5"/>
  <c r="G566" i="5"/>
  <c r="E566" i="5"/>
  <c r="F566" i="5" s="1"/>
  <c r="B566" i="5"/>
  <c r="U565" i="5"/>
  <c r="T565" i="5"/>
  <c r="O565" i="5"/>
  <c r="N565" i="5"/>
  <c r="M565" i="5"/>
  <c r="L565" i="5"/>
  <c r="K565" i="5"/>
  <c r="J565" i="5"/>
  <c r="I565" i="5"/>
  <c r="H565" i="5"/>
  <c r="G565" i="5"/>
  <c r="E565" i="5"/>
  <c r="F565" i="5" s="1"/>
  <c r="B565" i="5"/>
  <c r="U564" i="5"/>
  <c r="T564" i="5"/>
  <c r="O564" i="5"/>
  <c r="N564" i="5"/>
  <c r="M564" i="5"/>
  <c r="L564" i="5"/>
  <c r="K564" i="5"/>
  <c r="J564" i="5"/>
  <c r="I564" i="5"/>
  <c r="H564" i="5"/>
  <c r="G564" i="5"/>
  <c r="E564" i="5"/>
  <c r="F564" i="5" s="1"/>
  <c r="B564" i="5"/>
  <c r="U563" i="5"/>
  <c r="T563" i="5"/>
  <c r="O563" i="5"/>
  <c r="N563" i="5"/>
  <c r="M563" i="5"/>
  <c r="L563" i="5"/>
  <c r="K563" i="5"/>
  <c r="J563" i="5"/>
  <c r="I563" i="5"/>
  <c r="H563" i="5"/>
  <c r="G563" i="5"/>
  <c r="E563" i="5"/>
  <c r="F563" i="5" s="1"/>
  <c r="B563" i="5"/>
  <c r="U562" i="5"/>
  <c r="T562" i="5"/>
  <c r="O562" i="5"/>
  <c r="N562" i="5"/>
  <c r="M562" i="5"/>
  <c r="L562" i="5"/>
  <c r="K562" i="5"/>
  <c r="J562" i="5"/>
  <c r="I562" i="5"/>
  <c r="H562" i="5"/>
  <c r="G562" i="5"/>
  <c r="E562" i="5"/>
  <c r="F562" i="5" s="1"/>
  <c r="B562" i="5"/>
  <c r="U561" i="5"/>
  <c r="T561" i="5"/>
  <c r="O561" i="5"/>
  <c r="N561" i="5"/>
  <c r="M561" i="5"/>
  <c r="L561" i="5"/>
  <c r="K561" i="5"/>
  <c r="J561" i="5"/>
  <c r="I561" i="5"/>
  <c r="H561" i="5"/>
  <c r="G561" i="5"/>
  <c r="E561" i="5"/>
  <c r="F561" i="5" s="1"/>
  <c r="B561" i="5"/>
  <c r="U560" i="5"/>
  <c r="T560" i="5"/>
  <c r="O560" i="5"/>
  <c r="N560" i="5"/>
  <c r="M560" i="5"/>
  <c r="L560" i="5"/>
  <c r="K560" i="5"/>
  <c r="J560" i="5"/>
  <c r="I560" i="5"/>
  <c r="H560" i="5"/>
  <c r="G560" i="5"/>
  <c r="E560" i="5"/>
  <c r="F560" i="5" s="1"/>
  <c r="B560" i="5"/>
  <c r="U559" i="5"/>
  <c r="T559" i="5"/>
  <c r="O559" i="5"/>
  <c r="N559" i="5"/>
  <c r="M559" i="5"/>
  <c r="L559" i="5"/>
  <c r="K559" i="5"/>
  <c r="J559" i="5"/>
  <c r="I559" i="5"/>
  <c r="H559" i="5"/>
  <c r="G559" i="5"/>
  <c r="E559" i="5"/>
  <c r="F559" i="5" s="1"/>
  <c r="B559" i="5"/>
  <c r="U558" i="5"/>
  <c r="T558" i="5"/>
  <c r="O558" i="5"/>
  <c r="N558" i="5"/>
  <c r="M558" i="5"/>
  <c r="L558" i="5"/>
  <c r="K558" i="5"/>
  <c r="J558" i="5"/>
  <c r="I558" i="5"/>
  <c r="H558" i="5"/>
  <c r="G558" i="5"/>
  <c r="E558" i="5"/>
  <c r="B558" i="5"/>
  <c r="U557" i="5"/>
  <c r="T557" i="5"/>
  <c r="O557" i="5"/>
  <c r="N557" i="5"/>
  <c r="M557" i="5"/>
  <c r="L557" i="5"/>
  <c r="K557" i="5"/>
  <c r="J557" i="5"/>
  <c r="I557" i="5"/>
  <c r="H557" i="5"/>
  <c r="G557" i="5"/>
  <c r="E557" i="5"/>
  <c r="B557" i="5"/>
  <c r="U556" i="5"/>
  <c r="T556" i="5"/>
  <c r="O556" i="5"/>
  <c r="N556" i="5"/>
  <c r="M556" i="5"/>
  <c r="L556" i="5"/>
  <c r="K556" i="5"/>
  <c r="J556" i="5"/>
  <c r="I556" i="5"/>
  <c r="H556" i="5"/>
  <c r="G556" i="5"/>
  <c r="E556" i="5"/>
  <c r="F556" i="5" s="1"/>
  <c r="B556" i="5"/>
  <c r="U555" i="5"/>
  <c r="T555" i="5"/>
  <c r="O555" i="5"/>
  <c r="N555" i="5"/>
  <c r="M555" i="5"/>
  <c r="L555" i="5"/>
  <c r="K555" i="5"/>
  <c r="J555" i="5"/>
  <c r="I555" i="5"/>
  <c r="H555" i="5"/>
  <c r="G555" i="5"/>
  <c r="E555" i="5"/>
  <c r="F555" i="5" s="1"/>
  <c r="B555" i="5"/>
  <c r="W555" i="5" s="1"/>
  <c r="U554" i="5"/>
  <c r="T554" i="5"/>
  <c r="O554" i="5"/>
  <c r="N554" i="5"/>
  <c r="M554" i="5"/>
  <c r="L554" i="5"/>
  <c r="K554" i="5"/>
  <c r="J554" i="5"/>
  <c r="I554" i="5"/>
  <c r="H554" i="5"/>
  <c r="G554" i="5"/>
  <c r="E554" i="5"/>
  <c r="F554" i="5" s="1"/>
  <c r="B554" i="5"/>
  <c r="U553" i="5"/>
  <c r="T553" i="5"/>
  <c r="O553" i="5"/>
  <c r="N553" i="5"/>
  <c r="M553" i="5"/>
  <c r="L553" i="5"/>
  <c r="K553" i="5"/>
  <c r="J553" i="5"/>
  <c r="I553" i="5"/>
  <c r="H553" i="5"/>
  <c r="G553" i="5"/>
  <c r="E553" i="5"/>
  <c r="F553" i="5" s="1"/>
  <c r="B553" i="5"/>
  <c r="U552" i="5"/>
  <c r="T552" i="5"/>
  <c r="O552" i="5"/>
  <c r="N552" i="5"/>
  <c r="M552" i="5"/>
  <c r="L552" i="5"/>
  <c r="K552" i="5"/>
  <c r="J552" i="5"/>
  <c r="I552" i="5"/>
  <c r="H552" i="5"/>
  <c r="G552" i="5"/>
  <c r="E552" i="5"/>
  <c r="B552" i="5"/>
  <c r="U551" i="5"/>
  <c r="T551" i="5"/>
  <c r="O551" i="5"/>
  <c r="N551" i="5"/>
  <c r="M551" i="5"/>
  <c r="L551" i="5"/>
  <c r="K551" i="5"/>
  <c r="J551" i="5"/>
  <c r="I551" i="5"/>
  <c r="H551" i="5"/>
  <c r="G551" i="5"/>
  <c r="E551" i="5"/>
  <c r="F551" i="5" s="1"/>
  <c r="B551" i="5"/>
  <c r="U550" i="5"/>
  <c r="T550" i="5"/>
  <c r="O550" i="5"/>
  <c r="N550" i="5"/>
  <c r="M550" i="5"/>
  <c r="L550" i="5"/>
  <c r="K550" i="5"/>
  <c r="J550" i="5"/>
  <c r="I550" i="5"/>
  <c r="H550" i="5"/>
  <c r="G550" i="5"/>
  <c r="E550" i="5"/>
  <c r="F550" i="5" s="1"/>
  <c r="B550" i="5"/>
  <c r="U549" i="5"/>
  <c r="T549" i="5"/>
  <c r="O549" i="5"/>
  <c r="N549" i="5"/>
  <c r="M549" i="5"/>
  <c r="L549" i="5"/>
  <c r="K549" i="5"/>
  <c r="J549" i="5"/>
  <c r="I549" i="5"/>
  <c r="H549" i="5"/>
  <c r="G549" i="5"/>
  <c r="E549" i="5"/>
  <c r="F549" i="5" s="1"/>
  <c r="B549" i="5"/>
  <c r="U548" i="5"/>
  <c r="T548" i="5"/>
  <c r="O548" i="5"/>
  <c r="N548" i="5"/>
  <c r="M548" i="5"/>
  <c r="L548" i="5"/>
  <c r="K548" i="5"/>
  <c r="J548" i="5"/>
  <c r="I548" i="5"/>
  <c r="H548" i="5"/>
  <c r="G548" i="5"/>
  <c r="E548" i="5"/>
  <c r="F548" i="5" s="1"/>
  <c r="B548" i="5"/>
  <c r="U547" i="5"/>
  <c r="T547" i="5"/>
  <c r="O547" i="5"/>
  <c r="N547" i="5"/>
  <c r="M547" i="5"/>
  <c r="L547" i="5"/>
  <c r="K547" i="5"/>
  <c r="J547" i="5"/>
  <c r="I547" i="5"/>
  <c r="H547" i="5"/>
  <c r="G547" i="5"/>
  <c r="E547" i="5"/>
  <c r="F547" i="5" s="1"/>
  <c r="B547" i="5"/>
  <c r="U546" i="5"/>
  <c r="T546" i="5"/>
  <c r="O546" i="5"/>
  <c r="N546" i="5"/>
  <c r="M546" i="5"/>
  <c r="L546" i="5"/>
  <c r="K546" i="5"/>
  <c r="J546" i="5"/>
  <c r="I546" i="5"/>
  <c r="H546" i="5"/>
  <c r="G546" i="5"/>
  <c r="E546" i="5"/>
  <c r="F546" i="5" s="1"/>
  <c r="B546" i="5"/>
  <c r="U545" i="5"/>
  <c r="T545" i="5"/>
  <c r="O545" i="5"/>
  <c r="N545" i="5"/>
  <c r="M545" i="5"/>
  <c r="L545" i="5"/>
  <c r="K545" i="5"/>
  <c r="J545" i="5"/>
  <c r="I545" i="5"/>
  <c r="H545" i="5"/>
  <c r="G545" i="5"/>
  <c r="E545" i="5"/>
  <c r="F545" i="5" s="1"/>
  <c r="B545" i="5"/>
  <c r="U544" i="5"/>
  <c r="T544" i="5"/>
  <c r="O544" i="5"/>
  <c r="N544" i="5"/>
  <c r="M544" i="5"/>
  <c r="L544" i="5"/>
  <c r="K544" i="5"/>
  <c r="J544" i="5"/>
  <c r="I544" i="5"/>
  <c r="H544" i="5"/>
  <c r="G544" i="5"/>
  <c r="E544" i="5"/>
  <c r="F544" i="5" s="1"/>
  <c r="B544" i="5"/>
  <c r="U543" i="5"/>
  <c r="T543" i="5"/>
  <c r="O543" i="5"/>
  <c r="N543" i="5"/>
  <c r="M543" i="5"/>
  <c r="L543" i="5"/>
  <c r="K543" i="5"/>
  <c r="J543" i="5"/>
  <c r="I543" i="5"/>
  <c r="H543" i="5"/>
  <c r="G543" i="5"/>
  <c r="E543" i="5"/>
  <c r="F543" i="5" s="1"/>
  <c r="B543" i="5"/>
  <c r="U542" i="5"/>
  <c r="T542" i="5"/>
  <c r="O542" i="5"/>
  <c r="N542" i="5"/>
  <c r="M542" i="5"/>
  <c r="L542" i="5"/>
  <c r="K542" i="5"/>
  <c r="J542" i="5"/>
  <c r="I542" i="5"/>
  <c r="H542" i="5"/>
  <c r="G542" i="5"/>
  <c r="E542" i="5"/>
  <c r="F542" i="5" s="1"/>
  <c r="B542" i="5"/>
  <c r="U541" i="5"/>
  <c r="T541" i="5"/>
  <c r="O541" i="5"/>
  <c r="N541" i="5"/>
  <c r="M541" i="5"/>
  <c r="L541" i="5"/>
  <c r="K541" i="5"/>
  <c r="J541" i="5"/>
  <c r="I541" i="5"/>
  <c r="H541" i="5"/>
  <c r="G541" i="5"/>
  <c r="E541" i="5"/>
  <c r="F541" i="5" s="1"/>
  <c r="B541" i="5"/>
  <c r="U540" i="5"/>
  <c r="T540" i="5"/>
  <c r="O540" i="5"/>
  <c r="N540" i="5"/>
  <c r="M540" i="5"/>
  <c r="L540" i="5"/>
  <c r="K540" i="5"/>
  <c r="J540" i="5"/>
  <c r="I540" i="5"/>
  <c r="H540" i="5"/>
  <c r="G540" i="5"/>
  <c r="E540" i="5"/>
  <c r="F540" i="5" s="1"/>
  <c r="B540" i="5"/>
  <c r="U539" i="5"/>
  <c r="T539" i="5"/>
  <c r="O539" i="5"/>
  <c r="N539" i="5"/>
  <c r="M539" i="5"/>
  <c r="L539" i="5"/>
  <c r="K539" i="5"/>
  <c r="J539" i="5"/>
  <c r="I539" i="5"/>
  <c r="H539" i="5"/>
  <c r="G539" i="5"/>
  <c r="E539" i="5"/>
  <c r="F539" i="5" s="1"/>
  <c r="B539" i="5"/>
  <c r="U538" i="5"/>
  <c r="T538" i="5"/>
  <c r="O538" i="5"/>
  <c r="N538" i="5"/>
  <c r="M538" i="5"/>
  <c r="L538" i="5"/>
  <c r="K538" i="5"/>
  <c r="J538" i="5"/>
  <c r="I538" i="5"/>
  <c r="H538" i="5"/>
  <c r="G538" i="5"/>
  <c r="E538" i="5"/>
  <c r="F538" i="5" s="1"/>
  <c r="B538" i="5"/>
  <c r="U537" i="5"/>
  <c r="T537" i="5"/>
  <c r="O537" i="5"/>
  <c r="N537" i="5"/>
  <c r="M537" i="5"/>
  <c r="L537" i="5"/>
  <c r="K537" i="5"/>
  <c r="J537" i="5"/>
  <c r="I537" i="5"/>
  <c r="H537" i="5"/>
  <c r="G537" i="5"/>
  <c r="E537" i="5"/>
  <c r="F537" i="5" s="1"/>
  <c r="B537" i="5"/>
  <c r="U536" i="5"/>
  <c r="T536" i="5"/>
  <c r="O536" i="5"/>
  <c r="N536" i="5"/>
  <c r="M536" i="5"/>
  <c r="L536" i="5"/>
  <c r="K536" i="5"/>
  <c r="J536" i="5"/>
  <c r="I536" i="5"/>
  <c r="H536" i="5"/>
  <c r="G536" i="5"/>
  <c r="E536" i="5"/>
  <c r="F536" i="5" s="1"/>
  <c r="B536" i="5"/>
  <c r="U535" i="5"/>
  <c r="T535" i="5"/>
  <c r="O535" i="5"/>
  <c r="N535" i="5"/>
  <c r="M535" i="5"/>
  <c r="L535" i="5"/>
  <c r="K535" i="5"/>
  <c r="J535" i="5"/>
  <c r="I535" i="5"/>
  <c r="H535" i="5"/>
  <c r="G535" i="5"/>
  <c r="E535" i="5"/>
  <c r="F535" i="5" s="1"/>
  <c r="B535" i="5"/>
  <c r="U534" i="5"/>
  <c r="T534" i="5"/>
  <c r="O534" i="5"/>
  <c r="N534" i="5"/>
  <c r="M534" i="5"/>
  <c r="L534" i="5"/>
  <c r="K534" i="5"/>
  <c r="J534" i="5"/>
  <c r="I534" i="5"/>
  <c r="H534" i="5"/>
  <c r="G534" i="5"/>
  <c r="E534" i="5"/>
  <c r="B534" i="5"/>
  <c r="U533" i="5"/>
  <c r="T533" i="5"/>
  <c r="O533" i="5"/>
  <c r="N533" i="5"/>
  <c r="M533" i="5"/>
  <c r="L533" i="5"/>
  <c r="K533" i="5"/>
  <c r="J533" i="5"/>
  <c r="I533" i="5"/>
  <c r="H533" i="5"/>
  <c r="G533" i="5"/>
  <c r="E533" i="5"/>
  <c r="F533" i="5" s="1"/>
  <c r="B533" i="5"/>
  <c r="U532" i="5"/>
  <c r="T532" i="5"/>
  <c r="O532" i="5"/>
  <c r="N532" i="5"/>
  <c r="M532" i="5"/>
  <c r="L532" i="5"/>
  <c r="K532" i="5"/>
  <c r="J532" i="5"/>
  <c r="I532" i="5"/>
  <c r="H532" i="5"/>
  <c r="G532" i="5"/>
  <c r="E532" i="5"/>
  <c r="F532" i="5" s="1"/>
  <c r="B532" i="5"/>
  <c r="U531" i="5"/>
  <c r="T531" i="5"/>
  <c r="O531" i="5"/>
  <c r="N531" i="5"/>
  <c r="M531" i="5"/>
  <c r="L531" i="5"/>
  <c r="K531" i="5"/>
  <c r="J531" i="5"/>
  <c r="I531" i="5"/>
  <c r="H531" i="5"/>
  <c r="G531" i="5"/>
  <c r="E531" i="5"/>
  <c r="B531" i="5"/>
  <c r="U530" i="5"/>
  <c r="T530" i="5"/>
  <c r="O530" i="5"/>
  <c r="N530" i="5"/>
  <c r="M530" i="5"/>
  <c r="L530" i="5"/>
  <c r="K530" i="5"/>
  <c r="J530" i="5"/>
  <c r="I530" i="5"/>
  <c r="H530" i="5"/>
  <c r="G530" i="5"/>
  <c r="E530" i="5"/>
  <c r="F530" i="5" s="1"/>
  <c r="B530" i="5"/>
  <c r="U529" i="5"/>
  <c r="T529" i="5"/>
  <c r="O529" i="5"/>
  <c r="N529" i="5"/>
  <c r="M529" i="5"/>
  <c r="L529" i="5"/>
  <c r="K529" i="5"/>
  <c r="J529" i="5"/>
  <c r="I529" i="5"/>
  <c r="H529" i="5"/>
  <c r="G529" i="5"/>
  <c r="E529" i="5"/>
  <c r="F529" i="5" s="1"/>
  <c r="B529" i="5"/>
  <c r="U528" i="5"/>
  <c r="T528" i="5"/>
  <c r="O528" i="5"/>
  <c r="N528" i="5"/>
  <c r="M528" i="5"/>
  <c r="L528" i="5"/>
  <c r="K528" i="5"/>
  <c r="J528" i="5"/>
  <c r="I528" i="5"/>
  <c r="H528" i="5"/>
  <c r="G528" i="5"/>
  <c r="E528" i="5"/>
  <c r="F528" i="5" s="1"/>
  <c r="B528" i="5"/>
  <c r="U527" i="5"/>
  <c r="T527" i="5"/>
  <c r="O527" i="5"/>
  <c r="N527" i="5"/>
  <c r="M527" i="5"/>
  <c r="L527" i="5"/>
  <c r="K527" i="5"/>
  <c r="J527" i="5"/>
  <c r="I527" i="5"/>
  <c r="H527" i="5"/>
  <c r="G527" i="5"/>
  <c r="E527" i="5"/>
  <c r="F527" i="5" s="1"/>
  <c r="B527" i="5"/>
  <c r="U526" i="5"/>
  <c r="T526" i="5"/>
  <c r="O526" i="5"/>
  <c r="N526" i="5"/>
  <c r="M526" i="5"/>
  <c r="L526" i="5"/>
  <c r="K526" i="5"/>
  <c r="J526" i="5"/>
  <c r="I526" i="5"/>
  <c r="H526" i="5"/>
  <c r="G526" i="5"/>
  <c r="E526" i="5"/>
  <c r="F526" i="5" s="1"/>
  <c r="B526" i="5"/>
  <c r="U525" i="5"/>
  <c r="T525" i="5"/>
  <c r="O525" i="5"/>
  <c r="N525" i="5"/>
  <c r="M525" i="5"/>
  <c r="L525" i="5"/>
  <c r="K525" i="5"/>
  <c r="J525" i="5"/>
  <c r="I525" i="5"/>
  <c r="H525" i="5"/>
  <c r="G525" i="5"/>
  <c r="E525" i="5"/>
  <c r="F525" i="5" s="1"/>
  <c r="B525" i="5"/>
  <c r="U524" i="5"/>
  <c r="T524" i="5"/>
  <c r="O524" i="5"/>
  <c r="N524" i="5"/>
  <c r="M524" i="5"/>
  <c r="L524" i="5"/>
  <c r="K524" i="5"/>
  <c r="J524" i="5"/>
  <c r="I524" i="5"/>
  <c r="H524" i="5"/>
  <c r="G524" i="5"/>
  <c r="E524" i="5"/>
  <c r="F524" i="5" s="1"/>
  <c r="B524" i="5"/>
  <c r="U523" i="5"/>
  <c r="T523" i="5"/>
  <c r="O523" i="5"/>
  <c r="N523" i="5"/>
  <c r="M523" i="5"/>
  <c r="L523" i="5"/>
  <c r="K523" i="5"/>
  <c r="J523" i="5"/>
  <c r="I523" i="5"/>
  <c r="H523" i="5"/>
  <c r="G523" i="5"/>
  <c r="E523" i="5"/>
  <c r="F523" i="5" s="1"/>
  <c r="B523" i="5"/>
  <c r="U522" i="5"/>
  <c r="T522" i="5"/>
  <c r="O522" i="5"/>
  <c r="N522" i="5"/>
  <c r="M522" i="5"/>
  <c r="L522" i="5"/>
  <c r="K522" i="5"/>
  <c r="J522" i="5"/>
  <c r="I522" i="5"/>
  <c r="H522" i="5"/>
  <c r="G522" i="5"/>
  <c r="E522" i="5"/>
  <c r="F522" i="5" s="1"/>
  <c r="B522" i="5"/>
  <c r="U521" i="5"/>
  <c r="T521" i="5"/>
  <c r="O521" i="5"/>
  <c r="N521" i="5"/>
  <c r="M521" i="5"/>
  <c r="L521" i="5"/>
  <c r="K521" i="5"/>
  <c r="J521" i="5"/>
  <c r="I521" i="5"/>
  <c r="H521" i="5"/>
  <c r="G521" i="5"/>
  <c r="E521" i="5"/>
  <c r="F521" i="5" s="1"/>
  <c r="B521" i="5"/>
  <c r="U520" i="5"/>
  <c r="T520" i="5"/>
  <c r="O520" i="5"/>
  <c r="N520" i="5"/>
  <c r="M520" i="5"/>
  <c r="L520" i="5"/>
  <c r="K520" i="5"/>
  <c r="J520" i="5"/>
  <c r="I520" i="5"/>
  <c r="H520" i="5"/>
  <c r="G520" i="5"/>
  <c r="E520" i="5"/>
  <c r="F520" i="5" s="1"/>
  <c r="B520" i="5"/>
  <c r="U519" i="5"/>
  <c r="T519" i="5"/>
  <c r="O519" i="5"/>
  <c r="N519" i="5"/>
  <c r="M519" i="5"/>
  <c r="L519" i="5"/>
  <c r="K519" i="5"/>
  <c r="J519" i="5"/>
  <c r="I519" i="5"/>
  <c r="H519" i="5"/>
  <c r="G519" i="5"/>
  <c r="E519" i="5"/>
  <c r="F519" i="5" s="1"/>
  <c r="B519" i="5"/>
  <c r="U518" i="5"/>
  <c r="T518" i="5"/>
  <c r="O518" i="5"/>
  <c r="N518" i="5"/>
  <c r="M518" i="5"/>
  <c r="L518" i="5"/>
  <c r="K518" i="5"/>
  <c r="J518" i="5"/>
  <c r="I518" i="5"/>
  <c r="H518" i="5"/>
  <c r="G518" i="5"/>
  <c r="E518" i="5"/>
  <c r="F518" i="5" s="1"/>
  <c r="B518" i="5"/>
  <c r="U517" i="5"/>
  <c r="T517" i="5"/>
  <c r="O517" i="5"/>
  <c r="N517" i="5"/>
  <c r="M517" i="5"/>
  <c r="L517" i="5"/>
  <c r="K517" i="5"/>
  <c r="J517" i="5"/>
  <c r="I517" i="5"/>
  <c r="H517" i="5"/>
  <c r="G517" i="5"/>
  <c r="E517" i="5"/>
  <c r="F517" i="5" s="1"/>
  <c r="B517" i="5"/>
  <c r="W517" i="5" s="1"/>
  <c r="U516" i="5"/>
  <c r="T516" i="5"/>
  <c r="O516" i="5"/>
  <c r="N516" i="5"/>
  <c r="M516" i="5"/>
  <c r="L516" i="5"/>
  <c r="K516" i="5"/>
  <c r="J516" i="5"/>
  <c r="I516" i="5"/>
  <c r="H516" i="5"/>
  <c r="G516" i="5"/>
  <c r="E516" i="5"/>
  <c r="B516" i="5"/>
  <c r="U515" i="5"/>
  <c r="T515" i="5"/>
  <c r="O515" i="5"/>
  <c r="N515" i="5"/>
  <c r="M515" i="5"/>
  <c r="L515" i="5"/>
  <c r="K515" i="5"/>
  <c r="J515" i="5"/>
  <c r="I515" i="5"/>
  <c r="H515" i="5"/>
  <c r="G515" i="5"/>
  <c r="E515" i="5"/>
  <c r="F515" i="5" s="1"/>
  <c r="B515" i="5"/>
  <c r="U514" i="5"/>
  <c r="T514" i="5"/>
  <c r="O514" i="5"/>
  <c r="N514" i="5"/>
  <c r="M514" i="5"/>
  <c r="L514" i="5"/>
  <c r="K514" i="5"/>
  <c r="J514" i="5"/>
  <c r="I514" i="5"/>
  <c r="H514" i="5"/>
  <c r="G514" i="5"/>
  <c r="E514" i="5"/>
  <c r="F514" i="5" s="1"/>
  <c r="B514" i="5"/>
  <c r="U513" i="5"/>
  <c r="T513" i="5"/>
  <c r="O513" i="5"/>
  <c r="N513" i="5"/>
  <c r="M513" i="5"/>
  <c r="L513" i="5"/>
  <c r="K513" i="5"/>
  <c r="J513" i="5"/>
  <c r="I513" i="5"/>
  <c r="H513" i="5"/>
  <c r="G513" i="5"/>
  <c r="E513" i="5"/>
  <c r="F513" i="5" s="1"/>
  <c r="B513" i="5"/>
  <c r="U512" i="5"/>
  <c r="T512" i="5"/>
  <c r="O512" i="5"/>
  <c r="N512" i="5"/>
  <c r="M512" i="5"/>
  <c r="L512" i="5"/>
  <c r="K512" i="5"/>
  <c r="J512" i="5"/>
  <c r="I512" i="5"/>
  <c r="H512" i="5"/>
  <c r="G512" i="5"/>
  <c r="E512" i="5"/>
  <c r="F512" i="5" s="1"/>
  <c r="B512" i="5"/>
  <c r="U511" i="5"/>
  <c r="T511" i="5"/>
  <c r="O511" i="5"/>
  <c r="N511" i="5"/>
  <c r="M511" i="5"/>
  <c r="L511" i="5"/>
  <c r="K511" i="5"/>
  <c r="J511" i="5"/>
  <c r="I511" i="5"/>
  <c r="H511" i="5"/>
  <c r="G511" i="5"/>
  <c r="E511" i="5"/>
  <c r="F511" i="5" s="1"/>
  <c r="B511" i="5"/>
  <c r="U510" i="5"/>
  <c r="T510" i="5"/>
  <c r="O510" i="5"/>
  <c r="N510" i="5"/>
  <c r="M510" i="5"/>
  <c r="L510" i="5"/>
  <c r="K510" i="5"/>
  <c r="J510" i="5"/>
  <c r="I510" i="5"/>
  <c r="H510" i="5"/>
  <c r="G510" i="5"/>
  <c r="E510" i="5"/>
  <c r="F510" i="5" s="1"/>
  <c r="B510" i="5"/>
  <c r="U509" i="5"/>
  <c r="T509" i="5"/>
  <c r="O509" i="5"/>
  <c r="N509" i="5"/>
  <c r="M509" i="5"/>
  <c r="L509" i="5"/>
  <c r="K509" i="5"/>
  <c r="J509" i="5"/>
  <c r="I509" i="5"/>
  <c r="H509" i="5"/>
  <c r="G509" i="5"/>
  <c r="E509" i="5"/>
  <c r="F509" i="5" s="1"/>
  <c r="B509" i="5"/>
  <c r="U508" i="5"/>
  <c r="T508" i="5"/>
  <c r="O508" i="5"/>
  <c r="N508" i="5"/>
  <c r="M508" i="5"/>
  <c r="L508" i="5"/>
  <c r="K508" i="5"/>
  <c r="J508" i="5"/>
  <c r="I508" i="5"/>
  <c r="H508" i="5"/>
  <c r="G508" i="5"/>
  <c r="E508" i="5"/>
  <c r="F508" i="5" s="1"/>
  <c r="B508" i="5"/>
  <c r="U507" i="5"/>
  <c r="T507" i="5"/>
  <c r="O507" i="5"/>
  <c r="N507" i="5"/>
  <c r="M507" i="5"/>
  <c r="L507" i="5"/>
  <c r="K507" i="5"/>
  <c r="J507" i="5"/>
  <c r="I507" i="5"/>
  <c r="H507" i="5"/>
  <c r="G507" i="5"/>
  <c r="E507" i="5"/>
  <c r="F507" i="5" s="1"/>
  <c r="B507" i="5"/>
  <c r="U506" i="5"/>
  <c r="T506" i="5"/>
  <c r="O506" i="5"/>
  <c r="N506" i="5"/>
  <c r="M506" i="5"/>
  <c r="L506" i="5"/>
  <c r="K506" i="5"/>
  <c r="J506" i="5"/>
  <c r="I506" i="5"/>
  <c r="H506" i="5"/>
  <c r="G506" i="5"/>
  <c r="E506" i="5"/>
  <c r="F506" i="5" s="1"/>
  <c r="B506" i="5"/>
  <c r="U505" i="5"/>
  <c r="T505" i="5"/>
  <c r="O505" i="5"/>
  <c r="N505" i="5"/>
  <c r="M505" i="5"/>
  <c r="L505" i="5"/>
  <c r="K505" i="5"/>
  <c r="J505" i="5"/>
  <c r="I505" i="5"/>
  <c r="H505" i="5"/>
  <c r="G505" i="5"/>
  <c r="E505" i="5"/>
  <c r="F505" i="5" s="1"/>
  <c r="B505" i="5"/>
  <c r="U504" i="5"/>
  <c r="T504" i="5"/>
  <c r="O504" i="5"/>
  <c r="N504" i="5"/>
  <c r="M504" i="5"/>
  <c r="L504" i="5"/>
  <c r="K504" i="5"/>
  <c r="J504" i="5"/>
  <c r="I504" i="5"/>
  <c r="H504" i="5"/>
  <c r="G504" i="5"/>
  <c r="E504" i="5"/>
  <c r="F504" i="5" s="1"/>
  <c r="B504" i="5"/>
  <c r="U503" i="5"/>
  <c r="T503" i="5"/>
  <c r="O503" i="5"/>
  <c r="N503" i="5"/>
  <c r="M503" i="5"/>
  <c r="L503" i="5"/>
  <c r="K503" i="5"/>
  <c r="J503" i="5"/>
  <c r="I503" i="5"/>
  <c r="H503" i="5"/>
  <c r="G503" i="5"/>
  <c r="E503" i="5"/>
  <c r="F503" i="5" s="1"/>
  <c r="B503" i="5"/>
  <c r="U502" i="5"/>
  <c r="T502" i="5"/>
  <c r="O502" i="5"/>
  <c r="N502" i="5"/>
  <c r="M502" i="5"/>
  <c r="L502" i="5"/>
  <c r="K502" i="5"/>
  <c r="J502" i="5"/>
  <c r="I502" i="5"/>
  <c r="H502" i="5"/>
  <c r="G502" i="5"/>
  <c r="E502" i="5"/>
  <c r="F502" i="5" s="1"/>
  <c r="B502" i="5"/>
  <c r="U501" i="5"/>
  <c r="T501" i="5"/>
  <c r="O501" i="5"/>
  <c r="N501" i="5"/>
  <c r="M501" i="5"/>
  <c r="L501" i="5"/>
  <c r="K501" i="5"/>
  <c r="J501" i="5"/>
  <c r="I501" i="5"/>
  <c r="H501" i="5"/>
  <c r="G501" i="5"/>
  <c r="E501" i="5"/>
  <c r="F501" i="5" s="1"/>
  <c r="B501" i="5"/>
  <c r="U500" i="5"/>
  <c r="T500" i="5"/>
  <c r="O500" i="5"/>
  <c r="N500" i="5"/>
  <c r="M500" i="5"/>
  <c r="L500" i="5"/>
  <c r="K500" i="5"/>
  <c r="J500" i="5"/>
  <c r="I500" i="5"/>
  <c r="H500" i="5"/>
  <c r="G500" i="5"/>
  <c r="E500" i="5"/>
  <c r="F500" i="5" s="1"/>
  <c r="B500" i="5"/>
  <c r="U499" i="5"/>
  <c r="T499" i="5"/>
  <c r="O499" i="5"/>
  <c r="N499" i="5"/>
  <c r="M499" i="5"/>
  <c r="L499" i="5"/>
  <c r="K499" i="5"/>
  <c r="J499" i="5"/>
  <c r="I499" i="5"/>
  <c r="H499" i="5"/>
  <c r="G499" i="5"/>
  <c r="E499" i="5"/>
  <c r="F499" i="5" s="1"/>
  <c r="B499" i="5"/>
  <c r="U498" i="5"/>
  <c r="T498" i="5"/>
  <c r="O498" i="5"/>
  <c r="N498" i="5"/>
  <c r="M498" i="5"/>
  <c r="L498" i="5"/>
  <c r="K498" i="5"/>
  <c r="J498" i="5"/>
  <c r="I498" i="5"/>
  <c r="H498" i="5"/>
  <c r="G498" i="5"/>
  <c r="E498" i="5"/>
  <c r="F498" i="5" s="1"/>
  <c r="B498" i="5"/>
  <c r="U497" i="5"/>
  <c r="T497" i="5"/>
  <c r="O497" i="5"/>
  <c r="N497" i="5"/>
  <c r="M497" i="5"/>
  <c r="L497" i="5"/>
  <c r="K497" i="5"/>
  <c r="J497" i="5"/>
  <c r="I497" i="5"/>
  <c r="H497" i="5"/>
  <c r="G497" i="5"/>
  <c r="E497" i="5"/>
  <c r="F497" i="5" s="1"/>
  <c r="B497" i="5"/>
  <c r="U496" i="5"/>
  <c r="T496" i="5"/>
  <c r="O496" i="5"/>
  <c r="N496" i="5"/>
  <c r="M496" i="5"/>
  <c r="L496" i="5"/>
  <c r="K496" i="5"/>
  <c r="J496" i="5"/>
  <c r="I496" i="5"/>
  <c r="H496" i="5"/>
  <c r="G496" i="5"/>
  <c r="E496" i="5"/>
  <c r="F496" i="5" s="1"/>
  <c r="B496" i="5"/>
  <c r="U495" i="5"/>
  <c r="T495" i="5"/>
  <c r="O495" i="5"/>
  <c r="N495" i="5"/>
  <c r="M495" i="5"/>
  <c r="L495" i="5"/>
  <c r="K495" i="5"/>
  <c r="J495" i="5"/>
  <c r="I495" i="5"/>
  <c r="H495" i="5"/>
  <c r="G495" i="5"/>
  <c r="E495" i="5"/>
  <c r="F495" i="5" s="1"/>
  <c r="B495" i="5"/>
  <c r="U494" i="5"/>
  <c r="T494" i="5"/>
  <c r="O494" i="5"/>
  <c r="N494" i="5"/>
  <c r="M494" i="5"/>
  <c r="L494" i="5"/>
  <c r="K494" i="5"/>
  <c r="J494" i="5"/>
  <c r="I494" i="5"/>
  <c r="H494" i="5"/>
  <c r="G494" i="5"/>
  <c r="E494" i="5"/>
  <c r="F494" i="5" s="1"/>
  <c r="B494" i="5"/>
  <c r="U493" i="5"/>
  <c r="T493" i="5"/>
  <c r="O493" i="5"/>
  <c r="N493" i="5"/>
  <c r="M493" i="5"/>
  <c r="L493" i="5"/>
  <c r="K493" i="5"/>
  <c r="J493" i="5"/>
  <c r="I493" i="5"/>
  <c r="H493" i="5"/>
  <c r="G493" i="5"/>
  <c r="E493" i="5"/>
  <c r="F493" i="5" s="1"/>
  <c r="B493" i="5"/>
  <c r="U492" i="5"/>
  <c r="T492" i="5"/>
  <c r="O492" i="5"/>
  <c r="N492" i="5"/>
  <c r="M492" i="5"/>
  <c r="L492" i="5"/>
  <c r="K492" i="5"/>
  <c r="J492" i="5"/>
  <c r="I492" i="5"/>
  <c r="H492" i="5"/>
  <c r="G492" i="5"/>
  <c r="E492" i="5"/>
  <c r="F492" i="5" s="1"/>
  <c r="B492" i="5"/>
  <c r="U491" i="5"/>
  <c r="T491" i="5"/>
  <c r="O491" i="5"/>
  <c r="N491" i="5"/>
  <c r="M491" i="5"/>
  <c r="L491" i="5"/>
  <c r="K491" i="5"/>
  <c r="J491" i="5"/>
  <c r="I491" i="5"/>
  <c r="H491" i="5"/>
  <c r="G491" i="5"/>
  <c r="E491" i="5"/>
  <c r="F491" i="5" s="1"/>
  <c r="B491" i="5"/>
  <c r="U490" i="5"/>
  <c r="T490" i="5"/>
  <c r="O490" i="5"/>
  <c r="N490" i="5"/>
  <c r="M490" i="5"/>
  <c r="L490" i="5"/>
  <c r="K490" i="5"/>
  <c r="J490" i="5"/>
  <c r="I490" i="5"/>
  <c r="H490" i="5"/>
  <c r="G490" i="5"/>
  <c r="E490" i="5"/>
  <c r="B490" i="5"/>
  <c r="U489" i="5"/>
  <c r="T489" i="5"/>
  <c r="O489" i="5"/>
  <c r="N489" i="5"/>
  <c r="M489" i="5"/>
  <c r="L489" i="5"/>
  <c r="K489" i="5"/>
  <c r="J489" i="5"/>
  <c r="I489" i="5"/>
  <c r="H489" i="5"/>
  <c r="G489" i="5"/>
  <c r="E489" i="5"/>
  <c r="F489" i="5" s="1"/>
  <c r="B489" i="5"/>
  <c r="U488" i="5"/>
  <c r="T488" i="5"/>
  <c r="O488" i="5"/>
  <c r="N488" i="5"/>
  <c r="M488" i="5"/>
  <c r="L488" i="5"/>
  <c r="K488" i="5"/>
  <c r="J488" i="5"/>
  <c r="I488" i="5"/>
  <c r="H488" i="5"/>
  <c r="G488" i="5"/>
  <c r="E488" i="5"/>
  <c r="F488" i="5" s="1"/>
  <c r="B488" i="5"/>
  <c r="U487" i="5"/>
  <c r="T487" i="5"/>
  <c r="O487" i="5"/>
  <c r="N487" i="5"/>
  <c r="M487" i="5"/>
  <c r="L487" i="5"/>
  <c r="K487" i="5"/>
  <c r="J487" i="5"/>
  <c r="I487" i="5"/>
  <c r="H487" i="5"/>
  <c r="G487" i="5"/>
  <c r="E487" i="5"/>
  <c r="F487" i="5" s="1"/>
  <c r="B487" i="5"/>
  <c r="U486" i="5"/>
  <c r="T486" i="5"/>
  <c r="O486" i="5"/>
  <c r="N486" i="5"/>
  <c r="M486" i="5"/>
  <c r="L486" i="5"/>
  <c r="K486" i="5"/>
  <c r="J486" i="5"/>
  <c r="I486" i="5"/>
  <c r="H486" i="5"/>
  <c r="G486" i="5"/>
  <c r="E486" i="5"/>
  <c r="F486" i="5" s="1"/>
  <c r="B486" i="5"/>
  <c r="U485" i="5"/>
  <c r="T485" i="5"/>
  <c r="O485" i="5"/>
  <c r="N485" i="5"/>
  <c r="M485" i="5"/>
  <c r="L485" i="5"/>
  <c r="K485" i="5"/>
  <c r="J485" i="5"/>
  <c r="I485" i="5"/>
  <c r="H485" i="5"/>
  <c r="G485" i="5"/>
  <c r="E485" i="5"/>
  <c r="F485" i="5" s="1"/>
  <c r="B485" i="5"/>
  <c r="U484" i="5"/>
  <c r="T484" i="5"/>
  <c r="O484" i="5"/>
  <c r="N484" i="5"/>
  <c r="M484" i="5"/>
  <c r="L484" i="5"/>
  <c r="K484" i="5"/>
  <c r="J484" i="5"/>
  <c r="I484" i="5"/>
  <c r="H484" i="5"/>
  <c r="G484" i="5"/>
  <c r="E484" i="5"/>
  <c r="F484" i="5" s="1"/>
  <c r="B484" i="5"/>
  <c r="U483" i="5"/>
  <c r="T483" i="5"/>
  <c r="O483" i="5"/>
  <c r="N483" i="5"/>
  <c r="M483" i="5"/>
  <c r="L483" i="5"/>
  <c r="K483" i="5"/>
  <c r="J483" i="5"/>
  <c r="I483" i="5"/>
  <c r="H483" i="5"/>
  <c r="G483" i="5"/>
  <c r="E483" i="5"/>
  <c r="F483" i="5" s="1"/>
  <c r="B483" i="5"/>
  <c r="U482" i="5"/>
  <c r="T482" i="5"/>
  <c r="O482" i="5"/>
  <c r="N482" i="5"/>
  <c r="M482" i="5"/>
  <c r="L482" i="5"/>
  <c r="K482" i="5"/>
  <c r="J482" i="5"/>
  <c r="I482" i="5"/>
  <c r="H482" i="5"/>
  <c r="G482" i="5"/>
  <c r="E482" i="5"/>
  <c r="F482" i="5" s="1"/>
  <c r="B482" i="5"/>
  <c r="U481" i="5"/>
  <c r="T481" i="5"/>
  <c r="O481" i="5"/>
  <c r="N481" i="5"/>
  <c r="M481" i="5"/>
  <c r="L481" i="5"/>
  <c r="K481" i="5"/>
  <c r="J481" i="5"/>
  <c r="I481" i="5"/>
  <c r="H481" i="5"/>
  <c r="G481" i="5"/>
  <c r="E481" i="5"/>
  <c r="F481" i="5" s="1"/>
  <c r="B481" i="5"/>
  <c r="U480" i="5"/>
  <c r="T480" i="5"/>
  <c r="O480" i="5"/>
  <c r="N480" i="5"/>
  <c r="M480" i="5"/>
  <c r="L480" i="5"/>
  <c r="K480" i="5"/>
  <c r="J480" i="5"/>
  <c r="I480" i="5"/>
  <c r="H480" i="5"/>
  <c r="G480" i="5"/>
  <c r="E480" i="5"/>
  <c r="F480" i="5" s="1"/>
  <c r="B480" i="5"/>
  <c r="U479" i="5"/>
  <c r="T479" i="5"/>
  <c r="O479" i="5"/>
  <c r="N479" i="5"/>
  <c r="M479" i="5"/>
  <c r="L479" i="5"/>
  <c r="K479" i="5"/>
  <c r="J479" i="5"/>
  <c r="I479" i="5"/>
  <c r="H479" i="5"/>
  <c r="G479" i="5"/>
  <c r="E479" i="5"/>
  <c r="F479" i="5" s="1"/>
  <c r="B479" i="5"/>
  <c r="W479" i="5" s="1"/>
  <c r="U478" i="5"/>
  <c r="T478" i="5"/>
  <c r="O478" i="5"/>
  <c r="N478" i="5"/>
  <c r="M478" i="5"/>
  <c r="L478" i="5"/>
  <c r="K478" i="5"/>
  <c r="J478" i="5"/>
  <c r="I478" i="5"/>
  <c r="H478" i="5"/>
  <c r="G478" i="5"/>
  <c r="E478" i="5"/>
  <c r="F478" i="5" s="1"/>
  <c r="B478" i="5"/>
  <c r="U477" i="5"/>
  <c r="T477" i="5"/>
  <c r="O477" i="5"/>
  <c r="N477" i="5"/>
  <c r="M477" i="5"/>
  <c r="L477" i="5"/>
  <c r="K477" i="5"/>
  <c r="J477" i="5"/>
  <c r="I477" i="5"/>
  <c r="H477" i="5"/>
  <c r="G477" i="5"/>
  <c r="E477" i="5"/>
  <c r="F477" i="5" s="1"/>
  <c r="B477" i="5"/>
  <c r="U476" i="5"/>
  <c r="T476" i="5"/>
  <c r="O476" i="5"/>
  <c r="N476" i="5"/>
  <c r="M476" i="5"/>
  <c r="L476" i="5"/>
  <c r="K476" i="5"/>
  <c r="J476" i="5"/>
  <c r="I476" i="5"/>
  <c r="H476" i="5"/>
  <c r="G476" i="5"/>
  <c r="E476" i="5"/>
  <c r="F476" i="5" s="1"/>
  <c r="B476" i="5"/>
  <c r="U475" i="5"/>
  <c r="T475" i="5"/>
  <c r="O475" i="5"/>
  <c r="N475" i="5"/>
  <c r="M475" i="5"/>
  <c r="L475" i="5"/>
  <c r="K475" i="5"/>
  <c r="J475" i="5"/>
  <c r="I475" i="5"/>
  <c r="H475" i="5"/>
  <c r="G475" i="5"/>
  <c r="E475" i="5"/>
  <c r="F475" i="5" s="1"/>
  <c r="B475" i="5"/>
  <c r="U474" i="5"/>
  <c r="T474" i="5"/>
  <c r="O474" i="5"/>
  <c r="N474" i="5"/>
  <c r="M474" i="5"/>
  <c r="L474" i="5"/>
  <c r="K474" i="5"/>
  <c r="J474" i="5"/>
  <c r="I474" i="5"/>
  <c r="H474" i="5"/>
  <c r="G474" i="5"/>
  <c r="E474" i="5"/>
  <c r="F474" i="5" s="1"/>
  <c r="B474" i="5"/>
  <c r="U473" i="5"/>
  <c r="T473" i="5"/>
  <c r="O473" i="5"/>
  <c r="N473" i="5"/>
  <c r="M473" i="5"/>
  <c r="L473" i="5"/>
  <c r="K473" i="5"/>
  <c r="J473" i="5"/>
  <c r="I473" i="5"/>
  <c r="H473" i="5"/>
  <c r="G473" i="5"/>
  <c r="E473" i="5"/>
  <c r="F473" i="5" s="1"/>
  <c r="B473" i="5"/>
  <c r="U472" i="5"/>
  <c r="T472" i="5"/>
  <c r="O472" i="5"/>
  <c r="N472" i="5"/>
  <c r="M472" i="5"/>
  <c r="L472" i="5"/>
  <c r="K472" i="5"/>
  <c r="J472" i="5"/>
  <c r="I472" i="5"/>
  <c r="H472" i="5"/>
  <c r="G472" i="5"/>
  <c r="E472" i="5"/>
  <c r="F472" i="5" s="1"/>
  <c r="B472" i="5"/>
  <c r="U471" i="5"/>
  <c r="T471" i="5"/>
  <c r="O471" i="5"/>
  <c r="N471" i="5"/>
  <c r="M471" i="5"/>
  <c r="L471" i="5"/>
  <c r="K471" i="5"/>
  <c r="J471" i="5"/>
  <c r="I471" i="5"/>
  <c r="H471" i="5"/>
  <c r="G471" i="5"/>
  <c r="E471" i="5"/>
  <c r="F471" i="5" s="1"/>
  <c r="B471" i="5"/>
  <c r="U470" i="5"/>
  <c r="T470" i="5"/>
  <c r="O470" i="5"/>
  <c r="N470" i="5"/>
  <c r="M470" i="5"/>
  <c r="L470" i="5"/>
  <c r="K470" i="5"/>
  <c r="J470" i="5"/>
  <c r="I470" i="5"/>
  <c r="H470" i="5"/>
  <c r="G470" i="5"/>
  <c r="E470" i="5"/>
  <c r="F470" i="5" s="1"/>
  <c r="B470" i="5"/>
  <c r="U469" i="5"/>
  <c r="T469" i="5"/>
  <c r="O469" i="5"/>
  <c r="N469" i="5"/>
  <c r="M469" i="5"/>
  <c r="L469" i="5"/>
  <c r="K469" i="5"/>
  <c r="J469" i="5"/>
  <c r="I469" i="5"/>
  <c r="H469" i="5"/>
  <c r="G469" i="5"/>
  <c r="E469" i="5"/>
  <c r="F469" i="5" s="1"/>
  <c r="B469" i="5"/>
  <c r="U468" i="5"/>
  <c r="T468" i="5"/>
  <c r="O468" i="5"/>
  <c r="N468" i="5"/>
  <c r="M468" i="5"/>
  <c r="L468" i="5"/>
  <c r="K468" i="5"/>
  <c r="J468" i="5"/>
  <c r="I468" i="5"/>
  <c r="H468" i="5"/>
  <c r="G468" i="5"/>
  <c r="E468" i="5"/>
  <c r="F468" i="5" s="1"/>
  <c r="B468" i="5"/>
  <c r="U467" i="5"/>
  <c r="T467" i="5"/>
  <c r="O467" i="5"/>
  <c r="N467" i="5"/>
  <c r="M467" i="5"/>
  <c r="L467" i="5"/>
  <c r="K467" i="5"/>
  <c r="J467" i="5"/>
  <c r="I467" i="5"/>
  <c r="H467" i="5"/>
  <c r="G467" i="5"/>
  <c r="E467" i="5"/>
  <c r="F467" i="5" s="1"/>
  <c r="B467" i="5"/>
  <c r="U466" i="5"/>
  <c r="T466" i="5"/>
  <c r="O466" i="5"/>
  <c r="N466" i="5"/>
  <c r="M466" i="5"/>
  <c r="L466" i="5"/>
  <c r="K466" i="5"/>
  <c r="J466" i="5"/>
  <c r="I466" i="5"/>
  <c r="H466" i="5"/>
  <c r="G466" i="5"/>
  <c r="E466" i="5"/>
  <c r="F466" i="5" s="1"/>
  <c r="B466" i="5"/>
  <c r="U465" i="5"/>
  <c r="T465" i="5"/>
  <c r="O465" i="5"/>
  <c r="N465" i="5"/>
  <c r="M465" i="5"/>
  <c r="L465" i="5"/>
  <c r="K465" i="5"/>
  <c r="J465" i="5"/>
  <c r="I465" i="5"/>
  <c r="H465" i="5"/>
  <c r="G465" i="5"/>
  <c r="E465" i="5"/>
  <c r="F465" i="5" s="1"/>
  <c r="B465" i="5"/>
  <c r="U464" i="5"/>
  <c r="T464" i="5"/>
  <c r="O464" i="5"/>
  <c r="N464" i="5"/>
  <c r="M464" i="5"/>
  <c r="L464" i="5"/>
  <c r="K464" i="5"/>
  <c r="J464" i="5"/>
  <c r="I464" i="5"/>
  <c r="H464" i="5"/>
  <c r="G464" i="5"/>
  <c r="E464" i="5"/>
  <c r="F464" i="5" s="1"/>
  <c r="B464" i="5"/>
  <c r="U463" i="5"/>
  <c r="T463" i="5"/>
  <c r="O463" i="5"/>
  <c r="N463" i="5"/>
  <c r="M463" i="5"/>
  <c r="L463" i="5"/>
  <c r="K463" i="5"/>
  <c r="J463" i="5"/>
  <c r="I463" i="5"/>
  <c r="H463" i="5"/>
  <c r="G463" i="5"/>
  <c r="E463" i="5"/>
  <c r="F463" i="5" s="1"/>
  <c r="B463" i="5"/>
  <c r="U462" i="5"/>
  <c r="T462" i="5"/>
  <c r="O462" i="5"/>
  <c r="N462" i="5"/>
  <c r="M462" i="5"/>
  <c r="L462" i="5"/>
  <c r="K462" i="5"/>
  <c r="J462" i="5"/>
  <c r="I462" i="5"/>
  <c r="H462" i="5"/>
  <c r="G462" i="5"/>
  <c r="E462" i="5"/>
  <c r="F462" i="5" s="1"/>
  <c r="B462" i="5"/>
  <c r="U461" i="5"/>
  <c r="T461" i="5"/>
  <c r="O461" i="5"/>
  <c r="N461" i="5"/>
  <c r="M461" i="5"/>
  <c r="L461" i="5"/>
  <c r="K461" i="5"/>
  <c r="J461" i="5"/>
  <c r="I461" i="5"/>
  <c r="H461" i="5"/>
  <c r="G461" i="5"/>
  <c r="E461" i="5"/>
  <c r="B461" i="5"/>
  <c r="U460" i="5"/>
  <c r="T460" i="5"/>
  <c r="O460" i="5"/>
  <c r="N460" i="5"/>
  <c r="M460" i="5"/>
  <c r="L460" i="5"/>
  <c r="K460" i="5"/>
  <c r="J460" i="5"/>
  <c r="I460" i="5"/>
  <c r="H460" i="5"/>
  <c r="G460" i="5"/>
  <c r="E460" i="5"/>
  <c r="F460" i="5" s="1"/>
  <c r="B460" i="5"/>
  <c r="U459" i="5"/>
  <c r="T459" i="5"/>
  <c r="O459" i="5"/>
  <c r="N459" i="5"/>
  <c r="M459" i="5"/>
  <c r="L459" i="5"/>
  <c r="K459" i="5"/>
  <c r="J459" i="5"/>
  <c r="I459" i="5"/>
  <c r="H459" i="5"/>
  <c r="G459" i="5"/>
  <c r="E459" i="5"/>
  <c r="F459" i="5" s="1"/>
  <c r="B459" i="5"/>
  <c r="U458" i="5"/>
  <c r="T458" i="5"/>
  <c r="O458" i="5"/>
  <c r="N458" i="5"/>
  <c r="M458" i="5"/>
  <c r="L458" i="5"/>
  <c r="K458" i="5"/>
  <c r="J458" i="5"/>
  <c r="I458" i="5"/>
  <c r="H458" i="5"/>
  <c r="G458" i="5"/>
  <c r="E458" i="5"/>
  <c r="F458" i="5" s="1"/>
  <c r="B458" i="5"/>
  <c r="W458" i="5" s="1"/>
  <c r="U457" i="5"/>
  <c r="T457" i="5"/>
  <c r="O457" i="5"/>
  <c r="N457" i="5"/>
  <c r="M457" i="5"/>
  <c r="L457" i="5"/>
  <c r="K457" i="5"/>
  <c r="J457" i="5"/>
  <c r="I457" i="5"/>
  <c r="H457" i="5"/>
  <c r="G457" i="5"/>
  <c r="E457" i="5"/>
  <c r="F457" i="5" s="1"/>
  <c r="B457" i="5"/>
  <c r="U456" i="5"/>
  <c r="T456" i="5"/>
  <c r="O456" i="5"/>
  <c r="N456" i="5"/>
  <c r="M456" i="5"/>
  <c r="L456" i="5"/>
  <c r="K456" i="5"/>
  <c r="J456" i="5"/>
  <c r="I456" i="5"/>
  <c r="H456" i="5"/>
  <c r="G456" i="5"/>
  <c r="E456" i="5"/>
  <c r="F456" i="5" s="1"/>
  <c r="B456" i="5"/>
  <c r="U455" i="5"/>
  <c r="T455" i="5"/>
  <c r="O455" i="5"/>
  <c r="N455" i="5"/>
  <c r="M455" i="5"/>
  <c r="L455" i="5"/>
  <c r="K455" i="5"/>
  <c r="J455" i="5"/>
  <c r="I455" i="5"/>
  <c r="H455" i="5"/>
  <c r="G455" i="5"/>
  <c r="E455" i="5"/>
  <c r="F455" i="5" s="1"/>
  <c r="B455" i="5"/>
  <c r="U454" i="5"/>
  <c r="T454" i="5"/>
  <c r="O454" i="5"/>
  <c r="N454" i="5"/>
  <c r="M454" i="5"/>
  <c r="L454" i="5"/>
  <c r="K454" i="5"/>
  <c r="J454" i="5"/>
  <c r="I454" i="5"/>
  <c r="H454" i="5"/>
  <c r="G454" i="5"/>
  <c r="E454" i="5"/>
  <c r="F454" i="5" s="1"/>
  <c r="B454" i="5"/>
  <c r="U453" i="5"/>
  <c r="T453" i="5"/>
  <c r="O453" i="5"/>
  <c r="N453" i="5"/>
  <c r="M453" i="5"/>
  <c r="L453" i="5"/>
  <c r="K453" i="5"/>
  <c r="J453" i="5"/>
  <c r="I453" i="5"/>
  <c r="H453" i="5"/>
  <c r="G453" i="5"/>
  <c r="E453" i="5"/>
  <c r="F453" i="5" s="1"/>
  <c r="B453" i="5"/>
  <c r="U452" i="5"/>
  <c r="T452" i="5"/>
  <c r="O452" i="5"/>
  <c r="N452" i="5"/>
  <c r="M452" i="5"/>
  <c r="L452" i="5"/>
  <c r="K452" i="5"/>
  <c r="J452" i="5"/>
  <c r="I452" i="5"/>
  <c r="H452" i="5"/>
  <c r="G452" i="5"/>
  <c r="E452" i="5"/>
  <c r="F452" i="5" s="1"/>
  <c r="B452" i="5"/>
  <c r="U451" i="5"/>
  <c r="T451" i="5"/>
  <c r="O451" i="5"/>
  <c r="N451" i="5"/>
  <c r="M451" i="5"/>
  <c r="L451" i="5"/>
  <c r="K451" i="5"/>
  <c r="J451" i="5"/>
  <c r="I451" i="5"/>
  <c r="H451" i="5"/>
  <c r="G451" i="5"/>
  <c r="E451" i="5"/>
  <c r="F451" i="5" s="1"/>
  <c r="B451" i="5"/>
  <c r="U450" i="5"/>
  <c r="T450" i="5"/>
  <c r="O450" i="5"/>
  <c r="N450" i="5"/>
  <c r="M450" i="5"/>
  <c r="L450" i="5"/>
  <c r="K450" i="5"/>
  <c r="J450" i="5"/>
  <c r="I450" i="5"/>
  <c r="H450" i="5"/>
  <c r="G450" i="5"/>
  <c r="E450" i="5"/>
  <c r="F450" i="5" s="1"/>
  <c r="B450" i="5"/>
  <c r="U449" i="5"/>
  <c r="T449" i="5"/>
  <c r="O449" i="5"/>
  <c r="N449" i="5"/>
  <c r="M449" i="5"/>
  <c r="L449" i="5"/>
  <c r="K449" i="5"/>
  <c r="J449" i="5"/>
  <c r="I449" i="5"/>
  <c r="H449" i="5"/>
  <c r="G449" i="5"/>
  <c r="E449" i="5"/>
  <c r="F449" i="5" s="1"/>
  <c r="B449" i="5"/>
  <c r="U448" i="5"/>
  <c r="T448" i="5"/>
  <c r="O448" i="5"/>
  <c r="N448" i="5"/>
  <c r="M448" i="5"/>
  <c r="L448" i="5"/>
  <c r="K448" i="5"/>
  <c r="J448" i="5"/>
  <c r="I448" i="5"/>
  <c r="H448" i="5"/>
  <c r="G448" i="5"/>
  <c r="E448" i="5"/>
  <c r="F448" i="5" s="1"/>
  <c r="B448" i="5"/>
  <c r="U447" i="5"/>
  <c r="T447" i="5"/>
  <c r="O447" i="5"/>
  <c r="N447" i="5"/>
  <c r="M447" i="5"/>
  <c r="L447" i="5"/>
  <c r="K447" i="5"/>
  <c r="J447" i="5"/>
  <c r="I447" i="5"/>
  <c r="H447" i="5"/>
  <c r="G447" i="5"/>
  <c r="E447" i="5"/>
  <c r="F447" i="5" s="1"/>
  <c r="B447" i="5"/>
  <c r="U446" i="5"/>
  <c r="T446" i="5"/>
  <c r="O446" i="5"/>
  <c r="N446" i="5"/>
  <c r="M446" i="5"/>
  <c r="L446" i="5"/>
  <c r="K446" i="5"/>
  <c r="J446" i="5"/>
  <c r="I446" i="5"/>
  <c r="H446" i="5"/>
  <c r="G446" i="5"/>
  <c r="E446" i="5"/>
  <c r="F446" i="5" s="1"/>
  <c r="B446" i="5"/>
  <c r="U445" i="5"/>
  <c r="T445" i="5"/>
  <c r="O445" i="5"/>
  <c r="N445" i="5"/>
  <c r="M445" i="5"/>
  <c r="L445" i="5"/>
  <c r="K445" i="5"/>
  <c r="J445" i="5"/>
  <c r="I445" i="5"/>
  <c r="H445" i="5"/>
  <c r="G445" i="5"/>
  <c r="E445" i="5"/>
  <c r="F445" i="5" s="1"/>
  <c r="B445" i="5"/>
  <c r="U444" i="5"/>
  <c r="T444" i="5"/>
  <c r="O444" i="5"/>
  <c r="N444" i="5"/>
  <c r="M444" i="5"/>
  <c r="L444" i="5"/>
  <c r="K444" i="5"/>
  <c r="J444" i="5"/>
  <c r="I444" i="5"/>
  <c r="H444" i="5"/>
  <c r="G444" i="5"/>
  <c r="E444" i="5"/>
  <c r="F444" i="5" s="1"/>
  <c r="B444" i="5"/>
  <c r="U443" i="5"/>
  <c r="T443" i="5"/>
  <c r="O443" i="5"/>
  <c r="N443" i="5"/>
  <c r="M443" i="5"/>
  <c r="L443" i="5"/>
  <c r="K443" i="5"/>
  <c r="J443" i="5"/>
  <c r="I443" i="5"/>
  <c r="H443" i="5"/>
  <c r="G443" i="5"/>
  <c r="E443" i="5"/>
  <c r="F443" i="5" s="1"/>
  <c r="B443" i="5"/>
  <c r="U442" i="5"/>
  <c r="T442" i="5"/>
  <c r="O442" i="5"/>
  <c r="N442" i="5"/>
  <c r="M442" i="5"/>
  <c r="L442" i="5"/>
  <c r="K442" i="5"/>
  <c r="J442" i="5"/>
  <c r="I442" i="5"/>
  <c r="H442" i="5"/>
  <c r="G442" i="5"/>
  <c r="E442" i="5"/>
  <c r="F442" i="5" s="1"/>
  <c r="B442" i="5"/>
  <c r="U441" i="5"/>
  <c r="T441" i="5"/>
  <c r="O441" i="5"/>
  <c r="N441" i="5"/>
  <c r="M441" i="5"/>
  <c r="L441" i="5"/>
  <c r="K441" i="5"/>
  <c r="J441" i="5"/>
  <c r="I441" i="5"/>
  <c r="H441" i="5"/>
  <c r="G441" i="5"/>
  <c r="E441" i="5"/>
  <c r="F441" i="5" s="1"/>
  <c r="B441" i="5"/>
  <c r="U440" i="5"/>
  <c r="T440" i="5"/>
  <c r="O440" i="5"/>
  <c r="N440" i="5"/>
  <c r="M440" i="5"/>
  <c r="L440" i="5"/>
  <c r="K440" i="5"/>
  <c r="J440" i="5"/>
  <c r="I440" i="5"/>
  <c r="H440" i="5"/>
  <c r="G440" i="5"/>
  <c r="E440" i="5"/>
  <c r="F440" i="5" s="1"/>
  <c r="B440" i="5"/>
  <c r="U439" i="5"/>
  <c r="T439" i="5"/>
  <c r="O439" i="5"/>
  <c r="N439" i="5"/>
  <c r="M439" i="5"/>
  <c r="L439" i="5"/>
  <c r="K439" i="5"/>
  <c r="J439" i="5"/>
  <c r="I439" i="5"/>
  <c r="H439" i="5"/>
  <c r="G439" i="5"/>
  <c r="E439" i="5"/>
  <c r="F439" i="5" s="1"/>
  <c r="B439" i="5"/>
  <c r="U438" i="5"/>
  <c r="T438" i="5"/>
  <c r="O438" i="5"/>
  <c r="N438" i="5"/>
  <c r="M438" i="5"/>
  <c r="L438" i="5"/>
  <c r="K438" i="5"/>
  <c r="J438" i="5"/>
  <c r="I438" i="5"/>
  <c r="H438" i="5"/>
  <c r="G438" i="5"/>
  <c r="E438" i="5"/>
  <c r="B438" i="5"/>
  <c r="U437" i="5"/>
  <c r="T437" i="5"/>
  <c r="O437" i="5"/>
  <c r="N437" i="5"/>
  <c r="M437" i="5"/>
  <c r="L437" i="5"/>
  <c r="K437" i="5"/>
  <c r="J437" i="5"/>
  <c r="I437" i="5"/>
  <c r="H437" i="5"/>
  <c r="G437" i="5"/>
  <c r="E437" i="5"/>
  <c r="F437" i="5" s="1"/>
  <c r="B437" i="5"/>
  <c r="U436" i="5"/>
  <c r="T436" i="5"/>
  <c r="O436" i="5"/>
  <c r="N436" i="5"/>
  <c r="M436" i="5"/>
  <c r="L436" i="5"/>
  <c r="K436" i="5"/>
  <c r="J436" i="5"/>
  <c r="I436" i="5"/>
  <c r="H436" i="5"/>
  <c r="G436" i="5"/>
  <c r="E436" i="5"/>
  <c r="B436" i="5"/>
  <c r="U435" i="5"/>
  <c r="T435" i="5"/>
  <c r="O435" i="5"/>
  <c r="N435" i="5"/>
  <c r="M435" i="5"/>
  <c r="L435" i="5"/>
  <c r="K435" i="5"/>
  <c r="J435" i="5"/>
  <c r="I435" i="5"/>
  <c r="H435" i="5"/>
  <c r="G435" i="5"/>
  <c r="E435" i="5"/>
  <c r="B435" i="5"/>
  <c r="U434" i="5"/>
  <c r="T434" i="5"/>
  <c r="O434" i="5"/>
  <c r="N434" i="5"/>
  <c r="M434" i="5"/>
  <c r="L434" i="5"/>
  <c r="K434" i="5"/>
  <c r="J434" i="5"/>
  <c r="I434" i="5"/>
  <c r="H434" i="5"/>
  <c r="G434" i="5"/>
  <c r="E434" i="5"/>
  <c r="F434" i="5" s="1"/>
  <c r="B434" i="5"/>
  <c r="U433" i="5"/>
  <c r="T433" i="5"/>
  <c r="O433" i="5"/>
  <c r="N433" i="5"/>
  <c r="M433" i="5"/>
  <c r="L433" i="5"/>
  <c r="K433" i="5"/>
  <c r="J433" i="5"/>
  <c r="I433" i="5"/>
  <c r="H433" i="5"/>
  <c r="G433" i="5"/>
  <c r="E433" i="5"/>
  <c r="F433" i="5" s="1"/>
  <c r="B433" i="5"/>
  <c r="U432" i="5"/>
  <c r="T432" i="5"/>
  <c r="O432" i="5"/>
  <c r="N432" i="5"/>
  <c r="M432" i="5"/>
  <c r="L432" i="5"/>
  <c r="K432" i="5"/>
  <c r="J432" i="5"/>
  <c r="I432" i="5"/>
  <c r="H432" i="5"/>
  <c r="G432" i="5"/>
  <c r="E432" i="5"/>
  <c r="F432" i="5" s="1"/>
  <c r="B432" i="5"/>
  <c r="U431" i="5"/>
  <c r="T431" i="5"/>
  <c r="O431" i="5"/>
  <c r="N431" i="5"/>
  <c r="M431" i="5"/>
  <c r="L431" i="5"/>
  <c r="K431" i="5"/>
  <c r="J431" i="5"/>
  <c r="I431" i="5"/>
  <c r="H431" i="5"/>
  <c r="G431" i="5"/>
  <c r="E431" i="5"/>
  <c r="F431" i="5" s="1"/>
  <c r="B431" i="5"/>
  <c r="U430" i="5"/>
  <c r="T430" i="5"/>
  <c r="O430" i="5"/>
  <c r="N430" i="5"/>
  <c r="M430" i="5"/>
  <c r="L430" i="5"/>
  <c r="K430" i="5"/>
  <c r="J430" i="5"/>
  <c r="I430" i="5"/>
  <c r="H430" i="5"/>
  <c r="G430" i="5"/>
  <c r="E430" i="5"/>
  <c r="F430" i="5" s="1"/>
  <c r="B430" i="5"/>
  <c r="U429" i="5"/>
  <c r="T429" i="5"/>
  <c r="O429" i="5"/>
  <c r="N429" i="5"/>
  <c r="M429" i="5"/>
  <c r="L429" i="5"/>
  <c r="K429" i="5"/>
  <c r="J429" i="5"/>
  <c r="I429" i="5"/>
  <c r="H429" i="5"/>
  <c r="G429" i="5"/>
  <c r="E429" i="5"/>
  <c r="F429" i="5" s="1"/>
  <c r="B429" i="5"/>
  <c r="U428" i="5"/>
  <c r="T428" i="5"/>
  <c r="O428" i="5"/>
  <c r="N428" i="5"/>
  <c r="M428" i="5"/>
  <c r="L428" i="5"/>
  <c r="K428" i="5"/>
  <c r="J428" i="5"/>
  <c r="I428" i="5"/>
  <c r="H428" i="5"/>
  <c r="G428" i="5"/>
  <c r="E428" i="5"/>
  <c r="F428" i="5" s="1"/>
  <c r="B428" i="5"/>
  <c r="U427" i="5"/>
  <c r="T427" i="5"/>
  <c r="O427" i="5"/>
  <c r="N427" i="5"/>
  <c r="M427" i="5"/>
  <c r="L427" i="5"/>
  <c r="K427" i="5"/>
  <c r="J427" i="5"/>
  <c r="I427" i="5"/>
  <c r="H427" i="5"/>
  <c r="G427" i="5"/>
  <c r="E427" i="5"/>
  <c r="F427" i="5" s="1"/>
  <c r="B427" i="5"/>
  <c r="U426" i="5"/>
  <c r="T426" i="5"/>
  <c r="O426" i="5"/>
  <c r="N426" i="5"/>
  <c r="M426" i="5"/>
  <c r="L426" i="5"/>
  <c r="K426" i="5"/>
  <c r="J426" i="5"/>
  <c r="I426" i="5"/>
  <c r="H426" i="5"/>
  <c r="G426" i="5"/>
  <c r="E426" i="5"/>
  <c r="F426" i="5" s="1"/>
  <c r="B426" i="5"/>
  <c r="U425" i="5"/>
  <c r="T425" i="5"/>
  <c r="O425" i="5"/>
  <c r="N425" i="5"/>
  <c r="M425" i="5"/>
  <c r="L425" i="5"/>
  <c r="K425" i="5"/>
  <c r="J425" i="5"/>
  <c r="I425" i="5"/>
  <c r="H425" i="5"/>
  <c r="G425" i="5"/>
  <c r="E425" i="5"/>
  <c r="F425" i="5" s="1"/>
  <c r="B425" i="5"/>
  <c r="U424" i="5"/>
  <c r="T424" i="5"/>
  <c r="O424" i="5"/>
  <c r="N424" i="5"/>
  <c r="M424" i="5"/>
  <c r="L424" i="5"/>
  <c r="K424" i="5"/>
  <c r="J424" i="5"/>
  <c r="I424" i="5"/>
  <c r="H424" i="5"/>
  <c r="G424" i="5"/>
  <c r="E424" i="5"/>
  <c r="F424" i="5" s="1"/>
  <c r="B424" i="5"/>
  <c r="U423" i="5"/>
  <c r="T423" i="5"/>
  <c r="O423" i="5"/>
  <c r="N423" i="5"/>
  <c r="M423" i="5"/>
  <c r="L423" i="5"/>
  <c r="K423" i="5"/>
  <c r="J423" i="5"/>
  <c r="I423" i="5"/>
  <c r="H423" i="5"/>
  <c r="G423" i="5"/>
  <c r="E423" i="5"/>
  <c r="F423" i="5" s="1"/>
  <c r="B423" i="5"/>
  <c r="U422" i="5"/>
  <c r="T422" i="5"/>
  <c r="O422" i="5"/>
  <c r="N422" i="5"/>
  <c r="M422" i="5"/>
  <c r="L422" i="5"/>
  <c r="K422" i="5"/>
  <c r="J422" i="5"/>
  <c r="I422" i="5"/>
  <c r="H422" i="5"/>
  <c r="G422" i="5"/>
  <c r="E422" i="5"/>
  <c r="F422" i="5" s="1"/>
  <c r="B422" i="5"/>
  <c r="U421" i="5"/>
  <c r="T421" i="5"/>
  <c r="O421" i="5"/>
  <c r="N421" i="5"/>
  <c r="M421" i="5"/>
  <c r="L421" i="5"/>
  <c r="K421" i="5"/>
  <c r="J421" i="5"/>
  <c r="I421" i="5"/>
  <c r="H421" i="5"/>
  <c r="G421" i="5"/>
  <c r="E421" i="5"/>
  <c r="F421" i="5" s="1"/>
  <c r="B421" i="5"/>
  <c r="U420" i="5"/>
  <c r="T420" i="5"/>
  <c r="O420" i="5"/>
  <c r="N420" i="5"/>
  <c r="M420" i="5"/>
  <c r="L420" i="5"/>
  <c r="K420" i="5"/>
  <c r="J420" i="5"/>
  <c r="I420" i="5"/>
  <c r="H420" i="5"/>
  <c r="G420" i="5"/>
  <c r="E420" i="5"/>
  <c r="F420" i="5" s="1"/>
  <c r="B420" i="5"/>
  <c r="W420" i="5" s="1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W382" i="5" s="1"/>
  <c r="U381" i="5"/>
  <c r="U419" i="5" s="1"/>
  <c r="T381" i="5"/>
  <c r="O381" i="5"/>
  <c r="N381" i="5"/>
  <c r="M381" i="5"/>
  <c r="L381" i="5"/>
  <c r="K381" i="5"/>
  <c r="J381" i="5"/>
  <c r="I381" i="5"/>
  <c r="H381" i="5"/>
  <c r="G381" i="5"/>
  <c r="E381" i="5"/>
  <c r="E419" i="5" s="1"/>
  <c r="F419" i="5" s="1"/>
  <c r="B381" i="5"/>
  <c r="U380" i="5"/>
  <c r="U418" i="5" s="1"/>
  <c r="T380" i="5"/>
  <c r="O380" i="5"/>
  <c r="N380" i="5"/>
  <c r="M380" i="5"/>
  <c r="L380" i="5"/>
  <c r="K380" i="5"/>
  <c r="J380" i="5"/>
  <c r="I380" i="5"/>
  <c r="H380" i="5"/>
  <c r="G380" i="5"/>
  <c r="E380" i="5"/>
  <c r="B380" i="5"/>
  <c r="U379" i="5"/>
  <c r="U417" i="5" s="1"/>
  <c r="T379" i="5"/>
  <c r="O379" i="5"/>
  <c r="N379" i="5"/>
  <c r="M379" i="5"/>
  <c r="L379" i="5"/>
  <c r="K379" i="5"/>
  <c r="J379" i="5"/>
  <c r="I379" i="5"/>
  <c r="H379" i="5"/>
  <c r="G379" i="5"/>
  <c r="E379" i="5"/>
  <c r="B379" i="5"/>
  <c r="U378" i="5"/>
  <c r="U416" i="5" s="1"/>
  <c r="T378" i="5"/>
  <c r="O378" i="5"/>
  <c r="N378" i="5"/>
  <c r="M378" i="5"/>
  <c r="L378" i="5"/>
  <c r="K378" i="5"/>
  <c r="J378" i="5"/>
  <c r="I378" i="5"/>
  <c r="H378" i="5"/>
  <c r="G378" i="5"/>
  <c r="E378" i="5"/>
  <c r="F378" i="5" s="1"/>
  <c r="B378" i="5"/>
  <c r="U377" i="5"/>
  <c r="U415" i="5" s="1"/>
  <c r="T377" i="5"/>
  <c r="O377" i="5"/>
  <c r="N377" i="5"/>
  <c r="M377" i="5"/>
  <c r="L377" i="5"/>
  <c r="K377" i="5"/>
  <c r="J377" i="5"/>
  <c r="I377" i="5"/>
  <c r="H377" i="5"/>
  <c r="G377" i="5"/>
  <c r="E377" i="5"/>
  <c r="E415" i="5" s="1"/>
  <c r="F415" i="5" s="1"/>
  <c r="B377" i="5"/>
  <c r="U376" i="5"/>
  <c r="U414" i="5" s="1"/>
  <c r="T376" i="5"/>
  <c r="O376" i="5"/>
  <c r="N376" i="5"/>
  <c r="M376" i="5"/>
  <c r="L376" i="5"/>
  <c r="K376" i="5"/>
  <c r="J376" i="5"/>
  <c r="I376" i="5"/>
  <c r="H376" i="5"/>
  <c r="G376" i="5"/>
  <c r="E376" i="5"/>
  <c r="F376" i="5" s="1"/>
  <c r="B376" i="5"/>
  <c r="U375" i="5"/>
  <c r="U413" i="5" s="1"/>
  <c r="T375" i="5"/>
  <c r="O375" i="5"/>
  <c r="N375" i="5"/>
  <c r="M375" i="5"/>
  <c r="L375" i="5"/>
  <c r="K375" i="5"/>
  <c r="J375" i="5"/>
  <c r="I375" i="5"/>
  <c r="H375" i="5"/>
  <c r="G375" i="5"/>
  <c r="E375" i="5"/>
  <c r="B375" i="5"/>
  <c r="U374" i="5"/>
  <c r="U412" i="5" s="1"/>
  <c r="T374" i="5"/>
  <c r="O374" i="5"/>
  <c r="N374" i="5"/>
  <c r="M374" i="5"/>
  <c r="L374" i="5"/>
  <c r="K374" i="5"/>
  <c r="J374" i="5"/>
  <c r="I374" i="5"/>
  <c r="H374" i="5"/>
  <c r="G374" i="5"/>
  <c r="E374" i="5"/>
  <c r="F374" i="5" s="1"/>
  <c r="B374" i="5"/>
  <c r="U373" i="5"/>
  <c r="U411" i="5" s="1"/>
  <c r="T373" i="5"/>
  <c r="O373" i="5"/>
  <c r="N373" i="5"/>
  <c r="M373" i="5"/>
  <c r="L373" i="5"/>
  <c r="K373" i="5"/>
  <c r="J373" i="5"/>
  <c r="I373" i="5"/>
  <c r="H373" i="5"/>
  <c r="G373" i="5"/>
  <c r="E373" i="5"/>
  <c r="E411" i="5" s="1"/>
  <c r="B373" i="5"/>
  <c r="U372" i="5"/>
  <c r="U410" i="5" s="1"/>
  <c r="T372" i="5"/>
  <c r="O372" i="5"/>
  <c r="N372" i="5"/>
  <c r="M372" i="5"/>
  <c r="L372" i="5"/>
  <c r="K372" i="5"/>
  <c r="J372" i="5"/>
  <c r="I372" i="5"/>
  <c r="H372" i="5"/>
  <c r="G372" i="5"/>
  <c r="E372" i="5"/>
  <c r="F372" i="5" s="1"/>
  <c r="B372" i="5"/>
  <c r="U371" i="5"/>
  <c r="U409" i="5" s="1"/>
  <c r="T371" i="5"/>
  <c r="O371" i="5"/>
  <c r="N371" i="5"/>
  <c r="M371" i="5"/>
  <c r="L371" i="5"/>
  <c r="K371" i="5"/>
  <c r="J371" i="5"/>
  <c r="I371" i="5"/>
  <c r="H371" i="5"/>
  <c r="G371" i="5"/>
  <c r="E371" i="5"/>
  <c r="B371" i="5"/>
  <c r="U370" i="5"/>
  <c r="U408" i="5" s="1"/>
  <c r="T370" i="5"/>
  <c r="O370" i="5"/>
  <c r="N370" i="5"/>
  <c r="M370" i="5"/>
  <c r="L370" i="5"/>
  <c r="K370" i="5"/>
  <c r="J370" i="5"/>
  <c r="I370" i="5"/>
  <c r="H370" i="5"/>
  <c r="G370" i="5"/>
  <c r="E370" i="5"/>
  <c r="E408" i="5" s="1"/>
  <c r="F408" i="5" s="1"/>
  <c r="B370" i="5"/>
  <c r="U369" i="5"/>
  <c r="U407" i="5" s="1"/>
  <c r="T369" i="5"/>
  <c r="O369" i="5"/>
  <c r="N369" i="5"/>
  <c r="M369" i="5"/>
  <c r="L369" i="5"/>
  <c r="K369" i="5"/>
  <c r="J369" i="5"/>
  <c r="I369" i="5"/>
  <c r="H369" i="5"/>
  <c r="G369" i="5"/>
  <c r="E369" i="5"/>
  <c r="E407" i="5" s="1"/>
  <c r="B369" i="5"/>
  <c r="U368" i="5"/>
  <c r="U406" i="5" s="1"/>
  <c r="T368" i="5"/>
  <c r="O368" i="5"/>
  <c r="N368" i="5"/>
  <c r="M368" i="5"/>
  <c r="L368" i="5"/>
  <c r="K368" i="5"/>
  <c r="J368" i="5"/>
  <c r="I368" i="5"/>
  <c r="H368" i="5"/>
  <c r="G368" i="5"/>
  <c r="E368" i="5"/>
  <c r="F368" i="5" s="1"/>
  <c r="B368" i="5"/>
  <c r="U367" i="5"/>
  <c r="U405" i="5" s="1"/>
  <c r="T367" i="5"/>
  <c r="O367" i="5"/>
  <c r="N367" i="5"/>
  <c r="M367" i="5"/>
  <c r="L367" i="5"/>
  <c r="K367" i="5"/>
  <c r="J367" i="5"/>
  <c r="I367" i="5"/>
  <c r="H367" i="5"/>
  <c r="G367" i="5"/>
  <c r="E367" i="5"/>
  <c r="F367" i="5" s="1"/>
  <c r="B367" i="5"/>
  <c r="U366" i="5"/>
  <c r="U404" i="5" s="1"/>
  <c r="T366" i="5"/>
  <c r="O366" i="5"/>
  <c r="N366" i="5"/>
  <c r="M366" i="5"/>
  <c r="L366" i="5"/>
  <c r="K366" i="5"/>
  <c r="J366" i="5"/>
  <c r="I366" i="5"/>
  <c r="H366" i="5"/>
  <c r="G366" i="5"/>
  <c r="E366" i="5"/>
  <c r="B366" i="5"/>
  <c r="U365" i="5"/>
  <c r="U403" i="5" s="1"/>
  <c r="T365" i="5"/>
  <c r="O365" i="5"/>
  <c r="N365" i="5"/>
  <c r="M365" i="5"/>
  <c r="L365" i="5"/>
  <c r="K365" i="5"/>
  <c r="J365" i="5"/>
  <c r="I365" i="5"/>
  <c r="H365" i="5"/>
  <c r="G365" i="5"/>
  <c r="E365" i="5"/>
  <c r="E403" i="5" s="1"/>
  <c r="F403" i="5" s="1"/>
  <c r="B365" i="5"/>
  <c r="U364" i="5"/>
  <c r="U402" i="5" s="1"/>
  <c r="T364" i="5"/>
  <c r="O364" i="5"/>
  <c r="N364" i="5"/>
  <c r="M364" i="5"/>
  <c r="L364" i="5"/>
  <c r="K364" i="5"/>
  <c r="J364" i="5"/>
  <c r="I364" i="5"/>
  <c r="H364" i="5"/>
  <c r="G364" i="5"/>
  <c r="E364" i="5"/>
  <c r="B364" i="5"/>
  <c r="U363" i="5"/>
  <c r="U401" i="5" s="1"/>
  <c r="T363" i="5"/>
  <c r="O363" i="5"/>
  <c r="N363" i="5"/>
  <c r="M363" i="5"/>
  <c r="L363" i="5"/>
  <c r="K363" i="5"/>
  <c r="J363" i="5"/>
  <c r="I363" i="5"/>
  <c r="H363" i="5"/>
  <c r="G363" i="5"/>
  <c r="E363" i="5"/>
  <c r="E401" i="5" s="1"/>
  <c r="B363" i="5"/>
  <c r="U362" i="5"/>
  <c r="U400" i="5" s="1"/>
  <c r="T362" i="5"/>
  <c r="O362" i="5"/>
  <c r="N362" i="5"/>
  <c r="M362" i="5"/>
  <c r="L362" i="5"/>
  <c r="K362" i="5"/>
  <c r="J362" i="5"/>
  <c r="I362" i="5"/>
  <c r="H362" i="5"/>
  <c r="G362" i="5"/>
  <c r="E362" i="5"/>
  <c r="F362" i="5" s="1"/>
  <c r="B362" i="5"/>
  <c r="U361" i="5"/>
  <c r="U399" i="5" s="1"/>
  <c r="T361" i="5"/>
  <c r="O361" i="5"/>
  <c r="N361" i="5"/>
  <c r="M361" i="5"/>
  <c r="L361" i="5"/>
  <c r="K361" i="5"/>
  <c r="J361" i="5"/>
  <c r="I361" i="5"/>
  <c r="H361" i="5"/>
  <c r="G361" i="5"/>
  <c r="E361" i="5"/>
  <c r="F361" i="5" s="1"/>
  <c r="B361" i="5"/>
  <c r="U360" i="5"/>
  <c r="U398" i="5" s="1"/>
  <c r="T360" i="5"/>
  <c r="O360" i="5"/>
  <c r="N360" i="5"/>
  <c r="M360" i="5"/>
  <c r="L360" i="5"/>
  <c r="K360" i="5"/>
  <c r="J360" i="5"/>
  <c r="I360" i="5"/>
  <c r="H360" i="5"/>
  <c r="G360" i="5"/>
  <c r="E360" i="5"/>
  <c r="B360" i="5"/>
  <c r="U359" i="5"/>
  <c r="U397" i="5" s="1"/>
  <c r="T359" i="5"/>
  <c r="O359" i="5"/>
  <c r="N359" i="5"/>
  <c r="M359" i="5"/>
  <c r="L359" i="5"/>
  <c r="K359" i="5"/>
  <c r="J359" i="5"/>
  <c r="I359" i="5"/>
  <c r="H359" i="5"/>
  <c r="G359" i="5"/>
  <c r="E359" i="5"/>
  <c r="B359" i="5"/>
  <c r="U358" i="5"/>
  <c r="U396" i="5" s="1"/>
  <c r="T358" i="5"/>
  <c r="O358" i="5"/>
  <c r="N358" i="5"/>
  <c r="M358" i="5"/>
  <c r="L358" i="5"/>
  <c r="K358" i="5"/>
  <c r="J358" i="5"/>
  <c r="I358" i="5"/>
  <c r="H358" i="5"/>
  <c r="G358" i="5"/>
  <c r="E358" i="5"/>
  <c r="B358" i="5"/>
  <c r="U357" i="5"/>
  <c r="U395" i="5" s="1"/>
  <c r="T357" i="5"/>
  <c r="O357" i="5"/>
  <c r="N357" i="5"/>
  <c r="M357" i="5"/>
  <c r="L357" i="5"/>
  <c r="K357" i="5"/>
  <c r="J357" i="5"/>
  <c r="I357" i="5"/>
  <c r="H357" i="5"/>
  <c r="G357" i="5"/>
  <c r="E357" i="5"/>
  <c r="B357" i="5"/>
  <c r="U356" i="5"/>
  <c r="U394" i="5" s="1"/>
  <c r="T356" i="5"/>
  <c r="O356" i="5"/>
  <c r="N356" i="5"/>
  <c r="M356" i="5"/>
  <c r="L356" i="5"/>
  <c r="K356" i="5"/>
  <c r="J356" i="5"/>
  <c r="I356" i="5"/>
  <c r="H356" i="5"/>
  <c r="G356" i="5"/>
  <c r="E356" i="5"/>
  <c r="F356" i="5" s="1"/>
  <c r="B356" i="5"/>
  <c r="U355" i="5"/>
  <c r="U393" i="5" s="1"/>
  <c r="T355" i="5"/>
  <c r="O355" i="5"/>
  <c r="N355" i="5"/>
  <c r="M355" i="5"/>
  <c r="L355" i="5"/>
  <c r="K355" i="5"/>
  <c r="J355" i="5"/>
  <c r="I355" i="5"/>
  <c r="H355" i="5"/>
  <c r="G355" i="5"/>
  <c r="E355" i="5"/>
  <c r="E393" i="5" s="1"/>
  <c r="F393" i="5" s="1"/>
  <c r="B355" i="5"/>
  <c r="U354" i="5"/>
  <c r="U392" i="5" s="1"/>
  <c r="T354" i="5"/>
  <c r="O354" i="5"/>
  <c r="N354" i="5"/>
  <c r="M354" i="5"/>
  <c r="L354" i="5"/>
  <c r="K354" i="5"/>
  <c r="J354" i="5"/>
  <c r="I354" i="5"/>
  <c r="H354" i="5"/>
  <c r="G354" i="5"/>
  <c r="E354" i="5"/>
  <c r="E392" i="5" s="1"/>
  <c r="F392" i="5" s="1"/>
  <c r="B354" i="5"/>
  <c r="U353" i="5"/>
  <c r="U391" i="5" s="1"/>
  <c r="T353" i="5"/>
  <c r="O353" i="5"/>
  <c r="N353" i="5"/>
  <c r="M353" i="5"/>
  <c r="L353" i="5"/>
  <c r="K353" i="5"/>
  <c r="J353" i="5"/>
  <c r="I353" i="5"/>
  <c r="H353" i="5"/>
  <c r="G353" i="5"/>
  <c r="E353" i="5"/>
  <c r="B353" i="5"/>
  <c r="U352" i="5"/>
  <c r="U390" i="5" s="1"/>
  <c r="T352" i="5"/>
  <c r="O352" i="5"/>
  <c r="N352" i="5"/>
  <c r="M352" i="5"/>
  <c r="L352" i="5"/>
  <c r="K352" i="5"/>
  <c r="J352" i="5"/>
  <c r="I352" i="5"/>
  <c r="H352" i="5"/>
  <c r="G352" i="5"/>
  <c r="E352" i="5"/>
  <c r="E390" i="5" s="1"/>
  <c r="F390" i="5" s="1"/>
  <c r="B352" i="5"/>
  <c r="U351" i="5"/>
  <c r="U389" i="5" s="1"/>
  <c r="T351" i="5"/>
  <c r="O351" i="5"/>
  <c r="N351" i="5"/>
  <c r="M351" i="5"/>
  <c r="L351" i="5"/>
  <c r="K351" i="5"/>
  <c r="J351" i="5"/>
  <c r="I351" i="5"/>
  <c r="H351" i="5"/>
  <c r="G351" i="5"/>
  <c r="E351" i="5"/>
  <c r="E389" i="5" s="1"/>
  <c r="F389" i="5" s="1"/>
  <c r="B351" i="5"/>
  <c r="U350" i="5"/>
  <c r="U388" i="5" s="1"/>
  <c r="T350" i="5"/>
  <c r="O350" i="5"/>
  <c r="N350" i="5"/>
  <c r="M350" i="5"/>
  <c r="L350" i="5"/>
  <c r="K350" i="5"/>
  <c r="J350" i="5"/>
  <c r="I350" i="5"/>
  <c r="H350" i="5"/>
  <c r="G350" i="5"/>
  <c r="E350" i="5"/>
  <c r="F350" i="5" s="1"/>
  <c r="B350" i="5"/>
  <c r="U349" i="5"/>
  <c r="U387" i="5" s="1"/>
  <c r="T349" i="5"/>
  <c r="O349" i="5"/>
  <c r="N349" i="5"/>
  <c r="M349" i="5"/>
  <c r="L349" i="5"/>
  <c r="K349" i="5"/>
  <c r="J349" i="5"/>
  <c r="I349" i="5"/>
  <c r="H349" i="5"/>
  <c r="G349" i="5"/>
  <c r="E349" i="5"/>
  <c r="F349" i="5" s="1"/>
  <c r="B349" i="5"/>
  <c r="U348" i="5"/>
  <c r="U386" i="5" s="1"/>
  <c r="T348" i="5"/>
  <c r="O348" i="5"/>
  <c r="N348" i="5"/>
  <c r="M348" i="5"/>
  <c r="L348" i="5"/>
  <c r="K348" i="5"/>
  <c r="J348" i="5"/>
  <c r="I348" i="5"/>
  <c r="H348" i="5"/>
  <c r="G348" i="5"/>
  <c r="E348" i="5"/>
  <c r="E386" i="5" s="1"/>
  <c r="F386" i="5" s="1"/>
  <c r="B348" i="5"/>
  <c r="U347" i="5"/>
  <c r="U385" i="5" s="1"/>
  <c r="T347" i="5"/>
  <c r="O347" i="5"/>
  <c r="N347" i="5"/>
  <c r="M347" i="5"/>
  <c r="L347" i="5"/>
  <c r="K347" i="5"/>
  <c r="J347" i="5"/>
  <c r="I347" i="5"/>
  <c r="H347" i="5"/>
  <c r="G347" i="5"/>
  <c r="E347" i="5"/>
  <c r="E385" i="5" s="1"/>
  <c r="F385" i="5" s="1"/>
  <c r="B347" i="5"/>
  <c r="U346" i="5"/>
  <c r="U384" i="5" s="1"/>
  <c r="T346" i="5"/>
  <c r="O346" i="5"/>
  <c r="N346" i="5"/>
  <c r="M346" i="5"/>
  <c r="L346" i="5"/>
  <c r="K346" i="5"/>
  <c r="J346" i="5"/>
  <c r="I346" i="5"/>
  <c r="H346" i="5"/>
  <c r="G346" i="5"/>
  <c r="E346" i="5"/>
  <c r="E384" i="5" s="1"/>
  <c r="F384" i="5" s="1"/>
  <c r="B346" i="5"/>
  <c r="U345" i="5"/>
  <c r="U383" i="5" s="1"/>
  <c r="T345" i="5"/>
  <c r="O345" i="5"/>
  <c r="N345" i="5"/>
  <c r="M345" i="5"/>
  <c r="L345" i="5"/>
  <c r="K345" i="5"/>
  <c r="J345" i="5"/>
  <c r="I345" i="5"/>
  <c r="H345" i="5"/>
  <c r="G345" i="5"/>
  <c r="E345" i="5"/>
  <c r="F345" i="5" s="1"/>
  <c r="B345" i="5"/>
  <c r="U344" i="5"/>
  <c r="U382" i="5" s="1"/>
  <c r="T344" i="5"/>
  <c r="O344" i="5"/>
  <c r="N344" i="5"/>
  <c r="M344" i="5"/>
  <c r="L344" i="5"/>
  <c r="K344" i="5"/>
  <c r="J344" i="5"/>
  <c r="I344" i="5"/>
  <c r="H344" i="5"/>
  <c r="G344" i="5"/>
  <c r="E344" i="5"/>
  <c r="B344" i="5"/>
  <c r="W344" i="5" s="1"/>
  <c r="U343" i="5"/>
  <c r="T343" i="5"/>
  <c r="O343" i="5"/>
  <c r="N343" i="5"/>
  <c r="M343" i="5"/>
  <c r="L343" i="5"/>
  <c r="K343" i="5"/>
  <c r="J343" i="5"/>
  <c r="I343" i="5"/>
  <c r="H343" i="5"/>
  <c r="G343" i="5"/>
  <c r="E343" i="5"/>
  <c r="F343" i="5" s="1"/>
  <c r="B343" i="5"/>
  <c r="U342" i="5"/>
  <c r="T342" i="5"/>
  <c r="O342" i="5"/>
  <c r="N342" i="5"/>
  <c r="M342" i="5"/>
  <c r="L342" i="5"/>
  <c r="K342" i="5"/>
  <c r="J342" i="5"/>
  <c r="I342" i="5"/>
  <c r="H342" i="5"/>
  <c r="G342" i="5"/>
  <c r="E342" i="5"/>
  <c r="F342" i="5" s="1"/>
  <c r="B342" i="5"/>
  <c r="U341" i="5"/>
  <c r="T341" i="5"/>
  <c r="O341" i="5"/>
  <c r="N341" i="5"/>
  <c r="M341" i="5"/>
  <c r="L341" i="5"/>
  <c r="K341" i="5"/>
  <c r="J341" i="5"/>
  <c r="I341" i="5"/>
  <c r="H341" i="5"/>
  <c r="G341" i="5"/>
  <c r="E341" i="5"/>
  <c r="F341" i="5" s="1"/>
  <c r="B341" i="5"/>
  <c r="U340" i="5"/>
  <c r="T340" i="5"/>
  <c r="O340" i="5"/>
  <c r="N340" i="5"/>
  <c r="M340" i="5"/>
  <c r="L340" i="5"/>
  <c r="K340" i="5"/>
  <c r="J340" i="5"/>
  <c r="I340" i="5"/>
  <c r="H340" i="5"/>
  <c r="G340" i="5"/>
  <c r="E340" i="5"/>
  <c r="F340" i="5" s="1"/>
  <c r="B340" i="5"/>
  <c r="U339" i="5"/>
  <c r="T339" i="5"/>
  <c r="O339" i="5"/>
  <c r="N339" i="5"/>
  <c r="M339" i="5"/>
  <c r="L339" i="5"/>
  <c r="K339" i="5"/>
  <c r="J339" i="5"/>
  <c r="I339" i="5"/>
  <c r="H339" i="5"/>
  <c r="G339" i="5"/>
  <c r="E339" i="5"/>
  <c r="F339" i="5" s="1"/>
  <c r="B339" i="5"/>
  <c r="U338" i="5"/>
  <c r="T338" i="5"/>
  <c r="O338" i="5"/>
  <c r="N338" i="5"/>
  <c r="M338" i="5"/>
  <c r="L338" i="5"/>
  <c r="K338" i="5"/>
  <c r="J338" i="5"/>
  <c r="I338" i="5"/>
  <c r="H338" i="5"/>
  <c r="G338" i="5"/>
  <c r="E338" i="5"/>
  <c r="F338" i="5" s="1"/>
  <c r="B338" i="5"/>
  <c r="U337" i="5"/>
  <c r="T337" i="5"/>
  <c r="O337" i="5"/>
  <c r="N337" i="5"/>
  <c r="M337" i="5"/>
  <c r="L337" i="5"/>
  <c r="K337" i="5"/>
  <c r="J337" i="5"/>
  <c r="I337" i="5"/>
  <c r="H337" i="5"/>
  <c r="G337" i="5"/>
  <c r="E337" i="5"/>
  <c r="F337" i="5" s="1"/>
  <c r="B337" i="5"/>
  <c r="U336" i="5"/>
  <c r="T336" i="5"/>
  <c r="O336" i="5"/>
  <c r="N336" i="5"/>
  <c r="M336" i="5"/>
  <c r="L336" i="5"/>
  <c r="K336" i="5"/>
  <c r="J336" i="5"/>
  <c r="I336" i="5"/>
  <c r="H336" i="5"/>
  <c r="G336" i="5"/>
  <c r="E336" i="5"/>
  <c r="F336" i="5" s="1"/>
  <c r="B336" i="5"/>
  <c r="U335" i="5"/>
  <c r="T335" i="5"/>
  <c r="O335" i="5"/>
  <c r="N335" i="5"/>
  <c r="M335" i="5"/>
  <c r="L335" i="5"/>
  <c r="K335" i="5"/>
  <c r="J335" i="5"/>
  <c r="I335" i="5"/>
  <c r="H335" i="5"/>
  <c r="G335" i="5"/>
  <c r="E335" i="5"/>
  <c r="F335" i="5" s="1"/>
  <c r="B335" i="5"/>
  <c r="U334" i="5"/>
  <c r="T334" i="5"/>
  <c r="O334" i="5"/>
  <c r="N334" i="5"/>
  <c r="M334" i="5"/>
  <c r="L334" i="5"/>
  <c r="K334" i="5"/>
  <c r="J334" i="5"/>
  <c r="I334" i="5"/>
  <c r="H334" i="5"/>
  <c r="G334" i="5"/>
  <c r="E334" i="5"/>
  <c r="F334" i="5" s="1"/>
  <c r="B334" i="5"/>
  <c r="U333" i="5"/>
  <c r="T333" i="5"/>
  <c r="O333" i="5"/>
  <c r="N333" i="5"/>
  <c r="M333" i="5"/>
  <c r="L333" i="5"/>
  <c r="K333" i="5"/>
  <c r="J333" i="5"/>
  <c r="I333" i="5"/>
  <c r="H333" i="5"/>
  <c r="G333" i="5"/>
  <c r="E333" i="5"/>
  <c r="F333" i="5" s="1"/>
  <c r="B333" i="5"/>
  <c r="U332" i="5"/>
  <c r="T332" i="5"/>
  <c r="O332" i="5"/>
  <c r="N332" i="5"/>
  <c r="M332" i="5"/>
  <c r="L332" i="5"/>
  <c r="K332" i="5"/>
  <c r="J332" i="5"/>
  <c r="I332" i="5"/>
  <c r="H332" i="5"/>
  <c r="G332" i="5"/>
  <c r="E332" i="5"/>
  <c r="F332" i="5" s="1"/>
  <c r="B332" i="5"/>
  <c r="U331" i="5"/>
  <c r="T331" i="5"/>
  <c r="O331" i="5"/>
  <c r="N331" i="5"/>
  <c r="M331" i="5"/>
  <c r="L331" i="5"/>
  <c r="K331" i="5"/>
  <c r="J331" i="5"/>
  <c r="I331" i="5"/>
  <c r="H331" i="5"/>
  <c r="G331" i="5"/>
  <c r="E331" i="5"/>
  <c r="F331" i="5" s="1"/>
  <c r="B331" i="5"/>
  <c r="U330" i="5"/>
  <c r="T330" i="5"/>
  <c r="O330" i="5"/>
  <c r="N330" i="5"/>
  <c r="M330" i="5"/>
  <c r="L330" i="5"/>
  <c r="K330" i="5"/>
  <c r="J330" i="5"/>
  <c r="I330" i="5"/>
  <c r="H330" i="5"/>
  <c r="G330" i="5"/>
  <c r="E330" i="5"/>
  <c r="F330" i="5" s="1"/>
  <c r="B330" i="5"/>
  <c r="U329" i="5"/>
  <c r="T329" i="5"/>
  <c r="O329" i="5"/>
  <c r="N329" i="5"/>
  <c r="M329" i="5"/>
  <c r="L329" i="5"/>
  <c r="K329" i="5"/>
  <c r="J329" i="5"/>
  <c r="I329" i="5"/>
  <c r="H329" i="5"/>
  <c r="G329" i="5"/>
  <c r="E329" i="5"/>
  <c r="F329" i="5" s="1"/>
  <c r="B329" i="5"/>
  <c r="U328" i="5"/>
  <c r="T328" i="5"/>
  <c r="O328" i="5"/>
  <c r="N328" i="5"/>
  <c r="M328" i="5"/>
  <c r="L328" i="5"/>
  <c r="K328" i="5"/>
  <c r="J328" i="5"/>
  <c r="I328" i="5"/>
  <c r="H328" i="5"/>
  <c r="G328" i="5"/>
  <c r="E328" i="5"/>
  <c r="B328" i="5"/>
  <c r="U327" i="5"/>
  <c r="T327" i="5"/>
  <c r="O327" i="5"/>
  <c r="N327" i="5"/>
  <c r="M327" i="5"/>
  <c r="L327" i="5"/>
  <c r="K327" i="5"/>
  <c r="J327" i="5"/>
  <c r="I327" i="5"/>
  <c r="H327" i="5"/>
  <c r="G327" i="5"/>
  <c r="E327" i="5"/>
  <c r="F327" i="5" s="1"/>
  <c r="B327" i="5"/>
  <c r="U326" i="5"/>
  <c r="T326" i="5"/>
  <c r="O326" i="5"/>
  <c r="N326" i="5"/>
  <c r="M326" i="5"/>
  <c r="L326" i="5"/>
  <c r="K326" i="5"/>
  <c r="J326" i="5"/>
  <c r="I326" i="5"/>
  <c r="H326" i="5"/>
  <c r="G326" i="5"/>
  <c r="E326" i="5"/>
  <c r="F326" i="5" s="1"/>
  <c r="B326" i="5"/>
  <c r="U325" i="5"/>
  <c r="T325" i="5"/>
  <c r="O325" i="5"/>
  <c r="N325" i="5"/>
  <c r="M325" i="5"/>
  <c r="L325" i="5"/>
  <c r="K325" i="5"/>
  <c r="J325" i="5"/>
  <c r="I325" i="5"/>
  <c r="H325" i="5"/>
  <c r="G325" i="5"/>
  <c r="E325" i="5"/>
  <c r="F325" i="5" s="1"/>
  <c r="B325" i="5"/>
  <c r="U324" i="5"/>
  <c r="T324" i="5"/>
  <c r="O324" i="5"/>
  <c r="N324" i="5"/>
  <c r="M324" i="5"/>
  <c r="L324" i="5"/>
  <c r="K324" i="5"/>
  <c r="J324" i="5"/>
  <c r="I324" i="5"/>
  <c r="H324" i="5"/>
  <c r="G324" i="5"/>
  <c r="E324" i="5"/>
  <c r="F324" i="5" s="1"/>
  <c r="B324" i="5"/>
  <c r="U323" i="5"/>
  <c r="T323" i="5"/>
  <c r="O323" i="5"/>
  <c r="N323" i="5"/>
  <c r="M323" i="5"/>
  <c r="L323" i="5"/>
  <c r="K323" i="5"/>
  <c r="J323" i="5"/>
  <c r="I323" i="5"/>
  <c r="H323" i="5"/>
  <c r="G323" i="5"/>
  <c r="E323" i="5"/>
  <c r="B323" i="5"/>
  <c r="U322" i="5"/>
  <c r="T322" i="5"/>
  <c r="O322" i="5"/>
  <c r="N322" i="5"/>
  <c r="M322" i="5"/>
  <c r="L322" i="5"/>
  <c r="K322" i="5"/>
  <c r="J322" i="5"/>
  <c r="I322" i="5"/>
  <c r="H322" i="5"/>
  <c r="G322" i="5"/>
  <c r="E322" i="5"/>
  <c r="B322" i="5"/>
  <c r="U321" i="5"/>
  <c r="T321" i="5"/>
  <c r="O321" i="5"/>
  <c r="N321" i="5"/>
  <c r="M321" i="5"/>
  <c r="L321" i="5"/>
  <c r="K321" i="5"/>
  <c r="J321" i="5"/>
  <c r="I321" i="5"/>
  <c r="H321" i="5"/>
  <c r="G321" i="5"/>
  <c r="E321" i="5"/>
  <c r="F321" i="5" s="1"/>
  <c r="B321" i="5"/>
  <c r="U320" i="5"/>
  <c r="T320" i="5"/>
  <c r="O320" i="5"/>
  <c r="N320" i="5"/>
  <c r="M320" i="5"/>
  <c r="L320" i="5"/>
  <c r="K320" i="5"/>
  <c r="J320" i="5"/>
  <c r="I320" i="5"/>
  <c r="H320" i="5"/>
  <c r="G320" i="5"/>
  <c r="E320" i="5"/>
  <c r="F320" i="5" s="1"/>
  <c r="B320" i="5"/>
  <c r="U319" i="5"/>
  <c r="T319" i="5"/>
  <c r="O319" i="5"/>
  <c r="N319" i="5"/>
  <c r="M319" i="5"/>
  <c r="L319" i="5"/>
  <c r="K319" i="5"/>
  <c r="J319" i="5"/>
  <c r="I319" i="5"/>
  <c r="H319" i="5"/>
  <c r="G319" i="5"/>
  <c r="E319" i="5"/>
  <c r="F319" i="5" s="1"/>
  <c r="B319" i="5"/>
  <c r="U318" i="5"/>
  <c r="T318" i="5"/>
  <c r="O318" i="5"/>
  <c r="N318" i="5"/>
  <c r="M318" i="5"/>
  <c r="L318" i="5"/>
  <c r="K318" i="5"/>
  <c r="J318" i="5"/>
  <c r="I318" i="5"/>
  <c r="H318" i="5"/>
  <c r="G318" i="5"/>
  <c r="E318" i="5"/>
  <c r="F318" i="5" s="1"/>
  <c r="B318" i="5"/>
  <c r="U317" i="5"/>
  <c r="T317" i="5"/>
  <c r="O317" i="5"/>
  <c r="N317" i="5"/>
  <c r="M317" i="5"/>
  <c r="L317" i="5"/>
  <c r="K317" i="5"/>
  <c r="J317" i="5"/>
  <c r="I317" i="5"/>
  <c r="H317" i="5"/>
  <c r="G317" i="5"/>
  <c r="E317" i="5"/>
  <c r="F317" i="5" s="1"/>
  <c r="B317" i="5"/>
  <c r="U316" i="5"/>
  <c r="T316" i="5"/>
  <c r="O316" i="5"/>
  <c r="N316" i="5"/>
  <c r="M316" i="5"/>
  <c r="L316" i="5"/>
  <c r="K316" i="5"/>
  <c r="J316" i="5"/>
  <c r="I316" i="5"/>
  <c r="H316" i="5"/>
  <c r="G316" i="5"/>
  <c r="E316" i="5"/>
  <c r="F316" i="5" s="1"/>
  <c r="B316" i="5"/>
  <c r="U315" i="5"/>
  <c r="T315" i="5"/>
  <c r="O315" i="5"/>
  <c r="N315" i="5"/>
  <c r="M315" i="5"/>
  <c r="L315" i="5"/>
  <c r="K315" i="5"/>
  <c r="J315" i="5"/>
  <c r="I315" i="5"/>
  <c r="H315" i="5"/>
  <c r="G315" i="5"/>
  <c r="E315" i="5"/>
  <c r="F315" i="5" s="1"/>
  <c r="B315" i="5"/>
  <c r="U314" i="5"/>
  <c r="T314" i="5"/>
  <c r="O314" i="5"/>
  <c r="N314" i="5"/>
  <c r="M314" i="5"/>
  <c r="L314" i="5"/>
  <c r="K314" i="5"/>
  <c r="J314" i="5"/>
  <c r="I314" i="5"/>
  <c r="H314" i="5"/>
  <c r="G314" i="5"/>
  <c r="E314" i="5"/>
  <c r="F314" i="5" s="1"/>
  <c r="B314" i="5"/>
  <c r="U313" i="5"/>
  <c r="T313" i="5"/>
  <c r="O313" i="5"/>
  <c r="N313" i="5"/>
  <c r="M313" i="5"/>
  <c r="L313" i="5"/>
  <c r="K313" i="5"/>
  <c r="J313" i="5"/>
  <c r="I313" i="5"/>
  <c r="H313" i="5"/>
  <c r="G313" i="5"/>
  <c r="E313" i="5"/>
  <c r="F313" i="5" s="1"/>
  <c r="B313" i="5"/>
  <c r="U312" i="5"/>
  <c r="T312" i="5"/>
  <c r="O312" i="5"/>
  <c r="N312" i="5"/>
  <c r="M312" i="5"/>
  <c r="L312" i="5"/>
  <c r="K312" i="5"/>
  <c r="J312" i="5"/>
  <c r="I312" i="5"/>
  <c r="H312" i="5"/>
  <c r="G312" i="5"/>
  <c r="E312" i="5"/>
  <c r="F312" i="5" s="1"/>
  <c r="B312" i="5"/>
  <c r="U311" i="5"/>
  <c r="T311" i="5"/>
  <c r="O311" i="5"/>
  <c r="N311" i="5"/>
  <c r="M311" i="5"/>
  <c r="L311" i="5"/>
  <c r="K311" i="5"/>
  <c r="J311" i="5"/>
  <c r="I311" i="5"/>
  <c r="H311" i="5"/>
  <c r="G311" i="5"/>
  <c r="E311" i="5"/>
  <c r="F311" i="5" s="1"/>
  <c r="B311" i="5"/>
  <c r="U310" i="5"/>
  <c r="T310" i="5"/>
  <c r="O310" i="5"/>
  <c r="N310" i="5"/>
  <c r="M310" i="5"/>
  <c r="L310" i="5"/>
  <c r="K310" i="5"/>
  <c r="J310" i="5"/>
  <c r="I310" i="5"/>
  <c r="H310" i="5"/>
  <c r="G310" i="5"/>
  <c r="E310" i="5"/>
  <c r="F310" i="5" s="1"/>
  <c r="B310" i="5"/>
  <c r="U309" i="5"/>
  <c r="T309" i="5"/>
  <c r="O309" i="5"/>
  <c r="N309" i="5"/>
  <c r="M309" i="5"/>
  <c r="L309" i="5"/>
  <c r="K309" i="5"/>
  <c r="J309" i="5"/>
  <c r="I309" i="5"/>
  <c r="H309" i="5"/>
  <c r="G309" i="5"/>
  <c r="E309" i="5"/>
  <c r="F309" i="5" s="1"/>
  <c r="B309" i="5"/>
  <c r="U308" i="5"/>
  <c r="T308" i="5"/>
  <c r="O308" i="5"/>
  <c r="N308" i="5"/>
  <c r="M308" i="5"/>
  <c r="L308" i="5"/>
  <c r="K308" i="5"/>
  <c r="J308" i="5"/>
  <c r="I308" i="5"/>
  <c r="H308" i="5"/>
  <c r="G308" i="5"/>
  <c r="E308" i="5"/>
  <c r="F308" i="5" s="1"/>
  <c r="B308" i="5"/>
  <c r="U307" i="5"/>
  <c r="T307" i="5"/>
  <c r="O307" i="5"/>
  <c r="N307" i="5"/>
  <c r="M307" i="5"/>
  <c r="L307" i="5"/>
  <c r="K307" i="5"/>
  <c r="J307" i="5"/>
  <c r="I307" i="5"/>
  <c r="H307" i="5"/>
  <c r="G307" i="5"/>
  <c r="E307" i="5"/>
  <c r="F307" i="5" s="1"/>
  <c r="B307" i="5"/>
  <c r="U306" i="5"/>
  <c r="T306" i="5"/>
  <c r="O306" i="5"/>
  <c r="N306" i="5"/>
  <c r="M306" i="5"/>
  <c r="L306" i="5"/>
  <c r="K306" i="5"/>
  <c r="J306" i="5"/>
  <c r="I306" i="5"/>
  <c r="H306" i="5"/>
  <c r="G306" i="5"/>
  <c r="E306" i="5"/>
  <c r="F306" i="5" s="1"/>
  <c r="B306" i="5"/>
  <c r="W306" i="5" s="1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W268" i="5" s="1"/>
  <c r="U267" i="5"/>
  <c r="U305" i="5" s="1"/>
  <c r="T267" i="5"/>
  <c r="O267" i="5"/>
  <c r="N267" i="5"/>
  <c r="M267" i="5"/>
  <c r="L267" i="5"/>
  <c r="K267" i="5"/>
  <c r="J267" i="5"/>
  <c r="I267" i="5"/>
  <c r="H267" i="5"/>
  <c r="G267" i="5"/>
  <c r="E267" i="5"/>
  <c r="E305" i="5" s="1"/>
  <c r="F305" i="5" s="1"/>
  <c r="B267" i="5"/>
  <c r="U266" i="5"/>
  <c r="U304" i="5" s="1"/>
  <c r="T266" i="5"/>
  <c r="O266" i="5"/>
  <c r="N266" i="5"/>
  <c r="M266" i="5"/>
  <c r="L266" i="5"/>
  <c r="K266" i="5"/>
  <c r="J266" i="5"/>
  <c r="I266" i="5"/>
  <c r="H266" i="5"/>
  <c r="G266" i="5"/>
  <c r="E266" i="5"/>
  <c r="F266" i="5" s="1"/>
  <c r="B266" i="5"/>
  <c r="U265" i="5"/>
  <c r="U303" i="5" s="1"/>
  <c r="T265" i="5"/>
  <c r="O265" i="5"/>
  <c r="N265" i="5"/>
  <c r="M265" i="5"/>
  <c r="L265" i="5"/>
  <c r="K265" i="5"/>
  <c r="J265" i="5"/>
  <c r="I265" i="5"/>
  <c r="H265" i="5"/>
  <c r="G265" i="5"/>
  <c r="E265" i="5"/>
  <c r="F265" i="5" s="1"/>
  <c r="B265" i="5"/>
  <c r="U264" i="5"/>
  <c r="U302" i="5" s="1"/>
  <c r="T264" i="5"/>
  <c r="O264" i="5"/>
  <c r="N264" i="5"/>
  <c r="M264" i="5"/>
  <c r="L264" i="5"/>
  <c r="K264" i="5"/>
  <c r="J264" i="5"/>
  <c r="I264" i="5"/>
  <c r="H264" i="5"/>
  <c r="G264" i="5"/>
  <c r="E264" i="5"/>
  <c r="E302" i="5" s="1"/>
  <c r="F302" i="5" s="1"/>
  <c r="B264" i="5"/>
  <c r="U263" i="5"/>
  <c r="U301" i="5" s="1"/>
  <c r="T263" i="5"/>
  <c r="O263" i="5"/>
  <c r="N263" i="5"/>
  <c r="M263" i="5"/>
  <c r="L263" i="5"/>
  <c r="K263" i="5"/>
  <c r="J263" i="5"/>
  <c r="I263" i="5"/>
  <c r="H263" i="5"/>
  <c r="G263" i="5"/>
  <c r="E263" i="5"/>
  <c r="E301" i="5" s="1"/>
  <c r="F301" i="5" s="1"/>
  <c r="B263" i="5"/>
  <c r="U262" i="5"/>
  <c r="U300" i="5" s="1"/>
  <c r="T262" i="5"/>
  <c r="O262" i="5"/>
  <c r="N262" i="5"/>
  <c r="M262" i="5"/>
  <c r="L262" i="5"/>
  <c r="K262" i="5"/>
  <c r="J262" i="5"/>
  <c r="I262" i="5"/>
  <c r="H262" i="5"/>
  <c r="G262" i="5"/>
  <c r="E262" i="5"/>
  <c r="F262" i="5" s="1"/>
  <c r="B262" i="5"/>
  <c r="U261" i="5"/>
  <c r="U299" i="5" s="1"/>
  <c r="T261" i="5"/>
  <c r="O261" i="5"/>
  <c r="N261" i="5"/>
  <c r="M261" i="5"/>
  <c r="L261" i="5"/>
  <c r="K261" i="5"/>
  <c r="J261" i="5"/>
  <c r="I261" i="5"/>
  <c r="H261" i="5"/>
  <c r="G261" i="5"/>
  <c r="E261" i="5"/>
  <c r="B261" i="5"/>
  <c r="U260" i="5"/>
  <c r="U298" i="5" s="1"/>
  <c r="T260" i="5"/>
  <c r="O260" i="5"/>
  <c r="N260" i="5"/>
  <c r="M260" i="5"/>
  <c r="L260" i="5"/>
  <c r="K260" i="5"/>
  <c r="J260" i="5"/>
  <c r="I260" i="5"/>
  <c r="H260" i="5"/>
  <c r="G260" i="5"/>
  <c r="E260" i="5"/>
  <c r="E298" i="5" s="1"/>
  <c r="B260" i="5"/>
  <c r="U259" i="5"/>
  <c r="U297" i="5" s="1"/>
  <c r="T259" i="5"/>
  <c r="O259" i="5"/>
  <c r="N259" i="5"/>
  <c r="M259" i="5"/>
  <c r="L259" i="5"/>
  <c r="K259" i="5"/>
  <c r="J259" i="5"/>
  <c r="I259" i="5"/>
  <c r="H259" i="5"/>
  <c r="G259" i="5"/>
  <c r="E259" i="5"/>
  <c r="F259" i="5" s="1"/>
  <c r="B259" i="5"/>
  <c r="U258" i="5"/>
  <c r="U296" i="5" s="1"/>
  <c r="T258" i="5"/>
  <c r="O258" i="5"/>
  <c r="N258" i="5"/>
  <c r="M258" i="5"/>
  <c r="L258" i="5"/>
  <c r="K258" i="5"/>
  <c r="J258" i="5"/>
  <c r="I258" i="5"/>
  <c r="H258" i="5"/>
  <c r="G258" i="5"/>
  <c r="E258" i="5"/>
  <c r="E296" i="5" s="1"/>
  <c r="F296" i="5" s="1"/>
  <c r="B258" i="5"/>
  <c r="U257" i="5"/>
  <c r="U295" i="5" s="1"/>
  <c r="T257" i="5"/>
  <c r="O257" i="5"/>
  <c r="N257" i="5"/>
  <c r="M257" i="5"/>
  <c r="L257" i="5"/>
  <c r="K257" i="5"/>
  <c r="J257" i="5"/>
  <c r="I257" i="5"/>
  <c r="H257" i="5"/>
  <c r="G257" i="5"/>
  <c r="E257" i="5"/>
  <c r="F257" i="5" s="1"/>
  <c r="B257" i="5"/>
  <c r="U256" i="5"/>
  <c r="U294" i="5" s="1"/>
  <c r="T256" i="5"/>
  <c r="O256" i="5"/>
  <c r="N256" i="5"/>
  <c r="M256" i="5"/>
  <c r="L256" i="5"/>
  <c r="K256" i="5"/>
  <c r="J256" i="5"/>
  <c r="I256" i="5"/>
  <c r="H256" i="5"/>
  <c r="G256" i="5"/>
  <c r="E256" i="5"/>
  <c r="F256" i="5" s="1"/>
  <c r="B256" i="5"/>
  <c r="U255" i="5"/>
  <c r="U293" i="5" s="1"/>
  <c r="T255" i="5"/>
  <c r="O255" i="5"/>
  <c r="N255" i="5"/>
  <c r="M255" i="5"/>
  <c r="L255" i="5"/>
  <c r="K255" i="5"/>
  <c r="J255" i="5"/>
  <c r="I255" i="5"/>
  <c r="H255" i="5"/>
  <c r="G255" i="5"/>
  <c r="E255" i="5"/>
  <c r="B255" i="5"/>
  <c r="U254" i="5"/>
  <c r="U292" i="5" s="1"/>
  <c r="T254" i="5"/>
  <c r="O254" i="5"/>
  <c r="N254" i="5"/>
  <c r="M254" i="5"/>
  <c r="L254" i="5"/>
  <c r="K254" i="5"/>
  <c r="J254" i="5"/>
  <c r="I254" i="5"/>
  <c r="H254" i="5"/>
  <c r="G254" i="5"/>
  <c r="E254" i="5"/>
  <c r="E292" i="5" s="1"/>
  <c r="F292" i="5" s="1"/>
  <c r="B254" i="5"/>
  <c r="U253" i="5"/>
  <c r="U291" i="5" s="1"/>
  <c r="T253" i="5"/>
  <c r="O253" i="5"/>
  <c r="N253" i="5"/>
  <c r="M253" i="5"/>
  <c r="L253" i="5"/>
  <c r="K253" i="5"/>
  <c r="J253" i="5"/>
  <c r="I253" i="5"/>
  <c r="H253" i="5"/>
  <c r="G253" i="5"/>
  <c r="E253" i="5"/>
  <c r="F253" i="5" s="1"/>
  <c r="B253" i="5"/>
  <c r="U252" i="5"/>
  <c r="U290" i="5" s="1"/>
  <c r="T252" i="5"/>
  <c r="O252" i="5"/>
  <c r="N252" i="5"/>
  <c r="M252" i="5"/>
  <c r="L252" i="5"/>
  <c r="K252" i="5"/>
  <c r="J252" i="5"/>
  <c r="I252" i="5"/>
  <c r="H252" i="5"/>
  <c r="G252" i="5"/>
  <c r="E252" i="5"/>
  <c r="F252" i="5" s="1"/>
  <c r="B252" i="5"/>
  <c r="U251" i="5"/>
  <c r="U289" i="5" s="1"/>
  <c r="T251" i="5"/>
  <c r="O251" i="5"/>
  <c r="N251" i="5"/>
  <c r="M251" i="5"/>
  <c r="L251" i="5"/>
  <c r="K251" i="5"/>
  <c r="J251" i="5"/>
  <c r="I251" i="5"/>
  <c r="H251" i="5"/>
  <c r="G251" i="5"/>
  <c r="E251" i="5"/>
  <c r="E289" i="5" s="1"/>
  <c r="F289" i="5" s="1"/>
  <c r="B251" i="5"/>
  <c r="Z250" i="5"/>
  <c r="U250" i="5"/>
  <c r="U288" i="5" s="1"/>
  <c r="T250" i="5"/>
  <c r="O250" i="5"/>
  <c r="N250" i="5"/>
  <c r="M250" i="5"/>
  <c r="L250" i="5"/>
  <c r="K250" i="5"/>
  <c r="J250" i="5"/>
  <c r="I250" i="5"/>
  <c r="H250" i="5"/>
  <c r="G250" i="5"/>
  <c r="E250" i="5"/>
  <c r="B250" i="5"/>
  <c r="U249" i="5"/>
  <c r="U287" i="5" s="1"/>
  <c r="T249" i="5"/>
  <c r="O249" i="5"/>
  <c r="N249" i="5"/>
  <c r="M249" i="5"/>
  <c r="L249" i="5"/>
  <c r="K249" i="5"/>
  <c r="J249" i="5"/>
  <c r="I249" i="5"/>
  <c r="H249" i="5"/>
  <c r="G249" i="5"/>
  <c r="E249" i="5"/>
  <c r="E287" i="5" s="1"/>
  <c r="F287" i="5" s="1"/>
  <c r="B249" i="5"/>
  <c r="U248" i="5"/>
  <c r="U286" i="5" s="1"/>
  <c r="T248" i="5"/>
  <c r="O248" i="5"/>
  <c r="N248" i="5"/>
  <c r="M248" i="5"/>
  <c r="L248" i="5"/>
  <c r="K248" i="5"/>
  <c r="J248" i="5"/>
  <c r="I248" i="5"/>
  <c r="H248" i="5"/>
  <c r="G248" i="5"/>
  <c r="E248" i="5"/>
  <c r="E286" i="5" s="1"/>
  <c r="F286" i="5" s="1"/>
  <c r="B248" i="5"/>
  <c r="U247" i="5"/>
  <c r="U285" i="5" s="1"/>
  <c r="T247" i="5"/>
  <c r="O247" i="5"/>
  <c r="N247" i="5"/>
  <c r="M247" i="5"/>
  <c r="L247" i="5"/>
  <c r="K247" i="5"/>
  <c r="J247" i="5"/>
  <c r="I247" i="5"/>
  <c r="H247" i="5"/>
  <c r="G247" i="5"/>
  <c r="E247" i="5"/>
  <c r="B247" i="5"/>
  <c r="U246" i="5"/>
  <c r="U284" i="5" s="1"/>
  <c r="T246" i="5"/>
  <c r="O246" i="5"/>
  <c r="N246" i="5"/>
  <c r="M246" i="5"/>
  <c r="L246" i="5"/>
  <c r="K246" i="5"/>
  <c r="J246" i="5"/>
  <c r="I246" i="5"/>
  <c r="H246" i="5"/>
  <c r="G246" i="5"/>
  <c r="E246" i="5"/>
  <c r="E284" i="5" s="1"/>
  <c r="F284" i="5" s="1"/>
  <c r="B246" i="5"/>
  <c r="U245" i="5"/>
  <c r="U283" i="5" s="1"/>
  <c r="T245" i="5"/>
  <c r="O245" i="5"/>
  <c r="N245" i="5"/>
  <c r="M245" i="5"/>
  <c r="L245" i="5"/>
  <c r="K245" i="5"/>
  <c r="J245" i="5"/>
  <c r="I245" i="5"/>
  <c r="H245" i="5"/>
  <c r="G245" i="5"/>
  <c r="E245" i="5"/>
  <c r="B245" i="5"/>
  <c r="U244" i="5"/>
  <c r="U282" i="5" s="1"/>
  <c r="T244" i="5"/>
  <c r="O244" i="5"/>
  <c r="N244" i="5"/>
  <c r="M244" i="5"/>
  <c r="L244" i="5"/>
  <c r="K244" i="5"/>
  <c r="J244" i="5"/>
  <c r="I244" i="5"/>
  <c r="H244" i="5"/>
  <c r="G244" i="5"/>
  <c r="E244" i="5"/>
  <c r="E282" i="5" s="1"/>
  <c r="B244" i="5"/>
  <c r="U243" i="5"/>
  <c r="U281" i="5" s="1"/>
  <c r="T243" i="5"/>
  <c r="O243" i="5"/>
  <c r="N243" i="5"/>
  <c r="M243" i="5"/>
  <c r="L243" i="5"/>
  <c r="K243" i="5"/>
  <c r="J243" i="5"/>
  <c r="I243" i="5"/>
  <c r="H243" i="5"/>
  <c r="G243" i="5"/>
  <c r="E243" i="5"/>
  <c r="B243" i="5"/>
  <c r="U242" i="5"/>
  <c r="U280" i="5" s="1"/>
  <c r="T242" i="5"/>
  <c r="O242" i="5"/>
  <c r="N242" i="5"/>
  <c r="M242" i="5"/>
  <c r="L242" i="5"/>
  <c r="K242" i="5"/>
  <c r="J242" i="5"/>
  <c r="I242" i="5"/>
  <c r="H242" i="5"/>
  <c r="G242" i="5"/>
  <c r="E242" i="5"/>
  <c r="F242" i="5" s="1"/>
  <c r="B242" i="5"/>
  <c r="U241" i="5"/>
  <c r="U279" i="5" s="1"/>
  <c r="T241" i="5"/>
  <c r="O241" i="5"/>
  <c r="N241" i="5"/>
  <c r="M241" i="5"/>
  <c r="L241" i="5"/>
  <c r="K241" i="5"/>
  <c r="J241" i="5"/>
  <c r="I241" i="5"/>
  <c r="H241" i="5"/>
  <c r="G241" i="5"/>
  <c r="E241" i="5"/>
  <c r="F241" i="5" s="1"/>
  <c r="B241" i="5"/>
  <c r="U240" i="5"/>
  <c r="U278" i="5" s="1"/>
  <c r="T240" i="5"/>
  <c r="O240" i="5"/>
  <c r="N240" i="5"/>
  <c r="M240" i="5"/>
  <c r="L240" i="5"/>
  <c r="K240" i="5"/>
  <c r="J240" i="5"/>
  <c r="I240" i="5"/>
  <c r="H240" i="5"/>
  <c r="G240" i="5"/>
  <c r="E240" i="5"/>
  <c r="B240" i="5"/>
  <c r="U239" i="5"/>
  <c r="U277" i="5" s="1"/>
  <c r="T239" i="5"/>
  <c r="O239" i="5"/>
  <c r="N239" i="5"/>
  <c r="M239" i="5"/>
  <c r="L239" i="5"/>
  <c r="K239" i="5"/>
  <c r="J239" i="5"/>
  <c r="I239" i="5"/>
  <c r="H239" i="5"/>
  <c r="G239" i="5"/>
  <c r="E239" i="5"/>
  <c r="F239" i="5" s="1"/>
  <c r="B239" i="5"/>
  <c r="U238" i="5"/>
  <c r="U276" i="5" s="1"/>
  <c r="T238" i="5"/>
  <c r="O238" i="5"/>
  <c r="N238" i="5"/>
  <c r="M238" i="5"/>
  <c r="L238" i="5"/>
  <c r="K238" i="5"/>
  <c r="J238" i="5"/>
  <c r="I238" i="5"/>
  <c r="H238" i="5"/>
  <c r="G238" i="5"/>
  <c r="E238" i="5"/>
  <c r="E276" i="5" s="1"/>
  <c r="F276" i="5" s="1"/>
  <c r="B238" i="5"/>
  <c r="U237" i="5"/>
  <c r="U275" i="5" s="1"/>
  <c r="T237" i="5"/>
  <c r="O237" i="5"/>
  <c r="N237" i="5"/>
  <c r="M237" i="5"/>
  <c r="L237" i="5"/>
  <c r="K237" i="5"/>
  <c r="J237" i="5"/>
  <c r="I237" i="5"/>
  <c r="H237" i="5"/>
  <c r="G237" i="5"/>
  <c r="E237" i="5"/>
  <c r="F237" i="5" s="1"/>
  <c r="B237" i="5"/>
  <c r="U236" i="5"/>
  <c r="U274" i="5" s="1"/>
  <c r="T236" i="5"/>
  <c r="O236" i="5"/>
  <c r="N236" i="5"/>
  <c r="M236" i="5"/>
  <c r="L236" i="5"/>
  <c r="K236" i="5"/>
  <c r="J236" i="5"/>
  <c r="I236" i="5"/>
  <c r="H236" i="5"/>
  <c r="G236" i="5"/>
  <c r="E236" i="5"/>
  <c r="B236" i="5"/>
  <c r="U235" i="5"/>
  <c r="U273" i="5" s="1"/>
  <c r="T235" i="5"/>
  <c r="O235" i="5"/>
  <c r="N235" i="5"/>
  <c r="M235" i="5"/>
  <c r="L235" i="5"/>
  <c r="K235" i="5"/>
  <c r="J235" i="5"/>
  <c r="I235" i="5"/>
  <c r="H235" i="5"/>
  <c r="G235" i="5"/>
  <c r="E235" i="5"/>
  <c r="E273" i="5" s="1"/>
  <c r="F273" i="5" s="1"/>
  <c r="B235" i="5"/>
  <c r="U234" i="5"/>
  <c r="U272" i="5" s="1"/>
  <c r="T234" i="5"/>
  <c r="O234" i="5"/>
  <c r="N234" i="5"/>
  <c r="M234" i="5"/>
  <c r="L234" i="5"/>
  <c r="K234" i="5"/>
  <c r="J234" i="5"/>
  <c r="I234" i="5"/>
  <c r="H234" i="5"/>
  <c r="G234" i="5"/>
  <c r="E234" i="5"/>
  <c r="B234" i="5"/>
  <c r="U233" i="5"/>
  <c r="U271" i="5" s="1"/>
  <c r="T233" i="5"/>
  <c r="O233" i="5"/>
  <c r="N233" i="5"/>
  <c r="M233" i="5"/>
  <c r="L233" i="5"/>
  <c r="K233" i="5"/>
  <c r="J233" i="5"/>
  <c r="I233" i="5"/>
  <c r="H233" i="5"/>
  <c r="G233" i="5"/>
  <c r="E233" i="5"/>
  <c r="B233" i="5"/>
  <c r="U232" i="5"/>
  <c r="U270" i="5" s="1"/>
  <c r="T232" i="5"/>
  <c r="O232" i="5"/>
  <c r="N232" i="5"/>
  <c r="M232" i="5"/>
  <c r="L232" i="5"/>
  <c r="K232" i="5"/>
  <c r="J232" i="5"/>
  <c r="I232" i="5"/>
  <c r="H232" i="5"/>
  <c r="G232" i="5"/>
  <c r="E232" i="5"/>
  <c r="B232" i="5"/>
  <c r="U231" i="5"/>
  <c r="U269" i="5" s="1"/>
  <c r="T231" i="5"/>
  <c r="O231" i="5"/>
  <c r="N231" i="5"/>
  <c r="M231" i="5"/>
  <c r="L231" i="5"/>
  <c r="K231" i="5"/>
  <c r="J231" i="5"/>
  <c r="I231" i="5"/>
  <c r="H231" i="5"/>
  <c r="G231" i="5"/>
  <c r="E231" i="5"/>
  <c r="E269" i="5" s="1"/>
  <c r="F269" i="5" s="1"/>
  <c r="B231" i="5"/>
  <c r="U230" i="5"/>
  <c r="U268" i="5" s="1"/>
  <c r="T230" i="5"/>
  <c r="O230" i="5"/>
  <c r="N230" i="5"/>
  <c r="M230" i="5"/>
  <c r="L230" i="5"/>
  <c r="K230" i="5"/>
  <c r="J230" i="5"/>
  <c r="I230" i="5"/>
  <c r="H230" i="5"/>
  <c r="G230" i="5"/>
  <c r="E230" i="5"/>
  <c r="E268" i="5" s="1"/>
  <c r="F268" i="5" s="1"/>
  <c r="B230" i="5"/>
  <c r="W230" i="5" s="1"/>
  <c r="U229" i="5"/>
  <c r="T229" i="5"/>
  <c r="O229" i="5"/>
  <c r="N229" i="5"/>
  <c r="M229" i="5"/>
  <c r="L229" i="5"/>
  <c r="K229" i="5"/>
  <c r="J229" i="5"/>
  <c r="I229" i="5"/>
  <c r="H229" i="5"/>
  <c r="G229" i="5"/>
  <c r="E229" i="5"/>
  <c r="B229" i="5"/>
  <c r="U228" i="5"/>
  <c r="T228" i="5"/>
  <c r="O228" i="5"/>
  <c r="N228" i="5"/>
  <c r="M228" i="5"/>
  <c r="L228" i="5"/>
  <c r="K228" i="5"/>
  <c r="J228" i="5"/>
  <c r="I228" i="5"/>
  <c r="H228" i="5"/>
  <c r="G228" i="5"/>
  <c r="E228" i="5"/>
  <c r="F228" i="5" s="1"/>
  <c r="B228" i="5"/>
  <c r="U227" i="5"/>
  <c r="T227" i="5"/>
  <c r="O227" i="5"/>
  <c r="N227" i="5"/>
  <c r="M227" i="5"/>
  <c r="L227" i="5"/>
  <c r="K227" i="5"/>
  <c r="J227" i="5"/>
  <c r="I227" i="5"/>
  <c r="H227" i="5"/>
  <c r="G227" i="5"/>
  <c r="E227" i="5"/>
  <c r="F227" i="5" s="1"/>
  <c r="B227" i="5"/>
  <c r="U226" i="5"/>
  <c r="T226" i="5"/>
  <c r="O226" i="5"/>
  <c r="N226" i="5"/>
  <c r="M226" i="5"/>
  <c r="L226" i="5"/>
  <c r="K226" i="5"/>
  <c r="J226" i="5"/>
  <c r="I226" i="5"/>
  <c r="H226" i="5"/>
  <c r="G226" i="5"/>
  <c r="E226" i="5"/>
  <c r="B226" i="5"/>
  <c r="U225" i="5"/>
  <c r="T225" i="5"/>
  <c r="O225" i="5"/>
  <c r="N225" i="5"/>
  <c r="M225" i="5"/>
  <c r="L225" i="5"/>
  <c r="K225" i="5"/>
  <c r="J225" i="5"/>
  <c r="I225" i="5"/>
  <c r="H225" i="5"/>
  <c r="G225" i="5"/>
  <c r="E225" i="5"/>
  <c r="F225" i="5" s="1"/>
  <c r="B225" i="5"/>
  <c r="U224" i="5"/>
  <c r="T224" i="5"/>
  <c r="O224" i="5"/>
  <c r="N224" i="5"/>
  <c r="M224" i="5"/>
  <c r="L224" i="5"/>
  <c r="K224" i="5"/>
  <c r="J224" i="5"/>
  <c r="I224" i="5"/>
  <c r="H224" i="5"/>
  <c r="G224" i="5"/>
  <c r="E224" i="5"/>
  <c r="F224" i="5" s="1"/>
  <c r="B224" i="5"/>
  <c r="U223" i="5"/>
  <c r="T223" i="5"/>
  <c r="O223" i="5"/>
  <c r="N223" i="5"/>
  <c r="M223" i="5"/>
  <c r="L223" i="5"/>
  <c r="K223" i="5"/>
  <c r="J223" i="5"/>
  <c r="I223" i="5"/>
  <c r="H223" i="5"/>
  <c r="G223" i="5"/>
  <c r="E223" i="5"/>
  <c r="F223" i="5" s="1"/>
  <c r="B223" i="5"/>
  <c r="U222" i="5"/>
  <c r="T222" i="5"/>
  <c r="O222" i="5"/>
  <c r="N222" i="5"/>
  <c r="M222" i="5"/>
  <c r="L222" i="5"/>
  <c r="K222" i="5"/>
  <c r="J222" i="5"/>
  <c r="I222" i="5"/>
  <c r="H222" i="5"/>
  <c r="G222" i="5"/>
  <c r="E222" i="5"/>
  <c r="F222" i="5" s="1"/>
  <c r="B222" i="5"/>
  <c r="U221" i="5"/>
  <c r="T221" i="5"/>
  <c r="O221" i="5"/>
  <c r="N221" i="5"/>
  <c r="M221" i="5"/>
  <c r="L221" i="5"/>
  <c r="K221" i="5"/>
  <c r="J221" i="5"/>
  <c r="I221" i="5"/>
  <c r="H221" i="5"/>
  <c r="G221" i="5"/>
  <c r="E221" i="5"/>
  <c r="F221" i="5" s="1"/>
  <c r="B221" i="5"/>
  <c r="U220" i="5"/>
  <c r="T220" i="5"/>
  <c r="O220" i="5"/>
  <c r="N220" i="5"/>
  <c r="M220" i="5"/>
  <c r="L220" i="5"/>
  <c r="K220" i="5"/>
  <c r="J220" i="5"/>
  <c r="I220" i="5"/>
  <c r="H220" i="5"/>
  <c r="G220" i="5"/>
  <c r="E220" i="5"/>
  <c r="F220" i="5" s="1"/>
  <c r="B220" i="5"/>
  <c r="U219" i="5"/>
  <c r="T219" i="5"/>
  <c r="O219" i="5"/>
  <c r="N219" i="5"/>
  <c r="M219" i="5"/>
  <c r="L219" i="5"/>
  <c r="K219" i="5"/>
  <c r="J219" i="5"/>
  <c r="I219" i="5"/>
  <c r="H219" i="5"/>
  <c r="G219" i="5"/>
  <c r="E219" i="5"/>
  <c r="F219" i="5" s="1"/>
  <c r="B219" i="5"/>
  <c r="U218" i="5"/>
  <c r="T218" i="5"/>
  <c r="O218" i="5"/>
  <c r="N218" i="5"/>
  <c r="M218" i="5"/>
  <c r="L218" i="5"/>
  <c r="K218" i="5"/>
  <c r="J218" i="5"/>
  <c r="I218" i="5"/>
  <c r="H218" i="5"/>
  <c r="G218" i="5"/>
  <c r="E218" i="5"/>
  <c r="F218" i="5" s="1"/>
  <c r="B218" i="5"/>
  <c r="U217" i="5"/>
  <c r="T217" i="5"/>
  <c r="O217" i="5"/>
  <c r="N217" i="5"/>
  <c r="M217" i="5"/>
  <c r="L217" i="5"/>
  <c r="K217" i="5"/>
  <c r="J217" i="5"/>
  <c r="I217" i="5"/>
  <c r="H217" i="5"/>
  <c r="G217" i="5"/>
  <c r="E217" i="5"/>
  <c r="F217" i="5" s="1"/>
  <c r="B217" i="5"/>
  <c r="U216" i="5"/>
  <c r="T216" i="5"/>
  <c r="O216" i="5"/>
  <c r="N216" i="5"/>
  <c r="M216" i="5"/>
  <c r="L216" i="5"/>
  <c r="K216" i="5"/>
  <c r="J216" i="5"/>
  <c r="I216" i="5"/>
  <c r="H216" i="5"/>
  <c r="G216" i="5"/>
  <c r="E216" i="5"/>
  <c r="F216" i="5" s="1"/>
  <c r="B216" i="5"/>
  <c r="U215" i="5"/>
  <c r="T215" i="5"/>
  <c r="O215" i="5"/>
  <c r="N215" i="5"/>
  <c r="M215" i="5"/>
  <c r="L215" i="5"/>
  <c r="K215" i="5"/>
  <c r="J215" i="5"/>
  <c r="I215" i="5"/>
  <c r="H215" i="5"/>
  <c r="G215" i="5"/>
  <c r="E215" i="5"/>
  <c r="F215" i="5" s="1"/>
  <c r="B215" i="5"/>
  <c r="U214" i="5"/>
  <c r="T214" i="5"/>
  <c r="O214" i="5"/>
  <c r="N214" i="5"/>
  <c r="M214" i="5"/>
  <c r="L214" i="5"/>
  <c r="K214" i="5"/>
  <c r="J214" i="5"/>
  <c r="I214" i="5"/>
  <c r="H214" i="5"/>
  <c r="G214" i="5"/>
  <c r="E214" i="5"/>
  <c r="F214" i="5" s="1"/>
  <c r="B214" i="5"/>
  <c r="U213" i="5"/>
  <c r="T213" i="5"/>
  <c r="O213" i="5"/>
  <c r="N213" i="5"/>
  <c r="M213" i="5"/>
  <c r="L213" i="5"/>
  <c r="K213" i="5"/>
  <c r="J213" i="5"/>
  <c r="I213" i="5"/>
  <c r="H213" i="5"/>
  <c r="G213" i="5"/>
  <c r="E213" i="5"/>
  <c r="F213" i="5" s="1"/>
  <c r="B213" i="5"/>
  <c r="U212" i="5"/>
  <c r="T212" i="5"/>
  <c r="O212" i="5"/>
  <c r="N212" i="5"/>
  <c r="M212" i="5"/>
  <c r="L212" i="5"/>
  <c r="K212" i="5"/>
  <c r="J212" i="5"/>
  <c r="I212" i="5"/>
  <c r="H212" i="5"/>
  <c r="G212" i="5"/>
  <c r="E212" i="5"/>
  <c r="F212" i="5" s="1"/>
  <c r="B212" i="5"/>
  <c r="U211" i="5"/>
  <c r="T211" i="5"/>
  <c r="O211" i="5"/>
  <c r="N211" i="5"/>
  <c r="M211" i="5"/>
  <c r="L211" i="5"/>
  <c r="K211" i="5"/>
  <c r="J211" i="5"/>
  <c r="I211" i="5"/>
  <c r="H211" i="5"/>
  <c r="G211" i="5"/>
  <c r="E211" i="5"/>
  <c r="F211" i="5" s="1"/>
  <c r="B211" i="5"/>
  <c r="U210" i="5"/>
  <c r="T210" i="5"/>
  <c r="O210" i="5"/>
  <c r="N210" i="5"/>
  <c r="M210" i="5"/>
  <c r="L210" i="5"/>
  <c r="K210" i="5"/>
  <c r="J210" i="5"/>
  <c r="I210" i="5"/>
  <c r="H210" i="5"/>
  <c r="G210" i="5"/>
  <c r="E210" i="5"/>
  <c r="F210" i="5" s="1"/>
  <c r="B210" i="5"/>
  <c r="U209" i="5"/>
  <c r="T209" i="5"/>
  <c r="O209" i="5"/>
  <c r="N209" i="5"/>
  <c r="M209" i="5"/>
  <c r="L209" i="5"/>
  <c r="K209" i="5"/>
  <c r="J209" i="5"/>
  <c r="I209" i="5"/>
  <c r="H209" i="5"/>
  <c r="G209" i="5"/>
  <c r="E209" i="5"/>
  <c r="F209" i="5" s="1"/>
  <c r="B209" i="5"/>
  <c r="U208" i="5"/>
  <c r="T208" i="5"/>
  <c r="O208" i="5"/>
  <c r="N208" i="5"/>
  <c r="M208" i="5"/>
  <c r="L208" i="5"/>
  <c r="K208" i="5"/>
  <c r="J208" i="5"/>
  <c r="I208" i="5"/>
  <c r="H208" i="5"/>
  <c r="G208" i="5"/>
  <c r="E208" i="5"/>
  <c r="F208" i="5" s="1"/>
  <c r="B208" i="5"/>
  <c r="U207" i="5"/>
  <c r="T207" i="5"/>
  <c r="O207" i="5"/>
  <c r="N207" i="5"/>
  <c r="M207" i="5"/>
  <c r="L207" i="5"/>
  <c r="K207" i="5"/>
  <c r="J207" i="5"/>
  <c r="I207" i="5"/>
  <c r="H207" i="5"/>
  <c r="G207" i="5"/>
  <c r="E207" i="5"/>
  <c r="F207" i="5" s="1"/>
  <c r="B207" i="5"/>
  <c r="U206" i="5"/>
  <c r="T206" i="5"/>
  <c r="O206" i="5"/>
  <c r="N206" i="5"/>
  <c r="M206" i="5"/>
  <c r="L206" i="5"/>
  <c r="K206" i="5"/>
  <c r="J206" i="5"/>
  <c r="I206" i="5"/>
  <c r="H206" i="5"/>
  <c r="G206" i="5"/>
  <c r="E206" i="5"/>
  <c r="F206" i="5" s="1"/>
  <c r="B206" i="5"/>
  <c r="U205" i="5"/>
  <c r="T205" i="5"/>
  <c r="O205" i="5"/>
  <c r="N205" i="5"/>
  <c r="M205" i="5"/>
  <c r="L205" i="5"/>
  <c r="K205" i="5"/>
  <c r="J205" i="5"/>
  <c r="I205" i="5"/>
  <c r="H205" i="5"/>
  <c r="G205" i="5"/>
  <c r="E205" i="5"/>
  <c r="F205" i="5" s="1"/>
  <c r="B205" i="5"/>
  <c r="U204" i="5"/>
  <c r="T204" i="5"/>
  <c r="O204" i="5"/>
  <c r="N204" i="5"/>
  <c r="M204" i="5"/>
  <c r="L204" i="5"/>
  <c r="K204" i="5"/>
  <c r="J204" i="5"/>
  <c r="I204" i="5"/>
  <c r="H204" i="5"/>
  <c r="G204" i="5"/>
  <c r="E204" i="5"/>
  <c r="F204" i="5" s="1"/>
  <c r="B204" i="5"/>
  <c r="U203" i="5"/>
  <c r="T203" i="5"/>
  <c r="O203" i="5"/>
  <c r="N203" i="5"/>
  <c r="M203" i="5"/>
  <c r="L203" i="5"/>
  <c r="K203" i="5"/>
  <c r="J203" i="5"/>
  <c r="I203" i="5"/>
  <c r="H203" i="5"/>
  <c r="G203" i="5"/>
  <c r="E203" i="5"/>
  <c r="B203" i="5"/>
  <c r="U202" i="5"/>
  <c r="T202" i="5"/>
  <c r="O202" i="5"/>
  <c r="N202" i="5"/>
  <c r="M202" i="5"/>
  <c r="L202" i="5"/>
  <c r="K202" i="5"/>
  <c r="J202" i="5"/>
  <c r="I202" i="5"/>
  <c r="H202" i="5"/>
  <c r="G202" i="5"/>
  <c r="E202" i="5"/>
  <c r="F202" i="5" s="1"/>
  <c r="B202" i="5"/>
  <c r="U201" i="5"/>
  <c r="T201" i="5"/>
  <c r="O201" i="5"/>
  <c r="N201" i="5"/>
  <c r="M201" i="5"/>
  <c r="L201" i="5"/>
  <c r="K201" i="5"/>
  <c r="J201" i="5"/>
  <c r="I201" i="5"/>
  <c r="H201" i="5"/>
  <c r="G201" i="5"/>
  <c r="E201" i="5"/>
  <c r="F201" i="5" s="1"/>
  <c r="B201" i="5"/>
  <c r="U200" i="5"/>
  <c r="T200" i="5"/>
  <c r="O200" i="5"/>
  <c r="N200" i="5"/>
  <c r="M200" i="5"/>
  <c r="L200" i="5"/>
  <c r="K200" i="5"/>
  <c r="J200" i="5"/>
  <c r="I200" i="5"/>
  <c r="H200" i="5"/>
  <c r="G200" i="5"/>
  <c r="E200" i="5"/>
  <c r="F200" i="5" s="1"/>
  <c r="B200" i="5"/>
  <c r="U199" i="5"/>
  <c r="T199" i="5"/>
  <c r="O199" i="5"/>
  <c r="N199" i="5"/>
  <c r="M199" i="5"/>
  <c r="L199" i="5"/>
  <c r="K199" i="5"/>
  <c r="J199" i="5"/>
  <c r="I199" i="5"/>
  <c r="H199" i="5"/>
  <c r="G199" i="5"/>
  <c r="E199" i="5"/>
  <c r="F199" i="5" s="1"/>
  <c r="B199" i="5"/>
  <c r="U198" i="5"/>
  <c r="T198" i="5"/>
  <c r="O198" i="5"/>
  <c r="N198" i="5"/>
  <c r="M198" i="5"/>
  <c r="L198" i="5"/>
  <c r="K198" i="5"/>
  <c r="J198" i="5"/>
  <c r="I198" i="5"/>
  <c r="H198" i="5"/>
  <c r="G198" i="5"/>
  <c r="E198" i="5"/>
  <c r="F198" i="5" s="1"/>
  <c r="B198" i="5"/>
  <c r="U197" i="5"/>
  <c r="T197" i="5"/>
  <c r="O197" i="5"/>
  <c r="N197" i="5"/>
  <c r="M197" i="5"/>
  <c r="L197" i="5"/>
  <c r="K197" i="5"/>
  <c r="J197" i="5"/>
  <c r="I197" i="5"/>
  <c r="H197" i="5"/>
  <c r="G197" i="5"/>
  <c r="E197" i="5"/>
  <c r="B197" i="5"/>
  <c r="U196" i="5"/>
  <c r="T196" i="5"/>
  <c r="O196" i="5"/>
  <c r="N196" i="5"/>
  <c r="M196" i="5"/>
  <c r="L196" i="5"/>
  <c r="K196" i="5"/>
  <c r="J196" i="5"/>
  <c r="I196" i="5"/>
  <c r="H196" i="5"/>
  <c r="G196" i="5"/>
  <c r="E196" i="5"/>
  <c r="F196" i="5" s="1"/>
  <c r="B196" i="5"/>
  <c r="U195" i="5"/>
  <c r="T195" i="5"/>
  <c r="O195" i="5"/>
  <c r="N195" i="5"/>
  <c r="M195" i="5"/>
  <c r="L195" i="5"/>
  <c r="K195" i="5"/>
  <c r="J195" i="5"/>
  <c r="I195" i="5"/>
  <c r="H195" i="5"/>
  <c r="G195" i="5"/>
  <c r="E195" i="5"/>
  <c r="F195" i="5" s="1"/>
  <c r="B195" i="5"/>
  <c r="U194" i="5"/>
  <c r="T194" i="5"/>
  <c r="O194" i="5"/>
  <c r="N194" i="5"/>
  <c r="M194" i="5"/>
  <c r="L194" i="5"/>
  <c r="K194" i="5"/>
  <c r="J194" i="5"/>
  <c r="I194" i="5"/>
  <c r="H194" i="5"/>
  <c r="G194" i="5"/>
  <c r="E194" i="5"/>
  <c r="F194" i="5" s="1"/>
  <c r="B194" i="5"/>
  <c r="U193" i="5"/>
  <c r="T193" i="5"/>
  <c r="O193" i="5"/>
  <c r="N193" i="5"/>
  <c r="M193" i="5"/>
  <c r="L193" i="5"/>
  <c r="K193" i="5"/>
  <c r="J193" i="5"/>
  <c r="I193" i="5"/>
  <c r="H193" i="5"/>
  <c r="G193" i="5"/>
  <c r="E193" i="5"/>
  <c r="F193" i="5" s="1"/>
  <c r="B193" i="5"/>
  <c r="U192" i="5"/>
  <c r="T192" i="5"/>
  <c r="O192" i="5"/>
  <c r="N192" i="5"/>
  <c r="M192" i="5"/>
  <c r="L192" i="5"/>
  <c r="K192" i="5"/>
  <c r="J192" i="5"/>
  <c r="I192" i="5"/>
  <c r="H192" i="5"/>
  <c r="G192" i="5"/>
  <c r="E192" i="5"/>
  <c r="F192" i="5" s="1"/>
  <c r="B192" i="5"/>
  <c r="W192" i="5" s="1"/>
  <c r="U191" i="5"/>
  <c r="T191" i="5"/>
  <c r="O191" i="5"/>
  <c r="N191" i="5"/>
  <c r="M191" i="5"/>
  <c r="L191" i="5"/>
  <c r="K191" i="5"/>
  <c r="J191" i="5"/>
  <c r="I191" i="5"/>
  <c r="H191" i="5"/>
  <c r="G191" i="5"/>
  <c r="E191" i="5"/>
  <c r="B191" i="5"/>
  <c r="U190" i="5"/>
  <c r="T190" i="5"/>
  <c r="O190" i="5"/>
  <c r="N190" i="5"/>
  <c r="M190" i="5"/>
  <c r="L190" i="5"/>
  <c r="K190" i="5"/>
  <c r="J190" i="5"/>
  <c r="I190" i="5"/>
  <c r="H190" i="5"/>
  <c r="G190" i="5"/>
  <c r="E190" i="5"/>
  <c r="F190" i="5" s="1"/>
  <c r="B190" i="5"/>
  <c r="U189" i="5"/>
  <c r="T189" i="5"/>
  <c r="O189" i="5"/>
  <c r="N189" i="5"/>
  <c r="M189" i="5"/>
  <c r="L189" i="5"/>
  <c r="K189" i="5"/>
  <c r="J189" i="5"/>
  <c r="I189" i="5"/>
  <c r="H189" i="5"/>
  <c r="G189" i="5"/>
  <c r="E189" i="5"/>
  <c r="F189" i="5" s="1"/>
  <c r="B189" i="5"/>
  <c r="U188" i="5"/>
  <c r="T188" i="5"/>
  <c r="O188" i="5"/>
  <c r="N188" i="5"/>
  <c r="M188" i="5"/>
  <c r="L188" i="5"/>
  <c r="K188" i="5"/>
  <c r="J188" i="5"/>
  <c r="I188" i="5"/>
  <c r="H188" i="5"/>
  <c r="G188" i="5"/>
  <c r="E188" i="5"/>
  <c r="F188" i="5" s="1"/>
  <c r="B188" i="5"/>
  <c r="U187" i="5"/>
  <c r="T187" i="5"/>
  <c r="O187" i="5"/>
  <c r="N187" i="5"/>
  <c r="M187" i="5"/>
  <c r="L187" i="5"/>
  <c r="K187" i="5"/>
  <c r="J187" i="5"/>
  <c r="I187" i="5"/>
  <c r="H187" i="5"/>
  <c r="G187" i="5"/>
  <c r="E187" i="5"/>
  <c r="F187" i="5" s="1"/>
  <c r="B187" i="5"/>
  <c r="U186" i="5"/>
  <c r="T186" i="5"/>
  <c r="O186" i="5"/>
  <c r="N186" i="5"/>
  <c r="M186" i="5"/>
  <c r="L186" i="5"/>
  <c r="K186" i="5"/>
  <c r="J186" i="5"/>
  <c r="I186" i="5"/>
  <c r="H186" i="5"/>
  <c r="G186" i="5"/>
  <c r="E186" i="5"/>
  <c r="F186" i="5" s="1"/>
  <c r="B186" i="5"/>
  <c r="U185" i="5"/>
  <c r="T185" i="5"/>
  <c r="O185" i="5"/>
  <c r="N185" i="5"/>
  <c r="M185" i="5"/>
  <c r="L185" i="5"/>
  <c r="K185" i="5"/>
  <c r="J185" i="5"/>
  <c r="I185" i="5"/>
  <c r="H185" i="5"/>
  <c r="G185" i="5"/>
  <c r="E185" i="5"/>
  <c r="B185" i="5"/>
  <c r="U184" i="5"/>
  <c r="T184" i="5"/>
  <c r="O184" i="5"/>
  <c r="N184" i="5"/>
  <c r="M184" i="5"/>
  <c r="L184" i="5"/>
  <c r="K184" i="5"/>
  <c r="J184" i="5"/>
  <c r="I184" i="5"/>
  <c r="H184" i="5"/>
  <c r="G184" i="5"/>
  <c r="E184" i="5"/>
  <c r="F184" i="5" s="1"/>
  <c r="B184" i="5"/>
  <c r="U183" i="5"/>
  <c r="T183" i="5"/>
  <c r="O183" i="5"/>
  <c r="N183" i="5"/>
  <c r="M183" i="5"/>
  <c r="L183" i="5"/>
  <c r="K183" i="5"/>
  <c r="J183" i="5"/>
  <c r="I183" i="5"/>
  <c r="H183" i="5"/>
  <c r="G183" i="5"/>
  <c r="E183" i="5"/>
  <c r="F183" i="5" s="1"/>
  <c r="B183" i="5"/>
  <c r="U182" i="5"/>
  <c r="T182" i="5"/>
  <c r="O182" i="5"/>
  <c r="N182" i="5"/>
  <c r="M182" i="5"/>
  <c r="L182" i="5"/>
  <c r="K182" i="5"/>
  <c r="J182" i="5"/>
  <c r="I182" i="5"/>
  <c r="H182" i="5"/>
  <c r="G182" i="5"/>
  <c r="E182" i="5"/>
  <c r="F182" i="5" s="1"/>
  <c r="B182" i="5"/>
  <c r="U181" i="5"/>
  <c r="T181" i="5"/>
  <c r="O181" i="5"/>
  <c r="N181" i="5"/>
  <c r="M181" i="5"/>
  <c r="L181" i="5"/>
  <c r="K181" i="5"/>
  <c r="J181" i="5"/>
  <c r="I181" i="5"/>
  <c r="H181" i="5"/>
  <c r="G181" i="5"/>
  <c r="E181" i="5"/>
  <c r="F181" i="5" s="1"/>
  <c r="B181" i="5"/>
  <c r="U180" i="5"/>
  <c r="T180" i="5"/>
  <c r="O180" i="5"/>
  <c r="N180" i="5"/>
  <c r="M180" i="5"/>
  <c r="L180" i="5"/>
  <c r="K180" i="5"/>
  <c r="J180" i="5"/>
  <c r="I180" i="5"/>
  <c r="H180" i="5"/>
  <c r="G180" i="5"/>
  <c r="E180" i="5"/>
  <c r="F180" i="5" s="1"/>
  <c r="B180" i="5"/>
  <c r="U179" i="5"/>
  <c r="T179" i="5"/>
  <c r="O179" i="5"/>
  <c r="N179" i="5"/>
  <c r="M179" i="5"/>
  <c r="L179" i="5"/>
  <c r="K179" i="5"/>
  <c r="J179" i="5"/>
  <c r="I179" i="5"/>
  <c r="H179" i="5"/>
  <c r="G179" i="5"/>
  <c r="E179" i="5"/>
  <c r="F179" i="5" s="1"/>
  <c r="B179" i="5"/>
  <c r="U178" i="5"/>
  <c r="T178" i="5"/>
  <c r="O178" i="5"/>
  <c r="N178" i="5"/>
  <c r="M178" i="5"/>
  <c r="L178" i="5"/>
  <c r="K178" i="5"/>
  <c r="J178" i="5"/>
  <c r="I178" i="5"/>
  <c r="H178" i="5"/>
  <c r="G178" i="5"/>
  <c r="E178" i="5"/>
  <c r="F178" i="5" s="1"/>
  <c r="B178" i="5"/>
  <c r="U177" i="5"/>
  <c r="T177" i="5"/>
  <c r="O177" i="5"/>
  <c r="N177" i="5"/>
  <c r="M177" i="5"/>
  <c r="L177" i="5"/>
  <c r="K177" i="5"/>
  <c r="J177" i="5"/>
  <c r="I177" i="5"/>
  <c r="H177" i="5"/>
  <c r="G177" i="5"/>
  <c r="E177" i="5"/>
  <c r="F177" i="5" s="1"/>
  <c r="B177" i="5"/>
  <c r="U176" i="5"/>
  <c r="T176" i="5"/>
  <c r="O176" i="5"/>
  <c r="N176" i="5"/>
  <c r="M176" i="5"/>
  <c r="L176" i="5"/>
  <c r="K176" i="5"/>
  <c r="J176" i="5"/>
  <c r="I176" i="5"/>
  <c r="H176" i="5"/>
  <c r="G176" i="5"/>
  <c r="E176" i="5"/>
  <c r="F176" i="5" s="1"/>
  <c r="B176" i="5"/>
  <c r="U175" i="5"/>
  <c r="T175" i="5"/>
  <c r="O175" i="5"/>
  <c r="N175" i="5"/>
  <c r="M175" i="5"/>
  <c r="L175" i="5"/>
  <c r="K175" i="5"/>
  <c r="J175" i="5"/>
  <c r="I175" i="5"/>
  <c r="H175" i="5"/>
  <c r="G175" i="5"/>
  <c r="E175" i="5"/>
  <c r="F175" i="5" s="1"/>
  <c r="B175" i="5"/>
  <c r="U174" i="5"/>
  <c r="T174" i="5"/>
  <c r="O174" i="5"/>
  <c r="N174" i="5"/>
  <c r="M174" i="5"/>
  <c r="L174" i="5"/>
  <c r="K174" i="5"/>
  <c r="J174" i="5"/>
  <c r="I174" i="5"/>
  <c r="H174" i="5"/>
  <c r="G174" i="5"/>
  <c r="E174" i="5"/>
  <c r="B174" i="5"/>
  <c r="U173" i="5"/>
  <c r="T173" i="5"/>
  <c r="O173" i="5"/>
  <c r="N173" i="5"/>
  <c r="M173" i="5"/>
  <c r="L173" i="5"/>
  <c r="K173" i="5"/>
  <c r="J173" i="5"/>
  <c r="I173" i="5"/>
  <c r="H173" i="5"/>
  <c r="G173" i="5"/>
  <c r="E173" i="5"/>
  <c r="F173" i="5" s="1"/>
  <c r="B173" i="5"/>
  <c r="U172" i="5"/>
  <c r="T172" i="5"/>
  <c r="O172" i="5"/>
  <c r="N172" i="5"/>
  <c r="M172" i="5"/>
  <c r="L172" i="5"/>
  <c r="K172" i="5"/>
  <c r="J172" i="5"/>
  <c r="I172" i="5"/>
  <c r="H172" i="5"/>
  <c r="G172" i="5"/>
  <c r="E172" i="5"/>
  <c r="F172" i="5" s="1"/>
  <c r="B172" i="5"/>
  <c r="AA171" i="5"/>
  <c r="U171" i="5"/>
  <c r="T171" i="5"/>
  <c r="O171" i="5"/>
  <c r="N171" i="5"/>
  <c r="M171" i="5"/>
  <c r="L171" i="5"/>
  <c r="K171" i="5"/>
  <c r="J171" i="5"/>
  <c r="I171" i="5"/>
  <c r="H171" i="5"/>
  <c r="G171" i="5"/>
  <c r="E171" i="5"/>
  <c r="F171" i="5" s="1"/>
  <c r="B171" i="5"/>
  <c r="U170" i="5"/>
  <c r="T170" i="5"/>
  <c r="O170" i="5"/>
  <c r="N170" i="5"/>
  <c r="M170" i="5"/>
  <c r="L170" i="5"/>
  <c r="K170" i="5"/>
  <c r="J170" i="5"/>
  <c r="I170" i="5"/>
  <c r="H170" i="5"/>
  <c r="G170" i="5"/>
  <c r="E170" i="5"/>
  <c r="F170" i="5" s="1"/>
  <c r="B170" i="5"/>
  <c r="U169" i="5"/>
  <c r="T169" i="5"/>
  <c r="O169" i="5"/>
  <c r="N169" i="5"/>
  <c r="M169" i="5"/>
  <c r="L169" i="5"/>
  <c r="K169" i="5"/>
  <c r="J169" i="5"/>
  <c r="I169" i="5"/>
  <c r="H169" i="5"/>
  <c r="G169" i="5"/>
  <c r="E169" i="5"/>
  <c r="B169" i="5"/>
  <c r="U168" i="5"/>
  <c r="T168" i="5"/>
  <c r="O168" i="5"/>
  <c r="N168" i="5"/>
  <c r="M168" i="5"/>
  <c r="L168" i="5"/>
  <c r="K168" i="5"/>
  <c r="J168" i="5"/>
  <c r="I168" i="5"/>
  <c r="H168" i="5"/>
  <c r="G168" i="5"/>
  <c r="E168" i="5"/>
  <c r="F168" i="5" s="1"/>
  <c r="B168" i="5"/>
  <c r="U167" i="5"/>
  <c r="T167" i="5"/>
  <c r="O167" i="5"/>
  <c r="N167" i="5"/>
  <c r="M167" i="5"/>
  <c r="L167" i="5"/>
  <c r="K167" i="5"/>
  <c r="J167" i="5"/>
  <c r="I167" i="5"/>
  <c r="H167" i="5"/>
  <c r="G167" i="5"/>
  <c r="E167" i="5"/>
  <c r="F167" i="5" s="1"/>
  <c r="B167" i="5"/>
  <c r="U166" i="5"/>
  <c r="T166" i="5"/>
  <c r="O166" i="5"/>
  <c r="N166" i="5"/>
  <c r="M166" i="5"/>
  <c r="L166" i="5"/>
  <c r="K166" i="5"/>
  <c r="J166" i="5"/>
  <c r="I166" i="5"/>
  <c r="H166" i="5"/>
  <c r="G166" i="5"/>
  <c r="E166" i="5"/>
  <c r="F166" i="5" s="1"/>
  <c r="B166" i="5"/>
  <c r="U165" i="5"/>
  <c r="T165" i="5"/>
  <c r="O165" i="5"/>
  <c r="N165" i="5"/>
  <c r="M165" i="5"/>
  <c r="L165" i="5"/>
  <c r="K165" i="5"/>
  <c r="J165" i="5"/>
  <c r="I165" i="5"/>
  <c r="H165" i="5"/>
  <c r="G165" i="5"/>
  <c r="E165" i="5"/>
  <c r="F165" i="5" s="1"/>
  <c r="B165" i="5"/>
  <c r="U164" i="5"/>
  <c r="T164" i="5"/>
  <c r="O164" i="5"/>
  <c r="N164" i="5"/>
  <c r="M164" i="5"/>
  <c r="L164" i="5"/>
  <c r="K164" i="5"/>
  <c r="J164" i="5"/>
  <c r="I164" i="5"/>
  <c r="H164" i="5"/>
  <c r="G164" i="5"/>
  <c r="E164" i="5"/>
  <c r="F164" i="5" s="1"/>
  <c r="B164" i="5"/>
  <c r="U163" i="5"/>
  <c r="T163" i="5"/>
  <c r="O163" i="5"/>
  <c r="N163" i="5"/>
  <c r="M163" i="5"/>
  <c r="L163" i="5"/>
  <c r="K163" i="5"/>
  <c r="J163" i="5"/>
  <c r="I163" i="5"/>
  <c r="H163" i="5"/>
  <c r="G163" i="5"/>
  <c r="E163" i="5"/>
  <c r="F163" i="5" s="1"/>
  <c r="B163" i="5"/>
  <c r="U162" i="5"/>
  <c r="T162" i="5"/>
  <c r="O162" i="5"/>
  <c r="N162" i="5"/>
  <c r="M162" i="5"/>
  <c r="L162" i="5"/>
  <c r="K162" i="5"/>
  <c r="J162" i="5"/>
  <c r="I162" i="5"/>
  <c r="H162" i="5"/>
  <c r="G162" i="5"/>
  <c r="E162" i="5"/>
  <c r="F162" i="5" s="1"/>
  <c r="B162" i="5"/>
  <c r="U161" i="5"/>
  <c r="T161" i="5"/>
  <c r="O161" i="5"/>
  <c r="N161" i="5"/>
  <c r="M161" i="5"/>
  <c r="L161" i="5"/>
  <c r="K161" i="5"/>
  <c r="J161" i="5"/>
  <c r="I161" i="5"/>
  <c r="H161" i="5"/>
  <c r="G161" i="5"/>
  <c r="E161" i="5"/>
  <c r="F161" i="5" s="1"/>
  <c r="B161" i="5"/>
  <c r="U160" i="5"/>
  <c r="T160" i="5"/>
  <c r="O160" i="5"/>
  <c r="N160" i="5"/>
  <c r="M160" i="5"/>
  <c r="L160" i="5"/>
  <c r="K160" i="5"/>
  <c r="J160" i="5"/>
  <c r="I160" i="5"/>
  <c r="H160" i="5"/>
  <c r="G160" i="5"/>
  <c r="E160" i="5"/>
  <c r="F160" i="5" s="1"/>
  <c r="B160" i="5"/>
  <c r="Y159" i="5"/>
  <c r="U159" i="5"/>
  <c r="T159" i="5"/>
  <c r="O159" i="5"/>
  <c r="N159" i="5"/>
  <c r="M159" i="5"/>
  <c r="L159" i="5"/>
  <c r="K159" i="5"/>
  <c r="J159" i="5"/>
  <c r="I159" i="5"/>
  <c r="H159" i="5"/>
  <c r="G159" i="5"/>
  <c r="E159" i="5"/>
  <c r="F159" i="5" s="1"/>
  <c r="B159" i="5"/>
  <c r="U158" i="5"/>
  <c r="T158" i="5"/>
  <c r="O158" i="5"/>
  <c r="N158" i="5"/>
  <c r="M158" i="5"/>
  <c r="L158" i="5"/>
  <c r="K158" i="5"/>
  <c r="J158" i="5"/>
  <c r="I158" i="5"/>
  <c r="H158" i="5"/>
  <c r="G158" i="5"/>
  <c r="E158" i="5"/>
  <c r="F158" i="5" s="1"/>
  <c r="B158" i="5"/>
  <c r="U157" i="5"/>
  <c r="T157" i="5"/>
  <c r="O157" i="5"/>
  <c r="N157" i="5"/>
  <c r="M157" i="5"/>
  <c r="L157" i="5"/>
  <c r="K157" i="5"/>
  <c r="J157" i="5"/>
  <c r="I157" i="5"/>
  <c r="H157" i="5"/>
  <c r="G157" i="5"/>
  <c r="E157" i="5"/>
  <c r="F157" i="5" s="1"/>
  <c r="B157" i="5"/>
  <c r="U156" i="5"/>
  <c r="T156" i="5"/>
  <c r="O156" i="5"/>
  <c r="N156" i="5"/>
  <c r="M156" i="5"/>
  <c r="L156" i="5"/>
  <c r="K156" i="5"/>
  <c r="J156" i="5"/>
  <c r="I156" i="5"/>
  <c r="H156" i="5"/>
  <c r="G156" i="5"/>
  <c r="E156" i="5"/>
  <c r="F156" i="5" s="1"/>
  <c r="B156" i="5"/>
  <c r="U155" i="5"/>
  <c r="T155" i="5"/>
  <c r="O155" i="5"/>
  <c r="N155" i="5"/>
  <c r="M155" i="5"/>
  <c r="L155" i="5"/>
  <c r="K155" i="5"/>
  <c r="J155" i="5"/>
  <c r="I155" i="5"/>
  <c r="H155" i="5"/>
  <c r="G155" i="5"/>
  <c r="E155" i="5"/>
  <c r="F155" i="5" s="1"/>
  <c r="B155" i="5"/>
  <c r="U154" i="5"/>
  <c r="T154" i="5"/>
  <c r="O154" i="5"/>
  <c r="N154" i="5"/>
  <c r="M154" i="5"/>
  <c r="L154" i="5"/>
  <c r="K154" i="5"/>
  <c r="J154" i="5"/>
  <c r="I154" i="5"/>
  <c r="H154" i="5"/>
  <c r="G154" i="5"/>
  <c r="E154" i="5"/>
  <c r="F154" i="5" s="1"/>
  <c r="B154" i="5"/>
  <c r="W154" i="5" s="1"/>
  <c r="U153" i="5"/>
  <c r="T153" i="5"/>
  <c r="O153" i="5"/>
  <c r="N153" i="5"/>
  <c r="M153" i="5"/>
  <c r="L153" i="5"/>
  <c r="K153" i="5"/>
  <c r="J153" i="5"/>
  <c r="I153" i="5"/>
  <c r="H153" i="5"/>
  <c r="G153" i="5"/>
  <c r="E153" i="5"/>
  <c r="F153" i="5" s="1"/>
  <c r="B153" i="5"/>
  <c r="U152" i="5"/>
  <c r="T152" i="5"/>
  <c r="O152" i="5"/>
  <c r="N152" i="5"/>
  <c r="M152" i="5"/>
  <c r="L152" i="5"/>
  <c r="K152" i="5"/>
  <c r="J152" i="5"/>
  <c r="I152" i="5"/>
  <c r="H152" i="5"/>
  <c r="G152" i="5"/>
  <c r="E152" i="5"/>
  <c r="F152" i="5" s="1"/>
  <c r="B152" i="5"/>
  <c r="U151" i="5"/>
  <c r="T151" i="5"/>
  <c r="O151" i="5"/>
  <c r="N151" i="5"/>
  <c r="M151" i="5"/>
  <c r="L151" i="5"/>
  <c r="K151" i="5"/>
  <c r="J151" i="5"/>
  <c r="I151" i="5"/>
  <c r="H151" i="5"/>
  <c r="G151" i="5"/>
  <c r="E151" i="5"/>
  <c r="F151" i="5" s="1"/>
  <c r="B151" i="5"/>
  <c r="U150" i="5"/>
  <c r="T150" i="5"/>
  <c r="O150" i="5"/>
  <c r="N150" i="5"/>
  <c r="M150" i="5"/>
  <c r="L150" i="5"/>
  <c r="K150" i="5"/>
  <c r="J150" i="5"/>
  <c r="I150" i="5"/>
  <c r="H150" i="5"/>
  <c r="G150" i="5"/>
  <c r="E150" i="5"/>
  <c r="F150" i="5" s="1"/>
  <c r="B150" i="5"/>
  <c r="U149" i="5"/>
  <c r="T149" i="5"/>
  <c r="O149" i="5"/>
  <c r="N149" i="5"/>
  <c r="M149" i="5"/>
  <c r="L149" i="5"/>
  <c r="K149" i="5"/>
  <c r="J149" i="5"/>
  <c r="I149" i="5"/>
  <c r="H149" i="5"/>
  <c r="G149" i="5"/>
  <c r="E149" i="5"/>
  <c r="F149" i="5" s="1"/>
  <c r="B149" i="5"/>
  <c r="U148" i="5"/>
  <c r="T148" i="5"/>
  <c r="O148" i="5"/>
  <c r="N148" i="5"/>
  <c r="M148" i="5"/>
  <c r="L148" i="5"/>
  <c r="K148" i="5"/>
  <c r="J148" i="5"/>
  <c r="I148" i="5"/>
  <c r="H148" i="5"/>
  <c r="G148" i="5"/>
  <c r="E148" i="5"/>
  <c r="F148" i="5" s="1"/>
  <c r="B148" i="5"/>
  <c r="U147" i="5"/>
  <c r="T147" i="5"/>
  <c r="O147" i="5"/>
  <c r="N147" i="5"/>
  <c r="M147" i="5"/>
  <c r="L147" i="5"/>
  <c r="K147" i="5"/>
  <c r="J147" i="5"/>
  <c r="I147" i="5"/>
  <c r="H147" i="5"/>
  <c r="G147" i="5"/>
  <c r="E147" i="5"/>
  <c r="F147" i="5" s="1"/>
  <c r="B147" i="5"/>
  <c r="U146" i="5"/>
  <c r="T146" i="5"/>
  <c r="O146" i="5"/>
  <c r="N146" i="5"/>
  <c r="M146" i="5"/>
  <c r="L146" i="5"/>
  <c r="K146" i="5"/>
  <c r="J146" i="5"/>
  <c r="I146" i="5"/>
  <c r="H146" i="5"/>
  <c r="G146" i="5"/>
  <c r="E146" i="5"/>
  <c r="F146" i="5" s="1"/>
  <c r="B146" i="5"/>
  <c r="U145" i="5"/>
  <c r="T145" i="5"/>
  <c r="O145" i="5"/>
  <c r="N145" i="5"/>
  <c r="M145" i="5"/>
  <c r="L145" i="5"/>
  <c r="K145" i="5"/>
  <c r="J145" i="5"/>
  <c r="I145" i="5"/>
  <c r="H145" i="5"/>
  <c r="G145" i="5"/>
  <c r="E145" i="5"/>
  <c r="F145" i="5" s="1"/>
  <c r="B145" i="5"/>
  <c r="U144" i="5"/>
  <c r="T144" i="5"/>
  <c r="O144" i="5"/>
  <c r="N144" i="5"/>
  <c r="M144" i="5"/>
  <c r="L144" i="5"/>
  <c r="K144" i="5"/>
  <c r="J144" i="5"/>
  <c r="I144" i="5"/>
  <c r="H144" i="5"/>
  <c r="G144" i="5"/>
  <c r="E144" i="5"/>
  <c r="F144" i="5" s="1"/>
  <c r="B144" i="5"/>
  <c r="U143" i="5"/>
  <c r="T143" i="5"/>
  <c r="O143" i="5"/>
  <c r="N143" i="5"/>
  <c r="M143" i="5"/>
  <c r="L143" i="5"/>
  <c r="K143" i="5"/>
  <c r="J143" i="5"/>
  <c r="I143" i="5"/>
  <c r="H143" i="5"/>
  <c r="G143" i="5"/>
  <c r="E143" i="5"/>
  <c r="F143" i="5" s="1"/>
  <c r="B143" i="5"/>
  <c r="U142" i="5"/>
  <c r="T142" i="5"/>
  <c r="O142" i="5"/>
  <c r="N142" i="5"/>
  <c r="M142" i="5"/>
  <c r="L142" i="5"/>
  <c r="K142" i="5"/>
  <c r="J142" i="5"/>
  <c r="I142" i="5"/>
  <c r="H142" i="5"/>
  <c r="G142" i="5"/>
  <c r="E142" i="5"/>
  <c r="F142" i="5" s="1"/>
  <c r="B142" i="5"/>
  <c r="U141" i="5"/>
  <c r="T141" i="5"/>
  <c r="O141" i="5"/>
  <c r="N141" i="5"/>
  <c r="M141" i="5"/>
  <c r="L141" i="5"/>
  <c r="K141" i="5"/>
  <c r="J141" i="5"/>
  <c r="I141" i="5"/>
  <c r="H141" i="5"/>
  <c r="G141" i="5"/>
  <c r="E141" i="5"/>
  <c r="F141" i="5" s="1"/>
  <c r="B141" i="5"/>
  <c r="U140" i="5"/>
  <c r="T140" i="5"/>
  <c r="O140" i="5"/>
  <c r="N140" i="5"/>
  <c r="M140" i="5"/>
  <c r="L140" i="5"/>
  <c r="K140" i="5"/>
  <c r="J140" i="5"/>
  <c r="I140" i="5"/>
  <c r="H140" i="5"/>
  <c r="G140" i="5"/>
  <c r="E140" i="5"/>
  <c r="F140" i="5" s="1"/>
  <c r="B140" i="5"/>
  <c r="U139" i="5"/>
  <c r="T139" i="5"/>
  <c r="O139" i="5"/>
  <c r="N139" i="5"/>
  <c r="M139" i="5"/>
  <c r="L139" i="5"/>
  <c r="K139" i="5"/>
  <c r="J139" i="5"/>
  <c r="I139" i="5"/>
  <c r="H139" i="5"/>
  <c r="G139" i="5"/>
  <c r="E139" i="5"/>
  <c r="F139" i="5" s="1"/>
  <c r="B139" i="5"/>
  <c r="U138" i="5"/>
  <c r="T138" i="5"/>
  <c r="O138" i="5"/>
  <c r="N138" i="5"/>
  <c r="M138" i="5"/>
  <c r="L138" i="5"/>
  <c r="K138" i="5"/>
  <c r="J138" i="5"/>
  <c r="I138" i="5"/>
  <c r="H138" i="5"/>
  <c r="G138" i="5"/>
  <c r="E138" i="5"/>
  <c r="F138" i="5" s="1"/>
  <c r="B138" i="5"/>
  <c r="U137" i="5"/>
  <c r="T137" i="5"/>
  <c r="O137" i="5"/>
  <c r="N137" i="5"/>
  <c r="M137" i="5"/>
  <c r="L137" i="5"/>
  <c r="K137" i="5"/>
  <c r="J137" i="5"/>
  <c r="I137" i="5"/>
  <c r="H137" i="5"/>
  <c r="G137" i="5"/>
  <c r="E137" i="5"/>
  <c r="F137" i="5" s="1"/>
  <c r="B137" i="5"/>
  <c r="U136" i="5"/>
  <c r="T136" i="5"/>
  <c r="O136" i="5"/>
  <c r="N136" i="5"/>
  <c r="M136" i="5"/>
  <c r="L136" i="5"/>
  <c r="K136" i="5"/>
  <c r="J136" i="5"/>
  <c r="I136" i="5"/>
  <c r="H136" i="5"/>
  <c r="G136" i="5"/>
  <c r="E136" i="5"/>
  <c r="F136" i="5" s="1"/>
  <c r="B136" i="5"/>
  <c r="U135" i="5"/>
  <c r="T135" i="5"/>
  <c r="O135" i="5"/>
  <c r="N135" i="5"/>
  <c r="M135" i="5"/>
  <c r="L135" i="5"/>
  <c r="K135" i="5"/>
  <c r="J135" i="5"/>
  <c r="I135" i="5"/>
  <c r="H135" i="5"/>
  <c r="G135" i="5"/>
  <c r="E135" i="5"/>
  <c r="F135" i="5" s="1"/>
  <c r="B135" i="5"/>
  <c r="U134" i="5"/>
  <c r="T134" i="5"/>
  <c r="O134" i="5"/>
  <c r="N134" i="5"/>
  <c r="M134" i="5"/>
  <c r="L134" i="5"/>
  <c r="K134" i="5"/>
  <c r="J134" i="5"/>
  <c r="I134" i="5"/>
  <c r="H134" i="5"/>
  <c r="G134" i="5"/>
  <c r="E134" i="5"/>
  <c r="B134" i="5"/>
  <c r="U133" i="5"/>
  <c r="T133" i="5"/>
  <c r="O133" i="5"/>
  <c r="N133" i="5"/>
  <c r="M133" i="5"/>
  <c r="L133" i="5"/>
  <c r="K133" i="5"/>
  <c r="J133" i="5"/>
  <c r="I133" i="5"/>
  <c r="H133" i="5"/>
  <c r="G133" i="5"/>
  <c r="E133" i="5"/>
  <c r="F133" i="5" s="1"/>
  <c r="B133" i="5"/>
  <c r="U132" i="5"/>
  <c r="T132" i="5"/>
  <c r="O132" i="5"/>
  <c r="N132" i="5"/>
  <c r="M132" i="5"/>
  <c r="L132" i="5"/>
  <c r="K132" i="5"/>
  <c r="J132" i="5"/>
  <c r="I132" i="5"/>
  <c r="H132" i="5"/>
  <c r="G132" i="5"/>
  <c r="E132" i="5"/>
  <c r="F132" i="5" s="1"/>
  <c r="B132" i="5"/>
  <c r="U131" i="5"/>
  <c r="T131" i="5"/>
  <c r="O131" i="5"/>
  <c r="N131" i="5"/>
  <c r="M131" i="5"/>
  <c r="L131" i="5"/>
  <c r="K131" i="5"/>
  <c r="J131" i="5"/>
  <c r="I131" i="5"/>
  <c r="H131" i="5"/>
  <c r="G131" i="5"/>
  <c r="E131" i="5"/>
  <c r="F131" i="5" s="1"/>
  <c r="B131" i="5"/>
  <c r="U130" i="5"/>
  <c r="T130" i="5"/>
  <c r="O130" i="5"/>
  <c r="N130" i="5"/>
  <c r="M130" i="5"/>
  <c r="L130" i="5"/>
  <c r="K130" i="5"/>
  <c r="J130" i="5"/>
  <c r="I130" i="5"/>
  <c r="H130" i="5"/>
  <c r="G130" i="5"/>
  <c r="E130" i="5"/>
  <c r="F130" i="5" s="1"/>
  <c r="B130" i="5"/>
  <c r="U129" i="5"/>
  <c r="T129" i="5"/>
  <c r="O129" i="5"/>
  <c r="N129" i="5"/>
  <c r="M129" i="5"/>
  <c r="L129" i="5"/>
  <c r="K129" i="5"/>
  <c r="J129" i="5"/>
  <c r="I129" i="5"/>
  <c r="H129" i="5"/>
  <c r="G129" i="5"/>
  <c r="E129" i="5"/>
  <c r="F129" i="5" s="1"/>
  <c r="B129" i="5"/>
  <c r="U128" i="5"/>
  <c r="T128" i="5"/>
  <c r="O128" i="5"/>
  <c r="N128" i="5"/>
  <c r="M128" i="5"/>
  <c r="L128" i="5"/>
  <c r="K128" i="5"/>
  <c r="J128" i="5"/>
  <c r="I128" i="5"/>
  <c r="H128" i="5"/>
  <c r="G128" i="5"/>
  <c r="E128" i="5"/>
  <c r="F128" i="5" s="1"/>
  <c r="B128" i="5"/>
  <c r="U127" i="5"/>
  <c r="T127" i="5"/>
  <c r="O127" i="5"/>
  <c r="N127" i="5"/>
  <c r="M127" i="5"/>
  <c r="L127" i="5"/>
  <c r="K127" i="5"/>
  <c r="J127" i="5"/>
  <c r="I127" i="5"/>
  <c r="H127" i="5"/>
  <c r="G127" i="5"/>
  <c r="E127" i="5"/>
  <c r="F127" i="5" s="1"/>
  <c r="B127" i="5"/>
  <c r="U126" i="5"/>
  <c r="T126" i="5"/>
  <c r="O126" i="5"/>
  <c r="N126" i="5"/>
  <c r="M126" i="5"/>
  <c r="L126" i="5"/>
  <c r="K126" i="5"/>
  <c r="J126" i="5"/>
  <c r="I126" i="5"/>
  <c r="H126" i="5"/>
  <c r="G126" i="5"/>
  <c r="E126" i="5"/>
  <c r="F126" i="5" s="1"/>
  <c r="B126" i="5"/>
  <c r="U125" i="5"/>
  <c r="T125" i="5"/>
  <c r="O125" i="5"/>
  <c r="N125" i="5"/>
  <c r="M125" i="5"/>
  <c r="L125" i="5"/>
  <c r="K125" i="5"/>
  <c r="J125" i="5"/>
  <c r="I125" i="5"/>
  <c r="H125" i="5"/>
  <c r="G125" i="5"/>
  <c r="E125" i="5"/>
  <c r="F125" i="5" s="1"/>
  <c r="B125" i="5"/>
  <c r="U124" i="5"/>
  <c r="T124" i="5"/>
  <c r="O124" i="5"/>
  <c r="N124" i="5"/>
  <c r="M124" i="5"/>
  <c r="L124" i="5"/>
  <c r="K124" i="5"/>
  <c r="J124" i="5"/>
  <c r="I124" i="5"/>
  <c r="H124" i="5"/>
  <c r="G124" i="5"/>
  <c r="E124" i="5"/>
  <c r="F124" i="5" s="1"/>
  <c r="B124" i="5"/>
  <c r="U123" i="5"/>
  <c r="T123" i="5"/>
  <c r="O123" i="5"/>
  <c r="N123" i="5"/>
  <c r="M123" i="5"/>
  <c r="L123" i="5"/>
  <c r="K123" i="5"/>
  <c r="J123" i="5"/>
  <c r="I123" i="5"/>
  <c r="H123" i="5"/>
  <c r="G123" i="5"/>
  <c r="E123" i="5"/>
  <c r="F123" i="5" s="1"/>
  <c r="B123" i="5"/>
  <c r="U122" i="5"/>
  <c r="T122" i="5"/>
  <c r="O122" i="5"/>
  <c r="N122" i="5"/>
  <c r="M122" i="5"/>
  <c r="L122" i="5"/>
  <c r="K122" i="5"/>
  <c r="J122" i="5"/>
  <c r="I122" i="5"/>
  <c r="H122" i="5"/>
  <c r="G122" i="5"/>
  <c r="E122" i="5"/>
  <c r="F122" i="5" s="1"/>
  <c r="B122" i="5"/>
  <c r="U121" i="5"/>
  <c r="T121" i="5"/>
  <c r="O121" i="5"/>
  <c r="N121" i="5"/>
  <c r="M121" i="5"/>
  <c r="L121" i="5"/>
  <c r="K121" i="5"/>
  <c r="J121" i="5"/>
  <c r="I121" i="5"/>
  <c r="H121" i="5"/>
  <c r="G121" i="5"/>
  <c r="E121" i="5"/>
  <c r="F121" i="5" s="1"/>
  <c r="B121" i="5"/>
  <c r="U120" i="5"/>
  <c r="T120" i="5"/>
  <c r="O120" i="5"/>
  <c r="N120" i="5"/>
  <c r="M120" i="5"/>
  <c r="L120" i="5"/>
  <c r="K120" i="5"/>
  <c r="J120" i="5"/>
  <c r="I120" i="5"/>
  <c r="H120" i="5"/>
  <c r="G120" i="5"/>
  <c r="E120" i="5"/>
  <c r="F120" i="5" s="1"/>
  <c r="B120" i="5"/>
  <c r="U119" i="5"/>
  <c r="T119" i="5"/>
  <c r="O119" i="5"/>
  <c r="N119" i="5"/>
  <c r="M119" i="5"/>
  <c r="L119" i="5"/>
  <c r="K119" i="5"/>
  <c r="J119" i="5"/>
  <c r="I119" i="5"/>
  <c r="H119" i="5"/>
  <c r="G119" i="5"/>
  <c r="E119" i="5"/>
  <c r="F119" i="5" s="1"/>
  <c r="B119" i="5"/>
  <c r="U118" i="5"/>
  <c r="T118" i="5"/>
  <c r="O118" i="5"/>
  <c r="N118" i="5"/>
  <c r="M118" i="5"/>
  <c r="L118" i="5"/>
  <c r="K118" i="5"/>
  <c r="J118" i="5"/>
  <c r="I118" i="5"/>
  <c r="H118" i="5"/>
  <c r="G118" i="5"/>
  <c r="E118" i="5"/>
  <c r="F118" i="5" s="1"/>
  <c r="B118" i="5"/>
  <c r="U117" i="5"/>
  <c r="T117" i="5"/>
  <c r="O117" i="5"/>
  <c r="N117" i="5"/>
  <c r="M117" i="5"/>
  <c r="L117" i="5"/>
  <c r="K117" i="5"/>
  <c r="J117" i="5"/>
  <c r="I117" i="5"/>
  <c r="H117" i="5"/>
  <c r="G117" i="5"/>
  <c r="E117" i="5"/>
  <c r="F117" i="5" s="1"/>
  <c r="B117" i="5"/>
  <c r="U116" i="5"/>
  <c r="T116" i="5"/>
  <c r="O116" i="5"/>
  <c r="N116" i="5"/>
  <c r="M116" i="5"/>
  <c r="L116" i="5"/>
  <c r="K116" i="5"/>
  <c r="J116" i="5"/>
  <c r="I116" i="5"/>
  <c r="H116" i="5"/>
  <c r="G116" i="5"/>
  <c r="E116" i="5"/>
  <c r="F116" i="5" s="1"/>
  <c r="B116" i="5"/>
  <c r="W116" i="5" s="1"/>
  <c r="U115" i="5"/>
  <c r="T115" i="5"/>
  <c r="O115" i="5"/>
  <c r="N115" i="5"/>
  <c r="M115" i="5"/>
  <c r="L115" i="5"/>
  <c r="K115" i="5"/>
  <c r="J115" i="5"/>
  <c r="I115" i="5"/>
  <c r="H115" i="5"/>
  <c r="G115" i="5"/>
  <c r="E115" i="5"/>
  <c r="F115" i="5" s="1"/>
  <c r="B115" i="5"/>
  <c r="U114" i="5"/>
  <c r="T114" i="5"/>
  <c r="O114" i="5"/>
  <c r="N114" i="5"/>
  <c r="M114" i="5"/>
  <c r="L114" i="5"/>
  <c r="K114" i="5"/>
  <c r="J114" i="5"/>
  <c r="I114" i="5"/>
  <c r="H114" i="5"/>
  <c r="G114" i="5"/>
  <c r="E114" i="5"/>
  <c r="B114" i="5"/>
  <c r="U113" i="5"/>
  <c r="T113" i="5"/>
  <c r="O113" i="5"/>
  <c r="N113" i="5"/>
  <c r="M113" i="5"/>
  <c r="L113" i="5"/>
  <c r="K113" i="5"/>
  <c r="J113" i="5"/>
  <c r="I113" i="5"/>
  <c r="H113" i="5"/>
  <c r="G113" i="5"/>
  <c r="E113" i="5"/>
  <c r="F113" i="5" s="1"/>
  <c r="B113" i="5"/>
  <c r="U112" i="5"/>
  <c r="T112" i="5"/>
  <c r="O112" i="5"/>
  <c r="N112" i="5"/>
  <c r="M112" i="5"/>
  <c r="L112" i="5"/>
  <c r="K112" i="5"/>
  <c r="J112" i="5"/>
  <c r="I112" i="5"/>
  <c r="H112" i="5"/>
  <c r="G112" i="5"/>
  <c r="E112" i="5"/>
  <c r="B112" i="5"/>
  <c r="U111" i="5"/>
  <c r="T111" i="5"/>
  <c r="O111" i="5"/>
  <c r="N111" i="5"/>
  <c r="M111" i="5"/>
  <c r="L111" i="5"/>
  <c r="K111" i="5"/>
  <c r="J111" i="5"/>
  <c r="I111" i="5"/>
  <c r="H111" i="5"/>
  <c r="G111" i="5"/>
  <c r="E111" i="5"/>
  <c r="F111" i="5" s="1"/>
  <c r="B111" i="5"/>
  <c r="U110" i="5"/>
  <c r="T110" i="5"/>
  <c r="O110" i="5"/>
  <c r="N110" i="5"/>
  <c r="M110" i="5"/>
  <c r="L110" i="5"/>
  <c r="K110" i="5"/>
  <c r="J110" i="5"/>
  <c r="I110" i="5"/>
  <c r="H110" i="5"/>
  <c r="G110" i="5"/>
  <c r="E110" i="5"/>
  <c r="F110" i="5" s="1"/>
  <c r="B110" i="5"/>
  <c r="U109" i="5"/>
  <c r="T109" i="5"/>
  <c r="O109" i="5"/>
  <c r="N109" i="5"/>
  <c r="M109" i="5"/>
  <c r="L109" i="5"/>
  <c r="K109" i="5"/>
  <c r="J109" i="5"/>
  <c r="I109" i="5"/>
  <c r="H109" i="5"/>
  <c r="G109" i="5"/>
  <c r="E109" i="5"/>
  <c r="F109" i="5" s="1"/>
  <c r="B109" i="5"/>
  <c r="U108" i="5"/>
  <c r="T108" i="5"/>
  <c r="O108" i="5"/>
  <c r="N108" i="5"/>
  <c r="M108" i="5"/>
  <c r="L108" i="5"/>
  <c r="K108" i="5"/>
  <c r="J108" i="5"/>
  <c r="I108" i="5"/>
  <c r="H108" i="5"/>
  <c r="G108" i="5"/>
  <c r="E108" i="5"/>
  <c r="F108" i="5" s="1"/>
  <c r="B108" i="5"/>
  <c r="U107" i="5"/>
  <c r="T107" i="5"/>
  <c r="O107" i="5"/>
  <c r="N107" i="5"/>
  <c r="M107" i="5"/>
  <c r="L107" i="5"/>
  <c r="K107" i="5"/>
  <c r="J107" i="5"/>
  <c r="I107" i="5"/>
  <c r="H107" i="5"/>
  <c r="G107" i="5"/>
  <c r="E107" i="5"/>
  <c r="F107" i="5" s="1"/>
  <c r="B107" i="5"/>
  <c r="U106" i="5"/>
  <c r="T106" i="5"/>
  <c r="O106" i="5"/>
  <c r="N106" i="5"/>
  <c r="M106" i="5"/>
  <c r="L106" i="5"/>
  <c r="K106" i="5"/>
  <c r="J106" i="5"/>
  <c r="I106" i="5"/>
  <c r="H106" i="5"/>
  <c r="G106" i="5"/>
  <c r="E106" i="5"/>
  <c r="B106" i="5"/>
  <c r="U105" i="5"/>
  <c r="T105" i="5"/>
  <c r="O105" i="5"/>
  <c r="N105" i="5"/>
  <c r="M105" i="5"/>
  <c r="L105" i="5"/>
  <c r="K105" i="5"/>
  <c r="J105" i="5"/>
  <c r="I105" i="5"/>
  <c r="H105" i="5"/>
  <c r="G105" i="5"/>
  <c r="E105" i="5"/>
  <c r="F105" i="5" s="1"/>
  <c r="B105" i="5"/>
  <c r="U104" i="5"/>
  <c r="T104" i="5"/>
  <c r="O104" i="5"/>
  <c r="N104" i="5"/>
  <c r="M104" i="5"/>
  <c r="L104" i="5"/>
  <c r="K104" i="5"/>
  <c r="J104" i="5"/>
  <c r="I104" i="5"/>
  <c r="H104" i="5"/>
  <c r="G104" i="5"/>
  <c r="E104" i="5"/>
  <c r="B104" i="5"/>
  <c r="U103" i="5"/>
  <c r="T103" i="5"/>
  <c r="O103" i="5"/>
  <c r="N103" i="5"/>
  <c r="M103" i="5"/>
  <c r="L103" i="5"/>
  <c r="K103" i="5"/>
  <c r="J103" i="5"/>
  <c r="I103" i="5"/>
  <c r="H103" i="5"/>
  <c r="G103" i="5"/>
  <c r="E103" i="5"/>
  <c r="F103" i="5" s="1"/>
  <c r="B103" i="5"/>
  <c r="U102" i="5"/>
  <c r="T102" i="5"/>
  <c r="O102" i="5"/>
  <c r="N102" i="5"/>
  <c r="M102" i="5"/>
  <c r="L102" i="5"/>
  <c r="K102" i="5"/>
  <c r="J102" i="5"/>
  <c r="I102" i="5"/>
  <c r="H102" i="5"/>
  <c r="G102" i="5"/>
  <c r="E102" i="5"/>
  <c r="F102" i="5" s="1"/>
  <c r="B102" i="5"/>
  <c r="U101" i="5"/>
  <c r="T101" i="5"/>
  <c r="O101" i="5"/>
  <c r="N101" i="5"/>
  <c r="M101" i="5"/>
  <c r="L101" i="5"/>
  <c r="K101" i="5"/>
  <c r="J101" i="5"/>
  <c r="I101" i="5"/>
  <c r="H101" i="5"/>
  <c r="G101" i="5"/>
  <c r="E101" i="5"/>
  <c r="F101" i="5" s="1"/>
  <c r="B101" i="5"/>
  <c r="U100" i="5"/>
  <c r="T100" i="5"/>
  <c r="O100" i="5"/>
  <c r="N100" i="5"/>
  <c r="M100" i="5"/>
  <c r="L100" i="5"/>
  <c r="K100" i="5"/>
  <c r="J100" i="5"/>
  <c r="I100" i="5"/>
  <c r="H100" i="5"/>
  <c r="G100" i="5"/>
  <c r="E100" i="5"/>
  <c r="B100" i="5"/>
  <c r="U99" i="5"/>
  <c r="T99" i="5"/>
  <c r="O99" i="5"/>
  <c r="N99" i="5"/>
  <c r="M99" i="5"/>
  <c r="L99" i="5"/>
  <c r="K99" i="5"/>
  <c r="J99" i="5"/>
  <c r="I99" i="5"/>
  <c r="H99" i="5"/>
  <c r="G99" i="5"/>
  <c r="E99" i="5"/>
  <c r="F99" i="5" s="1"/>
  <c r="B99" i="5"/>
  <c r="U98" i="5"/>
  <c r="T98" i="5"/>
  <c r="O98" i="5"/>
  <c r="N98" i="5"/>
  <c r="M98" i="5"/>
  <c r="L98" i="5"/>
  <c r="K98" i="5"/>
  <c r="J98" i="5"/>
  <c r="I98" i="5"/>
  <c r="H98" i="5"/>
  <c r="G98" i="5"/>
  <c r="E98" i="5"/>
  <c r="F98" i="5" s="1"/>
  <c r="B98" i="5"/>
  <c r="U97" i="5"/>
  <c r="T97" i="5"/>
  <c r="O97" i="5"/>
  <c r="N97" i="5"/>
  <c r="M97" i="5"/>
  <c r="L97" i="5"/>
  <c r="K97" i="5"/>
  <c r="J97" i="5"/>
  <c r="I97" i="5"/>
  <c r="H97" i="5"/>
  <c r="G97" i="5"/>
  <c r="E97" i="5"/>
  <c r="F97" i="5" s="1"/>
  <c r="B97" i="5"/>
  <c r="U96" i="5"/>
  <c r="T96" i="5"/>
  <c r="O96" i="5"/>
  <c r="N96" i="5"/>
  <c r="M96" i="5"/>
  <c r="L96" i="5"/>
  <c r="K96" i="5"/>
  <c r="J96" i="5"/>
  <c r="I96" i="5"/>
  <c r="H96" i="5"/>
  <c r="G96" i="5"/>
  <c r="E96" i="5"/>
  <c r="F96" i="5" s="1"/>
  <c r="B96" i="5"/>
  <c r="U95" i="5"/>
  <c r="T95" i="5"/>
  <c r="O95" i="5"/>
  <c r="N95" i="5"/>
  <c r="M95" i="5"/>
  <c r="L95" i="5"/>
  <c r="K95" i="5"/>
  <c r="J95" i="5"/>
  <c r="I95" i="5"/>
  <c r="H95" i="5"/>
  <c r="G95" i="5"/>
  <c r="E95" i="5"/>
  <c r="F95" i="5" s="1"/>
  <c r="B95" i="5"/>
  <c r="U94" i="5"/>
  <c r="T94" i="5"/>
  <c r="O94" i="5"/>
  <c r="N94" i="5"/>
  <c r="M94" i="5"/>
  <c r="L94" i="5"/>
  <c r="K94" i="5"/>
  <c r="J94" i="5"/>
  <c r="I94" i="5"/>
  <c r="H94" i="5"/>
  <c r="G94" i="5"/>
  <c r="E94" i="5"/>
  <c r="B94" i="5"/>
  <c r="U93" i="5"/>
  <c r="T93" i="5"/>
  <c r="O93" i="5"/>
  <c r="N93" i="5"/>
  <c r="M93" i="5"/>
  <c r="L93" i="5"/>
  <c r="K93" i="5"/>
  <c r="J93" i="5"/>
  <c r="I93" i="5"/>
  <c r="H93" i="5"/>
  <c r="G93" i="5"/>
  <c r="E93" i="5"/>
  <c r="F93" i="5" s="1"/>
  <c r="B93" i="5"/>
  <c r="U92" i="5"/>
  <c r="T92" i="5"/>
  <c r="O92" i="5"/>
  <c r="N92" i="5"/>
  <c r="M92" i="5"/>
  <c r="L92" i="5"/>
  <c r="K92" i="5"/>
  <c r="J92" i="5"/>
  <c r="I92" i="5"/>
  <c r="H92" i="5"/>
  <c r="G92" i="5"/>
  <c r="E92" i="5"/>
  <c r="F92" i="5" s="1"/>
  <c r="B92" i="5"/>
  <c r="U91" i="5"/>
  <c r="T91" i="5"/>
  <c r="O91" i="5"/>
  <c r="N91" i="5"/>
  <c r="M91" i="5"/>
  <c r="L91" i="5"/>
  <c r="K91" i="5"/>
  <c r="J91" i="5"/>
  <c r="I91" i="5"/>
  <c r="H91" i="5"/>
  <c r="G91" i="5"/>
  <c r="E91" i="5"/>
  <c r="F91" i="5" s="1"/>
  <c r="B91" i="5"/>
  <c r="U90" i="5"/>
  <c r="T90" i="5"/>
  <c r="O90" i="5"/>
  <c r="N90" i="5"/>
  <c r="M90" i="5"/>
  <c r="L90" i="5"/>
  <c r="K90" i="5"/>
  <c r="J90" i="5"/>
  <c r="I90" i="5"/>
  <c r="H90" i="5"/>
  <c r="G90" i="5"/>
  <c r="E90" i="5"/>
  <c r="F90" i="5" s="1"/>
  <c r="B90" i="5"/>
  <c r="U89" i="5"/>
  <c r="T89" i="5"/>
  <c r="O89" i="5"/>
  <c r="N89" i="5"/>
  <c r="M89" i="5"/>
  <c r="L89" i="5"/>
  <c r="K89" i="5"/>
  <c r="J89" i="5"/>
  <c r="I89" i="5"/>
  <c r="H89" i="5"/>
  <c r="G89" i="5"/>
  <c r="E89" i="5"/>
  <c r="F89" i="5" s="1"/>
  <c r="B89" i="5"/>
  <c r="U88" i="5"/>
  <c r="T88" i="5"/>
  <c r="O88" i="5"/>
  <c r="N88" i="5"/>
  <c r="M88" i="5"/>
  <c r="L88" i="5"/>
  <c r="K88" i="5"/>
  <c r="J88" i="5"/>
  <c r="I88" i="5"/>
  <c r="H88" i="5"/>
  <c r="G88" i="5"/>
  <c r="E88" i="5"/>
  <c r="F88" i="5" s="1"/>
  <c r="B88" i="5"/>
  <c r="U87" i="5"/>
  <c r="T87" i="5"/>
  <c r="O87" i="5"/>
  <c r="N87" i="5"/>
  <c r="M87" i="5"/>
  <c r="L87" i="5"/>
  <c r="K87" i="5"/>
  <c r="J87" i="5"/>
  <c r="I87" i="5"/>
  <c r="H87" i="5"/>
  <c r="G87" i="5"/>
  <c r="E87" i="5"/>
  <c r="F87" i="5" s="1"/>
  <c r="B87" i="5"/>
  <c r="U86" i="5"/>
  <c r="T86" i="5"/>
  <c r="O86" i="5"/>
  <c r="N86" i="5"/>
  <c r="M86" i="5"/>
  <c r="L86" i="5"/>
  <c r="K86" i="5"/>
  <c r="J86" i="5"/>
  <c r="I86" i="5"/>
  <c r="H86" i="5"/>
  <c r="G86" i="5"/>
  <c r="E86" i="5"/>
  <c r="F86" i="5" s="1"/>
  <c r="B86" i="5"/>
  <c r="U85" i="5"/>
  <c r="T85" i="5"/>
  <c r="O85" i="5"/>
  <c r="N85" i="5"/>
  <c r="M85" i="5"/>
  <c r="L85" i="5"/>
  <c r="K85" i="5"/>
  <c r="J85" i="5"/>
  <c r="I85" i="5"/>
  <c r="H85" i="5"/>
  <c r="G85" i="5"/>
  <c r="E85" i="5"/>
  <c r="F85" i="5" s="1"/>
  <c r="B85" i="5"/>
  <c r="U84" i="5"/>
  <c r="T84" i="5"/>
  <c r="O84" i="5"/>
  <c r="N84" i="5"/>
  <c r="M84" i="5"/>
  <c r="L84" i="5"/>
  <c r="K84" i="5"/>
  <c r="J84" i="5"/>
  <c r="I84" i="5"/>
  <c r="H84" i="5"/>
  <c r="G84" i="5"/>
  <c r="E84" i="5"/>
  <c r="F84" i="5" s="1"/>
  <c r="B84" i="5"/>
  <c r="U83" i="5"/>
  <c r="T83" i="5"/>
  <c r="O83" i="5"/>
  <c r="N83" i="5"/>
  <c r="M83" i="5"/>
  <c r="L83" i="5"/>
  <c r="K83" i="5"/>
  <c r="J83" i="5"/>
  <c r="I83" i="5"/>
  <c r="H83" i="5"/>
  <c r="G83" i="5"/>
  <c r="E83" i="5"/>
  <c r="F83" i="5" s="1"/>
  <c r="B83" i="5"/>
  <c r="U82" i="5"/>
  <c r="T82" i="5"/>
  <c r="O82" i="5"/>
  <c r="N82" i="5"/>
  <c r="M82" i="5"/>
  <c r="L82" i="5"/>
  <c r="K82" i="5"/>
  <c r="J82" i="5"/>
  <c r="I82" i="5"/>
  <c r="H82" i="5"/>
  <c r="G82" i="5"/>
  <c r="E82" i="5"/>
  <c r="F82" i="5" s="1"/>
  <c r="B82" i="5"/>
  <c r="U81" i="5"/>
  <c r="T81" i="5"/>
  <c r="O81" i="5"/>
  <c r="N81" i="5"/>
  <c r="M81" i="5"/>
  <c r="L81" i="5"/>
  <c r="K81" i="5"/>
  <c r="J81" i="5"/>
  <c r="I81" i="5"/>
  <c r="H81" i="5"/>
  <c r="G81" i="5"/>
  <c r="E81" i="5"/>
  <c r="F81" i="5" s="1"/>
  <c r="B81" i="5"/>
  <c r="U80" i="5"/>
  <c r="T80" i="5"/>
  <c r="O80" i="5"/>
  <c r="N80" i="5"/>
  <c r="M80" i="5"/>
  <c r="L80" i="5"/>
  <c r="K80" i="5"/>
  <c r="J80" i="5"/>
  <c r="I80" i="5"/>
  <c r="H80" i="5"/>
  <c r="G80" i="5"/>
  <c r="E80" i="5"/>
  <c r="F80" i="5" s="1"/>
  <c r="B80" i="5"/>
  <c r="U79" i="5"/>
  <c r="T79" i="5"/>
  <c r="O79" i="5"/>
  <c r="N79" i="5"/>
  <c r="M79" i="5"/>
  <c r="L79" i="5"/>
  <c r="K79" i="5"/>
  <c r="J79" i="5"/>
  <c r="I79" i="5"/>
  <c r="H79" i="5"/>
  <c r="G79" i="5"/>
  <c r="E79" i="5"/>
  <c r="F79" i="5" s="1"/>
  <c r="B79" i="5"/>
  <c r="U78" i="5"/>
  <c r="T78" i="5"/>
  <c r="O78" i="5"/>
  <c r="N78" i="5"/>
  <c r="M78" i="5"/>
  <c r="L78" i="5"/>
  <c r="K78" i="5"/>
  <c r="J78" i="5"/>
  <c r="I78" i="5"/>
  <c r="H78" i="5"/>
  <c r="G78" i="5"/>
  <c r="E78" i="5"/>
  <c r="F78" i="5" s="1"/>
  <c r="B78" i="5"/>
  <c r="W78" i="5" s="1"/>
  <c r="U77" i="5"/>
  <c r="T77" i="5"/>
  <c r="O77" i="5"/>
  <c r="N77" i="5"/>
  <c r="M77" i="5"/>
  <c r="L77" i="5"/>
  <c r="K77" i="5"/>
  <c r="J77" i="5"/>
  <c r="I77" i="5"/>
  <c r="H77" i="5"/>
  <c r="G77" i="5"/>
  <c r="E77" i="5"/>
  <c r="F77" i="5" s="1"/>
  <c r="B77" i="5"/>
  <c r="U76" i="5"/>
  <c r="T76" i="5"/>
  <c r="O76" i="5"/>
  <c r="N76" i="5"/>
  <c r="M76" i="5"/>
  <c r="L76" i="5"/>
  <c r="K76" i="5"/>
  <c r="J76" i="5"/>
  <c r="I76" i="5"/>
  <c r="H76" i="5"/>
  <c r="G76" i="5"/>
  <c r="E76" i="5"/>
  <c r="F76" i="5" s="1"/>
  <c r="B76" i="5"/>
  <c r="U75" i="5"/>
  <c r="T75" i="5"/>
  <c r="O75" i="5"/>
  <c r="N75" i="5"/>
  <c r="M75" i="5"/>
  <c r="L75" i="5"/>
  <c r="K75" i="5"/>
  <c r="J75" i="5"/>
  <c r="I75" i="5"/>
  <c r="H75" i="5"/>
  <c r="G75" i="5"/>
  <c r="E75" i="5"/>
  <c r="F75" i="5" s="1"/>
  <c r="B75" i="5"/>
  <c r="U74" i="5"/>
  <c r="T74" i="5"/>
  <c r="O74" i="5"/>
  <c r="N74" i="5"/>
  <c r="M74" i="5"/>
  <c r="L74" i="5"/>
  <c r="K74" i="5"/>
  <c r="J74" i="5"/>
  <c r="I74" i="5"/>
  <c r="H74" i="5"/>
  <c r="G74" i="5"/>
  <c r="E74" i="5"/>
  <c r="F74" i="5" s="1"/>
  <c r="B74" i="5"/>
  <c r="U73" i="5"/>
  <c r="T73" i="5"/>
  <c r="O73" i="5"/>
  <c r="N73" i="5"/>
  <c r="M73" i="5"/>
  <c r="L73" i="5"/>
  <c r="K73" i="5"/>
  <c r="J73" i="5"/>
  <c r="I73" i="5"/>
  <c r="H73" i="5"/>
  <c r="G73" i="5"/>
  <c r="E73" i="5"/>
  <c r="F73" i="5" s="1"/>
  <c r="B73" i="5"/>
  <c r="U72" i="5"/>
  <c r="T72" i="5"/>
  <c r="O72" i="5"/>
  <c r="N72" i="5"/>
  <c r="M72" i="5"/>
  <c r="L72" i="5"/>
  <c r="K72" i="5"/>
  <c r="J72" i="5"/>
  <c r="I72" i="5"/>
  <c r="H72" i="5"/>
  <c r="G72" i="5"/>
  <c r="E72" i="5"/>
  <c r="F72" i="5" s="1"/>
  <c r="B72" i="5"/>
  <c r="U71" i="5"/>
  <c r="T71" i="5"/>
  <c r="O71" i="5"/>
  <c r="N71" i="5"/>
  <c r="M71" i="5"/>
  <c r="L71" i="5"/>
  <c r="K71" i="5"/>
  <c r="J71" i="5"/>
  <c r="I71" i="5"/>
  <c r="H71" i="5"/>
  <c r="G71" i="5"/>
  <c r="E71" i="5"/>
  <c r="F71" i="5" s="1"/>
  <c r="B71" i="5"/>
  <c r="U70" i="5"/>
  <c r="T70" i="5"/>
  <c r="O70" i="5"/>
  <c r="N70" i="5"/>
  <c r="M70" i="5"/>
  <c r="L70" i="5"/>
  <c r="K70" i="5"/>
  <c r="J70" i="5"/>
  <c r="I70" i="5"/>
  <c r="H70" i="5"/>
  <c r="G70" i="5"/>
  <c r="E70" i="5"/>
  <c r="F70" i="5" s="1"/>
  <c r="B70" i="5"/>
  <c r="U69" i="5"/>
  <c r="T69" i="5"/>
  <c r="O69" i="5"/>
  <c r="N69" i="5"/>
  <c r="M69" i="5"/>
  <c r="L69" i="5"/>
  <c r="K69" i="5"/>
  <c r="J69" i="5"/>
  <c r="I69" i="5"/>
  <c r="H69" i="5"/>
  <c r="G69" i="5"/>
  <c r="E69" i="5"/>
  <c r="F69" i="5" s="1"/>
  <c r="B69" i="5"/>
  <c r="U68" i="5"/>
  <c r="T68" i="5"/>
  <c r="O68" i="5"/>
  <c r="N68" i="5"/>
  <c r="M68" i="5"/>
  <c r="L68" i="5"/>
  <c r="K68" i="5"/>
  <c r="J68" i="5"/>
  <c r="I68" i="5"/>
  <c r="H68" i="5"/>
  <c r="G68" i="5"/>
  <c r="E68" i="5"/>
  <c r="B68" i="5"/>
  <c r="U67" i="5"/>
  <c r="T67" i="5"/>
  <c r="O67" i="5"/>
  <c r="N67" i="5"/>
  <c r="M67" i="5"/>
  <c r="L67" i="5"/>
  <c r="K67" i="5"/>
  <c r="J67" i="5"/>
  <c r="I67" i="5"/>
  <c r="H67" i="5"/>
  <c r="G67" i="5"/>
  <c r="E67" i="5"/>
  <c r="F67" i="5" s="1"/>
  <c r="B67" i="5"/>
  <c r="U66" i="5"/>
  <c r="T66" i="5"/>
  <c r="O66" i="5"/>
  <c r="N66" i="5"/>
  <c r="M66" i="5"/>
  <c r="L66" i="5"/>
  <c r="K66" i="5"/>
  <c r="J66" i="5"/>
  <c r="I66" i="5"/>
  <c r="H66" i="5"/>
  <c r="G66" i="5"/>
  <c r="E66" i="5"/>
  <c r="F66" i="5" s="1"/>
  <c r="B66" i="5"/>
  <c r="U65" i="5"/>
  <c r="T65" i="5"/>
  <c r="O65" i="5"/>
  <c r="N65" i="5"/>
  <c r="M65" i="5"/>
  <c r="L65" i="5"/>
  <c r="K65" i="5"/>
  <c r="J65" i="5"/>
  <c r="I65" i="5"/>
  <c r="H65" i="5"/>
  <c r="G65" i="5"/>
  <c r="E65" i="5"/>
  <c r="F65" i="5" s="1"/>
  <c r="B65" i="5"/>
  <c r="U64" i="5"/>
  <c r="T64" i="5"/>
  <c r="O64" i="5"/>
  <c r="N64" i="5"/>
  <c r="M64" i="5"/>
  <c r="L64" i="5"/>
  <c r="K64" i="5"/>
  <c r="J64" i="5"/>
  <c r="I64" i="5"/>
  <c r="H64" i="5"/>
  <c r="G64" i="5"/>
  <c r="E64" i="5"/>
  <c r="F64" i="5" s="1"/>
  <c r="B64" i="5"/>
  <c r="U63" i="5"/>
  <c r="T63" i="5"/>
  <c r="O63" i="5"/>
  <c r="N63" i="5"/>
  <c r="M63" i="5"/>
  <c r="L63" i="5"/>
  <c r="K63" i="5"/>
  <c r="J63" i="5"/>
  <c r="I63" i="5"/>
  <c r="H63" i="5"/>
  <c r="G63" i="5"/>
  <c r="E63" i="5"/>
  <c r="F63" i="5" s="1"/>
  <c r="B63" i="5"/>
  <c r="U62" i="5"/>
  <c r="T62" i="5"/>
  <c r="O62" i="5"/>
  <c r="N62" i="5"/>
  <c r="M62" i="5"/>
  <c r="L62" i="5"/>
  <c r="K62" i="5"/>
  <c r="J62" i="5"/>
  <c r="I62" i="5"/>
  <c r="H62" i="5"/>
  <c r="G62" i="5"/>
  <c r="E62" i="5"/>
  <c r="F62" i="5" s="1"/>
  <c r="B62" i="5"/>
  <c r="U61" i="5"/>
  <c r="T61" i="5"/>
  <c r="O61" i="5"/>
  <c r="N61" i="5"/>
  <c r="M61" i="5"/>
  <c r="L61" i="5"/>
  <c r="K61" i="5"/>
  <c r="J61" i="5"/>
  <c r="I61" i="5"/>
  <c r="H61" i="5"/>
  <c r="G61" i="5"/>
  <c r="E61" i="5"/>
  <c r="F61" i="5" s="1"/>
  <c r="B61" i="5"/>
  <c r="U60" i="5"/>
  <c r="T60" i="5"/>
  <c r="O60" i="5"/>
  <c r="N60" i="5"/>
  <c r="M60" i="5"/>
  <c r="L60" i="5"/>
  <c r="K60" i="5"/>
  <c r="J60" i="5"/>
  <c r="I60" i="5"/>
  <c r="H60" i="5"/>
  <c r="G60" i="5"/>
  <c r="E60" i="5"/>
  <c r="F60" i="5" s="1"/>
  <c r="B60" i="5"/>
  <c r="U59" i="5"/>
  <c r="T59" i="5"/>
  <c r="O59" i="5"/>
  <c r="N59" i="5"/>
  <c r="M59" i="5"/>
  <c r="L59" i="5"/>
  <c r="K59" i="5"/>
  <c r="J59" i="5"/>
  <c r="I59" i="5"/>
  <c r="H59" i="5"/>
  <c r="G59" i="5"/>
  <c r="E59" i="5"/>
  <c r="F59" i="5" s="1"/>
  <c r="B59" i="5"/>
  <c r="U58" i="5"/>
  <c r="T58" i="5"/>
  <c r="O58" i="5"/>
  <c r="N58" i="5"/>
  <c r="M58" i="5"/>
  <c r="L58" i="5"/>
  <c r="K58" i="5"/>
  <c r="J58" i="5"/>
  <c r="I58" i="5"/>
  <c r="H58" i="5"/>
  <c r="G58" i="5"/>
  <c r="E58" i="5"/>
  <c r="F58" i="5" s="1"/>
  <c r="B58" i="5"/>
  <c r="U57" i="5"/>
  <c r="T57" i="5"/>
  <c r="O57" i="5"/>
  <c r="N57" i="5"/>
  <c r="M57" i="5"/>
  <c r="L57" i="5"/>
  <c r="K57" i="5"/>
  <c r="J57" i="5"/>
  <c r="I57" i="5"/>
  <c r="H57" i="5"/>
  <c r="G57" i="5"/>
  <c r="E57" i="5"/>
  <c r="F57" i="5" s="1"/>
  <c r="B57" i="5"/>
  <c r="U56" i="5"/>
  <c r="T56" i="5"/>
  <c r="O56" i="5"/>
  <c r="N56" i="5"/>
  <c r="M56" i="5"/>
  <c r="L56" i="5"/>
  <c r="K56" i="5"/>
  <c r="J56" i="5"/>
  <c r="I56" i="5"/>
  <c r="H56" i="5"/>
  <c r="G56" i="5"/>
  <c r="E56" i="5"/>
  <c r="F56" i="5" s="1"/>
  <c r="B56" i="5"/>
  <c r="U55" i="5"/>
  <c r="T55" i="5"/>
  <c r="O55" i="5"/>
  <c r="N55" i="5"/>
  <c r="M55" i="5"/>
  <c r="L55" i="5"/>
  <c r="K55" i="5"/>
  <c r="J55" i="5"/>
  <c r="I55" i="5"/>
  <c r="H55" i="5"/>
  <c r="G55" i="5"/>
  <c r="E55" i="5"/>
  <c r="F55" i="5" s="1"/>
  <c r="B55" i="5"/>
  <c r="U54" i="5"/>
  <c r="T54" i="5"/>
  <c r="O54" i="5"/>
  <c r="N54" i="5"/>
  <c r="M54" i="5"/>
  <c r="L54" i="5"/>
  <c r="K54" i="5"/>
  <c r="J54" i="5"/>
  <c r="I54" i="5"/>
  <c r="H54" i="5"/>
  <c r="G54" i="5"/>
  <c r="E54" i="5"/>
  <c r="F54" i="5" s="1"/>
  <c r="B54" i="5"/>
  <c r="U53" i="5"/>
  <c r="T53" i="5"/>
  <c r="O53" i="5"/>
  <c r="N53" i="5"/>
  <c r="M53" i="5"/>
  <c r="L53" i="5"/>
  <c r="K53" i="5"/>
  <c r="J53" i="5"/>
  <c r="I53" i="5"/>
  <c r="H53" i="5"/>
  <c r="G53" i="5"/>
  <c r="E53" i="5"/>
  <c r="F53" i="5" s="1"/>
  <c r="B53" i="5"/>
  <c r="U52" i="5"/>
  <c r="T52" i="5"/>
  <c r="O52" i="5"/>
  <c r="N52" i="5"/>
  <c r="M52" i="5"/>
  <c r="L52" i="5"/>
  <c r="K52" i="5"/>
  <c r="J52" i="5"/>
  <c r="I52" i="5"/>
  <c r="H52" i="5"/>
  <c r="G52" i="5"/>
  <c r="E52" i="5"/>
  <c r="F52" i="5" s="1"/>
  <c r="B52" i="5"/>
  <c r="U51" i="5"/>
  <c r="T51" i="5"/>
  <c r="O51" i="5"/>
  <c r="N51" i="5"/>
  <c r="M51" i="5"/>
  <c r="L51" i="5"/>
  <c r="K51" i="5"/>
  <c r="J51" i="5"/>
  <c r="I51" i="5"/>
  <c r="H51" i="5"/>
  <c r="G51" i="5"/>
  <c r="E51" i="5"/>
  <c r="F51" i="5" s="1"/>
  <c r="B51" i="5"/>
  <c r="U50" i="5"/>
  <c r="T50" i="5"/>
  <c r="O50" i="5"/>
  <c r="N50" i="5"/>
  <c r="M50" i="5"/>
  <c r="L50" i="5"/>
  <c r="K50" i="5"/>
  <c r="J50" i="5"/>
  <c r="I50" i="5"/>
  <c r="H50" i="5"/>
  <c r="G50" i="5"/>
  <c r="E50" i="5"/>
  <c r="F50" i="5" s="1"/>
  <c r="B50" i="5"/>
  <c r="U49" i="5"/>
  <c r="T49" i="5"/>
  <c r="O49" i="5"/>
  <c r="N49" i="5"/>
  <c r="M49" i="5"/>
  <c r="L49" i="5"/>
  <c r="K49" i="5"/>
  <c r="J49" i="5"/>
  <c r="I49" i="5"/>
  <c r="H49" i="5"/>
  <c r="G49" i="5"/>
  <c r="E49" i="5"/>
  <c r="F49" i="5" s="1"/>
  <c r="B49" i="5"/>
  <c r="U48" i="5"/>
  <c r="T48" i="5"/>
  <c r="O48" i="5"/>
  <c r="N48" i="5"/>
  <c r="M48" i="5"/>
  <c r="L48" i="5"/>
  <c r="K48" i="5"/>
  <c r="J48" i="5"/>
  <c r="I48" i="5"/>
  <c r="H48" i="5"/>
  <c r="G48" i="5"/>
  <c r="E48" i="5"/>
  <c r="F48" i="5" s="1"/>
  <c r="B48" i="5"/>
  <c r="U47" i="5"/>
  <c r="T47" i="5"/>
  <c r="O47" i="5"/>
  <c r="N47" i="5"/>
  <c r="M47" i="5"/>
  <c r="L47" i="5"/>
  <c r="K47" i="5"/>
  <c r="J47" i="5"/>
  <c r="I47" i="5"/>
  <c r="H47" i="5"/>
  <c r="G47" i="5"/>
  <c r="E47" i="5"/>
  <c r="F47" i="5" s="1"/>
  <c r="B47" i="5"/>
  <c r="U46" i="5"/>
  <c r="T46" i="5"/>
  <c r="O46" i="5"/>
  <c r="N46" i="5"/>
  <c r="M46" i="5"/>
  <c r="L46" i="5"/>
  <c r="K46" i="5"/>
  <c r="J46" i="5"/>
  <c r="I46" i="5"/>
  <c r="H46" i="5"/>
  <c r="G46" i="5"/>
  <c r="E46" i="5"/>
  <c r="F46" i="5" s="1"/>
  <c r="B46" i="5"/>
  <c r="U45" i="5"/>
  <c r="T45" i="5"/>
  <c r="O45" i="5"/>
  <c r="N45" i="5"/>
  <c r="M45" i="5"/>
  <c r="L45" i="5"/>
  <c r="K45" i="5"/>
  <c r="J45" i="5"/>
  <c r="I45" i="5"/>
  <c r="H45" i="5"/>
  <c r="G45" i="5"/>
  <c r="E45" i="5"/>
  <c r="F45" i="5" s="1"/>
  <c r="B45" i="5"/>
  <c r="U44" i="5"/>
  <c r="T44" i="5"/>
  <c r="O44" i="5"/>
  <c r="N44" i="5"/>
  <c r="M44" i="5"/>
  <c r="L44" i="5"/>
  <c r="K44" i="5"/>
  <c r="J44" i="5"/>
  <c r="I44" i="5"/>
  <c r="H44" i="5"/>
  <c r="G44" i="5"/>
  <c r="E44" i="5"/>
  <c r="F44" i="5" s="1"/>
  <c r="B44" i="5"/>
  <c r="U43" i="5"/>
  <c r="T43" i="5"/>
  <c r="O43" i="5"/>
  <c r="N43" i="5"/>
  <c r="M43" i="5"/>
  <c r="L43" i="5"/>
  <c r="K43" i="5"/>
  <c r="J43" i="5"/>
  <c r="I43" i="5"/>
  <c r="H43" i="5"/>
  <c r="G43" i="5"/>
  <c r="E43" i="5"/>
  <c r="F43" i="5" s="1"/>
  <c r="B43" i="5"/>
  <c r="U42" i="5"/>
  <c r="T42" i="5"/>
  <c r="O42" i="5"/>
  <c r="N42" i="5"/>
  <c r="M42" i="5"/>
  <c r="L42" i="5"/>
  <c r="K42" i="5"/>
  <c r="J42" i="5"/>
  <c r="I42" i="5"/>
  <c r="H42" i="5"/>
  <c r="G42" i="5"/>
  <c r="E42" i="5"/>
  <c r="F42" i="5" s="1"/>
  <c r="B42" i="5"/>
  <c r="U41" i="5"/>
  <c r="T41" i="5"/>
  <c r="O41" i="5"/>
  <c r="N41" i="5"/>
  <c r="M41" i="5"/>
  <c r="L41" i="5"/>
  <c r="K41" i="5"/>
  <c r="J41" i="5"/>
  <c r="I41" i="5"/>
  <c r="H41" i="5"/>
  <c r="G41" i="5"/>
  <c r="E41" i="5"/>
  <c r="F41" i="5" s="1"/>
  <c r="B41" i="5"/>
  <c r="U40" i="5"/>
  <c r="T40" i="5"/>
  <c r="O40" i="5"/>
  <c r="N40" i="5"/>
  <c r="M40" i="5"/>
  <c r="L40" i="5"/>
  <c r="K40" i="5"/>
  <c r="J40" i="5"/>
  <c r="I40" i="5"/>
  <c r="H40" i="5"/>
  <c r="G40" i="5"/>
  <c r="E40" i="5"/>
  <c r="F40" i="5" s="1"/>
  <c r="B40" i="5"/>
  <c r="W40" i="5" s="1"/>
  <c r="U39" i="5"/>
  <c r="T39" i="5"/>
  <c r="O39" i="5"/>
  <c r="N39" i="5"/>
  <c r="M39" i="5"/>
  <c r="L39" i="5"/>
  <c r="K39" i="5"/>
  <c r="J39" i="5"/>
  <c r="I39" i="5"/>
  <c r="H39" i="5"/>
  <c r="G39" i="5"/>
  <c r="E39" i="5"/>
  <c r="F39" i="5" s="1"/>
  <c r="B39" i="5"/>
  <c r="U38" i="5"/>
  <c r="T38" i="5"/>
  <c r="O38" i="5"/>
  <c r="N38" i="5"/>
  <c r="M38" i="5"/>
  <c r="L38" i="5"/>
  <c r="K38" i="5"/>
  <c r="J38" i="5"/>
  <c r="I38" i="5"/>
  <c r="H38" i="5"/>
  <c r="G38" i="5"/>
  <c r="E38" i="5"/>
  <c r="F38" i="5" s="1"/>
  <c r="B38" i="5"/>
  <c r="U37" i="5"/>
  <c r="T37" i="5"/>
  <c r="O37" i="5"/>
  <c r="N37" i="5"/>
  <c r="M37" i="5"/>
  <c r="L37" i="5"/>
  <c r="K37" i="5"/>
  <c r="J37" i="5"/>
  <c r="I37" i="5"/>
  <c r="H37" i="5"/>
  <c r="G37" i="5"/>
  <c r="E37" i="5"/>
  <c r="F37" i="5" s="1"/>
  <c r="B37" i="5"/>
  <c r="U36" i="5"/>
  <c r="T36" i="5"/>
  <c r="O36" i="5"/>
  <c r="N36" i="5"/>
  <c r="M36" i="5"/>
  <c r="L36" i="5"/>
  <c r="K36" i="5"/>
  <c r="J36" i="5"/>
  <c r="I36" i="5"/>
  <c r="H36" i="5"/>
  <c r="G36" i="5"/>
  <c r="E36" i="5"/>
  <c r="F36" i="5" s="1"/>
  <c r="B36" i="5"/>
  <c r="U35" i="5"/>
  <c r="T35" i="5"/>
  <c r="O35" i="5"/>
  <c r="N35" i="5"/>
  <c r="M35" i="5"/>
  <c r="L35" i="5"/>
  <c r="K35" i="5"/>
  <c r="J35" i="5"/>
  <c r="I35" i="5"/>
  <c r="H35" i="5"/>
  <c r="G35" i="5"/>
  <c r="E35" i="5"/>
  <c r="F35" i="5" s="1"/>
  <c r="B35" i="5"/>
  <c r="U34" i="5"/>
  <c r="T34" i="5"/>
  <c r="O34" i="5"/>
  <c r="N34" i="5"/>
  <c r="M34" i="5"/>
  <c r="L34" i="5"/>
  <c r="K34" i="5"/>
  <c r="J34" i="5"/>
  <c r="I34" i="5"/>
  <c r="H34" i="5"/>
  <c r="G34" i="5"/>
  <c r="E34" i="5"/>
  <c r="F34" i="5" s="1"/>
  <c r="B34" i="5"/>
  <c r="U33" i="5"/>
  <c r="T33" i="5"/>
  <c r="O33" i="5"/>
  <c r="N33" i="5"/>
  <c r="M33" i="5"/>
  <c r="L33" i="5"/>
  <c r="K33" i="5"/>
  <c r="J33" i="5"/>
  <c r="I33" i="5"/>
  <c r="H33" i="5"/>
  <c r="G33" i="5"/>
  <c r="E33" i="5"/>
  <c r="F33" i="5" s="1"/>
  <c r="B33" i="5"/>
  <c r="U32" i="5"/>
  <c r="T32" i="5"/>
  <c r="O32" i="5"/>
  <c r="N32" i="5"/>
  <c r="M32" i="5"/>
  <c r="L32" i="5"/>
  <c r="K32" i="5"/>
  <c r="J32" i="5"/>
  <c r="I32" i="5"/>
  <c r="H32" i="5"/>
  <c r="G32" i="5"/>
  <c r="E32" i="5"/>
  <c r="F32" i="5" s="1"/>
  <c r="B32" i="5"/>
  <c r="U31" i="5"/>
  <c r="T31" i="5"/>
  <c r="O31" i="5"/>
  <c r="N31" i="5"/>
  <c r="M31" i="5"/>
  <c r="L31" i="5"/>
  <c r="K31" i="5"/>
  <c r="J31" i="5"/>
  <c r="I31" i="5"/>
  <c r="H31" i="5"/>
  <c r="G31" i="5"/>
  <c r="E31" i="5"/>
  <c r="F31" i="5" s="1"/>
  <c r="B31" i="5"/>
  <c r="U30" i="5"/>
  <c r="T30" i="5"/>
  <c r="O30" i="5"/>
  <c r="N30" i="5"/>
  <c r="M30" i="5"/>
  <c r="L30" i="5"/>
  <c r="K30" i="5"/>
  <c r="J30" i="5"/>
  <c r="I30" i="5"/>
  <c r="H30" i="5"/>
  <c r="G30" i="5"/>
  <c r="E30" i="5"/>
  <c r="F30" i="5" s="1"/>
  <c r="B30" i="5"/>
  <c r="U29" i="5"/>
  <c r="T29" i="5"/>
  <c r="O29" i="5"/>
  <c r="N29" i="5"/>
  <c r="M29" i="5"/>
  <c r="L29" i="5"/>
  <c r="K29" i="5"/>
  <c r="J29" i="5"/>
  <c r="I29" i="5"/>
  <c r="H29" i="5"/>
  <c r="G29" i="5"/>
  <c r="E29" i="5"/>
  <c r="F29" i="5" s="1"/>
  <c r="B29" i="5"/>
  <c r="U28" i="5"/>
  <c r="T28" i="5"/>
  <c r="O28" i="5"/>
  <c r="N28" i="5"/>
  <c r="M28" i="5"/>
  <c r="L28" i="5"/>
  <c r="K28" i="5"/>
  <c r="J28" i="5"/>
  <c r="I28" i="5"/>
  <c r="H28" i="5"/>
  <c r="G28" i="5"/>
  <c r="E28" i="5"/>
  <c r="F28" i="5" s="1"/>
  <c r="B28" i="5"/>
  <c r="U27" i="5"/>
  <c r="T27" i="5"/>
  <c r="O27" i="5"/>
  <c r="N27" i="5"/>
  <c r="M27" i="5"/>
  <c r="L27" i="5"/>
  <c r="K27" i="5"/>
  <c r="J27" i="5"/>
  <c r="I27" i="5"/>
  <c r="H27" i="5"/>
  <c r="G27" i="5"/>
  <c r="E27" i="5"/>
  <c r="F27" i="5" s="1"/>
  <c r="B27" i="5"/>
  <c r="U26" i="5"/>
  <c r="T26" i="5"/>
  <c r="O26" i="5"/>
  <c r="N26" i="5"/>
  <c r="M26" i="5"/>
  <c r="L26" i="5"/>
  <c r="K26" i="5"/>
  <c r="J26" i="5"/>
  <c r="I26" i="5"/>
  <c r="H26" i="5"/>
  <c r="G26" i="5"/>
  <c r="E26" i="5"/>
  <c r="F26" i="5" s="1"/>
  <c r="B26" i="5"/>
  <c r="U25" i="5"/>
  <c r="T25" i="5"/>
  <c r="O25" i="5"/>
  <c r="N25" i="5"/>
  <c r="M25" i="5"/>
  <c r="L25" i="5"/>
  <c r="K25" i="5"/>
  <c r="J25" i="5"/>
  <c r="I25" i="5"/>
  <c r="H25" i="5"/>
  <c r="G25" i="5"/>
  <c r="E25" i="5"/>
  <c r="F25" i="5" s="1"/>
  <c r="B25" i="5"/>
  <c r="U24" i="5"/>
  <c r="T24" i="5"/>
  <c r="O24" i="5"/>
  <c r="N24" i="5"/>
  <c r="M24" i="5"/>
  <c r="L24" i="5"/>
  <c r="K24" i="5"/>
  <c r="J24" i="5"/>
  <c r="I24" i="5"/>
  <c r="H24" i="5"/>
  <c r="G24" i="5"/>
  <c r="E24" i="5"/>
  <c r="F24" i="5" s="1"/>
  <c r="B24" i="5"/>
  <c r="U23" i="5"/>
  <c r="T23" i="5"/>
  <c r="O23" i="5"/>
  <c r="N23" i="5"/>
  <c r="M23" i="5"/>
  <c r="L23" i="5"/>
  <c r="K23" i="5"/>
  <c r="J23" i="5"/>
  <c r="I23" i="5"/>
  <c r="H23" i="5"/>
  <c r="G23" i="5"/>
  <c r="E23" i="5"/>
  <c r="F23" i="5" s="1"/>
  <c r="B23" i="5"/>
  <c r="U22" i="5"/>
  <c r="T22" i="5"/>
  <c r="O22" i="5"/>
  <c r="N22" i="5"/>
  <c r="M22" i="5"/>
  <c r="L22" i="5"/>
  <c r="K22" i="5"/>
  <c r="J22" i="5"/>
  <c r="I22" i="5"/>
  <c r="H22" i="5"/>
  <c r="G22" i="5"/>
  <c r="E22" i="5"/>
  <c r="F22" i="5" s="1"/>
  <c r="B22" i="5"/>
  <c r="U21" i="5"/>
  <c r="T21" i="5"/>
  <c r="O21" i="5"/>
  <c r="N21" i="5"/>
  <c r="M21" i="5"/>
  <c r="L21" i="5"/>
  <c r="K21" i="5"/>
  <c r="J21" i="5"/>
  <c r="I21" i="5"/>
  <c r="H21" i="5"/>
  <c r="G21" i="5"/>
  <c r="E21" i="5"/>
  <c r="F21" i="5" s="1"/>
  <c r="B21" i="5"/>
  <c r="U20" i="5"/>
  <c r="T20" i="5"/>
  <c r="O20" i="5"/>
  <c r="N20" i="5"/>
  <c r="M20" i="5"/>
  <c r="L20" i="5"/>
  <c r="K20" i="5"/>
  <c r="J20" i="5"/>
  <c r="I20" i="5"/>
  <c r="H20" i="5"/>
  <c r="G20" i="5"/>
  <c r="E20" i="5"/>
  <c r="F20" i="5" s="1"/>
  <c r="B20" i="5"/>
  <c r="U19" i="5"/>
  <c r="T19" i="5"/>
  <c r="O19" i="5"/>
  <c r="N19" i="5"/>
  <c r="M19" i="5"/>
  <c r="L19" i="5"/>
  <c r="K19" i="5"/>
  <c r="J19" i="5"/>
  <c r="I19" i="5"/>
  <c r="H19" i="5"/>
  <c r="G19" i="5"/>
  <c r="E19" i="5"/>
  <c r="F19" i="5" s="1"/>
  <c r="B19" i="5"/>
  <c r="U18" i="5"/>
  <c r="T18" i="5"/>
  <c r="O18" i="5"/>
  <c r="N18" i="5"/>
  <c r="M18" i="5"/>
  <c r="L18" i="5"/>
  <c r="K18" i="5"/>
  <c r="J18" i="5"/>
  <c r="I18" i="5"/>
  <c r="H18" i="5"/>
  <c r="G18" i="5"/>
  <c r="E18" i="5"/>
  <c r="F18" i="5" s="1"/>
  <c r="B18" i="5"/>
  <c r="U17" i="5"/>
  <c r="T17" i="5"/>
  <c r="O17" i="5"/>
  <c r="N17" i="5"/>
  <c r="M17" i="5"/>
  <c r="L17" i="5"/>
  <c r="K17" i="5"/>
  <c r="J17" i="5"/>
  <c r="I17" i="5"/>
  <c r="H17" i="5"/>
  <c r="G17" i="5"/>
  <c r="E17" i="5"/>
  <c r="F17" i="5" s="1"/>
  <c r="B17" i="5"/>
  <c r="U16" i="5"/>
  <c r="T16" i="5"/>
  <c r="O16" i="5"/>
  <c r="N16" i="5"/>
  <c r="M16" i="5"/>
  <c r="L16" i="5"/>
  <c r="K16" i="5"/>
  <c r="J16" i="5"/>
  <c r="I16" i="5"/>
  <c r="H16" i="5"/>
  <c r="G16" i="5"/>
  <c r="E16" i="5"/>
  <c r="F16" i="5" s="1"/>
  <c r="B16" i="5"/>
  <c r="U15" i="5"/>
  <c r="T15" i="5"/>
  <c r="O15" i="5"/>
  <c r="N15" i="5"/>
  <c r="M15" i="5"/>
  <c r="L15" i="5"/>
  <c r="K15" i="5"/>
  <c r="J15" i="5"/>
  <c r="I15" i="5"/>
  <c r="H15" i="5"/>
  <c r="G15" i="5"/>
  <c r="E15" i="5"/>
  <c r="F15" i="5" s="1"/>
  <c r="B15" i="5"/>
  <c r="U14" i="5"/>
  <c r="T14" i="5"/>
  <c r="O14" i="5"/>
  <c r="N14" i="5"/>
  <c r="M14" i="5"/>
  <c r="L14" i="5"/>
  <c r="K14" i="5"/>
  <c r="J14" i="5"/>
  <c r="I14" i="5"/>
  <c r="H14" i="5"/>
  <c r="G14" i="5"/>
  <c r="E14" i="5"/>
  <c r="F14" i="5" s="1"/>
  <c r="B14" i="5"/>
  <c r="U13" i="5"/>
  <c r="T13" i="5"/>
  <c r="O13" i="5"/>
  <c r="N13" i="5"/>
  <c r="M13" i="5"/>
  <c r="L13" i="5"/>
  <c r="K13" i="5"/>
  <c r="J13" i="5"/>
  <c r="I13" i="5"/>
  <c r="H13" i="5"/>
  <c r="G13" i="5"/>
  <c r="E13" i="5"/>
  <c r="F13" i="5" s="1"/>
  <c r="B13" i="5"/>
  <c r="U12" i="5"/>
  <c r="T12" i="5"/>
  <c r="O12" i="5"/>
  <c r="N12" i="5"/>
  <c r="M12" i="5"/>
  <c r="L12" i="5"/>
  <c r="K12" i="5"/>
  <c r="J12" i="5"/>
  <c r="I12" i="5"/>
  <c r="H12" i="5"/>
  <c r="G12" i="5"/>
  <c r="E12" i="5"/>
  <c r="F12" i="5" s="1"/>
  <c r="B12" i="5"/>
  <c r="U11" i="5"/>
  <c r="T11" i="5"/>
  <c r="O11" i="5"/>
  <c r="N11" i="5"/>
  <c r="M11" i="5"/>
  <c r="L11" i="5"/>
  <c r="K11" i="5"/>
  <c r="J11" i="5"/>
  <c r="I11" i="5"/>
  <c r="H11" i="5"/>
  <c r="G11" i="5"/>
  <c r="E11" i="5"/>
  <c r="F11" i="5" s="1"/>
  <c r="B11" i="5"/>
  <c r="U10" i="5"/>
  <c r="T10" i="5"/>
  <c r="O10" i="5"/>
  <c r="N10" i="5"/>
  <c r="M10" i="5"/>
  <c r="L10" i="5"/>
  <c r="K10" i="5"/>
  <c r="J10" i="5"/>
  <c r="I10" i="5"/>
  <c r="H10" i="5"/>
  <c r="G10" i="5"/>
  <c r="E10" i="5"/>
  <c r="F10" i="5" s="1"/>
  <c r="B10" i="5"/>
  <c r="U9" i="5"/>
  <c r="T9" i="5"/>
  <c r="O9" i="5"/>
  <c r="N9" i="5"/>
  <c r="M9" i="5"/>
  <c r="L9" i="5"/>
  <c r="K9" i="5"/>
  <c r="J9" i="5"/>
  <c r="I9" i="5"/>
  <c r="H9" i="5"/>
  <c r="G9" i="5"/>
  <c r="E9" i="5"/>
  <c r="F9" i="5" s="1"/>
  <c r="B9" i="5"/>
  <c r="U8" i="5"/>
  <c r="T8" i="5"/>
  <c r="O8" i="5"/>
  <c r="N8" i="5"/>
  <c r="M8" i="5"/>
  <c r="L8" i="5"/>
  <c r="K8" i="5"/>
  <c r="J8" i="5"/>
  <c r="I8" i="5"/>
  <c r="H8" i="5"/>
  <c r="G8" i="5"/>
  <c r="E8" i="5"/>
  <c r="F8" i="5" s="1"/>
  <c r="B8" i="5"/>
  <c r="U7" i="5"/>
  <c r="T7" i="5"/>
  <c r="O7" i="5"/>
  <c r="N7" i="5"/>
  <c r="M7" i="5"/>
  <c r="L7" i="5"/>
  <c r="K7" i="5"/>
  <c r="J7" i="5"/>
  <c r="I7" i="5"/>
  <c r="H7" i="5"/>
  <c r="G7" i="5"/>
  <c r="E7" i="5"/>
  <c r="F7" i="5" s="1"/>
  <c r="B7" i="5"/>
  <c r="U6" i="5"/>
  <c r="T6" i="5"/>
  <c r="O6" i="5"/>
  <c r="N6" i="5"/>
  <c r="M6" i="5"/>
  <c r="L6" i="5"/>
  <c r="K6" i="5"/>
  <c r="J6" i="5"/>
  <c r="I6" i="5"/>
  <c r="H6" i="5"/>
  <c r="G6" i="5"/>
  <c r="E6" i="5"/>
  <c r="F6" i="5" s="1"/>
  <c r="B6" i="5"/>
  <c r="U5" i="5"/>
  <c r="T5" i="5"/>
  <c r="O5" i="5"/>
  <c r="N5" i="5"/>
  <c r="M5" i="5"/>
  <c r="L5" i="5"/>
  <c r="K5" i="5"/>
  <c r="J5" i="5"/>
  <c r="I5" i="5"/>
  <c r="H5" i="5"/>
  <c r="G5" i="5"/>
  <c r="E5" i="5"/>
  <c r="F5" i="5" s="1"/>
  <c r="B5" i="5"/>
  <c r="AA4" i="5"/>
  <c r="U4" i="5"/>
  <c r="T4" i="5"/>
  <c r="O4" i="5"/>
  <c r="N4" i="5"/>
  <c r="M4" i="5"/>
  <c r="L4" i="5"/>
  <c r="K4" i="5"/>
  <c r="J4" i="5"/>
  <c r="I4" i="5"/>
  <c r="H4" i="5"/>
  <c r="G4" i="5"/>
  <c r="E4" i="5"/>
  <c r="F4" i="5" s="1"/>
  <c r="B4" i="5"/>
  <c r="U3" i="5"/>
  <c r="T3" i="5"/>
  <c r="B5" i="7" s="1"/>
  <c r="O3" i="5"/>
  <c r="N3" i="5"/>
  <c r="M3" i="5"/>
  <c r="P3" i="5" s="1"/>
  <c r="L3" i="5"/>
  <c r="K3" i="5"/>
  <c r="I3" i="5"/>
  <c r="H3" i="5"/>
  <c r="B3" i="5"/>
  <c r="U2" i="5"/>
  <c r="T2" i="5"/>
  <c r="O2" i="5"/>
  <c r="N2" i="5"/>
  <c r="M2" i="5"/>
  <c r="L2" i="5"/>
  <c r="K2" i="5"/>
  <c r="J2" i="5"/>
  <c r="I2" i="5"/>
  <c r="H2" i="5"/>
  <c r="G2" i="5"/>
  <c r="F2" i="5"/>
  <c r="W2" i="5"/>
  <c r="D2" i="3"/>
  <c r="S203" i="5" l="1"/>
  <c r="S662" i="5"/>
  <c r="W248" i="5"/>
  <c r="P380" i="5"/>
  <c r="R380" i="5" s="1"/>
  <c r="P27" i="5"/>
  <c r="W82" i="5"/>
  <c r="W2024" i="5"/>
  <c r="W1185" i="5"/>
  <c r="S133" i="5"/>
  <c r="W711" i="5"/>
  <c r="S101" i="5"/>
  <c r="W349" i="5"/>
  <c r="W83" i="5"/>
  <c r="W147" i="5"/>
  <c r="S551" i="5"/>
  <c r="W1531" i="5"/>
  <c r="W1958" i="5"/>
  <c r="S911" i="5"/>
  <c r="W1325" i="5"/>
  <c r="W76" i="5"/>
  <c r="S127" i="5"/>
  <c r="W167" i="5"/>
  <c r="W2048" i="5"/>
  <c r="S910" i="5"/>
  <c r="W1177" i="5"/>
  <c r="S1288" i="5"/>
  <c r="S99" i="5"/>
  <c r="W46" i="5"/>
  <c r="S183" i="5"/>
  <c r="S785" i="5"/>
  <c r="W1524" i="5"/>
  <c r="W1620" i="5"/>
  <c r="W1144" i="5"/>
  <c r="W111" i="5"/>
  <c r="W1065" i="5"/>
  <c r="P1726" i="5"/>
  <c r="R1726" i="5" s="1"/>
  <c r="S712" i="5"/>
  <c r="S1062" i="5"/>
  <c r="S1244" i="5"/>
  <c r="S1716" i="5"/>
  <c r="W72" i="5"/>
  <c r="W425" i="5"/>
  <c r="S444" i="5"/>
  <c r="W489" i="5"/>
  <c r="S922" i="5"/>
  <c r="S1045" i="5"/>
  <c r="P1756" i="5"/>
  <c r="R1756" i="5" s="1"/>
  <c r="P121" i="5"/>
  <c r="R121" i="5" s="1"/>
  <c r="W499" i="5"/>
  <c r="S646" i="5"/>
  <c r="W55" i="5"/>
  <c r="P580" i="5"/>
  <c r="R580" i="5" s="1"/>
  <c r="P1616" i="5"/>
  <c r="P141" i="5"/>
  <c r="R141" i="5" s="1"/>
  <c r="S2043" i="5"/>
  <c r="W571" i="5"/>
  <c r="W635" i="5"/>
  <c r="W667" i="5"/>
  <c r="W694" i="5"/>
  <c r="S713" i="5"/>
  <c r="W726" i="5"/>
  <c r="P1191" i="5"/>
  <c r="Q1191" i="5" s="1"/>
  <c r="P1577" i="5"/>
  <c r="R1577" i="5" s="1"/>
  <c r="W1497" i="5"/>
  <c r="W246" i="5"/>
  <c r="S332" i="5"/>
  <c r="S364" i="5"/>
  <c r="W673" i="5"/>
  <c r="S687" i="5"/>
  <c r="W30" i="5"/>
  <c r="P932" i="5"/>
  <c r="Q932" i="5" s="1"/>
  <c r="P1055" i="5"/>
  <c r="R1055" i="5" s="1"/>
  <c r="S1662" i="5"/>
  <c r="H1348" i="5"/>
  <c r="S565" i="5"/>
  <c r="W797" i="5"/>
  <c r="H1353" i="5"/>
  <c r="W102" i="5"/>
  <c r="W583" i="5"/>
  <c r="W1390" i="5"/>
  <c r="S1473" i="5"/>
  <c r="P1525" i="5"/>
  <c r="R1525" i="5" s="1"/>
  <c r="P733" i="5"/>
  <c r="R733" i="5" s="1"/>
  <c r="S1004" i="5"/>
  <c r="W1012" i="5"/>
  <c r="P1019" i="5"/>
  <c r="Q1019" i="5" s="1"/>
  <c r="P1449" i="5"/>
  <c r="R1449" i="5" s="1"/>
  <c r="P252" i="5"/>
  <c r="Q252" i="5" s="1"/>
  <c r="P1160" i="5"/>
  <c r="Q1160" i="5" s="1"/>
  <c r="S60" i="5"/>
  <c r="P911" i="5"/>
  <c r="R911" i="5" s="1"/>
  <c r="P975" i="5"/>
  <c r="R975" i="5" s="1"/>
  <c r="P1865" i="5"/>
  <c r="R1865" i="5" s="1"/>
  <c r="P1873" i="5"/>
  <c r="R1873" i="5" s="1"/>
  <c r="P1881" i="5"/>
  <c r="Q1881" i="5" s="1"/>
  <c r="P773" i="5"/>
  <c r="R773" i="5" s="1"/>
  <c r="S307" i="5"/>
  <c r="W520" i="5"/>
  <c r="S790" i="5"/>
  <c r="S2019" i="5"/>
  <c r="W2032" i="5"/>
  <c r="P1283" i="5"/>
  <c r="P520" i="5"/>
  <c r="P616" i="5"/>
  <c r="Q616" i="5" s="1"/>
  <c r="P835" i="5"/>
  <c r="Q835" i="5" s="1"/>
  <c r="P44" i="5"/>
  <c r="R44" i="5" s="1"/>
  <c r="P76" i="5"/>
  <c r="R76" i="5" s="1"/>
  <c r="P325" i="5"/>
  <c r="Q325" i="5" s="1"/>
  <c r="T403" i="5"/>
  <c r="P1348" i="5"/>
  <c r="Q1348" i="5" s="1"/>
  <c r="S61" i="5"/>
  <c r="S310" i="5"/>
  <c r="P912" i="5"/>
  <c r="R912" i="5" s="1"/>
  <c r="S1585" i="5"/>
  <c r="S1718" i="5"/>
  <c r="W1544" i="5"/>
  <c r="S1595" i="5"/>
  <c r="S1455" i="5"/>
  <c r="S1487" i="5"/>
  <c r="S172" i="5"/>
  <c r="S754" i="5"/>
  <c r="P1736" i="5"/>
  <c r="R1736" i="5" s="1"/>
  <c r="S64" i="5"/>
  <c r="W254" i="5"/>
  <c r="W326" i="5"/>
  <c r="P705" i="5"/>
  <c r="R705" i="5" s="1"/>
  <c r="S764" i="5"/>
  <c r="H1217" i="5"/>
  <c r="P1645" i="5"/>
  <c r="R1645" i="5" s="1"/>
  <c r="W2001" i="5"/>
  <c r="W2011" i="5"/>
  <c r="P669" i="5"/>
  <c r="P760" i="5"/>
  <c r="W31" i="5"/>
  <c r="W312" i="5"/>
  <c r="S1547" i="5"/>
  <c r="P531" i="5"/>
  <c r="R531" i="5" s="1"/>
  <c r="W137" i="5"/>
  <c r="S605" i="5"/>
  <c r="S1046" i="5"/>
  <c r="W1158" i="5"/>
  <c r="S1434" i="5"/>
  <c r="P122" i="5"/>
  <c r="Q122" i="5" s="1"/>
  <c r="S134" i="5"/>
  <c r="S519" i="5"/>
  <c r="P571" i="5"/>
  <c r="R571" i="5" s="1"/>
  <c r="W1337" i="5"/>
  <c r="W1393" i="5"/>
  <c r="W24" i="5"/>
  <c r="W56" i="5"/>
  <c r="P213" i="5"/>
  <c r="Q213" i="5" s="1"/>
  <c r="S711" i="5"/>
  <c r="W37" i="5"/>
  <c r="S51" i="5"/>
  <c r="S228" i="5"/>
  <c r="W308" i="5"/>
  <c r="W604" i="5"/>
  <c r="P611" i="5"/>
  <c r="R611" i="5" s="1"/>
  <c r="S623" i="5"/>
  <c r="W695" i="5"/>
  <c r="W791" i="5"/>
  <c r="S810" i="5"/>
  <c r="P830" i="5"/>
  <c r="R830" i="5" s="1"/>
  <c r="W318" i="5"/>
  <c r="W1605" i="5"/>
  <c r="S1992" i="5"/>
  <c r="P796" i="5"/>
  <c r="P1708" i="5"/>
  <c r="Q1708" i="5" s="1"/>
  <c r="P486" i="5"/>
  <c r="R486" i="5" s="1"/>
  <c r="S525" i="5"/>
  <c r="S530" i="5"/>
  <c r="P567" i="5"/>
  <c r="R567" i="5" s="1"/>
  <c r="S594" i="5"/>
  <c r="W883" i="5"/>
  <c r="W1279" i="5"/>
  <c r="E861" i="5"/>
  <c r="F861" i="5" s="1"/>
  <c r="S1593" i="5"/>
  <c r="W433" i="5"/>
  <c r="W625" i="5"/>
  <c r="P755" i="5"/>
  <c r="R755" i="5" s="1"/>
  <c r="W1056" i="5"/>
  <c r="W753" i="5"/>
  <c r="P1353" i="5"/>
  <c r="Q1353" i="5" s="1"/>
  <c r="W1380" i="5"/>
  <c r="W810" i="5"/>
  <c r="S829" i="5"/>
  <c r="S1009" i="5"/>
  <c r="W1705" i="5"/>
  <c r="W1737" i="5"/>
  <c r="S1885" i="5"/>
  <c r="T1091" i="5"/>
  <c r="P14" i="5"/>
  <c r="Q14" i="5" s="1"/>
  <c r="W881" i="5"/>
  <c r="P1422" i="5"/>
  <c r="R1422" i="5" s="1"/>
  <c r="P501" i="5"/>
  <c r="R501" i="5" s="1"/>
  <c r="S1176" i="5"/>
  <c r="S1674" i="5"/>
  <c r="S57" i="5"/>
  <c r="W66" i="5"/>
  <c r="S933" i="5"/>
  <c r="S1118" i="5"/>
  <c r="S1471" i="5"/>
  <c r="W1484" i="5"/>
  <c r="S1771" i="5"/>
  <c r="E1096" i="5"/>
  <c r="F1096" i="5" s="1"/>
  <c r="P115" i="5"/>
  <c r="R115" i="5" s="1"/>
  <c r="P810" i="5"/>
  <c r="R810" i="5" s="1"/>
  <c r="P899" i="5"/>
  <c r="R899" i="5" s="1"/>
  <c r="P1295" i="5"/>
  <c r="R1295" i="5" s="1"/>
  <c r="W49" i="5"/>
  <c r="P88" i="5"/>
  <c r="Q88" i="5" s="1"/>
  <c r="S731" i="5"/>
  <c r="W1644" i="5"/>
  <c r="S1663" i="5"/>
  <c r="S2053" i="5"/>
  <c r="T293" i="5"/>
  <c r="W54" i="5"/>
  <c r="S137" i="5"/>
  <c r="W330" i="5"/>
  <c r="S421" i="5"/>
  <c r="W685" i="5"/>
  <c r="S800" i="5"/>
  <c r="S832" i="5"/>
  <c r="S953" i="5"/>
  <c r="H1086" i="5"/>
  <c r="S1044" i="5"/>
  <c r="S1518" i="5"/>
  <c r="W5" i="5"/>
  <c r="W91" i="5"/>
  <c r="S110" i="5"/>
  <c r="S169" i="5"/>
  <c r="T388" i="5"/>
  <c r="W439" i="5"/>
  <c r="W471" i="5"/>
  <c r="S554" i="5"/>
  <c r="S586" i="5"/>
  <c r="W663" i="5"/>
  <c r="P697" i="5"/>
  <c r="R697" i="5" s="1"/>
  <c r="H305" i="5"/>
  <c r="S231" i="5"/>
  <c r="W343" i="5"/>
  <c r="W375" i="5"/>
  <c r="W634" i="5"/>
  <c r="W752" i="5"/>
  <c r="W1112" i="5"/>
  <c r="P1146" i="5"/>
  <c r="R1146" i="5" s="1"/>
  <c r="S1241" i="5"/>
  <c r="P1261" i="5"/>
  <c r="Q1261" i="5" s="1"/>
  <c r="W1460" i="5"/>
  <c r="T302" i="5"/>
  <c r="W1995" i="5"/>
  <c r="S20" i="5"/>
  <c r="W50" i="5"/>
  <c r="W109" i="5"/>
  <c r="P116" i="5"/>
  <c r="Q116" i="5" s="1"/>
  <c r="W141" i="5"/>
  <c r="P170" i="5"/>
  <c r="Q170" i="5" s="1"/>
  <c r="H855" i="5"/>
  <c r="S781" i="5"/>
  <c r="W794" i="5"/>
  <c r="S813" i="5"/>
  <c r="P833" i="5"/>
  <c r="R833" i="5" s="1"/>
  <c r="S840" i="5"/>
  <c r="P917" i="5"/>
  <c r="R917" i="5" s="1"/>
  <c r="W38" i="5"/>
  <c r="W119" i="5"/>
  <c r="W232" i="5"/>
  <c r="S350" i="5"/>
  <c r="W740" i="5"/>
  <c r="W1242" i="5"/>
  <c r="S1548" i="5"/>
  <c r="P1718" i="5"/>
  <c r="R1718" i="5" s="1"/>
  <c r="S2024" i="5"/>
  <c r="P693" i="5"/>
  <c r="R693" i="5" s="1"/>
  <c r="P1313" i="5"/>
  <c r="R1313" i="5" s="1"/>
  <c r="P1669" i="5"/>
  <c r="R1669" i="5" s="1"/>
  <c r="S328" i="5"/>
  <c r="W536" i="5"/>
  <c r="W989" i="5"/>
  <c r="S1325" i="5"/>
  <c r="W1603" i="5"/>
  <c r="S1708" i="5"/>
  <c r="S1793" i="5"/>
  <c r="P920" i="5"/>
  <c r="R920" i="5" s="1"/>
  <c r="S1018" i="5"/>
  <c r="W1031" i="5"/>
  <c r="S1281" i="5"/>
  <c r="W1441" i="5"/>
  <c r="P1448" i="5"/>
  <c r="R1448" i="5" s="1"/>
  <c r="S1460" i="5"/>
  <c r="S1691" i="5"/>
  <c r="W1768" i="5"/>
  <c r="S2017" i="5"/>
  <c r="W2030" i="5"/>
  <c r="W85" i="5"/>
  <c r="W198" i="5"/>
  <c r="S217" i="5"/>
  <c r="W257" i="5"/>
  <c r="W361" i="5"/>
  <c r="S725" i="5"/>
  <c r="W886" i="5"/>
  <c r="S964" i="5"/>
  <c r="S1291" i="5"/>
  <c r="W1709" i="5"/>
  <c r="P440" i="5"/>
  <c r="R440" i="5" s="1"/>
  <c r="P600" i="5"/>
  <c r="Q600" i="5" s="1"/>
  <c r="P664" i="5"/>
  <c r="R664" i="5" s="1"/>
  <c r="S969" i="5"/>
  <c r="S1181" i="5"/>
  <c r="P1539" i="5"/>
  <c r="R1539" i="5" s="1"/>
  <c r="S1551" i="5"/>
  <c r="P1635" i="5"/>
  <c r="R1635" i="5" s="1"/>
  <c r="S1647" i="5"/>
  <c r="S195" i="5"/>
  <c r="P247" i="5"/>
  <c r="R247" i="5" s="1"/>
  <c r="W267" i="5"/>
  <c r="W470" i="5"/>
  <c r="S831" i="5"/>
  <c r="S1443" i="5"/>
  <c r="W2013" i="5"/>
  <c r="S1306" i="5"/>
  <c r="W1314" i="5"/>
  <c r="S1625" i="5"/>
  <c r="S1679" i="5"/>
  <c r="P58" i="5"/>
  <c r="S210" i="5"/>
  <c r="W354" i="5"/>
  <c r="W453" i="5"/>
  <c r="S691" i="5"/>
  <c r="W699" i="5"/>
  <c r="P706" i="5"/>
  <c r="Q706" i="5" s="1"/>
  <c r="W1233" i="5"/>
  <c r="S1635" i="5"/>
  <c r="S1753" i="5"/>
  <c r="P1773" i="5"/>
  <c r="R1773" i="5" s="1"/>
  <c r="S75" i="5"/>
  <c r="W120" i="5"/>
  <c r="S139" i="5"/>
  <c r="P371" i="5"/>
  <c r="R371" i="5" s="1"/>
  <c r="P566" i="5"/>
  <c r="Q566" i="5" s="1"/>
  <c r="W980" i="5"/>
  <c r="P1424" i="5"/>
  <c r="R1424" i="5" s="1"/>
  <c r="S1640" i="5"/>
  <c r="W1658" i="5"/>
  <c r="P1986" i="5"/>
  <c r="Q1986" i="5" s="1"/>
  <c r="W130" i="5"/>
  <c r="S149" i="5"/>
  <c r="W342" i="5"/>
  <c r="W374" i="5"/>
  <c r="P381" i="5"/>
  <c r="Q381" i="5" s="1"/>
  <c r="W473" i="5"/>
  <c r="S556" i="5"/>
  <c r="S588" i="5"/>
  <c r="P965" i="5"/>
  <c r="R965" i="5" s="1"/>
  <c r="S977" i="5"/>
  <c r="P1260" i="5"/>
  <c r="Q1260" i="5" s="1"/>
  <c r="S1414" i="5"/>
  <c r="P1547" i="5"/>
  <c r="Q1547" i="5" s="1"/>
  <c r="S1736" i="5"/>
  <c r="W1464" i="5"/>
  <c r="S1660" i="5"/>
  <c r="W1582" i="5"/>
  <c r="S1601" i="5"/>
  <c r="P1974" i="5"/>
  <c r="R1974" i="5" s="1"/>
  <c r="S1007" i="5"/>
  <c r="P1012" i="5"/>
  <c r="R1012" i="5" s="1"/>
  <c r="T1105" i="5"/>
  <c r="W1521" i="5"/>
  <c r="P763" i="5"/>
  <c r="Q763" i="5" s="1"/>
  <c r="P1170" i="5"/>
  <c r="R1170" i="5" s="1"/>
  <c r="S98" i="5"/>
  <c r="P429" i="5"/>
  <c r="R429" i="5" s="1"/>
  <c r="W614" i="5"/>
  <c r="P680" i="5"/>
  <c r="R680" i="5" s="1"/>
  <c r="W764" i="5"/>
  <c r="S1459" i="5"/>
  <c r="P172" i="5"/>
  <c r="R172" i="5" s="1"/>
  <c r="P204" i="5"/>
  <c r="R204" i="5" s="1"/>
  <c r="S315" i="5"/>
  <c r="W427" i="5"/>
  <c r="W587" i="5"/>
  <c r="S1609" i="5"/>
  <c r="W13" i="5"/>
  <c r="S140" i="5"/>
  <c r="W305" i="5"/>
  <c r="H394" i="5"/>
  <c r="W333" i="5"/>
  <c r="T418" i="5"/>
  <c r="S352" i="5"/>
  <c r="T412" i="5"/>
  <c r="E416" i="5"/>
  <c r="F416" i="5" s="1"/>
  <c r="W432" i="5"/>
  <c r="W774" i="5"/>
  <c r="W1008" i="5"/>
  <c r="P1015" i="5"/>
  <c r="R1015" i="5" s="1"/>
  <c r="S1059" i="5"/>
  <c r="S1405" i="5"/>
  <c r="S1437" i="5"/>
  <c r="W1450" i="5"/>
  <c r="W1509" i="5"/>
  <c r="W1713" i="5"/>
  <c r="P485" i="5"/>
  <c r="R485" i="5" s="1"/>
  <c r="W501" i="5"/>
  <c r="S734" i="5"/>
  <c r="W747" i="5"/>
  <c r="W922" i="5"/>
  <c r="P929" i="5"/>
  <c r="R929" i="5" s="1"/>
  <c r="P993" i="5"/>
  <c r="R993" i="5" s="1"/>
  <c r="S1032" i="5"/>
  <c r="S1410" i="5"/>
  <c r="S1555" i="5"/>
  <c r="S1921" i="5"/>
  <c r="P1900" i="5"/>
  <c r="R1900" i="5" s="1"/>
  <c r="S1802" i="5"/>
  <c r="S1810" i="5"/>
  <c r="S1896" i="5"/>
  <c r="S1912" i="5"/>
  <c r="P2056" i="5"/>
  <c r="Q2056" i="5" s="1"/>
  <c r="P500" i="5"/>
  <c r="R500" i="5" s="1"/>
  <c r="P532" i="5"/>
  <c r="R532" i="5" s="1"/>
  <c r="P923" i="5"/>
  <c r="P1190" i="5"/>
  <c r="Q1190" i="5" s="1"/>
  <c r="P1247" i="5"/>
  <c r="Q1247" i="5" s="1"/>
  <c r="P955" i="5"/>
  <c r="R955" i="5" s="1"/>
  <c r="S962" i="5"/>
  <c r="S1386" i="5"/>
  <c r="W23" i="5"/>
  <c r="W45" i="5"/>
  <c r="P74" i="5"/>
  <c r="R74" i="5" s="1"/>
  <c r="W131" i="5"/>
  <c r="P138" i="5"/>
  <c r="R138" i="5" s="1"/>
  <c r="W266" i="5"/>
  <c r="E303" i="5"/>
  <c r="F303" i="5" s="1"/>
  <c r="W461" i="5"/>
  <c r="W498" i="5"/>
  <c r="W653" i="5"/>
  <c r="W820" i="5"/>
  <c r="P1046" i="5"/>
  <c r="R1046" i="5" s="1"/>
  <c r="S1132" i="5"/>
  <c r="W1172" i="5"/>
  <c r="P1179" i="5"/>
  <c r="Q1179" i="5" s="1"/>
  <c r="S1504" i="5"/>
  <c r="P1524" i="5"/>
  <c r="R1524" i="5" s="1"/>
  <c r="S1846" i="5"/>
  <c r="S1862" i="5"/>
  <c r="S1870" i="5"/>
  <c r="S1910" i="5"/>
  <c r="P1615" i="5"/>
  <c r="R1615" i="5" s="1"/>
  <c r="S379" i="5"/>
  <c r="W43" i="5"/>
  <c r="T290" i="5"/>
  <c r="W370" i="5"/>
  <c r="S483" i="5"/>
  <c r="S579" i="5"/>
  <c r="W592" i="5"/>
  <c r="S606" i="5"/>
  <c r="P626" i="5"/>
  <c r="R626" i="5" s="1"/>
  <c r="W651" i="5"/>
  <c r="P1336" i="5"/>
  <c r="R1336" i="5" s="1"/>
  <c r="S1583" i="5"/>
  <c r="W1736" i="5"/>
  <c r="S1953" i="5"/>
  <c r="P1973" i="5"/>
  <c r="R1973" i="5" s="1"/>
  <c r="W1998" i="5"/>
  <c r="S2044" i="5"/>
  <c r="S126" i="5"/>
  <c r="W139" i="5"/>
  <c r="T268" i="5"/>
  <c r="W215" i="5"/>
  <c r="W380" i="5"/>
  <c r="P562" i="5"/>
  <c r="Q562" i="5" s="1"/>
  <c r="S697" i="5"/>
  <c r="S980" i="5"/>
  <c r="W1498" i="5"/>
  <c r="S1534" i="5"/>
  <c r="W1574" i="5"/>
  <c r="W1741" i="5"/>
  <c r="S1820" i="5"/>
  <c r="S1892" i="5"/>
  <c r="W1976" i="5"/>
  <c r="E304" i="5"/>
  <c r="F304" i="5" s="1"/>
  <c r="S131" i="5"/>
  <c r="P350" i="5"/>
  <c r="Q350" i="5" s="1"/>
  <c r="P540" i="5"/>
  <c r="R540" i="5" s="1"/>
  <c r="P727" i="5"/>
  <c r="R727" i="5" s="1"/>
  <c r="P205" i="5"/>
  <c r="R205" i="5" s="1"/>
  <c r="P1343" i="5"/>
  <c r="Q1343" i="5" s="1"/>
  <c r="P1704" i="5"/>
  <c r="R1704" i="5" s="1"/>
  <c r="S175" i="5"/>
  <c r="P200" i="5"/>
  <c r="R200" i="5" s="1"/>
  <c r="P449" i="5"/>
  <c r="R449" i="5" s="1"/>
  <c r="P48" i="5"/>
  <c r="R48" i="5" s="1"/>
  <c r="S50" i="5"/>
  <c r="S55" i="5"/>
  <c r="P70" i="5"/>
  <c r="Q70" i="5" s="1"/>
  <c r="W159" i="5"/>
  <c r="P242" i="5"/>
  <c r="Q242" i="5" s="1"/>
  <c r="P343" i="5"/>
  <c r="R343" i="5" s="1"/>
  <c r="P375" i="5"/>
  <c r="R375" i="5" s="1"/>
  <c r="P469" i="5"/>
  <c r="R469" i="5" s="1"/>
  <c r="S513" i="5"/>
  <c r="S545" i="5"/>
  <c r="W590" i="5"/>
  <c r="P624" i="5"/>
  <c r="R624" i="5" s="1"/>
  <c r="P924" i="5"/>
  <c r="Q924" i="5" s="1"/>
  <c r="S1049" i="5"/>
  <c r="W1062" i="5"/>
  <c r="W1278" i="5"/>
  <c r="S1297" i="5"/>
  <c r="W1567" i="5"/>
  <c r="W1589" i="5"/>
  <c r="P1682" i="5"/>
  <c r="R1682" i="5" s="1"/>
  <c r="S1694" i="5"/>
  <c r="P1709" i="5"/>
  <c r="R1709" i="5" s="1"/>
  <c r="S1983" i="5"/>
  <c r="P1988" i="5"/>
  <c r="R1988" i="5" s="1"/>
  <c r="W250" i="5"/>
  <c r="W632" i="5"/>
  <c r="W799" i="5"/>
  <c r="S897" i="5"/>
  <c r="S983" i="5"/>
  <c r="W1124" i="5"/>
  <c r="W1636" i="5"/>
  <c r="S1993" i="5"/>
  <c r="S2020" i="5"/>
  <c r="W393" i="5"/>
  <c r="F843" i="5"/>
  <c r="P1258" i="5"/>
  <c r="R1258" i="5" s="1"/>
  <c r="P41" i="5"/>
  <c r="R41" i="5" s="1"/>
  <c r="P127" i="5"/>
  <c r="Q127" i="5" s="1"/>
  <c r="H289" i="5"/>
  <c r="W718" i="5"/>
  <c r="P784" i="5"/>
  <c r="Q784" i="5" s="1"/>
  <c r="S1042" i="5"/>
  <c r="P1513" i="5"/>
  <c r="Q1513" i="5" s="1"/>
  <c r="W1957" i="5"/>
  <c r="W1989" i="5"/>
  <c r="P363" i="5"/>
  <c r="R363" i="5" s="1"/>
  <c r="P676" i="5"/>
  <c r="Q676" i="5" s="1"/>
  <c r="P890" i="5"/>
  <c r="R890" i="5" s="1"/>
  <c r="S112" i="5"/>
  <c r="W125" i="5"/>
  <c r="S144" i="5"/>
  <c r="W157" i="5"/>
  <c r="P176" i="5"/>
  <c r="R176" i="5" s="1"/>
  <c r="S188" i="5"/>
  <c r="P774" i="5"/>
  <c r="Q774" i="5" s="1"/>
  <c r="S1385" i="5"/>
  <c r="P1496" i="5"/>
  <c r="P1680" i="5"/>
  <c r="R1680" i="5" s="1"/>
  <c r="W2021" i="5"/>
  <c r="P1959" i="5"/>
  <c r="R1959" i="5" s="1"/>
  <c r="S1503" i="5"/>
  <c r="W2031" i="5"/>
  <c r="S1707" i="5"/>
  <c r="S2028" i="5"/>
  <c r="T1079" i="5"/>
  <c r="T1368" i="5"/>
  <c r="S34" i="5"/>
  <c r="W42" i="5"/>
  <c r="W96" i="5"/>
  <c r="S423" i="5"/>
  <c r="P551" i="5"/>
  <c r="Q551" i="5" s="1"/>
  <c r="T1089" i="5"/>
  <c r="W1141" i="5"/>
  <c r="P1271" i="5"/>
  <c r="R1271" i="5" s="1"/>
  <c r="W1352" i="5"/>
  <c r="S1388" i="5"/>
  <c r="S1442" i="5"/>
  <c r="H383" i="5"/>
  <c r="S489" i="5"/>
  <c r="P157" i="5"/>
  <c r="R157" i="5" s="1"/>
  <c r="S610" i="5"/>
  <c r="W682" i="5"/>
  <c r="H1102" i="5"/>
  <c r="W1142" i="5"/>
  <c r="P1232" i="5"/>
  <c r="R1232" i="5" s="1"/>
  <c r="S1398" i="5"/>
  <c r="P1413" i="5"/>
  <c r="R1413" i="5" s="1"/>
  <c r="W1465" i="5"/>
  <c r="P1742" i="5"/>
  <c r="H1077" i="5"/>
  <c r="W1047" i="5"/>
  <c r="T1106" i="5"/>
  <c r="P174" i="5"/>
  <c r="R174" i="5" s="1"/>
  <c r="H296" i="5"/>
  <c r="P354" i="5"/>
  <c r="Q354" i="5" s="1"/>
  <c r="P512" i="5"/>
  <c r="R512" i="5" s="1"/>
  <c r="P935" i="5"/>
  <c r="P1006" i="5"/>
  <c r="R1006" i="5" s="1"/>
  <c r="T1205" i="5"/>
  <c r="H1213" i="5"/>
  <c r="P1211" i="5"/>
  <c r="Q1211" i="5" s="1"/>
  <c r="P1296" i="5"/>
  <c r="Q1296" i="5" s="1"/>
  <c r="P2009" i="5"/>
  <c r="Q2009" i="5" s="1"/>
  <c r="P510" i="5"/>
  <c r="R510" i="5" s="1"/>
  <c r="S1225" i="5"/>
  <c r="H1104" i="5"/>
  <c r="S1400" i="5"/>
  <c r="P1203" i="5"/>
  <c r="Q1203" i="5" s="1"/>
  <c r="P772" i="5"/>
  <c r="R772" i="5" s="1"/>
  <c r="S174" i="5"/>
  <c r="H413" i="5"/>
  <c r="P359" i="5"/>
  <c r="R359" i="5" s="1"/>
  <c r="S593" i="5"/>
  <c r="W665" i="5"/>
  <c r="P918" i="5"/>
  <c r="R918" i="5" s="1"/>
  <c r="P940" i="5"/>
  <c r="R940" i="5" s="1"/>
  <c r="T1104" i="5"/>
  <c r="P1053" i="5"/>
  <c r="R1053" i="5" s="1"/>
  <c r="W1125" i="5"/>
  <c r="T1210" i="5"/>
  <c r="W1184" i="5"/>
  <c r="W1215" i="5"/>
  <c r="P1323" i="5"/>
  <c r="R1323" i="5" s="1"/>
  <c r="P1373" i="5"/>
  <c r="Q1373" i="5" s="1"/>
  <c r="S1494" i="5"/>
  <c r="P1698" i="5"/>
  <c r="R1698" i="5" s="1"/>
  <c r="F1314" i="5"/>
  <c r="T401" i="5"/>
  <c r="T385" i="5"/>
  <c r="P1442" i="5"/>
  <c r="R1442" i="5" s="1"/>
  <c r="S1545" i="5"/>
  <c r="W8" i="5"/>
  <c r="S71" i="5"/>
  <c r="S344" i="5"/>
  <c r="S376" i="5"/>
  <c r="W424" i="5"/>
  <c r="S502" i="5"/>
  <c r="P1004" i="5"/>
  <c r="R1004" i="5" s="1"/>
  <c r="H1085" i="5"/>
  <c r="S1011" i="5"/>
  <c r="W1024" i="5"/>
  <c r="H1218" i="5"/>
  <c r="P1164" i="5"/>
  <c r="Q1164" i="5" s="1"/>
  <c r="P1197" i="5"/>
  <c r="Q1197" i="5" s="1"/>
  <c r="W1267" i="5"/>
  <c r="S1286" i="5"/>
  <c r="W1299" i="5"/>
  <c r="P1306" i="5"/>
  <c r="R1306" i="5" s="1"/>
  <c r="W1394" i="5"/>
  <c r="W1480" i="5"/>
  <c r="W1583" i="5"/>
  <c r="W1696" i="5"/>
  <c r="S2031" i="5"/>
  <c r="S1914" i="5"/>
  <c r="S1836" i="5"/>
  <c r="S1940" i="5"/>
  <c r="S1855" i="5"/>
  <c r="S1895" i="5"/>
  <c r="S1911" i="5"/>
  <c r="P1842" i="5"/>
  <c r="R1842" i="5" s="1"/>
  <c r="S1951" i="5"/>
  <c r="P1813" i="5"/>
  <c r="R1813" i="5" s="1"/>
  <c r="S1789" i="5"/>
  <c r="S1805" i="5"/>
  <c r="P1888" i="5"/>
  <c r="R1888" i="5" s="1"/>
  <c r="P1830" i="5"/>
  <c r="R1830" i="5" s="1"/>
  <c r="W1035" i="5"/>
  <c r="W1175" i="5"/>
  <c r="W1243" i="5"/>
  <c r="H1363" i="5"/>
  <c r="W1302" i="5"/>
  <c r="W1463" i="5"/>
  <c r="S1499" i="5"/>
  <c r="W1529" i="5"/>
  <c r="W1573" i="5"/>
  <c r="S1604" i="5"/>
  <c r="S1626" i="5"/>
  <c r="S1692" i="5"/>
  <c r="S1719" i="5"/>
  <c r="W1732" i="5"/>
  <c r="W1749" i="5"/>
  <c r="S1807" i="5"/>
  <c r="T1360" i="5"/>
  <c r="P249" i="5"/>
  <c r="S357" i="5"/>
  <c r="P620" i="5"/>
  <c r="R620" i="5" s="1"/>
  <c r="P652" i="5"/>
  <c r="Q652" i="5" s="1"/>
  <c r="P458" i="5"/>
  <c r="R458" i="5" s="1"/>
  <c r="F1035" i="5"/>
  <c r="P51" i="5"/>
  <c r="R51" i="5" s="1"/>
  <c r="P173" i="5"/>
  <c r="Q173" i="5" s="1"/>
  <c r="P355" i="5"/>
  <c r="Q355" i="5" s="1"/>
  <c r="P436" i="5"/>
  <c r="R436" i="5" s="1"/>
  <c r="P657" i="5"/>
  <c r="R657" i="5" s="1"/>
  <c r="P718" i="5"/>
  <c r="Q718" i="5" s="1"/>
  <c r="P735" i="5"/>
  <c r="R735" i="5" s="1"/>
  <c r="P1663" i="5"/>
  <c r="Q1663" i="5" s="1"/>
  <c r="E410" i="5"/>
  <c r="F410" i="5" s="1"/>
  <c r="S492" i="5"/>
  <c r="P544" i="5"/>
  <c r="R544" i="5" s="1"/>
  <c r="H853" i="5"/>
  <c r="P129" i="5"/>
  <c r="Q129" i="5" s="1"/>
  <c r="E387" i="5"/>
  <c r="F387" i="5" s="1"/>
  <c r="S63" i="5"/>
  <c r="P161" i="5"/>
  <c r="R161" i="5" s="1"/>
  <c r="P171" i="5"/>
  <c r="R171" i="5" s="1"/>
  <c r="S173" i="5"/>
  <c r="P193" i="5"/>
  <c r="Q193" i="5" s="1"/>
  <c r="H279" i="5"/>
  <c r="P328" i="5"/>
  <c r="R328" i="5" s="1"/>
  <c r="S372" i="5"/>
  <c r="S443" i="5"/>
  <c r="W547" i="5"/>
  <c r="P554" i="5"/>
  <c r="R554" i="5" s="1"/>
  <c r="S642" i="5"/>
  <c r="W655" i="5"/>
  <c r="P708" i="5"/>
  <c r="W716" i="5"/>
  <c r="P740" i="5"/>
  <c r="Q740" i="5" s="1"/>
  <c r="W770" i="5"/>
  <c r="F819" i="5"/>
  <c r="W915" i="5"/>
  <c r="P976" i="5"/>
  <c r="R976" i="5" s="1"/>
  <c r="S1277" i="5"/>
  <c r="F1329" i="5"/>
  <c r="P1387" i="5"/>
  <c r="R1387" i="5" s="1"/>
  <c r="P1727" i="5"/>
  <c r="Q1727" i="5" s="1"/>
  <c r="S1751" i="5"/>
  <c r="P2044" i="5"/>
  <c r="Q2044" i="5" s="1"/>
  <c r="S794" i="5"/>
  <c r="W807" i="5"/>
  <c r="S929" i="5"/>
  <c r="P934" i="5"/>
  <c r="R934" i="5" s="1"/>
  <c r="P981" i="5"/>
  <c r="Q981" i="5" s="1"/>
  <c r="S993" i="5"/>
  <c r="W1050" i="5"/>
  <c r="T1097" i="5"/>
  <c r="P1243" i="5"/>
  <c r="P1255" i="5"/>
  <c r="R1255" i="5" s="1"/>
  <c r="P1421" i="5"/>
  <c r="R1421" i="5" s="1"/>
  <c r="S1497" i="5"/>
  <c r="S1786" i="5"/>
  <c r="S2007" i="5"/>
  <c r="S2034" i="5"/>
  <c r="S799" i="5"/>
  <c r="H1094" i="5"/>
  <c r="W1074" i="5"/>
  <c r="W1119" i="5"/>
  <c r="S1160" i="5"/>
  <c r="W1268" i="5"/>
  <c r="P1695" i="5"/>
  <c r="R1695" i="5" s="1"/>
  <c r="W1703" i="5"/>
  <c r="S1826" i="5"/>
  <c r="W1954" i="5"/>
  <c r="P1993" i="5"/>
  <c r="S1995" i="5"/>
  <c r="S436" i="5"/>
  <c r="W829" i="5"/>
  <c r="S939" i="5"/>
  <c r="S971" i="5"/>
  <c r="T1107" i="5"/>
  <c r="W1178" i="5"/>
  <c r="S1336" i="5"/>
  <c r="S1502" i="5"/>
  <c r="S1541" i="5"/>
  <c r="W1598" i="5"/>
  <c r="S1607" i="5"/>
  <c r="S1629" i="5"/>
  <c r="S1722" i="5"/>
  <c r="S1850" i="5"/>
  <c r="T281" i="5"/>
  <c r="S669" i="5"/>
  <c r="P333" i="5"/>
  <c r="R333" i="5" s="1"/>
  <c r="P71" i="5"/>
  <c r="R71" i="5" s="1"/>
  <c r="P110" i="5"/>
  <c r="Q110" i="5" s="1"/>
  <c r="W162" i="5"/>
  <c r="S198" i="5"/>
  <c r="S225" i="5"/>
  <c r="H407" i="5"/>
  <c r="W378" i="5"/>
  <c r="S424" i="5"/>
  <c r="P434" i="5"/>
  <c r="Q434" i="5" s="1"/>
  <c r="S473" i="5"/>
  <c r="W540" i="5"/>
  <c r="P547" i="5"/>
  <c r="Q547" i="5" s="1"/>
  <c r="W572" i="5"/>
  <c r="S618" i="5"/>
  <c r="P628" i="5"/>
  <c r="Q628" i="5" s="1"/>
  <c r="S635" i="5"/>
  <c r="S755" i="5"/>
  <c r="W908" i="5"/>
  <c r="W962" i="5"/>
  <c r="S981" i="5"/>
  <c r="P996" i="5"/>
  <c r="R996" i="5" s="1"/>
  <c r="W1070" i="5"/>
  <c r="S1121" i="5"/>
  <c r="T1214" i="5"/>
  <c r="W1156" i="5"/>
  <c r="S1265" i="5"/>
  <c r="P1290" i="5"/>
  <c r="R1290" i="5" s="1"/>
  <c r="T1352" i="5"/>
  <c r="P1821" i="5"/>
  <c r="R1821" i="5" s="1"/>
  <c r="S1436" i="5"/>
  <c r="W1449" i="5"/>
  <c r="S1512" i="5"/>
  <c r="W1537" i="5"/>
  <c r="S1656" i="5"/>
  <c r="S1705" i="5"/>
  <c r="W1762" i="5"/>
  <c r="W74" i="5"/>
  <c r="W86" i="5"/>
  <c r="W145" i="5"/>
  <c r="W189" i="5"/>
  <c r="H282" i="5"/>
  <c r="W221" i="5"/>
  <c r="S252" i="5"/>
  <c r="W265" i="5"/>
  <c r="W437" i="5"/>
  <c r="S510" i="5"/>
  <c r="W550" i="5"/>
  <c r="S569" i="5"/>
  <c r="S596" i="5"/>
  <c r="W609" i="5"/>
  <c r="S927" i="5"/>
  <c r="W972" i="5"/>
  <c r="W1079" i="5"/>
  <c r="S1153" i="5"/>
  <c r="P1206" i="5"/>
  <c r="Q1206" i="5" s="1"/>
  <c r="W1234" i="5"/>
  <c r="W1261" i="5"/>
  <c r="W1315" i="5"/>
  <c r="T283" i="5"/>
  <c r="T392" i="5"/>
  <c r="W1503" i="5"/>
  <c r="W1525" i="5"/>
  <c r="P1554" i="5"/>
  <c r="Q1554" i="5" s="1"/>
  <c r="S1578" i="5"/>
  <c r="W1591" i="5"/>
  <c r="P1737" i="5"/>
  <c r="R1737" i="5" s="1"/>
  <c r="W1766" i="5"/>
  <c r="W2000" i="5"/>
  <c r="S574" i="5"/>
  <c r="P1011" i="5"/>
  <c r="Q1011" i="5" s="1"/>
  <c r="P1124" i="5"/>
  <c r="P1310" i="5"/>
  <c r="R1310" i="5" s="1"/>
  <c r="P1372" i="5"/>
  <c r="Q1372" i="5" s="1"/>
  <c r="P1559" i="5"/>
  <c r="Q1559" i="5" s="1"/>
  <c r="S1792" i="5"/>
  <c r="S1800" i="5"/>
  <c r="P704" i="5"/>
  <c r="R704" i="5" s="1"/>
  <c r="P341" i="5"/>
  <c r="Q341" i="5" s="1"/>
  <c r="P25" i="5"/>
  <c r="R25" i="5" s="1"/>
  <c r="P47" i="5"/>
  <c r="Q47" i="5" s="1"/>
  <c r="W62" i="5"/>
  <c r="P103" i="5"/>
  <c r="R103" i="5" s="1"/>
  <c r="S115" i="5"/>
  <c r="P196" i="5"/>
  <c r="Q196" i="5" s="1"/>
  <c r="W204" i="5"/>
  <c r="S267" i="5"/>
  <c r="W371" i="5"/>
  <c r="S439" i="5"/>
  <c r="P454" i="5"/>
  <c r="R454" i="5" s="1"/>
  <c r="S466" i="5"/>
  <c r="P471" i="5"/>
  <c r="R471" i="5" s="1"/>
  <c r="W474" i="5"/>
  <c r="S552" i="5"/>
  <c r="W641" i="5"/>
  <c r="S748" i="5"/>
  <c r="P824" i="5"/>
  <c r="Q824" i="5" s="1"/>
  <c r="W832" i="5"/>
  <c r="P930" i="5"/>
  <c r="R930" i="5" s="1"/>
  <c r="P994" i="5"/>
  <c r="Q994" i="5" s="1"/>
  <c r="S1001" i="5"/>
  <c r="P1016" i="5"/>
  <c r="Q1016" i="5" s="1"/>
  <c r="S1028" i="5"/>
  <c r="P1070" i="5"/>
  <c r="P1173" i="5"/>
  <c r="Q1173" i="5" s="1"/>
  <c r="P1300" i="5"/>
  <c r="R1300" i="5" s="1"/>
  <c r="S1334" i="5"/>
  <c r="W1410" i="5"/>
  <c r="S1488" i="5"/>
  <c r="P1549" i="5"/>
  <c r="Q1549" i="5" s="1"/>
  <c r="P1664" i="5"/>
  <c r="Q1664" i="5" s="1"/>
  <c r="S1698" i="5"/>
  <c r="W1755" i="5"/>
  <c r="W2006" i="5"/>
  <c r="W452" i="5"/>
  <c r="S498" i="5"/>
  <c r="W793" i="5"/>
  <c r="S812" i="5"/>
  <c r="S947" i="5"/>
  <c r="W960" i="5"/>
  <c r="W992" i="5"/>
  <c r="W1014" i="5"/>
  <c r="H1107" i="5"/>
  <c r="S1033" i="5"/>
  <c r="W1041" i="5"/>
  <c r="S1055" i="5"/>
  <c r="S1268" i="5"/>
  <c r="P1288" i="5"/>
  <c r="R1288" i="5" s="1"/>
  <c r="S1840" i="5"/>
  <c r="S1848" i="5"/>
  <c r="W1967" i="5"/>
  <c r="S1986" i="5"/>
  <c r="S903" i="5"/>
  <c r="S952" i="5"/>
  <c r="S984" i="5"/>
  <c r="S1006" i="5"/>
  <c r="W1019" i="5"/>
  <c r="S1060" i="5"/>
  <c r="W1232" i="5"/>
  <c r="W1254" i="5"/>
  <c r="P1486" i="5"/>
  <c r="R1486" i="5" s="1"/>
  <c r="S1554" i="5"/>
  <c r="W1645" i="5"/>
  <c r="W1689" i="5"/>
  <c r="S1795" i="5"/>
  <c r="S1803" i="5"/>
  <c r="S1959" i="5"/>
  <c r="W1972" i="5"/>
  <c r="S1991" i="5"/>
  <c r="W2038" i="5"/>
  <c r="W11" i="5"/>
  <c r="W89" i="5"/>
  <c r="S162" i="5"/>
  <c r="S179" i="5"/>
  <c r="W224" i="5"/>
  <c r="P248" i="5"/>
  <c r="Q248" i="5" s="1"/>
  <c r="W327" i="5"/>
  <c r="W467" i="5"/>
  <c r="W494" i="5"/>
  <c r="W516" i="5"/>
  <c r="S599" i="5"/>
  <c r="W678" i="5"/>
  <c r="S709" i="5"/>
  <c r="F820" i="5"/>
  <c r="P950" i="5"/>
  <c r="R950" i="5" s="1"/>
  <c r="S1070" i="5"/>
  <c r="H1203" i="5"/>
  <c r="S1156" i="5"/>
  <c r="P1200" i="5"/>
  <c r="Q1200" i="5" s="1"/>
  <c r="S1444" i="5"/>
  <c r="W1489" i="5"/>
  <c r="S1515" i="5"/>
  <c r="S1559" i="5"/>
  <c r="S1603" i="5"/>
  <c r="W1633" i="5"/>
  <c r="P1750" i="5"/>
  <c r="R1750" i="5" s="1"/>
  <c r="S1969" i="5"/>
  <c r="W1982" i="5"/>
  <c r="P356" i="5"/>
  <c r="Q356" i="5" s="1"/>
  <c r="P437" i="5"/>
  <c r="R437" i="5" s="1"/>
  <c r="P2013" i="5"/>
  <c r="R2013" i="5" s="1"/>
  <c r="W16" i="5"/>
  <c r="W99" i="5"/>
  <c r="P133" i="5"/>
  <c r="Q133" i="5" s="1"/>
  <c r="W158" i="5"/>
  <c r="W197" i="5"/>
  <c r="W445" i="5"/>
  <c r="S582" i="5"/>
  <c r="S609" i="5"/>
  <c r="P739" i="5"/>
  <c r="Q739" i="5" s="1"/>
  <c r="S746" i="5"/>
  <c r="S805" i="5"/>
  <c r="W904" i="5"/>
  <c r="P1110" i="5"/>
  <c r="R1110" i="5" s="1"/>
  <c r="P1154" i="5"/>
  <c r="Q1154" i="5" s="1"/>
  <c r="P1207" i="5"/>
  <c r="Q1207" i="5" s="1"/>
  <c r="S1239" i="5"/>
  <c r="S1486" i="5"/>
  <c r="W1494" i="5"/>
  <c r="S1569" i="5"/>
  <c r="S1608" i="5"/>
  <c r="W1660" i="5"/>
  <c r="P1701" i="5"/>
  <c r="R1701" i="5" s="1"/>
  <c r="P1711" i="5"/>
  <c r="R1711" i="5" s="1"/>
  <c r="S1740" i="5"/>
  <c r="S1782" i="5"/>
  <c r="S1996" i="5"/>
  <c r="S2040" i="5"/>
  <c r="W2053" i="5"/>
  <c r="P1947" i="5"/>
  <c r="R1947" i="5" s="1"/>
  <c r="S13" i="5"/>
  <c r="P62" i="5"/>
  <c r="Q62" i="5" s="1"/>
  <c r="S155" i="5"/>
  <c r="S226" i="5"/>
  <c r="S312" i="5"/>
  <c r="W320" i="5"/>
  <c r="W347" i="5"/>
  <c r="S366" i="5"/>
  <c r="S501" i="5"/>
  <c r="W541" i="5"/>
  <c r="S560" i="5"/>
  <c r="W671" i="5"/>
  <c r="S729" i="5"/>
  <c r="S783" i="5"/>
  <c r="S950" i="5"/>
  <c r="S982" i="5"/>
  <c r="E1222" i="5"/>
  <c r="F1222" i="5" s="1"/>
  <c r="T1369" i="5"/>
  <c r="W1477" i="5"/>
  <c r="P1484" i="5"/>
  <c r="R1484" i="5" s="1"/>
  <c r="S1491" i="5"/>
  <c r="P1606" i="5"/>
  <c r="S1745" i="5"/>
  <c r="S1822" i="5"/>
  <c r="S1907" i="5"/>
  <c r="P1918" i="5"/>
  <c r="Q1918" i="5" s="1"/>
  <c r="S1931" i="5"/>
  <c r="S1939" i="5"/>
  <c r="P2028" i="5"/>
  <c r="R2028" i="5" s="1"/>
  <c r="W1240" i="5"/>
  <c r="S1249" i="5"/>
  <c r="W1294" i="5"/>
  <c r="P1447" i="5"/>
  <c r="Q1447" i="5" s="1"/>
  <c r="P1689" i="5"/>
  <c r="R1689" i="5" s="1"/>
  <c r="W2014" i="5"/>
  <c r="W2041" i="5"/>
  <c r="W185" i="5"/>
  <c r="P602" i="5"/>
  <c r="R602" i="5" s="1"/>
  <c r="P158" i="5"/>
  <c r="Q158" i="5" s="1"/>
  <c r="P607" i="5"/>
  <c r="R607" i="5" s="1"/>
  <c r="P803" i="5"/>
  <c r="R803" i="5" s="1"/>
  <c r="P214" i="5"/>
  <c r="R214" i="5" s="1"/>
  <c r="P435" i="5"/>
  <c r="R435" i="5" s="1"/>
  <c r="P445" i="5"/>
  <c r="R445" i="5" s="1"/>
  <c r="W14" i="5"/>
  <c r="W41" i="5"/>
  <c r="W58" i="5"/>
  <c r="P65" i="5"/>
  <c r="R65" i="5" s="1"/>
  <c r="S72" i="5"/>
  <c r="S111" i="5"/>
  <c r="S143" i="5"/>
  <c r="W156" i="5"/>
  <c r="S187" i="5"/>
  <c r="W200" i="5"/>
  <c r="W249" i="5"/>
  <c r="S258" i="5"/>
  <c r="H401" i="5"/>
  <c r="W335" i="5"/>
  <c r="W367" i="5"/>
  <c r="P467" i="5"/>
  <c r="R467" i="5" s="1"/>
  <c r="W561" i="5"/>
  <c r="S656" i="5"/>
  <c r="P666" i="5"/>
  <c r="R666" i="5" s="1"/>
  <c r="S673" i="5"/>
  <c r="H878" i="5"/>
  <c r="W902" i="5"/>
  <c r="S1019" i="5"/>
  <c r="P1366" i="5"/>
  <c r="Q1366" i="5" s="1"/>
  <c r="P1633" i="5"/>
  <c r="Q1633" i="5" s="1"/>
  <c r="P1677" i="5"/>
  <c r="R1677" i="5" s="1"/>
  <c r="P1743" i="5"/>
  <c r="R1743" i="5" s="1"/>
  <c r="P484" i="5"/>
  <c r="R484" i="5" s="1"/>
  <c r="P16" i="5"/>
  <c r="Q16" i="5" s="1"/>
  <c r="P99" i="5"/>
  <c r="R99" i="5" s="1"/>
  <c r="S33" i="5"/>
  <c r="W80" i="5"/>
  <c r="S148" i="5"/>
  <c r="P153" i="5"/>
  <c r="R153" i="5" s="1"/>
  <c r="S192" i="5"/>
  <c r="P224" i="5"/>
  <c r="R224" i="5" s="1"/>
  <c r="W317" i="5"/>
  <c r="S327" i="5"/>
  <c r="W372" i="5"/>
  <c r="E405" i="5"/>
  <c r="W405" i="5" s="1"/>
  <c r="W426" i="5"/>
  <c r="S494" i="5"/>
  <c r="S553" i="5"/>
  <c r="S585" i="5"/>
  <c r="S678" i="5"/>
  <c r="W956" i="5"/>
  <c r="W988" i="5"/>
  <c r="S1024" i="5"/>
  <c r="S1100" i="5" s="1"/>
  <c r="H1103" i="5"/>
  <c r="S1051" i="5"/>
  <c r="W1150" i="5"/>
  <c r="P1201" i="5"/>
  <c r="Q1201" i="5" s="1"/>
  <c r="P1284" i="5"/>
  <c r="Q1284" i="5" s="1"/>
  <c r="W1470" i="5"/>
  <c r="W1514" i="5"/>
  <c r="S1589" i="5"/>
  <c r="S1677" i="5"/>
  <c r="P1731" i="5"/>
  <c r="Q1731" i="5" s="1"/>
  <c r="P1780" i="5"/>
  <c r="Q1780" i="5" s="1"/>
  <c r="S1841" i="5"/>
  <c r="S1977" i="5"/>
  <c r="P985" i="5"/>
  <c r="R985" i="5" s="1"/>
  <c r="H1108" i="5"/>
  <c r="H1194" i="5"/>
  <c r="P1289" i="5"/>
  <c r="R1289" i="5" s="1"/>
  <c r="S1301" i="5"/>
  <c r="P1352" i="5"/>
  <c r="Q1352" i="5" s="1"/>
  <c r="P1450" i="5"/>
  <c r="R1450" i="5" s="1"/>
  <c r="P1482" i="5"/>
  <c r="R1482" i="5" s="1"/>
  <c r="P1582" i="5"/>
  <c r="R1582" i="5" s="1"/>
  <c r="W1602" i="5"/>
  <c r="P1604" i="5"/>
  <c r="Q1604" i="5" s="1"/>
  <c r="P1670" i="5"/>
  <c r="R1670" i="5" s="1"/>
  <c r="W1773" i="5"/>
  <c r="S1788" i="5"/>
  <c r="S1796" i="5"/>
  <c r="W624" i="5"/>
  <c r="P114" i="5"/>
  <c r="R114" i="5" s="1"/>
  <c r="P222" i="5"/>
  <c r="R222" i="5" s="1"/>
  <c r="S246" i="5"/>
  <c r="P919" i="5"/>
  <c r="R919" i="5" s="1"/>
  <c r="P941" i="5"/>
  <c r="R941" i="5" s="1"/>
  <c r="P973" i="5"/>
  <c r="R973" i="5" s="1"/>
  <c r="E1095" i="5"/>
  <c r="F1095" i="5" s="1"/>
  <c r="P1187" i="5"/>
  <c r="Q1187" i="5" s="1"/>
  <c r="P1219" i="5"/>
  <c r="Q1219" i="5" s="1"/>
  <c r="P1316" i="5"/>
  <c r="R1316" i="5" s="1"/>
  <c r="P1570" i="5"/>
  <c r="R1570" i="5" s="1"/>
  <c r="P1599" i="5"/>
  <c r="Q1599" i="5" s="1"/>
  <c r="P1799" i="5"/>
  <c r="Q1799" i="5" s="1"/>
  <c r="P1807" i="5"/>
  <c r="Q1807" i="5" s="1"/>
  <c r="P1884" i="5"/>
  <c r="R1884" i="5" s="1"/>
  <c r="S1897" i="5"/>
  <c r="P583" i="5"/>
  <c r="R583" i="5" s="1"/>
  <c r="P698" i="5"/>
  <c r="R698" i="5" s="1"/>
  <c r="S727" i="5"/>
  <c r="W73" i="5"/>
  <c r="P180" i="5"/>
  <c r="R180" i="5" s="1"/>
  <c r="W188" i="5"/>
  <c r="W242" i="5"/>
  <c r="P244" i="5"/>
  <c r="R244" i="5" s="1"/>
  <c r="W264" i="5"/>
  <c r="P470" i="5"/>
  <c r="R470" i="5" s="1"/>
  <c r="P497" i="5"/>
  <c r="R497" i="5" s="1"/>
  <c r="S536" i="5"/>
  <c r="P573" i="5"/>
  <c r="Q573" i="5" s="1"/>
  <c r="W576" i="5"/>
  <c r="P681" i="5"/>
  <c r="Q681" i="5" s="1"/>
  <c r="W696" i="5"/>
  <c r="S737" i="5"/>
  <c r="S791" i="5"/>
  <c r="P823" i="5"/>
  <c r="R823" i="5" s="1"/>
  <c r="W843" i="5"/>
  <c r="W890" i="5"/>
  <c r="P897" i="5"/>
  <c r="Q897" i="5" s="1"/>
  <c r="S926" i="5"/>
  <c r="W939" i="5"/>
  <c r="S1066" i="5"/>
  <c r="S1152" i="5"/>
  <c r="P1212" i="5"/>
  <c r="Q1212" i="5" s="1"/>
  <c r="P1321" i="5"/>
  <c r="Q1321" i="5" s="1"/>
  <c r="W1399" i="5"/>
  <c r="W1426" i="5"/>
  <c r="P1548" i="5"/>
  <c r="R1548" i="5" s="1"/>
  <c r="S1682" i="5"/>
  <c r="W1695" i="5"/>
  <c r="S1828" i="5"/>
  <c r="P1908" i="5"/>
  <c r="R1908" i="5" s="1"/>
  <c r="P1985" i="5"/>
  <c r="R1985" i="5" s="1"/>
  <c r="S26" i="5"/>
  <c r="W34" i="5"/>
  <c r="T278" i="5"/>
  <c r="H286" i="5"/>
  <c r="S212" i="5"/>
  <c r="H415" i="5"/>
  <c r="W468" i="5"/>
  <c r="S573" i="5"/>
  <c r="P578" i="5"/>
  <c r="Q578" i="5" s="1"/>
  <c r="S649" i="5"/>
  <c r="T862" i="5"/>
  <c r="S963" i="5"/>
  <c r="H1358" i="5"/>
  <c r="W1387" i="5"/>
  <c r="S1477" i="5"/>
  <c r="W1651" i="5"/>
  <c r="W1727" i="5"/>
  <c r="P1751" i="5"/>
  <c r="R1751" i="5" s="1"/>
  <c r="S1775" i="5"/>
  <c r="P1940" i="5"/>
  <c r="R1940" i="5" s="1"/>
  <c r="P2002" i="5"/>
  <c r="R2002" i="5" s="1"/>
  <c r="W2017" i="5"/>
  <c r="W1170" i="5"/>
  <c r="S1320" i="5"/>
  <c r="W1289" i="5"/>
  <c r="S1539" i="5"/>
  <c r="W581" i="5"/>
  <c r="S1052" i="5"/>
  <c r="S1269" i="5"/>
  <c r="P1330" i="5"/>
  <c r="R1330" i="5" s="1"/>
  <c r="S1544" i="5"/>
  <c r="S1627" i="5"/>
  <c r="S1671" i="5"/>
  <c r="S185" i="5"/>
  <c r="P166" i="5"/>
  <c r="Q166" i="5" s="1"/>
  <c r="P493" i="5"/>
  <c r="Q493" i="5" s="1"/>
  <c r="W1248" i="5"/>
  <c r="S1262" i="5"/>
  <c r="W1594" i="5"/>
  <c r="S1642" i="5"/>
  <c r="S1703" i="5"/>
  <c r="S1747" i="5"/>
  <c r="S1971" i="5"/>
  <c r="P1981" i="5"/>
  <c r="Q1981" i="5" s="1"/>
  <c r="W1996" i="5"/>
  <c r="P2032" i="5"/>
  <c r="Q2032" i="5" s="1"/>
  <c r="S166" i="5"/>
  <c r="S522" i="5"/>
  <c r="P945" i="5"/>
  <c r="R945" i="5" s="1"/>
  <c r="P1949" i="5"/>
  <c r="R1949" i="5" s="1"/>
  <c r="E280" i="5"/>
  <c r="F280" i="5" s="1"/>
  <c r="W811" i="5"/>
  <c r="S837" i="5"/>
  <c r="P842" i="5"/>
  <c r="R842" i="5" s="1"/>
  <c r="W914" i="5"/>
  <c r="W985" i="5"/>
  <c r="S1245" i="5"/>
  <c r="S1267" i="5"/>
  <c r="S1464" i="5"/>
  <c r="S1469" i="5"/>
  <c r="P1904" i="5"/>
  <c r="R1904" i="5" s="1"/>
  <c r="S1909" i="5"/>
  <c r="S1941" i="5"/>
  <c r="W1962" i="5"/>
  <c r="S2022" i="5"/>
  <c r="P662" i="5"/>
  <c r="Q662" i="5" s="1"/>
  <c r="P2020" i="5"/>
  <c r="R2020" i="5" s="1"/>
  <c r="P1279" i="5"/>
  <c r="R1279" i="5" s="1"/>
  <c r="S539" i="5"/>
  <c r="F247" i="5"/>
  <c r="W247" i="5"/>
  <c r="E285" i="5"/>
  <c r="F285" i="5" s="1"/>
  <c r="P459" i="5"/>
  <c r="R459" i="5" s="1"/>
  <c r="T303" i="5"/>
  <c r="P1309" i="5"/>
  <c r="R1309" i="5" s="1"/>
  <c r="S176" i="5"/>
  <c r="H277" i="5"/>
  <c r="P640" i="5"/>
  <c r="Q640" i="5" s="1"/>
  <c r="P938" i="5"/>
  <c r="Q938" i="5" s="1"/>
  <c r="P1435" i="5"/>
  <c r="R1435" i="5" s="1"/>
  <c r="P1672" i="5"/>
  <c r="R1672" i="5" s="1"/>
  <c r="S1040" i="5"/>
  <c r="P98" i="5"/>
  <c r="Q98" i="5" s="1"/>
  <c r="S532" i="5"/>
  <c r="P57" i="5"/>
  <c r="Q57" i="5" s="1"/>
  <c r="H294" i="5"/>
  <c r="P813" i="5"/>
  <c r="Q813" i="5" s="1"/>
  <c r="P904" i="5"/>
  <c r="R904" i="5" s="1"/>
  <c r="T274" i="5"/>
  <c r="S208" i="5"/>
  <c r="T296" i="5"/>
  <c r="S630" i="5"/>
  <c r="S652" i="5"/>
  <c r="S747" i="5"/>
  <c r="S938" i="5"/>
  <c r="P948" i="5"/>
  <c r="R948" i="5" s="1"/>
  <c r="W1329" i="5"/>
  <c r="S1567" i="5"/>
  <c r="W1692" i="5"/>
  <c r="P1899" i="5"/>
  <c r="R1899" i="5" s="1"/>
  <c r="S1904" i="5"/>
  <c r="P2057" i="5"/>
  <c r="R2057" i="5" s="1"/>
  <c r="S18" i="5"/>
  <c r="W165" i="5"/>
  <c r="S191" i="5"/>
  <c r="W743" i="5"/>
  <c r="P745" i="5"/>
  <c r="R745" i="5" s="1"/>
  <c r="P762" i="5"/>
  <c r="S769" i="5"/>
  <c r="P789" i="5"/>
  <c r="Q789" i="5" s="1"/>
  <c r="S796" i="5"/>
  <c r="S899" i="5"/>
  <c r="S1151" i="5"/>
  <c r="W1159" i="5"/>
  <c r="P1183" i="5"/>
  <c r="R1183" i="5" s="1"/>
  <c r="H1339" i="5"/>
  <c r="W1273" i="5"/>
  <c r="W1312" i="5"/>
  <c r="P1314" i="5"/>
  <c r="Q1314" i="5" s="1"/>
  <c r="F1592" i="5"/>
  <c r="W1592" i="5"/>
  <c r="S2042" i="5"/>
  <c r="S706" i="5"/>
  <c r="P767" i="5"/>
  <c r="R767" i="5" s="1"/>
  <c r="S1029" i="5"/>
  <c r="W1037" i="5"/>
  <c r="S1068" i="5"/>
  <c r="S1144" i="5"/>
  <c r="W1169" i="5"/>
  <c r="S1280" i="5"/>
  <c r="W1546" i="5"/>
  <c r="W1590" i="5"/>
  <c r="P1841" i="5"/>
  <c r="Q1841" i="5" s="1"/>
  <c r="P1849" i="5"/>
  <c r="Q1849" i="5" s="1"/>
  <c r="P1543" i="5"/>
  <c r="R1543" i="5" s="1"/>
  <c r="F1054" i="5"/>
  <c r="P1246" i="5"/>
  <c r="Q1246" i="5" s="1"/>
  <c r="S1582" i="5"/>
  <c r="W155" i="5"/>
  <c r="T870" i="5"/>
  <c r="S1039" i="5"/>
  <c r="F1162" i="5"/>
  <c r="E1200" i="5"/>
  <c r="F1200" i="5" s="1"/>
  <c r="E1197" i="5"/>
  <c r="F1197" i="5" s="1"/>
  <c r="W1237" i="5"/>
  <c r="W1259" i="5"/>
  <c r="T1339" i="5"/>
  <c r="S1509" i="5"/>
  <c r="W1600" i="5"/>
  <c r="W1102" i="5"/>
  <c r="F381" i="5"/>
  <c r="S718" i="5"/>
  <c r="H1371" i="5"/>
  <c r="P321" i="5"/>
  <c r="R321" i="5" s="1"/>
  <c r="S326" i="5"/>
  <c r="T848" i="5"/>
  <c r="P1061" i="5"/>
  <c r="R1061" i="5" s="1"/>
  <c r="S682" i="5"/>
  <c r="S760" i="5"/>
  <c r="W1461" i="5"/>
  <c r="P1502" i="5"/>
  <c r="Q1502" i="5" s="1"/>
  <c r="P1519" i="5"/>
  <c r="Q1519" i="5" s="1"/>
  <c r="S1889" i="5"/>
  <c r="F516" i="5"/>
  <c r="T399" i="5"/>
  <c r="T416" i="5"/>
  <c r="S345" i="5"/>
  <c r="E869" i="5"/>
  <c r="F869" i="5" s="1"/>
  <c r="W831" i="5"/>
  <c r="P550" i="5"/>
  <c r="Q550" i="5" s="1"/>
  <c r="P1000" i="5"/>
  <c r="Q1000" i="5" s="1"/>
  <c r="S438" i="5"/>
  <c r="S455" i="5"/>
  <c r="W263" i="5"/>
  <c r="W339" i="5"/>
  <c r="W434" i="5"/>
  <c r="W451" i="5"/>
  <c r="W661" i="5"/>
  <c r="S726" i="5"/>
  <c r="W800" i="5"/>
  <c r="S988" i="5"/>
  <c r="W1417" i="5"/>
  <c r="W1444" i="5"/>
  <c r="W1466" i="5"/>
  <c r="W1710" i="5"/>
  <c r="W1754" i="5"/>
  <c r="S1960" i="5"/>
  <c r="S1987" i="5"/>
  <c r="W2002" i="5"/>
  <c r="P178" i="5"/>
  <c r="R178" i="5" s="1"/>
  <c r="T1222" i="5"/>
  <c r="F1164" i="5"/>
  <c r="T387" i="5"/>
  <c r="P2" i="5"/>
  <c r="R2" i="5" s="1"/>
  <c r="P1490" i="5"/>
  <c r="R1490" i="5" s="1"/>
  <c r="S209" i="5"/>
  <c r="P253" i="5"/>
  <c r="R253" i="5" s="1"/>
  <c r="E404" i="5"/>
  <c r="F404" i="5" s="1"/>
  <c r="W366" i="5"/>
  <c r="W644" i="5"/>
  <c r="P685" i="5"/>
  <c r="R685" i="5" s="1"/>
  <c r="W717" i="5"/>
  <c r="W761" i="5"/>
  <c r="T868" i="5"/>
  <c r="P1123" i="5"/>
  <c r="P1390" i="5"/>
  <c r="R1390" i="5" s="1"/>
  <c r="P1434" i="5"/>
  <c r="R1434" i="5" s="1"/>
  <c r="S1463" i="5"/>
  <c r="P1483" i="5"/>
  <c r="Q1483" i="5" s="1"/>
  <c r="P1495" i="5"/>
  <c r="Q1495" i="5" s="1"/>
  <c r="S1746" i="5"/>
  <c r="F364" i="5"/>
  <c r="E402" i="5"/>
  <c r="F402" i="5" s="1"/>
  <c r="S617" i="5"/>
  <c r="F375" i="5"/>
  <c r="E413" i="5"/>
  <c r="F413" i="5" s="1"/>
  <c r="T1341" i="5"/>
  <c r="F104" i="5"/>
  <c r="W104" i="5"/>
  <c r="S128" i="5"/>
  <c r="H303" i="5"/>
  <c r="P582" i="5"/>
  <c r="R582" i="5" s="1"/>
  <c r="P331" i="5"/>
  <c r="R331" i="5" s="1"/>
  <c r="W228" i="5"/>
  <c r="S170" i="5"/>
  <c r="P185" i="5"/>
  <c r="R185" i="5" s="1"/>
  <c r="F366" i="5"/>
  <c r="P424" i="5"/>
  <c r="Q424" i="5" s="1"/>
  <c r="P668" i="5"/>
  <c r="R668" i="5" s="1"/>
  <c r="P1145" i="5"/>
  <c r="R1145" i="5" s="1"/>
  <c r="W1388" i="5"/>
  <c r="S1309" i="5"/>
  <c r="P721" i="5"/>
  <c r="R721" i="5" s="1"/>
  <c r="W216" i="5"/>
  <c r="W183" i="5"/>
  <c r="P241" i="5"/>
  <c r="Q241" i="5" s="1"/>
  <c r="P346" i="5"/>
  <c r="R346" i="5" s="1"/>
  <c r="P361" i="5"/>
  <c r="Q361" i="5" s="1"/>
  <c r="W627" i="5"/>
  <c r="S663" i="5"/>
  <c r="W705" i="5"/>
  <c r="W727" i="5"/>
  <c r="P751" i="5"/>
  <c r="Q751" i="5" s="1"/>
  <c r="S758" i="5"/>
  <c r="P785" i="5"/>
  <c r="Q785" i="5" s="1"/>
  <c r="W957" i="5"/>
  <c r="S976" i="5"/>
  <c r="H1192" i="5"/>
  <c r="P1451" i="5"/>
  <c r="R1451" i="5" s="1"/>
  <c r="S1573" i="5"/>
  <c r="S1863" i="5"/>
  <c r="S1900" i="5"/>
  <c r="P339" i="5"/>
  <c r="R339" i="5" s="1"/>
  <c r="S534" i="5"/>
  <c r="S717" i="5"/>
  <c r="S145" i="5"/>
  <c r="S557" i="5"/>
  <c r="H1082" i="5"/>
  <c r="S1178" i="5"/>
  <c r="S333" i="5"/>
  <c r="S355" i="5"/>
  <c r="H395" i="5"/>
  <c r="P322" i="5"/>
  <c r="R322" i="5" s="1"/>
  <c r="H403" i="5"/>
  <c r="T417" i="5"/>
  <c r="P969" i="5"/>
  <c r="Q969" i="5" s="1"/>
  <c r="T1206" i="5"/>
  <c r="P1167" i="5"/>
  <c r="R1167" i="5" s="1"/>
  <c r="P1308" i="5"/>
  <c r="R1308" i="5" s="1"/>
  <c r="W19" i="5"/>
  <c r="P246" i="5"/>
  <c r="Q246" i="5" s="1"/>
  <c r="S253" i="5"/>
  <c r="W381" i="5"/>
  <c r="P622" i="5"/>
  <c r="Q622" i="5" s="1"/>
  <c r="S954" i="5"/>
  <c r="W967" i="5"/>
  <c r="T1096" i="5"/>
  <c r="S1047" i="5"/>
  <c r="S1064" i="5"/>
  <c r="W1114" i="5"/>
  <c r="T1211" i="5"/>
  <c r="W1165" i="5"/>
  <c r="S1184" i="5"/>
  <c r="S1298" i="5"/>
  <c r="S1332" i="5"/>
  <c r="S1337" i="5"/>
  <c r="P1358" i="5"/>
  <c r="Q1358" i="5" s="1"/>
  <c r="P336" i="5"/>
  <c r="Q336" i="5" s="1"/>
  <c r="S343" i="5"/>
  <c r="P358" i="5"/>
  <c r="R358" i="5" s="1"/>
  <c r="P428" i="5"/>
  <c r="R428" i="5" s="1"/>
  <c r="P474" i="5"/>
  <c r="R474" i="5" s="1"/>
  <c r="S503" i="5"/>
  <c r="P508" i="5"/>
  <c r="R508" i="5" s="1"/>
  <c r="P549" i="5"/>
  <c r="R549" i="5" s="1"/>
  <c r="W596" i="5"/>
  <c r="P598" i="5"/>
  <c r="Q598" i="5" s="1"/>
  <c r="W613" i="5"/>
  <c r="P632" i="5"/>
  <c r="R632" i="5" s="1"/>
  <c r="W700" i="5"/>
  <c r="S721" i="5"/>
  <c r="S728" i="5"/>
  <c r="W741" i="5"/>
  <c r="W787" i="5"/>
  <c r="S906" i="5"/>
  <c r="P916" i="5"/>
  <c r="R916" i="5" s="1"/>
  <c r="P928" i="5"/>
  <c r="Q928" i="5" s="1"/>
  <c r="P1003" i="5"/>
  <c r="Q1003" i="5" s="1"/>
  <c r="S1010" i="5"/>
  <c r="P1049" i="5"/>
  <c r="R1049" i="5" s="1"/>
  <c r="W1052" i="5"/>
  <c r="P1054" i="5"/>
  <c r="R1054" i="5" s="1"/>
  <c r="W1140" i="5"/>
  <c r="P1142" i="5"/>
  <c r="R1142" i="5" s="1"/>
  <c r="T1220" i="5"/>
  <c r="P1193" i="5"/>
  <c r="Q1193" i="5" s="1"/>
  <c r="P1210" i="5"/>
  <c r="Q1210" i="5" s="1"/>
  <c r="S1238" i="5"/>
  <c r="W1263" i="5"/>
  <c r="W1275" i="5"/>
  <c r="P1318" i="5"/>
  <c r="R1318" i="5" s="1"/>
  <c r="S1330" i="5"/>
  <c r="P1466" i="5"/>
  <c r="Q1466" i="5" s="1"/>
  <c r="W1486" i="5"/>
  <c r="P1517" i="5"/>
  <c r="R1517" i="5" s="1"/>
  <c r="S1524" i="5"/>
  <c r="P1613" i="5"/>
  <c r="Q1613" i="5" s="1"/>
  <c r="P1674" i="5"/>
  <c r="Q1674" i="5" s="1"/>
  <c r="W1742" i="5"/>
  <c r="P1810" i="5"/>
  <c r="Q1810" i="5" s="1"/>
  <c r="S1815" i="5"/>
  <c r="P1844" i="5"/>
  <c r="R1844" i="5" s="1"/>
  <c r="P1923" i="5"/>
  <c r="R1923" i="5" s="1"/>
  <c r="P1931" i="5"/>
  <c r="R1931" i="5" s="1"/>
  <c r="S1936" i="5"/>
  <c r="P1939" i="5"/>
  <c r="R1939" i="5" s="1"/>
  <c r="S2049" i="5"/>
  <c r="S991" i="5"/>
  <c r="P1047" i="5"/>
  <c r="Q1047" i="5" s="1"/>
  <c r="S1120" i="5"/>
  <c r="W1190" i="5"/>
  <c r="S1243" i="5"/>
  <c r="W1246" i="5"/>
  <c r="P1253" i="5"/>
  <c r="R1253" i="5" s="1"/>
  <c r="W1280" i="5"/>
  <c r="W1326" i="5"/>
  <c r="S1335" i="5"/>
  <c r="P1444" i="5"/>
  <c r="R1444" i="5" s="1"/>
  <c r="W1447" i="5"/>
  <c r="W1491" i="5"/>
  <c r="P1611" i="5"/>
  <c r="Q1611" i="5" s="1"/>
  <c r="P1628" i="5"/>
  <c r="Q1628" i="5" s="1"/>
  <c r="W1643" i="5"/>
  <c r="P1761" i="5"/>
  <c r="R1761" i="5" s="1"/>
  <c r="S1773" i="5"/>
  <c r="S1886" i="5"/>
  <c r="S1915" i="5"/>
  <c r="W1960" i="5"/>
  <c r="P2037" i="5"/>
  <c r="R2037" i="5" s="1"/>
  <c r="P2047" i="5"/>
  <c r="R2047" i="5" s="1"/>
  <c r="P1534" i="5"/>
  <c r="R1534" i="5" s="1"/>
  <c r="P1679" i="5"/>
  <c r="R1679" i="5" s="1"/>
  <c r="P1754" i="5"/>
  <c r="R1754" i="5" s="1"/>
  <c r="P1789" i="5"/>
  <c r="R1789" i="5" s="1"/>
  <c r="P1868" i="5"/>
  <c r="R1868" i="5" s="1"/>
  <c r="W48" i="5"/>
  <c r="P50" i="5"/>
  <c r="R50" i="5" s="1"/>
  <c r="S74" i="5"/>
  <c r="W128" i="5"/>
  <c r="S200" i="5"/>
  <c r="P227" i="5"/>
  <c r="R227" i="5" s="1"/>
  <c r="W310" i="5"/>
  <c r="W332" i="5"/>
  <c r="S370" i="5"/>
  <c r="W465" i="5"/>
  <c r="S474" i="5"/>
  <c r="P489" i="5"/>
  <c r="R489" i="5" s="1"/>
  <c r="S491" i="5"/>
  <c r="P513" i="5"/>
  <c r="R513" i="5" s="1"/>
  <c r="S537" i="5"/>
  <c r="P564" i="5"/>
  <c r="R564" i="5" s="1"/>
  <c r="W698" i="5"/>
  <c r="W746" i="5"/>
  <c r="T865" i="5"/>
  <c r="W802" i="5"/>
  <c r="S894" i="5"/>
  <c r="S974" i="5"/>
  <c r="P989" i="5"/>
  <c r="R989" i="5" s="1"/>
  <c r="W994" i="5"/>
  <c r="S998" i="5"/>
  <c r="W1011" i="5"/>
  <c r="P1013" i="5"/>
  <c r="Q1013" i="5" s="1"/>
  <c r="S1037" i="5"/>
  <c r="P1069" i="5"/>
  <c r="Q1069" i="5" s="1"/>
  <c r="P1135" i="5"/>
  <c r="R1135" i="5" s="1"/>
  <c r="T1197" i="5"/>
  <c r="W1167" i="5"/>
  <c r="W1251" i="5"/>
  <c r="W1384" i="5"/>
  <c r="P1415" i="5"/>
  <c r="R1415" i="5" s="1"/>
  <c r="P1493" i="5"/>
  <c r="R1493" i="5" s="1"/>
  <c r="S1517" i="5"/>
  <c r="W1585" i="5"/>
  <c r="P1696" i="5"/>
  <c r="R1696" i="5" s="1"/>
  <c r="S1818" i="5"/>
  <c r="P1926" i="5"/>
  <c r="R1926" i="5" s="1"/>
  <c r="S2008" i="5"/>
  <c r="S2025" i="5"/>
  <c r="P1430" i="5"/>
  <c r="Q1430" i="5" s="1"/>
  <c r="P1503" i="5"/>
  <c r="R1503" i="5" s="1"/>
  <c r="P1597" i="5"/>
  <c r="Q1597" i="5" s="1"/>
  <c r="S1599" i="5"/>
  <c r="P1643" i="5"/>
  <c r="R1643" i="5" s="1"/>
  <c r="P1684" i="5"/>
  <c r="R1684" i="5" s="1"/>
  <c r="P1784" i="5"/>
  <c r="R1784" i="5" s="1"/>
  <c r="P2040" i="5"/>
  <c r="R2040" i="5" s="1"/>
  <c r="P31" i="5"/>
  <c r="Q31" i="5" s="1"/>
  <c r="P60" i="5"/>
  <c r="R60" i="5" s="1"/>
  <c r="S67" i="5"/>
  <c r="S79" i="5"/>
  <c r="S164" i="5"/>
  <c r="W179" i="5"/>
  <c r="T286" i="5"/>
  <c r="S317" i="5"/>
  <c r="W359" i="5"/>
  <c r="W392" i="5"/>
  <c r="W475" i="5"/>
  <c r="W497" i="5"/>
  <c r="W543" i="5"/>
  <c r="P613" i="5"/>
  <c r="R613" i="5" s="1"/>
  <c r="W633" i="5"/>
  <c r="P635" i="5"/>
  <c r="R635" i="5" s="1"/>
  <c r="W645" i="5"/>
  <c r="S683" i="5"/>
  <c r="W691" i="5"/>
  <c r="S707" i="5"/>
  <c r="W715" i="5"/>
  <c r="S753" i="5"/>
  <c r="W756" i="5"/>
  <c r="S765" i="5"/>
  <c r="S787" i="5"/>
  <c r="E863" i="5"/>
  <c r="F863" i="5" s="1"/>
  <c r="P902" i="5"/>
  <c r="R902" i="5" s="1"/>
  <c r="S921" i="5"/>
  <c r="W929" i="5"/>
  <c r="P982" i="5"/>
  <c r="Q982" i="5" s="1"/>
  <c r="S989" i="5"/>
  <c r="W1004" i="5"/>
  <c r="S1013" i="5"/>
  <c r="W1021" i="5"/>
  <c r="T1101" i="5"/>
  <c r="H1088" i="5"/>
  <c r="S1069" i="5"/>
  <c r="W1073" i="5"/>
  <c r="S1157" i="5"/>
  <c r="P1162" i="5"/>
  <c r="S1174" i="5"/>
  <c r="S1229" i="5"/>
  <c r="P1239" i="5"/>
  <c r="R1239" i="5" s="1"/>
  <c r="T1375" i="5"/>
  <c r="P1370" i="5"/>
  <c r="Q1370" i="5" s="1"/>
  <c r="W1401" i="5"/>
  <c r="S1415" i="5"/>
  <c r="P1474" i="5"/>
  <c r="Q1474" i="5" s="1"/>
  <c r="W1559" i="5"/>
  <c r="W1564" i="5"/>
  <c r="W1675" i="5"/>
  <c r="S1737" i="5"/>
  <c r="S1905" i="5"/>
  <c r="P1937" i="5"/>
  <c r="Q1937" i="5" s="1"/>
  <c r="W1963" i="5"/>
  <c r="W1985" i="5"/>
  <c r="S2052" i="5"/>
  <c r="S970" i="5"/>
  <c r="T1099" i="5"/>
  <c r="S1155" i="5"/>
  <c r="P1227" i="5"/>
  <c r="R1227" i="5" s="1"/>
  <c r="W1276" i="5"/>
  <c r="P1285" i="5"/>
  <c r="R1285" i="5" s="1"/>
  <c r="W1487" i="5"/>
  <c r="W1499" i="5"/>
  <c r="W1668" i="5"/>
  <c r="S1706" i="5"/>
  <c r="W1760" i="5"/>
  <c r="S1837" i="5"/>
  <c r="S1887" i="5"/>
  <c r="P900" i="5"/>
  <c r="R900" i="5" s="1"/>
  <c r="E1343" i="5"/>
  <c r="F1343" i="5" s="1"/>
  <c r="P1537" i="5"/>
  <c r="R1537" i="5" s="1"/>
  <c r="P1924" i="5"/>
  <c r="R1924" i="5" s="1"/>
  <c r="P1953" i="5"/>
  <c r="R1953" i="5" s="1"/>
  <c r="P126" i="5"/>
  <c r="R126" i="5" s="1"/>
  <c r="P160" i="5"/>
  <c r="R160" i="5" s="1"/>
  <c r="T408" i="5"/>
  <c r="P364" i="5"/>
  <c r="R364" i="5" s="1"/>
  <c r="P783" i="5"/>
  <c r="S987" i="5"/>
  <c r="P1026" i="5"/>
  <c r="R1026" i="5" s="1"/>
  <c r="P1114" i="5"/>
  <c r="R1114" i="5" s="1"/>
  <c r="T1192" i="5"/>
  <c r="T1204" i="5"/>
  <c r="H1212" i="5"/>
  <c r="P1165" i="5"/>
  <c r="R1165" i="5" s="1"/>
  <c r="P1278" i="5"/>
  <c r="R1278" i="5" s="1"/>
  <c r="S1285" i="5"/>
  <c r="S1384" i="5"/>
  <c r="S1440" i="5"/>
  <c r="P1501" i="5"/>
  <c r="Q1501" i="5" s="1"/>
  <c r="P1523" i="5"/>
  <c r="Q1523" i="5" s="1"/>
  <c r="P1600" i="5"/>
  <c r="R1600" i="5" s="1"/>
  <c r="P1861" i="5"/>
  <c r="R1861" i="5" s="1"/>
  <c r="P800" i="5"/>
  <c r="Q800" i="5" s="1"/>
  <c r="P1060" i="5"/>
  <c r="R1060" i="5" s="1"/>
  <c r="T1188" i="5"/>
  <c r="P17" i="5"/>
  <c r="R17" i="5" s="1"/>
  <c r="P46" i="5"/>
  <c r="R46" i="5" s="1"/>
  <c r="W323" i="5"/>
  <c r="H411" i="5"/>
  <c r="P514" i="5"/>
  <c r="R514" i="5" s="1"/>
  <c r="P526" i="5"/>
  <c r="Q526" i="5" s="1"/>
  <c r="W32" i="5"/>
  <c r="W44" i="5"/>
  <c r="P104" i="5"/>
  <c r="Q104" i="5" s="1"/>
  <c r="W163" i="5"/>
  <c r="S218" i="5"/>
  <c r="T301" i="5"/>
  <c r="S230" i="5"/>
  <c r="T391" i="5"/>
  <c r="W419" i="5"/>
  <c r="W444" i="5"/>
  <c r="S509" i="5"/>
  <c r="W524" i="5"/>
  <c r="W546" i="5"/>
  <c r="P548" i="5"/>
  <c r="Q548" i="5" s="1"/>
  <c r="S577" i="5"/>
  <c r="P604" i="5"/>
  <c r="Q604" i="5" s="1"/>
  <c r="P638" i="5"/>
  <c r="W706" i="5"/>
  <c r="P715" i="5"/>
  <c r="Q715" i="5" s="1"/>
  <c r="S768" i="5"/>
  <c r="P817" i="5"/>
  <c r="R817" i="5" s="1"/>
  <c r="P836" i="5"/>
  <c r="R836" i="5" s="1"/>
  <c r="W983" i="5"/>
  <c r="H1073" i="5"/>
  <c r="W1007" i="5"/>
  <c r="T1087" i="5"/>
  <c r="S1016" i="5"/>
  <c r="P1048" i="5"/>
  <c r="Q1048" i="5" s="1"/>
  <c r="P1065" i="5"/>
  <c r="Q1065" i="5" s="1"/>
  <c r="P1225" i="5"/>
  <c r="R1225" i="5" s="1"/>
  <c r="W1453" i="5"/>
  <c r="P1552" i="5"/>
  <c r="R1552" i="5" s="1"/>
  <c r="W1627" i="5"/>
  <c r="S1699" i="5"/>
  <c r="W1707" i="5"/>
  <c r="S1774" i="5"/>
  <c r="P1806" i="5"/>
  <c r="R1806" i="5" s="1"/>
  <c r="P1911" i="5"/>
  <c r="R1911" i="5" s="1"/>
  <c r="H1095" i="5"/>
  <c r="P1208" i="5"/>
  <c r="Q1208" i="5" s="1"/>
  <c r="P1237" i="5"/>
  <c r="R1237" i="5" s="1"/>
  <c r="S1653" i="5"/>
  <c r="S1948" i="5"/>
  <c r="P1968" i="5"/>
  <c r="R1968" i="5" s="1"/>
  <c r="T1354" i="5"/>
  <c r="S1445" i="5"/>
  <c r="P1557" i="5"/>
  <c r="R1557" i="5" s="1"/>
  <c r="P1639" i="5"/>
  <c r="R1639" i="5" s="1"/>
  <c r="P1956" i="5"/>
  <c r="R1956" i="5" s="1"/>
  <c r="S2026" i="5"/>
  <c r="T396" i="5"/>
  <c r="S645" i="5"/>
  <c r="S703" i="5"/>
  <c r="W723" i="5"/>
  <c r="H874" i="5"/>
  <c r="F267" i="5"/>
  <c r="F723" i="5"/>
  <c r="T849" i="5"/>
  <c r="T1080" i="5"/>
  <c r="W1202" i="5"/>
  <c r="S1406" i="5"/>
  <c r="P1646" i="5"/>
  <c r="R1646" i="5" s="1"/>
  <c r="P1738" i="5"/>
  <c r="S1750" i="5"/>
  <c r="P1755" i="5"/>
  <c r="Q1755" i="5" s="1"/>
  <c r="P1793" i="5"/>
  <c r="R1793" i="5" s="1"/>
  <c r="P1906" i="5"/>
  <c r="R1906" i="5" s="1"/>
  <c r="T272" i="5"/>
  <c r="T277" i="5"/>
  <c r="W25" i="5"/>
  <c r="P80" i="5"/>
  <c r="R80" i="5" s="1"/>
  <c r="W161" i="5"/>
  <c r="H268" i="5"/>
  <c r="T282" i="5"/>
  <c r="T299" i="5"/>
  <c r="W231" i="5"/>
  <c r="S507" i="5"/>
  <c r="S514" i="5"/>
  <c r="W539" i="5"/>
  <c r="S587" i="5"/>
  <c r="W617" i="5"/>
  <c r="S638" i="5"/>
  <c r="S650" i="5"/>
  <c r="P788" i="5"/>
  <c r="Q788" i="5" s="1"/>
  <c r="W808" i="5"/>
  <c r="T879" i="5"/>
  <c r="W913" i="5"/>
  <c r="P922" i="5"/>
  <c r="R922" i="5" s="1"/>
  <c r="V922" i="5" s="1"/>
  <c r="S956" i="5"/>
  <c r="W993" i="5"/>
  <c r="W1000" i="5"/>
  <c r="S1048" i="5"/>
  <c r="S1114" i="5"/>
  <c r="S1131" i="5"/>
  <c r="W1209" i="5"/>
  <c r="P1242" i="5"/>
  <c r="R1242" i="5" s="1"/>
  <c r="W1291" i="5"/>
  <c r="T1371" i="5"/>
  <c r="S1411" i="5"/>
  <c r="P1535" i="5"/>
  <c r="Q1535" i="5" s="1"/>
  <c r="S1552" i="5"/>
  <c r="W1712" i="5"/>
  <c r="S1721" i="5"/>
  <c r="W1959" i="5"/>
  <c r="P2019" i="5"/>
  <c r="R2019" i="5" s="1"/>
  <c r="S2048" i="5"/>
  <c r="S104" i="5"/>
  <c r="P643" i="5"/>
  <c r="Q643" i="5" s="1"/>
  <c r="P78" i="5"/>
  <c r="Q78" i="5" s="1"/>
  <c r="S114" i="5"/>
  <c r="S136" i="5"/>
  <c r="W149" i="5"/>
  <c r="P163" i="5"/>
  <c r="R163" i="5" s="1"/>
  <c r="T270" i="5"/>
  <c r="F231" i="5"/>
  <c r="P420" i="5"/>
  <c r="R420" i="5" s="1"/>
  <c r="S446" i="5"/>
  <c r="P495" i="5"/>
  <c r="Q495" i="5" s="1"/>
  <c r="P747" i="5"/>
  <c r="Q747" i="5" s="1"/>
  <c r="T859" i="5"/>
  <c r="W813" i="5"/>
  <c r="P815" i="5"/>
  <c r="R815" i="5" s="1"/>
  <c r="P961" i="5"/>
  <c r="R961" i="5" s="1"/>
  <c r="P1029" i="5"/>
  <c r="Q1029" i="5" s="1"/>
  <c r="S1136" i="5"/>
  <c r="S1158" i="5"/>
  <c r="S1180" i="5"/>
  <c r="P1202" i="5"/>
  <c r="Q1202" i="5" s="1"/>
  <c r="P1257" i="5"/>
  <c r="Q1257" i="5" s="1"/>
  <c r="P1392" i="5"/>
  <c r="S1482" i="5"/>
  <c r="S1668" i="5"/>
  <c r="P1809" i="5"/>
  <c r="Q1809" i="5" s="1"/>
  <c r="P1846" i="5"/>
  <c r="Q1846" i="5" s="1"/>
  <c r="W1969" i="5"/>
  <c r="P1983" i="5"/>
  <c r="R1983" i="5" s="1"/>
  <c r="P2029" i="5"/>
  <c r="R2029" i="5" s="1"/>
  <c r="H280" i="5"/>
  <c r="P473" i="5"/>
  <c r="R473" i="5" s="1"/>
  <c r="P553" i="5"/>
  <c r="R553" i="5" s="1"/>
  <c r="W18" i="5"/>
  <c r="S27" i="5"/>
  <c r="S56" i="5"/>
  <c r="W93" i="5"/>
  <c r="P156" i="5"/>
  <c r="R156" i="5" s="1"/>
  <c r="H273" i="5"/>
  <c r="P267" i="5"/>
  <c r="R267" i="5" s="1"/>
  <c r="W309" i="5"/>
  <c r="P316" i="5"/>
  <c r="R316" i="5" s="1"/>
  <c r="T411" i="5"/>
  <c r="P432" i="5"/>
  <c r="Q432" i="5" s="1"/>
  <c r="W464" i="5"/>
  <c r="S490" i="5"/>
  <c r="W697" i="5"/>
  <c r="P752" i="5"/>
  <c r="R752" i="5" s="1"/>
  <c r="P786" i="5"/>
  <c r="Q786" i="5" s="1"/>
  <c r="T864" i="5"/>
  <c r="W940" i="5"/>
  <c r="S961" i="5"/>
  <c r="P966" i="5"/>
  <c r="R966" i="5" s="1"/>
  <c r="P978" i="5"/>
  <c r="R978" i="5" s="1"/>
  <c r="P988" i="5"/>
  <c r="Q988" i="5" s="1"/>
  <c r="H1076" i="5"/>
  <c r="S1002" i="5"/>
  <c r="T1090" i="5"/>
  <c r="H1186" i="5"/>
  <c r="P1185" i="5"/>
  <c r="R1185" i="5" s="1"/>
  <c r="P1209" i="5"/>
  <c r="Q1209" i="5" s="1"/>
  <c r="S1465" i="5"/>
  <c r="S1557" i="5"/>
  <c r="P1598" i="5"/>
  <c r="R1598" i="5" s="1"/>
  <c r="S1651" i="5"/>
  <c r="W1664" i="5"/>
  <c r="S1673" i="5"/>
  <c r="S1702" i="5"/>
  <c r="S1714" i="5"/>
  <c r="P1817" i="5"/>
  <c r="Q1817" i="5" s="1"/>
  <c r="S497" i="5"/>
  <c r="T384" i="5"/>
  <c r="H862" i="5"/>
  <c r="H1362" i="5"/>
  <c r="S3" i="5"/>
  <c r="W6" i="5"/>
  <c r="S15" i="5"/>
  <c r="P139" i="5"/>
  <c r="R139" i="5" s="1"/>
  <c r="S146" i="5"/>
  <c r="P175" i="5"/>
  <c r="R175" i="5" s="1"/>
  <c r="S182" i="5"/>
  <c r="W195" i="5"/>
  <c r="P209" i="5"/>
  <c r="R209" i="5" s="1"/>
  <c r="W287" i="5"/>
  <c r="S340" i="5"/>
  <c r="W423" i="5"/>
  <c r="S427" i="5"/>
  <c r="W486" i="5"/>
  <c r="P524" i="5"/>
  <c r="R524" i="5" s="1"/>
  <c r="W532" i="5"/>
  <c r="P534" i="5"/>
  <c r="R534" i="5" s="1"/>
  <c r="W549" i="5"/>
  <c r="P568" i="5"/>
  <c r="Q568" i="5" s="1"/>
  <c r="P585" i="5"/>
  <c r="R585" i="5" s="1"/>
  <c r="P612" i="5"/>
  <c r="Q612" i="5" s="1"/>
  <c r="S624" i="5"/>
  <c r="W709" i="5"/>
  <c r="P711" i="5"/>
  <c r="R711" i="5" s="1"/>
  <c r="S759" i="5"/>
  <c r="W784" i="5"/>
  <c r="S798" i="5"/>
  <c r="S978" i="5"/>
  <c r="W986" i="5"/>
  <c r="T1073" i="5"/>
  <c r="W1032" i="5"/>
  <c r="W1066" i="5"/>
  <c r="S1124" i="5"/>
  <c r="W1132" i="5"/>
  <c r="S1146" i="5"/>
  <c r="W1171" i="5"/>
  <c r="P1178" i="5"/>
  <c r="Q1178" i="5" s="1"/>
  <c r="T1218" i="5"/>
  <c r="S1185" i="5"/>
  <c r="P1262" i="5"/>
  <c r="R1262" i="5" s="1"/>
  <c r="T1340" i="5"/>
  <c r="W1272" i="5"/>
  <c r="P1354" i="5"/>
  <c r="Q1354" i="5" s="1"/>
  <c r="P1463" i="5"/>
  <c r="S1470" i="5"/>
  <c r="P1538" i="5"/>
  <c r="Q1538" i="5" s="1"/>
  <c r="W1553" i="5"/>
  <c r="P1591" i="5"/>
  <c r="Q1591" i="5" s="1"/>
  <c r="S1605" i="5"/>
  <c r="P1637" i="5"/>
  <c r="R1637" i="5" s="1"/>
  <c r="W1681" i="5"/>
  <c r="P1707" i="5"/>
  <c r="P1741" i="5"/>
  <c r="R1741" i="5" s="1"/>
  <c r="S1748" i="5"/>
  <c r="W1756" i="5"/>
  <c r="S1830" i="5"/>
  <c r="S1838" i="5"/>
  <c r="F531" i="5"/>
  <c r="W531" i="5"/>
  <c r="H278" i="5"/>
  <c r="T292" i="5"/>
  <c r="H295" i="5"/>
  <c r="F1252" i="5"/>
  <c r="W1252" i="5"/>
  <c r="W100" i="5"/>
  <c r="F100" i="5"/>
  <c r="W67" i="5"/>
  <c r="T285" i="5"/>
  <c r="W217" i="5"/>
  <c r="F250" i="5"/>
  <c r="E288" i="5"/>
  <c r="F288" i="5" s="1"/>
  <c r="S52" i="5"/>
  <c r="T273" i="5"/>
  <c r="F348" i="5"/>
  <c r="W353" i="5"/>
  <c r="E391" i="5"/>
  <c r="F391" i="5" s="1"/>
  <c r="F353" i="5"/>
  <c r="W36" i="5"/>
  <c r="W77" i="5"/>
  <c r="P86" i="5"/>
  <c r="Q86" i="5" s="1"/>
  <c r="H412" i="5"/>
  <c r="S338" i="5"/>
  <c r="W462" i="5"/>
  <c r="S932" i="5"/>
  <c r="W29" i="5"/>
  <c r="S1168" i="5"/>
  <c r="F322" i="5"/>
  <c r="W322" i="5"/>
  <c r="F719" i="5"/>
  <c r="W719" i="5"/>
  <c r="S2" i="5"/>
  <c r="W10" i="5"/>
  <c r="F174" i="5"/>
  <c r="W174" i="5"/>
  <c r="S319" i="5"/>
  <c r="W608" i="5"/>
  <c r="F809" i="5"/>
  <c r="E847" i="5"/>
  <c r="F847" i="5" s="1"/>
  <c r="F1038" i="5"/>
  <c r="E1076" i="5"/>
  <c r="F1076" i="5" s="1"/>
  <c r="P264" i="5"/>
  <c r="R264" i="5" s="1"/>
  <c r="P12" i="5"/>
  <c r="R12" i="5" s="1"/>
  <c r="F114" i="5"/>
  <c r="W114" i="5"/>
  <c r="S22" i="5"/>
  <c r="W170" i="5"/>
  <c r="W1038" i="5"/>
  <c r="T1203" i="5"/>
  <c r="P1412" i="5"/>
  <c r="P1555" i="5"/>
  <c r="P732" i="5"/>
  <c r="R732" i="5" s="1"/>
  <c r="W788" i="5"/>
  <c r="H876" i="5"/>
  <c r="P38" i="5"/>
  <c r="Q38" i="5" s="1"/>
  <c r="P369" i="5"/>
  <c r="Q369" i="5" s="1"/>
  <c r="S1485" i="5"/>
  <c r="E293" i="5"/>
  <c r="F293" i="5" s="1"/>
  <c r="F255" i="5"/>
  <c r="P10" i="5"/>
  <c r="R10" i="5" s="1"/>
  <c r="F134" i="5"/>
  <c r="W134" i="5"/>
  <c r="P233" i="5"/>
  <c r="R233" i="5" s="1"/>
  <c r="S447" i="5"/>
  <c r="F1257" i="5"/>
  <c r="W1257" i="5"/>
  <c r="F1589" i="5"/>
  <c r="P1685" i="5"/>
  <c r="R1685" i="5" s="1"/>
  <c r="F1765" i="5"/>
  <c r="W1765" i="5"/>
  <c r="P93" i="5"/>
  <c r="W191" i="5"/>
  <c r="W203" i="5"/>
  <c r="P217" i="5"/>
  <c r="R217" i="5" s="1"/>
  <c r="H298" i="5"/>
  <c r="P360" i="5"/>
  <c r="F365" i="5"/>
  <c r="P367" i="5"/>
  <c r="Q367" i="5" s="1"/>
  <c r="S369" i="5"/>
  <c r="P426" i="5"/>
  <c r="P649" i="5"/>
  <c r="P702" i="5"/>
  <c r="R702" i="5" s="1"/>
  <c r="P749" i="5"/>
  <c r="Q749" i="5" s="1"/>
  <c r="P778" i="5"/>
  <c r="R778" i="5" s="1"/>
  <c r="E879" i="5"/>
  <c r="F879" i="5" s="1"/>
  <c r="W841" i="5"/>
  <c r="P1028" i="5"/>
  <c r="R1028" i="5" s="1"/>
  <c r="T1102" i="5"/>
  <c r="E1101" i="5"/>
  <c r="F1101" i="5" s="1"/>
  <c r="P1111" i="5"/>
  <c r="Q1111" i="5" s="1"/>
  <c r="P1349" i="5"/>
  <c r="Q1349" i="5" s="1"/>
  <c r="P1454" i="5"/>
  <c r="R1454" i="5" s="1"/>
  <c r="P55" i="5"/>
  <c r="R55" i="5" s="1"/>
  <c r="W65" i="5"/>
  <c r="W84" i="5"/>
  <c r="S100" i="5"/>
  <c r="S119" i="5"/>
  <c r="W127" i="5"/>
  <c r="P151" i="5"/>
  <c r="R151" i="5" s="1"/>
  <c r="P198" i="5"/>
  <c r="Q198" i="5" s="1"/>
  <c r="T393" i="5"/>
  <c r="H396" i="5"/>
  <c r="S433" i="5"/>
  <c r="S440" i="5"/>
  <c r="P450" i="5"/>
  <c r="R450" i="5" s="1"/>
  <c r="P457" i="5"/>
  <c r="Q457" i="5" s="1"/>
  <c r="P644" i="5"/>
  <c r="R644" i="5" s="1"/>
  <c r="S749" i="5"/>
  <c r="S761" i="5"/>
  <c r="T844" i="5"/>
  <c r="S778" i="5"/>
  <c r="P812" i="5"/>
  <c r="P997" i="5"/>
  <c r="R997" i="5" s="1"/>
  <c r="T1075" i="5"/>
  <c r="H1078" i="5"/>
  <c r="P1009" i="5"/>
  <c r="Q1009" i="5" s="1"/>
  <c r="S1057" i="5"/>
  <c r="W1121" i="5"/>
  <c r="S1376" i="5"/>
  <c r="P1579" i="5"/>
  <c r="R1579" i="5" s="1"/>
  <c r="W1640" i="5"/>
  <c r="P1700" i="5"/>
  <c r="Q1700" i="5" s="1"/>
  <c r="P186" i="5"/>
  <c r="R186" i="5" s="1"/>
  <c r="P231" i="5"/>
  <c r="Q231" i="5" s="1"/>
  <c r="P255" i="5"/>
  <c r="R255" i="5" s="1"/>
  <c r="T405" i="5"/>
  <c r="P557" i="5"/>
  <c r="R557" i="5" s="1"/>
  <c r="P584" i="5"/>
  <c r="P1130" i="5"/>
  <c r="P1213" i="5"/>
  <c r="Q1213" i="5" s="1"/>
  <c r="P1276" i="5"/>
  <c r="R1276" i="5" s="1"/>
  <c r="W1309" i="5"/>
  <c r="P1676" i="5"/>
  <c r="R1676" i="5" s="1"/>
  <c r="S62" i="5"/>
  <c r="W70" i="5"/>
  <c r="P72" i="5"/>
  <c r="Q72" i="5" s="1"/>
  <c r="S81" i="5"/>
  <c r="W108" i="5"/>
  <c r="S124" i="5"/>
  <c r="S158" i="5"/>
  <c r="S167" i="5"/>
  <c r="S205" i="5"/>
  <c r="H284" i="5"/>
  <c r="P229" i="5"/>
  <c r="R229" i="5" s="1"/>
  <c r="P236" i="5"/>
  <c r="R236" i="5" s="1"/>
  <c r="P320" i="5"/>
  <c r="R320" i="5" s="1"/>
  <c r="S322" i="5"/>
  <c r="S341" i="5"/>
  <c r="W363" i="5"/>
  <c r="W369" i="5"/>
  <c r="S374" i="5"/>
  <c r="S445" i="5"/>
  <c r="W522" i="5"/>
  <c r="W616" i="5"/>
  <c r="P630" i="5"/>
  <c r="R630" i="5" s="1"/>
  <c r="P642" i="5"/>
  <c r="Q642" i="5" s="1"/>
  <c r="S935" i="5"/>
  <c r="P964" i="5"/>
  <c r="R964" i="5" s="1"/>
  <c r="S990" i="5"/>
  <c r="W1231" i="5"/>
  <c r="S1271" i="5"/>
  <c r="W1623" i="5"/>
  <c r="S334" i="5"/>
  <c r="W337" i="5"/>
  <c r="W401" i="5"/>
  <c r="W553" i="5"/>
  <c r="W628" i="5"/>
  <c r="S742" i="5"/>
  <c r="S923" i="5"/>
  <c r="H1197" i="5"/>
  <c r="W1179" i="5"/>
  <c r="S1536" i="5"/>
  <c r="W1657" i="5"/>
  <c r="E877" i="5"/>
  <c r="F839" i="5"/>
  <c r="P1647" i="5"/>
  <c r="Q1647" i="5" s="1"/>
  <c r="W1744" i="5"/>
  <c r="T386" i="5"/>
  <c r="F815" i="5"/>
  <c r="Q1496" i="5"/>
  <c r="R1496" i="5"/>
  <c r="H1083" i="5"/>
  <c r="S1843" i="5"/>
  <c r="P82" i="5"/>
  <c r="R82" i="5" s="1"/>
  <c r="P96" i="5"/>
  <c r="Q96" i="5" s="1"/>
  <c r="W135" i="5"/>
  <c r="S184" i="5"/>
  <c r="P206" i="5"/>
  <c r="T284" i="5"/>
  <c r="H418" i="5"/>
  <c r="P482" i="5"/>
  <c r="Q482" i="5" s="1"/>
  <c r="P496" i="5"/>
  <c r="R496" i="5" s="1"/>
  <c r="P592" i="5"/>
  <c r="Q592" i="5" s="1"/>
  <c r="P645" i="5"/>
  <c r="R645" i="5" s="1"/>
  <c r="P712" i="5"/>
  <c r="Q712" i="5" s="1"/>
  <c r="W892" i="5"/>
  <c r="P1143" i="5"/>
  <c r="T1221" i="5"/>
  <c r="F1165" i="5"/>
  <c r="F1177" i="5"/>
  <c r="F1363" i="5"/>
  <c r="W1363" i="5"/>
  <c r="E1347" i="5"/>
  <c r="F1347" i="5" s="1"/>
  <c r="S1812" i="5"/>
  <c r="F808" i="5"/>
  <c r="P1220" i="5"/>
  <c r="Q1220" i="5" s="1"/>
  <c r="F1467" i="5"/>
  <c r="W1467" i="5"/>
  <c r="S91" i="5"/>
  <c r="W106" i="5"/>
  <c r="P313" i="5"/>
  <c r="R313" i="5" s="1"/>
  <c r="P351" i="5"/>
  <c r="Q351" i="5" s="1"/>
  <c r="P1722" i="5"/>
  <c r="R1722" i="5" s="1"/>
  <c r="P32" i="5"/>
  <c r="Q32" i="5" s="1"/>
  <c r="S265" i="5"/>
  <c r="F347" i="5"/>
  <c r="S422" i="5"/>
  <c r="P477" i="5"/>
  <c r="R477" i="5" s="1"/>
  <c r="W510" i="5"/>
  <c r="S611" i="5"/>
  <c r="F806" i="5"/>
  <c r="E844" i="5"/>
  <c r="F844" i="5" s="1"/>
  <c r="E1094" i="5"/>
  <c r="F1094" i="5" s="1"/>
  <c r="F1056" i="5"/>
  <c r="H1372" i="5"/>
  <c r="Q1756" i="5"/>
  <c r="F575" i="5"/>
  <c r="W575" i="5"/>
  <c r="P798" i="5"/>
  <c r="R798" i="5" s="1"/>
  <c r="W68" i="5"/>
  <c r="E1106" i="5"/>
  <c r="F1106" i="5" s="1"/>
  <c r="F1068" i="5"/>
  <c r="W1296" i="5"/>
  <c r="P18" i="5"/>
  <c r="Q18" i="5" s="1"/>
  <c r="W21" i="5"/>
  <c r="W28" i="5"/>
  <c r="S32" i="5"/>
  <c r="W35" i="5"/>
  <c r="S39" i="5"/>
  <c r="S70" i="5"/>
  <c r="P75" i="5"/>
  <c r="R75" i="5" s="1"/>
  <c r="S77" i="5"/>
  <c r="W92" i="5"/>
  <c r="P94" i="5"/>
  <c r="R94" i="5" s="1"/>
  <c r="P120" i="5"/>
  <c r="Q120" i="5" s="1"/>
  <c r="S132" i="5"/>
  <c r="P147" i="5"/>
  <c r="S154" i="5"/>
  <c r="S161" i="5"/>
  <c r="W180" i="5"/>
  <c r="S189" i="5"/>
  <c r="S213" i="5"/>
  <c r="P225" i="5"/>
  <c r="R225" i="5" s="1"/>
  <c r="F230" i="5"/>
  <c r="P258" i="5"/>
  <c r="Q258" i="5" s="1"/>
  <c r="S306" i="5"/>
  <c r="P311" i="5"/>
  <c r="P335" i="5"/>
  <c r="T389" i="5"/>
  <c r="W373" i="5"/>
  <c r="P427" i="5"/>
  <c r="Q427" i="5" s="1"/>
  <c r="S477" i="5"/>
  <c r="W485" i="5"/>
  <c r="P494" i="5"/>
  <c r="R494" i="5" s="1"/>
  <c r="S515" i="5"/>
  <c r="S621" i="5"/>
  <c r="S681" i="5"/>
  <c r="P743" i="5"/>
  <c r="Q743" i="5" s="1"/>
  <c r="W765" i="5"/>
  <c r="P779" i="5"/>
  <c r="Q779" i="5" s="1"/>
  <c r="W898" i="5"/>
  <c r="W921" i="5"/>
  <c r="S1012" i="5"/>
  <c r="S1138" i="5"/>
  <c r="S1214" i="5" s="1"/>
  <c r="S1508" i="5"/>
  <c r="W1547" i="5"/>
  <c r="S1833" i="5"/>
  <c r="P260" i="5"/>
  <c r="R260" i="5" s="1"/>
  <c r="H1105" i="5"/>
  <c r="W269" i="5"/>
  <c r="W676" i="5"/>
  <c r="W873" i="5"/>
  <c r="P455" i="5"/>
  <c r="P1717" i="5"/>
  <c r="R1717" i="5" s="1"/>
  <c r="F263" i="5"/>
  <c r="P503" i="5"/>
  <c r="R503" i="5" s="1"/>
  <c r="W1039" i="5"/>
  <c r="S122" i="5"/>
  <c r="S25" i="5"/>
  <c r="W47" i="5"/>
  <c r="P113" i="5"/>
  <c r="R113" i="5" s="1"/>
  <c r="W150" i="5"/>
  <c r="S206" i="5"/>
  <c r="T289" i="5"/>
  <c r="W220" i="5"/>
  <c r="W352" i="5"/>
  <c r="S356" i="5"/>
  <c r="S470" i="5"/>
  <c r="S570" i="5"/>
  <c r="W689" i="5"/>
  <c r="T850" i="5"/>
  <c r="H858" i="5"/>
  <c r="P1005" i="5"/>
  <c r="R1005" i="5" s="1"/>
  <c r="W1020" i="5"/>
  <c r="E1075" i="5"/>
  <c r="F1075" i="5" s="1"/>
  <c r="F1037" i="5"/>
  <c r="P1131" i="5"/>
  <c r="Q1131" i="5" s="1"/>
  <c r="W1134" i="5"/>
  <c r="S1248" i="5"/>
  <c r="F1251" i="5"/>
  <c r="W1397" i="5"/>
  <c r="W1641" i="5"/>
  <c r="S222" i="5"/>
  <c r="S793" i="5"/>
  <c r="P20" i="5"/>
  <c r="Q20" i="5" s="1"/>
  <c r="S524" i="5"/>
  <c r="W94" i="5"/>
  <c r="F244" i="5"/>
  <c r="F1455" i="5"/>
  <c r="W1455" i="5"/>
  <c r="P13" i="5"/>
  <c r="Q13" i="5" s="1"/>
  <c r="P84" i="5"/>
  <c r="R84" i="5" s="1"/>
  <c r="S103" i="5"/>
  <c r="F232" i="5"/>
  <c r="E270" i="5"/>
  <c r="F270" i="5" s="1"/>
  <c r="W729" i="5"/>
  <c r="F729" i="5"/>
  <c r="Q760" i="5"/>
  <c r="R760" i="5"/>
  <c r="P499" i="5"/>
  <c r="P660" i="5"/>
  <c r="R660" i="5" s="1"/>
  <c r="P748" i="5"/>
  <c r="R748" i="5" s="1"/>
  <c r="T855" i="5"/>
  <c r="P794" i="5"/>
  <c r="F835" i="5"/>
  <c r="W835" i="5"/>
  <c r="T1190" i="5"/>
  <c r="P1511" i="5"/>
  <c r="P135" i="5"/>
  <c r="R135" i="5" s="1"/>
  <c r="H292" i="5"/>
  <c r="P480" i="5"/>
  <c r="S30" i="5"/>
  <c r="P37" i="5"/>
  <c r="R37" i="5" s="1"/>
  <c r="P68" i="5"/>
  <c r="R68" i="5" s="1"/>
  <c r="W71" i="5"/>
  <c r="P73" i="5"/>
  <c r="Q73" i="5" s="1"/>
  <c r="P111" i="5"/>
  <c r="R111" i="5" s="1"/>
  <c r="S168" i="5"/>
  <c r="F185" i="5"/>
  <c r="P192" i="5"/>
  <c r="R192" i="5" s="1"/>
  <c r="H285" i="5"/>
  <c r="S311" i="5"/>
  <c r="P340" i="5"/>
  <c r="Q340" i="5" s="1"/>
  <c r="T394" i="5"/>
  <c r="P456" i="5"/>
  <c r="R456" i="5" s="1"/>
  <c r="W478" i="5"/>
  <c r="S506" i="5"/>
  <c r="P556" i="5"/>
  <c r="Q556" i="5" s="1"/>
  <c r="S563" i="5"/>
  <c r="S575" i="5"/>
  <c r="S686" i="5"/>
  <c r="S724" i="5"/>
  <c r="P801" i="5"/>
  <c r="Q801" i="5" s="1"/>
  <c r="W853" i="5"/>
  <c r="P1010" i="5"/>
  <c r="Q1010" i="5" s="1"/>
  <c r="W1090" i="5"/>
  <c r="P1234" i="5"/>
  <c r="Q1234" i="5" s="1"/>
  <c r="H1373" i="5"/>
  <c r="P1542" i="5"/>
  <c r="Q1542" i="5" s="1"/>
  <c r="W1572" i="5"/>
  <c r="P30" i="5"/>
  <c r="R30" i="5" s="1"/>
  <c r="W7" i="5"/>
  <c r="P9" i="5"/>
  <c r="S23" i="5"/>
  <c r="W26" i="5"/>
  <c r="P28" i="5"/>
  <c r="R28" i="5" s="1"/>
  <c r="P35" i="5"/>
  <c r="R35" i="5" s="1"/>
  <c r="S37" i="5"/>
  <c r="P49" i="5"/>
  <c r="Q49" i="5" s="1"/>
  <c r="W52" i="5"/>
  <c r="P56" i="5"/>
  <c r="Q56" i="5" s="1"/>
  <c r="S68" i="5"/>
  <c r="W90" i="5"/>
  <c r="P92" i="5"/>
  <c r="S106" i="5"/>
  <c r="W121" i="5"/>
  <c r="P123" i="5"/>
  <c r="R123" i="5" s="1"/>
  <c r="S199" i="5"/>
  <c r="W202" i="5"/>
  <c r="W259" i="5"/>
  <c r="S451" i="5"/>
  <c r="S463" i="5"/>
  <c r="W554" i="5"/>
  <c r="W840" i="5"/>
  <c r="P898" i="5"/>
  <c r="S941" i="5"/>
  <c r="H1072" i="5"/>
  <c r="H1084" i="5"/>
  <c r="H1096" i="5"/>
  <c r="S1022" i="5"/>
  <c r="W1340" i="5"/>
  <c r="P1351" i="5"/>
  <c r="Q1351" i="5" s="1"/>
  <c r="P1487" i="5"/>
  <c r="R1487" i="5" s="1"/>
  <c r="P1499" i="5"/>
  <c r="W1513" i="5"/>
  <c r="W1634" i="5"/>
  <c r="P1771" i="5"/>
  <c r="R1771" i="5" s="1"/>
  <c r="S959" i="5"/>
  <c r="P54" i="5"/>
  <c r="H297" i="5"/>
  <c r="P1915" i="5"/>
  <c r="R1915" i="5" s="1"/>
  <c r="F1167" i="5"/>
  <c r="E1205" i="5"/>
  <c r="W1205" i="5" s="1"/>
  <c r="S1295" i="5"/>
  <c r="P21" i="5"/>
  <c r="Q21" i="5" s="1"/>
  <c r="P145" i="5"/>
  <c r="R145" i="5" s="1"/>
  <c r="P326" i="5"/>
  <c r="R326" i="5" s="1"/>
  <c r="F840" i="5"/>
  <c r="E878" i="5"/>
  <c r="F878" i="5" s="1"/>
  <c r="W12" i="5"/>
  <c r="S49" i="5"/>
  <c r="W64" i="5"/>
  <c r="S135" i="5"/>
  <c r="W143" i="5"/>
  <c r="W160" i="5"/>
  <c r="P164" i="5"/>
  <c r="R164" i="5" s="1"/>
  <c r="P197" i="5"/>
  <c r="Q197" i="5" s="1"/>
  <c r="T275" i="5"/>
  <c r="P266" i="5"/>
  <c r="E297" i="5"/>
  <c r="H414" i="5"/>
  <c r="W350" i="5"/>
  <c r="P352" i="5"/>
  <c r="R352" i="5" s="1"/>
  <c r="V352" i="5" s="1"/>
  <c r="S380" i="5"/>
  <c r="V380" i="5" s="1"/>
  <c r="W459" i="5"/>
  <c r="S480" i="5"/>
  <c r="W559" i="5"/>
  <c r="S568" i="5"/>
  <c r="S660" i="5"/>
  <c r="W731" i="5"/>
  <c r="P734" i="5"/>
  <c r="S830" i="5"/>
  <c r="W975" i="5"/>
  <c r="P977" i="5"/>
  <c r="R977" i="5" s="1"/>
  <c r="S1027" i="5"/>
  <c r="P1122" i="5"/>
  <c r="Q1122" i="5" s="1"/>
  <c r="P1215" i="5"/>
  <c r="Q1215" i="5" s="1"/>
  <c r="P1607" i="5"/>
  <c r="R1607" i="5" s="1"/>
  <c r="S1614" i="5"/>
  <c r="P1624" i="5"/>
  <c r="S1766" i="5"/>
  <c r="S80" i="5"/>
  <c r="W169" i="5"/>
  <c r="F226" i="5"/>
  <c r="W226" i="5"/>
  <c r="S249" i="5"/>
  <c r="S667" i="5"/>
  <c r="W1610" i="5"/>
  <c r="S1619" i="5"/>
  <c r="S9" i="5"/>
  <c r="W17" i="5"/>
  <c r="P19" i="5"/>
  <c r="Q19" i="5" s="1"/>
  <c r="P26" i="5"/>
  <c r="Q26" i="5" s="1"/>
  <c r="P33" i="5"/>
  <c r="R33" i="5" s="1"/>
  <c r="W57" i="5"/>
  <c r="W88" i="5"/>
  <c r="P90" i="5"/>
  <c r="P102" i="5"/>
  <c r="Q102" i="5" s="1"/>
  <c r="F169" i="5"/>
  <c r="S216" i="5"/>
  <c r="P307" i="5"/>
  <c r="R307" i="5" s="1"/>
  <c r="S359" i="5"/>
  <c r="F369" i="5"/>
  <c r="S373" i="5"/>
  <c r="S485" i="5"/>
  <c r="P490" i="5"/>
  <c r="R490" i="5" s="1"/>
  <c r="S504" i="5"/>
  <c r="S511" i="5"/>
  <c r="W514" i="5"/>
  <c r="P516" i="5"/>
  <c r="R516" i="5" s="1"/>
  <c r="S518" i="5"/>
  <c r="S561" i="5"/>
  <c r="W620" i="5"/>
  <c r="P634" i="5"/>
  <c r="S636" i="5"/>
  <c r="P816" i="5"/>
  <c r="Q816" i="5" s="1"/>
  <c r="S898" i="5"/>
  <c r="P1161" i="5"/>
  <c r="R1161" i="5" s="1"/>
  <c r="P1168" i="5"/>
  <c r="Q1168" i="5" s="1"/>
  <c r="P1195" i="5"/>
  <c r="Q1195" i="5" s="1"/>
  <c r="E1338" i="5"/>
  <c r="F1338" i="5" s="1"/>
  <c r="P345" i="5"/>
  <c r="R345" i="5" s="1"/>
  <c r="P357" i="5"/>
  <c r="R357" i="5" s="1"/>
  <c r="P483" i="5"/>
  <c r="Q483" i="5" s="1"/>
  <c r="T875" i="5"/>
  <c r="S109" i="5"/>
  <c r="S116" i="5"/>
  <c r="W262" i="5"/>
  <c r="S266" i="5"/>
  <c r="W603" i="5"/>
  <c r="P610" i="5"/>
  <c r="P687" i="5"/>
  <c r="P699" i="5"/>
  <c r="R699" i="5" s="1"/>
  <c r="W783" i="5"/>
  <c r="W795" i="5"/>
  <c r="S951" i="5"/>
  <c r="P1035" i="5"/>
  <c r="Q1035" i="5" s="1"/>
  <c r="F1183" i="5"/>
  <c r="E1221" i="5"/>
  <c r="W1183" i="5"/>
  <c r="F1326" i="5"/>
  <c r="E1364" i="5"/>
  <c r="F1381" i="5"/>
  <c r="W1381" i="5"/>
  <c r="P1468" i="5"/>
  <c r="Q1468" i="5" s="1"/>
  <c r="W1483" i="5"/>
  <c r="P1593" i="5"/>
  <c r="R1593" i="5" s="1"/>
  <c r="S920" i="5"/>
  <c r="P925" i="5"/>
  <c r="R925" i="5" s="1"/>
  <c r="S944" i="5"/>
  <c r="P949" i="5"/>
  <c r="W1016" i="5"/>
  <c r="P1018" i="5"/>
  <c r="R1018" i="5" s="1"/>
  <c r="F1033" i="5"/>
  <c r="W1033" i="5"/>
  <c r="W1307" i="5"/>
  <c r="P1668" i="5"/>
  <c r="Q1668" i="5" s="1"/>
  <c r="W1719" i="5"/>
  <c r="P1721" i="5"/>
  <c r="R1721" i="5" s="1"/>
  <c r="P1787" i="5"/>
  <c r="R1787" i="5" s="1"/>
  <c r="P1837" i="5"/>
  <c r="S786" i="5"/>
  <c r="P822" i="5"/>
  <c r="R822" i="5" s="1"/>
  <c r="P908" i="5"/>
  <c r="Q908" i="5" s="1"/>
  <c r="W911" i="5"/>
  <c r="P913" i="5"/>
  <c r="R913" i="5" s="1"/>
  <c r="P927" i="5"/>
  <c r="R927" i="5" s="1"/>
  <c r="P958" i="5"/>
  <c r="R958" i="5" s="1"/>
  <c r="W968" i="5"/>
  <c r="T1095" i="5"/>
  <c r="S1043" i="5"/>
  <c r="W1135" i="5"/>
  <c r="T1215" i="5"/>
  <c r="P1149" i="5"/>
  <c r="P1267" i="5"/>
  <c r="R1267" i="5" s="1"/>
  <c r="S1300" i="5"/>
  <c r="P1317" i="5"/>
  <c r="R1317" i="5" s="1"/>
  <c r="W1327" i="5"/>
  <c r="P1329" i="5"/>
  <c r="P1420" i="5"/>
  <c r="R1420" i="5" s="1"/>
  <c r="S1451" i="5"/>
  <c r="S1620" i="5"/>
  <c r="W1652" i="5"/>
  <c r="P1671" i="5"/>
  <c r="R1671" i="5" s="1"/>
  <c r="W1700" i="5"/>
  <c r="W1731" i="5"/>
  <c r="S1791" i="5"/>
  <c r="P1820" i="5"/>
  <c r="Q1820" i="5" s="1"/>
  <c r="S1859" i="5"/>
  <c r="S1864" i="5"/>
  <c r="S1932" i="5"/>
  <c r="P309" i="5"/>
  <c r="Q309" i="5" s="1"/>
  <c r="W357" i="5"/>
  <c r="S361" i="5"/>
  <c r="S375" i="5"/>
  <c r="P422" i="5"/>
  <c r="S450" i="5"/>
  <c r="S462" i="5"/>
  <c r="W484" i="5"/>
  <c r="S488" i="5"/>
  <c r="P507" i="5"/>
  <c r="S516" i="5"/>
  <c r="S523" i="5"/>
  <c r="P561" i="5"/>
  <c r="S580" i="5"/>
  <c r="S616" i="5"/>
  <c r="S666" i="5"/>
  <c r="W744" i="5"/>
  <c r="P753" i="5"/>
  <c r="Q753" i="5" s="1"/>
  <c r="S889" i="5"/>
  <c r="S901" i="5"/>
  <c r="S913" i="5"/>
  <c r="P951" i="5"/>
  <c r="Q951" i="5" s="1"/>
  <c r="P1022" i="5"/>
  <c r="R1022" i="5" s="1"/>
  <c r="W1025" i="5"/>
  <c r="P1034" i="5"/>
  <c r="T1189" i="5"/>
  <c r="H1199" i="5"/>
  <c r="W1128" i="5"/>
  <c r="S1137" i="5"/>
  <c r="S1227" i="5"/>
  <c r="W1440" i="5"/>
  <c r="S1461" i="5"/>
  <c r="P1478" i="5"/>
  <c r="Q1478" i="5" s="1"/>
  <c r="S1490" i="5"/>
  <c r="S1535" i="5"/>
  <c r="S1659" i="5"/>
  <c r="S1709" i="5"/>
  <c r="S1759" i="5"/>
  <c r="P137" i="5"/>
  <c r="R137" i="5" s="1"/>
  <c r="P144" i="5"/>
  <c r="R144" i="5" s="1"/>
  <c r="W152" i="5"/>
  <c r="P154" i="5"/>
  <c r="S156" i="5"/>
  <c r="P179" i="5"/>
  <c r="R179" i="5" s="1"/>
  <c r="S186" i="5"/>
  <c r="W201" i="5"/>
  <c r="P203" i="5"/>
  <c r="Q203" i="5" s="1"/>
  <c r="P210" i="5"/>
  <c r="R210" i="5" s="1"/>
  <c r="T288" i="5"/>
  <c r="H274" i="5"/>
  <c r="P250" i="5"/>
  <c r="R250" i="5" s="1"/>
  <c r="H393" i="5"/>
  <c r="H400" i="5"/>
  <c r="W329" i="5"/>
  <c r="W336" i="5"/>
  <c r="P378" i="5"/>
  <c r="P453" i="5"/>
  <c r="Q453" i="5" s="1"/>
  <c r="S467" i="5"/>
  <c r="W477" i="5"/>
  <c r="W503" i="5"/>
  <c r="S528" i="5"/>
  <c r="P559" i="5"/>
  <c r="R559" i="5" s="1"/>
  <c r="W588" i="5"/>
  <c r="S628" i="5"/>
  <c r="S640" i="5"/>
  <c r="W660" i="5"/>
  <c r="W693" i="5"/>
  <c r="S925" i="5"/>
  <c r="S996" i="5"/>
  <c r="S1072" i="5" s="1"/>
  <c r="W1018" i="5"/>
  <c r="P1020" i="5"/>
  <c r="Q1020" i="5" s="1"/>
  <c r="P1032" i="5"/>
  <c r="W1061" i="5"/>
  <c r="T1374" i="5"/>
  <c r="S1396" i="5"/>
  <c r="P1459" i="5"/>
  <c r="R1459" i="5" s="1"/>
  <c r="W1462" i="5"/>
  <c r="W1505" i="5"/>
  <c r="S1564" i="5"/>
  <c r="S1571" i="5"/>
  <c r="W1581" i="5"/>
  <c r="S1597" i="5"/>
  <c r="S1623" i="5"/>
  <c r="P1681" i="5"/>
  <c r="R1681" i="5" s="1"/>
  <c r="W1691" i="5"/>
  <c r="S1764" i="5"/>
  <c r="W1767" i="5"/>
  <c r="W1774" i="5"/>
  <c r="P1781" i="5"/>
  <c r="R1781" i="5" s="1"/>
  <c r="P1839" i="5"/>
  <c r="R1839" i="5" s="1"/>
  <c r="W1971" i="5"/>
  <c r="P441" i="5"/>
  <c r="R441" i="5" s="1"/>
  <c r="P460" i="5"/>
  <c r="R460" i="5" s="1"/>
  <c r="S486" i="5"/>
  <c r="P505" i="5"/>
  <c r="S521" i="5"/>
  <c r="P533" i="5"/>
  <c r="R533" i="5" s="1"/>
  <c r="P538" i="5"/>
  <c r="Q538" i="5" s="1"/>
  <c r="P631" i="5"/>
  <c r="Q631" i="5" s="1"/>
  <c r="S664" i="5"/>
  <c r="S676" i="5"/>
  <c r="P688" i="5"/>
  <c r="S702" i="5"/>
  <c r="W721" i="5"/>
  <c r="S739" i="5"/>
  <c r="P780" i="5"/>
  <c r="R780" i="5" s="1"/>
  <c r="P837" i="5"/>
  <c r="R837" i="5" s="1"/>
  <c r="H1087" i="5"/>
  <c r="P1039" i="5"/>
  <c r="P1199" i="5"/>
  <c r="Q1199" i="5" s="1"/>
  <c r="W1228" i="5"/>
  <c r="T1362" i="5"/>
  <c r="P1364" i="5"/>
  <c r="Q1364" i="5" s="1"/>
  <c r="P1512" i="5"/>
  <c r="R1512" i="5" s="1"/>
  <c r="P1595" i="5"/>
  <c r="R1595" i="5" s="1"/>
  <c r="W1672" i="5"/>
  <c r="S1757" i="5"/>
  <c r="P1762" i="5"/>
  <c r="R1762" i="5" s="1"/>
  <c r="W2046" i="5"/>
  <c r="F2046" i="5"/>
  <c r="P159" i="5"/>
  <c r="R159" i="5" s="1"/>
  <c r="P177" i="5"/>
  <c r="R177" i="5" s="1"/>
  <c r="H270" i="5"/>
  <c r="W206" i="5"/>
  <c r="P208" i="5"/>
  <c r="Q208" i="5" s="1"/>
  <c r="W430" i="5"/>
  <c r="S472" i="5"/>
  <c r="S479" i="5"/>
  <c r="P491" i="5"/>
  <c r="R491" i="5" s="1"/>
  <c r="S505" i="5"/>
  <c r="P576" i="5"/>
  <c r="S614" i="5"/>
  <c r="P674" i="5"/>
  <c r="R674" i="5" s="1"/>
  <c r="P723" i="5"/>
  <c r="R723" i="5" s="1"/>
  <c r="P730" i="5"/>
  <c r="T1103" i="5"/>
  <c r="H1106" i="5"/>
  <c r="H1219" i="5"/>
  <c r="P1263" i="5"/>
  <c r="Q1263" i="5" s="1"/>
  <c r="P1860" i="5"/>
  <c r="R1860" i="5" s="1"/>
  <c r="P498" i="5"/>
  <c r="R498" i="5" s="1"/>
  <c r="S602" i="5"/>
  <c r="W610" i="5"/>
  <c r="S695" i="5"/>
  <c r="H849" i="5"/>
  <c r="S904" i="5"/>
  <c r="S916" i="5"/>
  <c r="W926" i="5"/>
  <c r="S942" i="5"/>
  <c r="W964" i="5"/>
  <c r="S1020" i="5"/>
  <c r="H1214" i="5"/>
  <c r="S1183" i="5"/>
  <c r="P1406" i="5"/>
  <c r="R1406" i="5" s="1"/>
  <c r="S1476" i="5"/>
  <c r="W1565" i="5"/>
  <c r="W1586" i="5"/>
  <c r="P1693" i="5"/>
  <c r="R1693" i="5" s="1"/>
  <c r="W1753" i="5"/>
  <c r="S1865" i="5"/>
  <c r="W2022" i="5"/>
  <c r="W421" i="5"/>
  <c r="P463" i="5"/>
  <c r="S484" i="5"/>
  <c r="P517" i="5"/>
  <c r="S538" i="5"/>
  <c r="P543" i="5"/>
  <c r="P569" i="5"/>
  <c r="R569" i="5" s="1"/>
  <c r="S576" i="5"/>
  <c r="W584" i="5"/>
  <c r="W646" i="5"/>
  <c r="W677" i="5"/>
  <c r="P679" i="5"/>
  <c r="R679" i="5" s="1"/>
  <c r="S688" i="5"/>
  <c r="S716" i="5"/>
  <c r="P768" i="5"/>
  <c r="R768" i="5" s="1"/>
  <c r="S780" i="5"/>
  <c r="H866" i="5"/>
  <c r="P797" i="5"/>
  <c r="R797" i="5" s="1"/>
  <c r="P828" i="5"/>
  <c r="R828" i="5" s="1"/>
  <c r="P952" i="5"/>
  <c r="R952" i="5" s="1"/>
  <c r="P959" i="5"/>
  <c r="R959" i="5" s="1"/>
  <c r="P990" i="5"/>
  <c r="R990" i="5" s="1"/>
  <c r="P1023" i="5"/>
  <c r="Q1023" i="5" s="1"/>
  <c r="P1155" i="5"/>
  <c r="F1172" i="5"/>
  <c r="E1210" i="5"/>
  <c r="F1210" i="5" s="1"/>
  <c r="W1238" i="5"/>
  <c r="S1263" i="5"/>
  <c r="S1394" i="5"/>
  <c r="P1404" i="5"/>
  <c r="R1404" i="5" s="1"/>
  <c r="P1469" i="5"/>
  <c r="R1469" i="5" s="1"/>
  <c r="P1574" i="5"/>
  <c r="W1629" i="5"/>
  <c r="S1712" i="5"/>
  <c r="S1808" i="5"/>
  <c r="P1829" i="5"/>
  <c r="R1829" i="5" s="1"/>
  <c r="S1834" i="5"/>
  <c r="S1978" i="5"/>
  <c r="P1928" i="5"/>
  <c r="Q1928" i="5" s="1"/>
  <c r="S1966" i="5"/>
  <c r="W1984" i="5"/>
  <c r="F1984" i="5"/>
  <c r="W525" i="5"/>
  <c r="S541" i="5"/>
  <c r="W544" i="5"/>
  <c r="S567" i="5"/>
  <c r="P572" i="5"/>
  <c r="R572" i="5" s="1"/>
  <c r="P596" i="5"/>
  <c r="R596" i="5" s="1"/>
  <c r="W601" i="5"/>
  <c r="S653" i="5"/>
  <c r="P663" i="5"/>
  <c r="R663" i="5" s="1"/>
  <c r="P670" i="5"/>
  <c r="Q670" i="5" s="1"/>
  <c r="W687" i="5"/>
  <c r="W876" i="5"/>
  <c r="P905" i="5"/>
  <c r="R905" i="5" s="1"/>
  <c r="P936" i="5"/>
  <c r="P957" i="5"/>
  <c r="P962" i="5"/>
  <c r="R962" i="5" s="1"/>
  <c r="T1195" i="5"/>
  <c r="S1287" i="5"/>
  <c r="S1323" i="5"/>
  <c r="P1460" i="5"/>
  <c r="R1460" i="5" s="1"/>
  <c r="P1558" i="5"/>
  <c r="P1694" i="5"/>
  <c r="S1727" i="5"/>
  <c r="S1765" i="5"/>
  <c r="T1207" i="5"/>
  <c r="H1210" i="5"/>
  <c r="P1148" i="5"/>
  <c r="R1148" i="5" s="1"/>
  <c r="P1266" i="5"/>
  <c r="R1266" i="5" s="1"/>
  <c r="T1361" i="5"/>
  <c r="S1715" i="5"/>
  <c r="P1744" i="5"/>
  <c r="R1744" i="5" s="1"/>
  <c r="W129" i="5"/>
  <c r="P143" i="5"/>
  <c r="R143" i="5" s="1"/>
  <c r="W176" i="5"/>
  <c r="W207" i="5"/>
  <c r="P216" i="5"/>
  <c r="Q216" i="5" s="1"/>
  <c r="S308" i="5"/>
  <c r="H406" i="5"/>
  <c r="P332" i="5"/>
  <c r="R332" i="5" s="1"/>
  <c r="S353" i="5"/>
  <c r="W356" i="5"/>
  <c r="S367" i="5"/>
  <c r="S381" i="5"/>
  <c r="W431" i="5"/>
  <c r="W440" i="5"/>
  <c r="S449" i="5"/>
  <c r="W563" i="5"/>
  <c r="P565" i="5"/>
  <c r="S591" i="5"/>
  <c r="W594" i="5"/>
  <c r="S615" i="5"/>
  <c r="W649" i="5"/>
  <c r="P651" i="5"/>
  <c r="S665" i="5"/>
  <c r="P675" i="5"/>
  <c r="Q675" i="5" s="1"/>
  <c r="P696" i="5"/>
  <c r="P717" i="5"/>
  <c r="R717" i="5" s="1"/>
  <c r="P724" i="5"/>
  <c r="Q724" i="5" s="1"/>
  <c r="W736" i="5"/>
  <c r="W755" i="5"/>
  <c r="P757" i="5"/>
  <c r="W779" i="5"/>
  <c r="P795" i="5"/>
  <c r="Q795" i="5" s="1"/>
  <c r="P819" i="5"/>
  <c r="Q819" i="5" s="1"/>
  <c r="S888" i="5"/>
  <c r="W891" i="5"/>
  <c r="W1127" i="5"/>
  <c r="S1148" i="5"/>
  <c r="P1153" i="5"/>
  <c r="R1153" i="5" s="1"/>
  <c r="S1266" i="5"/>
  <c r="P1402" i="5"/>
  <c r="R1402" i="5" s="1"/>
  <c r="P1429" i="5"/>
  <c r="Q1429" i="5" s="1"/>
  <c r="S1431" i="5"/>
  <c r="P1520" i="5"/>
  <c r="R1520" i="5" s="1"/>
  <c r="S1701" i="5"/>
  <c r="P1713" i="5"/>
  <c r="Q1713" i="5" s="1"/>
  <c r="W1723" i="5"/>
  <c r="S1884" i="5"/>
  <c r="W20" i="5"/>
  <c r="S31" i="5"/>
  <c r="S38" i="5"/>
  <c r="W53" i="5"/>
  <c r="S69" i="5"/>
  <c r="W79" i="5"/>
  <c r="S95" i="5"/>
  <c r="W110" i="5"/>
  <c r="S197" i="5"/>
  <c r="H290" i="5"/>
  <c r="S223" i="5"/>
  <c r="S313" i="5"/>
  <c r="S435" i="5"/>
  <c r="P442" i="5"/>
  <c r="R442" i="5" s="1"/>
  <c r="P447" i="5"/>
  <c r="S454" i="5"/>
  <c r="P478" i="5"/>
  <c r="R478" i="5" s="1"/>
  <c r="S527" i="5"/>
  <c r="W542" i="5"/>
  <c r="S572" i="5"/>
  <c r="W599" i="5"/>
  <c r="W611" i="5"/>
  <c r="S620" i="5"/>
  <c r="P625" i="5"/>
  <c r="R625" i="5" s="1"/>
  <c r="S627" i="5"/>
  <c r="P637" i="5"/>
  <c r="R637" i="5" s="1"/>
  <c r="W654" i="5"/>
  <c r="P694" i="5"/>
  <c r="Q694" i="5" s="1"/>
  <c r="S710" i="5"/>
  <c r="P738" i="5"/>
  <c r="S776" i="5"/>
  <c r="E848" i="5"/>
  <c r="F848" i="5" s="1"/>
  <c r="F810" i="5"/>
  <c r="W858" i="5"/>
  <c r="W884" i="5"/>
  <c r="P886" i="5"/>
  <c r="Q886" i="5" s="1"/>
  <c r="S905" i="5"/>
  <c r="S995" i="5"/>
  <c r="P1062" i="5"/>
  <c r="Q1062" i="5" s="1"/>
  <c r="P1129" i="5"/>
  <c r="W1161" i="5"/>
  <c r="P1163" i="5"/>
  <c r="R1163" i="5" s="1"/>
  <c r="P1182" i="5"/>
  <c r="R1182" i="5" s="1"/>
  <c r="W1260" i="5"/>
  <c r="H1338" i="5"/>
  <c r="H1352" i="5"/>
  <c r="S1278" i="5"/>
  <c r="W1305" i="5"/>
  <c r="S1501" i="5"/>
  <c r="W1504" i="5"/>
  <c r="S1546" i="5"/>
  <c r="S1646" i="5"/>
  <c r="W1666" i="5"/>
  <c r="W1685" i="5"/>
  <c r="W1716" i="5"/>
  <c r="P1856" i="5"/>
  <c r="Q1856" i="5" s="1"/>
  <c r="S1947" i="5"/>
  <c r="P136" i="5"/>
  <c r="R136" i="5" s="1"/>
  <c r="W151" i="5"/>
  <c r="P169" i="5"/>
  <c r="Q169" i="5" s="1"/>
  <c r="W181" i="5"/>
  <c r="W193" i="5"/>
  <c r="P202" i="5"/>
  <c r="Q202" i="5" s="1"/>
  <c r="P221" i="5"/>
  <c r="R221" i="5" s="1"/>
  <c r="P228" i="5"/>
  <c r="Q228" i="5" s="1"/>
  <c r="P261" i="5"/>
  <c r="R261" i="5" s="1"/>
  <c r="T415" i="5"/>
  <c r="S365" i="5"/>
  <c r="W368" i="5"/>
  <c r="P377" i="5"/>
  <c r="P452" i="5"/>
  <c r="W502" i="5"/>
  <c r="S520" i="5"/>
  <c r="W580" i="5"/>
  <c r="P618" i="5"/>
  <c r="R618" i="5" s="1"/>
  <c r="S632" i="5"/>
  <c r="S689" i="5"/>
  <c r="W692" i="5"/>
  <c r="S738" i="5"/>
  <c r="S838" i="5"/>
  <c r="P910" i="5"/>
  <c r="R910" i="5" s="1"/>
  <c r="V910" i="5" s="1"/>
  <c r="F1010" i="5"/>
  <c r="W1010" i="5"/>
  <c r="W1017" i="5"/>
  <c r="P1151" i="5"/>
  <c r="Q1151" i="5" s="1"/>
  <c r="P1175" i="5"/>
  <c r="R1175" i="5" s="1"/>
  <c r="P1221" i="5"/>
  <c r="Q1221" i="5" s="1"/>
  <c r="W1293" i="5"/>
  <c r="W1516" i="5"/>
  <c r="W1554" i="5"/>
  <c r="S1639" i="5"/>
  <c r="W1654" i="5"/>
  <c r="S1835" i="5"/>
  <c r="S1874" i="5"/>
  <c r="W1970" i="5"/>
  <c r="P1945" i="5"/>
  <c r="R1945" i="5" s="1"/>
  <c r="P1960" i="5"/>
  <c r="R1960" i="5" s="1"/>
  <c r="S1314" i="5"/>
  <c r="S1506" i="5"/>
  <c r="S1644" i="5"/>
  <c r="P1735" i="5"/>
  <c r="Q1735" i="5" s="1"/>
  <c r="W1740" i="5"/>
  <c r="S1869" i="5"/>
  <c r="P1877" i="5"/>
  <c r="S1633" i="5"/>
  <c r="P1657" i="5"/>
  <c r="R1657" i="5" s="1"/>
  <c r="W1698" i="5"/>
  <c r="P1723" i="5"/>
  <c r="R1723" i="5" s="1"/>
  <c r="S1744" i="5"/>
  <c r="S1875" i="5"/>
  <c r="S1893" i="5"/>
  <c r="S1906" i="5"/>
  <c r="S1929" i="5"/>
  <c r="S1981" i="5"/>
  <c r="S2002" i="5"/>
  <c r="W2010" i="5"/>
  <c r="W2035" i="5"/>
  <c r="P2038" i="5"/>
  <c r="R2038" i="5" s="1"/>
  <c r="W2055" i="5"/>
  <c r="W2036" i="5"/>
  <c r="S2045" i="5"/>
  <c r="S2000" i="5"/>
  <c r="P2012" i="5"/>
  <c r="R2012" i="5" s="1"/>
  <c r="S1035" i="5"/>
  <c r="W1064" i="5"/>
  <c r="S1111" i="5"/>
  <c r="T1201" i="5"/>
  <c r="S1149" i="5"/>
  <c r="S1317" i="5"/>
  <c r="S1381" i="5"/>
  <c r="S1395" i="5"/>
  <c r="S1407" i="5"/>
  <c r="S1474" i="5"/>
  <c r="W1482" i="5"/>
  <c r="S1500" i="5"/>
  <c r="W1522" i="5"/>
  <c r="P1584" i="5"/>
  <c r="R1584" i="5" s="1"/>
  <c r="W1615" i="5"/>
  <c r="S1631" i="5"/>
  <c r="W1665" i="5"/>
  <c r="S1700" i="5"/>
  <c r="P1714" i="5"/>
  <c r="Q1714" i="5" s="1"/>
  <c r="S1728" i="5"/>
  <c r="P1777" i="5"/>
  <c r="R1777" i="5" s="1"/>
  <c r="S1790" i="5"/>
  <c r="S1860" i="5"/>
  <c r="S1878" i="5"/>
  <c r="P1891" i="5"/>
  <c r="R1891" i="5" s="1"/>
  <c r="P1998" i="5"/>
  <c r="Q1998" i="5" s="1"/>
  <c r="P987" i="5"/>
  <c r="R987" i="5" s="1"/>
  <c r="P1128" i="5"/>
  <c r="R1128" i="5" s="1"/>
  <c r="P1147" i="5"/>
  <c r="Q1147" i="5" s="1"/>
  <c r="P1180" i="5"/>
  <c r="P1238" i="5"/>
  <c r="R1238" i="5" s="1"/>
  <c r="P1332" i="5"/>
  <c r="Q1332" i="5" s="1"/>
  <c r="P1340" i="5"/>
  <c r="Q1340" i="5" s="1"/>
  <c r="P1393" i="5"/>
  <c r="P1498" i="5"/>
  <c r="P1561" i="5"/>
  <c r="R1561" i="5" s="1"/>
  <c r="P1566" i="5"/>
  <c r="Q1566" i="5" s="1"/>
  <c r="P1589" i="5"/>
  <c r="Q1589" i="5" s="1"/>
  <c r="P1641" i="5"/>
  <c r="R1641" i="5" s="1"/>
  <c r="P1740" i="5"/>
  <c r="R1740" i="5" s="1"/>
  <c r="S1756" i="5"/>
  <c r="W1759" i="5"/>
  <c r="S1770" i="5"/>
  <c r="S1873" i="5"/>
  <c r="S1935" i="5"/>
  <c r="P1948" i="5"/>
  <c r="Q1948" i="5" s="1"/>
  <c r="W1956" i="5"/>
  <c r="W1968" i="5"/>
  <c r="W1975" i="5"/>
  <c r="W1994" i="5"/>
  <c r="S949" i="5"/>
  <c r="W952" i="5"/>
  <c r="W959" i="5"/>
  <c r="W1006" i="5"/>
  <c r="T1088" i="5"/>
  <c r="W1036" i="5"/>
  <c r="S1054" i="5"/>
  <c r="S1123" i="5"/>
  <c r="P1259" i="5"/>
  <c r="R1259" i="5" s="1"/>
  <c r="S1261" i="5"/>
  <c r="T1353" i="5"/>
  <c r="P1282" i="5"/>
  <c r="R1282" i="5" s="1"/>
  <c r="T1367" i="5"/>
  <c r="P1301" i="5"/>
  <c r="Q1301" i="5" s="1"/>
  <c r="W1396" i="5"/>
  <c r="S1412" i="5"/>
  <c r="P1417" i="5"/>
  <c r="P1446" i="5"/>
  <c r="S1448" i="5"/>
  <c r="S1467" i="5"/>
  <c r="W1508" i="5"/>
  <c r="P1531" i="5"/>
  <c r="Q1531" i="5" s="1"/>
  <c r="P1540" i="5"/>
  <c r="P1603" i="5"/>
  <c r="R1603" i="5" s="1"/>
  <c r="P1634" i="5"/>
  <c r="P1768" i="5"/>
  <c r="R1768" i="5" s="1"/>
  <c r="P1775" i="5"/>
  <c r="Q1775" i="5" s="1"/>
  <c r="P1894" i="5"/>
  <c r="R1894" i="5" s="1"/>
  <c r="P729" i="5"/>
  <c r="Q729" i="5" s="1"/>
  <c r="P736" i="5"/>
  <c r="R736" i="5" s="1"/>
  <c r="S752" i="5"/>
  <c r="S828" i="5"/>
  <c r="P840" i="5"/>
  <c r="W888" i="5"/>
  <c r="S892" i="5"/>
  <c r="P909" i="5"/>
  <c r="R909" i="5" s="1"/>
  <c r="W938" i="5"/>
  <c r="P947" i="5"/>
  <c r="R947" i="5" s="1"/>
  <c r="W978" i="5"/>
  <c r="P980" i="5"/>
  <c r="W1022" i="5"/>
  <c r="P1024" i="5"/>
  <c r="Q1024" i="5" s="1"/>
  <c r="T1109" i="5"/>
  <c r="W1043" i="5"/>
  <c r="H1221" i="5"/>
  <c r="W1162" i="5"/>
  <c r="P1171" i="5"/>
  <c r="P1231" i="5"/>
  <c r="P1245" i="5"/>
  <c r="T1346" i="5"/>
  <c r="H1344" i="5"/>
  <c r="S1327" i="5"/>
  <c r="W1335" i="5"/>
  <c r="P1337" i="5"/>
  <c r="R1337" i="5" s="1"/>
  <c r="P1398" i="5"/>
  <c r="Q1398" i="5" s="1"/>
  <c r="P1405" i="5"/>
  <c r="Q1405" i="5" s="1"/>
  <c r="P1465" i="5"/>
  <c r="R1465" i="5" s="1"/>
  <c r="P1472" i="5"/>
  <c r="Q1472" i="5" s="1"/>
  <c r="P1505" i="5"/>
  <c r="R1505" i="5" s="1"/>
  <c r="W1543" i="5"/>
  <c r="W1550" i="5"/>
  <c r="P1575" i="5"/>
  <c r="R1575" i="5" s="1"/>
  <c r="P1594" i="5"/>
  <c r="R1594" i="5" s="1"/>
  <c r="W1599" i="5"/>
  <c r="S1617" i="5"/>
  <c r="P1629" i="5"/>
  <c r="Q1629" i="5" s="1"/>
  <c r="S1733" i="5"/>
  <c r="P1745" i="5"/>
  <c r="R1745" i="5" s="1"/>
  <c r="S1754" i="5"/>
  <c r="P1788" i="5"/>
  <c r="Q1788" i="5" s="1"/>
  <c r="S1798" i="5"/>
  <c r="S1819" i="5"/>
  <c r="S1824" i="5"/>
  <c r="P1845" i="5"/>
  <c r="S1943" i="5"/>
  <c r="P1951" i="5"/>
  <c r="R1951" i="5" s="1"/>
  <c r="P1958" i="5"/>
  <c r="S1965" i="5"/>
  <c r="S1984" i="5"/>
  <c r="S2055" i="5"/>
  <c r="P1840" i="5"/>
  <c r="P1907" i="5"/>
  <c r="P1912" i="5"/>
  <c r="R1912" i="5" s="1"/>
  <c r="P1970" i="5"/>
  <c r="S1972" i="5"/>
  <c r="W1055" i="5"/>
  <c r="W1069" i="5"/>
  <c r="S1128" i="5"/>
  <c r="W1143" i="5"/>
  <c r="S1159" i="5"/>
  <c r="S1166" i="5"/>
  <c r="E1188" i="5"/>
  <c r="F1188" i="5" s="1"/>
  <c r="S1275" i="5"/>
  <c r="W1285" i="5"/>
  <c r="S1296" i="5"/>
  <c r="W1304" i="5"/>
  <c r="H1356" i="5"/>
  <c r="W1413" i="5"/>
  <c r="S1422" i="5"/>
  <c r="W1430" i="5"/>
  <c r="S1472" i="5"/>
  <c r="S1526" i="5"/>
  <c r="S1566" i="5"/>
  <c r="W1597" i="5"/>
  <c r="S1622" i="5"/>
  <c r="W1694" i="5"/>
  <c r="W1722" i="5"/>
  <c r="S1761" i="5"/>
  <c r="W1771" i="5"/>
  <c r="S1814" i="5"/>
  <c r="S1858" i="5"/>
  <c r="S1970" i="5"/>
  <c r="P1982" i="5"/>
  <c r="S1989" i="5"/>
  <c r="W2025" i="5"/>
  <c r="S2029" i="5"/>
  <c r="H1089" i="5"/>
  <c r="T1093" i="5"/>
  <c r="H1098" i="5"/>
  <c r="P1119" i="5"/>
  <c r="Q1119" i="5" s="1"/>
  <c r="H1207" i="5"/>
  <c r="P1218" i="5"/>
  <c r="Q1218" i="5" s="1"/>
  <c r="T1351" i="5"/>
  <c r="H1354" i="5"/>
  <c r="P1299" i="5"/>
  <c r="Q1299" i="5" s="1"/>
  <c r="T1370" i="5"/>
  <c r="P1425" i="5"/>
  <c r="R1425" i="5" s="1"/>
  <c r="P1439" i="5"/>
  <c r="R1439" i="5" s="1"/>
  <c r="S1496" i="5"/>
  <c r="P1515" i="5"/>
  <c r="R1515" i="5" s="1"/>
  <c r="S1531" i="5"/>
  <c r="S1634" i="5"/>
  <c r="P1703" i="5"/>
  <c r="R1703" i="5" s="1"/>
  <c r="P1729" i="5"/>
  <c r="P1804" i="5"/>
  <c r="R1804" i="5" s="1"/>
  <c r="P1941" i="5"/>
  <c r="Q1941" i="5" s="1"/>
  <c r="S533" i="5"/>
  <c r="S578" i="5"/>
  <c r="W681" i="5"/>
  <c r="S685" i="5"/>
  <c r="S692" i="5"/>
  <c r="S699" i="5"/>
  <c r="S736" i="5"/>
  <c r="P741" i="5"/>
  <c r="H867" i="5"/>
  <c r="P793" i="5"/>
  <c r="Q793" i="5" s="1"/>
  <c r="T871" i="5"/>
  <c r="W836" i="5"/>
  <c r="P888" i="5"/>
  <c r="R888" i="5" s="1"/>
  <c r="W893" i="5"/>
  <c r="S909" i="5"/>
  <c r="S928" i="5"/>
  <c r="S940" i="5"/>
  <c r="W943" i="5"/>
  <c r="W976" i="5"/>
  <c r="P992" i="5"/>
  <c r="Q992" i="5" s="1"/>
  <c r="S994" i="5"/>
  <c r="W997" i="5"/>
  <c r="S1015" i="5"/>
  <c r="F1041" i="5"/>
  <c r="P1043" i="5"/>
  <c r="R1043" i="5" s="1"/>
  <c r="W1060" i="5"/>
  <c r="S1071" i="5"/>
  <c r="P1176" i="5"/>
  <c r="R1176" i="5" s="1"/>
  <c r="T1344" i="5"/>
  <c r="H1347" i="5"/>
  <c r="T1358" i="5"/>
  <c r="S1294" i="5"/>
  <c r="W1316" i="5"/>
  <c r="P1361" i="5"/>
  <c r="Q1361" i="5" s="1"/>
  <c r="P1371" i="5"/>
  <c r="Q1371" i="5" s="1"/>
  <c r="P1389" i="5"/>
  <c r="R1389" i="5" s="1"/>
  <c r="S1439" i="5"/>
  <c r="P1456" i="5"/>
  <c r="R1456" i="5" s="1"/>
  <c r="P1571" i="5"/>
  <c r="R1571" i="5" s="1"/>
  <c r="S1587" i="5"/>
  <c r="P1627" i="5"/>
  <c r="P1632" i="5"/>
  <c r="R1632" i="5" s="1"/>
  <c r="P1658" i="5"/>
  <c r="R1658" i="5" s="1"/>
  <c r="S1665" i="5"/>
  <c r="W1673" i="5"/>
  <c r="W1680" i="5"/>
  <c r="S1724" i="5"/>
  <c r="P1791" i="5"/>
  <c r="R1791" i="5" s="1"/>
  <c r="P1812" i="5"/>
  <c r="P1879" i="5"/>
  <c r="R1879" i="5" s="1"/>
  <c r="P1902" i="5"/>
  <c r="R1902" i="5" s="1"/>
  <c r="S2015" i="5"/>
  <c r="W2049" i="5"/>
  <c r="W2056" i="5"/>
  <c r="W1983" i="5"/>
  <c r="S2046" i="5"/>
  <c r="S2001" i="5"/>
  <c r="S1928" i="5"/>
  <c r="W1964" i="5"/>
  <c r="S2006" i="5"/>
  <c r="P2025" i="5"/>
  <c r="R2025" i="5" s="1"/>
  <c r="W2047" i="5"/>
  <c r="S2051" i="5"/>
  <c r="W1981" i="5"/>
  <c r="W2007" i="5"/>
  <c r="P728" i="5"/>
  <c r="H856" i="5"/>
  <c r="T860" i="5"/>
  <c r="P834" i="5"/>
  <c r="Q834" i="5" s="1"/>
  <c r="P946" i="5"/>
  <c r="H1099" i="5"/>
  <c r="P1030" i="5"/>
  <c r="Q1030" i="5" s="1"/>
  <c r="P1127" i="5"/>
  <c r="P1134" i="5"/>
  <c r="R1134" i="5" s="1"/>
  <c r="P1189" i="5"/>
  <c r="Q1189" i="5" s="1"/>
  <c r="T1338" i="5"/>
  <c r="P1274" i="5"/>
  <c r="R1274" i="5" s="1"/>
  <c r="T1347" i="5"/>
  <c r="P1464" i="5"/>
  <c r="R1464" i="5" s="1"/>
  <c r="S1478" i="5"/>
  <c r="P1565" i="5"/>
  <c r="Q1565" i="5" s="1"/>
  <c r="W1570" i="5"/>
  <c r="P1581" i="5"/>
  <c r="R1581" i="5" s="1"/>
  <c r="P1602" i="5"/>
  <c r="Q1602" i="5" s="1"/>
  <c r="W1735" i="5"/>
  <c r="S1762" i="5"/>
  <c r="P1836" i="5"/>
  <c r="R1836" i="5" s="1"/>
  <c r="P2016" i="5"/>
  <c r="R2016" i="5" s="1"/>
  <c r="P2054" i="5"/>
  <c r="R2054" i="5" s="1"/>
  <c r="P667" i="5"/>
  <c r="R667" i="5" s="1"/>
  <c r="P672" i="5"/>
  <c r="Q672" i="5" s="1"/>
  <c r="S693" i="5"/>
  <c r="S700" i="5"/>
  <c r="P714" i="5"/>
  <c r="R714" i="5" s="1"/>
  <c r="S730" i="5"/>
  <c r="P742" i="5"/>
  <c r="Q742" i="5" s="1"/>
  <c r="S751" i="5"/>
  <c r="P756" i="5"/>
  <c r="R756" i="5" s="1"/>
  <c r="P775" i="5"/>
  <c r="Q775" i="5" s="1"/>
  <c r="T853" i="5"/>
  <c r="T872" i="5"/>
  <c r="P889" i="5"/>
  <c r="P891" i="5"/>
  <c r="R891" i="5" s="1"/>
  <c r="W932" i="5"/>
  <c r="W951" i="5"/>
  <c r="S967" i="5"/>
  <c r="P972" i="5"/>
  <c r="R972" i="5" s="1"/>
  <c r="W998" i="5"/>
  <c r="W1005" i="5"/>
  <c r="P1007" i="5"/>
  <c r="R1007" i="5" s="1"/>
  <c r="W1111" i="5"/>
  <c r="P1120" i="5"/>
  <c r="R1120" i="5" s="1"/>
  <c r="S1122" i="5"/>
  <c r="S1198" i="5" s="1"/>
  <c r="P1158" i="5"/>
  <c r="R1158" i="5" s="1"/>
  <c r="P1230" i="5"/>
  <c r="R1230" i="5" s="1"/>
  <c r="P1244" i="5"/>
  <c r="R1244" i="5" s="1"/>
  <c r="T1359" i="5"/>
  <c r="H1369" i="5"/>
  <c r="S1321" i="5"/>
  <c r="P1345" i="5"/>
  <c r="Q1345" i="5" s="1"/>
  <c r="P1369" i="5"/>
  <c r="Q1369" i="5" s="1"/>
  <c r="W1395" i="5"/>
  <c r="S1399" i="5"/>
  <c r="P1426" i="5"/>
  <c r="R1426" i="5" s="1"/>
  <c r="P1509" i="5"/>
  <c r="P1516" i="5"/>
  <c r="W1528" i="5"/>
  <c r="P1530" i="5"/>
  <c r="R1530" i="5" s="1"/>
  <c r="S1553" i="5"/>
  <c r="P1572" i="5"/>
  <c r="Q1572" i="5" s="1"/>
  <c r="W1662" i="5"/>
  <c r="W1728" i="5"/>
  <c r="P1730" i="5"/>
  <c r="Q1730" i="5" s="1"/>
  <c r="F1735" i="5"/>
  <c r="S1769" i="5"/>
  <c r="P1774" i="5"/>
  <c r="R1774" i="5" s="1"/>
  <c r="P1779" i="5"/>
  <c r="Q1779" i="5" s="1"/>
  <c r="P1805" i="5"/>
  <c r="R1805" i="5" s="1"/>
  <c r="P1880" i="5"/>
  <c r="R1880" i="5" s="1"/>
  <c r="P1885" i="5"/>
  <c r="Q1885" i="5" s="1"/>
  <c r="S1903" i="5"/>
  <c r="S1908" i="5"/>
  <c r="P1916" i="5"/>
  <c r="R1916" i="5" s="1"/>
  <c r="P1964" i="5"/>
  <c r="R1964" i="5" s="1"/>
  <c r="S2016" i="5"/>
  <c r="W1979" i="5"/>
  <c r="P1995" i="5"/>
  <c r="S2009" i="5"/>
  <c r="W2012" i="5"/>
  <c r="P2052" i="5"/>
  <c r="R2052" i="5" s="1"/>
  <c r="S603" i="5"/>
  <c r="P615" i="5"/>
  <c r="Q615" i="5" s="1"/>
  <c r="S629" i="5"/>
  <c r="S648" i="5"/>
  <c r="W656" i="5"/>
  <c r="P665" i="5"/>
  <c r="R665" i="5" s="1"/>
  <c r="P677" i="5"/>
  <c r="S679" i="5"/>
  <c r="W701" i="5"/>
  <c r="P703" i="5"/>
  <c r="Q703" i="5" s="1"/>
  <c r="P719" i="5"/>
  <c r="P754" i="5"/>
  <c r="R754" i="5" s="1"/>
  <c r="S763" i="5"/>
  <c r="T846" i="5"/>
  <c r="W790" i="5"/>
  <c r="S820" i="5"/>
  <c r="W823" i="5"/>
  <c r="W845" i="5"/>
  <c r="W899" i="5"/>
  <c r="S934" i="5"/>
  <c r="S946" i="5"/>
  <c r="S960" i="5"/>
  <c r="W982" i="5"/>
  <c r="S986" i="5"/>
  <c r="S1000" i="5"/>
  <c r="S1030" i="5"/>
  <c r="P1056" i="5"/>
  <c r="R1056" i="5" s="1"/>
  <c r="W1123" i="5"/>
  <c r="S1179" i="5"/>
  <c r="W1270" i="5"/>
  <c r="W1284" i="5"/>
  <c r="H1374" i="5"/>
  <c r="H1355" i="5"/>
  <c r="T1364" i="5"/>
  <c r="H1367" i="5"/>
  <c r="P1339" i="5"/>
  <c r="Q1339" i="5" s="1"/>
  <c r="P1414" i="5"/>
  <c r="Q1414" i="5" s="1"/>
  <c r="S1421" i="5"/>
  <c r="W1429" i="5"/>
  <c r="S1433" i="5"/>
  <c r="W1519" i="5"/>
  <c r="W1556" i="5"/>
  <c r="P1563" i="5"/>
  <c r="R1563" i="5" s="1"/>
  <c r="S1565" i="5"/>
  <c r="W1568" i="5"/>
  <c r="W1596" i="5"/>
  <c r="S1602" i="5"/>
  <c r="S1621" i="5"/>
  <c r="S1628" i="5"/>
  <c r="W1693" i="5"/>
  <c r="S1711" i="5"/>
  <c r="P1716" i="5"/>
  <c r="R1716" i="5" s="1"/>
  <c r="W1721" i="5"/>
  <c r="S1767" i="5"/>
  <c r="P1772" i="5"/>
  <c r="R1772" i="5" s="1"/>
  <c r="S1880" i="5"/>
  <c r="S1916" i="5"/>
  <c r="P1962" i="5"/>
  <c r="R1962" i="5" s="1"/>
  <c r="S1988" i="5"/>
  <c r="V1988" i="5" s="1"/>
  <c r="S2021" i="5"/>
  <c r="P2033" i="5"/>
  <c r="Q2033" i="5" s="1"/>
  <c r="Q4" i="2"/>
  <c r="K18" i="18"/>
  <c r="R249" i="5"/>
  <c r="Q249" i="5"/>
  <c r="Q540" i="5"/>
  <c r="Q74" i="5"/>
  <c r="F357" i="5"/>
  <c r="E395" i="5"/>
  <c r="W395" i="5" s="1"/>
  <c r="P132" i="5"/>
  <c r="S160" i="5"/>
  <c r="P226" i="5"/>
  <c r="R226" i="5" s="1"/>
  <c r="W235" i="5"/>
  <c r="P237" i="5"/>
  <c r="R237" i="5" s="1"/>
  <c r="T383" i="5"/>
  <c r="F377" i="5"/>
  <c r="P379" i="5"/>
  <c r="S442" i="5"/>
  <c r="P528" i="5"/>
  <c r="R528" i="5" s="1"/>
  <c r="W775" i="5"/>
  <c r="F775" i="5"/>
  <c r="H879" i="5"/>
  <c r="S1021" i="5"/>
  <c r="W112" i="5"/>
  <c r="W103" i="5"/>
  <c r="P431" i="5"/>
  <c r="R431" i="5" s="1"/>
  <c r="P521" i="5"/>
  <c r="R521" i="5" s="1"/>
  <c r="S672" i="5"/>
  <c r="P782" i="5"/>
  <c r="R782" i="5" s="1"/>
  <c r="F106" i="5"/>
  <c r="S86" i="5"/>
  <c r="S125" i="5"/>
  <c r="P95" i="5"/>
  <c r="Q95" i="5" s="1"/>
  <c r="S97" i="5"/>
  <c r="P108" i="5"/>
  <c r="W222" i="5"/>
  <c r="H300" i="5"/>
  <c r="F251" i="5"/>
  <c r="S264" i="5"/>
  <c r="W364" i="5"/>
  <c r="H404" i="5"/>
  <c r="P368" i="5"/>
  <c r="R368" i="5" s="1"/>
  <c r="W422" i="5"/>
  <c r="S431" i="5"/>
  <c r="W466" i="5"/>
  <c r="S544" i="5"/>
  <c r="W652" i="5"/>
  <c r="S777" i="5"/>
  <c r="P954" i="5"/>
  <c r="R954" i="5" s="1"/>
  <c r="P1017" i="5"/>
  <c r="H870" i="5"/>
  <c r="P125" i="5"/>
  <c r="P40" i="5"/>
  <c r="R40" i="5" s="1"/>
  <c r="S108" i="5"/>
  <c r="P184" i="5"/>
  <c r="R184" i="5" s="1"/>
  <c r="T295" i="5"/>
  <c r="P235" i="5"/>
  <c r="E290" i="5"/>
  <c r="F290" i="5" s="1"/>
  <c r="S339" i="5"/>
  <c r="P366" i="5"/>
  <c r="Q366" i="5" s="1"/>
  <c r="S456" i="5"/>
  <c r="P542" i="5"/>
  <c r="P661" i="5"/>
  <c r="R661" i="5" s="1"/>
  <c r="S883" i="5"/>
  <c r="S120" i="5"/>
  <c r="T271" i="5"/>
  <c r="P53" i="5"/>
  <c r="P61" i="5"/>
  <c r="Q61" i="5" s="1"/>
  <c r="W4" i="5"/>
  <c r="P59" i="5"/>
  <c r="R59" i="5" s="1"/>
  <c r="P63" i="5"/>
  <c r="Q63" i="5" s="1"/>
  <c r="S65" i="5"/>
  <c r="P91" i="5"/>
  <c r="R91" i="5" s="1"/>
  <c r="W97" i="5"/>
  <c r="W113" i="5"/>
  <c r="W115" i="5"/>
  <c r="S121" i="5"/>
  <c r="W126" i="5"/>
  <c r="S193" i="5"/>
  <c r="S262" i="5"/>
  <c r="P337" i="5"/>
  <c r="T406" i="5"/>
  <c r="E412" i="5"/>
  <c r="F412" i="5" s="1"/>
  <c r="W449" i="5"/>
  <c r="W538" i="5"/>
  <c r="S542" i="5"/>
  <c r="S604" i="5"/>
  <c r="W606" i="5"/>
  <c r="S661" i="5"/>
  <c r="W1013" i="5"/>
  <c r="W98" i="5"/>
  <c r="W117" i="5"/>
  <c r="P130" i="5"/>
  <c r="R130" i="5" s="1"/>
  <c r="P211" i="5"/>
  <c r="T304" i="5"/>
  <c r="P251" i="5"/>
  <c r="Q251" i="5" s="1"/>
  <c r="W258" i="5"/>
  <c r="E291" i="5"/>
  <c r="F291" i="5" s="1"/>
  <c r="W324" i="5"/>
  <c r="W362" i="5"/>
  <c r="E399" i="5"/>
  <c r="F399" i="5" s="1"/>
  <c r="W450" i="5"/>
  <c r="W504" i="5"/>
  <c r="P519" i="5"/>
  <c r="Q519" i="5" s="1"/>
  <c r="S535" i="5"/>
  <c r="W607" i="5"/>
  <c r="P629" i="5"/>
  <c r="Q629" i="5" s="1"/>
  <c r="P165" i="5"/>
  <c r="R165" i="5" s="1"/>
  <c r="P182" i="5"/>
  <c r="R182" i="5" s="1"/>
  <c r="F344" i="5"/>
  <c r="E382" i="5"/>
  <c r="F382" i="5" s="1"/>
  <c r="P506" i="5"/>
  <c r="P636" i="5"/>
  <c r="R636" i="5" s="1"/>
  <c r="T858" i="5"/>
  <c r="S40" i="5"/>
  <c r="S53" i="5"/>
  <c r="F68" i="5"/>
  <c r="S93" i="5"/>
  <c r="S130" i="5"/>
  <c r="W133" i="5"/>
  <c r="S141" i="5"/>
  <c r="W186" i="5"/>
  <c r="W205" i="5"/>
  <c r="S224" i="5"/>
  <c r="F245" i="5"/>
  <c r="E283" i="5"/>
  <c r="S255" i="5"/>
  <c r="F258" i="5"/>
  <c r="W292" i="5"/>
  <c r="T395" i="5"/>
  <c r="S508" i="5"/>
  <c r="W513" i="5"/>
  <c r="S647" i="5"/>
  <c r="W650" i="5"/>
  <c r="W657" i="5"/>
  <c r="W664" i="5"/>
  <c r="F718" i="5"/>
  <c r="S722" i="5"/>
  <c r="F734" i="5"/>
  <c r="W734" i="5"/>
  <c r="S775" i="5"/>
  <c r="S851" i="5" s="1"/>
  <c r="T287" i="5"/>
  <c r="S59" i="5"/>
  <c r="P119" i="5"/>
  <c r="R119" i="5" s="1"/>
  <c r="W144" i="5"/>
  <c r="W146" i="5"/>
  <c r="W227" i="5"/>
  <c r="F238" i="5"/>
  <c r="W238" i="5"/>
  <c r="S337" i="5"/>
  <c r="F351" i="5"/>
  <c r="W351" i="5"/>
  <c r="E400" i="5"/>
  <c r="F400" i="5" s="1"/>
  <c r="W441" i="5"/>
  <c r="S540" i="5"/>
  <c r="W589" i="5"/>
  <c r="W662" i="5"/>
  <c r="W763" i="5"/>
  <c r="P15" i="5"/>
  <c r="R15" i="5" s="1"/>
  <c r="S17" i="5"/>
  <c r="S21" i="5"/>
  <c r="P34" i="5"/>
  <c r="S36" i="5"/>
  <c r="P45" i="5"/>
  <c r="R45" i="5" s="1"/>
  <c r="S76" i="5"/>
  <c r="P87" i="5"/>
  <c r="R87" i="5" s="1"/>
  <c r="S89" i="5"/>
  <c r="P100" i="5"/>
  <c r="R100" i="5" s="1"/>
  <c r="S102" i="5"/>
  <c r="W107" i="5"/>
  <c r="P117" i="5"/>
  <c r="S152" i="5"/>
  <c r="H281" i="5"/>
  <c r="H283" i="5"/>
  <c r="S211" i="5"/>
  <c r="W218" i="5"/>
  <c r="W256" i="5"/>
  <c r="P344" i="5"/>
  <c r="S346" i="5"/>
  <c r="W360" i="5"/>
  <c r="P423" i="5"/>
  <c r="P443" i="5"/>
  <c r="R443" i="5" s="1"/>
  <c r="W511" i="5"/>
  <c r="P609" i="5"/>
  <c r="P627" i="5"/>
  <c r="P36" i="5"/>
  <c r="R36" i="5" s="1"/>
  <c r="W213" i="5"/>
  <c r="W243" i="5"/>
  <c r="W311" i="5"/>
  <c r="P324" i="5"/>
  <c r="R324" i="5" s="1"/>
  <c r="W340" i="5"/>
  <c r="E398" i="5"/>
  <c r="W398" i="5" s="1"/>
  <c r="F360" i="5"/>
  <c r="W500" i="5"/>
  <c r="W509" i="5"/>
  <c r="W623" i="5"/>
  <c r="S698" i="5"/>
  <c r="P720" i="5"/>
  <c r="W830" i="5"/>
  <c r="S834" i="5"/>
  <c r="F1129" i="5"/>
  <c r="W1129" i="5"/>
  <c r="P1280" i="5"/>
  <c r="S85" i="5"/>
  <c r="W60" i="5"/>
  <c r="P11" i="5"/>
  <c r="R11" i="5" s="1"/>
  <c r="W61" i="5"/>
  <c r="F94" i="5"/>
  <c r="P109" i="5"/>
  <c r="R109" i="5" s="1"/>
  <c r="W214" i="5"/>
  <c r="W253" i="5"/>
  <c r="W296" i="5"/>
  <c r="P315" i="5"/>
  <c r="T404" i="5"/>
  <c r="S335" i="5"/>
  <c r="W338" i="5"/>
  <c r="E414" i="5"/>
  <c r="F414" i="5" s="1"/>
  <c r="P515" i="5"/>
  <c r="R515" i="5" s="1"/>
  <c r="P529" i="5"/>
  <c r="W564" i="5"/>
  <c r="W578" i="5"/>
  <c r="P591" i="5"/>
  <c r="P689" i="5"/>
  <c r="Q689" i="5" s="1"/>
  <c r="W714" i="5"/>
  <c r="S827" i="5"/>
  <c r="F830" i="5"/>
  <c r="E868" i="5"/>
  <c r="S1126" i="5"/>
  <c r="S233" i="5"/>
  <c r="E396" i="5"/>
  <c r="F358" i="5"/>
  <c r="S434" i="5"/>
  <c r="S475" i="5"/>
  <c r="P536" i="5"/>
  <c r="S87" i="5"/>
  <c r="S159" i="5"/>
  <c r="W166" i="5"/>
  <c r="W168" i="5"/>
  <c r="W212" i="5"/>
  <c r="W241" i="5"/>
  <c r="E279" i="5"/>
  <c r="F279" i="5" s="1"/>
  <c r="F254" i="5"/>
  <c r="P263" i="5"/>
  <c r="S324" i="5"/>
  <c r="S432" i="5"/>
  <c r="P502" i="5"/>
  <c r="W534" i="5"/>
  <c r="F534" i="5"/>
  <c r="R600" i="5"/>
  <c r="P623" i="5"/>
  <c r="Q623" i="5" s="1"/>
  <c r="S705" i="5"/>
  <c r="E854" i="5"/>
  <c r="F854" i="5" s="1"/>
  <c r="F816" i="5"/>
  <c r="P124" i="5"/>
  <c r="S178" i="5"/>
  <c r="P187" i="5"/>
  <c r="Q187" i="5" s="1"/>
  <c r="S207" i="5"/>
  <c r="H301" i="5"/>
  <c r="S471" i="5"/>
  <c r="W496" i="5"/>
  <c r="W507" i="5"/>
  <c r="F585" i="5"/>
  <c r="W585" i="5"/>
  <c r="W316" i="5"/>
  <c r="T382" i="5"/>
  <c r="S351" i="5"/>
  <c r="W403" i="5"/>
  <c r="P430" i="5"/>
  <c r="W487" i="5"/>
  <c r="W548" i="5"/>
  <c r="P589" i="5"/>
  <c r="F594" i="5"/>
  <c r="W710" i="5"/>
  <c r="W728" i="5"/>
  <c r="F828" i="5"/>
  <c r="E866" i="5"/>
  <c r="F866" i="5" s="1"/>
  <c r="W846" i="5"/>
  <c r="E1082" i="5"/>
  <c r="F1082" i="5" s="1"/>
  <c r="F1044" i="5"/>
  <c r="S96" i="5"/>
  <c r="P24" i="5"/>
  <c r="P155" i="5"/>
  <c r="R155" i="5" s="1"/>
  <c r="W612" i="5"/>
  <c r="F612" i="5"/>
  <c r="S157" i="5"/>
  <c r="P22" i="5"/>
  <c r="Q22" i="5" s="1"/>
  <c r="P79" i="5"/>
  <c r="P142" i="5"/>
  <c r="R142" i="5" s="1"/>
  <c r="H299" i="5"/>
  <c r="P243" i="5"/>
  <c r="R243" i="5" s="1"/>
  <c r="S482" i="5"/>
  <c r="P746" i="5"/>
  <c r="E859" i="5"/>
  <c r="F859" i="5" s="1"/>
  <c r="F821" i="5"/>
  <c r="P7" i="5"/>
  <c r="R7" i="5" s="1"/>
  <c r="P77" i="5"/>
  <c r="Q77" i="5" s="1"/>
  <c r="P140" i="5"/>
  <c r="R140" i="5" s="1"/>
  <c r="S142" i="5"/>
  <c r="P168" i="5"/>
  <c r="R168" i="5" s="1"/>
  <c r="P212" i="5"/>
  <c r="R212" i="5" s="1"/>
  <c r="T398" i="5"/>
  <c r="P338" i="5"/>
  <c r="Q338" i="5" s="1"/>
  <c r="F363" i="5"/>
  <c r="P374" i="5"/>
  <c r="P587" i="5"/>
  <c r="R587" i="5" s="1"/>
  <c r="F852" i="5"/>
  <c r="W852" i="5"/>
  <c r="W1028" i="5"/>
  <c r="P64" i="5"/>
  <c r="R64" i="5" s="1"/>
  <c r="W164" i="5"/>
  <c r="S227" i="5"/>
  <c r="W3" i="5"/>
  <c r="P39" i="5"/>
  <c r="S41" i="5"/>
  <c r="P52" i="5"/>
  <c r="R52" i="5" s="1"/>
  <c r="W69" i="5"/>
  <c r="F197" i="5"/>
  <c r="H275" i="5"/>
  <c r="P223" i="5"/>
  <c r="R223" i="5" s="1"/>
  <c r="E300" i="5"/>
  <c r="F300" i="5" s="1"/>
  <c r="H392" i="5"/>
  <c r="S469" i="5"/>
  <c r="P518" i="5"/>
  <c r="R518" i="5" s="1"/>
  <c r="P527" i="5"/>
  <c r="Q527" i="5" s="1"/>
  <c r="S550" i="5"/>
  <c r="S564" i="5"/>
  <c r="W567" i="5"/>
  <c r="P594" i="5"/>
  <c r="Q594" i="5" s="1"/>
  <c r="P603" i="5"/>
  <c r="P692" i="5"/>
  <c r="R692" i="5" s="1"/>
  <c r="S694" i="5"/>
  <c r="S1025" i="5"/>
  <c r="S571" i="5"/>
  <c r="V571" i="5" s="1"/>
  <c r="W574" i="5"/>
  <c r="S701" i="5"/>
  <c r="S788" i="5"/>
  <c r="S882" i="5"/>
  <c r="W301" i="5"/>
  <c r="W314" i="5"/>
  <c r="S329" i="5"/>
  <c r="S358" i="5"/>
  <c r="S478" i="5"/>
  <c r="F112" i="5"/>
  <c r="F916" i="5"/>
  <c r="W916" i="5"/>
  <c r="S105" i="5"/>
  <c r="F323" i="5"/>
  <c r="F581" i="5"/>
  <c r="W679" i="5"/>
  <c r="F704" i="5"/>
  <c r="W704" i="5"/>
  <c r="S58" i="5"/>
  <c r="P69" i="5"/>
  <c r="R69" i="5" s="1"/>
  <c r="S73" i="5"/>
  <c r="P101" i="5"/>
  <c r="R101" i="5" s="1"/>
  <c r="W123" i="5"/>
  <c r="W175" i="5"/>
  <c r="W177" i="5"/>
  <c r="W321" i="5"/>
  <c r="W379" i="5"/>
  <c r="P433" i="5"/>
  <c r="S437" i="5"/>
  <c r="S460" i="5"/>
  <c r="W551" i="5"/>
  <c r="P560" i="5"/>
  <c r="R560" i="5" s="1"/>
  <c r="S562" i="5"/>
  <c r="W565" i="5"/>
  <c r="S644" i="5"/>
  <c r="W670" i="5"/>
  <c r="S674" i="5"/>
  <c r="F679" i="5"/>
  <c r="W688" i="5"/>
  <c r="W789" i="5"/>
  <c r="S807" i="5"/>
  <c r="S138" i="5"/>
  <c r="P149" i="5"/>
  <c r="R149" i="5" s="1"/>
  <c r="P327" i="5"/>
  <c r="Q327" i="5" s="1"/>
  <c r="H399" i="5"/>
  <c r="F379" i="5"/>
  <c r="E417" i="5"/>
  <c r="F417" i="5" s="1"/>
  <c r="W428" i="5"/>
  <c r="P465" i="5"/>
  <c r="R465" i="5" s="1"/>
  <c r="P555" i="5"/>
  <c r="R555" i="5" s="1"/>
  <c r="P574" i="5"/>
  <c r="F702" i="5"/>
  <c r="W702" i="5"/>
  <c r="S1023" i="5"/>
  <c r="P162" i="5"/>
  <c r="Q162" i="5" s="1"/>
  <c r="S16" i="5"/>
  <c r="S35" i="5"/>
  <c r="P97" i="5"/>
  <c r="R97" i="5" s="1"/>
  <c r="P112" i="5"/>
  <c r="S151" i="5"/>
  <c r="P181" i="5"/>
  <c r="R181" i="5" s="1"/>
  <c r="P195" i="5"/>
  <c r="R195" i="5" s="1"/>
  <c r="P230" i="5"/>
  <c r="W255" i="5"/>
  <c r="S259" i="5"/>
  <c r="S316" i="5"/>
  <c r="H417" i="5"/>
  <c r="W348" i="5"/>
  <c r="F359" i="5"/>
  <c r="E397" i="5"/>
  <c r="S363" i="5"/>
  <c r="S426" i="5"/>
  <c r="W454" i="5"/>
  <c r="S458" i="5"/>
  <c r="S465" i="5"/>
  <c r="P472" i="5"/>
  <c r="R472" i="5" s="1"/>
  <c r="S555" i="5"/>
  <c r="W558" i="5"/>
  <c r="W638" i="5"/>
  <c r="P656" i="5"/>
  <c r="P690" i="5"/>
  <c r="R690" i="5" s="1"/>
  <c r="W171" i="5"/>
  <c r="S181" i="5"/>
  <c r="W273" i="5"/>
  <c r="H397" i="5"/>
  <c r="W377" i="5"/>
  <c r="W526" i="5"/>
  <c r="S651" i="5"/>
  <c r="S658" i="5"/>
  <c r="W686" i="5"/>
  <c r="S690" i="5"/>
  <c r="P818" i="5"/>
  <c r="Q818" i="5" s="1"/>
  <c r="P825" i="5"/>
  <c r="R825" i="5" s="1"/>
  <c r="P839" i="5"/>
  <c r="R839" i="5" s="1"/>
  <c r="P892" i="5"/>
  <c r="P931" i="5"/>
  <c r="R931" i="5" s="1"/>
  <c r="W950" i="5"/>
  <c r="P1226" i="5"/>
  <c r="R1226" i="5" s="1"/>
  <c r="P906" i="5"/>
  <c r="R906" i="5" s="1"/>
  <c r="F927" i="5"/>
  <c r="W927" i="5"/>
  <c r="W819" i="5"/>
  <c r="S825" i="5"/>
  <c r="W842" i="5"/>
  <c r="S885" i="5"/>
  <c r="S931" i="5"/>
  <c r="W1015" i="5"/>
  <c r="F1153" i="5"/>
  <c r="E1368" i="5"/>
  <c r="W1330" i="5"/>
  <c r="F1330" i="5"/>
  <c r="P821" i="5"/>
  <c r="R821" i="5" s="1"/>
  <c r="P943" i="5"/>
  <c r="W946" i="5"/>
  <c r="F1361" i="5"/>
  <c r="W1361" i="5"/>
  <c r="T874" i="5"/>
  <c r="F909" i="5"/>
  <c r="W909" i="5"/>
  <c r="W925" i="5"/>
  <c r="F1102" i="5"/>
  <c r="T1198" i="5"/>
  <c r="S750" i="5"/>
  <c r="H877" i="5"/>
  <c r="H1189" i="5"/>
  <c r="P766" i="5"/>
  <c r="Q766" i="5" s="1"/>
  <c r="F944" i="5"/>
  <c r="W944" i="5"/>
  <c r="P967" i="5"/>
  <c r="F1149" i="5"/>
  <c r="E1187" i="5"/>
  <c r="F1187" i="5" s="1"/>
  <c r="H861" i="5"/>
  <c r="W822" i="5"/>
  <c r="S670" i="5"/>
  <c r="W733" i="5"/>
  <c r="S757" i="5"/>
  <c r="W760" i="5"/>
  <c r="S766" i="5"/>
  <c r="E860" i="5"/>
  <c r="F822" i="5"/>
  <c r="W1048" i="5"/>
  <c r="F1378" i="5"/>
  <c r="W1378" i="5"/>
  <c r="F1048" i="5"/>
  <c r="E1086" i="5"/>
  <c r="F1086" i="5" s="1"/>
  <c r="P764" i="5"/>
  <c r="Q764" i="5" s="1"/>
  <c r="H852" i="5"/>
  <c r="S886" i="5"/>
  <c r="P1002" i="5"/>
  <c r="Q1002" i="5" s="1"/>
  <c r="P1057" i="5"/>
  <c r="P1064" i="5"/>
  <c r="P650" i="5"/>
  <c r="R650" i="5" s="1"/>
  <c r="T877" i="5"/>
  <c r="F928" i="5"/>
  <c r="W928" i="5"/>
  <c r="F1062" i="5"/>
  <c r="T1208" i="5"/>
  <c r="P310" i="5"/>
  <c r="S314" i="5"/>
  <c r="S390" i="5" s="1"/>
  <c r="W358" i="5"/>
  <c r="W407" i="5"/>
  <c r="F407" i="5"/>
  <c r="T419" i="5"/>
  <c r="E394" i="5"/>
  <c r="F394" i="5" s="1"/>
  <c r="S430" i="5"/>
  <c r="S452" i="5"/>
  <c r="P461" i="5"/>
  <c r="R461" i="5" s="1"/>
  <c r="S549" i="5"/>
  <c r="S558" i="5"/>
  <c r="W577" i="5"/>
  <c r="S744" i="5"/>
  <c r="W758" i="5"/>
  <c r="W781" i="5"/>
  <c r="F781" i="5"/>
  <c r="F896" i="5"/>
  <c r="W896" i="5"/>
  <c r="W903" i="5"/>
  <c r="W963" i="5"/>
  <c r="W984" i="5"/>
  <c r="F1069" i="5"/>
  <c r="H1216" i="5"/>
  <c r="P639" i="5"/>
  <c r="T847" i="5"/>
  <c r="F827" i="5"/>
  <c r="E865" i="5"/>
  <c r="F834" i="5"/>
  <c r="E872" i="5"/>
  <c r="R988" i="5"/>
  <c r="H276" i="5"/>
  <c r="S204" i="5"/>
  <c r="P362" i="5"/>
  <c r="Q362" i="5" s="1"/>
  <c r="S441" i="5"/>
  <c r="S461" i="5"/>
  <c r="P525" i="5"/>
  <c r="Q525" i="5" s="1"/>
  <c r="W552" i="5"/>
  <c r="P581" i="5"/>
  <c r="S824" i="5"/>
  <c r="F1060" i="5"/>
  <c r="E1098" i="5"/>
  <c r="F1098" i="5" s="1"/>
  <c r="P1251" i="5"/>
  <c r="R1251" i="5" s="1"/>
  <c r="W1443" i="5"/>
  <c r="F1443" i="5"/>
  <c r="W101" i="5"/>
  <c r="W187" i="5"/>
  <c r="P191" i="5"/>
  <c r="R191" i="5" s="1"/>
  <c r="W196" i="5"/>
  <c r="S236" i="5"/>
  <c r="S243" i="5"/>
  <c r="S256" i="5"/>
  <c r="S323" i="5"/>
  <c r="S377" i="5"/>
  <c r="W521" i="5"/>
  <c r="W530" i="5"/>
  <c r="F552" i="5"/>
  <c r="P563" i="5"/>
  <c r="R563" i="5" s="1"/>
  <c r="S601" i="5"/>
  <c r="S657" i="5"/>
  <c r="S762" i="5"/>
  <c r="P843" i="5"/>
  <c r="R843" i="5" s="1"/>
  <c r="S914" i="5"/>
  <c r="P942" i="5"/>
  <c r="R942" i="5" s="1"/>
  <c r="S965" i="5"/>
  <c r="P970" i="5"/>
  <c r="S972" i="5"/>
  <c r="T294" i="5"/>
  <c r="H419" i="5"/>
  <c r="P448" i="5"/>
  <c r="R448" i="5" s="1"/>
  <c r="P479" i="5"/>
  <c r="R479" i="5" s="1"/>
  <c r="P545" i="5"/>
  <c r="R545" i="5" s="1"/>
  <c r="P648" i="5"/>
  <c r="Q648" i="5" s="1"/>
  <c r="P713" i="5"/>
  <c r="Q713" i="5" s="1"/>
  <c r="F772" i="5"/>
  <c r="W772" i="5"/>
  <c r="S90" i="5"/>
  <c r="S92" i="5"/>
  <c r="P107" i="5"/>
  <c r="Q107" i="5" s="1"/>
  <c r="P254" i="5"/>
  <c r="T305" i="5"/>
  <c r="S321" i="5"/>
  <c r="W328" i="5"/>
  <c r="P330" i="5"/>
  <c r="F380" i="5"/>
  <c r="E418" i="5"/>
  <c r="F418" i="5" s="1"/>
  <c r="S428" i="5"/>
  <c r="P570" i="5"/>
  <c r="R570" i="5" s="1"/>
  <c r="P579" i="5"/>
  <c r="R579" i="5" s="1"/>
  <c r="P586" i="5"/>
  <c r="P646" i="5"/>
  <c r="P655" i="5"/>
  <c r="R655" i="5" s="1"/>
  <c r="P722" i="5"/>
  <c r="R722" i="5" s="1"/>
  <c r="P956" i="5"/>
  <c r="R956" i="5" s="1"/>
  <c r="S958" i="5"/>
  <c r="P1140" i="5"/>
  <c r="R1140" i="5" s="1"/>
  <c r="P8" i="5"/>
  <c r="Q8" i="5" s="1"/>
  <c r="S10" i="5"/>
  <c r="P23" i="5"/>
  <c r="R23" i="5" s="1"/>
  <c r="W59" i="5"/>
  <c r="W95" i="5"/>
  <c r="W118" i="5"/>
  <c r="P131" i="5"/>
  <c r="S163" i="5"/>
  <c r="H272" i="5"/>
  <c r="T280" i="5"/>
  <c r="P215" i="5"/>
  <c r="Q215" i="5" s="1"/>
  <c r="P219" i="5"/>
  <c r="Q219" i="5" s="1"/>
  <c r="T297" i="5"/>
  <c r="S234" i="5"/>
  <c r="W237" i="5"/>
  <c r="P239" i="5"/>
  <c r="R239" i="5" s="1"/>
  <c r="W244" i="5"/>
  <c r="S254" i="5"/>
  <c r="S261" i="5"/>
  <c r="W313" i="5"/>
  <c r="F328" i="5"/>
  <c r="S347" i="5"/>
  <c r="F352" i="5"/>
  <c r="F354" i="5"/>
  <c r="S448" i="5"/>
  <c r="W493" i="5"/>
  <c r="S512" i="5"/>
  <c r="W519" i="5"/>
  <c r="W703" i="5"/>
  <c r="S715" i="5"/>
  <c r="W720" i="5"/>
  <c r="S740" i="5"/>
  <c r="P758" i="5"/>
  <c r="R758" i="5" s="1"/>
  <c r="T867" i="5"/>
  <c r="F832" i="5"/>
  <c r="E870" i="5"/>
  <c r="F870" i="5" s="1"/>
  <c r="S836" i="5"/>
  <c r="W839" i="5"/>
  <c r="W1244" i="5"/>
  <c r="W153" i="5"/>
  <c r="S202" i="5"/>
  <c r="S219" i="5"/>
  <c r="H302" i="5"/>
  <c r="H304" i="5"/>
  <c r="S250" i="5"/>
  <c r="E295" i="5"/>
  <c r="F295" i="5" s="1"/>
  <c r="T397" i="5"/>
  <c r="H402" i="5"/>
  <c r="T410" i="5"/>
  <c r="S371" i="5"/>
  <c r="W442" i="5"/>
  <c r="P444" i="5"/>
  <c r="S499" i="5"/>
  <c r="W528" i="5"/>
  <c r="P552" i="5"/>
  <c r="R552" i="5" s="1"/>
  <c r="S608" i="5"/>
  <c r="W640" i="5"/>
  <c r="T845" i="5"/>
  <c r="S804" i="5"/>
  <c r="S843" i="5"/>
  <c r="W924" i="5"/>
  <c r="P968" i="5"/>
  <c r="S1041" i="5"/>
  <c r="W1051" i="5"/>
  <c r="P983" i="5"/>
  <c r="R983" i="5" s="1"/>
  <c r="E1088" i="5"/>
  <c r="F1088" i="5" s="1"/>
  <c r="F1050" i="5"/>
  <c r="S1061" i="5"/>
  <c r="W1096" i="5"/>
  <c r="W1153" i="5"/>
  <c r="P1184" i="5"/>
  <c r="E1207" i="5"/>
  <c r="F1207" i="5" s="1"/>
  <c r="F1169" i="5"/>
  <c r="E1196" i="5"/>
  <c r="F1196" i="5" s="1"/>
  <c r="F1306" i="5"/>
  <c r="E1344" i="5"/>
  <c r="P1359" i="5"/>
  <c r="Q1359" i="5" s="1"/>
  <c r="P1059" i="5"/>
  <c r="R1059" i="5" s="1"/>
  <c r="P1066" i="5"/>
  <c r="R1066" i="5" s="1"/>
  <c r="P1137" i="5"/>
  <c r="R1137" i="5" s="1"/>
  <c r="S1164" i="5"/>
  <c r="H1200" i="5"/>
  <c r="S1171" i="5"/>
  <c r="S1182" i="5"/>
  <c r="P1346" i="5"/>
  <c r="Q1346" i="5" s="1"/>
  <c r="W1506" i="5"/>
  <c r="F1534" i="5"/>
  <c r="W1534" i="5"/>
  <c r="S1050" i="5"/>
  <c r="S1162" i="5"/>
  <c r="S1228" i="5"/>
  <c r="W1249" i="5"/>
  <c r="W1256" i="5"/>
  <c r="W1283" i="5"/>
  <c r="W1323" i="5"/>
  <c r="S1253" i="5"/>
  <c r="P1021" i="5"/>
  <c r="H1198" i="5"/>
  <c r="W1149" i="5"/>
  <c r="W1274" i="5"/>
  <c r="H1361" i="5"/>
  <c r="W1438" i="5"/>
  <c r="W1009" i="5"/>
  <c r="T1084" i="5"/>
  <c r="W1118" i="5"/>
  <c r="S1226" i="5"/>
  <c r="E1105" i="5"/>
  <c r="F1105" i="5" s="1"/>
  <c r="S1115" i="5"/>
  <c r="H1196" i="5"/>
  <c r="S1140" i="5"/>
  <c r="P1194" i="5"/>
  <c r="Q1194" i="5" s="1"/>
  <c r="P1224" i="5"/>
  <c r="R1224" i="5" s="1"/>
  <c r="S1233" i="5"/>
  <c r="F1333" i="5"/>
  <c r="E1371" i="5"/>
  <c r="S918" i="5"/>
  <c r="S936" i="5"/>
  <c r="S1017" i="5"/>
  <c r="F1085" i="5"/>
  <c r="W1085" i="5"/>
  <c r="H1187" i="5"/>
  <c r="S1133" i="5"/>
  <c r="W1136" i="5"/>
  <c r="W1191" i="5"/>
  <c r="S1240" i="5"/>
  <c r="T1345" i="5"/>
  <c r="P1476" i="5"/>
  <c r="R1476" i="5" s="1"/>
  <c r="P1328" i="5"/>
  <c r="R1328" i="5" s="1"/>
  <c r="F1405" i="5"/>
  <c r="W1405" i="5"/>
  <c r="W1115" i="5"/>
  <c r="S1290" i="5"/>
  <c r="E1216" i="5"/>
  <c r="F1216" i="5" s="1"/>
  <c r="W122" i="5"/>
  <c r="P188" i="5"/>
  <c r="P190" i="5"/>
  <c r="R190" i="5" s="1"/>
  <c r="S194" i="5"/>
  <c r="W199" i="5"/>
  <c r="S239" i="5"/>
  <c r="P312" i="5"/>
  <c r="P314" i="5"/>
  <c r="R314" i="5" s="1"/>
  <c r="S331" i="5"/>
  <c r="H416" i="5"/>
  <c r="W355" i="5"/>
  <c r="P365" i="5"/>
  <c r="R365" i="5" s="1"/>
  <c r="S429" i="5"/>
  <c r="P481" i="5"/>
  <c r="R481" i="5" s="1"/>
  <c r="S496" i="5"/>
  <c r="W566" i="5"/>
  <c r="S581" i="5"/>
  <c r="S592" i="5"/>
  <c r="W597" i="5"/>
  <c r="P601" i="5"/>
  <c r="R601" i="5" s="1"/>
  <c r="P614" i="5"/>
  <c r="Q614" i="5" s="1"/>
  <c r="P653" i="5"/>
  <c r="R653" i="5" s="1"/>
  <c r="S655" i="5"/>
  <c r="S723" i="5"/>
  <c r="S745" i="5"/>
  <c r="P765" i="5"/>
  <c r="H873" i="5"/>
  <c r="P799" i="5"/>
  <c r="T861" i="5"/>
  <c r="P885" i="5"/>
  <c r="W912" i="5"/>
  <c r="P914" i="5"/>
  <c r="R914" i="5" s="1"/>
  <c r="S966" i="5"/>
  <c r="P998" i="5"/>
  <c r="R998" i="5" s="1"/>
  <c r="S1129" i="5"/>
  <c r="S1172" i="5"/>
  <c r="W1241" i="5"/>
  <c r="P1272" i="5"/>
  <c r="Q1272" i="5" s="1"/>
  <c r="P1673" i="5"/>
  <c r="R1673" i="5" s="1"/>
  <c r="P1181" i="5"/>
  <c r="R1181" i="5" s="1"/>
  <c r="F1324" i="5"/>
  <c r="E1362" i="5"/>
  <c r="F1362" i="5" s="1"/>
  <c r="T407" i="5"/>
  <c r="W438" i="5"/>
  <c r="P466" i="5"/>
  <c r="P509" i="5"/>
  <c r="R509" i="5" s="1"/>
  <c r="P539" i="5"/>
  <c r="R539" i="5" s="1"/>
  <c r="P588" i="5"/>
  <c r="R588" i="5" s="1"/>
  <c r="P673" i="5"/>
  <c r="W739" i="5"/>
  <c r="S801" i="5"/>
  <c r="P971" i="5"/>
  <c r="R971" i="5" s="1"/>
  <c r="F1070" i="5"/>
  <c r="E1108" i="5"/>
  <c r="F1108" i="5" s="1"/>
  <c r="P1118" i="5"/>
  <c r="R1118" i="5" s="1"/>
  <c r="V1118" i="5" s="1"/>
  <c r="P1188" i="5"/>
  <c r="Q1188" i="5" s="1"/>
  <c r="E1204" i="5"/>
  <c r="F1204" i="5" s="1"/>
  <c r="F1284" i="5"/>
  <c r="P1400" i="5"/>
  <c r="R1400" i="5" s="1"/>
  <c r="P1467" i="5"/>
  <c r="W376" i="5"/>
  <c r="S468" i="5"/>
  <c r="S526" i="5"/>
  <c r="S590" i="5"/>
  <c r="W595" i="5"/>
  <c r="W619" i="5"/>
  <c r="S625" i="5"/>
  <c r="W759" i="5"/>
  <c r="F759" i="5"/>
  <c r="T866" i="5"/>
  <c r="S819" i="5"/>
  <c r="W1003" i="5"/>
  <c r="S1058" i="5"/>
  <c r="F1061" i="5"/>
  <c r="E1099" i="5"/>
  <c r="F1099" i="5" s="1"/>
  <c r="S1154" i="5"/>
  <c r="W1166" i="5"/>
  <c r="S1170" i="5"/>
  <c r="F1175" i="5"/>
  <c r="W1290" i="5"/>
  <c r="S1307" i="5"/>
  <c r="E1355" i="5"/>
  <c r="F1355" i="5" s="1"/>
  <c r="F1317" i="5"/>
  <c r="S1616" i="5"/>
  <c r="P939" i="5"/>
  <c r="R939" i="5" s="1"/>
  <c r="S957" i="5"/>
  <c r="T1076" i="5"/>
  <c r="W1131" i="5"/>
  <c r="S1272" i="5"/>
  <c r="W1230" i="5"/>
  <c r="F1230" i="5"/>
  <c r="F1310" i="5"/>
  <c r="E1348" i="5"/>
  <c r="F1348" i="5" s="1"/>
  <c r="H391" i="5"/>
  <c r="W408" i="5"/>
  <c r="P438" i="5"/>
  <c r="Q438" i="5" s="1"/>
  <c r="P451" i="5"/>
  <c r="P488" i="5"/>
  <c r="Q488" i="5" s="1"/>
  <c r="P492" i="5"/>
  <c r="R492" i="5" s="1"/>
  <c r="P537" i="5"/>
  <c r="R537" i="5" s="1"/>
  <c r="W630" i="5"/>
  <c r="S634" i="5"/>
  <c r="P903" i="5"/>
  <c r="W935" i="5"/>
  <c r="T1074" i="5"/>
  <c r="S1031" i="5"/>
  <c r="P1045" i="5"/>
  <c r="R1045" i="5" s="1"/>
  <c r="E1192" i="5"/>
  <c r="F1192" i="5" s="1"/>
  <c r="W1266" i="5"/>
  <c r="P148" i="5"/>
  <c r="R148" i="5" s="1"/>
  <c r="P150" i="5"/>
  <c r="P167" i="5"/>
  <c r="W182" i="5"/>
  <c r="H271" i="5"/>
  <c r="S201" i="5"/>
  <c r="W210" i="5"/>
  <c r="P218" i="5"/>
  <c r="R218" i="5" s="1"/>
  <c r="T298" i="5"/>
  <c r="W225" i="5"/>
  <c r="S257" i="5"/>
  <c r="P319" i="5"/>
  <c r="R319" i="5" s="1"/>
  <c r="F370" i="5"/>
  <c r="S425" i="5"/>
  <c r="S457" i="5"/>
  <c r="P462" i="5"/>
  <c r="R462" i="5" s="1"/>
  <c r="W518" i="5"/>
  <c r="W529" i="5"/>
  <c r="S548" i="5"/>
  <c r="W562" i="5"/>
  <c r="P621" i="5"/>
  <c r="R621" i="5" s="1"/>
  <c r="W626" i="5"/>
  <c r="S704" i="5"/>
  <c r="S719" i="5"/>
  <c r="W724" i="5"/>
  <c r="W737" i="5"/>
  <c r="P761" i="5"/>
  <c r="Q761" i="5" s="1"/>
  <c r="H880" i="5"/>
  <c r="F813" i="5"/>
  <c r="S842" i="5"/>
  <c r="W897" i="5"/>
  <c r="P901" i="5"/>
  <c r="Q901" i="5" s="1"/>
  <c r="P921" i="5"/>
  <c r="R921" i="5" s="1"/>
  <c r="W974" i="5"/>
  <c r="W981" i="5"/>
  <c r="W1155" i="5"/>
  <c r="W1214" i="5"/>
  <c r="E1360" i="5"/>
  <c r="F1360" i="5" s="1"/>
  <c r="F1322" i="5"/>
  <c r="W1375" i="5"/>
  <c r="W136" i="5"/>
  <c r="W140" i="5"/>
  <c r="P146" i="5"/>
  <c r="Q146" i="5" s="1"/>
  <c r="S150" i="5"/>
  <c r="P199" i="5"/>
  <c r="R199" i="5" s="1"/>
  <c r="H288" i="5"/>
  <c r="P240" i="5"/>
  <c r="R240" i="5" s="1"/>
  <c r="W260" i="5"/>
  <c r="S325" i="5"/>
  <c r="P334" i="5"/>
  <c r="R334" i="5" s="1"/>
  <c r="T414" i="5"/>
  <c r="P353" i="5"/>
  <c r="R353" i="5" s="1"/>
  <c r="P372" i="5"/>
  <c r="R372" i="5" s="1"/>
  <c r="S464" i="5"/>
  <c r="P475" i="5"/>
  <c r="R475" i="5" s="1"/>
  <c r="W482" i="5"/>
  <c r="W495" i="5"/>
  <c r="W527" i="5"/>
  <c r="P546" i="5"/>
  <c r="R546" i="5" s="1"/>
  <c r="P575" i="5"/>
  <c r="Q575" i="5" s="1"/>
  <c r="P597" i="5"/>
  <c r="W602" i="5"/>
  <c r="S612" i="5"/>
  <c r="W722" i="5"/>
  <c r="W735" i="5"/>
  <c r="H844" i="5"/>
  <c r="P953" i="5"/>
  <c r="R953" i="5" s="1"/>
  <c r="T1085" i="5"/>
  <c r="E1097" i="5"/>
  <c r="F1097" i="5" s="1"/>
  <c r="F1059" i="5"/>
  <c r="P1166" i="5"/>
  <c r="Q1166" i="5" s="1"/>
  <c r="P1268" i="5"/>
  <c r="R1268" i="5" s="1"/>
  <c r="P376" i="5"/>
  <c r="R376" i="5" s="1"/>
  <c r="P535" i="5"/>
  <c r="R535" i="5" s="1"/>
  <c r="S546" i="5"/>
  <c r="W560" i="5"/>
  <c r="W569" i="5"/>
  <c r="S597" i="5"/>
  <c r="W637" i="5"/>
  <c r="P647" i="5"/>
  <c r="R647" i="5" s="1"/>
  <c r="P726" i="5"/>
  <c r="R726" i="5" s="1"/>
  <c r="W766" i="5"/>
  <c r="W780" i="5"/>
  <c r="P804" i="5"/>
  <c r="S806" i="5"/>
  <c r="F811" i="5"/>
  <c r="E849" i="5"/>
  <c r="F849" i="5" s="1"/>
  <c r="S890" i="5"/>
  <c r="W895" i="5"/>
  <c r="S919" i="5"/>
  <c r="P944" i="5"/>
  <c r="R944" i="5" s="1"/>
  <c r="W999" i="5"/>
  <c r="T1098" i="5"/>
  <c r="W1137" i="5"/>
  <c r="S1141" i="5"/>
  <c r="S1143" i="5"/>
  <c r="P1157" i="5"/>
  <c r="R1157" i="5" s="1"/>
  <c r="F1171" i="5"/>
  <c r="S1177" i="5"/>
  <c r="W1182" i="5"/>
  <c r="P1291" i="5"/>
  <c r="R1291" i="5" s="1"/>
  <c r="S1293" i="5"/>
  <c r="P1052" i="5"/>
  <c r="R1052" i="5" s="1"/>
  <c r="P1139" i="5"/>
  <c r="R1139" i="5" s="1"/>
  <c r="P1214" i="5"/>
  <c r="Q1214" i="5" s="1"/>
  <c r="P1248" i="5"/>
  <c r="S1250" i="5"/>
  <c r="S1257" i="5"/>
  <c r="W1264" i="5"/>
  <c r="P1342" i="5"/>
  <c r="Q1342" i="5" s="1"/>
  <c r="S1549" i="5"/>
  <c r="W1552" i="5"/>
  <c r="F1552" i="5"/>
  <c r="H1349" i="5"/>
  <c r="W1474" i="5"/>
  <c r="W1512" i="5"/>
  <c r="P1377" i="5"/>
  <c r="W1389" i="5"/>
  <c r="W1479" i="5"/>
  <c r="S1533" i="5"/>
  <c r="W1561" i="5"/>
  <c r="F2029" i="5"/>
  <c r="W2029" i="5"/>
  <c r="P1384" i="5"/>
  <c r="R1384" i="5" s="1"/>
  <c r="S1458" i="5"/>
  <c r="P1488" i="5"/>
  <c r="R1488" i="5" s="1"/>
  <c r="W1495" i="5"/>
  <c r="S1522" i="5"/>
  <c r="S1540" i="5"/>
  <c r="S1377" i="5"/>
  <c r="W1536" i="5"/>
  <c r="W1431" i="5"/>
  <c r="P1433" i="5"/>
  <c r="R1433" i="5" s="1"/>
  <c r="P1699" i="5"/>
  <c r="R1699" i="5" s="1"/>
  <c r="S1316" i="5"/>
  <c r="P1356" i="5"/>
  <c r="Q1356" i="5" s="1"/>
  <c r="F1431" i="5"/>
  <c r="W1459" i="5"/>
  <c r="S1520" i="5"/>
  <c r="W1619" i="5"/>
  <c r="S1282" i="5"/>
  <c r="W1333" i="5"/>
  <c r="W1420" i="5"/>
  <c r="S1479" i="5"/>
  <c r="S1561" i="5"/>
  <c r="R1260" i="5"/>
  <c r="P1319" i="5"/>
  <c r="S1403" i="5"/>
  <c r="S1424" i="5"/>
  <c r="P1452" i="5"/>
  <c r="P1690" i="5"/>
  <c r="R1690" i="5" s="1"/>
  <c r="P1269" i="5"/>
  <c r="P1298" i="5"/>
  <c r="Q1298" i="5" s="1"/>
  <c r="S1454" i="5"/>
  <c r="S1543" i="5"/>
  <c r="W1617" i="5"/>
  <c r="F1617" i="5"/>
  <c r="S1401" i="5"/>
  <c r="W1411" i="5"/>
  <c r="W1418" i="5"/>
  <c r="P1500" i="5"/>
  <c r="R1500" i="5" s="1"/>
  <c r="P1587" i="5"/>
  <c r="S1596" i="5"/>
  <c r="P558" i="5"/>
  <c r="R558" i="5" s="1"/>
  <c r="P593" i="5"/>
  <c r="R593" i="5" s="1"/>
  <c r="W598" i="5"/>
  <c r="S619" i="5"/>
  <c r="W622" i="5"/>
  <c r="P658" i="5"/>
  <c r="R658" i="5" s="1"/>
  <c r="P671" i="5"/>
  <c r="W708" i="5"/>
  <c r="P716" i="5"/>
  <c r="R716" i="5" s="1"/>
  <c r="S720" i="5"/>
  <c r="P737" i="5"/>
  <c r="Q737" i="5" s="1"/>
  <c r="H850" i="5"/>
  <c r="P776" i="5"/>
  <c r="S802" i="5"/>
  <c r="S817" i="5"/>
  <c r="S826" i="5"/>
  <c r="P831" i="5"/>
  <c r="S835" i="5"/>
  <c r="W900" i="5"/>
  <c r="S968" i="5"/>
  <c r="P979" i="5"/>
  <c r="Q979" i="5" s="1"/>
  <c r="P1001" i="5"/>
  <c r="R1001" i="5" s="1"/>
  <c r="S1005" i="5"/>
  <c r="P1031" i="5"/>
  <c r="R1031" i="5" s="1"/>
  <c r="P1042" i="5"/>
  <c r="S1127" i="5"/>
  <c r="W1145" i="5"/>
  <c r="T1209" i="5"/>
  <c r="T1356" i="5"/>
  <c r="H1359" i="5"/>
  <c r="T1365" i="5"/>
  <c r="W1306" i="5"/>
  <c r="S1319" i="5"/>
  <c r="W1322" i="5"/>
  <c r="E1373" i="5"/>
  <c r="F1373" i="5" s="1"/>
  <c r="P684" i="5"/>
  <c r="P686" i="5"/>
  <c r="P731" i="5"/>
  <c r="R731" i="5" s="1"/>
  <c r="S741" i="5"/>
  <c r="W757" i="5"/>
  <c r="T856" i="5"/>
  <c r="P787" i="5"/>
  <c r="T878" i="5"/>
  <c r="T873" i="5"/>
  <c r="H1090" i="5"/>
  <c r="P1051" i="5"/>
  <c r="Q1051" i="5" s="1"/>
  <c r="P1125" i="5"/>
  <c r="R1125" i="5" s="1"/>
  <c r="H1223" i="5"/>
  <c r="P1241" i="5"/>
  <c r="Q1241" i="5" s="1"/>
  <c r="P1265" i="5"/>
  <c r="R1265" i="5" s="1"/>
  <c r="H1350" i="5"/>
  <c r="F1425" i="5"/>
  <c r="W1425" i="5"/>
  <c r="Q1525" i="5"/>
  <c r="W1576" i="5"/>
  <c r="P1578" i="5"/>
  <c r="R1578" i="5" s="1"/>
  <c r="P1650" i="5"/>
  <c r="R1650" i="5" s="1"/>
  <c r="S684" i="5"/>
  <c r="S735" i="5"/>
  <c r="F757" i="5"/>
  <c r="S789" i="5"/>
  <c r="H872" i="5"/>
  <c r="F807" i="5"/>
  <c r="W885" i="5"/>
  <c r="S891" i="5"/>
  <c r="S893" i="5"/>
  <c r="W973" i="5"/>
  <c r="P1040" i="5"/>
  <c r="Q1040" i="5" s="1"/>
  <c r="S1053" i="5"/>
  <c r="W1058" i="5"/>
  <c r="P1112" i="5"/>
  <c r="R1112" i="5" s="1"/>
  <c r="H1195" i="5"/>
  <c r="W1130" i="5"/>
  <c r="P1136" i="5"/>
  <c r="W1154" i="5"/>
  <c r="W1163" i="5"/>
  <c r="S1310" i="5"/>
  <c r="V1310" i="5" s="1"/>
  <c r="W1320" i="5"/>
  <c r="W1367" i="5"/>
  <c r="W1402" i="5"/>
  <c r="S1413" i="5"/>
  <c r="P1489" i="5"/>
  <c r="Q1489" i="5" s="1"/>
  <c r="S1532" i="5"/>
  <c r="W1726" i="5"/>
  <c r="W1485" i="5"/>
  <c r="S1489" i="5"/>
  <c r="S1507" i="5"/>
  <c r="W1510" i="5"/>
  <c r="S1521" i="5"/>
  <c r="P691" i="5"/>
  <c r="R691" i="5" s="1"/>
  <c r="P710" i="5"/>
  <c r="S733" i="5"/>
  <c r="T876" i="5"/>
  <c r="W805" i="5"/>
  <c r="P809" i="5"/>
  <c r="R809" i="5" s="1"/>
  <c r="P887" i="5"/>
  <c r="Q887" i="5" s="1"/>
  <c r="W1045" i="5"/>
  <c r="H1206" i="5"/>
  <c r="S1167" i="5"/>
  <c r="E1358" i="5"/>
  <c r="F1358" i="5" s="1"/>
  <c r="S1383" i="5"/>
  <c r="P1411" i="5"/>
  <c r="Q1411" i="5" s="1"/>
  <c r="W1501" i="5"/>
  <c r="P1592" i="5"/>
  <c r="S1723" i="5"/>
  <c r="S543" i="5"/>
  <c r="S589" i="5"/>
  <c r="S600" i="5"/>
  <c r="W605" i="5"/>
  <c r="S637" i="5"/>
  <c r="S639" i="5"/>
  <c r="P759" i="5"/>
  <c r="S774" i="5"/>
  <c r="T852" i="5"/>
  <c r="H868" i="5"/>
  <c r="F805" i="5"/>
  <c r="S811" i="5"/>
  <c r="W816" i="5"/>
  <c r="W834" i="5"/>
  <c r="P933" i="5"/>
  <c r="W969" i="5"/>
  <c r="W1023" i="5"/>
  <c r="F1045" i="5"/>
  <c r="W1067" i="5"/>
  <c r="P1071" i="5"/>
  <c r="R1071" i="5" s="1"/>
  <c r="S1112" i="5"/>
  <c r="F1152" i="5"/>
  <c r="P1156" i="5"/>
  <c r="Q1156" i="5" s="1"/>
  <c r="P1196" i="5"/>
  <c r="Q1196" i="5" s="1"/>
  <c r="P1205" i="5"/>
  <c r="Q1205" i="5" s="1"/>
  <c r="W1255" i="5"/>
  <c r="W1297" i="5"/>
  <c r="W1421" i="5"/>
  <c r="S1480" i="5"/>
  <c r="W1558" i="5"/>
  <c r="W1646" i="5"/>
  <c r="S1655" i="5"/>
  <c r="P1292" i="5"/>
  <c r="Q1292" i="5" s="1"/>
  <c r="H1342" i="5"/>
  <c r="F1318" i="5"/>
  <c r="E1356" i="5"/>
  <c r="W1356" i="5" s="1"/>
  <c r="H1365" i="5"/>
  <c r="P1381" i="5"/>
  <c r="Q1381" i="5" s="1"/>
  <c r="P725" i="5"/>
  <c r="Q725" i="5" s="1"/>
  <c r="P744" i="5"/>
  <c r="P792" i="5"/>
  <c r="R792" i="5" s="1"/>
  <c r="H881" i="5"/>
  <c r="T851" i="5"/>
  <c r="P1008" i="5"/>
  <c r="R1008" i="5" s="1"/>
  <c r="T1092" i="5"/>
  <c r="T1094" i="5"/>
  <c r="H1204" i="5"/>
  <c r="W1139" i="5"/>
  <c r="S1147" i="5"/>
  <c r="P1228" i="5"/>
  <c r="R1228" i="5" s="1"/>
  <c r="H1346" i="5"/>
  <c r="S1418" i="5"/>
  <c r="P1485" i="5"/>
  <c r="R1485" i="5" s="1"/>
  <c r="P1567" i="5"/>
  <c r="Q1567" i="5" s="1"/>
  <c r="P1653" i="5"/>
  <c r="R1653" i="5" s="1"/>
  <c r="P511" i="5"/>
  <c r="R511" i="5" s="1"/>
  <c r="W535" i="5"/>
  <c r="W570" i="5"/>
  <c r="S598" i="5"/>
  <c r="W618" i="5"/>
  <c r="S622" i="5"/>
  <c r="W629" i="5"/>
  <c r="P633" i="5"/>
  <c r="W642" i="5"/>
  <c r="P678" i="5"/>
  <c r="R678" i="5" s="1"/>
  <c r="P700" i="5"/>
  <c r="S708" i="5"/>
  <c r="P781" i="5"/>
  <c r="P807" i="5"/>
  <c r="W825" i="5"/>
  <c r="W864" i="5"/>
  <c r="S887" i="5"/>
  <c r="W945" i="5"/>
  <c r="S975" i="5"/>
  <c r="P1025" i="5"/>
  <c r="R1025" i="5" s="1"/>
  <c r="P1038" i="5"/>
  <c r="Q1038" i="5" s="1"/>
  <c r="T1078" i="5"/>
  <c r="W1054" i="5"/>
  <c r="W1063" i="5"/>
  <c r="F1065" i="5"/>
  <c r="S1119" i="5"/>
  <c r="T1199" i="5"/>
  <c r="T1212" i="5"/>
  <c r="T1223" i="5"/>
  <c r="F1179" i="5"/>
  <c r="E1217" i="5"/>
  <c r="F1217" i="5" s="1"/>
  <c r="F1226" i="5"/>
  <c r="W1226" i="5"/>
  <c r="W1235" i="5"/>
  <c r="P1250" i="5"/>
  <c r="T1350" i="5"/>
  <c r="W1286" i="5"/>
  <c r="S1299" i="5"/>
  <c r="S1322" i="5"/>
  <c r="E1342" i="5"/>
  <c r="F1377" i="5"/>
  <c r="W1377" i="5"/>
  <c r="S1641" i="5"/>
  <c r="P1491" i="5"/>
  <c r="Q1491" i="5" s="1"/>
  <c r="W1507" i="5"/>
  <c r="S1652" i="5"/>
  <c r="S1689" i="5"/>
  <c r="S1763" i="5"/>
  <c r="S1856" i="5"/>
  <c r="W1669" i="5"/>
  <c r="S1680" i="5"/>
  <c r="V1680" i="5" s="1"/>
  <c r="P1748" i="5"/>
  <c r="R1748" i="5" s="1"/>
  <c r="W1757" i="5"/>
  <c r="P1759" i="5"/>
  <c r="Q1759" i="5" s="1"/>
  <c r="P1790" i="5"/>
  <c r="S1664" i="5"/>
  <c r="S1666" i="5"/>
  <c r="S1777" i="5"/>
  <c r="P1585" i="5"/>
  <c r="W1601" i="5"/>
  <c r="P1612" i="5"/>
  <c r="Q1612" i="5" s="1"/>
  <c r="W1628" i="5"/>
  <c r="W1674" i="5"/>
  <c r="S1678" i="5"/>
  <c r="W1706" i="5"/>
  <c r="P1728" i="5"/>
  <c r="R1728" i="5" s="1"/>
  <c r="P1746" i="5"/>
  <c r="Q1746" i="5" s="1"/>
  <c r="S1785" i="5"/>
  <c r="S1958" i="5"/>
  <c r="S2050" i="5"/>
  <c r="W1697" i="5"/>
  <c r="P1910" i="5"/>
  <c r="Q1910" i="5" s="1"/>
  <c r="W1688" i="5"/>
  <c r="S1831" i="5"/>
  <c r="P1857" i="5"/>
  <c r="R1857" i="5" s="1"/>
  <c r="P1905" i="5"/>
  <c r="R1905" i="5" s="1"/>
  <c r="W2018" i="5"/>
  <c r="W1391" i="5"/>
  <c r="W1407" i="5"/>
  <c r="S1438" i="5"/>
  <c r="W1468" i="5"/>
  <c r="S1505" i="5"/>
  <c r="S1514" i="5"/>
  <c r="W1541" i="5"/>
  <c r="S1669" i="5"/>
  <c r="S1739" i="5"/>
  <c r="P1545" i="5"/>
  <c r="P1644" i="5"/>
  <c r="R1644" i="5" s="1"/>
  <c r="P1683" i="5"/>
  <c r="Q1683" i="5" s="1"/>
  <c r="S1735" i="5"/>
  <c r="P1816" i="5"/>
  <c r="R1816" i="5" s="1"/>
  <c r="P1852" i="5"/>
  <c r="R1852" i="5" s="1"/>
  <c r="P777" i="5"/>
  <c r="S803" i="5"/>
  <c r="P827" i="5"/>
  <c r="W887" i="5"/>
  <c r="P893" i="5"/>
  <c r="R893" i="5" s="1"/>
  <c r="S895" i="5"/>
  <c r="S912" i="5"/>
  <c r="W917" i="5"/>
  <c r="S945" i="5"/>
  <c r="S992" i="5"/>
  <c r="W1026" i="5"/>
  <c r="S1034" i="5"/>
  <c r="W1120" i="5"/>
  <c r="P1126" i="5"/>
  <c r="S1130" i="5"/>
  <c r="S1134" i="5"/>
  <c r="P1141" i="5"/>
  <c r="S1173" i="5"/>
  <c r="P1281" i="5"/>
  <c r="R1281" i="5" s="1"/>
  <c r="H1375" i="5"/>
  <c r="W1331" i="5"/>
  <c r="P1333" i="5"/>
  <c r="R1333" i="5" s="1"/>
  <c r="W1382" i="5"/>
  <c r="W1432" i="5"/>
  <c r="P1436" i="5"/>
  <c r="W1448" i="5"/>
  <c r="S1452" i="5"/>
  <c r="P1470" i="5"/>
  <c r="S1581" i="5"/>
  <c r="S1590" i="5"/>
  <c r="W1606" i="5"/>
  <c r="P1626" i="5"/>
  <c r="P1642" i="5"/>
  <c r="W1677" i="5"/>
  <c r="S1683" i="5"/>
  <c r="S1710" i="5"/>
  <c r="P1724" i="5"/>
  <c r="P1532" i="5"/>
  <c r="R1532" i="5" s="1"/>
  <c r="W1539" i="5"/>
  <c r="W1548" i="5"/>
  <c r="W1577" i="5"/>
  <c r="W1622" i="5"/>
  <c r="W1686" i="5"/>
  <c r="P1769" i="5"/>
  <c r="R1769" i="5" s="1"/>
  <c r="P1855" i="5"/>
  <c r="S2013" i="5"/>
  <c r="F2042" i="5"/>
  <c r="W2042" i="5"/>
  <c r="W1604" i="5"/>
  <c r="S1681" i="5"/>
  <c r="S1717" i="5"/>
  <c r="S1842" i="5"/>
  <c r="S1898" i="5"/>
  <c r="S1579" i="5"/>
  <c r="P1608" i="5"/>
  <c r="R1608" i="5" s="1"/>
  <c r="W1738" i="5"/>
  <c r="S1760" i="5"/>
  <c r="R1606" i="5"/>
  <c r="Q1606" i="5"/>
  <c r="W1733" i="5"/>
  <c r="P1455" i="5"/>
  <c r="P1497" i="5"/>
  <c r="R1497" i="5" s="1"/>
  <c r="P1508" i="5"/>
  <c r="Q1508" i="5" s="1"/>
  <c r="S1615" i="5"/>
  <c r="P1702" i="5"/>
  <c r="Q1702" i="5" s="1"/>
  <c r="P1767" i="5"/>
  <c r="R1767" i="5" s="1"/>
  <c r="S1888" i="5"/>
  <c r="P984" i="5"/>
  <c r="R984" i="5" s="1"/>
  <c r="P999" i="5"/>
  <c r="R999" i="5" s="1"/>
  <c r="T1081" i="5"/>
  <c r="T1083" i="5"/>
  <c r="H1092" i="5"/>
  <c r="T1202" i="5"/>
  <c r="T1219" i="5"/>
  <c r="P1186" i="5"/>
  <c r="Q1186" i="5" s="1"/>
  <c r="W1203" i="5"/>
  <c r="S1251" i="5"/>
  <c r="P1256" i="5"/>
  <c r="P1275" i="5"/>
  <c r="Q1275" i="5" s="1"/>
  <c r="P1297" i="5"/>
  <c r="R1297" i="5" s="1"/>
  <c r="P1331" i="5"/>
  <c r="R1331" i="5" s="1"/>
  <c r="P1338" i="5"/>
  <c r="Q1338" i="5" s="1"/>
  <c r="P1344" i="5"/>
  <c r="Q1344" i="5" s="1"/>
  <c r="W1473" i="5"/>
  <c r="P1477" i="5"/>
  <c r="R1477" i="5" s="1"/>
  <c r="P1661" i="5"/>
  <c r="F1718" i="5"/>
  <c r="W1718" i="5"/>
  <c r="P1942" i="5"/>
  <c r="S2004" i="5"/>
  <c r="S2037" i="5"/>
  <c r="P915" i="5"/>
  <c r="Q915" i="5" s="1"/>
  <c r="S917" i="5"/>
  <c r="S930" i="5"/>
  <c r="W933" i="5"/>
  <c r="W991" i="5"/>
  <c r="S1026" i="5"/>
  <c r="H1075" i="5"/>
  <c r="P1041" i="5"/>
  <c r="R1041" i="5" s="1"/>
  <c r="W1046" i="5"/>
  <c r="S1056" i="5"/>
  <c r="T1217" i="5"/>
  <c r="S1260" i="5"/>
  <c r="T1366" i="5"/>
  <c r="P1322" i="5"/>
  <c r="R1322" i="5" s="1"/>
  <c r="S1331" i="5"/>
  <c r="S1457" i="5"/>
  <c r="F1473" i="5"/>
  <c r="W1511" i="5"/>
  <c r="W1571" i="5"/>
  <c r="P1622" i="5"/>
  <c r="R1622" i="5" s="1"/>
  <c r="W1642" i="5"/>
  <c r="W1659" i="5"/>
  <c r="S1693" i="5"/>
  <c r="W1725" i="5"/>
  <c r="W1770" i="5"/>
  <c r="S1832" i="5"/>
  <c r="W1974" i="5"/>
  <c r="W1471" i="5"/>
  <c r="W1562" i="5"/>
  <c r="S1686" i="5"/>
  <c r="P841" i="5"/>
  <c r="R841" i="5" s="1"/>
  <c r="P896" i="5"/>
  <c r="P995" i="5"/>
  <c r="R995" i="5" s="1"/>
  <c r="P1116" i="5"/>
  <c r="R1116" i="5" s="1"/>
  <c r="H1205" i="5"/>
  <c r="H1209" i="5"/>
  <c r="P1217" i="5"/>
  <c r="Q1217" i="5" s="1"/>
  <c r="P1236" i="5"/>
  <c r="R1236" i="5" s="1"/>
  <c r="P1286" i="5"/>
  <c r="R1286" i="5" s="1"/>
  <c r="P1327" i="5"/>
  <c r="R1327" i="5" s="1"/>
  <c r="P1360" i="5"/>
  <c r="Q1360" i="5" s="1"/>
  <c r="P1394" i="5"/>
  <c r="R1394" i="5" s="1"/>
  <c r="W1424" i="5"/>
  <c r="W1469" i="5"/>
  <c r="P1504" i="5"/>
  <c r="R1504" i="5" s="1"/>
  <c r="P1564" i="5"/>
  <c r="S1661" i="5"/>
  <c r="P1720" i="5"/>
  <c r="R1720" i="5" s="1"/>
  <c r="S1817" i="5"/>
  <c r="W748" i="5"/>
  <c r="P769" i="5"/>
  <c r="Q769" i="5" s="1"/>
  <c r="S784" i="5"/>
  <c r="P791" i="5"/>
  <c r="R791" i="5" s="1"/>
  <c r="S795" i="5"/>
  <c r="W815" i="5"/>
  <c r="H875" i="5"/>
  <c r="T881" i="5"/>
  <c r="W907" i="5"/>
  <c r="P963" i="5"/>
  <c r="Q963" i="5" s="1"/>
  <c r="W970" i="5"/>
  <c r="W987" i="5"/>
  <c r="W1002" i="5"/>
  <c r="P1014" i="5"/>
  <c r="R1014" i="5" s="1"/>
  <c r="W1029" i="5"/>
  <c r="P1033" i="5"/>
  <c r="Q1033" i="5" s="1"/>
  <c r="W1044" i="5"/>
  <c r="H1222" i="5"/>
  <c r="S1256" i="5"/>
  <c r="P1428" i="5"/>
  <c r="Q1428" i="5" s="1"/>
  <c r="P1652" i="5"/>
  <c r="Q1652" i="5" s="1"/>
  <c r="W1702" i="5"/>
  <c r="P1763" i="5"/>
  <c r="Q1763" i="5" s="1"/>
  <c r="S2035" i="5"/>
  <c r="W1057" i="5"/>
  <c r="P1063" i="5"/>
  <c r="S1067" i="5"/>
  <c r="T1196" i="5"/>
  <c r="S1135" i="5"/>
  <c r="V1135" i="5" s="1"/>
  <c r="T1213" i="5"/>
  <c r="H1220" i="5"/>
  <c r="S1236" i="5"/>
  <c r="S1284" i="5"/>
  <c r="P1334" i="5"/>
  <c r="W1351" i="5"/>
  <c r="W1383" i="5"/>
  <c r="W1433" i="5"/>
  <c r="S1446" i="5"/>
  <c r="P1453" i="5"/>
  <c r="Q1453" i="5" s="1"/>
  <c r="S1475" i="5"/>
  <c r="W1478" i="5"/>
  <c r="W1500" i="5"/>
  <c r="W1560" i="5"/>
  <c r="W1587" i="5"/>
  <c r="S1611" i="5"/>
  <c r="W1614" i="5"/>
  <c r="P1636" i="5"/>
  <c r="R1636" i="5" s="1"/>
  <c r="S1638" i="5"/>
  <c r="W1650" i="5"/>
  <c r="W1678" i="5"/>
  <c r="S1720" i="5"/>
  <c r="P1770" i="5"/>
  <c r="R1770" i="5" s="1"/>
  <c r="S924" i="5"/>
  <c r="S948" i="5"/>
  <c r="W966" i="5"/>
  <c r="P974" i="5"/>
  <c r="R974" i="5" s="1"/>
  <c r="P991" i="5"/>
  <c r="Q991" i="5" s="1"/>
  <c r="T1100" i="5"/>
  <c r="W1042" i="5"/>
  <c r="S1063" i="5"/>
  <c r="S1065" i="5"/>
  <c r="S1161" i="5"/>
  <c r="P1172" i="5"/>
  <c r="R1172" i="5" s="1"/>
  <c r="P1192" i="5"/>
  <c r="Q1192" i="5" s="1"/>
  <c r="S1453" i="5"/>
  <c r="P1471" i="5"/>
  <c r="S1495" i="5"/>
  <c r="W1540" i="5"/>
  <c r="P1553" i="5"/>
  <c r="R1553" i="5" s="1"/>
  <c r="P1580" i="5"/>
  <c r="P1609" i="5"/>
  <c r="R1609" i="5" s="1"/>
  <c r="S1675" i="5"/>
  <c r="P1732" i="5"/>
  <c r="Q1732" i="5" s="1"/>
  <c r="S1738" i="5"/>
  <c r="W1748" i="5"/>
  <c r="S1772" i="5"/>
  <c r="P1797" i="5"/>
  <c r="S1876" i="5"/>
  <c r="S1924" i="5"/>
  <c r="F1965" i="5"/>
  <c r="W1965" i="5"/>
  <c r="P1798" i="5"/>
  <c r="Q1798" i="5" s="1"/>
  <c r="S1852" i="5"/>
  <c r="P1862" i="5"/>
  <c r="Q1862" i="5" s="1"/>
  <c r="P1867" i="5"/>
  <c r="Q1867" i="5" s="1"/>
  <c r="P1886" i="5"/>
  <c r="P1932" i="5"/>
  <c r="R1932" i="5" s="1"/>
  <c r="S1942" i="5"/>
  <c r="S1949" i="5"/>
  <c r="P1989" i="5"/>
  <c r="S2011" i="5"/>
  <c r="S1956" i="5"/>
  <c r="P2031" i="5"/>
  <c r="S2033" i="5"/>
  <c r="P2055" i="5"/>
  <c r="Q2055" i="5" s="1"/>
  <c r="S2057" i="5"/>
  <c r="P1917" i="5"/>
  <c r="R1917" i="5" s="1"/>
  <c r="P1976" i="5"/>
  <c r="R1976" i="5" s="1"/>
  <c r="S1731" i="5"/>
  <c r="W1751" i="5"/>
  <c r="P1825" i="5"/>
  <c r="R1825" i="5" s="1"/>
  <c r="S1845" i="5"/>
  <c r="S1867" i="5"/>
  <c r="P1872" i="5"/>
  <c r="R1872" i="5" s="1"/>
  <c r="P1896" i="5"/>
  <c r="P1922" i="5"/>
  <c r="S1976" i="5"/>
  <c r="W1992" i="5"/>
  <c r="W1993" i="5"/>
  <c r="P2000" i="5"/>
  <c r="S1922" i="5"/>
  <c r="P1935" i="5"/>
  <c r="R1935" i="5" s="1"/>
  <c r="P1965" i="5"/>
  <c r="W1978" i="5"/>
  <c r="S1985" i="5"/>
  <c r="P2042" i="5"/>
  <c r="P1528" i="5"/>
  <c r="Q1528" i="5" s="1"/>
  <c r="P1659" i="5"/>
  <c r="Q1659" i="5" s="1"/>
  <c r="S1670" i="5"/>
  <c r="P1712" i="5"/>
  <c r="P1757" i="5"/>
  <c r="Q1757" i="5" s="1"/>
  <c r="P2018" i="5"/>
  <c r="S1577" i="5"/>
  <c r="P1620" i="5"/>
  <c r="R1620" i="5" s="1"/>
  <c r="P1697" i="5"/>
  <c r="R1697" i="5" s="1"/>
  <c r="S1872" i="5"/>
  <c r="P1952" i="5"/>
  <c r="R1952" i="5" s="1"/>
  <c r="W1987" i="5"/>
  <c r="P2007" i="5"/>
  <c r="Q2007" i="5" s="1"/>
  <c r="S1224" i="5"/>
  <c r="P1233" i="5"/>
  <c r="S1259" i="5"/>
  <c r="P1315" i="5"/>
  <c r="R1315" i="5" s="1"/>
  <c r="P1375" i="5"/>
  <c r="Q1375" i="5" s="1"/>
  <c r="P1382" i="5"/>
  <c r="R1382" i="5" s="1"/>
  <c r="P1407" i="5"/>
  <c r="R1407" i="5" s="1"/>
  <c r="P1462" i="5"/>
  <c r="Q1462" i="5" s="1"/>
  <c r="S1511" i="5"/>
  <c r="P1526" i="5"/>
  <c r="S1528" i="5"/>
  <c r="P1550" i="5"/>
  <c r="P1556" i="5"/>
  <c r="R1556" i="5" s="1"/>
  <c r="S1560" i="5"/>
  <c r="S1562" i="5"/>
  <c r="W1580" i="5"/>
  <c r="S1588" i="5"/>
  <c r="P1601" i="5"/>
  <c r="R1601" i="5" s="1"/>
  <c r="P1605" i="5"/>
  <c r="Q1605" i="5" s="1"/>
  <c r="P1618" i="5"/>
  <c r="R1618" i="5" s="1"/>
  <c r="W1653" i="5"/>
  <c r="P1688" i="5"/>
  <c r="Q1688" i="5" s="1"/>
  <c r="S1697" i="5"/>
  <c r="W1704" i="5"/>
  <c r="S1742" i="5"/>
  <c r="P1753" i="5"/>
  <c r="R1753" i="5" s="1"/>
  <c r="W1761" i="5"/>
  <c r="W1772" i="5"/>
  <c r="W1777" i="5"/>
  <c r="P1818" i="5"/>
  <c r="R1818" i="5" s="1"/>
  <c r="P1833" i="5"/>
  <c r="R1833" i="5" s="1"/>
  <c r="P1848" i="5"/>
  <c r="R1848" i="5" s="1"/>
  <c r="P1870" i="5"/>
  <c r="Q1870" i="5" s="1"/>
  <c r="S1930" i="5"/>
  <c r="S1945" i="5"/>
  <c r="S1952" i="5"/>
  <c r="P1972" i="5"/>
  <c r="R1972" i="5" s="1"/>
  <c r="S1974" i="5"/>
  <c r="W1986" i="5"/>
  <c r="P1992" i="5"/>
  <c r="W2003" i="5"/>
  <c r="P2005" i="5"/>
  <c r="R2005" i="5" s="1"/>
  <c r="S2018" i="5"/>
  <c r="P2023" i="5"/>
  <c r="Q2023" i="5" s="1"/>
  <c r="P2049" i="5"/>
  <c r="S1315" i="5"/>
  <c r="S1333" i="5"/>
  <c r="S1382" i="5"/>
  <c r="W1385" i="5"/>
  <c r="S1389" i="5"/>
  <c r="S1409" i="5"/>
  <c r="W1423" i="5"/>
  <c r="W1456" i="5"/>
  <c r="S1466" i="5"/>
  <c r="P1479" i="5"/>
  <c r="R1479" i="5" s="1"/>
  <c r="W1492" i="5"/>
  <c r="P1522" i="5"/>
  <c r="Q1522" i="5" s="1"/>
  <c r="P1573" i="5"/>
  <c r="S1575" i="5"/>
  <c r="W1593" i="5"/>
  <c r="P1614" i="5"/>
  <c r="P1655" i="5"/>
  <c r="Q1655" i="5" s="1"/>
  <c r="S1657" i="5"/>
  <c r="W1671" i="5"/>
  <c r="S1688" i="5"/>
  <c r="P1710" i="5"/>
  <c r="S1755" i="5"/>
  <c r="P1766" i="5"/>
  <c r="R1766" i="5" s="1"/>
  <c r="S1768" i="5"/>
  <c r="S1813" i="5"/>
  <c r="S1920" i="5"/>
  <c r="S1925" i="5"/>
  <c r="P1961" i="5"/>
  <c r="R1961" i="5" s="1"/>
  <c r="P1533" i="5"/>
  <c r="R1533" i="5" s="1"/>
  <c r="P1569" i="5"/>
  <c r="R1569" i="5" s="1"/>
  <c r="V1569" i="5" s="1"/>
  <c r="P1631" i="5"/>
  <c r="Q1631" i="5" s="1"/>
  <c r="P1666" i="5"/>
  <c r="R1666" i="5" s="1"/>
  <c r="P1734" i="5"/>
  <c r="Q1734" i="5" s="1"/>
  <c r="P1764" i="5"/>
  <c r="P1853" i="5"/>
  <c r="P1943" i="5"/>
  <c r="R1943" i="5" s="1"/>
  <c r="P1957" i="5"/>
  <c r="R1957" i="5" s="1"/>
  <c r="P2034" i="5"/>
  <c r="R2034" i="5" s="1"/>
  <c r="W1287" i="5"/>
  <c r="P1320" i="5"/>
  <c r="R1320" i="5" s="1"/>
  <c r="S1324" i="5"/>
  <c r="T1373" i="5"/>
  <c r="P1355" i="5"/>
  <c r="Q1355" i="5" s="1"/>
  <c r="W1412" i="5"/>
  <c r="P1418" i="5"/>
  <c r="R1418" i="5" s="1"/>
  <c r="P1438" i="5"/>
  <c r="R1438" i="5" s="1"/>
  <c r="S1449" i="5"/>
  <c r="P1458" i="5"/>
  <c r="S1462" i="5"/>
  <c r="P1507" i="5"/>
  <c r="Q1507" i="5" s="1"/>
  <c r="P1518" i="5"/>
  <c r="R1518" i="5" s="1"/>
  <c r="P1546" i="5"/>
  <c r="R1546" i="5" s="1"/>
  <c r="S1550" i="5"/>
  <c r="W1578" i="5"/>
  <c r="S1584" i="5"/>
  <c r="F1623" i="5"/>
  <c r="P1675" i="5"/>
  <c r="R1675" i="5" s="1"/>
  <c r="S1695" i="5"/>
  <c r="P1706" i="5"/>
  <c r="P1749" i="5"/>
  <c r="R1749" i="5" s="1"/>
  <c r="P1794" i="5"/>
  <c r="R1794" i="5" s="1"/>
  <c r="P1801" i="5"/>
  <c r="Q1801" i="5" s="1"/>
  <c r="P1811" i="5"/>
  <c r="Q1811" i="5" s="1"/>
  <c r="S1877" i="5"/>
  <c r="S1894" i="5"/>
  <c r="S1901" i="5"/>
  <c r="P1913" i="5"/>
  <c r="Q1913" i="5" s="1"/>
  <c r="P1994" i="5"/>
  <c r="R1994" i="5" s="1"/>
  <c r="P2014" i="5"/>
  <c r="R2014" i="5" s="1"/>
  <c r="W2019" i="5"/>
  <c r="S2023" i="5"/>
  <c r="W1743" i="5"/>
  <c r="P1747" i="5"/>
  <c r="Q1747" i="5" s="1"/>
  <c r="S1801" i="5"/>
  <c r="S1806" i="5"/>
  <c r="S1933" i="5"/>
  <c r="W1953" i="5"/>
  <c r="P1990" i="5"/>
  <c r="R1990" i="5" s="1"/>
  <c r="S1994" i="5"/>
  <c r="P2003" i="5"/>
  <c r="Q2003" i="5" s="1"/>
  <c r="W2028" i="5"/>
  <c r="P2036" i="5"/>
  <c r="S2038" i="5"/>
  <c r="P1887" i="5"/>
  <c r="S1979" i="5"/>
  <c r="S2036" i="5"/>
  <c r="S1794" i="5"/>
  <c r="S1811" i="5"/>
  <c r="S1882" i="5"/>
  <c r="P1897" i="5"/>
  <c r="S1899" i="5"/>
  <c r="S1957" i="5"/>
  <c r="W2005" i="5"/>
  <c r="W2023" i="5"/>
  <c r="W2052" i="5"/>
  <c r="S1868" i="5"/>
  <c r="P1977" i="5"/>
  <c r="Q1977" i="5" s="1"/>
  <c r="S2014" i="5"/>
  <c r="F2052" i="5"/>
  <c r="W1281" i="5"/>
  <c r="P1307" i="5"/>
  <c r="R1307" i="5" s="1"/>
  <c r="S1311" i="5"/>
  <c r="S1329" i="5"/>
  <c r="P1367" i="5"/>
  <c r="Q1367" i="5" s="1"/>
  <c r="P1385" i="5"/>
  <c r="Q1385" i="5" s="1"/>
  <c r="P1401" i="5"/>
  <c r="P1423" i="5"/>
  <c r="Q1423" i="5" s="1"/>
  <c r="P1475" i="5"/>
  <c r="W1523" i="5"/>
  <c r="P1625" i="5"/>
  <c r="S1732" i="5"/>
  <c r="W1752" i="5"/>
  <c r="S1799" i="5"/>
  <c r="P1834" i="5"/>
  <c r="S1918" i="5"/>
  <c r="P1936" i="5"/>
  <c r="R1936" i="5" s="1"/>
  <c r="P1966" i="5"/>
  <c r="R1966" i="5" s="1"/>
  <c r="P1984" i="5"/>
  <c r="Q1984" i="5" s="1"/>
  <c r="S1990" i="5"/>
  <c r="P1999" i="5"/>
  <c r="P2010" i="5"/>
  <c r="P2030" i="5"/>
  <c r="Q2030" i="5" s="1"/>
  <c r="P2041" i="5"/>
  <c r="P2043" i="5"/>
  <c r="R2043" i="5" s="1"/>
  <c r="S1274" i="5"/>
  <c r="H1343" i="5"/>
  <c r="T1349" i="5"/>
  <c r="P1376" i="5"/>
  <c r="Q1376" i="5" s="1"/>
  <c r="W1408" i="5"/>
  <c r="P1410" i="5"/>
  <c r="S1425" i="5"/>
  <c r="P1473" i="5"/>
  <c r="P1492" i="5"/>
  <c r="R1492" i="5" s="1"/>
  <c r="P1514" i="5"/>
  <c r="P1529" i="5"/>
  <c r="R1529" i="5" s="1"/>
  <c r="W1549" i="5"/>
  <c r="S1591" i="5"/>
  <c r="P1610" i="5"/>
  <c r="Q1610" i="5" s="1"/>
  <c r="P1621" i="5"/>
  <c r="P1623" i="5"/>
  <c r="P1638" i="5"/>
  <c r="R1638" i="5" s="1"/>
  <c r="P1640" i="5"/>
  <c r="Q1640" i="5" s="1"/>
  <c r="W1656" i="5"/>
  <c r="W1667" i="5"/>
  <c r="P1678" i="5"/>
  <c r="R1678" i="5" s="1"/>
  <c r="S1704" i="5"/>
  <c r="W1711" i="5"/>
  <c r="P1719" i="5"/>
  <c r="R1719" i="5" s="1"/>
  <c r="W1739" i="5"/>
  <c r="F1752" i="5"/>
  <c r="P1760" i="5"/>
  <c r="P1792" i="5"/>
  <c r="R1792" i="5" s="1"/>
  <c r="S1804" i="5"/>
  <c r="P1866" i="5"/>
  <c r="R1866" i="5" s="1"/>
  <c r="P1921" i="5"/>
  <c r="R1921" i="5" s="1"/>
  <c r="Q1988" i="5"/>
  <c r="P2001" i="5"/>
  <c r="P2008" i="5"/>
  <c r="Q2008" i="5" s="1"/>
  <c r="S2010" i="5"/>
  <c r="S2030" i="5"/>
  <c r="S2032" i="5"/>
  <c r="S2056" i="5"/>
  <c r="S1946" i="5"/>
  <c r="W2037" i="5"/>
  <c r="P1824" i="5"/>
  <c r="R1824" i="5" s="1"/>
  <c r="S1829" i="5"/>
  <c r="P1854" i="5"/>
  <c r="R1854" i="5" s="1"/>
  <c r="S1866" i="5"/>
  <c r="P1871" i="5"/>
  <c r="Q1871" i="5" s="1"/>
  <c r="P1890" i="5"/>
  <c r="R1890" i="5" s="1"/>
  <c r="P1909" i="5"/>
  <c r="Q1909" i="5" s="1"/>
  <c r="S1999" i="5"/>
  <c r="S2041" i="5"/>
  <c r="W2050" i="5"/>
  <c r="S2054" i="5"/>
  <c r="S1964" i="5"/>
  <c r="P1980" i="5"/>
  <c r="R1980" i="5" s="1"/>
  <c r="S1982" i="5"/>
  <c r="W1988" i="5"/>
  <c r="P1997" i="5"/>
  <c r="P2026" i="5"/>
  <c r="R2026" i="5" s="1"/>
  <c r="W2033" i="5"/>
  <c r="P2039" i="5"/>
  <c r="R2039" i="5" s="1"/>
  <c r="W2057" i="5"/>
  <c r="P1223" i="5"/>
  <c r="Q1223" i="5" s="1"/>
  <c r="W1239" i="5"/>
  <c r="S1264" i="5"/>
  <c r="T1342" i="5"/>
  <c r="P1294" i="5"/>
  <c r="W1310" i="5"/>
  <c r="P1347" i="5"/>
  <c r="Q1347" i="5" s="1"/>
  <c r="S1390" i="5"/>
  <c r="P1399" i="5"/>
  <c r="R1399" i="5" s="1"/>
  <c r="W1435" i="5"/>
  <c r="P1441" i="5"/>
  <c r="Q1441" i="5" s="1"/>
  <c r="P1461" i="5"/>
  <c r="R1461" i="5" s="1"/>
  <c r="P1506" i="5"/>
  <c r="Q1506" i="5" s="1"/>
  <c r="P1510" i="5"/>
  <c r="Q1510" i="5" s="1"/>
  <c r="P1521" i="5"/>
  <c r="W1530" i="5"/>
  <c r="P1536" i="5"/>
  <c r="R1536" i="5" s="1"/>
  <c r="S1576" i="5"/>
  <c r="P1583" i="5"/>
  <c r="W1611" i="5"/>
  <c r="S1636" i="5"/>
  <c r="S1649" i="5"/>
  <c r="S1658" i="5"/>
  <c r="W1683" i="5"/>
  <c r="P1739" i="5"/>
  <c r="R1739" i="5" s="1"/>
  <c r="S1849" i="5"/>
  <c r="S1871" i="5"/>
  <c r="F1960" i="5"/>
  <c r="P1969" i="5"/>
  <c r="Q1969" i="5" s="1"/>
  <c r="P1971" i="5"/>
  <c r="P2006" i="5"/>
  <c r="R2006" i="5" s="1"/>
  <c r="P2024" i="5"/>
  <c r="P2035" i="5"/>
  <c r="P1783" i="5"/>
  <c r="R1783" i="5" s="1"/>
  <c r="P1914" i="5"/>
  <c r="P1944" i="5"/>
  <c r="R1944" i="5" s="1"/>
  <c r="W1999" i="5"/>
  <c r="P2004" i="5"/>
  <c r="R2004" i="5" s="1"/>
  <c r="P2015" i="5"/>
  <c r="Q2015" i="5" s="1"/>
  <c r="P2050" i="5"/>
  <c r="Q2050" i="5" s="1"/>
  <c r="W2054" i="5"/>
  <c r="S1232" i="5"/>
  <c r="W1250" i="5"/>
  <c r="S1254" i="5"/>
  <c r="W1271" i="5"/>
  <c r="S1279" i="5"/>
  <c r="P1388" i="5"/>
  <c r="R1388" i="5" s="1"/>
  <c r="S1419" i="5"/>
  <c r="S1430" i="5"/>
  <c r="P1437" i="5"/>
  <c r="P1480" i="5"/>
  <c r="R1480" i="5" s="1"/>
  <c r="S1484" i="5"/>
  <c r="W1515" i="5"/>
  <c r="S1525" i="5"/>
  <c r="V1525" i="5" s="1"/>
  <c r="S1538" i="5"/>
  <c r="P1656" i="5"/>
  <c r="R1656" i="5" s="1"/>
  <c r="P1667" i="5"/>
  <c r="P1687" i="5"/>
  <c r="Q1687" i="5" s="1"/>
  <c r="S1726" i="5"/>
  <c r="V1726" i="5" s="1"/>
  <c r="S1741" i="5"/>
  <c r="S1752" i="5"/>
  <c r="P1847" i="5"/>
  <c r="Q1847" i="5" s="1"/>
  <c r="P1876" i="5"/>
  <c r="S1883" i="5"/>
  <c r="P1893" i="5"/>
  <c r="S1944" i="5"/>
  <c r="S1980" i="5"/>
  <c r="P1991" i="5"/>
  <c r="R1991" i="5" s="1"/>
  <c r="S1997" i="5"/>
  <c r="W2009" i="5"/>
  <c r="P2022" i="5"/>
  <c r="R2022" i="5" s="1"/>
  <c r="P2048" i="5"/>
  <c r="P1365" i="5"/>
  <c r="Q1365" i="5" s="1"/>
  <c r="P1368" i="5"/>
  <c r="Q1368" i="5" s="1"/>
  <c r="P1374" i="5"/>
  <c r="Q1374" i="5" s="1"/>
  <c r="P1386" i="5"/>
  <c r="R1386" i="5" s="1"/>
  <c r="S1397" i="5"/>
  <c r="S1523" i="5"/>
  <c r="P1596" i="5"/>
  <c r="Q1596" i="5" s="1"/>
  <c r="P1630" i="5"/>
  <c r="S1632" i="5"/>
  <c r="P1654" i="5"/>
  <c r="R1654" i="5" s="1"/>
  <c r="P1665" i="5"/>
  <c r="R1665" i="5" s="1"/>
  <c r="S1667" i="5"/>
  <c r="S1687" i="5"/>
  <c r="W1699" i="5"/>
  <c r="P1705" i="5"/>
  <c r="R1705" i="5" s="1"/>
  <c r="P1733" i="5"/>
  <c r="S1827" i="5"/>
  <c r="P1832" i="5"/>
  <c r="Q1832" i="5" s="1"/>
  <c r="P1864" i="5"/>
  <c r="R1864" i="5" s="1"/>
  <c r="P1869" i="5"/>
  <c r="Q1869" i="5" s="1"/>
  <c r="S1962" i="5"/>
  <c r="P1978" i="5"/>
  <c r="R1978" i="5" s="1"/>
  <c r="P2011" i="5"/>
  <c r="R2011" i="5" s="1"/>
  <c r="P2046" i="5"/>
  <c r="Q2046" i="5" s="1"/>
  <c r="P1383" i="5"/>
  <c r="Q1383" i="5" s="1"/>
  <c r="P1395" i="5"/>
  <c r="Q1395" i="5" s="1"/>
  <c r="P1850" i="5"/>
  <c r="Q1850" i="5" s="1"/>
  <c r="S1854" i="5"/>
  <c r="S1853" i="5"/>
  <c r="P1326" i="5"/>
  <c r="R1326" i="5" s="1"/>
  <c r="P1919" i="5"/>
  <c r="R1919" i="5" s="1"/>
  <c r="P1431" i="5"/>
  <c r="R1431" i="5" s="1"/>
  <c r="P67" i="5"/>
  <c r="Q67" i="5" s="1"/>
  <c r="P1831" i="5"/>
  <c r="S1809" i="5"/>
  <c r="S1784" i="5"/>
  <c r="S1779" i="5"/>
  <c r="P1808" i="5"/>
  <c r="Q1808" i="5" s="1"/>
  <c r="S1783" i="5"/>
  <c r="S1879" i="5"/>
  <c r="P1851" i="5"/>
  <c r="Q1851" i="5" s="1"/>
  <c r="S44" i="5"/>
  <c r="P66" i="5"/>
  <c r="Q66" i="5" s="1"/>
  <c r="S1235" i="5"/>
  <c r="P1252" i="5"/>
  <c r="S1391" i="5"/>
  <c r="S1393" i="5"/>
  <c r="S1234" i="5"/>
  <c r="S48" i="5"/>
  <c r="S45" i="5"/>
  <c r="P1828" i="5"/>
  <c r="Q1828" i="5" s="1"/>
  <c r="P1822" i="5"/>
  <c r="Q1822" i="5" s="1"/>
  <c r="P1823" i="5"/>
  <c r="P1925" i="5"/>
  <c r="Q1925" i="5" s="1"/>
  <c r="P1996" i="5"/>
  <c r="R1996" i="5" s="1"/>
  <c r="V1996" i="5" s="1"/>
  <c r="S1923" i="5"/>
  <c r="S1305" i="5"/>
  <c r="S1343" i="5" s="1"/>
  <c r="S28" i="5"/>
  <c r="S14" i="5"/>
  <c r="S19" i="5"/>
  <c r="S11" i="5"/>
  <c r="S1150" i="5"/>
  <c r="S47" i="5"/>
  <c r="S46" i="5"/>
  <c r="P425" i="5"/>
  <c r="R425" i="5" s="1"/>
  <c r="S118" i="5"/>
  <c r="S180" i="5"/>
  <c r="S1387" i="5"/>
  <c r="S1392" i="5"/>
  <c r="P1335" i="5"/>
  <c r="Q1335" i="5" s="1"/>
  <c r="S240" i="5"/>
  <c r="S245" i="5"/>
  <c r="P1725" i="5"/>
  <c r="R1725" i="5" s="1"/>
  <c r="P1819" i="5"/>
  <c r="Q1819" i="5" s="1"/>
  <c r="S1844" i="5"/>
  <c r="P1150" i="5"/>
  <c r="Q1150" i="5" s="1"/>
  <c r="S884" i="5"/>
  <c r="S908" i="5"/>
  <c r="S1934" i="5"/>
  <c r="S1312" i="5"/>
  <c r="S1303" i="5"/>
  <c r="P118" i="5"/>
  <c r="R118" i="5" s="1"/>
  <c r="S6" i="5"/>
  <c r="P1440" i="5"/>
  <c r="P1814" i="5"/>
  <c r="R1814" i="5" s="1"/>
  <c r="P770" i="5"/>
  <c r="Q770" i="5" s="1"/>
  <c r="S1231" i="5"/>
  <c r="P85" i="5"/>
  <c r="Q85" i="5" s="1"/>
  <c r="S1230" i="5"/>
  <c r="S818" i="5"/>
  <c r="S814" i="5"/>
  <c r="S822" i="5"/>
  <c r="S816" i="5"/>
  <c r="S823" i="5"/>
  <c r="P256" i="5"/>
  <c r="R256" i="5" s="1"/>
  <c r="P43" i="5"/>
  <c r="Q43" i="5" s="1"/>
  <c r="P1416" i="5"/>
  <c r="R1416" i="5" s="1"/>
  <c r="P308" i="5"/>
  <c r="Q308" i="5" s="1"/>
  <c r="S309" i="5"/>
  <c r="S237" i="5"/>
  <c r="S770" i="5"/>
  <c r="S1493" i="5"/>
  <c r="S1919" i="5"/>
  <c r="S8" i="5"/>
  <c r="P370" i="5"/>
  <c r="R370" i="5" s="1"/>
  <c r="S1530" i="5"/>
  <c r="S1821" i="5"/>
  <c r="S1823" i="5"/>
  <c r="S1825" i="5"/>
  <c r="P595" i="5"/>
  <c r="R595" i="5" s="1"/>
  <c r="S348" i="5"/>
  <c r="P1419" i="5"/>
  <c r="R1419" i="5" s="1"/>
  <c r="S772" i="5"/>
  <c r="P1933" i="5"/>
  <c r="Q1933" i="5" s="1"/>
  <c r="P1929" i="5"/>
  <c r="P1934" i="5"/>
  <c r="S808" i="5"/>
  <c r="S999" i="5"/>
  <c r="S1954" i="5"/>
  <c r="S1725" i="5"/>
  <c r="S771" i="5"/>
  <c r="P1930" i="5"/>
  <c r="Q1930" i="5" s="1"/>
  <c r="S1537" i="5"/>
  <c r="P1303" i="5"/>
  <c r="R1303" i="5" s="1"/>
  <c r="S1529" i="5"/>
  <c r="S7" i="5"/>
  <c r="S1308" i="5"/>
  <c r="S1429" i="5"/>
  <c r="P1036" i="5"/>
  <c r="R1036" i="5" s="1"/>
  <c r="S1036" i="5"/>
  <c r="S1423" i="5"/>
  <c r="S1428" i="5"/>
  <c r="P884" i="5"/>
  <c r="Q884" i="5" s="1"/>
  <c r="S1420" i="5"/>
  <c r="P81" i="5"/>
  <c r="R81" i="5" s="1"/>
  <c r="S232" i="5"/>
  <c r="S88" i="5"/>
  <c r="P1380" i="5"/>
  <c r="S1380" i="5"/>
  <c r="P1494" i="5"/>
  <c r="P257" i="5"/>
  <c r="R257" i="5" s="1"/>
  <c r="S107" i="5"/>
  <c r="P1379" i="5"/>
  <c r="R1379" i="5" s="1"/>
  <c r="P106" i="5"/>
  <c r="R106" i="5" s="1"/>
  <c r="S4" i="5"/>
  <c r="S94" i="5"/>
  <c r="S113" i="5"/>
  <c r="S5" i="5"/>
  <c r="P29" i="5"/>
  <c r="R29" i="5" s="1"/>
  <c r="S29" i="5"/>
  <c r="P1403" i="5"/>
  <c r="R1403" i="5" s="1"/>
  <c r="S1441" i="5"/>
  <c r="P771" i="5"/>
  <c r="S83" i="5"/>
  <c r="P105" i="5"/>
  <c r="R105" i="5" s="1"/>
  <c r="S84" i="5"/>
  <c r="S82" i="5"/>
  <c r="S247" i="5"/>
  <c r="S241" i="5"/>
  <c r="S279" i="5" s="1"/>
  <c r="S238" i="5"/>
  <c r="S248" i="5"/>
  <c r="P6" i="5"/>
  <c r="S1304" i="5"/>
  <c r="S1326" i="5"/>
  <c r="P1445" i="5"/>
  <c r="R1445" i="5" s="1"/>
  <c r="P347" i="5"/>
  <c r="Q347" i="5" s="1"/>
  <c r="P1954" i="5"/>
  <c r="R1954" i="5" s="1"/>
  <c r="S1676" i="5"/>
  <c r="P1037" i="5"/>
  <c r="R1037" i="5" s="1"/>
  <c r="S1378" i="5"/>
  <c r="S1427" i="5"/>
  <c r="P4" i="5"/>
  <c r="Q4" i="5" s="1"/>
  <c r="S43" i="5"/>
  <c r="P1443" i="5"/>
  <c r="Q1443" i="5" s="1"/>
  <c r="S1650" i="5"/>
  <c r="P1378" i="5"/>
  <c r="Q1378" i="5" s="1"/>
  <c r="H1188" i="5"/>
  <c r="H848" i="5"/>
  <c r="P1660" i="5"/>
  <c r="Q1660" i="5" s="1"/>
  <c r="P1113" i="5"/>
  <c r="H387" i="5"/>
  <c r="P1304" i="5"/>
  <c r="R1304" i="5" s="1"/>
  <c r="S1416" i="5"/>
  <c r="H1364" i="5"/>
  <c r="P42" i="5"/>
  <c r="R42" i="5" s="1"/>
  <c r="P522" i="5"/>
  <c r="R522" i="5" s="1"/>
  <c r="H1341" i="5"/>
  <c r="H409" i="5"/>
  <c r="H384" i="5"/>
  <c r="H386" i="5"/>
  <c r="H408" i="5"/>
  <c r="H410" i="5"/>
  <c r="H390" i="5"/>
  <c r="H1368" i="5"/>
  <c r="P194" i="5"/>
  <c r="H389" i="5"/>
  <c r="H1340" i="5"/>
  <c r="P1651" i="5"/>
  <c r="R1651" i="5" s="1"/>
  <c r="D8" i="3"/>
  <c r="S24" i="5"/>
  <c r="S42" i="5"/>
  <c r="S54" i="5"/>
  <c r="S66" i="5"/>
  <c r="R27" i="5"/>
  <c r="Q27" i="5"/>
  <c r="Q33" i="5"/>
  <c r="P89" i="5"/>
  <c r="P5" i="5"/>
  <c r="P83" i="5"/>
  <c r="W194" i="5"/>
  <c r="E278" i="5"/>
  <c r="F278" i="5" s="1"/>
  <c r="F240" i="5"/>
  <c r="W229" i="5"/>
  <c r="F229" i="5"/>
  <c r="W22" i="5"/>
  <c r="W105" i="5"/>
  <c r="H291" i="5"/>
  <c r="R53" i="5"/>
  <c r="Q53" i="5"/>
  <c r="F282" i="5"/>
  <c r="W282" i="5"/>
  <c r="Q449" i="5"/>
  <c r="Q531" i="5"/>
  <c r="R70" i="5"/>
  <c r="W87" i="5"/>
  <c r="R251" i="5"/>
  <c r="W9" i="5"/>
  <c r="R58" i="5"/>
  <c r="Q58" i="5"/>
  <c r="W81" i="5"/>
  <c r="W15" i="5"/>
  <c r="W75" i="5"/>
  <c r="W261" i="5"/>
  <c r="E299" i="5"/>
  <c r="F261" i="5"/>
  <c r="W27" i="5"/>
  <c r="W33" i="5"/>
  <c r="W39" i="5"/>
  <c r="W51" i="5"/>
  <c r="W63" i="5"/>
  <c r="W211" i="5"/>
  <c r="F233" i="5"/>
  <c r="E271" i="5"/>
  <c r="R3" i="5"/>
  <c r="Q3" i="5"/>
  <c r="S12" i="5"/>
  <c r="S78" i="5"/>
  <c r="E272" i="5"/>
  <c r="F272" i="5" s="1"/>
  <c r="F234" i="5"/>
  <c r="S235" i="5"/>
  <c r="H287" i="5"/>
  <c r="P464" i="5"/>
  <c r="F621" i="5"/>
  <c r="W621" i="5"/>
  <c r="R669" i="5"/>
  <c r="Q669" i="5"/>
  <c r="P183" i="5"/>
  <c r="P245" i="5"/>
  <c r="P259" i="5"/>
  <c r="T269" i="5"/>
  <c r="F203" i="5"/>
  <c r="H388" i="5"/>
  <c r="P342" i="5"/>
  <c r="S349" i="5"/>
  <c r="S368" i="5"/>
  <c r="F411" i="5"/>
  <c r="W411" i="5"/>
  <c r="S378" i="5"/>
  <c r="F435" i="5"/>
  <c r="W435" i="5"/>
  <c r="F438" i="5"/>
  <c r="S453" i="5"/>
  <c r="R520" i="5"/>
  <c r="Q520" i="5"/>
  <c r="P530" i="5"/>
  <c r="P577" i="5"/>
  <c r="Q585" i="5"/>
  <c r="S165" i="5"/>
  <c r="W172" i="5"/>
  <c r="W190" i="5"/>
  <c r="S196" i="5"/>
  <c r="W251" i="5"/>
  <c r="F401" i="5"/>
  <c r="S481" i="5"/>
  <c r="W545" i="5"/>
  <c r="S129" i="5"/>
  <c r="S147" i="5"/>
  <c r="W233" i="5"/>
  <c r="P234" i="5"/>
  <c r="W240" i="5"/>
  <c r="P262" i="5"/>
  <c r="P265" i="5"/>
  <c r="T409" i="5"/>
  <c r="S500" i="5"/>
  <c r="P128" i="5"/>
  <c r="P329" i="5"/>
  <c r="W331" i="5"/>
  <c r="P373" i="5"/>
  <c r="W636" i="5"/>
  <c r="F636" i="5"/>
  <c r="W307" i="5"/>
  <c r="W334" i="5"/>
  <c r="W385" i="5"/>
  <c r="R762" i="5"/>
  <c r="Q762" i="5"/>
  <c r="S123" i="5"/>
  <c r="W148" i="5"/>
  <c r="W184" i="5"/>
  <c r="T276" i="5"/>
  <c r="P207" i="5"/>
  <c r="S215" i="5"/>
  <c r="W284" i="5"/>
  <c r="W289" i="5"/>
  <c r="S318" i="5"/>
  <c r="R341" i="5"/>
  <c r="Q380" i="5"/>
  <c r="W386" i="5"/>
  <c r="P446" i="5"/>
  <c r="W591" i="5"/>
  <c r="F246" i="5"/>
  <c r="F298" i="5"/>
  <c r="W298" i="5"/>
  <c r="W276" i="5"/>
  <c r="W448" i="5"/>
  <c r="R241" i="5"/>
  <c r="W138" i="5"/>
  <c r="S177" i="5"/>
  <c r="S190" i="5"/>
  <c r="W234" i="5"/>
  <c r="S251" i="5"/>
  <c r="F260" i="5"/>
  <c r="S354" i="5"/>
  <c r="W515" i="5"/>
  <c r="Q727" i="5"/>
  <c r="F264" i="5"/>
  <c r="W223" i="5"/>
  <c r="E277" i="5"/>
  <c r="F277" i="5" s="1"/>
  <c r="T291" i="5"/>
  <c r="W345" i="5"/>
  <c r="R354" i="5"/>
  <c r="F436" i="5"/>
  <c r="W436" i="5"/>
  <c r="R594" i="5"/>
  <c r="F643" i="5"/>
  <c r="W643" i="5"/>
  <c r="E281" i="5"/>
  <c r="F243" i="5"/>
  <c r="S117" i="5"/>
  <c r="W173" i="5"/>
  <c r="T279" i="5"/>
  <c r="S229" i="5"/>
  <c r="P232" i="5"/>
  <c r="F235" i="5"/>
  <c r="W302" i="5"/>
  <c r="W315" i="5"/>
  <c r="P317" i="5"/>
  <c r="W346" i="5"/>
  <c r="E383" i="5"/>
  <c r="F490" i="5"/>
  <c r="W490" i="5"/>
  <c r="P189" i="5"/>
  <c r="H293" i="5"/>
  <c r="F557" i="5"/>
  <c r="W557" i="5"/>
  <c r="F249" i="5"/>
  <c r="E294" i="5"/>
  <c r="S320" i="5"/>
  <c r="F346" i="5"/>
  <c r="R612" i="5"/>
  <c r="R122" i="5"/>
  <c r="W124" i="5"/>
  <c r="S153" i="5"/>
  <c r="S171" i="5"/>
  <c r="W178" i="5"/>
  <c r="S214" i="5"/>
  <c r="S221" i="5"/>
  <c r="Q236" i="5"/>
  <c r="W245" i="5"/>
  <c r="W341" i="5"/>
  <c r="W365" i="5"/>
  <c r="S531" i="5"/>
  <c r="E274" i="5"/>
  <c r="W236" i="5"/>
  <c r="W132" i="5"/>
  <c r="W142" i="5"/>
  <c r="H382" i="5"/>
  <c r="W389" i="5"/>
  <c r="W455" i="5"/>
  <c r="P201" i="5"/>
  <c r="W208" i="5"/>
  <c r="S260" i="5"/>
  <c r="S362" i="5"/>
  <c r="E409" i="5"/>
  <c r="F371" i="5"/>
  <c r="W384" i="5"/>
  <c r="W415" i="5"/>
  <c r="P421" i="5"/>
  <c r="W446" i="5"/>
  <c r="W456" i="5"/>
  <c r="F191" i="5"/>
  <c r="P220" i="5"/>
  <c r="P306" i="5"/>
  <c r="T390" i="5"/>
  <c r="P349" i="5"/>
  <c r="P606" i="5"/>
  <c r="F236" i="5"/>
  <c r="P152" i="5"/>
  <c r="P134" i="5"/>
  <c r="W219" i="5"/>
  <c r="S242" i="5"/>
  <c r="W325" i="5"/>
  <c r="F461" i="5"/>
  <c r="W508" i="5"/>
  <c r="W506" i="5"/>
  <c r="W639" i="5"/>
  <c r="S654" i="5"/>
  <c r="S420" i="5"/>
  <c r="W429" i="5"/>
  <c r="W647" i="5"/>
  <c r="P709" i="5"/>
  <c r="S220" i="5"/>
  <c r="W239" i="5"/>
  <c r="W319" i="5"/>
  <c r="S330" i="5"/>
  <c r="P439" i="5"/>
  <c r="W533" i="5"/>
  <c r="S566" i="5"/>
  <c r="W658" i="5"/>
  <c r="W837" i="5"/>
  <c r="F837" i="5"/>
  <c r="E875" i="5"/>
  <c r="F875" i="5" s="1"/>
  <c r="T402" i="5"/>
  <c r="H405" i="5"/>
  <c r="S342" i="5"/>
  <c r="S459" i="5"/>
  <c r="P468" i="5"/>
  <c r="W480" i="5"/>
  <c r="W483" i="5"/>
  <c r="P487" i="5"/>
  <c r="W556" i="5"/>
  <c r="W573" i="5"/>
  <c r="W579" i="5"/>
  <c r="P608" i="5"/>
  <c r="P619" i="5"/>
  <c r="S633" i="5"/>
  <c r="W447" i="5"/>
  <c r="W460" i="5"/>
  <c r="W492" i="5"/>
  <c r="S493" i="5"/>
  <c r="F576" i="5"/>
  <c r="W586" i="5"/>
  <c r="P599" i="5"/>
  <c r="W674" i="5"/>
  <c r="S675" i="5"/>
  <c r="W463" i="5"/>
  <c r="W600" i="5"/>
  <c r="W615" i="5"/>
  <c r="F618" i="5"/>
  <c r="H863" i="5"/>
  <c r="H269" i="5"/>
  <c r="F248" i="5"/>
  <c r="H385" i="5"/>
  <c r="P476" i="5"/>
  <c r="P541" i="5"/>
  <c r="Q571" i="5"/>
  <c r="R576" i="5"/>
  <c r="Q576" i="5"/>
  <c r="W923" i="5"/>
  <c r="F923" i="5"/>
  <c r="W252" i="5"/>
  <c r="E275" i="5"/>
  <c r="W286" i="5"/>
  <c r="T413" i="5"/>
  <c r="P348" i="5"/>
  <c r="W443" i="5"/>
  <c r="W472" i="5"/>
  <c r="P523" i="5"/>
  <c r="P590" i="5"/>
  <c r="T300" i="5"/>
  <c r="P238" i="5"/>
  <c r="P323" i="5"/>
  <c r="S643" i="5"/>
  <c r="P654" i="5"/>
  <c r="W668" i="5"/>
  <c r="W209" i="5"/>
  <c r="S244" i="5"/>
  <c r="S263" i="5"/>
  <c r="P318" i="5"/>
  <c r="T400" i="5"/>
  <c r="S336" i="5"/>
  <c r="S360" i="5"/>
  <c r="W390" i="5"/>
  <c r="S495" i="5"/>
  <c r="F558" i="5"/>
  <c r="R573" i="5"/>
  <c r="V573" i="5" s="1"/>
  <c r="W582" i="5"/>
  <c r="S584" i="5"/>
  <c r="S613" i="5"/>
  <c r="S626" i="5"/>
  <c r="W690" i="5"/>
  <c r="H398" i="5"/>
  <c r="S476" i="5"/>
  <c r="W491" i="5"/>
  <c r="P504" i="5"/>
  <c r="W537" i="5"/>
  <c r="W568" i="5"/>
  <c r="S547" i="5"/>
  <c r="W751" i="5"/>
  <c r="F751" i="5"/>
  <c r="F623" i="5"/>
  <c r="F630" i="5"/>
  <c r="W713" i="5"/>
  <c r="S714" i="5"/>
  <c r="F720" i="5"/>
  <c r="W769" i="5"/>
  <c r="W777" i="5"/>
  <c r="W809" i="5"/>
  <c r="W488" i="5"/>
  <c r="W523" i="5"/>
  <c r="S631" i="5"/>
  <c r="P641" i="5"/>
  <c r="F355" i="5"/>
  <c r="F373" i="5"/>
  <c r="W476" i="5"/>
  <c r="S517" i="5"/>
  <c r="S659" i="5"/>
  <c r="P701" i="5"/>
  <c r="W730" i="5"/>
  <c r="W742" i="5"/>
  <c r="R796" i="5"/>
  <c r="Q796" i="5"/>
  <c r="P937" i="5"/>
  <c r="W771" i="5"/>
  <c r="P838" i="5"/>
  <c r="S595" i="5"/>
  <c r="P605" i="5"/>
  <c r="W684" i="5"/>
  <c r="W712" i="5"/>
  <c r="W732" i="5"/>
  <c r="F842" i="5"/>
  <c r="E880" i="5"/>
  <c r="F880" i="5" s="1"/>
  <c r="S559" i="5"/>
  <c r="F867" i="5"/>
  <c r="W867" i="5"/>
  <c r="S671" i="5"/>
  <c r="F680" i="5"/>
  <c r="W680" i="5"/>
  <c r="W725" i="5"/>
  <c r="W778" i="5"/>
  <c r="E862" i="5"/>
  <c r="F824" i="5"/>
  <c r="W824" i="5"/>
  <c r="F818" i="5"/>
  <c r="E856" i="5"/>
  <c r="F856" i="5" s="1"/>
  <c r="S583" i="5"/>
  <c r="W659" i="5"/>
  <c r="W683" i="5"/>
  <c r="H854" i="5"/>
  <c r="H857" i="5"/>
  <c r="S915" i="5"/>
  <c r="R696" i="5"/>
  <c r="Q696" i="5"/>
  <c r="S487" i="5"/>
  <c r="W505" i="5"/>
  <c r="Q690" i="5"/>
  <c r="S696" i="5"/>
  <c r="W754" i="5"/>
  <c r="H860" i="5"/>
  <c r="E388" i="5"/>
  <c r="E406" i="5"/>
  <c r="W457" i="5"/>
  <c r="S529" i="5"/>
  <c r="S607" i="5"/>
  <c r="P617" i="5"/>
  <c r="H851" i="5"/>
  <c r="W812" i="5"/>
  <c r="W469" i="5"/>
  <c r="W481" i="5"/>
  <c r="W512" i="5"/>
  <c r="P659" i="5"/>
  <c r="S680" i="5"/>
  <c r="R708" i="5"/>
  <c r="Q708" i="5"/>
  <c r="W801" i="5"/>
  <c r="E850" i="5"/>
  <c r="F812" i="5"/>
  <c r="H846" i="5"/>
  <c r="R1011" i="5"/>
  <c r="P805" i="5"/>
  <c r="W648" i="5"/>
  <c r="W675" i="5"/>
  <c r="S677" i="5"/>
  <c r="W749" i="5"/>
  <c r="F787" i="5"/>
  <c r="W804" i="5"/>
  <c r="E1087" i="5"/>
  <c r="F1049" i="5"/>
  <c r="S743" i="5"/>
  <c r="W762" i="5"/>
  <c r="S767" i="5"/>
  <c r="S779" i="5"/>
  <c r="W818" i="5"/>
  <c r="S896" i="5"/>
  <c r="H1074" i="5"/>
  <c r="H1080" i="5"/>
  <c r="R1002" i="5"/>
  <c r="S841" i="5"/>
  <c r="S902" i="5"/>
  <c r="P926" i="5"/>
  <c r="W1040" i="5"/>
  <c r="W1419" i="5"/>
  <c r="F1419" i="5"/>
  <c r="E1078" i="5"/>
  <c r="F1040" i="5"/>
  <c r="W936" i="5"/>
  <c r="S937" i="5"/>
  <c r="P683" i="5"/>
  <c r="T869" i="5"/>
  <c r="P806" i="5"/>
  <c r="E855" i="5"/>
  <c r="F817" i="5"/>
  <c r="W817" i="5"/>
  <c r="P986" i="5"/>
  <c r="W672" i="5"/>
  <c r="H847" i="5"/>
  <c r="F788" i="5"/>
  <c r="W894" i="5"/>
  <c r="W910" i="5"/>
  <c r="W955" i="5"/>
  <c r="T880" i="5"/>
  <c r="E1218" i="5"/>
  <c r="F1218" i="5" s="1"/>
  <c r="F1180" i="5"/>
  <c r="S641" i="5"/>
  <c r="F750" i="5"/>
  <c r="W750" i="5"/>
  <c r="F814" i="5"/>
  <c r="F1104" i="5"/>
  <c r="W1104" i="5"/>
  <c r="W666" i="5"/>
  <c r="P695" i="5"/>
  <c r="W785" i="5"/>
  <c r="F1066" i="5"/>
  <c r="E1109" i="5"/>
  <c r="W1071" i="5"/>
  <c r="S668" i="5"/>
  <c r="P682" i="5"/>
  <c r="H1081" i="5"/>
  <c r="F1071" i="5"/>
  <c r="P707" i="5"/>
  <c r="P811" i="5"/>
  <c r="F833" i="5"/>
  <c r="E871" i="5"/>
  <c r="F871" i="5" s="1"/>
  <c r="E874" i="5"/>
  <c r="F836" i="5"/>
  <c r="T1082" i="5"/>
  <c r="S732" i="5"/>
  <c r="W738" i="5"/>
  <c r="P750" i="5"/>
  <c r="S797" i="5"/>
  <c r="W905" i="5"/>
  <c r="S1014" i="5"/>
  <c r="E1195" i="5"/>
  <c r="W1157" i="5"/>
  <c r="F1157" i="5"/>
  <c r="S900" i="5"/>
  <c r="P1050" i="5"/>
  <c r="W1089" i="5"/>
  <c r="F1046" i="5"/>
  <c r="E1084" i="5"/>
  <c r="W1049" i="5"/>
  <c r="S782" i="5"/>
  <c r="S792" i="5"/>
  <c r="P802" i="5"/>
  <c r="W833" i="5"/>
  <c r="P882" i="5"/>
  <c r="P895" i="5"/>
  <c r="W942" i="5"/>
  <c r="S943" i="5"/>
  <c r="W995" i="5"/>
  <c r="E1366" i="5"/>
  <c r="F1328" i="5"/>
  <c r="W814" i="5"/>
  <c r="S815" i="5"/>
  <c r="R923" i="5"/>
  <c r="Q923" i="5"/>
  <c r="T854" i="5"/>
  <c r="H859" i="5"/>
  <c r="F1092" i="5"/>
  <c r="W1092" i="5"/>
  <c r="F1103" i="5"/>
  <c r="W1103" i="5"/>
  <c r="E1201" i="5"/>
  <c r="F1163" i="5"/>
  <c r="W776" i="5"/>
  <c r="W786" i="5"/>
  <c r="H869" i="5"/>
  <c r="W826" i="5"/>
  <c r="P894" i="5"/>
  <c r="P907" i="5"/>
  <c r="W941" i="5"/>
  <c r="S979" i="5"/>
  <c r="H1091" i="5"/>
  <c r="T857" i="5"/>
  <c r="S773" i="5"/>
  <c r="P814" i="5"/>
  <c r="F826" i="5"/>
  <c r="P829" i="5"/>
  <c r="W838" i="5"/>
  <c r="S839" i="5"/>
  <c r="W934" i="5"/>
  <c r="W937" i="5"/>
  <c r="W990" i="5"/>
  <c r="H1079" i="5"/>
  <c r="P1027" i="5"/>
  <c r="W1030" i="5"/>
  <c r="W1160" i="5"/>
  <c r="F1160" i="5"/>
  <c r="E1198" i="5"/>
  <c r="W782" i="5"/>
  <c r="W851" i="5"/>
  <c r="F851" i="5"/>
  <c r="W828" i="5"/>
  <c r="F838" i="5"/>
  <c r="P883" i="5"/>
  <c r="W906" i="5"/>
  <c r="S907" i="5"/>
  <c r="W949" i="5"/>
  <c r="W953" i="5"/>
  <c r="W965" i="5"/>
  <c r="T863" i="5"/>
  <c r="H865" i="5"/>
  <c r="P960" i="5"/>
  <c r="E1091" i="5"/>
  <c r="W1053" i="5"/>
  <c r="S1117" i="5"/>
  <c r="S756" i="5"/>
  <c r="W796" i="5"/>
  <c r="P826" i="5"/>
  <c r="W918" i="5"/>
  <c r="R932" i="5"/>
  <c r="F1053" i="5"/>
  <c r="W1116" i="5"/>
  <c r="P1144" i="5"/>
  <c r="R1283" i="5"/>
  <c r="Q1283" i="5"/>
  <c r="P1067" i="5"/>
  <c r="S1242" i="5"/>
  <c r="W1288" i="5"/>
  <c r="S1289" i="5"/>
  <c r="W1301" i="5"/>
  <c r="S1302" i="5"/>
  <c r="F1301" i="5"/>
  <c r="S1283" i="5"/>
  <c r="W821" i="5"/>
  <c r="W889" i="5"/>
  <c r="W901" i="5"/>
  <c r="W948" i="5"/>
  <c r="W971" i="5"/>
  <c r="W1001" i="5"/>
  <c r="T1086" i="5"/>
  <c r="H1109" i="5"/>
  <c r="S1038" i="5"/>
  <c r="F1100" i="5"/>
  <c r="W1100" i="5"/>
  <c r="S1113" i="5"/>
  <c r="W1146" i="5"/>
  <c r="P1277" i="5"/>
  <c r="P1357" i="5"/>
  <c r="Q1357" i="5" s="1"/>
  <c r="H1201" i="5"/>
  <c r="R1412" i="5"/>
  <c r="Q1412" i="5"/>
  <c r="S1110" i="5"/>
  <c r="S1186" i="5" s="1"/>
  <c r="W1180" i="5"/>
  <c r="W1227" i="5"/>
  <c r="H871" i="5"/>
  <c r="S833" i="5"/>
  <c r="W931" i="5"/>
  <c r="W947" i="5"/>
  <c r="S997" i="5"/>
  <c r="F1036" i="5"/>
  <c r="E1080" i="5"/>
  <c r="F1042" i="5"/>
  <c r="P1068" i="5"/>
  <c r="S1125" i="5"/>
  <c r="P1152" i="5"/>
  <c r="P1177" i="5"/>
  <c r="F1182" i="5"/>
  <c r="E1220" i="5"/>
  <c r="F1220" i="5" s="1"/>
  <c r="W1334" i="5"/>
  <c r="H1097" i="5"/>
  <c r="E1372" i="5"/>
  <c r="F1334" i="5"/>
  <c r="H845" i="5"/>
  <c r="W803" i="5"/>
  <c r="S809" i="5"/>
  <c r="S821" i="5"/>
  <c r="W857" i="5"/>
  <c r="W919" i="5"/>
  <c r="W954" i="5"/>
  <c r="W977" i="5"/>
  <c r="H1101" i="5"/>
  <c r="E1093" i="5"/>
  <c r="F1055" i="5"/>
  <c r="F1139" i="5"/>
  <c r="W1173" i="5"/>
  <c r="P790" i="5"/>
  <c r="W798" i="5"/>
  <c r="W827" i="5"/>
  <c r="S955" i="5"/>
  <c r="W961" i="5"/>
  <c r="S1008" i="5"/>
  <c r="W1133" i="5"/>
  <c r="W1151" i="5"/>
  <c r="F1173" i="5"/>
  <c r="E1211" i="5"/>
  <c r="W1176" i="5"/>
  <c r="P832" i="5"/>
  <c r="F1189" i="5"/>
  <c r="W1189" i="5"/>
  <c r="R1246" i="5"/>
  <c r="W773" i="5"/>
  <c r="P808" i="5"/>
  <c r="P820" i="5"/>
  <c r="F831" i="5"/>
  <c r="S985" i="5"/>
  <c r="T1077" i="5"/>
  <c r="H1093" i="5"/>
  <c r="W1027" i="5"/>
  <c r="P1058" i="5"/>
  <c r="P1121" i="5"/>
  <c r="R1124" i="5"/>
  <c r="Q1124" i="5"/>
  <c r="W1126" i="5"/>
  <c r="F1151" i="5"/>
  <c r="F1176" i="5"/>
  <c r="W1328" i="5"/>
  <c r="W1379" i="5"/>
  <c r="H1100" i="5"/>
  <c r="H1193" i="5"/>
  <c r="P1204" i="5"/>
  <c r="Q1204" i="5" s="1"/>
  <c r="W1258" i="5"/>
  <c r="F1345" i="5"/>
  <c r="W1345" i="5"/>
  <c r="E1083" i="5"/>
  <c r="F1083" i="5" s="1"/>
  <c r="W1147" i="5"/>
  <c r="F1307" i="5"/>
  <c r="W767" i="5"/>
  <c r="H864" i="5"/>
  <c r="W792" i="5"/>
  <c r="W930" i="5"/>
  <c r="R935" i="5"/>
  <c r="Q935" i="5"/>
  <c r="S973" i="5"/>
  <c r="W979" i="5"/>
  <c r="S1003" i="5"/>
  <c r="R1070" i="5"/>
  <c r="Q1070" i="5"/>
  <c r="T1191" i="5"/>
  <c r="P1117" i="5"/>
  <c r="T1194" i="5"/>
  <c r="P1133" i="5"/>
  <c r="S1145" i="5"/>
  <c r="P1432" i="5"/>
  <c r="F1168" i="5"/>
  <c r="W1206" i="5"/>
  <c r="E1354" i="5"/>
  <c r="F1316" i="5"/>
  <c r="F1434" i="5"/>
  <c r="W1434" i="5"/>
  <c r="Q1135" i="5"/>
  <c r="P1138" i="5"/>
  <c r="S1142" i="5"/>
  <c r="F1155" i="5"/>
  <c r="E1193" i="5"/>
  <c r="F1193" i="5" s="1"/>
  <c r="W1164" i="5"/>
  <c r="S1169" i="5"/>
  <c r="E1199" i="5"/>
  <c r="F1234" i="5"/>
  <c r="W1245" i="5"/>
  <c r="S1246" i="5"/>
  <c r="W1117" i="5"/>
  <c r="S1165" i="5"/>
  <c r="P1174" i="5"/>
  <c r="W1332" i="5"/>
  <c r="E1370" i="5"/>
  <c r="F1370" i="5" s="1"/>
  <c r="F1332" i="5"/>
  <c r="Q1336" i="5"/>
  <c r="W1403" i="5"/>
  <c r="S1404" i="5"/>
  <c r="E1077" i="5"/>
  <c r="F1331" i="5"/>
  <c r="H1208" i="5"/>
  <c r="H1215" i="5"/>
  <c r="T1108" i="5"/>
  <c r="F1039" i="5"/>
  <c r="H1211" i="5"/>
  <c r="W1303" i="5"/>
  <c r="P1325" i="5"/>
  <c r="P1132" i="5"/>
  <c r="F1303" i="5"/>
  <c r="E1341" i="5"/>
  <c r="W1059" i="5"/>
  <c r="W1113" i="5"/>
  <c r="F1156" i="5"/>
  <c r="P1270" i="5"/>
  <c r="P1273" i="5"/>
  <c r="P1044" i="5"/>
  <c r="H1191" i="5"/>
  <c r="S1116" i="5"/>
  <c r="W1138" i="5"/>
  <c r="T1216" i="5"/>
  <c r="W1181" i="5"/>
  <c r="P1235" i="5"/>
  <c r="E1357" i="5"/>
  <c r="W1319" i="5"/>
  <c r="F829" i="5"/>
  <c r="F841" i="5"/>
  <c r="E1081" i="5"/>
  <c r="F1219" i="5"/>
  <c r="W1219" i="5"/>
  <c r="E1223" i="5"/>
  <c r="F1223" i="5" s="1"/>
  <c r="P1249" i="5"/>
  <c r="P1397" i="5"/>
  <c r="F1047" i="5"/>
  <c r="F1051" i="5"/>
  <c r="W1068" i="5"/>
  <c r="E1107" i="5"/>
  <c r="P1115" i="5"/>
  <c r="W1122" i="5"/>
  <c r="S1139" i="5"/>
  <c r="P1169" i="5"/>
  <c r="W1174" i="5"/>
  <c r="E1212" i="5"/>
  <c r="F1212" i="5" s="1"/>
  <c r="F1181" i="5"/>
  <c r="W1269" i="5"/>
  <c r="W1292" i="5"/>
  <c r="W1295" i="5"/>
  <c r="T1200" i="5"/>
  <c r="P1159" i="5"/>
  <c r="W1168" i="5"/>
  <c r="E1349" i="5"/>
  <c r="W1311" i="5"/>
  <c r="W1369" i="5"/>
  <c r="F1386" i="5"/>
  <c r="W1386" i="5"/>
  <c r="S1435" i="5"/>
  <c r="H1357" i="5"/>
  <c r="P1312" i="5"/>
  <c r="R1392" i="5"/>
  <c r="Q1392" i="5"/>
  <c r="W1406" i="5"/>
  <c r="P1240" i="5"/>
  <c r="P1293" i="5"/>
  <c r="F1296" i="5"/>
  <c r="P1409" i="5"/>
  <c r="W1152" i="5"/>
  <c r="S1175" i="5"/>
  <c r="S1247" i="5"/>
  <c r="P1264" i="5"/>
  <c r="P1287" i="5"/>
  <c r="W1317" i="5"/>
  <c r="S1318" i="5"/>
  <c r="F1323" i="5"/>
  <c r="S1432" i="5"/>
  <c r="H1202" i="5"/>
  <c r="T1343" i="5"/>
  <c r="S1273" i="5"/>
  <c r="W1321" i="5"/>
  <c r="W1339" i="5"/>
  <c r="W1229" i="5"/>
  <c r="S1252" i="5"/>
  <c r="S1255" i="5"/>
  <c r="W1324" i="5"/>
  <c r="W1194" i="5"/>
  <c r="T1187" i="5"/>
  <c r="H1190" i="5"/>
  <c r="T1193" i="5"/>
  <c r="F1213" i="5"/>
  <c r="W1213" i="5"/>
  <c r="P1216" i="5"/>
  <c r="Q1216" i="5" s="1"/>
  <c r="W1336" i="5"/>
  <c r="E1359" i="5"/>
  <c r="W1415" i="5"/>
  <c r="W1437" i="5"/>
  <c r="F1327" i="5"/>
  <c r="E1365" i="5"/>
  <c r="F1336" i="5"/>
  <c r="E1374" i="5"/>
  <c r="E1208" i="5"/>
  <c r="Q1310" i="5"/>
  <c r="P1396" i="5"/>
  <c r="F1052" i="5"/>
  <c r="F1064" i="5"/>
  <c r="P1254" i="5"/>
  <c r="E1350" i="5"/>
  <c r="F1312" i="5"/>
  <c r="F1392" i="5"/>
  <c r="W1392" i="5"/>
  <c r="P1229" i="5"/>
  <c r="T1355" i="5"/>
  <c r="P1324" i="5"/>
  <c r="P1363" i="5"/>
  <c r="Q1363" i="5" s="1"/>
  <c r="S1163" i="5"/>
  <c r="P1198" i="5"/>
  <c r="Q1198" i="5" s="1"/>
  <c r="P1222" i="5"/>
  <c r="Q1222" i="5" s="1"/>
  <c r="S1237" i="5"/>
  <c r="W1253" i="5"/>
  <c r="W1277" i="5"/>
  <c r="W1308" i="5"/>
  <c r="E1346" i="5"/>
  <c r="W1282" i="5"/>
  <c r="P1302" i="5"/>
  <c r="S1408" i="5"/>
  <c r="F1416" i="5"/>
  <c r="W1416" i="5"/>
  <c r="S1417" i="5"/>
  <c r="W1442" i="5"/>
  <c r="W1472" i="5"/>
  <c r="P1481" i="5"/>
  <c r="W1526" i="5"/>
  <c r="P1576" i="5"/>
  <c r="W1457" i="5"/>
  <c r="W1542" i="5"/>
  <c r="S1481" i="5"/>
  <c r="F1503" i="5"/>
  <c r="F1559" i="5"/>
  <c r="F1488" i="5"/>
  <c r="W1488" i="5"/>
  <c r="H1345" i="5"/>
  <c r="S1270" i="5"/>
  <c r="S1313" i="5"/>
  <c r="W1398" i="5"/>
  <c r="P1457" i="5"/>
  <c r="W1555" i="5"/>
  <c r="P1588" i="5"/>
  <c r="S1328" i="5"/>
  <c r="S1379" i="5"/>
  <c r="S1447" i="5"/>
  <c r="W1535" i="5"/>
  <c r="F1535" i="5"/>
  <c r="W1225" i="5"/>
  <c r="W1236" i="5"/>
  <c r="W1247" i="5"/>
  <c r="W1427" i="5"/>
  <c r="F1446" i="5"/>
  <c r="W1446" i="5"/>
  <c r="F1476" i="5"/>
  <c r="W1476" i="5"/>
  <c r="F1404" i="5"/>
  <c r="W1404" i="5"/>
  <c r="W1298" i="5"/>
  <c r="W1318" i="5"/>
  <c r="F1461" i="5"/>
  <c r="P1391" i="5"/>
  <c r="S1402" i="5"/>
  <c r="S1450" i="5"/>
  <c r="R1499" i="5"/>
  <c r="Q1499" i="5"/>
  <c r="P1527" i="5"/>
  <c r="T1357" i="5"/>
  <c r="S1292" i="5"/>
  <c r="F1302" i="5"/>
  <c r="F1337" i="5"/>
  <c r="P1408" i="5"/>
  <c r="S1513" i="5"/>
  <c r="F1518" i="5"/>
  <c r="W1518" i="5"/>
  <c r="W1265" i="5"/>
  <c r="W1313" i="5"/>
  <c r="S1516" i="5"/>
  <c r="S1258" i="5"/>
  <c r="S1276" i="5"/>
  <c r="W1422" i="5"/>
  <c r="P1427" i="5"/>
  <c r="T1348" i="5"/>
  <c r="H1351" i="5"/>
  <c r="H1370" i="5"/>
  <c r="T1372" i="5"/>
  <c r="F1313" i="5"/>
  <c r="W1400" i="5"/>
  <c r="W1428" i="5"/>
  <c r="W1445" i="5"/>
  <c r="S1527" i="5"/>
  <c r="W1545" i="5"/>
  <c r="W1439" i="5"/>
  <c r="S1456" i="5"/>
  <c r="Q1460" i="5"/>
  <c r="S1498" i="5"/>
  <c r="W1454" i="5"/>
  <c r="W1496" i="5"/>
  <c r="S1580" i="5"/>
  <c r="S1586" i="5"/>
  <c r="W1588" i="5"/>
  <c r="F1588" i="5"/>
  <c r="P1560" i="5"/>
  <c r="S1570" i="5"/>
  <c r="W1687" i="5"/>
  <c r="W1579" i="5"/>
  <c r="F1579" i="5"/>
  <c r="S1685" i="5"/>
  <c r="S1563" i="5"/>
  <c r="W1584" i="5"/>
  <c r="W1538" i="5"/>
  <c r="P1562" i="5"/>
  <c r="P1590" i="5"/>
  <c r="W1475" i="5"/>
  <c r="W1502" i="5"/>
  <c r="S1519" i="5"/>
  <c r="S1556" i="5"/>
  <c r="S1492" i="5"/>
  <c r="W1517" i="5"/>
  <c r="S1542" i="5"/>
  <c r="S1572" i="5"/>
  <c r="W1618" i="5"/>
  <c r="F1547" i="5"/>
  <c r="R1559" i="5"/>
  <c r="H1366" i="5"/>
  <c r="W1458" i="5"/>
  <c r="P1311" i="5"/>
  <c r="P1541" i="5"/>
  <c r="F1570" i="5"/>
  <c r="T1363" i="5"/>
  <c r="W1436" i="5"/>
  <c r="S1483" i="5"/>
  <c r="W1493" i="5"/>
  <c r="P1551" i="5"/>
  <c r="F1325" i="5"/>
  <c r="P1350" i="5"/>
  <c r="Q1350" i="5" s="1"/>
  <c r="P1362" i="5"/>
  <c r="Q1362" i="5" s="1"/>
  <c r="W1409" i="5"/>
  <c r="W1451" i="5"/>
  <c r="S1468" i="5"/>
  <c r="W1520" i="5"/>
  <c r="S1558" i="5"/>
  <c r="H1360" i="5"/>
  <c r="P1341" i="5"/>
  <c r="Q1341" i="5" s="1"/>
  <c r="P1305" i="5"/>
  <c r="E1353" i="5"/>
  <c r="S1426" i="5"/>
  <c r="W1481" i="5"/>
  <c r="S1510" i="5"/>
  <c r="W1532" i="5"/>
  <c r="W1563" i="5"/>
  <c r="F1609" i="5"/>
  <c r="W1609" i="5"/>
  <c r="W1575" i="5"/>
  <c r="W1616" i="5"/>
  <c r="S1637" i="5"/>
  <c r="S1643" i="5"/>
  <c r="R1742" i="5"/>
  <c r="Q1742" i="5"/>
  <c r="F1688" i="5"/>
  <c r="W1670" i="5"/>
  <c r="F1744" i="5"/>
  <c r="W1527" i="5"/>
  <c r="W1551" i="5"/>
  <c r="S1610" i="5"/>
  <c r="W1612" i="5"/>
  <c r="S1613" i="5"/>
  <c r="W1621" i="5"/>
  <c r="F1663" i="5"/>
  <c r="W1663" i="5"/>
  <c r="W1775" i="5"/>
  <c r="W1624" i="5"/>
  <c r="P1715" i="5"/>
  <c r="S1598" i="5"/>
  <c r="W1608" i="5"/>
  <c r="P1619" i="5"/>
  <c r="W1635" i="5"/>
  <c r="P1691" i="5"/>
  <c r="W1708" i="5"/>
  <c r="W1758" i="5"/>
  <c r="S1778" i="5"/>
  <c r="W1569" i="5"/>
  <c r="S1594" i="5"/>
  <c r="S1645" i="5"/>
  <c r="W1734" i="5"/>
  <c r="F1777" i="5"/>
  <c r="S1857" i="5"/>
  <c r="R1616" i="5"/>
  <c r="Q1616" i="5"/>
  <c r="F1672" i="5"/>
  <c r="S1749" i="5"/>
  <c r="S1654" i="5"/>
  <c r="S1758" i="5"/>
  <c r="S1574" i="5"/>
  <c r="W1566" i="5"/>
  <c r="F1659" i="5"/>
  <c r="W1729" i="5"/>
  <c r="F1745" i="5"/>
  <c r="W1745" i="5"/>
  <c r="W1613" i="5"/>
  <c r="P1662" i="5"/>
  <c r="P1568" i="5"/>
  <c r="S1592" i="5"/>
  <c r="S1618" i="5"/>
  <c r="F1730" i="5"/>
  <c r="W1730" i="5"/>
  <c r="P1765" i="5"/>
  <c r="S1672" i="5"/>
  <c r="W1679" i="5"/>
  <c r="W1557" i="5"/>
  <c r="W1630" i="5"/>
  <c r="P1649" i="5"/>
  <c r="W1661" i="5"/>
  <c r="W1676" i="5"/>
  <c r="S1781" i="5"/>
  <c r="P1586" i="5"/>
  <c r="F1639" i="5"/>
  <c r="W1639" i="5"/>
  <c r="P1686" i="5"/>
  <c r="P1692" i="5"/>
  <c r="W1533" i="5"/>
  <c r="P1544" i="5"/>
  <c r="S1568" i="5"/>
  <c r="P1617" i="5"/>
  <c r="S1713" i="5"/>
  <c r="W1763" i="5"/>
  <c r="W1977" i="5"/>
  <c r="Q1726" i="5"/>
  <c r="S1787" i="5"/>
  <c r="P1838" i="5"/>
  <c r="S1975" i="5"/>
  <c r="S1600" i="5"/>
  <c r="P1776" i="5"/>
  <c r="S1624" i="5"/>
  <c r="W1684" i="5"/>
  <c r="S1690" i="5"/>
  <c r="W1720" i="5"/>
  <c r="S1729" i="5"/>
  <c r="P1892" i="5"/>
  <c r="W1607" i="5"/>
  <c r="W1631" i="5"/>
  <c r="W1715" i="5"/>
  <c r="S1743" i="5"/>
  <c r="W1769" i="5"/>
  <c r="P1882" i="5"/>
  <c r="S1890" i="5"/>
  <c r="S1967" i="5"/>
  <c r="Q2019" i="5"/>
  <c r="S2027" i="5"/>
  <c r="W1966" i="5"/>
  <c r="F1966" i="5"/>
  <c r="S1937" i="5"/>
  <c r="W2015" i="5"/>
  <c r="P1859" i="5"/>
  <c r="W1638" i="5"/>
  <c r="S1684" i="5"/>
  <c r="W1747" i="5"/>
  <c r="W1764" i="5"/>
  <c r="S1961" i="5"/>
  <c r="W2020" i="5"/>
  <c r="F2020" i="5"/>
  <c r="W1595" i="5"/>
  <c r="S1612" i="5"/>
  <c r="W1717" i="5"/>
  <c r="W1991" i="5"/>
  <c r="W2008" i="5"/>
  <c r="P1648" i="5"/>
  <c r="W1724" i="5"/>
  <c r="W1655" i="5"/>
  <c r="W1690" i="5"/>
  <c r="S1696" i="5"/>
  <c r="S1780" i="5"/>
  <c r="P1785" i="5"/>
  <c r="P1795" i="5"/>
  <c r="P1803" i="5"/>
  <c r="P1826" i="5"/>
  <c r="S1839" i="5"/>
  <c r="S1730" i="5"/>
  <c r="S1734" i="5"/>
  <c r="W1750" i="5"/>
  <c r="S1851" i="5"/>
  <c r="W1637" i="5"/>
  <c r="S1648" i="5"/>
  <c r="P1938" i="5"/>
  <c r="S1606" i="5"/>
  <c r="S1630" i="5"/>
  <c r="W1632" i="5"/>
  <c r="W1701" i="5"/>
  <c r="W1776" i="5"/>
  <c r="P1800" i="5"/>
  <c r="S1861" i="5"/>
  <c r="P1895" i="5"/>
  <c r="P1752" i="5"/>
  <c r="S1881" i="5"/>
  <c r="S1913" i="5"/>
  <c r="P1920" i="5"/>
  <c r="P1927" i="5"/>
  <c r="S2012" i="5"/>
  <c r="S1963" i="5"/>
  <c r="F2044" i="5"/>
  <c r="P1875" i="5"/>
  <c r="P1878" i="5"/>
  <c r="S1902" i="5"/>
  <c r="W1973" i="5"/>
  <c r="S2047" i="5"/>
  <c r="S1776" i="5"/>
  <c r="S1797" i="5"/>
  <c r="S1891" i="5"/>
  <c r="S1847" i="5"/>
  <c r="S1968" i="5"/>
  <c r="P2027" i="5"/>
  <c r="W2043" i="5"/>
  <c r="P1758" i="5"/>
  <c r="S1816" i="5"/>
  <c r="P1863" i="5"/>
  <c r="P1946" i="5"/>
  <c r="P1778" i="5"/>
  <c r="P1796" i="5"/>
  <c r="P1835" i="5"/>
  <c r="P1898" i="5"/>
  <c r="W1980" i="5"/>
  <c r="F2050" i="5"/>
  <c r="W1997" i="5"/>
  <c r="S1998" i="5"/>
  <c r="S2003" i="5"/>
  <c r="P1843" i="5"/>
  <c r="P1883" i="5"/>
  <c r="P1903" i="5"/>
  <c r="F2002" i="5"/>
  <c r="P1786" i="5"/>
  <c r="P1815" i="5"/>
  <c r="P1874" i="5"/>
  <c r="S1917" i="5"/>
  <c r="W2004" i="5"/>
  <c r="S2005" i="5"/>
  <c r="S1927" i="5"/>
  <c r="W1955" i="5"/>
  <c r="W2039" i="5"/>
  <c r="P2051" i="5"/>
  <c r="P1782" i="5"/>
  <c r="P1827" i="5"/>
  <c r="P2045" i="5"/>
  <c r="P1802" i="5"/>
  <c r="P1858" i="5"/>
  <c r="P1950" i="5"/>
  <c r="P1987" i="5"/>
  <c r="S1938" i="5"/>
  <c r="W2040" i="5"/>
  <c r="W2051" i="5"/>
  <c r="S1950" i="5"/>
  <c r="P1963" i="5"/>
  <c r="P1967" i="5"/>
  <c r="P1901" i="5"/>
  <c r="P2053" i="5"/>
  <c r="P1955" i="5"/>
  <c r="W1961" i="5"/>
  <c r="S1973" i="5"/>
  <c r="S1926" i="5"/>
  <c r="W2034" i="5"/>
  <c r="W2045" i="5"/>
  <c r="F2056" i="5"/>
  <c r="S1955" i="5"/>
  <c r="P1975" i="5"/>
  <c r="P1979" i="5"/>
  <c r="P1889" i="5"/>
  <c r="P2017" i="5"/>
  <c r="P2021" i="5"/>
  <c r="W2016" i="5"/>
  <c r="W2027" i="5"/>
  <c r="S2039" i="5"/>
  <c r="A8" i="3"/>
  <c r="A3" i="3"/>
  <c r="C3" i="3"/>
  <c r="C2" i="3"/>
  <c r="B2" i="3"/>
  <c r="E2" i="3"/>
  <c r="F2" i="3"/>
  <c r="S850" i="5" l="1"/>
  <c r="Q1743" i="5"/>
  <c r="R784" i="5"/>
  <c r="Q664" i="5"/>
  <c r="Q1046" i="5"/>
  <c r="Q934" i="5"/>
  <c r="V545" i="5"/>
  <c r="Q1004" i="5"/>
  <c r="Q141" i="5"/>
  <c r="Q484" i="5"/>
  <c r="Q1451" i="5"/>
  <c r="V1601" i="5"/>
  <c r="V101" i="5"/>
  <c r="S289" i="5"/>
  <c r="S419" i="5"/>
  <c r="V1548" i="5"/>
  <c r="Q977" i="5"/>
  <c r="Q1773" i="5"/>
  <c r="Q121" i="5"/>
  <c r="S1219" i="5"/>
  <c r="V1244" i="5"/>
  <c r="V343" i="5"/>
  <c r="R158" i="5"/>
  <c r="V158" i="5" s="1"/>
  <c r="Q1956" i="5"/>
  <c r="Q1553" i="5"/>
  <c r="W1106" i="5"/>
  <c r="Q1962" i="5"/>
  <c r="R47" i="5"/>
  <c r="V47" i="5" s="1"/>
  <c r="Q772" i="5"/>
  <c r="V1271" i="5"/>
  <c r="Q163" i="5"/>
  <c r="Q436" i="5"/>
  <c r="Q1318" i="5"/>
  <c r="V99" i="5"/>
  <c r="Q905" i="5"/>
  <c r="Q1134" i="5"/>
  <c r="Q372" i="5"/>
  <c r="Q1330" i="5"/>
  <c r="S1094" i="5"/>
  <c r="Q130" i="5"/>
  <c r="R753" i="5"/>
  <c r="V753" i="5" s="1"/>
  <c r="V1487" i="5"/>
  <c r="Q182" i="5"/>
  <c r="Q1317" i="5"/>
  <c r="V81" i="5"/>
  <c r="V1052" i="5"/>
  <c r="V1469" i="5"/>
  <c r="V2052" i="5"/>
  <c r="S857" i="5"/>
  <c r="R761" i="5"/>
  <c r="V761" i="5" s="1"/>
  <c r="R868" i="5"/>
  <c r="Q501" i="5"/>
  <c r="Q1964" i="5"/>
  <c r="V1518" i="5"/>
  <c r="Q1053" i="5"/>
  <c r="Q830" i="5"/>
  <c r="V984" i="5"/>
  <c r="Q1413" i="5"/>
  <c r="Q1552" i="5"/>
  <c r="W414" i="5"/>
  <c r="S383" i="5"/>
  <c r="V1460" i="5"/>
  <c r="Q989" i="5"/>
  <c r="R1048" i="5"/>
  <c r="V1048" i="5" s="1"/>
  <c r="Q1448" i="5"/>
  <c r="Q644" i="5"/>
  <c r="Q139" i="5"/>
  <c r="V204" i="5"/>
  <c r="V1476" i="5"/>
  <c r="R1735" i="5"/>
  <c r="V1735" i="5" s="1"/>
  <c r="V1018" i="5"/>
  <c r="Q1404" i="5"/>
  <c r="Q998" i="5"/>
  <c r="R774" i="5"/>
  <c r="V774" i="5" s="1"/>
  <c r="V148" i="5"/>
  <c r="R623" i="5"/>
  <c r="V623" i="5" s="1"/>
  <c r="Q508" i="5"/>
  <c r="V1577" i="5"/>
  <c r="Q441" i="5"/>
  <c r="Q773" i="5"/>
  <c r="V494" i="5"/>
  <c r="V1262" i="5"/>
  <c r="Q2057" i="5"/>
  <c r="Q1991" i="5"/>
  <c r="R483" i="5"/>
  <c r="V483" i="5" s="1"/>
  <c r="Q474" i="5"/>
  <c r="Q204" i="5"/>
  <c r="V1448" i="5"/>
  <c r="V1645" i="5"/>
  <c r="R1589" i="5"/>
  <c r="V1589" i="5" s="1"/>
  <c r="S1364" i="5"/>
  <c r="V140" i="5"/>
  <c r="Q1145" i="5"/>
  <c r="V164" i="5"/>
  <c r="Q1224" i="5"/>
  <c r="Q655" i="5"/>
  <c r="Q460" i="5"/>
  <c r="Q1543" i="5"/>
  <c r="Q1422" i="5"/>
  <c r="Q217" i="5"/>
  <c r="R457" i="5"/>
  <c r="V457" i="5" s="1"/>
  <c r="V2034" i="5"/>
  <c r="V953" i="5"/>
  <c r="V588" i="5"/>
  <c r="Q965" i="5"/>
  <c r="V539" i="5"/>
  <c r="V513" i="5"/>
  <c r="V497" i="5"/>
  <c r="V508" i="5"/>
  <c r="Q560" i="5"/>
  <c r="Q668" i="5"/>
  <c r="R14" i="5"/>
  <c r="V14" i="5" s="1"/>
  <c r="V12" i="5"/>
  <c r="Q1645" i="5"/>
  <c r="Q1577" i="5"/>
  <c r="Q1615" i="5"/>
  <c r="R367" i="5"/>
  <c r="V367" i="5" s="1"/>
  <c r="R786" i="5"/>
  <c r="V786" i="5" s="1"/>
  <c r="Q888" i="5"/>
  <c r="R1604" i="5"/>
  <c r="V1604" i="5" s="1"/>
  <c r="S1355" i="5"/>
  <c r="Q972" i="5"/>
  <c r="R170" i="5"/>
  <c r="V170" i="5" s="1"/>
  <c r="V307" i="5"/>
  <c r="S848" i="5"/>
  <c r="V549" i="5"/>
  <c r="Q1517" i="5"/>
  <c r="V217" i="5"/>
  <c r="Q497" i="5"/>
  <c r="V1239" i="5"/>
  <c r="Q1693" i="5"/>
  <c r="R31" i="5"/>
  <c r="V31" i="5" s="1"/>
  <c r="R1668" i="5"/>
  <c r="V1668" i="5" s="1"/>
  <c r="R1566" i="5"/>
  <c r="V1566" i="5" s="1"/>
  <c r="V2019" i="5"/>
  <c r="W1347" i="5"/>
  <c r="S1365" i="5"/>
  <c r="W863" i="5"/>
  <c r="S863" i="5"/>
  <c r="V1055" i="5"/>
  <c r="S854" i="5"/>
  <c r="V156" i="5"/>
  <c r="V70" i="5"/>
  <c r="V923" i="5"/>
  <c r="S393" i="5"/>
  <c r="V1608" i="5"/>
  <c r="V182" i="5"/>
  <c r="V621" i="5"/>
  <c r="V664" i="5"/>
  <c r="V1028" i="5"/>
  <c r="V1477" i="5"/>
  <c r="V179" i="5"/>
  <c r="V472" i="5"/>
  <c r="V1679" i="5"/>
  <c r="V15" i="5"/>
  <c r="V977" i="5"/>
  <c r="Q1670" i="5"/>
  <c r="S1098" i="5"/>
  <c r="Q46" i="5"/>
  <c r="Q44" i="5"/>
  <c r="S1089" i="5"/>
  <c r="S402" i="5"/>
  <c r="V503" i="5"/>
  <c r="S1189" i="5"/>
  <c r="V1317" i="5"/>
  <c r="V1176" i="5"/>
  <c r="V2028" i="5"/>
  <c r="Q199" i="5"/>
  <c r="R1009" i="5"/>
  <c r="V1009" i="5" s="1"/>
  <c r="R766" i="5"/>
  <c r="V766" i="5" s="1"/>
  <c r="S1353" i="5"/>
  <c r="V691" i="5"/>
  <c r="R2032" i="5"/>
  <c r="V2032" i="5" s="1"/>
  <c r="R1483" i="5"/>
  <c r="V1483" i="5" s="1"/>
  <c r="R1411" i="5"/>
  <c r="V1411" i="5" s="1"/>
  <c r="V209" i="5"/>
  <c r="Q1286" i="5"/>
  <c r="V1716" i="5"/>
  <c r="V1561" i="5"/>
  <c r="R1478" i="5"/>
  <c r="V1478" i="5" s="1"/>
  <c r="Q486" i="5"/>
  <c r="R616" i="5"/>
  <c r="V616" i="5" s="1"/>
  <c r="Q917" i="5"/>
  <c r="V1046" i="5"/>
  <c r="R835" i="5"/>
  <c r="V835" i="5" s="1"/>
  <c r="Q1493" i="5"/>
  <c r="Q1237" i="5"/>
  <c r="Q1055" i="5"/>
  <c r="Q2029" i="5"/>
  <c r="Q25" i="5"/>
  <c r="V665" i="5"/>
  <c r="Q1750" i="5"/>
  <c r="Q1487" i="5"/>
  <c r="V1237" i="5"/>
  <c r="V1392" i="5"/>
  <c r="V532" i="5"/>
  <c r="V906" i="5"/>
  <c r="R1708" i="5"/>
  <c r="V1708" i="5" s="1"/>
  <c r="V473" i="5"/>
  <c r="Q955" i="5"/>
  <c r="Q48" i="5"/>
  <c r="V1771" i="5"/>
  <c r="V37" i="5"/>
  <c r="V1912" i="5"/>
  <c r="Q1842" i="5"/>
  <c r="Q699" i="5"/>
  <c r="S1367" i="5"/>
  <c r="V810" i="5"/>
  <c r="Q899" i="5"/>
  <c r="R1549" i="5"/>
  <c r="V1549" i="5" s="1"/>
  <c r="Q41" i="5"/>
  <c r="R1371" i="5"/>
  <c r="V1434" i="5"/>
  <c r="S1095" i="5"/>
  <c r="Q1469" i="5"/>
  <c r="V1603" i="5"/>
  <c r="Q115" i="5"/>
  <c r="Q916" i="5"/>
  <c r="V121" i="5"/>
  <c r="S386" i="5"/>
  <c r="Q68" i="5"/>
  <c r="Q440" i="5"/>
  <c r="R196" i="5"/>
  <c r="V196" i="5" s="1"/>
  <c r="W861" i="5"/>
  <c r="Q823" i="5"/>
  <c r="Q1258" i="5"/>
  <c r="Q1556" i="5"/>
  <c r="Q1295" i="5"/>
  <c r="R1062" i="5"/>
  <c r="V1062" i="5" s="1"/>
  <c r="Q475" i="5"/>
  <c r="Q307" i="5"/>
  <c r="V1394" i="5"/>
  <c r="Q1771" i="5"/>
  <c r="R578" i="5"/>
  <c r="V578" i="5" s="1"/>
  <c r="Q10" i="5"/>
  <c r="V479" i="5"/>
  <c r="S1338" i="5"/>
  <c r="S1344" i="5"/>
  <c r="V911" i="5"/>
  <c r="W1099" i="5"/>
  <c r="Q912" i="5"/>
  <c r="Q352" i="5"/>
  <c r="R1640" i="5"/>
  <c r="V1640" i="5" s="1"/>
  <c r="Q1721" i="5"/>
  <c r="Q253" i="5"/>
  <c r="Q1052" i="5"/>
  <c r="V1653" i="5"/>
  <c r="V624" i="5"/>
  <c r="V1295" i="5"/>
  <c r="V321" i="5"/>
  <c r="S284" i="5"/>
  <c r="Q697" i="5"/>
  <c r="V1386" i="5"/>
  <c r="V1461" i="5"/>
  <c r="V2025" i="5"/>
  <c r="V474" i="5"/>
  <c r="S1080" i="5"/>
  <c r="V1517" i="5"/>
  <c r="R763" i="5"/>
  <c r="V763" i="5" s="1"/>
  <c r="V830" i="5"/>
  <c r="V976" i="5"/>
  <c r="V1336" i="5"/>
  <c r="V823" i="5"/>
  <c r="S408" i="5"/>
  <c r="Q1923" i="5"/>
  <c r="R88" i="5"/>
  <c r="V88" i="5" s="1"/>
  <c r="R325" i="5"/>
  <c r="R401" i="5" s="1"/>
  <c r="R1664" i="5"/>
  <c r="V1664" i="5" s="1"/>
  <c r="V1607" i="5"/>
  <c r="V172" i="5"/>
  <c r="V25" i="5"/>
  <c r="Q503" i="5"/>
  <c r="Q692" i="5"/>
  <c r="R16" i="5"/>
  <c r="V16" i="5" s="1"/>
  <c r="Q2028" i="5"/>
  <c r="Q1449" i="5"/>
  <c r="Q976" i="5"/>
  <c r="V822" i="5"/>
  <c r="Q1424" i="5"/>
  <c r="Q512" i="5"/>
  <c r="V580" i="5"/>
  <c r="R1612" i="5"/>
  <c r="V1612" i="5" s="1"/>
  <c r="Q138" i="5"/>
  <c r="Q1158" i="5"/>
  <c r="S1090" i="5"/>
  <c r="Q76" i="5"/>
  <c r="Q1578" i="5"/>
  <c r="Q1770" i="5"/>
  <c r="R860" i="5"/>
  <c r="Q1185" i="5"/>
  <c r="S1097" i="5"/>
  <c r="Q1973" i="5"/>
  <c r="R1700" i="5"/>
  <c r="V1700" i="5" s="1"/>
  <c r="Q1477" i="5"/>
  <c r="V130" i="5"/>
  <c r="R813" i="5"/>
  <c r="V813" i="5" s="1"/>
  <c r="Q1741" i="5"/>
  <c r="R1597" i="5"/>
  <c r="V1597" i="5" s="1"/>
  <c r="Q941" i="5"/>
  <c r="Q1165" i="5"/>
  <c r="V1265" i="5"/>
  <c r="R1605" i="5"/>
  <c r="V1605" i="5" s="1"/>
  <c r="Q1271" i="5"/>
  <c r="R1166" i="5"/>
  <c r="R1204" i="5" s="1"/>
  <c r="R1453" i="5"/>
  <c r="V1453" i="5" s="1"/>
  <c r="W387" i="5"/>
  <c r="S1208" i="5"/>
  <c r="R355" i="5"/>
  <c r="V355" i="5" s="1"/>
  <c r="R73" i="5"/>
  <c r="V73" i="5" s="1"/>
  <c r="R213" i="5"/>
  <c r="V213" i="5" s="1"/>
  <c r="V1741" i="5"/>
  <c r="V1045" i="5"/>
  <c r="V512" i="5"/>
  <c r="V509" i="5"/>
  <c r="V650" i="5"/>
  <c r="Q454" i="5"/>
  <c r="V23" i="5"/>
  <c r="V902" i="5"/>
  <c r="V2043" i="5"/>
  <c r="S1341" i="5"/>
  <c r="R1111" i="5"/>
  <c r="V1111" i="5" s="1"/>
  <c r="R751" i="5"/>
  <c r="V751" i="5" s="1"/>
  <c r="S272" i="5"/>
  <c r="Q226" i="5"/>
  <c r="Q80" i="5"/>
  <c r="Q1026" i="5"/>
  <c r="R928" i="5"/>
  <c r="V928" i="5" s="1"/>
  <c r="R1513" i="5"/>
  <c r="V1513" i="5" s="1"/>
  <c r="V138" i="5"/>
  <c r="Q1653" i="5"/>
  <c r="S1084" i="5"/>
  <c r="Q822" i="5"/>
  <c r="R1495" i="5"/>
  <c r="V1495" i="5" s="1"/>
  <c r="R1414" i="5"/>
  <c r="V1414" i="5" s="1"/>
  <c r="R77" i="5"/>
  <c r="V77" i="5" s="1"/>
  <c r="V1956" i="5"/>
  <c r="Q1768" i="5"/>
  <c r="Q810" i="5"/>
  <c r="R640" i="5"/>
  <c r="V640" i="5" s="1"/>
  <c r="Q467" i="5"/>
  <c r="S293" i="5"/>
  <c r="V1306" i="5"/>
  <c r="R1428" i="5"/>
  <c r="V1428" i="5" s="1"/>
  <c r="R715" i="5"/>
  <c r="V715" i="5" s="1"/>
  <c r="V1743" i="5"/>
  <c r="Q555" i="5"/>
  <c r="Q782" i="5"/>
  <c r="Q465" i="5"/>
  <c r="R309" i="5"/>
  <c r="V309" i="5" s="1"/>
  <c r="F1356" i="5"/>
  <c r="V1418" i="5"/>
  <c r="R628" i="5"/>
  <c r="V628" i="5" s="1"/>
  <c r="Q1570" i="5"/>
  <c r="V1773" i="5"/>
  <c r="R1727" i="5"/>
  <c r="V1727" i="5" s="1"/>
  <c r="R173" i="5"/>
  <c r="V173" i="5" s="1"/>
  <c r="R1019" i="5"/>
  <c r="V1019" i="5" s="1"/>
  <c r="Q1548" i="5"/>
  <c r="R1472" i="5"/>
  <c r="V1472" i="5" s="1"/>
  <c r="Q803" i="5"/>
  <c r="V1404" i="5"/>
  <c r="Q579" i="5"/>
  <c r="Q261" i="5"/>
  <c r="Q567" i="5"/>
  <c r="R622" i="5"/>
  <c r="V622" i="5" s="1"/>
  <c r="V1593" i="5"/>
  <c r="V2020" i="5"/>
  <c r="V2026" i="5"/>
  <c r="V1657" i="5"/>
  <c r="R538" i="5"/>
  <c r="V538" i="5" s="1"/>
  <c r="Q1253" i="5"/>
  <c r="V1449" i="5"/>
  <c r="Q902" i="5"/>
  <c r="Q37" i="5"/>
  <c r="V1665" i="5"/>
  <c r="V1595" i="5"/>
  <c r="R1047" i="5"/>
  <c r="V1047" i="5" s="1"/>
  <c r="R129" i="5"/>
  <c r="V129" i="5" s="1"/>
  <c r="R1474" i="5"/>
  <c r="V1474" i="5" s="1"/>
  <c r="S304" i="5"/>
  <c r="V1400" i="5"/>
  <c r="W1360" i="5"/>
  <c r="S418" i="5"/>
  <c r="S276" i="5"/>
  <c r="Q821" i="5"/>
  <c r="Q1476" i="5"/>
  <c r="V520" i="5"/>
  <c r="S384" i="5"/>
  <c r="V582" i="5"/>
  <c r="V178" i="5"/>
  <c r="V727" i="5"/>
  <c r="V445" i="5"/>
  <c r="S1087" i="5"/>
  <c r="V363" i="5"/>
  <c r="S1109" i="5"/>
  <c r="Q817" i="5"/>
  <c r="Q247" i="5"/>
  <c r="S271" i="5"/>
  <c r="R769" i="5"/>
  <c r="V769" i="5" s="1"/>
  <c r="R133" i="5"/>
  <c r="V133" i="5" s="1"/>
  <c r="Q1685" i="5"/>
  <c r="S305" i="5"/>
  <c r="Q985" i="5"/>
  <c r="Q758" i="5"/>
  <c r="R672" i="5"/>
  <c r="V672" i="5" s="1"/>
  <c r="Q516" i="5"/>
  <c r="V1504" i="5"/>
  <c r="V552" i="5"/>
  <c r="Q580" i="5"/>
  <c r="S1105" i="5"/>
  <c r="V630" i="5"/>
  <c r="V711" i="5"/>
  <c r="R1160" i="5"/>
  <c r="V1160" i="5" s="1"/>
  <c r="Q435" i="5"/>
  <c r="Q698" i="5"/>
  <c r="Q184" i="5"/>
  <c r="V1718" i="5"/>
  <c r="Q1669" i="5"/>
  <c r="Q1290" i="5"/>
  <c r="Q1289" i="5"/>
  <c r="Q1054" i="5"/>
  <c r="R712" i="5"/>
  <c r="V712" i="5" s="1"/>
  <c r="Q557" i="5"/>
  <c r="Q733" i="5"/>
  <c r="V731" i="5"/>
  <c r="V314" i="5"/>
  <c r="V64" i="5"/>
  <c r="V600" i="5"/>
  <c r="Q1226" i="5"/>
  <c r="Q906" i="5"/>
  <c r="V1388" i="5"/>
  <c r="V1499" i="5"/>
  <c r="Q431" i="5"/>
  <c r="Q172" i="5"/>
  <c r="S1358" i="5"/>
  <c r="V491" i="5"/>
  <c r="S1083" i="5"/>
  <c r="Q148" i="5"/>
  <c r="Q1985" i="5"/>
  <c r="Q1276" i="5"/>
  <c r="R604" i="5"/>
  <c r="V604" i="5" s="1"/>
  <c r="R252" i="5"/>
  <c r="R290" i="5" s="1"/>
  <c r="R1986" i="5"/>
  <c r="V1986" i="5" s="1"/>
  <c r="V151" i="5"/>
  <c r="Q513" i="5"/>
  <c r="Q171" i="5"/>
  <c r="Q363" i="5"/>
  <c r="Q178" i="5"/>
  <c r="V587" i="5"/>
  <c r="S414" i="5"/>
  <c r="Q1777" i="5"/>
  <c r="Q947" i="5"/>
  <c r="R676" i="5"/>
  <c r="V676" i="5" s="1"/>
  <c r="Q645" i="5"/>
  <c r="S1361" i="5"/>
  <c r="V1698" i="5"/>
  <c r="R901" i="5"/>
  <c r="V901" i="5" s="1"/>
  <c r="Q1643" i="5"/>
  <c r="Q539" i="5"/>
  <c r="S1102" i="5"/>
  <c r="R1292" i="5"/>
  <c r="R1368" i="5" s="1"/>
  <c r="R739" i="5"/>
  <c r="V739" i="5" s="1"/>
  <c r="V1399" i="5"/>
  <c r="Q1278" i="5"/>
  <c r="R1314" i="5"/>
  <c r="R1352" i="5" s="1"/>
  <c r="W413" i="5"/>
  <c r="Q904" i="5"/>
  <c r="Q624" i="5"/>
  <c r="R1788" i="5"/>
  <c r="V1788" i="5" s="1"/>
  <c r="Q911" i="5"/>
  <c r="Q429" i="5"/>
  <c r="Q445" i="5"/>
  <c r="V137" i="5"/>
  <c r="Q1255" i="5"/>
  <c r="R562" i="5"/>
  <c r="V562" i="5" s="1"/>
  <c r="S1093" i="5"/>
  <c r="R1263" i="5"/>
  <c r="V1263" i="5" s="1"/>
  <c r="Q1557" i="5"/>
  <c r="Q921" i="5"/>
  <c r="R924" i="5"/>
  <c r="V924" i="5" s="1"/>
  <c r="F398" i="5"/>
  <c r="Q767" i="5"/>
  <c r="V1290" i="5"/>
  <c r="Q1620" i="5"/>
  <c r="V1165" i="5"/>
  <c r="Q755" i="5"/>
  <c r="Q371" i="5"/>
  <c r="Q151" i="5"/>
  <c r="Q99" i="5"/>
  <c r="V1268" i="5"/>
  <c r="V461" i="5"/>
  <c r="R102" i="5"/>
  <c r="V102" i="5" s="1"/>
  <c r="V1225" i="5"/>
  <c r="V554" i="5"/>
  <c r="Q714" i="5"/>
  <c r="V985" i="5"/>
  <c r="R566" i="5"/>
  <c r="V566" i="5" s="1"/>
  <c r="Q87" i="5"/>
  <c r="V163" i="5"/>
  <c r="Q1444" i="5"/>
  <c r="R258" i="5"/>
  <c r="V258" i="5" s="1"/>
  <c r="S874" i="5"/>
  <c r="Q1736" i="5"/>
  <c r="Q1313" i="5"/>
  <c r="Q583" i="5"/>
  <c r="Q192" i="5"/>
  <c r="V1422" i="5"/>
  <c r="V136" i="5"/>
  <c r="V17" i="5"/>
  <c r="Q1639" i="5"/>
  <c r="Q471" i="5"/>
  <c r="R248" i="5"/>
  <c r="V248" i="5" s="1"/>
  <c r="R1366" i="5"/>
  <c r="V1253" i="5"/>
  <c r="V264" i="5"/>
  <c r="V60" i="5"/>
  <c r="V1330" i="5"/>
  <c r="V611" i="5"/>
  <c r="Q1524" i="5"/>
  <c r="R1164" i="5"/>
  <c r="V1164" i="5" s="1"/>
  <c r="Q28" i="5"/>
  <c r="V697" i="5"/>
  <c r="S1345" i="5"/>
  <c r="F1205" i="5"/>
  <c r="V326" i="5"/>
  <c r="V359" i="5"/>
  <c r="V1824" i="5"/>
  <c r="Q1865" i="5"/>
  <c r="Q1793" i="5"/>
  <c r="Q1888" i="5"/>
  <c r="V930" i="5"/>
  <c r="R1998" i="5"/>
  <c r="V1998" i="5" s="1"/>
  <c r="Q611" i="5"/>
  <c r="V837" i="5"/>
  <c r="Q1676" i="5"/>
  <c r="Q1291" i="5"/>
  <c r="V669" i="5"/>
  <c r="V1900" i="5"/>
  <c r="S1350" i="5"/>
  <c r="V934" i="5"/>
  <c r="R193" i="5"/>
  <c r="V193" i="5" s="1"/>
  <c r="R1383" i="5"/>
  <c r="V1383" i="5" s="1"/>
  <c r="Q491" i="5"/>
  <c r="Q264" i="5"/>
  <c r="Q922" i="5"/>
  <c r="V1281" i="5"/>
  <c r="V601" i="5"/>
  <c r="Q890" i="5"/>
  <c r="V484" i="5"/>
  <c r="R1565" i="5"/>
  <c r="V1565" i="5" s="1"/>
  <c r="V161" i="5"/>
  <c r="V1049" i="5"/>
  <c r="S1085" i="5"/>
  <c r="Q920" i="5"/>
  <c r="R1881" i="5"/>
  <c r="V1881" i="5" s="1"/>
  <c r="V1384" i="5"/>
  <c r="S413" i="5"/>
  <c r="Q339" i="5"/>
  <c r="Q1644" i="5"/>
  <c r="Q768" i="5"/>
  <c r="Q939" i="5"/>
  <c r="Q30" i="5"/>
  <c r="Q1176" i="5"/>
  <c r="V1464" i="5"/>
  <c r="V1442" i="5"/>
  <c r="Q1632" i="5"/>
  <c r="R1051" i="5"/>
  <c r="V1051" i="5" s="1"/>
  <c r="Q376" i="5"/>
  <c r="R203" i="5"/>
  <c r="V203" i="5" s="1"/>
  <c r="Q1142" i="5"/>
  <c r="V33" i="5"/>
  <c r="V1722" i="5"/>
  <c r="V1751" i="5"/>
  <c r="Q36" i="5"/>
  <c r="R2046" i="5"/>
  <c r="V2046" i="5" s="1"/>
  <c r="R63" i="5"/>
  <c r="V63" i="5" s="1"/>
  <c r="Q2054" i="5"/>
  <c r="Q1996" i="5"/>
  <c r="R1395" i="5"/>
  <c r="V1395" i="5" s="1"/>
  <c r="Q135" i="5"/>
  <c r="R981" i="5"/>
  <c r="V981" i="5" s="1"/>
  <c r="V149" i="5"/>
  <c r="Q157" i="5"/>
  <c r="V635" i="5"/>
  <c r="W847" i="5"/>
  <c r="V890" i="5"/>
  <c r="V50" i="5"/>
  <c r="Q1497" i="5"/>
  <c r="Q359" i="5"/>
  <c r="Q1421" i="5"/>
  <c r="V1632" i="5"/>
  <c r="V75" i="5"/>
  <c r="V51" i="5"/>
  <c r="Q1718" i="5"/>
  <c r="V748" i="5"/>
  <c r="S867" i="5"/>
  <c r="Q975" i="5"/>
  <c r="S1091" i="5"/>
  <c r="R2023" i="5"/>
  <c r="V2023" i="5" s="1"/>
  <c r="Q237" i="5"/>
  <c r="V978" i="5"/>
  <c r="V1534" i="5"/>
  <c r="Q533" i="5"/>
  <c r="Q1716" i="5"/>
  <c r="Q321" i="5"/>
  <c r="Q607" i="5"/>
  <c r="V952" i="5"/>
  <c r="V920" i="5"/>
  <c r="S1194" i="5"/>
  <c r="S1082" i="5"/>
  <c r="Q1990" i="5"/>
  <c r="R1984" i="5"/>
  <c r="V1984" i="5" s="1"/>
  <c r="R1732" i="5"/>
  <c r="V1732" i="5" s="1"/>
  <c r="V803" i="5"/>
  <c r="V690" i="5"/>
  <c r="R49" i="5"/>
  <c r="V49" i="5" s="1"/>
  <c r="S391" i="5"/>
  <c r="V1962" i="5"/>
  <c r="R2003" i="5"/>
  <c r="V2003" i="5" s="1"/>
  <c r="Q1873" i="5"/>
  <c r="Q1503" i="5"/>
  <c r="Q1546" i="5"/>
  <c r="R1151" i="5"/>
  <c r="V1151" i="5" s="1"/>
  <c r="R1033" i="5"/>
  <c r="V1033" i="5" s="1"/>
  <c r="Q515" i="5"/>
  <c r="Q225" i="5"/>
  <c r="V1485" i="5"/>
  <c r="S292" i="5"/>
  <c r="S397" i="5"/>
  <c r="V560" i="5"/>
  <c r="R1179" i="5"/>
  <c r="V1179" i="5" s="1"/>
  <c r="V501" i="5"/>
  <c r="V754" i="5"/>
  <c r="V904" i="5"/>
  <c r="Q15" i="5"/>
  <c r="Q1766" i="5"/>
  <c r="R1335" i="5"/>
  <c r="V1335" i="5" s="1"/>
  <c r="R120" i="5"/>
  <c r="V120" i="5" s="1"/>
  <c r="Q1267" i="5"/>
  <c r="S269" i="5"/>
  <c r="V1789" i="5"/>
  <c r="V1921" i="5"/>
  <c r="V1864" i="5"/>
  <c r="V1911" i="5"/>
  <c r="Q1900" i="5"/>
  <c r="V1793" i="5"/>
  <c r="R1941" i="5"/>
  <c r="V1941" i="5" s="1"/>
  <c r="Q1818" i="5"/>
  <c r="V1951" i="5"/>
  <c r="V1865" i="5"/>
  <c r="Q1450" i="5"/>
  <c r="R1507" i="5"/>
  <c r="V1507" i="5" s="1"/>
  <c r="Q1518" i="5"/>
  <c r="V917" i="5"/>
  <c r="S876" i="5"/>
  <c r="R493" i="5"/>
  <c r="V493" i="5" s="1"/>
  <c r="S869" i="5"/>
  <c r="Q1426" i="5"/>
  <c r="Q1001" i="5"/>
  <c r="Q17" i="5"/>
  <c r="V993" i="5"/>
  <c r="W1088" i="5"/>
  <c r="S400" i="5"/>
  <c r="V1546" i="5"/>
  <c r="Q1331" i="5"/>
  <c r="Q930" i="5"/>
  <c r="V460" i="5"/>
  <c r="Q101" i="5"/>
  <c r="Q705" i="5"/>
  <c r="V68" i="5"/>
  <c r="V929" i="5"/>
  <c r="Q1976" i="5"/>
  <c r="Q185" i="5"/>
  <c r="Q1418" i="5"/>
  <c r="V2" i="5"/>
  <c r="V1539" i="5"/>
  <c r="V1146" i="5"/>
  <c r="S1362" i="5"/>
  <c r="V974" i="5"/>
  <c r="W412" i="5"/>
  <c r="V328" i="5"/>
  <c r="Q2025" i="5"/>
  <c r="V1677" i="5"/>
  <c r="V544" i="5"/>
  <c r="V510" i="5"/>
  <c r="R1519" i="5"/>
  <c r="V1519" i="5" s="1"/>
  <c r="V1465" i="5"/>
  <c r="V375" i="5"/>
  <c r="Q1745" i="5"/>
  <c r="Q1658" i="5"/>
  <c r="S870" i="5"/>
  <c r="V440" i="5"/>
  <c r="V372" i="5"/>
  <c r="V1120" i="5"/>
  <c r="R1221" i="5"/>
  <c r="V1006" i="5"/>
  <c r="Q2" i="5"/>
  <c r="Q461" i="5"/>
  <c r="R116" i="5"/>
  <c r="V116" i="5" s="1"/>
  <c r="V436" i="5"/>
  <c r="V74" i="5"/>
  <c r="Q1459" i="5"/>
  <c r="Q961" i="5"/>
  <c r="Q752" i="5"/>
  <c r="Q909" i="5"/>
  <c r="R381" i="5"/>
  <c r="V381" i="5" s="1"/>
  <c r="S1357" i="5"/>
  <c r="R2007" i="5"/>
  <c r="V2007" i="5" s="1"/>
  <c r="V1486" i="5"/>
  <c r="V174" i="5"/>
  <c r="V1503" i="5"/>
  <c r="V962" i="5"/>
  <c r="Q1622" i="5"/>
  <c r="S1356" i="5"/>
  <c r="Q143" i="5"/>
  <c r="W391" i="5"/>
  <c r="Q1703" i="5"/>
  <c r="V1754" i="5"/>
  <c r="V1736" i="5"/>
  <c r="Q1279" i="5"/>
  <c r="V1389" i="5"/>
  <c r="Q1678" i="5"/>
  <c r="R338" i="5"/>
  <c r="R414" i="5" s="1"/>
  <c r="V1609" i="5"/>
  <c r="V540" i="5"/>
  <c r="S1108" i="5"/>
  <c r="R1154" i="5"/>
  <c r="V1154" i="5" s="1"/>
  <c r="Q2020" i="5"/>
  <c r="Q1848" i="5"/>
  <c r="S1092" i="5"/>
  <c r="Q161" i="5"/>
  <c r="Q214" i="5"/>
  <c r="Q1917" i="5"/>
  <c r="V1739" i="5"/>
  <c r="C8" i="3"/>
  <c r="E8" i="3"/>
  <c r="F8" i="3"/>
  <c r="B8" i="3"/>
  <c r="Q1316" i="5"/>
  <c r="Q635" i="5"/>
  <c r="Q680" i="5"/>
  <c r="R643" i="5"/>
  <c r="V643" i="5" s="1"/>
  <c r="R242" i="5"/>
  <c r="R280" i="5" s="1"/>
  <c r="V1563" i="5"/>
  <c r="Q1539" i="5"/>
  <c r="Q544" i="5"/>
  <c r="R764" i="5"/>
  <c r="V764" i="5" s="1"/>
  <c r="V155" i="5"/>
  <c r="V1153" i="5"/>
  <c r="Q1968" i="5"/>
  <c r="Q1183" i="5"/>
  <c r="R1003" i="5"/>
  <c r="R1079" i="5" s="1"/>
  <c r="V842" i="5"/>
  <c r="R1321" i="5"/>
  <c r="V1321" i="5" s="1"/>
  <c r="V567" i="5"/>
  <c r="V139" i="5"/>
  <c r="R1147" i="5"/>
  <c r="R1223" i="5" s="1"/>
  <c r="Q1677" i="5"/>
  <c r="Q1593" i="5"/>
  <c r="S1346" i="5"/>
  <c r="V947" i="5"/>
  <c r="V1651" i="5"/>
  <c r="Q2013" i="5"/>
  <c r="Q343" i="5"/>
  <c r="R127" i="5"/>
  <c r="V127" i="5" s="1"/>
  <c r="V602" i="5"/>
  <c r="S877" i="5"/>
  <c r="R1491" i="5"/>
  <c r="V1491" i="5" s="1"/>
  <c r="R1381" i="5"/>
  <c r="V1381" i="5" s="1"/>
  <c r="Q837" i="5"/>
  <c r="V106" i="5"/>
  <c r="Q1983" i="5"/>
  <c r="W303" i="5"/>
  <c r="R1261" i="5"/>
  <c r="V1261" i="5" s="1"/>
  <c r="Q1890" i="5"/>
  <c r="Q1488" i="5"/>
  <c r="V1451" i="5"/>
  <c r="Q1157" i="5"/>
  <c r="R1429" i="5"/>
  <c r="V1429" i="5" s="1"/>
  <c r="V1888" i="5"/>
  <c r="V983" i="5"/>
  <c r="Q1006" i="5"/>
  <c r="V200" i="5"/>
  <c r="V1598" i="5"/>
  <c r="V932" i="5"/>
  <c r="Q748" i="5"/>
  <c r="R548" i="5"/>
  <c r="V548" i="5" s="1"/>
  <c r="Q239" i="5"/>
  <c r="V716" i="5"/>
  <c r="R98" i="5"/>
  <c r="V98" i="5" s="1"/>
  <c r="V644" i="5"/>
  <c r="V114" i="5"/>
  <c r="V1711" i="5"/>
  <c r="V1515" i="5"/>
  <c r="V955" i="5"/>
  <c r="V1974" i="5"/>
  <c r="S388" i="5"/>
  <c r="Q929" i="5"/>
  <c r="Q1536" i="5"/>
  <c r="R1385" i="5"/>
  <c r="V1385" i="5" s="1"/>
  <c r="R1296" i="5"/>
  <c r="V1296" i="5" s="1"/>
  <c r="R1298" i="5"/>
  <c r="R1374" i="5" s="1"/>
  <c r="Q842" i="5"/>
  <c r="Q509" i="5"/>
  <c r="V569" i="5"/>
  <c r="V1323" i="5"/>
  <c r="Q1282" i="5"/>
  <c r="Q1722" i="5"/>
  <c r="R1731" i="5"/>
  <c r="V1731" i="5" s="1"/>
  <c r="Q1598" i="5"/>
  <c r="V594" i="5"/>
  <c r="R104" i="5"/>
  <c r="V104" i="5" s="1"/>
  <c r="V1991" i="5"/>
  <c r="Q1028" i="5"/>
  <c r="V966" i="5"/>
  <c r="V1300" i="5"/>
  <c r="S1215" i="5"/>
  <c r="R801" i="5"/>
  <c r="V801" i="5" s="1"/>
  <c r="Q510" i="5"/>
  <c r="V1445" i="5"/>
  <c r="V1148" i="5"/>
  <c r="V514" i="5"/>
  <c r="S1195" i="5"/>
  <c r="V492" i="5"/>
  <c r="V954" i="5"/>
  <c r="R78" i="5"/>
  <c r="V78" i="5" s="1"/>
  <c r="S1196" i="5"/>
  <c r="V1646" i="5"/>
  <c r="Q993" i="5"/>
  <c r="R1599" i="5"/>
  <c r="V1599" i="5" s="1"/>
  <c r="Q1442" i="5"/>
  <c r="Q602" i="5"/>
  <c r="Q191" i="5"/>
  <c r="V80" i="5"/>
  <c r="V1181" i="5"/>
  <c r="Q711" i="5"/>
  <c r="R547" i="5"/>
  <c r="V547" i="5" s="1"/>
  <c r="V528" i="5"/>
  <c r="R631" i="5"/>
  <c r="V631" i="5" s="1"/>
  <c r="V1584" i="5"/>
  <c r="V618" i="5"/>
  <c r="S404" i="5"/>
  <c r="S1212" i="5"/>
  <c r="V1114" i="5"/>
  <c r="R1871" i="5"/>
  <c r="V1871" i="5" s="1"/>
  <c r="Q1813" i="5"/>
  <c r="V1673" i="5"/>
  <c r="V1581" i="5"/>
  <c r="S1086" i="5"/>
  <c r="V1709" i="5"/>
  <c r="V210" i="5"/>
  <c r="V756" i="5"/>
  <c r="S855" i="5"/>
  <c r="Q375" i="5"/>
  <c r="V253" i="5"/>
  <c r="S1197" i="5"/>
  <c r="S875" i="5"/>
  <c r="W1207" i="5"/>
  <c r="V1813" i="5"/>
  <c r="V726" i="5"/>
  <c r="V988" i="5"/>
  <c r="W1086" i="5"/>
  <c r="S382" i="5"/>
  <c r="V1761" i="5"/>
  <c r="W1097" i="5"/>
  <c r="V680" i="5"/>
  <c r="Q756" i="5"/>
  <c r="R568" i="5"/>
  <c r="V568" i="5" s="1"/>
  <c r="V341" i="5"/>
  <c r="R57" i="5"/>
  <c r="V57" i="5" s="1"/>
  <c r="V1520" i="5"/>
  <c r="Q1637" i="5"/>
  <c r="V1060" i="5"/>
  <c r="R107" i="5"/>
  <c r="V107" i="5" s="1"/>
  <c r="Q693" i="5"/>
  <c r="R1572" i="5"/>
  <c r="V1572" i="5" s="1"/>
  <c r="W866" i="5"/>
  <c r="V1766" i="5"/>
  <c r="Q227" i="5"/>
  <c r="V1721" i="5"/>
  <c r="Q532" i="5"/>
  <c r="V2040" i="5"/>
  <c r="V71" i="5"/>
  <c r="Q1951" i="5"/>
  <c r="Q1939" i="5"/>
  <c r="Q1744" i="5"/>
  <c r="Q1415" i="5"/>
  <c r="R785" i="5"/>
  <c r="R861" i="5" s="1"/>
  <c r="Q716" i="5"/>
  <c r="V59" i="5"/>
  <c r="Q919" i="5"/>
  <c r="Q1161" i="5"/>
  <c r="R2009" i="5"/>
  <c r="V2009" i="5" s="1"/>
  <c r="Q667" i="5"/>
  <c r="Q149" i="5"/>
  <c r="V27" i="5"/>
  <c r="V888" i="5"/>
  <c r="V1641" i="5"/>
  <c r="S1363" i="5"/>
  <c r="V964" i="5"/>
  <c r="V1316" i="5"/>
  <c r="R1633" i="5"/>
  <c r="V1633" i="5" s="1"/>
  <c r="V758" i="5"/>
  <c r="Q1114" i="5"/>
  <c r="Q1049" i="5"/>
  <c r="Q136" i="5"/>
  <c r="V370" i="5"/>
  <c r="V1980" i="5"/>
  <c r="V1748" i="5"/>
  <c r="S1192" i="5"/>
  <c r="S873" i="5"/>
  <c r="Q996" i="5"/>
  <c r="S291" i="5"/>
  <c r="V1699" i="5"/>
  <c r="S295" i="5"/>
  <c r="V518" i="5"/>
  <c r="S302" i="5"/>
  <c r="V55" i="5"/>
  <c r="Q1232" i="5"/>
  <c r="S1374" i="5"/>
  <c r="V1953" i="5"/>
  <c r="V1459" i="5"/>
  <c r="R366" i="5"/>
  <c r="R404" i="5" s="1"/>
  <c r="Q469" i="5"/>
  <c r="V1681" i="5"/>
  <c r="V1433" i="5"/>
  <c r="V345" i="5"/>
  <c r="V477" i="5"/>
  <c r="V267" i="5"/>
  <c r="V376" i="5"/>
  <c r="S415" i="5"/>
  <c r="V467" i="5"/>
  <c r="V186" i="5"/>
  <c r="V1637" i="5"/>
  <c r="R551" i="5"/>
  <c r="V551" i="5" s="1"/>
  <c r="V53" i="5"/>
  <c r="Q1891" i="5"/>
  <c r="V1616" i="5"/>
  <c r="Q910" i="5"/>
  <c r="Q1239" i="5"/>
  <c r="R915" i="5"/>
  <c r="V915" i="5" s="1"/>
  <c r="V1990" i="5"/>
  <c r="Q1696" i="5"/>
  <c r="R1610" i="5"/>
  <c r="V1610" i="5" s="1"/>
  <c r="Q1804" i="5"/>
  <c r="Q1753" i="5"/>
  <c r="Q1137" i="5"/>
  <c r="Q1146" i="5"/>
  <c r="R795" i="5"/>
  <c r="V795" i="5" s="1"/>
  <c r="Q1170" i="5"/>
  <c r="V965" i="5"/>
  <c r="Q485" i="5"/>
  <c r="R770" i="5"/>
  <c r="V770" i="5" s="1"/>
  <c r="V1421" i="5"/>
  <c r="V1493" i="5"/>
  <c r="W1076" i="5"/>
  <c r="Q553" i="5"/>
  <c r="V159" i="5"/>
  <c r="V489" i="5"/>
  <c r="R979" i="5"/>
  <c r="V979" i="5" s="1"/>
  <c r="V1559" i="5"/>
  <c r="V941" i="5"/>
  <c r="Q1830" i="5"/>
  <c r="Q1635" i="5"/>
  <c r="Q1251" i="5"/>
  <c r="Q893" i="5"/>
  <c r="R629" i="5"/>
  <c r="V629" i="5" s="1"/>
  <c r="Q632" i="5"/>
  <c r="Q210" i="5"/>
  <c r="Q164" i="5"/>
  <c r="Q1754" i="5"/>
  <c r="S1191" i="5"/>
  <c r="W402" i="5"/>
  <c r="R72" i="5"/>
  <c r="V72" i="5" s="1"/>
  <c r="V990" i="5"/>
  <c r="R298" i="5"/>
  <c r="Q1515" i="5"/>
  <c r="Q1236" i="5"/>
  <c r="V1480" i="5"/>
  <c r="R340" i="5"/>
  <c r="V340" i="5" s="1"/>
  <c r="Q179" i="5"/>
  <c r="V699" i="5"/>
  <c r="V959" i="5"/>
  <c r="V1557" i="5"/>
  <c r="V1816" i="5"/>
  <c r="V1924" i="5"/>
  <c r="V1873" i="5"/>
  <c r="V1952" i="5"/>
  <c r="R1811" i="5"/>
  <c r="V1811" i="5" s="1"/>
  <c r="R1850" i="5"/>
  <c r="V1850" i="5" s="1"/>
  <c r="Q1833" i="5"/>
  <c r="V1939" i="5"/>
  <c r="R1925" i="5"/>
  <c r="V1925" i="5" s="1"/>
  <c r="R1069" i="5"/>
  <c r="V1069" i="5" s="1"/>
  <c r="Q1529" i="5"/>
  <c r="Q1500" i="5"/>
  <c r="R834" i="5"/>
  <c r="V834" i="5" s="1"/>
  <c r="Q900" i="5"/>
  <c r="Q745" i="5"/>
  <c r="Q428" i="5"/>
  <c r="R488" i="5"/>
  <c r="V488" i="5" s="1"/>
  <c r="Q1679" i="5"/>
  <c r="Q205" i="5"/>
  <c r="Q174" i="5"/>
  <c r="Q1671" i="5"/>
  <c r="S296" i="5"/>
  <c r="V1431" i="5"/>
  <c r="V998" i="5"/>
  <c r="R1178" i="5"/>
  <c r="V1178" i="5" s="1"/>
  <c r="Q500" i="5"/>
  <c r="Q458" i="5"/>
  <c r="Q1698" i="5"/>
  <c r="V175" i="5"/>
  <c r="V1037" i="5"/>
  <c r="Q964" i="5"/>
  <c r="R1234" i="5"/>
  <c r="V1234" i="5" s="1"/>
  <c r="W1188" i="5"/>
  <c r="Q828" i="5"/>
  <c r="R740" i="5"/>
  <c r="V740" i="5" s="1"/>
  <c r="V667" i="5"/>
  <c r="Q704" i="5"/>
  <c r="R434" i="5"/>
  <c r="V434" i="5" s="1"/>
  <c r="S396" i="5"/>
  <c r="R1000" i="5"/>
  <c r="V1000" i="5" s="1"/>
  <c r="Q514" i="5"/>
  <c r="V620" i="5"/>
  <c r="R1173" i="5"/>
  <c r="V1173" i="5" s="1"/>
  <c r="V1582" i="5"/>
  <c r="S403" i="5"/>
  <c r="V176" i="5"/>
  <c r="V1635" i="5"/>
  <c r="R1755" i="5"/>
  <c r="V1755" i="5" s="1"/>
  <c r="Q1665" i="5"/>
  <c r="Q1761" i="5"/>
  <c r="Q1641" i="5"/>
  <c r="S1368" i="5"/>
  <c r="R694" i="5"/>
  <c r="V694" i="5" s="1"/>
  <c r="R525" i="5"/>
  <c r="V525" i="5" s="1"/>
  <c r="R1466" i="5"/>
  <c r="V1466" i="5" s="1"/>
  <c r="V942" i="5"/>
  <c r="R19" i="5"/>
  <c r="V19" i="5" s="1"/>
  <c r="R1016" i="5"/>
  <c r="V1016" i="5" s="1"/>
  <c r="V1682" i="5"/>
  <c r="Q1486" i="5"/>
  <c r="Q2012" i="5"/>
  <c r="R1674" i="5"/>
  <c r="V1674" i="5" s="1"/>
  <c r="Q1389" i="5"/>
  <c r="Q1300" i="5"/>
  <c r="V961" i="5"/>
  <c r="V996" i="5"/>
  <c r="Q159" i="5"/>
  <c r="Q1924" i="5"/>
  <c r="Q1512" i="5"/>
  <c r="R1029" i="5"/>
  <c r="V1029" i="5" s="1"/>
  <c r="S287" i="5"/>
  <c r="V1703" i="5"/>
  <c r="V470" i="5"/>
  <c r="V322" i="5"/>
  <c r="W869" i="5"/>
  <c r="V1285" i="5"/>
  <c r="V224" i="5"/>
  <c r="S410" i="5"/>
  <c r="V918" i="5"/>
  <c r="S1075" i="5"/>
  <c r="Q1701" i="5"/>
  <c r="Q222" i="5"/>
  <c r="Q1959" i="5"/>
  <c r="R1510" i="5"/>
  <c r="V1510" i="5" s="1"/>
  <c r="R2055" i="5"/>
  <c r="V2055" i="5" s="1"/>
  <c r="Q1709" i="5"/>
  <c r="Q1238" i="5"/>
  <c r="Q1420" i="5"/>
  <c r="Q1005" i="5"/>
  <c r="Q815" i="5"/>
  <c r="R438" i="5"/>
  <c r="V438" i="5" s="1"/>
  <c r="Q140" i="5"/>
  <c r="Q459" i="5"/>
  <c r="V76" i="5"/>
  <c r="V956" i="5"/>
  <c r="R482" i="5"/>
  <c r="V482" i="5" s="1"/>
  <c r="Q473" i="5"/>
  <c r="V316" i="5"/>
  <c r="R351" i="5"/>
  <c r="V351" i="5" s="1"/>
  <c r="V2029" i="5"/>
  <c r="R1522" i="5"/>
  <c r="V1522" i="5" s="1"/>
  <c r="W1075" i="5"/>
  <c r="Q663" i="5"/>
  <c r="V626" i="5"/>
  <c r="F405" i="5"/>
  <c r="S286" i="5"/>
  <c r="Q2037" i="5"/>
  <c r="V1413" i="5"/>
  <c r="Q1012" i="5"/>
  <c r="V645" i="5"/>
  <c r="V1227" i="5"/>
  <c r="V564" i="5"/>
  <c r="S1373" i="5"/>
  <c r="R527" i="5"/>
  <c r="V527" i="5" s="1"/>
  <c r="R2050" i="5"/>
  <c r="V2050" i="5" s="1"/>
  <c r="Q1673" i="5"/>
  <c r="Q1601" i="5"/>
  <c r="V1570" i="5"/>
  <c r="Q1386" i="5"/>
  <c r="V1412" i="5"/>
  <c r="Q1242" i="5"/>
  <c r="Q1015" i="5"/>
  <c r="R648" i="5"/>
  <c r="V648" i="5" s="1"/>
  <c r="V1957" i="5"/>
  <c r="V678" i="5"/>
  <c r="V1750" i="5"/>
  <c r="V1061" i="5"/>
  <c r="R1506" i="5"/>
  <c r="V1506" i="5" s="1"/>
  <c r="Q322" i="5"/>
  <c r="Q59" i="5"/>
  <c r="Q51" i="5"/>
  <c r="V1533" i="5"/>
  <c r="R1168" i="5"/>
  <c r="V1168" i="5" s="1"/>
  <c r="Q209" i="5"/>
  <c r="V456" i="5"/>
  <c r="R1332" i="5"/>
  <c r="V1332" i="5" s="1"/>
  <c r="V486" i="5"/>
  <c r="R169" i="5"/>
  <c r="V169" i="5" s="1"/>
  <c r="V1792" i="5"/>
  <c r="S1216" i="5"/>
  <c r="R969" i="5"/>
  <c r="V969" i="5" s="1"/>
  <c r="S1202" i="5"/>
  <c r="V780" i="5"/>
  <c r="Q1650" i="5"/>
  <c r="R1683" i="5"/>
  <c r="V1683" i="5" s="1"/>
  <c r="R1468" i="5"/>
  <c r="V1468" i="5" s="1"/>
  <c r="R1542" i="5"/>
  <c r="V1542" i="5" s="1"/>
  <c r="V500" i="5"/>
  <c r="V579" i="5"/>
  <c r="R951" i="5"/>
  <c r="V951" i="5" s="1"/>
  <c r="Q60" i="5"/>
  <c r="V1836" i="5"/>
  <c r="V828" i="5"/>
  <c r="V1745" i="5"/>
  <c r="Q1534" i="5"/>
  <c r="Q1315" i="5"/>
  <c r="Q833" i="5"/>
  <c r="W416" i="5"/>
  <c r="S416" i="5"/>
  <c r="S878" i="5"/>
  <c r="Q1646" i="5"/>
  <c r="S409" i="5"/>
  <c r="V100" i="5"/>
  <c r="S1372" i="5"/>
  <c r="V490" i="5"/>
  <c r="Q1060" i="5"/>
  <c r="Q1563" i="5"/>
  <c r="Q250" i="5"/>
  <c r="Q477" i="5"/>
  <c r="Q260" i="5"/>
  <c r="V1382" i="5"/>
  <c r="V916" i="5"/>
  <c r="R350" i="5"/>
  <c r="V350" i="5" s="1"/>
  <c r="V553" i="5"/>
  <c r="V1575" i="5"/>
  <c r="V702" i="5"/>
  <c r="V913" i="5"/>
  <c r="R598" i="5"/>
  <c r="V598" i="5" s="1"/>
  <c r="Q1711" i="5"/>
  <c r="Q2038" i="5"/>
  <c r="Q1974" i="5"/>
  <c r="Q1225" i="5"/>
  <c r="S853" i="5"/>
  <c r="Q626" i="5"/>
  <c r="Q23" i="5"/>
  <c r="R8" i="5"/>
  <c r="V8" i="5" s="1"/>
  <c r="V1972" i="5"/>
  <c r="V313" i="5"/>
  <c r="V1829" i="5"/>
  <c r="Q990" i="5"/>
  <c r="V1488" i="5"/>
  <c r="Q1259" i="5"/>
  <c r="R991" i="5"/>
  <c r="V991" i="5" s="1"/>
  <c r="Q978" i="5"/>
  <c r="V692" i="5"/>
  <c r="S297" i="5"/>
  <c r="V449" i="5"/>
  <c r="S1074" i="5"/>
  <c r="V1704" i="5"/>
  <c r="Q1520" i="5"/>
  <c r="Q554" i="5"/>
  <c r="Q1461" i="5"/>
  <c r="W285" i="5"/>
  <c r="R1810" i="5"/>
  <c r="V1810" i="5" s="1"/>
  <c r="R1747" i="5"/>
  <c r="V1747" i="5" s="1"/>
  <c r="V1524" i="5"/>
  <c r="Q966" i="5"/>
  <c r="Q983" i="5"/>
  <c r="Q596" i="5"/>
  <c r="S290" i="5"/>
  <c r="Q358" i="5"/>
  <c r="Q345" i="5"/>
  <c r="V143" i="5"/>
  <c r="V2038" i="5"/>
  <c r="R1013" i="5"/>
  <c r="V1013" i="5" s="1"/>
  <c r="Q1762" i="5"/>
  <c r="Q1957" i="5"/>
  <c r="Q1695" i="5"/>
  <c r="S1347" i="5"/>
  <c r="Q1181" i="5"/>
  <c r="Q1140" i="5"/>
  <c r="R963" i="5"/>
  <c r="V963" i="5" s="1"/>
  <c r="W859" i="5"/>
  <c r="Q195" i="5"/>
  <c r="R1652" i="5"/>
  <c r="V1652" i="5" s="1"/>
  <c r="V944" i="5"/>
  <c r="S1107" i="5"/>
  <c r="R1247" i="5"/>
  <c r="V1247" i="5" s="1"/>
  <c r="Q1323" i="5"/>
  <c r="V1490" i="5"/>
  <c r="Q549" i="5"/>
  <c r="Q1402" i="5"/>
  <c r="V1070" i="5"/>
  <c r="Q950" i="5"/>
  <c r="R818" i="5"/>
  <c r="V818" i="5" s="1"/>
  <c r="Q660" i="5"/>
  <c r="V222" i="5"/>
  <c r="V1983" i="5"/>
  <c r="S1104" i="5"/>
  <c r="R681" i="5"/>
  <c r="V681" i="5" s="1"/>
  <c r="S392" i="5"/>
  <c r="R202" i="5"/>
  <c r="V202" i="5" s="1"/>
  <c r="R1856" i="5"/>
  <c r="V1856" i="5" s="1"/>
  <c r="R550" i="5"/>
  <c r="V550" i="5" s="1"/>
  <c r="R2056" i="5"/>
  <c r="V2056" i="5" s="1"/>
  <c r="Q1781" i="5"/>
  <c r="V1753" i="5"/>
  <c r="Q1484" i="5"/>
  <c r="Q481" i="5"/>
  <c r="Q518" i="5"/>
  <c r="V1833" i="5"/>
  <c r="Q1490" i="5"/>
  <c r="V1940" i="5"/>
  <c r="V1959" i="5"/>
  <c r="V1742" i="5"/>
  <c r="V585" i="5"/>
  <c r="Q1388" i="5"/>
  <c r="Q987" i="5"/>
  <c r="Q1595" i="5"/>
  <c r="S1207" i="5"/>
  <c r="R1918" i="5"/>
  <c r="V1918" i="5" s="1"/>
  <c r="Q1704" i="5"/>
  <c r="S849" i="5"/>
  <c r="V184" i="5"/>
  <c r="V458" i="5"/>
  <c r="R18" i="5"/>
  <c r="V18" i="5" s="1"/>
  <c r="Q313" i="5"/>
  <c r="V1740" i="5"/>
  <c r="Q200" i="5"/>
  <c r="V1931" i="5"/>
  <c r="R1301" i="5"/>
  <c r="V1301" i="5" s="1"/>
  <c r="Q1839" i="5"/>
  <c r="R1913" i="5"/>
  <c r="V1913" i="5" s="1"/>
  <c r="R1613" i="5"/>
  <c r="V1613" i="5" s="1"/>
  <c r="Q1307" i="5"/>
  <c r="Q1537" i="5"/>
  <c r="Q959" i="5"/>
  <c r="W848" i="5"/>
  <c r="R816" i="5"/>
  <c r="R854" i="5" s="1"/>
  <c r="R652" i="5"/>
  <c r="V652" i="5" s="1"/>
  <c r="Q319" i="5"/>
  <c r="Q559" i="5"/>
  <c r="V469" i="5"/>
  <c r="Q243" i="5"/>
  <c r="S1096" i="5"/>
  <c r="R1131" i="5"/>
  <c r="V1131" i="5" s="1"/>
  <c r="Q114" i="5"/>
  <c r="R96" i="5"/>
  <c r="V96" i="5" s="1"/>
  <c r="V1960" i="5"/>
  <c r="V791" i="5"/>
  <c r="Q1854" i="5"/>
  <c r="Q1608" i="5"/>
  <c r="V1444" i="5"/>
  <c r="V935" i="5"/>
  <c r="R908" i="5"/>
  <c r="V908" i="5" s="1"/>
  <c r="R198" i="5"/>
  <c r="R274" i="5" s="1"/>
  <c r="R285" i="5"/>
  <c r="Q109" i="5"/>
  <c r="V1228" i="5"/>
  <c r="V365" i="5"/>
  <c r="R1065" i="5"/>
  <c r="V1065" i="5" s="1"/>
  <c r="R1010" i="5"/>
  <c r="V1010" i="5" s="1"/>
  <c r="Q84" i="5"/>
  <c r="S1077" i="5"/>
  <c r="Q1579" i="5"/>
  <c r="Q1262" i="5"/>
  <c r="Q1680" i="5"/>
  <c r="Q1456" i="5"/>
  <c r="R1547" i="5"/>
  <c r="V1547" i="5" s="1"/>
  <c r="S1073" i="5"/>
  <c r="Q891" i="5"/>
  <c r="Q620" i="5"/>
  <c r="V441" i="5"/>
  <c r="Q190" i="5"/>
  <c r="V1622" i="5"/>
  <c r="S1223" i="5"/>
  <c r="V825" i="5"/>
  <c r="V1406" i="5"/>
  <c r="V357" i="5"/>
  <c r="V135" i="5"/>
  <c r="R706" i="5"/>
  <c r="V706" i="5" s="1"/>
  <c r="R1822" i="5"/>
  <c r="V1822" i="5" s="1"/>
  <c r="V1932" i="5"/>
  <c r="R1779" i="5"/>
  <c r="V1779" i="5" s="1"/>
  <c r="R1870" i="5"/>
  <c r="V1870" i="5" s="1"/>
  <c r="R1930" i="5"/>
  <c r="V1930" i="5" s="1"/>
  <c r="V1842" i="5"/>
  <c r="R1817" i="5"/>
  <c r="V1817" i="5" s="1"/>
  <c r="V1945" i="5"/>
  <c r="Q1944" i="5"/>
  <c r="Q1952" i="5"/>
  <c r="Q1912" i="5"/>
  <c r="R1819" i="5"/>
  <c r="V1819" i="5" s="1"/>
  <c r="V1908" i="5"/>
  <c r="Q1904" i="5"/>
  <c r="Q1945" i="5"/>
  <c r="V1919" i="5"/>
  <c r="R1780" i="5"/>
  <c r="V1780" i="5" s="1"/>
  <c r="R1808" i="5"/>
  <c r="V1808" i="5" s="1"/>
  <c r="Q1908" i="5"/>
  <c r="Q1825" i="5"/>
  <c r="V1905" i="5"/>
  <c r="Q1821" i="5"/>
  <c r="V1783" i="5"/>
  <c r="V1935" i="5"/>
  <c r="V1866" i="5"/>
  <c r="Q1581" i="5"/>
  <c r="Q1227" i="5"/>
  <c r="Q1071" i="5"/>
  <c r="R747" i="5"/>
  <c r="V747" i="5" s="1"/>
  <c r="Q918" i="5"/>
  <c r="R162" i="5"/>
  <c r="V162" i="5" s="1"/>
  <c r="Q331" i="5"/>
  <c r="R982" i="5"/>
  <c r="V982" i="5" s="1"/>
  <c r="V593" i="5"/>
  <c r="V1182" i="5"/>
  <c r="V717" i="5"/>
  <c r="V2022" i="5"/>
  <c r="Q1864" i="5"/>
  <c r="V1744" i="5"/>
  <c r="Q569" i="5"/>
  <c r="Q420" i="5"/>
  <c r="Q456" i="5"/>
  <c r="V558" i="5"/>
  <c r="S288" i="5"/>
  <c r="V236" i="5"/>
  <c r="V1536" i="5"/>
  <c r="Q1045" i="5"/>
  <c r="R1091" i="5"/>
  <c r="V153" i="5"/>
  <c r="R396" i="5"/>
  <c r="Q123" i="5"/>
  <c r="V1894" i="5"/>
  <c r="V2013" i="5"/>
  <c r="S844" i="5"/>
  <c r="W1216" i="5"/>
  <c r="S1106" i="5"/>
  <c r="Q2052" i="5"/>
  <c r="R1040" i="5"/>
  <c r="V1040" i="5" s="1"/>
  <c r="R1038" i="5"/>
  <c r="V516" i="5"/>
  <c r="R994" i="5"/>
  <c r="V994" i="5" s="1"/>
  <c r="Q1737" i="5"/>
  <c r="S862" i="5"/>
  <c r="Q2014" i="5"/>
  <c r="Q1657" i="5"/>
  <c r="Q1431" i="5"/>
  <c r="Q1433" i="5"/>
  <c r="Q997" i="5"/>
  <c r="S866" i="5"/>
  <c r="R779" i="5"/>
  <c r="V779" i="5" s="1"/>
  <c r="V1286" i="5"/>
  <c r="V950" i="5"/>
  <c r="R1501" i="5"/>
  <c r="V1501" i="5" s="1"/>
  <c r="Q442" i="5"/>
  <c r="V185" i="5"/>
  <c r="V537" i="5"/>
  <c r="V555" i="5"/>
  <c r="V1337" i="5"/>
  <c r="R874" i="5"/>
  <c r="V1884" i="5"/>
  <c r="R2015" i="5"/>
  <c r="V2015" i="5" s="1"/>
  <c r="R1502" i="5"/>
  <c r="V1502" i="5" s="1"/>
  <c r="S406" i="5"/>
  <c r="Q153" i="5"/>
  <c r="Q320" i="5"/>
  <c r="V145" i="5"/>
  <c r="V1669" i="5"/>
  <c r="R1602" i="5"/>
  <c r="V1602" i="5" s="1"/>
  <c r="S1339" i="5"/>
  <c r="V111" i="5"/>
  <c r="V450" i="5"/>
  <c r="V1425" i="5"/>
  <c r="Q1618" i="5"/>
  <c r="Q2040" i="5"/>
  <c r="V1671" i="5"/>
  <c r="V1497" i="5"/>
  <c r="S275" i="5"/>
  <c r="V1578" i="5"/>
  <c r="R166" i="5"/>
  <c r="V166" i="5" s="1"/>
  <c r="V1479" i="5"/>
  <c r="R1757" i="5"/>
  <c r="V1757" i="5" s="1"/>
  <c r="Q2004" i="5"/>
  <c r="Q1288" i="5"/>
  <c r="V2005" i="5"/>
  <c r="V931" i="5"/>
  <c r="R788" i="5"/>
  <c r="V788" i="5" s="1"/>
  <c r="V661" i="5"/>
  <c r="V462" i="5"/>
  <c r="W304" i="5"/>
  <c r="R992" i="5"/>
  <c r="V992" i="5" s="1"/>
  <c r="Q653" i="5"/>
  <c r="R432" i="5"/>
  <c r="V432" i="5" s="1"/>
  <c r="Q564" i="5"/>
  <c r="R21" i="5"/>
  <c r="V21" i="5" s="1"/>
  <c r="V1719" i="5"/>
  <c r="W1222" i="5"/>
  <c r="V2002" i="5"/>
  <c r="V1689" i="5"/>
  <c r="V437" i="5"/>
  <c r="Q1575" i="5"/>
  <c r="Q588" i="5"/>
  <c r="R1523" i="5"/>
  <c r="V1523" i="5" s="1"/>
  <c r="Q1482" i="5"/>
  <c r="Q176" i="5"/>
  <c r="Q940" i="5"/>
  <c r="V534" i="5"/>
  <c r="S268" i="5"/>
  <c r="R402" i="5"/>
  <c r="V945" i="5"/>
  <c r="V103" i="5"/>
  <c r="V735" i="5"/>
  <c r="R1275" i="5"/>
  <c r="R1351" i="5" s="1"/>
  <c r="Q1333" i="5"/>
  <c r="Q948" i="5"/>
  <c r="Q324" i="5"/>
  <c r="V256" i="5"/>
  <c r="V1656" i="5"/>
  <c r="Q1894" i="5"/>
  <c r="S1375" i="5"/>
  <c r="V613" i="5"/>
  <c r="Q1582" i="5"/>
  <c r="Q1836" i="5"/>
  <c r="Q1584" i="5"/>
  <c r="V428" i="5"/>
  <c r="R308" i="5"/>
  <c r="V308" i="5" s="1"/>
  <c r="V1705" i="5"/>
  <c r="V1615" i="5"/>
  <c r="V36" i="5"/>
  <c r="V524" i="5"/>
  <c r="S1078" i="5"/>
  <c r="S294" i="5"/>
  <c r="V160" i="5"/>
  <c r="V1308" i="5"/>
  <c r="V1390" i="5"/>
  <c r="V666" i="5"/>
  <c r="V1387" i="5"/>
  <c r="V1966" i="5"/>
  <c r="R1659" i="5"/>
  <c r="V1659" i="5" s="1"/>
  <c r="Q1532" i="5"/>
  <c r="Q836" i="5"/>
  <c r="R824" i="5"/>
  <c r="V824" i="5" s="1"/>
  <c r="Q1230" i="5"/>
  <c r="R749" i="5"/>
  <c r="V749" i="5" s="1"/>
  <c r="Q180" i="5"/>
  <c r="V1282" i="5"/>
  <c r="V1762" i="5"/>
  <c r="Q1110" i="5"/>
  <c r="V126" i="5"/>
  <c r="V1167" i="5"/>
  <c r="Q333" i="5"/>
  <c r="S881" i="5"/>
  <c r="R592" i="5"/>
  <c r="V592" i="5" s="1"/>
  <c r="Q1504" i="5"/>
  <c r="Q1684" i="5"/>
  <c r="Q1399" i="5"/>
  <c r="Q1320" i="5"/>
  <c r="Q1061" i="5"/>
  <c r="Q328" i="5"/>
  <c r="Q91" i="5"/>
  <c r="V144" i="5"/>
  <c r="V1618" i="5"/>
  <c r="Q944" i="5"/>
  <c r="Q974" i="5"/>
  <c r="V425" i="5"/>
  <c r="R228" i="5"/>
  <c r="V228" i="5" s="1"/>
  <c r="V1530" i="5"/>
  <c r="S1370" i="5"/>
  <c r="V987" i="5"/>
  <c r="W280" i="5"/>
  <c r="V1552" i="5"/>
  <c r="R1122" i="5"/>
  <c r="W870" i="5"/>
  <c r="S394" i="5"/>
  <c r="Q224" i="5"/>
  <c r="V261" i="5"/>
  <c r="R662" i="5"/>
  <c r="V662" i="5" s="1"/>
  <c r="V1512" i="5"/>
  <c r="V685" i="5"/>
  <c r="Q316" i="5"/>
  <c r="Q1425" i="5"/>
  <c r="S277" i="5"/>
  <c r="Q1244" i="5"/>
  <c r="S1188" i="5"/>
  <c r="S1220" i="5"/>
  <c r="Q244" i="5"/>
  <c r="Q780" i="5"/>
  <c r="S1190" i="5"/>
  <c r="V576" i="5"/>
  <c r="Q1902" i="5"/>
  <c r="V583" i="5"/>
  <c r="Q71" i="5"/>
  <c r="S1217" i="5"/>
  <c r="R110" i="5"/>
  <c r="V110" i="5" s="1"/>
  <c r="V1267" i="5"/>
  <c r="V1185" i="5"/>
  <c r="V1232" i="5"/>
  <c r="V1670" i="5"/>
  <c r="V989" i="5"/>
  <c r="Q1784" i="5"/>
  <c r="Q1306" i="5"/>
  <c r="Q1406" i="5"/>
  <c r="S1193" i="5"/>
  <c r="Q1031" i="5"/>
  <c r="V1170" i="5"/>
  <c r="R22" i="5"/>
  <c r="V22" i="5" s="1"/>
  <c r="V1438" i="5"/>
  <c r="V1697" i="5"/>
  <c r="Q1285" i="5"/>
  <c r="V443" i="5"/>
  <c r="Q754" i="5"/>
  <c r="R670" i="5"/>
  <c r="V670" i="5" s="1"/>
  <c r="R38" i="5"/>
  <c r="V38" i="5" s="1"/>
  <c r="V1904" i="5"/>
  <c r="Q1682" i="5"/>
  <c r="Q1932" i="5"/>
  <c r="Q1994" i="5"/>
  <c r="Q1407" i="5"/>
  <c r="S859" i="5"/>
  <c r="S398" i="5"/>
  <c r="R219" i="5"/>
  <c r="V219" i="5" s="1"/>
  <c r="Q168" i="5"/>
  <c r="V1784" i="5"/>
  <c r="S1103" i="5"/>
  <c r="Q736" i="5"/>
  <c r="V40" i="5"/>
  <c r="R2033" i="5"/>
  <c r="V2033" i="5" s="1"/>
  <c r="Q1861" i="5"/>
  <c r="Q65" i="5"/>
  <c r="V1331" i="5"/>
  <c r="R1299" i="5"/>
  <c r="V1299" i="5" s="1"/>
  <c r="V921" i="5"/>
  <c r="V142" i="5"/>
  <c r="V521" i="5"/>
  <c r="Q489" i="5"/>
  <c r="V1860" i="5"/>
  <c r="S1088" i="5"/>
  <c r="V632" i="5"/>
  <c r="S1351" i="5"/>
  <c r="Q1328" i="5"/>
  <c r="Q2034" i="5"/>
  <c r="Q582" i="5"/>
  <c r="V3" i="5"/>
  <c r="V1297" i="5"/>
  <c r="Q1607" i="5"/>
  <c r="V2016" i="5"/>
  <c r="S417" i="5"/>
  <c r="V1943" i="5"/>
  <c r="V1805" i="5"/>
  <c r="R1909" i="5"/>
  <c r="V1909" i="5" s="1"/>
  <c r="Q1943" i="5"/>
  <c r="Q1919" i="5"/>
  <c r="Q1884" i="5"/>
  <c r="R1849" i="5"/>
  <c r="V1849" i="5" s="1"/>
  <c r="R1807" i="5"/>
  <c r="V1807" i="5" s="1"/>
  <c r="V1915" i="5"/>
  <c r="Q1860" i="5"/>
  <c r="R1885" i="5"/>
  <c r="V1885" i="5" s="1"/>
  <c r="R1841" i="5"/>
  <c r="V1841" i="5" s="1"/>
  <c r="V1872" i="5"/>
  <c r="R1799" i="5"/>
  <c r="V1799" i="5" s="1"/>
  <c r="V1949" i="5"/>
  <c r="Q1880" i="5"/>
  <c r="R1847" i="5"/>
  <c r="V1847" i="5" s="1"/>
  <c r="Q1783" i="5"/>
  <c r="Q1805" i="5"/>
  <c r="R1928" i="5"/>
  <c r="V1928" i="5" s="1"/>
  <c r="V1806" i="5"/>
  <c r="V1947" i="5"/>
  <c r="V1830" i="5"/>
  <c r="Q1899" i="5"/>
  <c r="V1868" i="5"/>
  <c r="Q1787" i="5"/>
  <c r="V1848" i="5"/>
  <c r="V1906" i="5"/>
  <c r="V1844" i="5"/>
  <c r="Q1926" i="5"/>
  <c r="R1937" i="5"/>
  <c r="V1937" i="5" s="1"/>
  <c r="R1948" i="5"/>
  <c r="V1948" i="5" s="1"/>
  <c r="V1818" i="5"/>
  <c r="R32" i="5"/>
  <c r="V32" i="5" s="1"/>
  <c r="Q1916" i="5"/>
  <c r="Q1603" i="5"/>
  <c r="R575" i="5"/>
  <c r="V575" i="5" s="1"/>
  <c r="V939" i="5"/>
  <c r="V1407" i="5"/>
  <c r="V971" i="5"/>
  <c r="Q735" i="5"/>
  <c r="Q326" i="5"/>
  <c r="R718" i="5"/>
  <c r="V718" i="5" s="1"/>
  <c r="Q1266" i="5"/>
  <c r="S1349" i="5"/>
  <c r="Q839" i="5"/>
  <c r="Q942" i="5"/>
  <c r="R13" i="5"/>
  <c r="V13" i="5" s="1"/>
  <c r="V1658" i="5"/>
  <c r="W878" i="5"/>
  <c r="V1936" i="5"/>
  <c r="V522" i="5"/>
  <c r="V927" i="5"/>
  <c r="V767" i="5"/>
  <c r="Q1438" i="5"/>
  <c r="Q1163" i="5"/>
  <c r="Q1740" i="5"/>
  <c r="Q1464" i="5"/>
  <c r="R789" i="5"/>
  <c r="V789" i="5" s="1"/>
  <c r="Q137" i="5"/>
  <c r="Q1947" i="5"/>
  <c r="V657" i="5"/>
  <c r="R1993" i="5"/>
  <c r="V1993" i="5" s="1"/>
  <c r="Q1993" i="5"/>
  <c r="Q593" i="5"/>
  <c r="V1066" i="5"/>
  <c r="Q1454" i="5"/>
  <c r="V1774" i="5"/>
  <c r="V721" i="5"/>
  <c r="V180" i="5"/>
  <c r="Q956" i="5"/>
  <c r="V570" i="5"/>
  <c r="V563" i="5"/>
  <c r="R288" i="5"/>
  <c r="Q144" i="5"/>
  <c r="Q1751" i="5"/>
  <c r="Q1182" i="5"/>
  <c r="Q973" i="5"/>
  <c r="Q843" i="5"/>
  <c r="V1767" i="5"/>
  <c r="R26" i="5"/>
  <c r="V26" i="5" s="1"/>
  <c r="Q1118" i="5"/>
  <c r="R742" i="5"/>
  <c r="V742" i="5" s="1"/>
  <c r="Q365" i="5"/>
  <c r="R67" i="5"/>
  <c r="V67" i="5" s="1"/>
  <c r="V1890" i="5"/>
  <c r="V975" i="5"/>
  <c r="Q1772" i="5"/>
  <c r="Q1697" i="5"/>
  <c r="Q958" i="5"/>
  <c r="V755" i="5"/>
  <c r="Q722" i="5"/>
  <c r="S299" i="5"/>
  <c r="V113" i="5"/>
  <c r="Q2002" i="5"/>
  <c r="V1639" i="5"/>
  <c r="Q1148" i="5"/>
  <c r="Q984" i="5"/>
  <c r="V122" i="5"/>
  <c r="Q75" i="5"/>
  <c r="V1917" i="5"/>
  <c r="V705" i="5"/>
  <c r="S280" i="5"/>
  <c r="V1537" i="5"/>
  <c r="Q913" i="5"/>
  <c r="Q630" i="5"/>
  <c r="Q103" i="5"/>
  <c r="V1854" i="5"/>
  <c r="V1482" i="5"/>
  <c r="W270" i="5"/>
  <c r="S399" i="5"/>
  <c r="Q1435" i="5"/>
  <c r="R1462" i="5"/>
  <c r="V1462" i="5" s="1"/>
  <c r="Q1689" i="5"/>
  <c r="Q1434" i="5"/>
  <c r="W1355" i="5"/>
  <c r="Q490" i="5"/>
  <c r="Q595" i="5"/>
  <c r="Q186" i="5"/>
  <c r="V118" i="5"/>
  <c r="R724" i="5"/>
  <c r="V724" i="5" s="1"/>
  <c r="S1222" i="5"/>
  <c r="Q55" i="5"/>
  <c r="R361" i="5"/>
  <c r="V361" i="5" s="1"/>
  <c r="R642" i="5"/>
  <c r="V642" i="5" s="1"/>
  <c r="Q1857" i="5"/>
  <c r="Q1940" i="5"/>
  <c r="Q1636" i="5"/>
  <c r="Q1390" i="5"/>
  <c r="Q233" i="5"/>
  <c r="R1713" i="5"/>
  <c r="V1713" i="5" s="1"/>
  <c r="R1035" i="5"/>
  <c r="V1035" i="5" s="1"/>
  <c r="Q1868" i="5"/>
  <c r="Q94" i="5"/>
  <c r="R1201" i="5"/>
  <c r="Q1337" i="5"/>
  <c r="W394" i="5"/>
  <c r="V181" i="5"/>
  <c r="V368" i="5"/>
  <c r="V435" i="5"/>
  <c r="V698" i="5"/>
  <c r="Q666" i="5"/>
  <c r="W1197" i="5"/>
  <c r="S1209" i="5"/>
  <c r="Q524" i="5"/>
  <c r="R1663" i="5"/>
  <c r="V1663" i="5" s="1"/>
  <c r="Q1387" i="5"/>
  <c r="V459" i="5"/>
  <c r="V29" i="5"/>
  <c r="V511" i="5"/>
  <c r="R336" i="5"/>
  <c r="V336" i="5" s="1"/>
  <c r="V223" i="5"/>
  <c r="V925" i="5"/>
  <c r="R1284" i="5"/>
  <c r="R1360" i="5" s="1"/>
  <c r="R1441" i="5"/>
  <c r="V1441" i="5" s="1"/>
  <c r="R1405" i="5"/>
  <c r="V1405" i="5" s="1"/>
  <c r="Q657" i="5"/>
  <c r="Q618" i="5"/>
  <c r="R362" i="5"/>
  <c r="V362" i="5" s="1"/>
  <c r="R231" i="5"/>
  <c r="Q945" i="5"/>
  <c r="V431" i="5"/>
  <c r="R62" i="5"/>
  <c r="V62" i="5" s="1"/>
  <c r="S856" i="5"/>
  <c r="R1535" i="5"/>
  <c r="V1535" i="5" s="1"/>
  <c r="V1880" i="5"/>
  <c r="R1447" i="5"/>
  <c r="V1447" i="5" s="1"/>
  <c r="V1672" i="5"/>
  <c r="R1832" i="5"/>
  <c r="V1832" i="5" s="1"/>
  <c r="Q601" i="5"/>
  <c r="V115" i="5"/>
  <c r="W1192" i="5"/>
  <c r="V1496" i="5"/>
  <c r="V572" i="5"/>
  <c r="Q1953" i="5"/>
  <c r="Q1243" i="5"/>
  <c r="R1243" i="5"/>
  <c r="V1243" i="5" s="1"/>
  <c r="Q2005" i="5"/>
  <c r="Q1569" i="5"/>
  <c r="Q1479" i="5"/>
  <c r="Q1172" i="5"/>
  <c r="Q1008" i="5"/>
  <c r="S879" i="5"/>
  <c r="W300" i="5"/>
  <c r="V1274" i="5"/>
  <c r="V948" i="5"/>
  <c r="R1628" i="5"/>
  <c r="V1628" i="5" s="1"/>
  <c r="V52" i="5"/>
  <c r="Q1308" i="5"/>
  <c r="V1439" i="5"/>
  <c r="V914" i="5"/>
  <c r="W1095" i="5"/>
  <c r="R519" i="5"/>
  <c r="V519" i="5" s="1"/>
  <c r="Q1966" i="5"/>
  <c r="Q2022" i="5"/>
  <c r="R2044" i="5"/>
  <c r="V2044" i="5" s="1"/>
  <c r="Q1672" i="5"/>
  <c r="Q1465" i="5"/>
  <c r="W854" i="5"/>
  <c r="Q717" i="5"/>
  <c r="Q357" i="5"/>
  <c r="V596" i="5"/>
  <c r="Q552" i="5"/>
  <c r="R897" i="5"/>
  <c r="V897" i="5" s="1"/>
  <c r="Q470" i="5"/>
  <c r="V1594" i="5"/>
  <c r="V679" i="5"/>
  <c r="Q255" i="5"/>
  <c r="V243" i="5"/>
  <c r="R1531" i="5"/>
  <c r="V1531" i="5" s="1"/>
  <c r="Q160" i="5"/>
  <c r="V498" i="5"/>
  <c r="R424" i="5"/>
  <c r="V424" i="5" s="1"/>
  <c r="V1737" i="5"/>
  <c r="Q1829" i="5"/>
  <c r="Q1274" i="5"/>
  <c r="Q479" i="5"/>
  <c r="V257" i="5"/>
  <c r="V1978" i="5"/>
  <c r="V1322" i="5"/>
  <c r="V658" i="5"/>
  <c r="R800" i="5"/>
  <c r="V800" i="5" s="1"/>
  <c r="V227" i="5"/>
  <c r="Q145" i="5"/>
  <c r="W879" i="5"/>
  <c r="W1212" i="5"/>
  <c r="Q1824" i="5"/>
  <c r="Q1872" i="5"/>
  <c r="Q1675" i="5"/>
  <c r="Q1609" i="5"/>
  <c r="R1538" i="5"/>
  <c r="V1538" i="5" s="1"/>
  <c r="Q1128" i="5"/>
  <c r="V973" i="5"/>
  <c r="W1217" i="5"/>
  <c r="R737" i="5"/>
  <c r="V737" i="5" s="1"/>
  <c r="Q462" i="5"/>
  <c r="Q535" i="5"/>
  <c r="Q546" i="5"/>
  <c r="V1770" i="5"/>
  <c r="V1327" i="5"/>
  <c r="V1071" i="5"/>
  <c r="R729" i="5"/>
  <c r="V729" i="5" s="1"/>
  <c r="R1430" i="5"/>
  <c r="V1430" i="5" s="1"/>
  <c r="Q1905" i="5"/>
  <c r="Q2043" i="5"/>
  <c r="Q1816" i="5"/>
  <c r="Q1654" i="5"/>
  <c r="Q1382" i="5"/>
  <c r="V607" i="5"/>
  <c r="V533" i="5"/>
  <c r="Q437" i="5"/>
  <c r="V1666" i="5"/>
  <c r="R556" i="5"/>
  <c r="V556" i="5" s="1"/>
  <c r="R703" i="5"/>
  <c r="V703" i="5" s="1"/>
  <c r="V1505" i="5"/>
  <c r="S1354" i="5"/>
  <c r="R1554" i="5"/>
  <c r="V1554" i="5" s="1"/>
  <c r="R1687" i="5"/>
  <c r="V1687" i="5" s="1"/>
  <c r="Q1492" i="5"/>
  <c r="Q995" i="5"/>
  <c r="V557" i="5"/>
  <c r="R689" i="5"/>
  <c r="V689" i="5" s="1"/>
  <c r="R356" i="5"/>
  <c r="V356" i="5" s="1"/>
  <c r="V1236" i="5"/>
  <c r="W291" i="5"/>
  <c r="Q156" i="5"/>
  <c r="Q665" i="5"/>
  <c r="R20" i="5"/>
  <c r="V20" i="5" s="1"/>
  <c r="S395" i="5"/>
  <c r="W410" i="5"/>
  <c r="V1309" i="5"/>
  <c r="R1347" i="5"/>
  <c r="R305" i="5"/>
  <c r="R1094" i="5"/>
  <c r="V1056" i="5"/>
  <c r="R369" i="5"/>
  <c r="R407" i="5" s="1"/>
  <c r="V663" i="5"/>
  <c r="Q2011" i="5"/>
  <c r="Q1949" i="5"/>
  <c r="R1655" i="5"/>
  <c r="V1655" i="5" s="1"/>
  <c r="Q825" i="5"/>
  <c r="Q678" i="5"/>
  <c r="Q165" i="5"/>
  <c r="Q29" i="5"/>
  <c r="S270" i="5"/>
  <c r="V1333" i="5"/>
  <c r="V481" i="5"/>
  <c r="Q332" i="5"/>
  <c r="V1690" i="5"/>
  <c r="Q1690" i="5"/>
  <c r="Q1505" i="5"/>
  <c r="R1241" i="5"/>
  <c r="V1241" i="5" s="1"/>
  <c r="S868" i="5"/>
  <c r="Q798" i="5"/>
  <c r="V46" i="5"/>
  <c r="V1230" i="5"/>
  <c r="V1794" i="5"/>
  <c r="R1123" i="5"/>
  <c r="V1123" i="5" s="1"/>
  <c r="Q1123" i="5"/>
  <c r="Q1167" i="5"/>
  <c r="Q1326" i="5"/>
  <c r="Q1043" i="5"/>
  <c r="Q534" i="5"/>
  <c r="Q364" i="5"/>
  <c r="Q113" i="5"/>
  <c r="Q11" i="5"/>
  <c r="V1749" i="5"/>
  <c r="W295" i="5"/>
  <c r="S845" i="5"/>
  <c r="Q637" i="5"/>
  <c r="Q1594" i="5"/>
  <c r="R495" i="5"/>
  <c r="V495" i="5" s="1"/>
  <c r="Q1463" i="5"/>
  <c r="R1463" i="5"/>
  <c r="V1463" i="5" s="1"/>
  <c r="V912" i="5"/>
  <c r="R427" i="5"/>
  <c r="V427" i="5" s="1"/>
  <c r="R66" i="5"/>
  <c r="V66" i="5" s="1"/>
  <c r="S872" i="5"/>
  <c r="R216" i="5"/>
  <c r="V216" i="5" s="1"/>
  <c r="W1343" i="5"/>
  <c r="S412" i="5"/>
  <c r="R615" i="5"/>
  <c r="V615" i="5" s="1"/>
  <c r="Q721" i="5"/>
  <c r="V1961" i="5"/>
  <c r="R246" i="5"/>
  <c r="V246" i="5" s="1"/>
  <c r="Q50" i="5"/>
  <c r="R1591" i="5"/>
  <c r="V1591" i="5" s="1"/>
  <c r="Q1748" i="5"/>
  <c r="Q661" i="5"/>
  <c r="Q1322" i="5"/>
  <c r="Q1175" i="5"/>
  <c r="R743" i="5"/>
  <c r="V743" i="5" s="1"/>
  <c r="Q691" i="5"/>
  <c r="Q528" i="5"/>
  <c r="V1424" i="5"/>
  <c r="W293" i="5"/>
  <c r="R197" i="5"/>
  <c r="V197" i="5" s="1"/>
  <c r="V1916" i="5"/>
  <c r="V1791" i="5"/>
  <c r="R1489" i="5"/>
  <c r="V1489" i="5" s="1"/>
  <c r="V1620" i="5"/>
  <c r="V2037" i="5"/>
  <c r="R1083" i="5"/>
  <c r="V909" i="5"/>
  <c r="S1204" i="5"/>
  <c r="V1756" i="5"/>
  <c r="Q1056" i="5"/>
  <c r="Q685" i="5"/>
  <c r="V1266" i="5"/>
  <c r="V1717" i="5"/>
  <c r="R1775" i="5"/>
  <c r="V1775" i="5" s="1"/>
  <c r="Q2016" i="5"/>
  <c r="Q1394" i="5"/>
  <c r="Q443" i="5"/>
  <c r="R1647" i="5"/>
  <c r="V1647" i="5" s="1"/>
  <c r="W1101" i="5"/>
  <c r="Q1153" i="5"/>
  <c r="V722" i="5"/>
  <c r="Q613" i="5"/>
  <c r="R2030" i="5"/>
  <c r="V2030" i="5" s="1"/>
  <c r="R1798" i="5"/>
  <c r="V1798" i="5" s="1"/>
  <c r="Q1921" i="5"/>
  <c r="Q1656" i="5"/>
  <c r="Q1533" i="5"/>
  <c r="Q999" i="5"/>
  <c r="R1075" i="5" s="1"/>
  <c r="V233" i="5"/>
  <c r="S1348" i="5"/>
  <c r="V30" i="5"/>
  <c r="V732" i="5"/>
  <c r="Q1980" i="5"/>
  <c r="Q625" i="5"/>
  <c r="S387" i="5"/>
  <c r="V191" i="5"/>
  <c r="R453" i="5"/>
  <c r="V453" i="5" s="1"/>
  <c r="S300" i="5"/>
  <c r="V1110" i="5"/>
  <c r="V919" i="5"/>
  <c r="V1600" i="5"/>
  <c r="Q1327" i="5"/>
  <c r="Q1066" i="5"/>
  <c r="Q537" i="5"/>
  <c r="Q587" i="5"/>
  <c r="Q1789" i="5"/>
  <c r="Q1018" i="5"/>
  <c r="V249" i="5"/>
  <c r="Q2039" i="5"/>
  <c r="Q334" i="5"/>
  <c r="V723" i="5"/>
  <c r="R1846" i="5"/>
  <c r="V1846" i="5" s="1"/>
  <c r="R1272" i="5"/>
  <c r="R1348" i="5" s="1"/>
  <c r="Q1281" i="5"/>
  <c r="Q1139" i="5"/>
  <c r="Q1022" i="5"/>
  <c r="R1098" i="5" s="1"/>
  <c r="Q797" i="5"/>
  <c r="W290" i="5"/>
  <c r="R1809" i="5"/>
  <c r="V1809" i="5" s="1"/>
  <c r="Q1978" i="5"/>
  <c r="V653" i="5"/>
  <c r="Q64" i="5"/>
  <c r="V48" i="5"/>
  <c r="V1571" i="5"/>
  <c r="R187" i="5"/>
  <c r="V187" i="5" s="1"/>
  <c r="Q346" i="5"/>
  <c r="V612" i="5"/>
  <c r="V1456" i="5"/>
  <c r="Q1162" i="5"/>
  <c r="R1162" i="5"/>
  <c r="V1162" i="5" s="1"/>
  <c r="Q2047" i="5"/>
  <c r="Q1911" i="5"/>
  <c r="Q1806" i="5"/>
  <c r="Q1915" i="5"/>
  <c r="Q1268" i="5"/>
  <c r="R1508" i="5"/>
  <c r="V1508" i="5" s="1"/>
  <c r="Q1400" i="5"/>
  <c r="Q1228" i="5"/>
  <c r="Q1125" i="5"/>
  <c r="Q953" i="5"/>
  <c r="Q778" i="5"/>
  <c r="Q636" i="5"/>
  <c r="Q425" i="5"/>
  <c r="Q52" i="5"/>
  <c r="R1528" i="5"/>
  <c r="V1528" i="5" s="1"/>
  <c r="Q1723" i="5"/>
  <c r="R1730" i="5"/>
  <c r="V1730" i="5" s="1"/>
  <c r="R1024" i="5"/>
  <c r="V1024" i="5" s="1"/>
  <c r="W1187" i="5"/>
  <c r="Q221" i="5"/>
  <c r="R793" i="5"/>
  <c r="V793" i="5" s="1"/>
  <c r="Q1600" i="5"/>
  <c r="R1257" i="5"/>
  <c r="V1257" i="5" s="1"/>
  <c r="Q1935" i="5"/>
  <c r="R1763" i="5"/>
  <c r="V1763" i="5" s="1"/>
  <c r="R1629" i="5"/>
  <c r="V1629" i="5" s="1"/>
  <c r="Q2006" i="5"/>
  <c r="V1695" i="5"/>
  <c r="Q1014" i="5"/>
  <c r="Q563" i="5"/>
  <c r="Q142" i="5"/>
  <c r="V1172" i="5"/>
  <c r="V1728" i="5"/>
  <c r="V448" i="5"/>
  <c r="S389" i="5"/>
  <c r="V1238" i="5"/>
  <c r="R1611" i="5"/>
  <c r="V1611" i="5" s="1"/>
  <c r="V660" i="5"/>
  <c r="V1415" i="5"/>
  <c r="Q1906" i="5"/>
  <c r="V1175" i="5"/>
  <c r="Q1265" i="5"/>
  <c r="Q1112" i="5"/>
  <c r="R819" i="5"/>
  <c r="V819" i="5" s="1"/>
  <c r="V696" i="5"/>
  <c r="R614" i="5"/>
  <c r="V614" i="5" s="1"/>
  <c r="Q212" i="5"/>
  <c r="Q40" i="5"/>
  <c r="S274" i="5"/>
  <c r="R1714" i="5"/>
  <c r="V1714" i="5" s="1"/>
  <c r="Q267" i="5"/>
  <c r="V119" i="5"/>
  <c r="V91" i="5"/>
  <c r="Q175" i="5"/>
  <c r="Q478" i="5"/>
  <c r="R638" i="5"/>
  <c r="V638" i="5" s="1"/>
  <c r="Q638" i="5"/>
  <c r="V1944" i="5"/>
  <c r="Q570" i="5"/>
  <c r="R146" i="5"/>
  <c r="V146" i="5" s="1"/>
  <c r="V109" i="5"/>
  <c r="S1099" i="5"/>
  <c r="S411" i="5"/>
  <c r="W1094" i="5"/>
  <c r="V760" i="5"/>
  <c r="V1777" i="5"/>
  <c r="R938" i="5"/>
  <c r="V938" i="5" s="1"/>
  <c r="S1342" i="5"/>
  <c r="V1821" i="5"/>
  <c r="V1543" i="5"/>
  <c r="Q1879" i="5"/>
  <c r="V1899" i="5"/>
  <c r="Q35" i="5"/>
  <c r="V1650" i="5"/>
  <c r="V1259" i="5"/>
  <c r="S852" i="5"/>
  <c r="R1738" i="5"/>
  <c r="V1738" i="5" s="1"/>
  <c r="Q1738" i="5"/>
  <c r="Q1844" i="5"/>
  <c r="Q572" i="5"/>
  <c r="S385" i="5"/>
  <c r="V2004" i="5"/>
  <c r="S1359" i="5"/>
  <c r="R327" i="5"/>
  <c r="R403" i="5" s="1"/>
  <c r="V1701" i="5"/>
  <c r="V1985" i="5"/>
  <c r="R1869" i="5"/>
  <c r="V1869" i="5" s="1"/>
  <c r="R1567" i="5"/>
  <c r="V1567" i="5" s="1"/>
  <c r="Q1384" i="5"/>
  <c r="Q229" i="5"/>
  <c r="S283" i="5"/>
  <c r="V836" i="5"/>
  <c r="V2014" i="5"/>
  <c r="R2008" i="5"/>
  <c r="V2008" i="5" s="1"/>
  <c r="Q1866" i="5"/>
  <c r="R1981" i="5"/>
  <c r="V1981" i="5" s="1"/>
  <c r="R1631" i="5"/>
  <c r="V1631" i="5" s="1"/>
  <c r="Q1705" i="5"/>
  <c r="R887" i="5"/>
  <c r="V887" i="5" s="1"/>
  <c r="Q1059" i="5"/>
  <c r="W875" i="5"/>
  <c r="Q731" i="5"/>
  <c r="V752" i="5"/>
  <c r="Q492" i="5"/>
  <c r="Q368" i="5"/>
  <c r="V41" i="5"/>
  <c r="Q370" i="5"/>
  <c r="R408" i="5" s="1"/>
  <c r="S303" i="5"/>
  <c r="V958" i="5"/>
  <c r="V940" i="5"/>
  <c r="Q952" i="5"/>
  <c r="R1969" i="5"/>
  <c r="V1969" i="5" s="1"/>
  <c r="Q2026" i="5"/>
  <c r="R1801" i="5"/>
  <c r="V1801" i="5" s="1"/>
  <c r="V515" i="5"/>
  <c r="S298" i="5"/>
  <c r="R526" i="5"/>
  <c r="V526" i="5" s="1"/>
  <c r="R1707" i="5"/>
  <c r="V1707" i="5" s="1"/>
  <c r="Q1707" i="5"/>
  <c r="W404" i="5"/>
  <c r="Q1439" i="5"/>
  <c r="V1226" i="5"/>
  <c r="W288" i="5"/>
  <c r="Q1309" i="5"/>
  <c r="Q126" i="5"/>
  <c r="Q1681" i="5"/>
  <c r="Q1792" i="5"/>
  <c r="V899" i="5"/>
  <c r="V2057" i="5"/>
  <c r="Q1767" i="5"/>
  <c r="Q931" i="5"/>
  <c r="V762" i="5"/>
  <c r="Q1931" i="5"/>
  <c r="V1644" i="5"/>
  <c r="W1200" i="5"/>
  <c r="V647" i="5"/>
  <c r="R1213" i="5"/>
  <c r="V157" i="5"/>
  <c r="R783" i="5"/>
  <c r="V783" i="5" s="1"/>
  <c r="Q783" i="5"/>
  <c r="R933" i="5"/>
  <c r="V933" i="5" s="1"/>
  <c r="Q933" i="5"/>
  <c r="W1368" i="5"/>
  <c r="F1368" i="5"/>
  <c r="R167" i="5"/>
  <c r="V167" i="5" s="1"/>
  <c r="Q167" i="5"/>
  <c r="R1634" i="5"/>
  <c r="V1634" i="5" s="1"/>
  <c r="Q1634" i="5"/>
  <c r="Q1877" i="5"/>
  <c r="R1877" i="5"/>
  <c r="V1877" i="5" s="1"/>
  <c r="R447" i="5"/>
  <c r="V447" i="5" s="1"/>
  <c r="Q447" i="5"/>
  <c r="S281" i="5"/>
  <c r="V205" i="5"/>
  <c r="Q812" i="5"/>
  <c r="R812" i="5"/>
  <c r="V812" i="5" s="1"/>
  <c r="R95" i="5"/>
  <c r="V95" i="5" s="1"/>
  <c r="R150" i="5"/>
  <c r="V150" i="5" s="1"/>
  <c r="Q150" i="5"/>
  <c r="R230" i="5"/>
  <c r="V230" i="5" s="1"/>
  <c r="Q230" i="5"/>
  <c r="R117" i="5"/>
  <c r="V117" i="5" s="1"/>
  <c r="Q117" i="5"/>
  <c r="R337" i="5"/>
  <c r="Q337" i="5"/>
  <c r="R335" i="5"/>
  <c r="V335" i="5" s="1"/>
  <c r="Q335" i="5"/>
  <c r="R649" i="5"/>
  <c r="V649" i="5" s="1"/>
  <c r="Q649" i="5"/>
  <c r="R1329" i="5"/>
  <c r="V1329" i="5" s="1"/>
  <c r="Q1329" i="5"/>
  <c r="R781" i="5"/>
  <c r="V781" i="5" s="1"/>
  <c r="Q781" i="5"/>
  <c r="Q131" i="5"/>
  <c r="R131" i="5"/>
  <c r="V131" i="5" s="1"/>
  <c r="R455" i="5"/>
  <c r="V455" i="5" s="1"/>
  <c r="Q455" i="5"/>
  <c r="S1366" i="5"/>
  <c r="Q1774" i="5"/>
  <c r="F1342" i="5"/>
  <c r="W1342" i="5"/>
  <c r="R1587" i="5"/>
  <c r="V1587" i="5" s="1"/>
  <c r="Q1587" i="5"/>
  <c r="F283" i="5"/>
  <c r="W283" i="5"/>
  <c r="F297" i="5"/>
  <c r="W297" i="5"/>
  <c r="R2018" i="5"/>
  <c r="V2018" i="5" s="1"/>
  <c r="Q2018" i="5"/>
  <c r="R827" i="5"/>
  <c r="V827" i="5" s="1"/>
  <c r="Q827" i="5"/>
  <c r="R112" i="5"/>
  <c r="V112" i="5" s="1"/>
  <c r="Q112" i="5"/>
  <c r="R154" i="5"/>
  <c r="V154" i="5" s="1"/>
  <c r="Q154" i="5"/>
  <c r="F1364" i="5"/>
  <c r="W1364" i="5"/>
  <c r="R266" i="5"/>
  <c r="V266" i="5" s="1"/>
  <c r="Q266" i="5"/>
  <c r="R1511" i="5"/>
  <c r="V1511" i="5" s="1"/>
  <c r="Q1511" i="5"/>
  <c r="R9" i="5"/>
  <c r="V9" i="5" s="1"/>
  <c r="Q9" i="5"/>
  <c r="R480" i="5"/>
  <c r="V480" i="5" s="1"/>
  <c r="Q480" i="5"/>
  <c r="R311" i="5"/>
  <c r="V311" i="5" s="1"/>
  <c r="Q311" i="5"/>
  <c r="Q723" i="5"/>
  <c r="R132" i="5"/>
  <c r="V132" i="5" s="1"/>
  <c r="Q132" i="5"/>
  <c r="R517" i="5"/>
  <c r="V517" i="5" s="1"/>
  <c r="Q517" i="5"/>
  <c r="Q730" i="5"/>
  <c r="R730" i="5"/>
  <c r="V730" i="5" s="1"/>
  <c r="R1032" i="5"/>
  <c r="V1032" i="5" s="1"/>
  <c r="Q1032" i="5"/>
  <c r="Q634" i="5"/>
  <c r="R634" i="5"/>
  <c r="V634" i="5" s="1"/>
  <c r="R1127" i="5"/>
  <c r="R1203" i="5" s="1"/>
  <c r="Q1127" i="5"/>
  <c r="Q1627" i="5"/>
  <c r="R1627" i="5"/>
  <c r="V1627" i="5" s="1"/>
  <c r="Q1982" i="5"/>
  <c r="R1982" i="5"/>
  <c r="V1982" i="5" s="1"/>
  <c r="R1907" i="5"/>
  <c r="V1907" i="5" s="1"/>
  <c r="Q1907" i="5"/>
  <c r="R1446" i="5"/>
  <c r="V1446" i="5" s="1"/>
  <c r="Q1446" i="5"/>
  <c r="R1129" i="5"/>
  <c r="V1129" i="5" s="1"/>
  <c r="Q1129" i="5"/>
  <c r="V1606" i="5"/>
  <c r="V891" i="5"/>
  <c r="Q741" i="5"/>
  <c r="R741" i="5"/>
  <c r="V741" i="5" s="1"/>
  <c r="R1840" i="5"/>
  <c r="V1840" i="5" s="1"/>
  <c r="Q1840" i="5"/>
  <c r="R1245" i="5"/>
  <c r="V1245" i="5" s="1"/>
  <c r="Q1245" i="5"/>
  <c r="R1417" i="5"/>
  <c r="V1417" i="5" s="1"/>
  <c r="Q1417" i="5"/>
  <c r="R1498" i="5"/>
  <c r="V1498" i="5" s="1"/>
  <c r="Q1498" i="5"/>
  <c r="Q452" i="5"/>
  <c r="R452" i="5"/>
  <c r="V452" i="5" s="1"/>
  <c r="Q1694" i="5"/>
  <c r="R1694" i="5"/>
  <c r="V1694" i="5" s="1"/>
  <c r="R463" i="5"/>
  <c r="V463" i="5" s="1"/>
  <c r="Q463" i="5"/>
  <c r="Q688" i="5"/>
  <c r="R688" i="5"/>
  <c r="V688" i="5" s="1"/>
  <c r="W1221" i="5"/>
  <c r="F1221" i="5"/>
  <c r="V733" i="5"/>
  <c r="R675" i="5"/>
  <c r="V675" i="5" s="1"/>
  <c r="R713" i="5"/>
  <c r="V713" i="5" s="1"/>
  <c r="Q1886" i="5"/>
  <c r="R1886" i="5"/>
  <c r="V1886" i="5" s="1"/>
  <c r="R581" i="5"/>
  <c r="V581" i="5" s="1"/>
  <c r="Q581" i="5"/>
  <c r="R34" i="5"/>
  <c r="V34" i="5" s="1"/>
  <c r="Q34" i="5"/>
  <c r="R946" i="5"/>
  <c r="V946" i="5" s="1"/>
  <c r="Q946" i="5"/>
  <c r="Q1171" i="5"/>
  <c r="R1171" i="5"/>
  <c r="V1171" i="5" s="1"/>
  <c r="R1063" i="5"/>
  <c r="V1063" i="5" s="1"/>
  <c r="Q1063" i="5"/>
  <c r="R1119" i="5"/>
  <c r="V1119" i="5" s="1"/>
  <c r="Q970" i="5"/>
  <c r="R970" i="5"/>
  <c r="V970" i="5" s="1"/>
  <c r="R206" i="5"/>
  <c r="R282" i="5" s="1"/>
  <c r="Q206" i="5"/>
  <c r="R93" i="5"/>
  <c r="V93" i="5" s="1"/>
  <c r="Q93" i="5"/>
  <c r="Q108" i="5"/>
  <c r="R108" i="5"/>
  <c r="V108" i="5" s="1"/>
  <c r="R744" i="5"/>
  <c r="V744" i="5" s="1"/>
  <c r="Q744" i="5"/>
  <c r="Q1393" i="5"/>
  <c r="R1393" i="5"/>
  <c r="V1393" i="5" s="1"/>
  <c r="R1746" i="5"/>
  <c r="V1746" i="5" s="1"/>
  <c r="Q1728" i="5"/>
  <c r="Q925" i="5"/>
  <c r="R422" i="5"/>
  <c r="V422" i="5" s="1"/>
  <c r="Q422" i="5"/>
  <c r="R147" i="5"/>
  <c r="V147" i="5" s="1"/>
  <c r="Q147" i="5"/>
  <c r="R426" i="5"/>
  <c r="V426" i="5" s="1"/>
  <c r="Q426" i="5"/>
  <c r="R507" i="5"/>
  <c r="V507" i="5" s="1"/>
  <c r="Q507" i="5"/>
  <c r="R377" i="5"/>
  <c r="V377" i="5" s="1"/>
  <c r="Q377" i="5"/>
  <c r="R725" i="5"/>
  <c r="V725" i="5" s="1"/>
  <c r="Q223" i="5"/>
  <c r="Q732" i="5"/>
  <c r="R315" i="5"/>
  <c r="V315" i="5" s="1"/>
  <c r="Q315" i="5"/>
  <c r="Q499" i="5"/>
  <c r="R499" i="5"/>
  <c r="V499" i="5" s="1"/>
  <c r="R1853" i="5"/>
  <c r="V1853" i="5" s="1"/>
  <c r="Q1853" i="5"/>
  <c r="R1545" i="5"/>
  <c r="V1545" i="5" s="1"/>
  <c r="Q1545" i="5"/>
  <c r="R719" i="5"/>
  <c r="V719" i="5" s="1"/>
  <c r="Q719" i="5"/>
  <c r="R728" i="5"/>
  <c r="V728" i="5" s="1"/>
  <c r="Q728" i="5"/>
  <c r="Q565" i="5"/>
  <c r="R565" i="5"/>
  <c r="V565" i="5" s="1"/>
  <c r="V255" i="5"/>
  <c r="R293" i="5"/>
  <c r="Q1558" i="5"/>
  <c r="R1558" i="5"/>
  <c r="V1558" i="5" s="1"/>
  <c r="R794" i="5"/>
  <c r="V794" i="5" s="1"/>
  <c r="Q794" i="5"/>
  <c r="V1902" i="5"/>
  <c r="Q2010" i="5"/>
  <c r="R2010" i="5"/>
  <c r="V2010" i="5" s="1"/>
  <c r="Q1764" i="5"/>
  <c r="R1764" i="5"/>
  <c r="V1764" i="5" s="1"/>
  <c r="R1436" i="5"/>
  <c r="V1436" i="5" s="1"/>
  <c r="Q1436" i="5"/>
  <c r="R410" i="5"/>
  <c r="V843" i="5"/>
  <c r="R505" i="5"/>
  <c r="V505" i="5" s="1"/>
  <c r="Q505" i="5"/>
  <c r="R687" i="5"/>
  <c r="V687" i="5" s="1"/>
  <c r="Q687" i="5"/>
  <c r="R1624" i="5"/>
  <c r="V1624" i="5" s="1"/>
  <c r="Q1624" i="5"/>
  <c r="V82" i="5"/>
  <c r="Q1999" i="5"/>
  <c r="R1999" i="5"/>
  <c r="V1999" i="5" s="1"/>
  <c r="Q1248" i="5"/>
  <c r="R1248" i="5"/>
  <c r="V1248" i="5" s="1"/>
  <c r="R466" i="5"/>
  <c r="V466" i="5" s="1"/>
  <c r="Q466" i="5"/>
  <c r="R39" i="5"/>
  <c r="V39" i="5" s="1"/>
  <c r="Q39" i="5"/>
  <c r="Q79" i="5"/>
  <c r="R79" i="5"/>
  <c r="V79" i="5" s="1"/>
  <c r="R957" i="5"/>
  <c r="V957" i="5" s="1"/>
  <c r="Q957" i="5"/>
  <c r="R1837" i="5"/>
  <c r="V1837" i="5" s="1"/>
  <c r="Q1837" i="5"/>
  <c r="Q610" i="5"/>
  <c r="R610" i="5"/>
  <c r="V610" i="5" s="1"/>
  <c r="R1020" i="5"/>
  <c r="V1020" i="5" s="1"/>
  <c r="R746" i="5"/>
  <c r="V746" i="5" s="1"/>
  <c r="Q746" i="5"/>
  <c r="S1187" i="5"/>
  <c r="R1104" i="5"/>
  <c r="F1077" i="5"/>
  <c r="W1077" i="5"/>
  <c r="R1997" i="5"/>
  <c r="V1997" i="5" s="1"/>
  <c r="Q1997" i="5"/>
  <c r="Q1760" i="5"/>
  <c r="R1760" i="5"/>
  <c r="V1760" i="5" s="1"/>
  <c r="V496" i="5"/>
  <c r="R1516" i="5"/>
  <c r="V1516" i="5" s="1"/>
  <c r="Q1516" i="5"/>
  <c r="V1804" i="5"/>
  <c r="R980" i="5"/>
  <c r="V980" i="5" s="1"/>
  <c r="Q980" i="5"/>
  <c r="S1199" i="5"/>
  <c r="Q738" i="5"/>
  <c r="R738" i="5"/>
  <c r="V738" i="5" s="1"/>
  <c r="R936" i="5"/>
  <c r="V936" i="5" s="1"/>
  <c r="Q936" i="5"/>
  <c r="R1155" i="5"/>
  <c r="V1155" i="5" s="1"/>
  <c r="Q1155" i="5"/>
  <c r="R1977" i="5"/>
  <c r="V1977" i="5" s="1"/>
  <c r="R1376" i="5"/>
  <c r="V1376" i="5" s="1"/>
  <c r="V141" i="5"/>
  <c r="Q1561" i="5"/>
  <c r="Q677" i="5"/>
  <c r="R677" i="5"/>
  <c r="V677" i="5" s="1"/>
  <c r="R1509" i="5"/>
  <c r="V1509" i="5" s="1"/>
  <c r="Q1509" i="5"/>
  <c r="Q1729" i="5"/>
  <c r="R1729" i="5"/>
  <c r="V1729" i="5" s="1"/>
  <c r="R1143" i="5"/>
  <c r="V1143" i="5" s="1"/>
  <c r="Q1143" i="5"/>
  <c r="Q889" i="5"/>
  <c r="R889" i="5"/>
  <c r="V889" i="5" s="1"/>
  <c r="R1910" i="5"/>
  <c r="V1910" i="5" s="1"/>
  <c r="V972" i="5"/>
  <c r="Q521" i="5"/>
  <c r="R1733" i="5"/>
  <c r="V1733" i="5" s="1"/>
  <c r="Q1733" i="5"/>
  <c r="R451" i="5"/>
  <c r="V451" i="5" s="1"/>
  <c r="Q451" i="5"/>
  <c r="R86" i="5"/>
  <c r="V86" i="5" s="1"/>
  <c r="R125" i="5"/>
  <c r="V125" i="5" s="1"/>
  <c r="Q125" i="5"/>
  <c r="R1252" i="5"/>
  <c r="V1252" i="5" s="1"/>
  <c r="Q1252" i="5"/>
  <c r="R1667" i="5"/>
  <c r="V1667" i="5" s="1"/>
  <c r="Q1667" i="5"/>
  <c r="R1526" i="5"/>
  <c r="V1526" i="5" s="1"/>
  <c r="Q1526" i="5"/>
  <c r="R1797" i="5"/>
  <c r="V1797" i="5" s="1"/>
  <c r="Q1797" i="5"/>
  <c r="Q450" i="5"/>
  <c r="Q702" i="5"/>
  <c r="Q1297" i="5"/>
  <c r="Q791" i="5"/>
  <c r="R194" i="5"/>
  <c r="V194" i="5" s="1"/>
  <c r="Q194" i="5"/>
  <c r="R1231" i="5"/>
  <c r="V1231" i="5" s="1"/>
  <c r="Q1231" i="5"/>
  <c r="R1574" i="5"/>
  <c r="V1574" i="5" s="1"/>
  <c r="Q1574" i="5"/>
  <c r="Q1717" i="5"/>
  <c r="Q1571" i="5"/>
  <c r="V1500" i="5"/>
  <c r="Q496" i="5"/>
  <c r="V11" i="5"/>
  <c r="R1834" i="5"/>
  <c r="V1834" i="5" s="1"/>
  <c r="Q1834" i="5"/>
  <c r="Q1922" i="5"/>
  <c r="R1922" i="5"/>
  <c r="V1922" i="5" s="1"/>
  <c r="R1136" i="5"/>
  <c r="V1136" i="5" s="1"/>
  <c r="Q1136" i="5"/>
  <c r="R787" i="5"/>
  <c r="V787" i="5" s="1"/>
  <c r="Q787" i="5"/>
  <c r="R542" i="5"/>
  <c r="V542" i="5" s="1"/>
  <c r="Q542" i="5"/>
  <c r="R777" i="5"/>
  <c r="R853" i="5" s="1"/>
  <c r="Q777" i="5"/>
  <c r="V674" i="5"/>
  <c r="V1814" i="5"/>
  <c r="R1887" i="5"/>
  <c r="V1887" i="5" s="1"/>
  <c r="Q1887" i="5"/>
  <c r="V1014" i="5"/>
  <c r="R1250" i="5"/>
  <c r="V1250" i="5" s="1"/>
  <c r="Q1250" i="5"/>
  <c r="Q1445" i="5"/>
  <c r="Q1960" i="5"/>
  <c r="Q1961" i="5"/>
  <c r="Q1319" i="5"/>
  <c r="R1319" i="5"/>
  <c r="V1319" i="5" s="1"/>
  <c r="R24" i="5"/>
  <c r="V24" i="5" s="1"/>
  <c r="Q24" i="5"/>
  <c r="F877" i="5"/>
  <c r="W877" i="5"/>
  <c r="Q651" i="5"/>
  <c r="R651" i="5"/>
  <c r="V651" i="5" s="1"/>
  <c r="Q1791" i="5"/>
  <c r="W1098" i="5"/>
  <c r="Q971" i="5"/>
  <c r="R1030" i="5"/>
  <c r="V1030" i="5" s="1"/>
  <c r="V1654" i="5"/>
  <c r="Q1583" i="5"/>
  <c r="R1583" i="5"/>
  <c r="V1583" i="5" s="1"/>
  <c r="R1625" i="5"/>
  <c r="V1625" i="5" s="1"/>
  <c r="Q1625" i="5"/>
  <c r="V1260" i="5"/>
  <c r="F397" i="5"/>
  <c r="W397" i="5"/>
  <c r="V637" i="5"/>
  <c r="R124" i="5"/>
  <c r="V124" i="5" s="1"/>
  <c r="Q124" i="5"/>
  <c r="Q379" i="5"/>
  <c r="R379" i="5"/>
  <c r="V379" i="5" s="1"/>
  <c r="R967" i="5"/>
  <c r="V967" i="5" s="1"/>
  <c r="Q967" i="5"/>
  <c r="R1896" i="5"/>
  <c r="V1896" i="5" s="1"/>
  <c r="Q1896" i="5"/>
  <c r="V1579" i="5"/>
  <c r="Q650" i="5"/>
  <c r="Q45" i="5"/>
  <c r="V1638" i="5"/>
  <c r="V1825" i="5"/>
  <c r="R671" i="5"/>
  <c r="V671" i="5" s="1"/>
  <c r="Q671" i="5"/>
  <c r="V736" i="5"/>
  <c r="R54" i="5"/>
  <c r="V54" i="5" s="1"/>
  <c r="Q54" i="5"/>
  <c r="V1852" i="5"/>
  <c r="R1555" i="5"/>
  <c r="V1555" i="5" s="1"/>
  <c r="Q1555" i="5"/>
  <c r="V625" i="5"/>
  <c r="R1958" i="5"/>
  <c r="V1958" i="5" s="1"/>
  <c r="Q1958" i="5"/>
  <c r="Q621" i="5"/>
  <c r="W1082" i="5"/>
  <c r="Q1180" i="5"/>
  <c r="R1180" i="5"/>
  <c r="Q360" i="5"/>
  <c r="R360" i="5"/>
  <c r="R398" i="5" s="1"/>
  <c r="V168" i="5"/>
  <c r="V84" i="5"/>
  <c r="V1484" i="5"/>
  <c r="V1636" i="5"/>
  <c r="V1678" i="5"/>
  <c r="S407" i="5"/>
  <c r="R1845" i="5"/>
  <c r="V1845" i="5" s="1"/>
  <c r="Q1845" i="5"/>
  <c r="V105" i="5"/>
  <c r="R898" i="5"/>
  <c r="V898" i="5" s="1"/>
  <c r="Q898" i="5"/>
  <c r="V559" i="5"/>
  <c r="V636" i="5"/>
  <c r="S1203" i="5"/>
  <c r="V97" i="5"/>
  <c r="V905" i="5"/>
  <c r="V1043" i="5"/>
  <c r="V237" i="5"/>
  <c r="R1130" i="5"/>
  <c r="Q1130" i="5"/>
  <c r="V778" i="5"/>
  <c r="V239" i="5"/>
  <c r="V485" i="5"/>
  <c r="R397" i="5"/>
  <c r="V995" i="5"/>
  <c r="S1081" i="5"/>
  <c r="V893" i="5"/>
  <c r="V1787" i="5"/>
  <c r="Q1739" i="5"/>
  <c r="R1156" i="5"/>
  <c r="R1194" i="5" s="1"/>
  <c r="S1340" i="5"/>
  <c r="Q314" i="5"/>
  <c r="Q181" i="5"/>
  <c r="V1725" i="5"/>
  <c r="V1224" i="5"/>
  <c r="V1723" i="5"/>
  <c r="V1012" i="5"/>
  <c r="Q584" i="5"/>
  <c r="R584" i="5"/>
  <c r="V584" i="5" s="1"/>
  <c r="R1423" i="5"/>
  <c r="V1423" i="5" s="1"/>
  <c r="V815" i="5"/>
  <c r="V442" i="5"/>
  <c r="R61" i="5"/>
  <c r="V61" i="5" s="1"/>
  <c r="Q498" i="5"/>
  <c r="Q12" i="5"/>
  <c r="R840" i="5"/>
  <c r="V840" i="5" s="1"/>
  <c r="Q840" i="5"/>
  <c r="Q378" i="5"/>
  <c r="R378" i="5"/>
  <c r="V378" i="5" s="1"/>
  <c r="V1839" i="5"/>
  <c r="V1964" i="5"/>
  <c r="V1857" i="5"/>
  <c r="V798" i="5"/>
  <c r="V693" i="5"/>
  <c r="R1688" i="5"/>
  <c r="V1688" i="5" s="1"/>
  <c r="S278" i="5"/>
  <c r="R1820" i="5"/>
  <c r="V1820" i="5" s="1"/>
  <c r="V1976" i="5"/>
  <c r="Q90" i="5"/>
  <c r="R90" i="5"/>
  <c r="V90" i="5" s="1"/>
  <c r="V1015" i="5"/>
  <c r="R1034" i="5"/>
  <c r="V1034" i="5" s="1"/>
  <c r="Q1034" i="5"/>
  <c r="V833" i="5"/>
  <c r="S858" i="5"/>
  <c r="S1210" i="5"/>
  <c r="V475" i="5"/>
  <c r="V1251" i="5"/>
  <c r="V997" i="5"/>
  <c r="V745" i="5"/>
  <c r="V190" i="5"/>
  <c r="V1769" i="5"/>
  <c r="S1206" i="5"/>
  <c r="Q927" i="5"/>
  <c r="R1995" i="5"/>
  <c r="V1995" i="5" s="1"/>
  <c r="Q1995" i="5"/>
  <c r="R734" i="5"/>
  <c r="V734" i="5" s="1"/>
  <c r="Q734" i="5"/>
  <c r="Q92" i="5"/>
  <c r="R92" i="5"/>
  <c r="V92" i="5" s="1"/>
  <c r="V1553" i="5"/>
  <c r="V1454" i="5"/>
  <c r="V69" i="5"/>
  <c r="R775" i="5"/>
  <c r="R56" i="5"/>
  <c r="V56" i="5" s="1"/>
  <c r="V1675" i="5"/>
  <c r="V1772" i="5"/>
  <c r="V714" i="5"/>
  <c r="Q106" i="5"/>
  <c r="V1419" i="5"/>
  <c r="V1246" i="5"/>
  <c r="R1196" i="5"/>
  <c r="V353" i="5"/>
  <c r="W849" i="5"/>
  <c r="S405" i="5"/>
  <c r="Q949" i="5"/>
  <c r="R949" i="5"/>
  <c r="V949" i="5" s="1"/>
  <c r="V65" i="5"/>
  <c r="Q1812" i="5"/>
  <c r="R1812" i="5"/>
  <c r="V1812" i="5" s="1"/>
  <c r="R757" i="5"/>
  <c r="V757" i="5" s="1"/>
  <c r="Q757" i="5"/>
  <c r="S1101" i="5"/>
  <c r="R1540" i="5"/>
  <c r="V1540" i="5" s="1"/>
  <c r="Q1540" i="5"/>
  <c r="V839" i="5"/>
  <c r="V2011" i="5"/>
  <c r="Q1852" i="5"/>
  <c r="Q1638" i="5"/>
  <c r="Q1120" i="5"/>
  <c r="Q1007" i="5"/>
  <c r="V817" i="5"/>
  <c r="V250" i="5"/>
  <c r="Q647" i="5"/>
  <c r="Q111" i="5"/>
  <c r="Q1530" i="5"/>
  <c r="V1994" i="5"/>
  <c r="V454" i="5"/>
  <c r="Q1039" i="5"/>
  <c r="R1039" i="5"/>
  <c r="V1039" i="5" s="1"/>
  <c r="V241" i="5"/>
  <c r="V44" i="5"/>
  <c r="Q1699" i="5"/>
  <c r="R1596" i="5"/>
  <c r="V1596" i="5" s="1"/>
  <c r="Q1025" i="5"/>
  <c r="W1210" i="5"/>
  <c r="Q674" i="5"/>
  <c r="Q177" i="5"/>
  <c r="Q679" i="5"/>
  <c r="V2006" i="5"/>
  <c r="R1398" i="5"/>
  <c r="V1398" i="5" s="1"/>
  <c r="V546" i="5"/>
  <c r="R1023" i="5"/>
  <c r="V1023" i="5" s="1"/>
  <c r="W400" i="5"/>
  <c r="V1923" i="5"/>
  <c r="S1352" i="5"/>
  <c r="Q1116" i="5"/>
  <c r="V1022" i="5"/>
  <c r="Q914" i="5"/>
  <c r="V244" i="5"/>
  <c r="Q558" i="5"/>
  <c r="Q545" i="5"/>
  <c r="Q511" i="5"/>
  <c r="V87" i="5"/>
  <c r="Q155" i="5"/>
  <c r="Q82" i="5"/>
  <c r="R1342" i="5"/>
  <c r="R886" i="5"/>
  <c r="V886" i="5" s="1"/>
  <c r="S1211" i="5"/>
  <c r="V1720" i="5"/>
  <c r="S1369" i="5"/>
  <c r="V535" i="5"/>
  <c r="Q494" i="5"/>
  <c r="R1970" i="5"/>
  <c r="V1970" i="5" s="1"/>
  <c r="Q1970" i="5"/>
  <c r="R1149" i="5"/>
  <c r="V1149" i="5" s="1"/>
  <c r="Q1149" i="5"/>
  <c r="S1076" i="5"/>
  <c r="V1968" i="5"/>
  <c r="Q1972" i="5"/>
  <c r="W880" i="5"/>
  <c r="Q962" i="5"/>
  <c r="R208" i="5"/>
  <c r="V465" i="5"/>
  <c r="V339" i="5"/>
  <c r="R543" i="5"/>
  <c r="V543" i="5" s="1"/>
  <c r="Q543" i="5"/>
  <c r="R561" i="5"/>
  <c r="V561" i="5" s="1"/>
  <c r="Q561" i="5"/>
  <c r="V1041" i="5"/>
  <c r="V1684" i="5"/>
  <c r="V429" i="5"/>
  <c r="R1437" i="5"/>
  <c r="V1437" i="5" s="1"/>
  <c r="Q1437" i="5"/>
  <c r="Q1706" i="5"/>
  <c r="R1706" i="5"/>
  <c r="V1706" i="5" s="1"/>
  <c r="R2049" i="5"/>
  <c r="V2049" i="5" s="1"/>
  <c r="Q2049" i="5"/>
  <c r="R1965" i="5"/>
  <c r="V1965" i="5" s="1"/>
  <c r="Q1965" i="5"/>
  <c r="Q1564" i="5"/>
  <c r="R1564" i="5"/>
  <c r="V1564" i="5" s="1"/>
  <c r="V1768" i="5"/>
  <c r="Q330" i="5"/>
  <c r="R330" i="5"/>
  <c r="V330" i="5" s="1"/>
  <c r="Q256" i="5"/>
  <c r="V214" i="5"/>
  <c r="Q1550" i="5"/>
  <c r="R1550" i="5"/>
  <c r="V1550" i="5" s="1"/>
  <c r="Q1126" i="5"/>
  <c r="R1126" i="5"/>
  <c r="V1126" i="5" s="1"/>
  <c r="F872" i="5"/>
  <c r="W872" i="5"/>
  <c r="R310" i="5"/>
  <c r="V310" i="5" s="1"/>
  <c r="Q310" i="5"/>
  <c r="V354" i="5"/>
  <c r="W277" i="5"/>
  <c r="V123" i="5"/>
  <c r="R1455" i="5"/>
  <c r="V1455" i="5" s="1"/>
  <c r="Q1455" i="5"/>
  <c r="R1759" i="5"/>
  <c r="V1759" i="5" s="1"/>
  <c r="Q841" i="5"/>
  <c r="V177" i="5"/>
  <c r="Q69" i="5"/>
  <c r="S860" i="5"/>
  <c r="R2000" i="5"/>
  <c r="V2000" i="5" s="1"/>
  <c r="Q2000" i="5"/>
  <c r="S1371" i="5"/>
  <c r="R968" i="5"/>
  <c r="V968" i="5" s="1"/>
  <c r="Q968" i="5"/>
  <c r="F865" i="5"/>
  <c r="W865" i="5"/>
  <c r="R433" i="5"/>
  <c r="V433" i="5" s="1"/>
  <c r="Q433" i="5"/>
  <c r="V1328" i="5"/>
  <c r="Q792" i="5"/>
  <c r="R1377" i="5"/>
  <c r="V1377" i="5" s="1"/>
  <c r="Q1377" i="5"/>
  <c r="Q254" i="5"/>
  <c r="R254" i="5"/>
  <c r="V1861" i="5"/>
  <c r="V1134" i="5"/>
  <c r="V704" i="5"/>
  <c r="R1521" i="5"/>
  <c r="V1521" i="5" s="1"/>
  <c r="Q1521" i="5"/>
  <c r="R1992" i="5"/>
  <c r="V1992" i="5" s="1"/>
  <c r="Q1992" i="5"/>
  <c r="Q597" i="5"/>
  <c r="R597" i="5"/>
  <c r="V597" i="5" s="1"/>
  <c r="Q374" i="5"/>
  <c r="R374" i="5"/>
  <c r="V374" i="5" s="1"/>
  <c r="Q1794" i="5"/>
  <c r="Q726" i="5"/>
  <c r="Q1623" i="5"/>
  <c r="R1623" i="5"/>
  <c r="V1623" i="5" s="1"/>
  <c r="R2036" i="5"/>
  <c r="V2036" i="5" s="1"/>
  <c r="Q2036" i="5"/>
  <c r="S880" i="5"/>
  <c r="Q1855" i="5"/>
  <c r="R1855" i="5"/>
  <c r="V1855" i="5" s="1"/>
  <c r="R1630" i="5"/>
  <c r="V1630" i="5" s="1"/>
  <c r="Q1630" i="5"/>
  <c r="V1643" i="5"/>
  <c r="V2054" i="5"/>
  <c r="Q1936" i="5"/>
  <c r="V1926" i="5"/>
  <c r="Q1480" i="5"/>
  <c r="Q1041" i="5"/>
  <c r="W278" i="5"/>
  <c r="Q353" i="5"/>
  <c r="V247" i="5"/>
  <c r="Q1621" i="5"/>
  <c r="R1621" i="5"/>
  <c r="V1621" i="5" s="1"/>
  <c r="Q1475" i="5"/>
  <c r="R1475" i="5"/>
  <c r="V1475" i="5" s="1"/>
  <c r="R312" i="5"/>
  <c r="Q312" i="5"/>
  <c r="Q892" i="5"/>
  <c r="R892" i="5"/>
  <c r="V892" i="5" s="1"/>
  <c r="Q574" i="5"/>
  <c r="R574" i="5"/>
  <c r="V574" i="5" s="1"/>
  <c r="Q627" i="5"/>
  <c r="R627" i="5"/>
  <c r="V627" i="5" s="1"/>
  <c r="W860" i="5"/>
  <c r="F860" i="5"/>
  <c r="V1283" i="5"/>
  <c r="R1338" i="5"/>
  <c r="R1186" i="5"/>
  <c r="V1186" i="5" s="1"/>
  <c r="Q658" i="5"/>
  <c r="Q218" i="5"/>
  <c r="Q119" i="5"/>
  <c r="V10" i="5"/>
  <c r="Q240" i="5"/>
  <c r="V45" i="5"/>
  <c r="Q7" i="5"/>
  <c r="R1256" i="5"/>
  <c r="V1256" i="5" s="1"/>
  <c r="Q1256" i="5"/>
  <c r="R831" i="5"/>
  <c r="Q831" i="5"/>
  <c r="R1467" i="5"/>
  <c r="V1467" i="5" s="1"/>
  <c r="Q1467" i="5"/>
  <c r="S1205" i="5"/>
  <c r="R656" i="5"/>
  <c r="V656" i="5" s="1"/>
  <c r="Q656" i="5"/>
  <c r="Q603" i="5"/>
  <c r="R603" i="5"/>
  <c r="V603" i="5" s="1"/>
  <c r="S1200" i="5"/>
  <c r="R536" i="5"/>
  <c r="V536" i="5" s="1"/>
  <c r="Q536" i="5"/>
  <c r="Q1661" i="5"/>
  <c r="R1661" i="5"/>
  <c r="V1661" i="5" s="1"/>
  <c r="R1592" i="5"/>
  <c r="V1592" i="5" s="1"/>
  <c r="Q1592" i="5"/>
  <c r="R1042" i="5"/>
  <c r="V1042" i="5" s="1"/>
  <c r="Q1042" i="5"/>
  <c r="V2039" i="5"/>
  <c r="V1685" i="5"/>
  <c r="V809" i="5"/>
  <c r="V58" i="5"/>
  <c r="Q2048" i="5"/>
  <c r="R2048" i="5"/>
  <c r="V2048" i="5" s="1"/>
  <c r="W1204" i="5"/>
  <c r="R1401" i="5"/>
  <c r="V1401" i="5" s="1"/>
  <c r="Q1401" i="5"/>
  <c r="R639" i="5"/>
  <c r="V639" i="5" s="1"/>
  <c r="Q639" i="5"/>
  <c r="R1361" i="5"/>
  <c r="Q609" i="5"/>
  <c r="R609" i="5"/>
  <c r="V609" i="5" s="1"/>
  <c r="W399" i="5"/>
  <c r="R1710" i="5"/>
  <c r="V1710" i="5" s="1"/>
  <c r="Q1710" i="5"/>
  <c r="R1724" i="5"/>
  <c r="V1724" i="5" s="1"/>
  <c r="Q1724" i="5"/>
  <c r="R804" i="5"/>
  <c r="Q804" i="5"/>
  <c r="V478" i="5"/>
  <c r="R1867" i="5"/>
  <c r="V1867" i="5" s="1"/>
  <c r="W1362" i="5"/>
  <c r="Q97" i="5"/>
  <c r="R1233" i="5"/>
  <c r="V1233" i="5" s="1"/>
  <c r="Q1233" i="5"/>
  <c r="Q943" i="5"/>
  <c r="R943" i="5"/>
  <c r="V943" i="5" s="1"/>
  <c r="W1083" i="5"/>
  <c r="R1514" i="5"/>
  <c r="V1514" i="5" s="1"/>
  <c r="Q1514" i="5"/>
  <c r="Q776" i="5"/>
  <c r="R776" i="5"/>
  <c r="V776" i="5" s="1"/>
  <c r="R188" i="5"/>
  <c r="V188" i="5" s="1"/>
  <c r="Q188" i="5"/>
  <c r="W1344" i="5"/>
  <c r="F1344" i="5"/>
  <c r="Q1280" i="5"/>
  <c r="R1280" i="5"/>
  <c r="Q235" i="5"/>
  <c r="R235" i="5"/>
  <c r="S1079" i="5"/>
  <c r="R1458" i="5"/>
  <c r="V1458" i="5" s="1"/>
  <c r="Q1458" i="5"/>
  <c r="W418" i="5"/>
  <c r="Q1749" i="5"/>
  <c r="Q1666" i="5"/>
  <c r="V1693" i="5"/>
  <c r="V1696" i="5"/>
  <c r="V28" i="5"/>
  <c r="R1473" i="5"/>
  <c r="V1473" i="5" s="1"/>
  <c r="Q1473" i="5"/>
  <c r="W1108" i="5"/>
  <c r="R1642" i="5"/>
  <c r="V1642" i="5" s="1"/>
  <c r="Q1642" i="5"/>
  <c r="R807" i="5"/>
  <c r="V807" i="5" s="1"/>
  <c r="Q807" i="5"/>
  <c r="Q1269" i="5"/>
  <c r="R1269" i="5"/>
  <c r="V1269" i="5" s="1"/>
  <c r="Q885" i="5"/>
  <c r="R885" i="5"/>
  <c r="V885" i="5" s="1"/>
  <c r="R1021" i="5"/>
  <c r="V1021" i="5" s="1"/>
  <c r="Q1021" i="5"/>
  <c r="R1064" i="5"/>
  <c r="V1064" i="5" s="1"/>
  <c r="Q1064" i="5"/>
  <c r="F396" i="5"/>
  <c r="W396" i="5"/>
  <c r="V1315" i="5"/>
  <c r="R1294" i="5"/>
  <c r="V1294" i="5" s="1"/>
  <c r="Q1294" i="5"/>
  <c r="R1580" i="5"/>
  <c r="V1580" i="5" s="1"/>
  <c r="Q1580" i="5"/>
  <c r="Q1626" i="5"/>
  <c r="R1626" i="5"/>
  <c r="V1626" i="5" s="1"/>
  <c r="Q903" i="5"/>
  <c r="R903" i="5"/>
  <c r="V903" i="5" s="1"/>
  <c r="W1373" i="5"/>
  <c r="Q1057" i="5"/>
  <c r="R1057" i="5"/>
  <c r="V1057" i="5" s="1"/>
  <c r="R1090" i="5"/>
  <c r="Q1893" i="5"/>
  <c r="R1893" i="5"/>
  <c r="V1893" i="5" s="1"/>
  <c r="R1914" i="5"/>
  <c r="V1914" i="5" s="1"/>
  <c r="Q1914" i="5"/>
  <c r="Q1410" i="5"/>
  <c r="R1410" i="5"/>
  <c r="V1410" i="5" s="1"/>
  <c r="Q1614" i="5"/>
  <c r="R1614" i="5"/>
  <c r="V1614" i="5" s="1"/>
  <c r="R896" i="5"/>
  <c r="V896" i="5" s="1"/>
  <c r="Q896" i="5"/>
  <c r="R686" i="5"/>
  <c r="V686" i="5" s="1"/>
  <c r="Q686" i="5"/>
  <c r="R799" i="5"/>
  <c r="Q799" i="5"/>
  <c r="V1053" i="5"/>
  <c r="Q100" i="5"/>
  <c r="Q700" i="5"/>
  <c r="R700" i="5"/>
  <c r="V700" i="5" s="1"/>
  <c r="Q684" i="5"/>
  <c r="R684" i="5"/>
  <c r="V684" i="5" s="1"/>
  <c r="R444" i="5"/>
  <c r="V444" i="5" s="1"/>
  <c r="Q444" i="5"/>
  <c r="R589" i="5"/>
  <c r="V589" i="5" s="1"/>
  <c r="Q589" i="5"/>
  <c r="V1973" i="5"/>
  <c r="Q1769" i="5"/>
  <c r="Q1719" i="5"/>
  <c r="V1255" i="5"/>
  <c r="V371" i="5"/>
  <c r="Q472" i="5"/>
  <c r="V531" i="5"/>
  <c r="V1403" i="5"/>
  <c r="V1420" i="5"/>
  <c r="R1876" i="5"/>
  <c r="V1876" i="5" s="1"/>
  <c r="Q1876" i="5"/>
  <c r="R2035" i="5"/>
  <c r="V2035" i="5" s="1"/>
  <c r="Q2035" i="5"/>
  <c r="R710" i="5"/>
  <c r="V710" i="5" s="1"/>
  <c r="Q710" i="5"/>
  <c r="R1452" i="5"/>
  <c r="V1452" i="5" s="1"/>
  <c r="Q1452" i="5"/>
  <c r="S401" i="5"/>
  <c r="W868" i="5"/>
  <c r="F868" i="5"/>
  <c r="R423" i="5"/>
  <c r="V423" i="5" s="1"/>
  <c r="Q423" i="5"/>
  <c r="Q954" i="5"/>
  <c r="Q2024" i="5"/>
  <c r="R2024" i="5"/>
  <c r="V2024" i="5" s="1"/>
  <c r="Q1573" i="5"/>
  <c r="R1573" i="5"/>
  <c r="V1573" i="5" s="1"/>
  <c r="Q1471" i="5"/>
  <c r="R1471" i="5"/>
  <c r="V1471" i="5" s="1"/>
  <c r="Q1470" i="5"/>
  <c r="R1470" i="5"/>
  <c r="V1470" i="5" s="1"/>
  <c r="R720" i="5"/>
  <c r="V720" i="5" s="1"/>
  <c r="Q720" i="5"/>
  <c r="V784" i="5"/>
  <c r="R2001" i="5"/>
  <c r="V2001" i="5" s="1"/>
  <c r="Q2001" i="5"/>
  <c r="R633" i="5"/>
  <c r="V633" i="5" s="1"/>
  <c r="Q633" i="5"/>
  <c r="R765" i="5"/>
  <c r="V765" i="5" s="1"/>
  <c r="Q765" i="5"/>
  <c r="R1184" i="5"/>
  <c r="Q1184" i="5"/>
  <c r="R1210" i="5"/>
  <c r="V35" i="5"/>
  <c r="Q2031" i="5"/>
  <c r="R2031" i="5"/>
  <c r="V2031" i="5" s="1"/>
  <c r="F1371" i="5"/>
  <c r="W1371" i="5"/>
  <c r="R430" i="5"/>
  <c r="V430" i="5" s="1"/>
  <c r="Q430" i="5"/>
  <c r="R344" i="5"/>
  <c r="V344" i="5" s="1"/>
  <c r="Q344" i="5"/>
  <c r="Q1720" i="5"/>
  <c r="Q1971" i="5"/>
  <c r="R1971" i="5"/>
  <c r="V1971" i="5" s="1"/>
  <c r="Q1017" i="5"/>
  <c r="R1017" i="5"/>
  <c r="R1734" i="5"/>
  <c r="V1734" i="5" s="1"/>
  <c r="V1116" i="5"/>
  <c r="V1532" i="5"/>
  <c r="V1026" i="5"/>
  <c r="V94" i="5"/>
  <c r="Q2041" i="5"/>
  <c r="R2041" i="5"/>
  <c r="V2041" i="5" s="1"/>
  <c r="W1348" i="5"/>
  <c r="Q759" i="5"/>
  <c r="R759" i="5"/>
  <c r="V759" i="5" s="1"/>
  <c r="S865" i="5"/>
  <c r="R673" i="5"/>
  <c r="V673" i="5" s="1"/>
  <c r="Q673" i="5"/>
  <c r="W417" i="5"/>
  <c r="R591" i="5"/>
  <c r="V591" i="5" s="1"/>
  <c r="Q591" i="5"/>
  <c r="R1862" i="5"/>
  <c r="V1862" i="5" s="1"/>
  <c r="V1258" i="5"/>
  <c r="V1161" i="5"/>
  <c r="V420" i="5"/>
  <c r="V346" i="5"/>
  <c r="Q1712" i="5"/>
  <c r="R1712" i="5"/>
  <c r="V1712" i="5" s="1"/>
  <c r="R1989" i="5"/>
  <c r="V1989" i="5" s="1"/>
  <c r="Q1989" i="5"/>
  <c r="Q1334" i="5"/>
  <c r="R1334" i="5"/>
  <c r="V1334" i="5" s="1"/>
  <c r="R1585" i="5"/>
  <c r="V1585" i="5" s="1"/>
  <c r="Q1585" i="5"/>
  <c r="V655" i="5"/>
  <c r="W1358" i="5"/>
  <c r="R502" i="5"/>
  <c r="V502" i="5" s="1"/>
  <c r="Q502" i="5"/>
  <c r="S1360" i="5"/>
  <c r="R646" i="5"/>
  <c r="V646" i="5" s="1"/>
  <c r="Q646" i="5"/>
  <c r="W279" i="5"/>
  <c r="S864" i="5"/>
  <c r="R211" i="5"/>
  <c r="V211" i="5" s="1"/>
  <c r="Q211" i="5"/>
  <c r="F395" i="5"/>
  <c r="V471" i="5"/>
  <c r="V366" i="5"/>
  <c r="Q586" i="5"/>
  <c r="R586" i="5"/>
  <c r="V586" i="5" s="1"/>
  <c r="R529" i="5"/>
  <c r="V529" i="5" s="1"/>
  <c r="Q529" i="5"/>
  <c r="R1790" i="5"/>
  <c r="V1790" i="5" s="1"/>
  <c r="Q1790" i="5"/>
  <c r="Q1485" i="5"/>
  <c r="Q809" i="5"/>
  <c r="R1942" i="5"/>
  <c r="V1942" i="5" s="1"/>
  <c r="Q1942" i="5"/>
  <c r="W1196" i="5"/>
  <c r="Q1141" i="5"/>
  <c r="R1141" i="5"/>
  <c r="V1556" i="5"/>
  <c r="V1307" i="5"/>
  <c r="V1242" i="5"/>
  <c r="V708" i="5"/>
  <c r="S301" i="5"/>
  <c r="Q448" i="5"/>
  <c r="R85" i="5"/>
  <c r="V85" i="5" s="1"/>
  <c r="R215" i="5"/>
  <c r="R291" i="5" s="1"/>
  <c r="R1702" i="5"/>
  <c r="V1702" i="5" s="1"/>
  <c r="W1105" i="5"/>
  <c r="V221" i="5"/>
  <c r="S273" i="5"/>
  <c r="Q1897" i="5"/>
  <c r="R1897" i="5"/>
  <c r="V1897" i="5" s="1"/>
  <c r="R2042" i="5"/>
  <c r="V2042" i="5" s="1"/>
  <c r="Q2042" i="5"/>
  <c r="R263" i="5"/>
  <c r="V263" i="5" s="1"/>
  <c r="Q263" i="5"/>
  <c r="Q506" i="5"/>
  <c r="R506" i="5"/>
  <c r="V506" i="5" s="1"/>
  <c r="Q1379" i="5"/>
  <c r="Q1419" i="5"/>
  <c r="R1933" i="5"/>
  <c r="V1933" i="5" s="1"/>
  <c r="V1879" i="5"/>
  <c r="R1851" i="5"/>
  <c r="V1851" i="5" s="1"/>
  <c r="V1303" i="5"/>
  <c r="V1326" i="5"/>
  <c r="R1364" i="5"/>
  <c r="Q1831" i="5"/>
  <c r="R1831" i="5"/>
  <c r="V1831" i="5" s="1"/>
  <c r="R1828" i="5"/>
  <c r="V1828" i="5" s="1"/>
  <c r="Q1823" i="5"/>
  <c r="R1823" i="5"/>
  <c r="V1823" i="5" s="1"/>
  <c r="Q1814" i="5"/>
  <c r="Q105" i="5"/>
  <c r="V1954" i="5"/>
  <c r="Q1954" i="5"/>
  <c r="V240" i="5"/>
  <c r="S285" i="5"/>
  <c r="S846" i="5"/>
  <c r="Q1416" i="5"/>
  <c r="R1150" i="5"/>
  <c r="V1150" i="5" s="1"/>
  <c r="R1378" i="5"/>
  <c r="V1378" i="5" s="1"/>
  <c r="Q1725" i="5"/>
  <c r="Q118" i="5"/>
  <c r="V1313" i="5"/>
  <c r="R1440" i="5"/>
  <c r="V1440" i="5" s="1"/>
  <c r="Q1440" i="5"/>
  <c r="R43" i="5"/>
  <c r="V43" i="5" s="1"/>
  <c r="V821" i="5"/>
  <c r="S861" i="5"/>
  <c r="Q1304" i="5"/>
  <c r="Q1303" i="5"/>
  <c r="V1416" i="5"/>
  <c r="V1402" i="5"/>
  <c r="V900" i="5"/>
  <c r="V1036" i="5"/>
  <c r="R884" i="5"/>
  <c r="V884" i="5" s="1"/>
  <c r="Q81" i="5"/>
  <c r="V595" i="5"/>
  <c r="R848" i="5"/>
  <c r="R347" i="5"/>
  <c r="V1529" i="5"/>
  <c r="Q1929" i="5"/>
  <c r="R1929" i="5"/>
  <c r="V1929" i="5" s="1"/>
  <c r="R1934" i="5"/>
  <c r="V1934" i="5" s="1"/>
  <c r="Q1934" i="5"/>
  <c r="Q1403" i="5"/>
  <c r="V7" i="5"/>
  <c r="V1676" i="5"/>
  <c r="Q1036" i="5"/>
  <c r="R1074" i="5" s="1"/>
  <c r="V1318" i="5"/>
  <c r="Q1037" i="5"/>
  <c r="R1380" i="5"/>
  <c r="V1380" i="5" s="1"/>
  <c r="Q1380" i="5"/>
  <c r="R1494" i="5"/>
  <c r="V1494" i="5" s="1"/>
  <c r="Q1494" i="5"/>
  <c r="Q257" i="5"/>
  <c r="V1379" i="5"/>
  <c r="R4" i="5"/>
  <c r="V4" i="5" s="1"/>
  <c r="Q771" i="5"/>
  <c r="R771" i="5"/>
  <c r="R6" i="5"/>
  <c r="V6" i="5" s="1"/>
  <c r="Q6" i="5"/>
  <c r="R1443" i="5"/>
  <c r="V1443" i="5" s="1"/>
  <c r="V1426" i="5"/>
  <c r="R1660" i="5"/>
  <c r="V1660" i="5" s="1"/>
  <c r="Q1651" i="5"/>
  <c r="V1781" i="5"/>
  <c r="R1113" i="5"/>
  <c r="V1113" i="5" s="1"/>
  <c r="Q1113" i="5"/>
  <c r="V42" i="5"/>
  <c r="Q522" i="5"/>
  <c r="V1304" i="5"/>
  <c r="Q42" i="5"/>
  <c r="C9" i="3"/>
  <c r="R395" i="5"/>
  <c r="V319" i="5"/>
  <c r="Q907" i="5"/>
  <c r="R907" i="5"/>
  <c r="V907" i="5" s="1"/>
  <c r="F874" i="5"/>
  <c r="W874" i="5"/>
  <c r="R487" i="5"/>
  <c r="V487" i="5" s="1"/>
  <c r="Q487" i="5"/>
  <c r="R1427" i="5"/>
  <c r="V1427" i="5" s="1"/>
  <c r="Q1427" i="5"/>
  <c r="F1374" i="5"/>
  <c r="W1374" i="5"/>
  <c r="Q1115" i="5"/>
  <c r="R1115" i="5"/>
  <c r="V1276" i="5"/>
  <c r="R894" i="5"/>
  <c r="V894" i="5" s="1"/>
  <c r="Q894" i="5"/>
  <c r="V841" i="5"/>
  <c r="R879" i="5"/>
  <c r="R590" i="5"/>
  <c r="V590" i="5" s="1"/>
  <c r="Q590" i="5"/>
  <c r="V792" i="5"/>
  <c r="Q342" i="5"/>
  <c r="R342" i="5"/>
  <c r="F1199" i="5"/>
  <c r="W1199" i="5"/>
  <c r="R960" i="5"/>
  <c r="V960" i="5" s="1"/>
  <c r="Q960" i="5"/>
  <c r="Q373" i="5"/>
  <c r="R373" i="5"/>
  <c r="V373" i="5" s="1"/>
  <c r="R2017" i="5"/>
  <c r="V2017" i="5" s="1"/>
  <c r="Q2017" i="5"/>
  <c r="R1305" i="5"/>
  <c r="Q1305" i="5"/>
  <c r="F1107" i="5"/>
  <c r="W1107" i="5"/>
  <c r="F1357" i="5"/>
  <c r="W1357" i="5"/>
  <c r="F1354" i="5"/>
  <c r="W1354" i="5"/>
  <c r="Q790" i="5"/>
  <c r="R790" i="5"/>
  <c r="W871" i="5"/>
  <c r="R1050" i="5"/>
  <c r="Q1050" i="5"/>
  <c r="Q750" i="5"/>
  <c r="R750" i="5"/>
  <c r="V750" i="5" s="1"/>
  <c r="R682" i="5"/>
  <c r="V682" i="5" s="1"/>
  <c r="Q682" i="5"/>
  <c r="V195" i="5"/>
  <c r="R1302" i="5"/>
  <c r="V1302" i="5" s="1"/>
  <c r="Q1302" i="5"/>
  <c r="R599" i="5"/>
  <c r="V599" i="5" s="1"/>
  <c r="Q599" i="5"/>
  <c r="W409" i="5"/>
  <c r="F409" i="5"/>
  <c r="R1901" i="5"/>
  <c r="V1901" i="5" s="1"/>
  <c r="Q1901" i="5"/>
  <c r="R1946" i="5"/>
  <c r="V1946" i="5" s="1"/>
  <c r="Q1946" i="5"/>
  <c r="Q1863" i="5"/>
  <c r="R1863" i="5"/>
  <c r="V1863" i="5" s="1"/>
  <c r="R1649" i="5"/>
  <c r="V1649" i="5" s="1"/>
  <c r="Q1649" i="5"/>
  <c r="R1541" i="5"/>
  <c r="V1541" i="5" s="1"/>
  <c r="Q1541" i="5"/>
  <c r="R1391" i="5"/>
  <c r="V1391" i="5" s="1"/>
  <c r="Q1391" i="5"/>
  <c r="V1031" i="5"/>
  <c r="R1177" i="5"/>
  <c r="V1177" i="5" s="1"/>
  <c r="Q1177" i="5"/>
  <c r="R883" i="5"/>
  <c r="V883" i="5" s="1"/>
  <c r="Q883" i="5"/>
  <c r="R811" i="5"/>
  <c r="V811" i="5" s="1"/>
  <c r="Q811" i="5"/>
  <c r="W856" i="5"/>
  <c r="R504" i="5"/>
  <c r="V504" i="5" s="1"/>
  <c r="Q504" i="5"/>
  <c r="R523" i="5"/>
  <c r="V523" i="5" s="1"/>
  <c r="Q523" i="5"/>
  <c r="R468" i="5"/>
  <c r="V468" i="5" s="1"/>
  <c r="Q468" i="5"/>
  <c r="R577" i="5"/>
  <c r="V577" i="5" s="1"/>
  <c r="Q577" i="5"/>
  <c r="V358" i="5"/>
  <c r="V165" i="5"/>
  <c r="Q1815" i="5"/>
  <c r="R1815" i="5"/>
  <c r="V1815" i="5" s="1"/>
  <c r="W1353" i="5"/>
  <c r="F1353" i="5"/>
  <c r="R1588" i="5"/>
  <c r="V1588" i="5" s="1"/>
  <c r="Q1588" i="5"/>
  <c r="R1786" i="5"/>
  <c r="V1786" i="5" s="1"/>
  <c r="Q1786" i="5"/>
  <c r="Q1648" i="5"/>
  <c r="R1648" i="5"/>
  <c r="V1648" i="5" s="1"/>
  <c r="R1568" i="5"/>
  <c r="V1568" i="5" s="1"/>
  <c r="Q1568" i="5"/>
  <c r="R1950" i="5"/>
  <c r="V1950" i="5" s="1"/>
  <c r="Q1950" i="5"/>
  <c r="R1752" i="5"/>
  <c r="V1752" i="5" s="1"/>
  <c r="Q1752" i="5"/>
  <c r="R1560" i="5"/>
  <c r="V1560" i="5" s="1"/>
  <c r="Q1560" i="5"/>
  <c r="W1220" i="5"/>
  <c r="V1288" i="5"/>
  <c r="R829" i="5"/>
  <c r="V829" i="5" s="1"/>
  <c r="Q829" i="5"/>
  <c r="Q895" i="5"/>
  <c r="R895" i="5"/>
  <c r="V895" i="5" s="1"/>
  <c r="V999" i="5"/>
  <c r="R654" i="5"/>
  <c r="V654" i="5" s="1"/>
  <c r="Q654" i="5"/>
  <c r="R349" i="5"/>
  <c r="V349" i="5" s="1"/>
  <c r="Q349" i="5"/>
  <c r="V229" i="5"/>
  <c r="V320" i="5"/>
  <c r="R530" i="5"/>
  <c r="V530" i="5" s="1"/>
  <c r="Q530" i="5"/>
  <c r="R5" i="5"/>
  <c r="V5" i="5" s="1"/>
  <c r="Q5" i="5"/>
  <c r="V1005" i="5"/>
  <c r="R1081" i="5"/>
  <c r="V331" i="5"/>
  <c r="R1938" i="5"/>
  <c r="V1938" i="5" s="1"/>
  <c r="Q1938" i="5"/>
  <c r="W1365" i="5"/>
  <c r="F1365" i="5"/>
  <c r="R1409" i="5"/>
  <c r="V1409" i="5" s="1"/>
  <c r="Q1409" i="5"/>
  <c r="R1235" i="5"/>
  <c r="V1235" i="5" s="1"/>
  <c r="Q1235" i="5"/>
  <c r="R1344" i="5"/>
  <c r="F1211" i="5"/>
  <c r="W1211" i="5"/>
  <c r="R882" i="5"/>
  <c r="V882" i="5" s="1"/>
  <c r="Q882" i="5"/>
  <c r="F406" i="5"/>
  <c r="W406" i="5"/>
  <c r="R937" i="5"/>
  <c r="V937" i="5" s="1"/>
  <c r="Q937" i="5"/>
  <c r="Q134" i="5"/>
  <c r="R134" i="5"/>
  <c r="V134" i="5" s="1"/>
  <c r="R1795" i="5"/>
  <c r="V1795" i="5" s="1"/>
  <c r="Q1795" i="5"/>
  <c r="R1692" i="5"/>
  <c r="V1692" i="5" s="1"/>
  <c r="Q1692" i="5"/>
  <c r="R1396" i="5"/>
  <c r="V1396" i="5" s="1"/>
  <c r="Q1396" i="5"/>
  <c r="W1223" i="5"/>
  <c r="F1341" i="5"/>
  <c r="W1341" i="5"/>
  <c r="V1124" i="5"/>
  <c r="V1157" i="5"/>
  <c r="R826" i="5"/>
  <c r="Q826" i="5"/>
  <c r="V797" i="5"/>
  <c r="F1109" i="5"/>
  <c r="W1109" i="5"/>
  <c r="R805" i="5"/>
  <c r="Q805" i="5"/>
  <c r="F388" i="5"/>
  <c r="W388" i="5"/>
  <c r="R306" i="5"/>
  <c r="Q306" i="5"/>
  <c r="R259" i="5"/>
  <c r="Q259" i="5"/>
  <c r="R390" i="5"/>
  <c r="V390" i="5" s="1"/>
  <c r="W272" i="5"/>
  <c r="F1078" i="5"/>
  <c r="W1078" i="5"/>
  <c r="R1686" i="5"/>
  <c r="V1686" i="5" s="1"/>
  <c r="Q1686" i="5"/>
  <c r="R1311" i="5"/>
  <c r="V1311" i="5" s="1"/>
  <c r="Q1311" i="5"/>
  <c r="R1293" i="5"/>
  <c r="Q1293" i="5"/>
  <c r="R1354" i="5"/>
  <c r="V1278" i="5"/>
  <c r="Q1174" i="5"/>
  <c r="R1174" i="5"/>
  <c r="V1174" i="5" s="1"/>
  <c r="R1121" i="5"/>
  <c r="Q1121" i="5"/>
  <c r="R1152" i="5"/>
  <c r="Q1152" i="5"/>
  <c r="R814" i="5"/>
  <c r="Q814" i="5"/>
  <c r="F850" i="5"/>
  <c r="W850" i="5"/>
  <c r="R152" i="5"/>
  <c r="V152" i="5" s="1"/>
  <c r="Q152" i="5"/>
  <c r="V334" i="5"/>
  <c r="R245" i="5"/>
  <c r="V245" i="5" s="1"/>
  <c r="Q245" i="5"/>
  <c r="V192" i="5"/>
  <c r="R1927" i="5"/>
  <c r="V1927" i="5" s="1"/>
  <c r="Q1927" i="5"/>
  <c r="Q1895" i="5"/>
  <c r="R1895" i="5"/>
  <c r="V1895" i="5" s="1"/>
  <c r="R1838" i="5"/>
  <c r="V1838" i="5" s="1"/>
  <c r="Q1838" i="5"/>
  <c r="R1551" i="5"/>
  <c r="V1551" i="5" s="1"/>
  <c r="Q1551" i="5"/>
  <c r="R1408" i="5"/>
  <c r="V1408" i="5" s="1"/>
  <c r="Q1408" i="5"/>
  <c r="R1067" i="5"/>
  <c r="Q1067" i="5"/>
  <c r="R605" i="5"/>
  <c r="V605" i="5" s="1"/>
  <c r="Q605" i="5"/>
  <c r="Q220" i="5"/>
  <c r="R220" i="5"/>
  <c r="R201" i="5"/>
  <c r="Q201" i="5"/>
  <c r="R329" i="5"/>
  <c r="Q329" i="5"/>
  <c r="R1796" i="5"/>
  <c r="V1796" i="5" s="1"/>
  <c r="Q1796" i="5"/>
  <c r="Q1903" i="5"/>
  <c r="R1903" i="5"/>
  <c r="V1903" i="5" s="1"/>
  <c r="R1802" i="5"/>
  <c r="V1802" i="5" s="1"/>
  <c r="Q1802" i="5"/>
  <c r="Q1590" i="5"/>
  <c r="R1590" i="5"/>
  <c r="V1590" i="5" s="1"/>
  <c r="R1457" i="5"/>
  <c r="V1457" i="5" s="1"/>
  <c r="Q1457" i="5"/>
  <c r="Q1843" i="5"/>
  <c r="R1843" i="5"/>
  <c r="V1843" i="5" s="1"/>
  <c r="R1920" i="5"/>
  <c r="V1920" i="5" s="1"/>
  <c r="Q1920" i="5"/>
  <c r="R1240" i="5"/>
  <c r="V1240" i="5" s="1"/>
  <c r="Q1240" i="5"/>
  <c r="R1058" i="5"/>
  <c r="V1058" i="5" s="1"/>
  <c r="Q1058" i="5"/>
  <c r="S1213" i="5"/>
  <c r="V1163" i="5"/>
  <c r="V1125" i="5"/>
  <c r="R1365" i="5"/>
  <c r="V1137" i="5"/>
  <c r="Q802" i="5"/>
  <c r="R802" i="5"/>
  <c r="S847" i="5"/>
  <c r="R926" i="5"/>
  <c r="V926" i="5" s="1"/>
  <c r="Q926" i="5"/>
  <c r="R641" i="5"/>
  <c r="V641" i="5" s="1"/>
  <c r="Q641" i="5"/>
  <c r="R439" i="5"/>
  <c r="V439" i="5" s="1"/>
  <c r="Q439" i="5"/>
  <c r="V251" i="5"/>
  <c r="S282" i="5"/>
  <c r="V364" i="5"/>
  <c r="R1889" i="5"/>
  <c r="V1889" i="5" s="1"/>
  <c r="Q1889" i="5"/>
  <c r="V772" i="5"/>
  <c r="V782" i="5"/>
  <c r="R348" i="5"/>
  <c r="Q348" i="5"/>
  <c r="V324" i="5"/>
  <c r="V171" i="5"/>
  <c r="F281" i="5"/>
  <c r="W281" i="5"/>
  <c r="R1883" i="5"/>
  <c r="V1883" i="5" s="1"/>
  <c r="Q1883" i="5"/>
  <c r="R1785" i="5"/>
  <c r="V1785" i="5" s="1"/>
  <c r="Q1785" i="5"/>
  <c r="R1979" i="5"/>
  <c r="V1979" i="5" s="1"/>
  <c r="Q1979" i="5"/>
  <c r="R1765" i="5"/>
  <c r="V1765" i="5" s="1"/>
  <c r="Q1765" i="5"/>
  <c r="Q1576" i="5"/>
  <c r="R1576" i="5"/>
  <c r="V1576" i="5" s="1"/>
  <c r="R1967" i="5"/>
  <c r="V1967" i="5" s="1"/>
  <c r="Q1967" i="5"/>
  <c r="V1289" i="5"/>
  <c r="R1397" i="5"/>
  <c r="V1397" i="5" s="1"/>
  <c r="Q1397" i="5"/>
  <c r="S1221" i="5"/>
  <c r="V1145" i="5"/>
  <c r="R1068" i="5"/>
  <c r="V1068" i="5" s="1"/>
  <c r="Q1068" i="5"/>
  <c r="R1027" i="5"/>
  <c r="Q1027" i="5"/>
  <c r="R541" i="5"/>
  <c r="V541" i="5" s="1"/>
  <c r="Q541" i="5"/>
  <c r="V225" i="5"/>
  <c r="W383" i="5"/>
  <c r="F383" i="5"/>
  <c r="V333" i="5"/>
  <c r="R302" i="5"/>
  <c r="V226" i="5"/>
  <c r="R2051" i="5"/>
  <c r="V2051" i="5" s="1"/>
  <c r="Q2051" i="5"/>
  <c r="R1758" i="5"/>
  <c r="V1758" i="5" s="1"/>
  <c r="Q1758" i="5"/>
  <c r="Q1859" i="5"/>
  <c r="R1859" i="5"/>
  <c r="V1859" i="5" s="1"/>
  <c r="R2045" i="5"/>
  <c r="V2045" i="5" s="1"/>
  <c r="Q2045" i="5"/>
  <c r="F1372" i="5"/>
  <c r="W1372" i="5"/>
  <c r="S1201" i="5"/>
  <c r="V1891" i="5"/>
  <c r="Q1975" i="5"/>
  <c r="R1975" i="5"/>
  <c r="V1975" i="5" s="1"/>
  <c r="Q1963" i="5"/>
  <c r="R1963" i="5"/>
  <c r="V1963" i="5" s="1"/>
  <c r="Q1892" i="5"/>
  <c r="R1892" i="5"/>
  <c r="V1892" i="5" s="1"/>
  <c r="R1662" i="5"/>
  <c r="V1662" i="5" s="1"/>
  <c r="Q1662" i="5"/>
  <c r="R1715" i="5"/>
  <c r="V1715" i="5" s="1"/>
  <c r="Q1715" i="5"/>
  <c r="R1324" i="5"/>
  <c r="V1324" i="5" s="1"/>
  <c r="Q1324" i="5"/>
  <c r="F1350" i="5"/>
  <c r="W1350" i="5"/>
  <c r="W1218" i="5"/>
  <c r="R1341" i="5"/>
  <c r="R1084" i="5"/>
  <c r="R1277" i="5"/>
  <c r="Q1277" i="5"/>
  <c r="R707" i="5"/>
  <c r="V707" i="5" s="1"/>
  <c r="Q707" i="5"/>
  <c r="F1087" i="5"/>
  <c r="W1087" i="5"/>
  <c r="R265" i="5"/>
  <c r="Q265" i="5"/>
  <c r="R183" i="5"/>
  <c r="V183" i="5" s="1"/>
  <c r="Q183" i="5"/>
  <c r="V212" i="5"/>
  <c r="W1346" i="5"/>
  <c r="F1346" i="5"/>
  <c r="R1249" i="5"/>
  <c r="V1249" i="5" s="1"/>
  <c r="Q1249" i="5"/>
  <c r="S1218" i="5"/>
  <c r="V1142" i="5"/>
  <c r="V1025" i="5"/>
  <c r="F1080" i="5"/>
  <c r="W1080" i="5"/>
  <c r="F1366" i="5"/>
  <c r="W1366" i="5"/>
  <c r="F1195" i="5"/>
  <c r="W1195" i="5"/>
  <c r="S871" i="5"/>
  <c r="R1087" i="5"/>
  <c r="V1011" i="5"/>
  <c r="V773" i="5"/>
  <c r="F275" i="5"/>
  <c r="W275" i="5"/>
  <c r="Q476" i="5"/>
  <c r="R476" i="5"/>
  <c r="V476" i="5" s="1"/>
  <c r="F274" i="5"/>
  <c r="W274" i="5"/>
  <c r="R317" i="5"/>
  <c r="Q317" i="5"/>
  <c r="R262" i="5"/>
  <c r="V262" i="5" s="1"/>
  <c r="Q262" i="5"/>
  <c r="V260" i="5"/>
  <c r="R392" i="5"/>
  <c r="V218" i="5"/>
  <c r="V1450" i="5"/>
  <c r="V768" i="5"/>
  <c r="R838" i="5"/>
  <c r="Q838" i="5"/>
  <c r="R323" i="5"/>
  <c r="Q323" i="5"/>
  <c r="R275" i="5"/>
  <c r="V199" i="5"/>
  <c r="R683" i="5"/>
  <c r="V683" i="5" s="1"/>
  <c r="Q683" i="5"/>
  <c r="F1208" i="5"/>
  <c r="W1208" i="5"/>
  <c r="R1878" i="5"/>
  <c r="V1878" i="5" s="1"/>
  <c r="Q1878" i="5"/>
  <c r="R1144" i="5"/>
  <c r="Q1144" i="5"/>
  <c r="F1084" i="5"/>
  <c r="W1084" i="5"/>
  <c r="R986" i="5"/>
  <c r="V986" i="5" s="1"/>
  <c r="Q986" i="5"/>
  <c r="R619" i="5"/>
  <c r="V619" i="5" s="1"/>
  <c r="Q619" i="5"/>
  <c r="F294" i="5"/>
  <c r="W294" i="5"/>
  <c r="Q128" i="5"/>
  <c r="R128" i="5"/>
  <c r="V128" i="5" s="1"/>
  <c r="R234" i="5"/>
  <c r="Q234" i="5"/>
  <c r="A9" i="3"/>
  <c r="A4" i="3"/>
  <c r="R1132" i="5"/>
  <c r="Q1132" i="5"/>
  <c r="R1133" i="5"/>
  <c r="Q1133" i="5"/>
  <c r="V1007" i="5"/>
  <c r="V1128" i="5"/>
  <c r="R1875" i="5"/>
  <c r="V1875" i="5" s="1"/>
  <c r="Q1875" i="5"/>
  <c r="V2047" i="5"/>
  <c r="R1882" i="5"/>
  <c r="V1882" i="5" s="1"/>
  <c r="Q1882" i="5"/>
  <c r="V1183" i="5"/>
  <c r="V1492" i="5"/>
  <c r="V1054" i="5"/>
  <c r="F1201" i="5"/>
  <c r="W1201" i="5"/>
  <c r="V1001" i="5"/>
  <c r="V796" i="5"/>
  <c r="R238" i="5"/>
  <c r="Q238" i="5"/>
  <c r="R608" i="5"/>
  <c r="V608" i="5" s="1"/>
  <c r="Q608" i="5"/>
  <c r="Q709" i="5"/>
  <c r="R709" i="5"/>
  <c r="V709" i="5" s="1"/>
  <c r="R606" i="5"/>
  <c r="V606" i="5" s="1"/>
  <c r="Q606" i="5"/>
  <c r="R1858" i="5"/>
  <c r="V1858" i="5" s="1"/>
  <c r="Q1858" i="5"/>
  <c r="R1527" i="5"/>
  <c r="V1527" i="5" s="1"/>
  <c r="Q1527" i="5"/>
  <c r="R1287" i="5"/>
  <c r="Q1287" i="5"/>
  <c r="R701" i="5"/>
  <c r="V701" i="5" s="1"/>
  <c r="Q701" i="5"/>
  <c r="R232" i="5"/>
  <c r="Q232" i="5"/>
  <c r="R207" i="5"/>
  <c r="Q207" i="5"/>
  <c r="F1091" i="5"/>
  <c r="W1091" i="5"/>
  <c r="R464" i="5"/>
  <c r="V464" i="5" s="1"/>
  <c r="Q464" i="5"/>
  <c r="R2021" i="5"/>
  <c r="V2021" i="5" s="1"/>
  <c r="Q2021" i="5"/>
  <c r="Q1138" i="5"/>
  <c r="R1138" i="5"/>
  <c r="R2027" i="5"/>
  <c r="V2027" i="5" s="1"/>
  <c r="Q2027" i="5"/>
  <c r="Q1159" i="5"/>
  <c r="R1159" i="5"/>
  <c r="V1159" i="5" s="1"/>
  <c r="R1355" i="5"/>
  <c r="V1279" i="5"/>
  <c r="W1193" i="5"/>
  <c r="F1198" i="5"/>
  <c r="W1198" i="5"/>
  <c r="V1002" i="5"/>
  <c r="R1955" i="5"/>
  <c r="V1955" i="5" s="1"/>
  <c r="Q1955" i="5"/>
  <c r="Q1827" i="5"/>
  <c r="R1827" i="5"/>
  <c r="V1827" i="5" s="1"/>
  <c r="R1898" i="5"/>
  <c r="V1898" i="5" s="1"/>
  <c r="Q1898" i="5"/>
  <c r="V2012" i="5"/>
  <c r="R1776" i="5"/>
  <c r="V1776" i="5" s="1"/>
  <c r="Q1776" i="5"/>
  <c r="R1229" i="5"/>
  <c r="V1229" i="5" s="1"/>
  <c r="Q1229" i="5"/>
  <c r="V1140" i="5"/>
  <c r="R1169" i="5"/>
  <c r="Q1169" i="5"/>
  <c r="R1273" i="5"/>
  <c r="Q1273" i="5"/>
  <c r="R1325" i="5"/>
  <c r="V1325" i="5" s="1"/>
  <c r="Q1325" i="5"/>
  <c r="V1059" i="5"/>
  <c r="F855" i="5"/>
  <c r="W855" i="5"/>
  <c r="R318" i="5"/>
  <c r="Q318" i="5"/>
  <c r="R299" i="5"/>
  <c r="R383" i="5"/>
  <c r="F299" i="5"/>
  <c r="W299" i="5"/>
  <c r="R1800" i="5"/>
  <c r="V1800" i="5" s="1"/>
  <c r="Q1800" i="5"/>
  <c r="R1254" i="5"/>
  <c r="V1254" i="5" s="1"/>
  <c r="Q1254" i="5"/>
  <c r="R1044" i="5"/>
  <c r="Q1044" i="5"/>
  <c r="F1093" i="5"/>
  <c r="W1093" i="5"/>
  <c r="R1481" i="5"/>
  <c r="V1481" i="5" s="1"/>
  <c r="Q1481" i="5"/>
  <c r="V1158" i="5"/>
  <c r="R2053" i="5"/>
  <c r="V2053" i="5" s="1"/>
  <c r="Q2053" i="5"/>
  <c r="R1782" i="5"/>
  <c r="V1782" i="5" s="1"/>
  <c r="Q1782" i="5"/>
  <c r="R1691" i="5"/>
  <c r="V1691" i="5" s="1"/>
  <c r="Q1691" i="5"/>
  <c r="V1291" i="5"/>
  <c r="V1435" i="5"/>
  <c r="R1432" i="5"/>
  <c r="V1432" i="5" s="1"/>
  <c r="Q1432" i="5"/>
  <c r="R820" i="5"/>
  <c r="V820" i="5" s="1"/>
  <c r="Q820" i="5"/>
  <c r="V1008" i="5"/>
  <c r="R695" i="5"/>
  <c r="V695" i="5" s="1"/>
  <c r="Q695" i="5"/>
  <c r="R806" i="5"/>
  <c r="V806" i="5" s="1"/>
  <c r="Q806" i="5"/>
  <c r="R189" i="5"/>
  <c r="V189" i="5" s="1"/>
  <c r="Q189" i="5"/>
  <c r="F271" i="5"/>
  <c r="W271" i="5"/>
  <c r="F1359" i="5"/>
  <c r="W1359" i="5"/>
  <c r="R1778" i="5"/>
  <c r="V1778" i="5" s="1"/>
  <c r="Q1778" i="5"/>
  <c r="R1619" i="5"/>
  <c r="V1619" i="5" s="1"/>
  <c r="Q1619" i="5"/>
  <c r="F1349" i="5"/>
  <c r="W1349" i="5"/>
  <c r="R1617" i="5"/>
  <c r="V1617" i="5" s="1"/>
  <c r="Q1617" i="5"/>
  <c r="V1004" i="5"/>
  <c r="Q1835" i="5"/>
  <c r="R1835" i="5"/>
  <c r="V1835" i="5" s="1"/>
  <c r="R1544" i="5"/>
  <c r="V1544" i="5" s="1"/>
  <c r="Q1544" i="5"/>
  <c r="R1562" i="5"/>
  <c r="V1562" i="5" s="1"/>
  <c r="Q1562" i="5"/>
  <c r="R1264" i="5"/>
  <c r="Q1264" i="5"/>
  <c r="R1312" i="5"/>
  <c r="Q1312" i="5"/>
  <c r="R1270" i="5"/>
  <c r="Q1270" i="5"/>
  <c r="R1117" i="5"/>
  <c r="Q1117" i="5"/>
  <c r="R808" i="5"/>
  <c r="Q808" i="5"/>
  <c r="Q659" i="5"/>
  <c r="R659" i="5"/>
  <c r="V659" i="5" s="1"/>
  <c r="R617" i="5"/>
  <c r="V617" i="5" s="1"/>
  <c r="Q617" i="5"/>
  <c r="F862" i="5"/>
  <c r="W862" i="5"/>
  <c r="V668" i="5"/>
  <c r="R421" i="5"/>
  <c r="V421" i="5" s="1"/>
  <c r="Q421" i="5"/>
  <c r="Q446" i="5"/>
  <c r="R446" i="5"/>
  <c r="V446" i="5" s="1"/>
  <c r="V332" i="5"/>
  <c r="R89" i="5"/>
  <c r="V89" i="5" s="1"/>
  <c r="Q89" i="5"/>
  <c r="R1987" i="5"/>
  <c r="V1987" i="5" s="1"/>
  <c r="Q1987" i="5"/>
  <c r="R1826" i="5"/>
  <c r="V1826" i="5" s="1"/>
  <c r="Q1826" i="5"/>
  <c r="V1320" i="5"/>
  <c r="R1358" i="5"/>
  <c r="R832" i="5"/>
  <c r="V832" i="5" s="1"/>
  <c r="Q832" i="5"/>
  <c r="Q1803" i="5"/>
  <c r="R1803" i="5"/>
  <c r="V1803" i="5" s="1"/>
  <c r="Q1586" i="5"/>
  <c r="R1586" i="5"/>
  <c r="V1586" i="5" s="1"/>
  <c r="R1874" i="5"/>
  <c r="V1874" i="5" s="1"/>
  <c r="Q1874" i="5"/>
  <c r="F1081" i="5"/>
  <c r="W1081" i="5"/>
  <c r="V1139" i="5"/>
  <c r="W1370" i="5"/>
  <c r="V1112" i="5"/>
  <c r="R281" i="5"/>
  <c r="R83" i="5"/>
  <c r="V83" i="5" s="1"/>
  <c r="Q83" i="5"/>
  <c r="K10" i="21"/>
  <c r="D3" i="3"/>
  <c r="F3" i="3"/>
  <c r="B3" i="3"/>
  <c r="E3" i="3"/>
  <c r="B4" i="3"/>
  <c r="R1373" i="5" l="1"/>
  <c r="V1098" i="5"/>
  <c r="R286" i="5"/>
  <c r="R294" i="5"/>
  <c r="V294" i="5" s="1"/>
  <c r="R409" i="5"/>
  <c r="V1371" i="5"/>
  <c r="V1368" i="5"/>
  <c r="R271" i="5"/>
  <c r="V271" i="5" s="1"/>
  <c r="V868" i="5"/>
  <c r="V777" i="5"/>
  <c r="R877" i="5"/>
  <c r="V338" i="5"/>
  <c r="R1359" i="5"/>
  <c r="V1359" i="5" s="1"/>
  <c r="V293" i="5"/>
  <c r="R289" i="5"/>
  <c r="V289" i="5" s="1"/>
  <c r="V1147" i="5"/>
  <c r="V252" i="5"/>
  <c r="R385" i="5"/>
  <c r="V385" i="5" s="1"/>
  <c r="V383" i="5"/>
  <c r="R1198" i="5"/>
  <c r="V1198" i="5" s="1"/>
  <c r="V1090" i="5"/>
  <c r="V848" i="5"/>
  <c r="R872" i="5"/>
  <c r="V872" i="5" s="1"/>
  <c r="R1107" i="5"/>
  <c r="V1107" i="5" s="1"/>
  <c r="R855" i="5"/>
  <c r="V855" i="5" s="1"/>
  <c r="V198" i="5"/>
  <c r="R856" i="5"/>
  <c r="V856" i="5" s="1"/>
  <c r="V1094" i="5"/>
  <c r="V1365" i="5"/>
  <c r="R278" i="5"/>
  <c r="V278" i="5" s="1"/>
  <c r="V1292" i="5"/>
  <c r="V854" i="5"/>
  <c r="R1192" i="5"/>
  <c r="V1192" i="5" s="1"/>
  <c r="R873" i="5"/>
  <c r="V873" i="5" s="1"/>
  <c r="V1166" i="5"/>
  <c r="R1109" i="5"/>
  <c r="V1109" i="5" s="1"/>
  <c r="V1355" i="5"/>
  <c r="R1086" i="5"/>
  <c r="V1086" i="5" s="1"/>
  <c r="R279" i="5"/>
  <c r="V279" i="5" s="1"/>
  <c r="V1221" i="5"/>
  <c r="V1003" i="5"/>
  <c r="V1364" i="5"/>
  <c r="V1341" i="5"/>
  <c r="V285" i="5"/>
  <c r="V1314" i="5"/>
  <c r="V397" i="5"/>
  <c r="R862" i="5"/>
  <c r="V862" i="5" s="1"/>
  <c r="V1091" i="5"/>
  <c r="V874" i="5"/>
  <c r="V275" i="5"/>
  <c r="V402" i="5"/>
  <c r="V286" i="5"/>
  <c r="V403" i="5"/>
  <c r="V410" i="5"/>
  <c r="V1344" i="5"/>
  <c r="V1074" i="5"/>
  <c r="V305" i="5"/>
  <c r="V1358" i="5"/>
  <c r="V1075" i="5"/>
  <c r="V1104" i="5"/>
  <c r="V877" i="5"/>
  <c r="V414" i="5"/>
  <c r="V1342" i="5"/>
  <c r="V1366" i="5"/>
  <c r="V860" i="5"/>
  <c r="V1201" i="5"/>
  <c r="V1352" i="5"/>
  <c r="V281" i="5"/>
  <c r="V325" i="5"/>
  <c r="V401" i="5"/>
  <c r="V1223" i="5"/>
  <c r="R1206" i="5"/>
  <c r="V1206" i="5" s="1"/>
  <c r="V1084" i="5"/>
  <c r="V1338" i="5"/>
  <c r="R419" i="5"/>
  <c r="V419" i="5" s="1"/>
  <c r="V404" i="5"/>
  <c r="V1298" i="5"/>
  <c r="V1122" i="5"/>
  <c r="V408" i="5"/>
  <c r="V1087" i="5"/>
  <c r="R1211" i="5"/>
  <c r="V1211" i="5" s="1"/>
  <c r="R1085" i="5"/>
  <c r="V1085" i="5" s="1"/>
  <c r="R1076" i="5"/>
  <c r="V1076" i="5" s="1"/>
  <c r="V290" i="5"/>
  <c r="V1083" i="5"/>
  <c r="V1194" i="5"/>
  <c r="R384" i="5"/>
  <c r="V384" i="5" s="1"/>
  <c r="V816" i="5"/>
  <c r="V398" i="5"/>
  <c r="V299" i="5"/>
  <c r="R871" i="5"/>
  <c r="V871" i="5" s="1"/>
  <c r="V280" i="5"/>
  <c r="R1199" i="5"/>
  <c r="V1199" i="5" s="1"/>
  <c r="R1375" i="5"/>
  <c r="V1375" i="5" s="1"/>
  <c r="R1092" i="5"/>
  <c r="V1092" i="5" s="1"/>
  <c r="V1361" i="5"/>
  <c r="V1374" i="5"/>
  <c r="V396" i="5"/>
  <c r="V1038" i="5"/>
  <c r="R1101" i="5"/>
  <c r="V1101" i="5" s="1"/>
  <c r="R391" i="5"/>
  <c r="V391" i="5" s="1"/>
  <c r="R295" i="5"/>
  <c r="V295" i="5" s="1"/>
  <c r="V1272" i="5"/>
  <c r="R389" i="5"/>
  <c r="V389" i="5" s="1"/>
  <c r="V242" i="5"/>
  <c r="V1284" i="5"/>
  <c r="V395" i="5"/>
  <c r="V1127" i="5"/>
  <c r="R1078" i="5"/>
  <c r="V1078" i="5" s="1"/>
  <c r="V298" i="5"/>
  <c r="V409" i="5"/>
  <c r="R857" i="5"/>
  <c r="V857" i="5" s="1"/>
  <c r="R1089" i="5"/>
  <c r="V1089" i="5" s="1"/>
  <c r="V1351" i="5"/>
  <c r="R1357" i="5"/>
  <c r="V1357" i="5" s="1"/>
  <c r="V291" i="5"/>
  <c r="R1216" i="5"/>
  <c r="V1216" i="5" s="1"/>
  <c r="V288" i="5"/>
  <c r="V302" i="5"/>
  <c r="R1339" i="5"/>
  <c r="V1339" i="5" s="1"/>
  <c r="V853" i="5"/>
  <c r="V879" i="5"/>
  <c r="R415" i="5"/>
  <c r="V415" i="5" s="1"/>
  <c r="V327" i="5"/>
  <c r="R1367" i="5"/>
  <c r="V1367" i="5" s="1"/>
  <c r="V785" i="5"/>
  <c r="V1373" i="5"/>
  <c r="V1347" i="5"/>
  <c r="V1196" i="5"/>
  <c r="V1079" i="5"/>
  <c r="V1348" i="5"/>
  <c r="V392" i="5"/>
  <c r="V1275" i="5"/>
  <c r="R1200" i="5"/>
  <c r="V1200" i="5" s="1"/>
  <c r="V1354" i="5"/>
  <c r="V274" i="5"/>
  <c r="V407" i="5"/>
  <c r="R1370" i="5"/>
  <c r="V1370" i="5" s="1"/>
  <c r="R859" i="5"/>
  <c r="V859" i="5" s="1"/>
  <c r="R1108" i="5"/>
  <c r="V1108" i="5" s="1"/>
  <c r="R1100" i="5"/>
  <c r="V1100" i="5" s="1"/>
  <c r="R400" i="5"/>
  <c r="V400" i="5" s="1"/>
  <c r="R863" i="5"/>
  <c r="V863" i="5" s="1"/>
  <c r="V206" i="5"/>
  <c r="V369" i="5"/>
  <c r="V231" i="5"/>
  <c r="R269" i="5"/>
  <c r="V269" i="5" s="1"/>
  <c r="V1130" i="5"/>
  <c r="R1073" i="5"/>
  <c r="V1073" i="5" s="1"/>
  <c r="E9" i="3"/>
  <c r="V1213" i="5"/>
  <c r="V1081" i="5"/>
  <c r="V1203" i="5"/>
  <c r="R287" i="5"/>
  <c r="V287" i="5" s="1"/>
  <c r="R304" i="5"/>
  <c r="V304" i="5" s="1"/>
  <c r="R416" i="5"/>
  <c r="V416" i="5" s="1"/>
  <c r="R1205" i="5"/>
  <c r="V1205" i="5" s="1"/>
  <c r="R1219" i="5"/>
  <c r="V1219" i="5" s="1"/>
  <c r="R273" i="5"/>
  <c r="V273" i="5" s="1"/>
  <c r="V1204" i="5"/>
  <c r="V215" i="5"/>
  <c r="V282" i="5"/>
  <c r="R1095" i="5"/>
  <c r="V1095" i="5" s="1"/>
  <c r="R1345" i="5"/>
  <c r="V1345" i="5" s="1"/>
  <c r="R1215" i="5"/>
  <c r="V1215" i="5" s="1"/>
  <c r="R300" i="5"/>
  <c r="V300" i="5" s="1"/>
  <c r="V360" i="5"/>
  <c r="R1099" i="5"/>
  <c r="V1099" i="5" s="1"/>
  <c r="D9" i="3"/>
  <c r="B9" i="3"/>
  <c r="F9" i="3"/>
  <c r="R413" i="5"/>
  <c r="V413" i="5" s="1"/>
  <c r="V337" i="5"/>
  <c r="R1097" i="5"/>
  <c r="V1097" i="5" s="1"/>
  <c r="R851" i="5"/>
  <c r="V851" i="5" s="1"/>
  <c r="V775" i="5"/>
  <c r="R284" i="5"/>
  <c r="V284" i="5" s="1"/>
  <c r="V208" i="5"/>
  <c r="R1362" i="5"/>
  <c r="V1362" i="5" s="1"/>
  <c r="R406" i="5"/>
  <c r="V406" i="5" s="1"/>
  <c r="R1077" i="5"/>
  <c r="V1077" i="5" s="1"/>
  <c r="R850" i="5"/>
  <c r="V850" i="5" s="1"/>
  <c r="R1072" i="5"/>
  <c r="V1072" i="5" s="1"/>
  <c r="R1195" i="5"/>
  <c r="V1195" i="5" s="1"/>
  <c r="R1188" i="5"/>
  <c r="V1188" i="5" s="1"/>
  <c r="R417" i="5"/>
  <c r="V417" i="5" s="1"/>
  <c r="R1202" i="5"/>
  <c r="V1202" i="5" s="1"/>
  <c r="V347" i="5"/>
  <c r="V1210" i="5"/>
  <c r="R1187" i="5"/>
  <c r="V1187" i="5" s="1"/>
  <c r="R268" i="5"/>
  <c r="V268" i="5" s="1"/>
  <c r="R1096" i="5"/>
  <c r="V1096" i="5" s="1"/>
  <c r="V1156" i="5"/>
  <c r="R865" i="5"/>
  <c r="V865" i="5" s="1"/>
  <c r="V1360" i="5"/>
  <c r="R1218" i="5"/>
  <c r="V1218" i="5" s="1"/>
  <c r="V1180" i="5"/>
  <c r="R1093" i="5"/>
  <c r="V1093" i="5" s="1"/>
  <c r="V1017" i="5"/>
  <c r="R845" i="5"/>
  <c r="V845" i="5" s="1"/>
  <c r="R849" i="5"/>
  <c r="V849" i="5" s="1"/>
  <c r="V254" i="5"/>
  <c r="R292" i="5"/>
  <c r="V292" i="5" s="1"/>
  <c r="R301" i="5"/>
  <c r="V301" i="5" s="1"/>
  <c r="R412" i="5"/>
  <c r="V412" i="5" s="1"/>
  <c r="V235" i="5"/>
  <c r="V804" i="5"/>
  <c r="R880" i="5"/>
  <c r="V880" i="5" s="1"/>
  <c r="R388" i="5"/>
  <c r="V388" i="5" s="1"/>
  <c r="V312" i="5"/>
  <c r="R844" i="5"/>
  <c r="V844" i="5" s="1"/>
  <c r="R1217" i="5"/>
  <c r="V1217" i="5" s="1"/>
  <c r="V1141" i="5"/>
  <c r="R1356" i="5"/>
  <c r="V1356" i="5" s="1"/>
  <c r="V1280" i="5"/>
  <c r="R869" i="5"/>
  <c r="V869" i="5" s="1"/>
  <c r="V831" i="5"/>
  <c r="V799" i="5"/>
  <c r="R875" i="5"/>
  <c r="V875" i="5" s="1"/>
  <c r="R1080" i="5"/>
  <c r="V1080" i="5" s="1"/>
  <c r="V1184" i="5"/>
  <c r="R1222" i="5"/>
  <c r="V1222" i="5" s="1"/>
  <c r="R1212" i="5"/>
  <c r="V1212" i="5" s="1"/>
  <c r="R1102" i="5"/>
  <c r="V1102" i="5" s="1"/>
  <c r="R867" i="5"/>
  <c r="V867" i="5" s="1"/>
  <c r="R1372" i="5"/>
  <c r="V1372" i="5" s="1"/>
  <c r="V861" i="5"/>
  <c r="V771" i="5"/>
  <c r="R847" i="5"/>
  <c r="V847" i="5" s="1"/>
  <c r="R1189" i="5"/>
  <c r="V1189" i="5" s="1"/>
  <c r="B10" i="3"/>
  <c r="R272" i="5"/>
  <c r="V272" i="5" s="1"/>
  <c r="V234" i="5"/>
  <c r="R387" i="5"/>
  <c r="V387" i="5" s="1"/>
  <c r="V232" i="5"/>
  <c r="R270" i="5"/>
  <c r="V270" i="5" s="1"/>
  <c r="R1082" i="5"/>
  <c r="V1082" i="5" s="1"/>
  <c r="V1044" i="5"/>
  <c r="V808" i="5"/>
  <c r="R846" i="5"/>
  <c r="V846" i="5" s="1"/>
  <c r="R418" i="5"/>
  <c r="V418" i="5" s="1"/>
  <c r="V342" i="5"/>
  <c r="R1207" i="5"/>
  <c r="V1207" i="5" s="1"/>
  <c r="V1169" i="5"/>
  <c r="R1363" i="5"/>
  <c r="V1363" i="5" s="1"/>
  <c r="V1287" i="5"/>
  <c r="R399" i="5"/>
  <c r="V399" i="5" s="1"/>
  <c r="V323" i="5"/>
  <c r="A10" i="3"/>
  <c r="A5" i="3"/>
  <c r="R1193" i="5"/>
  <c r="V1193" i="5" s="1"/>
  <c r="V1117" i="5"/>
  <c r="R303" i="5"/>
  <c r="V303" i="5" s="1"/>
  <c r="V265" i="5"/>
  <c r="R1346" i="5"/>
  <c r="V1346" i="5" s="1"/>
  <c r="V1270" i="5"/>
  <c r="V259" i="5"/>
  <c r="R297" i="5"/>
  <c r="V297" i="5" s="1"/>
  <c r="R1088" i="5"/>
  <c r="V1088" i="5" s="1"/>
  <c r="V1050" i="5"/>
  <c r="R283" i="5"/>
  <c r="V283" i="5" s="1"/>
  <c r="V207" i="5"/>
  <c r="V238" i="5"/>
  <c r="R276" i="5"/>
  <c r="V276" i="5" s="1"/>
  <c r="R876" i="5"/>
  <c r="V876" i="5" s="1"/>
  <c r="V838" i="5"/>
  <c r="R852" i="5"/>
  <c r="V852" i="5" s="1"/>
  <c r="V814" i="5"/>
  <c r="V1273" i="5"/>
  <c r="R1349" i="5"/>
  <c r="V1349" i="5" s="1"/>
  <c r="R1105" i="5"/>
  <c r="V1105" i="5" s="1"/>
  <c r="V1067" i="5"/>
  <c r="R1214" i="5"/>
  <c r="V1214" i="5" s="1"/>
  <c r="V1138" i="5"/>
  <c r="R866" i="5"/>
  <c r="V866" i="5" s="1"/>
  <c r="V790" i="5"/>
  <c r="R878" i="5"/>
  <c r="V878" i="5" s="1"/>
  <c r="V802" i="5"/>
  <c r="R1190" i="5"/>
  <c r="V1190" i="5" s="1"/>
  <c r="V1152" i="5"/>
  <c r="R382" i="5"/>
  <c r="V382" i="5" s="1"/>
  <c r="V306" i="5"/>
  <c r="R1350" i="5"/>
  <c r="V1350" i="5" s="1"/>
  <c r="V1312" i="5"/>
  <c r="R1340" i="5"/>
  <c r="V1340" i="5" s="1"/>
  <c r="V1264" i="5"/>
  <c r="R1197" i="5"/>
  <c r="V1197" i="5" s="1"/>
  <c r="V1121" i="5"/>
  <c r="R1106" i="5"/>
  <c r="V1106" i="5" s="1"/>
  <c r="R1353" i="5"/>
  <c r="V1353" i="5" s="1"/>
  <c r="V1277" i="5"/>
  <c r="R1103" i="5"/>
  <c r="V1103" i="5" s="1"/>
  <c r="V1027" i="5"/>
  <c r="R386" i="5"/>
  <c r="V386" i="5" s="1"/>
  <c r="V348" i="5"/>
  <c r="R870" i="5"/>
  <c r="V870" i="5" s="1"/>
  <c r="R858" i="5"/>
  <c r="V858" i="5" s="1"/>
  <c r="R881" i="5"/>
  <c r="V881" i="5" s="1"/>
  <c r="V805" i="5"/>
  <c r="R405" i="5"/>
  <c r="V405" i="5" s="1"/>
  <c r="V329" i="5"/>
  <c r="R394" i="5"/>
  <c r="V394" i="5" s="1"/>
  <c r="V318" i="5"/>
  <c r="R411" i="5"/>
  <c r="V411" i="5" s="1"/>
  <c r="R1209" i="5"/>
  <c r="V1209" i="5" s="1"/>
  <c r="V1133" i="5"/>
  <c r="R393" i="5"/>
  <c r="V393" i="5" s="1"/>
  <c r="V317" i="5"/>
  <c r="R1208" i="5"/>
  <c r="V1208" i="5" s="1"/>
  <c r="V1132" i="5"/>
  <c r="R1220" i="5"/>
  <c r="V1220" i="5" s="1"/>
  <c r="V1144" i="5"/>
  <c r="R277" i="5"/>
  <c r="V277" i="5" s="1"/>
  <c r="V201" i="5"/>
  <c r="R1191" i="5"/>
  <c r="V1191" i="5" s="1"/>
  <c r="V1115" i="5"/>
  <c r="V220" i="5"/>
  <c r="R296" i="5"/>
  <c r="V296" i="5" s="1"/>
  <c r="R1369" i="5"/>
  <c r="V1369" i="5" s="1"/>
  <c r="V1293" i="5"/>
  <c r="R864" i="5"/>
  <c r="V864" i="5" s="1"/>
  <c r="V826" i="5"/>
  <c r="V1305" i="5"/>
  <c r="R1343" i="5"/>
  <c r="V1343" i="5" s="1"/>
  <c r="E4" i="3"/>
  <c r="F4" i="3"/>
  <c r="C4" i="3"/>
  <c r="D4" i="3"/>
  <c r="C5" i="3"/>
  <c r="D10" i="3" l="1"/>
  <c r="E10" i="3"/>
  <c r="F10" i="3"/>
  <c r="C10" i="3"/>
  <c r="C11" i="3"/>
  <c r="A11" i="3"/>
  <c r="B7" i="21"/>
  <c r="K5" i="21"/>
  <c r="B8" i="21" a="1"/>
  <c r="B5" i="3"/>
  <c r="E5" i="3"/>
  <c r="D5" i="3"/>
  <c r="F5" i="3"/>
  <c r="B8" i="21" l="1"/>
  <c r="H5" i="21" s="1"/>
  <c r="E11" i="3"/>
  <c r="B11" i="3"/>
  <c r="D11" i="3"/>
  <c r="F11" i="3"/>
  <c r="K4" i="21"/>
  <c r="G5" i="21" a="1"/>
  <c r="G5" i="21" l="1"/>
  <c r="H4" i="21"/>
  <c r="K3" i="21"/>
  <c r="K9" i="21" s="1"/>
  <c r="H91" i="24"/>
  <c r="G91" i="24"/>
  <c r="H90" i="24"/>
  <c r="G90" i="24"/>
  <c r="H89" i="24"/>
  <c r="G89" i="24"/>
  <c r="H88" i="24"/>
  <c r="G88" i="24"/>
  <c r="H87" i="24"/>
  <c r="G87" i="24"/>
  <c r="H86" i="24"/>
  <c r="G86" i="24"/>
  <c r="H85" i="24"/>
  <c r="G85" i="24"/>
  <c r="H84" i="24"/>
  <c r="G84" i="24"/>
  <c r="H83" i="24"/>
  <c r="G83" i="24"/>
  <c r="H82" i="24"/>
  <c r="G82" i="24"/>
  <c r="H81" i="24"/>
  <c r="G81" i="24"/>
  <c r="H80" i="24"/>
  <c r="G80" i="24"/>
  <c r="H79" i="24"/>
  <c r="G79" i="24"/>
  <c r="H78" i="24"/>
  <c r="G78" i="24"/>
  <c r="H77" i="24"/>
  <c r="G77" i="24"/>
  <c r="H76" i="24"/>
  <c r="G76" i="24"/>
  <c r="H75" i="24"/>
  <c r="G75" i="24"/>
  <c r="H74" i="24"/>
  <c r="G74" i="24"/>
  <c r="H73" i="24"/>
  <c r="G73" i="24"/>
  <c r="H72" i="24"/>
  <c r="G72" i="24"/>
  <c r="H71" i="24"/>
  <c r="G71" i="24"/>
  <c r="H70" i="24"/>
  <c r="G70" i="24"/>
  <c r="H69" i="24"/>
  <c r="G69" i="24"/>
  <c r="H68" i="24"/>
  <c r="G68" i="24"/>
  <c r="H67" i="24"/>
  <c r="G67" i="24"/>
  <c r="H66" i="24"/>
  <c r="G66" i="24"/>
  <c r="H65" i="24"/>
  <c r="G65" i="24"/>
  <c r="H64" i="24"/>
  <c r="G64" i="24"/>
  <c r="H63" i="24"/>
  <c r="G63" i="24"/>
  <c r="H62" i="24"/>
  <c r="G62" i="24"/>
  <c r="H61" i="24"/>
  <c r="G61" i="24"/>
  <c r="H60" i="24"/>
  <c r="G60" i="24"/>
  <c r="H59" i="24"/>
  <c r="G59" i="24"/>
  <c r="H58" i="24"/>
  <c r="G58" i="24"/>
  <c r="H57" i="24"/>
  <c r="G57" i="24"/>
  <c r="H56" i="24"/>
  <c r="G56" i="24"/>
  <c r="H55" i="24"/>
  <c r="G55" i="24"/>
  <c r="H54" i="24"/>
  <c r="G54" i="24"/>
  <c r="H53" i="24"/>
  <c r="G53" i="24"/>
  <c r="H52" i="24"/>
  <c r="G52" i="24"/>
  <c r="H51" i="24"/>
  <c r="G51" i="24"/>
  <c r="H50" i="24"/>
  <c r="G50" i="24"/>
  <c r="H49" i="24"/>
  <c r="G49" i="24"/>
  <c r="H48" i="24"/>
  <c r="G48" i="24"/>
  <c r="H47" i="24"/>
  <c r="G47" i="24"/>
  <c r="H46" i="24"/>
  <c r="G46" i="24"/>
  <c r="H45" i="24"/>
  <c r="G45" i="24"/>
  <c r="H44" i="24"/>
  <c r="G44" i="24"/>
  <c r="H43" i="24"/>
  <c r="G43" i="24"/>
  <c r="H42" i="24"/>
  <c r="G42" i="24"/>
  <c r="H41" i="24"/>
  <c r="G41" i="24"/>
  <c r="H40" i="24"/>
  <c r="G40" i="24"/>
  <c r="H39" i="24"/>
  <c r="G39" i="24"/>
  <c r="H38" i="24"/>
  <c r="G38" i="24"/>
  <c r="H37" i="24"/>
  <c r="G37" i="24"/>
  <c r="H36" i="24"/>
  <c r="G36" i="24"/>
  <c r="H35" i="24"/>
  <c r="G35" i="24"/>
  <c r="H34" i="24"/>
  <c r="G34" i="24"/>
  <c r="H33" i="24"/>
  <c r="G33" i="24"/>
  <c r="H32" i="24"/>
  <c r="G32" i="24"/>
  <c r="H31" i="24"/>
  <c r="G31" i="24"/>
  <c r="H30" i="24"/>
  <c r="G30" i="24"/>
  <c r="H29" i="24"/>
  <c r="G29" i="24"/>
  <c r="H28" i="24"/>
  <c r="G28" i="24"/>
  <c r="H27" i="24"/>
  <c r="G27" i="24"/>
  <c r="H26" i="24"/>
  <c r="G26" i="24"/>
  <c r="H25" i="24"/>
  <c r="G25" i="24"/>
  <c r="H24" i="24"/>
  <c r="G24" i="24"/>
  <c r="H23" i="24"/>
  <c r="G23" i="24"/>
  <c r="H22" i="24"/>
  <c r="G22" i="24"/>
  <c r="H21" i="24"/>
  <c r="G21" i="24"/>
  <c r="H20" i="24"/>
  <c r="G20" i="24"/>
  <c r="H19" i="24"/>
  <c r="G19" i="24"/>
  <c r="H18" i="24"/>
  <c r="G18" i="24"/>
  <c r="H17" i="24"/>
  <c r="G17" i="24"/>
  <c r="H16" i="24"/>
  <c r="G16" i="24"/>
  <c r="H15" i="24"/>
  <c r="G15" i="24"/>
  <c r="H14" i="24"/>
  <c r="G14" i="24"/>
  <c r="H13" i="24"/>
  <c r="G13" i="24"/>
  <c r="H12" i="24"/>
  <c r="G12" i="24"/>
  <c r="H11" i="24"/>
  <c r="G11" i="24"/>
  <c r="H10" i="24"/>
  <c r="G10" i="24"/>
  <c r="H9" i="24"/>
  <c r="G9" i="24"/>
  <c r="H8" i="24"/>
  <c r="G8" i="24"/>
  <c r="H7" i="24"/>
  <c r="G7" i="24"/>
  <c r="H6" i="24"/>
  <c r="G6" i="24"/>
  <c r="H5" i="24"/>
  <c r="G5" i="24"/>
  <c r="H4" i="24"/>
  <c r="G4" i="24"/>
  <c r="G4" i="21" a="1"/>
  <c r="G4" i="21" l="1"/>
  <c r="B9" i="21" s="1"/>
  <c r="B10" i="21" s="1"/>
  <c r="B16" i="21"/>
  <c r="B13" i="21"/>
  <c r="C5" i="21" l="1"/>
  <c r="C4" i="21"/>
  <c r="C3" i="21"/>
  <c r="G3" i="24"/>
  <c r="E7" i="17" l="1"/>
  <c r="E6" i="17"/>
  <c r="E5" i="17"/>
  <c r="E4" i="17"/>
  <c r="E10" i="17" l="1"/>
  <c r="E13" i="17"/>
  <c r="E14" i="17"/>
  <c r="E15" i="17"/>
  <c r="E12" i="17"/>
  <c r="E9" i="17"/>
  <c r="E11" i="17"/>
  <c r="E8" i="17"/>
  <c r="J74" i="16" l="1"/>
  <c r="J29" i="16" l="1"/>
  <c r="R94" i="16" l="1"/>
  <c r="O94" i="16"/>
  <c r="R63" i="16"/>
  <c r="R39" i="16"/>
  <c r="I92" i="16"/>
  <c r="O39" i="16"/>
  <c r="P94" i="16"/>
  <c r="O91" i="16"/>
  <c r="R84" i="16"/>
  <c r="Q94" i="16"/>
  <c r="O64" i="16"/>
  <c r="H61" i="16"/>
  <c r="P39" i="16"/>
  <c r="R64" i="16"/>
  <c r="R95" i="16"/>
  <c r="R91" i="16"/>
  <c r="P84" i="16"/>
  <c r="P63" i="16"/>
  <c r="I85" i="16"/>
  <c r="I40" i="16"/>
  <c r="Q63" i="16"/>
  <c r="O95" i="16"/>
  <c r="P95" i="16"/>
  <c r="O63" i="16"/>
  <c r="O87" i="16"/>
  <c r="P64" i="16"/>
  <c r="I61" i="16"/>
  <c r="J4" i="16"/>
  <c r="G49" i="16" l="1"/>
  <c r="G61" i="16"/>
  <c r="H92" i="16"/>
  <c r="G85" i="16"/>
  <c r="O84" i="16"/>
  <c r="J96" i="16"/>
  <c r="J65" i="16"/>
  <c r="H65" i="16"/>
  <c r="J85" i="16"/>
  <c r="P91" i="16"/>
  <c r="J61" i="16"/>
  <c r="J40" i="16"/>
  <c r="G65" i="16"/>
  <c r="G96" i="16"/>
  <c r="G40" i="16"/>
  <c r="I96" i="16"/>
  <c r="G17" i="16"/>
  <c r="H40" i="16"/>
  <c r="H85" i="16"/>
  <c r="O42" i="16"/>
  <c r="H96" i="16"/>
  <c r="G92" i="16"/>
  <c r="J92" i="16"/>
  <c r="I65" i="16"/>
  <c r="G44" i="16"/>
  <c r="G89" i="16"/>
  <c r="H17" i="16"/>
  <c r="P42" i="16"/>
  <c r="H89" i="16"/>
  <c r="I44" i="16"/>
  <c r="I89" i="16"/>
  <c r="H49" i="16"/>
  <c r="P87" i="16"/>
  <c r="J44" i="16"/>
  <c r="J89" i="16"/>
  <c r="H44" i="16"/>
  <c r="M65" i="16"/>
  <c r="Q62" i="16"/>
  <c r="Q65" i="16" s="1"/>
  <c r="G82" i="16"/>
  <c r="G16" i="16"/>
  <c r="K40" i="16"/>
  <c r="O38" i="16"/>
  <c r="O40" i="16" s="1"/>
  <c r="I49" i="16"/>
  <c r="J66" i="16"/>
  <c r="J54" i="16"/>
  <c r="M96" i="16"/>
  <c r="Q93" i="16"/>
  <c r="Q96" i="16" s="1"/>
  <c r="L45" i="16"/>
  <c r="L33" i="16"/>
  <c r="P31" i="16"/>
  <c r="L92" i="16"/>
  <c r="P90" i="16"/>
  <c r="P92" i="16" s="1"/>
  <c r="H48" i="16"/>
  <c r="H37" i="16"/>
  <c r="O81" i="16"/>
  <c r="K18" i="16"/>
  <c r="L67" i="16"/>
  <c r="P53" i="16"/>
  <c r="P81" i="16"/>
  <c r="L18" i="16"/>
  <c r="L69" i="16"/>
  <c r="L58" i="16"/>
  <c r="P55" i="16"/>
  <c r="N96" i="16"/>
  <c r="R93" i="16"/>
  <c r="R96" i="16" s="1"/>
  <c r="J67" i="16"/>
  <c r="K44" i="16"/>
  <c r="O41" i="16"/>
  <c r="I69" i="16"/>
  <c r="I58" i="16"/>
  <c r="L71" i="16"/>
  <c r="P57" i="16"/>
  <c r="H70" i="16"/>
  <c r="G78" i="16"/>
  <c r="G13" i="16"/>
  <c r="N66" i="16"/>
  <c r="N54" i="16"/>
  <c r="R52" i="16"/>
  <c r="K50" i="16"/>
  <c r="O36" i="16"/>
  <c r="I48" i="16"/>
  <c r="I37" i="16"/>
  <c r="N65" i="16"/>
  <c r="R62" i="16"/>
  <c r="R65" i="16" s="1"/>
  <c r="J82" i="16"/>
  <c r="J16" i="16"/>
  <c r="L85" i="16"/>
  <c r="P83" i="16"/>
  <c r="P85" i="16" s="1"/>
  <c r="J17" i="16"/>
  <c r="M69" i="16"/>
  <c r="M58" i="16"/>
  <c r="Q55" i="16"/>
  <c r="H50" i="16"/>
  <c r="K70" i="16"/>
  <c r="O56" i="16"/>
  <c r="I67" i="16"/>
  <c r="I68" i="16" s="1"/>
  <c r="I54" i="16"/>
  <c r="L70" i="16"/>
  <c r="P56" i="16"/>
  <c r="K89" i="16"/>
  <c r="O86" i="16"/>
  <c r="N45" i="16"/>
  <c r="N33" i="16"/>
  <c r="R31" i="16"/>
  <c r="K46" i="16"/>
  <c r="O32" i="16"/>
  <c r="K71" i="16"/>
  <c r="O57" i="16"/>
  <c r="M89" i="16"/>
  <c r="Q86" i="16"/>
  <c r="M46" i="16"/>
  <c r="M33" i="16"/>
  <c r="Q32" i="16"/>
  <c r="Q33" i="16" s="1"/>
  <c r="M78" i="16"/>
  <c r="Q77" i="16"/>
  <c r="Q78" i="16" s="1"/>
  <c r="M14" i="16"/>
  <c r="G70" i="16"/>
  <c r="G10" i="16" s="1"/>
  <c r="Q87" i="16"/>
  <c r="I70" i="16"/>
  <c r="H78" i="16"/>
  <c r="H13" i="16"/>
  <c r="G48" i="16"/>
  <c r="G37" i="16"/>
  <c r="N92" i="16"/>
  <c r="R90" i="16"/>
  <c r="R92" i="16" s="1"/>
  <c r="H18" i="16"/>
  <c r="M85" i="16"/>
  <c r="Q84" i="16"/>
  <c r="Q85" i="16" s="1"/>
  <c r="K78" i="16"/>
  <c r="O76" i="16"/>
  <c r="K13" i="16"/>
  <c r="N78" i="16"/>
  <c r="R76" i="16"/>
  <c r="N13" i="16"/>
  <c r="M44" i="16"/>
  <c r="Q41" i="16"/>
  <c r="P77" i="16"/>
  <c r="L14" i="16"/>
  <c r="R87" i="16"/>
  <c r="J45" i="16"/>
  <c r="J33" i="16"/>
  <c r="J70" i="16"/>
  <c r="J78" i="16"/>
  <c r="J13" i="16"/>
  <c r="Q80" i="16"/>
  <c r="M17" i="16"/>
  <c r="L65" i="16"/>
  <c r="P62" i="16"/>
  <c r="P65" i="16" s="1"/>
  <c r="H82" i="16"/>
  <c r="H16" i="16"/>
  <c r="N50" i="16"/>
  <c r="R36" i="16"/>
  <c r="R81" i="16"/>
  <c r="N18" i="16"/>
  <c r="K96" i="16"/>
  <c r="O93" i="16"/>
  <c r="O96" i="16" s="1"/>
  <c r="H66" i="16"/>
  <c r="H54" i="16"/>
  <c r="N85" i="16"/>
  <c r="R83" i="16"/>
  <c r="R85" i="16" s="1"/>
  <c r="G67" i="16"/>
  <c r="N69" i="16"/>
  <c r="N58" i="16"/>
  <c r="R55" i="16"/>
  <c r="J50" i="16"/>
  <c r="M70" i="16"/>
  <c r="Q56" i="16"/>
  <c r="L44" i="16"/>
  <c r="P41" i="16"/>
  <c r="O77" i="16"/>
  <c r="K14" i="16"/>
  <c r="N46" i="16"/>
  <c r="R32" i="16"/>
  <c r="K48" i="16"/>
  <c r="K37" i="16"/>
  <c r="O34" i="16"/>
  <c r="L61" i="16"/>
  <c r="P59" i="16"/>
  <c r="M48" i="16"/>
  <c r="M37" i="16"/>
  <c r="Q34" i="16"/>
  <c r="O88" i="16"/>
  <c r="G46" i="16"/>
  <c r="G71" i="16"/>
  <c r="G14" i="16"/>
  <c r="R80" i="16"/>
  <c r="N17" i="16"/>
  <c r="I82" i="16"/>
  <c r="I16" i="16"/>
  <c r="L50" i="16"/>
  <c r="P36" i="16"/>
  <c r="J48" i="16"/>
  <c r="J37" i="16"/>
  <c r="N67" i="16"/>
  <c r="R53" i="16"/>
  <c r="K85" i="16"/>
  <c r="O83" i="16"/>
  <c r="O85" i="16" s="1"/>
  <c r="G66" i="16"/>
  <c r="G54" i="16"/>
  <c r="K69" i="16"/>
  <c r="K58" i="16"/>
  <c r="O55" i="16"/>
  <c r="L96" i="16"/>
  <c r="P93" i="16"/>
  <c r="P96" i="16" s="1"/>
  <c r="G18" i="16"/>
  <c r="M40" i="16"/>
  <c r="Q39" i="16"/>
  <c r="Q40" i="16" s="1"/>
  <c r="K45" i="16"/>
  <c r="K33" i="16"/>
  <c r="O31" i="16"/>
  <c r="N70" i="16"/>
  <c r="R56" i="16"/>
  <c r="H69" i="16"/>
  <c r="H58" i="16"/>
  <c r="N44" i="16"/>
  <c r="R41" i="16"/>
  <c r="N71" i="16"/>
  <c r="R57" i="16"/>
  <c r="G45" i="16"/>
  <c r="G33" i="16"/>
  <c r="Q42" i="16"/>
  <c r="L82" i="16"/>
  <c r="P79" i="16"/>
  <c r="L16" i="16"/>
  <c r="P60" i="16"/>
  <c r="H46" i="16"/>
  <c r="H71" i="16"/>
  <c r="H14" i="16"/>
  <c r="M49" i="16"/>
  <c r="Q35" i="16"/>
  <c r="L66" i="16"/>
  <c r="L54" i="16"/>
  <c r="P52" i="16"/>
  <c r="K65" i="16"/>
  <c r="O62" i="16"/>
  <c r="O65" i="16" s="1"/>
  <c r="K67" i="16"/>
  <c r="O53" i="16"/>
  <c r="M67" i="16"/>
  <c r="M54" i="16"/>
  <c r="Q53" i="16"/>
  <c r="Q54" i="16" s="1"/>
  <c r="G50" i="16"/>
  <c r="H67" i="16"/>
  <c r="L78" i="16"/>
  <c r="P76" i="16"/>
  <c r="L13" i="16"/>
  <c r="G69" i="16"/>
  <c r="G58" i="16"/>
  <c r="N89" i="16"/>
  <c r="R86" i="16"/>
  <c r="J69" i="16"/>
  <c r="J58" i="16"/>
  <c r="H45" i="16"/>
  <c r="H33" i="16"/>
  <c r="R42" i="16"/>
  <c r="O60" i="16"/>
  <c r="N48" i="16"/>
  <c r="N37" i="16"/>
  <c r="R34" i="16"/>
  <c r="P88" i="16"/>
  <c r="K49" i="16"/>
  <c r="O35" i="16"/>
  <c r="R43" i="16"/>
  <c r="M61" i="16"/>
  <c r="Q60" i="16"/>
  <c r="Q61" i="16" s="1"/>
  <c r="O80" i="16"/>
  <c r="K17" i="16"/>
  <c r="R88" i="16"/>
  <c r="I46" i="16"/>
  <c r="I33" i="16"/>
  <c r="J71" i="16"/>
  <c r="I78" i="16"/>
  <c r="I14" i="16"/>
  <c r="N49" i="16"/>
  <c r="R35" i="16"/>
  <c r="M92" i="16"/>
  <c r="Q91" i="16"/>
  <c r="Q92" i="16" s="1"/>
  <c r="L40" i="16"/>
  <c r="P38" i="16"/>
  <c r="P40" i="16" s="1"/>
  <c r="I17" i="16"/>
  <c r="N40" i="16"/>
  <c r="R38" i="16"/>
  <c r="R40" i="16" s="1"/>
  <c r="J49" i="16"/>
  <c r="J18" i="16"/>
  <c r="L89" i="16"/>
  <c r="P86" i="16"/>
  <c r="L46" i="16"/>
  <c r="P32" i="16"/>
  <c r="K61" i="16"/>
  <c r="O59" i="16"/>
  <c r="R77" i="16"/>
  <c r="N14" i="16"/>
  <c r="K82" i="16"/>
  <c r="O79" i="16"/>
  <c r="K16" i="16"/>
  <c r="L48" i="16"/>
  <c r="L37" i="16"/>
  <c r="P34" i="16"/>
  <c r="N61" i="16"/>
  <c r="R59" i="16"/>
  <c r="O43" i="16"/>
  <c r="M82" i="16"/>
  <c r="Q79" i="16"/>
  <c r="M16" i="16"/>
  <c r="P43" i="16"/>
  <c r="N82" i="16"/>
  <c r="R79" i="16"/>
  <c r="N16" i="16"/>
  <c r="L49" i="16"/>
  <c r="P35" i="16"/>
  <c r="K66" i="16"/>
  <c r="K54" i="16"/>
  <c r="O52" i="16"/>
  <c r="R60" i="16"/>
  <c r="P80" i="16"/>
  <c r="L17" i="16"/>
  <c r="K92" i="16"/>
  <c r="O90" i="16"/>
  <c r="O92" i="16" s="1"/>
  <c r="J46" i="16"/>
  <c r="J14" i="16"/>
  <c r="O61" i="16" l="1"/>
  <c r="I72" i="16"/>
  <c r="O89" i="16"/>
  <c r="P54" i="16"/>
  <c r="P44" i="16"/>
  <c r="Q44" i="16"/>
  <c r="R33" i="16"/>
  <c r="J68" i="16"/>
  <c r="R61" i="16"/>
  <c r="G24" i="16"/>
  <c r="O67" i="16"/>
  <c r="O58" i="16"/>
  <c r="O78" i="16"/>
  <c r="O33" i="16"/>
  <c r="P61" i="16"/>
  <c r="Q89" i="16"/>
  <c r="R54" i="16"/>
  <c r="J72" i="16"/>
  <c r="R82" i="16"/>
  <c r="R78" i="16"/>
  <c r="R89" i="16"/>
  <c r="H72" i="16"/>
  <c r="P58" i="16"/>
  <c r="O44" i="16"/>
  <c r="Q82" i="16"/>
  <c r="R37" i="16"/>
  <c r="O82" i="16"/>
  <c r="R44" i="16"/>
  <c r="R58" i="16"/>
  <c r="H68" i="16"/>
  <c r="P89" i="16"/>
  <c r="Q58" i="16"/>
  <c r="O54" i="16"/>
  <c r="P71" i="16"/>
  <c r="H11" i="16"/>
  <c r="H25" i="16" s="1"/>
  <c r="P70" i="16"/>
  <c r="P67" i="16"/>
  <c r="G68" i="16"/>
  <c r="G72" i="16"/>
  <c r="P82" i="16"/>
  <c r="P33" i="16"/>
  <c r="Q37" i="16"/>
  <c r="P37" i="16"/>
  <c r="O37" i="16"/>
  <c r="P78" i="16"/>
  <c r="O70" i="16"/>
  <c r="J7" i="16"/>
  <c r="J21" i="16" s="1"/>
  <c r="R67" i="16"/>
  <c r="G11" i="16"/>
  <c r="G25" i="16" s="1"/>
  <c r="H10" i="16"/>
  <c r="H24" i="16" s="1"/>
  <c r="R49" i="16"/>
  <c r="N10" i="16"/>
  <c r="N24" i="16" s="1"/>
  <c r="O46" i="16"/>
  <c r="K7" i="16"/>
  <c r="K21" i="16" s="1"/>
  <c r="O18" i="16"/>
  <c r="I51" i="16"/>
  <c r="I9" i="16"/>
  <c r="P13" i="16"/>
  <c r="L15" i="16"/>
  <c r="O14" i="16"/>
  <c r="N68" i="16"/>
  <c r="R66" i="16"/>
  <c r="R68" i="16" s="1"/>
  <c r="H19" i="16"/>
  <c r="R46" i="16"/>
  <c r="N7" i="16"/>
  <c r="L47" i="16"/>
  <c r="P45" i="16"/>
  <c r="L6" i="16"/>
  <c r="R71" i="16"/>
  <c r="N72" i="16"/>
  <c r="R69" i="16"/>
  <c r="R14" i="16"/>
  <c r="I19" i="16"/>
  <c r="P16" i="16"/>
  <c r="L19" i="16"/>
  <c r="J11" i="16"/>
  <c r="J25" i="16" s="1"/>
  <c r="R70" i="16"/>
  <c r="I10" i="16"/>
  <c r="I24" i="16" s="1"/>
  <c r="N51" i="16"/>
  <c r="R48" i="16"/>
  <c r="N9" i="16"/>
  <c r="K51" i="16"/>
  <c r="O48" i="16"/>
  <c r="K9" i="16"/>
  <c r="M68" i="16"/>
  <c r="Q67" i="16"/>
  <c r="Q68" i="16" s="1"/>
  <c r="P50" i="16"/>
  <c r="L11" i="16"/>
  <c r="G7" i="16"/>
  <c r="G21" i="16" s="1"/>
  <c r="M47" i="16"/>
  <c r="Q46" i="16"/>
  <c r="Q47" i="16" s="1"/>
  <c r="M7" i="16"/>
  <c r="M21" i="16" s="1"/>
  <c r="P48" i="16"/>
  <c r="P51" i="16" s="1"/>
  <c r="L51" i="16"/>
  <c r="L9" i="16"/>
  <c r="L23" i="16" s="1"/>
  <c r="O69" i="16"/>
  <c r="K72" i="16"/>
  <c r="K19" i="16"/>
  <c r="O16" i="16"/>
  <c r="N47" i="16"/>
  <c r="R45" i="16"/>
  <c r="N6" i="16"/>
  <c r="P17" i="16"/>
  <c r="G47" i="16"/>
  <c r="G6" i="16"/>
  <c r="O17" i="16"/>
  <c r="H15" i="16"/>
  <c r="J51" i="16"/>
  <c r="J9" i="16"/>
  <c r="M15" i="16"/>
  <c r="Q14" i="16"/>
  <c r="Q15" i="16" s="1"/>
  <c r="P14" i="16"/>
  <c r="R13" i="16"/>
  <c r="N15" i="16"/>
  <c r="G19" i="16"/>
  <c r="O50" i="16"/>
  <c r="K11" i="16"/>
  <c r="G51" i="16"/>
  <c r="G9" i="16"/>
  <c r="J15" i="16"/>
  <c r="O66" i="16"/>
  <c r="O68" i="16" s="1"/>
  <c r="K68" i="16"/>
  <c r="M72" i="16"/>
  <c r="Q69" i="16"/>
  <c r="Q49" i="16"/>
  <c r="M10" i="16"/>
  <c r="J19" i="16"/>
  <c r="R50" i="16"/>
  <c r="N11" i="16"/>
  <c r="N25" i="16" s="1"/>
  <c r="I47" i="16"/>
  <c r="I7" i="16"/>
  <c r="I8" i="16" s="1"/>
  <c r="G15" i="16"/>
  <c r="P46" i="16"/>
  <c r="L7" i="16"/>
  <c r="N19" i="16"/>
  <c r="R16" i="16"/>
  <c r="J10" i="16"/>
  <c r="J24" i="16" s="1"/>
  <c r="R17" i="16"/>
  <c r="K47" i="16"/>
  <c r="O45" i="16"/>
  <c r="K6" i="16"/>
  <c r="P69" i="16"/>
  <c r="L72" i="16"/>
  <c r="H51" i="16"/>
  <c r="H9" i="16"/>
  <c r="Q17" i="16"/>
  <c r="Q70" i="16"/>
  <c r="P49" i="16"/>
  <c r="L10" i="16"/>
  <c r="Q16" i="16"/>
  <c r="M19" i="16"/>
  <c r="Q48" i="16"/>
  <c r="M51" i="16"/>
  <c r="M9" i="16"/>
  <c r="M23" i="16" s="1"/>
  <c r="K15" i="16"/>
  <c r="O13" i="16"/>
  <c r="O71" i="16"/>
  <c r="P18" i="16"/>
  <c r="I15" i="16"/>
  <c r="O49" i="16"/>
  <c r="K10" i="16"/>
  <c r="O10" i="16" s="1"/>
  <c r="J47" i="16"/>
  <c r="J6" i="16"/>
  <c r="P66" i="16"/>
  <c r="L68" i="16"/>
  <c r="H47" i="16"/>
  <c r="H6" i="16"/>
  <c r="H20" i="16" s="1"/>
  <c r="H7" i="16"/>
  <c r="H21" i="16" s="1"/>
  <c r="R18" i="16"/>
  <c r="O19" i="16" l="1"/>
  <c r="R47" i="16"/>
  <c r="P68" i="16"/>
  <c r="G8" i="16"/>
  <c r="O15" i="16"/>
  <c r="P72" i="16"/>
  <c r="H12" i="16"/>
  <c r="P19" i="16"/>
  <c r="J8" i="16"/>
  <c r="R72" i="16"/>
  <c r="O72" i="16"/>
  <c r="R15" i="16"/>
  <c r="R19" i="16"/>
  <c r="P15" i="16"/>
  <c r="G12" i="16"/>
  <c r="P47" i="16"/>
  <c r="O51" i="16"/>
  <c r="O47" i="16"/>
  <c r="Q51" i="16"/>
  <c r="I12" i="16"/>
  <c r="R51" i="16"/>
  <c r="Q19" i="16"/>
  <c r="Q72" i="16"/>
  <c r="P11" i="16"/>
  <c r="P10" i="16"/>
  <c r="O11" i="16"/>
  <c r="Q10" i="16"/>
  <c r="H8" i="16"/>
  <c r="J12" i="16"/>
  <c r="H22" i="16"/>
  <c r="R7" i="16"/>
  <c r="I21" i="16"/>
  <c r="I22" i="16" s="1"/>
  <c r="L24" i="16"/>
  <c r="P24" i="16" s="1"/>
  <c r="P7" i="16"/>
  <c r="H23" i="16"/>
  <c r="H26" i="16" s="1"/>
  <c r="P6" i="16"/>
  <c r="L8" i="16"/>
  <c r="O6" i="16"/>
  <c r="K8" i="16"/>
  <c r="N8" i="16"/>
  <c r="R6" i="16"/>
  <c r="M22" i="16"/>
  <c r="L25" i="16"/>
  <c r="P25" i="16" s="1"/>
  <c r="O9" i="16"/>
  <c r="K12" i="16"/>
  <c r="N12" i="16"/>
  <c r="R9" i="16"/>
  <c r="O21" i="16"/>
  <c r="L20" i="16"/>
  <c r="K23" i="16"/>
  <c r="R25" i="16"/>
  <c r="N20" i="16"/>
  <c r="R11" i="16"/>
  <c r="P9" i="16"/>
  <c r="L12" i="16"/>
  <c r="L21" i="16"/>
  <c r="P21" i="16" s="1"/>
  <c r="N21" i="16"/>
  <c r="R21" i="16" s="1"/>
  <c r="K20" i="16"/>
  <c r="J20" i="16"/>
  <c r="J22" i="16" s="1"/>
  <c r="Q9" i="16"/>
  <c r="M12" i="16"/>
  <c r="N23" i="16"/>
  <c r="G23" i="16"/>
  <c r="G26" i="16" s="1"/>
  <c r="G20" i="16"/>
  <c r="G22" i="16" s="1"/>
  <c r="K25" i="16"/>
  <c r="O25" i="16" s="1"/>
  <c r="I23" i="16"/>
  <c r="I26" i="16" s="1"/>
  <c r="O7" i="16"/>
  <c r="R10" i="16"/>
  <c r="K24" i="16"/>
  <c r="O24" i="16" s="1"/>
  <c r="R24" i="16"/>
  <c r="M24" i="16"/>
  <c r="Q24" i="16" s="1"/>
  <c r="J23" i="16"/>
  <c r="J26" i="16" s="1"/>
  <c r="Q7" i="16"/>
  <c r="Q8" i="16" s="1"/>
  <c r="M8" i="16"/>
  <c r="Q12" i="16" l="1"/>
  <c r="P8" i="16"/>
  <c r="O8" i="16"/>
  <c r="R8" i="16"/>
  <c r="Q21" i="16"/>
  <c r="Q22" i="16" s="1"/>
  <c r="P12" i="16"/>
  <c r="R12" i="16"/>
  <c r="O12" i="16"/>
  <c r="L26" i="16"/>
  <c r="M26" i="16"/>
  <c r="P23" i="16"/>
  <c r="P26" i="16" s="1"/>
  <c r="Q23" i="16"/>
  <c r="Q26" i="16" s="1"/>
  <c r="N22" i="16"/>
  <c r="R20" i="16"/>
  <c r="R22" i="16" s="1"/>
  <c r="K26" i="16"/>
  <c r="O23" i="16"/>
  <c r="O26" i="16" s="1"/>
  <c r="P20" i="16"/>
  <c r="P22" i="16" s="1"/>
  <c r="L22" i="16"/>
  <c r="O20" i="16"/>
  <c r="O22" i="16" s="1"/>
  <c r="K22" i="16"/>
  <c r="R23" i="16"/>
  <c r="R26" i="16" s="1"/>
  <c r="N26" i="16"/>
  <c r="A19" i="11" l="1"/>
  <c r="A2" i="11"/>
  <c r="A1" i="11"/>
  <c r="A5" i="11" s="1"/>
  <c r="AT19" i="12"/>
  <c r="AK19" i="12"/>
  <c r="AB19" i="12"/>
  <c r="S19" i="12"/>
  <c r="J19" i="12"/>
  <c r="A19" i="12"/>
  <c r="D19" i="12" s="1"/>
  <c r="AX4" i="12"/>
  <c r="AO4" i="12"/>
  <c r="AF4" i="12"/>
  <c r="W4" i="12"/>
  <c r="N4" i="12"/>
  <c r="A2" i="12"/>
  <c r="A1" i="12"/>
  <c r="A5" i="12" s="1"/>
  <c r="AB5" i="12" s="1"/>
  <c r="CB66" i="9"/>
  <c r="BO66" i="9"/>
  <c r="AX66" i="9"/>
  <c r="AE66" i="9"/>
  <c r="V66" i="9"/>
  <c r="M66" i="9"/>
  <c r="CB65" i="9"/>
  <c r="BO65" i="9"/>
  <c r="AX65" i="9"/>
  <c r="AE65" i="9"/>
  <c r="V65" i="9"/>
  <c r="M65" i="9"/>
  <c r="CB64" i="9"/>
  <c r="BO64" i="9"/>
  <c r="AX64" i="9"/>
  <c r="AE64" i="9"/>
  <c r="V64" i="9"/>
  <c r="M64" i="9"/>
  <c r="CB63" i="9"/>
  <c r="BO63" i="9"/>
  <c r="AX63" i="9"/>
  <c r="AE63" i="9"/>
  <c r="V63" i="9"/>
  <c r="M63" i="9"/>
  <c r="CB62" i="9"/>
  <c r="BO62" i="9"/>
  <c r="AX62" i="9"/>
  <c r="AE62" i="9"/>
  <c r="V62" i="9"/>
  <c r="M62" i="9"/>
  <c r="CB61" i="9"/>
  <c r="BO61" i="9"/>
  <c r="AX61" i="9"/>
  <c r="AE61" i="9"/>
  <c r="V61" i="9"/>
  <c r="M61" i="9"/>
  <c r="CB60" i="9"/>
  <c r="BO60" i="9"/>
  <c r="AX60" i="9"/>
  <c r="AE60" i="9"/>
  <c r="V60" i="9"/>
  <c r="M60" i="9"/>
  <c r="CB59" i="9"/>
  <c r="BO59" i="9"/>
  <c r="AX59" i="9"/>
  <c r="AE59" i="9"/>
  <c r="V59" i="9"/>
  <c r="M59" i="9"/>
  <c r="CB58" i="9"/>
  <c r="BO58" i="9"/>
  <c r="AX58" i="9"/>
  <c r="AE58" i="9"/>
  <c r="V58" i="9"/>
  <c r="M58" i="9"/>
  <c r="CB57" i="9"/>
  <c r="BO57" i="9"/>
  <c r="AX57" i="9"/>
  <c r="AE57" i="9"/>
  <c r="V57" i="9"/>
  <c r="M57" i="9"/>
  <c r="CB56" i="9"/>
  <c r="BO56" i="9"/>
  <c r="AX56" i="9"/>
  <c r="AE56" i="9"/>
  <c r="V56" i="9"/>
  <c r="M56" i="9"/>
  <c r="CB55" i="9"/>
  <c r="BO55" i="9"/>
  <c r="AX55" i="9"/>
  <c r="AE55" i="9"/>
  <c r="V55" i="9"/>
  <c r="M55" i="9"/>
  <c r="CB54" i="9"/>
  <c r="BO54" i="9"/>
  <c r="AX54" i="9"/>
  <c r="AE54" i="9"/>
  <c r="V54" i="9"/>
  <c r="M54" i="9"/>
  <c r="CB53" i="9"/>
  <c r="BO53" i="9"/>
  <c r="AX53" i="9"/>
  <c r="AE53" i="9"/>
  <c r="V53" i="9"/>
  <c r="M53" i="9"/>
  <c r="CB52" i="9"/>
  <c r="BO52" i="9"/>
  <c r="AX52" i="9"/>
  <c r="AE52" i="9"/>
  <c r="V52" i="9"/>
  <c r="M52" i="9"/>
  <c r="CB51" i="9"/>
  <c r="BO51" i="9"/>
  <c r="AX51" i="9"/>
  <c r="AE51" i="9"/>
  <c r="V51" i="9"/>
  <c r="M51" i="9"/>
  <c r="CB50" i="9"/>
  <c r="BO50" i="9"/>
  <c r="AX50" i="9"/>
  <c r="AE50" i="9"/>
  <c r="V50" i="9"/>
  <c r="M50" i="9"/>
  <c r="CB49" i="9"/>
  <c r="BO49" i="9"/>
  <c r="AX49" i="9"/>
  <c r="AE49" i="9"/>
  <c r="V49" i="9"/>
  <c r="M49" i="9"/>
  <c r="CB48" i="9"/>
  <c r="BO48" i="9"/>
  <c r="AX48" i="9"/>
  <c r="AE48" i="9"/>
  <c r="V48" i="9"/>
  <c r="M48" i="9"/>
  <c r="CB47" i="9"/>
  <c r="BO47" i="9"/>
  <c r="AX47" i="9"/>
  <c r="AE47" i="9"/>
  <c r="V47" i="9"/>
  <c r="M47" i="9"/>
  <c r="CB46" i="9"/>
  <c r="BO46" i="9"/>
  <c r="AX46" i="9"/>
  <c r="AE46" i="9"/>
  <c r="V46" i="9"/>
  <c r="M46" i="9"/>
  <c r="CB45" i="9"/>
  <c r="BO45" i="9"/>
  <c r="AX45" i="9"/>
  <c r="AE45" i="9"/>
  <c r="V45" i="9"/>
  <c r="M45" i="9"/>
  <c r="CB44" i="9"/>
  <c r="BO44" i="9"/>
  <c r="AX44" i="9"/>
  <c r="AE44" i="9"/>
  <c r="V44" i="9"/>
  <c r="M44" i="9"/>
  <c r="BZ19" i="9"/>
  <c r="BM19" i="9"/>
  <c r="AV19" i="9"/>
  <c r="AU19" i="9"/>
  <c r="AM19" i="9"/>
  <c r="AC19" i="9"/>
  <c r="AB19" i="9"/>
  <c r="T19" i="9"/>
  <c r="S19" i="9"/>
  <c r="K19" i="9"/>
  <c r="J19" i="9"/>
  <c r="I19" i="9"/>
  <c r="CA19" i="9" s="1"/>
  <c r="H19" i="9"/>
  <c r="BN19" i="9" s="1"/>
  <c r="G19" i="9"/>
  <c r="F19" i="9"/>
  <c r="E19" i="9"/>
  <c r="D19" i="9"/>
  <c r="A19" i="9"/>
  <c r="B19" i="9" s="1"/>
  <c r="A2" i="9"/>
  <c r="A1" i="9"/>
  <c r="A12" i="9" s="1"/>
  <c r="DQ66" i="6"/>
  <c r="DH66" i="6"/>
  <c r="CY66" i="6"/>
  <c r="CP66" i="6"/>
  <c r="CG66" i="6"/>
  <c r="BX66" i="6"/>
  <c r="BO66" i="6"/>
  <c r="BB66" i="6"/>
  <c r="AS66" i="6"/>
  <c r="AE66" i="6"/>
  <c r="R66" i="6"/>
  <c r="DQ65" i="6"/>
  <c r="DH65" i="6"/>
  <c r="CY65" i="6"/>
  <c r="CP65" i="6"/>
  <c r="CG65" i="6"/>
  <c r="BX65" i="6"/>
  <c r="BO65" i="6"/>
  <c r="BB65" i="6"/>
  <c r="AS65" i="6"/>
  <c r="AE65" i="6"/>
  <c r="R65" i="6"/>
  <c r="DQ64" i="6"/>
  <c r="DH64" i="6"/>
  <c r="CY64" i="6"/>
  <c r="CP64" i="6"/>
  <c r="CG64" i="6"/>
  <c r="BX64" i="6"/>
  <c r="BO64" i="6"/>
  <c r="BB64" i="6"/>
  <c r="AS64" i="6"/>
  <c r="AE64" i="6"/>
  <c r="R64" i="6"/>
  <c r="DQ63" i="6"/>
  <c r="DH63" i="6"/>
  <c r="CY63" i="6"/>
  <c r="CP63" i="6"/>
  <c r="CG63" i="6"/>
  <c r="BX63" i="6"/>
  <c r="BO63" i="6"/>
  <c r="BB63" i="6"/>
  <c r="AS63" i="6"/>
  <c r="AE63" i="6"/>
  <c r="R63" i="6"/>
  <c r="DQ62" i="6"/>
  <c r="DH62" i="6"/>
  <c r="CY62" i="6"/>
  <c r="CP62" i="6"/>
  <c r="CG62" i="6"/>
  <c r="BX62" i="6"/>
  <c r="BO62" i="6"/>
  <c r="BB62" i="6"/>
  <c r="AS62" i="6"/>
  <c r="AE62" i="6"/>
  <c r="R62" i="6"/>
  <c r="DQ61" i="6"/>
  <c r="DH61" i="6"/>
  <c r="CY61" i="6"/>
  <c r="CP61" i="6"/>
  <c r="CG61" i="6"/>
  <c r="BX61" i="6"/>
  <c r="BO61" i="6"/>
  <c r="BB61" i="6"/>
  <c r="AS61" i="6"/>
  <c r="AE61" i="6"/>
  <c r="R61" i="6"/>
  <c r="DQ60" i="6"/>
  <c r="DH60" i="6"/>
  <c r="CY60" i="6"/>
  <c r="CP60" i="6"/>
  <c r="CG60" i="6"/>
  <c r="BX60" i="6"/>
  <c r="BO60" i="6"/>
  <c r="BB60" i="6"/>
  <c r="AS60" i="6"/>
  <c r="AE60" i="6"/>
  <c r="R60" i="6"/>
  <c r="DQ59" i="6"/>
  <c r="DH59" i="6"/>
  <c r="CY59" i="6"/>
  <c r="CP59" i="6"/>
  <c r="CG59" i="6"/>
  <c r="BX59" i="6"/>
  <c r="BO59" i="6"/>
  <c r="BB59" i="6"/>
  <c r="AS59" i="6"/>
  <c r="AE59" i="6"/>
  <c r="R59" i="6"/>
  <c r="DQ58" i="6"/>
  <c r="DH58" i="6"/>
  <c r="CY58" i="6"/>
  <c r="CP58" i="6"/>
  <c r="CG58" i="6"/>
  <c r="BX58" i="6"/>
  <c r="BO58" i="6"/>
  <c r="BB58" i="6"/>
  <c r="AS58" i="6"/>
  <c r="AE58" i="6"/>
  <c r="R58" i="6"/>
  <c r="DQ57" i="6"/>
  <c r="DH57" i="6"/>
  <c r="CY57" i="6"/>
  <c r="CP57" i="6"/>
  <c r="CG57" i="6"/>
  <c r="BX57" i="6"/>
  <c r="BO57" i="6"/>
  <c r="BB57" i="6"/>
  <c r="AS57" i="6"/>
  <c r="AE57" i="6"/>
  <c r="R57" i="6"/>
  <c r="DQ56" i="6"/>
  <c r="DH56" i="6"/>
  <c r="CY56" i="6"/>
  <c r="CP56" i="6"/>
  <c r="CG56" i="6"/>
  <c r="BX56" i="6"/>
  <c r="BO56" i="6"/>
  <c r="BB56" i="6"/>
  <c r="AS56" i="6"/>
  <c r="AE56" i="6"/>
  <c r="R56" i="6"/>
  <c r="DQ55" i="6"/>
  <c r="DH55" i="6"/>
  <c r="CY55" i="6"/>
  <c r="CP55" i="6"/>
  <c r="CG55" i="6"/>
  <c r="BX55" i="6"/>
  <c r="BO55" i="6"/>
  <c r="BB55" i="6"/>
  <c r="AS55" i="6"/>
  <c r="AE55" i="6"/>
  <c r="R55" i="6"/>
  <c r="DQ54" i="6"/>
  <c r="DH54" i="6"/>
  <c r="CY54" i="6"/>
  <c r="CP54" i="6"/>
  <c r="CG54" i="6"/>
  <c r="BX54" i="6"/>
  <c r="BO54" i="6"/>
  <c r="BB54" i="6"/>
  <c r="AS54" i="6"/>
  <c r="AE54" i="6"/>
  <c r="R54" i="6"/>
  <c r="DQ53" i="6"/>
  <c r="DH53" i="6"/>
  <c r="CY53" i="6"/>
  <c r="CP53" i="6"/>
  <c r="CG53" i="6"/>
  <c r="BX53" i="6"/>
  <c r="BO53" i="6"/>
  <c r="BB53" i="6"/>
  <c r="AS53" i="6"/>
  <c r="AE53" i="6"/>
  <c r="R53" i="6"/>
  <c r="DQ52" i="6"/>
  <c r="DH52" i="6"/>
  <c r="CY52" i="6"/>
  <c r="CP52" i="6"/>
  <c r="CG52" i="6"/>
  <c r="BX52" i="6"/>
  <c r="BO52" i="6"/>
  <c r="BB52" i="6"/>
  <c r="AS52" i="6"/>
  <c r="AE52" i="6"/>
  <c r="R52" i="6"/>
  <c r="DQ51" i="6"/>
  <c r="DH51" i="6"/>
  <c r="CY51" i="6"/>
  <c r="CP51" i="6"/>
  <c r="CG51" i="6"/>
  <c r="BX51" i="6"/>
  <c r="BO51" i="6"/>
  <c r="BB51" i="6"/>
  <c r="AS51" i="6"/>
  <c r="AE51" i="6"/>
  <c r="R51" i="6"/>
  <c r="DQ50" i="6"/>
  <c r="DH50" i="6"/>
  <c r="CY50" i="6"/>
  <c r="CP50" i="6"/>
  <c r="CG50" i="6"/>
  <c r="BX50" i="6"/>
  <c r="BO50" i="6"/>
  <c r="BB50" i="6"/>
  <c r="AS50" i="6"/>
  <c r="AE50" i="6"/>
  <c r="R50" i="6"/>
  <c r="DQ49" i="6"/>
  <c r="DH49" i="6"/>
  <c r="CY49" i="6"/>
  <c r="CP49" i="6"/>
  <c r="CG49" i="6"/>
  <c r="BX49" i="6"/>
  <c r="BO49" i="6"/>
  <c r="BB49" i="6"/>
  <c r="AS49" i="6"/>
  <c r="AE49" i="6"/>
  <c r="R49" i="6"/>
  <c r="DQ48" i="6"/>
  <c r="DH48" i="6"/>
  <c r="CY48" i="6"/>
  <c r="CP48" i="6"/>
  <c r="CG48" i="6"/>
  <c r="BX48" i="6"/>
  <c r="BO48" i="6"/>
  <c r="BB48" i="6"/>
  <c r="AS48" i="6"/>
  <c r="AE48" i="6"/>
  <c r="R48" i="6"/>
  <c r="DQ47" i="6"/>
  <c r="DH47" i="6"/>
  <c r="CY47" i="6"/>
  <c r="CP47" i="6"/>
  <c r="CG47" i="6"/>
  <c r="BX47" i="6"/>
  <c r="BO47" i="6"/>
  <c r="BB47" i="6"/>
  <c r="AS47" i="6"/>
  <c r="AE47" i="6"/>
  <c r="R47" i="6"/>
  <c r="DQ46" i="6"/>
  <c r="DH46" i="6"/>
  <c r="CY46" i="6"/>
  <c r="CP46" i="6"/>
  <c r="CG46" i="6"/>
  <c r="BX46" i="6"/>
  <c r="BO46" i="6"/>
  <c r="BB46" i="6"/>
  <c r="AS46" i="6"/>
  <c r="AE46" i="6"/>
  <c r="R46" i="6"/>
  <c r="DQ45" i="6"/>
  <c r="DH45" i="6"/>
  <c r="CY45" i="6"/>
  <c r="CP45" i="6"/>
  <c r="CG45" i="6"/>
  <c r="BX45" i="6"/>
  <c r="BO45" i="6"/>
  <c r="BB45" i="6"/>
  <c r="AS45" i="6"/>
  <c r="AE45" i="6"/>
  <c r="R45" i="6"/>
  <c r="DQ44" i="6"/>
  <c r="DH44" i="6"/>
  <c r="CY44" i="6"/>
  <c r="CG44" i="6"/>
  <c r="BX44" i="6"/>
  <c r="BO44" i="6"/>
  <c r="BB44" i="6"/>
  <c r="AS44" i="6"/>
  <c r="R44" i="6"/>
  <c r="AS43" i="6"/>
  <c r="AS42" i="6"/>
  <c r="AS41" i="6"/>
  <c r="AS40" i="6"/>
  <c r="AS39" i="6"/>
  <c r="AS38" i="6"/>
  <c r="AS37" i="6"/>
  <c r="AS36" i="6"/>
  <c r="AS35" i="6"/>
  <c r="DO19" i="6"/>
  <c r="DN19" i="6"/>
  <c r="DF19" i="6"/>
  <c r="DE19" i="6"/>
  <c r="CW19" i="6"/>
  <c r="CV19" i="6"/>
  <c r="CN19" i="6"/>
  <c r="CM19" i="6"/>
  <c r="CE19" i="6"/>
  <c r="CD19" i="6"/>
  <c r="BV19" i="6"/>
  <c r="BU19" i="6"/>
  <c r="BM19" i="6"/>
  <c r="BL19" i="6"/>
  <c r="AZ19" i="6"/>
  <c r="AY19" i="6"/>
  <c r="AC19" i="6"/>
  <c r="AB19" i="6"/>
  <c r="P19" i="6"/>
  <c r="O19" i="6"/>
  <c r="N19" i="6"/>
  <c r="M19" i="6"/>
  <c r="AQ19" i="6" s="1"/>
  <c r="L19" i="6"/>
  <c r="K19" i="6"/>
  <c r="J19" i="6"/>
  <c r="I19" i="6"/>
  <c r="H19" i="6"/>
  <c r="G19" i="6"/>
  <c r="F19" i="6"/>
  <c r="E19" i="6"/>
  <c r="D19" i="6"/>
  <c r="A19" i="6"/>
  <c r="C19" i="6" s="1"/>
  <c r="A2" i="6"/>
  <c r="A1" i="6"/>
  <c r="A12" i="6" s="1"/>
  <c r="A13" i="6" s="1"/>
  <c r="BL66" i="8"/>
  <c r="AY66" i="8"/>
  <c r="AL66" i="8"/>
  <c r="U66" i="8"/>
  <c r="L66" i="8"/>
  <c r="BL65" i="8"/>
  <c r="AY65" i="8"/>
  <c r="AL65" i="8"/>
  <c r="U65" i="8"/>
  <c r="L65" i="8"/>
  <c r="BL64" i="8"/>
  <c r="AY64" i="8"/>
  <c r="AL64" i="8"/>
  <c r="U64" i="8"/>
  <c r="L64" i="8"/>
  <c r="BL63" i="8"/>
  <c r="AY63" i="8"/>
  <c r="AL63" i="8"/>
  <c r="U63" i="8"/>
  <c r="L63" i="8"/>
  <c r="BL62" i="8"/>
  <c r="AY62" i="8"/>
  <c r="AL62" i="8"/>
  <c r="U62" i="8"/>
  <c r="L62" i="8"/>
  <c r="BL61" i="8"/>
  <c r="AY61" i="8"/>
  <c r="AL61" i="8"/>
  <c r="U61" i="8"/>
  <c r="L61" i="8"/>
  <c r="BL60" i="8"/>
  <c r="AY60" i="8"/>
  <c r="AL60" i="8"/>
  <c r="U60" i="8"/>
  <c r="L60" i="8"/>
  <c r="BL59" i="8"/>
  <c r="AY59" i="8"/>
  <c r="AL59" i="8"/>
  <c r="U59" i="8"/>
  <c r="L59" i="8"/>
  <c r="BL58" i="8"/>
  <c r="BM59" i="8" s="1"/>
  <c r="AY58" i="8"/>
  <c r="AL58" i="8"/>
  <c r="U58" i="8"/>
  <c r="L58" i="8"/>
  <c r="BL57" i="8"/>
  <c r="AY57" i="8"/>
  <c r="AL57" i="8"/>
  <c r="U57" i="8"/>
  <c r="L57" i="8"/>
  <c r="BL56" i="8"/>
  <c r="AY56" i="8"/>
  <c r="AL56" i="8"/>
  <c r="U56" i="8"/>
  <c r="L56" i="8"/>
  <c r="BL55" i="8"/>
  <c r="AY55" i="8"/>
  <c r="AL55" i="8"/>
  <c r="U55" i="8"/>
  <c r="L55" i="8"/>
  <c r="BL54" i="8"/>
  <c r="AY54" i="8"/>
  <c r="AL54" i="8"/>
  <c r="U54" i="8"/>
  <c r="L54" i="8"/>
  <c r="BL53" i="8"/>
  <c r="AY53" i="8"/>
  <c r="AL53" i="8"/>
  <c r="U53" i="8"/>
  <c r="L53" i="8"/>
  <c r="BL52" i="8"/>
  <c r="AY52" i="8"/>
  <c r="AL52" i="8"/>
  <c r="U52" i="8"/>
  <c r="L52" i="8"/>
  <c r="BL51" i="8"/>
  <c r="AY51" i="8"/>
  <c r="AL51" i="8"/>
  <c r="U51" i="8"/>
  <c r="L51" i="8"/>
  <c r="BL50" i="8"/>
  <c r="AY50" i="8"/>
  <c r="AL50" i="8"/>
  <c r="U50" i="8"/>
  <c r="L50" i="8"/>
  <c r="BL49" i="8"/>
  <c r="AY49" i="8"/>
  <c r="AL49" i="8"/>
  <c r="U49" i="8"/>
  <c r="L49" i="8"/>
  <c r="BL48" i="8"/>
  <c r="AY48" i="8"/>
  <c r="AL48" i="8"/>
  <c r="U48" i="8"/>
  <c r="L48" i="8"/>
  <c r="BL47" i="8"/>
  <c r="AY47" i="8"/>
  <c r="AL47" i="8"/>
  <c r="U47" i="8"/>
  <c r="L47" i="8"/>
  <c r="BL46" i="8"/>
  <c r="AY46" i="8"/>
  <c r="AL46" i="8"/>
  <c r="U46" i="8"/>
  <c r="L46" i="8"/>
  <c r="BL45" i="8"/>
  <c r="AY45" i="8"/>
  <c r="AL45" i="8"/>
  <c r="U45" i="8"/>
  <c r="L45" i="8"/>
  <c r="BL44" i="8"/>
  <c r="AY44" i="8"/>
  <c r="AL44" i="8"/>
  <c r="U44" i="8"/>
  <c r="L44" i="8"/>
  <c r="BJ19" i="8"/>
  <c r="AW19" i="8"/>
  <c r="AJ19" i="8"/>
  <c r="AI19" i="8"/>
  <c r="S19" i="8"/>
  <c r="J19" i="8"/>
  <c r="I19" i="8"/>
  <c r="H19" i="8"/>
  <c r="BK19" i="8" s="1"/>
  <c r="G19" i="8"/>
  <c r="AX19" i="8" s="1"/>
  <c r="F19" i="8"/>
  <c r="E19" i="8"/>
  <c r="D19" i="8"/>
  <c r="A19" i="8"/>
  <c r="A2" i="8"/>
  <c r="A1" i="8"/>
  <c r="A12" i="8" s="1"/>
  <c r="BR66" i="13"/>
  <c r="BI66" i="13"/>
  <c r="BB66" i="13"/>
  <c r="AZ66" i="13"/>
  <c r="AO66" i="13"/>
  <c r="AM66" i="13"/>
  <c r="Z66" i="13"/>
  <c r="M66" i="13"/>
  <c r="BR65" i="13"/>
  <c r="BI65" i="13"/>
  <c r="BB65" i="13"/>
  <c r="AZ65" i="13"/>
  <c r="AO65" i="13"/>
  <c r="AM65" i="13"/>
  <c r="Z65" i="13"/>
  <c r="M65" i="13"/>
  <c r="BR64" i="13"/>
  <c r="BI64" i="13"/>
  <c r="BB64" i="13"/>
  <c r="AZ64" i="13"/>
  <c r="AO64" i="13"/>
  <c r="AM64" i="13"/>
  <c r="Z64" i="13"/>
  <c r="M64" i="13"/>
  <c r="BR63" i="13"/>
  <c r="BI63" i="13"/>
  <c r="BB63" i="13"/>
  <c r="AZ63" i="13"/>
  <c r="AO63" i="13"/>
  <c r="AM63" i="13"/>
  <c r="Z63" i="13"/>
  <c r="M63" i="13"/>
  <c r="BR62" i="13"/>
  <c r="BI62" i="13"/>
  <c r="BB62" i="13"/>
  <c r="AZ62" i="13"/>
  <c r="AO62" i="13"/>
  <c r="AM62" i="13"/>
  <c r="Z62" i="13"/>
  <c r="M62" i="13"/>
  <c r="BR61" i="13"/>
  <c r="BI61" i="13"/>
  <c r="BB61" i="13"/>
  <c r="AZ61" i="13"/>
  <c r="AO61" i="13"/>
  <c r="AM61" i="13"/>
  <c r="Z61" i="13"/>
  <c r="M61" i="13"/>
  <c r="BR60" i="13"/>
  <c r="BI60" i="13"/>
  <c r="BB60" i="13"/>
  <c r="AZ60" i="13"/>
  <c r="AO60" i="13"/>
  <c r="AM60" i="13"/>
  <c r="Z60" i="13"/>
  <c r="M60" i="13"/>
  <c r="BR59" i="13"/>
  <c r="BI59" i="13"/>
  <c r="BB59" i="13"/>
  <c r="AZ59" i="13"/>
  <c r="AO59" i="13"/>
  <c r="AM59" i="13"/>
  <c r="Z59" i="13"/>
  <c r="M59" i="13"/>
  <c r="BR58" i="13"/>
  <c r="BI58" i="13"/>
  <c r="BB58" i="13"/>
  <c r="AZ58" i="13"/>
  <c r="AO58" i="13"/>
  <c r="AM58" i="13"/>
  <c r="Z58" i="13"/>
  <c r="M58" i="13"/>
  <c r="BR57" i="13"/>
  <c r="BI57" i="13"/>
  <c r="BB57" i="13"/>
  <c r="AZ57" i="13"/>
  <c r="AO57" i="13"/>
  <c r="AM57" i="13"/>
  <c r="Z57" i="13"/>
  <c r="M57" i="13"/>
  <c r="BR56" i="13"/>
  <c r="BI56" i="13"/>
  <c r="BB56" i="13"/>
  <c r="AZ56" i="13"/>
  <c r="AO56" i="13"/>
  <c r="AM56" i="13"/>
  <c r="Z56" i="13"/>
  <c r="M56" i="13"/>
  <c r="BR55" i="13"/>
  <c r="BI55" i="13"/>
  <c r="BB55" i="13"/>
  <c r="AZ55" i="13"/>
  <c r="AO55" i="13"/>
  <c r="AM55" i="13"/>
  <c r="Z55" i="13"/>
  <c r="M55" i="13"/>
  <c r="BR54" i="13"/>
  <c r="BI54" i="13"/>
  <c r="BB54" i="13"/>
  <c r="AZ54" i="13"/>
  <c r="AO54" i="13"/>
  <c r="AM54" i="13"/>
  <c r="Z54" i="13"/>
  <c r="M54" i="13"/>
  <c r="BR53" i="13"/>
  <c r="BI53" i="13"/>
  <c r="BB53" i="13"/>
  <c r="AZ53" i="13"/>
  <c r="AO53" i="13"/>
  <c r="AM53" i="13"/>
  <c r="Z53" i="13"/>
  <c r="M53" i="13"/>
  <c r="BR52" i="13"/>
  <c r="BI52" i="13"/>
  <c r="BB52" i="13"/>
  <c r="AZ52" i="13"/>
  <c r="AO52" i="13"/>
  <c r="AM52" i="13"/>
  <c r="Z52" i="13"/>
  <c r="M52" i="13"/>
  <c r="BR51" i="13"/>
  <c r="BI51" i="13"/>
  <c r="BB51" i="13"/>
  <c r="AZ51" i="13"/>
  <c r="AO51" i="13"/>
  <c r="AM51" i="13"/>
  <c r="Z51" i="13"/>
  <c r="M51" i="13"/>
  <c r="BR50" i="13"/>
  <c r="BI50" i="13"/>
  <c r="BB50" i="13"/>
  <c r="AZ50" i="13"/>
  <c r="AO50" i="13"/>
  <c r="AM50" i="13"/>
  <c r="Z50" i="13"/>
  <c r="M50" i="13"/>
  <c r="BR49" i="13"/>
  <c r="BI49" i="13"/>
  <c r="BB49" i="13"/>
  <c r="AZ49" i="13"/>
  <c r="AO49" i="13"/>
  <c r="AM49" i="13"/>
  <c r="Z49" i="13"/>
  <c r="M49" i="13"/>
  <c r="BR48" i="13"/>
  <c r="BI48" i="13"/>
  <c r="BB48" i="13"/>
  <c r="BD49" i="13" s="1"/>
  <c r="AZ48" i="13"/>
  <c r="AO48" i="13"/>
  <c r="AM48" i="13"/>
  <c r="Z48" i="13"/>
  <c r="M48" i="13"/>
  <c r="BR47" i="13"/>
  <c r="BI47" i="13"/>
  <c r="BB47" i="13"/>
  <c r="AZ47" i="13"/>
  <c r="AO47" i="13"/>
  <c r="AM47" i="13"/>
  <c r="Z47" i="13"/>
  <c r="M47" i="13"/>
  <c r="BR46" i="13"/>
  <c r="BI46" i="13"/>
  <c r="BB46" i="13"/>
  <c r="AZ46" i="13"/>
  <c r="AO46" i="13"/>
  <c r="AM46" i="13"/>
  <c r="Z46" i="13"/>
  <c r="M46" i="13"/>
  <c r="BR45" i="13"/>
  <c r="BI45" i="13"/>
  <c r="BB45" i="13"/>
  <c r="AZ45" i="13"/>
  <c r="AO45" i="13"/>
  <c r="AM45" i="13"/>
  <c r="Z45" i="13"/>
  <c r="M45" i="13"/>
  <c r="BR44" i="13"/>
  <c r="BI44" i="13"/>
  <c r="BB44" i="13"/>
  <c r="AZ44" i="13"/>
  <c r="AO44" i="13"/>
  <c r="AM44" i="13"/>
  <c r="Z44" i="13"/>
  <c r="M44" i="13"/>
  <c r="BB43" i="13"/>
  <c r="AO43" i="13"/>
  <c r="BP19" i="13"/>
  <c r="BO19" i="13"/>
  <c r="BG19" i="13"/>
  <c r="BF19" i="13"/>
  <c r="AX19" i="13"/>
  <c r="AW19" i="13"/>
  <c r="AK19" i="13"/>
  <c r="AJ19" i="13"/>
  <c r="X19" i="13"/>
  <c r="W19" i="13"/>
  <c r="K19" i="13"/>
  <c r="J19" i="13"/>
  <c r="I19" i="13"/>
  <c r="H19" i="13"/>
  <c r="G19" i="13"/>
  <c r="F19" i="13"/>
  <c r="E19" i="13"/>
  <c r="D19" i="13"/>
  <c r="A19" i="13"/>
  <c r="C19" i="13" s="1"/>
  <c r="A2" i="13"/>
  <c r="A1" i="13"/>
  <c r="A5" i="13" s="1"/>
  <c r="BO66" i="4"/>
  <c r="BD66" i="4"/>
  <c r="AS66" i="4"/>
  <c r="AJ66" i="4"/>
  <c r="AC66" i="4"/>
  <c r="V66" i="4"/>
  <c r="L66" i="4"/>
  <c r="BO65" i="4"/>
  <c r="BD65" i="4"/>
  <c r="AS65" i="4"/>
  <c r="AJ65" i="4"/>
  <c r="AC65" i="4"/>
  <c r="V65" i="4"/>
  <c r="L65" i="4"/>
  <c r="BO64" i="4"/>
  <c r="BD64" i="4"/>
  <c r="AS64" i="4"/>
  <c r="AJ64" i="4"/>
  <c r="AC64" i="4"/>
  <c r="V64" i="4"/>
  <c r="L64" i="4"/>
  <c r="BO63" i="4"/>
  <c r="BD63" i="4"/>
  <c r="AS63" i="4"/>
  <c r="AJ63" i="4"/>
  <c r="AC63" i="4"/>
  <c r="V63" i="4"/>
  <c r="L63" i="4"/>
  <c r="BO62" i="4"/>
  <c r="BD62" i="4"/>
  <c r="AS62" i="4"/>
  <c r="AJ62" i="4"/>
  <c r="AC62" i="4"/>
  <c r="V62" i="4"/>
  <c r="L62" i="4"/>
  <c r="BO61" i="4"/>
  <c r="BD61" i="4"/>
  <c r="AS61" i="4"/>
  <c r="AJ61" i="4"/>
  <c r="AC61" i="4"/>
  <c r="V61" i="4"/>
  <c r="L61" i="4"/>
  <c r="BO60" i="4"/>
  <c r="BD60" i="4"/>
  <c r="AS60" i="4"/>
  <c r="AJ60" i="4"/>
  <c r="AC60" i="4"/>
  <c r="V60" i="4"/>
  <c r="L60" i="4"/>
  <c r="BO59" i="4"/>
  <c r="BD59" i="4"/>
  <c r="AS59" i="4"/>
  <c r="AJ59" i="4"/>
  <c r="AC59" i="4"/>
  <c r="V59" i="4"/>
  <c r="L59" i="4"/>
  <c r="BO58" i="4"/>
  <c r="BD58" i="4"/>
  <c r="AS58" i="4"/>
  <c r="AJ58" i="4"/>
  <c r="AC58" i="4"/>
  <c r="V58" i="4"/>
  <c r="L58" i="4"/>
  <c r="BO57" i="4"/>
  <c r="BD57" i="4"/>
  <c r="AS57" i="4"/>
  <c r="AJ57" i="4"/>
  <c r="AC57" i="4"/>
  <c r="V57" i="4"/>
  <c r="L57" i="4"/>
  <c r="BO56" i="4"/>
  <c r="BD56" i="4"/>
  <c r="AS56" i="4"/>
  <c r="AJ56" i="4"/>
  <c r="AC56" i="4"/>
  <c r="V56" i="4"/>
  <c r="L56" i="4"/>
  <c r="BO55" i="4"/>
  <c r="BD55" i="4"/>
  <c r="AS55" i="4"/>
  <c r="AJ55" i="4"/>
  <c r="AC55" i="4"/>
  <c r="V55" i="4"/>
  <c r="L55" i="4"/>
  <c r="BO54" i="4"/>
  <c r="BD54" i="4"/>
  <c r="AS54" i="4"/>
  <c r="AJ54" i="4"/>
  <c r="AC54" i="4"/>
  <c r="V54" i="4"/>
  <c r="L54" i="4"/>
  <c r="BO53" i="4"/>
  <c r="BD53" i="4"/>
  <c r="AS53" i="4"/>
  <c r="AJ53" i="4"/>
  <c r="AC53" i="4"/>
  <c r="V53" i="4"/>
  <c r="L53" i="4"/>
  <c r="BO52" i="4"/>
  <c r="BD52" i="4"/>
  <c r="AS52" i="4"/>
  <c r="AJ52" i="4"/>
  <c r="AC52" i="4"/>
  <c r="V52" i="4"/>
  <c r="L52" i="4"/>
  <c r="BO51" i="4"/>
  <c r="BD51" i="4"/>
  <c r="AS51" i="4"/>
  <c r="AJ51" i="4"/>
  <c r="AC51" i="4"/>
  <c r="V51" i="4"/>
  <c r="L51" i="4"/>
  <c r="BO50" i="4"/>
  <c r="BD50" i="4"/>
  <c r="AS50" i="4"/>
  <c r="AJ50" i="4"/>
  <c r="AC50" i="4"/>
  <c r="V50" i="4"/>
  <c r="L50" i="4"/>
  <c r="BO49" i="4"/>
  <c r="BD49" i="4"/>
  <c r="AS49" i="4"/>
  <c r="AJ49" i="4"/>
  <c r="AC49" i="4"/>
  <c r="V49" i="4"/>
  <c r="L49" i="4"/>
  <c r="BO48" i="4"/>
  <c r="BD48" i="4"/>
  <c r="AS48" i="4"/>
  <c r="AJ48" i="4"/>
  <c r="AC48" i="4"/>
  <c r="V48" i="4"/>
  <c r="L48" i="4"/>
  <c r="AC47" i="4"/>
  <c r="BM19" i="4"/>
  <c r="T19" i="4"/>
  <c r="S19" i="4"/>
  <c r="J19" i="4"/>
  <c r="I19" i="4"/>
  <c r="H19" i="4"/>
  <c r="BL19" i="4" s="1"/>
  <c r="E19" i="4"/>
  <c r="D19" i="4"/>
  <c r="A19" i="4"/>
  <c r="BB19" i="4" s="1"/>
  <c r="BS4" i="4"/>
  <c r="BL4" i="4"/>
  <c r="BH4" i="4"/>
  <c r="BA4" i="4"/>
  <c r="AW4" i="4"/>
  <c r="AP4" i="4"/>
  <c r="AL4" i="4"/>
  <c r="AG4" i="4"/>
  <c r="X4" i="4"/>
  <c r="N4" i="4"/>
  <c r="I4" i="4"/>
  <c r="A2" i="4"/>
  <c r="A1" i="4"/>
  <c r="AE49" i="4" l="1"/>
  <c r="AQ47" i="13"/>
  <c r="AQ59" i="13"/>
  <c r="AQ63" i="13"/>
  <c r="BM65" i="8"/>
  <c r="BD64" i="13"/>
  <c r="BM47" i="8"/>
  <c r="BM48" i="8"/>
  <c r="BM53" i="8"/>
  <c r="AE50" i="4"/>
  <c r="BD47" i="13"/>
  <c r="BD55" i="13"/>
  <c r="BD59" i="13"/>
  <c r="AE61" i="4"/>
  <c r="AQ48" i="13"/>
  <c r="AE52" i="4"/>
  <c r="AE55" i="4"/>
  <c r="AQ44" i="13"/>
  <c r="BD44" i="13"/>
  <c r="AE66" i="4"/>
  <c r="BM46" i="8"/>
  <c r="BD60" i="13"/>
  <c r="BM60" i="8"/>
  <c r="AQ56" i="13"/>
  <c r="AE62" i="4"/>
  <c r="AQ46" i="13"/>
  <c r="AE53" i="4"/>
  <c r="BM62" i="8"/>
  <c r="BM63" i="8"/>
  <c r="AE64" i="4"/>
  <c r="BM45" i="8"/>
  <c r="BD46" i="13"/>
  <c r="BD54" i="13"/>
  <c r="BD58" i="13"/>
  <c r="BM50" i="8"/>
  <c r="BD61" i="13"/>
  <c r="AQ50" i="13"/>
  <c r="AQ60" i="13"/>
  <c r="AE58" i="4"/>
  <c r="BD52" i="13"/>
  <c r="BD56" i="13"/>
  <c r="AE51" i="4"/>
  <c r="AE54" i="4"/>
  <c r="AQ45" i="13"/>
  <c r="BM66" i="8"/>
  <c r="BM54" i="8"/>
  <c r="BD45" i="13"/>
  <c r="BD62" i="13"/>
  <c r="AQ52" i="13"/>
  <c r="AQ57" i="13"/>
  <c r="BD48" i="13"/>
  <c r="BD63" i="13"/>
  <c r="BM61" i="8"/>
  <c r="BD53" i="13"/>
  <c r="BD57" i="13"/>
  <c r="BM55" i="8"/>
  <c r="BM49" i="8"/>
  <c r="AQ65" i="13"/>
  <c r="AE60" i="4"/>
  <c r="AQ54" i="13"/>
  <c r="AQ58" i="13"/>
  <c r="AE63" i="4"/>
  <c r="BD50" i="13"/>
  <c r="AQ61" i="13"/>
  <c r="BM56" i="8"/>
  <c r="AQ51" i="13"/>
  <c r="AQ55" i="13"/>
  <c r="AQ66" i="13"/>
  <c r="AE56" i="4"/>
  <c r="AE48" i="4"/>
  <c r="AQ62" i="13"/>
  <c r="AC19" i="4"/>
  <c r="DG19" i="6"/>
  <c r="U19" i="9"/>
  <c r="J5" i="12"/>
  <c r="S5" i="12"/>
  <c r="AK5" i="12"/>
  <c r="A12" i="12"/>
  <c r="A13" i="12" s="1"/>
  <c r="AK19" i="8"/>
  <c r="BN19" i="6"/>
  <c r="AD19" i="9"/>
  <c r="AW19" i="9"/>
  <c r="CX19" i="6"/>
  <c r="AD19" i="6"/>
  <c r="L19" i="9"/>
  <c r="A5" i="9"/>
  <c r="AM5" i="9" s="1"/>
  <c r="B19" i="12"/>
  <c r="E19" i="12"/>
  <c r="C19" i="12"/>
  <c r="AP19" i="4"/>
  <c r="AQ19" i="4"/>
  <c r="A12" i="11"/>
  <c r="A13" i="11" s="1"/>
  <c r="BB19" i="13"/>
  <c r="A12" i="13"/>
  <c r="BG12" i="13" s="1"/>
  <c r="BN19" i="4"/>
  <c r="A12" i="4"/>
  <c r="A5" i="4"/>
  <c r="R19" i="12"/>
  <c r="I19" i="12"/>
  <c r="AA19" i="12"/>
  <c r="R19" i="8"/>
  <c r="AH19" i="4"/>
  <c r="AG19" i="4"/>
  <c r="BA19" i="4"/>
  <c r="A20" i="4"/>
  <c r="B19" i="4"/>
  <c r="C19" i="4"/>
  <c r="F19" i="4"/>
  <c r="G19" i="4"/>
  <c r="K5" i="13"/>
  <c r="AX5" i="13"/>
  <c r="BG5" i="13"/>
  <c r="AK5" i="13"/>
  <c r="X5" i="13"/>
  <c r="A6" i="13"/>
  <c r="BP5" i="13"/>
  <c r="AE57" i="4"/>
  <c r="K19" i="4"/>
  <c r="AE59" i="4"/>
  <c r="AE65" i="4"/>
  <c r="U19" i="4"/>
  <c r="BD66" i="13"/>
  <c r="BD65" i="13"/>
  <c r="BH19" i="13"/>
  <c r="BQ19" i="13"/>
  <c r="L19" i="13"/>
  <c r="A13" i="8"/>
  <c r="S12" i="8"/>
  <c r="BJ12" i="8"/>
  <c r="J12" i="8"/>
  <c r="AJ12" i="8"/>
  <c r="AW12" i="8"/>
  <c r="Y19" i="13"/>
  <c r="AO19" i="13"/>
  <c r="AY19" i="13"/>
  <c r="BD51" i="13"/>
  <c r="A5" i="8"/>
  <c r="BM57" i="8"/>
  <c r="BM58" i="8"/>
  <c r="C19" i="8"/>
  <c r="B19" i="8"/>
  <c r="A20" i="8"/>
  <c r="A20" i="13"/>
  <c r="AQ49" i="13"/>
  <c r="AQ53" i="13"/>
  <c r="AQ64" i="13"/>
  <c r="B19" i="13"/>
  <c r="AL19" i="13"/>
  <c r="K19" i="8"/>
  <c r="BM52" i="8"/>
  <c r="BM51" i="8"/>
  <c r="CW13" i="6"/>
  <c r="AZ13" i="6"/>
  <c r="BV13" i="6"/>
  <c r="DO13" i="6"/>
  <c r="BM13" i="6"/>
  <c r="CN13" i="6"/>
  <c r="AC13" i="6"/>
  <c r="A14" i="6"/>
  <c r="P13" i="6"/>
  <c r="DF13" i="6"/>
  <c r="CE13" i="6"/>
  <c r="BM64" i="8"/>
  <c r="BM12" i="6"/>
  <c r="P12" i="6"/>
  <c r="CW12" i="6"/>
  <c r="DF12" i="6"/>
  <c r="CN12" i="6"/>
  <c r="AC12" i="6"/>
  <c r="CE12" i="6"/>
  <c r="DO12" i="6"/>
  <c r="Q19" i="6"/>
  <c r="A5" i="6"/>
  <c r="AZ12" i="6"/>
  <c r="DP19" i="6"/>
  <c r="BV12" i="6"/>
  <c r="BA19" i="6"/>
  <c r="I9" i="21"/>
  <c r="AR19" i="6"/>
  <c r="BW19" i="6"/>
  <c r="CF19" i="6"/>
  <c r="CO19" i="6"/>
  <c r="AB12" i="12"/>
  <c r="S12" i="12"/>
  <c r="AT12" i="12"/>
  <c r="AK12" i="12"/>
  <c r="J12" i="12"/>
  <c r="BZ12" i="9"/>
  <c r="AC12" i="9"/>
  <c r="BM12" i="9"/>
  <c r="T12" i="9"/>
  <c r="AM12" i="9"/>
  <c r="K12" i="9"/>
  <c r="AV12" i="9"/>
  <c r="A21" i="17"/>
  <c r="A4" i="17"/>
  <c r="B19" i="6"/>
  <c r="A13" i="9"/>
  <c r="A20" i="6"/>
  <c r="A20" i="9"/>
  <c r="C19" i="9"/>
  <c r="A20" i="12"/>
  <c r="H19" i="12"/>
  <c r="G19" i="12"/>
  <c r="F19" i="12"/>
  <c r="AT5" i="12"/>
  <c r="A20" i="11"/>
  <c r="C19" i="11"/>
  <c r="B19" i="11"/>
  <c r="A6" i="12"/>
  <c r="A6" i="11"/>
  <c r="AV5" i="9" l="1"/>
  <c r="BZ5" i="9"/>
  <c r="T5" i="9"/>
  <c r="K12" i="13"/>
  <c r="BM5" i="9"/>
  <c r="AC5" i="9"/>
  <c r="A13" i="13"/>
  <c r="BP13" i="13" s="1"/>
  <c r="BP12" i="13"/>
  <c r="A6" i="9"/>
  <c r="AV6" i="9" s="1"/>
  <c r="K5" i="9"/>
  <c r="X12" i="13"/>
  <c r="AK12" i="13"/>
  <c r="AX12" i="13"/>
  <c r="AD19" i="4"/>
  <c r="T19" i="8"/>
  <c r="AF19" i="12"/>
  <c r="AG19" i="12" s="1"/>
  <c r="AC19" i="12"/>
  <c r="N19" i="12"/>
  <c r="K19" i="12"/>
  <c r="T19" i="12"/>
  <c r="W19" i="12"/>
  <c r="F20" i="13"/>
  <c r="E20" i="13"/>
  <c r="D20" i="13"/>
  <c r="C20" i="13"/>
  <c r="AX20" i="13"/>
  <c r="B20" i="13"/>
  <c r="X20" i="13"/>
  <c r="G20" i="13"/>
  <c r="BG20" i="13"/>
  <c r="K20" i="13"/>
  <c r="I20" i="13"/>
  <c r="H20" i="13"/>
  <c r="A21" i="13"/>
  <c r="BP20" i="13"/>
  <c r="AK20" i="13"/>
  <c r="AJ5" i="9"/>
  <c r="Q5" i="4"/>
  <c r="BB5" i="4"/>
  <c r="J5" i="4"/>
  <c r="AQ5" i="4"/>
  <c r="A6" i="4"/>
  <c r="AH5" i="4"/>
  <c r="AA5" i="4"/>
  <c r="T5" i="4"/>
  <c r="BM5" i="4"/>
  <c r="AW20" i="8"/>
  <c r="A21" i="8"/>
  <c r="S20" i="8"/>
  <c r="BJ20" i="8"/>
  <c r="AJ20" i="8"/>
  <c r="J20" i="8"/>
  <c r="G20" i="8"/>
  <c r="F20" i="8"/>
  <c r="D20" i="8"/>
  <c r="C20" i="8"/>
  <c r="H20" i="8"/>
  <c r="E20" i="8"/>
  <c r="B20" i="8"/>
  <c r="BB12" i="4"/>
  <c r="J12" i="4"/>
  <c r="AQ12" i="4"/>
  <c r="A13" i="4"/>
  <c r="BM12" i="4"/>
  <c r="AH12" i="4"/>
  <c r="T12" i="4"/>
  <c r="C20" i="11"/>
  <c r="B20" i="11"/>
  <c r="A21" i="11"/>
  <c r="A7" i="12"/>
  <c r="AB6" i="12"/>
  <c r="J6" i="12"/>
  <c r="AK6" i="12"/>
  <c r="AT6" i="12"/>
  <c r="S6" i="12"/>
  <c r="CE14" i="6"/>
  <c r="AZ14" i="6"/>
  <c r="DO14" i="6"/>
  <c r="P14" i="6"/>
  <c r="AC14" i="6"/>
  <c r="BM14" i="6"/>
  <c r="CN14" i="6"/>
  <c r="DF14" i="6"/>
  <c r="CW14" i="6"/>
  <c r="BV14" i="6"/>
  <c r="A6" i="8"/>
  <c r="S5" i="8"/>
  <c r="J5" i="8"/>
  <c r="AJ5" i="8"/>
  <c r="AW5" i="8"/>
  <c r="BJ5" i="8"/>
  <c r="J13" i="8"/>
  <c r="A14" i="8"/>
  <c r="AJ13" i="8"/>
  <c r="BJ13" i="8"/>
  <c r="AW13" i="8"/>
  <c r="S13" i="8"/>
  <c r="BC19" i="13"/>
  <c r="A22" i="17"/>
  <c r="A5" i="17"/>
  <c r="C20" i="6"/>
  <c r="BV20" i="6"/>
  <c r="B20" i="6"/>
  <c r="DO20" i="6"/>
  <c r="AZ20" i="6"/>
  <c r="D20" i="6"/>
  <c r="CW20" i="6"/>
  <c r="CN20" i="6"/>
  <c r="P20" i="6"/>
  <c r="N20" i="6"/>
  <c r="M20" i="6"/>
  <c r="AQ20" i="6" s="1"/>
  <c r="L20" i="6"/>
  <c r="K20" i="6"/>
  <c r="A21" i="6"/>
  <c r="J20" i="6"/>
  <c r="I20" i="6"/>
  <c r="CE20" i="6"/>
  <c r="H20" i="6"/>
  <c r="DF20" i="6"/>
  <c r="AC20" i="6"/>
  <c r="G20" i="6"/>
  <c r="F20" i="6"/>
  <c r="E20" i="6"/>
  <c r="BM20" i="6"/>
  <c r="BP6" i="13"/>
  <c r="BG6" i="13"/>
  <c r="K6" i="13"/>
  <c r="AX6" i="13"/>
  <c r="AK6" i="13"/>
  <c r="A7" i="13"/>
  <c r="X6" i="13"/>
  <c r="AS19" i="12"/>
  <c r="G20" i="12"/>
  <c r="A21" i="12"/>
  <c r="F20" i="12"/>
  <c r="E20" i="12"/>
  <c r="D20" i="12"/>
  <c r="C20" i="12"/>
  <c r="B20" i="12"/>
  <c r="J20" i="12"/>
  <c r="S20" i="12"/>
  <c r="H20" i="12"/>
  <c r="A14" i="11"/>
  <c r="A14" i="12"/>
  <c r="S13" i="12"/>
  <c r="AK13" i="12"/>
  <c r="AB13" i="12"/>
  <c r="AT13" i="12"/>
  <c r="J13" i="12"/>
  <c r="AV13" i="9"/>
  <c r="A14" i="9"/>
  <c r="T13" i="9"/>
  <c r="AC13" i="9"/>
  <c r="BZ13" i="9"/>
  <c r="AM13" i="9"/>
  <c r="K13" i="9"/>
  <c r="BM13" i="9"/>
  <c r="A7" i="11"/>
  <c r="AB20" i="12"/>
  <c r="AT20" i="12"/>
  <c r="BZ20" i="9"/>
  <c r="F20" i="9"/>
  <c r="AC20" i="9"/>
  <c r="E20" i="9"/>
  <c r="C20" i="9"/>
  <c r="B20" i="9"/>
  <c r="AV20" i="9"/>
  <c r="T20" i="9"/>
  <c r="AK20" i="12"/>
  <c r="AM20" i="9"/>
  <c r="I20" i="9"/>
  <c r="H20" i="9"/>
  <c r="BM20" i="9"/>
  <c r="K20" i="9"/>
  <c r="G20" i="9"/>
  <c r="A21" i="9"/>
  <c r="D20" i="9"/>
  <c r="AJ19" i="12"/>
  <c r="A6" i="6"/>
  <c r="CE5" i="6"/>
  <c r="DO5" i="6"/>
  <c r="BV5" i="6"/>
  <c r="AC5" i="6"/>
  <c r="AZ5" i="6"/>
  <c r="CN5" i="6"/>
  <c r="DF5" i="6"/>
  <c r="P5" i="6"/>
  <c r="CW5" i="6"/>
  <c r="BM5" i="6"/>
  <c r="A38" i="17"/>
  <c r="AA20" i="12"/>
  <c r="AD20" i="12" s="1"/>
  <c r="I20" i="12"/>
  <c r="G40" i="18" s="1"/>
  <c r="R20" i="12"/>
  <c r="G39" i="18" s="1"/>
  <c r="BY20" i="9"/>
  <c r="S20" i="9"/>
  <c r="AU20" i="9"/>
  <c r="AB20" i="9"/>
  <c r="G30" i="18" s="1"/>
  <c r="AJ20" i="9"/>
  <c r="J20" i="9"/>
  <c r="G36" i="18" s="1"/>
  <c r="BL20" i="9"/>
  <c r="G37" i="18" s="1"/>
  <c r="AY20" i="6"/>
  <c r="BU20" i="6"/>
  <c r="DN20" i="6"/>
  <c r="CM20" i="6"/>
  <c r="CV20" i="6"/>
  <c r="AB20" i="6"/>
  <c r="G29" i="18" s="1"/>
  <c r="O20" i="6"/>
  <c r="AK20" i="6"/>
  <c r="DE20" i="6"/>
  <c r="BL20" i="6"/>
  <c r="CD20" i="6"/>
  <c r="AV20" i="8"/>
  <c r="R20" i="8"/>
  <c r="U20" i="8" s="1"/>
  <c r="I20" i="8"/>
  <c r="G35" i="18" s="1"/>
  <c r="BI20" i="8"/>
  <c r="AW20" i="13"/>
  <c r="AI20" i="8"/>
  <c r="BO20" i="13"/>
  <c r="W20" i="13"/>
  <c r="BF20" i="13"/>
  <c r="J20" i="13"/>
  <c r="AJ20" i="13"/>
  <c r="T20" i="4"/>
  <c r="AQ20" i="4"/>
  <c r="S20" i="4"/>
  <c r="G26" i="18" s="1"/>
  <c r="AP20" i="4"/>
  <c r="BM20" i="4"/>
  <c r="Q20" i="4"/>
  <c r="BL20" i="4"/>
  <c r="G20" i="4"/>
  <c r="BB20" i="4"/>
  <c r="F20" i="4"/>
  <c r="B20" i="4"/>
  <c r="AA20" i="4"/>
  <c r="A21" i="4"/>
  <c r="Q21" i="4" s="1"/>
  <c r="J20" i="4"/>
  <c r="I20" i="4"/>
  <c r="G24" i="18" s="1"/>
  <c r="H20" i="4"/>
  <c r="E20" i="4"/>
  <c r="C20" i="4"/>
  <c r="D20" i="4"/>
  <c r="BA20" i="4"/>
  <c r="AH20" i="4"/>
  <c r="AG20" i="4"/>
  <c r="AJ20" i="4" s="1"/>
  <c r="X4" i="17"/>
  <c r="X5" i="17" s="1"/>
  <c r="X6" i="17" s="1"/>
  <c r="X7" i="17" s="1"/>
  <c r="X8" i="17" s="1"/>
  <c r="X9" i="17" s="1"/>
  <c r="X10" i="17" s="1"/>
  <c r="X11" i="17" s="1"/>
  <c r="X12" i="17" s="1"/>
  <c r="X13" i="17" s="1"/>
  <c r="X14" i="17" s="1"/>
  <c r="X15" i="17" s="1"/>
  <c r="Z4" i="17"/>
  <c r="V4" i="17"/>
  <c r="V5" i="17" s="1"/>
  <c r="V6" i="17" s="1"/>
  <c r="V7" i="17" s="1"/>
  <c r="V8" i="17" s="1"/>
  <c r="V9" i="17" s="1"/>
  <c r="V10" i="17" s="1"/>
  <c r="V11" i="17" s="1"/>
  <c r="V12" i="17" s="1"/>
  <c r="V13" i="17" s="1"/>
  <c r="V14" i="17" s="1"/>
  <c r="V15" i="17" s="1"/>
  <c r="T4" i="17"/>
  <c r="T5" i="17" s="1"/>
  <c r="T6" i="17" s="1"/>
  <c r="T7" i="17" s="1"/>
  <c r="T8" i="17" s="1"/>
  <c r="T9" i="17" s="1"/>
  <c r="T10" i="17" s="1"/>
  <c r="T11" i="17" s="1"/>
  <c r="T12" i="17" s="1"/>
  <c r="T13" i="17" s="1"/>
  <c r="T14" i="17" s="1"/>
  <c r="T15" i="17" s="1"/>
  <c r="R4" i="17"/>
  <c r="R5" i="17" s="1"/>
  <c r="R6" i="17" s="1"/>
  <c r="R7" i="17" s="1"/>
  <c r="R8" i="17" s="1"/>
  <c r="R9" i="17" s="1"/>
  <c r="R10" i="17" s="1"/>
  <c r="R11" i="17" s="1"/>
  <c r="R12" i="17" s="1"/>
  <c r="R13" i="17" s="1"/>
  <c r="R14" i="17" s="1"/>
  <c r="R15" i="17" s="1"/>
  <c r="P4" i="17"/>
  <c r="P5" i="17" s="1"/>
  <c r="P6" i="17" s="1"/>
  <c r="P7" i="17" s="1"/>
  <c r="P8" i="17" s="1"/>
  <c r="P9" i="17" s="1"/>
  <c r="P10" i="17" s="1"/>
  <c r="P11" i="17" s="1"/>
  <c r="P12" i="17" s="1"/>
  <c r="P13" i="17" s="1"/>
  <c r="P14" i="17" s="1"/>
  <c r="P15" i="17" s="1"/>
  <c r="N4" i="17"/>
  <c r="N5" i="17" s="1"/>
  <c r="N6" i="17" s="1"/>
  <c r="N7" i="17" s="1"/>
  <c r="N8" i="17" s="1"/>
  <c r="N9" i="17" s="1"/>
  <c r="N10" i="17" s="1"/>
  <c r="N11" i="17" s="1"/>
  <c r="N12" i="17" s="1"/>
  <c r="N13" i="17" s="1"/>
  <c r="N14" i="17" s="1"/>
  <c r="N15" i="17" s="1"/>
  <c r="BC19" i="4"/>
  <c r="AR19" i="4"/>
  <c r="AI19" i="4"/>
  <c r="K21" i="17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AP19" i="13"/>
  <c r="A14" i="13" l="1"/>
  <c r="BG14" i="13" s="1"/>
  <c r="AX13" i="13"/>
  <c r="X13" i="13"/>
  <c r="K13" i="13"/>
  <c r="BG13" i="13"/>
  <c r="AK13" i="13"/>
  <c r="K6" i="9"/>
  <c r="AM6" i="9"/>
  <c r="AC6" i="9"/>
  <c r="BM6" i="9"/>
  <c r="BZ6" i="9"/>
  <c r="T6" i="9"/>
  <c r="A7" i="9"/>
  <c r="K7" i="9" s="1"/>
  <c r="U20" i="4"/>
  <c r="H26" i="18" s="1"/>
  <c r="B15" i="18" s="1"/>
  <c r="V20" i="4"/>
  <c r="DP20" i="6"/>
  <c r="DQ20" i="6"/>
  <c r="AC20" i="12"/>
  <c r="AE20" i="12" s="1"/>
  <c r="AF20" i="12"/>
  <c r="AH20" i="12" s="1"/>
  <c r="I10" i="21"/>
  <c r="BN20" i="6"/>
  <c r="BO20" i="6"/>
  <c r="AL19" i="12"/>
  <c r="AO19" i="12"/>
  <c r="CX20" i="6"/>
  <c r="CY20" i="6"/>
  <c r="A8" i="11"/>
  <c r="AU19" i="12"/>
  <c r="AX19" i="12"/>
  <c r="BW20" i="6"/>
  <c r="BX20" i="6"/>
  <c r="AT21" i="12"/>
  <c r="AB21" i="12"/>
  <c r="AK21" i="12"/>
  <c r="I21" i="9"/>
  <c r="H21" i="9"/>
  <c r="BZ21" i="9"/>
  <c r="F21" i="9"/>
  <c r="AC21" i="9"/>
  <c r="E21" i="9"/>
  <c r="D21" i="9"/>
  <c r="C21" i="9"/>
  <c r="T21" i="9"/>
  <c r="AV21" i="9"/>
  <c r="K21" i="9"/>
  <c r="B21" i="9"/>
  <c r="BM21" i="9"/>
  <c r="A22" i="9"/>
  <c r="AM21" i="9"/>
  <c r="G21" i="9"/>
  <c r="AK21" i="6"/>
  <c r="BA20" i="6"/>
  <c r="BB20" i="6"/>
  <c r="Z5" i="17"/>
  <c r="BO20" i="9"/>
  <c r="BN20" i="9"/>
  <c r="H37" i="18" s="1"/>
  <c r="B21" i="8"/>
  <c r="AW21" i="8"/>
  <c r="S21" i="8"/>
  <c r="A22" i="8"/>
  <c r="J21" i="8"/>
  <c r="AJ21" i="8"/>
  <c r="G21" i="8"/>
  <c r="F21" i="8"/>
  <c r="D21" i="8"/>
  <c r="C21" i="8"/>
  <c r="H21" i="8"/>
  <c r="E21" i="8"/>
  <c r="BJ21" i="8"/>
  <c r="AI20" i="4"/>
  <c r="AK20" i="4" s="1"/>
  <c r="AO20" i="13"/>
  <c r="AM20" i="13"/>
  <c r="AL20" i="13"/>
  <c r="M20" i="9"/>
  <c r="L20" i="9"/>
  <c r="H36" i="18" s="1"/>
  <c r="BP7" i="13"/>
  <c r="AK7" i="13"/>
  <c r="BG7" i="13"/>
  <c r="X7" i="13"/>
  <c r="A8" i="13"/>
  <c r="AX7" i="13"/>
  <c r="K7" i="13"/>
  <c r="AR20" i="4"/>
  <c r="BC20" i="4"/>
  <c r="AT20" i="4" s="1"/>
  <c r="BH20" i="13"/>
  <c r="BI20" i="13"/>
  <c r="AD20" i="9"/>
  <c r="H30" i="18" s="1"/>
  <c r="AE20" i="9"/>
  <c r="A39" i="17"/>
  <c r="AA21" i="12"/>
  <c r="R21" i="12"/>
  <c r="U21" i="12" s="1"/>
  <c r="I21" i="12"/>
  <c r="L21" i="12" s="1"/>
  <c r="BY21" i="9"/>
  <c r="CB21" i="9" s="1"/>
  <c r="AB21" i="9"/>
  <c r="AE21" i="9" s="1"/>
  <c r="S21" i="9"/>
  <c r="AU21" i="9"/>
  <c r="BL21" i="9"/>
  <c r="CM21" i="6"/>
  <c r="CP21" i="6" s="1"/>
  <c r="BL21" i="6"/>
  <c r="BO21" i="6" s="1"/>
  <c r="O21" i="6"/>
  <c r="R21" i="6" s="1"/>
  <c r="J21" i="9"/>
  <c r="M21" i="9" s="1"/>
  <c r="DE21" i="6"/>
  <c r="DH21" i="6" s="1"/>
  <c r="DN21" i="6"/>
  <c r="DQ21" i="6" s="1"/>
  <c r="CD21" i="6"/>
  <c r="CG21" i="6" s="1"/>
  <c r="AB21" i="6"/>
  <c r="AE21" i="6" s="1"/>
  <c r="CV21" i="6"/>
  <c r="CY21" i="6" s="1"/>
  <c r="AY21" i="6"/>
  <c r="BB21" i="6" s="1"/>
  <c r="R21" i="8"/>
  <c r="BU21" i="6"/>
  <c r="AV21" i="8"/>
  <c r="AY21" i="8" s="1"/>
  <c r="I21" i="8"/>
  <c r="L21" i="8" s="1"/>
  <c r="BI21" i="8"/>
  <c r="BL21" i="8" s="1"/>
  <c r="AI21" i="8"/>
  <c r="AL21" i="8" s="1"/>
  <c r="W21" i="13"/>
  <c r="Z21" i="13" s="1"/>
  <c r="BO21" i="13"/>
  <c r="BR21" i="13" s="1"/>
  <c r="AJ21" i="13"/>
  <c r="AM21" i="13" s="1"/>
  <c r="AW21" i="13"/>
  <c r="AZ21" i="13" s="1"/>
  <c r="BF21" i="13"/>
  <c r="J21" i="13"/>
  <c r="BM21" i="4"/>
  <c r="A22" i="4"/>
  <c r="T21" i="4"/>
  <c r="AQ21" i="4"/>
  <c r="S21" i="4"/>
  <c r="V21" i="4" s="1"/>
  <c r="AP21" i="4"/>
  <c r="BL21" i="4"/>
  <c r="BO21" i="4" s="1"/>
  <c r="J21" i="4"/>
  <c r="AH21" i="4"/>
  <c r="AG21" i="4"/>
  <c r="AJ21" i="4" s="1"/>
  <c r="I21" i="4"/>
  <c r="L21" i="4" s="1"/>
  <c r="E21" i="4"/>
  <c r="BB21" i="4"/>
  <c r="D21" i="4"/>
  <c r="BA21" i="4"/>
  <c r="BD21" i="4" s="1"/>
  <c r="F21" i="4"/>
  <c r="H21" i="4"/>
  <c r="G21" i="4"/>
  <c r="C21" i="4"/>
  <c r="B21" i="4"/>
  <c r="BD20" i="4"/>
  <c r="Y20" i="13"/>
  <c r="Z20" i="13"/>
  <c r="AJ21" i="9"/>
  <c r="AS20" i="4"/>
  <c r="BQ20" i="13"/>
  <c r="BR20" i="13"/>
  <c r="AW20" i="9"/>
  <c r="AX20" i="9"/>
  <c r="A8" i="12"/>
  <c r="S7" i="12"/>
  <c r="AT7" i="12"/>
  <c r="AK7" i="12"/>
  <c r="J7" i="12"/>
  <c r="AB7" i="12"/>
  <c r="AS20" i="12"/>
  <c r="AV20" i="12" s="1"/>
  <c r="T20" i="8"/>
  <c r="V20" i="8" s="1"/>
  <c r="L20" i="13"/>
  <c r="M20" i="13"/>
  <c r="AK20" i="8"/>
  <c r="AL20" i="8"/>
  <c r="BB20" i="13"/>
  <c r="AY20" i="13"/>
  <c r="AZ20" i="13"/>
  <c r="CB20" i="9"/>
  <c r="CA20" i="9"/>
  <c r="K20" i="4"/>
  <c r="H24" i="18" s="1"/>
  <c r="AC20" i="4"/>
  <c r="L20" i="4"/>
  <c r="BL20" i="8"/>
  <c r="BK20" i="8"/>
  <c r="W20" i="12"/>
  <c r="X20" i="12" s="1"/>
  <c r="T20" i="12"/>
  <c r="U20" i="9"/>
  <c r="V20" i="9"/>
  <c r="K20" i="8"/>
  <c r="H35" i="18" s="1"/>
  <c r="L20" i="8"/>
  <c r="N20" i="12"/>
  <c r="O20" i="12" s="1"/>
  <c r="K20" i="12"/>
  <c r="H40" i="18" s="1"/>
  <c r="A23" i="17"/>
  <c r="A6" i="17"/>
  <c r="CN21" i="6"/>
  <c r="BM21" i="6"/>
  <c r="P21" i="6"/>
  <c r="M21" i="6"/>
  <c r="AQ21" i="6" s="1"/>
  <c r="AS21" i="6" s="1"/>
  <c r="CE21" i="6"/>
  <c r="H21" i="6"/>
  <c r="G21" i="6"/>
  <c r="F21" i="6"/>
  <c r="E21" i="6"/>
  <c r="D21" i="6"/>
  <c r="C21" i="6"/>
  <c r="DO21" i="6"/>
  <c r="B21" i="6"/>
  <c r="DF21" i="6"/>
  <c r="BV21" i="6"/>
  <c r="CW21" i="6"/>
  <c r="N21" i="6"/>
  <c r="L21" i="6"/>
  <c r="A22" i="6"/>
  <c r="AZ21" i="6"/>
  <c r="J21" i="6"/>
  <c r="I21" i="6"/>
  <c r="AC21" i="6"/>
  <c r="K21" i="6"/>
  <c r="BP21" i="13"/>
  <c r="X21" i="13"/>
  <c r="A22" i="13"/>
  <c r="BG21" i="13"/>
  <c r="K21" i="13"/>
  <c r="I21" i="13"/>
  <c r="H21" i="13"/>
  <c r="G21" i="13"/>
  <c r="F21" i="13"/>
  <c r="E21" i="13"/>
  <c r="AX21" i="13"/>
  <c r="C21" i="13"/>
  <c r="B21" i="13"/>
  <c r="AK21" i="13"/>
  <c r="D21" i="13"/>
  <c r="U20" i="12"/>
  <c r="S14" i="12"/>
  <c r="AK14" i="12"/>
  <c r="J14" i="12"/>
  <c r="AT14" i="12"/>
  <c r="AB14" i="12"/>
  <c r="K14" i="9"/>
  <c r="BZ14" i="9"/>
  <c r="AC14" i="9"/>
  <c r="AV14" i="9"/>
  <c r="T14" i="9"/>
  <c r="AM14" i="9"/>
  <c r="BM14" i="9"/>
  <c r="T6" i="4"/>
  <c r="AQ6" i="4"/>
  <c r="BM6" i="4"/>
  <c r="J6" i="4"/>
  <c r="AH6" i="4"/>
  <c r="BB6" i="4"/>
  <c r="A7" i="4"/>
  <c r="AJ7" i="9" s="1"/>
  <c r="X19" i="12"/>
  <c r="AY20" i="8"/>
  <c r="AX20" i="8"/>
  <c r="H38" i="17"/>
  <c r="DF6" i="6"/>
  <c r="CE6" i="6"/>
  <c r="A7" i="6"/>
  <c r="AK7" i="6" s="1"/>
  <c r="BV6" i="6"/>
  <c r="CN6" i="6"/>
  <c r="BM6" i="6"/>
  <c r="P6" i="6"/>
  <c r="DO6" i="6"/>
  <c r="AZ6" i="6"/>
  <c r="CW6" i="6"/>
  <c r="AC6" i="6"/>
  <c r="AA21" i="4"/>
  <c r="CG20" i="6"/>
  <c r="CF20" i="6"/>
  <c r="AR20" i="6"/>
  <c r="AS20" i="6"/>
  <c r="J6" i="8"/>
  <c r="AJ6" i="8"/>
  <c r="AW6" i="8"/>
  <c r="A7" i="8"/>
  <c r="S6" i="8"/>
  <c r="BJ6" i="8"/>
  <c r="B21" i="12"/>
  <c r="S21" i="12"/>
  <c r="H21" i="12"/>
  <c r="F21" i="12"/>
  <c r="C21" i="12"/>
  <c r="J21" i="12"/>
  <c r="G21" i="12"/>
  <c r="E21" i="12"/>
  <c r="D21" i="12"/>
  <c r="A22" i="12"/>
  <c r="AJ20" i="12"/>
  <c r="L20" i="12"/>
  <c r="DG20" i="6"/>
  <c r="DH20" i="6"/>
  <c r="Q20" i="6"/>
  <c r="R20" i="6"/>
  <c r="A22" i="11"/>
  <c r="B21" i="11"/>
  <c r="C21" i="11"/>
  <c r="BN20" i="4"/>
  <c r="BO20" i="4"/>
  <c r="AE20" i="6"/>
  <c r="AD20" i="6"/>
  <c r="H29" i="18" s="1"/>
  <c r="BJ14" i="8"/>
  <c r="AJ14" i="8"/>
  <c r="S14" i="8"/>
  <c r="J14" i="8"/>
  <c r="AW14" i="8"/>
  <c r="T13" i="4"/>
  <c r="AQ13" i="4"/>
  <c r="BM13" i="4"/>
  <c r="J13" i="4"/>
  <c r="AH13" i="4"/>
  <c r="BB13" i="4"/>
  <c r="A14" i="4"/>
  <c r="Q14" i="4" s="1"/>
  <c r="O19" i="12"/>
  <c r="CO20" i="6"/>
  <c r="CP20" i="6"/>
  <c r="V20" i="12" l="1"/>
  <c r="H39" i="18"/>
  <c r="AX14" i="13"/>
  <c r="X14" i="13"/>
  <c r="BP14" i="13"/>
  <c r="AK14" i="13"/>
  <c r="K14" i="13"/>
  <c r="BM7" i="9"/>
  <c r="AV7" i="9"/>
  <c r="A8" i="9"/>
  <c r="AV8" i="9" s="1"/>
  <c r="T7" i="9"/>
  <c r="AC7" i="9"/>
  <c r="AM7" i="9"/>
  <c r="BZ7" i="9"/>
  <c r="Y20" i="12"/>
  <c r="P20" i="12"/>
  <c r="Q7" i="4"/>
  <c r="AA7" i="4"/>
  <c r="AG20" i="12"/>
  <c r="AI20" i="12" s="1"/>
  <c r="AT20" i="6"/>
  <c r="S22" i="12"/>
  <c r="H22" i="12"/>
  <c r="J22" i="12"/>
  <c r="G22" i="12"/>
  <c r="F22" i="12"/>
  <c r="E22" i="12"/>
  <c r="D22" i="12"/>
  <c r="C22" i="12"/>
  <c r="A23" i="12"/>
  <c r="B22" i="12"/>
  <c r="Z6" i="17"/>
  <c r="A40" i="17"/>
  <c r="R22" i="12"/>
  <c r="U22" i="12" s="1"/>
  <c r="I22" i="12"/>
  <c r="L22" i="12" s="1"/>
  <c r="AA22" i="12"/>
  <c r="AD22" i="12" s="1"/>
  <c r="BL22" i="9"/>
  <c r="BO22" i="9" s="1"/>
  <c r="AB22" i="9"/>
  <c r="AE22" i="9" s="1"/>
  <c r="AU22" i="9"/>
  <c r="AX22" i="9" s="1"/>
  <c r="J22" i="9"/>
  <c r="M22" i="9" s="1"/>
  <c r="BY22" i="9"/>
  <c r="CB22" i="9" s="1"/>
  <c r="O22" i="6"/>
  <c r="R22" i="6" s="1"/>
  <c r="S22" i="9"/>
  <c r="V22" i="9" s="1"/>
  <c r="DE22" i="6"/>
  <c r="DH22" i="6" s="1"/>
  <c r="CD22" i="6"/>
  <c r="CG22" i="6" s="1"/>
  <c r="BL22" i="6"/>
  <c r="BO22" i="6" s="1"/>
  <c r="DN22" i="6"/>
  <c r="DQ22" i="6" s="1"/>
  <c r="BU22" i="6"/>
  <c r="BX22" i="6" s="1"/>
  <c r="AB22" i="6"/>
  <c r="AE22" i="6" s="1"/>
  <c r="CV22" i="6"/>
  <c r="CY22" i="6" s="1"/>
  <c r="AY22" i="6"/>
  <c r="BB22" i="6" s="1"/>
  <c r="CM22" i="6"/>
  <c r="CP22" i="6" s="1"/>
  <c r="I22" i="8"/>
  <c r="AI22" i="8"/>
  <c r="AL22" i="8" s="1"/>
  <c r="BI22" i="8"/>
  <c r="BL22" i="8" s="1"/>
  <c r="BM22" i="8" s="1"/>
  <c r="AV22" i="8"/>
  <c r="AY22" i="8" s="1"/>
  <c r="AJ22" i="13"/>
  <c r="AM22" i="13" s="1"/>
  <c r="BF22" i="13"/>
  <c r="BI22" i="13" s="1"/>
  <c r="J22" i="13"/>
  <c r="M22" i="13" s="1"/>
  <c r="R22" i="8"/>
  <c r="U22" i="8" s="1"/>
  <c r="B22" i="4"/>
  <c r="AW22" i="13"/>
  <c r="AZ22" i="13" s="1"/>
  <c r="T22" i="4"/>
  <c r="W22" i="13"/>
  <c r="BO22" i="13"/>
  <c r="BR22" i="13" s="1"/>
  <c r="C22" i="4"/>
  <c r="BB22" i="4"/>
  <c r="BA22" i="4"/>
  <c r="AS22" i="4" s="1"/>
  <c r="S22" i="4"/>
  <c r="V22" i="4" s="1"/>
  <c r="AQ22" i="4"/>
  <c r="AP22" i="4"/>
  <c r="J22" i="4"/>
  <c r="I22" i="4"/>
  <c r="L22" i="4" s="1"/>
  <c r="AH22" i="4"/>
  <c r="E22" i="4"/>
  <c r="AG22" i="4"/>
  <c r="AJ22" i="4" s="1"/>
  <c r="D22" i="4"/>
  <c r="A23" i="4"/>
  <c r="AJ23" i="9" s="1"/>
  <c r="BL22" i="4"/>
  <c r="BO22" i="4" s="1"/>
  <c r="BM22" i="4"/>
  <c r="H22" i="4"/>
  <c r="F22" i="4"/>
  <c r="G22" i="4"/>
  <c r="AK22" i="6"/>
  <c r="S22" i="8"/>
  <c r="J22" i="8"/>
  <c r="A23" i="8"/>
  <c r="H22" i="8"/>
  <c r="G22" i="8"/>
  <c r="AJ22" i="8"/>
  <c r="F22" i="8"/>
  <c r="E22" i="8"/>
  <c r="D22" i="8"/>
  <c r="C22" i="8"/>
  <c r="BJ22" i="8"/>
  <c r="B22" i="8"/>
  <c r="AW22" i="8"/>
  <c r="AY19" i="12"/>
  <c r="BS20" i="13"/>
  <c r="BN21" i="9"/>
  <c r="DR20" i="6"/>
  <c r="AA20" i="13"/>
  <c r="DI20" i="6"/>
  <c r="U21" i="9"/>
  <c r="W21" i="9" s="1"/>
  <c r="L21" i="13"/>
  <c r="N21" i="13" s="1"/>
  <c r="AW21" i="9"/>
  <c r="AY21" i="9" s="1"/>
  <c r="AF20" i="9"/>
  <c r="BJ7" i="8"/>
  <c r="AJ7" i="8"/>
  <c r="S7" i="8"/>
  <c r="A8" i="8"/>
  <c r="J7" i="8"/>
  <c r="AW7" i="8"/>
  <c r="CC20" i="9"/>
  <c r="BH21" i="13"/>
  <c r="BJ21" i="13" s="1"/>
  <c r="C22" i="11"/>
  <c r="B22" i="11"/>
  <c r="A23" i="11"/>
  <c r="AX20" i="12"/>
  <c r="AZ20" i="12" s="1"/>
  <c r="AU20" i="12"/>
  <c r="AW20" i="12" s="1"/>
  <c r="BE20" i="4"/>
  <c r="BB21" i="13"/>
  <c r="AY21" i="13"/>
  <c r="BA21" i="13" s="1"/>
  <c r="AD21" i="9"/>
  <c r="AF21" i="9" s="1"/>
  <c r="BI21" i="13"/>
  <c r="W20" i="4"/>
  <c r="A24" i="17"/>
  <c r="A7" i="17"/>
  <c r="DF22" i="6"/>
  <c r="N22" i="6"/>
  <c r="M22" i="6"/>
  <c r="AQ22" i="6" s="1"/>
  <c r="AS22" i="6" s="1"/>
  <c r="L22" i="6"/>
  <c r="CE22" i="6"/>
  <c r="K22" i="6"/>
  <c r="J22" i="6"/>
  <c r="I22" i="6"/>
  <c r="A23" i="6"/>
  <c r="G22" i="6"/>
  <c r="P22" i="6"/>
  <c r="BV22" i="6"/>
  <c r="AC22" i="6"/>
  <c r="CW22" i="6"/>
  <c r="BM22" i="6"/>
  <c r="AZ22" i="6"/>
  <c r="CN22" i="6"/>
  <c r="H22" i="6"/>
  <c r="F22" i="6"/>
  <c r="D22" i="6"/>
  <c r="C22" i="6"/>
  <c r="DO22" i="6"/>
  <c r="E22" i="6"/>
  <c r="B22" i="6"/>
  <c r="AO21" i="13"/>
  <c r="AL21" i="13"/>
  <c r="CA21" i="9"/>
  <c r="BJ20" i="13"/>
  <c r="N20" i="9"/>
  <c r="AS21" i="12"/>
  <c r="AV21" i="12" s="1"/>
  <c r="BQ21" i="13"/>
  <c r="AJ22" i="9"/>
  <c r="Y21" i="13"/>
  <c r="AA21" i="13" s="1"/>
  <c r="K21" i="12"/>
  <c r="M21" i="12" s="1"/>
  <c r="N21" i="12"/>
  <c r="O21" i="12" s="1"/>
  <c r="AP20" i="13"/>
  <c r="AN20" i="13"/>
  <c r="A9" i="11"/>
  <c r="BC20" i="6"/>
  <c r="BD20" i="13"/>
  <c r="AR21" i="4"/>
  <c r="BC21" i="4"/>
  <c r="BE21" i="4" s="1"/>
  <c r="BK21" i="8"/>
  <c r="AF21" i="12"/>
  <c r="AH21" i="12" s="1"/>
  <c r="AC21" i="12"/>
  <c r="AE21" i="12" s="1"/>
  <c r="AS21" i="4"/>
  <c r="AQ20" i="13"/>
  <c r="CZ20" i="6"/>
  <c r="AK22" i="13"/>
  <c r="BG22" i="13"/>
  <c r="K22" i="13"/>
  <c r="A23" i="13"/>
  <c r="H22" i="13"/>
  <c r="G22" i="13"/>
  <c r="E22" i="13"/>
  <c r="AX22" i="13"/>
  <c r="B22" i="13"/>
  <c r="X22" i="13"/>
  <c r="I22" i="13"/>
  <c r="F22" i="13"/>
  <c r="D22" i="13"/>
  <c r="C22" i="13"/>
  <c r="BP22" i="13"/>
  <c r="K21" i="8"/>
  <c r="M21" i="8" s="1"/>
  <c r="H39" i="17"/>
  <c r="H40" i="17" s="1"/>
  <c r="H41" i="17" s="1"/>
  <c r="BP8" i="13"/>
  <c r="A9" i="13"/>
  <c r="AK8" i="13"/>
  <c r="BG8" i="13"/>
  <c r="K8" i="13"/>
  <c r="AX8" i="13"/>
  <c r="X8" i="13"/>
  <c r="M20" i="8"/>
  <c r="AE20" i="4"/>
  <c r="AK8" i="12"/>
  <c r="J8" i="12"/>
  <c r="AB8" i="12"/>
  <c r="A9" i="12"/>
  <c r="S8" i="12"/>
  <c r="AT8" i="12"/>
  <c r="AX21" i="8"/>
  <c r="AZ21" i="8" s="1"/>
  <c r="CH20" i="6"/>
  <c r="Z20" i="12"/>
  <c r="AF20" i="6"/>
  <c r="CN7" i="6"/>
  <c r="BM7" i="6"/>
  <c r="P7" i="6"/>
  <c r="DF7" i="6"/>
  <c r="CW7" i="6"/>
  <c r="AC7" i="6"/>
  <c r="DO7" i="6"/>
  <c r="AZ7" i="6"/>
  <c r="CE7" i="6"/>
  <c r="A8" i="6"/>
  <c r="BV7" i="6"/>
  <c r="AD20" i="4"/>
  <c r="M20" i="4"/>
  <c r="AM20" i="8"/>
  <c r="BW21" i="6"/>
  <c r="T21" i="8"/>
  <c r="V21" i="8" s="1"/>
  <c r="K21" i="4"/>
  <c r="AC21" i="4"/>
  <c r="AE21" i="4" s="1"/>
  <c r="AM20" i="12"/>
  <c r="AA14" i="4"/>
  <c r="M21" i="13"/>
  <c r="AI21" i="4"/>
  <c r="BA21" i="6"/>
  <c r="BC21" i="6" s="1"/>
  <c r="AP19" i="12"/>
  <c r="W21" i="12"/>
  <c r="Y21" i="12" s="1"/>
  <c r="T21" i="12"/>
  <c r="AO20" i="12"/>
  <c r="AL20" i="12"/>
  <c r="AN20" i="12" s="1"/>
  <c r="V21" i="9"/>
  <c r="N20" i="13"/>
  <c r="CX21" i="6"/>
  <c r="CZ21" i="6" s="1"/>
  <c r="W20" i="9"/>
  <c r="U21" i="8"/>
  <c r="AD21" i="6"/>
  <c r="BP20" i="9"/>
  <c r="AJ21" i="12"/>
  <c r="CQ20" i="6"/>
  <c r="AK14" i="6"/>
  <c r="Q22" i="4"/>
  <c r="CF21" i="6"/>
  <c r="CH21" i="6" s="1"/>
  <c r="BP20" i="6"/>
  <c r="AJ14" i="9"/>
  <c r="BN21" i="4"/>
  <c r="BP21" i="4" s="1"/>
  <c r="DP21" i="6"/>
  <c r="DR21" i="6" s="1"/>
  <c r="BO21" i="9"/>
  <c r="AZ20" i="8"/>
  <c r="BC20" i="13"/>
  <c r="BA20" i="13"/>
  <c r="AA22" i="4"/>
  <c r="DG21" i="6"/>
  <c r="AT22" i="12"/>
  <c r="AK22" i="12"/>
  <c r="AB22" i="12"/>
  <c r="K22" i="9"/>
  <c r="I22" i="9"/>
  <c r="H22" i="9"/>
  <c r="G22" i="9"/>
  <c r="BZ22" i="9"/>
  <c r="F22" i="9"/>
  <c r="A23" i="9"/>
  <c r="T22" i="9"/>
  <c r="E22" i="9"/>
  <c r="AM22" i="9"/>
  <c r="C22" i="9"/>
  <c r="B22" i="9"/>
  <c r="BM22" i="9"/>
  <c r="AC22" i="9"/>
  <c r="AV22" i="9"/>
  <c r="D22" i="9"/>
  <c r="BX21" i="6"/>
  <c r="AK21" i="8"/>
  <c r="AM21" i="8" s="1"/>
  <c r="BP20" i="4"/>
  <c r="S20" i="6"/>
  <c r="AR21" i="6"/>
  <c r="L21" i="9"/>
  <c r="BY20" i="6"/>
  <c r="U21" i="4"/>
  <c r="Q21" i="6"/>
  <c r="S21" i="6" s="1"/>
  <c r="AD21" i="12"/>
  <c r="T14" i="4"/>
  <c r="AQ14" i="4"/>
  <c r="BM14" i="4"/>
  <c r="BB14" i="4"/>
  <c r="J14" i="4"/>
  <c r="AH14" i="4"/>
  <c r="Q20" i="12"/>
  <c r="M20" i="12"/>
  <c r="AX21" i="9"/>
  <c r="BN21" i="6"/>
  <c r="BP21" i="6" s="1"/>
  <c r="BM20" i="8"/>
  <c r="BM21" i="8"/>
  <c r="A8" i="4"/>
  <c r="T7" i="4"/>
  <c r="AQ7" i="4"/>
  <c r="BM7" i="4"/>
  <c r="BB7" i="4"/>
  <c r="AH7" i="4"/>
  <c r="J7" i="4"/>
  <c r="AY20" i="9"/>
  <c r="CO21" i="6"/>
  <c r="CQ21" i="6" s="1"/>
  <c r="K8" i="9" l="1"/>
  <c r="T8" i="9"/>
  <c r="A9" i="9"/>
  <c r="BZ9" i="9" s="1"/>
  <c r="AC8" i="9"/>
  <c r="BZ8" i="9"/>
  <c r="AM8" i="9"/>
  <c r="BM8" i="9"/>
  <c r="BD22" i="4"/>
  <c r="P21" i="12"/>
  <c r="Q23" i="4"/>
  <c r="Q21" i="12"/>
  <c r="AD21" i="4"/>
  <c r="AF21" i="4" s="1"/>
  <c r="Y22" i="13"/>
  <c r="AA22" i="13" s="1"/>
  <c r="CA22" i="9"/>
  <c r="CC22" i="9" s="1"/>
  <c r="A25" i="17"/>
  <c r="A8" i="17"/>
  <c r="I23" i="6"/>
  <c r="H23" i="6"/>
  <c r="A24" i="6"/>
  <c r="G23" i="6"/>
  <c r="F23" i="6"/>
  <c r="CW23" i="6"/>
  <c r="AC23" i="6"/>
  <c r="E23" i="6"/>
  <c r="AZ23" i="6"/>
  <c r="D23" i="6"/>
  <c r="C23" i="6"/>
  <c r="CE23" i="6"/>
  <c r="K23" i="6"/>
  <c r="J23" i="6"/>
  <c r="DF23" i="6"/>
  <c r="BM23" i="6"/>
  <c r="M23" i="6"/>
  <c r="AQ23" i="6" s="1"/>
  <c r="AS23" i="6" s="1"/>
  <c r="L23" i="6"/>
  <c r="B23" i="6"/>
  <c r="DO23" i="6"/>
  <c r="BV23" i="6"/>
  <c r="CN23" i="6"/>
  <c r="P23" i="6"/>
  <c r="N23" i="6"/>
  <c r="L22" i="9"/>
  <c r="N22" i="9" s="1"/>
  <c r="I23" i="13"/>
  <c r="A24" i="13"/>
  <c r="H23" i="13"/>
  <c r="G23" i="13"/>
  <c r="F23" i="13"/>
  <c r="E23" i="13"/>
  <c r="D23" i="13"/>
  <c r="C23" i="13"/>
  <c r="X23" i="13"/>
  <c r="BP23" i="13"/>
  <c r="BG23" i="13"/>
  <c r="K23" i="13"/>
  <c r="B23" i="13"/>
  <c r="AX23" i="13"/>
  <c r="AK23" i="13"/>
  <c r="BB22" i="13"/>
  <c r="BD22" i="13" s="1"/>
  <c r="AY22" i="13"/>
  <c r="BA22" i="13" s="1"/>
  <c r="AW22" i="9"/>
  <c r="AY22" i="9" s="1"/>
  <c r="AD22" i="9"/>
  <c r="AF22" i="9" s="1"/>
  <c r="AO21" i="12"/>
  <c r="AL21" i="12"/>
  <c r="AM21" i="12"/>
  <c r="X21" i="12"/>
  <c r="T22" i="8"/>
  <c r="V22" i="8" s="1"/>
  <c r="BN22" i="9"/>
  <c r="BP22" i="9" s="1"/>
  <c r="AP20" i="12"/>
  <c r="AR20" i="12" s="1"/>
  <c r="AY20" i="12"/>
  <c r="BA20" i="12" s="1"/>
  <c r="L22" i="13"/>
  <c r="N22" i="13" s="1"/>
  <c r="AF22" i="12"/>
  <c r="AG22" i="12" s="1"/>
  <c r="AC22" i="12"/>
  <c r="BH22" i="13"/>
  <c r="BJ22" i="13" s="1"/>
  <c r="CW8" i="6"/>
  <c r="AC8" i="6"/>
  <c r="AZ8" i="6"/>
  <c r="BV8" i="6"/>
  <c r="DO8" i="6"/>
  <c r="P8" i="6"/>
  <c r="A9" i="6"/>
  <c r="AK9" i="6" s="1"/>
  <c r="DF8" i="6"/>
  <c r="CN8" i="6"/>
  <c r="CE8" i="6"/>
  <c r="BM8" i="6"/>
  <c r="AR22" i="6"/>
  <c r="V21" i="12"/>
  <c r="BN22" i="4"/>
  <c r="BP22" i="4" s="1"/>
  <c r="AL22" i="13"/>
  <c r="AN22" i="13" s="1"/>
  <c r="AO22" i="13"/>
  <c r="AQ22" i="13" s="1"/>
  <c r="K22" i="12"/>
  <c r="M22" i="12" s="1"/>
  <c r="N22" i="12"/>
  <c r="P22" i="12" s="1"/>
  <c r="BB8" i="4"/>
  <c r="A9" i="4"/>
  <c r="T8" i="4"/>
  <c r="AH8" i="4"/>
  <c r="J8" i="4"/>
  <c r="AQ8" i="4"/>
  <c r="BM8" i="4"/>
  <c r="A41" i="17"/>
  <c r="AA23" i="12"/>
  <c r="I23" i="12"/>
  <c r="R23" i="12"/>
  <c r="U23" i="12" s="1"/>
  <c r="J23" i="9"/>
  <c r="BL23" i="9"/>
  <c r="BO23" i="9" s="1"/>
  <c r="AB23" i="9"/>
  <c r="S23" i="9"/>
  <c r="V23" i="9" s="1"/>
  <c r="AU23" i="9"/>
  <c r="BY23" i="9"/>
  <c r="CV23" i="6"/>
  <c r="CY23" i="6" s="1"/>
  <c r="AB23" i="6"/>
  <c r="AE23" i="6" s="1"/>
  <c r="AY23" i="6"/>
  <c r="BB23" i="6" s="1"/>
  <c r="BU23" i="6"/>
  <c r="BX23" i="6" s="1"/>
  <c r="CD23" i="6"/>
  <c r="CG23" i="6" s="1"/>
  <c r="DE23" i="6"/>
  <c r="DH23" i="6" s="1"/>
  <c r="BL23" i="6"/>
  <c r="BO23" i="6" s="1"/>
  <c r="CM23" i="6"/>
  <c r="CP23" i="6" s="1"/>
  <c r="DN23" i="6"/>
  <c r="DQ23" i="6" s="1"/>
  <c r="R23" i="8"/>
  <c r="U23" i="8" s="1"/>
  <c r="O23" i="6"/>
  <c r="R23" i="6" s="1"/>
  <c r="BI23" i="8"/>
  <c r="BL23" i="8" s="1"/>
  <c r="BM23" i="8" s="1"/>
  <c r="AV23" i="8"/>
  <c r="AY23" i="8" s="1"/>
  <c r="I23" i="8"/>
  <c r="L23" i="8" s="1"/>
  <c r="AI23" i="8"/>
  <c r="AL23" i="8" s="1"/>
  <c r="AW23" i="13"/>
  <c r="BF23" i="13"/>
  <c r="BI23" i="13" s="1"/>
  <c r="J23" i="13"/>
  <c r="BO23" i="13"/>
  <c r="BR23" i="13" s="1"/>
  <c r="T23" i="4"/>
  <c r="AQ23" i="4"/>
  <c r="S23" i="4"/>
  <c r="V23" i="4" s="1"/>
  <c r="AP23" i="4"/>
  <c r="AJ23" i="13"/>
  <c r="AM23" i="13" s="1"/>
  <c r="W23" i="13"/>
  <c r="I23" i="4"/>
  <c r="L23" i="4" s="1"/>
  <c r="A24" i="4"/>
  <c r="J23" i="4"/>
  <c r="H23" i="4"/>
  <c r="BM23" i="4"/>
  <c r="G23" i="4"/>
  <c r="F23" i="4"/>
  <c r="BL23" i="4"/>
  <c r="AH23" i="4"/>
  <c r="E23" i="4"/>
  <c r="D23" i="4"/>
  <c r="AG23" i="4"/>
  <c r="AJ23" i="4" s="1"/>
  <c r="C23" i="4"/>
  <c r="BA23" i="4"/>
  <c r="AS23" i="4" s="1"/>
  <c r="B23" i="4"/>
  <c r="BB23" i="4"/>
  <c r="AX22" i="8"/>
  <c r="AZ22" i="8" s="1"/>
  <c r="T22" i="12"/>
  <c r="V22" i="12" s="1"/>
  <c r="W22" i="12"/>
  <c r="Y22" i="12" s="1"/>
  <c r="AP21" i="13"/>
  <c r="AR21" i="13" s="1"/>
  <c r="AJ8" i="9"/>
  <c r="AK21" i="4"/>
  <c r="DI21" i="6"/>
  <c r="BK22" i="8"/>
  <c r="AK9" i="12"/>
  <c r="J9" i="12"/>
  <c r="AT9" i="12"/>
  <c r="AB9" i="12"/>
  <c r="A10" i="12"/>
  <c r="S9" i="12"/>
  <c r="Z7" i="17"/>
  <c r="S8" i="8"/>
  <c r="BJ8" i="8"/>
  <c r="AJ8" i="8"/>
  <c r="J8" i="8"/>
  <c r="AW8" i="8"/>
  <c r="A9" i="8"/>
  <c r="AI22" i="4"/>
  <c r="AK22" i="4" s="1"/>
  <c r="AK22" i="8"/>
  <c r="AM22" i="8" s="1"/>
  <c r="K22" i="8"/>
  <c r="J23" i="12"/>
  <c r="C23" i="12"/>
  <c r="H23" i="12"/>
  <c r="F23" i="12"/>
  <c r="E23" i="12"/>
  <c r="B23" i="12"/>
  <c r="A24" i="12"/>
  <c r="S23" i="12"/>
  <c r="G23" i="12"/>
  <c r="D23" i="12"/>
  <c r="AK23" i="6"/>
  <c r="L22" i="8"/>
  <c r="A10" i="11"/>
  <c r="CO22" i="6"/>
  <c r="CQ22" i="6" s="1"/>
  <c r="C23" i="11"/>
  <c r="B23" i="11"/>
  <c r="A24" i="11"/>
  <c r="AK23" i="12"/>
  <c r="AB23" i="12"/>
  <c r="AT23" i="12"/>
  <c r="AM23" i="9"/>
  <c r="K23" i="9"/>
  <c r="I23" i="9"/>
  <c r="B23" i="9"/>
  <c r="AC23" i="9"/>
  <c r="BM23" i="9"/>
  <c r="A24" i="9"/>
  <c r="T23" i="9"/>
  <c r="BZ23" i="9"/>
  <c r="G23" i="9"/>
  <c r="F23" i="9"/>
  <c r="E23" i="9"/>
  <c r="D23" i="9"/>
  <c r="C23" i="9"/>
  <c r="H23" i="9"/>
  <c r="AV23" i="9"/>
  <c r="W21" i="4"/>
  <c r="AC22" i="4"/>
  <c r="AE22" i="4" s="1"/>
  <c r="K22" i="4"/>
  <c r="BA22" i="6"/>
  <c r="BP21" i="9"/>
  <c r="BE20" i="13"/>
  <c r="AN21" i="13"/>
  <c r="BS21" i="13"/>
  <c r="AA23" i="4"/>
  <c r="CX22" i="6"/>
  <c r="BY21" i="6"/>
  <c r="AF21" i="6"/>
  <c r="AR20" i="13"/>
  <c r="AX21" i="12"/>
  <c r="AZ21" i="12" s="1"/>
  <c r="AU21" i="12"/>
  <c r="AD22" i="6"/>
  <c r="AF22" i="6" s="1"/>
  <c r="AJ22" i="12"/>
  <c r="AM22" i="12" s="1"/>
  <c r="AF20" i="4"/>
  <c r="AK8" i="6"/>
  <c r="BP9" i="13"/>
  <c r="X9" i="13"/>
  <c r="AX9" i="13"/>
  <c r="A10" i="13"/>
  <c r="AK9" i="13"/>
  <c r="K9" i="13"/>
  <c r="BG9" i="13"/>
  <c r="BW22" i="6"/>
  <c r="BY22" i="6" s="1"/>
  <c r="AQ20" i="12"/>
  <c r="M21" i="4"/>
  <c r="BD21" i="13"/>
  <c r="AT21" i="4"/>
  <c r="CC21" i="9"/>
  <c r="DP22" i="6"/>
  <c r="DR22" i="6" s="1"/>
  <c r="AS22" i="12"/>
  <c r="AV22" i="12" s="1"/>
  <c r="Q8" i="4"/>
  <c r="U22" i="4"/>
  <c r="BN22" i="6"/>
  <c r="AR22" i="4"/>
  <c r="BC22" i="4"/>
  <c r="CF22" i="6"/>
  <c r="CH22" i="6" s="1"/>
  <c r="AA8" i="4"/>
  <c r="DG22" i="6"/>
  <c r="Z22" i="13"/>
  <c r="U22" i="9"/>
  <c r="W22" i="9" s="1"/>
  <c r="AT21" i="6"/>
  <c r="AQ21" i="13"/>
  <c r="N21" i="9"/>
  <c r="BC21" i="13"/>
  <c r="BE21" i="13" s="1"/>
  <c r="S23" i="8"/>
  <c r="D23" i="8"/>
  <c r="C23" i="8"/>
  <c r="BJ23" i="8"/>
  <c r="B23" i="8"/>
  <c r="AW23" i="8"/>
  <c r="A24" i="8"/>
  <c r="H23" i="8"/>
  <c r="AJ23" i="8"/>
  <c r="F23" i="8"/>
  <c r="E23" i="8"/>
  <c r="J23" i="8"/>
  <c r="G23" i="8"/>
  <c r="BQ22" i="13"/>
  <c r="Q22" i="6"/>
  <c r="AG21" i="12"/>
  <c r="K9" i="9" l="1"/>
  <c r="A10" i="9"/>
  <c r="A11" i="9" s="1"/>
  <c r="AV9" i="9"/>
  <c r="T9" i="9"/>
  <c r="BM9" i="9"/>
  <c r="AM9" i="9"/>
  <c r="AC9" i="9"/>
  <c r="BD23" i="4"/>
  <c r="X22" i="12"/>
  <c r="Z22" i="12" s="1"/>
  <c r="O22" i="12"/>
  <c r="Q22" i="12" s="1"/>
  <c r="AH22" i="12"/>
  <c r="CZ22" i="6"/>
  <c r="DG23" i="6"/>
  <c r="DI23" i="6" s="1"/>
  <c r="I24" i="12"/>
  <c r="L24" i="12" s="1"/>
  <c r="AA24" i="12"/>
  <c r="AD24" i="12" s="1"/>
  <c r="R24" i="12"/>
  <c r="U24" i="12" s="1"/>
  <c r="S24" i="9"/>
  <c r="V24" i="9" s="1"/>
  <c r="AU24" i="9"/>
  <c r="AX24" i="9" s="1"/>
  <c r="BY24" i="9"/>
  <c r="CB24" i="9" s="1"/>
  <c r="J24" i="9"/>
  <c r="M24" i="9" s="1"/>
  <c r="AB24" i="9"/>
  <c r="AE24" i="9" s="1"/>
  <c r="AY24" i="6"/>
  <c r="BB24" i="6" s="1"/>
  <c r="BU24" i="6"/>
  <c r="BX24" i="6" s="1"/>
  <c r="DN24" i="6"/>
  <c r="DQ24" i="6" s="1"/>
  <c r="CM24" i="6"/>
  <c r="CP24" i="6" s="1"/>
  <c r="BL24" i="9"/>
  <c r="BO24" i="9" s="1"/>
  <c r="CV24" i="6"/>
  <c r="CY24" i="6" s="1"/>
  <c r="AB24" i="6"/>
  <c r="AE24" i="6" s="1"/>
  <c r="DE24" i="6"/>
  <c r="BL24" i="6"/>
  <c r="BO24" i="6" s="1"/>
  <c r="O24" i="6"/>
  <c r="R24" i="6" s="1"/>
  <c r="CD24" i="6"/>
  <c r="CG24" i="6" s="1"/>
  <c r="R24" i="8"/>
  <c r="U24" i="8" s="1"/>
  <c r="AV24" i="8"/>
  <c r="AY24" i="8" s="1"/>
  <c r="I24" i="8"/>
  <c r="L24" i="8" s="1"/>
  <c r="AI24" i="8"/>
  <c r="AL24" i="8" s="1"/>
  <c r="BI24" i="8"/>
  <c r="BL24" i="8" s="1"/>
  <c r="AW24" i="13"/>
  <c r="AZ24" i="13" s="1"/>
  <c r="W24" i="13"/>
  <c r="Z24" i="13" s="1"/>
  <c r="AQ24" i="4"/>
  <c r="S24" i="4"/>
  <c r="V24" i="4" s="1"/>
  <c r="AP24" i="4"/>
  <c r="BM24" i="4"/>
  <c r="BL24" i="4"/>
  <c r="BO24" i="4" s="1"/>
  <c r="AJ24" i="13"/>
  <c r="AM24" i="13" s="1"/>
  <c r="J24" i="13"/>
  <c r="M24" i="13" s="1"/>
  <c r="BF24" i="13"/>
  <c r="BI24" i="13" s="1"/>
  <c r="AH24" i="4"/>
  <c r="E24" i="4"/>
  <c r="AG24" i="4"/>
  <c r="AJ24" i="4" s="1"/>
  <c r="D24" i="4"/>
  <c r="BA24" i="4"/>
  <c r="AS24" i="4" s="1"/>
  <c r="C24" i="4"/>
  <c r="B24" i="4"/>
  <c r="BB24" i="4"/>
  <c r="T24" i="4"/>
  <c r="A25" i="4"/>
  <c r="AA25" i="4" s="1"/>
  <c r="BO24" i="13"/>
  <c r="BR24" i="13" s="1"/>
  <c r="G24" i="4"/>
  <c r="F24" i="4"/>
  <c r="J24" i="4"/>
  <c r="I24" i="4"/>
  <c r="L24" i="4" s="1"/>
  <c r="H24" i="4"/>
  <c r="K23" i="4"/>
  <c r="M23" i="4" s="1"/>
  <c r="AC23" i="4"/>
  <c r="AE23" i="4" s="1"/>
  <c r="BW23" i="6"/>
  <c r="BY23" i="6" s="1"/>
  <c r="A26" i="17"/>
  <c r="A9" i="17"/>
  <c r="C24" i="6"/>
  <c r="BV24" i="6"/>
  <c r="B24" i="6"/>
  <c r="DO24" i="6"/>
  <c r="CW24" i="6"/>
  <c r="AC24" i="6"/>
  <c r="E24" i="6"/>
  <c r="AZ24" i="6"/>
  <c r="D24" i="6"/>
  <c r="DF24" i="6"/>
  <c r="BM24" i="6"/>
  <c r="P24" i="6"/>
  <c r="N24" i="6"/>
  <c r="CN24" i="6"/>
  <c r="M24" i="6"/>
  <c r="AQ24" i="6" s="1"/>
  <c r="AS24" i="6" s="1"/>
  <c r="L24" i="6"/>
  <c r="I24" i="6"/>
  <c r="H24" i="6"/>
  <c r="G24" i="6"/>
  <c r="F24" i="6"/>
  <c r="A25" i="6"/>
  <c r="CE24" i="6"/>
  <c r="K24" i="6"/>
  <c r="J24" i="6"/>
  <c r="Y23" i="13"/>
  <c r="AA23" i="13" s="1"/>
  <c r="BA23" i="6"/>
  <c r="BC23" i="6" s="1"/>
  <c r="BB9" i="4"/>
  <c r="J9" i="4"/>
  <c r="AH9" i="4"/>
  <c r="A10" i="4"/>
  <c r="BM9" i="4"/>
  <c r="AQ9" i="4"/>
  <c r="T9" i="4"/>
  <c r="AP21" i="12"/>
  <c r="AR21" i="12" s="1"/>
  <c r="AO23" i="13"/>
  <c r="AQ23" i="13" s="1"/>
  <c r="AL23" i="13"/>
  <c r="AN23" i="13" s="1"/>
  <c r="AD23" i="6"/>
  <c r="AF23" i="6" s="1"/>
  <c r="CX23" i="6"/>
  <c r="CZ23" i="6" s="1"/>
  <c r="DI22" i="6"/>
  <c r="Z8" i="17"/>
  <c r="AY21" i="12"/>
  <c r="BA21" i="12" s="1"/>
  <c r="M22" i="8"/>
  <c r="U23" i="4"/>
  <c r="W23" i="4" s="1"/>
  <c r="CA23" i="9"/>
  <c r="CC23" i="9" s="1"/>
  <c r="AW23" i="9"/>
  <c r="AY23" i="9" s="1"/>
  <c r="B24" i="11"/>
  <c r="A25" i="11"/>
  <c r="C24" i="11"/>
  <c r="Q24" i="4"/>
  <c r="U23" i="9"/>
  <c r="W23" i="9" s="1"/>
  <c r="AQ21" i="12"/>
  <c r="S24" i="8"/>
  <c r="AW24" i="8"/>
  <c r="J24" i="8"/>
  <c r="A25" i="8"/>
  <c r="H24" i="8"/>
  <c r="G24" i="8"/>
  <c r="AJ24" i="8"/>
  <c r="F24" i="8"/>
  <c r="E24" i="8"/>
  <c r="D24" i="8"/>
  <c r="BJ24" i="8"/>
  <c r="B24" i="8"/>
  <c r="C24" i="8"/>
  <c r="AD23" i="9"/>
  <c r="AE23" i="9"/>
  <c r="CB23" i="9"/>
  <c r="X10" i="13"/>
  <c r="BP10" i="13"/>
  <c r="K10" i="13"/>
  <c r="AX10" i="13"/>
  <c r="A11" i="13"/>
  <c r="AK10" i="13"/>
  <c r="BG10" i="13"/>
  <c r="BQ23" i="13"/>
  <c r="BS23" i="13" s="1"/>
  <c r="BN23" i="9"/>
  <c r="AN21" i="12"/>
  <c r="AD22" i="4"/>
  <c r="AF22" i="4" s="1"/>
  <c r="BS22" i="13"/>
  <c r="L23" i="13"/>
  <c r="N23" i="13" s="1"/>
  <c r="AJ24" i="9"/>
  <c r="CN9" i="6"/>
  <c r="BM9" i="6"/>
  <c r="P9" i="6"/>
  <c r="A10" i="6"/>
  <c r="DO9" i="6"/>
  <c r="DF9" i="6"/>
  <c r="CW9" i="6"/>
  <c r="AZ9" i="6"/>
  <c r="AC9" i="6"/>
  <c r="CE9" i="6"/>
  <c r="BV9" i="6"/>
  <c r="AX24" i="13"/>
  <c r="B24" i="13"/>
  <c r="X24" i="13"/>
  <c r="BP24" i="13"/>
  <c r="AK24" i="13"/>
  <c r="I24" i="13"/>
  <c r="D24" i="13"/>
  <c r="C24" i="13"/>
  <c r="A25" i="13"/>
  <c r="H24" i="13"/>
  <c r="G24" i="13"/>
  <c r="BG24" i="13"/>
  <c r="F24" i="13"/>
  <c r="E24" i="13"/>
  <c r="K24" i="13"/>
  <c r="Z23" i="13"/>
  <c r="AR23" i="4"/>
  <c r="BC23" i="4"/>
  <c r="BH23" i="13"/>
  <c r="L23" i="9"/>
  <c r="AR23" i="6"/>
  <c r="BP22" i="6"/>
  <c r="BB23" i="13"/>
  <c r="BD23" i="13" s="1"/>
  <c r="AY23" i="13"/>
  <c r="BA23" i="13" s="1"/>
  <c r="W23" i="12"/>
  <c r="Y23" i="12" s="1"/>
  <c r="T23" i="12"/>
  <c r="V23" i="12" s="1"/>
  <c r="J24" i="12"/>
  <c r="H24" i="12"/>
  <c r="G24" i="12"/>
  <c r="A25" i="12"/>
  <c r="F24" i="12"/>
  <c r="E24" i="12"/>
  <c r="D24" i="12"/>
  <c r="C24" i="12"/>
  <c r="B24" i="12"/>
  <c r="S24" i="12"/>
  <c r="AI23" i="4"/>
  <c r="AK23" i="8"/>
  <c r="N23" i="12"/>
  <c r="K23" i="12"/>
  <c r="M23" i="12" s="1"/>
  <c r="BC22" i="6"/>
  <c r="AX23" i="9"/>
  <c r="K23" i="8"/>
  <c r="AC23" i="12"/>
  <c r="AE23" i="12" s="1"/>
  <c r="AF23" i="12"/>
  <c r="AG23" i="12" s="1"/>
  <c r="BC22" i="13"/>
  <c r="BE22" i="13" s="1"/>
  <c r="BE22" i="4"/>
  <c r="AX23" i="8"/>
  <c r="Z21" i="12"/>
  <c r="W22" i="4"/>
  <c r="AT22" i="4"/>
  <c r="BK23" i="8"/>
  <c r="L23" i="12"/>
  <c r="AZ23" i="13"/>
  <c r="CF23" i="6"/>
  <c r="CH23" i="6" s="1"/>
  <c r="AJ23" i="12"/>
  <c r="AM23" i="12" s="1"/>
  <c r="AS23" i="12"/>
  <c r="AV23" i="12" s="1"/>
  <c r="BN23" i="4"/>
  <c r="BP23" i="4" s="1"/>
  <c r="Q23" i="6"/>
  <c r="S23" i="6" s="1"/>
  <c r="AD23" i="12"/>
  <c r="AB10" i="12"/>
  <c r="A11" i="12"/>
  <c r="E24" i="17" s="1"/>
  <c r="J10" i="12"/>
  <c r="AK10" i="12"/>
  <c r="AT10" i="12"/>
  <c r="S10" i="12"/>
  <c r="AX22" i="12"/>
  <c r="AU22" i="12"/>
  <c r="AT24" i="12"/>
  <c r="AB24" i="12"/>
  <c r="AK24" i="12"/>
  <c r="BM24" i="9"/>
  <c r="AM24" i="9"/>
  <c r="BZ24" i="9"/>
  <c r="I24" i="9"/>
  <c r="H24" i="9"/>
  <c r="G24" i="9"/>
  <c r="F24" i="9"/>
  <c r="E24" i="9"/>
  <c r="D24" i="9"/>
  <c r="C24" i="9"/>
  <c r="B24" i="9"/>
  <c r="T24" i="9"/>
  <c r="K24" i="9"/>
  <c r="AV24" i="9"/>
  <c r="A25" i="9"/>
  <c r="AC24" i="9"/>
  <c r="T23" i="8"/>
  <c r="V23" i="8" s="1"/>
  <c r="AT22" i="6"/>
  <c r="M22" i="4"/>
  <c r="A11" i="11"/>
  <c r="AO22" i="12"/>
  <c r="AL22" i="12"/>
  <c r="AN22" i="12" s="1"/>
  <c r="AI22" i="12"/>
  <c r="AI21" i="12"/>
  <c r="DP23" i="6"/>
  <c r="DR23" i="6" s="1"/>
  <c r="AP22" i="13"/>
  <c r="M23" i="13"/>
  <c r="AW21" i="12"/>
  <c r="AK24" i="6"/>
  <c r="AE22" i="12"/>
  <c r="A10" i="8"/>
  <c r="AW9" i="8"/>
  <c r="AJ9" i="8"/>
  <c r="J9" i="8"/>
  <c r="S9" i="8"/>
  <c r="BJ9" i="8"/>
  <c r="CO23" i="6"/>
  <c r="CQ23" i="6" s="1"/>
  <c r="BO23" i="4"/>
  <c r="S22" i="6"/>
  <c r="AA24" i="4"/>
  <c r="BN23" i="6"/>
  <c r="M23" i="9"/>
  <c r="AV10" i="9" l="1"/>
  <c r="K10" i="9"/>
  <c r="T10" i="9"/>
  <c r="BZ10" i="9"/>
  <c r="AM10" i="9"/>
  <c r="AC10" i="9"/>
  <c r="BM10" i="9"/>
  <c r="BD24" i="4"/>
  <c r="AH23" i="12"/>
  <c r="AK25" i="6"/>
  <c r="AZ10" i="6"/>
  <c r="DO10" i="6"/>
  <c r="CW10" i="6"/>
  <c r="A11" i="6"/>
  <c r="L6" i="17" s="1"/>
  <c r="BM10" i="6"/>
  <c r="CN10" i="6"/>
  <c r="AC10" i="6"/>
  <c r="BV10" i="6"/>
  <c r="P10" i="6"/>
  <c r="DF10" i="6"/>
  <c r="CE10" i="6"/>
  <c r="Z9" i="17"/>
  <c r="BK24" i="8"/>
  <c r="AF24" i="12"/>
  <c r="AG24" i="12" s="1"/>
  <c r="AI24" i="12" s="1"/>
  <c r="AC24" i="12"/>
  <c r="AE24" i="12" s="1"/>
  <c r="AB25" i="12"/>
  <c r="AK25" i="12"/>
  <c r="AT25" i="12"/>
  <c r="AM25" i="9"/>
  <c r="T25" i="9"/>
  <c r="AV25" i="9"/>
  <c r="A26" i="9"/>
  <c r="K25" i="9"/>
  <c r="I25" i="9"/>
  <c r="H25" i="9"/>
  <c r="BZ25" i="9"/>
  <c r="C25" i="9"/>
  <c r="B25" i="9"/>
  <c r="BM25" i="9"/>
  <c r="AC25" i="9"/>
  <c r="G25" i="9"/>
  <c r="F25" i="9"/>
  <c r="E25" i="9"/>
  <c r="D25" i="9"/>
  <c r="E25" i="17"/>
  <c r="E21" i="17"/>
  <c r="AK24" i="8"/>
  <c r="K24" i="12"/>
  <c r="M24" i="12" s="1"/>
  <c r="N24" i="12"/>
  <c r="O24" i="12" s="1"/>
  <c r="AK10" i="6"/>
  <c r="BQ24" i="13"/>
  <c r="K24" i="8"/>
  <c r="AY22" i="12"/>
  <c r="BA22" i="12" s="1"/>
  <c r="BJ23" i="13"/>
  <c r="A27" i="17"/>
  <c r="A10" i="17"/>
  <c r="CN25" i="6"/>
  <c r="BM25" i="6"/>
  <c r="P25" i="6"/>
  <c r="M25" i="6"/>
  <c r="AQ25" i="6" s="1"/>
  <c r="AS25" i="6" s="1"/>
  <c r="DO25" i="6"/>
  <c r="CW25" i="6"/>
  <c r="N25" i="6"/>
  <c r="L25" i="6"/>
  <c r="K25" i="6"/>
  <c r="J25" i="6"/>
  <c r="I25" i="6"/>
  <c r="AZ25" i="6"/>
  <c r="H25" i="6"/>
  <c r="F25" i="6"/>
  <c r="A26" i="6"/>
  <c r="CE25" i="6"/>
  <c r="E25" i="6"/>
  <c r="D25" i="6"/>
  <c r="C25" i="6"/>
  <c r="B25" i="6"/>
  <c r="DF25" i="6"/>
  <c r="BV25" i="6"/>
  <c r="AC25" i="6"/>
  <c r="G25" i="6"/>
  <c r="AA25" i="12"/>
  <c r="AD25" i="12" s="1"/>
  <c r="I25" i="12"/>
  <c r="BL25" i="9"/>
  <c r="BO25" i="9" s="1"/>
  <c r="R25" i="12"/>
  <c r="U25" i="12" s="1"/>
  <c r="AU25" i="9"/>
  <c r="AX25" i="9" s="1"/>
  <c r="S25" i="9"/>
  <c r="V25" i="9" s="1"/>
  <c r="J25" i="9"/>
  <c r="M25" i="9" s="1"/>
  <c r="BY25" i="9"/>
  <c r="CB25" i="9" s="1"/>
  <c r="AB25" i="9"/>
  <c r="AE25" i="9" s="1"/>
  <c r="CM25" i="6"/>
  <c r="CP25" i="6" s="1"/>
  <c r="BL25" i="6"/>
  <c r="BO25" i="6" s="1"/>
  <c r="O25" i="6"/>
  <c r="DE25" i="6"/>
  <c r="DH25" i="6" s="1"/>
  <c r="DN25" i="6"/>
  <c r="DQ25" i="6" s="1"/>
  <c r="AB25" i="6"/>
  <c r="CV25" i="6"/>
  <c r="CY25" i="6" s="1"/>
  <c r="CD25" i="6"/>
  <c r="CG25" i="6" s="1"/>
  <c r="BU25" i="6"/>
  <c r="R25" i="8"/>
  <c r="AY25" i="6"/>
  <c r="AV25" i="8"/>
  <c r="AY25" i="8" s="1"/>
  <c r="I25" i="8"/>
  <c r="AI25" i="8"/>
  <c r="AL25" i="8" s="1"/>
  <c r="BI25" i="8"/>
  <c r="BL25" i="8" s="1"/>
  <c r="BO25" i="13"/>
  <c r="BR25" i="13" s="1"/>
  <c r="BF25" i="13"/>
  <c r="BI25" i="13" s="1"/>
  <c r="J25" i="13"/>
  <c r="M25" i="13" s="1"/>
  <c r="T25" i="4"/>
  <c r="BM25" i="4"/>
  <c r="BL25" i="4"/>
  <c r="BO25" i="4" s="1"/>
  <c r="W25" i="13"/>
  <c r="Z25" i="13" s="1"/>
  <c r="AW25" i="13"/>
  <c r="AZ25" i="13" s="1"/>
  <c r="AJ25" i="13"/>
  <c r="S25" i="4"/>
  <c r="V25" i="4" s="1"/>
  <c r="H25" i="4"/>
  <c r="A26" i="4"/>
  <c r="AA26" i="4" s="1"/>
  <c r="AQ25" i="4"/>
  <c r="J25" i="4"/>
  <c r="AP25" i="4"/>
  <c r="I25" i="4"/>
  <c r="L25" i="4" s="1"/>
  <c r="G25" i="4"/>
  <c r="F25" i="4"/>
  <c r="AH25" i="4"/>
  <c r="E25" i="4"/>
  <c r="AG25" i="4"/>
  <c r="D25" i="4"/>
  <c r="B25" i="4"/>
  <c r="BB25" i="4"/>
  <c r="BA25" i="4"/>
  <c r="BD25" i="4" s="1"/>
  <c r="C25" i="4"/>
  <c r="AX24" i="8"/>
  <c r="AZ24" i="8" s="1"/>
  <c r="AP22" i="12"/>
  <c r="AR22" i="12" s="1"/>
  <c r="A26" i="12"/>
  <c r="F25" i="12"/>
  <c r="E25" i="12"/>
  <c r="D25" i="12"/>
  <c r="C25" i="12"/>
  <c r="B25" i="12"/>
  <c r="H25" i="12"/>
  <c r="S25" i="12"/>
  <c r="J25" i="12"/>
  <c r="G25" i="12"/>
  <c r="AM23" i="8"/>
  <c r="T24" i="8"/>
  <c r="V24" i="8" s="1"/>
  <c r="AJ24" i="12"/>
  <c r="AM24" i="12" s="1"/>
  <c r="AZ22" i="12"/>
  <c r="CF24" i="6"/>
  <c r="N23" i="9"/>
  <c r="AU23" i="12"/>
  <c r="AX23" i="12"/>
  <c r="AS24" i="12"/>
  <c r="Q24" i="6"/>
  <c r="S24" i="6" s="1"/>
  <c r="BN24" i="6"/>
  <c r="BP24" i="6" s="1"/>
  <c r="AP23" i="13"/>
  <c r="AR23" i="13" s="1"/>
  <c r="BC24" i="4"/>
  <c r="AT24" i="4" s="1"/>
  <c r="AR24" i="4"/>
  <c r="DG24" i="6"/>
  <c r="DI24" i="6" s="1"/>
  <c r="K11" i="9"/>
  <c r="BZ11" i="9"/>
  <c r="AC11" i="9"/>
  <c r="AV11" i="9"/>
  <c r="T11" i="9"/>
  <c r="BM11" i="9"/>
  <c r="AM11" i="9"/>
  <c r="AR24" i="6"/>
  <c r="AD24" i="6"/>
  <c r="AF24" i="6" s="1"/>
  <c r="X11" i="13"/>
  <c r="BP11" i="13"/>
  <c r="AX11" i="13"/>
  <c r="BG11" i="13"/>
  <c r="AK11" i="13"/>
  <c r="K11" i="13"/>
  <c r="AI24" i="4"/>
  <c r="AK24" i="4" s="1"/>
  <c r="CX24" i="6"/>
  <c r="CZ24" i="6" s="1"/>
  <c r="E23" i="17"/>
  <c r="BN24" i="9"/>
  <c r="CO24" i="6"/>
  <c r="CQ24" i="6" s="1"/>
  <c r="AD23" i="4"/>
  <c r="BH24" i="13"/>
  <c r="AL23" i="12"/>
  <c r="AO23" i="12"/>
  <c r="D39" i="17"/>
  <c r="BM24" i="8"/>
  <c r="AK23" i="4"/>
  <c r="AR22" i="13"/>
  <c r="L24" i="13"/>
  <c r="DP24" i="6"/>
  <c r="D41" i="17"/>
  <c r="AO24" i="13"/>
  <c r="AQ24" i="13" s="1"/>
  <c r="AL24" i="13"/>
  <c r="BW24" i="6"/>
  <c r="DH24" i="6"/>
  <c r="BP23" i="6"/>
  <c r="AK25" i="13"/>
  <c r="BG25" i="13"/>
  <c r="K25" i="13"/>
  <c r="A26" i="13"/>
  <c r="H25" i="13"/>
  <c r="F25" i="13"/>
  <c r="AX25" i="13"/>
  <c r="B25" i="13"/>
  <c r="X25" i="13"/>
  <c r="BP25" i="13"/>
  <c r="I25" i="13"/>
  <c r="G25" i="13"/>
  <c r="E25" i="13"/>
  <c r="D25" i="13"/>
  <c r="C25" i="13"/>
  <c r="D40" i="17"/>
  <c r="AW22" i="12"/>
  <c r="BN24" i="4"/>
  <c r="BP24" i="4" s="1"/>
  <c r="BA24" i="6"/>
  <c r="BC24" i="6" s="1"/>
  <c r="O23" i="12"/>
  <c r="AZ23" i="8"/>
  <c r="AJ25" i="9"/>
  <c r="AD24" i="9"/>
  <c r="AF24" i="9" s="1"/>
  <c r="BE23" i="4"/>
  <c r="AI23" i="12"/>
  <c r="U24" i="4"/>
  <c r="W24" i="4" s="1"/>
  <c r="L24" i="9"/>
  <c r="P23" i="12"/>
  <c r="AT23" i="4"/>
  <c r="CA24" i="9"/>
  <c r="J10" i="8"/>
  <c r="A11" i="8"/>
  <c r="AJ10" i="8"/>
  <c r="S10" i="8"/>
  <c r="BJ10" i="8"/>
  <c r="AW10" i="8"/>
  <c r="BC23" i="13"/>
  <c r="BE23" i="13" s="1"/>
  <c r="BP23" i="9"/>
  <c r="T10" i="4"/>
  <c r="AQ10" i="4"/>
  <c r="BM10" i="4"/>
  <c r="J10" i="4"/>
  <c r="AH10" i="4"/>
  <c r="BB10" i="4"/>
  <c r="A11" i="4"/>
  <c r="AC24" i="4"/>
  <c r="K24" i="4"/>
  <c r="Q25" i="4"/>
  <c r="AW24" i="9"/>
  <c r="S11" i="12"/>
  <c r="J11" i="12"/>
  <c r="AK11" i="12"/>
  <c r="AT11" i="12"/>
  <c r="AB11" i="12"/>
  <c r="D38" i="17"/>
  <c r="A26" i="11"/>
  <c r="C25" i="11"/>
  <c r="B25" i="11"/>
  <c r="AT23" i="6"/>
  <c r="Y24" i="13"/>
  <c r="U24" i="9"/>
  <c r="W24" i="9" s="1"/>
  <c r="X23" i="12"/>
  <c r="AF23" i="9"/>
  <c r="S25" i="8"/>
  <c r="BJ25" i="8"/>
  <c r="AW25" i="8"/>
  <c r="J25" i="8"/>
  <c r="H25" i="8"/>
  <c r="A26" i="8"/>
  <c r="G25" i="8"/>
  <c r="AJ25" i="8"/>
  <c r="F25" i="8"/>
  <c r="E25" i="8"/>
  <c r="D25" i="8"/>
  <c r="C25" i="8"/>
  <c r="B25" i="8"/>
  <c r="AQ22" i="12"/>
  <c r="AY24" i="13"/>
  <c r="BA24" i="13" s="1"/>
  <c r="BB24" i="13"/>
  <c r="BD24" i="13" s="1"/>
  <c r="W24" i="12"/>
  <c r="X24" i="12" s="1"/>
  <c r="T24" i="12"/>
  <c r="V24" i="12" s="1"/>
  <c r="M23" i="8"/>
  <c r="L8" i="17" l="1"/>
  <c r="L7" i="17"/>
  <c r="G23" i="17"/>
  <c r="K8" i="17"/>
  <c r="B4" i="17"/>
  <c r="K4" i="17"/>
  <c r="L5" i="17"/>
  <c r="K5" i="17"/>
  <c r="B5" i="17"/>
  <c r="B24" i="17"/>
  <c r="L4" i="17"/>
  <c r="G24" i="17"/>
  <c r="AK11" i="6"/>
  <c r="G25" i="17"/>
  <c r="B8" i="17"/>
  <c r="G26" i="17"/>
  <c r="B26" i="17"/>
  <c r="B9" i="17"/>
  <c r="K9" i="17"/>
  <c r="B23" i="17"/>
  <c r="Y24" i="12"/>
  <c r="L9" i="17"/>
  <c r="B25" i="17"/>
  <c r="B7" i="17"/>
  <c r="P24" i="12"/>
  <c r="K7" i="17"/>
  <c r="AH24" i="12"/>
  <c r="G21" i="17"/>
  <c r="BE24" i="4"/>
  <c r="AI25" i="4"/>
  <c r="AK25" i="4" s="1"/>
  <c r="G27" i="17"/>
  <c r="B27" i="17"/>
  <c r="BW25" i="6"/>
  <c r="BY25" i="6" s="1"/>
  <c r="J40" i="17"/>
  <c r="I40" i="17"/>
  <c r="K25" i="4"/>
  <c r="M25" i="4" s="1"/>
  <c r="AC25" i="4"/>
  <c r="AE25" i="4" s="1"/>
  <c r="CF25" i="6"/>
  <c r="CH25" i="6" s="1"/>
  <c r="T25" i="8"/>
  <c r="BS24" i="13"/>
  <c r="CX25" i="6"/>
  <c r="CZ25" i="6" s="1"/>
  <c r="AP23" i="12"/>
  <c r="AR23" i="12" s="1"/>
  <c r="BJ11" i="8"/>
  <c r="AJ11" i="8"/>
  <c r="S11" i="8"/>
  <c r="J11" i="8"/>
  <c r="AW11" i="8"/>
  <c r="AU24" i="12"/>
  <c r="AW24" i="12" s="1"/>
  <c r="AX24" i="12"/>
  <c r="AZ24" i="12" s="1"/>
  <c r="AD25" i="6"/>
  <c r="AF25" i="6" s="1"/>
  <c r="S26" i="8"/>
  <c r="BJ26" i="8"/>
  <c r="H26" i="8"/>
  <c r="G26" i="8"/>
  <c r="F26" i="8"/>
  <c r="A27" i="8"/>
  <c r="AJ26" i="8"/>
  <c r="E26" i="8"/>
  <c r="D26" i="8"/>
  <c r="C26" i="8"/>
  <c r="B26" i="8"/>
  <c r="AW26" i="8"/>
  <c r="J26" i="8"/>
  <c r="BP24" i="9"/>
  <c r="DP25" i="6"/>
  <c r="E26" i="17"/>
  <c r="AJ25" i="12"/>
  <c r="AM25" i="12" s="1"/>
  <c r="DG25" i="6"/>
  <c r="DI25" i="6" s="1"/>
  <c r="BA25" i="6"/>
  <c r="BC25" i="6" s="1"/>
  <c r="AD24" i="4"/>
  <c r="AF24" i="4" s="1"/>
  <c r="AA26" i="12"/>
  <c r="AD26" i="12" s="1"/>
  <c r="R26" i="12"/>
  <c r="S26" i="9"/>
  <c r="V26" i="9" s="1"/>
  <c r="I26" i="12"/>
  <c r="L26" i="12" s="1"/>
  <c r="BL26" i="9"/>
  <c r="BO26" i="9" s="1"/>
  <c r="J26" i="9"/>
  <c r="AU26" i="9"/>
  <c r="AX26" i="9" s="1"/>
  <c r="BY26" i="9"/>
  <c r="CB26" i="9" s="1"/>
  <c r="AB26" i="9"/>
  <c r="AE26" i="9" s="1"/>
  <c r="O26" i="6"/>
  <c r="DE26" i="6"/>
  <c r="DH26" i="6" s="1"/>
  <c r="CD26" i="6"/>
  <c r="BL26" i="6"/>
  <c r="BO26" i="6" s="1"/>
  <c r="CV26" i="6"/>
  <c r="CY26" i="6" s="1"/>
  <c r="AY26" i="6"/>
  <c r="BU26" i="6"/>
  <c r="AB26" i="6"/>
  <c r="R26" i="8"/>
  <c r="U26" i="8" s="1"/>
  <c r="BI26" i="8"/>
  <c r="BL26" i="8" s="1"/>
  <c r="DN26" i="6"/>
  <c r="DQ26" i="6" s="1"/>
  <c r="CM26" i="6"/>
  <c r="CP26" i="6" s="1"/>
  <c r="AI26" i="8"/>
  <c r="AL26" i="8" s="1"/>
  <c r="AV26" i="8"/>
  <c r="AY26" i="8" s="1"/>
  <c r="I26" i="8"/>
  <c r="L26" i="8" s="1"/>
  <c r="AJ26" i="13"/>
  <c r="AM26" i="13" s="1"/>
  <c r="BF26" i="13"/>
  <c r="BI26" i="13" s="1"/>
  <c r="J26" i="13"/>
  <c r="M26" i="13" s="1"/>
  <c r="AW26" i="13"/>
  <c r="AZ26" i="13" s="1"/>
  <c r="W26" i="13"/>
  <c r="Z26" i="13" s="1"/>
  <c r="BO26" i="13"/>
  <c r="BR26" i="13" s="1"/>
  <c r="AP26" i="4"/>
  <c r="G26" i="4"/>
  <c r="F26" i="4"/>
  <c r="AH26" i="4"/>
  <c r="E26" i="4"/>
  <c r="AG26" i="4"/>
  <c r="D26" i="4"/>
  <c r="BM26" i="4"/>
  <c r="C26" i="4"/>
  <c r="BL26" i="4"/>
  <c r="BO26" i="4" s="1"/>
  <c r="B26" i="4"/>
  <c r="BB26" i="4"/>
  <c r="BA26" i="4"/>
  <c r="BD26" i="4" s="1"/>
  <c r="T26" i="4"/>
  <c r="S26" i="4"/>
  <c r="V26" i="4" s="1"/>
  <c r="AQ26" i="4"/>
  <c r="I26" i="4"/>
  <c r="L26" i="4" s="1"/>
  <c r="H26" i="4"/>
  <c r="J26" i="4"/>
  <c r="A27" i="4"/>
  <c r="AJ27" i="9" s="1"/>
  <c r="Q25" i="6"/>
  <c r="S25" i="6" s="1"/>
  <c r="A28" i="17"/>
  <c r="A11" i="17"/>
  <c r="DF26" i="6"/>
  <c r="N26" i="6"/>
  <c r="M26" i="6"/>
  <c r="AQ26" i="6" s="1"/>
  <c r="AS26" i="6" s="1"/>
  <c r="L26" i="6"/>
  <c r="CE26" i="6"/>
  <c r="K26" i="6"/>
  <c r="J26" i="6"/>
  <c r="I26" i="6"/>
  <c r="A27" i="6"/>
  <c r="G26" i="6"/>
  <c r="BM26" i="6"/>
  <c r="P26" i="6"/>
  <c r="CW26" i="6"/>
  <c r="AZ26" i="6"/>
  <c r="H26" i="6"/>
  <c r="F26" i="6"/>
  <c r="E26" i="6"/>
  <c r="CN26" i="6"/>
  <c r="D26" i="6"/>
  <c r="B26" i="6"/>
  <c r="DO26" i="6"/>
  <c r="AC26" i="6"/>
  <c r="BV26" i="6"/>
  <c r="C26" i="6"/>
  <c r="K25" i="8"/>
  <c r="M25" i="8" s="1"/>
  <c r="J41" i="17"/>
  <c r="I41" i="17"/>
  <c r="BN25" i="6"/>
  <c r="BP25" i="6" s="1"/>
  <c r="N24" i="13"/>
  <c r="Z24" i="12"/>
  <c r="Z23" i="12"/>
  <c r="AS25" i="12"/>
  <c r="AV25" i="12" s="1"/>
  <c r="U25" i="4"/>
  <c r="W25" i="4" s="1"/>
  <c r="CO25" i="6"/>
  <c r="CQ25" i="6" s="1"/>
  <c r="BJ24" i="13"/>
  <c r="CE11" i="6"/>
  <c r="CW11" i="6"/>
  <c r="AC11" i="6"/>
  <c r="P11" i="6"/>
  <c r="DF11" i="6"/>
  <c r="BV11" i="6"/>
  <c r="BM11" i="6"/>
  <c r="DO11" i="6"/>
  <c r="CN11" i="6"/>
  <c r="AZ11" i="6"/>
  <c r="Q24" i="12"/>
  <c r="Q23" i="12"/>
  <c r="AQ23" i="12"/>
  <c r="AO25" i="13"/>
  <c r="AQ25" i="13" s="1"/>
  <c r="AL25" i="13"/>
  <c r="AN25" i="13" s="1"/>
  <c r="AK26" i="6"/>
  <c r="BX25" i="6"/>
  <c r="M24" i="4"/>
  <c r="AY23" i="12"/>
  <c r="BA23" i="12" s="1"/>
  <c r="A27" i="11"/>
  <c r="C26" i="11"/>
  <c r="B26" i="11"/>
  <c r="BB11" i="4"/>
  <c r="BM11" i="4"/>
  <c r="AH11" i="4"/>
  <c r="J11" i="4"/>
  <c r="AQ11" i="4"/>
  <c r="AF23" i="4"/>
  <c r="BB25" i="13"/>
  <c r="BD25" i="13" s="1"/>
  <c r="AY25" i="13"/>
  <c r="BA25" i="13" s="1"/>
  <c r="AD25" i="9"/>
  <c r="N24" i="9"/>
  <c r="G22" i="17"/>
  <c r="AV24" i="12"/>
  <c r="AO24" i="12"/>
  <c r="AL24" i="12"/>
  <c r="Y25" i="13"/>
  <c r="CA25" i="9"/>
  <c r="AT26" i="12"/>
  <c r="AK26" i="12"/>
  <c r="AB26" i="12"/>
  <c r="AM26" i="9"/>
  <c r="I26" i="9"/>
  <c r="BM26" i="9"/>
  <c r="G26" i="9"/>
  <c r="A27" i="9"/>
  <c r="F26" i="9"/>
  <c r="E26" i="9"/>
  <c r="D26" i="9"/>
  <c r="K26" i="9"/>
  <c r="AV26" i="9"/>
  <c r="B26" i="9"/>
  <c r="BZ26" i="9"/>
  <c r="AC26" i="9"/>
  <c r="T26" i="9"/>
  <c r="H26" i="9"/>
  <c r="C26" i="9"/>
  <c r="BN25" i="4"/>
  <c r="BP25" i="4" s="1"/>
  <c r="L25" i="9"/>
  <c r="N25" i="9" s="1"/>
  <c r="AM25" i="13"/>
  <c r="DR24" i="6"/>
  <c r="AJ26" i="9"/>
  <c r="S26" i="12"/>
  <c r="A27" i="12"/>
  <c r="C26" i="12"/>
  <c r="J26" i="12"/>
  <c r="D26" i="12"/>
  <c r="B26" i="12"/>
  <c r="H26" i="12"/>
  <c r="G26" i="12"/>
  <c r="F26" i="12"/>
  <c r="E26" i="12"/>
  <c r="U25" i="9"/>
  <c r="W25" i="9" s="1"/>
  <c r="B6" i="17"/>
  <c r="BG26" i="13"/>
  <c r="K26" i="13"/>
  <c r="I26" i="13"/>
  <c r="A27" i="13"/>
  <c r="H26" i="13"/>
  <c r="G26" i="13"/>
  <c r="F26" i="13"/>
  <c r="D26" i="13"/>
  <c r="C26" i="13"/>
  <c r="AK26" i="13"/>
  <c r="E26" i="13"/>
  <c r="B26" i="13"/>
  <c r="BP26" i="13"/>
  <c r="AX26" i="13"/>
  <c r="X26" i="13"/>
  <c r="AJ25" i="4"/>
  <c r="AR25" i="4"/>
  <c r="BC25" i="4"/>
  <c r="BE25" i="4" s="1"/>
  <c r="L25" i="13"/>
  <c r="N25" i="13" s="1"/>
  <c r="AW25" i="9"/>
  <c r="AY25" i="9" s="1"/>
  <c r="BM25" i="8"/>
  <c r="I38" i="17"/>
  <c r="K38" i="17"/>
  <c r="J38" i="17"/>
  <c r="AP24" i="13"/>
  <c r="AR24" i="13" s="1"/>
  <c r="AS25" i="4"/>
  <c r="R25" i="6"/>
  <c r="BH25" i="13"/>
  <c r="W25" i="12"/>
  <c r="Y25" i="12" s="1"/>
  <c r="T25" i="12"/>
  <c r="V25" i="12" s="1"/>
  <c r="AZ23" i="12"/>
  <c r="AW23" i="12"/>
  <c r="AA24" i="13"/>
  <c r="BC24" i="13"/>
  <c r="AN23" i="12"/>
  <c r="AM24" i="8"/>
  <c r="AT24" i="6"/>
  <c r="CH24" i="6"/>
  <c r="BY24" i="6"/>
  <c r="Q26" i="4"/>
  <c r="BQ25" i="13"/>
  <c r="BS25" i="13" s="1"/>
  <c r="BN25" i="9"/>
  <c r="BP25" i="9" s="1"/>
  <c r="AR25" i="6"/>
  <c r="AT25" i="6" s="1"/>
  <c r="BK25" i="8"/>
  <c r="N25" i="12"/>
  <c r="K25" i="12"/>
  <c r="M25" i="12" s="1"/>
  <c r="L25" i="12"/>
  <c r="AX25" i="8"/>
  <c r="Z10" i="17"/>
  <c r="L10" i="17"/>
  <c r="K10" i="17"/>
  <c r="B10" i="17"/>
  <c r="BB25" i="6"/>
  <c r="AE24" i="4"/>
  <c r="CC24" i="9"/>
  <c r="I39" i="17"/>
  <c r="J39" i="17"/>
  <c r="AY24" i="9"/>
  <c r="AE25" i="6"/>
  <c r="AN24" i="13"/>
  <c r="U25" i="8"/>
  <c r="AK25" i="8"/>
  <c r="AC25" i="12"/>
  <c r="AE25" i="12" s="1"/>
  <c r="AF25" i="12"/>
  <c r="L25" i="8"/>
  <c r="M24" i="8"/>
  <c r="K6" i="17"/>
  <c r="AS26" i="4" l="1"/>
  <c r="AA27" i="4"/>
  <c r="A29" i="17"/>
  <c r="A12" i="17"/>
  <c r="I27" i="6"/>
  <c r="H27" i="6"/>
  <c r="A28" i="6"/>
  <c r="G27" i="6"/>
  <c r="F27" i="6"/>
  <c r="CW27" i="6"/>
  <c r="AC27" i="6"/>
  <c r="E27" i="6"/>
  <c r="AZ27" i="6"/>
  <c r="D27" i="6"/>
  <c r="C27" i="6"/>
  <c r="CE27" i="6"/>
  <c r="K27" i="6"/>
  <c r="J27" i="6"/>
  <c r="P27" i="6"/>
  <c r="CN27" i="6"/>
  <c r="N27" i="6"/>
  <c r="M27" i="6"/>
  <c r="AQ27" i="6" s="1"/>
  <c r="AS27" i="6" s="1"/>
  <c r="L27" i="6"/>
  <c r="B27" i="6"/>
  <c r="DO27" i="6"/>
  <c r="BV27" i="6"/>
  <c r="DF27" i="6"/>
  <c r="BM27" i="6"/>
  <c r="AD26" i="6"/>
  <c r="AF26" i="6" s="1"/>
  <c r="X25" i="12"/>
  <c r="BN26" i="4"/>
  <c r="BP26" i="4" s="1"/>
  <c r="BW26" i="6"/>
  <c r="BY26" i="6" s="1"/>
  <c r="A28" i="11"/>
  <c r="C27" i="11"/>
  <c r="B27" i="11"/>
  <c r="AK27" i="6"/>
  <c r="E27" i="17"/>
  <c r="BA26" i="6"/>
  <c r="BC26" i="6" s="1"/>
  <c r="AM25" i="8"/>
  <c r="CX26" i="6"/>
  <c r="AI26" i="4"/>
  <c r="BN26" i="6"/>
  <c r="BB26" i="6"/>
  <c r="BM26" i="8"/>
  <c r="AJ26" i="4"/>
  <c r="AZ25" i="8"/>
  <c r="AG25" i="12"/>
  <c r="AR26" i="6"/>
  <c r="AT26" i="6" s="1"/>
  <c r="CF26" i="6"/>
  <c r="CH26" i="6" s="1"/>
  <c r="AH25" i="12"/>
  <c r="BC25" i="13"/>
  <c r="DG26" i="6"/>
  <c r="DI26" i="6" s="1"/>
  <c r="V25" i="8"/>
  <c r="Q26" i="6"/>
  <c r="S26" i="6" s="1"/>
  <c r="L11" i="17"/>
  <c r="B11" i="17"/>
  <c r="Z11" i="17"/>
  <c r="K11" i="17"/>
  <c r="AD26" i="9"/>
  <c r="AO25" i="12"/>
  <c r="AQ25" i="12" s="1"/>
  <c r="AL25" i="12"/>
  <c r="AN25" i="12" s="1"/>
  <c r="E27" i="13"/>
  <c r="D27" i="13"/>
  <c r="C27" i="13"/>
  <c r="AX27" i="13"/>
  <c r="B27" i="13"/>
  <c r="X27" i="13"/>
  <c r="BP27" i="13"/>
  <c r="G27" i="13"/>
  <c r="F27" i="13"/>
  <c r="I27" i="13"/>
  <c r="H27" i="13"/>
  <c r="BG27" i="13"/>
  <c r="AK27" i="13"/>
  <c r="A28" i="13"/>
  <c r="K27" i="13"/>
  <c r="B28" i="17"/>
  <c r="G28" i="17"/>
  <c r="CA26" i="9"/>
  <c r="CC26" i="9" s="1"/>
  <c r="O25" i="12"/>
  <c r="R26" i="6"/>
  <c r="BQ26" i="13"/>
  <c r="BS26" i="13" s="1"/>
  <c r="AW26" i="9"/>
  <c r="AP25" i="13"/>
  <c r="AR25" i="13" s="1"/>
  <c r="Y26" i="13"/>
  <c r="AA26" i="13" s="1"/>
  <c r="R27" i="12"/>
  <c r="U27" i="12" s="1"/>
  <c r="AA27" i="12"/>
  <c r="AD27" i="12" s="1"/>
  <c r="S27" i="9"/>
  <c r="V27" i="9" s="1"/>
  <c r="I27" i="12"/>
  <c r="L27" i="12" s="1"/>
  <c r="AB27" i="9"/>
  <c r="BL27" i="9"/>
  <c r="AU27" i="9"/>
  <c r="AX27" i="9" s="1"/>
  <c r="BY27" i="9"/>
  <c r="CB27" i="9" s="1"/>
  <c r="J27" i="9"/>
  <c r="M27" i="9" s="1"/>
  <c r="CV27" i="6"/>
  <c r="CY27" i="6" s="1"/>
  <c r="AB27" i="6"/>
  <c r="AE27" i="6" s="1"/>
  <c r="AY27" i="6"/>
  <c r="BB27" i="6" s="1"/>
  <c r="BU27" i="6"/>
  <c r="BX27" i="6" s="1"/>
  <c r="CD27" i="6"/>
  <c r="CG27" i="6" s="1"/>
  <c r="DE27" i="6"/>
  <c r="DH27" i="6" s="1"/>
  <c r="BL27" i="6"/>
  <c r="O27" i="6"/>
  <c r="R27" i="6" s="1"/>
  <c r="CM27" i="6"/>
  <c r="DN27" i="6"/>
  <c r="R27" i="8"/>
  <c r="U27" i="8" s="1"/>
  <c r="BI27" i="8"/>
  <c r="BL27" i="8" s="1"/>
  <c r="BM27" i="8" s="1"/>
  <c r="AI27" i="8"/>
  <c r="I27" i="8"/>
  <c r="L27" i="8" s="1"/>
  <c r="AV27" i="8"/>
  <c r="AY27" i="8" s="1"/>
  <c r="AW27" i="13"/>
  <c r="AZ27" i="13" s="1"/>
  <c r="W27" i="13"/>
  <c r="Z27" i="13" s="1"/>
  <c r="AJ27" i="13"/>
  <c r="AM27" i="13" s="1"/>
  <c r="BF27" i="13"/>
  <c r="BI27" i="13" s="1"/>
  <c r="J27" i="13"/>
  <c r="M27" i="13" s="1"/>
  <c r="BO27" i="13"/>
  <c r="BR27" i="13" s="1"/>
  <c r="BL27" i="4"/>
  <c r="BO27" i="4" s="1"/>
  <c r="AH27" i="4"/>
  <c r="J27" i="4"/>
  <c r="BB27" i="4"/>
  <c r="BA27" i="4"/>
  <c r="AS27" i="4" s="1"/>
  <c r="T27" i="4"/>
  <c r="S27" i="4"/>
  <c r="V27" i="4" s="1"/>
  <c r="A28" i="4"/>
  <c r="Q28" i="4" s="1"/>
  <c r="AQ27" i="4"/>
  <c r="I27" i="4"/>
  <c r="L27" i="4" s="1"/>
  <c r="AP27" i="4"/>
  <c r="H27" i="4"/>
  <c r="G27" i="4"/>
  <c r="F27" i="4"/>
  <c r="E27" i="4"/>
  <c r="AG27" i="4"/>
  <c r="D27" i="4"/>
  <c r="C27" i="4"/>
  <c r="BM27" i="4"/>
  <c r="B27" i="4"/>
  <c r="BB26" i="13"/>
  <c r="BD26" i="13" s="1"/>
  <c r="AY26" i="13"/>
  <c r="BA26" i="13" s="1"/>
  <c r="L26" i="9"/>
  <c r="N26" i="9" s="1"/>
  <c r="L26" i="13"/>
  <c r="BN26" i="9"/>
  <c r="BP26" i="9" s="1"/>
  <c r="AE26" i="6"/>
  <c r="AP24" i="12"/>
  <c r="AR24" i="12" s="1"/>
  <c r="BH26" i="13"/>
  <c r="BJ26" i="13" s="1"/>
  <c r="N26" i="12"/>
  <c r="P26" i="12" s="1"/>
  <c r="K26" i="12"/>
  <c r="M26" i="12" s="1"/>
  <c r="AQ24" i="12"/>
  <c r="AC26" i="4"/>
  <c r="AE26" i="4" s="1"/>
  <c r="K26" i="4"/>
  <c r="M26" i="4" s="1"/>
  <c r="AO26" i="13"/>
  <c r="AQ26" i="13" s="1"/>
  <c r="AL26" i="13"/>
  <c r="U26" i="9"/>
  <c r="W26" i="9" s="1"/>
  <c r="K26" i="8"/>
  <c r="M26" i="8" s="1"/>
  <c r="W26" i="12"/>
  <c r="Y26" i="12" s="1"/>
  <c r="T26" i="12"/>
  <c r="AS26" i="12"/>
  <c r="AV26" i="12" s="1"/>
  <c r="AX26" i="8"/>
  <c r="AZ26" i="8" s="1"/>
  <c r="AF26" i="12"/>
  <c r="AG26" i="12" s="1"/>
  <c r="AC26" i="12"/>
  <c r="AY24" i="12"/>
  <c r="BA24" i="12" s="1"/>
  <c r="P25" i="12"/>
  <c r="AT25" i="4"/>
  <c r="U26" i="4"/>
  <c r="W26" i="4" s="1"/>
  <c r="AK26" i="8"/>
  <c r="AM26" i="8" s="1"/>
  <c r="BJ25" i="13"/>
  <c r="AN24" i="12"/>
  <c r="BX26" i="6"/>
  <c r="AF25" i="9"/>
  <c r="M26" i="9"/>
  <c r="AT27" i="12"/>
  <c r="AK27" i="12"/>
  <c r="AB27" i="12"/>
  <c r="A28" i="9"/>
  <c r="E27" i="9"/>
  <c r="D27" i="9"/>
  <c r="B27" i="9"/>
  <c r="AC27" i="9"/>
  <c r="F27" i="9"/>
  <c r="BM27" i="9"/>
  <c r="T27" i="9"/>
  <c r="K27" i="9"/>
  <c r="H27" i="9"/>
  <c r="C27" i="9"/>
  <c r="BZ27" i="9"/>
  <c r="AM27" i="9"/>
  <c r="AV27" i="9"/>
  <c r="I27" i="9"/>
  <c r="G27" i="9"/>
  <c r="CC25" i="9"/>
  <c r="CO26" i="6"/>
  <c r="AA25" i="13"/>
  <c r="AJ26" i="12"/>
  <c r="AX25" i="12"/>
  <c r="AU25" i="12"/>
  <c r="AW25" i="12" s="1"/>
  <c r="BC26" i="4"/>
  <c r="BE26" i="4" s="1"/>
  <c r="AR26" i="4"/>
  <c r="DP26" i="6"/>
  <c r="CG26" i="6"/>
  <c r="BK26" i="8"/>
  <c r="BE24" i="13"/>
  <c r="DR25" i="6"/>
  <c r="U26" i="12"/>
  <c r="S27" i="12"/>
  <c r="G27" i="12"/>
  <c r="H27" i="12"/>
  <c r="F27" i="12"/>
  <c r="E27" i="12"/>
  <c r="D27" i="12"/>
  <c r="C27" i="12"/>
  <c r="B27" i="12"/>
  <c r="J27" i="12"/>
  <c r="A28" i="12"/>
  <c r="Q27" i="4"/>
  <c r="T26" i="8"/>
  <c r="BJ27" i="8"/>
  <c r="AJ27" i="8"/>
  <c r="D27" i="8"/>
  <c r="C27" i="8"/>
  <c r="B27" i="8"/>
  <c r="S27" i="8"/>
  <c r="AW27" i="8"/>
  <c r="H27" i="8"/>
  <c r="G27" i="8"/>
  <c r="F27" i="8"/>
  <c r="A28" i="8"/>
  <c r="E27" i="8"/>
  <c r="J27" i="8"/>
  <c r="AD25" i="4"/>
  <c r="AA28" i="4" l="1"/>
  <c r="BD27" i="4"/>
  <c r="AK28" i="6"/>
  <c r="AJ28" i="9"/>
  <c r="O26" i="12"/>
  <c r="Q26" i="12" s="1"/>
  <c r="BH27" i="13"/>
  <c r="BJ27" i="13" s="1"/>
  <c r="BN27" i="9"/>
  <c r="BP27" i="9" s="1"/>
  <c r="CP27" i="6"/>
  <c r="AU26" i="12"/>
  <c r="AW26" i="12" s="1"/>
  <c r="AX26" i="12"/>
  <c r="AZ26" i="12" s="1"/>
  <c r="AD26" i="4"/>
  <c r="AF26" i="4" s="1"/>
  <c r="AO27" i="13"/>
  <c r="AQ27" i="13" s="1"/>
  <c r="AL27" i="13"/>
  <c r="AN27" i="13" s="1"/>
  <c r="AD27" i="9"/>
  <c r="AF27" i="9" s="1"/>
  <c r="AM26" i="12"/>
  <c r="A29" i="11"/>
  <c r="C28" i="11"/>
  <c r="B28" i="11"/>
  <c r="AE26" i="12"/>
  <c r="AS27" i="12"/>
  <c r="E29" i="17" s="1"/>
  <c r="AK28" i="12"/>
  <c r="AT28" i="12"/>
  <c r="AV28" i="9"/>
  <c r="A29" i="9"/>
  <c r="AB28" i="12"/>
  <c r="T28" i="9"/>
  <c r="AC28" i="9"/>
  <c r="K28" i="9"/>
  <c r="I28" i="9"/>
  <c r="AM28" i="9"/>
  <c r="D28" i="9"/>
  <c r="C28" i="9"/>
  <c r="BM28" i="9"/>
  <c r="H28" i="9"/>
  <c r="G28" i="9"/>
  <c r="F28" i="9"/>
  <c r="E28" i="9"/>
  <c r="B28" i="9"/>
  <c r="BZ28" i="9"/>
  <c r="Y27" i="13"/>
  <c r="AA27" i="13" s="1"/>
  <c r="N27" i="12"/>
  <c r="O27" i="12" s="1"/>
  <c r="K27" i="12"/>
  <c r="M27" i="12" s="1"/>
  <c r="AP25" i="12"/>
  <c r="AR25" i="12" s="1"/>
  <c r="BO27" i="6"/>
  <c r="BJ28" i="8"/>
  <c r="AJ28" i="8"/>
  <c r="S28" i="8"/>
  <c r="AW28" i="8"/>
  <c r="J28" i="8"/>
  <c r="H28" i="8"/>
  <c r="G28" i="8"/>
  <c r="A29" i="8"/>
  <c r="E28" i="8"/>
  <c r="D28" i="8"/>
  <c r="C28" i="8"/>
  <c r="B28" i="8"/>
  <c r="F28" i="8"/>
  <c r="AY27" i="13"/>
  <c r="BA27" i="13" s="1"/>
  <c r="BB27" i="13"/>
  <c r="BD27" i="13" s="1"/>
  <c r="U27" i="9"/>
  <c r="W27" i="9" s="1"/>
  <c r="DR26" i="6"/>
  <c r="J28" i="12"/>
  <c r="B28" i="12"/>
  <c r="S28" i="12"/>
  <c r="A29" i="12"/>
  <c r="H28" i="12"/>
  <c r="F28" i="12"/>
  <c r="C28" i="12"/>
  <c r="G28" i="12"/>
  <c r="E28" i="12"/>
  <c r="D28" i="12"/>
  <c r="AJ27" i="12"/>
  <c r="AM27" i="12" s="1"/>
  <c r="AX27" i="8"/>
  <c r="AZ27" i="8" s="1"/>
  <c r="AC27" i="12"/>
  <c r="AE27" i="12" s="1"/>
  <c r="AF27" i="12"/>
  <c r="AH27" i="12" s="1"/>
  <c r="AN26" i="13"/>
  <c r="AE27" i="9"/>
  <c r="AY25" i="12"/>
  <c r="BA25" i="12" s="1"/>
  <c r="X26" i="12"/>
  <c r="Z26" i="12" s="1"/>
  <c r="AI27" i="4"/>
  <c r="AK27" i="4" s="1"/>
  <c r="K27" i="8"/>
  <c r="M27" i="8" s="1"/>
  <c r="T27" i="12"/>
  <c r="V27" i="12" s="1"/>
  <c r="W27" i="12"/>
  <c r="X27" i="12" s="1"/>
  <c r="BP26" i="6"/>
  <c r="AJ27" i="4"/>
  <c r="A30" i="17"/>
  <c r="A13" i="17"/>
  <c r="C28" i="6"/>
  <c r="BV28" i="6"/>
  <c r="B28" i="6"/>
  <c r="DO28" i="6"/>
  <c r="DF28" i="6"/>
  <c r="CW28" i="6"/>
  <c r="AC28" i="6"/>
  <c r="E28" i="6"/>
  <c r="AZ28" i="6"/>
  <c r="D28" i="6"/>
  <c r="BM28" i="6"/>
  <c r="P28" i="6"/>
  <c r="N28" i="6"/>
  <c r="M28" i="6"/>
  <c r="AQ28" i="6" s="1"/>
  <c r="AS28" i="6" s="1"/>
  <c r="L28" i="6"/>
  <c r="K28" i="6"/>
  <c r="J28" i="6"/>
  <c r="I28" i="6"/>
  <c r="H28" i="6"/>
  <c r="F28" i="6"/>
  <c r="CE28" i="6"/>
  <c r="A29" i="6"/>
  <c r="CN28" i="6"/>
  <c r="G28" i="6"/>
  <c r="E28" i="17"/>
  <c r="AK27" i="8"/>
  <c r="CQ26" i="6"/>
  <c r="BK27" i="8"/>
  <c r="T27" i="8"/>
  <c r="V27" i="8" s="1"/>
  <c r="Z12" i="17"/>
  <c r="L12" i="17"/>
  <c r="B12" i="17"/>
  <c r="K12" i="17"/>
  <c r="V26" i="12"/>
  <c r="Q25" i="12"/>
  <c r="N26" i="13"/>
  <c r="B29" i="17"/>
  <c r="G29" i="17"/>
  <c r="DP27" i="6"/>
  <c r="DR27" i="6" s="1"/>
  <c r="V26" i="8"/>
  <c r="K27" i="4"/>
  <c r="AC27" i="4"/>
  <c r="AE27" i="4" s="1"/>
  <c r="CO27" i="6"/>
  <c r="CQ27" i="6" s="1"/>
  <c r="AI26" i="12"/>
  <c r="AI25" i="12"/>
  <c r="CZ26" i="6"/>
  <c r="Q27" i="6"/>
  <c r="AT26" i="4"/>
  <c r="I28" i="12"/>
  <c r="R28" i="12"/>
  <c r="U28" i="12" s="1"/>
  <c r="AB28" i="9"/>
  <c r="AA28" i="12"/>
  <c r="S28" i="9"/>
  <c r="V28" i="9" s="1"/>
  <c r="BL28" i="9"/>
  <c r="BO28" i="9" s="1"/>
  <c r="J28" i="9"/>
  <c r="M28" i="9" s="1"/>
  <c r="AU28" i="9"/>
  <c r="AX28" i="9" s="1"/>
  <c r="BY28" i="9"/>
  <c r="CB28" i="9" s="1"/>
  <c r="AY28" i="6"/>
  <c r="BU28" i="6"/>
  <c r="BX28" i="6" s="1"/>
  <c r="DN28" i="6"/>
  <c r="DQ28" i="6" s="1"/>
  <c r="CM28" i="6"/>
  <c r="CP28" i="6" s="1"/>
  <c r="CV28" i="6"/>
  <c r="CY28" i="6" s="1"/>
  <c r="AB28" i="6"/>
  <c r="AE28" i="6" s="1"/>
  <c r="BL28" i="6"/>
  <c r="BO28" i="6" s="1"/>
  <c r="O28" i="6"/>
  <c r="R28" i="6" s="1"/>
  <c r="DE28" i="6"/>
  <c r="DH28" i="6" s="1"/>
  <c r="CD28" i="6"/>
  <c r="CG28" i="6" s="1"/>
  <c r="BI28" i="8"/>
  <c r="AI28" i="8"/>
  <c r="AL28" i="8" s="1"/>
  <c r="R28" i="8"/>
  <c r="U28" i="8" s="1"/>
  <c r="AV28" i="8"/>
  <c r="I28" i="8"/>
  <c r="BO28" i="13"/>
  <c r="BR28" i="13" s="1"/>
  <c r="W28" i="13"/>
  <c r="Z28" i="13" s="1"/>
  <c r="AW28" i="13"/>
  <c r="AZ28" i="13" s="1"/>
  <c r="AH28" i="4"/>
  <c r="J28" i="4"/>
  <c r="AG28" i="4"/>
  <c r="I28" i="4"/>
  <c r="AJ28" i="13"/>
  <c r="H28" i="4"/>
  <c r="J28" i="13"/>
  <c r="M28" i="13" s="1"/>
  <c r="BF28" i="13"/>
  <c r="BI28" i="13" s="1"/>
  <c r="AQ28" i="4"/>
  <c r="AP28" i="4"/>
  <c r="G28" i="4"/>
  <c r="F28" i="4"/>
  <c r="E28" i="4"/>
  <c r="D28" i="4"/>
  <c r="C28" i="4"/>
  <c r="BM28" i="4"/>
  <c r="B28" i="4"/>
  <c r="BL28" i="4"/>
  <c r="BO28" i="4" s="1"/>
  <c r="BB28" i="4"/>
  <c r="BA28" i="4"/>
  <c r="AS28" i="4" s="1"/>
  <c r="T28" i="4"/>
  <c r="S28" i="4"/>
  <c r="A29" i="4"/>
  <c r="AJ29" i="9" s="1"/>
  <c r="DG27" i="6"/>
  <c r="DI27" i="6" s="1"/>
  <c r="BP28" i="13"/>
  <c r="AK28" i="13"/>
  <c r="BG28" i="13"/>
  <c r="K28" i="13"/>
  <c r="I28" i="13"/>
  <c r="E28" i="13"/>
  <c r="C28" i="13"/>
  <c r="X28" i="13"/>
  <c r="AX28" i="13"/>
  <c r="A29" i="13"/>
  <c r="H28" i="13"/>
  <c r="F28" i="13"/>
  <c r="D28" i="13"/>
  <c r="B28" i="13"/>
  <c r="G28" i="13"/>
  <c r="AR27" i="6"/>
  <c r="AT27" i="6" s="1"/>
  <c r="CF27" i="6"/>
  <c r="CH27" i="6" s="1"/>
  <c r="AZ25" i="12"/>
  <c r="BW27" i="6"/>
  <c r="BY27" i="6" s="1"/>
  <c r="AF26" i="9"/>
  <c r="U27" i="4"/>
  <c r="W27" i="4" s="1"/>
  <c r="AL27" i="8"/>
  <c r="AR27" i="4"/>
  <c r="BC27" i="4"/>
  <c r="BA27" i="6"/>
  <c r="BC27" i="6" s="1"/>
  <c r="AY26" i="9"/>
  <c r="BE25" i="13"/>
  <c r="AD27" i="6"/>
  <c r="AF27" i="6" s="1"/>
  <c r="AF25" i="4"/>
  <c r="CX27" i="6"/>
  <c r="AH26" i="12"/>
  <c r="DQ27" i="6"/>
  <c r="L27" i="9"/>
  <c r="N27" i="9" s="1"/>
  <c r="BC26" i="13"/>
  <c r="BN27" i="4"/>
  <c r="BP27" i="4" s="1"/>
  <c r="AK26" i="4"/>
  <c r="Z25" i="12"/>
  <c r="AL26" i="12"/>
  <c r="AO26" i="12"/>
  <c r="BO27" i="9"/>
  <c r="BQ27" i="13"/>
  <c r="BS27" i="13" s="1"/>
  <c r="CA27" i="9"/>
  <c r="CC27" i="9" s="1"/>
  <c r="BN27" i="6"/>
  <c r="AP26" i="13"/>
  <c r="L27" i="13"/>
  <c r="AW27" i="9"/>
  <c r="AA29" i="4" l="1"/>
  <c r="AK29" i="6"/>
  <c r="P27" i="12"/>
  <c r="Q29" i="4"/>
  <c r="BD28" i="4"/>
  <c r="Q27" i="12"/>
  <c r="AO27" i="12"/>
  <c r="AQ27" i="12" s="1"/>
  <c r="AL27" i="12"/>
  <c r="AN27" i="12" s="1"/>
  <c r="Y27" i="12"/>
  <c r="AO28" i="13"/>
  <c r="AQ28" i="13" s="1"/>
  <c r="AL28" i="13"/>
  <c r="AN28" i="13" s="1"/>
  <c r="CA28" i="9"/>
  <c r="CC28" i="9" s="1"/>
  <c r="K28" i="4"/>
  <c r="M28" i="4" s="1"/>
  <c r="AC28" i="4"/>
  <c r="AE28" i="4" s="1"/>
  <c r="AI28" i="4"/>
  <c r="AK28" i="4" s="1"/>
  <c r="AW28" i="9"/>
  <c r="AY28" i="9" s="1"/>
  <c r="U28" i="4"/>
  <c r="W28" i="4" s="1"/>
  <c r="BA28" i="6"/>
  <c r="BC28" i="6" s="1"/>
  <c r="AM27" i="8"/>
  <c r="L28" i="9"/>
  <c r="N28" i="9" s="1"/>
  <c r="AJ28" i="12"/>
  <c r="AM28" i="12" s="1"/>
  <c r="AX27" i="12"/>
  <c r="AZ27" i="12" s="1"/>
  <c r="AU27" i="12"/>
  <c r="AW27" i="12" s="1"/>
  <c r="AP26" i="12"/>
  <c r="AR26" i="12" s="1"/>
  <c r="I29" i="12"/>
  <c r="L29" i="12" s="1"/>
  <c r="AA29" i="12"/>
  <c r="AD29" i="12" s="1"/>
  <c r="AB29" i="9"/>
  <c r="AE29" i="9" s="1"/>
  <c r="AU29" i="9"/>
  <c r="AX29" i="9" s="1"/>
  <c r="S29" i="9"/>
  <c r="V29" i="9" s="1"/>
  <c r="R29" i="12"/>
  <c r="U29" i="12" s="1"/>
  <c r="BL29" i="9"/>
  <c r="BO29" i="9" s="1"/>
  <c r="J29" i="9"/>
  <c r="BY29" i="9"/>
  <c r="CM29" i="6"/>
  <c r="CP29" i="6" s="1"/>
  <c r="BL29" i="6"/>
  <c r="BO29" i="6" s="1"/>
  <c r="O29" i="6"/>
  <c r="R29" i="6" s="1"/>
  <c r="DE29" i="6"/>
  <c r="DH29" i="6" s="1"/>
  <c r="CV29" i="6"/>
  <c r="CY29" i="6" s="1"/>
  <c r="AB29" i="6"/>
  <c r="AE29" i="6" s="1"/>
  <c r="DN29" i="6"/>
  <c r="DQ29" i="6" s="1"/>
  <c r="CD29" i="6"/>
  <c r="CG29" i="6" s="1"/>
  <c r="BU29" i="6"/>
  <c r="BX29" i="6" s="1"/>
  <c r="AY29" i="6"/>
  <c r="BB29" i="6" s="1"/>
  <c r="BI29" i="8"/>
  <c r="BL29" i="8" s="1"/>
  <c r="AI29" i="8"/>
  <c r="AL29" i="8" s="1"/>
  <c r="R29" i="8"/>
  <c r="U29" i="8" s="1"/>
  <c r="AV29" i="8"/>
  <c r="AY29" i="8" s="1"/>
  <c r="I29" i="8"/>
  <c r="L29" i="8" s="1"/>
  <c r="AJ29" i="13"/>
  <c r="BF29" i="13"/>
  <c r="BI29" i="13" s="1"/>
  <c r="J29" i="13"/>
  <c r="M29" i="13" s="1"/>
  <c r="AG29" i="4"/>
  <c r="AJ29" i="4" s="1"/>
  <c r="I29" i="4"/>
  <c r="L29" i="4" s="1"/>
  <c r="H29" i="4"/>
  <c r="G29" i="4"/>
  <c r="BB29" i="4"/>
  <c r="F29" i="4"/>
  <c r="W29" i="13"/>
  <c r="BO29" i="13"/>
  <c r="BR29" i="13" s="1"/>
  <c r="AW29" i="13"/>
  <c r="AZ29" i="13" s="1"/>
  <c r="BA29" i="4"/>
  <c r="BD29" i="4" s="1"/>
  <c r="T29" i="4"/>
  <c r="S29" i="4"/>
  <c r="V29" i="4" s="1"/>
  <c r="A30" i="4"/>
  <c r="AA30" i="4" s="1"/>
  <c r="AQ29" i="4"/>
  <c r="AP29" i="4"/>
  <c r="J29" i="4"/>
  <c r="E29" i="4"/>
  <c r="D29" i="4"/>
  <c r="C29" i="4"/>
  <c r="BM29" i="4"/>
  <c r="B29" i="4"/>
  <c r="AH29" i="4"/>
  <c r="BL29" i="4"/>
  <c r="BO29" i="4" s="1"/>
  <c r="BN28" i="9"/>
  <c r="CZ27" i="6"/>
  <c r="AR26" i="13"/>
  <c r="BC27" i="13"/>
  <c r="BE27" i="13" s="1"/>
  <c r="BE27" i="4"/>
  <c r="AS28" i="12"/>
  <c r="AV28" i="12" s="1"/>
  <c r="AT27" i="4"/>
  <c r="Y28" i="13"/>
  <c r="AA28" i="13" s="1"/>
  <c r="BC28" i="4"/>
  <c r="AR28" i="4"/>
  <c r="BQ28" i="13"/>
  <c r="BS28" i="13" s="1"/>
  <c r="AD28" i="9"/>
  <c r="AF28" i="9" s="1"/>
  <c r="J29" i="12"/>
  <c r="H29" i="12"/>
  <c r="G29" i="12"/>
  <c r="A30" i="12"/>
  <c r="F29" i="12"/>
  <c r="E29" i="12"/>
  <c r="D29" i="12"/>
  <c r="B29" i="12"/>
  <c r="C29" i="12"/>
  <c r="S29" i="12"/>
  <c r="AF28" i="12"/>
  <c r="AG28" i="12" s="1"/>
  <c r="AC28" i="12"/>
  <c r="AE28" i="12" s="1"/>
  <c r="V28" i="4"/>
  <c r="K28" i="8"/>
  <c r="M28" i="8" s="1"/>
  <c r="T28" i="12"/>
  <c r="V28" i="12" s="1"/>
  <c r="W28" i="12"/>
  <c r="Y28" i="12" s="1"/>
  <c r="AX28" i="8"/>
  <c r="AZ28" i="8" s="1"/>
  <c r="N28" i="12"/>
  <c r="P28" i="12" s="1"/>
  <c r="K28" i="12"/>
  <c r="M28" i="12" s="1"/>
  <c r="L28" i="4"/>
  <c r="L28" i="8"/>
  <c r="BN28" i="4"/>
  <c r="BP28" i="4" s="1"/>
  <c r="T28" i="8"/>
  <c r="V28" i="8" s="1"/>
  <c r="AD27" i="4"/>
  <c r="AF27" i="4" s="1"/>
  <c r="N27" i="13"/>
  <c r="AK28" i="8"/>
  <c r="AJ28" i="4"/>
  <c r="AY28" i="13"/>
  <c r="BB28" i="13"/>
  <c r="BD28" i="13" s="1"/>
  <c r="BK28" i="8"/>
  <c r="Z13" i="17"/>
  <c r="K13" i="17"/>
  <c r="L13" i="17"/>
  <c r="B13" i="17"/>
  <c r="B30" i="17"/>
  <c r="G30" i="17"/>
  <c r="AQ26" i="12"/>
  <c r="CF28" i="6"/>
  <c r="CH28" i="6" s="1"/>
  <c r="AK29" i="13"/>
  <c r="BG29" i="13"/>
  <c r="K29" i="13"/>
  <c r="I29" i="13"/>
  <c r="G29" i="13"/>
  <c r="F29" i="13"/>
  <c r="D29" i="13"/>
  <c r="AX29" i="13"/>
  <c r="B29" i="13"/>
  <c r="BP29" i="13"/>
  <c r="X29" i="13"/>
  <c r="A30" i="13"/>
  <c r="H29" i="13"/>
  <c r="E29" i="13"/>
  <c r="C29" i="13"/>
  <c r="DG28" i="6"/>
  <c r="A31" i="17"/>
  <c r="A14" i="17"/>
  <c r="CN29" i="6"/>
  <c r="BM29" i="6"/>
  <c r="P29" i="6"/>
  <c r="M29" i="6"/>
  <c r="AQ29" i="6" s="1"/>
  <c r="AS29" i="6" s="1"/>
  <c r="L29" i="6"/>
  <c r="H29" i="6"/>
  <c r="AZ29" i="6"/>
  <c r="D29" i="6"/>
  <c r="DO29" i="6"/>
  <c r="CE29" i="6"/>
  <c r="AC29" i="6"/>
  <c r="A30" i="6"/>
  <c r="BV29" i="6"/>
  <c r="N29" i="6"/>
  <c r="K29" i="6"/>
  <c r="J29" i="6"/>
  <c r="I29" i="6"/>
  <c r="DF29" i="6"/>
  <c r="G29" i="6"/>
  <c r="E29" i="6"/>
  <c r="C29" i="6"/>
  <c r="B29" i="6"/>
  <c r="CW29" i="6"/>
  <c r="F29" i="6"/>
  <c r="Z27" i="12"/>
  <c r="BP27" i="6"/>
  <c r="M27" i="4"/>
  <c r="Q28" i="6"/>
  <c r="S28" i="6" s="1"/>
  <c r="AY26" i="12"/>
  <c r="C29" i="11"/>
  <c r="B29" i="11"/>
  <c r="A30" i="11"/>
  <c r="AY27" i="9"/>
  <c r="AV27" i="12"/>
  <c r="BN28" i="6"/>
  <c r="AD28" i="6"/>
  <c r="AF28" i="6" s="1"/>
  <c r="BL28" i="8"/>
  <c r="AD28" i="12"/>
  <c r="BE26" i="13"/>
  <c r="U28" i="9"/>
  <c r="CX28" i="6"/>
  <c r="CZ28" i="6" s="1"/>
  <c r="AE28" i="9"/>
  <c r="CO28" i="6"/>
  <c r="CQ28" i="6" s="1"/>
  <c r="AY28" i="8"/>
  <c r="BJ29" i="8"/>
  <c r="AJ29" i="8"/>
  <c r="J29" i="8"/>
  <c r="S29" i="8"/>
  <c r="AW29" i="8"/>
  <c r="H29" i="8"/>
  <c r="G29" i="8"/>
  <c r="F29" i="8"/>
  <c r="A30" i="8"/>
  <c r="E29" i="8"/>
  <c r="D29" i="8"/>
  <c r="C29" i="8"/>
  <c r="B29" i="8"/>
  <c r="AN26" i="12"/>
  <c r="AB29" i="12"/>
  <c r="AK29" i="12"/>
  <c r="D29" i="9"/>
  <c r="C29" i="9"/>
  <c r="AV29" i="9"/>
  <c r="AT29" i="12"/>
  <c r="A30" i="9"/>
  <c r="AC29" i="9"/>
  <c r="T29" i="9"/>
  <c r="BM29" i="9"/>
  <c r="K29" i="9"/>
  <c r="I29" i="9"/>
  <c r="H29" i="9"/>
  <c r="G29" i="9"/>
  <c r="F29" i="9"/>
  <c r="E29" i="9"/>
  <c r="BZ29" i="9"/>
  <c r="AM29" i="9"/>
  <c r="B29" i="9"/>
  <c r="AP27" i="13"/>
  <c r="AG27" i="12"/>
  <c r="BB28" i="6"/>
  <c r="BH28" i="13"/>
  <c r="L28" i="12"/>
  <c r="DP28" i="6"/>
  <c r="S27" i="6"/>
  <c r="L28" i="13"/>
  <c r="N28" i="13" s="1"/>
  <c r="BW28" i="6"/>
  <c r="AR28" i="6"/>
  <c r="AM28" i="13"/>
  <c r="AH28" i="12" l="1"/>
  <c r="AS29" i="4"/>
  <c r="E30" i="17"/>
  <c r="CX29" i="6"/>
  <c r="CZ29" i="6" s="1"/>
  <c r="B31" i="17"/>
  <c r="G31" i="17"/>
  <c r="BC29" i="4"/>
  <c r="AT29" i="4" s="1"/>
  <c r="AR29" i="4"/>
  <c r="DG29" i="6"/>
  <c r="E30" i="12"/>
  <c r="D30" i="12"/>
  <c r="C30" i="12"/>
  <c r="B30" i="12"/>
  <c r="J30" i="12"/>
  <c r="G30" i="12"/>
  <c r="S30" i="12"/>
  <c r="H30" i="12"/>
  <c r="F30" i="12"/>
  <c r="A31" i="12"/>
  <c r="BB29" i="13"/>
  <c r="BD29" i="13" s="1"/>
  <c r="AY29" i="13"/>
  <c r="BA29" i="13" s="1"/>
  <c r="Q29" i="6"/>
  <c r="S29" i="6" s="1"/>
  <c r="AY27" i="12"/>
  <c r="BA27" i="12" s="1"/>
  <c r="AJ29" i="12"/>
  <c r="AM29" i="12" s="1"/>
  <c r="BQ29" i="13"/>
  <c r="BS29" i="13" s="1"/>
  <c r="BN29" i="6"/>
  <c r="BP29" i="6" s="1"/>
  <c r="AD28" i="4"/>
  <c r="AF28" i="4" s="1"/>
  <c r="AS29" i="12"/>
  <c r="AV29" i="12" s="1"/>
  <c r="Y29" i="13"/>
  <c r="AA29" i="13" s="1"/>
  <c r="CO29" i="6"/>
  <c r="CQ29" i="6" s="1"/>
  <c r="DR28" i="6"/>
  <c r="AK30" i="6"/>
  <c r="BJ30" i="8"/>
  <c r="AJ30" i="8"/>
  <c r="J30" i="8"/>
  <c r="S30" i="8"/>
  <c r="AW30" i="8"/>
  <c r="H30" i="8"/>
  <c r="G30" i="8"/>
  <c r="F30" i="8"/>
  <c r="A31" i="8"/>
  <c r="E30" i="8"/>
  <c r="D30" i="8"/>
  <c r="C30" i="8"/>
  <c r="B30" i="8"/>
  <c r="A31" i="13"/>
  <c r="H30" i="13"/>
  <c r="G30" i="13"/>
  <c r="F30" i="13"/>
  <c r="E30" i="13"/>
  <c r="D30" i="13"/>
  <c r="C30" i="13"/>
  <c r="AX30" i="13"/>
  <c r="B30" i="13"/>
  <c r="X30" i="13"/>
  <c r="AK30" i="13"/>
  <c r="I30" i="13"/>
  <c r="BP30" i="13"/>
  <c r="K30" i="13"/>
  <c r="BG30" i="13"/>
  <c r="CA29" i="9"/>
  <c r="CC29" i="9" s="1"/>
  <c r="L29" i="9"/>
  <c r="N29" i="9" s="1"/>
  <c r="AP27" i="12"/>
  <c r="AR27" i="12" s="1"/>
  <c r="BN29" i="9"/>
  <c r="BP29" i="9" s="1"/>
  <c r="DI28" i="6"/>
  <c r="BC28" i="13"/>
  <c r="BE28" i="13" s="1"/>
  <c r="K29" i="4"/>
  <c r="AC29" i="4"/>
  <c r="AE29" i="4" s="1"/>
  <c r="W29" i="12"/>
  <c r="X29" i="12" s="1"/>
  <c r="T29" i="12"/>
  <c r="V29" i="12" s="1"/>
  <c r="AL28" i="12"/>
  <c r="AN28" i="12" s="1"/>
  <c r="AO28" i="12"/>
  <c r="AQ28" i="12" s="1"/>
  <c r="AX28" i="12"/>
  <c r="AZ28" i="12" s="1"/>
  <c r="AU28" i="12"/>
  <c r="AW28" i="12" s="1"/>
  <c r="BN29" i="4"/>
  <c r="BP29" i="4" s="1"/>
  <c r="AI29" i="4"/>
  <c r="U29" i="9"/>
  <c r="A32" i="17"/>
  <c r="A15" i="17"/>
  <c r="DF30" i="6"/>
  <c r="N30" i="6"/>
  <c r="M30" i="6"/>
  <c r="AQ30" i="6" s="1"/>
  <c r="AS30" i="6" s="1"/>
  <c r="L30" i="6"/>
  <c r="CE30" i="6"/>
  <c r="K30" i="6"/>
  <c r="J30" i="6"/>
  <c r="I30" i="6"/>
  <c r="A31" i="6"/>
  <c r="G30" i="6"/>
  <c r="F30" i="6"/>
  <c r="BV30" i="6"/>
  <c r="B30" i="6"/>
  <c r="BM30" i="6"/>
  <c r="P30" i="6"/>
  <c r="DO30" i="6"/>
  <c r="H30" i="6"/>
  <c r="E30" i="6"/>
  <c r="D30" i="6"/>
  <c r="C30" i="6"/>
  <c r="AZ30" i="6"/>
  <c r="AC30" i="6"/>
  <c r="CW30" i="6"/>
  <c r="CN30" i="6"/>
  <c r="BP28" i="6"/>
  <c r="L29" i="13"/>
  <c r="AJ30" i="9"/>
  <c r="M29" i="9"/>
  <c r="Q30" i="4"/>
  <c r="BH29" i="13"/>
  <c r="BJ29" i="13" s="1"/>
  <c r="AW29" i="9"/>
  <c r="AM28" i="8"/>
  <c r="AL29" i="13"/>
  <c r="AN29" i="13" s="1"/>
  <c r="AO29" i="13"/>
  <c r="AQ29" i="13" s="1"/>
  <c r="AD29" i="9"/>
  <c r="AT28" i="4"/>
  <c r="CB29" i="9"/>
  <c r="K29" i="8"/>
  <c r="AF29" i="12"/>
  <c r="AC29" i="12"/>
  <c r="BE28" i="4"/>
  <c r="C30" i="11"/>
  <c r="A31" i="11"/>
  <c r="B30" i="11"/>
  <c r="AX29" i="8"/>
  <c r="K29" i="12"/>
  <c r="N29" i="12"/>
  <c r="O29" i="12" s="1"/>
  <c r="AP28" i="13"/>
  <c r="AR28" i="13" s="1"/>
  <c r="T29" i="8"/>
  <c r="BP28" i="9"/>
  <c r="AT28" i="6"/>
  <c r="AI28" i="12"/>
  <c r="AI27" i="12"/>
  <c r="AK29" i="8"/>
  <c r="AM29" i="13"/>
  <c r="AB30" i="12"/>
  <c r="AK30" i="12"/>
  <c r="G30" i="9"/>
  <c r="BZ30" i="9"/>
  <c r="F30" i="9"/>
  <c r="AC30" i="9"/>
  <c r="E30" i="9"/>
  <c r="D30" i="9"/>
  <c r="C30" i="9"/>
  <c r="B30" i="9"/>
  <c r="AT30" i="12"/>
  <c r="BM30" i="9"/>
  <c r="A31" i="9"/>
  <c r="K30" i="9"/>
  <c r="AV30" i="9"/>
  <c r="I30" i="9"/>
  <c r="T30" i="9"/>
  <c r="AM30" i="9"/>
  <c r="H30" i="9"/>
  <c r="BK29" i="8"/>
  <c r="BJ28" i="13"/>
  <c r="BA26" i="12"/>
  <c r="AR29" i="6"/>
  <c r="AT29" i="6" s="1"/>
  <c r="BA29" i="6"/>
  <c r="BC29" i="6" s="1"/>
  <c r="AR27" i="13"/>
  <c r="BY28" i="6"/>
  <c r="BW29" i="6"/>
  <c r="BY29" i="6" s="1"/>
  <c r="BM29" i="8"/>
  <c r="BM28" i="8"/>
  <c r="Z29" i="13"/>
  <c r="CF29" i="6"/>
  <c r="CH29" i="6" s="1"/>
  <c r="W28" i="9"/>
  <c r="BA28" i="13"/>
  <c r="AA30" i="12"/>
  <c r="AD30" i="12" s="1"/>
  <c r="R30" i="12"/>
  <c r="I30" i="12"/>
  <c r="BY30" i="9"/>
  <c r="AB30" i="9"/>
  <c r="BL30" i="9"/>
  <c r="BO30" i="9" s="1"/>
  <c r="J30" i="9"/>
  <c r="AU30" i="9"/>
  <c r="AX30" i="9" s="1"/>
  <c r="S30" i="9"/>
  <c r="V30" i="9" s="1"/>
  <c r="O30" i="6"/>
  <c r="R30" i="6" s="1"/>
  <c r="DE30" i="6"/>
  <c r="DH30" i="6" s="1"/>
  <c r="CD30" i="6"/>
  <c r="CG30" i="6" s="1"/>
  <c r="DN30" i="6"/>
  <c r="DQ30" i="6" s="1"/>
  <c r="BL30" i="6"/>
  <c r="BO30" i="6" s="1"/>
  <c r="BU30" i="6"/>
  <c r="BX30" i="6" s="1"/>
  <c r="CV30" i="6"/>
  <c r="CM30" i="6"/>
  <c r="AB30" i="6"/>
  <c r="AE30" i="6" s="1"/>
  <c r="BI30" i="8"/>
  <c r="BL30" i="8" s="1"/>
  <c r="BM30" i="8" s="1"/>
  <c r="AI30" i="8"/>
  <c r="AL30" i="8" s="1"/>
  <c r="I30" i="8"/>
  <c r="L30" i="8" s="1"/>
  <c r="AY30" i="6"/>
  <c r="BB30" i="6" s="1"/>
  <c r="R30" i="8"/>
  <c r="U30" i="8" s="1"/>
  <c r="AV30" i="8"/>
  <c r="AY30" i="8" s="1"/>
  <c r="W30" i="13"/>
  <c r="Z30" i="13" s="1"/>
  <c r="BO30" i="13"/>
  <c r="BR30" i="13" s="1"/>
  <c r="BF30" i="13"/>
  <c r="BI30" i="13" s="1"/>
  <c r="J30" i="13"/>
  <c r="M30" i="13" s="1"/>
  <c r="AH30" i="4"/>
  <c r="J30" i="4"/>
  <c r="G30" i="4"/>
  <c r="BB30" i="4"/>
  <c r="F30" i="4"/>
  <c r="BA30" i="4"/>
  <c r="AS30" i="4" s="1"/>
  <c r="E30" i="4"/>
  <c r="D30" i="4"/>
  <c r="AW30" i="13"/>
  <c r="AJ30" i="13"/>
  <c r="AM30" i="13" s="1"/>
  <c r="AQ30" i="4"/>
  <c r="AP30" i="4"/>
  <c r="I30" i="4"/>
  <c r="H30" i="4"/>
  <c r="C30" i="4"/>
  <c r="BM30" i="4"/>
  <c r="B30" i="4"/>
  <c r="BL30" i="4"/>
  <c r="BO30" i="4" s="1"/>
  <c r="AG30" i="4"/>
  <c r="AJ30" i="4" s="1"/>
  <c r="T30" i="4"/>
  <c r="A31" i="4"/>
  <c r="Q31" i="4" s="1"/>
  <c r="S30" i="4"/>
  <c r="V30" i="4" s="1"/>
  <c r="DP29" i="6"/>
  <c r="DR29" i="6" s="1"/>
  <c r="O28" i="12"/>
  <c r="K14" i="17"/>
  <c r="Z14" i="17"/>
  <c r="L14" i="17"/>
  <c r="B14" i="17"/>
  <c r="U29" i="4"/>
  <c r="AD29" i="6"/>
  <c r="X28" i="12"/>
  <c r="BE29" i="4" l="1"/>
  <c r="AK31" i="6"/>
  <c r="AA31" i="4"/>
  <c r="AJ31" i="9"/>
  <c r="Y29" i="12"/>
  <c r="AC30" i="4"/>
  <c r="AE30" i="4" s="1"/>
  <c r="K30" i="4"/>
  <c r="M30" i="4" s="1"/>
  <c r="AD30" i="6"/>
  <c r="AF30" i="6" s="1"/>
  <c r="AD29" i="4"/>
  <c r="AF29" i="4" s="1"/>
  <c r="CA30" i="9"/>
  <c r="CC30" i="9" s="1"/>
  <c r="N30" i="12"/>
  <c r="P30" i="12" s="1"/>
  <c r="K30" i="12"/>
  <c r="M30" i="12" s="1"/>
  <c r="CO30" i="6"/>
  <c r="CQ30" i="6" s="1"/>
  <c r="AT31" i="12"/>
  <c r="AK31" i="12"/>
  <c r="AB31" i="12"/>
  <c r="I31" i="9"/>
  <c r="H31" i="9"/>
  <c r="G31" i="9"/>
  <c r="BZ31" i="9"/>
  <c r="F31" i="9"/>
  <c r="AC31" i="9"/>
  <c r="E31" i="9"/>
  <c r="D31" i="9"/>
  <c r="C31" i="9"/>
  <c r="B31" i="9"/>
  <c r="AM31" i="9"/>
  <c r="BM31" i="9"/>
  <c r="T31" i="9"/>
  <c r="K31" i="9"/>
  <c r="AV31" i="9"/>
  <c r="A32" i="9"/>
  <c r="L30" i="4"/>
  <c r="CX30" i="6"/>
  <c r="CZ30" i="6" s="1"/>
  <c r="AL30" i="13"/>
  <c r="AN30" i="13" s="1"/>
  <c r="AO30" i="13"/>
  <c r="AQ30" i="13" s="1"/>
  <c r="X31" i="13"/>
  <c r="BP31" i="13"/>
  <c r="A32" i="13"/>
  <c r="H31" i="13"/>
  <c r="F31" i="13"/>
  <c r="C31" i="13"/>
  <c r="AX31" i="13"/>
  <c r="B31" i="13"/>
  <c r="I31" i="13"/>
  <c r="G31" i="13"/>
  <c r="E31" i="13"/>
  <c r="D31" i="13"/>
  <c r="BG31" i="13"/>
  <c r="AK31" i="13"/>
  <c r="K31" i="13"/>
  <c r="BD30" i="4"/>
  <c r="L30" i="9"/>
  <c r="N30" i="9" s="1"/>
  <c r="BW30" i="6"/>
  <c r="BY30" i="6" s="1"/>
  <c r="L30" i="12"/>
  <c r="CB30" i="9"/>
  <c r="BN30" i="6"/>
  <c r="BP30" i="6" s="1"/>
  <c r="DP30" i="6"/>
  <c r="DR30" i="6" s="1"/>
  <c r="AO29" i="12"/>
  <c r="AQ29" i="12" s="1"/>
  <c r="AL29" i="12"/>
  <c r="AN29" i="12" s="1"/>
  <c r="BC30" i="4"/>
  <c r="BE30" i="4" s="1"/>
  <c r="AR30" i="4"/>
  <c r="CF30" i="6"/>
  <c r="CH30" i="6" s="1"/>
  <c r="CY30" i="6"/>
  <c r="AF29" i="6"/>
  <c r="DG30" i="6"/>
  <c r="AZ29" i="8"/>
  <c r="BC29" i="13"/>
  <c r="BE29" i="13" s="1"/>
  <c r="BB30" i="13"/>
  <c r="BD30" i="13" s="1"/>
  <c r="AY30" i="13"/>
  <c r="BA30" i="13" s="1"/>
  <c r="W29" i="4"/>
  <c r="Z29" i="12"/>
  <c r="Z28" i="12"/>
  <c r="Q29" i="12"/>
  <c r="Q28" i="12"/>
  <c r="Q30" i="6"/>
  <c r="S30" i="6" s="1"/>
  <c r="V29" i="8"/>
  <c r="W29" i="9"/>
  <c r="AG29" i="12"/>
  <c r="BJ31" i="8"/>
  <c r="AJ31" i="8"/>
  <c r="J31" i="8"/>
  <c r="H31" i="8"/>
  <c r="S31" i="8"/>
  <c r="AW31" i="8"/>
  <c r="G31" i="8"/>
  <c r="F31" i="8"/>
  <c r="A32" i="8"/>
  <c r="E31" i="8"/>
  <c r="D31" i="8"/>
  <c r="C31" i="8"/>
  <c r="B31" i="8"/>
  <c r="AZ30" i="13"/>
  <c r="M29" i="8"/>
  <c r="S31" i="12"/>
  <c r="G31" i="12"/>
  <c r="E31" i="12"/>
  <c r="B31" i="12"/>
  <c r="J31" i="12"/>
  <c r="A32" i="12"/>
  <c r="H31" i="12"/>
  <c r="F31" i="12"/>
  <c r="D31" i="12"/>
  <c r="C31" i="12"/>
  <c r="U30" i="9"/>
  <c r="W30" i="9" s="1"/>
  <c r="AW30" i="9"/>
  <c r="AY30" i="9" s="1"/>
  <c r="I31" i="6"/>
  <c r="H31" i="6"/>
  <c r="A32" i="6"/>
  <c r="G31" i="6"/>
  <c r="F31" i="6"/>
  <c r="CW31" i="6"/>
  <c r="AC31" i="6"/>
  <c r="E31" i="6"/>
  <c r="AZ31" i="6"/>
  <c r="D31" i="6"/>
  <c r="C31" i="6"/>
  <c r="CN31" i="6"/>
  <c r="P31" i="6"/>
  <c r="CE31" i="6"/>
  <c r="K31" i="6"/>
  <c r="J31" i="6"/>
  <c r="DF31" i="6"/>
  <c r="BV31" i="6"/>
  <c r="DO31" i="6"/>
  <c r="BM31" i="6"/>
  <c r="N31" i="6"/>
  <c r="M31" i="6"/>
  <c r="AQ31" i="6" s="1"/>
  <c r="AS31" i="6" s="1"/>
  <c r="L31" i="6"/>
  <c r="B31" i="6"/>
  <c r="AY29" i="9"/>
  <c r="M29" i="12"/>
  <c r="CP30" i="6"/>
  <c r="AS30" i="12"/>
  <c r="E32" i="17" s="1"/>
  <c r="U30" i="4"/>
  <c r="W30" i="4" s="1"/>
  <c r="L30" i="13"/>
  <c r="N30" i="13" s="1"/>
  <c r="BN30" i="9"/>
  <c r="BP30" i="9" s="1"/>
  <c r="AY28" i="12"/>
  <c r="BA28" i="12" s="1"/>
  <c r="AF29" i="9"/>
  <c r="R31" i="12"/>
  <c r="U31" i="12" s="1"/>
  <c r="I31" i="12"/>
  <c r="J31" i="9"/>
  <c r="BY31" i="9"/>
  <c r="CB31" i="9" s="1"/>
  <c r="AB31" i="9"/>
  <c r="AE31" i="9" s="1"/>
  <c r="BL31" i="9"/>
  <c r="BO31" i="9" s="1"/>
  <c r="S31" i="9"/>
  <c r="V31" i="9" s="1"/>
  <c r="AU31" i="9"/>
  <c r="AX31" i="9" s="1"/>
  <c r="AA31" i="12"/>
  <c r="AD31" i="12" s="1"/>
  <c r="CV31" i="6"/>
  <c r="CY31" i="6" s="1"/>
  <c r="AB31" i="6"/>
  <c r="AE31" i="6" s="1"/>
  <c r="AY31" i="6"/>
  <c r="BB31" i="6" s="1"/>
  <c r="BU31" i="6"/>
  <c r="BL31" i="6"/>
  <c r="BO31" i="6" s="1"/>
  <c r="CD31" i="6"/>
  <c r="CG31" i="6" s="1"/>
  <c r="DE31" i="6"/>
  <c r="DH31" i="6" s="1"/>
  <c r="CM31" i="6"/>
  <c r="CP31" i="6" s="1"/>
  <c r="O31" i="6"/>
  <c r="R31" i="6" s="1"/>
  <c r="BI31" i="8"/>
  <c r="BL31" i="8" s="1"/>
  <c r="AI31" i="8"/>
  <c r="AL31" i="8" s="1"/>
  <c r="I31" i="8"/>
  <c r="L31" i="8" s="1"/>
  <c r="DN31" i="6"/>
  <c r="DQ31" i="6" s="1"/>
  <c r="R31" i="8"/>
  <c r="U31" i="8" s="1"/>
  <c r="AV31" i="8"/>
  <c r="AY31" i="8" s="1"/>
  <c r="AW31" i="13"/>
  <c r="W31" i="13"/>
  <c r="Z31" i="13" s="1"/>
  <c r="BO31" i="13"/>
  <c r="AJ31" i="13"/>
  <c r="AM31" i="13" s="1"/>
  <c r="J31" i="13"/>
  <c r="M31" i="13" s="1"/>
  <c r="H31" i="4"/>
  <c r="BA31" i="4"/>
  <c r="BD31" i="4" s="1"/>
  <c r="E31" i="4"/>
  <c r="D31" i="4"/>
  <c r="A32" i="4"/>
  <c r="AA32" i="4" s="1"/>
  <c r="C31" i="4"/>
  <c r="BF31" i="13"/>
  <c r="B31" i="4"/>
  <c r="AH31" i="4"/>
  <c r="AG31" i="4"/>
  <c r="AJ31" i="4" s="1"/>
  <c r="BB31" i="4"/>
  <c r="T31" i="4"/>
  <c r="S31" i="4"/>
  <c r="V31" i="4" s="1"/>
  <c r="AQ31" i="4"/>
  <c r="AP31" i="4"/>
  <c r="J31" i="4"/>
  <c r="I31" i="4"/>
  <c r="BM31" i="4"/>
  <c r="F31" i="4"/>
  <c r="BL31" i="4"/>
  <c r="BO31" i="4" s="1"/>
  <c r="G31" i="4"/>
  <c r="BH30" i="13"/>
  <c r="AD30" i="9"/>
  <c r="AE30" i="9"/>
  <c r="AH29" i="12"/>
  <c r="AE29" i="12"/>
  <c r="AJ30" i="12"/>
  <c r="AM29" i="8"/>
  <c r="AP28" i="12"/>
  <c r="AR28" i="12" s="1"/>
  <c r="DI29" i="6"/>
  <c r="BQ30" i="13"/>
  <c r="AI30" i="4"/>
  <c r="AX30" i="8"/>
  <c r="AZ30" i="8" s="1"/>
  <c r="W30" i="12"/>
  <c r="X30" i="12" s="1"/>
  <c r="T30" i="12"/>
  <c r="V30" i="12" s="1"/>
  <c r="AP29" i="13"/>
  <c r="AR29" i="13" s="1"/>
  <c r="AR30" i="6"/>
  <c r="AX29" i="12"/>
  <c r="AZ29" i="12" s="1"/>
  <c r="AU29" i="12"/>
  <c r="AW29" i="12" s="1"/>
  <c r="BN30" i="4"/>
  <c r="BA30" i="6"/>
  <c r="A32" i="11"/>
  <c r="B31" i="11"/>
  <c r="C31" i="11"/>
  <c r="M30" i="9"/>
  <c r="Y30" i="13"/>
  <c r="AA30" i="13" s="1"/>
  <c r="T30" i="8"/>
  <c r="V30" i="8" s="1"/>
  <c r="L15" i="17"/>
  <c r="Z15" i="17"/>
  <c r="K15" i="17"/>
  <c r="B15" i="17"/>
  <c r="P29" i="12"/>
  <c r="AC30" i="12"/>
  <c r="AF30" i="12"/>
  <c r="AH30" i="12" s="1"/>
  <c r="K30" i="8"/>
  <c r="AK30" i="8"/>
  <c r="AM30" i="8" s="1"/>
  <c r="G32" i="17"/>
  <c r="B32" i="17"/>
  <c r="U30" i="12"/>
  <c r="M29" i="4"/>
  <c r="BK30" i="8"/>
  <c r="N29" i="13"/>
  <c r="AK29" i="4"/>
  <c r="E31" i="17"/>
  <c r="O30" i="12" l="1"/>
  <c r="Q30" i="12" s="1"/>
  <c r="AV30" i="12"/>
  <c r="AJ32" i="9"/>
  <c r="AK32" i="6"/>
  <c r="Q32" i="4"/>
  <c r="AT30" i="4"/>
  <c r="Y30" i="12"/>
  <c r="AK32" i="13"/>
  <c r="I32" i="13"/>
  <c r="A33" i="13"/>
  <c r="G32" i="13"/>
  <c r="E32" i="13"/>
  <c r="BP32" i="13"/>
  <c r="BG32" i="13"/>
  <c r="AX32" i="13"/>
  <c r="X32" i="13"/>
  <c r="K32" i="13"/>
  <c r="F32" i="13"/>
  <c r="D32" i="13"/>
  <c r="C32" i="13"/>
  <c r="B32" i="13"/>
  <c r="H32" i="13"/>
  <c r="Y31" i="13"/>
  <c r="AA31" i="13" s="1"/>
  <c r="CA31" i="9"/>
  <c r="BB31" i="13"/>
  <c r="BD31" i="13" s="1"/>
  <c r="AY31" i="13"/>
  <c r="BA31" i="13" s="1"/>
  <c r="L31" i="9"/>
  <c r="K31" i="12"/>
  <c r="M31" i="12" s="1"/>
  <c r="N31" i="12"/>
  <c r="P31" i="12" s="1"/>
  <c r="BQ31" i="13"/>
  <c r="BS31" i="13" s="1"/>
  <c r="AX31" i="8"/>
  <c r="AZ31" i="8" s="1"/>
  <c r="T31" i="8"/>
  <c r="V31" i="8" s="1"/>
  <c r="W31" i="12"/>
  <c r="X31" i="12" s="1"/>
  <c r="T31" i="12"/>
  <c r="V31" i="12" s="1"/>
  <c r="AS31" i="4"/>
  <c r="M31" i="9"/>
  <c r="BN31" i="4"/>
  <c r="BP31" i="4" s="1"/>
  <c r="AC31" i="4"/>
  <c r="K31" i="4"/>
  <c r="M31" i="4" s="1"/>
  <c r="DP31" i="6"/>
  <c r="DR31" i="6" s="1"/>
  <c r="AX30" i="12"/>
  <c r="AZ30" i="12" s="1"/>
  <c r="AU30" i="12"/>
  <c r="AT30" i="6"/>
  <c r="AK30" i="4"/>
  <c r="U31" i="4"/>
  <c r="W31" i="4" s="1"/>
  <c r="AP30" i="13"/>
  <c r="AR30" i="13" s="1"/>
  <c r="BK31" i="8"/>
  <c r="Q15" i="17"/>
  <c r="S15" i="17" s="1"/>
  <c r="U15" i="17" s="1"/>
  <c r="O15" i="17"/>
  <c r="AA15" i="17"/>
  <c r="AB15" i="17" s="1"/>
  <c r="W15" i="17"/>
  <c r="Y15" i="17" s="1"/>
  <c r="AK31" i="8"/>
  <c r="AM31" i="8" s="1"/>
  <c r="BR31" i="13"/>
  <c r="C32" i="11"/>
  <c r="B32" i="11"/>
  <c r="A33" i="11"/>
  <c r="AO30" i="12"/>
  <c r="AQ30" i="12" s="1"/>
  <c r="AL30" i="12"/>
  <c r="AN30" i="12" s="1"/>
  <c r="K31" i="8"/>
  <c r="AI31" i="4"/>
  <c r="AK31" i="4" s="1"/>
  <c r="Q31" i="6"/>
  <c r="S31" i="6" s="1"/>
  <c r="AS31" i="12"/>
  <c r="AJ32" i="8"/>
  <c r="J32" i="8"/>
  <c r="H32" i="8"/>
  <c r="G32" i="8"/>
  <c r="BJ32" i="8"/>
  <c r="F32" i="8"/>
  <c r="E32" i="8"/>
  <c r="D32" i="8"/>
  <c r="A33" i="8"/>
  <c r="C32" i="8"/>
  <c r="B32" i="8"/>
  <c r="S32" i="8"/>
  <c r="AW32" i="8"/>
  <c r="S32" i="12"/>
  <c r="A33" i="12"/>
  <c r="F32" i="12"/>
  <c r="B32" i="12"/>
  <c r="H32" i="12"/>
  <c r="G32" i="12"/>
  <c r="E32" i="12"/>
  <c r="D32" i="12"/>
  <c r="C32" i="12"/>
  <c r="J32" i="12"/>
  <c r="BM31" i="8"/>
  <c r="DI30" i="6"/>
  <c r="L31" i="4"/>
  <c r="DG31" i="6"/>
  <c r="DI31" i="6" s="1"/>
  <c r="CF31" i="6"/>
  <c r="AD30" i="4"/>
  <c r="AF30" i="4" s="1"/>
  <c r="BH31" i="13"/>
  <c r="BJ31" i="13" s="1"/>
  <c r="BN31" i="6"/>
  <c r="BW31" i="6"/>
  <c r="AJ31" i="12"/>
  <c r="AM31" i="12" s="1"/>
  <c r="R32" i="12"/>
  <c r="U32" i="12" s="1"/>
  <c r="I32" i="12"/>
  <c r="J32" i="9"/>
  <c r="M32" i="9" s="1"/>
  <c r="AA32" i="12"/>
  <c r="AD32" i="12" s="1"/>
  <c r="S32" i="9"/>
  <c r="V32" i="9" s="1"/>
  <c r="AU32" i="9"/>
  <c r="AX32" i="9" s="1"/>
  <c r="BY32" i="9"/>
  <c r="BL32" i="9"/>
  <c r="AB32" i="9"/>
  <c r="AE32" i="9" s="1"/>
  <c r="DN32" i="6"/>
  <c r="AY32" i="6"/>
  <c r="BB32" i="6" s="1"/>
  <c r="BU32" i="6"/>
  <c r="BX32" i="6" s="1"/>
  <c r="CM32" i="6"/>
  <c r="CP32" i="6" s="1"/>
  <c r="CD32" i="6"/>
  <c r="CV32" i="6"/>
  <c r="CY32" i="6" s="1"/>
  <c r="AB32" i="6"/>
  <c r="O32" i="6"/>
  <c r="BL32" i="6"/>
  <c r="DE32" i="6"/>
  <c r="DH32" i="6" s="1"/>
  <c r="BI32" i="8"/>
  <c r="BL32" i="8" s="1"/>
  <c r="AI32" i="8"/>
  <c r="AL32" i="8" s="1"/>
  <c r="I32" i="8"/>
  <c r="L32" i="8" s="1"/>
  <c r="R32" i="8"/>
  <c r="U32" i="8" s="1"/>
  <c r="AV32" i="8"/>
  <c r="AY32" i="8" s="1"/>
  <c r="AJ32" i="13"/>
  <c r="AM32" i="13" s="1"/>
  <c r="BF32" i="13"/>
  <c r="BI32" i="13" s="1"/>
  <c r="J32" i="13"/>
  <c r="M32" i="13" s="1"/>
  <c r="AW32" i="13"/>
  <c r="AZ32" i="13" s="1"/>
  <c r="W32" i="13"/>
  <c r="BO32" i="13"/>
  <c r="BB32" i="4"/>
  <c r="F32" i="4"/>
  <c r="BA32" i="4"/>
  <c r="BD32" i="4" s="1"/>
  <c r="A33" i="4"/>
  <c r="Q33" i="4" s="1"/>
  <c r="C32" i="4"/>
  <c r="B32" i="4"/>
  <c r="AQ32" i="4"/>
  <c r="S32" i="4"/>
  <c r="J32" i="4"/>
  <c r="AP32" i="4"/>
  <c r="I32" i="4"/>
  <c r="L32" i="4" s="1"/>
  <c r="H32" i="4"/>
  <c r="G32" i="4"/>
  <c r="E32" i="4"/>
  <c r="D32" i="4"/>
  <c r="AH32" i="4"/>
  <c r="AG32" i="4"/>
  <c r="BM32" i="4"/>
  <c r="BL32" i="4"/>
  <c r="BO32" i="4" s="1"/>
  <c r="T32" i="4"/>
  <c r="BA31" i="6"/>
  <c r="AG30" i="12"/>
  <c r="AI30" i="12" s="1"/>
  <c r="AZ31" i="13"/>
  <c r="AD31" i="6"/>
  <c r="AF31" i="6" s="1"/>
  <c r="AF30" i="9"/>
  <c r="BC30" i="13"/>
  <c r="BE30" i="13" s="1"/>
  <c r="AM30" i="12"/>
  <c r="BC30" i="6"/>
  <c r="CX31" i="6"/>
  <c r="DO32" i="6"/>
  <c r="C32" i="6"/>
  <c r="BV32" i="6"/>
  <c r="B32" i="6"/>
  <c r="DF32" i="6"/>
  <c r="N32" i="6"/>
  <c r="J32" i="6"/>
  <c r="A33" i="6"/>
  <c r="CW32" i="6"/>
  <c r="AC32" i="6"/>
  <c r="E32" i="6"/>
  <c r="AZ32" i="6"/>
  <c r="D32" i="6"/>
  <c r="CE32" i="6"/>
  <c r="P32" i="6"/>
  <c r="BM32" i="6"/>
  <c r="M32" i="6"/>
  <c r="AQ32" i="6" s="1"/>
  <c r="AS32" i="6" s="1"/>
  <c r="L32" i="6"/>
  <c r="I32" i="6"/>
  <c r="H32" i="6"/>
  <c r="G32" i="6"/>
  <c r="F32" i="6"/>
  <c r="CN32" i="6"/>
  <c r="K32" i="6"/>
  <c r="AP29" i="12"/>
  <c r="BS30" i="13"/>
  <c r="BC31" i="4"/>
  <c r="AR31" i="4"/>
  <c r="AC31" i="12"/>
  <c r="AE31" i="12" s="1"/>
  <c r="AF31" i="12"/>
  <c r="AH31" i="12" s="1"/>
  <c r="BP30" i="4"/>
  <c r="M30" i="8"/>
  <c r="AI29" i="12"/>
  <c r="AY29" i="12"/>
  <c r="BA29" i="12" s="1"/>
  <c r="U31" i="9"/>
  <c r="W31" i="9" s="1"/>
  <c r="AE30" i="12"/>
  <c r="AK32" i="12"/>
  <c r="AT32" i="12"/>
  <c r="AB32" i="12"/>
  <c r="K32" i="9"/>
  <c r="I32" i="9"/>
  <c r="H32" i="9"/>
  <c r="G32" i="9"/>
  <c r="T32" i="9"/>
  <c r="AV32" i="9"/>
  <c r="BZ32" i="9"/>
  <c r="BM32" i="9"/>
  <c r="F32" i="9"/>
  <c r="E32" i="9"/>
  <c r="D32" i="9"/>
  <c r="C32" i="9"/>
  <c r="A33" i="9"/>
  <c r="AM32" i="9"/>
  <c r="AC32" i="9"/>
  <c r="B32" i="9"/>
  <c r="CO31" i="6"/>
  <c r="BI31" i="13"/>
  <c r="L31" i="13"/>
  <c r="BN31" i="9"/>
  <c r="BP31" i="9" s="1"/>
  <c r="BX31" i="6"/>
  <c r="AW31" i="9"/>
  <c r="AY31" i="9" s="1"/>
  <c r="AO31" i="13"/>
  <c r="AQ31" i="13" s="1"/>
  <c r="AL31" i="13"/>
  <c r="AN31" i="13" s="1"/>
  <c r="AD31" i="9"/>
  <c r="AR31" i="6"/>
  <c r="BJ30" i="13"/>
  <c r="L31" i="12"/>
  <c r="Z30" i="12"/>
  <c r="O31" i="12" l="1"/>
  <c r="Q31" i="12" s="1"/>
  <c r="Y31" i="12"/>
  <c r="AA33" i="4"/>
  <c r="AS32" i="4"/>
  <c r="AK33" i="6"/>
  <c r="AJ33" i="8"/>
  <c r="J33" i="8"/>
  <c r="H33" i="8"/>
  <c r="G33" i="8"/>
  <c r="F33" i="8"/>
  <c r="E33" i="8"/>
  <c r="D33" i="8"/>
  <c r="C33" i="8"/>
  <c r="A34" i="8"/>
  <c r="B33" i="8"/>
  <c r="BJ33" i="8"/>
  <c r="S33" i="8"/>
  <c r="AW33" i="8"/>
  <c r="Q32" i="6"/>
  <c r="S32" i="6" s="1"/>
  <c r="CN33" i="6"/>
  <c r="BM33" i="6"/>
  <c r="P33" i="6"/>
  <c r="DO33" i="6"/>
  <c r="AZ33" i="6"/>
  <c r="DF33" i="6"/>
  <c r="BV33" i="6"/>
  <c r="N33" i="6"/>
  <c r="J33" i="6"/>
  <c r="A34" i="6"/>
  <c r="F33" i="6"/>
  <c r="D33" i="6"/>
  <c r="CE33" i="6"/>
  <c r="M33" i="6"/>
  <c r="AQ33" i="6" s="1"/>
  <c r="AS33" i="6" s="1"/>
  <c r="L33" i="6"/>
  <c r="K33" i="6"/>
  <c r="I33" i="6"/>
  <c r="H33" i="6"/>
  <c r="G33" i="6"/>
  <c r="E33" i="6"/>
  <c r="C33" i="6"/>
  <c r="B33" i="6"/>
  <c r="CW33" i="6"/>
  <c r="AC33" i="6"/>
  <c r="BN32" i="6"/>
  <c r="BP32" i="6" s="1"/>
  <c r="U32" i="4"/>
  <c r="W32" i="4" s="1"/>
  <c r="AD32" i="6"/>
  <c r="AF32" i="6" s="1"/>
  <c r="CX32" i="6"/>
  <c r="CZ32" i="6" s="1"/>
  <c r="CF32" i="6"/>
  <c r="CH32" i="6" s="1"/>
  <c r="AE31" i="4"/>
  <c r="BY31" i="6"/>
  <c r="CO32" i="6"/>
  <c r="CQ32" i="6" s="1"/>
  <c r="AG31" i="12"/>
  <c r="AI31" i="12" s="1"/>
  <c r="I33" i="12"/>
  <c r="L33" i="12" s="1"/>
  <c r="BL33" i="9"/>
  <c r="J33" i="9"/>
  <c r="M33" i="9" s="1"/>
  <c r="AA33" i="12"/>
  <c r="AD33" i="12" s="1"/>
  <c r="R33" i="12"/>
  <c r="U33" i="12" s="1"/>
  <c r="AB33" i="9"/>
  <c r="AE33" i="9" s="1"/>
  <c r="S33" i="9"/>
  <c r="V33" i="9" s="1"/>
  <c r="AU33" i="9"/>
  <c r="AX33" i="9" s="1"/>
  <c r="BY33" i="9"/>
  <c r="DN33" i="6"/>
  <c r="DQ33" i="6" s="1"/>
  <c r="CM33" i="6"/>
  <c r="BL33" i="6"/>
  <c r="CD33" i="6"/>
  <c r="AY33" i="6"/>
  <c r="DE33" i="6"/>
  <c r="DH33" i="6" s="1"/>
  <c r="O33" i="6"/>
  <c r="R33" i="6" s="1"/>
  <c r="BU33" i="6"/>
  <c r="BX33" i="6" s="1"/>
  <c r="CV33" i="6"/>
  <c r="CY33" i="6" s="1"/>
  <c r="AB33" i="6"/>
  <c r="AI33" i="8"/>
  <c r="AL33" i="8" s="1"/>
  <c r="I33" i="8"/>
  <c r="L33" i="8" s="1"/>
  <c r="BI33" i="8"/>
  <c r="BL33" i="8" s="1"/>
  <c r="BM33" i="8" s="1"/>
  <c r="R33" i="8"/>
  <c r="U33" i="8" s="1"/>
  <c r="AV33" i="8"/>
  <c r="AY33" i="8" s="1"/>
  <c r="BF33" i="13"/>
  <c r="BI33" i="13" s="1"/>
  <c r="J33" i="13"/>
  <c r="M33" i="13" s="1"/>
  <c r="AW33" i="13"/>
  <c r="BO33" i="13"/>
  <c r="BR33" i="13" s="1"/>
  <c r="AJ33" i="13"/>
  <c r="AM33" i="13" s="1"/>
  <c r="D33" i="4"/>
  <c r="A34" i="4"/>
  <c r="AK34" i="6" s="1"/>
  <c r="C33" i="4"/>
  <c r="B33" i="4"/>
  <c r="BM33" i="4"/>
  <c r="W33" i="13"/>
  <c r="Z33" i="13" s="1"/>
  <c r="BA33" i="4"/>
  <c r="BD33" i="4" s="1"/>
  <c r="E33" i="4"/>
  <c r="T33" i="4"/>
  <c r="S33" i="4"/>
  <c r="V33" i="4" s="1"/>
  <c r="BB33" i="4"/>
  <c r="J33" i="4"/>
  <c r="AQ33" i="4"/>
  <c r="I33" i="4"/>
  <c r="L33" i="4" s="1"/>
  <c r="AP33" i="4"/>
  <c r="H33" i="4"/>
  <c r="G33" i="4"/>
  <c r="F33" i="4"/>
  <c r="AH33" i="4"/>
  <c r="AG33" i="4"/>
  <c r="AJ33" i="4" s="1"/>
  <c r="BL33" i="4"/>
  <c r="BO33" i="4" s="1"/>
  <c r="BW32" i="6"/>
  <c r="CQ31" i="6"/>
  <c r="BC32" i="4"/>
  <c r="AR32" i="4"/>
  <c r="BA32" i="6"/>
  <c r="BC32" i="6" s="1"/>
  <c r="V32" i="4"/>
  <c r="BC31" i="13"/>
  <c r="BE31" i="13" s="1"/>
  <c r="AD32" i="9"/>
  <c r="AF32" i="9" s="1"/>
  <c r="AJ32" i="12"/>
  <c r="AM32" i="12" s="1"/>
  <c r="AU31" i="12"/>
  <c r="AW31" i="12" s="1"/>
  <c r="AX31" i="12"/>
  <c r="AZ31" i="12" s="1"/>
  <c r="DP32" i="6"/>
  <c r="DR32" i="6" s="1"/>
  <c r="AP30" i="12"/>
  <c r="AR30" i="12" s="1"/>
  <c r="AP31" i="13"/>
  <c r="AR31" i="13" s="1"/>
  <c r="AK33" i="12"/>
  <c r="AT33" i="12"/>
  <c r="AM33" i="9"/>
  <c r="K33" i="9"/>
  <c r="AB33" i="12"/>
  <c r="BM33" i="9"/>
  <c r="AC33" i="9"/>
  <c r="T33" i="9"/>
  <c r="I33" i="9"/>
  <c r="H33" i="9"/>
  <c r="G33" i="9"/>
  <c r="B33" i="9"/>
  <c r="BZ33" i="9"/>
  <c r="AV33" i="9"/>
  <c r="F33" i="9"/>
  <c r="E33" i="9"/>
  <c r="D33" i="9"/>
  <c r="C33" i="9"/>
  <c r="A34" i="9"/>
  <c r="AR29" i="12"/>
  <c r="BN32" i="9"/>
  <c r="BP32" i="9" s="1"/>
  <c r="BO32" i="6"/>
  <c r="AS32" i="12"/>
  <c r="AV32" i="12" s="1"/>
  <c r="C33" i="11"/>
  <c r="B33" i="11"/>
  <c r="A34" i="11"/>
  <c r="AT31" i="4"/>
  <c r="BQ32" i="13"/>
  <c r="CA32" i="9"/>
  <c r="Y32" i="13"/>
  <c r="AA32" i="13" s="1"/>
  <c r="AW32" i="9"/>
  <c r="BE31" i="4"/>
  <c r="BB32" i="13"/>
  <c r="BD32" i="13" s="1"/>
  <c r="AY32" i="13"/>
  <c r="BA32" i="13" s="1"/>
  <c r="U32" i="9"/>
  <c r="W32" i="9" s="1"/>
  <c r="J33" i="12"/>
  <c r="H33" i="12"/>
  <c r="S33" i="12"/>
  <c r="A34" i="12"/>
  <c r="F33" i="12"/>
  <c r="C33" i="12"/>
  <c r="G33" i="12"/>
  <c r="E33" i="12"/>
  <c r="B33" i="12"/>
  <c r="D33" i="12"/>
  <c r="Z31" i="12"/>
  <c r="AR32" i="6"/>
  <c r="AT32" i="6" s="1"/>
  <c r="BN32" i="4"/>
  <c r="L32" i="13"/>
  <c r="N32" i="13" s="1"/>
  <c r="AC32" i="12"/>
  <c r="AF32" i="12"/>
  <c r="AH32" i="12" s="1"/>
  <c r="CB32" i="9"/>
  <c r="BP31" i="6"/>
  <c r="BR32" i="13"/>
  <c r="BG33" i="13"/>
  <c r="K33" i="13"/>
  <c r="I33" i="13"/>
  <c r="A34" i="13"/>
  <c r="H33" i="13"/>
  <c r="G33" i="13"/>
  <c r="F33" i="13"/>
  <c r="E33" i="13"/>
  <c r="C33" i="13"/>
  <c r="AX33" i="13"/>
  <c r="B33" i="13"/>
  <c r="X33" i="13"/>
  <c r="AK33" i="13"/>
  <c r="BP33" i="13"/>
  <c r="D33" i="13"/>
  <c r="AO32" i="13"/>
  <c r="AL32" i="13"/>
  <c r="L32" i="9"/>
  <c r="N32" i="9" s="1"/>
  <c r="AF31" i="9"/>
  <c r="AX32" i="8"/>
  <c r="N32" i="12"/>
  <c r="K32" i="12"/>
  <c r="M32" i="12" s="1"/>
  <c r="CG32" i="6"/>
  <c r="CZ31" i="6"/>
  <c r="R32" i="6"/>
  <c r="AY30" i="12"/>
  <c r="AT31" i="6"/>
  <c r="AJ33" i="9"/>
  <c r="AE32" i="6"/>
  <c r="T32" i="8"/>
  <c r="W32" i="12"/>
  <c r="Y32" i="12" s="1"/>
  <c r="T32" i="12"/>
  <c r="V32" i="12" s="1"/>
  <c r="AV31" i="12"/>
  <c r="AW30" i="12"/>
  <c r="CC31" i="9"/>
  <c r="BM32" i="8"/>
  <c r="BH32" i="13"/>
  <c r="BJ32" i="13" s="1"/>
  <c r="AI32" i="4"/>
  <c r="AK32" i="4" s="1"/>
  <c r="K32" i="8"/>
  <c r="AJ32" i="4"/>
  <c r="N31" i="9"/>
  <c r="AK32" i="8"/>
  <c r="CH31" i="6"/>
  <c r="BC31" i="6"/>
  <c r="DQ32" i="6"/>
  <c r="BO32" i="9"/>
  <c r="BK32" i="8"/>
  <c r="AO31" i="12"/>
  <c r="AQ31" i="12" s="1"/>
  <c r="AL31" i="12"/>
  <c r="AN31" i="12" s="1"/>
  <c r="M31" i="8"/>
  <c r="N31" i="13"/>
  <c r="AC32" i="4"/>
  <c r="AE32" i="4" s="1"/>
  <c r="K32" i="4"/>
  <c r="DG32" i="6"/>
  <c r="DI32" i="6" s="1"/>
  <c r="L32" i="12"/>
  <c r="Z32" i="13"/>
  <c r="AD31" i="4"/>
  <c r="AA34" i="4" l="1"/>
  <c r="AS33" i="4"/>
  <c r="X32" i="12"/>
  <c r="Z32" i="12" s="1"/>
  <c r="BA33" i="6"/>
  <c r="BC33" i="6" s="1"/>
  <c r="BC33" i="4"/>
  <c r="BE33" i="4" s="1"/>
  <c r="AR33" i="4"/>
  <c r="CF33" i="6"/>
  <c r="CH33" i="6" s="1"/>
  <c r="AG32" i="12"/>
  <c r="AI32" i="12" s="1"/>
  <c r="BN33" i="6"/>
  <c r="BP33" i="6" s="1"/>
  <c r="AB34" i="12"/>
  <c r="AK34" i="12"/>
  <c r="BM34" i="9"/>
  <c r="AM34" i="9"/>
  <c r="AT34" i="12"/>
  <c r="C34" i="9"/>
  <c r="B34" i="9"/>
  <c r="AC34" i="9"/>
  <c r="D34" i="9"/>
  <c r="BZ34" i="9"/>
  <c r="T34" i="9"/>
  <c r="K34" i="9"/>
  <c r="F34" i="9"/>
  <c r="E34" i="9"/>
  <c r="A35" i="9"/>
  <c r="H34" i="9"/>
  <c r="G34" i="9"/>
  <c r="AV34" i="9"/>
  <c r="I34" i="9"/>
  <c r="Y33" i="13"/>
  <c r="CO33" i="6"/>
  <c r="CQ33" i="6" s="1"/>
  <c r="DP33" i="6"/>
  <c r="DR33" i="6" s="1"/>
  <c r="I34" i="12"/>
  <c r="L34" i="12" s="1"/>
  <c r="AA34" i="12"/>
  <c r="AD34" i="12" s="1"/>
  <c r="S34" i="9"/>
  <c r="V34" i="9" s="1"/>
  <c r="BL34" i="9"/>
  <c r="BO34" i="9" s="1"/>
  <c r="R34" i="12"/>
  <c r="U34" i="12" s="1"/>
  <c r="AB34" i="9"/>
  <c r="AE34" i="9" s="1"/>
  <c r="BY34" i="9"/>
  <c r="CB34" i="9" s="1"/>
  <c r="AU34" i="9"/>
  <c r="AX34" i="9" s="1"/>
  <c r="BL34" i="6"/>
  <c r="O34" i="6"/>
  <c r="R34" i="6" s="1"/>
  <c r="DE34" i="6"/>
  <c r="DH34" i="6" s="1"/>
  <c r="J34" i="9"/>
  <c r="M34" i="9" s="1"/>
  <c r="CM34" i="6"/>
  <c r="CD34" i="6"/>
  <c r="AY34" i="6"/>
  <c r="DN34" i="6"/>
  <c r="CV34" i="6"/>
  <c r="CY34" i="6" s="1"/>
  <c r="AB34" i="6"/>
  <c r="AE34" i="6" s="1"/>
  <c r="BU34" i="6"/>
  <c r="BX34" i="6" s="1"/>
  <c r="AI34" i="8"/>
  <c r="AL34" i="8" s="1"/>
  <c r="I34" i="8"/>
  <c r="L34" i="8" s="1"/>
  <c r="BI34" i="8"/>
  <c r="BL34" i="8" s="1"/>
  <c r="BM34" i="8" s="1"/>
  <c r="R34" i="8"/>
  <c r="U34" i="8" s="1"/>
  <c r="AV34" i="8"/>
  <c r="AY34" i="8" s="1"/>
  <c r="AW34" i="13"/>
  <c r="AZ34" i="13" s="1"/>
  <c r="W34" i="13"/>
  <c r="Z34" i="13" s="1"/>
  <c r="BO34" i="13"/>
  <c r="BR34" i="13" s="1"/>
  <c r="AJ34" i="13"/>
  <c r="AM34" i="13" s="1"/>
  <c r="B34" i="4"/>
  <c r="T34" i="4"/>
  <c r="BF34" i="13"/>
  <c r="BI34" i="13" s="1"/>
  <c r="J34" i="13"/>
  <c r="M34" i="13" s="1"/>
  <c r="A35" i="4"/>
  <c r="AK35" i="6" s="1"/>
  <c r="C34" i="4"/>
  <c r="S34" i="4"/>
  <c r="V34" i="4" s="1"/>
  <c r="BB34" i="4"/>
  <c r="BA34" i="4"/>
  <c r="J34" i="4"/>
  <c r="AQ34" i="4"/>
  <c r="I34" i="4"/>
  <c r="L34" i="4" s="1"/>
  <c r="AP34" i="4"/>
  <c r="H34" i="4"/>
  <c r="G34" i="4"/>
  <c r="F34" i="4"/>
  <c r="E34" i="4"/>
  <c r="D34" i="4"/>
  <c r="AH34" i="4"/>
  <c r="AG34" i="4"/>
  <c r="AJ34" i="4" s="1"/>
  <c r="BM34" i="4"/>
  <c r="BL34" i="4"/>
  <c r="BO34" i="4" s="1"/>
  <c r="AJ34" i="9"/>
  <c r="AT32" i="4"/>
  <c r="CA33" i="9"/>
  <c r="AW33" i="9"/>
  <c r="BE32" i="4"/>
  <c r="AP32" i="13"/>
  <c r="AR32" i="13" s="1"/>
  <c r="AY31" i="12"/>
  <c r="BA31" i="12" s="1"/>
  <c r="AO33" i="13"/>
  <c r="AL33" i="13"/>
  <c r="AN33" i="13" s="1"/>
  <c r="U33" i="9"/>
  <c r="W33" i="9" s="1"/>
  <c r="M32" i="8"/>
  <c r="CB33" i="9"/>
  <c r="BN33" i="4"/>
  <c r="BQ33" i="13"/>
  <c r="BS33" i="13" s="1"/>
  <c r="AD33" i="9"/>
  <c r="AF33" i="9" s="1"/>
  <c r="CG33" i="6"/>
  <c r="AR33" i="6"/>
  <c r="AS34" i="6"/>
  <c r="AI33" i="4"/>
  <c r="AK33" i="4" s="1"/>
  <c r="BB33" i="13"/>
  <c r="BD33" i="13" s="1"/>
  <c r="AY33" i="13"/>
  <c r="BA33" i="13" s="1"/>
  <c r="T33" i="12"/>
  <c r="V33" i="12" s="1"/>
  <c r="W33" i="12"/>
  <c r="X33" i="12" s="1"/>
  <c r="AO32" i="12"/>
  <c r="AQ32" i="12" s="1"/>
  <c r="AL32" i="12"/>
  <c r="AN32" i="12" s="1"/>
  <c r="L33" i="13"/>
  <c r="N33" i="13" s="1"/>
  <c r="AF33" i="12"/>
  <c r="AH33" i="12" s="1"/>
  <c r="AC33" i="12"/>
  <c r="D34" i="13"/>
  <c r="C34" i="13"/>
  <c r="AX34" i="13"/>
  <c r="B34" i="13"/>
  <c r="X34" i="13"/>
  <c r="BP34" i="13"/>
  <c r="BG34" i="13"/>
  <c r="K34" i="13"/>
  <c r="I34" i="13"/>
  <c r="F34" i="13"/>
  <c r="E34" i="13"/>
  <c r="A35" i="13"/>
  <c r="AK34" i="13"/>
  <c r="H34" i="13"/>
  <c r="G34" i="13"/>
  <c r="AJ33" i="12"/>
  <c r="AM33" i="12" s="1"/>
  <c r="BH33" i="13"/>
  <c r="BJ33" i="13" s="1"/>
  <c r="L33" i="9"/>
  <c r="N33" i="9" s="1"/>
  <c r="BP32" i="4"/>
  <c r="AX33" i="8"/>
  <c r="BN33" i="9"/>
  <c r="BP33" i="9" s="1"/>
  <c r="BM34" i="6"/>
  <c r="P34" i="6"/>
  <c r="N34" i="6"/>
  <c r="DF34" i="6"/>
  <c r="M34" i="6"/>
  <c r="AR34" i="6" s="1"/>
  <c r="L34" i="6"/>
  <c r="K34" i="6"/>
  <c r="CE34" i="6"/>
  <c r="J34" i="6"/>
  <c r="CN34" i="6"/>
  <c r="AZ34" i="6"/>
  <c r="DO34" i="6"/>
  <c r="I34" i="6"/>
  <c r="E34" i="6"/>
  <c r="A35" i="6"/>
  <c r="AC34" i="6"/>
  <c r="G34" i="6"/>
  <c r="F34" i="6"/>
  <c r="CW34" i="6"/>
  <c r="D34" i="6"/>
  <c r="C34" i="6"/>
  <c r="B34" i="6"/>
  <c r="BV34" i="6"/>
  <c r="H34" i="6"/>
  <c r="AZ32" i="8"/>
  <c r="T33" i="8"/>
  <c r="V33" i="8" s="1"/>
  <c r="N33" i="12"/>
  <c r="P33" i="12" s="1"/>
  <c r="K33" i="12"/>
  <c r="M33" i="12" s="1"/>
  <c r="J34" i="8"/>
  <c r="H34" i="8"/>
  <c r="G34" i="8"/>
  <c r="F34" i="8"/>
  <c r="E34" i="8"/>
  <c r="C34" i="8"/>
  <c r="AJ34" i="8"/>
  <c r="D34" i="8"/>
  <c r="B34" i="8"/>
  <c r="A35" i="8"/>
  <c r="S34" i="8"/>
  <c r="AW34" i="8"/>
  <c r="BJ34" i="8"/>
  <c r="BS32" i="13"/>
  <c r="H34" i="12"/>
  <c r="G34" i="12"/>
  <c r="A35" i="12"/>
  <c r="F34" i="12"/>
  <c r="E34" i="12"/>
  <c r="D34" i="12"/>
  <c r="C34" i="12"/>
  <c r="B34" i="12"/>
  <c r="J34" i="12"/>
  <c r="S34" i="12"/>
  <c r="A35" i="11"/>
  <c r="C34" i="11"/>
  <c r="B34" i="11"/>
  <c r="BK33" i="8"/>
  <c r="AP31" i="12"/>
  <c r="AR31" i="12" s="1"/>
  <c r="CC32" i="9"/>
  <c r="AC33" i="4"/>
  <c r="K33" i="4"/>
  <c r="M33" i="4" s="1"/>
  <c r="K33" i="8"/>
  <c r="M33" i="8" s="1"/>
  <c r="BY32" i="6"/>
  <c r="AE32" i="12"/>
  <c r="AS33" i="12"/>
  <c r="AV33" i="12" s="1"/>
  <c r="AK33" i="8"/>
  <c r="AD33" i="6"/>
  <c r="AF33" i="6" s="1"/>
  <c r="V32" i="8"/>
  <c r="AE33" i="6"/>
  <c r="AX32" i="12"/>
  <c r="AU32" i="12"/>
  <c r="O32" i="12"/>
  <c r="CX33" i="6"/>
  <c r="CZ33" i="6" s="1"/>
  <c r="AF31" i="4"/>
  <c r="P32" i="12"/>
  <c r="AY32" i="9"/>
  <c r="Q34" i="4"/>
  <c r="BW33" i="6"/>
  <c r="BA30" i="12"/>
  <c r="AD32" i="4"/>
  <c r="AM32" i="8"/>
  <c r="M32" i="4"/>
  <c r="AQ32" i="13"/>
  <c r="AZ33" i="13"/>
  <c r="BO33" i="9"/>
  <c r="AN32" i="13"/>
  <c r="BB33" i="6"/>
  <c r="U33" i="4"/>
  <c r="W33" i="4" s="1"/>
  <c r="Q33" i="6"/>
  <c r="BC32" i="13"/>
  <c r="BE32" i="13" s="1"/>
  <c r="DG33" i="6"/>
  <c r="DI33" i="6" s="1"/>
  <c r="CP33" i="6"/>
  <c r="BO33" i="6"/>
  <c r="Z33" i="12" l="1"/>
  <c r="AT33" i="4"/>
  <c r="AG33" i="12"/>
  <c r="AI33" i="12" s="1"/>
  <c r="Y33" i="12"/>
  <c r="Q35" i="4"/>
  <c r="DP34" i="6"/>
  <c r="DR34" i="6" s="1"/>
  <c r="AR34" i="4"/>
  <c r="BC34" i="4"/>
  <c r="AT34" i="4" s="1"/>
  <c r="BA34" i="6"/>
  <c r="BC34" i="6" s="1"/>
  <c r="AY33" i="9"/>
  <c r="J35" i="8"/>
  <c r="H35" i="8"/>
  <c r="G35" i="8"/>
  <c r="F35" i="8"/>
  <c r="E35" i="8"/>
  <c r="D35" i="8"/>
  <c r="A36" i="8"/>
  <c r="B35" i="8"/>
  <c r="AW35" i="8"/>
  <c r="C35" i="8"/>
  <c r="AJ35" i="8"/>
  <c r="S35" i="8"/>
  <c r="BJ35" i="8"/>
  <c r="AT34" i="6"/>
  <c r="CF34" i="6"/>
  <c r="CH34" i="6" s="1"/>
  <c r="CO34" i="6"/>
  <c r="AA35" i="4"/>
  <c r="AE33" i="4"/>
  <c r="U34" i="4"/>
  <c r="W34" i="4" s="1"/>
  <c r="L34" i="9"/>
  <c r="CP34" i="6"/>
  <c r="DG34" i="6"/>
  <c r="DI34" i="6" s="1"/>
  <c r="K35" i="6"/>
  <c r="CE35" i="6"/>
  <c r="J35" i="6"/>
  <c r="I35" i="6"/>
  <c r="H35" i="6"/>
  <c r="G35" i="6"/>
  <c r="A36" i="6"/>
  <c r="F35" i="6"/>
  <c r="AC35" i="6"/>
  <c r="E35" i="6"/>
  <c r="CW35" i="6"/>
  <c r="BM35" i="6"/>
  <c r="CN35" i="6"/>
  <c r="DO35" i="6"/>
  <c r="N35" i="6"/>
  <c r="L35" i="6"/>
  <c r="DF35" i="6"/>
  <c r="B35" i="6"/>
  <c r="P35" i="6"/>
  <c r="M35" i="6"/>
  <c r="AR35" i="6" s="1"/>
  <c r="AT35" i="6" s="1"/>
  <c r="D35" i="6"/>
  <c r="C35" i="6"/>
  <c r="BV35" i="6"/>
  <c r="AZ35" i="6"/>
  <c r="R35" i="12"/>
  <c r="U35" i="12" s="1"/>
  <c r="AA35" i="12"/>
  <c r="AD35" i="12" s="1"/>
  <c r="I35" i="12"/>
  <c r="L35" i="12" s="1"/>
  <c r="S35" i="9"/>
  <c r="V35" i="9" s="1"/>
  <c r="BL35" i="9"/>
  <c r="BO35" i="9" s="1"/>
  <c r="J35" i="9"/>
  <c r="M35" i="9" s="1"/>
  <c r="AU35" i="9"/>
  <c r="AX35" i="9" s="1"/>
  <c r="BY35" i="9"/>
  <c r="CB35" i="9" s="1"/>
  <c r="AB35" i="9"/>
  <c r="AE35" i="9" s="1"/>
  <c r="CD35" i="6"/>
  <c r="CV35" i="6"/>
  <c r="CY35" i="6" s="1"/>
  <c r="AB35" i="6"/>
  <c r="AE35" i="6" s="1"/>
  <c r="BL35" i="6"/>
  <c r="DE35" i="6"/>
  <c r="O35" i="6"/>
  <c r="R35" i="6" s="1"/>
  <c r="CM35" i="6"/>
  <c r="BU35" i="6"/>
  <c r="BX35" i="6" s="1"/>
  <c r="AY35" i="6"/>
  <c r="BB35" i="6" s="1"/>
  <c r="DN35" i="6"/>
  <c r="DQ35" i="6" s="1"/>
  <c r="I35" i="8"/>
  <c r="L35" i="8" s="1"/>
  <c r="AI35" i="8"/>
  <c r="AL35" i="8" s="1"/>
  <c r="AV35" i="8"/>
  <c r="AY35" i="8" s="1"/>
  <c r="R35" i="8"/>
  <c r="U35" i="8" s="1"/>
  <c r="BI35" i="8"/>
  <c r="BL35" i="8" s="1"/>
  <c r="BM35" i="8" s="1"/>
  <c r="BO35" i="13"/>
  <c r="BR35" i="13" s="1"/>
  <c r="AJ35" i="13"/>
  <c r="AM35" i="13" s="1"/>
  <c r="BF35" i="13"/>
  <c r="J35" i="13"/>
  <c r="M35" i="13" s="1"/>
  <c r="W35" i="13"/>
  <c r="Z35" i="13" s="1"/>
  <c r="T35" i="4"/>
  <c r="AQ35" i="4"/>
  <c r="S35" i="4"/>
  <c r="AP35" i="4"/>
  <c r="AW35" i="13"/>
  <c r="AZ35" i="13" s="1"/>
  <c r="BL35" i="4"/>
  <c r="BB35" i="4"/>
  <c r="BA35" i="4"/>
  <c r="J35" i="4"/>
  <c r="I35" i="4"/>
  <c r="L35" i="4" s="1"/>
  <c r="H35" i="4"/>
  <c r="G35" i="4"/>
  <c r="F35" i="4"/>
  <c r="E35" i="4"/>
  <c r="D35" i="4"/>
  <c r="C35" i="4"/>
  <c r="B35" i="4"/>
  <c r="AH35" i="4"/>
  <c r="BM35" i="4"/>
  <c r="A36" i="4"/>
  <c r="AG35" i="4"/>
  <c r="Q34" i="6"/>
  <c r="S34" i="6" s="1"/>
  <c r="AL33" i="12"/>
  <c r="AO33" i="12"/>
  <c r="AQ33" i="12" s="1"/>
  <c r="AP32" i="12"/>
  <c r="AR32" i="12" s="1"/>
  <c r="L34" i="13"/>
  <c r="BN34" i="6"/>
  <c r="BP34" i="6" s="1"/>
  <c r="BO34" i="6"/>
  <c r="BP33" i="4"/>
  <c r="BH34" i="13"/>
  <c r="BJ34" i="13" s="1"/>
  <c r="AW34" i="9"/>
  <c r="CA34" i="9"/>
  <c r="AY32" i="12"/>
  <c r="BA32" i="12" s="1"/>
  <c r="AZ33" i="8"/>
  <c r="O33" i="12"/>
  <c r="Q33" i="12" s="1"/>
  <c r="AD34" i="9"/>
  <c r="BP35" i="13"/>
  <c r="AK35" i="13"/>
  <c r="BG35" i="13"/>
  <c r="K35" i="13"/>
  <c r="I35" i="13"/>
  <c r="A36" i="13"/>
  <c r="H35" i="13"/>
  <c r="G35" i="13"/>
  <c r="E35" i="13"/>
  <c r="D35" i="13"/>
  <c r="AX35" i="13"/>
  <c r="B35" i="13"/>
  <c r="X35" i="13"/>
  <c r="F35" i="13"/>
  <c r="C35" i="13"/>
  <c r="BN34" i="4"/>
  <c r="BP34" i="4" s="1"/>
  <c r="AO34" i="13"/>
  <c r="AL34" i="13"/>
  <c r="AJ35" i="9"/>
  <c r="BQ34" i="13"/>
  <c r="T34" i="12"/>
  <c r="W34" i="12"/>
  <c r="Y34" i="12" s="1"/>
  <c r="CG34" i="6"/>
  <c r="AI34" i="4"/>
  <c r="AK34" i="4" s="1"/>
  <c r="Y34" i="13"/>
  <c r="AA34" i="13" s="1"/>
  <c r="BN34" i="9"/>
  <c r="BP34" i="9" s="1"/>
  <c r="AY34" i="13"/>
  <c r="BA34" i="13" s="1"/>
  <c r="BB34" i="13"/>
  <c r="U34" i="9"/>
  <c r="W34" i="9" s="1"/>
  <c r="AP33" i="13"/>
  <c r="AR33" i="13" s="1"/>
  <c r="AX34" i="8"/>
  <c r="AF34" i="12"/>
  <c r="AC34" i="12"/>
  <c r="AE34" i="12" s="1"/>
  <c r="BD34" i="4"/>
  <c r="AX33" i="12"/>
  <c r="AZ33" i="12" s="1"/>
  <c r="AU33" i="12"/>
  <c r="AW33" i="12" s="1"/>
  <c r="A36" i="11"/>
  <c r="C35" i="11"/>
  <c r="B35" i="11"/>
  <c r="BC33" i="13"/>
  <c r="BE33" i="13" s="1"/>
  <c r="T34" i="8"/>
  <c r="V34" i="8" s="1"/>
  <c r="N34" i="12"/>
  <c r="K34" i="12"/>
  <c r="M34" i="12" s="1"/>
  <c r="AB35" i="12"/>
  <c r="AK35" i="12"/>
  <c r="A36" i="9"/>
  <c r="T35" i="9"/>
  <c r="BM35" i="9"/>
  <c r="AT35" i="12"/>
  <c r="AV35" i="9"/>
  <c r="BZ35" i="9"/>
  <c r="I35" i="9"/>
  <c r="G35" i="9"/>
  <c r="F35" i="9"/>
  <c r="E35" i="9"/>
  <c r="D35" i="9"/>
  <c r="K35" i="9"/>
  <c r="AC35" i="9"/>
  <c r="C35" i="9"/>
  <c r="B35" i="9"/>
  <c r="AM35" i="9"/>
  <c r="H35" i="9"/>
  <c r="AS34" i="4"/>
  <c r="AD33" i="4"/>
  <c r="AF33" i="4" s="1"/>
  <c r="BK34" i="8"/>
  <c r="AT33" i="6"/>
  <c r="AE33" i="12"/>
  <c r="D35" i="12"/>
  <c r="C35" i="12"/>
  <c r="B35" i="12"/>
  <c r="F35" i="12"/>
  <c r="S35" i="12"/>
  <c r="E35" i="12"/>
  <c r="A36" i="12"/>
  <c r="J35" i="12"/>
  <c r="H35" i="12"/>
  <c r="G35" i="12"/>
  <c r="BY33" i="6"/>
  <c r="K34" i="8"/>
  <c r="M34" i="8" s="1"/>
  <c r="S33" i="6"/>
  <c r="AQ33" i="13"/>
  <c r="AJ34" i="12"/>
  <c r="AM34" i="12" s="1"/>
  <c r="AK34" i="8"/>
  <c r="DQ34" i="6"/>
  <c r="AM33" i="8"/>
  <c r="Q32" i="12"/>
  <c r="AS34" i="12"/>
  <c r="AZ32" i="12"/>
  <c r="BW34" i="6"/>
  <c r="AF32" i="4"/>
  <c r="AW32" i="12"/>
  <c r="AC34" i="4"/>
  <c r="AE34" i="4" s="1"/>
  <c r="K34" i="4"/>
  <c r="AD34" i="6"/>
  <c r="AF34" i="6" s="1"/>
  <c r="BB34" i="6"/>
  <c r="CC33" i="9"/>
  <c r="CX34" i="6"/>
  <c r="CZ34" i="6" s="1"/>
  <c r="AA33" i="13"/>
  <c r="BE34" i="4" l="1"/>
  <c r="X34" i="12"/>
  <c r="Z34" i="12" s="1"/>
  <c r="R36" i="12"/>
  <c r="U36" i="12" s="1"/>
  <c r="AA36" i="12"/>
  <c r="AD36" i="12" s="1"/>
  <c r="AU36" i="9"/>
  <c r="AX36" i="9" s="1"/>
  <c r="I36" i="12"/>
  <c r="L36" i="12" s="1"/>
  <c r="S36" i="9"/>
  <c r="V36" i="9" s="1"/>
  <c r="BY36" i="9"/>
  <c r="CB36" i="9" s="1"/>
  <c r="AB36" i="9"/>
  <c r="AE36" i="9" s="1"/>
  <c r="AB36" i="6"/>
  <c r="BL36" i="9"/>
  <c r="BO36" i="9" s="1"/>
  <c r="CV36" i="6"/>
  <c r="AY36" i="6"/>
  <c r="BB36" i="6" s="1"/>
  <c r="BU36" i="6"/>
  <c r="BX36" i="6" s="1"/>
  <c r="DN36" i="6"/>
  <c r="DQ36" i="6" s="1"/>
  <c r="CD36" i="6"/>
  <c r="CG36" i="6" s="1"/>
  <c r="J36" i="9"/>
  <c r="M36" i="9" s="1"/>
  <c r="DE36" i="6"/>
  <c r="DH36" i="6" s="1"/>
  <c r="CM36" i="6"/>
  <c r="O36" i="6"/>
  <c r="R36" i="6" s="1"/>
  <c r="BL36" i="6"/>
  <c r="I36" i="8"/>
  <c r="L36" i="8" s="1"/>
  <c r="R36" i="8"/>
  <c r="U36" i="8" s="1"/>
  <c r="BI36" i="8"/>
  <c r="BL36" i="8" s="1"/>
  <c r="AV36" i="8"/>
  <c r="AY36" i="8" s="1"/>
  <c r="AI36" i="8"/>
  <c r="AL36" i="8" s="1"/>
  <c r="AJ36" i="13"/>
  <c r="AM36" i="13" s="1"/>
  <c r="BF36" i="13"/>
  <c r="BI36" i="13" s="1"/>
  <c r="J36" i="13"/>
  <c r="M36" i="13" s="1"/>
  <c r="AW36" i="13"/>
  <c r="AZ36" i="13" s="1"/>
  <c r="BO36" i="13"/>
  <c r="BR36" i="13" s="1"/>
  <c r="T36" i="4"/>
  <c r="AQ36" i="4"/>
  <c r="S36" i="4"/>
  <c r="V36" i="4" s="1"/>
  <c r="AP36" i="4"/>
  <c r="BM36" i="4"/>
  <c r="BL36" i="4"/>
  <c r="W36" i="13"/>
  <c r="Z36" i="13" s="1"/>
  <c r="BB36" i="4"/>
  <c r="BA36" i="4"/>
  <c r="AS36" i="4" s="1"/>
  <c r="J36" i="4"/>
  <c r="I36" i="4"/>
  <c r="L36" i="4" s="1"/>
  <c r="H36" i="4"/>
  <c r="G36" i="4"/>
  <c r="F36" i="4"/>
  <c r="E36" i="4"/>
  <c r="D36" i="4"/>
  <c r="C36" i="4"/>
  <c r="B36" i="4"/>
  <c r="A37" i="4"/>
  <c r="Q37" i="4" s="1"/>
  <c r="AG36" i="4"/>
  <c r="AJ36" i="4" s="1"/>
  <c r="AH36" i="4"/>
  <c r="CO35" i="6"/>
  <c r="CQ35" i="6" s="1"/>
  <c r="AJ35" i="12"/>
  <c r="AM35" i="12" s="1"/>
  <c r="AR35" i="4"/>
  <c r="BC35" i="4"/>
  <c r="AT35" i="4" s="1"/>
  <c r="Q35" i="6"/>
  <c r="S35" i="6" s="1"/>
  <c r="DG35" i="6"/>
  <c r="AA36" i="4"/>
  <c r="AK36" i="6"/>
  <c r="BN35" i="4"/>
  <c r="BP35" i="4" s="1"/>
  <c r="BN35" i="6"/>
  <c r="BP35" i="6" s="1"/>
  <c r="H36" i="8"/>
  <c r="G36" i="8"/>
  <c r="F36" i="8"/>
  <c r="E36" i="8"/>
  <c r="D36" i="8"/>
  <c r="C36" i="8"/>
  <c r="AW36" i="8"/>
  <c r="J36" i="8"/>
  <c r="S36" i="8"/>
  <c r="BJ36" i="8"/>
  <c r="B36" i="8"/>
  <c r="A37" i="8"/>
  <c r="AJ36" i="8"/>
  <c r="AY35" i="13"/>
  <c r="BA35" i="13" s="1"/>
  <c r="BB35" i="13"/>
  <c r="BD35" i="13" s="1"/>
  <c r="AD35" i="6"/>
  <c r="AF35" i="6" s="1"/>
  <c r="AP33" i="12"/>
  <c r="CX35" i="6"/>
  <c r="CZ35" i="6" s="1"/>
  <c r="AX34" i="12"/>
  <c r="AZ34" i="12" s="1"/>
  <c r="AU34" i="12"/>
  <c r="AW34" i="12" s="1"/>
  <c r="AP34" i="13"/>
  <c r="AR34" i="13" s="1"/>
  <c r="U35" i="4"/>
  <c r="CF35" i="6"/>
  <c r="CH35" i="6" s="1"/>
  <c r="V35" i="4"/>
  <c r="C36" i="11"/>
  <c r="B36" i="11"/>
  <c r="A37" i="11"/>
  <c r="AJ36" i="9"/>
  <c r="BC34" i="13"/>
  <c r="BE34" i="13" s="1"/>
  <c r="Q36" i="4"/>
  <c r="AD35" i="9"/>
  <c r="AF35" i="9" s="1"/>
  <c r="N34" i="13"/>
  <c r="CA35" i="9"/>
  <c r="AV34" i="12"/>
  <c r="BO35" i="4"/>
  <c r="Y35" i="13"/>
  <c r="AA35" i="13" s="1"/>
  <c r="AW35" i="9"/>
  <c r="AY35" i="9" s="1"/>
  <c r="AS35" i="12"/>
  <c r="AV35" i="12" s="1"/>
  <c r="J36" i="12"/>
  <c r="H36" i="12"/>
  <c r="G36" i="12"/>
  <c r="F36" i="12"/>
  <c r="E36" i="12"/>
  <c r="D36" i="12"/>
  <c r="C36" i="12"/>
  <c r="B36" i="12"/>
  <c r="S36" i="12"/>
  <c r="A37" i="12"/>
  <c r="AI35" i="4"/>
  <c r="AK35" i="4" s="1"/>
  <c r="L35" i="13"/>
  <c r="L35" i="9"/>
  <c r="A37" i="6"/>
  <c r="F36" i="6"/>
  <c r="AC36" i="6"/>
  <c r="E36" i="6"/>
  <c r="CW36" i="6"/>
  <c r="D36" i="6"/>
  <c r="AZ36" i="6"/>
  <c r="C36" i="6"/>
  <c r="B36" i="6"/>
  <c r="BV36" i="6"/>
  <c r="M36" i="6"/>
  <c r="AR36" i="6" s="1"/>
  <c r="AT36" i="6" s="1"/>
  <c r="L36" i="6"/>
  <c r="K36" i="6"/>
  <c r="CE36" i="6"/>
  <c r="J36" i="6"/>
  <c r="I36" i="6"/>
  <c r="H36" i="6"/>
  <c r="G36" i="6"/>
  <c r="DF36" i="6"/>
  <c r="BM36" i="6"/>
  <c r="DO36" i="6"/>
  <c r="N36" i="6"/>
  <c r="CN36" i="6"/>
  <c r="P36" i="6"/>
  <c r="AF34" i="9"/>
  <c r="BY34" i="6"/>
  <c r="AO35" i="13"/>
  <c r="AQ35" i="13" s="1"/>
  <c r="AL35" i="13"/>
  <c r="AN35" i="13" s="1"/>
  <c r="U35" i="9"/>
  <c r="W35" i="9" s="1"/>
  <c r="N34" i="9"/>
  <c r="AK36" i="12"/>
  <c r="AT36" i="12"/>
  <c r="BZ36" i="9"/>
  <c r="AB36" i="12"/>
  <c r="AV36" i="9"/>
  <c r="T36" i="9"/>
  <c r="K36" i="9"/>
  <c r="AC36" i="9"/>
  <c r="BM36" i="9"/>
  <c r="G36" i="9"/>
  <c r="F36" i="9"/>
  <c r="C36" i="9"/>
  <c r="AM36" i="9"/>
  <c r="A37" i="9"/>
  <c r="H36" i="9"/>
  <c r="E36" i="9"/>
  <c r="B36" i="9"/>
  <c r="I36" i="9"/>
  <c r="D36" i="9"/>
  <c r="BQ35" i="13"/>
  <c r="BS35" i="13" s="1"/>
  <c r="K35" i="12"/>
  <c r="M35" i="12" s="1"/>
  <c r="N35" i="12"/>
  <c r="O35" i="12" s="1"/>
  <c r="BK35" i="8"/>
  <c r="AC35" i="12"/>
  <c r="AF35" i="12"/>
  <c r="AH35" i="12" s="1"/>
  <c r="CP35" i="6"/>
  <c r="BD35" i="4"/>
  <c r="AY33" i="12"/>
  <c r="BA33" i="12" s="1"/>
  <c r="BH35" i="13"/>
  <c r="BJ35" i="13" s="1"/>
  <c r="T35" i="8"/>
  <c r="V35" i="8" s="1"/>
  <c r="W35" i="12"/>
  <c r="Y35" i="12" s="1"/>
  <c r="T35" i="12"/>
  <c r="V35" i="12" s="1"/>
  <c r="AL34" i="12"/>
  <c r="AN34" i="12" s="1"/>
  <c r="AO34" i="12"/>
  <c r="BD34" i="13"/>
  <c r="BI35" i="13"/>
  <c r="AX35" i="8"/>
  <c r="AZ35" i="8" s="1"/>
  <c r="CC34" i="9"/>
  <c r="CG35" i="6"/>
  <c r="AS35" i="4"/>
  <c r="AG34" i="12"/>
  <c r="AJ35" i="4"/>
  <c r="AK35" i="8"/>
  <c r="AM35" i="8" s="1"/>
  <c r="AN33" i="12"/>
  <c r="AY34" i="9"/>
  <c r="BN35" i="9"/>
  <c r="BP35" i="9" s="1"/>
  <c r="K35" i="8"/>
  <c r="CQ34" i="6"/>
  <c r="P34" i="12"/>
  <c r="AK36" i="13"/>
  <c r="BG36" i="13"/>
  <c r="K36" i="13"/>
  <c r="I36" i="13"/>
  <c r="A37" i="13"/>
  <c r="H36" i="13"/>
  <c r="F36" i="13"/>
  <c r="E36" i="13"/>
  <c r="D36" i="13"/>
  <c r="C36" i="13"/>
  <c r="AX36" i="13"/>
  <c r="B36" i="13"/>
  <c r="X36" i="13"/>
  <c r="BP36" i="13"/>
  <c r="G36" i="13"/>
  <c r="DP35" i="6"/>
  <c r="DR35" i="6" s="1"/>
  <c r="DH35" i="6"/>
  <c r="AH34" i="12"/>
  <c r="AM34" i="8"/>
  <c r="AD34" i="4"/>
  <c r="AF34" i="4" s="1"/>
  <c r="M34" i="4"/>
  <c r="AN34" i="13"/>
  <c r="BA35" i="6"/>
  <c r="BC35" i="6" s="1"/>
  <c r="AZ34" i="8"/>
  <c r="V34" i="12"/>
  <c r="AQ34" i="13"/>
  <c r="O34" i="12"/>
  <c r="BO35" i="6"/>
  <c r="AC35" i="4"/>
  <c r="AE35" i="4" s="1"/>
  <c r="K35" i="4"/>
  <c r="M35" i="4" s="1"/>
  <c r="BW35" i="6"/>
  <c r="BS34" i="13"/>
  <c r="BE35" i="4" l="1"/>
  <c r="P35" i="12"/>
  <c r="BD36" i="4"/>
  <c r="BV37" i="6"/>
  <c r="DO37" i="6"/>
  <c r="CN37" i="6"/>
  <c r="B37" i="6"/>
  <c r="CW37" i="6"/>
  <c r="AC37" i="6"/>
  <c r="P37" i="6"/>
  <c r="A38" i="6"/>
  <c r="CE37" i="6"/>
  <c r="K37" i="6"/>
  <c r="J37" i="6"/>
  <c r="H37" i="6"/>
  <c r="G37" i="6"/>
  <c r="E37" i="6"/>
  <c r="D37" i="6"/>
  <c r="BM37" i="6"/>
  <c r="DF37" i="6"/>
  <c r="AZ37" i="6"/>
  <c r="N37" i="6"/>
  <c r="M37" i="6"/>
  <c r="AR37" i="6" s="1"/>
  <c r="AT37" i="6" s="1"/>
  <c r="L37" i="6"/>
  <c r="F37" i="6"/>
  <c r="C37" i="6"/>
  <c r="I37" i="6"/>
  <c r="T36" i="8"/>
  <c r="V36" i="8" s="1"/>
  <c r="K36" i="8"/>
  <c r="M36" i="8" s="1"/>
  <c r="BN36" i="6"/>
  <c r="BP36" i="6" s="1"/>
  <c r="X35" i="12"/>
  <c r="K36" i="4"/>
  <c r="M36" i="4" s="1"/>
  <c r="AC36" i="4"/>
  <c r="AE36" i="4" s="1"/>
  <c r="Q36" i="6"/>
  <c r="S36" i="6" s="1"/>
  <c r="CO36" i="6"/>
  <c r="CQ36" i="6" s="1"/>
  <c r="H37" i="8"/>
  <c r="G37" i="8"/>
  <c r="F37" i="8"/>
  <c r="E37" i="8"/>
  <c r="D37" i="8"/>
  <c r="C37" i="8"/>
  <c r="A38" i="8"/>
  <c r="B37" i="8"/>
  <c r="AJ37" i="8"/>
  <c r="S37" i="8"/>
  <c r="BJ37" i="8"/>
  <c r="AW37" i="8"/>
  <c r="J37" i="8"/>
  <c r="AR36" i="4"/>
  <c r="BC36" i="4"/>
  <c r="AT36" i="4" s="1"/>
  <c r="AK37" i="6"/>
  <c r="DG36" i="6"/>
  <c r="DI36" i="6" s="1"/>
  <c r="AP34" i="12"/>
  <c r="AR34" i="12" s="1"/>
  <c r="CC35" i="9"/>
  <c r="AG35" i="12"/>
  <c r="AI35" i="12" s="1"/>
  <c r="AA37" i="4"/>
  <c r="L36" i="9"/>
  <c r="Y36" i="13"/>
  <c r="AA36" i="13" s="1"/>
  <c r="CF36" i="6"/>
  <c r="BN36" i="4"/>
  <c r="BP36" i="4" s="1"/>
  <c r="DP36" i="6"/>
  <c r="DR36" i="6" s="1"/>
  <c r="AJ37" i="9"/>
  <c r="J37" i="12"/>
  <c r="H37" i="12"/>
  <c r="G37" i="12"/>
  <c r="A38" i="12"/>
  <c r="F37" i="12"/>
  <c r="E37" i="12"/>
  <c r="S37" i="12"/>
  <c r="D37" i="12"/>
  <c r="C37" i="12"/>
  <c r="B37" i="12"/>
  <c r="BY35" i="6"/>
  <c r="AO35" i="12"/>
  <c r="AL35" i="12"/>
  <c r="BW36" i="6"/>
  <c r="BY36" i="6" s="1"/>
  <c r="AY34" i="12"/>
  <c r="BA34" i="12" s="1"/>
  <c r="BM36" i="8"/>
  <c r="U36" i="4"/>
  <c r="W36" i="4" s="1"/>
  <c r="BA36" i="6"/>
  <c r="BC36" i="6" s="1"/>
  <c r="CX36" i="6"/>
  <c r="CZ36" i="6" s="1"/>
  <c r="Q35" i="12"/>
  <c r="W35" i="4"/>
  <c r="CP36" i="6"/>
  <c r="BN36" i="9"/>
  <c r="BP36" i="9" s="1"/>
  <c r="AD35" i="4"/>
  <c r="CY36" i="6"/>
  <c r="AD36" i="6"/>
  <c r="AF36" i="6" s="1"/>
  <c r="AE35" i="12"/>
  <c r="AJ36" i="12"/>
  <c r="AM36" i="12" s="1"/>
  <c r="N35" i="13"/>
  <c r="BQ36" i="13"/>
  <c r="BS36" i="13" s="1"/>
  <c r="AD36" i="9"/>
  <c r="AF36" i="9" s="1"/>
  <c r="M35" i="8"/>
  <c r="AS36" i="12"/>
  <c r="AQ34" i="12"/>
  <c r="BO36" i="6"/>
  <c r="BB36" i="13"/>
  <c r="BD36" i="13" s="1"/>
  <c r="AY36" i="13"/>
  <c r="BA36" i="13" s="1"/>
  <c r="CA36" i="9"/>
  <c r="L36" i="13"/>
  <c r="N36" i="13" s="1"/>
  <c r="U36" i="9"/>
  <c r="W36" i="9" s="1"/>
  <c r="AI36" i="4"/>
  <c r="AK36" i="4" s="1"/>
  <c r="AI34" i="12"/>
  <c r="B37" i="11"/>
  <c r="A38" i="11"/>
  <c r="C37" i="11"/>
  <c r="N35" i="9"/>
  <c r="I37" i="12"/>
  <c r="L37" i="12" s="1"/>
  <c r="R37" i="12"/>
  <c r="U37" i="12" s="1"/>
  <c r="J37" i="9"/>
  <c r="BY37" i="9"/>
  <c r="AB37" i="9"/>
  <c r="AE37" i="9" s="1"/>
  <c r="AU37" i="9"/>
  <c r="AX37" i="9" s="1"/>
  <c r="AA37" i="12"/>
  <c r="AD37" i="12" s="1"/>
  <c r="BL37" i="9"/>
  <c r="BO37" i="9" s="1"/>
  <c r="BU37" i="6"/>
  <c r="BX37" i="6" s="1"/>
  <c r="S37" i="9"/>
  <c r="V37" i="9" s="1"/>
  <c r="DN37" i="6"/>
  <c r="AY37" i="6"/>
  <c r="BB37" i="6" s="1"/>
  <c r="BL37" i="6"/>
  <c r="BO37" i="6" s="1"/>
  <c r="CV37" i="6"/>
  <c r="CY37" i="6" s="1"/>
  <c r="AB37" i="6"/>
  <c r="CM37" i="6"/>
  <c r="CP37" i="6" s="1"/>
  <c r="O37" i="6"/>
  <c r="R37" i="6" s="1"/>
  <c r="CD37" i="6"/>
  <c r="CG37" i="6" s="1"/>
  <c r="DE37" i="6"/>
  <c r="AV37" i="8"/>
  <c r="AY37" i="8" s="1"/>
  <c r="I37" i="8"/>
  <c r="AI37" i="8"/>
  <c r="AL37" i="8" s="1"/>
  <c r="BF37" i="13"/>
  <c r="BI37" i="13" s="1"/>
  <c r="R37" i="8"/>
  <c r="BI37" i="8"/>
  <c r="AW37" i="13"/>
  <c r="AZ37" i="13" s="1"/>
  <c r="W37" i="13"/>
  <c r="BO37" i="13"/>
  <c r="BR37" i="13" s="1"/>
  <c r="AJ37" i="13"/>
  <c r="AM37" i="13" s="1"/>
  <c r="T37" i="4"/>
  <c r="J37" i="13"/>
  <c r="M37" i="13" s="1"/>
  <c r="AQ37" i="4"/>
  <c r="S37" i="4"/>
  <c r="V37" i="4" s="1"/>
  <c r="AP37" i="4"/>
  <c r="BM37" i="4"/>
  <c r="BL37" i="4"/>
  <c r="BO37" i="4" s="1"/>
  <c r="AG37" i="4"/>
  <c r="AJ37" i="4" s="1"/>
  <c r="I37" i="4"/>
  <c r="L37" i="4" s="1"/>
  <c r="BB37" i="4"/>
  <c r="BA37" i="4"/>
  <c r="AS37" i="4" s="1"/>
  <c r="J37" i="4"/>
  <c r="H37" i="4"/>
  <c r="G37" i="4"/>
  <c r="F37" i="4"/>
  <c r="E37" i="4"/>
  <c r="D37" i="4"/>
  <c r="C37" i="4"/>
  <c r="A38" i="4"/>
  <c r="AH37" i="4"/>
  <c r="B37" i="4"/>
  <c r="BH36" i="13"/>
  <c r="BJ36" i="13" s="1"/>
  <c r="N36" i="12"/>
  <c r="O36" i="12" s="1"/>
  <c r="K36" i="12"/>
  <c r="M36" i="12" s="1"/>
  <c r="AU35" i="12"/>
  <c r="AW35" i="12" s="1"/>
  <c r="AX35" i="12"/>
  <c r="AZ35" i="12" s="1"/>
  <c r="AE36" i="6"/>
  <c r="BO36" i="4"/>
  <c r="AL36" i="13"/>
  <c r="AN36" i="13" s="1"/>
  <c r="AO36" i="13"/>
  <c r="AQ36" i="13" s="1"/>
  <c r="AW36" i="9"/>
  <c r="AY36" i="9" s="1"/>
  <c r="AK36" i="8"/>
  <c r="AC36" i="12"/>
  <c r="AE36" i="12" s="1"/>
  <c r="AF36" i="12"/>
  <c r="AP35" i="13"/>
  <c r="Q34" i="12"/>
  <c r="DI35" i="6"/>
  <c r="G37" i="13"/>
  <c r="F37" i="13"/>
  <c r="E37" i="13"/>
  <c r="A38" i="13"/>
  <c r="D37" i="13"/>
  <c r="C37" i="13"/>
  <c r="AX37" i="13"/>
  <c r="B37" i="13"/>
  <c r="BP37" i="13"/>
  <c r="K37" i="13"/>
  <c r="BG37" i="13"/>
  <c r="I37" i="13"/>
  <c r="H37" i="13"/>
  <c r="AK37" i="13"/>
  <c r="X37" i="13"/>
  <c r="AK37" i="12"/>
  <c r="I37" i="9"/>
  <c r="H37" i="9"/>
  <c r="G37" i="9"/>
  <c r="BZ37" i="9"/>
  <c r="F37" i="9"/>
  <c r="AC37" i="9"/>
  <c r="E37" i="9"/>
  <c r="D37" i="9"/>
  <c r="AB37" i="12"/>
  <c r="AV37" i="9"/>
  <c r="K37" i="9"/>
  <c r="AT37" i="12"/>
  <c r="A38" i="9"/>
  <c r="AM37" i="9"/>
  <c r="BM37" i="9"/>
  <c r="T37" i="9"/>
  <c r="C37" i="9"/>
  <c r="B37" i="9"/>
  <c r="AX36" i="8"/>
  <c r="T36" i="12"/>
  <c r="W36" i="12"/>
  <c r="Y36" i="12" s="1"/>
  <c r="BC35" i="13"/>
  <c r="BE35" i="13" s="1"/>
  <c r="AR33" i="12"/>
  <c r="BK36" i="8"/>
  <c r="Q36" i="12" l="1"/>
  <c r="DP37" i="6"/>
  <c r="DR37" i="6" s="1"/>
  <c r="AF37" i="12"/>
  <c r="AH37" i="12" s="1"/>
  <c r="AC37" i="12"/>
  <c r="AE37" i="12" s="1"/>
  <c r="P36" i="12"/>
  <c r="U37" i="4"/>
  <c r="W37" i="4" s="1"/>
  <c r="AO37" i="13"/>
  <c r="AQ37" i="13" s="1"/>
  <c r="AL37" i="13"/>
  <c r="AN37" i="13" s="1"/>
  <c r="AW37" i="9"/>
  <c r="AY37" i="9" s="1"/>
  <c r="AG36" i="12"/>
  <c r="AI36" i="12" s="1"/>
  <c r="BQ37" i="13"/>
  <c r="BS37" i="13" s="1"/>
  <c r="AD37" i="9"/>
  <c r="AF37" i="9" s="1"/>
  <c r="Y37" i="13"/>
  <c r="AA37" i="13" s="1"/>
  <c r="CA37" i="9"/>
  <c r="CC37" i="9" s="1"/>
  <c r="DQ37" i="6"/>
  <c r="AR35" i="13"/>
  <c r="AA38" i="12"/>
  <c r="I38" i="12"/>
  <c r="L38" i="12" s="1"/>
  <c r="J38" i="9"/>
  <c r="M38" i="9" s="1"/>
  <c r="AB38" i="9"/>
  <c r="BL38" i="9"/>
  <c r="BO38" i="9" s="1"/>
  <c r="AU38" i="9"/>
  <c r="AX38" i="9" s="1"/>
  <c r="R38" i="12"/>
  <c r="U38" i="12" s="1"/>
  <c r="BY38" i="9"/>
  <c r="CB38" i="9" s="1"/>
  <c r="CM38" i="6"/>
  <c r="CP38" i="6" s="1"/>
  <c r="BL38" i="6"/>
  <c r="BO38" i="6" s="1"/>
  <c r="O38" i="6"/>
  <c r="R38" i="6" s="1"/>
  <c r="S38" i="9"/>
  <c r="V38" i="9" s="1"/>
  <c r="DN38" i="6"/>
  <c r="CD38" i="6"/>
  <c r="CG38" i="6" s="1"/>
  <c r="DE38" i="6"/>
  <c r="DH38" i="6" s="1"/>
  <c r="BU38" i="6"/>
  <c r="BX38" i="6" s="1"/>
  <c r="CV38" i="6"/>
  <c r="CY38" i="6" s="1"/>
  <c r="AB38" i="6"/>
  <c r="AE38" i="6" s="1"/>
  <c r="AY38" i="6"/>
  <c r="BB38" i="6" s="1"/>
  <c r="AI38" i="8"/>
  <c r="W38" i="13"/>
  <c r="R38" i="8"/>
  <c r="U38" i="8" s="1"/>
  <c r="BI38" i="8"/>
  <c r="BL38" i="8" s="1"/>
  <c r="AV38" i="8"/>
  <c r="AY38" i="8" s="1"/>
  <c r="I38" i="8"/>
  <c r="L38" i="8" s="1"/>
  <c r="BO38" i="13"/>
  <c r="AJ38" i="13"/>
  <c r="BF38" i="13"/>
  <c r="BI38" i="13" s="1"/>
  <c r="AW38" i="13"/>
  <c r="AZ38" i="13" s="1"/>
  <c r="J38" i="13"/>
  <c r="M38" i="13" s="1"/>
  <c r="AP38" i="4"/>
  <c r="BM38" i="4"/>
  <c r="BL38" i="4"/>
  <c r="BO38" i="4" s="1"/>
  <c r="G38" i="4"/>
  <c r="AQ38" i="4"/>
  <c r="S38" i="4"/>
  <c r="V38" i="4" s="1"/>
  <c r="A39" i="4"/>
  <c r="AA39" i="4" s="1"/>
  <c r="AH38" i="4"/>
  <c r="AG38" i="4"/>
  <c r="AJ38" i="4" s="1"/>
  <c r="BB38" i="4"/>
  <c r="BA38" i="4"/>
  <c r="AS38" i="4" s="1"/>
  <c r="T38" i="4"/>
  <c r="J38" i="4"/>
  <c r="I38" i="4"/>
  <c r="L38" i="4" s="1"/>
  <c r="H38" i="4"/>
  <c r="F38" i="4"/>
  <c r="E38" i="4"/>
  <c r="D38" i="4"/>
  <c r="B38" i="4"/>
  <c r="C38" i="4"/>
  <c r="BB37" i="13"/>
  <c r="AY37" i="13"/>
  <c r="BA37" i="13" s="1"/>
  <c r="AJ38" i="9"/>
  <c r="T37" i="8"/>
  <c r="V37" i="8" s="1"/>
  <c r="W37" i="12"/>
  <c r="Y37" i="12" s="1"/>
  <c r="T37" i="12"/>
  <c r="V37" i="12" s="1"/>
  <c r="AN35" i="12"/>
  <c r="BD37" i="4"/>
  <c r="L37" i="9"/>
  <c r="N37" i="9" s="1"/>
  <c r="BH37" i="13"/>
  <c r="N37" i="12"/>
  <c r="O37" i="12" s="1"/>
  <c r="K37" i="12"/>
  <c r="M37" i="12" s="1"/>
  <c r="AZ36" i="8"/>
  <c r="AK37" i="8"/>
  <c r="AM37" i="8" s="1"/>
  <c r="AM36" i="8"/>
  <c r="X36" i="12"/>
  <c r="Z36" i="12" s="1"/>
  <c r="AD36" i="4"/>
  <c r="AF36" i="4" s="1"/>
  <c r="BE36" i="4"/>
  <c r="AX37" i="8"/>
  <c r="AZ37" i="8" s="1"/>
  <c r="Z35" i="12"/>
  <c r="K37" i="8"/>
  <c r="M37" i="8" s="1"/>
  <c r="DG37" i="6"/>
  <c r="DI37" i="6" s="1"/>
  <c r="A39" i="11"/>
  <c r="C38" i="11"/>
  <c r="B38" i="11"/>
  <c r="Z37" i="13"/>
  <c r="AR37" i="4"/>
  <c r="BC37" i="4"/>
  <c r="AT37" i="4" s="1"/>
  <c r="AH36" i="12"/>
  <c r="BK37" i="8"/>
  <c r="AU36" i="12"/>
  <c r="AW36" i="12" s="1"/>
  <c r="AX36" i="12"/>
  <c r="AP35" i="12"/>
  <c r="AB38" i="12"/>
  <c r="AK38" i="12"/>
  <c r="K38" i="9"/>
  <c r="AT38" i="12"/>
  <c r="I38" i="9"/>
  <c r="H38" i="9"/>
  <c r="G38" i="9"/>
  <c r="AV38" i="9"/>
  <c r="AC38" i="9"/>
  <c r="BM38" i="9"/>
  <c r="A39" i="9"/>
  <c r="F38" i="9"/>
  <c r="D38" i="9"/>
  <c r="C38" i="9"/>
  <c r="B38" i="9"/>
  <c r="AM38" i="9"/>
  <c r="T38" i="9"/>
  <c r="E38" i="9"/>
  <c r="BZ38" i="9"/>
  <c r="AP36" i="13"/>
  <c r="Q37" i="6"/>
  <c r="AF35" i="4"/>
  <c r="CF37" i="6"/>
  <c r="AA38" i="4"/>
  <c r="CO37" i="6"/>
  <c r="M37" i="9"/>
  <c r="E38" i="13"/>
  <c r="D38" i="13"/>
  <c r="C38" i="13"/>
  <c r="AX38" i="13"/>
  <c r="B38" i="13"/>
  <c r="X38" i="13"/>
  <c r="BP38" i="13"/>
  <c r="H38" i="13"/>
  <c r="AK38" i="13"/>
  <c r="G38" i="13"/>
  <c r="F38" i="13"/>
  <c r="BG38" i="13"/>
  <c r="K38" i="13"/>
  <c r="I38" i="13"/>
  <c r="A39" i="13"/>
  <c r="AC37" i="4"/>
  <c r="AE37" i="4" s="1"/>
  <c r="K37" i="4"/>
  <c r="AK38" i="6"/>
  <c r="N36" i="9"/>
  <c r="CN38" i="6"/>
  <c r="BM38" i="6"/>
  <c r="P38" i="6"/>
  <c r="N38" i="6"/>
  <c r="J38" i="6"/>
  <c r="I38" i="6"/>
  <c r="H38" i="6"/>
  <c r="DO38" i="6"/>
  <c r="G38" i="6"/>
  <c r="DF38" i="6"/>
  <c r="F38" i="6"/>
  <c r="E38" i="6"/>
  <c r="D38" i="6"/>
  <c r="C38" i="6"/>
  <c r="BV38" i="6"/>
  <c r="B38" i="6"/>
  <c r="CW38" i="6"/>
  <c r="AC38" i="6"/>
  <c r="A39" i="6"/>
  <c r="M38" i="6"/>
  <c r="AR38" i="6" s="1"/>
  <c r="AZ38" i="6"/>
  <c r="L38" i="6"/>
  <c r="CE38" i="6"/>
  <c r="K38" i="6"/>
  <c r="AY35" i="12"/>
  <c r="BA35" i="12" s="1"/>
  <c r="AI37" i="4"/>
  <c r="AK37" i="4" s="1"/>
  <c r="AD37" i="6"/>
  <c r="AL36" i="12"/>
  <c r="AO36" i="12"/>
  <c r="AQ36" i="12" s="1"/>
  <c r="L37" i="8"/>
  <c r="BL37" i="8"/>
  <c r="AV36" i="12"/>
  <c r="BN37" i="4"/>
  <c r="CX37" i="6"/>
  <c r="CZ37" i="6" s="1"/>
  <c r="G38" i="8"/>
  <c r="F38" i="8"/>
  <c r="E38" i="8"/>
  <c r="D38" i="8"/>
  <c r="C38" i="8"/>
  <c r="A39" i="8"/>
  <c r="B38" i="8"/>
  <c r="AW38" i="8"/>
  <c r="H38" i="8"/>
  <c r="AJ38" i="8"/>
  <c r="S38" i="8"/>
  <c r="BJ38" i="8"/>
  <c r="J38" i="8"/>
  <c r="BN37" i="6"/>
  <c r="BP37" i="6" s="1"/>
  <c r="BA37" i="6"/>
  <c r="BC37" i="6" s="1"/>
  <c r="E38" i="12"/>
  <c r="D38" i="12"/>
  <c r="C38" i="12"/>
  <c r="B38" i="12"/>
  <c r="H38" i="12"/>
  <c r="G38" i="12"/>
  <c r="F38" i="12"/>
  <c r="A39" i="12"/>
  <c r="S38" i="12"/>
  <c r="J38" i="12"/>
  <c r="AJ37" i="12"/>
  <c r="AM37" i="12" s="1"/>
  <c r="AQ35" i="12"/>
  <c r="U37" i="9"/>
  <c r="W37" i="9" s="1"/>
  <c r="CB37" i="9"/>
  <c r="AE37" i="6"/>
  <c r="AS37" i="12"/>
  <c r="DH37" i="6"/>
  <c r="U37" i="8"/>
  <c r="Q38" i="4"/>
  <c r="BW37" i="6"/>
  <c r="CH36" i="6"/>
  <c r="L37" i="13"/>
  <c r="N37" i="13" s="1"/>
  <c r="BN37" i="9"/>
  <c r="BP37" i="9" s="1"/>
  <c r="BC36" i="13"/>
  <c r="BE36" i="13" s="1"/>
  <c r="V36" i="12"/>
  <c r="CC36" i="9"/>
  <c r="AG37" i="12" l="1"/>
  <c r="AI37" i="12" s="1"/>
  <c r="X37" i="12"/>
  <c r="Z37" i="12" s="1"/>
  <c r="BE37" i="4"/>
  <c r="AS38" i="12"/>
  <c r="AV38" i="12" s="1"/>
  <c r="C39" i="11"/>
  <c r="B39" i="11"/>
  <c r="A40" i="11"/>
  <c r="L38" i="13"/>
  <c r="N38" i="13" s="1"/>
  <c r="T38" i="12"/>
  <c r="V38" i="12" s="1"/>
  <c r="W38" i="12"/>
  <c r="Y38" i="12" s="1"/>
  <c r="AY38" i="13"/>
  <c r="BA38" i="13" s="1"/>
  <c r="BB38" i="13"/>
  <c r="AW38" i="9"/>
  <c r="BH38" i="13"/>
  <c r="BJ38" i="13" s="1"/>
  <c r="BN38" i="9"/>
  <c r="BP38" i="9" s="1"/>
  <c r="CQ37" i="6"/>
  <c r="AL38" i="13"/>
  <c r="AN38" i="13" s="1"/>
  <c r="AO38" i="13"/>
  <c r="AQ38" i="13" s="1"/>
  <c r="AD38" i="9"/>
  <c r="AF38" i="9" s="1"/>
  <c r="BQ38" i="13"/>
  <c r="BS38" i="13" s="1"/>
  <c r="AJ39" i="9"/>
  <c r="AD37" i="4"/>
  <c r="AF37" i="4" s="1"/>
  <c r="N39" i="6"/>
  <c r="DF39" i="6"/>
  <c r="M39" i="6"/>
  <c r="AR39" i="6" s="1"/>
  <c r="AT39" i="6" s="1"/>
  <c r="L39" i="6"/>
  <c r="K39" i="6"/>
  <c r="CE39" i="6"/>
  <c r="J39" i="6"/>
  <c r="I39" i="6"/>
  <c r="BM39" i="6"/>
  <c r="P39" i="6"/>
  <c r="CW39" i="6"/>
  <c r="A40" i="6"/>
  <c r="CN39" i="6"/>
  <c r="AZ39" i="6"/>
  <c r="G39" i="6"/>
  <c r="DO39" i="6"/>
  <c r="F39" i="6"/>
  <c r="D39" i="6"/>
  <c r="C39" i="6"/>
  <c r="BV39" i="6"/>
  <c r="AC39" i="6"/>
  <c r="H39" i="6"/>
  <c r="E39" i="6"/>
  <c r="B39" i="6"/>
  <c r="K38" i="8"/>
  <c r="L38" i="9"/>
  <c r="N38" i="9" s="1"/>
  <c r="AX38" i="8"/>
  <c r="AZ38" i="8" s="1"/>
  <c r="N38" i="12"/>
  <c r="P38" i="12" s="1"/>
  <c r="K38" i="12"/>
  <c r="M38" i="12" s="1"/>
  <c r="AM38" i="13"/>
  <c r="AX37" i="12"/>
  <c r="AU37" i="12"/>
  <c r="AW37" i="12" s="1"/>
  <c r="BK38" i="8"/>
  <c r="AC38" i="12"/>
  <c r="AE38" i="12" s="1"/>
  <c r="AF38" i="12"/>
  <c r="AG38" i="12" s="1"/>
  <c r="AP37" i="13"/>
  <c r="AR37" i="13" s="1"/>
  <c r="BP39" i="13"/>
  <c r="X39" i="13"/>
  <c r="A40" i="13"/>
  <c r="AX39" i="13"/>
  <c r="K39" i="13"/>
  <c r="I39" i="13"/>
  <c r="H39" i="13"/>
  <c r="AK39" i="13"/>
  <c r="G39" i="13"/>
  <c r="F39" i="13"/>
  <c r="E39" i="13"/>
  <c r="D39" i="13"/>
  <c r="C39" i="13"/>
  <c r="B39" i="13"/>
  <c r="BG39" i="13"/>
  <c r="AC38" i="4"/>
  <c r="AE38" i="4" s="1"/>
  <c r="K38" i="4"/>
  <c r="T38" i="8"/>
  <c r="V38" i="8" s="1"/>
  <c r="AY36" i="12"/>
  <c r="BA36" i="12" s="1"/>
  <c r="Y38" i="13"/>
  <c r="AA38" i="13" s="1"/>
  <c r="AT38" i="6"/>
  <c r="BJ37" i="13"/>
  <c r="AV37" i="12"/>
  <c r="AK38" i="8"/>
  <c r="AM38" i="8" s="1"/>
  <c r="BC38" i="4"/>
  <c r="BE38" i="4" s="1"/>
  <c r="AR38" i="4"/>
  <c r="BA38" i="6"/>
  <c r="AR36" i="13"/>
  <c r="AD38" i="6"/>
  <c r="AF38" i="6" s="1"/>
  <c r="BY37" i="6"/>
  <c r="CX38" i="6"/>
  <c r="CZ38" i="6" s="1"/>
  <c r="AI38" i="4"/>
  <c r="AK38" i="4" s="1"/>
  <c r="BW38" i="6"/>
  <c r="AP36" i="12"/>
  <c r="DG38" i="6"/>
  <c r="BM38" i="8"/>
  <c r="BM37" i="8"/>
  <c r="AL37" i="12"/>
  <c r="AN37" i="12" s="1"/>
  <c r="AO37" i="12"/>
  <c r="AQ37" i="12" s="1"/>
  <c r="AA39" i="12"/>
  <c r="AD39" i="12" s="1"/>
  <c r="R39" i="12"/>
  <c r="U39" i="12" s="1"/>
  <c r="BL39" i="9"/>
  <c r="BO39" i="9" s="1"/>
  <c r="J39" i="9"/>
  <c r="AU39" i="9"/>
  <c r="AX39" i="9" s="1"/>
  <c r="I39" i="12"/>
  <c r="BY39" i="9"/>
  <c r="CB39" i="9" s="1"/>
  <c r="S39" i="9"/>
  <c r="V39" i="9" s="1"/>
  <c r="AB39" i="9"/>
  <c r="BL39" i="6"/>
  <c r="BO39" i="6" s="1"/>
  <c r="O39" i="6"/>
  <c r="R39" i="6" s="1"/>
  <c r="DE39" i="6"/>
  <c r="DH39" i="6" s="1"/>
  <c r="CD39" i="6"/>
  <c r="CG39" i="6" s="1"/>
  <c r="AB39" i="6"/>
  <c r="CV39" i="6"/>
  <c r="BU39" i="6"/>
  <c r="BX39" i="6" s="1"/>
  <c r="DN39" i="6"/>
  <c r="DQ39" i="6" s="1"/>
  <c r="CM39" i="6"/>
  <c r="AY39" i="6"/>
  <c r="AV39" i="8"/>
  <c r="AY39" i="8" s="1"/>
  <c r="I39" i="8"/>
  <c r="L39" i="8" s="1"/>
  <c r="BO39" i="13"/>
  <c r="BR39" i="13" s="1"/>
  <c r="AI39" i="8"/>
  <c r="R39" i="8"/>
  <c r="U39" i="8" s="1"/>
  <c r="BI39" i="8"/>
  <c r="BL39" i="8" s="1"/>
  <c r="W39" i="13"/>
  <c r="AW39" i="13"/>
  <c r="AZ39" i="13" s="1"/>
  <c r="J39" i="13"/>
  <c r="AJ39" i="13"/>
  <c r="BF39" i="13"/>
  <c r="BI39" i="13" s="1"/>
  <c r="BL39" i="4"/>
  <c r="BO39" i="4" s="1"/>
  <c r="AH39" i="4"/>
  <c r="J39" i="4"/>
  <c r="BA39" i="4"/>
  <c r="BD39" i="4" s="1"/>
  <c r="E39" i="4"/>
  <c r="BM39" i="4"/>
  <c r="AQ39" i="4"/>
  <c r="A40" i="4"/>
  <c r="AA40" i="4" s="1"/>
  <c r="AP39" i="4"/>
  <c r="AG39" i="4"/>
  <c r="AJ39" i="4" s="1"/>
  <c r="BB39" i="4"/>
  <c r="T39" i="4"/>
  <c r="S39" i="4"/>
  <c r="V39" i="4" s="1"/>
  <c r="I39" i="4"/>
  <c r="L39" i="4" s="1"/>
  <c r="H39" i="4"/>
  <c r="G39" i="4"/>
  <c r="F39" i="4"/>
  <c r="C39" i="4"/>
  <c r="B39" i="4"/>
  <c r="D39" i="4"/>
  <c r="CF38" i="6"/>
  <c r="CH38" i="6" s="1"/>
  <c r="BD37" i="13"/>
  <c r="BD38" i="4"/>
  <c r="M37" i="4"/>
  <c r="U38" i="4"/>
  <c r="W38" i="4" s="1"/>
  <c r="DP38" i="6"/>
  <c r="DR38" i="6" s="1"/>
  <c r="AD38" i="12"/>
  <c r="P37" i="12"/>
  <c r="AR35" i="12"/>
  <c r="AT39" i="12"/>
  <c r="AM39" i="9"/>
  <c r="K39" i="9"/>
  <c r="C39" i="9"/>
  <c r="AB39" i="12"/>
  <c r="H39" i="9"/>
  <c r="G39" i="9"/>
  <c r="BZ39" i="9"/>
  <c r="F39" i="9"/>
  <c r="E39" i="9"/>
  <c r="D39" i="9"/>
  <c r="B39" i="9"/>
  <c r="AK39" i="12"/>
  <c r="BM39" i="9"/>
  <c r="I39" i="9"/>
  <c r="A40" i="9"/>
  <c r="T39" i="9"/>
  <c r="AV39" i="9"/>
  <c r="AC39" i="9"/>
  <c r="U38" i="9"/>
  <c r="W38" i="9" s="1"/>
  <c r="Z38" i="13"/>
  <c r="CH37" i="6"/>
  <c r="S37" i="6"/>
  <c r="Q39" i="4"/>
  <c r="Q38" i="6"/>
  <c r="S38" i="6" s="1"/>
  <c r="BP37" i="4"/>
  <c r="BN38" i="6"/>
  <c r="AE38" i="9"/>
  <c r="DQ38" i="6"/>
  <c r="AF37" i="6"/>
  <c r="AN36" i="12"/>
  <c r="BN38" i="4"/>
  <c r="CO38" i="6"/>
  <c r="S39" i="12"/>
  <c r="C39" i="12"/>
  <c r="A40" i="12"/>
  <c r="E39" i="12"/>
  <c r="F39" i="12"/>
  <c r="D39" i="12"/>
  <c r="B39" i="12"/>
  <c r="H39" i="12"/>
  <c r="J39" i="12"/>
  <c r="G39" i="12"/>
  <c r="F39" i="8"/>
  <c r="E39" i="8"/>
  <c r="D39" i="8"/>
  <c r="C39" i="8"/>
  <c r="B39" i="8"/>
  <c r="G39" i="8"/>
  <c r="AW39" i="8"/>
  <c r="J39" i="8"/>
  <c r="H39" i="8"/>
  <c r="A40" i="8"/>
  <c r="AJ39" i="8"/>
  <c r="BJ39" i="8"/>
  <c r="S39" i="8"/>
  <c r="AK39" i="6"/>
  <c r="BR38" i="13"/>
  <c r="AJ38" i="12"/>
  <c r="AM38" i="12" s="1"/>
  <c r="AZ36" i="12"/>
  <c r="AL38" i="8"/>
  <c r="BC37" i="13"/>
  <c r="BE37" i="13" s="1"/>
  <c r="CA38" i="9"/>
  <c r="CC38" i="9" s="1"/>
  <c r="Q37" i="12"/>
  <c r="AI38" i="12" l="1"/>
  <c r="X38" i="12"/>
  <c r="Z38" i="12" s="1"/>
  <c r="AS39" i="4"/>
  <c r="AH38" i="12"/>
  <c r="AK40" i="6"/>
  <c r="AT38" i="4"/>
  <c r="BM39" i="8"/>
  <c r="BA39" i="6"/>
  <c r="BC39" i="6" s="1"/>
  <c r="AS39" i="12"/>
  <c r="AV39" i="12" s="1"/>
  <c r="CO39" i="6"/>
  <c r="CQ39" i="6" s="1"/>
  <c r="CP39" i="6"/>
  <c r="AI39" i="4"/>
  <c r="AK39" i="4" s="1"/>
  <c r="AD38" i="4"/>
  <c r="AF38" i="4" s="1"/>
  <c r="AK39" i="8"/>
  <c r="AM39" i="8" s="1"/>
  <c r="BJ40" i="8"/>
  <c r="H40" i="8"/>
  <c r="G40" i="8"/>
  <c r="F40" i="8"/>
  <c r="E40" i="8"/>
  <c r="D40" i="8"/>
  <c r="C40" i="8"/>
  <c r="B40" i="8"/>
  <c r="S40" i="8"/>
  <c r="AW40" i="8"/>
  <c r="J40" i="8"/>
  <c r="AJ40" i="8"/>
  <c r="A41" i="8"/>
  <c r="BB39" i="6"/>
  <c r="DP39" i="6"/>
  <c r="DR39" i="6" s="1"/>
  <c r="R40" i="12"/>
  <c r="U40" i="12" s="1"/>
  <c r="S40" i="9"/>
  <c r="V40" i="9" s="1"/>
  <c r="I40" i="12"/>
  <c r="L40" i="12" s="1"/>
  <c r="BL40" i="9"/>
  <c r="BO40" i="9" s="1"/>
  <c r="AA40" i="12"/>
  <c r="AD40" i="12" s="1"/>
  <c r="BY40" i="9"/>
  <c r="CB40" i="9" s="1"/>
  <c r="J40" i="9"/>
  <c r="M40" i="9" s="1"/>
  <c r="AB40" i="9"/>
  <c r="AE40" i="9" s="1"/>
  <c r="CD40" i="6"/>
  <c r="CG40" i="6" s="1"/>
  <c r="AB40" i="6"/>
  <c r="AE40" i="6" s="1"/>
  <c r="AU40" i="9"/>
  <c r="AX40" i="9" s="1"/>
  <c r="O40" i="6"/>
  <c r="R40" i="6" s="1"/>
  <c r="DN40" i="6"/>
  <c r="DQ40" i="6" s="1"/>
  <c r="BU40" i="6"/>
  <c r="BX40" i="6" s="1"/>
  <c r="BL40" i="6"/>
  <c r="BO40" i="6" s="1"/>
  <c r="CM40" i="6"/>
  <c r="CP40" i="6" s="1"/>
  <c r="AY40" i="6"/>
  <c r="CV40" i="6"/>
  <c r="BI40" i="8"/>
  <c r="BL40" i="8" s="1"/>
  <c r="DE40" i="6"/>
  <c r="DH40" i="6" s="1"/>
  <c r="AI40" i="8"/>
  <c r="AL40" i="8" s="1"/>
  <c r="I40" i="8"/>
  <c r="L40" i="8" s="1"/>
  <c r="AJ40" i="13"/>
  <c r="AM40" i="13" s="1"/>
  <c r="R40" i="8"/>
  <c r="U40" i="8" s="1"/>
  <c r="BF40" i="13"/>
  <c r="BI40" i="13" s="1"/>
  <c r="J40" i="13"/>
  <c r="M40" i="13" s="1"/>
  <c r="AV40" i="8"/>
  <c r="AY40" i="8" s="1"/>
  <c r="BO40" i="13"/>
  <c r="BR40" i="13" s="1"/>
  <c r="W40" i="13"/>
  <c r="AW40" i="13"/>
  <c r="AZ40" i="13" s="1"/>
  <c r="AH40" i="4"/>
  <c r="J40" i="4"/>
  <c r="AG40" i="4"/>
  <c r="AJ40" i="4" s="1"/>
  <c r="I40" i="4"/>
  <c r="L40" i="4" s="1"/>
  <c r="H40" i="4"/>
  <c r="A41" i="4"/>
  <c r="AK41" i="6" s="1"/>
  <c r="C40" i="4"/>
  <c r="B40" i="4"/>
  <c r="AQ40" i="4"/>
  <c r="AP40" i="4"/>
  <c r="BM40" i="4"/>
  <c r="BL40" i="4"/>
  <c r="BO40" i="4" s="1"/>
  <c r="BB40" i="4"/>
  <c r="T40" i="4"/>
  <c r="BA40" i="4"/>
  <c r="AS40" i="4" s="1"/>
  <c r="S40" i="4"/>
  <c r="V40" i="4" s="1"/>
  <c r="G40" i="4"/>
  <c r="E40" i="4"/>
  <c r="D40" i="4"/>
  <c r="F40" i="4"/>
  <c r="BW39" i="6"/>
  <c r="BY39" i="6" s="1"/>
  <c r="M38" i="8"/>
  <c r="CX39" i="6"/>
  <c r="CZ39" i="6" s="1"/>
  <c r="AD39" i="6"/>
  <c r="AF39" i="6" s="1"/>
  <c r="CF39" i="6"/>
  <c r="CH39" i="6" s="1"/>
  <c r="AT40" i="12"/>
  <c r="AB40" i="12"/>
  <c r="BM40" i="9"/>
  <c r="AM40" i="9"/>
  <c r="BZ40" i="9"/>
  <c r="F40" i="9"/>
  <c r="A41" i="9"/>
  <c r="T40" i="9"/>
  <c r="AK40" i="12"/>
  <c r="AC40" i="9"/>
  <c r="K40" i="9"/>
  <c r="B40" i="9"/>
  <c r="AV40" i="9"/>
  <c r="H40" i="9"/>
  <c r="G40" i="9"/>
  <c r="E40" i="9"/>
  <c r="D40" i="9"/>
  <c r="C40" i="9"/>
  <c r="I40" i="9"/>
  <c r="BC39" i="4"/>
  <c r="AR39" i="4"/>
  <c r="DG39" i="6"/>
  <c r="AR36" i="12"/>
  <c r="M38" i="4"/>
  <c r="Q39" i="6"/>
  <c r="S39" i="6" s="1"/>
  <c r="AL39" i="8"/>
  <c r="BC38" i="13"/>
  <c r="BN39" i="6"/>
  <c r="BP39" i="6" s="1"/>
  <c r="DI38" i="6"/>
  <c r="AY37" i="12"/>
  <c r="BA37" i="12" s="1"/>
  <c r="BY38" i="6"/>
  <c r="AD39" i="9"/>
  <c r="AF39" i="9" s="1"/>
  <c r="BN39" i="4"/>
  <c r="AJ40" i="9"/>
  <c r="AL38" i="12"/>
  <c r="AN38" i="12" s="1"/>
  <c r="AO38" i="12"/>
  <c r="AQ38" i="12" s="1"/>
  <c r="AJ39" i="12"/>
  <c r="BH39" i="13"/>
  <c r="BJ39" i="13" s="1"/>
  <c r="U39" i="9"/>
  <c r="W39" i="9" s="1"/>
  <c r="AO39" i="13"/>
  <c r="AQ39" i="13" s="1"/>
  <c r="AL39" i="13"/>
  <c r="AN39" i="13" s="1"/>
  <c r="CA39" i="9"/>
  <c r="CC39" i="9" s="1"/>
  <c r="BP38" i="6"/>
  <c r="BC38" i="6"/>
  <c r="L39" i="13"/>
  <c r="N39" i="12"/>
  <c r="P39" i="12" s="1"/>
  <c r="K39" i="12"/>
  <c r="M39" i="12" s="1"/>
  <c r="BB39" i="13"/>
  <c r="BD39" i="13" s="1"/>
  <c r="AY39" i="13"/>
  <c r="AW39" i="9"/>
  <c r="M39" i="13"/>
  <c r="Y39" i="13"/>
  <c r="AA39" i="13" s="1"/>
  <c r="L39" i="9"/>
  <c r="N39" i="9" s="1"/>
  <c r="CY39" i="6"/>
  <c r="Z39" i="13"/>
  <c r="AE39" i="9"/>
  <c r="BD38" i="13"/>
  <c r="BK39" i="8"/>
  <c r="BN39" i="9"/>
  <c r="BP39" i="9" s="1"/>
  <c r="L39" i="12"/>
  <c r="B40" i="11"/>
  <c r="A41" i="11"/>
  <c r="C40" i="11"/>
  <c r="T39" i="8"/>
  <c r="W39" i="12"/>
  <c r="X39" i="12" s="1"/>
  <c r="T39" i="12"/>
  <c r="CE40" i="6"/>
  <c r="J40" i="6"/>
  <c r="I40" i="6"/>
  <c r="H40" i="6"/>
  <c r="G40" i="6"/>
  <c r="A41" i="6"/>
  <c r="F40" i="6"/>
  <c r="AC40" i="6"/>
  <c r="E40" i="6"/>
  <c r="CW40" i="6"/>
  <c r="D40" i="6"/>
  <c r="K40" i="6"/>
  <c r="DO40" i="6"/>
  <c r="N40" i="6"/>
  <c r="M40" i="6"/>
  <c r="AR40" i="6" s="1"/>
  <c r="L40" i="6"/>
  <c r="C40" i="6"/>
  <c r="B40" i="6"/>
  <c r="BV40" i="6"/>
  <c r="BM40" i="6"/>
  <c r="CN40" i="6"/>
  <c r="AZ40" i="6"/>
  <c r="P40" i="6"/>
  <c r="DF40" i="6"/>
  <c r="AM39" i="13"/>
  <c r="S40" i="12"/>
  <c r="C40" i="12"/>
  <c r="B40" i="12"/>
  <c r="J40" i="12"/>
  <c r="H40" i="12"/>
  <c r="E40" i="12"/>
  <c r="G40" i="12"/>
  <c r="F40" i="12"/>
  <c r="D40" i="12"/>
  <c r="A41" i="12"/>
  <c r="AF39" i="12"/>
  <c r="AG39" i="12" s="1"/>
  <c r="AC39" i="12"/>
  <c r="Q40" i="4"/>
  <c r="BQ39" i="13"/>
  <c r="BS39" i="13" s="1"/>
  <c r="AZ37" i="12"/>
  <c r="AK40" i="13"/>
  <c r="I40" i="13"/>
  <c r="F40" i="13"/>
  <c r="E40" i="13"/>
  <c r="D40" i="13"/>
  <c r="C40" i="13"/>
  <c r="BP40" i="13"/>
  <c r="B40" i="13"/>
  <c r="BG40" i="13"/>
  <c r="X40" i="13"/>
  <c r="A41" i="13"/>
  <c r="AX40" i="13"/>
  <c r="K40" i="13"/>
  <c r="H40" i="13"/>
  <c r="G40" i="13"/>
  <c r="AY38" i="9"/>
  <c r="AP38" i="13"/>
  <c r="AR38" i="13" s="1"/>
  <c r="CQ38" i="6"/>
  <c r="K39" i="4"/>
  <c r="M39" i="4" s="1"/>
  <c r="AC39" i="4"/>
  <c r="K39" i="8"/>
  <c r="AP37" i="12"/>
  <c r="AR37" i="12" s="1"/>
  <c r="AE39" i="6"/>
  <c r="BP38" i="4"/>
  <c r="M39" i="9"/>
  <c r="O38" i="12"/>
  <c r="AX38" i="12"/>
  <c r="AZ38" i="12" s="1"/>
  <c r="AU38" i="12"/>
  <c r="AW38" i="12" s="1"/>
  <c r="U39" i="4"/>
  <c r="W39" i="4" s="1"/>
  <c r="AX39" i="8"/>
  <c r="AZ39" i="8" s="1"/>
  <c r="O39" i="12" l="1"/>
  <c r="Q39" i="12" s="1"/>
  <c r="AI39" i="12"/>
  <c r="Y40" i="13"/>
  <c r="CA40" i="9"/>
  <c r="CC40" i="9" s="1"/>
  <c r="BQ40" i="13"/>
  <c r="BS40" i="13" s="1"/>
  <c r="AJ41" i="9"/>
  <c r="Q38" i="12"/>
  <c r="AX40" i="8"/>
  <c r="AZ40" i="8" s="1"/>
  <c r="AF40" i="12"/>
  <c r="AG40" i="12" s="1"/>
  <c r="AC40" i="12"/>
  <c r="AE40" i="12" s="1"/>
  <c r="L40" i="13"/>
  <c r="BN40" i="9"/>
  <c r="BP40" i="9" s="1"/>
  <c r="BH40" i="13"/>
  <c r="BJ40" i="13" s="1"/>
  <c r="N40" i="12"/>
  <c r="P40" i="12" s="1"/>
  <c r="K40" i="12"/>
  <c r="M40" i="12" s="1"/>
  <c r="Q41" i="4"/>
  <c r="T40" i="8"/>
  <c r="V40" i="8" s="1"/>
  <c r="U40" i="9"/>
  <c r="W40" i="9" s="1"/>
  <c r="AP39" i="13"/>
  <c r="U40" i="4"/>
  <c r="AL40" i="13"/>
  <c r="AN40" i="13" s="1"/>
  <c r="AO40" i="13"/>
  <c r="T40" i="12"/>
  <c r="V40" i="12" s="1"/>
  <c r="W40" i="12"/>
  <c r="X40" i="12" s="1"/>
  <c r="Z40" i="12" s="1"/>
  <c r="AR40" i="4"/>
  <c r="BC40" i="4"/>
  <c r="K40" i="8"/>
  <c r="M40" i="8" s="1"/>
  <c r="Z40" i="13"/>
  <c r="BD40" i="4"/>
  <c r="AK40" i="8"/>
  <c r="AM40" i="8" s="1"/>
  <c r="V39" i="12"/>
  <c r="AT39" i="4"/>
  <c r="DG40" i="6"/>
  <c r="DI40" i="6" s="1"/>
  <c r="BE39" i="4"/>
  <c r="BN40" i="4"/>
  <c r="BK40" i="8"/>
  <c r="AH39" i="12"/>
  <c r="CX40" i="6"/>
  <c r="CZ40" i="6" s="1"/>
  <c r="AE39" i="4"/>
  <c r="AA41" i="4"/>
  <c r="BA40" i="6"/>
  <c r="BC40" i="6" s="1"/>
  <c r="A42" i="11"/>
  <c r="C41" i="11"/>
  <c r="B41" i="11"/>
  <c r="Z39" i="12"/>
  <c r="DI39" i="6"/>
  <c r="CO40" i="6"/>
  <c r="BJ41" i="8"/>
  <c r="A42" i="8"/>
  <c r="J41" i="8"/>
  <c r="AJ41" i="8"/>
  <c r="G41" i="8"/>
  <c r="D41" i="8"/>
  <c r="AW41" i="8"/>
  <c r="S41" i="8"/>
  <c r="H41" i="8"/>
  <c r="E41" i="8"/>
  <c r="C41" i="8"/>
  <c r="B41" i="8"/>
  <c r="F41" i="8"/>
  <c r="CY40" i="6"/>
  <c r="BN40" i="6"/>
  <c r="BP40" i="6" s="1"/>
  <c r="V39" i="8"/>
  <c r="AD39" i="4"/>
  <c r="AF39" i="4" s="1"/>
  <c r="J41" i="12"/>
  <c r="S41" i="12"/>
  <c r="H41" i="12"/>
  <c r="G41" i="12"/>
  <c r="F41" i="12"/>
  <c r="A42" i="12"/>
  <c r="E41" i="12"/>
  <c r="D41" i="12"/>
  <c r="C41" i="12"/>
  <c r="B41" i="12"/>
  <c r="BW40" i="6"/>
  <c r="BY40" i="6" s="1"/>
  <c r="AO39" i="12"/>
  <c r="AQ39" i="12" s="1"/>
  <c r="AL39" i="12"/>
  <c r="AN39" i="12" s="1"/>
  <c r="AY39" i="9"/>
  <c r="I41" i="12"/>
  <c r="R41" i="12"/>
  <c r="AA41" i="12"/>
  <c r="AD41" i="12" s="1"/>
  <c r="S41" i="9"/>
  <c r="V41" i="9" s="1"/>
  <c r="BL41" i="9"/>
  <c r="BO41" i="9" s="1"/>
  <c r="BY41" i="9"/>
  <c r="AU41" i="9"/>
  <c r="AX41" i="9" s="1"/>
  <c r="AB41" i="9"/>
  <c r="AE41" i="9" s="1"/>
  <c r="AB41" i="6"/>
  <c r="AE41" i="6" s="1"/>
  <c r="CV41" i="6"/>
  <c r="CY41" i="6" s="1"/>
  <c r="AY41" i="6"/>
  <c r="BB41" i="6" s="1"/>
  <c r="BU41" i="6"/>
  <c r="BX41" i="6" s="1"/>
  <c r="DN41" i="6"/>
  <c r="J41" i="9"/>
  <c r="M41" i="9" s="1"/>
  <c r="DE41" i="6"/>
  <c r="BL41" i="6"/>
  <c r="BO41" i="6" s="1"/>
  <c r="CD41" i="6"/>
  <c r="CM41" i="6"/>
  <c r="CP41" i="6" s="1"/>
  <c r="BI41" i="8"/>
  <c r="BL41" i="8" s="1"/>
  <c r="BM41" i="8" s="1"/>
  <c r="O41" i="6"/>
  <c r="R41" i="6" s="1"/>
  <c r="AV41" i="8"/>
  <c r="AY41" i="8" s="1"/>
  <c r="R41" i="8"/>
  <c r="U41" i="8" s="1"/>
  <c r="I41" i="8"/>
  <c r="L41" i="8" s="1"/>
  <c r="AI41" i="8"/>
  <c r="AL41" i="8" s="1"/>
  <c r="W41" i="13"/>
  <c r="BF41" i="13"/>
  <c r="BI41" i="13" s="1"/>
  <c r="AW41" i="13"/>
  <c r="AZ41" i="13" s="1"/>
  <c r="J41" i="13"/>
  <c r="M41" i="13" s="1"/>
  <c r="BO41" i="13"/>
  <c r="AJ41" i="13"/>
  <c r="AM41" i="13" s="1"/>
  <c r="AH41" i="4"/>
  <c r="J41" i="4"/>
  <c r="AG41" i="4"/>
  <c r="AJ41" i="4" s="1"/>
  <c r="I41" i="4"/>
  <c r="H41" i="4"/>
  <c r="G41" i="4"/>
  <c r="BB41" i="4"/>
  <c r="F41" i="4"/>
  <c r="D41" i="4"/>
  <c r="C41" i="4"/>
  <c r="AQ41" i="4"/>
  <c r="B41" i="4"/>
  <c r="AP41" i="4"/>
  <c r="A42" i="4"/>
  <c r="Q42" i="4" s="1"/>
  <c r="BM41" i="4"/>
  <c r="BL41" i="4"/>
  <c r="BO41" i="4" s="1"/>
  <c r="T41" i="4"/>
  <c r="BA41" i="4"/>
  <c r="S41" i="4"/>
  <c r="V41" i="4" s="1"/>
  <c r="E41" i="4"/>
  <c r="DP40" i="6"/>
  <c r="DR40" i="6" s="1"/>
  <c r="AU39" i="12"/>
  <c r="AX39" i="12"/>
  <c r="BP39" i="4"/>
  <c r="Q40" i="6"/>
  <c r="S40" i="6" s="1"/>
  <c r="M39" i="8"/>
  <c r="BC39" i="13"/>
  <c r="BE39" i="13" s="1"/>
  <c r="BE38" i="13"/>
  <c r="AJ40" i="12"/>
  <c r="AM39" i="12"/>
  <c r="BA39" i="13"/>
  <c r="K40" i="4"/>
  <c r="AC40" i="4"/>
  <c r="AW40" i="9"/>
  <c r="N39" i="13"/>
  <c r="AP38" i="12"/>
  <c r="AT40" i="6"/>
  <c r="AI40" i="4"/>
  <c r="AD40" i="6"/>
  <c r="A42" i="13"/>
  <c r="H41" i="13"/>
  <c r="G41" i="13"/>
  <c r="F41" i="13"/>
  <c r="E41" i="13"/>
  <c r="C41" i="13"/>
  <c r="AX41" i="13"/>
  <c r="B41" i="13"/>
  <c r="BG41" i="13"/>
  <c r="K41" i="13"/>
  <c r="I41" i="13"/>
  <c r="BP41" i="13"/>
  <c r="D41" i="13"/>
  <c r="AK41" i="13"/>
  <c r="X41" i="13"/>
  <c r="AS40" i="12"/>
  <c r="CF40" i="6"/>
  <c r="BB40" i="6"/>
  <c r="Y39" i="12"/>
  <c r="AK41" i="12"/>
  <c r="AT41" i="12"/>
  <c r="A42" i="9"/>
  <c r="T41" i="9"/>
  <c r="BM41" i="9"/>
  <c r="I41" i="9"/>
  <c r="E41" i="9"/>
  <c r="D41" i="9"/>
  <c r="C41" i="9"/>
  <c r="B41" i="9"/>
  <c r="AV41" i="9"/>
  <c r="AC41" i="9"/>
  <c r="AB41" i="12"/>
  <c r="AM41" i="9"/>
  <c r="H41" i="9"/>
  <c r="F41" i="9"/>
  <c r="BZ41" i="9"/>
  <c r="K41" i="9"/>
  <c r="G41" i="9"/>
  <c r="AE39" i="12"/>
  <c r="AD40" i="9"/>
  <c r="AY38" i="12"/>
  <c r="BA38" i="12" s="1"/>
  <c r="AC41" i="6"/>
  <c r="E41" i="6"/>
  <c r="CW41" i="6"/>
  <c r="D41" i="6"/>
  <c r="AZ41" i="6"/>
  <c r="C41" i="6"/>
  <c r="B41" i="6"/>
  <c r="BV41" i="6"/>
  <c r="A42" i="6"/>
  <c r="F41" i="6"/>
  <c r="DF41" i="6"/>
  <c r="BM41" i="6"/>
  <c r="CN41" i="6"/>
  <c r="M41" i="6"/>
  <c r="AR41" i="6" s="1"/>
  <c r="AT41" i="6" s="1"/>
  <c r="L41" i="6"/>
  <c r="K41" i="6"/>
  <c r="DO41" i="6"/>
  <c r="J41" i="6"/>
  <c r="I41" i="6"/>
  <c r="G41" i="6"/>
  <c r="CE41" i="6"/>
  <c r="P41" i="6"/>
  <c r="N41" i="6"/>
  <c r="H41" i="6"/>
  <c r="BB40" i="13"/>
  <c r="AY40" i="13"/>
  <c r="BA40" i="13" s="1"/>
  <c r="L40" i="9"/>
  <c r="N40" i="9" s="1"/>
  <c r="BM40" i="8"/>
  <c r="AH40" i="12" l="1"/>
  <c r="O40" i="12"/>
  <c r="Q40" i="12" s="1"/>
  <c r="Y40" i="12"/>
  <c r="AA42" i="4"/>
  <c r="AK42" i="6"/>
  <c r="AJ42" i="9"/>
  <c r="CF41" i="6"/>
  <c r="CH41" i="6" s="1"/>
  <c r="CG41" i="6"/>
  <c r="BN41" i="6"/>
  <c r="BP41" i="6" s="1"/>
  <c r="AQ40" i="13"/>
  <c r="AP40" i="13"/>
  <c r="AR40" i="13" s="1"/>
  <c r="DG41" i="6"/>
  <c r="DI41" i="6" s="1"/>
  <c r="AK40" i="4"/>
  <c r="L41" i="9"/>
  <c r="N41" i="9" s="1"/>
  <c r="DP41" i="6"/>
  <c r="DR41" i="6" s="1"/>
  <c r="AF40" i="6"/>
  <c r="CH40" i="6"/>
  <c r="AY39" i="12"/>
  <c r="BA39" i="12" s="1"/>
  <c r="BW41" i="6"/>
  <c r="BY41" i="6" s="1"/>
  <c r="K41" i="4"/>
  <c r="M41" i="4" s="1"/>
  <c r="AC41" i="4"/>
  <c r="AE41" i="4" s="1"/>
  <c r="BA41" i="6"/>
  <c r="BC41" i="6" s="1"/>
  <c r="AU40" i="12"/>
  <c r="AW40" i="12" s="1"/>
  <c r="AX40" i="12"/>
  <c r="AZ40" i="12" s="1"/>
  <c r="AV40" i="12"/>
  <c r="AI41" i="4"/>
  <c r="AK41" i="4" s="1"/>
  <c r="CX41" i="6"/>
  <c r="H42" i="12"/>
  <c r="G42" i="12"/>
  <c r="A43" i="12"/>
  <c r="F42" i="12"/>
  <c r="E42" i="12"/>
  <c r="D42" i="12"/>
  <c r="J42" i="12"/>
  <c r="S42" i="12"/>
  <c r="B42" i="12"/>
  <c r="C42" i="12"/>
  <c r="AD41" i="6"/>
  <c r="BJ42" i="8"/>
  <c r="AJ42" i="8"/>
  <c r="E42" i="8"/>
  <c r="D42" i="8"/>
  <c r="C42" i="8"/>
  <c r="B42" i="8"/>
  <c r="F42" i="8"/>
  <c r="S42" i="8"/>
  <c r="A43" i="8"/>
  <c r="J42" i="8"/>
  <c r="H42" i="8"/>
  <c r="G42" i="8"/>
  <c r="AW42" i="8"/>
  <c r="AD41" i="9"/>
  <c r="AJ41" i="12"/>
  <c r="AM41" i="12" s="1"/>
  <c r="AO41" i="13"/>
  <c r="AQ41" i="13" s="1"/>
  <c r="AL41" i="13"/>
  <c r="DO42" i="6"/>
  <c r="CN42" i="6"/>
  <c r="BM42" i="6"/>
  <c r="P42" i="6"/>
  <c r="BV42" i="6"/>
  <c r="CW42" i="6"/>
  <c r="N42" i="6"/>
  <c r="M42" i="6"/>
  <c r="AR42" i="6" s="1"/>
  <c r="AT42" i="6" s="1"/>
  <c r="L42" i="6"/>
  <c r="K42" i="6"/>
  <c r="AZ42" i="6"/>
  <c r="J42" i="6"/>
  <c r="A43" i="6"/>
  <c r="I42" i="6"/>
  <c r="CE42" i="6"/>
  <c r="H42" i="6"/>
  <c r="D42" i="6"/>
  <c r="C42" i="6"/>
  <c r="DF42" i="6"/>
  <c r="B42" i="6"/>
  <c r="AC42" i="6"/>
  <c r="G42" i="6"/>
  <c r="F42" i="6"/>
  <c r="E42" i="6"/>
  <c r="DQ41" i="6"/>
  <c r="BQ41" i="13"/>
  <c r="BS41" i="13" s="1"/>
  <c r="CA41" i="9"/>
  <c r="CC41" i="9" s="1"/>
  <c r="BR41" i="13"/>
  <c r="AS41" i="12"/>
  <c r="L41" i="13"/>
  <c r="BB41" i="13"/>
  <c r="BD41" i="13" s="1"/>
  <c r="AY41" i="13"/>
  <c r="BA41" i="13" s="1"/>
  <c r="BN41" i="9"/>
  <c r="AF40" i="9"/>
  <c r="BP40" i="4"/>
  <c r="L41" i="4"/>
  <c r="BC41" i="4"/>
  <c r="AT41" i="4" s="1"/>
  <c r="AR41" i="4"/>
  <c r="Y41" i="13"/>
  <c r="AA41" i="13" s="1"/>
  <c r="AC41" i="12"/>
  <c r="AE41" i="12" s="1"/>
  <c r="AF41" i="12"/>
  <c r="AG41" i="12" s="1"/>
  <c r="CB41" i="9"/>
  <c r="AE40" i="4"/>
  <c r="AS41" i="4"/>
  <c r="AR38" i="12"/>
  <c r="U41" i="9"/>
  <c r="W41" i="9" s="1"/>
  <c r="BN41" i="4"/>
  <c r="K41" i="8"/>
  <c r="M41" i="8" s="1"/>
  <c r="N41" i="12"/>
  <c r="O41" i="12" s="1"/>
  <c r="K41" i="12"/>
  <c r="M41" i="12" s="1"/>
  <c r="DH41" i="6"/>
  <c r="BD41" i="4"/>
  <c r="BC40" i="13"/>
  <c r="BD40" i="13"/>
  <c r="T41" i="8"/>
  <c r="A43" i="11"/>
  <c r="B42" i="11"/>
  <c r="C42" i="11"/>
  <c r="AT40" i="4"/>
  <c r="AD40" i="4"/>
  <c r="U41" i="4"/>
  <c r="M40" i="4"/>
  <c r="T41" i="12"/>
  <c r="V41" i="12" s="1"/>
  <c r="W41" i="12"/>
  <c r="X41" i="12" s="1"/>
  <c r="AB42" i="12"/>
  <c r="AK42" i="12"/>
  <c r="AT42" i="12"/>
  <c r="AV42" i="9"/>
  <c r="A43" i="9"/>
  <c r="T42" i="9"/>
  <c r="K42" i="9"/>
  <c r="C42" i="9"/>
  <c r="F42" i="9"/>
  <c r="E42" i="9"/>
  <c r="B42" i="9"/>
  <c r="BM42" i="9"/>
  <c r="G42" i="9"/>
  <c r="AM42" i="9"/>
  <c r="D42" i="9"/>
  <c r="BZ42" i="9"/>
  <c r="AC42" i="9"/>
  <c r="I42" i="9"/>
  <c r="H42" i="9"/>
  <c r="BE40" i="4"/>
  <c r="Z41" i="13"/>
  <c r="I42" i="12"/>
  <c r="L42" i="12" s="1"/>
  <c r="AA42" i="12"/>
  <c r="AD42" i="12" s="1"/>
  <c r="R42" i="12"/>
  <c r="U42" i="12" s="1"/>
  <c r="AU42" i="9"/>
  <c r="AX42" i="9" s="1"/>
  <c r="S42" i="9"/>
  <c r="V42" i="9" s="1"/>
  <c r="J42" i="9"/>
  <c r="M42" i="9" s="1"/>
  <c r="BL42" i="9"/>
  <c r="BO42" i="9" s="1"/>
  <c r="BY42" i="9"/>
  <c r="BU42" i="6"/>
  <c r="DN42" i="6"/>
  <c r="AB42" i="9"/>
  <c r="CM42" i="6"/>
  <c r="CP42" i="6" s="1"/>
  <c r="CV42" i="6"/>
  <c r="O42" i="6"/>
  <c r="R42" i="6" s="1"/>
  <c r="AY42" i="6"/>
  <c r="DE42" i="6"/>
  <c r="BL42" i="6"/>
  <c r="AB42" i="6"/>
  <c r="BI42" i="8"/>
  <c r="BL42" i="8" s="1"/>
  <c r="BM42" i="8" s="1"/>
  <c r="CD42" i="6"/>
  <c r="AI42" i="8"/>
  <c r="AL42" i="8" s="1"/>
  <c r="AW42" i="13"/>
  <c r="AZ42" i="13" s="1"/>
  <c r="W42" i="13"/>
  <c r="Z42" i="13" s="1"/>
  <c r="BO42" i="13"/>
  <c r="BR42" i="13" s="1"/>
  <c r="R42" i="8"/>
  <c r="U42" i="8" s="1"/>
  <c r="I42" i="8"/>
  <c r="AV42" i="8"/>
  <c r="AY42" i="8" s="1"/>
  <c r="J42" i="13"/>
  <c r="M42" i="13" s="1"/>
  <c r="AJ42" i="13"/>
  <c r="AM42" i="13" s="1"/>
  <c r="BF42" i="13"/>
  <c r="BI42" i="13" s="1"/>
  <c r="AH42" i="4"/>
  <c r="J42" i="4"/>
  <c r="AG42" i="4"/>
  <c r="I42" i="4"/>
  <c r="L42" i="4" s="1"/>
  <c r="H42" i="4"/>
  <c r="G42" i="4"/>
  <c r="BB42" i="4"/>
  <c r="F42" i="4"/>
  <c r="BA42" i="4"/>
  <c r="E42" i="4"/>
  <c r="D42" i="4"/>
  <c r="C42" i="4"/>
  <c r="AQ42" i="4"/>
  <c r="B42" i="4"/>
  <c r="AP42" i="4"/>
  <c r="A43" i="4"/>
  <c r="AJ43" i="9" s="1"/>
  <c r="BM42" i="4"/>
  <c r="BL42" i="4"/>
  <c r="BO42" i="4" s="1"/>
  <c r="T42" i="4"/>
  <c r="S42" i="4"/>
  <c r="V42" i="4" s="1"/>
  <c r="Q41" i="6"/>
  <c r="S41" i="6" s="1"/>
  <c r="AR39" i="13"/>
  <c r="L41" i="12"/>
  <c r="N40" i="13"/>
  <c r="AK41" i="8"/>
  <c r="AX41" i="8"/>
  <c r="AO40" i="12"/>
  <c r="AL40" i="12"/>
  <c r="AN40" i="12" s="1"/>
  <c r="AZ39" i="12"/>
  <c r="BK41" i="8"/>
  <c r="AP39" i="12"/>
  <c r="AR39" i="12" s="1"/>
  <c r="CQ40" i="6"/>
  <c r="U41" i="12"/>
  <c r="AW41" i="9"/>
  <c r="AY41" i="9" s="1"/>
  <c r="BH41" i="13"/>
  <c r="BJ41" i="13" s="1"/>
  <c r="AY40" i="9"/>
  <c r="AW39" i="12"/>
  <c r="X42" i="13"/>
  <c r="BP42" i="13"/>
  <c r="I42" i="13"/>
  <c r="H42" i="13"/>
  <c r="AK42" i="13"/>
  <c r="G42" i="13"/>
  <c r="F42" i="13"/>
  <c r="E42" i="13"/>
  <c r="D42" i="13"/>
  <c r="C42" i="13"/>
  <c r="B42" i="13"/>
  <c r="BG42" i="13"/>
  <c r="A43" i="13"/>
  <c r="AX42" i="13"/>
  <c r="K42" i="13"/>
  <c r="W40" i="4"/>
  <c r="CO41" i="6"/>
  <c r="AM40" i="12"/>
  <c r="AA40" i="13"/>
  <c r="AI40" i="12"/>
  <c r="L18" i="25"/>
  <c r="R22" i="25" a="1"/>
  <c r="N21" i="25" a="1"/>
  <c r="N19" i="25" a="1"/>
  <c r="N18" i="25" a="1"/>
  <c r="P18" i="25" a="1"/>
  <c r="O21" i="25" a="1"/>
  <c r="Q22" i="25" a="1"/>
  <c r="P21" i="25" a="1"/>
  <c r="P22" i="25" a="1"/>
  <c r="O22" i="25" a="1"/>
  <c r="O19" i="25" a="1"/>
  <c r="Q21" i="25" a="1"/>
  <c r="R20" i="25" a="1"/>
  <c r="O18" i="25" a="1"/>
  <c r="O20" i="25" a="1"/>
  <c r="O23" i="25" a="1"/>
  <c r="N20" i="25" a="1"/>
  <c r="P19" i="25" a="1"/>
  <c r="Q20" i="25" a="1"/>
  <c r="N23" i="25" a="1"/>
  <c r="P20" i="25" a="1"/>
  <c r="R21" i="25" a="1"/>
  <c r="N22" i="25" a="1"/>
  <c r="P23" i="25" a="1"/>
  <c r="P21" i="25" l="1"/>
  <c r="Q22" i="25"/>
  <c r="O21" i="25"/>
  <c r="P18" i="25"/>
  <c r="N18" i="25"/>
  <c r="N19" i="25"/>
  <c r="N21" i="25"/>
  <c r="R22" i="25"/>
  <c r="P23" i="25"/>
  <c r="N22" i="25"/>
  <c r="R21" i="25"/>
  <c r="P20" i="25"/>
  <c r="N23" i="25"/>
  <c r="Q20" i="25"/>
  <c r="P19" i="25"/>
  <c r="N20" i="25"/>
  <c r="O23" i="25"/>
  <c r="L32" i="25" s="1"/>
  <c r="L33" i="25" s="1"/>
  <c r="O20" i="25"/>
  <c r="O18" i="25"/>
  <c r="R20" i="25"/>
  <c r="Q21" i="25"/>
  <c r="O19" i="25"/>
  <c r="O22" i="25"/>
  <c r="P22" i="25"/>
  <c r="AK43" i="6"/>
  <c r="BE41" i="4"/>
  <c r="Y41" i="12"/>
  <c r="Z41" i="12"/>
  <c r="Q41" i="12"/>
  <c r="AI41" i="12"/>
  <c r="AP40" i="12"/>
  <c r="AR40" i="12" s="1"/>
  <c r="AD42" i="6"/>
  <c r="AF42" i="6" s="1"/>
  <c r="AH41" i="12"/>
  <c r="BO43" i="6"/>
  <c r="BN42" i="6"/>
  <c r="BP42" i="6" s="1"/>
  <c r="BC42" i="4"/>
  <c r="AT42" i="4" s="1"/>
  <c r="AR42" i="4"/>
  <c r="DG42" i="6"/>
  <c r="DI42" i="6" s="1"/>
  <c r="DH43" i="6"/>
  <c r="AA43" i="4"/>
  <c r="BB43" i="6"/>
  <c r="BA42" i="6"/>
  <c r="AF40" i="4"/>
  <c r="AE42" i="6"/>
  <c r="BB42" i="6"/>
  <c r="W41" i="4"/>
  <c r="AP41" i="13"/>
  <c r="CY43" i="6"/>
  <c r="CX42" i="6"/>
  <c r="CZ42" i="6" s="1"/>
  <c r="DH42" i="6"/>
  <c r="BC41" i="13"/>
  <c r="AD41" i="4"/>
  <c r="AF41" i="4" s="1"/>
  <c r="CO42" i="6"/>
  <c r="CQ42" i="6" s="1"/>
  <c r="AC42" i="4"/>
  <c r="AE42" i="4" s="1"/>
  <c r="K42" i="4"/>
  <c r="AE43" i="9"/>
  <c r="AD42" i="9"/>
  <c r="AF42" i="9" s="1"/>
  <c r="BP41" i="9"/>
  <c r="AI42" i="4"/>
  <c r="AK42" i="4" s="1"/>
  <c r="DP42" i="6"/>
  <c r="DR42" i="6" s="1"/>
  <c r="DQ43" i="6"/>
  <c r="B43" i="11"/>
  <c r="A44" i="11"/>
  <c r="C43" i="11"/>
  <c r="AL41" i="12"/>
  <c r="AN41" i="12" s="1"/>
  <c r="AO41" i="12"/>
  <c r="AQ41" i="12" s="1"/>
  <c r="AN41" i="13"/>
  <c r="BX43" i="6"/>
  <c r="BW42" i="6"/>
  <c r="BY42" i="6" s="1"/>
  <c r="AE42" i="9"/>
  <c r="CB43" i="9"/>
  <c r="CA42" i="9"/>
  <c r="BI43" i="13"/>
  <c r="BH42" i="13"/>
  <c r="BJ42" i="13" s="1"/>
  <c r="BO43" i="9"/>
  <c r="BN42" i="9"/>
  <c r="BP42" i="9" s="1"/>
  <c r="AZ41" i="8"/>
  <c r="BX42" i="6"/>
  <c r="AM43" i="13"/>
  <c r="AL42" i="13"/>
  <c r="AO42" i="13"/>
  <c r="L42" i="9"/>
  <c r="M43" i="9"/>
  <c r="AX41" i="12"/>
  <c r="AZ41" i="12" s="1"/>
  <c r="AU41" i="12"/>
  <c r="AW41" i="12" s="1"/>
  <c r="D43" i="12"/>
  <c r="C43" i="12"/>
  <c r="B43" i="12"/>
  <c r="J43" i="12"/>
  <c r="G43" i="12"/>
  <c r="A44" i="12"/>
  <c r="F43" i="12"/>
  <c r="E43" i="12"/>
  <c r="S43" i="12"/>
  <c r="H43" i="12"/>
  <c r="AJ42" i="12"/>
  <c r="AM42" i="12" s="1"/>
  <c r="BO42" i="6"/>
  <c r="P43" i="6"/>
  <c r="DO43" i="6"/>
  <c r="CN43" i="6"/>
  <c r="N43" i="6"/>
  <c r="DP43" i="6" s="1"/>
  <c r="BM43" i="6"/>
  <c r="M43" i="6"/>
  <c r="AR43" i="6" s="1"/>
  <c r="AT43" i="6" s="1"/>
  <c r="K43" i="6"/>
  <c r="CX43" i="6" s="1"/>
  <c r="BV43" i="6"/>
  <c r="I43" i="6"/>
  <c r="CF43" i="6" s="1"/>
  <c r="H43" i="6"/>
  <c r="BW43" i="6" s="1"/>
  <c r="CW43" i="6"/>
  <c r="G43" i="6"/>
  <c r="BN43" i="6" s="1"/>
  <c r="AZ43" i="6"/>
  <c r="F43" i="6"/>
  <c r="BA43" i="6" s="1"/>
  <c r="E43" i="6"/>
  <c r="D43" i="6"/>
  <c r="Q43" i="6" s="1"/>
  <c r="C43" i="6"/>
  <c r="B43" i="6"/>
  <c r="CE43" i="6"/>
  <c r="AC43" i="6"/>
  <c r="L43" i="6"/>
  <c r="DG43" i="6" s="1"/>
  <c r="J43" i="6"/>
  <c r="A44" i="6"/>
  <c r="DF43" i="6"/>
  <c r="AS42" i="12"/>
  <c r="BE40" i="13"/>
  <c r="Q43" i="4"/>
  <c r="AY43" i="8"/>
  <c r="AX42" i="8"/>
  <c r="U42" i="9"/>
  <c r="W42" i="9" s="1"/>
  <c r="V43" i="9"/>
  <c r="L43" i="8"/>
  <c r="K42" i="8"/>
  <c r="M42" i="8" s="1"/>
  <c r="AW42" i="9"/>
  <c r="AX43" i="9"/>
  <c r="V41" i="8"/>
  <c r="CY42" i="6"/>
  <c r="AF41" i="6"/>
  <c r="M43" i="13"/>
  <c r="L42" i="13"/>
  <c r="U42" i="4"/>
  <c r="AB43" i="12"/>
  <c r="AT43" i="12"/>
  <c r="AK43" i="12"/>
  <c r="D43" i="9"/>
  <c r="L43" i="9" s="1"/>
  <c r="C43" i="9"/>
  <c r="AC43" i="9"/>
  <c r="B43" i="9"/>
  <c r="BZ43" i="9"/>
  <c r="E43" i="9"/>
  <c r="AD43" i="9" s="1"/>
  <c r="T43" i="9"/>
  <c r="A44" i="9"/>
  <c r="AM43" i="9"/>
  <c r="AV43" i="9"/>
  <c r="I43" i="9"/>
  <c r="CA43" i="9" s="1"/>
  <c r="H43" i="9"/>
  <c r="BN43" i="9" s="1"/>
  <c r="BM43" i="9"/>
  <c r="F43" i="9"/>
  <c r="U43" i="9" s="1"/>
  <c r="K43" i="9"/>
  <c r="G43" i="9"/>
  <c r="AW43" i="9" s="1"/>
  <c r="BG43" i="13"/>
  <c r="X43" i="13"/>
  <c r="AX43" i="13"/>
  <c r="K43" i="13"/>
  <c r="I43" i="13"/>
  <c r="BQ43" i="13" s="1"/>
  <c r="A44" i="13"/>
  <c r="H43" i="13"/>
  <c r="BH43" i="13" s="1"/>
  <c r="G43" i="13"/>
  <c r="AY43" i="13" s="1"/>
  <c r="F43" i="13"/>
  <c r="AL43" i="13" s="1"/>
  <c r="E43" i="13"/>
  <c r="Y43" i="13" s="1"/>
  <c r="AK43" i="13"/>
  <c r="D43" i="13"/>
  <c r="L43" i="13" s="1"/>
  <c r="B43" i="13"/>
  <c r="BP43" i="13"/>
  <c r="C43" i="13"/>
  <c r="AQ40" i="12"/>
  <c r="BN42" i="4"/>
  <c r="BP42" i="4" s="1"/>
  <c r="U43" i="8"/>
  <c r="T42" i="8"/>
  <c r="W42" i="12"/>
  <c r="Y42" i="12" s="1"/>
  <c r="T42" i="12"/>
  <c r="V42" i="12" s="1"/>
  <c r="BP41" i="4"/>
  <c r="S43" i="8"/>
  <c r="BJ43" i="8"/>
  <c r="A44" i="8"/>
  <c r="J43" i="8"/>
  <c r="H43" i="8"/>
  <c r="BK43" i="8" s="1"/>
  <c r="G43" i="8"/>
  <c r="AX43" i="8" s="1"/>
  <c r="F43" i="8"/>
  <c r="AK43" i="8" s="1"/>
  <c r="E43" i="8"/>
  <c r="T43" i="8" s="1"/>
  <c r="D43" i="8"/>
  <c r="K43" i="8" s="1"/>
  <c r="C43" i="8"/>
  <c r="B43" i="8"/>
  <c r="AW43" i="8"/>
  <c r="AJ43" i="8"/>
  <c r="R43" i="6"/>
  <c r="Q42" i="6"/>
  <c r="AS42" i="4"/>
  <c r="AJ42" i="4"/>
  <c r="AM41" i="8"/>
  <c r="BR43" i="13"/>
  <c r="BQ42" i="13"/>
  <c r="Y42" i="13"/>
  <c r="AA42" i="13" s="1"/>
  <c r="Z43" i="13"/>
  <c r="AZ43" i="13"/>
  <c r="BB42" i="13"/>
  <c r="AY42" i="13"/>
  <c r="BA42" i="13" s="1"/>
  <c r="BD42" i="4"/>
  <c r="AF41" i="9"/>
  <c r="AA43" i="12"/>
  <c r="R43" i="12"/>
  <c r="U43" i="12" s="1"/>
  <c r="I43" i="12"/>
  <c r="CM43" i="6"/>
  <c r="AB43" i="6"/>
  <c r="H43" i="4"/>
  <c r="G43" i="4"/>
  <c r="BB43" i="4"/>
  <c r="F43" i="4"/>
  <c r="BA43" i="4"/>
  <c r="BD43" i="4" s="1"/>
  <c r="E43" i="4"/>
  <c r="D43" i="4"/>
  <c r="A44" i="4"/>
  <c r="C43" i="4"/>
  <c r="B43" i="4"/>
  <c r="AG43" i="4"/>
  <c r="AJ43" i="4" s="1"/>
  <c r="I43" i="4"/>
  <c r="L43" i="4" s="1"/>
  <c r="AQ43" i="4"/>
  <c r="J43" i="4"/>
  <c r="AP43" i="4"/>
  <c r="AH43" i="4"/>
  <c r="BM43" i="4"/>
  <c r="BL43" i="4"/>
  <c r="BO43" i="4" s="1"/>
  <c r="T43" i="4"/>
  <c r="S43" i="4"/>
  <c r="V43" i="4" s="1"/>
  <c r="AK42" i="8"/>
  <c r="AL43" i="8"/>
  <c r="CQ41" i="6"/>
  <c r="AY40" i="12"/>
  <c r="BA40" i="12" s="1"/>
  <c r="DQ42" i="6"/>
  <c r="CB42" i="9"/>
  <c r="N41" i="13"/>
  <c r="AF42" i="12"/>
  <c r="AH42" i="12" s="1"/>
  <c r="AC42" i="12"/>
  <c r="AE42" i="12" s="1"/>
  <c r="N42" i="12"/>
  <c r="O42" i="12" s="1"/>
  <c r="K42" i="12"/>
  <c r="M42" i="12" s="1"/>
  <c r="CG43" i="6"/>
  <c r="CF42" i="6"/>
  <c r="BK42" i="8"/>
  <c r="BL43" i="8"/>
  <c r="BM44" i="8" s="1"/>
  <c r="P41" i="12"/>
  <c r="L42" i="8"/>
  <c r="AV41" i="12"/>
  <c r="CZ41" i="6"/>
  <c r="CG42" i="6"/>
  <c r="BE42" i="4" l="1"/>
  <c r="S43" i="6"/>
  <c r="AZ43" i="8"/>
  <c r="V43" i="8"/>
  <c r="BC43" i="6"/>
  <c r="DR43" i="6"/>
  <c r="P42" i="12"/>
  <c r="AG42" i="12"/>
  <c r="AI42" i="12" s="1"/>
  <c r="AM43" i="8"/>
  <c r="CC43" i="9"/>
  <c r="CH43" i="6"/>
  <c r="Q42" i="12"/>
  <c r="BC43" i="13"/>
  <c r="BD43" i="13"/>
  <c r="BP44" i="13"/>
  <c r="AX44" i="13"/>
  <c r="A45" i="13"/>
  <c r="K44" i="13"/>
  <c r="I44" i="13"/>
  <c r="BQ44" i="13" s="1"/>
  <c r="H44" i="13"/>
  <c r="BH44" i="13" s="1"/>
  <c r="BJ44" i="13" s="1"/>
  <c r="G44" i="13"/>
  <c r="AY44" i="13" s="1"/>
  <c r="F44" i="13"/>
  <c r="AL44" i="13" s="1"/>
  <c r="AN44" i="13" s="1"/>
  <c r="AK44" i="13"/>
  <c r="E44" i="13"/>
  <c r="Y44" i="13" s="1"/>
  <c r="AA44" i="13" s="1"/>
  <c r="D44" i="13"/>
  <c r="L44" i="13" s="1"/>
  <c r="N44" i="13" s="1"/>
  <c r="C44" i="13"/>
  <c r="B44" i="13"/>
  <c r="BG44" i="13"/>
  <c r="X44" i="13"/>
  <c r="N43" i="9"/>
  <c r="CH42" i="6"/>
  <c r="AC43" i="4"/>
  <c r="AE43" i="4" s="1"/>
  <c r="K43" i="4"/>
  <c r="AQ43" i="13"/>
  <c r="AS43" i="4"/>
  <c r="AX42" i="12"/>
  <c r="AZ42" i="12" s="1"/>
  <c r="AU42" i="12"/>
  <c r="AW42" i="12" s="1"/>
  <c r="AN43" i="13"/>
  <c r="AP42" i="13"/>
  <c r="AR42" i="13" s="1"/>
  <c r="A45" i="8"/>
  <c r="AW44" i="8"/>
  <c r="S44" i="8"/>
  <c r="BJ44" i="8"/>
  <c r="F44" i="8"/>
  <c r="AK44" i="8" s="1"/>
  <c r="AM44" i="8" s="1"/>
  <c r="E44" i="8"/>
  <c r="T44" i="8" s="1"/>
  <c r="V44" i="8" s="1"/>
  <c r="D44" i="8"/>
  <c r="K44" i="8" s="1"/>
  <c r="M44" i="8" s="1"/>
  <c r="C44" i="8"/>
  <c r="B44" i="8"/>
  <c r="AJ44" i="8"/>
  <c r="J44" i="8"/>
  <c r="H44" i="8"/>
  <c r="BK44" i="8" s="1"/>
  <c r="G44" i="8"/>
  <c r="AX44" i="8" s="1"/>
  <c r="AP41" i="12"/>
  <c r="AR41" i="12" s="1"/>
  <c r="CZ43" i="6"/>
  <c r="A45" i="6"/>
  <c r="CW44" i="6"/>
  <c r="BV44" i="6"/>
  <c r="N44" i="6"/>
  <c r="DP44" i="6" s="1"/>
  <c r="DR44" i="6" s="1"/>
  <c r="AZ44" i="6"/>
  <c r="M44" i="6"/>
  <c r="AR44" i="6" s="1"/>
  <c r="AT44" i="6" s="1"/>
  <c r="L44" i="6"/>
  <c r="DG44" i="6" s="1"/>
  <c r="DI44" i="6" s="1"/>
  <c r="K44" i="6"/>
  <c r="CX44" i="6" s="1"/>
  <c r="CZ44" i="6" s="1"/>
  <c r="J44" i="6"/>
  <c r="CO44" i="6" s="1"/>
  <c r="I44" i="6"/>
  <c r="CF44" i="6" s="1"/>
  <c r="CH44" i="6" s="1"/>
  <c r="CN44" i="6"/>
  <c r="H44" i="6"/>
  <c r="BW44" i="6" s="1"/>
  <c r="G44" i="6"/>
  <c r="BN44" i="6" s="1"/>
  <c r="BP44" i="6" s="1"/>
  <c r="F44" i="6"/>
  <c r="BA44" i="6" s="1"/>
  <c r="BC44" i="6" s="1"/>
  <c r="E44" i="6"/>
  <c r="AD44" i="6" s="1"/>
  <c r="D44" i="6"/>
  <c r="Q44" i="6" s="1"/>
  <c r="S44" i="6" s="1"/>
  <c r="CE44" i="6"/>
  <c r="DO44" i="6"/>
  <c r="AC44" i="6"/>
  <c r="BM44" i="6"/>
  <c r="DF44" i="6"/>
  <c r="P44" i="6"/>
  <c r="C44" i="6"/>
  <c r="B44" i="6"/>
  <c r="AM42" i="8"/>
  <c r="R44" i="12"/>
  <c r="U44" i="12" s="1"/>
  <c r="AA44" i="12"/>
  <c r="AD44" i="12" s="1"/>
  <c r="I44" i="12"/>
  <c r="L44" i="12" s="1"/>
  <c r="F44" i="4"/>
  <c r="E44" i="4"/>
  <c r="BB44" i="4"/>
  <c r="D44" i="4"/>
  <c r="BA44" i="4"/>
  <c r="BD44" i="4" s="1"/>
  <c r="C44" i="4"/>
  <c r="B44" i="4"/>
  <c r="A45" i="4"/>
  <c r="T44" i="4"/>
  <c r="AG44" i="4"/>
  <c r="G44" i="4"/>
  <c r="J44" i="4"/>
  <c r="I44" i="4"/>
  <c r="L44" i="4" s="1"/>
  <c r="AQ44" i="4"/>
  <c r="H44" i="4"/>
  <c r="AP44" i="4"/>
  <c r="AH44" i="4"/>
  <c r="BM44" i="4"/>
  <c r="BL44" i="4"/>
  <c r="BO44" i="4" s="1"/>
  <c r="S44" i="4"/>
  <c r="V44" i="4" s="1"/>
  <c r="N43" i="13"/>
  <c r="AL42" i="12"/>
  <c r="AN42" i="12" s="1"/>
  <c r="AO42" i="12"/>
  <c r="AQ42" i="12" s="1"/>
  <c r="CC42" i="9"/>
  <c r="N42" i="13"/>
  <c r="A45" i="11"/>
  <c r="B44" i="11"/>
  <c r="C44" i="11"/>
  <c r="AQ42" i="13"/>
  <c r="BC43" i="4"/>
  <c r="AR43" i="4"/>
  <c r="BS43" i="13"/>
  <c r="BP43" i="6"/>
  <c r="AS43" i="12"/>
  <c r="AV43" i="12" s="1"/>
  <c r="BP43" i="9"/>
  <c r="BC42" i="6"/>
  <c r="AA43" i="13"/>
  <c r="N42" i="9"/>
  <c r="BJ43" i="13"/>
  <c r="AY43" i="9"/>
  <c r="AN42" i="13"/>
  <c r="BS42" i="13"/>
  <c r="AD43" i="6"/>
  <c r="AE44" i="6"/>
  <c r="M43" i="8"/>
  <c r="S44" i="12"/>
  <c r="E44" i="12"/>
  <c r="B44" i="12"/>
  <c r="D44" i="12"/>
  <c r="C44" i="12"/>
  <c r="J44" i="12"/>
  <c r="G44" i="12"/>
  <c r="A45" i="12"/>
  <c r="H44" i="12"/>
  <c r="F44" i="12"/>
  <c r="AY42" i="9"/>
  <c r="W42" i="4"/>
  <c r="CO43" i="6"/>
  <c r="CP44" i="6"/>
  <c r="AT44" i="12"/>
  <c r="AK44" i="12"/>
  <c r="BM44" i="9"/>
  <c r="AM44" i="9"/>
  <c r="K44" i="9"/>
  <c r="I44" i="9"/>
  <c r="CA44" i="9" s="1"/>
  <c r="H44" i="9"/>
  <c r="BN44" i="9" s="1"/>
  <c r="G44" i="9"/>
  <c r="AW44" i="9" s="1"/>
  <c r="AY44" i="9" s="1"/>
  <c r="T44" i="9"/>
  <c r="A45" i="9"/>
  <c r="AB44" i="12"/>
  <c r="AV44" i="9"/>
  <c r="D44" i="9"/>
  <c r="L44" i="9" s="1"/>
  <c r="N44" i="9" s="1"/>
  <c r="B44" i="9"/>
  <c r="BZ44" i="9"/>
  <c r="F44" i="9"/>
  <c r="U44" i="9" s="1"/>
  <c r="W44" i="9" s="1"/>
  <c r="E44" i="9"/>
  <c r="AD44" i="9" s="1"/>
  <c r="AF44" i="9" s="1"/>
  <c r="C44" i="9"/>
  <c r="AC44" i="9"/>
  <c r="AJ43" i="12"/>
  <c r="X42" i="12"/>
  <c r="BD42" i="13"/>
  <c r="AF43" i="9"/>
  <c r="AE43" i="6"/>
  <c r="W43" i="12"/>
  <c r="T43" i="12"/>
  <c r="V43" i="12" s="1"/>
  <c r="W43" i="9"/>
  <c r="AD42" i="4"/>
  <c r="AV42" i="12"/>
  <c r="AR41" i="13"/>
  <c r="AI43" i="4"/>
  <c r="AK43" i="4" s="1"/>
  <c r="AF43" i="12"/>
  <c r="AG43" i="12" s="1"/>
  <c r="AC43" i="12"/>
  <c r="AZ42" i="8"/>
  <c r="U43" i="4"/>
  <c r="W43" i="4" s="1"/>
  <c r="AP43" i="13"/>
  <c r="AY41" i="12"/>
  <c r="CP43" i="6"/>
  <c r="BN43" i="4"/>
  <c r="BP43" i="4" s="1"/>
  <c r="BM43" i="8"/>
  <c r="AD43" i="12"/>
  <c r="S42" i="6"/>
  <c r="BE41" i="13"/>
  <c r="V42" i="8"/>
  <c r="M42" i="4"/>
  <c r="N43" i="12"/>
  <c r="O43" i="12" s="1"/>
  <c r="K43" i="12"/>
  <c r="L43" i="12"/>
  <c r="BA43" i="13"/>
  <c r="BC42" i="13"/>
  <c r="BY43" i="6"/>
  <c r="DI43" i="6"/>
  <c r="AS44" i="4" l="1"/>
  <c r="AF44" i="6"/>
  <c r="CQ44" i="6"/>
  <c r="BE43" i="13"/>
  <c r="AI43" i="12"/>
  <c r="Q43" i="12"/>
  <c r="Z42" i="12"/>
  <c r="N44" i="12"/>
  <c r="P44" i="12" s="1"/>
  <c r="K44" i="12"/>
  <c r="M44" i="12" s="1"/>
  <c r="AI44" i="4"/>
  <c r="AK44" i="4" s="1"/>
  <c r="AC44" i="12"/>
  <c r="AE44" i="12" s="1"/>
  <c r="AF44" i="12"/>
  <c r="AH44" i="12" s="1"/>
  <c r="AY42" i="12"/>
  <c r="BA42" i="12" s="1"/>
  <c r="AP44" i="13"/>
  <c r="AR44" i="13" s="1"/>
  <c r="W44" i="12"/>
  <c r="Y44" i="12" s="1"/>
  <c r="T44" i="12"/>
  <c r="V44" i="12" s="1"/>
  <c r="BC44" i="13"/>
  <c r="BE44" i="13" s="1"/>
  <c r="AX43" i="12"/>
  <c r="AZ43" i="12" s="1"/>
  <c r="AU43" i="12"/>
  <c r="AW43" i="12" s="1"/>
  <c r="DF45" i="6"/>
  <c r="CE45" i="6"/>
  <c r="D45" i="6"/>
  <c r="Q45" i="6" s="1"/>
  <c r="S45" i="6" s="1"/>
  <c r="AC45" i="6"/>
  <c r="C45" i="6"/>
  <c r="B45" i="6"/>
  <c r="AZ45" i="6"/>
  <c r="A46" i="6"/>
  <c r="CW45" i="6"/>
  <c r="BV45" i="6"/>
  <c r="F45" i="6"/>
  <c r="BA45" i="6" s="1"/>
  <c r="BC45" i="6" s="1"/>
  <c r="E45" i="6"/>
  <c r="AD45" i="6" s="1"/>
  <c r="AF45" i="6" s="1"/>
  <c r="P45" i="6"/>
  <c r="N45" i="6"/>
  <c r="DP45" i="6" s="1"/>
  <c r="M45" i="6"/>
  <c r="AR45" i="6" s="1"/>
  <c r="AT45" i="6" s="1"/>
  <c r="L45" i="6"/>
  <c r="DG45" i="6" s="1"/>
  <c r="DI45" i="6" s="1"/>
  <c r="K45" i="6"/>
  <c r="CX45" i="6" s="1"/>
  <c r="CZ45" i="6" s="1"/>
  <c r="CN45" i="6"/>
  <c r="J45" i="6"/>
  <c r="CO45" i="6" s="1"/>
  <c r="CQ45" i="6" s="1"/>
  <c r="I45" i="6"/>
  <c r="CF45" i="6" s="1"/>
  <c r="CH45" i="6" s="1"/>
  <c r="H45" i="6"/>
  <c r="BW45" i="6" s="1"/>
  <c r="BY45" i="6" s="1"/>
  <c r="DO45" i="6"/>
  <c r="BM45" i="6"/>
  <c r="G45" i="6"/>
  <c r="BN45" i="6" s="1"/>
  <c r="BP45" i="6" s="1"/>
  <c r="U44" i="4"/>
  <c r="W44" i="4" s="1"/>
  <c r="BN44" i="4"/>
  <c r="BP44" i="4" s="1"/>
  <c r="BE42" i="13"/>
  <c r="BP45" i="13"/>
  <c r="AK45" i="13"/>
  <c r="K45" i="13"/>
  <c r="C45" i="13"/>
  <c r="B45" i="13"/>
  <c r="BG45" i="13"/>
  <c r="X45" i="13"/>
  <c r="AX45" i="13"/>
  <c r="H45" i="13"/>
  <c r="BH45" i="13" s="1"/>
  <c r="BJ45" i="13" s="1"/>
  <c r="A46" i="13"/>
  <c r="G45" i="13"/>
  <c r="AY45" i="13" s="1"/>
  <c r="F45" i="13"/>
  <c r="AL45" i="13" s="1"/>
  <c r="E45" i="13"/>
  <c r="Y45" i="13" s="1"/>
  <c r="AA45" i="13" s="1"/>
  <c r="D45" i="13"/>
  <c r="L45" i="13" s="1"/>
  <c r="N45" i="13" s="1"/>
  <c r="I45" i="13"/>
  <c r="BQ45" i="13" s="1"/>
  <c r="BS45" i="13" s="1"/>
  <c r="AK45" i="12"/>
  <c r="AV45" i="9"/>
  <c r="T45" i="9"/>
  <c r="K45" i="9"/>
  <c r="AB45" i="12"/>
  <c r="AM45" i="9"/>
  <c r="D45" i="9"/>
  <c r="L45" i="9" s="1"/>
  <c r="N45" i="9" s="1"/>
  <c r="C45" i="9"/>
  <c r="BZ45" i="9"/>
  <c r="B45" i="9"/>
  <c r="F45" i="9"/>
  <c r="U45" i="9" s="1"/>
  <c r="W45" i="9" s="1"/>
  <c r="BM45" i="9"/>
  <c r="I45" i="9"/>
  <c r="CA45" i="9" s="1"/>
  <c r="CC45" i="9" s="1"/>
  <c r="H45" i="9"/>
  <c r="BN45" i="9" s="1"/>
  <c r="BP45" i="9" s="1"/>
  <c r="G45" i="9"/>
  <c r="AW45" i="9" s="1"/>
  <c r="AY45" i="9" s="1"/>
  <c r="AT45" i="12"/>
  <c r="AC45" i="9"/>
  <c r="E45" i="9"/>
  <c r="AD45" i="9" s="1"/>
  <c r="AF45" i="9" s="1"/>
  <c r="A46" i="9"/>
  <c r="AZ44" i="8"/>
  <c r="AH43" i="12"/>
  <c r="AC44" i="4"/>
  <c r="K44" i="4"/>
  <c r="M44" i="4" s="1"/>
  <c r="BS44" i="13"/>
  <c r="CQ43" i="6"/>
  <c r="AF43" i="6"/>
  <c r="AD43" i="4"/>
  <c r="AO43" i="12"/>
  <c r="AQ43" i="12" s="1"/>
  <c r="AL43" i="12"/>
  <c r="AN43" i="12" s="1"/>
  <c r="AE43" i="12"/>
  <c r="AJ44" i="4"/>
  <c r="R45" i="12"/>
  <c r="I45" i="12"/>
  <c r="AA45" i="12"/>
  <c r="AD45" i="12" s="1"/>
  <c r="AJ45" i="9"/>
  <c r="AK45" i="6"/>
  <c r="BB45" i="4"/>
  <c r="F45" i="4"/>
  <c r="BA45" i="4"/>
  <c r="BD45" i="4" s="1"/>
  <c r="E45" i="4"/>
  <c r="D45" i="4"/>
  <c r="A46" i="4"/>
  <c r="AA45" i="4"/>
  <c r="C45" i="4"/>
  <c r="B45" i="4"/>
  <c r="AQ45" i="4"/>
  <c r="S45" i="4"/>
  <c r="G45" i="4"/>
  <c r="Q45" i="4"/>
  <c r="J45" i="4"/>
  <c r="I45" i="4"/>
  <c r="L45" i="4" s="1"/>
  <c r="AP45" i="4"/>
  <c r="H45" i="4"/>
  <c r="AH45" i="4"/>
  <c r="AG45" i="4"/>
  <c r="BL45" i="4"/>
  <c r="T45" i="4"/>
  <c r="BM45" i="4"/>
  <c r="AS44" i="12"/>
  <c r="AV44" i="12" s="1"/>
  <c r="CC44" i="9"/>
  <c r="A46" i="11"/>
  <c r="B45" i="11"/>
  <c r="C45" i="11"/>
  <c r="BA44" i="13"/>
  <c r="AJ44" i="12"/>
  <c r="AM44" i="12" s="1"/>
  <c r="BC44" i="4"/>
  <c r="BE44" i="4" s="1"/>
  <c r="AR44" i="4"/>
  <c r="A46" i="8"/>
  <c r="AW45" i="8"/>
  <c r="BJ45" i="8"/>
  <c r="AJ45" i="8"/>
  <c r="S45" i="8"/>
  <c r="J45" i="8"/>
  <c r="H45" i="8"/>
  <c r="BK45" i="8" s="1"/>
  <c r="F45" i="8"/>
  <c r="AK45" i="8" s="1"/>
  <c r="AM45" i="8" s="1"/>
  <c r="E45" i="8"/>
  <c r="T45" i="8" s="1"/>
  <c r="V45" i="8" s="1"/>
  <c r="D45" i="8"/>
  <c r="K45" i="8" s="1"/>
  <c r="M45" i="8" s="1"/>
  <c r="C45" i="8"/>
  <c r="B45" i="8"/>
  <c r="G45" i="8"/>
  <c r="AX45" i="8" s="1"/>
  <c r="AZ45" i="8" s="1"/>
  <c r="BY44" i="6"/>
  <c r="P43" i="12"/>
  <c r="BP44" i="9"/>
  <c r="AM43" i="12"/>
  <c r="AT43" i="4"/>
  <c r="Y43" i="12"/>
  <c r="AP42" i="12"/>
  <c r="AR42" i="12" s="1"/>
  <c r="BE43" i="4"/>
  <c r="X43" i="12"/>
  <c r="A46" i="12"/>
  <c r="S45" i="12"/>
  <c r="J45" i="12"/>
  <c r="C45" i="12"/>
  <c r="G45" i="12"/>
  <c r="F45" i="12"/>
  <c r="E45" i="12"/>
  <c r="D45" i="12"/>
  <c r="B45" i="12"/>
  <c r="H45" i="12"/>
  <c r="AF42" i="4"/>
  <c r="M43" i="12"/>
  <c r="M43" i="4"/>
  <c r="BA41" i="12"/>
  <c r="AR43" i="13"/>
  <c r="O44" i="12" l="1"/>
  <c r="Q44" i="12" s="1"/>
  <c r="AG44" i="12"/>
  <c r="AI44" i="12" s="1"/>
  <c r="AS45" i="4"/>
  <c r="X44" i="12"/>
  <c r="Z44" i="12" s="1"/>
  <c r="J46" i="12"/>
  <c r="H46" i="12"/>
  <c r="S46" i="12"/>
  <c r="C46" i="12"/>
  <c r="B46" i="12"/>
  <c r="A47" i="12"/>
  <c r="E46" i="12"/>
  <c r="G46" i="12"/>
  <c r="F46" i="12"/>
  <c r="D46" i="12"/>
  <c r="N45" i="12"/>
  <c r="P45" i="12" s="1"/>
  <c r="K45" i="12"/>
  <c r="M45" i="12" s="1"/>
  <c r="BN45" i="4"/>
  <c r="BP45" i="4" s="1"/>
  <c r="W45" i="12"/>
  <c r="Y45" i="12" s="1"/>
  <c r="T45" i="12"/>
  <c r="V45" i="12" s="1"/>
  <c r="AD44" i="4"/>
  <c r="AF44" i="4" s="1"/>
  <c r="AI45" i="4"/>
  <c r="AK45" i="4" s="1"/>
  <c r="E46" i="8"/>
  <c r="T46" i="8" s="1"/>
  <c r="V46" i="8" s="1"/>
  <c r="D46" i="8"/>
  <c r="K46" i="8" s="1"/>
  <c r="M46" i="8" s="1"/>
  <c r="C46" i="8"/>
  <c r="B46" i="8"/>
  <c r="BJ46" i="8"/>
  <c r="S46" i="8"/>
  <c r="AJ46" i="8"/>
  <c r="A47" i="8"/>
  <c r="J46" i="8"/>
  <c r="H46" i="8"/>
  <c r="BK46" i="8" s="1"/>
  <c r="G46" i="8"/>
  <c r="AX46" i="8" s="1"/>
  <c r="AZ46" i="8" s="1"/>
  <c r="F46" i="8"/>
  <c r="AK46" i="8" s="1"/>
  <c r="AM46" i="8" s="1"/>
  <c r="AW46" i="8"/>
  <c r="AT44" i="4"/>
  <c r="BO45" i="4"/>
  <c r="I46" i="6"/>
  <c r="CF46" i="6" s="1"/>
  <c r="CH46" i="6" s="1"/>
  <c r="H46" i="6"/>
  <c r="BW46" i="6" s="1"/>
  <c r="BY46" i="6" s="1"/>
  <c r="G46" i="6"/>
  <c r="BN46" i="6" s="1"/>
  <c r="BP46" i="6" s="1"/>
  <c r="F46" i="6"/>
  <c r="BA46" i="6" s="1"/>
  <c r="E46" i="6"/>
  <c r="AD46" i="6" s="1"/>
  <c r="DF46" i="6"/>
  <c r="CE46" i="6"/>
  <c r="D46" i="6"/>
  <c r="Q46" i="6" s="1"/>
  <c r="S46" i="6" s="1"/>
  <c r="AC46" i="6"/>
  <c r="C46" i="6"/>
  <c r="K46" i="6"/>
  <c r="CX46" i="6" s="1"/>
  <c r="CZ46" i="6" s="1"/>
  <c r="J46" i="6"/>
  <c r="CO46" i="6" s="1"/>
  <c r="CQ46" i="6" s="1"/>
  <c r="BM46" i="6"/>
  <c r="CW46" i="6"/>
  <c r="AZ46" i="6"/>
  <c r="P46" i="6"/>
  <c r="N46" i="6"/>
  <c r="DP46" i="6" s="1"/>
  <c r="M46" i="6"/>
  <c r="AR46" i="6" s="1"/>
  <c r="L46" i="6"/>
  <c r="DG46" i="6" s="1"/>
  <c r="DI46" i="6" s="1"/>
  <c r="B46" i="6"/>
  <c r="BV46" i="6"/>
  <c r="DO46" i="6"/>
  <c r="A47" i="6"/>
  <c r="CN46" i="6"/>
  <c r="AC45" i="4"/>
  <c r="AE45" i="4" s="1"/>
  <c r="K45" i="4"/>
  <c r="M45" i="4" s="1"/>
  <c r="AE44" i="4"/>
  <c r="AJ45" i="4"/>
  <c r="AC45" i="12"/>
  <c r="AE45" i="12" s="1"/>
  <c r="AF45" i="12"/>
  <c r="AG45" i="12" s="1"/>
  <c r="AO44" i="12"/>
  <c r="AQ44" i="12" s="1"/>
  <c r="AL44" i="12"/>
  <c r="AN44" i="12" s="1"/>
  <c r="AK46" i="12"/>
  <c r="AB46" i="12"/>
  <c r="H46" i="9"/>
  <c r="BN46" i="9" s="1"/>
  <c r="BP46" i="9" s="1"/>
  <c r="G46" i="9"/>
  <c r="AW46" i="9" s="1"/>
  <c r="F46" i="9"/>
  <c r="U46" i="9" s="1"/>
  <c r="W46" i="9" s="1"/>
  <c r="E46" i="9"/>
  <c r="AD46" i="9" s="1"/>
  <c r="D46" i="9"/>
  <c r="L46" i="9" s="1"/>
  <c r="C46" i="9"/>
  <c r="AC46" i="9"/>
  <c r="B46" i="9"/>
  <c r="A47" i="9"/>
  <c r="T46" i="9"/>
  <c r="BM46" i="9"/>
  <c r="AM46" i="9"/>
  <c r="BZ46" i="9"/>
  <c r="AT46" i="12"/>
  <c r="K46" i="9"/>
  <c r="AV46" i="9"/>
  <c r="I46" i="9"/>
  <c r="CA46" i="9" s="1"/>
  <c r="CC46" i="9" s="1"/>
  <c r="DR45" i="6"/>
  <c r="U45" i="4"/>
  <c r="AP43" i="12"/>
  <c r="V45" i="4"/>
  <c r="L45" i="12"/>
  <c r="AP45" i="13"/>
  <c r="AS45" i="12"/>
  <c r="AV45" i="12" s="1"/>
  <c r="BC45" i="13"/>
  <c r="AF43" i="4"/>
  <c r="BP46" i="13"/>
  <c r="AK46" i="13"/>
  <c r="K46" i="13"/>
  <c r="I46" i="13"/>
  <c r="BQ46" i="13" s="1"/>
  <c r="BG46" i="13"/>
  <c r="X46" i="13"/>
  <c r="AX46" i="13"/>
  <c r="H46" i="13"/>
  <c r="BH46" i="13" s="1"/>
  <c r="BJ46" i="13" s="1"/>
  <c r="A47" i="13"/>
  <c r="G46" i="13"/>
  <c r="AY46" i="13" s="1"/>
  <c r="BA46" i="13" s="1"/>
  <c r="F46" i="13"/>
  <c r="AL46" i="13" s="1"/>
  <c r="AN46" i="13" s="1"/>
  <c r="E46" i="13"/>
  <c r="Y46" i="13" s="1"/>
  <c r="D46" i="13"/>
  <c r="L46" i="13" s="1"/>
  <c r="B46" i="13"/>
  <c r="C46" i="13"/>
  <c r="AY43" i="12"/>
  <c r="BA43" i="12" s="1"/>
  <c r="Z43" i="12"/>
  <c r="C46" i="11"/>
  <c r="B46" i="11"/>
  <c r="A47" i="11"/>
  <c r="BA45" i="13"/>
  <c r="U45" i="12"/>
  <c r="I46" i="12"/>
  <c r="L46" i="12" s="1"/>
  <c r="R46" i="12"/>
  <c r="U46" i="12" s="1"/>
  <c r="AA46" i="12"/>
  <c r="AJ46" i="9"/>
  <c r="AK46" i="6"/>
  <c r="D46" i="4"/>
  <c r="A47" i="4"/>
  <c r="AA46" i="4"/>
  <c r="C46" i="4"/>
  <c r="B46" i="4"/>
  <c r="T46" i="4"/>
  <c r="BM46" i="4"/>
  <c r="Q46" i="4"/>
  <c r="BA46" i="4"/>
  <c r="BD46" i="4" s="1"/>
  <c r="E46" i="4"/>
  <c r="BL46" i="4"/>
  <c r="S46" i="4"/>
  <c r="BB46" i="4"/>
  <c r="J46" i="4"/>
  <c r="I46" i="4"/>
  <c r="AQ46" i="4"/>
  <c r="H46" i="4"/>
  <c r="AP46" i="4"/>
  <c r="G46" i="4"/>
  <c r="F46" i="4"/>
  <c r="AH46" i="4"/>
  <c r="AG46" i="4"/>
  <c r="AU44" i="12"/>
  <c r="AW44" i="12" s="1"/>
  <c r="AX44" i="12"/>
  <c r="AZ44" i="12" s="1"/>
  <c r="BC45" i="4"/>
  <c r="AR45" i="4"/>
  <c r="AJ45" i="12"/>
  <c r="AM45" i="12" s="1"/>
  <c r="AN45" i="13"/>
  <c r="O45" i="12" l="1"/>
  <c r="Q45" i="12" s="1"/>
  <c r="X45" i="12"/>
  <c r="Z45" i="12" s="1"/>
  <c r="AC46" i="4"/>
  <c r="AE46" i="4" s="1"/>
  <c r="K46" i="4"/>
  <c r="M46" i="4" s="1"/>
  <c r="L47" i="4"/>
  <c r="N47" i="6"/>
  <c r="DP47" i="6" s="1"/>
  <c r="DR47" i="6" s="1"/>
  <c r="M47" i="6"/>
  <c r="AR47" i="6" s="1"/>
  <c r="DO47" i="6"/>
  <c r="CN47" i="6"/>
  <c r="BM47" i="6"/>
  <c r="L47" i="6"/>
  <c r="DG47" i="6" s="1"/>
  <c r="K47" i="6"/>
  <c r="CX47" i="6" s="1"/>
  <c r="CZ47" i="6" s="1"/>
  <c r="J47" i="6"/>
  <c r="CO47" i="6" s="1"/>
  <c r="CQ47" i="6" s="1"/>
  <c r="I47" i="6"/>
  <c r="CF47" i="6" s="1"/>
  <c r="CH47" i="6" s="1"/>
  <c r="H47" i="6"/>
  <c r="BW47" i="6" s="1"/>
  <c r="BY47" i="6" s="1"/>
  <c r="F47" i="6"/>
  <c r="BA47" i="6" s="1"/>
  <c r="BC47" i="6" s="1"/>
  <c r="P47" i="6"/>
  <c r="CW47" i="6"/>
  <c r="G47" i="6"/>
  <c r="BN47" i="6" s="1"/>
  <c r="BP47" i="6" s="1"/>
  <c r="E47" i="6"/>
  <c r="AD47" i="6" s="1"/>
  <c r="AF47" i="6" s="1"/>
  <c r="AZ47" i="6"/>
  <c r="D47" i="6"/>
  <c r="Q47" i="6" s="1"/>
  <c r="S47" i="6" s="1"/>
  <c r="C47" i="6"/>
  <c r="A48" i="6"/>
  <c r="CE47" i="6"/>
  <c r="AC47" i="6"/>
  <c r="DF47" i="6"/>
  <c r="BV47" i="6"/>
  <c r="B47" i="6"/>
  <c r="V47" i="4"/>
  <c r="U46" i="4"/>
  <c r="BS46" i="13"/>
  <c r="BN46" i="4"/>
  <c r="BO47" i="4"/>
  <c r="AF46" i="9"/>
  <c r="BO46" i="4"/>
  <c r="B47" i="11"/>
  <c r="A48" i="11"/>
  <c r="C47" i="11"/>
  <c r="V46" i="4"/>
  <c r="AP44" i="12"/>
  <c r="BJ47" i="8"/>
  <c r="AJ47" i="8"/>
  <c r="J47" i="8"/>
  <c r="H47" i="8"/>
  <c r="BK47" i="8" s="1"/>
  <c r="G47" i="8"/>
  <c r="AX47" i="8" s="1"/>
  <c r="F47" i="8"/>
  <c r="AK47" i="8" s="1"/>
  <c r="AM47" i="8" s="1"/>
  <c r="E47" i="8"/>
  <c r="T47" i="8" s="1"/>
  <c r="V47" i="8" s="1"/>
  <c r="D47" i="8"/>
  <c r="K47" i="8" s="1"/>
  <c r="M47" i="8" s="1"/>
  <c r="C47" i="8"/>
  <c r="S47" i="8"/>
  <c r="AW47" i="8"/>
  <c r="B47" i="8"/>
  <c r="A48" i="8"/>
  <c r="W45" i="4"/>
  <c r="BE45" i="4"/>
  <c r="DR46" i="6"/>
  <c r="BE45" i="13"/>
  <c r="AY44" i="12"/>
  <c r="BA44" i="12" s="1"/>
  <c r="AT45" i="4"/>
  <c r="AR46" i="4"/>
  <c r="BD47" i="4"/>
  <c r="BC46" i="4"/>
  <c r="AT46" i="4" s="1"/>
  <c r="AS47" i="4"/>
  <c r="AJ46" i="12"/>
  <c r="AM46" i="12" s="1"/>
  <c r="AX45" i="12"/>
  <c r="AZ45" i="12" s="1"/>
  <c r="AU45" i="12"/>
  <c r="H47" i="12"/>
  <c r="G47" i="12"/>
  <c r="A48" i="12"/>
  <c r="F47" i="12"/>
  <c r="E47" i="12"/>
  <c r="D47" i="12"/>
  <c r="C47" i="12"/>
  <c r="S47" i="12"/>
  <c r="J47" i="12"/>
  <c r="B47" i="12"/>
  <c r="AJ47" i="4"/>
  <c r="AI46" i="4"/>
  <c r="AF46" i="12"/>
  <c r="AH46" i="12" s="1"/>
  <c r="AC46" i="12"/>
  <c r="AE46" i="12" s="1"/>
  <c r="AD46" i="12"/>
  <c r="AJ46" i="4"/>
  <c r="AA47" i="12"/>
  <c r="AD47" i="12" s="1"/>
  <c r="R47" i="12"/>
  <c r="I47" i="12"/>
  <c r="L47" i="12" s="1"/>
  <c r="AJ47" i="9"/>
  <c r="AK47" i="6"/>
  <c r="B47" i="4"/>
  <c r="BB47" i="4"/>
  <c r="AA47" i="4"/>
  <c r="A48" i="4"/>
  <c r="T47" i="4"/>
  <c r="AQ47" i="4"/>
  <c r="C47" i="4"/>
  <c r="AH47" i="4"/>
  <c r="BM47" i="4"/>
  <c r="Q47" i="4"/>
  <c r="J47" i="4"/>
  <c r="H47" i="4"/>
  <c r="BN47" i="4" s="1"/>
  <c r="G47" i="4"/>
  <c r="F47" i="4"/>
  <c r="AI47" i="4" s="1"/>
  <c r="D47" i="4"/>
  <c r="K47" i="4" s="1"/>
  <c r="E47" i="4"/>
  <c r="U47" i="4" s="1"/>
  <c r="W46" i="12"/>
  <c r="X46" i="12" s="1"/>
  <c r="T46" i="12"/>
  <c r="V46" i="12" s="1"/>
  <c r="AH45" i="12"/>
  <c r="N46" i="9"/>
  <c r="K46" i="12"/>
  <c r="N46" i="12"/>
  <c r="AP46" i="13"/>
  <c r="AA46" i="13"/>
  <c r="BC46" i="13"/>
  <c r="BE46" i="13" s="1"/>
  <c r="AY46" i="9"/>
  <c r="AB47" i="12"/>
  <c r="A48" i="9"/>
  <c r="BM47" i="9"/>
  <c r="AM47" i="9"/>
  <c r="AK47" i="12"/>
  <c r="D47" i="9"/>
  <c r="L47" i="9" s="1"/>
  <c r="B47" i="9"/>
  <c r="AT47" i="12"/>
  <c r="E47" i="9"/>
  <c r="AD47" i="9" s="1"/>
  <c r="G47" i="9"/>
  <c r="AW47" i="9" s="1"/>
  <c r="AY47" i="9" s="1"/>
  <c r="F47" i="9"/>
  <c r="U47" i="9" s="1"/>
  <c r="C47" i="9"/>
  <c r="AV47" i="9"/>
  <c r="BZ47" i="9"/>
  <c r="T47" i="9"/>
  <c r="H47" i="9"/>
  <c r="BN47" i="9" s="1"/>
  <c r="BP47" i="9" s="1"/>
  <c r="AC47" i="9"/>
  <c r="K47" i="9"/>
  <c r="I47" i="9"/>
  <c r="CA47" i="9" s="1"/>
  <c r="L46" i="4"/>
  <c r="BC46" i="6"/>
  <c r="AS46" i="12"/>
  <c r="AV46" i="12" s="1"/>
  <c r="AO45" i="12"/>
  <c r="AQ45" i="12" s="1"/>
  <c r="AL45" i="12"/>
  <c r="AN45" i="12" s="1"/>
  <c r="AD45" i="4"/>
  <c r="AI45" i="12"/>
  <c r="AR45" i="13"/>
  <c r="BP47" i="13"/>
  <c r="AK47" i="13"/>
  <c r="K47" i="13"/>
  <c r="I47" i="13"/>
  <c r="BQ47" i="13" s="1"/>
  <c r="H47" i="13"/>
  <c r="BH47" i="13" s="1"/>
  <c r="X47" i="13"/>
  <c r="AX47" i="13"/>
  <c r="G47" i="13"/>
  <c r="AY47" i="13" s="1"/>
  <c r="A48" i="13"/>
  <c r="F47" i="13"/>
  <c r="AL47" i="13" s="1"/>
  <c r="AN47" i="13" s="1"/>
  <c r="E47" i="13"/>
  <c r="Y47" i="13" s="1"/>
  <c r="AA47" i="13" s="1"/>
  <c r="D47" i="13"/>
  <c r="L47" i="13" s="1"/>
  <c r="N47" i="13" s="1"/>
  <c r="C47" i="13"/>
  <c r="B47" i="13"/>
  <c r="BG47" i="13"/>
  <c r="AS46" i="4"/>
  <c r="N46" i="13"/>
  <c r="AR43" i="12"/>
  <c r="AF46" i="6"/>
  <c r="AT46" i="6"/>
  <c r="AG46" i="12" l="1"/>
  <c r="AI46" i="12" s="1"/>
  <c r="AK47" i="4"/>
  <c r="BE46" i="4"/>
  <c r="Z46" i="12"/>
  <c r="AK48" i="13"/>
  <c r="K48" i="13"/>
  <c r="I48" i="13"/>
  <c r="BQ48" i="13" s="1"/>
  <c r="BS48" i="13" s="1"/>
  <c r="H48" i="13"/>
  <c r="BH48" i="13" s="1"/>
  <c r="BJ48" i="13" s="1"/>
  <c r="G48" i="13"/>
  <c r="AY48" i="13" s="1"/>
  <c r="BA48" i="13" s="1"/>
  <c r="A49" i="13"/>
  <c r="BP48" i="13"/>
  <c r="AX48" i="13"/>
  <c r="F48" i="13"/>
  <c r="AL48" i="13" s="1"/>
  <c r="AN48" i="13" s="1"/>
  <c r="E48" i="13"/>
  <c r="Y48" i="13" s="1"/>
  <c r="AA48" i="13" s="1"/>
  <c r="D48" i="13"/>
  <c r="L48" i="13" s="1"/>
  <c r="N48" i="13" s="1"/>
  <c r="C48" i="13"/>
  <c r="B48" i="13"/>
  <c r="BG48" i="13"/>
  <c r="X48" i="13"/>
  <c r="Y46" i="12"/>
  <c r="P48" i="6"/>
  <c r="N48" i="6"/>
  <c r="DP48" i="6" s="1"/>
  <c r="DR48" i="6" s="1"/>
  <c r="M48" i="6"/>
  <c r="AR48" i="6" s="1"/>
  <c r="K48" i="6"/>
  <c r="CX48" i="6" s="1"/>
  <c r="CZ48" i="6" s="1"/>
  <c r="A49" i="6"/>
  <c r="CW48" i="6"/>
  <c r="BV48" i="6"/>
  <c r="L48" i="6"/>
  <c r="DG48" i="6" s="1"/>
  <c r="DI48" i="6" s="1"/>
  <c r="J48" i="6"/>
  <c r="CO48" i="6" s="1"/>
  <c r="CQ48" i="6" s="1"/>
  <c r="I48" i="6"/>
  <c r="CF48" i="6" s="1"/>
  <c r="CH48" i="6" s="1"/>
  <c r="CN48" i="6"/>
  <c r="H48" i="6"/>
  <c r="BW48" i="6" s="1"/>
  <c r="BY48" i="6" s="1"/>
  <c r="G48" i="6"/>
  <c r="BN48" i="6" s="1"/>
  <c r="BP48" i="6" s="1"/>
  <c r="AZ48" i="6"/>
  <c r="F48" i="6"/>
  <c r="BA48" i="6" s="1"/>
  <c r="BC48" i="6" s="1"/>
  <c r="E48" i="6"/>
  <c r="AD48" i="6" s="1"/>
  <c r="CE48" i="6"/>
  <c r="DO48" i="6"/>
  <c r="AC48" i="6"/>
  <c r="BM48" i="6"/>
  <c r="DF48" i="6"/>
  <c r="D48" i="6"/>
  <c r="Q48" i="6" s="1"/>
  <c r="C48" i="6"/>
  <c r="B48" i="6"/>
  <c r="BC47" i="13"/>
  <c r="BE47" i="13" s="1"/>
  <c r="O46" i="12"/>
  <c r="AA48" i="12"/>
  <c r="I48" i="12"/>
  <c r="L48" i="12" s="1"/>
  <c r="R48" i="12"/>
  <c r="U48" i="12" s="1"/>
  <c r="AJ48" i="9"/>
  <c r="AK48" i="6"/>
  <c r="F48" i="4"/>
  <c r="AI48" i="4" s="1"/>
  <c r="AK48" i="4" s="1"/>
  <c r="E48" i="4"/>
  <c r="U48" i="4" s="1"/>
  <c r="D48" i="4"/>
  <c r="K48" i="4" s="1"/>
  <c r="M48" i="4" s="1"/>
  <c r="C48" i="4"/>
  <c r="B48" i="4"/>
  <c r="BB48" i="4"/>
  <c r="AA48" i="4"/>
  <c r="AH48" i="4"/>
  <c r="G48" i="4"/>
  <c r="J48" i="4"/>
  <c r="H48" i="4"/>
  <c r="BN48" i="4" s="1"/>
  <c r="BP48" i="4" s="1"/>
  <c r="AQ48" i="4"/>
  <c r="A49" i="4"/>
  <c r="T48" i="4"/>
  <c r="Q48" i="4"/>
  <c r="BM48" i="4"/>
  <c r="C48" i="12"/>
  <c r="B48" i="12"/>
  <c r="A49" i="12"/>
  <c r="F48" i="12"/>
  <c r="H48" i="12"/>
  <c r="G48" i="12"/>
  <c r="E48" i="12"/>
  <c r="D48" i="12"/>
  <c r="S48" i="12"/>
  <c r="J48" i="12"/>
  <c r="BP47" i="4"/>
  <c r="AJ47" i="12"/>
  <c r="AM47" i="12" s="1"/>
  <c r="CC47" i="9"/>
  <c r="P46" i="12"/>
  <c r="AS47" i="12"/>
  <c r="AV47" i="12" s="1"/>
  <c r="AR46" i="13"/>
  <c r="M46" i="12"/>
  <c r="AK46" i="4"/>
  <c r="N47" i="12"/>
  <c r="K47" i="12"/>
  <c r="W47" i="4"/>
  <c r="T47" i="12"/>
  <c r="W47" i="12"/>
  <c r="Y47" i="12" s="1"/>
  <c r="BJ47" i="13"/>
  <c r="AF47" i="12"/>
  <c r="AG47" i="12" s="1"/>
  <c r="AC47" i="12"/>
  <c r="AE47" i="12" s="1"/>
  <c r="W46" i="4"/>
  <c r="W47" i="9"/>
  <c r="BS47" i="13"/>
  <c r="A49" i="11"/>
  <c r="C48" i="11"/>
  <c r="B48" i="11"/>
  <c r="U47" i="12"/>
  <c r="BJ48" i="8"/>
  <c r="AJ48" i="8"/>
  <c r="J48" i="8"/>
  <c r="H48" i="8"/>
  <c r="BK48" i="8" s="1"/>
  <c r="G48" i="8"/>
  <c r="AX48" i="8" s="1"/>
  <c r="S48" i="8"/>
  <c r="AW48" i="8"/>
  <c r="F48" i="8"/>
  <c r="AK48" i="8" s="1"/>
  <c r="AM48" i="8" s="1"/>
  <c r="A49" i="8"/>
  <c r="E48" i="8"/>
  <c r="T48" i="8" s="1"/>
  <c r="V48" i="8" s="1"/>
  <c r="D48" i="8"/>
  <c r="K48" i="8" s="1"/>
  <c r="M48" i="8" s="1"/>
  <c r="C48" i="8"/>
  <c r="B48" i="8"/>
  <c r="AD47" i="4"/>
  <c r="AY45" i="12"/>
  <c r="AZ47" i="8"/>
  <c r="AF45" i="4"/>
  <c r="AP45" i="12"/>
  <c r="AR45" i="12" s="1"/>
  <c r="AT48" i="12"/>
  <c r="AK48" i="12"/>
  <c r="AC48" i="9"/>
  <c r="B48" i="9"/>
  <c r="BZ48" i="9"/>
  <c r="AV48" i="9"/>
  <c r="AB48" i="12"/>
  <c r="K48" i="9"/>
  <c r="C48" i="9"/>
  <c r="A49" i="9"/>
  <c r="T48" i="9"/>
  <c r="I48" i="9"/>
  <c r="CA48" i="9" s="1"/>
  <c r="H48" i="9"/>
  <c r="BN48" i="9" s="1"/>
  <c r="G48" i="9"/>
  <c r="AW48" i="9" s="1"/>
  <c r="BM48" i="9"/>
  <c r="F48" i="9"/>
  <c r="U48" i="9" s="1"/>
  <c r="E48" i="9"/>
  <c r="AD48" i="9" s="1"/>
  <c r="AF48" i="9" s="1"/>
  <c r="D48" i="9"/>
  <c r="L48" i="9" s="1"/>
  <c r="AM48" i="9"/>
  <c r="AT47" i="6"/>
  <c r="AF47" i="9"/>
  <c r="BC47" i="4"/>
  <c r="AR47" i="4"/>
  <c r="AO46" i="12"/>
  <c r="AQ46" i="12" s="1"/>
  <c r="AL46" i="12"/>
  <c r="AN46" i="12" s="1"/>
  <c r="BP46" i="4"/>
  <c r="N47" i="9"/>
  <c r="AX46" i="12"/>
  <c r="AZ46" i="12" s="1"/>
  <c r="AU46" i="12"/>
  <c r="AW46" i="12" s="1"/>
  <c r="AW45" i="12"/>
  <c r="DI47" i="6"/>
  <c r="AD46" i="4"/>
  <c r="M47" i="4"/>
  <c r="AP47" i="13"/>
  <c r="BA47" i="13"/>
  <c r="AR44" i="12"/>
  <c r="AE47" i="4"/>
  <c r="Z3" i="25"/>
  <c r="X3" i="25"/>
  <c r="L3" i="25"/>
  <c r="L4" i="25" s="1"/>
  <c r="L5" i="25" s="1"/>
  <c r="L6" i="25" s="1"/>
  <c r="U2" i="25"/>
  <c r="R2" i="25"/>
  <c r="O2" i="25"/>
  <c r="A2" i="25"/>
  <c r="A3" i="25" s="1"/>
  <c r="BF67" i="1"/>
  <c r="X47" i="12" l="1"/>
  <c r="Z47" i="12" s="1"/>
  <c r="AH47" i="12"/>
  <c r="AF47" i="4"/>
  <c r="N3" i="25"/>
  <c r="T3" i="25" s="1"/>
  <c r="AI47" i="12"/>
  <c r="L7" i="25"/>
  <c r="A4" i="25"/>
  <c r="AD48" i="4"/>
  <c r="AF48" i="4" s="1"/>
  <c r="AJ48" i="12"/>
  <c r="AM48" i="12" s="1"/>
  <c r="AZ48" i="8"/>
  <c r="AS48" i="12"/>
  <c r="AV48" i="12" s="1"/>
  <c r="AF46" i="4"/>
  <c r="S49" i="12"/>
  <c r="D49" i="12"/>
  <c r="O49" i="12" s="1"/>
  <c r="A50" i="12"/>
  <c r="G49" i="12"/>
  <c r="B49" i="12"/>
  <c r="J49" i="12"/>
  <c r="H49" i="12"/>
  <c r="F49" i="12"/>
  <c r="AG49" i="12" s="1"/>
  <c r="E49" i="12"/>
  <c r="X49" i="12" s="1"/>
  <c r="C49" i="12"/>
  <c r="W48" i="12"/>
  <c r="Y48" i="12" s="1"/>
  <c r="T48" i="12"/>
  <c r="V48" i="12" s="1"/>
  <c r="AY48" i="9"/>
  <c r="N48" i="12"/>
  <c r="K48" i="12"/>
  <c r="M48" i="12" s="1"/>
  <c r="A50" i="11"/>
  <c r="C49" i="11"/>
  <c r="B49" i="11"/>
  <c r="W48" i="9"/>
  <c r="AC48" i="12"/>
  <c r="AE48" i="12" s="1"/>
  <c r="AF48" i="12"/>
  <c r="AG48" i="12" s="1"/>
  <c r="M47" i="12"/>
  <c r="AP48" i="13"/>
  <c r="AR48" i="13" s="1"/>
  <c r="AY46" i="12"/>
  <c r="BA46" i="12" s="1"/>
  <c r="AT49" i="12"/>
  <c r="AB49" i="12"/>
  <c r="K49" i="9"/>
  <c r="I49" i="9"/>
  <c r="CA49" i="9" s="1"/>
  <c r="CC49" i="9" s="1"/>
  <c r="H49" i="9"/>
  <c r="BN49" i="9" s="1"/>
  <c r="G49" i="9"/>
  <c r="AW49" i="9" s="1"/>
  <c r="AY49" i="9" s="1"/>
  <c r="F49" i="9"/>
  <c r="U49" i="9" s="1"/>
  <c r="E49" i="9"/>
  <c r="AD49" i="9" s="1"/>
  <c r="AF49" i="9" s="1"/>
  <c r="AK49" i="12"/>
  <c r="AM49" i="9"/>
  <c r="AC49" i="9"/>
  <c r="A50" i="9"/>
  <c r="D49" i="9"/>
  <c r="L49" i="9" s="1"/>
  <c r="N49" i="9" s="1"/>
  <c r="BZ49" i="9"/>
  <c r="AV49" i="9"/>
  <c r="BM49" i="9"/>
  <c r="C49" i="9"/>
  <c r="T49" i="9"/>
  <c r="B49" i="9"/>
  <c r="AT48" i="6"/>
  <c r="N48" i="9"/>
  <c r="BP48" i="9"/>
  <c r="V47" i="12"/>
  <c r="AF48" i="6"/>
  <c r="Q46" i="12"/>
  <c r="AK49" i="13"/>
  <c r="K49" i="13"/>
  <c r="I49" i="13"/>
  <c r="BQ49" i="13" s="1"/>
  <c r="BS49" i="13" s="1"/>
  <c r="H49" i="13"/>
  <c r="BH49" i="13" s="1"/>
  <c r="BJ49" i="13" s="1"/>
  <c r="G49" i="13"/>
  <c r="AY49" i="13" s="1"/>
  <c r="BA49" i="13" s="1"/>
  <c r="BG49" i="13"/>
  <c r="F49" i="13"/>
  <c r="AL49" i="13" s="1"/>
  <c r="AN49" i="13" s="1"/>
  <c r="E49" i="13"/>
  <c r="Y49" i="13" s="1"/>
  <c r="AA49" i="13" s="1"/>
  <c r="D49" i="13"/>
  <c r="L49" i="13" s="1"/>
  <c r="N49" i="13" s="1"/>
  <c r="C49" i="13"/>
  <c r="A50" i="13"/>
  <c r="B49" i="13"/>
  <c r="BP49" i="13"/>
  <c r="X49" i="13"/>
  <c r="AX49" i="13"/>
  <c r="BE47" i="4"/>
  <c r="W48" i="4"/>
  <c r="BC48" i="13"/>
  <c r="AT47" i="4"/>
  <c r="BA45" i="12"/>
  <c r="P47" i="12"/>
  <c r="AX47" i="12"/>
  <c r="AZ47" i="12" s="1"/>
  <c r="AU47" i="12"/>
  <c r="AW47" i="12" s="1"/>
  <c r="R49" i="12"/>
  <c r="U49" i="12" s="1"/>
  <c r="AA49" i="12"/>
  <c r="I49" i="12"/>
  <c r="L49" i="12" s="1"/>
  <c r="AJ49" i="9"/>
  <c r="AK49" i="6"/>
  <c r="J49" i="4"/>
  <c r="H49" i="4"/>
  <c r="BN49" i="4" s="1"/>
  <c r="BP49" i="4" s="1"/>
  <c r="AH49" i="4"/>
  <c r="G49" i="4"/>
  <c r="F49" i="4"/>
  <c r="AI49" i="4" s="1"/>
  <c r="AK49" i="4" s="1"/>
  <c r="E49" i="4"/>
  <c r="U49" i="4" s="1"/>
  <c r="D49" i="4"/>
  <c r="K49" i="4" s="1"/>
  <c r="B49" i="4"/>
  <c r="BM49" i="4"/>
  <c r="AA49" i="4"/>
  <c r="A50" i="4"/>
  <c r="T49" i="4"/>
  <c r="Q49" i="4"/>
  <c r="BB49" i="4"/>
  <c r="C49" i="4"/>
  <c r="AQ49" i="4"/>
  <c r="AD48" i="12"/>
  <c r="O47" i="12"/>
  <c r="Q47" i="12" s="1"/>
  <c r="S48" i="6"/>
  <c r="S49" i="8"/>
  <c r="AW49" i="8"/>
  <c r="J49" i="8"/>
  <c r="G49" i="8"/>
  <c r="AX49" i="8" s="1"/>
  <c r="F49" i="8"/>
  <c r="AK49" i="8" s="1"/>
  <c r="D49" i="8"/>
  <c r="K49" i="8" s="1"/>
  <c r="AJ49" i="8"/>
  <c r="A50" i="8"/>
  <c r="H49" i="8"/>
  <c r="BK49" i="8" s="1"/>
  <c r="E49" i="8"/>
  <c r="T49" i="8" s="1"/>
  <c r="V49" i="8" s="1"/>
  <c r="C49" i="8"/>
  <c r="BJ49" i="8"/>
  <c r="B49" i="8"/>
  <c r="AP46" i="12"/>
  <c r="AR46" i="12" s="1"/>
  <c r="BC48" i="4"/>
  <c r="BE48" i="4" s="1"/>
  <c r="AR48" i="4"/>
  <c r="AR47" i="13"/>
  <c r="AL47" i="12"/>
  <c r="AN47" i="12" s="1"/>
  <c r="AO47" i="12"/>
  <c r="CC48" i="9"/>
  <c r="AZ49" i="6"/>
  <c r="A50" i="6"/>
  <c r="CW49" i="6"/>
  <c r="BV49" i="6"/>
  <c r="B49" i="6"/>
  <c r="DF49" i="6"/>
  <c r="P49" i="6"/>
  <c r="N49" i="6"/>
  <c r="DP49" i="6" s="1"/>
  <c r="DR49" i="6" s="1"/>
  <c r="M49" i="6"/>
  <c r="AR49" i="6" s="1"/>
  <c r="AT49" i="6" s="1"/>
  <c r="L49" i="6"/>
  <c r="DG49" i="6" s="1"/>
  <c r="DI49" i="6" s="1"/>
  <c r="K49" i="6"/>
  <c r="CX49" i="6" s="1"/>
  <c r="CZ49" i="6" s="1"/>
  <c r="J49" i="6"/>
  <c r="CO49" i="6" s="1"/>
  <c r="CN49" i="6"/>
  <c r="I49" i="6"/>
  <c r="CF49" i="6" s="1"/>
  <c r="H49" i="6"/>
  <c r="BW49" i="6" s="1"/>
  <c r="BY49" i="6" s="1"/>
  <c r="G49" i="6"/>
  <c r="BN49" i="6" s="1"/>
  <c r="BP49" i="6" s="1"/>
  <c r="C49" i="6"/>
  <c r="CE49" i="6"/>
  <c r="DO49" i="6"/>
  <c r="BM49" i="6"/>
  <c r="AC49" i="6"/>
  <c r="F49" i="6"/>
  <c r="BA49" i="6" s="1"/>
  <c r="E49" i="6"/>
  <c r="AD49" i="6" s="1"/>
  <c r="AF49" i="6" s="1"/>
  <c r="D49" i="6"/>
  <c r="Q49" i="6" s="1"/>
  <c r="BD66" i="1"/>
  <c r="P3" i="25" l="1"/>
  <c r="Q3" i="25"/>
  <c r="W3" i="25"/>
  <c r="AH48" i="12"/>
  <c r="N4" i="25"/>
  <c r="M4" i="25" s="1"/>
  <c r="S3" i="25"/>
  <c r="V3" i="25"/>
  <c r="M3" i="25"/>
  <c r="AI49" i="12"/>
  <c r="AI48" i="12"/>
  <c r="R50" i="12"/>
  <c r="U50" i="12" s="1"/>
  <c r="I50" i="12"/>
  <c r="L50" i="12" s="1"/>
  <c r="AA50" i="12"/>
  <c r="AD50" i="12" s="1"/>
  <c r="AJ50" i="9"/>
  <c r="AK50" i="6"/>
  <c r="BM50" i="4"/>
  <c r="J50" i="4"/>
  <c r="H50" i="4"/>
  <c r="BN50" i="4" s="1"/>
  <c r="BP50" i="4" s="1"/>
  <c r="F50" i="4"/>
  <c r="AI50" i="4" s="1"/>
  <c r="AK50" i="4" s="1"/>
  <c r="D50" i="4"/>
  <c r="K50" i="4" s="1"/>
  <c r="M50" i="4" s="1"/>
  <c r="C50" i="4"/>
  <c r="Q50" i="4"/>
  <c r="AQ50" i="4"/>
  <c r="E50" i="4"/>
  <c r="U50" i="4" s="1"/>
  <c r="W50" i="4" s="1"/>
  <c r="B50" i="4"/>
  <c r="AH50" i="4"/>
  <c r="A51" i="4"/>
  <c r="AA50" i="4"/>
  <c r="T50" i="4"/>
  <c r="BB50" i="4"/>
  <c r="G50" i="4"/>
  <c r="W49" i="9"/>
  <c r="AZ49" i="8"/>
  <c r="S49" i="6"/>
  <c r="AD49" i="4"/>
  <c r="AF49" i="4" s="1"/>
  <c r="BP49" i="9"/>
  <c r="AT48" i="4"/>
  <c r="AP47" i="12"/>
  <c r="AR47" i="12" s="1"/>
  <c r="BC49" i="6"/>
  <c r="AX48" i="12"/>
  <c r="AZ48" i="12" s="1"/>
  <c r="AU48" i="12"/>
  <c r="AW48" i="12" s="1"/>
  <c r="A5" i="25"/>
  <c r="BC49" i="4"/>
  <c r="BE49" i="4" s="1"/>
  <c r="AR49" i="4"/>
  <c r="AM49" i="8"/>
  <c r="AQ47" i="12"/>
  <c r="W49" i="4"/>
  <c r="CQ49" i="6"/>
  <c r="AK50" i="13"/>
  <c r="K50" i="13"/>
  <c r="I50" i="13"/>
  <c r="BQ50" i="13" s="1"/>
  <c r="BS50" i="13" s="1"/>
  <c r="H50" i="13"/>
  <c r="BH50" i="13" s="1"/>
  <c r="BJ50" i="13" s="1"/>
  <c r="G50" i="13"/>
  <c r="AY50" i="13" s="1"/>
  <c r="BA50" i="13" s="1"/>
  <c r="BG50" i="13"/>
  <c r="F50" i="13"/>
  <c r="AL50" i="13" s="1"/>
  <c r="AN50" i="13" s="1"/>
  <c r="E50" i="13"/>
  <c r="Y50" i="13" s="1"/>
  <c r="AA50" i="13" s="1"/>
  <c r="A51" i="13"/>
  <c r="D50" i="13"/>
  <c r="L50" i="13" s="1"/>
  <c r="N50" i="13" s="1"/>
  <c r="C50" i="13"/>
  <c r="B50" i="13"/>
  <c r="BP50" i="13"/>
  <c r="X50" i="13"/>
  <c r="AX50" i="13"/>
  <c r="AO48" i="12"/>
  <c r="AL48" i="12"/>
  <c r="AN48" i="12" s="1"/>
  <c r="N49" i="12"/>
  <c r="K49" i="12"/>
  <c r="AS49" i="12"/>
  <c r="AY49" i="12"/>
  <c r="M49" i="8"/>
  <c r="AC49" i="12"/>
  <c r="AF49" i="12"/>
  <c r="AH49" i="12" s="1"/>
  <c r="L8" i="25"/>
  <c r="T49" i="12"/>
  <c r="W49" i="12"/>
  <c r="M49" i="4"/>
  <c r="AP49" i="13"/>
  <c r="AR49" i="13" s="1"/>
  <c r="AK50" i="12"/>
  <c r="AT50" i="12"/>
  <c r="AV50" i="9"/>
  <c r="AB50" i="12"/>
  <c r="T50" i="9"/>
  <c r="A51" i="9"/>
  <c r="G50" i="9"/>
  <c r="AW50" i="9" s="1"/>
  <c r="K50" i="9"/>
  <c r="I50" i="9"/>
  <c r="CA50" i="9" s="1"/>
  <c r="AC50" i="9"/>
  <c r="BZ50" i="9"/>
  <c r="H50" i="9"/>
  <c r="BN50" i="9" s="1"/>
  <c r="F50" i="9"/>
  <c r="U50" i="9" s="1"/>
  <c r="E50" i="9"/>
  <c r="AD50" i="9" s="1"/>
  <c r="AF50" i="9" s="1"/>
  <c r="D50" i="9"/>
  <c r="L50" i="9" s="1"/>
  <c r="BM50" i="9"/>
  <c r="C50" i="9"/>
  <c r="B50" i="9"/>
  <c r="AM50" i="9"/>
  <c r="AD49" i="12"/>
  <c r="AP49" i="12"/>
  <c r="AJ49" i="12"/>
  <c r="AM49" i="12" s="1"/>
  <c r="AY47" i="12"/>
  <c r="G50" i="12"/>
  <c r="F50" i="12"/>
  <c r="AG50" i="12" s="1"/>
  <c r="AI50" i="12" s="1"/>
  <c r="E50" i="12"/>
  <c r="X50" i="12" s="1"/>
  <c r="Z50" i="12" s="1"/>
  <c r="D50" i="12"/>
  <c r="O50" i="12" s="1"/>
  <c r="Q50" i="12" s="1"/>
  <c r="C50" i="12"/>
  <c r="B50" i="12"/>
  <c r="A51" i="12"/>
  <c r="S50" i="12"/>
  <c r="H50" i="12"/>
  <c r="J50" i="12"/>
  <c r="X48" i="12"/>
  <c r="A51" i="8"/>
  <c r="AW50" i="8"/>
  <c r="S50" i="8"/>
  <c r="J50" i="8"/>
  <c r="H50" i="8"/>
  <c r="BK50" i="8" s="1"/>
  <c r="G50" i="8"/>
  <c r="AX50" i="8" s="1"/>
  <c r="AZ50" i="8" s="1"/>
  <c r="E50" i="8"/>
  <c r="T50" i="8" s="1"/>
  <c r="V50" i="8" s="1"/>
  <c r="D50" i="8"/>
  <c r="K50" i="8" s="1"/>
  <c r="B50" i="8"/>
  <c r="AJ50" i="8"/>
  <c r="F50" i="8"/>
  <c r="AK50" i="8" s="1"/>
  <c r="C50" i="8"/>
  <c r="BJ50" i="8"/>
  <c r="CH49" i="6"/>
  <c r="BC49" i="13"/>
  <c r="BE49" i="13" s="1"/>
  <c r="BE48" i="13"/>
  <c r="E50" i="6"/>
  <c r="AD50" i="6" s="1"/>
  <c r="DF50" i="6"/>
  <c r="CE50" i="6"/>
  <c r="D50" i="6"/>
  <c r="Q50" i="6" s="1"/>
  <c r="AC50" i="6"/>
  <c r="C50" i="6"/>
  <c r="B50" i="6"/>
  <c r="AZ50" i="6"/>
  <c r="G50" i="6"/>
  <c r="BN50" i="6" s="1"/>
  <c r="F50" i="6"/>
  <c r="BA50" i="6" s="1"/>
  <c r="BC50" i="6" s="1"/>
  <c r="BM50" i="6"/>
  <c r="CW50" i="6"/>
  <c r="P50" i="6"/>
  <c r="N50" i="6"/>
  <c r="DP50" i="6" s="1"/>
  <c r="M50" i="6"/>
  <c r="AR50" i="6" s="1"/>
  <c r="L50" i="6"/>
  <c r="DG50" i="6" s="1"/>
  <c r="DI50" i="6" s="1"/>
  <c r="K50" i="6"/>
  <c r="CX50" i="6" s="1"/>
  <c r="J50" i="6"/>
  <c r="CO50" i="6" s="1"/>
  <c r="BV50" i="6"/>
  <c r="DO50" i="6"/>
  <c r="CN50" i="6"/>
  <c r="I50" i="6"/>
  <c r="CF50" i="6" s="1"/>
  <c r="CH50" i="6" s="1"/>
  <c r="H50" i="6"/>
  <c r="BW50" i="6" s="1"/>
  <c r="A51" i="6"/>
  <c r="A51" i="11"/>
  <c r="B50" i="11"/>
  <c r="C50" i="11"/>
  <c r="P48" i="12"/>
  <c r="O48" i="12"/>
  <c r="Q49" i="12" s="1"/>
  <c r="P4" i="25" l="1"/>
  <c r="AA3" i="25"/>
  <c r="Y3" i="25"/>
  <c r="N5" i="25"/>
  <c r="T4" i="25"/>
  <c r="V4" i="25"/>
  <c r="W4" i="25"/>
  <c r="Q4" i="25"/>
  <c r="S4" i="25"/>
  <c r="Q48" i="12"/>
  <c r="AT49" i="4"/>
  <c r="AU49" i="12"/>
  <c r="AW49" i="12" s="1"/>
  <c r="AX49" i="12"/>
  <c r="AZ49" i="12" s="1"/>
  <c r="AP50" i="13"/>
  <c r="AR50" i="13" s="1"/>
  <c r="A52" i="11"/>
  <c r="B51" i="11"/>
  <c r="C51" i="11"/>
  <c r="A52" i="8"/>
  <c r="AW51" i="8"/>
  <c r="S51" i="8"/>
  <c r="J51" i="8"/>
  <c r="G51" i="8"/>
  <c r="AX51" i="8" s="1"/>
  <c r="AZ51" i="8" s="1"/>
  <c r="F51" i="8"/>
  <c r="AK51" i="8" s="1"/>
  <c r="AM51" i="8" s="1"/>
  <c r="D51" i="8"/>
  <c r="K51" i="8" s="1"/>
  <c r="M51" i="8" s="1"/>
  <c r="AJ51" i="8"/>
  <c r="B51" i="8"/>
  <c r="H51" i="8"/>
  <c r="BK51" i="8" s="1"/>
  <c r="E51" i="8"/>
  <c r="T51" i="8" s="1"/>
  <c r="V51" i="8" s="1"/>
  <c r="C51" i="8"/>
  <c r="BJ51" i="8"/>
  <c r="BC50" i="13"/>
  <c r="BE50" i="13" s="1"/>
  <c r="AD50" i="4"/>
  <c r="V49" i="12"/>
  <c r="CN51" i="6"/>
  <c r="J51" i="6"/>
  <c r="CO51" i="6" s="1"/>
  <c r="I51" i="6"/>
  <c r="CF51" i="6" s="1"/>
  <c r="CH51" i="6" s="1"/>
  <c r="DO51" i="6"/>
  <c r="H51" i="6"/>
  <c r="BW51" i="6" s="1"/>
  <c r="G51" i="6"/>
  <c r="BN51" i="6" s="1"/>
  <c r="BP51" i="6" s="1"/>
  <c r="F51" i="6"/>
  <c r="BA51" i="6" s="1"/>
  <c r="BC51" i="6" s="1"/>
  <c r="E51" i="6"/>
  <c r="AD51" i="6" s="1"/>
  <c r="AF51" i="6" s="1"/>
  <c r="D51" i="6"/>
  <c r="Q51" i="6" s="1"/>
  <c r="CE51" i="6"/>
  <c r="AC51" i="6"/>
  <c r="C51" i="6"/>
  <c r="DF51" i="6"/>
  <c r="B51" i="6"/>
  <c r="L51" i="6"/>
  <c r="DG51" i="6" s="1"/>
  <c r="DI51" i="6" s="1"/>
  <c r="BM51" i="6"/>
  <c r="K51" i="6"/>
  <c r="CX51" i="6" s="1"/>
  <c r="BV51" i="6"/>
  <c r="P51" i="6"/>
  <c r="AZ51" i="6"/>
  <c r="N51" i="6"/>
  <c r="DP51" i="6" s="1"/>
  <c r="DR51" i="6" s="1"/>
  <c r="A52" i="6"/>
  <c r="CW51" i="6"/>
  <c r="M51" i="6"/>
  <c r="AR51" i="6" s="1"/>
  <c r="Z49" i="12"/>
  <c r="Z48" i="12"/>
  <c r="AF50" i="6"/>
  <c r="AS50" i="12"/>
  <c r="AY50" i="12"/>
  <c r="BA50" i="12" s="1"/>
  <c r="L9" i="25"/>
  <c r="AT50" i="6"/>
  <c r="BY50" i="6"/>
  <c r="AF50" i="12"/>
  <c r="AH50" i="12" s="1"/>
  <c r="AC50" i="12"/>
  <c r="BP50" i="6"/>
  <c r="P49" i="12"/>
  <c r="N50" i="12"/>
  <c r="P50" i="12" s="1"/>
  <c r="K50" i="12"/>
  <c r="M50" i="12" s="1"/>
  <c r="AK51" i="12"/>
  <c r="AB51" i="12"/>
  <c r="E51" i="9"/>
  <c r="AD51" i="9" s="1"/>
  <c r="D51" i="9"/>
  <c r="L51" i="9" s="1"/>
  <c r="N51" i="9" s="1"/>
  <c r="C51" i="9"/>
  <c r="AT51" i="12"/>
  <c r="AC51" i="9"/>
  <c r="B51" i="9"/>
  <c r="BZ51" i="9"/>
  <c r="A52" i="9"/>
  <c r="AM51" i="9"/>
  <c r="AV51" i="9"/>
  <c r="K51" i="9"/>
  <c r="G51" i="9"/>
  <c r="AW51" i="9" s="1"/>
  <c r="I51" i="9"/>
  <c r="CA51" i="9" s="1"/>
  <c r="CC51" i="9" s="1"/>
  <c r="H51" i="9"/>
  <c r="BN51" i="9" s="1"/>
  <c r="BM51" i="9"/>
  <c r="F51" i="9"/>
  <c r="U51" i="9" s="1"/>
  <c r="W51" i="9" s="1"/>
  <c r="T51" i="9"/>
  <c r="W50" i="12"/>
  <c r="Y50" i="12" s="1"/>
  <c r="T50" i="12"/>
  <c r="V50" i="12" s="1"/>
  <c r="A6" i="25"/>
  <c r="M49" i="12"/>
  <c r="CC50" i="9"/>
  <c r="AJ50" i="12"/>
  <c r="AP50" i="12"/>
  <c r="AP48" i="12"/>
  <c r="AR49" i="12" s="1"/>
  <c r="AV49" i="12"/>
  <c r="BP50" i="9"/>
  <c r="CZ50" i="6"/>
  <c r="AR50" i="4"/>
  <c r="BC50" i="4"/>
  <c r="AT50" i="4" s="1"/>
  <c r="AY50" i="9"/>
  <c r="J51" i="12"/>
  <c r="H51" i="12"/>
  <c r="G51" i="12"/>
  <c r="A52" i="12"/>
  <c r="S51" i="12"/>
  <c r="E51" i="12"/>
  <c r="X51" i="12" s="1"/>
  <c r="D51" i="12"/>
  <c r="O51" i="12" s="1"/>
  <c r="C51" i="12"/>
  <c r="F51" i="12"/>
  <c r="AG51" i="12" s="1"/>
  <c r="AI51" i="12" s="1"/>
  <c r="B51" i="12"/>
  <c r="AY48" i="12"/>
  <c r="BA49" i="12" s="1"/>
  <c r="S50" i="6"/>
  <c r="AO49" i="12"/>
  <c r="AQ49" i="12" s="1"/>
  <c r="AL49" i="12"/>
  <c r="AN49" i="12" s="1"/>
  <c r="AM50" i="8"/>
  <c r="CQ50" i="6"/>
  <c r="I51" i="12"/>
  <c r="R51" i="12"/>
  <c r="AA51" i="12"/>
  <c r="AJ51" i="9"/>
  <c r="AK51" i="6"/>
  <c r="T51" i="4"/>
  <c r="Q51" i="4"/>
  <c r="AQ51" i="4"/>
  <c r="H51" i="4"/>
  <c r="BN51" i="4" s="1"/>
  <c r="BP51" i="4" s="1"/>
  <c r="AH51" i="4"/>
  <c r="G51" i="4"/>
  <c r="AA51" i="4"/>
  <c r="A52" i="4"/>
  <c r="BM51" i="4"/>
  <c r="J51" i="4"/>
  <c r="F51" i="4"/>
  <c r="AI51" i="4" s="1"/>
  <c r="AK51" i="4" s="1"/>
  <c r="E51" i="4"/>
  <c r="U51" i="4" s="1"/>
  <c r="W51" i="4" s="1"/>
  <c r="D51" i="4"/>
  <c r="K51" i="4" s="1"/>
  <c r="M51" i="4" s="1"/>
  <c r="BB51" i="4"/>
  <c r="C51" i="4"/>
  <c r="B51" i="4"/>
  <c r="M50" i="8"/>
  <c r="AQ48" i="12"/>
  <c r="AE49" i="12"/>
  <c r="DR50" i="6"/>
  <c r="W50" i="9"/>
  <c r="N50" i="9"/>
  <c r="AK51" i="13"/>
  <c r="K51" i="13"/>
  <c r="I51" i="13"/>
  <c r="BQ51" i="13" s="1"/>
  <c r="BS51" i="13" s="1"/>
  <c r="H51" i="13"/>
  <c r="BH51" i="13" s="1"/>
  <c r="BJ51" i="13" s="1"/>
  <c r="G51" i="13"/>
  <c r="AY51" i="13" s="1"/>
  <c r="BA51" i="13" s="1"/>
  <c r="BG51" i="13"/>
  <c r="F51" i="13"/>
  <c r="AL51" i="13" s="1"/>
  <c r="AN51" i="13" s="1"/>
  <c r="E51" i="13"/>
  <c r="Y51" i="13" s="1"/>
  <c r="AA51" i="13" s="1"/>
  <c r="D51" i="13"/>
  <c r="L51" i="13" s="1"/>
  <c r="N51" i="13" s="1"/>
  <c r="B51" i="13"/>
  <c r="A52" i="13"/>
  <c r="X51" i="13"/>
  <c r="BP51" i="13"/>
  <c r="AX51" i="13"/>
  <c r="C51" i="13"/>
  <c r="Y49" i="12"/>
  <c r="BA47" i="12"/>
  <c r="BD65" i="1"/>
  <c r="N6" i="25" l="1"/>
  <c r="W5" i="25"/>
  <c r="V5" i="25"/>
  <c r="S5" i="25"/>
  <c r="P5" i="25"/>
  <c r="Q5" i="25"/>
  <c r="T5" i="25"/>
  <c r="M5" i="25"/>
  <c r="BE50" i="4"/>
  <c r="AR51" i="4"/>
  <c r="BC51" i="4"/>
  <c r="AT51" i="4" s="1"/>
  <c r="N52" i="6"/>
  <c r="DP52" i="6" s="1"/>
  <c r="DR52" i="6" s="1"/>
  <c r="M52" i="6"/>
  <c r="AR52" i="6" s="1"/>
  <c r="DO52" i="6"/>
  <c r="CN52" i="6"/>
  <c r="BM52" i="6"/>
  <c r="L52" i="6"/>
  <c r="DG52" i="6" s="1"/>
  <c r="DI52" i="6" s="1"/>
  <c r="K52" i="6"/>
  <c r="CX52" i="6" s="1"/>
  <c r="CZ52" i="6" s="1"/>
  <c r="I52" i="6"/>
  <c r="CF52" i="6" s="1"/>
  <c r="CH52" i="6" s="1"/>
  <c r="CE52" i="6"/>
  <c r="AZ52" i="6"/>
  <c r="CW52" i="6"/>
  <c r="J52" i="6"/>
  <c r="CO52" i="6" s="1"/>
  <c r="A53" i="6"/>
  <c r="H52" i="6"/>
  <c r="BW52" i="6" s="1"/>
  <c r="BY52" i="6" s="1"/>
  <c r="G52" i="6"/>
  <c r="BN52" i="6" s="1"/>
  <c r="BP52" i="6" s="1"/>
  <c r="F52" i="6"/>
  <c r="BA52" i="6" s="1"/>
  <c r="BC52" i="6" s="1"/>
  <c r="DF52" i="6"/>
  <c r="E52" i="6"/>
  <c r="AD52" i="6" s="1"/>
  <c r="AF52" i="6" s="1"/>
  <c r="C52" i="6"/>
  <c r="B52" i="6"/>
  <c r="BV52" i="6"/>
  <c r="AC52" i="6"/>
  <c r="P52" i="6"/>
  <c r="D52" i="6"/>
  <c r="Q52" i="6" s="1"/>
  <c r="AO50" i="12"/>
  <c r="AQ50" i="12" s="1"/>
  <c r="AL50" i="12"/>
  <c r="AN50" i="12" s="1"/>
  <c r="AY51" i="9"/>
  <c r="AB52" i="12"/>
  <c r="AK52" i="12"/>
  <c r="BM52" i="9"/>
  <c r="AM52" i="9"/>
  <c r="K52" i="9"/>
  <c r="I52" i="9"/>
  <c r="CA52" i="9" s="1"/>
  <c r="CC52" i="9" s="1"/>
  <c r="H52" i="9"/>
  <c r="BN52" i="9" s="1"/>
  <c r="BP52" i="9" s="1"/>
  <c r="T52" i="9"/>
  <c r="A53" i="9"/>
  <c r="G52" i="9"/>
  <c r="AW52" i="9" s="1"/>
  <c r="AY52" i="9" s="1"/>
  <c r="AT52" i="12"/>
  <c r="AC52" i="9"/>
  <c r="F52" i="9"/>
  <c r="U52" i="9" s="1"/>
  <c r="W52" i="9" s="1"/>
  <c r="BZ52" i="9"/>
  <c r="E52" i="9"/>
  <c r="AD52" i="9" s="1"/>
  <c r="AF52" i="9" s="1"/>
  <c r="D52" i="9"/>
  <c r="L52" i="9" s="1"/>
  <c r="N52" i="9" s="1"/>
  <c r="C52" i="9"/>
  <c r="B52" i="9"/>
  <c r="AV52" i="9"/>
  <c r="E52" i="8"/>
  <c r="T52" i="8" s="1"/>
  <c r="V52" i="8" s="1"/>
  <c r="D52" i="8"/>
  <c r="K52" i="8" s="1"/>
  <c r="C52" i="8"/>
  <c r="B52" i="8"/>
  <c r="A53" i="8"/>
  <c r="AW52" i="8"/>
  <c r="S52" i="8"/>
  <c r="J52" i="8"/>
  <c r="H52" i="8"/>
  <c r="BK52" i="8" s="1"/>
  <c r="F52" i="8"/>
  <c r="AK52" i="8" s="1"/>
  <c r="AM52" i="8" s="1"/>
  <c r="AJ52" i="8"/>
  <c r="BJ52" i="8"/>
  <c r="G52" i="8"/>
  <c r="AX52" i="8" s="1"/>
  <c r="AZ52" i="8" s="1"/>
  <c r="AT51" i="6"/>
  <c r="W51" i="12"/>
  <c r="Y51" i="12" s="1"/>
  <c r="T51" i="12"/>
  <c r="V51" i="12" s="1"/>
  <c r="AF51" i="12"/>
  <c r="AC51" i="12"/>
  <c r="K51" i="12"/>
  <c r="M51" i="12" s="1"/>
  <c r="N51" i="12"/>
  <c r="A7" i="25"/>
  <c r="AR48" i="12"/>
  <c r="G52" i="12"/>
  <c r="A53" i="12"/>
  <c r="F52" i="12"/>
  <c r="AG52" i="12" s="1"/>
  <c r="AI52" i="12" s="1"/>
  <c r="E52" i="12"/>
  <c r="X52" i="12" s="1"/>
  <c r="Z52" i="12" s="1"/>
  <c r="D52" i="12"/>
  <c r="O52" i="12" s="1"/>
  <c r="Q52" i="12" s="1"/>
  <c r="C52" i="12"/>
  <c r="B52" i="12"/>
  <c r="J52" i="12"/>
  <c r="H52" i="12"/>
  <c r="S52" i="12"/>
  <c r="Z51" i="12"/>
  <c r="AJ51" i="12"/>
  <c r="AM51" i="12" s="1"/>
  <c r="AP51" i="12"/>
  <c r="AR51" i="12" s="1"/>
  <c r="I52" i="13"/>
  <c r="BQ52" i="13" s="1"/>
  <c r="BS52" i="13" s="1"/>
  <c r="H52" i="13"/>
  <c r="BH52" i="13" s="1"/>
  <c r="G52" i="13"/>
  <c r="AY52" i="13" s="1"/>
  <c r="BA52" i="13" s="1"/>
  <c r="BG52" i="13"/>
  <c r="F52" i="13"/>
  <c r="AL52" i="13" s="1"/>
  <c r="E52" i="13"/>
  <c r="Y52" i="13" s="1"/>
  <c r="D52" i="13"/>
  <c r="L52" i="13" s="1"/>
  <c r="N52" i="13" s="1"/>
  <c r="C52" i="13"/>
  <c r="AX52" i="13"/>
  <c r="X52" i="13"/>
  <c r="AK52" i="13"/>
  <c r="K52" i="13"/>
  <c r="B52" i="13"/>
  <c r="A53" i="13"/>
  <c r="BP52" i="13"/>
  <c r="AR50" i="12"/>
  <c r="AY51" i="12"/>
  <c r="BA51" i="12" s="1"/>
  <c r="AS51" i="12"/>
  <c r="A53" i="11"/>
  <c r="C52" i="11"/>
  <c r="B52" i="11"/>
  <c r="AF50" i="4"/>
  <c r="U51" i="12"/>
  <c r="CQ51" i="6"/>
  <c r="L10" i="25"/>
  <c r="AP51" i="13"/>
  <c r="AD51" i="4"/>
  <c r="AE50" i="12"/>
  <c r="AF51" i="9"/>
  <c r="AU50" i="12"/>
  <c r="AW50" i="12" s="1"/>
  <c r="AX50" i="12"/>
  <c r="AZ50" i="12" s="1"/>
  <c r="AV50" i="12"/>
  <c r="Q51" i="12"/>
  <c r="L51" i="12"/>
  <c r="AM50" i="12"/>
  <c r="BA48" i="12"/>
  <c r="CZ51" i="6"/>
  <c r="S51" i="6"/>
  <c r="BC51" i="13"/>
  <c r="BY51" i="6"/>
  <c r="AA52" i="12"/>
  <c r="AD52" i="12" s="1"/>
  <c r="I52" i="12"/>
  <c r="L52" i="12" s="1"/>
  <c r="R52" i="12"/>
  <c r="U52" i="12" s="1"/>
  <c r="AJ52" i="9"/>
  <c r="AK52" i="6"/>
  <c r="A53" i="4"/>
  <c r="T52" i="4"/>
  <c r="Q52" i="4"/>
  <c r="BM52" i="4"/>
  <c r="C52" i="4"/>
  <c r="AQ52" i="4"/>
  <c r="B52" i="4"/>
  <c r="AH52" i="4"/>
  <c r="AA52" i="4"/>
  <c r="J52" i="4"/>
  <c r="H52" i="4"/>
  <c r="BN52" i="4" s="1"/>
  <c r="G52" i="4"/>
  <c r="E52" i="4"/>
  <c r="U52" i="4" s="1"/>
  <c r="W52" i="4" s="1"/>
  <c r="BB52" i="4"/>
  <c r="D52" i="4"/>
  <c r="K52" i="4" s="1"/>
  <c r="M52" i="4" s="1"/>
  <c r="F52" i="4"/>
  <c r="AI52" i="4" s="1"/>
  <c r="AD51" i="12"/>
  <c r="BP51" i="9"/>
  <c r="BE51" i="4" l="1"/>
  <c r="N7" i="25"/>
  <c r="M6" i="25"/>
  <c r="W6" i="25"/>
  <c r="T6" i="25"/>
  <c r="P6" i="25"/>
  <c r="V6" i="25"/>
  <c r="Q6" i="25"/>
  <c r="S6" i="25"/>
  <c r="AA52" i="13"/>
  <c r="AP52" i="13"/>
  <c r="A8" i="25"/>
  <c r="BJ53" i="8"/>
  <c r="AJ53" i="8"/>
  <c r="J53" i="8"/>
  <c r="H53" i="8"/>
  <c r="BK53" i="8" s="1"/>
  <c r="G53" i="8"/>
  <c r="AX53" i="8" s="1"/>
  <c r="AZ53" i="8" s="1"/>
  <c r="F53" i="8"/>
  <c r="AK53" i="8" s="1"/>
  <c r="AM53" i="8" s="1"/>
  <c r="E53" i="8"/>
  <c r="T53" i="8" s="1"/>
  <c r="D53" i="8"/>
  <c r="K53" i="8" s="1"/>
  <c r="M53" i="8" s="1"/>
  <c r="C53" i="8"/>
  <c r="S53" i="8"/>
  <c r="B53" i="8"/>
  <c r="AW53" i="8"/>
  <c r="A54" i="8"/>
  <c r="AR52" i="4"/>
  <c r="BC52" i="4"/>
  <c r="AT52" i="4" s="1"/>
  <c r="BC52" i="13"/>
  <c r="BE51" i="13"/>
  <c r="BJ52" i="13"/>
  <c r="AN52" i="13"/>
  <c r="C53" i="11"/>
  <c r="B53" i="11"/>
  <c r="A54" i="11"/>
  <c r="AF51" i="4"/>
  <c r="AO51" i="12"/>
  <c r="AQ51" i="12" s="1"/>
  <c r="AL51" i="12"/>
  <c r="AN51" i="12" s="1"/>
  <c r="AR51" i="13"/>
  <c r="S52" i="6"/>
  <c r="AU51" i="12"/>
  <c r="AW51" i="12" s="1"/>
  <c r="AX51" i="12"/>
  <c r="AZ51" i="12" s="1"/>
  <c r="AT52" i="6"/>
  <c r="AY52" i="12"/>
  <c r="BA52" i="12" s="1"/>
  <c r="AS52" i="12"/>
  <c r="AV52" i="12" s="1"/>
  <c r="BP52" i="4"/>
  <c r="M52" i="8"/>
  <c r="H53" i="13"/>
  <c r="BH53" i="13" s="1"/>
  <c r="BJ53" i="13" s="1"/>
  <c r="G53" i="13"/>
  <c r="AY53" i="13" s="1"/>
  <c r="BG53" i="13"/>
  <c r="F53" i="13"/>
  <c r="AL53" i="13" s="1"/>
  <c r="E53" i="13"/>
  <c r="Y53" i="13" s="1"/>
  <c r="D53" i="13"/>
  <c r="L53" i="13" s="1"/>
  <c r="C53" i="13"/>
  <c r="A54" i="13"/>
  <c r="B53" i="13"/>
  <c r="I53" i="13"/>
  <c r="BQ53" i="13" s="1"/>
  <c r="BS53" i="13" s="1"/>
  <c r="AX53" i="13"/>
  <c r="K53" i="13"/>
  <c r="AK53" i="13"/>
  <c r="BP53" i="13"/>
  <c r="X53" i="13"/>
  <c r="AH51" i="12"/>
  <c r="AT53" i="12"/>
  <c r="AB53" i="12"/>
  <c r="AK53" i="12"/>
  <c r="AV53" i="9"/>
  <c r="T53" i="9"/>
  <c r="K53" i="9"/>
  <c r="C53" i="9"/>
  <c r="BZ53" i="9"/>
  <c r="B53" i="9"/>
  <c r="BM53" i="9"/>
  <c r="I53" i="9"/>
  <c r="CA53" i="9" s="1"/>
  <c r="CC53" i="9" s="1"/>
  <c r="H53" i="9"/>
  <c r="BN53" i="9" s="1"/>
  <c r="BP53" i="9" s="1"/>
  <c r="E53" i="9"/>
  <c r="AD53" i="9" s="1"/>
  <c r="F53" i="9"/>
  <c r="U53" i="9" s="1"/>
  <c r="W53" i="9" s="1"/>
  <c r="D53" i="9"/>
  <c r="L53" i="9" s="1"/>
  <c r="G53" i="9"/>
  <c r="AW53" i="9" s="1"/>
  <c r="AY53" i="9" s="1"/>
  <c r="AM53" i="9"/>
  <c r="AC53" i="9"/>
  <c r="A54" i="9"/>
  <c r="W52" i="12"/>
  <c r="T52" i="12"/>
  <c r="K52" i="12"/>
  <c r="N52" i="12"/>
  <c r="P52" i="12" s="1"/>
  <c r="AV51" i="12"/>
  <c r="AD52" i="4"/>
  <c r="AF52" i="4" s="1"/>
  <c r="AA53" i="12"/>
  <c r="AD53" i="12" s="1"/>
  <c r="R53" i="12"/>
  <c r="U53" i="12" s="1"/>
  <c r="I53" i="12"/>
  <c r="AJ53" i="9"/>
  <c r="AK53" i="6"/>
  <c r="B53" i="4"/>
  <c r="BB53" i="4"/>
  <c r="AA53" i="4"/>
  <c r="A54" i="4"/>
  <c r="T53" i="4"/>
  <c r="Q53" i="4"/>
  <c r="AQ53" i="4"/>
  <c r="D53" i="4"/>
  <c r="K53" i="4" s="1"/>
  <c r="M53" i="4" s="1"/>
  <c r="C53" i="4"/>
  <c r="BM53" i="4"/>
  <c r="J53" i="4"/>
  <c r="H53" i="4"/>
  <c r="BN53" i="4" s="1"/>
  <c r="G53" i="4"/>
  <c r="F53" i="4"/>
  <c r="AI53" i="4" s="1"/>
  <c r="E53" i="4"/>
  <c r="U53" i="4" s="1"/>
  <c r="W53" i="4" s="1"/>
  <c r="AH53" i="4"/>
  <c r="AC52" i="12"/>
  <c r="AF52" i="12"/>
  <c r="AH52" i="12" s="1"/>
  <c r="N53" i="6"/>
  <c r="DP53" i="6" s="1"/>
  <c r="DO53" i="6"/>
  <c r="CE53" i="6"/>
  <c r="AZ53" i="6"/>
  <c r="P53" i="6"/>
  <c r="A54" i="6"/>
  <c r="CN53" i="6"/>
  <c r="AC53" i="6"/>
  <c r="M53" i="6"/>
  <c r="AR53" i="6" s="1"/>
  <c r="AT53" i="6" s="1"/>
  <c r="BV53" i="6"/>
  <c r="L53" i="6"/>
  <c r="DG53" i="6" s="1"/>
  <c r="K53" i="6"/>
  <c r="CX53" i="6" s="1"/>
  <c r="CZ53" i="6" s="1"/>
  <c r="J53" i="6"/>
  <c r="CO53" i="6" s="1"/>
  <c r="CQ53" i="6" s="1"/>
  <c r="I53" i="6"/>
  <c r="CF53" i="6" s="1"/>
  <c r="CH53" i="6" s="1"/>
  <c r="BM53" i="6"/>
  <c r="H53" i="6"/>
  <c r="BW53" i="6" s="1"/>
  <c r="BY53" i="6" s="1"/>
  <c r="G53" i="6"/>
  <c r="BN53" i="6" s="1"/>
  <c r="BP53" i="6" s="1"/>
  <c r="DF53" i="6"/>
  <c r="F53" i="6"/>
  <c r="BA53" i="6" s="1"/>
  <c r="BC53" i="6" s="1"/>
  <c r="B53" i="6"/>
  <c r="CW53" i="6"/>
  <c r="E53" i="6"/>
  <c r="AD53" i="6" s="1"/>
  <c r="D53" i="6"/>
  <c r="Q53" i="6" s="1"/>
  <c r="S53" i="6" s="1"/>
  <c r="C53" i="6"/>
  <c r="AK52" i="4"/>
  <c r="P51" i="12"/>
  <c r="CQ52" i="6"/>
  <c r="B53" i="12"/>
  <c r="H53" i="12"/>
  <c r="E53" i="12"/>
  <c r="X53" i="12" s="1"/>
  <c r="Z53" i="12" s="1"/>
  <c r="S53" i="12"/>
  <c r="J53" i="12"/>
  <c r="F53" i="12"/>
  <c r="AG53" i="12" s="1"/>
  <c r="C53" i="12"/>
  <c r="G53" i="12"/>
  <c r="D53" i="12"/>
  <c r="O53" i="12" s="1"/>
  <c r="Q53" i="12" s="1"/>
  <c r="A54" i="12"/>
  <c r="AE51" i="12"/>
  <c r="AP52" i="12"/>
  <c r="AJ52" i="12"/>
  <c r="BD64" i="1"/>
  <c r="BE52" i="4" l="1"/>
  <c r="N8" i="25"/>
  <c r="M7" i="25"/>
  <c r="Q7" i="25"/>
  <c r="P7" i="25"/>
  <c r="T7" i="25"/>
  <c r="S7" i="25"/>
  <c r="V7" i="25"/>
  <c r="W7" i="25"/>
  <c r="DR53" i="6"/>
  <c r="K53" i="12"/>
  <c r="N53" i="12"/>
  <c r="P53" i="12" s="1"/>
  <c r="AO52" i="12"/>
  <c r="AQ52" i="12" s="1"/>
  <c r="AL52" i="12"/>
  <c r="AN52" i="12" s="1"/>
  <c r="W53" i="12"/>
  <c r="T53" i="12"/>
  <c r="Y52" i="12"/>
  <c r="AF53" i="12"/>
  <c r="AH53" i="12" s="1"/>
  <c r="AC53" i="12"/>
  <c r="AE53" i="12" s="1"/>
  <c r="AT54" i="12"/>
  <c r="AK54" i="12"/>
  <c r="H54" i="9"/>
  <c r="BN54" i="9" s="1"/>
  <c r="BP54" i="9" s="1"/>
  <c r="G54" i="9"/>
  <c r="AW54" i="9" s="1"/>
  <c r="F54" i="9"/>
  <c r="U54" i="9" s="1"/>
  <c r="W54" i="9" s="1"/>
  <c r="E54" i="9"/>
  <c r="AD54" i="9" s="1"/>
  <c r="AF54" i="9" s="1"/>
  <c r="D54" i="9"/>
  <c r="L54" i="9" s="1"/>
  <c r="N54" i="9" s="1"/>
  <c r="C54" i="9"/>
  <c r="AC54" i="9"/>
  <c r="B54" i="9"/>
  <c r="A55" i="9"/>
  <c r="T54" i="9"/>
  <c r="AB54" i="12"/>
  <c r="AV54" i="9"/>
  <c r="AM54" i="9"/>
  <c r="BZ54" i="9"/>
  <c r="I54" i="9"/>
  <c r="CA54" i="9" s="1"/>
  <c r="CC54" i="9" s="1"/>
  <c r="BM54" i="9"/>
  <c r="K54" i="9"/>
  <c r="V53" i="8"/>
  <c r="S54" i="12"/>
  <c r="C54" i="12"/>
  <c r="J54" i="12"/>
  <c r="H54" i="12"/>
  <c r="G54" i="12"/>
  <c r="F54" i="12"/>
  <c r="AG54" i="12" s="1"/>
  <c r="AI54" i="12" s="1"/>
  <c r="E54" i="12"/>
  <c r="X54" i="12" s="1"/>
  <c r="Z54" i="12" s="1"/>
  <c r="D54" i="12"/>
  <c r="O54" i="12" s="1"/>
  <c r="Q54" i="12" s="1"/>
  <c r="A55" i="12"/>
  <c r="B54" i="12"/>
  <c r="AE52" i="12"/>
  <c r="G54" i="13"/>
  <c r="AY54" i="13" s="1"/>
  <c r="BA54" i="13" s="1"/>
  <c r="BG54" i="13"/>
  <c r="F54" i="13"/>
  <c r="AL54" i="13" s="1"/>
  <c r="AN54" i="13" s="1"/>
  <c r="E54" i="13"/>
  <c r="Y54" i="13" s="1"/>
  <c r="AA54" i="13" s="1"/>
  <c r="D54" i="13"/>
  <c r="L54" i="13" s="1"/>
  <c r="N54" i="13" s="1"/>
  <c r="C54" i="13"/>
  <c r="A55" i="13"/>
  <c r="B54" i="13"/>
  <c r="H54" i="13"/>
  <c r="BH54" i="13" s="1"/>
  <c r="BJ54" i="13" s="1"/>
  <c r="AX54" i="13"/>
  <c r="K54" i="13"/>
  <c r="I54" i="13"/>
  <c r="BQ54" i="13" s="1"/>
  <c r="AK54" i="13"/>
  <c r="BP54" i="13"/>
  <c r="X54" i="13"/>
  <c r="AM52" i="12"/>
  <c r="A9" i="25"/>
  <c r="AF53" i="9"/>
  <c r="M52" i="12"/>
  <c r="AP53" i="13"/>
  <c r="AR53" i="13" s="1"/>
  <c r="V52" i="12"/>
  <c r="AN53" i="13"/>
  <c r="BC53" i="13"/>
  <c r="AR52" i="13"/>
  <c r="BA53" i="13"/>
  <c r="AP53" i="12"/>
  <c r="AR53" i="12" s="1"/>
  <c r="AJ53" i="12"/>
  <c r="AS53" i="12"/>
  <c r="AV53" i="12" s="1"/>
  <c r="AY53" i="12"/>
  <c r="BA53" i="12" s="1"/>
  <c r="AD53" i="4"/>
  <c r="N53" i="9"/>
  <c r="BE52" i="13"/>
  <c r="C54" i="11"/>
  <c r="A55" i="11"/>
  <c r="B54" i="11"/>
  <c r="AF53" i="6"/>
  <c r="AA53" i="13"/>
  <c r="BC53" i="4"/>
  <c r="AT53" i="4" s="1"/>
  <c r="AR53" i="4"/>
  <c r="DI53" i="6"/>
  <c r="R54" i="12"/>
  <c r="AA54" i="12"/>
  <c r="AD54" i="12" s="1"/>
  <c r="I54" i="12"/>
  <c r="L54" i="12" s="1"/>
  <c r="AJ54" i="9"/>
  <c r="AK54" i="6"/>
  <c r="F54" i="4"/>
  <c r="AI54" i="4" s="1"/>
  <c r="AK54" i="4" s="1"/>
  <c r="E54" i="4"/>
  <c r="U54" i="4" s="1"/>
  <c r="W54" i="4" s="1"/>
  <c r="D54" i="4"/>
  <c r="K54" i="4" s="1"/>
  <c r="C54" i="4"/>
  <c r="B54" i="4"/>
  <c r="BB54" i="4"/>
  <c r="AA54" i="4"/>
  <c r="H54" i="4"/>
  <c r="BN54" i="4" s="1"/>
  <c r="AH54" i="4"/>
  <c r="G54" i="4"/>
  <c r="AQ54" i="4"/>
  <c r="A55" i="4"/>
  <c r="T54" i="4"/>
  <c r="Q54" i="4"/>
  <c r="BM54" i="4"/>
  <c r="J54" i="4"/>
  <c r="AX52" i="12"/>
  <c r="AZ52" i="12" s="1"/>
  <c r="AU52" i="12"/>
  <c r="BP53" i="4"/>
  <c r="BJ54" i="8"/>
  <c r="AJ54" i="8"/>
  <c r="J54" i="8"/>
  <c r="H54" i="8"/>
  <c r="BK54" i="8" s="1"/>
  <c r="G54" i="8"/>
  <c r="AX54" i="8" s="1"/>
  <c r="AZ54" i="8" s="1"/>
  <c r="E54" i="8"/>
  <c r="T54" i="8" s="1"/>
  <c r="V54" i="8" s="1"/>
  <c r="S54" i="8"/>
  <c r="F54" i="8"/>
  <c r="AK54" i="8" s="1"/>
  <c r="AM54" i="8" s="1"/>
  <c r="C54" i="8"/>
  <c r="AW54" i="8"/>
  <c r="D54" i="8"/>
  <c r="K54" i="8" s="1"/>
  <c r="B54" i="8"/>
  <c r="A55" i="8"/>
  <c r="N53" i="13"/>
  <c r="AZ54" i="6"/>
  <c r="CN54" i="6"/>
  <c r="AC54" i="6"/>
  <c r="DO54" i="6"/>
  <c r="P54" i="6"/>
  <c r="A55" i="6"/>
  <c r="BM54" i="6"/>
  <c r="G54" i="6"/>
  <c r="BN54" i="6" s="1"/>
  <c r="BP54" i="6" s="1"/>
  <c r="DF54" i="6"/>
  <c r="F54" i="6"/>
  <c r="BA54" i="6" s="1"/>
  <c r="BC54" i="6" s="1"/>
  <c r="E54" i="6"/>
  <c r="AD54" i="6" s="1"/>
  <c r="AF54" i="6" s="1"/>
  <c r="D54" i="6"/>
  <c r="Q54" i="6" s="1"/>
  <c r="S54" i="6" s="1"/>
  <c r="C54" i="6"/>
  <c r="B54" i="6"/>
  <c r="CW54" i="6"/>
  <c r="BV54" i="6"/>
  <c r="N54" i="6"/>
  <c r="DP54" i="6" s="1"/>
  <c r="L54" i="6"/>
  <c r="DG54" i="6" s="1"/>
  <c r="DI54" i="6" s="1"/>
  <c r="K54" i="6"/>
  <c r="CX54" i="6" s="1"/>
  <c r="J54" i="6"/>
  <c r="CO54" i="6" s="1"/>
  <c r="CQ54" i="6" s="1"/>
  <c r="I54" i="6"/>
  <c r="CF54" i="6" s="1"/>
  <c r="CH54" i="6" s="1"/>
  <c r="H54" i="6"/>
  <c r="BW54" i="6" s="1"/>
  <c r="BY54" i="6" s="1"/>
  <c r="M54" i="6"/>
  <c r="AR54" i="6" s="1"/>
  <c r="AT54" i="6" s="1"/>
  <c r="CE54" i="6"/>
  <c r="AI53" i="12"/>
  <c r="L53" i="12"/>
  <c r="AR52" i="12"/>
  <c r="AK53" i="4"/>
  <c r="N9" i="25" l="1"/>
  <c r="M8" i="25"/>
  <c r="T8" i="25"/>
  <c r="P8" i="25"/>
  <c r="W8" i="25"/>
  <c r="V8" i="25"/>
  <c r="S8" i="25"/>
  <c r="Q8" i="25"/>
  <c r="T54" i="12"/>
  <c r="V54" i="12" s="1"/>
  <c r="W54" i="12"/>
  <c r="Y54" i="12" s="1"/>
  <c r="AO53" i="12"/>
  <c r="AQ53" i="12" s="1"/>
  <c r="AL53" i="12"/>
  <c r="AN53" i="12" s="1"/>
  <c r="BC54" i="13"/>
  <c r="BE54" i="13" s="1"/>
  <c r="E55" i="6"/>
  <c r="AD55" i="6" s="1"/>
  <c r="AF55" i="6" s="1"/>
  <c r="DF55" i="6"/>
  <c r="CE55" i="6"/>
  <c r="D55" i="6"/>
  <c r="Q55" i="6" s="1"/>
  <c r="S55" i="6" s="1"/>
  <c r="AC55" i="6"/>
  <c r="C55" i="6"/>
  <c r="B55" i="6"/>
  <c r="AZ55" i="6"/>
  <c r="A56" i="6"/>
  <c r="CN55" i="6"/>
  <c r="BM55" i="6"/>
  <c r="CW55" i="6"/>
  <c r="BV55" i="6"/>
  <c r="L55" i="6"/>
  <c r="DG55" i="6" s="1"/>
  <c r="DI55" i="6" s="1"/>
  <c r="K55" i="6"/>
  <c r="CX55" i="6" s="1"/>
  <c r="CZ55" i="6" s="1"/>
  <c r="DO55" i="6"/>
  <c r="J55" i="6"/>
  <c r="CO55" i="6" s="1"/>
  <c r="CQ55" i="6" s="1"/>
  <c r="I55" i="6"/>
  <c r="CF55" i="6" s="1"/>
  <c r="CH55" i="6" s="1"/>
  <c r="H55" i="6"/>
  <c r="BW55" i="6" s="1"/>
  <c r="BY55" i="6" s="1"/>
  <c r="F55" i="6"/>
  <c r="BA55" i="6" s="1"/>
  <c r="BC55" i="6" s="1"/>
  <c r="P55" i="6"/>
  <c r="M55" i="6"/>
  <c r="AR55" i="6" s="1"/>
  <c r="G55" i="6"/>
  <c r="BN55" i="6" s="1"/>
  <c r="BP55" i="6" s="1"/>
  <c r="N55" i="6"/>
  <c r="DP55" i="6" s="1"/>
  <c r="DR55" i="6" s="1"/>
  <c r="A10" i="25"/>
  <c r="U54" i="12"/>
  <c r="S55" i="12"/>
  <c r="H55" i="12"/>
  <c r="E55" i="12"/>
  <c r="X55" i="12" s="1"/>
  <c r="Z55" i="12" s="1"/>
  <c r="C55" i="12"/>
  <c r="B55" i="12"/>
  <c r="A56" i="12"/>
  <c r="F55" i="12"/>
  <c r="AG55" i="12" s="1"/>
  <c r="AI55" i="12" s="1"/>
  <c r="J55" i="12"/>
  <c r="G55" i="12"/>
  <c r="D55" i="12"/>
  <c r="O55" i="12" s="1"/>
  <c r="Q55" i="12" s="1"/>
  <c r="AM53" i="12"/>
  <c r="AA55" i="12"/>
  <c r="AD55" i="12" s="1"/>
  <c r="I55" i="12"/>
  <c r="L55" i="12" s="1"/>
  <c r="R55" i="12"/>
  <c r="AJ55" i="9"/>
  <c r="AK55" i="6"/>
  <c r="J55" i="4"/>
  <c r="H55" i="4"/>
  <c r="BN55" i="4" s="1"/>
  <c r="BP55" i="4" s="1"/>
  <c r="AH55" i="4"/>
  <c r="G55" i="4"/>
  <c r="F55" i="4"/>
  <c r="AI55" i="4" s="1"/>
  <c r="E55" i="4"/>
  <c r="U55" i="4" s="1"/>
  <c r="W55" i="4" s="1"/>
  <c r="D55" i="4"/>
  <c r="K55" i="4" s="1"/>
  <c r="M55" i="4" s="1"/>
  <c r="B55" i="4"/>
  <c r="BM55" i="4"/>
  <c r="Q55" i="4"/>
  <c r="BB55" i="4"/>
  <c r="C55" i="4"/>
  <c r="AQ55" i="4"/>
  <c r="AA55" i="4"/>
  <c r="A56" i="4"/>
  <c r="T55" i="4"/>
  <c r="BE53" i="4"/>
  <c r="S55" i="8"/>
  <c r="BJ55" i="8"/>
  <c r="AJ55" i="8"/>
  <c r="J55" i="8"/>
  <c r="H55" i="8"/>
  <c r="BK55" i="8" s="1"/>
  <c r="F55" i="8"/>
  <c r="AK55" i="8" s="1"/>
  <c r="C55" i="8"/>
  <c r="A56" i="8"/>
  <c r="AW55" i="8"/>
  <c r="G55" i="8"/>
  <c r="AX55" i="8" s="1"/>
  <c r="D55" i="8"/>
  <c r="K55" i="8" s="1"/>
  <c r="M55" i="8" s="1"/>
  <c r="B55" i="8"/>
  <c r="E55" i="8"/>
  <c r="T55" i="8" s="1"/>
  <c r="V55" i="8" s="1"/>
  <c r="BC54" i="4"/>
  <c r="BE54" i="4" s="1"/>
  <c r="AR54" i="4"/>
  <c r="AK55" i="12"/>
  <c r="AT55" i="12"/>
  <c r="AB55" i="12"/>
  <c r="A56" i="9"/>
  <c r="BM55" i="9"/>
  <c r="AM55" i="9"/>
  <c r="D55" i="9"/>
  <c r="L55" i="9" s="1"/>
  <c r="N55" i="9" s="1"/>
  <c r="AC55" i="9"/>
  <c r="I55" i="9"/>
  <c r="CA55" i="9" s="1"/>
  <c r="CC55" i="9" s="1"/>
  <c r="H55" i="9"/>
  <c r="BN55" i="9" s="1"/>
  <c r="BP55" i="9" s="1"/>
  <c r="AV55" i="9"/>
  <c r="G55" i="9"/>
  <c r="AW55" i="9" s="1"/>
  <c r="BZ55" i="9"/>
  <c r="C55" i="9"/>
  <c r="T55" i="9"/>
  <c r="K55" i="9"/>
  <c r="F55" i="9"/>
  <c r="U55" i="9" s="1"/>
  <c r="W55" i="9" s="1"/>
  <c r="E55" i="9"/>
  <c r="AD55" i="9" s="1"/>
  <c r="AF55" i="9" s="1"/>
  <c r="B55" i="9"/>
  <c r="AP54" i="12"/>
  <c r="AJ54" i="12"/>
  <c r="AS54" i="12"/>
  <c r="AV54" i="12" s="1"/>
  <c r="AY54" i="12"/>
  <c r="BA54" i="12" s="1"/>
  <c r="A56" i="11"/>
  <c r="C55" i="11"/>
  <c r="B55" i="11"/>
  <c r="BE53" i="13"/>
  <c r="M54" i="8"/>
  <c r="AD54" i="4"/>
  <c r="AF54" i="4" s="1"/>
  <c r="BS54" i="13"/>
  <c r="M54" i="4"/>
  <c r="BG55" i="13"/>
  <c r="F55" i="13"/>
  <c r="AL55" i="13" s="1"/>
  <c r="AN55" i="13" s="1"/>
  <c r="E55" i="13"/>
  <c r="Y55" i="13" s="1"/>
  <c r="AA55" i="13" s="1"/>
  <c r="D55" i="13"/>
  <c r="L55" i="13" s="1"/>
  <c r="N55" i="13" s="1"/>
  <c r="C55" i="13"/>
  <c r="A56" i="13"/>
  <c r="B55" i="13"/>
  <c r="G55" i="13"/>
  <c r="AY55" i="13" s="1"/>
  <c r="BA55" i="13" s="1"/>
  <c r="K55" i="13"/>
  <c r="I55" i="13"/>
  <c r="BQ55" i="13" s="1"/>
  <c r="H55" i="13"/>
  <c r="BH55" i="13" s="1"/>
  <c r="BJ55" i="13" s="1"/>
  <c r="AK55" i="13"/>
  <c r="BP55" i="13"/>
  <c r="X55" i="13"/>
  <c r="AX55" i="13"/>
  <c r="AY54" i="9"/>
  <c r="Y53" i="12"/>
  <c r="AW52" i="12"/>
  <c r="DR54" i="6"/>
  <c r="K54" i="12"/>
  <c r="N54" i="12"/>
  <c r="AX53" i="12"/>
  <c r="AU53" i="12"/>
  <c r="AP54" i="13"/>
  <c r="AR54" i="13" s="1"/>
  <c r="AF53" i="4"/>
  <c r="V53" i="12"/>
  <c r="AC54" i="12"/>
  <c r="AF54" i="12"/>
  <c r="AH54" i="12" s="1"/>
  <c r="CZ54" i="6"/>
  <c r="BP54" i="4"/>
  <c r="M53" i="12"/>
  <c r="BD63" i="1"/>
  <c r="N10" i="25" l="1"/>
  <c r="T9" i="25"/>
  <c r="M9" i="25"/>
  <c r="W9" i="25"/>
  <c r="V9" i="25"/>
  <c r="S9" i="25"/>
  <c r="Q9" i="25"/>
  <c r="P9" i="25"/>
  <c r="AT54" i="4"/>
  <c r="AO54" i="12"/>
  <c r="AQ54" i="12" s="1"/>
  <c r="AL54" i="12"/>
  <c r="AN54" i="12" s="1"/>
  <c r="AY55" i="12"/>
  <c r="BA55" i="12" s="1"/>
  <c r="AS55" i="12"/>
  <c r="AV55" i="12" s="1"/>
  <c r="A57" i="8"/>
  <c r="AW56" i="8"/>
  <c r="S56" i="8"/>
  <c r="BJ56" i="8"/>
  <c r="G56" i="8"/>
  <c r="AX56" i="8" s="1"/>
  <c r="AZ56" i="8" s="1"/>
  <c r="D56" i="8"/>
  <c r="K56" i="8" s="1"/>
  <c r="E56" i="8"/>
  <c r="T56" i="8" s="1"/>
  <c r="C56" i="8"/>
  <c r="B56" i="8"/>
  <c r="AJ56" i="8"/>
  <c r="J56" i="8"/>
  <c r="H56" i="8"/>
  <c r="BK56" i="8" s="1"/>
  <c r="F56" i="8"/>
  <c r="AK56" i="8" s="1"/>
  <c r="AM56" i="8" s="1"/>
  <c r="AD55" i="4"/>
  <c r="J56" i="6"/>
  <c r="CO56" i="6" s="1"/>
  <c r="CQ56" i="6" s="1"/>
  <c r="I56" i="6"/>
  <c r="CF56" i="6" s="1"/>
  <c r="CH56" i="6" s="1"/>
  <c r="H56" i="6"/>
  <c r="BW56" i="6" s="1"/>
  <c r="BY56" i="6" s="1"/>
  <c r="G56" i="6"/>
  <c r="BN56" i="6" s="1"/>
  <c r="BP56" i="6" s="1"/>
  <c r="E56" i="6"/>
  <c r="AD56" i="6" s="1"/>
  <c r="AF56" i="6" s="1"/>
  <c r="B56" i="6"/>
  <c r="CW56" i="6"/>
  <c r="AC56" i="6"/>
  <c r="BM56" i="6"/>
  <c r="L56" i="6"/>
  <c r="DG56" i="6" s="1"/>
  <c r="F56" i="6"/>
  <c r="BA56" i="6" s="1"/>
  <c r="BC56" i="6" s="1"/>
  <c r="BV56" i="6"/>
  <c r="D56" i="6"/>
  <c r="Q56" i="6" s="1"/>
  <c r="S56" i="6" s="1"/>
  <c r="C56" i="6"/>
  <c r="DO56" i="6"/>
  <c r="DF56" i="6"/>
  <c r="CN56" i="6"/>
  <c r="CE56" i="6"/>
  <c r="K56" i="6"/>
  <c r="CX56" i="6" s="1"/>
  <c r="CZ56" i="6" s="1"/>
  <c r="AZ56" i="6"/>
  <c r="P56" i="6"/>
  <c r="N56" i="6"/>
  <c r="DP56" i="6" s="1"/>
  <c r="DR56" i="6" s="1"/>
  <c r="M56" i="6"/>
  <c r="AR56" i="6" s="1"/>
  <c r="AT56" i="6" s="1"/>
  <c r="A57" i="6"/>
  <c r="AM55" i="8"/>
  <c r="BC55" i="4"/>
  <c r="BE55" i="4" s="1"/>
  <c r="AR55" i="4"/>
  <c r="BS55" i="13"/>
  <c r="A11" i="25"/>
  <c r="AR54" i="12"/>
  <c r="E56" i="13"/>
  <c r="Y56" i="13" s="1"/>
  <c r="AA56" i="13" s="1"/>
  <c r="D56" i="13"/>
  <c r="L56" i="13" s="1"/>
  <c r="N56" i="13" s="1"/>
  <c r="C56" i="13"/>
  <c r="A57" i="13"/>
  <c r="B56" i="13"/>
  <c r="BG56" i="13"/>
  <c r="F56" i="13"/>
  <c r="AL56" i="13" s="1"/>
  <c r="AN56" i="13" s="1"/>
  <c r="K56" i="13"/>
  <c r="I56" i="13"/>
  <c r="BQ56" i="13" s="1"/>
  <c r="BS56" i="13" s="1"/>
  <c r="H56" i="13"/>
  <c r="BH56" i="13" s="1"/>
  <c r="G56" i="13"/>
  <c r="AY56" i="13" s="1"/>
  <c r="BA56" i="13" s="1"/>
  <c r="AK56" i="13"/>
  <c r="BP56" i="13"/>
  <c r="X56" i="13"/>
  <c r="AX56" i="13"/>
  <c r="M54" i="12"/>
  <c r="AZ53" i="12"/>
  <c r="W55" i="12"/>
  <c r="Y55" i="12" s="1"/>
  <c r="T55" i="12"/>
  <c r="V55" i="12" s="1"/>
  <c r="N55" i="12"/>
  <c r="P55" i="12" s="1"/>
  <c r="K55" i="12"/>
  <c r="M55" i="12" s="1"/>
  <c r="C56" i="11"/>
  <c r="B56" i="11"/>
  <c r="A57" i="11"/>
  <c r="AC55" i="12"/>
  <c r="AE55" i="12" s="1"/>
  <c r="AF55" i="12"/>
  <c r="AH55" i="12" s="1"/>
  <c r="AP55" i="13"/>
  <c r="P54" i="12"/>
  <c r="AT56" i="12"/>
  <c r="AB56" i="12"/>
  <c r="AC56" i="9"/>
  <c r="B56" i="9"/>
  <c r="BZ56" i="9"/>
  <c r="AV56" i="9"/>
  <c r="K56" i="9"/>
  <c r="I56" i="9"/>
  <c r="CA56" i="9" s="1"/>
  <c r="CC56" i="9" s="1"/>
  <c r="AK56" i="12"/>
  <c r="BM56" i="9"/>
  <c r="T56" i="9"/>
  <c r="AM56" i="9"/>
  <c r="H56" i="9"/>
  <c r="BN56" i="9" s="1"/>
  <c r="BP56" i="9" s="1"/>
  <c r="G56" i="9"/>
  <c r="AW56" i="9" s="1"/>
  <c r="AY56" i="9" s="1"/>
  <c r="E56" i="9"/>
  <c r="AD56" i="9" s="1"/>
  <c r="AF56" i="9" s="1"/>
  <c r="C56" i="9"/>
  <c r="A57" i="9"/>
  <c r="F56" i="9"/>
  <c r="U56" i="9" s="1"/>
  <c r="D56" i="9"/>
  <c r="L56" i="9" s="1"/>
  <c r="N56" i="9" s="1"/>
  <c r="AT55" i="6"/>
  <c r="AM54" i="12"/>
  <c r="BC55" i="13"/>
  <c r="AX54" i="12"/>
  <c r="AZ54" i="12" s="1"/>
  <c r="AU54" i="12"/>
  <c r="AJ55" i="12"/>
  <c r="AP55" i="12"/>
  <c r="U55" i="12"/>
  <c r="I56" i="12"/>
  <c r="AA56" i="12"/>
  <c r="AD56" i="12" s="1"/>
  <c r="R56" i="12"/>
  <c r="AJ56" i="9"/>
  <c r="AK56" i="6"/>
  <c r="BM56" i="4"/>
  <c r="J56" i="4"/>
  <c r="H56" i="4"/>
  <c r="BN56" i="4" s="1"/>
  <c r="BP56" i="4" s="1"/>
  <c r="F56" i="4"/>
  <c r="AI56" i="4" s="1"/>
  <c r="D56" i="4"/>
  <c r="K56" i="4" s="1"/>
  <c r="C56" i="4"/>
  <c r="Q56" i="4"/>
  <c r="AQ56" i="4"/>
  <c r="AH56" i="4"/>
  <c r="AA56" i="4"/>
  <c r="A57" i="4"/>
  <c r="T56" i="4"/>
  <c r="BB56" i="4"/>
  <c r="G56" i="4"/>
  <c r="E56" i="4"/>
  <c r="U56" i="4" s="1"/>
  <c r="B56" i="4"/>
  <c r="AK55" i="4"/>
  <c r="AZ55" i="8"/>
  <c r="AE54" i="12"/>
  <c r="AY55" i="9"/>
  <c r="AW53" i="12"/>
  <c r="J56" i="12"/>
  <c r="H56" i="12"/>
  <c r="G56" i="12"/>
  <c r="A57" i="12"/>
  <c r="F56" i="12"/>
  <c r="AG56" i="12" s="1"/>
  <c r="E56" i="12"/>
  <c r="X56" i="12" s="1"/>
  <c r="Z56" i="12" s="1"/>
  <c r="D56" i="12"/>
  <c r="O56" i="12" s="1"/>
  <c r="C56" i="12"/>
  <c r="B56" i="12"/>
  <c r="S56" i="12"/>
  <c r="W10" i="25" l="1"/>
  <c r="Q10" i="25"/>
  <c r="M10" i="25"/>
  <c r="V10" i="25"/>
  <c r="T10" i="25"/>
  <c r="S10" i="25"/>
  <c r="P10" i="25"/>
  <c r="AT55" i="4"/>
  <c r="A58" i="12"/>
  <c r="F57" i="12"/>
  <c r="AG57" i="12" s="1"/>
  <c r="E57" i="12"/>
  <c r="X57" i="12" s="1"/>
  <c r="Z57" i="12" s="1"/>
  <c r="D57" i="12"/>
  <c r="O57" i="12" s="1"/>
  <c r="Q57" i="12" s="1"/>
  <c r="C57" i="12"/>
  <c r="B57" i="12"/>
  <c r="J57" i="12"/>
  <c r="G57" i="12"/>
  <c r="H57" i="12"/>
  <c r="S57" i="12"/>
  <c r="AP56" i="12"/>
  <c r="AR56" i="12" s="1"/>
  <c r="AJ56" i="12"/>
  <c r="AM56" i="12" s="1"/>
  <c r="AD56" i="4"/>
  <c r="AF56" i="4" s="1"/>
  <c r="AS56" i="12"/>
  <c r="AV56" i="12" s="1"/>
  <c r="AY56" i="12"/>
  <c r="BA56" i="12" s="1"/>
  <c r="AI56" i="12"/>
  <c r="A58" i="8"/>
  <c r="AW57" i="8"/>
  <c r="S57" i="8"/>
  <c r="B57" i="8"/>
  <c r="E57" i="8"/>
  <c r="T57" i="8" s="1"/>
  <c r="V57" i="8" s="1"/>
  <c r="D57" i="8"/>
  <c r="K57" i="8" s="1"/>
  <c r="M57" i="8" s="1"/>
  <c r="C57" i="8"/>
  <c r="AJ57" i="8"/>
  <c r="BJ57" i="8"/>
  <c r="F57" i="8"/>
  <c r="AK57" i="8" s="1"/>
  <c r="AM57" i="8" s="1"/>
  <c r="J57" i="8"/>
  <c r="H57" i="8"/>
  <c r="BK57" i="8" s="1"/>
  <c r="G57" i="8"/>
  <c r="AX57" i="8" s="1"/>
  <c r="W56" i="12"/>
  <c r="Y56" i="12" s="1"/>
  <c r="T56" i="12"/>
  <c r="V56" i="12" s="1"/>
  <c r="BC56" i="13"/>
  <c r="BE56" i="13" s="1"/>
  <c r="AF56" i="12"/>
  <c r="AH56" i="12" s="1"/>
  <c r="AC56" i="12"/>
  <c r="AE56" i="12" s="1"/>
  <c r="K56" i="12"/>
  <c r="M56" i="12" s="1"/>
  <c r="N56" i="12"/>
  <c r="P56" i="12" s="1"/>
  <c r="AB57" i="12"/>
  <c r="AT57" i="12"/>
  <c r="K57" i="9"/>
  <c r="I57" i="9"/>
  <c r="CA57" i="9" s="1"/>
  <c r="CC57" i="9" s="1"/>
  <c r="H57" i="9"/>
  <c r="BN57" i="9" s="1"/>
  <c r="G57" i="9"/>
  <c r="AW57" i="9" s="1"/>
  <c r="F57" i="9"/>
  <c r="U57" i="9" s="1"/>
  <c r="AK57" i="12"/>
  <c r="E57" i="9"/>
  <c r="AD57" i="9" s="1"/>
  <c r="AM57" i="9"/>
  <c r="AC57" i="9"/>
  <c r="AV57" i="9"/>
  <c r="D57" i="9"/>
  <c r="L57" i="9" s="1"/>
  <c r="C57" i="9"/>
  <c r="A58" i="9"/>
  <c r="T57" i="9"/>
  <c r="BZ57" i="9"/>
  <c r="B57" i="9"/>
  <c r="BM57" i="9"/>
  <c r="BJ56" i="13"/>
  <c r="W56" i="9"/>
  <c r="AU55" i="12"/>
  <c r="AW55" i="12" s="1"/>
  <c r="AX55" i="12"/>
  <c r="A58" i="11"/>
  <c r="C57" i="11"/>
  <c r="B57" i="11"/>
  <c r="AP56" i="13"/>
  <c r="AK56" i="4"/>
  <c r="W56" i="4"/>
  <c r="M56" i="8"/>
  <c r="BE55" i="13"/>
  <c r="D57" i="13"/>
  <c r="L57" i="13" s="1"/>
  <c r="N57" i="13" s="1"/>
  <c r="C57" i="13"/>
  <c r="A58" i="13"/>
  <c r="B57" i="13"/>
  <c r="AX57" i="13"/>
  <c r="X57" i="13"/>
  <c r="BG57" i="13"/>
  <c r="E57" i="13"/>
  <c r="Y57" i="13" s="1"/>
  <c r="AA57" i="13" s="1"/>
  <c r="K57" i="13"/>
  <c r="I57" i="13"/>
  <c r="BQ57" i="13" s="1"/>
  <c r="H57" i="13"/>
  <c r="BH57" i="13" s="1"/>
  <c r="G57" i="13"/>
  <c r="AY57" i="13" s="1"/>
  <c r="F57" i="13"/>
  <c r="AL57" i="13" s="1"/>
  <c r="AK57" i="13"/>
  <c r="BP57" i="13"/>
  <c r="AL55" i="12"/>
  <c r="AN55" i="12" s="1"/>
  <c r="AO55" i="12"/>
  <c r="AQ55" i="12" s="1"/>
  <c r="AR55" i="13"/>
  <c r="AR56" i="4"/>
  <c r="BC56" i="4"/>
  <c r="AT56" i="4" s="1"/>
  <c r="L56" i="12"/>
  <c r="P57" i="6"/>
  <c r="N57" i="6"/>
  <c r="DP57" i="6" s="1"/>
  <c r="DR57" i="6" s="1"/>
  <c r="M57" i="6"/>
  <c r="AR57" i="6" s="1"/>
  <c r="AT57" i="6" s="1"/>
  <c r="DO57" i="6"/>
  <c r="CN57" i="6"/>
  <c r="BM57" i="6"/>
  <c r="L57" i="6"/>
  <c r="DG57" i="6" s="1"/>
  <c r="K57" i="6"/>
  <c r="CX57" i="6" s="1"/>
  <c r="CZ57" i="6" s="1"/>
  <c r="J57" i="6"/>
  <c r="CO57" i="6" s="1"/>
  <c r="AZ57" i="6"/>
  <c r="I57" i="6"/>
  <c r="CF57" i="6" s="1"/>
  <c r="CH57" i="6" s="1"/>
  <c r="A58" i="6"/>
  <c r="H57" i="6"/>
  <c r="BW57" i="6" s="1"/>
  <c r="G57" i="6"/>
  <c r="BN57" i="6" s="1"/>
  <c r="CE57" i="6"/>
  <c r="F57" i="6"/>
  <c r="BA57" i="6" s="1"/>
  <c r="BC57" i="6" s="1"/>
  <c r="E57" i="6"/>
  <c r="AD57" i="6" s="1"/>
  <c r="AF57" i="6" s="1"/>
  <c r="D57" i="6"/>
  <c r="Q57" i="6" s="1"/>
  <c r="C57" i="6"/>
  <c r="BV57" i="6"/>
  <c r="AC57" i="6"/>
  <c r="DF57" i="6"/>
  <c r="B57" i="6"/>
  <c r="CW57" i="6"/>
  <c r="AR55" i="12"/>
  <c r="M56" i="4"/>
  <c r="AF55" i="4"/>
  <c r="AA57" i="12"/>
  <c r="I57" i="12"/>
  <c r="AJ57" i="9"/>
  <c r="AK57" i="6"/>
  <c r="R57" i="12"/>
  <c r="U57" i="12" s="1"/>
  <c r="BM57" i="4"/>
  <c r="AH57" i="4"/>
  <c r="T57" i="4"/>
  <c r="Q57" i="4"/>
  <c r="A58" i="4"/>
  <c r="J57" i="4"/>
  <c r="H57" i="4"/>
  <c r="BN57" i="4" s="1"/>
  <c r="BP57" i="4" s="1"/>
  <c r="G57" i="4"/>
  <c r="F57" i="4"/>
  <c r="AI57" i="4" s="1"/>
  <c r="AK57" i="4" s="1"/>
  <c r="E57" i="4"/>
  <c r="U57" i="4" s="1"/>
  <c r="D57" i="4"/>
  <c r="K57" i="4" s="1"/>
  <c r="M57" i="4" s="1"/>
  <c r="C57" i="4"/>
  <c r="B57" i="4"/>
  <c r="BB57" i="4"/>
  <c r="AQ57" i="4"/>
  <c r="AA57" i="4"/>
  <c r="Q56" i="12"/>
  <c r="DI56" i="6"/>
  <c r="V56" i="8"/>
  <c r="AW54" i="12"/>
  <c r="U56" i="12"/>
  <c r="A12" i="25"/>
  <c r="AM55" i="12"/>
  <c r="BD62" i="1"/>
  <c r="B6" i="25" l="1"/>
  <c r="B4" i="25"/>
  <c r="B3" i="25"/>
  <c r="B5" i="25"/>
  <c r="AP57" i="13"/>
  <c r="AR57" i="13" s="1"/>
  <c r="W57" i="12"/>
  <c r="T57" i="12"/>
  <c r="V57" i="12" s="1"/>
  <c r="AN57" i="13"/>
  <c r="BC57" i="13"/>
  <c r="BE57" i="13" s="1"/>
  <c r="C58" i="11"/>
  <c r="B58" i="11"/>
  <c r="A59" i="11"/>
  <c r="AU56" i="12"/>
  <c r="AW56" i="12" s="1"/>
  <c r="AX56" i="12"/>
  <c r="AZ56" i="12" s="1"/>
  <c r="AC57" i="12"/>
  <c r="AE57" i="12" s="1"/>
  <c r="AF57" i="12"/>
  <c r="AH57" i="12" s="1"/>
  <c r="AF57" i="9"/>
  <c r="N57" i="12"/>
  <c r="P57" i="12" s="1"/>
  <c r="K57" i="12"/>
  <c r="L57" i="12"/>
  <c r="AO56" i="12"/>
  <c r="AQ56" i="12" s="1"/>
  <c r="AL56" i="12"/>
  <c r="AN56" i="12" s="1"/>
  <c r="A59" i="6"/>
  <c r="CW58" i="6"/>
  <c r="BV58" i="6"/>
  <c r="P58" i="6"/>
  <c r="DO58" i="6"/>
  <c r="CE58" i="6"/>
  <c r="D58" i="6"/>
  <c r="Q58" i="6" s="1"/>
  <c r="S58" i="6" s="1"/>
  <c r="C58" i="6"/>
  <c r="B58" i="6"/>
  <c r="DF58" i="6"/>
  <c r="BM58" i="6"/>
  <c r="N58" i="6"/>
  <c r="DP58" i="6" s="1"/>
  <c r="CN58" i="6"/>
  <c r="L58" i="6"/>
  <c r="DG58" i="6" s="1"/>
  <c r="K58" i="6"/>
  <c r="CX58" i="6" s="1"/>
  <c r="I58" i="6"/>
  <c r="CF58" i="6" s="1"/>
  <c r="G58" i="6"/>
  <c r="BN58" i="6" s="1"/>
  <c r="F58" i="6"/>
  <c r="BA58" i="6" s="1"/>
  <c r="E58" i="6"/>
  <c r="AD58" i="6" s="1"/>
  <c r="AF58" i="6" s="1"/>
  <c r="AZ58" i="6"/>
  <c r="AC58" i="6"/>
  <c r="M58" i="6"/>
  <c r="AR58" i="6" s="1"/>
  <c r="J58" i="6"/>
  <c r="CO58" i="6" s="1"/>
  <c r="CQ58" i="6" s="1"/>
  <c r="H58" i="6"/>
  <c r="BW58" i="6" s="1"/>
  <c r="BY58" i="6" s="1"/>
  <c r="C58" i="13"/>
  <c r="A59" i="13"/>
  <c r="B58" i="13"/>
  <c r="AX58" i="13"/>
  <c r="X58" i="13"/>
  <c r="E58" i="13"/>
  <c r="Y58" i="13" s="1"/>
  <c r="D58" i="13"/>
  <c r="L58" i="13" s="1"/>
  <c r="N58" i="13" s="1"/>
  <c r="K58" i="13"/>
  <c r="I58" i="13"/>
  <c r="BQ58" i="13" s="1"/>
  <c r="BS58" i="13" s="1"/>
  <c r="H58" i="13"/>
  <c r="BH58" i="13" s="1"/>
  <c r="G58" i="13"/>
  <c r="AY58" i="13" s="1"/>
  <c r="F58" i="13"/>
  <c r="AL58" i="13" s="1"/>
  <c r="AK58" i="13"/>
  <c r="BP58" i="13"/>
  <c r="BG58" i="13"/>
  <c r="BS57" i="13"/>
  <c r="BJ57" i="13"/>
  <c r="E58" i="8"/>
  <c r="T58" i="8" s="1"/>
  <c r="V58" i="8" s="1"/>
  <c r="D58" i="8"/>
  <c r="K58" i="8" s="1"/>
  <c r="M58" i="8" s="1"/>
  <c r="C58" i="8"/>
  <c r="B58" i="8"/>
  <c r="A59" i="8"/>
  <c r="AW58" i="8"/>
  <c r="F58" i="8"/>
  <c r="AK58" i="8" s="1"/>
  <c r="AM58" i="8" s="1"/>
  <c r="J58" i="8"/>
  <c r="H58" i="8"/>
  <c r="BK58" i="8" s="1"/>
  <c r="G58" i="8"/>
  <c r="AX58" i="8" s="1"/>
  <c r="AZ58" i="8" s="1"/>
  <c r="S58" i="8"/>
  <c r="BJ58" i="8"/>
  <c r="AJ58" i="8"/>
  <c r="AY57" i="12"/>
  <c r="BA57" i="12" s="1"/>
  <c r="AS57" i="12"/>
  <c r="AD57" i="4"/>
  <c r="AF57" i="4" s="1"/>
  <c r="DI57" i="6"/>
  <c r="AJ57" i="12"/>
  <c r="AP57" i="12"/>
  <c r="W57" i="9"/>
  <c r="BE56" i="4"/>
  <c r="BY57" i="6"/>
  <c r="AR57" i="4"/>
  <c r="BC57" i="4"/>
  <c r="AT57" i="4" s="1"/>
  <c r="AT58" i="12"/>
  <c r="AB58" i="12"/>
  <c r="AV58" i="9"/>
  <c r="T58" i="9"/>
  <c r="A59" i="9"/>
  <c r="G58" i="9"/>
  <c r="AW58" i="9" s="1"/>
  <c r="AY58" i="9" s="1"/>
  <c r="AK58" i="12"/>
  <c r="K58" i="9"/>
  <c r="I58" i="9"/>
  <c r="CA58" i="9" s="1"/>
  <c r="H58" i="9"/>
  <c r="BN58" i="9" s="1"/>
  <c r="BP58" i="9" s="1"/>
  <c r="F58" i="9"/>
  <c r="U58" i="9" s="1"/>
  <c r="BM58" i="9"/>
  <c r="AC58" i="9"/>
  <c r="E58" i="9"/>
  <c r="AD58" i="9" s="1"/>
  <c r="D58" i="9"/>
  <c r="L58" i="9" s="1"/>
  <c r="N58" i="9" s="1"/>
  <c r="BZ58" i="9"/>
  <c r="C58" i="9"/>
  <c r="B58" i="9"/>
  <c r="AM58" i="9"/>
  <c r="AD57" i="12"/>
  <c r="AZ55" i="12"/>
  <c r="CQ57" i="6"/>
  <c r="BP57" i="9"/>
  <c r="BA57" i="13"/>
  <c r="AR56" i="13"/>
  <c r="I58" i="12"/>
  <c r="L58" i="12" s="1"/>
  <c r="AA58" i="12"/>
  <c r="R58" i="12"/>
  <c r="AJ58" i="9"/>
  <c r="AK58" i="6"/>
  <c r="AQ58" i="4"/>
  <c r="BM58" i="4"/>
  <c r="AH58" i="4"/>
  <c r="E58" i="4"/>
  <c r="U58" i="4" s="1"/>
  <c r="W58" i="4" s="1"/>
  <c r="D58" i="4"/>
  <c r="K58" i="4" s="1"/>
  <c r="C58" i="4"/>
  <c r="B58" i="4"/>
  <c r="AA58" i="4"/>
  <c r="BB58" i="4"/>
  <c r="G58" i="4"/>
  <c r="F58" i="4"/>
  <c r="AI58" i="4" s="1"/>
  <c r="AK58" i="4" s="1"/>
  <c r="H58" i="4"/>
  <c r="BN58" i="4" s="1"/>
  <c r="BP58" i="4" s="1"/>
  <c r="T58" i="4"/>
  <c r="Q58" i="4"/>
  <c r="A59" i="4"/>
  <c r="J58" i="4"/>
  <c r="AY57" i="9"/>
  <c r="S57" i="6"/>
  <c r="BP57" i="6"/>
  <c r="N57" i="9"/>
  <c r="W57" i="4"/>
  <c r="G58" i="12"/>
  <c r="D58" i="12"/>
  <c r="O58" i="12" s="1"/>
  <c r="A59" i="12"/>
  <c r="J58" i="12"/>
  <c r="H58" i="12"/>
  <c r="S58" i="12"/>
  <c r="C58" i="12"/>
  <c r="F58" i="12"/>
  <c r="AG58" i="12" s="1"/>
  <c r="AI58" i="12" s="1"/>
  <c r="E58" i="12"/>
  <c r="X58" i="12" s="1"/>
  <c r="Z58" i="12" s="1"/>
  <c r="B58" i="12"/>
  <c r="B12" i="25"/>
  <c r="A13" i="25"/>
  <c r="AZ57" i="8"/>
  <c r="AI57" i="12"/>
  <c r="AD58" i="4" l="1"/>
  <c r="AF58" i="4" s="1"/>
  <c r="AP58" i="12"/>
  <c r="AR58" i="12" s="1"/>
  <c r="AJ58" i="12"/>
  <c r="AM58" i="12" s="1"/>
  <c r="AP58" i="13"/>
  <c r="AR58" i="13" s="1"/>
  <c r="AO57" i="12"/>
  <c r="AL57" i="12"/>
  <c r="AN57" i="12" s="1"/>
  <c r="BC58" i="13"/>
  <c r="BE58" i="13" s="1"/>
  <c r="BA58" i="13"/>
  <c r="W58" i="12"/>
  <c r="Y58" i="12" s="1"/>
  <c r="T58" i="12"/>
  <c r="V58" i="12" s="1"/>
  <c r="M58" i="4"/>
  <c r="AC58" i="12"/>
  <c r="AE58" i="12" s="1"/>
  <c r="AF58" i="12"/>
  <c r="AH58" i="12" s="1"/>
  <c r="N58" i="12"/>
  <c r="K58" i="12"/>
  <c r="M58" i="12" s="1"/>
  <c r="AX57" i="12"/>
  <c r="AZ57" i="12" s="1"/>
  <c r="AU57" i="12"/>
  <c r="AW57" i="12" s="1"/>
  <c r="CH58" i="6"/>
  <c r="W58" i="9"/>
  <c r="DI58" i="6"/>
  <c r="CZ58" i="6"/>
  <c r="S59" i="12"/>
  <c r="B59" i="12"/>
  <c r="G59" i="12"/>
  <c r="D59" i="12"/>
  <c r="O59" i="12" s="1"/>
  <c r="J59" i="12"/>
  <c r="H59" i="12"/>
  <c r="F59" i="12"/>
  <c r="AG59" i="12" s="1"/>
  <c r="E59" i="12"/>
  <c r="X59" i="12" s="1"/>
  <c r="Z59" i="12" s="1"/>
  <c r="A60" i="12"/>
  <c r="C59" i="12"/>
  <c r="A60" i="13"/>
  <c r="B59" i="13"/>
  <c r="AX59" i="13"/>
  <c r="X59" i="13"/>
  <c r="D59" i="13"/>
  <c r="L59" i="13" s="1"/>
  <c r="N59" i="13" s="1"/>
  <c r="C59" i="13"/>
  <c r="K59" i="13"/>
  <c r="I59" i="13"/>
  <c r="BQ59" i="13" s="1"/>
  <c r="BS59" i="13" s="1"/>
  <c r="H59" i="13"/>
  <c r="BH59" i="13" s="1"/>
  <c r="G59" i="13"/>
  <c r="AY59" i="13" s="1"/>
  <c r="BA59" i="13" s="1"/>
  <c r="F59" i="13"/>
  <c r="AL59" i="13" s="1"/>
  <c r="AN59" i="13" s="1"/>
  <c r="E59" i="13"/>
  <c r="Y59" i="13" s="1"/>
  <c r="AK59" i="13"/>
  <c r="BP59" i="13"/>
  <c r="BG59" i="13"/>
  <c r="AD58" i="12"/>
  <c r="BC58" i="6"/>
  <c r="DR58" i="6"/>
  <c r="AA58" i="13"/>
  <c r="BJ58" i="13"/>
  <c r="U58" i="12"/>
  <c r="BC58" i="4"/>
  <c r="BE58" i="4" s="1"/>
  <c r="AR58" i="4"/>
  <c r="Q58" i="12"/>
  <c r="BJ59" i="8"/>
  <c r="AJ59" i="8"/>
  <c r="J59" i="8"/>
  <c r="H59" i="8"/>
  <c r="BK59" i="8" s="1"/>
  <c r="G59" i="8"/>
  <c r="AX59" i="8" s="1"/>
  <c r="F59" i="8"/>
  <c r="AK59" i="8" s="1"/>
  <c r="AM59" i="8" s="1"/>
  <c r="E59" i="8"/>
  <c r="T59" i="8" s="1"/>
  <c r="V59" i="8" s="1"/>
  <c r="D59" i="8"/>
  <c r="K59" i="8" s="1"/>
  <c r="M59" i="8" s="1"/>
  <c r="C59" i="8"/>
  <c r="AW59" i="8"/>
  <c r="B59" i="8"/>
  <c r="A60" i="8"/>
  <c r="S59" i="8"/>
  <c r="AR57" i="12"/>
  <c r="AV57" i="12"/>
  <c r="AN58" i="13"/>
  <c r="AB59" i="12"/>
  <c r="E59" i="9"/>
  <c r="AD59" i="9" s="1"/>
  <c r="AF59" i="9" s="1"/>
  <c r="D59" i="9"/>
  <c r="L59" i="9" s="1"/>
  <c r="N59" i="9" s="1"/>
  <c r="C59" i="9"/>
  <c r="AC59" i="9"/>
  <c r="B59" i="9"/>
  <c r="BZ59" i="9"/>
  <c r="A60" i="9"/>
  <c r="BM59" i="9"/>
  <c r="K59" i="9"/>
  <c r="AT59" i="12"/>
  <c r="I59" i="9"/>
  <c r="CA59" i="9" s="1"/>
  <c r="F59" i="9"/>
  <c r="U59" i="9" s="1"/>
  <c r="AV59" i="9"/>
  <c r="T59" i="9"/>
  <c r="H59" i="9"/>
  <c r="BN59" i="9" s="1"/>
  <c r="BP59" i="9" s="1"/>
  <c r="G59" i="9"/>
  <c r="AW59" i="9" s="1"/>
  <c r="AY59" i="9" s="1"/>
  <c r="AM59" i="9"/>
  <c r="AK59" i="12"/>
  <c r="M57" i="12"/>
  <c r="A14" i="25"/>
  <c r="B13" i="25"/>
  <c r="AS58" i="12"/>
  <c r="AV58" i="12" s="1"/>
  <c r="AY58" i="12"/>
  <c r="AT58" i="6"/>
  <c r="B59" i="6"/>
  <c r="AZ59" i="6"/>
  <c r="A60" i="6"/>
  <c r="CW59" i="6"/>
  <c r="BV59" i="6"/>
  <c r="DF59" i="6"/>
  <c r="CE59" i="6"/>
  <c r="D59" i="6"/>
  <c r="Q59" i="6" s="1"/>
  <c r="AC59" i="6"/>
  <c r="C59" i="6"/>
  <c r="BM59" i="6"/>
  <c r="M59" i="6"/>
  <c r="AR59" i="6" s="1"/>
  <c r="L59" i="6"/>
  <c r="DG59" i="6" s="1"/>
  <c r="J59" i="6"/>
  <c r="CO59" i="6" s="1"/>
  <c r="CQ59" i="6" s="1"/>
  <c r="I59" i="6"/>
  <c r="CF59" i="6" s="1"/>
  <c r="CH59" i="6" s="1"/>
  <c r="G59" i="6"/>
  <c r="BN59" i="6" s="1"/>
  <c r="F59" i="6"/>
  <c r="BA59" i="6" s="1"/>
  <c r="E59" i="6"/>
  <c r="AD59" i="6" s="1"/>
  <c r="DO59" i="6"/>
  <c r="P59" i="6"/>
  <c r="N59" i="6"/>
  <c r="DP59" i="6" s="1"/>
  <c r="DR59" i="6" s="1"/>
  <c r="K59" i="6"/>
  <c r="CX59" i="6" s="1"/>
  <c r="H59" i="6"/>
  <c r="BW59" i="6" s="1"/>
  <c r="BY59" i="6" s="1"/>
  <c r="CN59" i="6"/>
  <c r="CC58" i="9"/>
  <c r="AF58" i="9"/>
  <c r="R59" i="12"/>
  <c r="AA59" i="12"/>
  <c r="AD59" i="12" s="1"/>
  <c r="I59" i="12"/>
  <c r="L59" i="12" s="1"/>
  <c r="AJ59" i="9"/>
  <c r="AK59" i="6"/>
  <c r="T59" i="4"/>
  <c r="AQ59" i="4"/>
  <c r="Q59" i="4"/>
  <c r="A60" i="4"/>
  <c r="J59" i="4"/>
  <c r="H59" i="4"/>
  <c r="BN59" i="4" s="1"/>
  <c r="BP59" i="4" s="1"/>
  <c r="G59" i="4"/>
  <c r="F59" i="4"/>
  <c r="AI59" i="4" s="1"/>
  <c r="BM59" i="4"/>
  <c r="E59" i="4"/>
  <c r="U59" i="4" s="1"/>
  <c r="AH59" i="4"/>
  <c r="D59" i="4"/>
  <c r="K59" i="4" s="1"/>
  <c r="BB59" i="4"/>
  <c r="AA59" i="4"/>
  <c r="C59" i="4"/>
  <c r="B59" i="4"/>
  <c r="BE57" i="4"/>
  <c r="AM57" i="12"/>
  <c r="A60" i="11"/>
  <c r="C59" i="11"/>
  <c r="B59" i="11"/>
  <c r="BP58" i="6"/>
  <c r="Y57" i="12"/>
  <c r="BD61" i="1"/>
  <c r="AT58" i="4" l="1"/>
  <c r="AD59" i="4"/>
  <c r="AF59" i="4" s="1"/>
  <c r="AX60" i="13"/>
  <c r="X60" i="13"/>
  <c r="BP60" i="13"/>
  <c r="C60" i="13"/>
  <c r="A61" i="13"/>
  <c r="B60" i="13"/>
  <c r="BG60" i="13"/>
  <c r="K60" i="13"/>
  <c r="I60" i="13"/>
  <c r="BQ60" i="13" s="1"/>
  <c r="BS60" i="13" s="1"/>
  <c r="H60" i="13"/>
  <c r="BH60" i="13" s="1"/>
  <c r="BJ60" i="13" s="1"/>
  <c r="G60" i="13"/>
  <c r="AY60" i="13" s="1"/>
  <c r="BA60" i="13" s="1"/>
  <c r="F60" i="13"/>
  <c r="AL60" i="13" s="1"/>
  <c r="AN60" i="13" s="1"/>
  <c r="E60" i="13"/>
  <c r="Y60" i="13" s="1"/>
  <c r="D60" i="13"/>
  <c r="L60" i="13" s="1"/>
  <c r="N60" i="13" s="1"/>
  <c r="AK60" i="13"/>
  <c r="AR59" i="4"/>
  <c r="BC59" i="4"/>
  <c r="AT59" i="4" s="1"/>
  <c r="BJ60" i="8"/>
  <c r="AJ60" i="8"/>
  <c r="J60" i="8"/>
  <c r="H60" i="8"/>
  <c r="BK60" i="8" s="1"/>
  <c r="G60" i="8"/>
  <c r="AX60" i="8" s="1"/>
  <c r="AZ60" i="8" s="1"/>
  <c r="E60" i="8"/>
  <c r="T60" i="8" s="1"/>
  <c r="V60" i="8" s="1"/>
  <c r="S60" i="8"/>
  <c r="AW60" i="8"/>
  <c r="F60" i="8"/>
  <c r="AK60" i="8" s="1"/>
  <c r="AM60" i="8" s="1"/>
  <c r="D60" i="8"/>
  <c r="K60" i="8" s="1"/>
  <c r="C60" i="8"/>
  <c r="B60" i="8"/>
  <c r="A61" i="8"/>
  <c r="J60" i="12"/>
  <c r="S60" i="12"/>
  <c r="H60" i="12"/>
  <c r="G60" i="12"/>
  <c r="F60" i="12"/>
  <c r="AG60" i="12" s="1"/>
  <c r="AI60" i="12" s="1"/>
  <c r="C60" i="12"/>
  <c r="B60" i="12"/>
  <c r="E60" i="12"/>
  <c r="X60" i="12" s="1"/>
  <c r="Z60" i="12" s="1"/>
  <c r="D60" i="12"/>
  <c r="O60" i="12" s="1"/>
  <c r="Q60" i="12" s="1"/>
  <c r="A61" i="12"/>
  <c r="R60" i="12"/>
  <c r="U60" i="12" s="1"/>
  <c r="I60" i="12"/>
  <c r="AJ60" i="9"/>
  <c r="AA60" i="12"/>
  <c r="AD60" i="12" s="1"/>
  <c r="AK60" i="6"/>
  <c r="F60" i="4"/>
  <c r="AI60" i="4" s="1"/>
  <c r="E60" i="4"/>
  <c r="U60" i="4" s="1"/>
  <c r="BM60" i="4"/>
  <c r="AH60" i="4"/>
  <c r="D60" i="4"/>
  <c r="K60" i="4" s="1"/>
  <c r="C60" i="4"/>
  <c r="B60" i="4"/>
  <c r="AA60" i="4"/>
  <c r="BB60" i="4"/>
  <c r="T60" i="4"/>
  <c r="H60" i="4"/>
  <c r="BN60" i="4" s="1"/>
  <c r="BP60" i="4" s="1"/>
  <c r="G60" i="4"/>
  <c r="AQ60" i="4"/>
  <c r="Q60" i="4"/>
  <c r="A61" i="4"/>
  <c r="J60" i="4"/>
  <c r="DI59" i="6"/>
  <c r="BP59" i="6"/>
  <c r="AS59" i="12"/>
  <c r="AV59" i="12" s="1"/>
  <c r="AY59" i="12"/>
  <c r="BA59" i="12" s="1"/>
  <c r="W59" i="9"/>
  <c r="S59" i="6"/>
  <c r="AP59" i="12"/>
  <c r="AR59" i="12" s="1"/>
  <c r="AJ59" i="12"/>
  <c r="BC59" i="6"/>
  <c r="CC59" i="9"/>
  <c r="AF59" i="6"/>
  <c r="N59" i="12"/>
  <c r="P59" i="12" s="1"/>
  <c r="K59" i="12"/>
  <c r="AK60" i="12"/>
  <c r="AT60" i="12"/>
  <c r="AB60" i="12"/>
  <c r="BM60" i="9"/>
  <c r="AM60" i="9"/>
  <c r="K60" i="9"/>
  <c r="I60" i="9"/>
  <c r="CA60" i="9" s="1"/>
  <c r="H60" i="9"/>
  <c r="BN60" i="9" s="1"/>
  <c r="T60" i="9"/>
  <c r="A61" i="9"/>
  <c r="G60" i="9"/>
  <c r="AW60" i="9" s="1"/>
  <c r="AY60" i="9" s="1"/>
  <c r="BZ60" i="9"/>
  <c r="AV60" i="9"/>
  <c r="AC60" i="9"/>
  <c r="B60" i="9"/>
  <c r="F60" i="9"/>
  <c r="U60" i="9" s="1"/>
  <c r="W60" i="9" s="1"/>
  <c r="E60" i="9"/>
  <c r="AD60" i="9" s="1"/>
  <c r="AF60" i="9" s="1"/>
  <c r="D60" i="9"/>
  <c r="L60" i="9" s="1"/>
  <c r="N60" i="9" s="1"/>
  <c r="C60" i="9"/>
  <c r="C60" i="11"/>
  <c r="B60" i="11"/>
  <c r="A61" i="11"/>
  <c r="T59" i="12"/>
  <c r="V59" i="12" s="1"/>
  <c r="W59" i="12"/>
  <c r="Y59" i="12" s="1"/>
  <c r="G60" i="6"/>
  <c r="BN60" i="6" s="1"/>
  <c r="F60" i="6"/>
  <c r="BA60" i="6" s="1"/>
  <c r="E60" i="6"/>
  <c r="AD60" i="6" s="1"/>
  <c r="DF60" i="6"/>
  <c r="CE60" i="6"/>
  <c r="D60" i="6"/>
  <c r="Q60" i="6" s="1"/>
  <c r="S60" i="6" s="1"/>
  <c r="AC60" i="6"/>
  <c r="C60" i="6"/>
  <c r="B60" i="6"/>
  <c r="I60" i="6"/>
  <c r="CF60" i="6" s="1"/>
  <c r="CH60" i="6" s="1"/>
  <c r="H60" i="6"/>
  <c r="BW60" i="6" s="1"/>
  <c r="BY60" i="6" s="1"/>
  <c r="DO60" i="6"/>
  <c r="BM60" i="6"/>
  <c r="CW60" i="6"/>
  <c r="L60" i="6"/>
  <c r="DG60" i="6" s="1"/>
  <c r="DI60" i="6" s="1"/>
  <c r="K60" i="6"/>
  <c r="CX60" i="6" s="1"/>
  <c r="CZ60" i="6" s="1"/>
  <c r="CN60" i="6"/>
  <c r="A61" i="6"/>
  <c r="BV60" i="6"/>
  <c r="P60" i="6"/>
  <c r="N60" i="6"/>
  <c r="DP60" i="6" s="1"/>
  <c r="DR60" i="6" s="1"/>
  <c r="M60" i="6"/>
  <c r="AR60" i="6" s="1"/>
  <c r="J60" i="6"/>
  <c r="CO60" i="6" s="1"/>
  <c r="AZ60" i="6"/>
  <c r="AZ59" i="8"/>
  <c r="W59" i="4"/>
  <c r="AP59" i="13"/>
  <c r="AR59" i="13" s="1"/>
  <c r="U59" i="12"/>
  <c r="AO58" i="12"/>
  <c r="AQ58" i="12" s="1"/>
  <c r="AL58" i="12"/>
  <c r="AN58" i="12" s="1"/>
  <c r="BC59" i="13"/>
  <c r="BE59" i="13" s="1"/>
  <c r="M59" i="4"/>
  <c r="AA59" i="13"/>
  <c r="AU58" i="12"/>
  <c r="AX58" i="12"/>
  <c r="AZ58" i="12" s="1"/>
  <c r="CZ59" i="6"/>
  <c r="Q59" i="12"/>
  <c r="AF59" i="12"/>
  <c r="AH59" i="12" s="1"/>
  <c r="AC59" i="12"/>
  <c r="AE59" i="12" s="1"/>
  <c r="AK59" i="4"/>
  <c r="BJ59" i="13"/>
  <c r="AQ57" i="12"/>
  <c r="A15" i="25"/>
  <c r="AI59" i="12"/>
  <c r="BA58" i="12"/>
  <c r="P58" i="12"/>
  <c r="AT59" i="6"/>
  <c r="BE59" i="4" l="1"/>
  <c r="BP60" i="9"/>
  <c r="AK60" i="4"/>
  <c r="AF60" i="12"/>
  <c r="AH60" i="12" s="1"/>
  <c r="AC60" i="12"/>
  <c r="AE60" i="12" s="1"/>
  <c r="S61" i="8"/>
  <c r="BJ61" i="8"/>
  <c r="AJ61" i="8"/>
  <c r="J61" i="8"/>
  <c r="H61" i="8"/>
  <c r="BK61" i="8" s="1"/>
  <c r="G61" i="8"/>
  <c r="AX61" i="8" s="1"/>
  <c r="AZ61" i="8" s="1"/>
  <c r="F61" i="8"/>
  <c r="AK61" i="8" s="1"/>
  <c r="AM61" i="8" s="1"/>
  <c r="AW61" i="8"/>
  <c r="E61" i="8"/>
  <c r="T61" i="8" s="1"/>
  <c r="B61" i="8"/>
  <c r="D61" i="8"/>
  <c r="K61" i="8" s="1"/>
  <c r="M61" i="8" s="1"/>
  <c r="C61" i="8"/>
  <c r="A62" i="8"/>
  <c r="AP60" i="13"/>
  <c r="N60" i="12"/>
  <c r="K60" i="12"/>
  <c r="M60" i="12" s="1"/>
  <c r="BC60" i="13"/>
  <c r="BE60" i="13" s="1"/>
  <c r="AX59" i="12"/>
  <c r="AZ59" i="12" s="1"/>
  <c r="AU59" i="12"/>
  <c r="AT60" i="6"/>
  <c r="C61" i="11"/>
  <c r="B61" i="11"/>
  <c r="A62" i="11"/>
  <c r="L60" i="12"/>
  <c r="I61" i="12"/>
  <c r="AA61" i="12"/>
  <c r="R61" i="12"/>
  <c r="U61" i="12" s="1"/>
  <c r="AJ61" i="9"/>
  <c r="AK61" i="6"/>
  <c r="D61" i="4"/>
  <c r="K61" i="4" s="1"/>
  <c r="M61" i="4" s="1"/>
  <c r="C61" i="4"/>
  <c r="B61" i="4"/>
  <c r="BB61" i="4"/>
  <c r="T61" i="4"/>
  <c r="Q61" i="4"/>
  <c r="A62" i="4"/>
  <c r="AQ61" i="4"/>
  <c r="J61" i="4"/>
  <c r="H61" i="4"/>
  <c r="BN61" i="4" s="1"/>
  <c r="BP61" i="4" s="1"/>
  <c r="AH61" i="4"/>
  <c r="AA61" i="4"/>
  <c r="G61" i="4"/>
  <c r="F61" i="4"/>
  <c r="AI61" i="4" s="1"/>
  <c r="E61" i="4"/>
  <c r="U61" i="4" s="1"/>
  <c r="BM61" i="4"/>
  <c r="T60" i="12"/>
  <c r="W60" i="12"/>
  <c r="Y60" i="12" s="1"/>
  <c r="M59" i="12"/>
  <c r="AA60" i="13"/>
  <c r="J61" i="12"/>
  <c r="H61" i="12"/>
  <c r="G61" i="12"/>
  <c r="A62" i="12"/>
  <c r="F61" i="12"/>
  <c r="AG61" i="12" s="1"/>
  <c r="AI61" i="12" s="1"/>
  <c r="E61" i="12"/>
  <c r="X61" i="12" s="1"/>
  <c r="Z61" i="12" s="1"/>
  <c r="S61" i="12"/>
  <c r="B61" i="12"/>
  <c r="C61" i="12"/>
  <c r="D61" i="12"/>
  <c r="O61" i="12" s="1"/>
  <c r="Q61" i="12" s="1"/>
  <c r="AX61" i="13"/>
  <c r="X61" i="13"/>
  <c r="A62" i="13"/>
  <c r="B61" i="13"/>
  <c r="BP61" i="13"/>
  <c r="BG61" i="13"/>
  <c r="K61" i="13"/>
  <c r="I61" i="13"/>
  <c r="BQ61" i="13" s="1"/>
  <c r="H61" i="13"/>
  <c r="BH61" i="13" s="1"/>
  <c r="BJ61" i="13" s="1"/>
  <c r="G61" i="13"/>
  <c r="AY61" i="13" s="1"/>
  <c r="BA61" i="13" s="1"/>
  <c r="F61" i="13"/>
  <c r="AL61" i="13" s="1"/>
  <c r="E61" i="13"/>
  <c r="Y61" i="13" s="1"/>
  <c r="D61" i="13"/>
  <c r="L61" i="13" s="1"/>
  <c r="C61" i="13"/>
  <c r="AK61" i="13"/>
  <c r="DO61" i="6"/>
  <c r="CN61" i="6"/>
  <c r="BM61" i="6"/>
  <c r="L61" i="6"/>
  <c r="DG61" i="6" s="1"/>
  <c r="DI61" i="6" s="1"/>
  <c r="K61" i="6"/>
  <c r="CX61" i="6" s="1"/>
  <c r="J61" i="6"/>
  <c r="CO61" i="6" s="1"/>
  <c r="I61" i="6"/>
  <c r="CF61" i="6" s="1"/>
  <c r="CH61" i="6" s="1"/>
  <c r="H61" i="6"/>
  <c r="BW61" i="6" s="1"/>
  <c r="BY61" i="6" s="1"/>
  <c r="G61" i="6"/>
  <c r="BN61" i="6" s="1"/>
  <c r="BP61" i="6" s="1"/>
  <c r="F61" i="6"/>
  <c r="BA61" i="6" s="1"/>
  <c r="BC61" i="6" s="1"/>
  <c r="DF61" i="6"/>
  <c r="CE61" i="6"/>
  <c r="D61" i="6"/>
  <c r="Q61" i="6" s="1"/>
  <c r="S61" i="6" s="1"/>
  <c r="N61" i="6"/>
  <c r="DP61" i="6" s="1"/>
  <c r="M61" i="6"/>
  <c r="AR61" i="6" s="1"/>
  <c r="AT61" i="6" s="1"/>
  <c r="AC61" i="6"/>
  <c r="BV61" i="6"/>
  <c r="P61" i="6"/>
  <c r="AZ61" i="6"/>
  <c r="E61" i="6"/>
  <c r="AD61" i="6" s="1"/>
  <c r="AF61" i="6" s="1"/>
  <c r="B61" i="6"/>
  <c r="A62" i="6"/>
  <c r="CW61" i="6"/>
  <c r="C61" i="6"/>
  <c r="BC60" i="4"/>
  <c r="BE60" i="4" s="1"/>
  <c r="AR60" i="4"/>
  <c r="AO59" i="12"/>
  <c r="AL59" i="12"/>
  <c r="AN59" i="12" s="1"/>
  <c r="W60" i="4"/>
  <c r="BP60" i="6"/>
  <c r="A16" i="25"/>
  <c r="AJ60" i="12"/>
  <c r="AM60" i="12" s="1"/>
  <c r="AP60" i="12"/>
  <c r="AR60" i="12" s="1"/>
  <c r="AS60" i="12"/>
  <c r="AV60" i="12" s="1"/>
  <c r="AY60" i="12"/>
  <c r="CQ60" i="6"/>
  <c r="AW58" i="12"/>
  <c r="AD60" i="4"/>
  <c r="AF60" i="6"/>
  <c r="AM59" i="12"/>
  <c r="M60" i="4"/>
  <c r="AK61" i="12"/>
  <c r="AB61" i="12"/>
  <c r="AV61" i="9"/>
  <c r="T61" i="9"/>
  <c r="K61" i="9"/>
  <c r="G61" i="9"/>
  <c r="AW61" i="9" s="1"/>
  <c r="F61" i="9"/>
  <c r="U61" i="9" s="1"/>
  <c r="E61" i="9"/>
  <c r="AD61" i="9" s="1"/>
  <c r="D61" i="9"/>
  <c r="L61" i="9" s="1"/>
  <c r="N61" i="9" s="1"/>
  <c r="C61" i="9"/>
  <c r="AT61" i="12"/>
  <c r="AM61" i="9"/>
  <c r="B61" i="9"/>
  <c r="BZ61" i="9"/>
  <c r="A62" i="9"/>
  <c r="I61" i="9"/>
  <c r="CA61" i="9" s="1"/>
  <c r="CC61" i="9" s="1"/>
  <c r="AC61" i="9"/>
  <c r="BM61" i="9"/>
  <c r="H61" i="9"/>
  <c r="BN61" i="9" s="1"/>
  <c r="CC60" i="9"/>
  <c r="M60" i="8"/>
  <c r="BC60" i="6"/>
  <c r="BD60" i="1"/>
  <c r="AA62" i="12" l="1"/>
  <c r="AD62" i="12" s="1"/>
  <c r="R62" i="12"/>
  <c r="U62" i="12" s="1"/>
  <c r="I62" i="12"/>
  <c r="L62" i="12" s="1"/>
  <c r="AJ62" i="9"/>
  <c r="AK62" i="6"/>
  <c r="H62" i="4"/>
  <c r="BN62" i="4" s="1"/>
  <c r="BP62" i="4" s="1"/>
  <c r="AH62" i="4"/>
  <c r="G62" i="4"/>
  <c r="F62" i="4"/>
  <c r="AI62" i="4" s="1"/>
  <c r="AK62" i="4" s="1"/>
  <c r="C62" i="4"/>
  <c r="J62" i="4"/>
  <c r="E62" i="4"/>
  <c r="U62" i="4" s="1"/>
  <c r="W62" i="4" s="1"/>
  <c r="D62" i="4"/>
  <c r="K62" i="4" s="1"/>
  <c r="M62" i="4" s="1"/>
  <c r="B62" i="4"/>
  <c r="AA62" i="4"/>
  <c r="BB62" i="4"/>
  <c r="Q62" i="4"/>
  <c r="AQ62" i="4"/>
  <c r="T62" i="4"/>
  <c r="A63" i="4"/>
  <c r="BM62" i="4"/>
  <c r="CQ61" i="6"/>
  <c r="AQ59" i="12"/>
  <c r="E62" i="12"/>
  <c r="X62" i="12" s="1"/>
  <c r="D62" i="12"/>
  <c r="O62" i="12" s="1"/>
  <c r="Q62" i="12" s="1"/>
  <c r="C62" i="12"/>
  <c r="B62" i="12"/>
  <c r="H62" i="12"/>
  <c r="S62" i="12"/>
  <c r="A63" i="12"/>
  <c r="J62" i="12"/>
  <c r="G62" i="12"/>
  <c r="F62" i="12"/>
  <c r="AG62" i="12" s="1"/>
  <c r="AI62" i="12" s="1"/>
  <c r="AJ61" i="12"/>
  <c r="AM61" i="12" s="1"/>
  <c r="AP61" i="12"/>
  <c r="AR61" i="12" s="1"/>
  <c r="AY61" i="12"/>
  <c r="BA61" i="12" s="1"/>
  <c r="AS61" i="12"/>
  <c r="AV61" i="12" s="1"/>
  <c r="AD61" i="4"/>
  <c r="AF61" i="4" s="1"/>
  <c r="AX60" i="12"/>
  <c r="AZ60" i="12" s="1"/>
  <c r="AU60" i="12"/>
  <c r="P62" i="6"/>
  <c r="N62" i="6"/>
  <c r="DP62" i="6" s="1"/>
  <c r="DR62" i="6" s="1"/>
  <c r="M62" i="6"/>
  <c r="AR62" i="6" s="1"/>
  <c r="DO62" i="6"/>
  <c r="CN62" i="6"/>
  <c r="BM62" i="6"/>
  <c r="L62" i="6"/>
  <c r="DG62" i="6" s="1"/>
  <c r="K62" i="6"/>
  <c r="CX62" i="6" s="1"/>
  <c r="I62" i="6"/>
  <c r="CF62" i="6" s="1"/>
  <c r="AC62" i="6"/>
  <c r="BV62" i="6"/>
  <c r="DF62" i="6"/>
  <c r="G62" i="6"/>
  <c r="BN62" i="6" s="1"/>
  <c r="BP62" i="6" s="1"/>
  <c r="AZ62" i="6"/>
  <c r="F62" i="6"/>
  <c r="BA62" i="6" s="1"/>
  <c r="BC62" i="6" s="1"/>
  <c r="D62" i="6"/>
  <c r="Q62" i="6" s="1"/>
  <c r="S62" i="6" s="1"/>
  <c r="C62" i="6"/>
  <c r="CE62" i="6"/>
  <c r="A63" i="6"/>
  <c r="CW62" i="6"/>
  <c r="J62" i="6"/>
  <c r="CO62" i="6" s="1"/>
  <c r="E62" i="6"/>
  <c r="AD62" i="6" s="1"/>
  <c r="B62" i="6"/>
  <c r="H62" i="6"/>
  <c r="BW62" i="6" s="1"/>
  <c r="BY62" i="6" s="1"/>
  <c r="W61" i="12"/>
  <c r="Y61" i="12" s="1"/>
  <c r="T61" i="12"/>
  <c r="V61" i="12" s="1"/>
  <c r="AL60" i="12"/>
  <c r="AN60" i="12" s="1"/>
  <c r="AO60" i="12"/>
  <c r="AP61" i="13"/>
  <c r="AR61" i="13" s="1"/>
  <c r="AF61" i="12"/>
  <c r="AC61" i="12"/>
  <c r="AE61" i="12" s="1"/>
  <c r="AW59" i="12"/>
  <c r="N61" i="12"/>
  <c r="P61" i="12" s="1"/>
  <c r="K61" i="12"/>
  <c r="W61" i="9"/>
  <c r="BC61" i="13"/>
  <c r="BE61" i="13" s="1"/>
  <c r="CZ61" i="6"/>
  <c r="A63" i="11"/>
  <c r="C62" i="11"/>
  <c r="B62" i="11"/>
  <c r="L61" i="12"/>
  <c r="V61" i="8"/>
  <c r="AD61" i="12"/>
  <c r="BA60" i="12"/>
  <c r="A17" i="25"/>
  <c r="AY61" i="9"/>
  <c r="DR61" i="6"/>
  <c r="AN61" i="13"/>
  <c r="AX62" i="13"/>
  <c r="X62" i="13"/>
  <c r="AK62" i="13"/>
  <c r="K62" i="13"/>
  <c r="A63" i="13"/>
  <c r="BP62" i="13"/>
  <c r="BG62" i="13"/>
  <c r="I62" i="13"/>
  <c r="BQ62" i="13" s="1"/>
  <c r="BS62" i="13" s="1"/>
  <c r="H62" i="13"/>
  <c r="BH62" i="13" s="1"/>
  <c r="BJ62" i="13" s="1"/>
  <c r="G62" i="13"/>
  <c r="AY62" i="13" s="1"/>
  <c r="BA62" i="13" s="1"/>
  <c r="F62" i="13"/>
  <c r="AL62" i="13" s="1"/>
  <c r="E62" i="13"/>
  <c r="Y62" i="13" s="1"/>
  <c r="AA62" i="13" s="1"/>
  <c r="C62" i="13"/>
  <c r="B62" i="13"/>
  <c r="D62" i="13"/>
  <c r="L62" i="13" s="1"/>
  <c r="N62" i="13" s="1"/>
  <c r="BC61" i="4"/>
  <c r="BE61" i="4" s="1"/>
  <c r="AR61" i="4"/>
  <c r="AF60" i="4"/>
  <c r="AF61" i="9"/>
  <c r="P60" i="12"/>
  <c r="AA61" i="13"/>
  <c r="AK61" i="4"/>
  <c r="V60" i="12"/>
  <c r="N61" i="13"/>
  <c r="BP61" i="9"/>
  <c r="A63" i="8"/>
  <c r="AW62" i="8"/>
  <c r="S62" i="8"/>
  <c r="BJ62" i="8"/>
  <c r="J62" i="8"/>
  <c r="F62" i="8"/>
  <c r="AK62" i="8" s="1"/>
  <c r="AM62" i="8" s="1"/>
  <c r="E62" i="8"/>
  <c r="T62" i="8" s="1"/>
  <c r="C62" i="8"/>
  <c r="B62" i="8"/>
  <c r="AJ62" i="8"/>
  <c r="H62" i="8"/>
  <c r="BK62" i="8" s="1"/>
  <c r="G62" i="8"/>
  <c r="AX62" i="8" s="1"/>
  <c r="AZ62" i="8" s="1"/>
  <c r="D62" i="8"/>
  <c r="K62" i="8" s="1"/>
  <c r="AR60" i="13"/>
  <c r="AB62" i="12"/>
  <c r="AT62" i="12"/>
  <c r="AK62" i="12"/>
  <c r="H62" i="9"/>
  <c r="BN62" i="9" s="1"/>
  <c r="BP62" i="9" s="1"/>
  <c r="G62" i="9"/>
  <c r="AW62" i="9" s="1"/>
  <c r="AY62" i="9" s="1"/>
  <c r="F62" i="9"/>
  <c r="U62" i="9" s="1"/>
  <c r="E62" i="9"/>
  <c r="AD62" i="9" s="1"/>
  <c r="AF62" i="9" s="1"/>
  <c r="D62" i="9"/>
  <c r="L62" i="9" s="1"/>
  <c r="C62" i="9"/>
  <c r="AC62" i="9"/>
  <c r="B62" i="9"/>
  <c r="A63" i="9"/>
  <c r="AV62" i="9"/>
  <c r="I62" i="9"/>
  <c r="CA62" i="9" s="1"/>
  <c r="CC62" i="9" s="1"/>
  <c r="BZ62" i="9"/>
  <c r="AM62" i="9"/>
  <c r="T62" i="9"/>
  <c r="K62" i="9"/>
  <c r="BM62" i="9"/>
  <c r="AT60" i="4"/>
  <c r="BS61" i="13"/>
  <c r="W61" i="4"/>
  <c r="A64" i="8" l="1"/>
  <c r="AW63" i="8"/>
  <c r="S63" i="8"/>
  <c r="B63" i="8"/>
  <c r="D63" i="8"/>
  <c r="K63" i="8" s="1"/>
  <c r="M63" i="8" s="1"/>
  <c r="C63" i="8"/>
  <c r="AJ63" i="8"/>
  <c r="BJ63" i="8"/>
  <c r="J63" i="8"/>
  <c r="H63" i="8"/>
  <c r="BK63" i="8" s="1"/>
  <c r="G63" i="8"/>
  <c r="AX63" i="8" s="1"/>
  <c r="F63" i="8"/>
  <c r="AK63" i="8" s="1"/>
  <c r="AM63" i="8" s="1"/>
  <c r="E63" i="8"/>
  <c r="T63" i="8" s="1"/>
  <c r="V63" i="8" s="1"/>
  <c r="C63" i="11"/>
  <c r="B63" i="11"/>
  <c r="A64" i="11"/>
  <c r="AP62" i="12"/>
  <c r="AR62" i="12" s="1"/>
  <c r="AJ62" i="12"/>
  <c r="AM62" i="12" s="1"/>
  <c r="S63" i="12"/>
  <c r="A64" i="12"/>
  <c r="F63" i="12"/>
  <c r="AG63" i="12" s="1"/>
  <c r="AI63" i="12" s="1"/>
  <c r="C63" i="12"/>
  <c r="E63" i="12"/>
  <c r="X63" i="12" s="1"/>
  <c r="D63" i="12"/>
  <c r="O63" i="12" s="1"/>
  <c r="B63" i="12"/>
  <c r="H63" i="12"/>
  <c r="G63" i="12"/>
  <c r="J63" i="12"/>
  <c r="AD62" i="4"/>
  <c r="AF62" i="4" s="1"/>
  <c r="AY62" i="12"/>
  <c r="AS62" i="12"/>
  <c r="BC62" i="4"/>
  <c r="AT62" i="4" s="1"/>
  <c r="AR62" i="4"/>
  <c r="N62" i="9"/>
  <c r="A18" i="25"/>
  <c r="A64" i="6"/>
  <c r="CW63" i="6"/>
  <c r="BV63" i="6"/>
  <c r="N63" i="6"/>
  <c r="DP63" i="6" s="1"/>
  <c r="DR63" i="6" s="1"/>
  <c r="AZ63" i="6"/>
  <c r="DF63" i="6"/>
  <c r="BM63" i="6"/>
  <c r="AC63" i="6"/>
  <c r="P63" i="6"/>
  <c r="I63" i="6"/>
  <c r="CF63" i="6" s="1"/>
  <c r="CH63" i="6" s="1"/>
  <c r="H63" i="6"/>
  <c r="BW63" i="6" s="1"/>
  <c r="BY63" i="6" s="1"/>
  <c r="F63" i="6"/>
  <c r="BA63" i="6" s="1"/>
  <c r="BC63" i="6" s="1"/>
  <c r="E63" i="6"/>
  <c r="AD63" i="6" s="1"/>
  <c r="C63" i="6"/>
  <c r="DO63" i="6"/>
  <c r="CE63" i="6"/>
  <c r="B63" i="6"/>
  <c r="M63" i="6"/>
  <c r="AR63" i="6" s="1"/>
  <c r="AT63" i="6" s="1"/>
  <c r="L63" i="6"/>
  <c r="DG63" i="6" s="1"/>
  <c r="DI63" i="6" s="1"/>
  <c r="K63" i="6"/>
  <c r="CX63" i="6" s="1"/>
  <c r="CZ63" i="6" s="1"/>
  <c r="J63" i="6"/>
  <c r="CO63" i="6" s="1"/>
  <c r="G63" i="6"/>
  <c r="BN63" i="6" s="1"/>
  <c r="BP63" i="6" s="1"/>
  <c r="CN63" i="6"/>
  <c r="D63" i="6"/>
  <c r="Q63" i="6" s="1"/>
  <c r="AW60" i="12"/>
  <c r="AT62" i="6"/>
  <c r="K62" i="12"/>
  <c r="M62" i="12" s="1"/>
  <c r="N62" i="12"/>
  <c r="P62" i="12" s="1"/>
  <c r="AX61" i="12"/>
  <c r="AU61" i="12"/>
  <c r="AW61" i="12" s="1"/>
  <c r="CZ62" i="6"/>
  <c r="T62" i="12"/>
  <c r="V62" i="12" s="1"/>
  <c r="W62" i="12"/>
  <c r="Y62" i="12" s="1"/>
  <c r="AP62" i="13"/>
  <c r="AR62" i="13" s="1"/>
  <c r="BC62" i="13"/>
  <c r="M61" i="12"/>
  <c r="AN62" i="13"/>
  <c r="Z62" i="12"/>
  <c r="AC62" i="12"/>
  <c r="AE62" i="12" s="1"/>
  <c r="AF62" i="12"/>
  <c r="AH62" i="12" s="1"/>
  <c r="W62" i="9"/>
  <c r="DI62" i="6"/>
  <c r="CQ62" i="6"/>
  <c r="AT63" i="12"/>
  <c r="AK63" i="12"/>
  <c r="A64" i="9"/>
  <c r="AB63" i="12"/>
  <c r="BM63" i="9"/>
  <c r="AM63" i="9"/>
  <c r="K63" i="9"/>
  <c r="D63" i="9"/>
  <c r="L63" i="9" s="1"/>
  <c r="T63" i="9"/>
  <c r="I63" i="9"/>
  <c r="CA63" i="9" s="1"/>
  <c r="CC63" i="9" s="1"/>
  <c r="B63" i="9"/>
  <c r="BZ63" i="9"/>
  <c r="AC63" i="9"/>
  <c r="H63" i="9"/>
  <c r="BN63" i="9" s="1"/>
  <c r="BP63" i="9" s="1"/>
  <c r="G63" i="9"/>
  <c r="AW63" i="9" s="1"/>
  <c r="AY63" i="9" s="1"/>
  <c r="F63" i="9"/>
  <c r="U63" i="9" s="1"/>
  <c r="W63" i="9" s="1"/>
  <c r="E63" i="9"/>
  <c r="AD63" i="9" s="1"/>
  <c r="AF63" i="9" s="1"/>
  <c r="C63" i="9"/>
  <c r="AV63" i="9"/>
  <c r="AH61" i="12"/>
  <c r="AF62" i="6"/>
  <c r="V62" i="8"/>
  <c r="M62" i="8"/>
  <c r="AL61" i="12"/>
  <c r="AO61" i="12"/>
  <c r="CH62" i="6"/>
  <c r="AX63" i="13"/>
  <c r="X63" i="13"/>
  <c r="BP63" i="13"/>
  <c r="I63" i="13"/>
  <c r="BQ63" i="13" s="1"/>
  <c r="BS63" i="13" s="1"/>
  <c r="E63" i="13"/>
  <c r="Y63" i="13" s="1"/>
  <c r="D63" i="13"/>
  <c r="L63" i="13" s="1"/>
  <c r="N63" i="13" s="1"/>
  <c r="C63" i="13"/>
  <c r="B63" i="13"/>
  <c r="AK63" i="13"/>
  <c r="A64" i="13"/>
  <c r="BG63" i="13"/>
  <c r="K63" i="13"/>
  <c r="H63" i="13"/>
  <c r="BH63" i="13" s="1"/>
  <c r="G63" i="13"/>
  <c r="AY63" i="13" s="1"/>
  <c r="BA63" i="13" s="1"/>
  <c r="F63" i="13"/>
  <c r="AL63" i="13" s="1"/>
  <c r="AN63" i="13" s="1"/>
  <c r="AT61" i="4"/>
  <c r="AA63" i="12"/>
  <c r="I63" i="12"/>
  <c r="R63" i="12"/>
  <c r="AJ63" i="9"/>
  <c r="AK63" i="6"/>
  <c r="BM63" i="4"/>
  <c r="H63" i="4"/>
  <c r="BN63" i="4" s="1"/>
  <c r="BP63" i="4" s="1"/>
  <c r="AH63" i="4"/>
  <c r="G63" i="4"/>
  <c r="AA63" i="4"/>
  <c r="BB63" i="4"/>
  <c r="T63" i="4"/>
  <c r="Q63" i="4"/>
  <c r="C63" i="4"/>
  <c r="AQ63" i="4"/>
  <c r="J63" i="4"/>
  <c r="F63" i="4"/>
  <c r="AI63" i="4" s="1"/>
  <c r="E63" i="4"/>
  <c r="U63" i="4" s="1"/>
  <c r="W63" i="4" s="1"/>
  <c r="D63" i="4"/>
  <c r="K63" i="4" s="1"/>
  <c r="M63" i="4" s="1"/>
  <c r="A64" i="4"/>
  <c r="B63" i="4"/>
  <c r="AQ60" i="12"/>
  <c r="BD59" i="1"/>
  <c r="BE62" i="4" l="1"/>
  <c r="BC63" i="4"/>
  <c r="AT63" i="4" s="1"/>
  <c r="AR63" i="4"/>
  <c r="AA63" i="13"/>
  <c r="AX62" i="12"/>
  <c r="AZ62" i="12" s="1"/>
  <c r="AU62" i="12"/>
  <c r="AW62" i="12" s="1"/>
  <c r="AC64" i="6"/>
  <c r="C64" i="6"/>
  <c r="B64" i="6"/>
  <c r="AZ64" i="6"/>
  <c r="E64" i="6"/>
  <c r="AD64" i="6" s="1"/>
  <c r="AF64" i="6" s="1"/>
  <c r="DF64" i="6"/>
  <c r="CE64" i="6"/>
  <c r="D64" i="6"/>
  <c r="Q64" i="6" s="1"/>
  <c r="BM64" i="6"/>
  <c r="CW64" i="6"/>
  <c r="P64" i="6"/>
  <c r="N64" i="6"/>
  <c r="DP64" i="6" s="1"/>
  <c r="DR64" i="6" s="1"/>
  <c r="CN64" i="6"/>
  <c r="I64" i="6"/>
  <c r="CF64" i="6" s="1"/>
  <c r="CH64" i="6" s="1"/>
  <c r="H64" i="6"/>
  <c r="BW64" i="6" s="1"/>
  <c r="BY64" i="6" s="1"/>
  <c r="F64" i="6"/>
  <c r="BA64" i="6" s="1"/>
  <c r="BC64" i="6" s="1"/>
  <c r="BV64" i="6"/>
  <c r="DO64" i="6"/>
  <c r="K64" i="6"/>
  <c r="CX64" i="6" s="1"/>
  <c r="J64" i="6"/>
  <c r="CO64" i="6" s="1"/>
  <c r="G64" i="6"/>
  <c r="BN64" i="6" s="1"/>
  <c r="BP64" i="6" s="1"/>
  <c r="A65" i="6"/>
  <c r="M64" i="6"/>
  <c r="AR64" i="6" s="1"/>
  <c r="AT64" i="6" s="1"/>
  <c r="L64" i="6"/>
  <c r="DG64" i="6" s="1"/>
  <c r="DI64" i="6" s="1"/>
  <c r="C64" i="11"/>
  <c r="B64" i="11"/>
  <c r="A65" i="11"/>
  <c r="W63" i="12"/>
  <c r="Y63" i="12" s="1"/>
  <c r="T63" i="12"/>
  <c r="V63" i="12" s="1"/>
  <c r="AT64" i="12"/>
  <c r="AC64" i="9"/>
  <c r="B64" i="9"/>
  <c r="BZ64" i="9"/>
  <c r="AV64" i="9"/>
  <c r="K64" i="9"/>
  <c r="A65" i="9"/>
  <c r="I64" i="9"/>
  <c r="CA64" i="9" s="1"/>
  <c r="H64" i="9"/>
  <c r="BN64" i="9" s="1"/>
  <c r="BP64" i="9" s="1"/>
  <c r="G64" i="9"/>
  <c r="AW64" i="9" s="1"/>
  <c r="AY64" i="9" s="1"/>
  <c r="F64" i="9"/>
  <c r="U64" i="9" s="1"/>
  <c r="W64" i="9" s="1"/>
  <c r="E64" i="9"/>
  <c r="AD64" i="9" s="1"/>
  <c r="AF64" i="9" s="1"/>
  <c r="AK64" i="12"/>
  <c r="BM64" i="9"/>
  <c r="AB64" i="12"/>
  <c r="T64" i="9"/>
  <c r="D64" i="9"/>
  <c r="L64" i="9" s="1"/>
  <c r="C64" i="9"/>
  <c r="AM64" i="9"/>
  <c r="K63" i="12"/>
  <c r="M63" i="12" s="1"/>
  <c r="N63" i="12"/>
  <c r="P63" i="12" s="1"/>
  <c r="AQ61" i="12"/>
  <c r="AF63" i="12"/>
  <c r="AH63" i="12" s="1"/>
  <c r="AC63" i="12"/>
  <c r="AE63" i="12" s="1"/>
  <c r="A19" i="25"/>
  <c r="AJ63" i="12"/>
  <c r="AM63" i="12" s="1"/>
  <c r="AP63" i="12"/>
  <c r="AR63" i="12" s="1"/>
  <c r="AS63" i="12"/>
  <c r="AY63" i="12"/>
  <c r="AN61" i="12"/>
  <c r="CQ63" i="6"/>
  <c r="U63" i="12"/>
  <c r="BC63" i="13"/>
  <c r="BE63" i="13" s="1"/>
  <c r="R64" i="12"/>
  <c r="U64" i="12" s="1"/>
  <c r="AA64" i="12"/>
  <c r="AD64" i="12" s="1"/>
  <c r="I64" i="12"/>
  <c r="L64" i="12" s="1"/>
  <c r="AJ64" i="9"/>
  <c r="AK64" i="6"/>
  <c r="Q64" i="4"/>
  <c r="AQ64" i="4"/>
  <c r="BM64" i="4"/>
  <c r="BB64" i="4"/>
  <c r="T64" i="4"/>
  <c r="J64" i="4"/>
  <c r="H64" i="4"/>
  <c r="BN64" i="4" s="1"/>
  <c r="BP64" i="4" s="1"/>
  <c r="G64" i="4"/>
  <c r="F64" i="4"/>
  <c r="AI64" i="4" s="1"/>
  <c r="E64" i="4"/>
  <c r="U64" i="4" s="1"/>
  <c r="D64" i="4"/>
  <c r="K64" i="4" s="1"/>
  <c r="AH64" i="4"/>
  <c r="AA64" i="4"/>
  <c r="C64" i="4"/>
  <c r="B64" i="4"/>
  <c r="A65" i="4"/>
  <c r="AD63" i="4"/>
  <c r="AF63" i="4" s="1"/>
  <c r="BJ63" i="13"/>
  <c r="AP63" i="13"/>
  <c r="AR63" i="13" s="1"/>
  <c r="AV62" i="12"/>
  <c r="Z63" i="12"/>
  <c r="S64" i="12"/>
  <c r="A65" i="12"/>
  <c r="J64" i="12"/>
  <c r="D64" i="12"/>
  <c r="O64" i="12" s="1"/>
  <c r="C64" i="12"/>
  <c r="G64" i="12"/>
  <c r="B64" i="12"/>
  <c r="H64" i="12"/>
  <c r="F64" i="12"/>
  <c r="AG64" i="12" s="1"/>
  <c r="AI64" i="12" s="1"/>
  <c r="E64" i="12"/>
  <c r="X64" i="12" s="1"/>
  <c r="Z64" i="12" s="1"/>
  <c r="AK64" i="13"/>
  <c r="K64" i="13"/>
  <c r="H64" i="13"/>
  <c r="BH64" i="13" s="1"/>
  <c r="AX64" i="13"/>
  <c r="X64" i="13"/>
  <c r="BP64" i="13"/>
  <c r="I64" i="13"/>
  <c r="BQ64" i="13" s="1"/>
  <c r="BS64" i="13" s="1"/>
  <c r="G64" i="13"/>
  <c r="AY64" i="13" s="1"/>
  <c r="BG64" i="13"/>
  <c r="F64" i="13"/>
  <c r="AL64" i="13" s="1"/>
  <c r="AN64" i="13" s="1"/>
  <c r="E64" i="13"/>
  <c r="Y64" i="13" s="1"/>
  <c r="D64" i="13"/>
  <c r="L64" i="13" s="1"/>
  <c r="C64" i="13"/>
  <c r="B64" i="13"/>
  <c r="A65" i="13"/>
  <c r="S63" i="6"/>
  <c r="AZ61" i="12"/>
  <c r="AD63" i="12"/>
  <c r="AZ63" i="8"/>
  <c r="AF63" i="6"/>
  <c r="BE62" i="13"/>
  <c r="L63" i="12"/>
  <c r="AK63" i="4"/>
  <c r="AL62" i="12"/>
  <c r="AN62" i="12" s="1"/>
  <c r="AO62" i="12"/>
  <c r="E64" i="8"/>
  <c r="T64" i="8" s="1"/>
  <c r="D64" i="8"/>
  <c r="K64" i="8" s="1"/>
  <c r="C64" i="8"/>
  <c r="B64" i="8"/>
  <c r="A65" i="8"/>
  <c r="AW64" i="8"/>
  <c r="F64" i="8"/>
  <c r="AK64" i="8" s="1"/>
  <c r="AM64" i="8" s="1"/>
  <c r="J64" i="8"/>
  <c r="H64" i="8"/>
  <c r="BK64" i="8" s="1"/>
  <c r="G64" i="8"/>
  <c r="AX64" i="8" s="1"/>
  <c r="AZ64" i="8" s="1"/>
  <c r="AJ64" i="8"/>
  <c r="S64" i="8"/>
  <c r="BJ64" i="8"/>
  <c r="BA62" i="12"/>
  <c r="Q63" i="12"/>
  <c r="N63" i="9"/>
  <c r="BE63" i="4" l="1"/>
  <c r="AY64" i="12"/>
  <c r="BA64" i="12" s="1"/>
  <c r="AS64" i="12"/>
  <c r="AV64" i="12" s="1"/>
  <c r="BJ65" i="8"/>
  <c r="AJ65" i="8"/>
  <c r="J65" i="8"/>
  <c r="H65" i="8"/>
  <c r="BK65" i="8" s="1"/>
  <c r="G65" i="8"/>
  <c r="AX65" i="8" s="1"/>
  <c r="AZ65" i="8" s="1"/>
  <c r="F65" i="8"/>
  <c r="AK65" i="8" s="1"/>
  <c r="E65" i="8"/>
  <c r="T65" i="8" s="1"/>
  <c r="D65" i="8"/>
  <c r="K65" i="8" s="1"/>
  <c r="M65" i="8" s="1"/>
  <c r="C65" i="8"/>
  <c r="S65" i="8"/>
  <c r="B65" i="8"/>
  <c r="AW65" i="8"/>
  <c r="A66" i="8"/>
  <c r="AP64" i="12"/>
  <c r="AR64" i="12" s="1"/>
  <c r="AJ64" i="12"/>
  <c r="AM64" i="12" s="1"/>
  <c r="A66" i="11"/>
  <c r="C65" i="11"/>
  <c r="B65" i="11"/>
  <c r="AD64" i="4"/>
  <c r="AF64" i="4" s="1"/>
  <c r="AR64" i="4"/>
  <c r="BC64" i="4"/>
  <c r="BE64" i="4" s="1"/>
  <c r="BP65" i="13"/>
  <c r="I65" i="13"/>
  <c r="BQ65" i="13" s="1"/>
  <c r="BS65" i="13" s="1"/>
  <c r="G65" i="13"/>
  <c r="AY65" i="13" s="1"/>
  <c r="BA65" i="13" s="1"/>
  <c r="AX65" i="13"/>
  <c r="X65" i="13"/>
  <c r="AK65" i="13"/>
  <c r="A66" i="13"/>
  <c r="K65" i="13"/>
  <c r="BG65" i="13"/>
  <c r="H65" i="13"/>
  <c r="BH65" i="13" s="1"/>
  <c r="BJ65" i="13" s="1"/>
  <c r="F65" i="13"/>
  <c r="AL65" i="13" s="1"/>
  <c r="E65" i="13"/>
  <c r="Y65" i="13" s="1"/>
  <c r="AA65" i="13" s="1"/>
  <c r="D65" i="13"/>
  <c r="L65" i="13" s="1"/>
  <c r="N65" i="13" s="1"/>
  <c r="B65" i="13"/>
  <c r="C65" i="13"/>
  <c r="J65" i="12"/>
  <c r="D65" i="12"/>
  <c r="O65" i="12" s="1"/>
  <c r="C65" i="12"/>
  <c r="B65" i="12"/>
  <c r="A66" i="12"/>
  <c r="F65" i="12"/>
  <c r="AG65" i="12" s="1"/>
  <c r="AI65" i="12" s="1"/>
  <c r="S65" i="12"/>
  <c r="H65" i="12"/>
  <c r="G65" i="12"/>
  <c r="E65" i="12"/>
  <c r="X65" i="12" s="1"/>
  <c r="Z65" i="12" s="1"/>
  <c r="S64" i="6"/>
  <c r="AP64" i="13"/>
  <c r="AU63" i="12"/>
  <c r="AW63" i="12" s="1"/>
  <c r="AX63" i="12"/>
  <c r="AZ63" i="12" s="1"/>
  <c r="BA63" i="12"/>
  <c r="AQ62" i="12"/>
  <c r="BC64" i="13"/>
  <c r="BE64" i="13" s="1"/>
  <c r="W64" i="4"/>
  <c r="H65" i="6"/>
  <c r="BW65" i="6" s="1"/>
  <c r="BY65" i="6" s="1"/>
  <c r="G65" i="6"/>
  <c r="BN65" i="6" s="1"/>
  <c r="BP65" i="6" s="1"/>
  <c r="F65" i="6"/>
  <c r="BA65" i="6" s="1"/>
  <c r="E65" i="6"/>
  <c r="AD65" i="6" s="1"/>
  <c r="DF65" i="6"/>
  <c r="CE65" i="6"/>
  <c r="D65" i="6"/>
  <c r="Q65" i="6" s="1"/>
  <c r="S65" i="6" s="1"/>
  <c r="AC65" i="6"/>
  <c r="C65" i="6"/>
  <c r="B65" i="6"/>
  <c r="AZ65" i="6"/>
  <c r="J65" i="6"/>
  <c r="CO65" i="6" s="1"/>
  <c r="CQ65" i="6" s="1"/>
  <c r="I65" i="6"/>
  <c r="CF65" i="6" s="1"/>
  <c r="CH65" i="6" s="1"/>
  <c r="DO65" i="6"/>
  <c r="BM65" i="6"/>
  <c r="CW65" i="6"/>
  <c r="L65" i="6"/>
  <c r="DG65" i="6" s="1"/>
  <c r="DI65" i="6" s="1"/>
  <c r="K65" i="6"/>
  <c r="CX65" i="6" s="1"/>
  <c r="CN65" i="6"/>
  <c r="A66" i="6"/>
  <c r="BV65" i="6"/>
  <c r="P65" i="6"/>
  <c r="N65" i="6"/>
  <c r="DP65" i="6" s="1"/>
  <c r="DR65" i="6" s="1"/>
  <c r="M65" i="6"/>
  <c r="AR65" i="6" s="1"/>
  <c r="AT65" i="6" s="1"/>
  <c r="AV63" i="12"/>
  <c r="AL63" i="12"/>
  <c r="AN63" i="12" s="1"/>
  <c r="AO63" i="12"/>
  <c r="N64" i="9"/>
  <c r="A20" i="25"/>
  <c r="B19" i="25"/>
  <c r="N64" i="13"/>
  <c r="N64" i="12"/>
  <c r="K64" i="12"/>
  <c r="CZ64" i="6"/>
  <c r="AK65" i="12"/>
  <c r="AT65" i="12"/>
  <c r="K65" i="9"/>
  <c r="I65" i="9"/>
  <c r="CA65" i="9" s="1"/>
  <c r="H65" i="9"/>
  <c r="BN65" i="9" s="1"/>
  <c r="G65" i="9"/>
  <c r="AW65" i="9" s="1"/>
  <c r="AY65" i="9" s="1"/>
  <c r="F65" i="9"/>
  <c r="U65" i="9" s="1"/>
  <c r="E65" i="9"/>
  <c r="AD65" i="9" s="1"/>
  <c r="AF65" i="9" s="1"/>
  <c r="D65" i="9"/>
  <c r="L65" i="9" s="1"/>
  <c r="AB65" i="12"/>
  <c r="AV65" i="9"/>
  <c r="B65" i="9"/>
  <c r="BZ65" i="9"/>
  <c r="AM65" i="9"/>
  <c r="BM65" i="9"/>
  <c r="T65" i="9"/>
  <c r="A66" i="9"/>
  <c r="C65" i="9"/>
  <c r="AC65" i="9"/>
  <c r="AF64" i="12"/>
  <c r="AH64" i="12" s="1"/>
  <c r="AC64" i="12"/>
  <c r="AE64" i="12" s="1"/>
  <c r="AK64" i="4"/>
  <c r="W64" i="12"/>
  <c r="Y64" i="12" s="1"/>
  <c r="T64" i="12"/>
  <c r="M64" i="8"/>
  <c r="M64" i="4"/>
  <c r="CC64" i="9"/>
  <c r="V64" i="8"/>
  <c r="BJ64" i="13"/>
  <c r="BA64" i="13"/>
  <c r="CQ64" i="6"/>
  <c r="AA64" i="13"/>
  <c r="I65" i="12"/>
  <c r="R65" i="12"/>
  <c r="U65" i="12" s="1"/>
  <c r="AJ65" i="9"/>
  <c r="AA65" i="12"/>
  <c r="AD65" i="12" s="1"/>
  <c r="AK65" i="6"/>
  <c r="A66" i="4"/>
  <c r="T65" i="4"/>
  <c r="Q65" i="4"/>
  <c r="AQ65" i="4"/>
  <c r="BB65" i="4"/>
  <c r="J65" i="4"/>
  <c r="G65" i="4"/>
  <c r="F65" i="4"/>
  <c r="AI65" i="4" s="1"/>
  <c r="AK65" i="4" s="1"/>
  <c r="E65" i="4"/>
  <c r="U65" i="4" s="1"/>
  <c r="W65" i="4" s="1"/>
  <c r="D65" i="4"/>
  <c r="K65" i="4" s="1"/>
  <c r="M65" i="4" s="1"/>
  <c r="C65" i="4"/>
  <c r="B65" i="4"/>
  <c r="AA65" i="4"/>
  <c r="AH65" i="4"/>
  <c r="H65" i="4"/>
  <c r="BN65" i="4" s="1"/>
  <c r="BP65" i="4" s="1"/>
  <c r="BM65" i="4"/>
  <c r="Q64" i="12"/>
  <c r="BD58" i="1"/>
  <c r="AT64" i="4" l="1"/>
  <c r="AP65" i="13"/>
  <c r="AO64" i="12"/>
  <c r="AL64" i="12"/>
  <c r="AN64" i="12" s="1"/>
  <c r="BP66" i="13"/>
  <c r="H66" i="13"/>
  <c r="BH66" i="13" s="1"/>
  <c r="BG66" i="13"/>
  <c r="F66" i="13"/>
  <c r="AL66" i="13" s="1"/>
  <c r="I66" i="13"/>
  <c r="BQ66" i="13" s="1"/>
  <c r="BS66" i="13" s="1"/>
  <c r="G66" i="13"/>
  <c r="AY66" i="13" s="1"/>
  <c r="BA66" i="13" s="1"/>
  <c r="E66" i="13"/>
  <c r="Y66" i="13" s="1"/>
  <c r="AA66" i="13" s="1"/>
  <c r="D66" i="13"/>
  <c r="L66" i="13" s="1"/>
  <c r="N66" i="13" s="1"/>
  <c r="C66" i="13"/>
  <c r="B66" i="13"/>
  <c r="AX66" i="13"/>
  <c r="AK66" i="13"/>
  <c r="X66" i="13"/>
  <c r="K66" i="13"/>
  <c r="BJ66" i="8"/>
  <c r="AJ66" i="8"/>
  <c r="J66" i="8"/>
  <c r="H66" i="8"/>
  <c r="BK66" i="8" s="1"/>
  <c r="G66" i="8"/>
  <c r="AX66" i="8" s="1"/>
  <c r="AZ66" i="8" s="1"/>
  <c r="E66" i="8"/>
  <c r="T66" i="8" s="1"/>
  <c r="V66" i="8" s="1"/>
  <c r="D66" i="8"/>
  <c r="K66" i="8" s="1"/>
  <c r="M66" i="8" s="1"/>
  <c r="C66" i="8"/>
  <c r="B66" i="8"/>
  <c r="AW66" i="8"/>
  <c r="F66" i="8"/>
  <c r="AK66" i="8" s="1"/>
  <c r="AM66" i="8" s="1"/>
  <c r="S66" i="8"/>
  <c r="I66" i="12"/>
  <c r="L66" i="12" s="1"/>
  <c r="R66" i="12"/>
  <c r="U66" i="12" s="1"/>
  <c r="AA66" i="12"/>
  <c r="AD66" i="12" s="1"/>
  <c r="AJ66" i="9"/>
  <c r="AK66" i="6"/>
  <c r="BB66" i="4"/>
  <c r="AA66" i="4"/>
  <c r="B66" i="4"/>
  <c r="BM66" i="4"/>
  <c r="T66" i="4"/>
  <c r="Q66" i="4"/>
  <c r="J66" i="4"/>
  <c r="H66" i="4"/>
  <c r="BN66" i="4" s="1"/>
  <c r="BP66" i="4" s="1"/>
  <c r="AQ66" i="4"/>
  <c r="G66" i="4"/>
  <c r="F66" i="4"/>
  <c r="AI66" i="4" s="1"/>
  <c r="AK66" i="4" s="1"/>
  <c r="AH66" i="4"/>
  <c r="E66" i="4"/>
  <c r="U66" i="4" s="1"/>
  <c r="W66" i="4" s="1"/>
  <c r="D66" i="4"/>
  <c r="K66" i="4" s="1"/>
  <c r="M66" i="4" s="1"/>
  <c r="C66" i="4"/>
  <c r="W65" i="9"/>
  <c r="BC65" i="13"/>
  <c r="BE65" i="13" s="1"/>
  <c r="N65" i="12"/>
  <c r="P65" i="12" s="1"/>
  <c r="K65" i="12"/>
  <c r="M65" i="12" s="1"/>
  <c r="T65" i="12"/>
  <c r="W65" i="12"/>
  <c r="Y65" i="12" s="1"/>
  <c r="BC65" i="6"/>
  <c r="AR64" i="13"/>
  <c r="AJ65" i="12"/>
  <c r="AP65" i="12"/>
  <c r="N65" i="9"/>
  <c r="AY65" i="12"/>
  <c r="BA65" i="12" s="1"/>
  <c r="AS65" i="12"/>
  <c r="L65" i="12"/>
  <c r="M66" i="6"/>
  <c r="AR66" i="6" s="1"/>
  <c r="DO66" i="6"/>
  <c r="CN66" i="6"/>
  <c r="BM66" i="6"/>
  <c r="L66" i="6"/>
  <c r="DG66" i="6" s="1"/>
  <c r="K66" i="6"/>
  <c r="CX66" i="6" s="1"/>
  <c r="CZ66" i="6" s="1"/>
  <c r="J66" i="6"/>
  <c r="CO66" i="6" s="1"/>
  <c r="CQ66" i="6" s="1"/>
  <c r="I66" i="6"/>
  <c r="CF66" i="6" s="1"/>
  <c r="CH66" i="6" s="1"/>
  <c r="H66" i="6"/>
  <c r="BW66" i="6" s="1"/>
  <c r="BY66" i="6" s="1"/>
  <c r="G66" i="6"/>
  <c r="BN66" i="6" s="1"/>
  <c r="BP66" i="6" s="1"/>
  <c r="E66" i="6"/>
  <c r="AD66" i="6" s="1"/>
  <c r="AF66" i="6" s="1"/>
  <c r="P66" i="6"/>
  <c r="N66" i="6"/>
  <c r="DP66" i="6" s="1"/>
  <c r="AC66" i="6"/>
  <c r="BV66" i="6"/>
  <c r="DF66" i="6"/>
  <c r="AZ66" i="6"/>
  <c r="F66" i="6"/>
  <c r="BA66" i="6" s="1"/>
  <c r="D66" i="6"/>
  <c r="Q66" i="6" s="1"/>
  <c r="B66" i="6"/>
  <c r="C66" i="6"/>
  <c r="CW66" i="6"/>
  <c r="CE66" i="6"/>
  <c r="B21" i="17"/>
  <c r="B22" i="17"/>
  <c r="AQ63" i="12"/>
  <c r="H66" i="12"/>
  <c r="G66" i="12"/>
  <c r="F66" i="12"/>
  <c r="AG66" i="12" s="1"/>
  <c r="E66" i="12"/>
  <c r="X66" i="12" s="1"/>
  <c r="D66" i="12"/>
  <c r="O66" i="12" s="1"/>
  <c r="Q66" i="12" s="1"/>
  <c r="S66" i="12"/>
  <c r="B66" i="12"/>
  <c r="J66" i="12"/>
  <c r="C66" i="12"/>
  <c r="E22" i="17"/>
  <c r="CC65" i="9"/>
  <c r="V65" i="8"/>
  <c r="V64" i="12"/>
  <c r="AF65" i="12"/>
  <c r="AH65" i="12" s="1"/>
  <c r="AC65" i="12"/>
  <c r="AE65" i="12" s="1"/>
  <c r="AB66" i="12"/>
  <c r="BZ66" i="9"/>
  <c r="AK66" i="12"/>
  <c r="AV66" i="9"/>
  <c r="T66" i="9"/>
  <c r="G66" i="9"/>
  <c r="AW66" i="9" s="1"/>
  <c r="AY66" i="9" s="1"/>
  <c r="D66" i="9"/>
  <c r="L66" i="9" s="1"/>
  <c r="AT66" i="12"/>
  <c r="AC66" i="9"/>
  <c r="BM66" i="9"/>
  <c r="I66" i="9"/>
  <c r="CA66" i="9" s="1"/>
  <c r="CC66" i="9" s="1"/>
  <c r="H66" i="9"/>
  <c r="BN66" i="9" s="1"/>
  <c r="F66" i="9"/>
  <c r="U66" i="9" s="1"/>
  <c r="E66" i="9"/>
  <c r="AD66" i="9" s="1"/>
  <c r="K66" i="9"/>
  <c r="C66" i="9"/>
  <c r="B66" i="9"/>
  <c r="AM66" i="9"/>
  <c r="A21" i="25"/>
  <c r="B20" i="25"/>
  <c r="M64" i="12"/>
  <c r="P64" i="12"/>
  <c r="CZ65" i="6"/>
  <c r="AF65" i="6"/>
  <c r="AX64" i="12"/>
  <c r="AZ64" i="12" s="1"/>
  <c r="AU64" i="12"/>
  <c r="AW64" i="12" s="1"/>
  <c r="AD65" i="4"/>
  <c r="AF65" i="4" s="1"/>
  <c r="BP65" i="9"/>
  <c r="Q65" i="12"/>
  <c r="AM65" i="8"/>
  <c r="AR65" i="4"/>
  <c r="BC65" i="4"/>
  <c r="AT65" i="4" s="1"/>
  <c r="AN65" i="13"/>
  <c r="B66" i="11"/>
  <c r="C66" i="11"/>
  <c r="Q12" i="6" l="1"/>
  <c r="Q9" i="6"/>
  <c r="AG12" i="4"/>
  <c r="BA13" i="4"/>
  <c r="BC12" i="4"/>
  <c r="BL12" i="4"/>
  <c r="I12" i="4"/>
  <c r="BL13" i="4"/>
  <c r="BA12" i="4"/>
  <c r="AP12" i="4"/>
  <c r="S13" i="4"/>
  <c r="S12" i="4"/>
  <c r="AI12" i="4"/>
  <c r="K12" i="4"/>
  <c r="AG13" i="4"/>
  <c r="AP13" i="4"/>
  <c r="I13" i="4"/>
  <c r="AD14" i="4"/>
  <c r="AR14" i="4"/>
  <c r="BC14" i="4"/>
  <c r="I14" i="4"/>
  <c r="AG14" i="4"/>
  <c r="AI14" i="4"/>
  <c r="AC14" i="4"/>
  <c r="K14" i="4"/>
  <c r="BN14" i="4"/>
  <c r="BA14" i="4"/>
  <c r="BL14" i="4"/>
  <c r="AP14" i="4"/>
  <c r="U14" i="4"/>
  <c r="S14" i="4"/>
  <c r="AC13" i="4"/>
  <c r="AC12" i="4"/>
  <c r="AJ12" i="13"/>
  <c r="W12" i="13"/>
  <c r="BH13" i="13"/>
  <c r="AW12" i="13"/>
  <c r="J12" i="13"/>
  <c r="BF12" i="13"/>
  <c r="AL14" i="13"/>
  <c r="J14" i="13"/>
  <c r="BB14" i="13"/>
  <c r="AP14" i="13"/>
  <c r="BC14" i="13"/>
  <c r="AW13" i="13"/>
  <c r="AY14" i="13"/>
  <c r="AO14" i="13"/>
  <c r="L14" i="13"/>
  <c r="AP13" i="13"/>
  <c r="BO14" i="13"/>
  <c r="BO13" i="13"/>
  <c r="BH14" i="13"/>
  <c r="BQ14" i="13"/>
  <c r="Y14" i="13"/>
  <c r="J13" i="13"/>
  <c r="W14" i="13"/>
  <c r="BC13" i="13"/>
  <c r="AW14" i="13"/>
  <c r="Y13" i="13"/>
  <c r="BB12" i="13"/>
  <c r="BF13" i="13"/>
  <c r="AJ14" i="13"/>
  <c r="BO12" i="13"/>
  <c r="AJ13" i="13"/>
  <c r="W13" i="13"/>
  <c r="BF14" i="13"/>
  <c r="AO12" i="13"/>
  <c r="BB13" i="13"/>
  <c r="AO13" i="13"/>
  <c r="A22" i="25"/>
  <c r="BA12" i="6"/>
  <c r="BA9" i="6"/>
  <c r="AB12" i="9"/>
  <c r="CA13" i="9"/>
  <c r="S13" i="9"/>
  <c r="L13" i="9"/>
  <c r="BN13" i="9"/>
  <c r="BL13" i="9"/>
  <c r="AU12" i="9"/>
  <c r="BL12" i="9"/>
  <c r="BY13" i="9"/>
  <c r="U13" i="9"/>
  <c r="L12" i="9"/>
  <c r="S12" i="9"/>
  <c r="J12" i="9"/>
  <c r="J14" i="9"/>
  <c r="AW13" i="9"/>
  <c r="AU13" i="9"/>
  <c r="AU14" i="9"/>
  <c r="BY12" i="9"/>
  <c r="J13" i="9"/>
  <c r="AW14" i="9"/>
  <c r="AB13" i="9"/>
  <c r="AD14" i="9"/>
  <c r="BN14" i="9"/>
  <c r="AB14" i="9"/>
  <c r="CA14" i="9"/>
  <c r="U14" i="9"/>
  <c r="L14" i="9"/>
  <c r="S14" i="9"/>
  <c r="BY14" i="9"/>
  <c r="BL14" i="9"/>
  <c r="BE65" i="4"/>
  <c r="BQ5" i="13"/>
  <c r="AL5" i="13"/>
  <c r="Y5" i="13"/>
  <c r="BQ6" i="13"/>
  <c r="AW6" i="13"/>
  <c r="Y8" i="13"/>
  <c r="BH5" i="13"/>
  <c r="AJ6" i="13"/>
  <c r="W6" i="13"/>
  <c r="BF6" i="13"/>
  <c r="J6" i="13"/>
  <c r="BF5" i="13"/>
  <c r="AW5" i="13"/>
  <c r="AP5" i="13"/>
  <c r="BO6" i="13"/>
  <c r="W5" i="13"/>
  <c r="J5" i="13"/>
  <c r="BO5" i="13"/>
  <c r="J7" i="13"/>
  <c r="BB6" i="13"/>
  <c r="Y6" i="13"/>
  <c r="AJ7" i="13"/>
  <c r="BC5" i="13"/>
  <c r="L7" i="13"/>
  <c r="AJ5" i="13"/>
  <c r="BH6" i="13"/>
  <c r="BF7" i="13"/>
  <c r="BO7" i="13"/>
  <c r="AJ8" i="13"/>
  <c r="AL6" i="13"/>
  <c r="AW7" i="13"/>
  <c r="BC7" i="13"/>
  <c r="BH7" i="13"/>
  <c r="AO5" i="13"/>
  <c r="AO6" i="13"/>
  <c r="AY6" i="13"/>
  <c r="W7" i="13"/>
  <c r="BF8" i="13"/>
  <c r="AY5" i="13"/>
  <c r="L6" i="13"/>
  <c r="AL7" i="13"/>
  <c r="BB5" i="13"/>
  <c r="AP6" i="13"/>
  <c r="L5" i="13"/>
  <c r="BQ7" i="13"/>
  <c r="AW8" i="13"/>
  <c r="BO8" i="13"/>
  <c r="AO9" i="13"/>
  <c r="BC6" i="13"/>
  <c r="AP7" i="13"/>
  <c r="BO10" i="13"/>
  <c r="W9" i="13"/>
  <c r="AJ9" i="13"/>
  <c r="AL9" i="13"/>
  <c r="BC10" i="13"/>
  <c r="BH9" i="13"/>
  <c r="BQ11" i="13"/>
  <c r="AW9" i="13"/>
  <c r="BF9" i="13"/>
  <c r="W8" i="13"/>
  <c r="J10" i="13"/>
  <c r="J8" i="13"/>
  <c r="AY11" i="13"/>
  <c r="L10" i="13"/>
  <c r="J9" i="13"/>
  <c r="AO10" i="13"/>
  <c r="Y10" i="13"/>
  <c r="BC11" i="13"/>
  <c r="BQ10" i="13"/>
  <c r="BB10" i="13"/>
  <c r="L11" i="13"/>
  <c r="BH10" i="13"/>
  <c r="BF10" i="13"/>
  <c r="BB11" i="13"/>
  <c r="AP10" i="13"/>
  <c r="W10" i="13"/>
  <c r="AW10" i="13"/>
  <c r="AP11" i="13"/>
  <c r="AW11" i="13"/>
  <c r="AL10" i="13"/>
  <c r="AY9" i="13"/>
  <c r="AJ10" i="13"/>
  <c r="J11" i="13"/>
  <c r="BH11" i="13"/>
  <c r="BO11" i="13"/>
  <c r="AO11" i="13"/>
  <c r="AJ11" i="13"/>
  <c r="AL11" i="13"/>
  <c r="AY10" i="13"/>
  <c r="W11" i="13"/>
  <c r="BF11" i="13"/>
  <c r="Y11" i="13"/>
  <c r="BO9" i="13"/>
  <c r="BB7" i="13"/>
  <c r="AO7" i="13"/>
  <c r="BB9" i="13"/>
  <c r="AO8" i="13"/>
  <c r="BB8" i="13"/>
  <c r="CA5" i="9"/>
  <c r="BL5" i="9"/>
  <c r="L5" i="9"/>
  <c r="AB6" i="9"/>
  <c r="AD5" i="9"/>
  <c r="BY5" i="9"/>
  <c r="J5" i="9"/>
  <c r="U5" i="9"/>
  <c r="AW5" i="9"/>
  <c r="S5" i="9"/>
  <c r="AB5" i="9"/>
  <c r="BN5" i="9"/>
  <c r="S6" i="9"/>
  <c r="BY6" i="9"/>
  <c r="AW6" i="9"/>
  <c r="J6" i="9"/>
  <c r="AD6" i="9"/>
  <c r="BL6" i="9"/>
  <c r="AU6" i="9"/>
  <c r="CA6" i="9"/>
  <c r="AU5" i="9"/>
  <c r="J9" i="9"/>
  <c r="U6" i="9"/>
  <c r="S7" i="9"/>
  <c r="AB8" i="9"/>
  <c r="AB7" i="9"/>
  <c r="L6" i="9"/>
  <c r="AU7" i="9"/>
  <c r="S8" i="9"/>
  <c r="BY7" i="9"/>
  <c r="BY8" i="9"/>
  <c r="BY9" i="9"/>
  <c r="CA7" i="9"/>
  <c r="J7" i="9"/>
  <c r="J8" i="9"/>
  <c r="AD8" i="9"/>
  <c r="CA9" i="9"/>
  <c r="BL8" i="9"/>
  <c r="S9" i="9"/>
  <c r="BL9" i="9"/>
  <c r="AU8" i="9"/>
  <c r="BL7" i="9"/>
  <c r="S10" i="9"/>
  <c r="AW9" i="9"/>
  <c r="BN9" i="9"/>
  <c r="AB9" i="9"/>
  <c r="AU9" i="9"/>
  <c r="BY10" i="9"/>
  <c r="L9" i="9"/>
  <c r="AD9" i="9"/>
  <c r="AB10" i="9"/>
  <c r="U10" i="9"/>
  <c r="AD10" i="9"/>
  <c r="AU10" i="9"/>
  <c r="L10" i="9"/>
  <c r="BN10" i="9"/>
  <c r="J10" i="9"/>
  <c r="BL10" i="9"/>
  <c r="CA10" i="9"/>
  <c r="AB11" i="9"/>
  <c r="AD11" i="9"/>
  <c r="U11" i="9"/>
  <c r="AW10" i="9"/>
  <c r="BY11" i="9"/>
  <c r="L11" i="9"/>
  <c r="AU11" i="9"/>
  <c r="BN11" i="9"/>
  <c r="CA11" i="9"/>
  <c r="J11" i="9"/>
  <c r="BL11" i="9"/>
  <c r="S11" i="9"/>
  <c r="AW11" i="9"/>
  <c r="L12" i="13"/>
  <c r="L13" i="13"/>
  <c r="L8" i="13"/>
  <c r="L9" i="13"/>
  <c r="AU65" i="12"/>
  <c r="AW65" i="12" s="1"/>
  <c r="AX65" i="12"/>
  <c r="AZ65" i="12" s="1"/>
  <c r="Y12" i="13"/>
  <c r="Y7" i="13"/>
  <c r="Y9" i="13"/>
  <c r="X7" i="12"/>
  <c r="X6" i="12"/>
  <c r="AF6" i="12"/>
  <c r="I5" i="12"/>
  <c r="AY5" i="12"/>
  <c r="AL6" i="12"/>
  <c r="R6" i="12"/>
  <c r="AX6" i="12"/>
  <c r="W6" i="12"/>
  <c r="AO6" i="12"/>
  <c r="AS6" i="12"/>
  <c r="I6" i="12"/>
  <c r="AS5" i="12"/>
  <c r="AG6" i="12"/>
  <c r="AA5" i="12"/>
  <c r="W5" i="12"/>
  <c r="T6" i="12"/>
  <c r="AU6" i="12"/>
  <c r="R5" i="12"/>
  <c r="K5" i="12"/>
  <c r="N5" i="12"/>
  <c r="K6" i="12"/>
  <c r="AG5" i="12"/>
  <c r="N6" i="12"/>
  <c r="AC5" i="12"/>
  <c r="AA6" i="12"/>
  <c r="AO5" i="12"/>
  <c r="AA7" i="12"/>
  <c r="I7" i="12"/>
  <c r="AP6" i="12"/>
  <c r="AL7" i="12"/>
  <c r="W7" i="12"/>
  <c r="T5" i="12"/>
  <c r="AL5" i="12"/>
  <c r="N7" i="12"/>
  <c r="T7" i="12"/>
  <c r="AF7" i="12"/>
  <c r="AJ5" i="12"/>
  <c r="W9" i="12"/>
  <c r="AJ7" i="12"/>
  <c r="X5" i="12"/>
  <c r="AS7" i="12"/>
  <c r="AX5" i="12"/>
  <c r="R7" i="12"/>
  <c r="AU5" i="12"/>
  <c r="AC7" i="12"/>
  <c r="AJ9" i="12"/>
  <c r="AX7" i="12"/>
  <c r="O5" i="12"/>
  <c r="AC9" i="12"/>
  <c r="R9" i="12"/>
  <c r="R8" i="12"/>
  <c r="T9" i="12"/>
  <c r="AL9" i="12"/>
  <c r="I8" i="12"/>
  <c r="AF5" i="12"/>
  <c r="AP5" i="12"/>
  <c r="K7" i="12"/>
  <c r="AY6" i="12"/>
  <c r="AO9" i="12"/>
  <c r="AG9" i="12"/>
  <c r="AU7" i="12"/>
  <c r="AP7" i="12"/>
  <c r="AP9" i="12"/>
  <c r="AA8" i="12"/>
  <c r="AO10" i="12"/>
  <c r="K10" i="12"/>
  <c r="X10" i="12"/>
  <c r="AJ10" i="12"/>
  <c r="AC10" i="12"/>
  <c r="AS10" i="12"/>
  <c r="AA9" i="12"/>
  <c r="AU10" i="12"/>
  <c r="AY10" i="12"/>
  <c r="AX10" i="12"/>
  <c r="I10" i="12"/>
  <c r="O7" i="12"/>
  <c r="O11" i="12"/>
  <c r="AG11" i="12"/>
  <c r="N10" i="12"/>
  <c r="AX8" i="12"/>
  <c r="AL10" i="12"/>
  <c r="AA10" i="12"/>
  <c r="R11" i="12"/>
  <c r="AU11" i="12"/>
  <c r="AY11" i="12"/>
  <c r="X11" i="12"/>
  <c r="AJ11" i="12"/>
  <c r="R10" i="12"/>
  <c r="AC11" i="12"/>
  <c r="AP10" i="12"/>
  <c r="AX11" i="12"/>
  <c r="T10" i="12"/>
  <c r="AF11" i="12"/>
  <c r="O10" i="12"/>
  <c r="AF10" i="12"/>
  <c r="T11" i="12"/>
  <c r="AG10" i="12"/>
  <c r="AL11" i="12"/>
  <c r="K11" i="12"/>
  <c r="AP11" i="12"/>
  <c r="AA11" i="12"/>
  <c r="W10" i="12"/>
  <c r="N11" i="12"/>
  <c r="W11" i="12"/>
  <c r="I11" i="12"/>
  <c r="AS11" i="12"/>
  <c r="AO11" i="12"/>
  <c r="AD12" i="9"/>
  <c r="AD7" i="9"/>
  <c r="AD13" i="9"/>
  <c r="BC66" i="13"/>
  <c r="BE66" i="13" s="1"/>
  <c r="AY12" i="13"/>
  <c r="AY7" i="13"/>
  <c r="AY13" i="13"/>
  <c r="AY8" i="13"/>
  <c r="U12" i="9"/>
  <c r="U7" i="9"/>
  <c r="U8" i="9"/>
  <c r="U9" i="9"/>
  <c r="AF13" i="12"/>
  <c r="AJ13" i="12"/>
  <c r="W14" i="12"/>
  <c r="O14" i="12"/>
  <c r="X13" i="12"/>
  <c r="W13" i="12"/>
  <c r="I12" i="12"/>
  <c r="AU13" i="12"/>
  <c r="O13" i="12"/>
  <c r="AL13" i="12"/>
  <c r="AL14" i="12"/>
  <c r="R13" i="12"/>
  <c r="AY13" i="12"/>
  <c r="I13" i="12"/>
  <c r="R12" i="12"/>
  <c r="AP13" i="12"/>
  <c r="AS13" i="12"/>
  <c r="AG13" i="12"/>
  <c r="AA13" i="12"/>
  <c r="K12" i="12"/>
  <c r="AO14" i="12"/>
  <c r="AO13" i="12"/>
  <c r="K13" i="12"/>
  <c r="I14" i="12"/>
  <c r="K14" i="12"/>
  <c r="AA12" i="12"/>
  <c r="AS14" i="12"/>
  <c r="AC14" i="12"/>
  <c r="R14" i="12"/>
  <c r="AL12" i="12"/>
  <c r="AJ14" i="12"/>
  <c r="N14" i="12"/>
  <c r="T14" i="12"/>
  <c r="AG14" i="12"/>
  <c r="AX14" i="12"/>
  <c r="X14" i="12"/>
  <c r="X12" i="12"/>
  <c r="AP14" i="12"/>
  <c r="AU14" i="12"/>
  <c r="AA14" i="12"/>
  <c r="AY14" i="12"/>
  <c r="AF14" i="12"/>
  <c r="AP12" i="12"/>
  <c r="AY12" i="12"/>
  <c r="DP12" i="6"/>
  <c r="DP8" i="6"/>
  <c r="DP9" i="6"/>
  <c r="AF66" i="12"/>
  <c r="AH66" i="12" s="1"/>
  <c r="AC66" i="12"/>
  <c r="AE66" i="12" s="1"/>
  <c r="BQ12" i="13"/>
  <c r="BQ13" i="13"/>
  <c r="BQ8" i="13"/>
  <c r="BQ9" i="13"/>
  <c r="BN6" i="9"/>
  <c r="BN12" i="9"/>
  <c r="BN7" i="9"/>
  <c r="BN8" i="9"/>
  <c r="W66" i="12"/>
  <c r="Y66" i="12" s="1"/>
  <c r="T66" i="12"/>
  <c r="V66" i="12" s="1"/>
  <c r="AP66" i="13"/>
  <c r="AR66" i="13" s="1"/>
  <c r="AL12" i="13"/>
  <c r="AL13" i="13"/>
  <c r="AL8" i="13"/>
  <c r="CA12" i="9"/>
  <c r="CA8" i="9"/>
  <c r="O6" i="12"/>
  <c r="O12" i="12"/>
  <c r="O8" i="12"/>
  <c r="O9" i="12"/>
  <c r="AD12" i="6"/>
  <c r="AD9" i="6"/>
  <c r="BC66" i="6"/>
  <c r="N66" i="12"/>
  <c r="P66" i="12" s="1"/>
  <c r="K66" i="12"/>
  <c r="M66" i="12" s="1"/>
  <c r="I9" i="12"/>
  <c r="X8" i="12"/>
  <c r="X9" i="12"/>
  <c r="BN12" i="6"/>
  <c r="BN9" i="6"/>
  <c r="BH12" i="13"/>
  <c r="BH8" i="13"/>
  <c r="AG12" i="12"/>
  <c r="AG7" i="12"/>
  <c r="AG8" i="12"/>
  <c r="BW12" i="6"/>
  <c r="BW9" i="6"/>
  <c r="AK12" i="8"/>
  <c r="AK7" i="8"/>
  <c r="AK13" i="8"/>
  <c r="AK8" i="8"/>
  <c r="AK9" i="8"/>
  <c r="AJ66" i="12"/>
  <c r="AM66" i="12" s="1"/>
  <c r="AP66" i="12"/>
  <c r="AP8" i="12" s="1"/>
  <c r="CF12" i="6"/>
  <c r="CF9" i="6"/>
  <c r="AL65" i="12"/>
  <c r="AN65" i="12" s="1"/>
  <c r="AO65" i="12"/>
  <c r="AQ65" i="12" s="1"/>
  <c r="BP66" i="9"/>
  <c r="W66" i="9"/>
  <c r="K12" i="8"/>
  <c r="AI12" i="8"/>
  <c r="I12" i="8"/>
  <c r="BK13" i="8"/>
  <c r="BI12" i="8"/>
  <c r="R12" i="8"/>
  <c r="AI13" i="8"/>
  <c r="AV12" i="8"/>
  <c r="AV13" i="8"/>
  <c r="T14" i="8"/>
  <c r="I13" i="8"/>
  <c r="BI14" i="8"/>
  <c r="BI13" i="8"/>
  <c r="AK14" i="8"/>
  <c r="R13" i="8"/>
  <c r="BK14" i="8"/>
  <c r="K14" i="8"/>
  <c r="AI14" i="8"/>
  <c r="I14" i="8"/>
  <c r="AV14" i="8"/>
  <c r="R14" i="8"/>
  <c r="AX14" i="8"/>
  <c r="AR65" i="12"/>
  <c r="L7" i="9"/>
  <c r="L8" i="9"/>
  <c r="CX8" i="6"/>
  <c r="CX9" i="6"/>
  <c r="DR66" i="6"/>
  <c r="BN5" i="4"/>
  <c r="AR6" i="4"/>
  <c r="AR5" i="4"/>
  <c r="BC5" i="4"/>
  <c r="BN8" i="4"/>
  <c r="AP5" i="4"/>
  <c r="U5" i="4"/>
  <c r="AC5" i="4"/>
  <c r="BN6" i="4"/>
  <c r="BN7" i="4"/>
  <c r="AG5" i="4"/>
  <c r="AI5" i="4"/>
  <c r="AD5" i="4"/>
  <c r="BL5" i="4"/>
  <c r="K5" i="4"/>
  <c r="I5" i="4"/>
  <c r="BA5" i="4"/>
  <c r="S5" i="4"/>
  <c r="AI6" i="4"/>
  <c r="K6" i="4"/>
  <c r="AD6" i="4"/>
  <c r="AP6" i="4"/>
  <c r="BA6" i="4"/>
  <c r="I6" i="4"/>
  <c r="AG6" i="4"/>
  <c r="U7" i="4"/>
  <c r="AC7" i="4"/>
  <c r="BL6" i="4"/>
  <c r="BC6" i="4"/>
  <c r="S6" i="4"/>
  <c r="U6" i="4"/>
  <c r="AC6" i="4"/>
  <c r="AG8" i="4"/>
  <c r="BL7" i="4"/>
  <c r="AP8" i="4"/>
  <c r="BC7" i="4"/>
  <c r="BL8" i="4"/>
  <c r="S7" i="4"/>
  <c r="BC8" i="4"/>
  <c r="BA8" i="4"/>
  <c r="U8" i="4"/>
  <c r="K7" i="4"/>
  <c r="K8" i="4"/>
  <c r="AD7" i="4"/>
  <c r="I7" i="4"/>
  <c r="AP7" i="4"/>
  <c r="AG7" i="4"/>
  <c r="AI7" i="4"/>
  <c r="S8" i="4"/>
  <c r="AC8" i="4"/>
  <c r="BA7" i="4"/>
  <c r="AI8" i="4"/>
  <c r="AR8" i="4"/>
  <c r="I8" i="4"/>
  <c r="BN10" i="4"/>
  <c r="S9" i="4"/>
  <c r="U10" i="4"/>
  <c r="AD8" i="4"/>
  <c r="AP9" i="4"/>
  <c r="S10" i="4"/>
  <c r="AD10" i="4"/>
  <c r="AP10" i="4"/>
  <c r="AI11" i="4"/>
  <c r="K10" i="4"/>
  <c r="BA9" i="4"/>
  <c r="AI10" i="4"/>
  <c r="AC10" i="4"/>
  <c r="AD11" i="4"/>
  <c r="I10" i="4"/>
  <c r="AR10" i="4"/>
  <c r="I9" i="4"/>
  <c r="AG9" i="4"/>
  <c r="BA10" i="4"/>
  <c r="BL10" i="4"/>
  <c r="AG10" i="4"/>
  <c r="BC10" i="4"/>
  <c r="AC9" i="4"/>
  <c r="AR9" i="4"/>
  <c r="BC11" i="4"/>
  <c r="AG11" i="4"/>
  <c r="K9" i="4"/>
  <c r="AC11" i="4"/>
  <c r="BA11" i="4"/>
  <c r="K11" i="4"/>
  <c r="AR11" i="4"/>
  <c r="S11" i="4"/>
  <c r="AP11" i="4"/>
  <c r="U11" i="4"/>
  <c r="I11" i="4"/>
  <c r="BN11" i="4"/>
  <c r="BL11" i="4"/>
  <c r="BL9" i="4"/>
  <c r="BK6" i="8"/>
  <c r="T6" i="8"/>
  <c r="T5" i="8"/>
  <c r="AI6" i="8"/>
  <c r="K6" i="8"/>
  <c r="AX6" i="8"/>
  <c r="AX7" i="8"/>
  <c r="AK6" i="8"/>
  <c r="K5" i="8"/>
  <c r="AK5" i="8"/>
  <c r="I6" i="8"/>
  <c r="T7" i="8"/>
  <c r="I5" i="8"/>
  <c r="K7" i="8"/>
  <c r="R6" i="8"/>
  <c r="AX5" i="8"/>
  <c r="BI5" i="8"/>
  <c r="I7" i="8"/>
  <c r="BI6" i="8"/>
  <c r="I8" i="8"/>
  <c r="AI5" i="8"/>
  <c r="AV5" i="8"/>
  <c r="R5" i="8"/>
  <c r="AV6" i="8"/>
  <c r="BK5" i="8"/>
  <c r="BI8" i="8"/>
  <c r="AV8" i="8"/>
  <c r="AX9" i="8"/>
  <c r="R8" i="8"/>
  <c r="AI8" i="8"/>
  <c r="AI7" i="8"/>
  <c r="BI7" i="8"/>
  <c r="R7" i="8"/>
  <c r="AX8" i="8"/>
  <c r="AV7" i="8"/>
  <c r="T10" i="8"/>
  <c r="R10" i="8"/>
  <c r="BI9" i="8"/>
  <c r="R9" i="8"/>
  <c r="BI10" i="8"/>
  <c r="K10" i="8"/>
  <c r="AV11" i="8"/>
  <c r="BK10" i="8"/>
  <c r="T11" i="8"/>
  <c r="AV9" i="8"/>
  <c r="AK10" i="8"/>
  <c r="AI10" i="8"/>
  <c r="AI11" i="8"/>
  <c r="AV10" i="8"/>
  <c r="BK11" i="8"/>
  <c r="I9" i="8"/>
  <c r="I10" i="8"/>
  <c r="BI11" i="8"/>
  <c r="AK11" i="8"/>
  <c r="AX10" i="8"/>
  <c r="AX11" i="8"/>
  <c r="K11" i="8"/>
  <c r="R11" i="8"/>
  <c r="I11" i="8"/>
  <c r="AI9" i="8"/>
  <c r="S66" i="6"/>
  <c r="AD66" i="4"/>
  <c r="AF66" i="4" s="1"/>
  <c r="K13" i="4"/>
  <c r="K13" i="8"/>
  <c r="K8" i="8"/>
  <c r="K9" i="8"/>
  <c r="CO12" i="6"/>
  <c r="CO8" i="6"/>
  <c r="CO9" i="6"/>
  <c r="AF66" i="9"/>
  <c r="U12" i="4"/>
  <c r="U13" i="4"/>
  <c r="U9" i="4"/>
  <c r="T12" i="8"/>
  <c r="T13" i="8"/>
  <c r="T8" i="8"/>
  <c r="T9" i="8"/>
  <c r="AM65" i="12"/>
  <c r="AY66" i="12"/>
  <c r="BA66" i="12" s="1"/>
  <c r="AS66" i="12"/>
  <c r="AW12" i="9"/>
  <c r="AW7" i="9"/>
  <c r="AW8" i="9"/>
  <c r="AV65" i="12"/>
  <c r="DG12" i="6"/>
  <c r="DG9" i="6"/>
  <c r="AI66" i="12"/>
  <c r="AX12" i="8"/>
  <c r="AX13" i="8"/>
  <c r="AI13" i="4"/>
  <c r="AI9" i="4"/>
  <c r="BK12" i="8"/>
  <c r="BK7" i="8"/>
  <c r="BK8" i="8"/>
  <c r="BK9" i="8"/>
  <c r="AR12" i="6"/>
  <c r="AR7" i="6"/>
  <c r="AR9" i="6"/>
  <c r="BC66" i="4"/>
  <c r="AT66" i="4" s="1"/>
  <c r="AR66" i="4"/>
  <c r="AQ64" i="12"/>
  <c r="Z66" i="12"/>
  <c r="N66" i="9"/>
  <c r="AT66" i="6"/>
  <c r="BN12" i="4"/>
  <c r="BN13" i="4"/>
  <c r="BN9" i="4"/>
  <c r="BJ66" i="13"/>
  <c r="V65" i="12"/>
  <c r="AN66" i="13"/>
  <c r="DG5" i="6"/>
  <c r="BU5" i="6"/>
  <c r="DP6" i="6"/>
  <c r="DG6" i="6"/>
  <c r="CX6" i="6"/>
  <c r="BU7" i="6"/>
  <c r="Q6" i="6"/>
  <c r="AD5" i="6"/>
  <c r="BW6" i="6"/>
  <c r="AR6" i="6"/>
  <c r="BN6" i="6"/>
  <c r="DN5" i="6"/>
  <c r="DP5" i="6"/>
  <c r="O6" i="6"/>
  <c r="BW5" i="6"/>
  <c r="O5" i="6"/>
  <c r="BU6" i="6"/>
  <c r="BN5" i="6"/>
  <c r="AR5" i="6"/>
  <c r="BA5" i="6"/>
  <c r="CD5" i="6"/>
  <c r="CF5" i="6"/>
  <c r="BL5" i="6"/>
  <c r="CD6" i="6"/>
  <c r="CO6" i="6"/>
  <c r="AQ6" i="6"/>
  <c r="AD6" i="6"/>
  <c r="AQ5" i="6"/>
  <c r="BA6" i="6"/>
  <c r="AY6" i="6"/>
  <c r="AB6" i="6"/>
  <c r="CM6" i="6"/>
  <c r="AB5" i="6"/>
  <c r="CV5" i="6"/>
  <c r="CX5" i="6"/>
  <c r="DP7" i="6"/>
  <c r="CO5" i="6"/>
  <c r="DE6" i="6"/>
  <c r="DE5" i="6"/>
  <c r="Q5" i="6"/>
  <c r="AY5" i="6"/>
  <c r="CF6" i="6"/>
  <c r="BL6" i="6"/>
  <c r="BL8" i="6"/>
  <c r="DE8" i="6"/>
  <c r="CM8" i="6"/>
  <c r="CM5" i="6"/>
  <c r="AD7" i="6"/>
  <c r="DE7" i="6"/>
  <c r="BU8" i="6"/>
  <c r="Q7" i="6"/>
  <c r="BW7" i="6"/>
  <c r="AB10" i="6"/>
  <c r="O7" i="6"/>
  <c r="DN8" i="6"/>
  <c r="CO7" i="6"/>
  <c r="CD7" i="6"/>
  <c r="CV7" i="6"/>
  <c r="CV6" i="6"/>
  <c r="AY8" i="6"/>
  <c r="DN7" i="6"/>
  <c r="AQ7" i="6"/>
  <c r="BN7" i="6"/>
  <c r="AB7" i="6"/>
  <c r="CM7" i="6"/>
  <c r="CD8" i="6"/>
  <c r="DN6" i="6"/>
  <c r="AY7" i="6"/>
  <c r="BL7" i="6"/>
  <c r="CF7" i="6"/>
  <c r="AQ8" i="6"/>
  <c r="O8" i="6"/>
  <c r="AD8" i="6"/>
  <c r="O9" i="6"/>
  <c r="AB8" i="6"/>
  <c r="DG8" i="6"/>
  <c r="BN8" i="6"/>
  <c r="AY9" i="6"/>
  <c r="CX7" i="6"/>
  <c r="Q8" i="6"/>
  <c r="BL10" i="6"/>
  <c r="CV8" i="6"/>
  <c r="CM10" i="6"/>
  <c r="BW8" i="6"/>
  <c r="CV10" i="6"/>
  <c r="BU9" i="6"/>
  <c r="DG7" i="6"/>
  <c r="DN10" i="6"/>
  <c r="BA7" i="6"/>
  <c r="AR11" i="6"/>
  <c r="AR10" i="6"/>
  <c r="CX10" i="6"/>
  <c r="CF10" i="6"/>
  <c r="BU10" i="6"/>
  <c r="DG11" i="6"/>
  <c r="BA8" i="6"/>
  <c r="CM9" i="6"/>
  <c r="AD10" i="6"/>
  <c r="AR8" i="6"/>
  <c r="DN9" i="6"/>
  <c r="BW10" i="6"/>
  <c r="CO10" i="6"/>
  <c r="AQ10" i="6"/>
  <c r="AB9" i="6"/>
  <c r="CV9" i="6"/>
  <c r="CD9" i="6"/>
  <c r="CF8" i="6"/>
  <c r="DG10" i="6"/>
  <c r="CD10" i="6"/>
  <c r="Q10" i="6"/>
  <c r="AY10" i="6"/>
  <c r="BN10" i="6"/>
  <c r="Q11" i="6"/>
  <c r="AD11" i="6"/>
  <c r="DE10" i="6"/>
  <c r="DP10" i="6"/>
  <c r="BW11" i="6"/>
  <c r="DN11" i="6"/>
  <c r="CM11" i="6"/>
  <c r="CX11" i="6"/>
  <c r="O11" i="6"/>
  <c r="DP11" i="6"/>
  <c r="BA10" i="6"/>
  <c r="BL11" i="6"/>
  <c r="O10" i="6"/>
  <c r="BN11" i="6"/>
  <c r="CF11" i="6"/>
  <c r="BA11" i="6"/>
  <c r="CO11" i="6"/>
  <c r="CD11" i="6"/>
  <c r="AB11" i="6"/>
  <c r="AQ11" i="6"/>
  <c r="DE11" i="6"/>
  <c r="CV11" i="6"/>
  <c r="AY11" i="6"/>
  <c r="BU11" i="6"/>
  <c r="AQ9" i="6"/>
  <c r="DE9" i="6"/>
  <c r="BL9" i="6"/>
  <c r="DI66" i="6"/>
  <c r="AY14" i="6"/>
  <c r="AD13" i="6"/>
  <c r="BU13" i="6"/>
  <c r="CD13" i="6"/>
  <c r="BW13" i="6"/>
  <c r="AY13" i="6"/>
  <c r="CV12" i="6"/>
  <c r="AR13" i="6"/>
  <c r="O12" i="6"/>
  <c r="AB13" i="6"/>
  <c r="DE12" i="6"/>
  <c r="AB14" i="6"/>
  <c r="CF14" i="6"/>
  <c r="CM13" i="6"/>
  <c r="O13" i="6"/>
  <c r="CM12" i="6"/>
  <c r="CV13" i="6"/>
  <c r="BA13" i="6"/>
  <c r="DN13" i="6"/>
  <c r="CM14" i="6"/>
  <c r="DE13" i="6"/>
  <c r="BW14" i="6"/>
  <c r="AB12" i="6"/>
  <c r="BU14" i="6"/>
  <c r="BL13" i="6"/>
  <c r="DE14" i="6"/>
  <c r="BU12" i="6"/>
  <c r="CX13" i="6"/>
  <c r="AQ13" i="6"/>
  <c r="DP13" i="6"/>
  <c r="CO13" i="6"/>
  <c r="DP14" i="6"/>
  <c r="AD14" i="6"/>
  <c r="CO14" i="6"/>
  <c r="CF13" i="6"/>
  <c r="DG13" i="6"/>
  <c r="DN14" i="6"/>
  <c r="BA14" i="6"/>
  <c r="BL12" i="6"/>
  <c r="Q13" i="6"/>
  <c r="AY12" i="6"/>
  <c r="BN13" i="6"/>
  <c r="AQ12" i="6"/>
  <c r="CX12" i="6"/>
  <c r="BN14" i="6"/>
  <c r="CX14" i="6"/>
  <c r="O14" i="6"/>
  <c r="CV14" i="6"/>
  <c r="AR14" i="6"/>
  <c r="Q14" i="6"/>
  <c r="DG14" i="6"/>
  <c r="AQ14" i="6"/>
  <c r="BL14" i="6"/>
  <c r="CD14" i="6"/>
  <c r="DN12" i="6"/>
  <c r="CD12" i="6"/>
  <c r="AR65" i="13"/>
  <c r="BD57" i="1"/>
  <c r="S9" i="6" l="1"/>
  <c r="M14" i="4"/>
  <c r="W14" i="4"/>
  <c r="BC9" i="6"/>
  <c r="AN14" i="13"/>
  <c r="BA14" i="13"/>
  <c r="AY13" i="9"/>
  <c r="BP13" i="9"/>
  <c r="BP9" i="6"/>
  <c r="BS14" i="13"/>
  <c r="N9" i="9"/>
  <c r="M6" i="9"/>
  <c r="BJ9" i="13"/>
  <c r="BP9" i="9"/>
  <c r="BP10" i="4"/>
  <c r="L9" i="8"/>
  <c r="BP11" i="9"/>
  <c r="BE66" i="4"/>
  <c r="BS10" i="13"/>
  <c r="Z14" i="12"/>
  <c r="N11" i="13"/>
  <c r="BM6" i="8"/>
  <c r="DH11" i="6"/>
  <c r="AI14" i="12"/>
  <c r="AY9" i="9"/>
  <c r="AJ10" i="4"/>
  <c r="L10" i="12"/>
  <c r="M9" i="9"/>
  <c r="AE13" i="6"/>
  <c r="BO6" i="4"/>
  <c r="Z11" i="12"/>
  <c r="U11" i="8"/>
  <c r="AZ10" i="8"/>
  <c r="AK8" i="4"/>
  <c r="M11" i="8"/>
  <c r="AL9" i="8"/>
  <c r="Z10" i="12"/>
  <c r="M11" i="13"/>
  <c r="CQ9" i="6"/>
  <c r="CH8" i="6"/>
  <c r="Q10" i="12"/>
  <c r="BX13" i="6"/>
  <c r="BO10" i="6"/>
  <c r="BY9" i="6"/>
  <c r="AW14" i="12"/>
  <c r="BM8" i="8"/>
  <c r="DI7" i="6"/>
  <c r="DR7" i="6"/>
  <c r="AI11" i="12"/>
  <c r="AE10" i="12"/>
  <c r="AK11" i="4"/>
  <c r="V6" i="4"/>
  <c r="BO11" i="9"/>
  <c r="CG7" i="6"/>
  <c r="W9" i="4"/>
  <c r="M11" i="9"/>
  <c r="AQ7" i="13"/>
  <c r="BB8" i="6"/>
  <c r="N9" i="13"/>
  <c r="BB13" i="6"/>
  <c r="M8" i="8"/>
  <c r="BP8" i="4"/>
  <c r="U11" i="12"/>
  <c r="V7" i="12"/>
  <c r="N14" i="13"/>
  <c r="N13" i="9"/>
  <c r="W11" i="4"/>
  <c r="CC13" i="9"/>
  <c r="V14" i="4"/>
  <c r="AY8" i="8"/>
  <c r="BO13" i="9"/>
  <c r="AQ10" i="13"/>
  <c r="AE14" i="6"/>
  <c r="AE7" i="6"/>
  <c r="L11" i="8"/>
  <c r="CY13" i="6"/>
  <c r="AE14" i="9"/>
  <c r="AD7" i="12"/>
  <c r="AE6" i="9"/>
  <c r="AZ6" i="13"/>
  <c r="AZ14" i="13"/>
  <c r="BO10" i="4"/>
  <c r="AF8" i="6"/>
  <c r="M8" i="4"/>
  <c r="M14" i="9"/>
  <c r="U13" i="8"/>
  <c r="S8" i="6"/>
  <c r="M13" i="8"/>
  <c r="AS9" i="6"/>
  <c r="BO6" i="6"/>
  <c r="W10" i="9"/>
  <c r="AD10" i="12"/>
  <c r="AZ8" i="12"/>
  <c r="P7" i="12"/>
  <c r="CB13" i="9"/>
  <c r="CQ7" i="6"/>
  <c r="AK14" i="4"/>
  <c r="AA8" i="13"/>
  <c r="CB10" i="9"/>
  <c r="BX6" i="6"/>
  <c r="CH6" i="6"/>
  <c r="DH14" i="6"/>
  <c r="CQ13" i="6"/>
  <c r="BL7" i="8"/>
  <c r="AA13" i="13"/>
  <c r="AX14" i="9"/>
  <c r="DR11" i="6"/>
  <c r="BO9" i="6"/>
  <c r="AW6" i="12"/>
  <c r="AF6" i="4"/>
  <c r="BI13" i="13"/>
  <c r="AR11" i="13"/>
  <c r="S11" i="6"/>
  <c r="L7" i="8"/>
  <c r="W7" i="4"/>
  <c r="AX10" i="9"/>
  <c r="BE7" i="13"/>
  <c r="AM6" i="13"/>
  <c r="BS6" i="13"/>
  <c r="AE13" i="4"/>
  <c r="AM6" i="8"/>
  <c r="L9" i="4"/>
  <c r="AN13" i="13"/>
  <c r="BA14" i="12"/>
  <c r="BD10" i="13"/>
  <c r="BP7" i="6"/>
  <c r="BO6" i="9"/>
  <c r="CP14" i="6"/>
  <c r="R13" i="6"/>
  <c r="AL8" i="8"/>
  <c r="BR14" i="13"/>
  <c r="BJ13" i="13"/>
  <c r="V13" i="8"/>
  <c r="L7" i="4"/>
  <c r="AS14" i="6"/>
  <c r="AY11" i="9"/>
  <c r="R10" i="6"/>
  <c r="BX9" i="6"/>
  <c r="AS7" i="6"/>
  <c r="BL9" i="8"/>
  <c r="CP10" i="6"/>
  <c r="DH8" i="6"/>
  <c r="DI6" i="6"/>
  <c r="BM13" i="8"/>
  <c r="W13" i="4"/>
  <c r="AY11" i="8"/>
  <c r="BM7" i="8"/>
  <c r="L11" i="4"/>
  <c r="U9" i="12"/>
  <c r="CC10" i="9"/>
  <c r="AL11" i="8"/>
  <c r="Z7" i="12"/>
  <c r="M9" i="13"/>
  <c r="AH11" i="12"/>
  <c r="AA10" i="13"/>
  <c r="M8" i="9"/>
  <c r="V6" i="9"/>
  <c r="Z9" i="13"/>
  <c r="BI6" i="13"/>
  <c r="AF10" i="6"/>
  <c r="M14" i="12"/>
  <c r="AY6" i="9"/>
  <c r="BI10" i="13"/>
  <c r="M7" i="13"/>
  <c r="AQ13" i="13"/>
  <c r="M6" i="4"/>
  <c r="W6" i="9"/>
  <c r="AT6" i="6"/>
  <c r="DH10" i="6"/>
  <c r="V11" i="12"/>
  <c r="AM11" i="12"/>
  <c r="CB9" i="9"/>
  <c r="BA10" i="13"/>
  <c r="L14" i="4"/>
  <c r="AZ14" i="8"/>
  <c r="L8" i="8"/>
  <c r="M9" i="8"/>
  <c r="BL6" i="8"/>
  <c r="AF11" i="4"/>
  <c r="BO9" i="4"/>
  <c r="U8" i="12"/>
  <c r="M6" i="12"/>
  <c r="CB8" i="9"/>
  <c r="CB6" i="9"/>
  <c r="CZ11" i="6"/>
  <c r="BC6" i="6"/>
  <c r="BM11" i="8"/>
  <c r="M14" i="8"/>
  <c r="BL11" i="8"/>
  <c r="V11" i="4"/>
  <c r="AK6" i="4"/>
  <c r="Q13" i="12"/>
  <c r="AR13" i="12"/>
  <c r="AD14" i="12"/>
  <c r="AR11" i="12"/>
  <c r="M11" i="12"/>
  <c r="AZ6" i="12"/>
  <c r="U6" i="12"/>
  <c r="AF11" i="9"/>
  <c r="V9" i="9"/>
  <c r="AF6" i="9"/>
  <c r="AJ14" i="4"/>
  <c r="CH10" i="6"/>
  <c r="AR9" i="12"/>
  <c r="BO13" i="6"/>
  <c r="DI8" i="6"/>
  <c r="DI13" i="6"/>
  <c r="U10" i="8"/>
  <c r="U14" i="8"/>
  <c r="AM9" i="8"/>
  <c r="Q7" i="12"/>
  <c r="N10" i="13"/>
  <c r="W11" i="9"/>
  <c r="AX8" i="9"/>
  <c r="AE7" i="9"/>
  <c r="AN10" i="13"/>
  <c r="CC9" i="9"/>
  <c r="AV14" i="12"/>
  <c r="AE11" i="9"/>
  <c r="AZ11" i="13"/>
  <c r="AM10" i="13"/>
  <c r="AM9" i="13"/>
  <c r="AZ7" i="13"/>
  <c r="V13" i="9"/>
  <c r="AY8" i="9"/>
  <c r="V8" i="8"/>
  <c r="V10" i="4"/>
  <c r="AE7" i="4"/>
  <c r="AF14" i="9"/>
  <c r="Y10" i="12"/>
  <c r="AD6" i="12"/>
  <c r="AE9" i="9"/>
  <c r="BR11" i="13"/>
  <c r="BI8" i="13"/>
  <c r="AA6" i="13"/>
  <c r="W14" i="9"/>
  <c r="Z13" i="13"/>
  <c r="AF8" i="9"/>
  <c r="AI7" i="12"/>
  <c r="BJ7" i="13"/>
  <c r="AN6" i="13"/>
  <c r="CB14" i="9"/>
  <c r="AY6" i="8"/>
  <c r="CY6" i="6"/>
  <c r="CY10" i="6"/>
  <c r="AE6" i="6"/>
  <c r="BY7" i="6"/>
  <c r="U8" i="8"/>
  <c r="M6" i="8"/>
  <c r="AE10" i="4"/>
  <c r="AI9" i="12"/>
  <c r="L7" i="12"/>
  <c r="AE14" i="4"/>
  <c r="DH13" i="6"/>
  <c r="CZ6" i="6"/>
  <c r="CG13" i="6"/>
  <c r="AE10" i="6"/>
  <c r="CP7" i="6"/>
  <c r="AM7" i="8"/>
  <c r="AK9" i="4"/>
  <c r="AY13" i="8"/>
  <c r="AV7" i="12"/>
  <c r="AQ8" i="13"/>
  <c r="BR9" i="13"/>
  <c r="BE6" i="13"/>
  <c r="BO14" i="9"/>
  <c r="M14" i="13"/>
  <c r="AZ8" i="8"/>
  <c r="AN14" i="12"/>
  <c r="AN11" i="12"/>
  <c r="CC7" i="9"/>
  <c r="BD8" i="13"/>
  <c r="AZ9" i="13"/>
  <c r="AM8" i="13"/>
  <c r="M10" i="4"/>
  <c r="BY13" i="6"/>
  <c r="DQ13" i="6"/>
  <c r="CQ14" i="6"/>
  <c r="CZ8" i="6"/>
  <c r="DQ9" i="6"/>
  <c r="AT8" i="6"/>
  <c r="BB10" i="6"/>
  <c r="BB7" i="6"/>
  <c r="BX8" i="6"/>
  <c r="V9" i="8"/>
  <c r="Q14" i="12"/>
  <c r="V11" i="9"/>
  <c r="BS11" i="13"/>
  <c r="BS8" i="13"/>
  <c r="AA7" i="13"/>
  <c r="V14" i="8"/>
  <c r="BP6" i="4"/>
  <c r="BL13" i="8"/>
  <c r="AH6" i="12"/>
  <c r="BO8" i="9"/>
  <c r="N6" i="13"/>
  <c r="AS6" i="6"/>
  <c r="BX14" i="6"/>
  <c r="AF7" i="6"/>
  <c r="BM9" i="8"/>
  <c r="W10" i="4"/>
  <c r="L10" i="4"/>
  <c r="AJ8" i="4"/>
  <c r="L13" i="8"/>
  <c r="Y14" i="12"/>
  <c r="AN10" i="12"/>
  <c r="AR7" i="12"/>
  <c r="AN7" i="12"/>
  <c r="BD6" i="13"/>
  <c r="BR6" i="13"/>
  <c r="DQ11" i="6"/>
  <c r="CG9" i="6"/>
  <c r="CZ13" i="6"/>
  <c r="BC14" i="6"/>
  <c r="BB14" i="6"/>
  <c r="BY11" i="6"/>
  <c r="CP8" i="6"/>
  <c r="CH7" i="6"/>
  <c r="BP6" i="6"/>
  <c r="AT13" i="6"/>
  <c r="AD12" i="4"/>
  <c r="AD13" i="4"/>
  <c r="AF14" i="4" s="1"/>
  <c r="AD9" i="4"/>
  <c r="AF10" i="4" s="1"/>
  <c r="BL10" i="8"/>
  <c r="M7" i="8"/>
  <c r="AJ6" i="4"/>
  <c r="AY14" i="8"/>
  <c r="AM8" i="8"/>
  <c r="BA13" i="13"/>
  <c r="AQ11" i="12"/>
  <c r="AW7" i="12"/>
  <c r="CC11" i="9"/>
  <c r="CC8" i="9"/>
  <c r="AT14" i="6"/>
  <c r="AS13" i="6"/>
  <c r="CY14" i="6"/>
  <c r="BY14" i="6"/>
  <c r="DQ10" i="6"/>
  <c r="BX10" i="6"/>
  <c r="AE8" i="6"/>
  <c r="BB6" i="6"/>
  <c r="BX7" i="6"/>
  <c r="AL7" i="8"/>
  <c r="BO8" i="4"/>
  <c r="AM13" i="8"/>
  <c r="AR14" i="12"/>
  <c r="BC12" i="13"/>
  <c r="BE13" i="13" s="1"/>
  <c r="BC8" i="13"/>
  <c r="BC9" i="13"/>
  <c r="BE10" i="13" s="1"/>
  <c r="AD9" i="12"/>
  <c r="Z6" i="12"/>
  <c r="AY10" i="9"/>
  <c r="V7" i="9"/>
  <c r="BR8" i="13"/>
  <c r="BS7" i="13"/>
  <c r="M13" i="9"/>
  <c r="AE13" i="9"/>
  <c r="BE14" i="13"/>
  <c r="BP14" i="6"/>
  <c r="BC11" i="6"/>
  <c r="AT9" i="6"/>
  <c r="CY11" i="6"/>
  <c r="BP8" i="6"/>
  <c r="S6" i="6"/>
  <c r="R6" i="6"/>
  <c r="AL10" i="8"/>
  <c r="V11" i="8"/>
  <c r="AY9" i="8"/>
  <c r="V6" i="8"/>
  <c r="AE11" i="4"/>
  <c r="AJ9" i="4"/>
  <c r="BP7" i="4"/>
  <c r="AR66" i="12"/>
  <c r="AN9" i="13"/>
  <c r="U13" i="12"/>
  <c r="AR10" i="12"/>
  <c r="Y6" i="12"/>
  <c r="AX11" i="9"/>
  <c r="BP6" i="9"/>
  <c r="BC10" i="6"/>
  <c r="CZ14" i="6"/>
  <c r="CG14" i="6"/>
  <c r="BP11" i="6"/>
  <c r="AF11" i="6"/>
  <c r="AS8" i="6"/>
  <c r="DH6" i="6"/>
  <c r="BY6" i="6"/>
  <c r="AU66" i="12"/>
  <c r="AW66" i="12" s="1"/>
  <c r="AX66" i="12"/>
  <c r="AZ66" i="12" s="1"/>
  <c r="AS12" i="12"/>
  <c r="AV13" i="12" s="1"/>
  <c r="AS8" i="12"/>
  <c r="AS9" i="12"/>
  <c r="AV10" i="12" s="1"/>
  <c r="V7" i="8"/>
  <c r="AE6" i="4"/>
  <c r="AL14" i="8"/>
  <c r="BY10" i="6"/>
  <c r="L14" i="12"/>
  <c r="AR8" i="12"/>
  <c r="BC13" i="6"/>
  <c r="DR14" i="6"/>
  <c r="CP13" i="6"/>
  <c r="DQ8" i="6"/>
  <c r="DH7" i="6"/>
  <c r="R7" i="6"/>
  <c r="AY7" i="12"/>
  <c r="AY9" i="12"/>
  <c r="BA10" i="12" s="1"/>
  <c r="AY8" i="12"/>
  <c r="AS10" i="4"/>
  <c r="BD10" i="4"/>
  <c r="W6" i="4"/>
  <c r="Z13" i="12"/>
  <c r="AF14" i="6"/>
  <c r="AZ9" i="8"/>
  <c r="AY7" i="8"/>
  <c r="V7" i="4"/>
  <c r="AP12" i="13"/>
  <c r="AR13" i="13" s="1"/>
  <c r="AP8" i="13"/>
  <c r="AP9" i="13"/>
  <c r="AR10" i="13" s="1"/>
  <c r="U14" i="12"/>
  <c r="AF13" i="9"/>
  <c r="AI10" i="12"/>
  <c r="AV6" i="12"/>
  <c r="N13" i="13"/>
  <c r="N8" i="13"/>
  <c r="A23" i="25"/>
  <c r="AM11" i="8"/>
  <c r="BB9" i="6"/>
  <c r="CQ6" i="6"/>
  <c r="DR6" i="6"/>
  <c r="S14" i="6"/>
  <c r="BO14" i="6"/>
  <c r="R14" i="6"/>
  <c r="CP11" i="6"/>
  <c r="CY7" i="6"/>
  <c r="DR8" i="6"/>
  <c r="DQ6" i="6"/>
  <c r="V10" i="8"/>
  <c r="U6" i="8"/>
  <c r="M11" i="4"/>
  <c r="AT7" i="4"/>
  <c r="BE7" i="4"/>
  <c r="BP9" i="4"/>
  <c r="AI8" i="12"/>
  <c r="T12" i="12"/>
  <c r="T13" i="12"/>
  <c r="V14" i="12" s="1"/>
  <c r="T8" i="12"/>
  <c r="V9" i="12" s="1"/>
  <c r="AQ10" i="12"/>
  <c r="BA11" i="13"/>
  <c r="Z11" i="13"/>
  <c r="AQ14" i="13"/>
  <c r="BD8" i="4"/>
  <c r="AS8" i="4"/>
  <c r="BO7" i="4"/>
  <c r="AT6" i="4"/>
  <c r="BE6" i="4"/>
  <c r="BM14" i="8"/>
  <c r="AI13" i="12"/>
  <c r="W12" i="12"/>
  <c r="Y13" i="12" s="1"/>
  <c r="W8" i="12"/>
  <c r="Y9" i="12" s="1"/>
  <c r="AD11" i="12"/>
  <c r="BD14" i="13"/>
  <c r="M13" i="4"/>
  <c r="CY9" i="6"/>
  <c r="CY8" i="6"/>
  <c r="BB11" i="6"/>
  <c r="BO11" i="6"/>
  <c r="CG8" i="6"/>
  <c r="AT7" i="6"/>
  <c r="BM10" i="8"/>
  <c r="AY10" i="8"/>
  <c r="AL6" i="8"/>
  <c r="AE9" i="4"/>
  <c r="AE8" i="4"/>
  <c r="AN6" i="12"/>
  <c r="N7" i="9"/>
  <c r="AK13" i="4"/>
  <c r="AZ13" i="8"/>
  <c r="CQ8" i="6"/>
  <c r="V9" i="4"/>
  <c r="W8" i="4"/>
  <c r="BP8" i="9"/>
  <c r="AR6" i="12"/>
  <c r="V6" i="12"/>
  <c r="Y7" i="12"/>
  <c r="AF10" i="9"/>
  <c r="AX9" i="9"/>
  <c r="AE8" i="9"/>
  <c r="BD7" i="13"/>
  <c r="V13" i="4"/>
  <c r="AJ7" i="4"/>
  <c r="AL13" i="8"/>
  <c r="BP10" i="6"/>
  <c r="L13" i="12"/>
  <c r="P11" i="12"/>
  <c r="AZ7" i="12"/>
  <c r="BO10" i="9"/>
  <c r="AR7" i="13"/>
  <c r="M8" i="13"/>
  <c r="AX13" i="9"/>
  <c r="R9" i="6"/>
  <c r="AF6" i="6"/>
  <c r="CG11" i="6"/>
  <c r="S7" i="6"/>
  <c r="BP13" i="6"/>
  <c r="BP7" i="9"/>
  <c r="AN13" i="12"/>
  <c r="Y11" i="12"/>
  <c r="L9" i="12"/>
  <c r="U7" i="12"/>
  <c r="V10" i="9"/>
  <c r="N6" i="9"/>
  <c r="V8" i="9"/>
  <c r="AN8" i="13"/>
  <c r="M6" i="13"/>
  <c r="DI11" i="6"/>
  <c r="BX11" i="6"/>
  <c r="R8" i="6"/>
  <c r="AT11" i="4"/>
  <c r="BE11" i="4"/>
  <c r="AS7" i="4"/>
  <c r="BD7" i="4"/>
  <c r="CZ10" i="6"/>
  <c r="DI14" i="6"/>
  <c r="CH9" i="6"/>
  <c r="CH11" i="6"/>
  <c r="DI9" i="6"/>
  <c r="AE11" i="6"/>
  <c r="BC7" i="6"/>
  <c r="CZ7" i="6"/>
  <c r="AK10" i="4"/>
  <c r="AZ11" i="8"/>
  <c r="AZ6" i="8"/>
  <c r="AJ11" i="4"/>
  <c r="L8" i="4"/>
  <c r="CZ9" i="6"/>
  <c r="BL14" i="8"/>
  <c r="Z9" i="12"/>
  <c r="BS9" i="13"/>
  <c r="Q8" i="12"/>
  <c r="V10" i="12"/>
  <c r="L8" i="12"/>
  <c r="BA6" i="12"/>
  <c r="N10" i="9"/>
  <c r="W7" i="9"/>
  <c r="CC6" i="9"/>
  <c r="BI11" i="13"/>
  <c r="AZ10" i="13"/>
  <c r="N7" i="13"/>
  <c r="Z6" i="13"/>
  <c r="BP14" i="9"/>
  <c r="M13" i="13"/>
  <c r="AS13" i="4"/>
  <c r="BD13" i="4"/>
  <c r="CH14" i="6"/>
  <c r="CG10" i="6"/>
  <c r="AE9" i="6"/>
  <c r="BY8" i="6"/>
  <c r="BL8" i="8"/>
  <c r="U7" i="8"/>
  <c r="BO11" i="4"/>
  <c r="AF8" i="4"/>
  <c r="AF7" i="4"/>
  <c r="L11" i="12"/>
  <c r="AD8" i="12"/>
  <c r="L6" i="12"/>
  <c r="M10" i="9"/>
  <c r="BD9" i="13"/>
  <c r="AM11" i="13"/>
  <c r="BJ11" i="13"/>
  <c r="BA6" i="13"/>
  <c r="BR7" i="13"/>
  <c r="AR14" i="13"/>
  <c r="AZ13" i="13"/>
  <c r="BP14" i="4"/>
  <c r="BO14" i="4"/>
  <c r="AS11" i="4"/>
  <c r="BD11" i="4"/>
  <c r="M9" i="4"/>
  <c r="M7" i="4"/>
  <c r="N8" i="9"/>
  <c r="K8" i="12"/>
  <c r="M8" i="12" s="1"/>
  <c r="K9" i="12"/>
  <c r="M10" i="12" s="1"/>
  <c r="BS13" i="13"/>
  <c r="AD13" i="12"/>
  <c r="AM14" i="12"/>
  <c r="AZ11" i="12"/>
  <c r="U10" i="12"/>
  <c r="AQ6" i="12"/>
  <c r="AH7" i="12"/>
  <c r="CB11" i="9"/>
  <c r="BO9" i="9"/>
  <c r="AX6" i="9"/>
  <c r="AQ9" i="13"/>
  <c r="BJ10" i="13"/>
  <c r="BI9" i="13"/>
  <c r="AR6" i="13"/>
  <c r="Z14" i="13"/>
  <c r="BJ14" i="13"/>
  <c r="AS10" i="6"/>
  <c r="AF9" i="6"/>
  <c r="CQ10" i="6"/>
  <c r="L6" i="8"/>
  <c r="AK7" i="4"/>
  <c r="N12" i="12"/>
  <c r="N8" i="12"/>
  <c r="N13" i="12"/>
  <c r="P14" i="12" s="1"/>
  <c r="N9" i="12"/>
  <c r="P10" i="12" s="1"/>
  <c r="AC6" i="12"/>
  <c r="AE7" i="12" s="1"/>
  <c r="AC12" i="12"/>
  <c r="AC8" i="12"/>
  <c r="AE9" i="12" s="1"/>
  <c r="AC13" i="12"/>
  <c r="AE14" i="12" s="1"/>
  <c r="AH14" i="12"/>
  <c r="BA11" i="12"/>
  <c r="BD11" i="13"/>
  <c r="BE11" i="13"/>
  <c r="Z8" i="13"/>
  <c r="AM14" i="13"/>
  <c r="L13" i="4"/>
  <c r="AW11" i="12"/>
  <c r="Q6" i="12"/>
  <c r="Z8" i="12"/>
  <c r="AX7" i="9"/>
  <c r="BA7" i="13"/>
  <c r="BR13" i="13"/>
  <c r="AM13" i="13"/>
  <c r="AS6" i="4"/>
  <c r="BD6" i="4"/>
  <c r="CH13" i="6"/>
  <c r="DR10" i="6"/>
  <c r="W9" i="9"/>
  <c r="BP13" i="4"/>
  <c r="BO13" i="4"/>
  <c r="AT11" i="6"/>
  <c r="CP6" i="6"/>
  <c r="M10" i="8"/>
  <c r="L10" i="8"/>
  <c r="BD9" i="4"/>
  <c r="AS9" i="4"/>
  <c r="L6" i="4"/>
  <c r="AF13" i="6"/>
  <c r="DR9" i="6"/>
  <c r="AQ14" i="12"/>
  <c r="W8" i="9"/>
  <c r="Q11" i="12"/>
  <c r="AV11" i="12"/>
  <c r="AM10" i="12"/>
  <c r="AI6" i="12"/>
  <c r="AF9" i="9"/>
  <c r="BO7" i="9"/>
  <c r="BR10" i="13"/>
  <c r="AQ6" i="13"/>
  <c r="BI7" i="13"/>
  <c r="N14" i="9"/>
  <c r="BI14" i="13"/>
  <c r="BO8" i="6"/>
  <c r="CP9" i="6"/>
  <c r="AR12" i="4"/>
  <c r="AR7" i="4"/>
  <c r="AR13" i="4"/>
  <c r="AO66" i="12"/>
  <c r="AL66" i="12"/>
  <c r="AL8" i="12" s="1"/>
  <c r="AN9" i="12" s="1"/>
  <c r="AJ6" i="12"/>
  <c r="AM7" i="12" s="1"/>
  <c r="AJ12" i="12"/>
  <c r="AM13" i="12" s="1"/>
  <c r="AJ8" i="12"/>
  <c r="AM9" i="12" s="1"/>
  <c r="DR13" i="6"/>
  <c r="W13" i="9"/>
  <c r="AE11" i="12"/>
  <c r="M7" i="12"/>
  <c r="AF7" i="9"/>
  <c r="AN11" i="13"/>
  <c r="AA11" i="13"/>
  <c r="BJ8" i="13"/>
  <c r="Z7" i="13"/>
  <c r="BD13" i="13"/>
  <c r="AS14" i="4"/>
  <c r="BD14" i="4"/>
  <c r="DH9" i="6"/>
  <c r="CG6" i="6"/>
  <c r="BC13" i="4"/>
  <c r="AT13" i="4" s="1"/>
  <c r="BC9" i="4"/>
  <c r="BE9" i="4" s="1"/>
  <c r="DI10" i="6"/>
  <c r="BP11" i="4"/>
  <c r="V8" i="4"/>
  <c r="AM10" i="8"/>
  <c r="Q9" i="12"/>
  <c r="BA13" i="12"/>
  <c r="M13" i="12"/>
  <c r="BA9" i="13"/>
  <c r="P6" i="12"/>
  <c r="N11" i="9"/>
  <c r="M7" i="9"/>
  <c r="AM7" i="13"/>
  <c r="V14" i="9"/>
  <c r="AJ13" i="4"/>
  <c r="DQ14" i="6"/>
  <c r="R11" i="6"/>
  <c r="AS11" i="6"/>
  <c r="BC8" i="6"/>
  <c r="DQ7" i="6"/>
  <c r="AT10" i="6"/>
  <c r="L14" i="8"/>
  <c r="AE10" i="9"/>
  <c r="AY7" i="9"/>
  <c r="AQ11" i="13"/>
  <c r="Z10" i="13"/>
  <c r="AZ8" i="13"/>
  <c r="BJ6" i="13"/>
  <c r="CC14" i="9"/>
  <c r="AA14" i="13"/>
  <c r="S10" i="6"/>
  <c r="AF12" i="12"/>
  <c r="AH13" i="12" s="1"/>
  <c r="AF8" i="12"/>
  <c r="AH8" i="12" s="1"/>
  <c r="AF9" i="12"/>
  <c r="AH10" i="12" s="1"/>
  <c r="CQ11" i="6"/>
  <c r="BO7" i="6"/>
  <c r="U9" i="8"/>
  <c r="AZ7" i="8"/>
  <c r="BE8" i="4"/>
  <c r="AT8" i="4"/>
  <c r="AM14" i="8"/>
  <c r="BA8" i="13"/>
  <c r="AV66" i="12"/>
  <c r="BP10" i="9"/>
  <c r="CB7" i="9"/>
  <c r="M10" i="13"/>
  <c r="AN7" i="13"/>
  <c r="AA9" i="13"/>
  <c r="AY14" i="9"/>
  <c r="S13" i="6"/>
  <c r="AF9" i="4" l="1"/>
  <c r="BE9" i="13"/>
  <c r="AN66" i="12"/>
  <c r="BA8" i="12"/>
  <c r="AT9" i="4"/>
  <c r="Y8" i="12"/>
  <c r="V8" i="12"/>
  <c r="P9" i="12"/>
  <c r="BE8" i="13"/>
  <c r="AR9" i="13"/>
  <c r="P8" i="12"/>
  <c r="AV9" i="12"/>
  <c r="AE8" i="12"/>
  <c r="AM6" i="12"/>
  <c r="AV8" i="12"/>
  <c r="AN8" i="12"/>
  <c r="V13" i="12"/>
  <c r="AM8" i="12"/>
  <c r="AR8" i="13"/>
  <c r="BA7" i="12"/>
  <c r="AE6" i="12"/>
  <c r="AO12" i="12"/>
  <c r="AQ13" i="12" s="1"/>
  <c r="AO7" i="12"/>
  <c r="AO8" i="12"/>
  <c r="AQ9" i="12" s="1"/>
  <c r="AH9" i="12"/>
  <c r="AX12" i="12"/>
  <c r="AX13" i="12"/>
  <c r="AZ14" i="12" s="1"/>
  <c r="AX9" i="12"/>
  <c r="AT10" i="4"/>
  <c r="BE10" i="4"/>
  <c r="AU12" i="12"/>
  <c r="AW13" i="12" s="1"/>
  <c r="AU8" i="12"/>
  <c r="AU9" i="12"/>
  <c r="AW10" i="12" s="1"/>
  <c r="AF13" i="4"/>
  <c r="AT14" i="4"/>
  <c r="BE14" i="4"/>
  <c r="BE13" i="4"/>
  <c r="AE13" i="12"/>
  <c r="AQ66" i="12"/>
  <c r="BA9" i="12"/>
  <c r="A24" i="25"/>
  <c r="P13" i="12"/>
  <c r="M9" i="12"/>
  <c r="BD56" i="1"/>
  <c r="AZ13" i="12" l="1"/>
  <c r="AW9" i="12"/>
  <c r="AW8" i="12"/>
  <c r="AQ8" i="12"/>
  <c r="AQ7" i="12"/>
  <c r="A25" i="25"/>
  <c r="AZ10" i="12"/>
  <c r="AZ9" i="12"/>
  <c r="A26" i="25" l="1"/>
  <c r="BD55" i="1"/>
  <c r="B26" i="25" l="1"/>
  <c r="A27" i="25"/>
  <c r="A28" i="25" l="1"/>
  <c r="B27" i="25"/>
  <c r="BD54" i="1"/>
  <c r="A29" i="25" l="1"/>
  <c r="A30" i="25" l="1"/>
  <c r="BD53" i="1"/>
  <c r="A31" i="25" l="1"/>
  <c r="A32" i="25" l="1"/>
  <c r="BD52" i="1"/>
  <c r="A33" i="25" l="1"/>
  <c r="B33" i="25" l="1"/>
  <c r="A34" i="25"/>
  <c r="BD51" i="1"/>
  <c r="A35" i="25" l="1"/>
  <c r="B34" i="25"/>
  <c r="A36" i="25" l="1"/>
  <c r="BD50" i="1"/>
  <c r="A37" i="25" l="1"/>
  <c r="A38" i="25" l="1"/>
  <c r="BD49" i="1"/>
  <c r="A39" i="25" l="1"/>
  <c r="A40" i="25" l="1"/>
  <c r="BD48" i="1"/>
  <c r="A41" i="25" l="1"/>
  <c r="B40" i="25"/>
  <c r="A42" i="25" l="1"/>
  <c r="B41" i="25"/>
  <c r="BD47" i="1"/>
  <c r="A43" i="25" l="1"/>
  <c r="A44" i="25" l="1"/>
  <c r="BD46" i="1"/>
  <c r="A45" i="25" l="1"/>
  <c r="A46" i="25" l="1"/>
  <c r="BD45" i="1"/>
  <c r="A47" i="25" l="1"/>
  <c r="B47" i="25" l="1"/>
  <c r="A48" i="25"/>
  <c r="BD44" i="1"/>
  <c r="A49" i="25" l="1"/>
  <c r="B48" i="25"/>
  <c r="A50" i="25" l="1"/>
  <c r="BD43" i="1"/>
  <c r="A51" i="25" l="1"/>
  <c r="A52" i="25" l="1"/>
  <c r="BD42" i="1"/>
  <c r="A53" i="25" l="1"/>
  <c r="A54" i="25" l="1"/>
  <c r="BD41" i="1"/>
  <c r="A55" i="25" l="1"/>
  <c r="B54" i="25"/>
  <c r="A56" i="25" l="1"/>
  <c r="B55" i="25"/>
  <c r="BD40" i="1" a="1"/>
  <c r="BD40" i="1" l="1"/>
  <c r="A57" i="25"/>
  <c r="B56" i="25"/>
  <c r="A58" i="25" l="1"/>
  <c r="B57" i="25"/>
  <c r="BD39" i="1" a="1"/>
  <c r="BD39" i="1" l="1"/>
  <c r="A59" i="25"/>
  <c r="B58" i="25"/>
  <c r="B59" i="25" l="1"/>
  <c r="A60" i="25"/>
  <c r="BD38" i="1" a="1"/>
  <c r="BD38" i="1" l="1"/>
  <c r="A61" i="25"/>
  <c r="B60" i="25"/>
  <c r="A62" i="25" l="1"/>
  <c r="B61" i="25"/>
  <c r="BD37" i="1" a="1"/>
  <c r="BD37" i="1" l="1"/>
  <c r="A63" i="25"/>
  <c r="B62" i="25"/>
  <c r="B63" i="25" l="1"/>
  <c r="A64" i="25"/>
  <c r="BD36" i="1" a="1"/>
  <c r="BD36" i="1" l="1"/>
  <c r="A65" i="25"/>
  <c r="B65" i="25" s="1"/>
  <c r="B64" i="25"/>
  <c r="BD35" i="1" a="1"/>
  <c r="BD35" i="1" l="1"/>
  <c r="BD34" i="1" a="1"/>
  <c r="BD34" i="1" l="1"/>
  <c r="BD33" i="1" a="1"/>
  <c r="BD33" i="1" l="1"/>
  <c r="BD32" i="1" a="1"/>
  <c r="BD32" i="1" l="1"/>
  <c r="BD31" i="1" a="1"/>
  <c r="BD31" i="1" l="1"/>
  <c r="BD30" i="1" a="1"/>
  <c r="BD30" i="1" l="1"/>
  <c r="BD29" i="1" a="1"/>
  <c r="BD29" i="1" l="1"/>
  <c r="BD28" i="1" a="1"/>
  <c r="BD28" i="1" l="1"/>
  <c r="BD27" i="1" a="1"/>
  <c r="BD27" i="1" l="1"/>
  <c r="BD26" i="1" a="1"/>
  <c r="BD26" i="1" l="1"/>
  <c r="BD25" i="1" a="1"/>
  <c r="BD25" i="1" l="1"/>
  <c r="BD24" i="1" a="1"/>
  <c r="BD24" i="1" l="1"/>
  <c r="BD23" i="1" a="1"/>
  <c r="BD23" i="1" l="1"/>
  <c r="BD22" i="1" a="1"/>
  <c r="BD22" i="1" l="1"/>
  <c r="BD21" i="1" a="1"/>
  <c r="BD21" i="1" l="1"/>
  <c r="BD20" i="1" a="1"/>
  <c r="BD20" i="1" l="1"/>
  <c r="HG20" i="1" l="1"/>
  <c r="HH20" i="1"/>
  <c r="EW19" i="1"/>
  <c r="DQ19" i="1"/>
  <c r="DM19" i="1"/>
  <c r="DI19" i="1"/>
  <c r="DE19" i="1"/>
  <c r="CS19" i="1"/>
  <c r="BD19" i="1" a="1"/>
  <c r="FE19" i="1" l="1"/>
  <c r="BD19" i="1"/>
  <c r="FG19" i="1"/>
  <c r="FI19" i="1"/>
  <c r="FK19" i="1"/>
  <c r="A19" i="1"/>
  <c r="M7" i="2" l="1"/>
  <c r="M3" i="2"/>
  <c r="P3" i="2" s="1"/>
  <c r="M6" i="2"/>
  <c r="P6" i="2" s="1"/>
  <c r="M4" i="2"/>
  <c r="P4" i="2" s="1"/>
  <c r="M5" i="2"/>
  <c r="P5" i="2" s="1"/>
  <c r="M2" i="2"/>
  <c r="P2" i="2" s="1"/>
  <c r="M9" i="2"/>
  <c r="P9" i="2" s="1"/>
  <c r="M8" i="2"/>
  <c r="A20" i="1"/>
  <c r="C19" i="1"/>
  <c r="D19" i="1"/>
  <c r="X19" i="1"/>
  <c r="Y19" i="1"/>
  <c r="AB19" i="1"/>
  <c r="AC19" i="1"/>
  <c r="B19" i="1"/>
  <c r="Z19" i="1"/>
  <c r="AA19" i="1"/>
  <c r="HG19" i="1"/>
  <c r="HH19" i="1"/>
  <c r="HE19" i="1"/>
  <c r="E19" i="1" l="1"/>
  <c r="A21" i="1"/>
  <c r="X20" i="1"/>
  <c r="AJ20" i="1" s="1"/>
  <c r="AG20" i="1"/>
  <c r="AD20" i="1"/>
  <c r="Z20" i="1"/>
  <c r="AL20" i="1" s="1"/>
  <c r="AI20" i="1"/>
  <c r="AF20" i="1"/>
  <c r="AC20" i="1"/>
  <c r="AO20" i="1" s="1"/>
  <c r="Y20" i="1"/>
  <c r="AK20" i="1" s="1"/>
  <c r="AH20" i="1"/>
  <c r="AB20" i="1"/>
  <c r="AN20" i="1" s="1"/>
  <c r="AE20" i="1"/>
  <c r="AA20" i="1"/>
  <c r="AM20" i="1" s="1"/>
  <c r="C20" i="1"/>
  <c r="D20" i="1"/>
  <c r="B20" i="1"/>
  <c r="AT20" i="1" l="1"/>
  <c r="AU20" i="1"/>
  <c r="AQ20" i="1"/>
  <c r="AP20" i="1"/>
  <c r="AR20" i="1"/>
  <c r="A22" i="1"/>
  <c r="X21" i="1"/>
  <c r="AJ21" i="1" s="1"/>
  <c r="AI21" i="1"/>
  <c r="AG21" i="1"/>
  <c r="AD21" i="1"/>
  <c r="Z21" i="1"/>
  <c r="AL21" i="1" s="1"/>
  <c r="AH21" i="1"/>
  <c r="AE21" i="1"/>
  <c r="AC21" i="1"/>
  <c r="AO21" i="1" s="1"/>
  <c r="AA21" i="1"/>
  <c r="AM21" i="1" s="1"/>
  <c r="AF21" i="1"/>
  <c r="AB21" i="1"/>
  <c r="AN21" i="1" s="1"/>
  <c r="Y21" i="1"/>
  <c r="AK21" i="1" s="1"/>
  <c r="D21" i="1"/>
  <c r="C21" i="1"/>
  <c r="B21" i="1"/>
  <c r="AS20" i="1"/>
  <c r="E20" i="1"/>
  <c r="P20" i="1"/>
  <c r="H20" i="1"/>
  <c r="W20" i="1" l="1"/>
  <c r="AQ21" i="1"/>
  <c r="AT21" i="1"/>
  <c r="AU21" i="1"/>
  <c r="AR21" i="1"/>
  <c r="AP21" i="1"/>
  <c r="A23" i="1"/>
  <c r="X22" i="1"/>
  <c r="AJ22" i="1" s="1"/>
  <c r="AH22" i="1"/>
  <c r="AE22" i="1"/>
  <c r="AC22" i="1"/>
  <c r="AO22" i="1" s="1"/>
  <c r="AA22" i="1"/>
  <c r="AM22" i="1" s="1"/>
  <c r="AI22" i="1"/>
  <c r="AG22" i="1"/>
  <c r="AF22" i="1"/>
  <c r="AB22" i="1"/>
  <c r="AN22" i="1" s="1"/>
  <c r="Z22" i="1"/>
  <c r="AL22" i="1" s="1"/>
  <c r="AD22" i="1"/>
  <c r="Y22" i="1"/>
  <c r="AK22" i="1" s="1"/>
  <c r="C22" i="1"/>
  <c r="D22" i="1"/>
  <c r="B22" i="1"/>
  <c r="AS21" i="1"/>
  <c r="E21" i="1"/>
  <c r="R21" i="1"/>
  <c r="N21" i="1"/>
  <c r="J21" i="1"/>
  <c r="H21" i="1"/>
  <c r="M21" i="1"/>
  <c r="Q21" i="1"/>
  <c r="T21" i="1"/>
  <c r="S21" i="1"/>
  <c r="P21" i="1"/>
  <c r="I21" i="1"/>
  <c r="F21" i="1"/>
  <c r="U21" i="1" l="1"/>
  <c r="W21" i="1"/>
  <c r="HA21" i="1"/>
  <c r="HE21" i="1" s="1"/>
  <c r="AQ22" i="1"/>
  <c r="AR22" i="1"/>
  <c r="AU22" i="1"/>
  <c r="AP22" i="1"/>
  <c r="AT22" i="1"/>
  <c r="AS22" i="1"/>
  <c r="A24" i="1"/>
  <c r="X23" i="1"/>
  <c r="AJ23" i="1" s="1"/>
  <c r="AI23" i="1"/>
  <c r="AG23" i="1"/>
  <c r="AD23" i="1"/>
  <c r="AH23" i="1"/>
  <c r="AE23" i="1"/>
  <c r="AC23" i="1"/>
  <c r="AO23" i="1" s="1"/>
  <c r="Z23" i="1"/>
  <c r="AL23" i="1" s="1"/>
  <c r="AF23" i="1"/>
  <c r="AA23" i="1"/>
  <c r="AM23" i="1" s="1"/>
  <c r="Y23" i="1"/>
  <c r="AK23" i="1" s="1"/>
  <c r="AB23" i="1"/>
  <c r="AN23" i="1" s="1"/>
  <c r="D23" i="1"/>
  <c r="C23" i="1"/>
  <c r="B23" i="1"/>
  <c r="E22" i="1"/>
  <c r="J22" i="1"/>
  <c r="Q22" i="1"/>
  <c r="N22" i="1"/>
  <c r="G22" i="1"/>
  <c r="S22" i="1"/>
  <c r="O22" i="1"/>
  <c r="I22" i="1"/>
  <c r="R22" i="1"/>
  <c r="H22" i="1"/>
  <c r="K22" i="1"/>
  <c r="L22" i="1"/>
  <c r="F22" i="1"/>
  <c r="M22" i="1"/>
  <c r="T22" i="1"/>
  <c r="P22" i="1"/>
  <c r="V22" i="1" l="1"/>
  <c r="W22" i="1"/>
  <c r="U22" i="1"/>
  <c r="HA22" i="1"/>
  <c r="HC22" i="1" s="1"/>
  <c r="HG22" i="1" s="1"/>
  <c r="AU23" i="1"/>
  <c r="AQ23" i="1"/>
  <c r="AT23" i="1"/>
  <c r="AR23" i="1"/>
  <c r="AP23" i="1"/>
  <c r="AS23" i="1"/>
  <c r="E23" i="1"/>
  <c r="A25" i="1"/>
  <c r="X24" i="1"/>
  <c r="AJ24" i="1" s="1"/>
  <c r="AH24" i="1"/>
  <c r="AE24" i="1"/>
  <c r="AC24" i="1"/>
  <c r="AO24" i="1" s="1"/>
  <c r="Z24" i="1"/>
  <c r="AL24" i="1" s="1"/>
  <c r="AI24" i="1"/>
  <c r="AF24" i="1"/>
  <c r="AD24" i="1"/>
  <c r="Y24" i="1"/>
  <c r="AK24" i="1" s="1"/>
  <c r="AG24" i="1"/>
  <c r="AA24" i="1"/>
  <c r="AM24" i="1" s="1"/>
  <c r="AB24" i="1"/>
  <c r="AN24" i="1" s="1"/>
  <c r="D24" i="1"/>
  <c r="C24" i="1"/>
  <c r="B24" i="1"/>
  <c r="J23" i="1"/>
  <c r="N23" i="1"/>
  <c r="R23" i="1"/>
  <c r="F23" i="1"/>
  <c r="L23" i="1"/>
  <c r="P23" i="1"/>
  <c r="H23" i="1"/>
  <c r="T23" i="1"/>
  <c r="G23" i="1"/>
  <c r="K23" i="1"/>
  <c r="I23" i="1"/>
  <c r="M23" i="1"/>
  <c r="O23" i="1"/>
  <c r="S23" i="1"/>
  <c r="Q23" i="1"/>
  <c r="V23" i="1" l="1"/>
  <c r="W23" i="1"/>
  <c r="U23" i="1"/>
  <c r="HA23" i="1"/>
  <c r="HC23" i="1" s="1"/>
  <c r="HG23" i="1" s="1"/>
  <c r="HE22" i="1"/>
  <c r="AT24" i="1"/>
  <c r="AQ24" i="1"/>
  <c r="AS24" i="1"/>
  <c r="AR24" i="1"/>
  <c r="AP24" i="1"/>
  <c r="E24" i="1"/>
  <c r="AU24" i="1"/>
  <c r="A26" i="1"/>
  <c r="X25" i="1"/>
  <c r="AJ25" i="1" s="1"/>
  <c r="AI25" i="1"/>
  <c r="AG25" i="1"/>
  <c r="AE25" i="1"/>
  <c r="AC25" i="1"/>
  <c r="AO25" i="1" s="1"/>
  <c r="AA25" i="1"/>
  <c r="AM25" i="1" s="1"/>
  <c r="AH25" i="1"/>
  <c r="AF25" i="1"/>
  <c r="AD25" i="1"/>
  <c r="Z25" i="1"/>
  <c r="AL25" i="1" s="1"/>
  <c r="AB25" i="1"/>
  <c r="AN25" i="1" s="1"/>
  <c r="Y25" i="1"/>
  <c r="AK25" i="1" s="1"/>
  <c r="C25" i="1"/>
  <c r="D25" i="1"/>
  <c r="B25" i="1"/>
  <c r="N24" i="1"/>
  <c r="F24" i="1"/>
  <c r="I24" i="1"/>
  <c r="T24" i="1"/>
  <c r="M24" i="1"/>
  <c r="P24" i="1"/>
  <c r="O24" i="1"/>
  <c r="G24" i="1"/>
  <c r="K24" i="1"/>
  <c r="L24" i="1"/>
  <c r="R24" i="1"/>
  <c r="Q24" i="1"/>
  <c r="J24" i="1"/>
  <c r="S24" i="1"/>
  <c r="H24" i="1"/>
  <c r="HE23" i="1" l="1"/>
  <c r="U24" i="1"/>
  <c r="W24" i="1"/>
  <c r="HA24" i="1"/>
  <c r="HC24" i="1" s="1"/>
  <c r="HG24" i="1" s="1"/>
  <c r="V24" i="1"/>
  <c r="AQ25" i="1"/>
  <c r="AU25" i="1"/>
  <c r="AR25" i="1"/>
  <c r="AS25" i="1"/>
  <c r="AT25" i="1"/>
  <c r="AP25" i="1"/>
  <c r="A27" i="1"/>
  <c r="X26" i="1"/>
  <c r="AJ26" i="1" s="1"/>
  <c r="AG26" i="1"/>
  <c r="AE26" i="1"/>
  <c r="Y26" i="1"/>
  <c r="AK26" i="1" s="1"/>
  <c r="AI26" i="1"/>
  <c r="AF26" i="1"/>
  <c r="AC26" i="1"/>
  <c r="AO26" i="1" s="1"/>
  <c r="Z26" i="1"/>
  <c r="AL26" i="1" s="1"/>
  <c r="AH26" i="1"/>
  <c r="AD26" i="1"/>
  <c r="AA26" i="1"/>
  <c r="AM26" i="1" s="1"/>
  <c r="AB26" i="1"/>
  <c r="AN26" i="1" s="1"/>
  <c r="D26" i="1"/>
  <c r="C26" i="1"/>
  <c r="B26" i="1"/>
  <c r="E25" i="1"/>
  <c r="AO16" i="1"/>
  <c r="AN16" i="1"/>
  <c r="AM16" i="1"/>
  <c r="AL16" i="1"/>
  <c r="AK16" i="1"/>
  <c r="AJ16" i="1"/>
  <c r="M16" i="1"/>
  <c r="L16" i="1"/>
  <c r="K16" i="1"/>
  <c r="J16" i="1"/>
  <c r="I16" i="1"/>
  <c r="H16" i="1"/>
  <c r="G16" i="1"/>
  <c r="F16" i="1"/>
  <c r="HF12" i="1"/>
  <c r="HF11" i="1"/>
  <c r="HF10" i="1"/>
  <c r="HF9" i="1"/>
  <c r="HF8" i="1"/>
  <c r="HF7" i="1"/>
  <c r="HF6" i="1"/>
  <c r="HF5" i="1"/>
  <c r="FS4" i="1"/>
  <c r="FQ4" i="1"/>
  <c r="FO4" i="1"/>
  <c r="FM4" i="1"/>
  <c r="FA4" i="1"/>
  <c r="ES4" i="1"/>
  <c r="EK4" i="1"/>
  <c r="EG4" i="1"/>
  <c r="EC4" i="1"/>
  <c r="DY4" i="1"/>
  <c r="DU4" i="1"/>
  <c r="CW4" i="1"/>
  <c r="CO4" i="1"/>
  <c r="CK4" i="1"/>
  <c r="CG4" i="1"/>
  <c r="CC4" i="1"/>
  <c r="BY4" i="1"/>
  <c r="A2" i="1"/>
  <c r="A1" i="1"/>
  <c r="F283" i="20"/>
  <c r="E283" i="20"/>
  <c r="C283" i="20"/>
  <c r="G283" i="20" s="1"/>
  <c r="F282" i="20"/>
  <c r="E282" i="20"/>
  <c r="C282" i="20"/>
  <c r="G282" i="20" s="1"/>
  <c r="F281" i="20"/>
  <c r="E281" i="20"/>
  <c r="C281" i="20"/>
  <c r="G281" i="20" s="1"/>
  <c r="F280" i="20"/>
  <c r="E280" i="20"/>
  <c r="C280" i="20"/>
  <c r="G280" i="20" s="1"/>
  <c r="F279" i="20"/>
  <c r="E279" i="20"/>
  <c r="C279" i="20"/>
  <c r="G279" i="20" s="1"/>
  <c r="F278" i="20"/>
  <c r="E278" i="20"/>
  <c r="C278" i="20"/>
  <c r="G278" i="20" s="1"/>
  <c r="F277" i="20"/>
  <c r="E277" i="20"/>
  <c r="C277" i="20"/>
  <c r="G277" i="20" s="1"/>
  <c r="F276" i="20"/>
  <c r="E276" i="20"/>
  <c r="C276" i="20"/>
  <c r="G276" i="20" s="1"/>
  <c r="F275" i="20"/>
  <c r="E275" i="20"/>
  <c r="C275" i="20"/>
  <c r="G275" i="20" s="1"/>
  <c r="F274" i="20"/>
  <c r="E274" i="20"/>
  <c r="C274" i="20"/>
  <c r="G274" i="20" s="1"/>
  <c r="F273" i="20"/>
  <c r="E273" i="20"/>
  <c r="C273" i="20"/>
  <c r="G273" i="20" s="1"/>
  <c r="F272" i="20"/>
  <c r="E272" i="20"/>
  <c r="C272" i="20"/>
  <c r="G272" i="20" s="1"/>
  <c r="F271" i="20"/>
  <c r="E271" i="20"/>
  <c r="C271" i="20"/>
  <c r="G271" i="20" s="1"/>
  <c r="F270" i="20"/>
  <c r="E270" i="20"/>
  <c r="C270" i="20"/>
  <c r="G270" i="20" s="1"/>
  <c r="F269" i="20"/>
  <c r="E269" i="20"/>
  <c r="C269" i="20"/>
  <c r="G269" i="20" s="1"/>
  <c r="F268" i="20"/>
  <c r="E268" i="20"/>
  <c r="C268" i="20"/>
  <c r="G268" i="20" s="1"/>
  <c r="F267" i="20"/>
  <c r="E267" i="20"/>
  <c r="C267" i="20"/>
  <c r="G267" i="20" s="1"/>
  <c r="F266" i="20"/>
  <c r="E266" i="20"/>
  <c r="C266" i="20"/>
  <c r="G266" i="20" s="1"/>
  <c r="F265" i="20"/>
  <c r="E265" i="20"/>
  <c r="C265" i="20"/>
  <c r="G265" i="20" s="1"/>
  <c r="G264" i="20"/>
  <c r="F264" i="20"/>
  <c r="K264" i="20" s="1"/>
  <c r="E264" i="20"/>
  <c r="C264" i="20"/>
  <c r="F263" i="20"/>
  <c r="E263" i="20"/>
  <c r="C263" i="20"/>
  <c r="G263" i="20" s="1"/>
  <c r="F262" i="20"/>
  <c r="E262" i="20"/>
  <c r="C262" i="20"/>
  <c r="G262" i="20" s="1"/>
  <c r="F261" i="20"/>
  <c r="E261" i="20"/>
  <c r="C261" i="20"/>
  <c r="G261" i="20" s="1"/>
  <c r="F260" i="20"/>
  <c r="E260" i="20"/>
  <c r="C260" i="20"/>
  <c r="G260" i="20" s="1"/>
  <c r="F259" i="20"/>
  <c r="E259" i="20"/>
  <c r="C259" i="20"/>
  <c r="G259" i="20" s="1"/>
  <c r="F258" i="20"/>
  <c r="E258" i="20"/>
  <c r="C258" i="20"/>
  <c r="G258" i="20" s="1"/>
  <c r="F257" i="20"/>
  <c r="E257" i="20"/>
  <c r="C257" i="20"/>
  <c r="G257" i="20" s="1"/>
  <c r="F256" i="20"/>
  <c r="E256" i="20"/>
  <c r="C256" i="20"/>
  <c r="G256" i="20" s="1"/>
  <c r="F255" i="20"/>
  <c r="E255" i="20"/>
  <c r="C255" i="20"/>
  <c r="G255" i="20" s="1"/>
  <c r="F254" i="20"/>
  <c r="E254" i="20"/>
  <c r="C254" i="20"/>
  <c r="G254" i="20" s="1"/>
  <c r="F253" i="20"/>
  <c r="E253" i="20"/>
  <c r="C253" i="20"/>
  <c r="G253" i="20" s="1"/>
  <c r="F252" i="20"/>
  <c r="E252" i="20"/>
  <c r="C252" i="20"/>
  <c r="G252" i="20" s="1"/>
  <c r="F251" i="20"/>
  <c r="E251" i="20"/>
  <c r="C251" i="20"/>
  <c r="G251" i="20" s="1"/>
  <c r="F250" i="20"/>
  <c r="E250" i="20"/>
  <c r="C250" i="20"/>
  <c r="G250" i="20" s="1"/>
  <c r="F249" i="20"/>
  <c r="E249" i="20"/>
  <c r="C249" i="20"/>
  <c r="G249" i="20" s="1"/>
  <c r="F248" i="20"/>
  <c r="E248" i="20"/>
  <c r="C248" i="20"/>
  <c r="G248" i="20" s="1"/>
  <c r="F247" i="20"/>
  <c r="E247" i="20"/>
  <c r="C247" i="20"/>
  <c r="G247" i="20" s="1"/>
  <c r="F246" i="20"/>
  <c r="E246" i="20"/>
  <c r="C246" i="20"/>
  <c r="G246" i="20" s="1"/>
  <c r="F245" i="20"/>
  <c r="E245" i="20"/>
  <c r="C245" i="20"/>
  <c r="G245" i="20" s="1"/>
  <c r="F244" i="20"/>
  <c r="E244" i="20"/>
  <c r="C244" i="20"/>
  <c r="G244" i="20" s="1"/>
  <c r="F243" i="20"/>
  <c r="E243" i="20"/>
  <c r="C243" i="20"/>
  <c r="G243" i="20" s="1"/>
  <c r="F242" i="20"/>
  <c r="E242" i="20"/>
  <c r="C242" i="20"/>
  <c r="G242" i="20" s="1"/>
  <c r="F241" i="20"/>
  <c r="E241" i="20"/>
  <c r="C241" i="20"/>
  <c r="G241" i="20" s="1"/>
  <c r="F240" i="20"/>
  <c r="E240" i="20"/>
  <c r="C240" i="20"/>
  <c r="G240" i="20" s="1"/>
  <c r="F239" i="20"/>
  <c r="E239" i="20"/>
  <c r="C239" i="20"/>
  <c r="G239" i="20" s="1"/>
  <c r="F238" i="20"/>
  <c r="E238" i="20"/>
  <c r="C238" i="20"/>
  <c r="G238" i="20" s="1"/>
  <c r="F237" i="20"/>
  <c r="E237" i="20"/>
  <c r="C237" i="20"/>
  <c r="G237" i="20" s="1"/>
  <c r="F236" i="20"/>
  <c r="E236" i="20"/>
  <c r="C236" i="20"/>
  <c r="G236" i="20" s="1"/>
  <c r="F235" i="20"/>
  <c r="E235" i="20"/>
  <c r="C235" i="20"/>
  <c r="G235" i="20" s="1"/>
  <c r="F234" i="20"/>
  <c r="E234" i="20"/>
  <c r="C234" i="20"/>
  <c r="G234" i="20" s="1"/>
  <c r="F233" i="20"/>
  <c r="E233" i="20"/>
  <c r="C233" i="20"/>
  <c r="G233" i="20" s="1"/>
  <c r="F232" i="20"/>
  <c r="E232" i="20"/>
  <c r="C232" i="20"/>
  <c r="G232" i="20" s="1"/>
  <c r="F231" i="20"/>
  <c r="E231" i="20"/>
  <c r="C231" i="20"/>
  <c r="G231" i="20" s="1"/>
  <c r="F230" i="20"/>
  <c r="E230" i="20"/>
  <c r="C230" i="20"/>
  <c r="G230" i="20" s="1"/>
  <c r="F229" i="20"/>
  <c r="E229" i="20"/>
  <c r="C229" i="20"/>
  <c r="G229" i="20" s="1"/>
  <c r="F228" i="20"/>
  <c r="E228" i="20"/>
  <c r="C228" i="20"/>
  <c r="G228" i="20" s="1"/>
  <c r="F227" i="20"/>
  <c r="E227" i="20"/>
  <c r="C227" i="20"/>
  <c r="G227" i="20" s="1"/>
  <c r="F226" i="20"/>
  <c r="E226" i="20"/>
  <c r="C226" i="20"/>
  <c r="G226" i="20" s="1"/>
  <c r="F225" i="20"/>
  <c r="E225" i="20"/>
  <c r="C225" i="20"/>
  <c r="G225" i="20" s="1"/>
  <c r="F224" i="20"/>
  <c r="E224" i="20"/>
  <c r="C224" i="20"/>
  <c r="G224" i="20" s="1"/>
  <c r="F223" i="20"/>
  <c r="E223" i="20"/>
  <c r="C223" i="20"/>
  <c r="G223" i="20" s="1"/>
  <c r="F222" i="20"/>
  <c r="E222" i="20"/>
  <c r="C222" i="20"/>
  <c r="G222" i="20" s="1"/>
  <c r="F221" i="20"/>
  <c r="E221" i="20"/>
  <c r="C221" i="20"/>
  <c r="G221" i="20" s="1"/>
  <c r="F220" i="20"/>
  <c r="E220" i="20"/>
  <c r="C220" i="20"/>
  <c r="G220" i="20" s="1"/>
  <c r="F219" i="20"/>
  <c r="E219" i="20"/>
  <c r="C219" i="20"/>
  <c r="G219" i="20" s="1"/>
  <c r="F218" i="20"/>
  <c r="E218" i="20"/>
  <c r="C218" i="20"/>
  <c r="G218" i="20" s="1"/>
  <c r="F217" i="20"/>
  <c r="E217" i="20"/>
  <c r="C217" i="20"/>
  <c r="G217" i="20" s="1"/>
  <c r="F216" i="20"/>
  <c r="E216" i="20"/>
  <c r="C216" i="20"/>
  <c r="G216" i="20" s="1"/>
  <c r="F215" i="20"/>
  <c r="E215" i="20"/>
  <c r="C215" i="20"/>
  <c r="G215" i="20" s="1"/>
  <c r="F214" i="20"/>
  <c r="E214" i="20"/>
  <c r="C214" i="20"/>
  <c r="G214" i="20" s="1"/>
  <c r="F213" i="20"/>
  <c r="E213" i="20"/>
  <c r="C213" i="20"/>
  <c r="G213" i="20" s="1"/>
  <c r="F212" i="20"/>
  <c r="E212" i="20"/>
  <c r="C212" i="20"/>
  <c r="G212" i="20" s="1"/>
  <c r="F211" i="20"/>
  <c r="E211" i="20"/>
  <c r="C211" i="20"/>
  <c r="G211" i="20" s="1"/>
  <c r="F210" i="20"/>
  <c r="E210" i="20"/>
  <c r="C210" i="20"/>
  <c r="G210" i="20" s="1"/>
  <c r="F209" i="20"/>
  <c r="E209" i="20"/>
  <c r="C209" i="20"/>
  <c r="G209" i="20" s="1"/>
  <c r="F208" i="20"/>
  <c r="E208" i="20"/>
  <c r="C208" i="20"/>
  <c r="G208" i="20" s="1"/>
  <c r="F207" i="20"/>
  <c r="E207" i="20"/>
  <c r="C207" i="20"/>
  <c r="G207" i="20" s="1"/>
  <c r="F206" i="20"/>
  <c r="E206" i="20"/>
  <c r="C206" i="20"/>
  <c r="G206" i="20" s="1"/>
  <c r="F205" i="20"/>
  <c r="E205" i="20"/>
  <c r="C205" i="20"/>
  <c r="G205" i="20" s="1"/>
  <c r="F204" i="20"/>
  <c r="E204" i="20"/>
  <c r="C204" i="20"/>
  <c r="G204" i="20" s="1"/>
  <c r="F203" i="20"/>
  <c r="E203" i="20"/>
  <c r="C203" i="20"/>
  <c r="G203" i="20" s="1"/>
  <c r="F202" i="20"/>
  <c r="E202" i="20"/>
  <c r="C202" i="20"/>
  <c r="G202" i="20" s="1"/>
  <c r="F201" i="20"/>
  <c r="E201" i="20"/>
  <c r="C201" i="20"/>
  <c r="G201" i="20" s="1"/>
  <c r="F200" i="20"/>
  <c r="E200" i="20"/>
  <c r="C200" i="20"/>
  <c r="G200" i="20" s="1"/>
  <c r="F199" i="20"/>
  <c r="E199" i="20"/>
  <c r="C199" i="20"/>
  <c r="G199" i="20" s="1"/>
  <c r="F198" i="20"/>
  <c r="E198" i="20"/>
  <c r="C198" i="20"/>
  <c r="G198" i="20" s="1"/>
  <c r="F197" i="20"/>
  <c r="E197" i="20"/>
  <c r="C197" i="20"/>
  <c r="G197" i="20" s="1"/>
  <c r="F196" i="20"/>
  <c r="E196" i="20"/>
  <c r="C196" i="20"/>
  <c r="G196" i="20" s="1"/>
  <c r="F195" i="20"/>
  <c r="E195" i="20"/>
  <c r="C195" i="20"/>
  <c r="G195" i="20" s="1"/>
  <c r="F194" i="20"/>
  <c r="E194" i="20"/>
  <c r="C194" i="20"/>
  <c r="G194" i="20" s="1"/>
  <c r="F193" i="20"/>
  <c r="E193" i="20"/>
  <c r="C193" i="20"/>
  <c r="G193" i="20" s="1"/>
  <c r="F192" i="20"/>
  <c r="E192" i="20"/>
  <c r="C192" i="20"/>
  <c r="G192" i="20" s="1"/>
  <c r="F191" i="20"/>
  <c r="E191" i="20"/>
  <c r="C191" i="20"/>
  <c r="G191" i="20" s="1"/>
  <c r="F190" i="20"/>
  <c r="E190" i="20"/>
  <c r="C190" i="20"/>
  <c r="G190" i="20" s="1"/>
  <c r="F189" i="20"/>
  <c r="E189" i="20"/>
  <c r="C189" i="20"/>
  <c r="G189" i="20" s="1"/>
  <c r="F188" i="20"/>
  <c r="E188" i="20"/>
  <c r="C188" i="20"/>
  <c r="G188" i="20" s="1"/>
  <c r="F187" i="20"/>
  <c r="E187" i="20"/>
  <c r="C187" i="20"/>
  <c r="G187" i="20" s="1"/>
  <c r="F186" i="20"/>
  <c r="E186" i="20"/>
  <c r="C186" i="20"/>
  <c r="G186" i="20" s="1"/>
  <c r="F185" i="20"/>
  <c r="E185" i="20"/>
  <c r="C185" i="20"/>
  <c r="G185" i="20" s="1"/>
  <c r="F184" i="20"/>
  <c r="E184" i="20"/>
  <c r="C184" i="20"/>
  <c r="G184" i="20" s="1"/>
  <c r="F183" i="20"/>
  <c r="E183" i="20"/>
  <c r="C183" i="20"/>
  <c r="G183" i="20" s="1"/>
  <c r="F182" i="20"/>
  <c r="E182" i="20"/>
  <c r="C182" i="20"/>
  <c r="G182" i="20" s="1"/>
  <c r="F181" i="20"/>
  <c r="E181" i="20"/>
  <c r="C181" i="20"/>
  <c r="G181" i="20" s="1"/>
  <c r="F180" i="20"/>
  <c r="E180" i="20"/>
  <c r="C180" i="20"/>
  <c r="G180" i="20" s="1"/>
  <c r="F179" i="20"/>
  <c r="E179" i="20"/>
  <c r="C179" i="20"/>
  <c r="G179" i="20" s="1"/>
  <c r="F178" i="20"/>
  <c r="E178" i="20"/>
  <c r="C178" i="20"/>
  <c r="G178" i="20" s="1"/>
  <c r="F177" i="20"/>
  <c r="E177" i="20"/>
  <c r="C177" i="20"/>
  <c r="G177" i="20" s="1"/>
  <c r="F176" i="20"/>
  <c r="E176" i="20"/>
  <c r="C176" i="20"/>
  <c r="G176" i="20" s="1"/>
  <c r="F175" i="20"/>
  <c r="E175" i="20"/>
  <c r="C175" i="20"/>
  <c r="G175" i="20" s="1"/>
  <c r="F174" i="20"/>
  <c r="E174" i="20"/>
  <c r="C174" i="20"/>
  <c r="G174" i="20" s="1"/>
  <c r="F173" i="20"/>
  <c r="E173" i="20"/>
  <c r="C173" i="20"/>
  <c r="G173" i="20" s="1"/>
  <c r="F172" i="20"/>
  <c r="E172" i="20"/>
  <c r="C172" i="20"/>
  <c r="G172" i="20" s="1"/>
  <c r="F171" i="20"/>
  <c r="E171" i="20"/>
  <c r="C171" i="20"/>
  <c r="G171" i="20" s="1"/>
  <c r="F170" i="20"/>
  <c r="E170" i="20"/>
  <c r="C170" i="20"/>
  <c r="G170" i="20" s="1"/>
  <c r="F169" i="20"/>
  <c r="E169" i="20"/>
  <c r="C169" i="20"/>
  <c r="G169" i="20" s="1"/>
  <c r="F168" i="20"/>
  <c r="E168" i="20"/>
  <c r="C168" i="20"/>
  <c r="G168" i="20" s="1"/>
  <c r="F167" i="20"/>
  <c r="E167" i="20"/>
  <c r="C167" i="20"/>
  <c r="G167" i="20" s="1"/>
  <c r="F166" i="20"/>
  <c r="E166" i="20"/>
  <c r="C166" i="20"/>
  <c r="G166" i="20" s="1"/>
  <c r="F165" i="20"/>
  <c r="E165" i="20"/>
  <c r="C165" i="20"/>
  <c r="G165" i="20" s="1"/>
  <c r="F164" i="20"/>
  <c r="E164" i="20"/>
  <c r="C164" i="20"/>
  <c r="G164" i="20" s="1"/>
  <c r="F163" i="20"/>
  <c r="E163" i="20"/>
  <c r="C163" i="20"/>
  <c r="G163" i="20" s="1"/>
  <c r="F162" i="20"/>
  <c r="E162" i="20"/>
  <c r="C162" i="20"/>
  <c r="G162" i="20" s="1"/>
  <c r="F161" i="20"/>
  <c r="E161" i="20"/>
  <c r="C161" i="20"/>
  <c r="G161" i="20" s="1"/>
  <c r="F160" i="20"/>
  <c r="E160" i="20"/>
  <c r="C160" i="20"/>
  <c r="G160" i="20" s="1"/>
  <c r="K159" i="20"/>
  <c r="G159" i="20"/>
  <c r="D159" i="20"/>
  <c r="M159" i="20" s="1"/>
  <c r="K158" i="20"/>
  <c r="G158" i="20"/>
  <c r="D158" i="20"/>
  <c r="M158" i="20" s="1"/>
  <c r="K157" i="20"/>
  <c r="G157" i="20"/>
  <c r="D157" i="20"/>
  <c r="K156" i="20"/>
  <c r="G156" i="20"/>
  <c r="D156" i="20"/>
  <c r="M156" i="20" s="1"/>
  <c r="K155" i="20"/>
  <c r="G155" i="20"/>
  <c r="D155" i="20"/>
  <c r="M155" i="20" s="1"/>
  <c r="K154" i="20"/>
  <c r="G154" i="20"/>
  <c r="D154" i="20"/>
  <c r="K153" i="20"/>
  <c r="G153" i="20"/>
  <c r="D153" i="20"/>
  <c r="J153" i="20" s="1"/>
  <c r="K152" i="20"/>
  <c r="G152" i="20"/>
  <c r="D152" i="20"/>
  <c r="M152" i="20" s="1"/>
  <c r="K151" i="20"/>
  <c r="G151" i="20"/>
  <c r="D151" i="20"/>
  <c r="K150" i="20"/>
  <c r="G150" i="20"/>
  <c r="D150" i="20"/>
  <c r="M150" i="20" s="1"/>
  <c r="K149" i="20"/>
  <c r="G149" i="20"/>
  <c r="D149" i="20"/>
  <c r="M149" i="20" s="1"/>
  <c r="K148" i="20"/>
  <c r="G148" i="20"/>
  <c r="D148" i="20"/>
  <c r="K147" i="20"/>
  <c r="G147" i="20"/>
  <c r="D147" i="20"/>
  <c r="K146" i="20"/>
  <c r="G146" i="20"/>
  <c r="D146" i="20"/>
  <c r="M146" i="20" s="1"/>
  <c r="K145" i="20"/>
  <c r="G145" i="20"/>
  <c r="D145" i="20"/>
  <c r="M145" i="20" s="1"/>
  <c r="K144" i="20"/>
  <c r="G144" i="20"/>
  <c r="D144" i="20"/>
  <c r="M144" i="20" s="1"/>
  <c r="K143" i="20"/>
  <c r="G143" i="20"/>
  <c r="D143" i="20"/>
  <c r="M143" i="20" s="1"/>
  <c r="K142" i="20"/>
  <c r="G142" i="20"/>
  <c r="D142" i="20"/>
  <c r="M142" i="20" s="1"/>
  <c r="G141" i="20"/>
  <c r="F141" i="20"/>
  <c r="E141" i="20"/>
  <c r="G140" i="20"/>
  <c r="F140" i="20"/>
  <c r="E140" i="20"/>
  <c r="K139" i="20"/>
  <c r="G139" i="20"/>
  <c r="D139" i="20"/>
  <c r="K138" i="20"/>
  <c r="G138" i="20"/>
  <c r="D138" i="20"/>
  <c r="J138" i="20" s="1"/>
  <c r="K137" i="20"/>
  <c r="G137" i="20"/>
  <c r="D137" i="20"/>
  <c r="K136" i="20"/>
  <c r="G136" i="20"/>
  <c r="D136" i="20"/>
  <c r="K135" i="20"/>
  <c r="G135" i="20"/>
  <c r="D135" i="20"/>
  <c r="J135" i="20" s="1"/>
  <c r="K134" i="20"/>
  <c r="G134" i="20"/>
  <c r="D134" i="20"/>
  <c r="K133" i="20"/>
  <c r="G133" i="20"/>
  <c r="D133" i="20"/>
  <c r="K132" i="20"/>
  <c r="G132" i="20"/>
  <c r="D132" i="20"/>
  <c r="J132" i="20" s="1"/>
  <c r="K131" i="20"/>
  <c r="G131" i="20"/>
  <c r="D131" i="20"/>
  <c r="K130" i="20"/>
  <c r="G130" i="20"/>
  <c r="D130" i="20"/>
  <c r="K129" i="20"/>
  <c r="G129" i="20"/>
  <c r="D129" i="20"/>
  <c r="J129" i="20" s="1"/>
  <c r="K128" i="20"/>
  <c r="G128" i="20"/>
  <c r="D128" i="20"/>
  <c r="M128" i="20" s="1"/>
  <c r="K127" i="20"/>
  <c r="G127" i="20"/>
  <c r="D127" i="20"/>
  <c r="K126" i="20"/>
  <c r="G126" i="20"/>
  <c r="D126" i="20"/>
  <c r="J126" i="20" s="1"/>
  <c r="K125" i="20"/>
  <c r="G125" i="20"/>
  <c r="D125" i="20"/>
  <c r="M125" i="20" s="1"/>
  <c r="K124" i="20"/>
  <c r="G124" i="20"/>
  <c r="D124" i="20"/>
  <c r="K123" i="20"/>
  <c r="G123" i="20"/>
  <c r="D123" i="20"/>
  <c r="J123" i="20" s="1"/>
  <c r="K122" i="20"/>
  <c r="G122" i="20"/>
  <c r="D122" i="20"/>
  <c r="M122" i="20" s="1"/>
  <c r="K121" i="20"/>
  <c r="G121" i="20"/>
  <c r="D121" i="20"/>
  <c r="K120" i="20"/>
  <c r="G120" i="20"/>
  <c r="D120" i="20"/>
  <c r="J120" i="20" s="1"/>
  <c r="K119" i="20"/>
  <c r="G119" i="20"/>
  <c r="D119" i="20"/>
  <c r="M119" i="20" s="1"/>
  <c r="K118" i="20"/>
  <c r="G118" i="20"/>
  <c r="D118" i="20"/>
  <c r="K117" i="20"/>
  <c r="G117" i="20"/>
  <c r="D117" i="20"/>
  <c r="J117" i="20" s="1"/>
  <c r="K116" i="20"/>
  <c r="G116" i="20"/>
  <c r="D116" i="20"/>
  <c r="M116" i="20" s="1"/>
  <c r="K115" i="20"/>
  <c r="G115" i="20"/>
  <c r="D115" i="20"/>
  <c r="K114" i="20"/>
  <c r="G114" i="20"/>
  <c r="D114" i="20"/>
  <c r="J114" i="20" s="1"/>
  <c r="K113" i="20"/>
  <c r="G113" i="20"/>
  <c r="D113" i="20"/>
  <c r="M113" i="20" s="1"/>
  <c r="K112" i="20"/>
  <c r="G112" i="20"/>
  <c r="D112" i="20"/>
  <c r="K111" i="20"/>
  <c r="G111" i="20"/>
  <c r="D111" i="20"/>
  <c r="J111" i="20" s="1"/>
  <c r="K110" i="20"/>
  <c r="G110" i="20"/>
  <c r="D110" i="20"/>
  <c r="M110" i="20" s="1"/>
  <c r="K109" i="20"/>
  <c r="G109" i="20"/>
  <c r="D109" i="20"/>
  <c r="K108" i="20"/>
  <c r="G108" i="20"/>
  <c r="D108" i="20"/>
  <c r="J108" i="20" s="1"/>
  <c r="K107" i="20"/>
  <c r="G107" i="20"/>
  <c r="D107" i="20"/>
  <c r="M107" i="20" s="1"/>
  <c r="K106" i="20"/>
  <c r="G106" i="20"/>
  <c r="D106" i="20"/>
  <c r="K105" i="20"/>
  <c r="G105" i="20"/>
  <c r="D105" i="20"/>
  <c r="J105" i="20" s="1"/>
  <c r="K104" i="20"/>
  <c r="G104" i="20"/>
  <c r="D104" i="20"/>
  <c r="M104" i="20" s="1"/>
  <c r="K103" i="20"/>
  <c r="G103" i="20"/>
  <c r="D103" i="20"/>
  <c r="K102" i="20"/>
  <c r="G102" i="20"/>
  <c r="D102" i="20"/>
  <c r="J102" i="20" s="1"/>
  <c r="K101" i="20"/>
  <c r="G101" i="20"/>
  <c r="D101" i="20"/>
  <c r="M101" i="20" s="1"/>
  <c r="K100" i="20"/>
  <c r="G100" i="20"/>
  <c r="D100" i="20"/>
  <c r="K99" i="20"/>
  <c r="G99" i="20"/>
  <c r="D99" i="20"/>
  <c r="J99" i="20" s="1"/>
  <c r="K98" i="20"/>
  <c r="G98" i="20"/>
  <c r="D98" i="20"/>
  <c r="M98" i="20" s="1"/>
  <c r="K97" i="20"/>
  <c r="G97" i="20"/>
  <c r="D97" i="20"/>
  <c r="K96" i="20"/>
  <c r="G96" i="20"/>
  <c r="D96" i="20"/>
  <c r="J96" i="20" s="1"/>
  <c r="K95" i="20"/>
  <c r="G95" i="20"/>
  <c r="D95" i="20"/>
  <c r="M95" i="20" s="1"/>
  <c r="K94" i="20"/>
  <c r="G94" i="20"/>
  <c r="D94" i="20"/>
  <c r="K93" i="20"/>
  <c r="G93" i="20"/>
  <c r="D93" i="20"/>
  <c r="J93" i="20" s="1"/>
  <c r="K92" i="20"/>
  <c r="G92" i="20"/>
  <c r="D92" i="20"/>
  <c r="M92" i="20" s="1"/>
  <c r="A92" i="20"/>
  <c r="A93" i="20" s="1"/>
  <c r="K91" i="20"/>
  <c r="G91" i="20"/>
  <c r="D91" i="20"/>
  <c r="M91" i="20" s="1"/>
  <c r="K90" i="20"/>
  <c r="G90" i="20"/>
  <c r="D90" i="20"/>
  <c r="M90" i="20" s="1"/>
  <c r="K89" i="20"/>
  <c r="G89" i="20"/>
  <c r="D89" i="20"/>
  <c r="K88" i="20"/>
  <c r="G88" i="20"/>
  <c r="D88" i="20"/>
  <c r="M88" i="20" s="1"/>
  <c r="K87" i="20"/>
  <c r="G87" i="20"/>
  <c r="D87" i="20"/>
  <c r="M87" i="20" s="1"/>
  <c r="K86" i="20"/>
  <c r="G86" i="20"/>
  <c r="D86" i="20"/>
  <c r="K85" i="20"/>
  <c r="G85" i="20"/>
  <c r="D85" i="20"/>
  <c r="J85" i="20" s="1"/>
  <c r="K84" i="20"/>
  <c r="G84" i="20"/>
  <c r="D84" i="20"/>
  <c r="M84" i="20" s="1"/>
  <c r="K83" i="20"/>
  <c r="G83" i="20"/>
  <c r="D83" i="20"/>
  <c r="K82" i="20"/>
  <c r="G82" i="20"/>
  <c r="D82" i="20"/>
  <c r="M82" i="20" s="1"/>
  <c r="K81" i="20"/>
  <c r="G81" i="20"/>
  <c r="D81" i="20"/>
  <c r="M81" i="20" s="1"/>
  <c r="K80" i="20"/>
  <c r="G80" i="20"/>
  <c r="D80" i="20"/>
  <c r="K79" i="20"/>
  <c r="D79" i="20"/>
  <c r="M79" i="20" s="1"/>
  <c r="K78" i="20"/>
  <c r="D78" i="20"/>
  <c r="M78" i="20" s="1"/>
  <c r="C78" i="20"/>
  <c r="G78" i="20" s="1"/>
  <c r="K77" i="20"/>
  <c r="D77" i="20"/>
  <c r="C77" i="20"/>
  <c r="K76" i="20"/>
  <c r="D76" i="20"/>
  <c r="M76" i="20" s="1"/>
  <c r="C76" i="20"/>
  <c r="G76" i="20" s="1"/>
  <c r="K75" i="20"/>
  <c r="D75" i="20"/>
  <c r="C75" i="20"/>
  <c r="G75" i="20" s="1"/>
  <c r="K74" i="20"/>
  <c r="D74" i="20"/>
  <c r="M74" i="20" s="1"/>
  <c r="C74" i="20"/>
  <c r="G74" i="20" s="1"/>
  <c r="K73" i="20"/>
  <c r="D73" i="20"/>
  <c r="M73" i="20" s="1"/>
  <c r="C73" i="20"/>
  <c r="K72" i="20"/>
  <c r="D72" i="20"/>
  <c r="C72" i="20"/>
  <c r="K71" i="20"/>
  <c r="G71" i="20"/>
  <c r="D71" i="20"/>
  <c r="M71" i="20" s="1"/>
  <c r="K70" i="20"/>
  <c r="G70" i="20"/>
  <c r="D70" i="20"/>
  <c r="J70" i="20" s="1"/>
  <c r="K69" i="20"/>
  <c r="G69" i="20"/>
  <c r="D69" i="20"/>
  <c r="K68" i="20"/>
  <c r="G68" i="20"/>
  <c r="D68" i="20"/>
  <c r="M68" i="20" s="1"/>
  <c r="K67" i="20"/>
  <c r="G67" i="20"/>
  <c r="D67" i="20"/>
  <c r="J67" i="20" s="1"/>
  <c r="K66" i="20"/>
  <c r="G66" i="20"/>
  <c r="D66" i="20"/>
  <c r="K65" i="20"/>
  <c r="G65" i="20"/>
  <c r="D65" i="20"/>
  <c r="M65" i="20" s="1"/>
  <c r="K64" i="20"/>
  <c r="G64" i="20"/>
  <c r="D64" i="20"/>
  <c r="J64" i="20" s="1"/>
  <c r="K63" i="20"/>
  <c r="G63" i="20"/>
  <c r="D63" i="20"/>
  <c r="K62" i="20"/>
  <c r="G62" i="20"/>
  <c r="D62" i="20"/>
  <c r="M62" i="20" s="1"/>
  <c r="K61" i="20"/>
  <c r="G61" i="20"/>
  <c r="D61" i="20"/>
  <c r="J61" i="20" s="1"/>
  <c r="K60" i="20"/>
  <c r="G60" i="20"/>
  <c r="D60" i="20"/>
  <c r="K59" i="20"/>
  <c r="G59" i="20"/>
  <c r="D59" i="20"/>
  <c r="M59" i="20" s="1"/>
  <c r="K58" i="20"/>
  <c r="G58" i="20"/>
  <c r="D58" i="20"/>
  <c r="J58" i="20" s="1"/>
  <c r="K57" i="20"/>
  <c r="G57" i="20"/>
  <c r="D57" i="20"/>
  <c r="K56" i="20"/>
  <c r="G56" i="20"/>
  <c r="D56" i="20"/>
  <c r="M56" i="20" s="1"/>
  <c r="K55" i="20"/>
  <c r="G55" i="20"/>
  <c r="D55" i="20"/>
  <c r="J55" i="20" s="1"/>
  <c r="K54" i="20"/>
  <c r="G54" i="20"/>
  <c r="D54" i="20"/>
  <c r="K53" i="20"/>
  <c r="G53" i="20"/>
  <c r="D53" i="20"/>
  <c r="M53" i="20" s="1"/>
  <c r="K52" i="20"/>
  <c r="G52" i="20"/>
  <c r="D52" i="20"/>
  <c r="J52" i="20" s="1"/>
  <c r="K51" i="20"/>
  <c r="G51" i="20"/>
  <c r="D51" i="20"/>
  <c r="K50" i="20"/>
  <c r="G50" i="20"/>
  <c r="D50" i="20"/>
  <c r="M50" i="20" s="1"/>
  <c r="K49" i="20"/>
  <c r="G49" i="20"/>
  <c r="D49" i="20"/>
  <c r="J49" i="20" s="1"/>
  <c r="K48" i="20"/>
  <c r="G48" i="20"/>
  <c r="D48" i="20"/>
  <c r="K47" i="20"/>
  <c r="G47" i="20"/>
  <c r="D47" i="20"/>
  <c r="M47" i="20" s="1"/>
  <c r="K46" i="20"/>
  <c r="G46" i="20"/>
  <c r="D46" i="20"/>
  <c r="J46" i="20" s="1"/>
  <c r="K45" i="20"/>
  <c r="G45" i="20"/>
  <c r="D45" i="20"/>
  <c r="K44" i="20"/>
  <c r="G44" i="20"/>
  <c r="D44" i="20"/>
  <c r="M44" i="20" s="1"/>
  <c r="K43" i="20"/>
  <c r="G43" i="20"/>
  <c r="D43" i="20"/>
  <c r="J43" i="20" s="1"/>
  <c r="K42" i="20"/>
  <c r="G42" i="20"/>
  <c r="D42" i="20"/>
  <c r="K41" i="20"/>
  <c r="G41" i="20"/>
  <c r="D41" i="20"/>
  <c r="M41" i="20" s="1"/>
  <c r="K40" i="20"/>
  <c r="G40" i="20"/>
  <c r="D40" i="20"/>
  <c r="J40" i="20" s="1"/>
  <c r="K39" i="20"/>
  <c r="G39" i="20"/>
  <c r="D39" i="20"/>
  <c r="K38" i="20"/>
  <c r="G38" i="20"/>
  <c r="D38" i="20"/>
  <c r="M38" i="20" s="1"/>
  <c r="K37" i="20"/>
  <c r="G37" i="20"/>
  <c r="D37" i="20"/>
  <c r="J37" i="20" s="1"/>
  <c r="K36" i="20"/>
  <c r="G36" i="20"/>
  <c r="D36" i="20"/>
  <c r="K35" i="20"/>
  <c r="G35" i="20"/>
  <c r="D35" i="20"/>
  <c r="M35" i="20" s="1"/>
  <c r="K34" i="20"/>
  <c r="G34" i="20"/>
  <c r="D34" i="20"/>
  <c r="J34" i="20" s="1"/>
  <c r="K33" i="20"/>
  <c r="G33" i="20"/>
  <c r="D33" i="20"/>
  <c r="K32" i="20"/>
  <c r="G32" i="20"/>
  <c r="D32" i="20"/>
  <c r="M32" i="20" s="1"/>
  <c r="K31" i="20"/>
  <c r="G31" i="20"/>
  <c r="D31" i="20"/>
  <c r="J31" i="20" s="1"/>
  <c r="K30" i="20"/>
  <c r="G30" i="20"/>
  <c r="D30" i="20"/>
  <c r="K29" i="20"/>
  <c r="G29" i="20"/>
  <c r="D29" i="20"/>
  <c r="M29" i="20" s="1"/>
  <c r="K28" i="20"/>
  <c r="G28" i="20"/>
  <c r="D28" i="20"/>
  <c r="J28" i="20" s="1"/>
  <c r="K27" i="20"/>
  <c r="G27" i="20"/>
  <c r="D27" i="20"/>
  <c r="K26" i="20"/>
  <c r="G26" i="20"/>
  <c r="D26" i="20"/>
  <c r="K25" i="20"/>
  <c r="G25" i="20"/>
  <c r="D25" i="20"/>
  <c r="J25" i="20" s="1"/>
  <c r="K24" i="20"/>
  <c r="G24" i="20"/>
  <c r="D24" i="20"/>
  <c r="K23" i="20"/>
  <c r="G23" i="20"/>
  <c r="D23" i="20"/>
  <c r="M23" i="20" s="1"/>
  <c r="K22" i="20"/>
  <c r="G22" i="20"/>
  <c r="D22" i="20"/>
  <c r="J22" i="20" s="1"/>
  <c r="K21" i="20"/>
  <c r="G21" i="20"/>
  <c r="D21" i="20"/>
  <c r="K20" i="20"/>
  <c r="G20" i="20"/>
  <c r="D20" i="20"/>
  <c r="M20" i="20" s="1"/>
  <c r="K19" i="20"/>
  <c r="G19" i="20"/>
  <c r="D19" i="20"/>
  <c r="J19" i="20" s="1"/>
  <c r="K18" i="20"/>
  <c r="G18" i="20"/>
  <c r="D18" i="20"/>
  <c r="K17" i="20"/>
  <c r="G17" i="20"/>
  <c r="D17" i="20"/>
  <c r="M17" i="20" s="1"/>
  <c r="K16" i="20"/>
  <c r="G16" i="20"/>
  <c r="D16" i="20"/>
  <c r="J16" i="20" s="1"/>
  <c r="K15" i="20"/>
  <c r="G15" i="20"/>
  <c r="D15" i="20"/>
  <c r="K14" i="20"/>
  <c r="G14" i="20"/>
  <c r="D14" i="20"/>
  <c r="M14" i="20" s="1"/>
  <c r="K13" i="20"/>
  <c r="G13" i="20"/>
  <c r="D13" i="20"/>
  <c r="M13" i="20" s="1"/>
  <c r="K12" i="20"/>
  <c r="G12" i="20"/>
  <c r="D12" i="20"/>
  <c r="K11" i="20"/>
  <c r="G11" i="20"/>
  <c r="D11" i="20"/>
  <c r="M11" i="20" s="1"/>
  <c r="K10" i="20"/>
  <c r="G10" i="20"/>
  <c r="D10" i="20"/>
  <c r="M10" i="20" s="1"/>
  <c r="K9" i="20"/>
  <c r="G9" i="20"/>
  <c r="D9" i="20"/>
  <c r="M9" i="20" s="1"/>
  <c r="K8" i="20"/>
  <c r="G8" i="20"/>
  <c r="D8" i="20"/>
  <c r="M8" i="20" s="1"/>
  <c r="K7" i="20"/>
  <c r="G7" i="20"/>
  <c r="D7" i="20"/>
  <c r="M7" i="20" s="1"/>
  <c r="K6" i="20"/>
  <c r="G6" i="20"/>
  <c r="D6" i="20"/>
  <c r="J6" i="20" s="1"/>
  <c r="K5" i="20"/>
  <c r="G5" i="20"/>
  <c r="D5" i="20"/>
  <c r="K4" i="20"/>
  <c r="G4" i="20"/>
  <c r="D4" i="20"/>
  <c r="M4" i="20" s="1"/>
  <c r="K3" i="20"/>
  <c r="D3" i="20"/>
  <c r="L3" i="20" s="1"/>
  <c r="B1448" i="19"/>
  <c r="B1447" i="19"/>
  <c r="B1446" i="19"/>
  <c r="B1445" i="19"/>
  <c r="B1444" i="19"/>
  <c r="B1443" i="19"/>
  <c r="B1442" i="19"/>
  <c r="B1441" i="19"/>
  <c r="B1440" i="19"/>
  <c r="B1439" i="19"/>
  <c r="B1438" i="19"/>
  <c r="B1437" i="19"/>
  <c r="B1436" i="19"/>
  <c r="B1435" i="19"/>
  <c r="B1434" i="19"/>
  <c r="B1433" i="19"/>
  <c r="B1432" i="19"/>
  <c r="B1431" i="19"/>
  <c r="B1430" i="19"/>
  <c r="B1429" i="19"/>
  <c r="B1428" i="19"/>
  <c r="B1427" i="19"/>
  <c r="B1426" i="19"/>
  <c r="B1425" i="19"/>
  <c r="B1424" i="19"/>
  <c r="B1423" i="19"/>
  <c r="B1422" i="19"/>
  <c r="B1421" i="19"/>
  <c r="B1420" i="19"/>
  <c r="B1419" i="19"/>
  <c r="B1418" i="19"/>
  <c r="B1417" i="19"/>
  <c r="B1416" i="19"/>
  <c r="B1415" i="19"/>
  <c r="B1414" i="19"/>
  <c r="B1413" i="19"/>
  <c r="B1412" i="19"/>
  <c r="B1411" i="19"/>
  <c r="B1410" i="19"/>
  <c r="B1409" i="19"/>
  <c r="B1408" i="19"/>
  <c r="B1407" i="19"/>
  <c r="B1406" i="19"/>
  <c r="B1405" i="19"/>
  <c r="B1404" i="19"/>
  <c r="B1403" i="19"/>
  <c r="B1402" i="19"/>
  <c r="B1401" i="19"/>
  <c r="B1400" i="19"/>
  <c r="B1399" i="19"/>
  <c r="B1398" i="19"/>
  <c r="B1397" i="19"/>
  <c r="B1396" i="19"/>
  <c r="B1395" i="19"/>
  <c r="B1394" i="19"/>
  <c r="B1393" i="19"/>
  <c r="B1392" i="19"/>
  <c r="B1391" i="19"/>
  <c r="B1390" i="19"/>
  <c r="B1389" i="19"/>
  <c r="B1388" i="19"/>
  <c r="B1387" i="19"/>
  <c r="B1386" i="19"/>
  <c r="B1385" i="19"/>
  <c r="B1384" i="19"/>
  <c r="B1383" i="19"/>
  <c r="B1382" i="19"/>
  <c r="B1381" i="19"/>
  <c r="B1380" i="19"/>
  <c r="B1379" i="19"/>
  <c r="B1378" i="19"/>
  <c r="B1377" i="19"/>
  <c r="B1376" i="19"/>
  <c r="B1375" i="19"/>
  <c r="B1374" i="19"/>
  <c r="B1373" i="19"/>
  <c r="B1372" i="19"/>
  <c r="B1371" i="19"/>
  <c r="B1370" i="19"/>
  <c r="B1369" i="19"/>
  <c r="B1368" i="19"/>
  <c r="B1367" i="19"/>
  <c r="B1366" i="19"/>
  <c r="B1365" i="19"/>
  <c r="B1364" i="19"/>
  <c r="B1363" i="19"/>
  <c r="B1362" i="19"/>
  <c r="B1361" i="19"/>
  <c r="B1360" i="19"/>
  <c r="B1359" i="19"/>
  <c r="B1358" i="19"/>
  <c r="B1357" i="19"/>
  <c r="B1356" i="19"/>
  <c r="B1355" i="19"/>
  <c r="B1354" i="19"/>
  <c r="B1353" i="19"/>
  <c r="B1352" i="19"/>
  <c r="B1351" i="19"/>
  <c r="B1350" i="19"/>
  <c r="B1349" i="19"/>
  <c r="B1348" i="19"/>
  <c r="B1347" i="19"/>
  <c r="B1346" i="19"/>
  <c r="B1345" i="19"/>
  <c r="B1344" i="19"/>
  <c r="B1343" i="19"/>
  <c r="B1342" i="19"/>
  <c r="B1341" i="19"/>
  <c r="B1340" i="19"/>
  <c r="B1339" i="19"/>
  <c r="B1338" i="19"/>
  <c r="B1337" i="19"/>
  <c r="B1336" i="19"/>
  <c r="B1335" i="19"/>
  <c r="B1334" i="19"/>
  <c r="B1333" i="19"/>
  <c r="B1332" i="19"/>
  <c r="B1331" i="19"/>
  <c r="B1330" i="19"/>
  <c r="B1329" i="19"/>
  <c r="B1328" i="19"/>
  <c r="B1327" i="19"/>
  <c r="B1326" i="19"/>
  <c r="B1325" i="19"/>
  <c r="B1324" i="19"/>
  <c r="B1323" i="19"/>
  <c r="B1322" i="19"/>
  <c r="B1321" i="19"/>
  <c r="B1320" i="19"/>
  <c r="B1319" i="19"/>
  <c r="B1318" i="19"/>
  <c r="B1317" i="19"/>
  <c r="B1316" i="19"/>
  <c r="B1315" i="19"/>
  <c r="B1314" i="19"/>
  <c r="B1313" i="19"/>
  <c r="B1312" i="19"/>
  <c r="B1311" i="19"/>
  <c r="B1310" i="19"/>
  <c r="B1309" i="19"/>
  <c r="B1308" i="19"/>
  <c r="B1307" i="19"/>
  <c r="B1306" i="19"/>
  <c r="B1305" i="19"/>
  <c r="B1304" i="19"/>
  <c r="B1303" i="19"/>
  <c r="B1302" i="19"/>
  <c r="B1301" i="19"/>
  <c r="B1300" i="19"/>
  <c r="B1299" i="19"/>
  <c r="B1298" i="19"/>
  <c r="B1297" i="19"/>
  <c r="B1296" i="19"/>
  <c r="B1295" i="19"/>
  <c r="B1294" i="19"/>
  <c r="B1293" i="19"/>
  <c r="B1292" i="19"/>
  <c r="B1291" i="19"/>
  <c r="B1290" i="19"/>
  <c r="B1289" i="19"/>
  <c r="B1288" i="19"/>
  <c r="B1287" i="19"/>
  <c r="B1286" i="19"/>
  <c r="B1285" i="19"/>
  <c r="B1284" i="19"/>
  <c r="B1283" i="19"/>
  <c r="B1282" i="19"/>
  <c r="B1281" i="19"/>
  <c r="B1280" i="19"/>
  <c r="B1279" i="19"/>
  <c r="B1278" i="19"/>
  <c r="B1277" i="19"/>
  <c r="B1276" i="19"/>
  <c r="B1275" i="19"/>
  <c r="B1274" i="19"/>
  <c r="B1273" i="19"/>
  <c r="B1272" i="19"/>
  <c r="B1271" i="19"/>
  <c r="B1270" i="19"/>
  <c r="B1269" i="19"/>
  <c r="B1268" i="19"/>
  <c r="B1267" i="19"/>
  <c r="B1266" i="19"/>
  <c r="B1265" i="19"/>
  <c r="B1264" i="19"/>
  <c r="B1263" i="19"/>
  <c r="B1262" i="19"/>
  <c r="B1261" i="19"/>
  <c r="B1260" i="19"/>
  <c r="B1259" i="19"/>
  <c r="B1258" i="19"/>
  <c r="B1257" i="19"/>
  <c r="B1256" i="19"/>
  <c r="B1255" i="19"/>
  <c r="B1254" i="19"/>
  <c r="B1253" i="19"/>
  <c r="B1252" i="19"/>
  <c r="B1251" i="19"/>
  <c r="B1250" i="19"/>
  <c r="B1249" i="19"/>
  <c r="B1248" i="19"/>
  <c r="B1247" i="19"/>
  <c r="B1246" i="19"/>
  <c r="B1245" i="19"/>
  <c r="B1244" i="19"/>
  <c r="B1243" i="19"/>
  <c r="B1242" i="19"/>
  <c r="B1241" i="19"/>
  <c r="B1240" i="19"/>
  <c r="B1239" i="19"/>
  <c r="B1238" i="19"/>
  <c r="B1237" i="19"/>
  <c r="B1236" i="19"/>
  <c r="B1235" i="19"/>
  <c r="B1234" i="19"/>
  <c r="B1233" i="19"/>
  <c r="B1232" i="19"/>
  <c r="B1231" i="19"/>
  <c r="B1230" i="19"/>
  <c r="B1229" i="19"/>
  <c r="B1228" i="19"/>
  <c r="B1227" i="19"/>
  <c r="B1226" i="19"/>
  <c r="B1225" i="19"/>
  <c r="B1224" i="19"/>
  <c r="B1223" i="19"/>
  <c r="B1222" i="19"/>
  <c r="B1221" i="19"/>
  <c r="B1220" i="19"/>
  <c r="B1219" i="19"/>
  <c r="B1218" i="19"/>
  <c r="B1217" i="19"/>
  <c r="B1216" i="19"/>
  <c r="B1215" i="19"/>
  <c r="B1214" i="19"/>
  <c r="B1213" i="19"/>
  <c r="B1212" i="19"/>
  <c r="B1211" i="19"/>
  <c r="B1210" i="19"/>
  <c r="B1209" i="19"/>
  <c r="B1208" i="19"/>
  <c r="B1207" i="19"/>
  <c r="B1206" i="19"/>
  <c r="B1205" i="19"/>
  <c r="B1204" i="19"/>
  <c r="B1203" i="19"/>
  <c r="B1202" i="19"/>
  <c r="B1201" i="19"/>
  <c r="B1200" i="19"/>
  <c r="B1199" i="19"/>
  <c r="B1198" i="19"/>
  <c r="B1197" i="19"/>
  <c r="B1196" i="19"/>
  <c r="B1195" i="19"/>
  <c r="B1194" i="19"/>
  <c r="B1193" i="19"/>
  <c r="B1192" i="19"/>
  <c r="B1191" i="19"/>
  <c r="B1190" i="19"/>
  <c r="B1189" i="19"/>
  <c r="B1188" i="19"/>
  <c r="B1187" i="19"/>
  <c r="B1186" i="19"/>
  <c r="B1185" i="19"/>
  <c r="B1184" i="19"/>
  <c r="B1183" i="19"/>
  <c r="B1182" i="19"/>
  <c r="B1181" i="19"/>
  <c r="B1180" i="19"/>
  <c r="B1179" i="19"/>
  <c r="B1178" i="19"/>
  <c r="B1177" i="19"/>
  <c r="B1176" i="19"/>
  <c r="B1175" i="19"/>
  <c r="B1174" i="19"/>
  <c r="B1173" i="19"/>
  <c r="B1172" i="19"/>
  <c r="B1171" i="19"/>
  <c r="B1170" i="19"/>
  <c r="B1169" i="19"/>
  <c r="B1168" i="19"/>
  <c r="B1167" i="19"/>
  <c r="B1166" i="19"/>
  <c r="B1165" i="19"/>
  <c r="B1164" i="19"/>
  <c r="B1163" i="19"/>
  <c r="B1162" i="19"/>
  <c r="B1161" i="19"/>
  <c r="B1160" i="19"/>
  <c r="B1159" i="19"/>
  <c r="B1158" i="19"/>
  <c r="B1157" i="19"/>
  <c r="B1156" i="19"/>
  <c r="B1155" i="19"/>
  <c r="B1154" i="19"/>
  <c r="B1153" i="19"/>
  <c r="B1152" i="19"/>
  <c r="B1151" i="19"/>
  <c r="B1150" i="19"/>
  <c r="B1149" i="19"/>
  <c r="B1148" i="19"/>
  <c r="B1147" i="19"/>
  <c r="B1146" i="19"/>
  <c r="B1145" i="19"/>
  <c r="B1144" i="19"/>
  <c r="B1143" i="19"/>
  <c r="B1142" i="19"/>
  <c r="B1141" i="19"/>
  <c r="B1140" i="19"/>
  <c r="B1139" i="19"/>
  <c r="B1138" i="19"/>
  <c r="B1137" i="19"/>
  <c r="B1136" i="19"/>
  <c r="B1135" i="19"/>
  <c r="B1134" i="19"/>
  <c r="B1133" i="19"/>
  <c r="B1132" i="19"/>
  <c r="B1131" i="19"/>
  <c r="B1130" i="19"/>
  <c r="B1129" i="19"/>
  <c r="B1128" i="19"/>
  <c r="B1127" i="19"/>
  <c r="B1126" i="19"/>
  <c r="B1125" i="19"/>
  <c r="B1124" i="19"/>
  <c r="B1123" i="19"/>
  <c r="B1122" i="19"/>
  <c r="B1121" i="19"/>
  <c r="B1120" i="19"/>
  <c r="B1119" i="19"/>
  <c r="B1118" i="19"/>
  <c r="B1117" i="19"/>
  <c r="B1116" i="19"/>
  <c r="B1115" i="19"/>
  <c r="B1114" i="19"/>
  <c r="B1113" i="19"/>
  <c r="B1112" i="19"/>
  <c r="B1111" i="19"/>
  <c r="B1110" i="19"/>
  <c r="B1109" i="19"/>
  <c r="B1108" i="19"/>
  <c r="B1107" i="19"/>
  <c r="B1106" i="19"/>
  <c r="B1105" i="19"/>
  <c r="B1104" i="19"/>
  <c r="B1103" i="19"/>
  <c r="B1102" i="19"/>
  <c r="B1101" i="19"/>
  <c r="B1100" i="19"/>
  <c r="B1099" i="19"/>
  <c r="B1098" i="19"/>
  <c r="B1097" i="19"/>
  <c r="B1096" i="19"/>
  <c r="B1095" i="19"/>
  <c r="B1094" i="19"/>
  <c r="B1093" i="19"/>
  <c r="B1092" i="19"/>
  <c r="B1091" i="19"/>
  <c r="B1090" i="19"/>
  <c r="B1089" i="19"/>
  <c r="B1088" i="19"/>
  <c r="B1087" i="19"/>
  <c r="B1086" i="19"/>
  <c r="B1085" i="19"/>
  <c r="B1084" i="19"/>
  <c r="B1083" i="19"/>
  <c r="B1082" i="19"/>
  <c r="B1081" i="19"/>
  <c r="B1080" i="19"/>
  <c r="B1079" i="19"/>
  <c r="B1078" i="19"/>
  <c r="B1077" i="19"/>
  <c r="B1076" i="19"/>
  <c r="B1075" i="19"/>
  <c r="B1074" i="19"/>
  <c r="B1073" i="19"/>
  <c r="B1072" i="19"/>
  <c r="B1071" i="19"/>
  <c r="B1070" i="19"/>
  <c r="B1069" i="19"/>
  <c r="B1068" i="19"/>
  <c r="B1067" i="19"/>
  <c r="B1066" i="19"/>
  <c r="B1065" i="19"/>
  <c r="B1064" i="19"/>
  <c r="B1063" i="19"/>
  <c r="B1062" i="19"/>
  <c r="B1061" i="19"/>
  <c r="B1060" i="19"/>
  <c r="B1059" i="19"/>
  <c r="B1058" i="19"/>
  <c r="B1057" i="19"/>
  <c r="B1056" i="19"/>
  <c r="B1055" i="19"/>
  <c r="B1054" i="19"/>
  <c r="B1053" i="19"/>
  <c r="B1052" i="19"/>
  <c r="B1051" i="19"/>
  <c r="B1050" i="19"/>
  <c r="B1049" i="19"/>
  <c r="B1048" i="19"/>
  <c r="B1047" i="19"/>
  <c r="B1046" i="19"/>
  <c r="B1045" i="19"/>
  <c r="B1044" i="19"/>
  <c r="B1043" i="19"/>
  <c r="B1042" i="19"/>
  <c r="B1041" i="19"/>
  <c r="B1040" i="19"/>
  <c r="B1039" i="19"/>
  <c r="B1038" i="19"/>
  <c r="B1037" i="19"/>
  <c r="B1036" i="19"/>
  <c r="B1035" i="19"/>
  <c r="B1034" i="19"/>
  <c r="B1033" i="19"/>
  <c r="B1032" i="19"/>
  <c r="B1031" i="19"/>
  <c r="B1030" i="19"/>
  <c r="B1029" i="19"/>
  <c r="B1028" i="19"/>
  <c r="B1027" i="19"/>
  <c r="B1026" i="19"/>
  <c r="B1025" i="19"/>
  <c r="B1024" i="19"/>
  <c r="B1023" i="19"/>
  <c r="B1022" i="19"/>
  <c r="B1021" i="19"/>
  <c r="B1020" i="19"/>
  <c r="B1019" i="19"/>
  <c r="B1018" i="19"/>
  <c r="B1017" i="19"/>
  <c r="B1016" i="19"/>
  <c r="B1015" i="19"/>
  <c r="B1014" i="19"/>
  <c r="B1013" i="19"/>
  <c r="B1012" i="19"/>
  <c r="B1011" i="19"/>
  <c r="B1010" i="19"/>
  <c r="B1009" i="19"/>
  <c r="N1002" i="19"/>
  <c r="N1001" i="19"/>
  <c r="M999" i="19"/>
  <c r="M996" i="19" s="1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N3" i="19"/>
  <c r="N2" i="19"/>
  <c r="AR208" i="23"/>
  <c r="AQ208" i="23"/>
  <c r="AP208" i="23"/>
  <c r="AO208" i="23"/>
  <c r="AN208" i="23"/>
  <c r="BC16" i="1" a="1"/>
  <c r="AY16" i="1" a="1"/>
  <c r="AX16" i="1" a="1"/>
  <c r="BA16" i="1" a="1"/>
  <c r="BB16" i="1" a="1"/>
  <c r="AZ16" i="1" a="1"/>
  <c r="AV16" i="1" a="1"/>
  <c r="AW16" i="1" a="1"/>
  <c r="M20" i="1"/>
  <c r="Q25" i="1"/>
  <c r="J25" i="1"/>
  <c r="M25" i="1"/>
  <c r="J20" i="1"/>
  <c r="R25" i="1"/>
  <c r="K25" i="1"/>
  <c r="F25" i="1"/>
  <c r="G21" i="1"/>
  <c r="L21" i="1"/>
  <c r="N25" i="1"/>
  <c r="I20" i="1"/>
  <c r="H19" i="1"/>
  <c r="G25" i="1"/>
  <c r="L25" i="1"/>
  <c r="K21" i="1"/>
  <c r="P25" i="1"/>
  <c r="I25" i="1"/>
  <c r="S25" i="1"/>
  <c r="T25" i="1"/>
  <c r="F20" i="1"/>
  <c r="H25" i="1"/>
  <c r="O25" i="1"/>
  <c r="AW16" i="1" l="1"/>
  <c r="AV16" i="1"/>
  <c r="AZ16" i="1"/>
  <c r="BB16" i="1"/>
  <c r="BA16" i="1"/>
  <c r="AX16" i="1"/>
  <c r="AY16" i="1"/>
  <c r="BC16" i="1"/>
  <c r="D187" i="20"/>
  <c r="J187" i="20" s="1"/>
  <c r="D219" i="20"/>
  <c r="M219" i="20" s="1"/>
  <c r="K182" i="20"/>
  <c r="D235" i="20"/>
  <c r="J235" i="20" s="1"/>
  <c r="K223" i="20"/>
  <c r="D277" i="20"/>
  <c r="K189" i="20"/>
  <c r="K179" i="20"/>
  <c r="K165" i="20"/>
  <c r="D229" i="20"/>
  <c r="D253" i="20"/>
  <c r="D202" i="20"/>
  <c r="M202" i="20" s="1"/>
  <c r="K173" i="20"/>
  <c r="K247" i="20"/>
  <c r="D268" i="20"/>
  <c r="L268" i="20" s="1"/>
  <c r="K195" i="20"/>
  <c r="K227" i="20"/>
  <c r="K261" i="20"/>
  <c r="D282" i="20"/>
  <c r="M282" i="20" s="1"/>
  <c r="K231" i="20"/>
  <c r="D180" i="20"/>
  <c r="D234" i="20"/>
  <c r="M234" i="20" s="1"/>
  <c r="K140" i="20"/>
  <c r="D225" i="20"/>
  <c r="M225" i="20" s="1"/>
  <c r="K237" i="20"/>
  <c r="D220" i="20"/>
  <c r="D242" i="20"/>
  <c r="H242" i="20" s="1"/>
  <c r="I255" i="20" s="1"/>
  <c r="J73" i="20"/>
  <c r="D254" i="20"/>
  <c r="K245" i="20"/>
  <c r="K266" i="20"/>
  <c r="K257" i="20"/>
  <c r="K278" i="20"/>
  <c r="H154" i="20"/>
  <c r="D218" i="20"/>
  <c r="D177" i="20"/>
  <c r="M177" i="20" s="1"/>
  <c r="D240" i="20"/>
  <c r="K209" i="20"/>
  <c r="K272" i="20"/>
  <c r="D273" i="20"/>
  <c r="M273" i="20" s="1"/>
  <c r="H138" i="20"/>
  <c r="J13" i="20"/>
  <c r="H149" i="20"/>
  <c r="D172" i="20"/>
  <c r="M153" i="20"/>
  <c r="M111" i="20"/>
  <c r="K185" i="20"/>
  <c r="K258" i="20"/>
  <c r="D279" i="20"/>
  <c r="J279" i="20" s="1"/>
  <c r="H26" i="20"/>
  <c r="H82" i="20"/>
  <c r="M108" i="20"/>
  <c r="J82" i="20"/>
  <c r="D186" i="20"/>
  <c r="M186" i="20" s="1"/>
  <c r="K207" i="20"/>
  <c r="K270" i="20"/>
  <c r="L82" i="20"/>
  <c r="K244" i="20"/>
  <c r="D178" i="20"/>
  <c r="M178" i="20" s="1"/>
  <c r="D210" i="20"/>
  <c r="M210" i="20" s="1"/>
  <c r="K211" i="20"/>
  <c r="D174" i="20"/>
  <c r="J174" i="20" s="1"/>
  <c r="K214" i="20"/>
  <c r="K224" i="20"/>
  <c r="H155" i="20"/>
  <c r="D195" i="20"/>
  <c r="M195" i="20" s="1"/>
  <c r="K255" i="20"/>
  <c r="D196" i="20"/>
  <c r="D216" i="20"/>
  <c r="H216" i="20" s="1"/>
  <c r="I229" i="20" s="1"/>
  <c r="D246" i="20"/>
  <c r="L246" i="20" s="1"/>
  <c r="D267" i="20"/>
  <c r="M267" i="20" s="1"/>
  <c r="J44" i="20"/>
  <c r="D198" i="20"/>
  <c r="J198" i="20" s="1"/>
  <c r="K208" i="20"/>
  <c r="H14" i="20"/>
  <c r="M34" i="20"/>
  <c r="L6" i="20"/>
  <c r="D228" i="20"/>
  <c r="M228" i="20" s="1"/>
  <c r="K279" i="20"/>
  <c r="J77" i="20"/>
  <c r="K168" i="20"/>
  <c r="H118" i="20"/>
  <c r="M138" i="20"/>
  <c r="K239" i="20"/>
  <c r="K250" i="20"/>
  <c r="K281" i="20"/>
  <c r="D170" i="20"/>
  <c r="M170" i="20" s="1"/>
  <c r="K201" i="20"/>
  <c r="J79" i="20"/>
  <c r="D181" i="20"/>
  <c r="M181" i="20" s="1"/>
  <c r="D211" i="20"/>
  <c r="M211" i="20" s="1"/>
  <c r="H17" i="20"/>
  <c r="K262" i="20"/>
  <c r="J17" i="20"/>
  <c r="L115" i="20"/>
  <c r="M43" i="20"/>
  <c r="D141" i="20"/>
  <c r="M141" i="20" s="1"/>
  <c r="K181" i="20"/>
  <c r="M58" i="20"/>
  <c r="M120" i="20"/>
  <c r="D161" i="20"/>
  <c r="H161" i="20" s="1"/>
  <c r="I174" i="20" s="1"/>
  <c r="D252" i="20"/>
  <c r="L252" i="20" s="1"/>
  <c r="K263" i="20"/>
  <c r="K217" i="20"/>
  <c r="K243" i="20"/>
  <c r="D274" i="20"/>
  <c r="M274" i="20" s="1"/>
  <c r="K194" i="20"/>
  <c r="K204" i="20"/>
  <c r="K275" i="20"/>
  <c r="W25" i="1"/>
  <c r="U25" i="1"/>
  <c r="V25" i="1"/>
  <c r="HA25" i="1"/>
  <c r="HC25" i="1" s="1"/>
  <c r="HG25" i="1" s="1"/>
  <c r="D233" i="20"/>
  <c r="H233" i="20" s="1"/>
  <c r="I246" i="20" s="1"/>
  <c r="H148" i="20"/>
  <c r="K167" i="20"/>
  <c r="H158" i="20"/>
  <c r="K187" i="20"/>
  <c r="D264" i="20"/>
  <c r="M264" i="20" s="1"/>
  <c r="K197" i="20"/>
  <c r="K215" i="20"/>
  <c r="K225" i="20"/>
  <c r="K234" i="20"/>
  <c r="D244" i="20"/>
  <c r="M244" i="20" s="1"/>
  <c r="K188" i="20"/>
  <c r="D207" i="20"/>
  <c r="M207" i="20" s="1"/>
  <c r="M70" i="20"/>
  <c r="M19" i="20"/>
  <c r="K198" i="20"/>
  <c r="D226" i="20"/>
  <c r="M226" i="20" s="1"/>
  <c r="M99" i="20"/>
  <c r="M129" i="20"/>
  <c r="D283" i="20"/>
  <c r="J283" i="20" s="1"/>
  <c r="L100" i="20"/>
  <c r="K170" i="20"/>
  <c r="K180" i="20"/>
  <c r="K199" i="20"/>
  <c r="K256" i="20"/>
  <c r="K276" i="20"/>
  <c r="K141" i="20"/>
  <c r="K160" i="20"/>
  <c r="H132" i="20"/>
  <c r="H152" i="20"/>
  <c r="D171" i="20"/>
  <c r="M171" i="20" s="1"/>
  <c r="K161" i="20"/>
  <c r="D209" i="20"/>
  <c r="H209" i="20" s="1"/>
  <c r="I222" i="20" s="1"/>
  <c r="D192" i="20"/>
  <c r="M192" i="20" s="1"/>
  <c r="K219" i="20"/>
  <c r="K248" i="20"/>
  <c r="L85" i="20"/>
  <c r="J92" i="20"/>
  <c r="K172" i="20"/>
  <c r="M102" i="20"/>
  <c r="D162" i="20"/>
  <c r="M162" i="20" s="1"/>
  <c r="K210" i="20"/>
  <c r="K259" i="20"/>
  <c r="K163" i="20"/>
  <c r="K183" i="20"/>
  <c r="K193" i="20"/>
  <c r="D249" i="20"/>
  <c r="M249" i="20" s="1"/>
  <c r="J5" i="20"/>
  <c r="H94" i="20"/>
  <c r="H85" i="20"/>
  <c r="J144" i="20"/>
  <c r="K184" i="20"/>
  <c r="K221" i="20"/>
  <c r="K175" i="20"/>
  <c r="K212" i="20"/>
  <c r="D222" i="20"/>
  <c r="M222" i="20" s="1"/>
  <c r="D231" i="20"/>
  <c r="M231" i="20" s="1"/>
  <c r="K241" i="20"/>
  <c r="K271" i="20"/>
  <c r="M85" i="20"/>
  <c r="D185" i="20"/>
  <c r="M185" i="20" s="1"/>
  <c r="M67" i="20"/>
  <c r="G77" i="20"/>
  <c r="K166" i="20"/>
  <c r="HE24" i="1"/>
  <c r="D173" i="20"/>
  <c r="M173" i="20" s="1"/>
  <c r="J150" i="20"/>
  <c r="H157" i="20"/>
  <c r="K218" i="20"/>
  <c r="K233" i="20"/>
  <c r="D250" i="20"/>
  <c r="M250" i="20" s="1"/>
  <c r="K265" i="20"/>
  <c r="M31" i="20"/>
  <c r="K242" i="20"/>
  <c r="M6" i="20"/>
  <c r="M40" i="20"/>
  <c r="H91" i="20"/>
  <c r="M126" i="20"/>
  <c r="K174" i="20"/>
  <c r="D183" i="20"/>
  <c r="K196" i="20"/>
  <c r="D205" i="20"/>
  <c r="L205" i="20" s="1"/>
  <c r="D266" i="20"/>
  <c r="D257" i="20"/>
  <c r="H257" i="20" s="1"/>
  <c r="I270" i="20" s="1"/>
  <c r="H32" i="20"/>
  <c r="M49" i="20"/>
  <c r="J76" i="20"/>
  <c r="J91" i="20"/>
  <c r="M117" i="20"/>
  <c r="H151" i="20"/>
  <c r="K190" i="20"/>
  <c r="K228" i="20"/>
  <c r="D243" i="20"/>
  <c r="M243" i="20" s="1"/>
  <c r="K251" i="20"/>
  <c r="D258" i="20"/>
  <c r="M258" i="20" s="1"/>
  <c r="K273" i="20"/>
  <c r="K280" i="20"/>
  <c r="D204" i="20"/>
  <c r="M204" i="20" s="1"/>
  <c r="M157" i="20"/>
  <c r="M151" i="20"/>
  <c r="D197" i="20"/>
  <c r="M197" i="20" s="1"/>
  <c r="K205" i="20"/>
  <c r="M135" i="20"/>
  <c r="J159" i="20"/>
  <c r="K235" i="20"/>
  <c r="M16" i="20"/>
  <c r="H59" i="20"/>
  <c r="H100" i="20"/>
  <c r="H146" i="20"/>
  <c r="D168" i="20"/>
  <c r="K176" i="20"/>
  <c r="K191" i="20"/>
  <c r="K206" i="20"/>
  <c r="K220" i="20"/>
  <c r="K252" i="20"/>
  <c r="D259" i="20"/>
  <c r="H259" i="20" s="1"/>
  <c r="I272" i="20" s="1"/>
  <c r="K274" i="20"/>
  <c r="D281" i="20"/>
  <c r="M22" i="20"/>
  <c r="M25" i="20"/>
  <c r="H92" i="20"/>
  <c r="H145" i="20"/>
  <c r="K213" i="20"/>
  <c r="K229" i="20"/>
  <c r="K236" i="20"/>
  <c r="K169" i="20"/>
  <c r="K177" i="20"/>
  <c r="K192" i="20"/>
  <c r="K230" i="20"/>
  <c r="K282" i="20"/>
  <c r="J26" i="20"/>
  <c r="M52" i="20"/>
  <c r="D245" i="20"/>
  <c r="J245" i="20" s="1"/>
  <c r="K253" i="20"/>
  <c r="K260" i="20"/>
  <c r="K267" i="20"/>
  <c r="H10" i="20"/>
  <c r="M26" i="20"/>
  <c r="H35" i="20"/>
  <c r="G79" i="20"/>
  <c r="K222" i="20"/>
  <c r="J10" i="20"/>
  <c r="J35" i="20"/>
  <c r="H44" i="20"/>
  <c r="M61" i="20"/>
  <c r="H79" i="20"/>
  <c r="M93" i="20"/>
  <c r="K178" i="20"/>
  <c r="K200" i="20"/>
  <c r="K238" i="20"/>
  <c r="K254" i="20"/>
  <c r="D276" i="20"/>
  <c r="M276" i="20" s="1"/>
  <c r="K283" i="20"/>
  <c r="H53" i="20"/>
  <c r="J53" i="20"/>
  <c r="H71" i="20"/>
  <c r="J147" i="20"/>
  <c r="J62" i="20"/>
  <c r="L79" i="20"/>
  <c r="K162" i="20"/>
  <c r="D194" i="20"/>
  <c r="D201" i="20"/>
  <c r="M201" i="20" s="1"/>
  <c r="K246" i="20"/>
  <c r="D255" i="20"/>
  <c r="K268" i="20"/>
  <c r="J3" i="20"/>
  <c r="M147" i="20"/>
  <c r="M154" i="20"/>
  <c r="K216" i="20"/>
  <c r="K277" i="20"/>
  <c r="M28" i="20"/>
  <c r="D163" i="20"/>
  <c r="K171" i="20"/>
  <c r="K186" i="20"/>
  <c r="K269" i="20"/>
  <c r="H88" i="20"/>
  <c r="M132" i="20"/>
  <c r="H20" i="20"/>
  <c r="J88" i="20"/>
  <c r="K202" i="20"/>
  <c r="K240" i="20"/>
  <c r="D270" i="20"/>
  <c r="J270" i="20" s="1"/>
  <c r="H29" i="20"/>
  <c r="M37" i="20"/>
  <c r="M114" i="20"/>
  <c r="M123" i="20"/>
  <c r="M148" i="20"/>
  <c r="K232" i="20"/>
  <c r="J1437" i="19"/>
  <c r="M46" i="20"/>
  <c r="J156" i="20"/>
  <c r="M55" i="20"/>
  <c r="M64" i="20"/>
  <c r="M96" i="20"/>
  <c r="M105" i="20"/>
  <c r="H135" i="20"/>
  <c r="H143" i="20"/>
  <c r="K164" i="20"/>
  <c r="H5" i="20"/>
  <c r="K203" i="20"/>
  <c r="K226" i="20"/>
  <c r="K249" i="20"/>
  <c r="D271" i="20"/>
  <c r="M271" i="20" s="1"/>
  <c r="AR26" i="1"/>
  <c r="AT26" i="1"/>
  <c r="AU26" i="1"/>
  <c r="AQ26" i="1"/>
  <c r="AP26" i="1"/>
  <c r="BE20" i="1"/>
  <c r="BI22" i="1"/>
  <c r="BI21" i="1"/>
  <c r="BQ20" i="1"/>
  <c r="BU20" i="1"/>
  <c r="BU21" i="1" s="1"/>
  <c r="FU25" i="1"/>
  <c r="FU24" i="1"/>
  <c r="FU23" i="1"/>
  <c r="FU22" i="1"/>
  <c r="FU21" i="1"/>
  <c r="GS21" i="1"/>
  <c r="GS22" i="1" s="1"/>
  <c r="GS23" i="1" s="1"/>
  <c r="HA20" i="1"/>
  <c r="J1047" i="19"/>
  <c r="J1089" i="19"/>
  <c r="J1116" i="19"/>
  <c r="J1143" i="19"/>
  <c r="J1185" i="19"/>
  <c r="J1212" i="19"/>
  <c r="L71" i="20"/>
  <c r="J1010" i="19"/>
  <c r="J1022" i="19"/>
  <c r="J1034" i="19"/>
  <c r="J1076" i="19"/>
  <c r="J1103" i="19"/>
  <c r="J1130" i="19"/>
  <c r="J1172" i="19"/>
  <c r="J1199" i="19"/>
  <c r="J1226" i="19"/>
  <c r="J1240" i="19"/>
  <c r="J1270" i="19"/>
  <c r="J1284" i="19"/>
  <c r="J1298" i="19"/>
  <c r="J1312" i="19"/>
  <c r="J1342" i="19"/>
  <c r="J1356" i="19"/>
  <c r="J1370" i="19"/>
  <c r="J1384" i="19"/>
  <c r="J1414" i="19"/>
  <c r="J1428" i="19"/>
  <c r="J1442" i="19"/>
  <c r="M18" i="20"/>
  <c r="J18" i="20"/>
  <c r="H18" i="20"/>
  <c r="L30" i="20"/>
  <c r="H198" i="20"/>
  <c r="I211" i="20" s="1"/>
  <c r="M198" i="20"/>
  <c r="L198" i="20"/>
  <c r="H244" i="20"/>
  <c r="I257" i="20" s="1"/>
  <c r="J1048" i="19"/>
  <c r="J1090" i="19"/>
  <c r="J1117" i="19"/>
  <c r="J1144" i="19"/>
  <c r="J1186" i="19"/>
  <c r="J1213" i="19"/>
  <c r="L26" i="20"/>
  <c r="H73" i="20"/>
  <c r="M72" i="20"/>
  <c r="L72" i="20"/>
  <c r="J72" i="20"/>
  <c r="H72" i="20"/>
  <c r="M106" i="20"/>
  <c r="J106" i="20"/>
  <c r="M136" i="20"/>
  <c r="L136" i="20"/>
  <c r="J136" i="20"/>
  <c r="H136" i="20"/>
  <c r="J1011" i="19"/>
  <c r="J1023" i="19"/>
  <c r="J1035" i="19"/>
  <c r="J1077" i="19"/>
  <c r="J1104" i="19"/>
  <c r="J1131" i="19"/>
  <c r="J1173" i="19"/>
  <c r="J1200" i="19"/>
  <c r="J1227" i="19"/>
  <c r="J1257" i="19"/>
  <c r="J1271" i="19"/>
  <c r="J1285" i="19"/>
  <c r="J1299" i="19"/>
  <c r="J1329" i="19"/>
  <c r="J1343" i="19"/>
  <c r="J1357" i="19"/>
  <c r="J1371" i="19"/>
  <c r="J1401" i="19"/>
  <c r="J1415" i="19"/>
  <c r="J1429" i="19"/>
  <c r="J1443" i="19"/>
  <c r="L62" i="20"/>
  <c r="L76" i="20"/>
  <c r="J1064" i="19"/>
  <c r="J1091" i="19"/>
  <c r="J1118" i="19"/>
  <c r="J1160" i="19"/>
  <c r="J1187" i="19"/>
  <c r="J1214" i="19"/>
  <c r="J14" i="20"/>
  <c r="M27" i="20"/>
  <c r="J27" i="20"/>
  <c r="H27" i="20"/>
  <c r="M63" i="20"/>
  <c r="L63" i="20"/>
  <c r="J63" i="20"/>
  <c r="H63" i="20"/>
  <c r="M86" i="20"/>
  <c r="L86" i="20"/>
  <c r="J86" i="20"/>
  <c r="H86" i="20"/>
  <c r="H106" i="20"/>
  <c r="L216" i="20"/>
  <c r="J216" i="20"/>
  <c r="J1012" i="19"/>
  <c r="J1024" i="19"/>
  <c r="J1036" i="19"/>
  <c r="J1078" i="19"/>
  <c r="J1105" i="19"/>
  <c r="J1132" i="19"/>
  <c r="J1174" i="19"/>
  <c r="J1201" i="19"/>
  <c r="J1228" i="19"/>
  <c r="J1258" i="19"/>
  <c r="J1272" i="19"/>
  <c r="J1286" i="19"/>
  <c r="J1300" i="19"/>
  <c r="J1330" i="19"/>
  <c r="J1344" i="19"/>
  <c r="J1358" i="19"/>
  <c r="J1372" i="19"/>
  <c r="J1402" i="19"/>
  <c r="J1416" i="19"/>
  <c r="J1430" i="19"/>
  <c r="J1444" i="19"/>
  <c r="L18" i="20"/>
  <c r="H23" i="20"/>
  <c r="L35" i="20"/>
  <c r="L44" i="20"/>
  <c r="L53" i="20"/>
  <c r="H68" i="20"/>
  <c r="J1065" i="19"/>
  <c r="J1092" i="19"/>
  <c r="J1119" i="19"/>
  <c r="J1161" i="19"/>
  <c r="J1188" i="19"/>
  <c r="J1215" i="19"/>
  <c r="L10" i="20"/>
  <c r="L14" i="20"/>
  <c r="M77" i="20"/>
  <c r="H77" i="20"/>
  <c r="M112" i="20"/>
  <c r="J112" i="20"/>
  <c r="M130" i="20"/>
  <c r="L130" i="20"/>
  <c r="J130" i="20"/>
  <c r="H130" i="20"/>
  <c r="J1013" i="19"/>
  <c r="J1025" i="19"/>
  <c r="J1052" i="19"/>
  <c r="J1079" i="19"/>
  <c r="J1106" i="19"/>
  <c r="J1148" i="19"/>
  <c r="J1175" i="19"/>
  <c r="J1202" i="19"/>
  <c r="J1245" i="19"/>
  <c r="J1259" i="19"/>
  <c r="J1273" i="19"/>
  <c r="J1287" i="19"/>
  <c r="J1317" i="19"/>
  <c r="J1331" i="19"/>
  <c r="J1345" i="19"/>
  <c r="J1359" i="19"/>
  <c r="J1389" i="19"/>
  <c r="J1403" i="19"/>
  <c r="J1417" i="19"/>
  <c r="J1431" i="19"/>
  <c r="J23" i="20"/>
  <c r="M36" i="20"/>
  <c r="L36" i="20"/>
  <c r="J36" i="20"/>
  <c r="H36" i="20"/>
  <c r="M45" i="20"/>
  <c r="L45" i="20"/>
  <c r="J45" i="20"/>
  <c r="H45" i="20"/>
  <c r="M54" i="20"/>
  <c r="L54" i="20"/>
  <c r="J54" i="20"/>
  <c r="H54" i="20"/>
  <c r="J68" i="20"/>
  <c r="L106" i="20"/>
  <c r="M229" i="20"/>
  <c r="L229" i="20"/>
  <c r="J229" i="20"/>
  <c r="H229" i="20"/>
  <c r="I242" i="20" s="1"/>
  <c r="M240" i="20"/>
  <c r="L240" i="20"/>
  <c r="J240" i="20"/>
  <c r="H240" i="20"/>
  <c r="I253" i="20" s="1"/>
  <c r="J1066" i="19"/>
  <c r="J1093" i="19"/>
  <c r="J1120" i="19"/>
  <c r="J1162" i="19"/>
  <c r="J1189" i="19"/>
  <c r="J1216" i="19"/>
  <c r="M15" i="20"/>
  <c r="J15" i="20"/>
  <c r="L27" i="20"/>
  <c r="L73" i="20"/>
  <c r="M97" i="20"/>
  <c r="J97" i="20"/>
  <c r="H112" i="20"/>
  <c r="M124" i="20"/>
  <c r="L124" i="20"/>
  <c r="J124" i="20"/>
  <c r="H124" i="20"/>
  <c r="J1014" i="19"/>
  <c r="J1026" i="19"/>
  <c r="J1053" i="19"/>
  <c r="J1080" i="19"/>
  <c r="J1107" i="19"/>
  <c r="J1149" i="19"/>
  <c r="J1176" i="19"/>
  <c r="J1203" i="19"/>
  <c r="J1246" i="19"/>
  <c r="J1260" i="19"/>
  <c r="J1274" i="19"/>
  <c r="J1288" i="19"/>
  <c r="J1318" i="19"/>
  <c r="J1332" i="19"/>
  <c r="J1346" i="19"/>
  <c r="J1360" i="19"/>
  <c r="J1390" i="19"/>
  <c r="J1404" i="19"/>
  <c r="J1418" i="19"/>
  <c r="J1432" i="19"/>
  <c r="L23" i="20"/>
  <c r="H41" i="20"/>
  <c r="H50" i="20"/>
  <c r="L68" i="20"/>
  <c r="M118" i="20"/>
  <c r="L118" i="20"/>
  <c r="J118" i="20"/>
  <c r="H172" i="20"/>
  <c r="I185" i="20" s="1"/>
  <c r="M172" i="20"/>
  <c r="L172" i="20"/>
  <c r="J172" i="20"/>
  <c r="J252" i="20"/>
  <c r="H268" i="20"/>
  <c r="I281" i="20" s="1"/>
  <c r="M268" i="20"/>
  <c r="J268" i="20"/>
  <c r="J1040" i="19"/>
  <c r="J1067" i="19"/>
  <c r="J1094" i="19"/>
  <c r="J1136" i="19"/>
  <c r="J1163" i="19"/>
  <c r="J1190" i="19"/>
  <c r="L70" i="20"/>
  <c r="L67" i="20"/>
  <c r="L64" i="20"/>
  <c r="L61" i="20"/>
  <c r="L58" i="20"/>
  <c r="L55" i="20"/>
  <c r="L52" i="20"/>
  <c r="L49" i="20"/>
  <c r="L46" i="20"/>
  <c r="L43" i="20"/>
  <c r="L40" i="20"/>
  <c r="L37" i="20"/>
  <c r="L34" i="20"/>
  <c r="L31" i="20"/>
  <c r="L28" i="20"/>
  <c r="L25" i="20"/>
  <c r="L22" i="20"/>
  <c r="L19" i="20"/>
  <c r="L16" i="20"/>
  <c r="H7" i="20"/>
  <c r="H11" i="20"/>
  <c r="H15" i="20"/>
  <c r="J32" i="20"/>
  <c r="J59" i="20"/>
  <c r="M69" i="20"/>
  <c r="L69" i="20"/>
  <c r="J69" i="20"/>
  <c r="H69" i="20"/>
  <c r="L77" i="20"/>
  <c r="H97" i="20"/>
  <c r="J1015" i="19"/>
  <c r="J1027" i="19"/>
  <c r="J1054" i="19"/>
  <c r="J1081" i="19"/>
  <c r="J1108" i="19"/>
  <c r="J1150" i="19"/>
  <c r="J1177" i="19"/>
  <c r="J1204" i="19"/>
  <c r="J1233" i="19"/>
  <c r="J1247" i="19"/>
  <c r="J1261" i="19"/>
  <c r="J1275" i="19"/>
  <c r="J1305" i="19"/>
  <c r="J1319" i="19"/>
  <c r="J1333" i="19"/>
  <c r="J1347" i="19"/>
  <c r="J1377" i="19"/>
  <c r="J1391" i="19"/>
  <c r="J1405" i="19"/>
  <c r="J1419" i="19"/>
  <c r="J7" i="20"/>
  <c r="J11" i="20"/>
  <c r="M24" i="20"/>
  <c r="J24" i="20"/>
  <c r="H24" i="20"/>
  <c r="J41" i="20"/>
  <c r="J50" i="20"/>
  <c r="L112" i="20"/>
  <c r="M253" i="20"/>
  <c r="L253" i="20"/>
  <c r="J253" i="20"/>
  <c r="H253" i="20"/>
  <c r="I266" i="20" s="1"/>
  <c r="J1041" i="19"/>
  <c r="J1068" i="19"/>
  <c r="J1095" i="19"/>
  <c r="J1137" i="19"/>
  <c r="J1164" i="19"/>
  <c r="J1191" i="19"/>
  <c r="L15" i="20"/>
  <c r="L32" i="20"/>
  <c r="L59" i="20"/>
  <c r="M103" i="20"/>
  <c r="J103" i="20"/>
  <c r="M139" i="20"/>
  <c r="L139" i="20"/>
  <c r="J139" i="20"/>
  <c r="H139" i="20"/>
  <c r="J1016" i="19"/>
  <c r="J1028" i="19"/>
  <c r="J1055" i="19"/>
  <c r="J1082" i="19"/>
  <c r="J1124" i="19"/>
  <c r="J1151" i="19"/>
  <c r="J1178" i="19"/>
  <c r="J1220" i="19"/>
  <c r="J1234" i="19"/>
  <c r="J1248" i="19"/>
  <c r="J1262" i="19"/>
  <c r="J1276" i="19"/>
  <c r="J1306" i="19"/>
  <c r="J1320" i="19"/>
  <c r="J1334" i="19"/>
  <c r="J1348" i="19"/>
  <c r="J1378" i="19"/>
  <c r="J1392" i="19"/>
  <c r="J1406" i="19"/>
  <c r="J1420" i="19"/>
  <c r="L7" i="20"/>
  <c r="L11" i="20"/>
  <c r="L41" i="20"/>
  <c r="L50" i="20"/>
  <c r="M60" i="20"/>
  <c r="L60" i="20"/>
  <c r="J60" i="20"/>
  <c r="H60" i="20"/>
  <c r="H74" i="20"/>
  <c r="M83" i="20"/>
  <c r="L83" i="20"/>
  <c r="J83" i="20"/>
  <c r="H83" i="20"/>
  <c r="L97" i="20"/>
  <c r="M218" i="20"/>
  <c r="L218" i="20"/>
  <c r="J218" i="20"/>
  <c r="H218" i="20"/>
  <c r="I231" i="20" s="1"/>
  <c r="J1042" i="19"/>
  <c r="J1069" i="19"/>
  <c r="J1096" i="19"/>
  <c r="J1138" i="19"/>
  <c r="J1165" i="19"/>
  <c r="J1192" i="19"/>
  <c r="M3" i="20"/>
  <c r="J20" i="20"/>
  <c r="M33" i="20"/>
  <c r="J33" i="20"/>
  <c r="H33" i="20"/>
  <c r="H65" i="20"/>
  <c r="L138" i="20"/>
  <c r="H103" i="20"/>
  <c r="J1017" i="19"/>
  <c r="J1029" i="19"/>
  <c r="J1056" i="19"/>
  <c r="J1083" i="19"/>
  <c r="J1125" i="19"/>
  <c r="J1152" i="19"/>
  <c r="J1179" i="19"/>
  <c r="J1221" i="19"/>
  <c r="J1235" i="19"/>
  <c r="J1249" i="19"/>
  <c r="J1263" i="19"/>
  <c r="J1293" i="19"/>
  <c r="J1307" i="19"/>
  <c r="J1321" i="19"/>
  <c r="J1335" i="19"/>
  <c r="J1365" i="19"/>
  <c r="J1379" i="19"/>
  <c r="J1393" i="19"/>
  <c r="J1407" i="19"/>
  <c r="M12" i="20"/>
  <c r="L12" i="20"/>
  <c r="J12" i="20"/>
  <c r="L24" i="20"/>
  <c r="M42" i="20"/>
  <c r="L42" i="20"/>
  <c r="J42" i="20"/>
  <c r="H42" i="20"/>
  <c r="M51" i="20"/>
  <c r="L51" i="20"/>
  <c r="J51" i="20"/>
  <c r="H51" i="20"/>
  <c r="J74" i="20"/>
  <c r="L161" i="20"/>
  <c r="J161" i="20"/>
  <c r="J1447" i="19"/>
  <c r="J1435" i="19"/>
  <c r="J1423" i="19"/>
  <c r="J1411" i="19"/>
  <c r="J1399" i="19"/>
  <c r="J1387" i="19"/>
  <c r="J1375" i="19"/>
  <c r="J1363" i="19"/>
  <c r="J1351" i="19"/>
  <c r="J1339" i="19"/>
  <c r="J1327" i="19"/>
  <c r="J1315" i="19"/>
  <c r="J1303" i="19"/>
  <c r="J1291" i="19"/>
  <c r="J1279" i="19"/>
  <c r="J1267" i="19"/>
  <c r="J1255" i="19"/>
  <c r="J1243" i="19"/>
  <c r="J1231" i="19"/>
  <c r="J1219" i="19"/>
  <c r="J1207" i="19"/>
  <c r="J1195" i="19"/>
  <c r="J1183" i="19"/>
  <c r="J1171" i="19"/>
  <c r="J1159" i="19"/>
  <c r="J1147" i="19"/>
  <c r="J1135" i="19"/>
  <c r="J1123" i="19"/>
  <c r="J1111" i="19"/>
  <c r="J1099" i="19"/>
  <c r="J1087" i="19"/>
  <c r="J1075" i="19"/>
  <c r="J1063" i="19"/>
  <c r="J1051" i="19"/>
  <c r="J1039" i="19"/>
  <c r="J1446" i="19"/>
  <c r="J1434" i="19"/>
  <c r="J1422" i="19"/>
  <c r="J1410" i="19"/>
  <c r="J1398" i="19"/>
  <c r="J1386" i="19"/>
  <c r="J1374" i="19"/>
  <c r="J1362" i="19"/>
  <c r="J1350" i="19"/>
  <c r="J1338" i="19"/>
  <c r="J1326" i="19"/>
  <c r="J1314" i="19"/>
  <c r="J1302" i="19"/>
  <c r="J1290" i="19"/>
  <c r="J1278" i="19"/>
  <c r="J1266" i="19"/>
  <c r="J1254" i="19"/>
  <c r="J1242" i="19"/>
  <c r="J1230" i="19"/>
  <c r="J1218" i="19"/>
  <c r="J1206" i="19"/>
  <c r="J1194" i="19"/>
  <c r="J1182" i="19"/>
  <c r="J1170" i="19"/>
  <c r="J1158" i="19"/>
  <c r="J1146" i="19"/>
  <c r="J1134" i="19"/>
  <c r="J1122" i="19"/>
  <c r="J1110" i="19"/>
  <c r="J1098" i="19"/>
  <c r="J1086" i="19"/>
  <c r="J1074" i="19"/>
  <c r="J1062" i="19"/>
  <c r="J1050" i="19"/>
  <c r="J1038" i="19"/>
  <c r="J1445" i="19"/>
  <c r="J1433" i="19"/>
  <c r="J1421" i="19"/>
  <c r="J1409" i="19"/>
  <c r="J1397" i="19"/>
  <c r="J1385" i="19"/>
  <c r="J1373" i="19"/>
  <c r="J1361" i="19"/>
  <c r="J1349" i="19"/>
  <c r="J1337" i="19"/>
  <c r="J1325" i="19"/>
  <c r="J1313" i="19"/>
  <c r="J1301" i="19"/>
  <c r="J1289" i="19"/>
  <c r="J1277" i="19"/>
  <c r="J1265" i="19"/>
  <c r="J1253" i="19"/>
  <c r="J1241" i="19"/>
  <c r="J1229" i="19"/>
  <c r="J1217" i="19"/>
  <c r="J1205" i="19"/>
  <c r="J1193" i="19"/>
  <c r="J1181" i="19"/>
  <c r="J1169" i="19"/>
  <c r="J1157" i="19"/>
  <c r="J1145" i="19"/>
  <c r="J1133" i="19"/>
  <c r="J1121" i="19"/>
  <c r="J1109" i="19"/>
  <c r="J1097" i="19"/>
  <c r="J1085" i="19"/>
  <c r="J1073" i="19"/>
  <c r="J1061" i="19"/>
  <c r="J1049" i="19"/>
  <c r="J1037" i="19"/>
  <c r="J1448" i="19"/>
  <c r="J1436" i="19"/>
  <c r="J1424" i="19"/>
  <c r="J1412" i="19"/>
  <c r="J1400" i="19"/>
  <c r="J1388" i="19"/>
  <c r="J1376" i="19"/>
  <c r="J1364" i="19"/>
  <c r="J1352" i="19"/>
  <c r="J1340" i="19"/>
  <c r="J1328" i="19"/>
  <c r="J1316" i="19"/>
  <c r="J1304" i="19"/>
  <c r="J1292" i="19"/>
  <c r="J1280" i="19"/>
  <c r="J1268" i="19"/>
  <c r="J1256" i="19"/>
  <c r="J1244" i="19"/>
  <c r="J1232" i="19"/>
  <c r="J1043" i="19"/>
  <c r="J1070" i="19"/>
  <c r="J1112" i="19"/>
  <c r="J1139" i="19"/>
  <c r="J1166" i="19"/>
  <c r="J1208" i="19"/>
  <c r="L20" i="20"/>
  <c r="J65" i="20"/>
  <c r="M109" i="20"/>
  <c r="J109" i="20"/>
  <c r="M133" i="20"/>
  <c r="L133" i="20"/>
  <c r="J133" i="20"/>
  <c r="H133" i="20"/>
  <c r="M168" i="20"/>
  <c r="L168" i="20"/>
  <c r="J168" i="20"/>
  <c r="H168" i="20"/>
  <c r="I181" i="20" s="1"/>
  <c r="M242" i="20"/>
  <c r="L242" i="20"/>
  <c r="J242" i="20"/>
  <c r="M270" i="20"/>
  <c r="H281" i="20"/>
  <c r="M281" i="20"/>
  <c r="L281" i="20"/>
  <c r="J281" i="20"/>
  <c r="J1018" i="19"/>
  <c r="J1030" i="19"/>
  <c r="J1057" i="19"/>
  <c r="J1084" i="19"/>
  <c r="J1126" i="19"/>
  <c r="J1153" i="19"/>
  <c r="J1180" i="19"/>
  <c r="J1222" i="19"/>
  <c r="J1236" i="19"/>
  <c r="J1250" i="19"/>
  <c r="J1264" i="19"/>
  <c r="J1294" i="19"/>
  <c r="J1308" i="19"/>
  <c r="J1322" i="19"/>
  <c r="J1336" i="19"/>
  <c r="J1366" i="19"/>
  <c r="J1380" i="19"/>
  <c r="J1394" i="19"/>
  <c r="J1408" i="19"/>
  <c r="J1438" i="19"/>
  <c r="H4" i="20"/>
  <c r="H8" i="20"/>
  <c r="H12" i="20"/>
  <c r="J29" i="20"/>
  <c r="H38" i="20"/>
  <c r="H47" i="20"/>
  <c r="H56" i="20"/>
  <c r="L74" i="20"/>
  <c r="L103" i="20"/>
  <c r="M180" i="20"/>
  <c r="L180" i="20"/>
  <c r="J180" i="20"/>
  <c r="H180" i="20"/>
  <c r="I193" i="20" s="1"/>
  <c r="H196" i="20"/>
  <c r="I209" i="20" s="1"/>
  <c r="M196" i="20"/>
  <c r="L196" i="20"/>
  <c r="J196" i="20"/>
  <c r="M254" i="20"/>
  <c r="L254" i="20"/>
  <c r="J254" i="20"/>
  <c r="H254" i="20"/>
  <c r="I267" i="20" s="1"/>
  <c r="J1044" i="19"/>
  <c r="J1071" i="19"/>
  <c r="J1113" i="19"/>
  <c r="J1140" i="19"/>
  <c r="J1167" i="19"/>
  <c r="J1209" i="19"/>
  <c r="J4" i="20"/>
  <c r="J8" i="20"/>
  <c r="M21" i="20"/>
  <c r="J21" i="20"/>
  <c r="H21" i="20"/>
  <c r="L33" i="20"/>
  <c r="L65" i="20"/>
  <c r="M89" i="20"/>
  <c r="L89" i="20"/>
  <c r="J89" i="20"/>
  <c r="H89" i="20"/>
  <c r="M94" i="20"/>
  <c r="J94" i="20"/>
  <c r="H109" i="20"/>
  <c r="M277" i="20"/>
  <c r="L277" i="20"/>
  <c r="J277" i="20"/>
  <c r="H277" i="20"/>
  <c r="J1019" i="19"/>
  <c r="J1031" i="19"/>
  <c r="J1058" i="19"/>
  <c r="J1100" i="19"/>
  <c r="J1127" i="19"/>
  <c r="J1154" i="19"/>
  <c r="J1196" i="19"/>
  <c r="J1223" i="19"/>
  <c r="J1237" i="19"/>
  <c r="J1251" i="19"/>
  <c r="J1281" i="19"/>
  <c r="J1295" i="19"/>
  <c r="J1309" i="19"/>
  <c r="J1323" i="19"/>
  <c r="J1353" i="19"/>
  <c r="J1367" i="19"/>
  <c r="J1381" i="19"/>
  <c r="J1395" i="19"/>
  <c r="J1425" i="19"/>
  <c r="J1439" i="19"/>
  <c r="H13" i="20"/>
  <c r="L29" i="20"/>
  <c r="J38" i="20"/>
  <c r="J47" i="20"/>
  <c r="J56" i="20"/>
  <c r="M66" i="20"/>
  <c r="L66" i="20"/>
  <c r="J66" i="20"/>
  <c r="H66" i="20"/>
  <c r="M127" i="20"/>
  <c r="L127" i="20"/>
  <c r="J127" i="20"/>
  <c r="H127" i="20"/>
  <c r="L181" i="20"/>
  <c r="J181" i="20"/>
  <c r="J192" i="20"/>
  <c r="H192" i="20"/>
  <c r="I205" i="20" s="1"/>
  <c r="J1045" i="19"/>
  <c r="J1072" i="19"/>
  <c r="J1114" i="19"/>
  <c r="J1141" i="19"/>
  <c r="J1168" i="19"/>
  <c r="J1210" i="19"/>
  <c r="L4" i="20"/>
  <c r="L8" i="20"/>
  <c r="M75" i="20"/>
  <c r="L75" i="20"/>
  <c r="J75" i="20"/>
  <c r="H75" i="20"/>
  <c r="H76" i="20"/>
  <c r="M115" i="20"/>
  <c r="J115" i="20"/>
  <c r="J1020" i="19"/>
  <c r="J1032" i="19"/>
  <c r="J1059" i="19"/>
  <c r="J1101" i="19"/>
  <c r="J1128" i="19"/>
  <c r="J1155" i="19"/>
  <c r="J1197" i="19"/>
  <c r="J1224" i="19"/>
  <c r="J1238" i="19"/>
  <c r="J1252" i="19"/>
  <c r="J1282" i="19"/>
  <c r="J1296" i="19"/>
  <c r="J1310" i="19"/>
  <c r="J1324" i="19"/>
  <c r="J1354" i="19"/>
  <c r="J1368" i="19"/>
  <c r="J1382" i="19"/>
  <c r="J1396" i="19"/>
  <c r="J1426" i="19"/>
  <c r="J1440" i="19"/>
  <c r="M30" i="20"/>
  <c r="J30" i="20"/>
  <c r="H30" i="20"/>
  <c r="L38" i="20"/>
  <c r="L47" i="20"/>
  <c r="L56" i="20"/>
  <c r="L109" i="20"/>
  <c r="M121" i="20"/>
  <c r="L121" i="20"/>
  <c r="J121" i="20"/>
  <c r="H121" i="20"/>
  <c r="J1046" i="19"/>
  <c r="J1088" i="19"/>
  <c r="J1115" i="19"/>
  <c r="J1142" i="19"/>
  <c r="J1184" i="19"/>
  <c r="J1211" i="19"/>
  <c r="H6" i="20"/>
  <c r="M5" i="20"/>
  <c r="L5" i="20"/>
  <c r="L21" i="20"/>
  <c r="M57" i="20"/>
  <c r="L57" i="20"/>
  <c r="J57" i="20"/>
  <c r="H57" i="20"/>
  <c r="J71" i="20"/>
  <c r="M80" i="20"/>
  <c r="L80" i="20"/>
  <c r="J80" i="20"/>
  <c r="H80" i="20"/>
  <c r="L91" i="20"/>
  <c r="L88" i="20"/>
  <c r="M100" i="20"/>
  <c r="J100" i="20"/>
  <c r="H115" i="20"/>
  <c r="H220" i="20"/>
  <c r="I233" i="20" s="1"/>
  <c r="M220" i="20"/>
  <c r="L220" i="20"/>
  <c r="J220" i="20"/>
  <c r="J1009" i="19"/>
  <c r="J1021" i="19"/>
  <c r="J1033" i="19"/>
  <c r="J1060" i="19"/>
  <c r="J1102" i="19"/>
  <c r="J1129" i="19"/>
  <c r="J1156" i="19"/>
  <c r="J1198" i="19"/>
  <c r="J1225" i="19"/>
  <c r="J1239" i="19"/>
  <c r="J1269" i="19"/>
  <c r="J1283" i="19"/>
  <c r="J1297" i="19"/>
  <c r="J1311" i="19"/>
  <c r="J1341" i="19"/>
  <c r="J1355" i="19"/>
  <c r="J1369" i="19"/>
  <c r="J1383" i="19"/>
  <c r="J1413" i="19"/>
  <c r="J1427" i="19"/>
  <c r="J1441" i="19"/>
  <c r="L13" i="20"/>
  <c r="L17" i="20"/>
  <c r="M39" i="20"/>
  <c r="L39" i="20"/>
  <c r="J39" i="20"/>
  <c r="H39" i="20"/>
  <c r="M48" i="20"/>
  <c r="L48" i="20"/>
  <c r="J48" i="20"/>
  <c r="H48" i="20"/>
  <c r="H62" i="20"/>
  <c r="L94" i="20"/>
  <c r="L93" i="20"/>
  <c r="L96" i="20"/>
  <c r="L99" i="20"/>
  <c r="L102" i="20"/>
  <c r="L105" i="20"/>
  <c r="L108" i="20"/>
  <c r="L111" i="20"/>
  <c r="L114" i="20"/>
  <c r="L117" i="20"/>
  <c r="L120" i="20"/>
  <c r="L123" i="20"/>
  <c r="L126" i="20"/>
  <c r="L129" i="20"/>
  <c r="L132" i="20"/>
  <c r="L135" i="20"/>
  <c r="H144" i="20"/>
  <c r="H147" i="20"/>
  <c r="H150" i="20"/>
  <c r="H153" i="20"/>
  <c r="H156" i="20"/>
  <c r="H159" i="20"/>
  <c r="L163" i="20"/>
  <c r="D179" i="20"/>
  <c r="L187" i="20"/>
  <c r="D203" i="20"/>
  <c r="D227" i="20"/>
  <c r="L235" i="20"/>
  <c r="D251" i="20"/>
  <c r="D275" i="20"/>
  <c r="D166" i="20"/>
  <c r="D190" i="20"/>
  <c r="D214" i="20"/>
  <c r="D238" i="20"/>
  <c r="D262" i="20"/>
  <c r="D164" i="20"/>
  <c r="D188" i="20"/>
  <c r="D212" i="20"/>
  <c r="D236" i="20"/>
  <c r="D260" i="20"/>
  <c r="D175" i="20"/>
  <c r="D199" i="20"/>
  <c r="D223" i="20"/>
  <c r="D247" i="20"/>
  <c r="AS26" i="1"/>
  <c r="H177" i="20"/>
  <c r="I190" i="20" s="1"/>
  <c r="D221" i="20"/>
  <c r="H249" i="20"/>
  <c r="I262" i="20" s="1"/>
  <c r="D269" i="20"/>
  <c r="H273" i="20"/>
  <c r="D160" i="20"/>
  <c r="D184" i="20"/>
  <c r="D208" i="20"/>
  <c r="D232" i="20"/>
  <c r="D256" i="20"/>
  <c r="D280" i="20"/>
  <c r="J177" i="20"/>
  <c r="J249" i="20"/>
  <c r="H271" i="20"/>
  <c r="J273" i="20"/>
  <c r="D182" i="20"/>
  <c r="D206" i="20"/>
  <c r="H210" i="20"/>
  <c r="I223" i="20" s="1"/>
  <c r="D230" i="20"/>
  <c r="H258" i="20"/>
  <c r="I271" i="20" s="1"/>
  <c r="D278" i="20"/>
  <c r="BM19" i="1"/>
  <c r="BM20" i="1" s="1"/>
  <c r="D140" i="20"/>
  <c r="L152" i="20" s="1"/>
  <c r="J142" i="20"/>
  <c r="J145" i="20"/>
  <c r="J148" i="20"/>
  <c r="J151" i="20"/>
  <c r="J154" i="20"/>
  <c r="J157" i="20"/>
  <c r="D169" i="20"/>
  <c r="L177" i="20"/>
  <c r="D193" i="20"/>
  <c r="D217" i="20"/>
  <c r="D241" i="20"/>
  <c r="L249" i="20"/>
  <c r="D265" i="20"/>
  <c r="J271" i="20"/>
  <c r="L273" i="20"/>
  <c r="J186" i="20"/>
  <c r="J210" i="20"/>
  <c r="J258" i="20"/>
  <c r="E26" i="1"/>
  <c r="A28" i="1"/>
  <c r="X27" i="1"/>
  <c r="AJ27" i="1" s="1"/>
  <c r="AI27" i="1"/>
  <c r="AG27" i="1"/>
  <c r="AD27" i="1"/>
  <c r="Z27" i="1"/>
  <c r="AL27" i="1" s="1"/>
  <c r="AH27" i="1"/>
  <c r="AE27" i="1"/>
  <c r="AC27" i="1"/>
  <c r="AO27" i="1" s="1"/>
  <c r="AB27" i="1"/>
  <c r="AN27" i="1" s="1"/>
  <c r="AF27" i="1"/>
  <c r="Y27" i="1"/>
  <c r="AK27" i="1" s="1"/>
  <c r="AA27" i="1"/>
  <c r="AM27" i="1" s="1"/>
  <c r="C27" i="1"/>
  <c r="D27" i="1"/>
  <c r="B27" i="1"/>
  <c r="H95" i="20"/>
  <c r="H98" i="20"/>
  <c r="H101" i="20"/>
  <c r="H104" i="20"/>
  <c r="H107" i="20"/>
  <c r="H110" i="20"/>
  <c r="H113" i="20"/>
  <c r="H116" i="20"/>
  <c r="H119" i="20"/>
  <c r="H122" i="20"/>
  <c r="H125" i="20"/>
  <c r="H128" i="20"/>
  <c r="H131" i="20"/>
  <c r="H134" i="20"/>
  <c r="H137" i="20"/>
  <c r="D167" i="20"/>
  <c r="H171" i="20"/>
  <c r="I184" i="20" s="1"/>
  <c r="D191" i="20"/>
  <c r="D215" i="20"/>
  <c r="H219" i="20"/>
  <c r="I232" i="20" s="1"/>
  <c r="D239" i="20"/>
  <c r="D263" i="20"/>
  <c r="H267" i="20"/>
  <c r="I280" i="20" s="1"/>
  <c r="L271" i="20"/>
  <c r="L210" i="20"/>
  <c r="J95" i="20"/>
  <c r="J98" i="20"/>
  <c r="J101" i="20"/>
  <c r="J104" i="20"/>
  <c r="J107" i="20"/>
  <c r="J110" i="20"/>
  <c r="J113" i="20"/>
  <c r="J116" i="20"/>
  <c r="J119" i="20"/>
  <c r="J122" i="20"/>
  <c r="J125" i="20"/>
  <c r="J128" i="20"/>
  <c r="J131" i="20"/>
  <c r="J134" i="20"/>
  <c r="J137" i="20"/>
  <c r="D165" i="20"/>
  <c r="J171" i="20"/>
  <c r="D189" i="20"/>
  <c r="D213" i="20"/>
  <c r="J219" i="20"/>
  <c r="D237" i="20"/>
  <c r="D261" i="20"/>
  <c r="J267" i="20"/>
  <c r="L92" i="20"/>
  <c r="D176" i="20"/>
  <c r="D200" i="20"/>
  <c r="D224" i="20"/>
  <c r="D248" i="20"/>
  <c r="D272" i="20"/>
  <c r="AD19" i="1"/>
  <c r="AJ19" i="1"/>
  <c r="L95" i="20"/>
  <c r="L98" i="20"/>
  <c r="L101" i="20"/>
  <c r="L104" i="20"/>
  <c r="L107" i="20"/>
  <c r="L110" i="20"/>
  <c r="L113" i="20"/>
  <c r="L116" i="20"/>
  <c r="L119" i="20"/>
  <c r="L122" i="20"/>
  <c r="L125" i="20"/>
  <c r="L128" i="20"/>
  <c r="L131" i="20"/>
  <c r="L134" i="20"/>
  <c r="L137" i="20"/>
  <c r="L171" i="20"/>
  <c r="L219" i="20"/>
  <c r="L267" i="20"/>
  <c r="AE19" i="1"/>
  <c r="AK19" i="1"/>
  <c r="M131" i="20"/>
  <c r="M134" i="20"/>
  <c r="M137" i="20"/>
  <c r="H178" i="20"/>
  <c r="I191" i="20" s="1"/>
  <c r="H202" i="20"/>
  <c r="I215" i="20" s="1"/>
  <c r="H226" i="20"/>
  <c r="I239" i="20" s="1"/>
  <c r="H250" i="20"/>
  <c r="I263" i="20" s="1"/>
  <c r="AF19" i="1"/>
  <c r="AL19" i="1"/>
  <c r="H78" i="20"/>
  <c r="H81" i="20"/>
  <c r="H84" i="20"/>
  <c r="H87" i="20"/>
  <c r="H90" i="20"/>
  <c r="J143" i="20"/>
  <c r="J146" i="20"/>
  <c r="J149" i="20"/>
  <c r="J152" i="20"/>
  <c r="J155" i="20"/>
  <c r="J158" i="20"/>
  <c r="AG19" i="1"/>
  <c r="AM19" i="1"/>
  <c r="H9" i="20"/>
  <c r="J202" i="20"/>
  <c r="J226" i="20"/>
  <c r="J274" i="20"/>
  <c r="AH19" i="1"/>
  <c r="AN19" i="1"/>
  <c r="J9" i="20"/>
  <c r="H16" i="20"/>
  <c r="H19" i="20"/>
  <c r="H22" i="20"/>
  <c r="H25" i="20"/>
  <c r="H28" i="20"/>
  <c r="H31" i="20"/>
  <c r="H34" i="20"/>
  <c r="H37" i="20"/>
  <c r="H40" i="20"/>
  <c r="H43" i="20"/>
  <c r="H46" i="20"/>
  <c r="H49" i="20"/>
  <c r="H52" i="20"/>
  <c r="H55" i="20"/>
  <c r="H58" i="20"/>
  <c r="H61" i="20"/>
  <c r="H64" i="20"/>
  <c r="H67" i="20"/>
  <c r="H70" i="20"/>
  <c r="G73" i="20"/>
  <c r="J78" i="20"/>
  <c r="J81" i="20"/>
  <c r="J84" i="20"/>
  <c r="J87" i="20"/>
  <c r="J90" i="20"/>
  <c r="H93" i="20"/>
  <c r="H96" i="20"/>
  <c r="H99" i="20"/>
  <c r="H102" i="20"/>
  <c r="H105" i="20"/>
  <c r="H108" i="20"/>
  <c r="H111" i="20"/>
  <c r="H114" i="20"/>
  <c r="H117" i="20"/>
  <c r="H120" i="20"/>
  <c r="H123" i="20"/>
  <c r="H126" i="20"/>
  <c r="H129" i="20"/>
  <c r="H163" i="20"/>
  <c r="I176" i="20" s="1"/>
  <c r="H187" i="20"/>
  <c r="I200" i="20" s="1"/>
  <c r="H235" i="20"/>
  <c r="I248" i="20" s="1"/>
  <c r="AI19" i="1"/>
  <c r="AO19" i="1"/>
  <c r="L178" i="20"/>
  <c r="L202" i="20"/>
  <c r="L226" i="20"/>
  <c r="L250" i="20"/>
  <c r="L274" i="20"/>
  <c r="A5" i="1"/>
  <c r="A12" i="1"/>
  <c r="L9" i="20"/>
  <c r="L78" i="20"/>
  <c r="L81" i="20"/>
  <c r="L84" i="20"/>
  <c r="L87" i="20"/>
  <c r="L90" i="20"/>
  <c r="AK208" i="23"/>
  <c r="AJ208" i="23"/>
  <c r="AI208" i="23"/>
  <c r="AH208" i="23"/>
  <c r="AG208" i="23"/>
  <c r="O13" i="25"/>
  <c r="O15" i="25"/>
  <c r="L13" i="25"/>
  <c r="L14" i="25"/>
  <c r="L15" i="25"/>
  <c r="O14" i="25"/>
  <c r="AW25" i="1"/>
  <c r="AW23" i="1"/>
  <c r="AW22" i="1"/>
  <c r="AW21" i="1"/>
  <c r="AW19" i="1"/>
  <c r="AX27" i="1"/>
  <c r="AV25" i="1"/>
  <c r="AV23" i="1"/>
  <c r="AV21" i="1"/>
  <c r="AV20" i="1"/>
  <c r="AV19" i="1"/>
  <c r="AZ24" i="1"/>
  <c r="AZ23" i="1"/>
  <c r="AZ21" i="1"/>
  <c r="AZ19" i="1"/>
  <c r="BB26" i="1"/>
  <c r="BB25" i="1"/>
  <c r="BB24" i="1"/>
  <c r="BB19" i="1"/>
  <c r="BA25" i="1"/>
  <c r="BA23" i="1"/>
  <c r="AX26" i="1"/>
  <c r="AX25" i="1"/>
  <c r="AX24" i="1"/>
  <c r="AX23" i="1"/>
  <c r="AX22" i="1"/>
  <c r="AX21" i="1"/>
  <c r="AX20" i="1"/>
  <c r="AX19" i="1"/>
  <c r="AY26" i="1"/>
  <c r="AY23" i="1"/>
  <c r="AY19" i="1"/>
  <c r="BC25" i="1"/>
  <c r="BC22" i="1"/>
  <c r="BC20" i="1"/>
  <c r="AW26" i="1"/>
  <c r="BC27" i="1"/>
  <c r="AV27" i="1"/>
  <c r="AW27" i="1"/>
  <c r="AZ25" i="1"/>
  <c r="AV22" i="1"/>
  <c r="BB23" i="1"/>
  <c r="BB22" i="1"/>
  <c r="BB20" i="1"/>
  <c r="BA26" i="1"/>
  <c r="BA20" i="1"/>
  <c r="BC24" i="1"/>
  <c r="AW24" i="1"/>
  <c r="AW20" i="1"/>
  <c r="BA27" i="1"/>
  <c r="AZ27" i="1"/>
  <c r="BB27" i="1"/>
  <c r="AY27" i="1"/>
  <c r="AV26" i="1"/>
  <c r="AV24" i="1"/>
  <c r="AZ26" i="1"/>
  <c r="AZ22" i="1"/>
  <c r="AZ20" i="1"/>
  <c r="BB21" i="1"/>
  <c r="AY25" i="1"/>
  <c r="AY24" i="1"/>
  <c r="AY22" i="1"/>
  <c r="AY21" i="1"/>
  <c r="AY20" i="1"/>
  <c r="BA24" i="1"/>
  <c r="BA22" i="1"/>
  <c r="BA21" i="1"/>
  <c r="BA19" i="1"/>
  <c r="BC26" i="1"/>
  <c r="BC23" i="1"/>
  <c r="BC21" i="1"/>
  <c r="BC19" i="1"/>
  <c r="F26" i="1"/>
  <c r="R26" i="1"/>
  <c r="J26" i="1"/>
  <c r="M26" i="1"/>
  <c r="G26" i="1"/>
  <c r="T26" i="1"/>
  <c r="O26" i="1"/>
  <c r="Q26" i="1"/>
  <c r="I26" i="1"/>
  <c r="P26" i="1"/>
  <c r="N26" i="1"/>
  <c r="S26" i="1"/>
  <c r="L26" i="1"/>
  <c r="K26" i="1"/>
  <c r="H26" i="1"/>
  <c r="L185" i="20" l="1"/>
  <c r="J282" i="20"/>
  <c r="J225" i="20"/>
  <c r="H225" i="20"/>
  <c r="I238" i="20" s="1"/>
  <c r="L282" i="20"/>
  <c r="H282" i="20"/>
  <c r="H222" i="20"/>
  <c r="I235" i="20" s="1"/>
  <c r="J222" i="20"/>
  <c r="M187" i="20"/>
  <c r="L209" i="20"/>
  <c r="L233" i="20"/>
  <c r="L186" i="20"/>
  <c r="M233" i="20"/>
  <c r="H234" i="20"/>
  <c r="I247" i="20" s="1"/>
  <c r="M235" i="20"/>
  <c r="J209" i="20"/>
  <c r="M209" i="20"/>
  <c r="J233" i="20"/>
  <c r="L234" i="20"/>
  <c r="J185" i="20"/>
  <c r="H185" i="20"/>
  <c r="I198" i="20" s="1"/>
  <c r="H243" i="20"/>
  <c r="I256" i="20" s="1"/>
  <c r="J243" i="20"/>
  <c r="L192" i="20"/>
  <c r="H186" i="20"/>
  <c r="I199" i="20" s="1"/>
  <c r="H181" i="20"/>
  <c r="I194" i="20" s="1"/>
  <c r="L243" i="20"/>
  <c r="J250" i="20"/>
  <c r="J234" i="20"/>
  <c r="J178" i="20"/>
  <c r="L225" i="20"/>
  <c r="L204" i="20"/>
  <c r="M246" i="20"/>
  <c r="H246" i="20"/>
  <c r="I259" i="20" s="1"/>
  <c r="J246" i="20"/>
  <c r="L279" i="20"/>
  <c r="M279" i="20"/>
  <c r="M161" i="20"/>
  <c r="M252" i="20"/>
  <c r="M216" i="20"/>
  <c r="U26" i="1"/>
  <c r="B7" i="7"/>
  <c r="H170" i="20"/>
  <c r="I183" i="20" s="1"/>
  <c r="H252" i="20"/>
  <c r="I265" i="20" s="1"/>
  <c r="H205" i="20"/>
  <c r="I218" i="20" s="1"/>
  <c r="J170" i="20"/>
  <c r="H245" i="20"/>
  <c r="I258" i="20" s="1"/>
  <c r="J205" i="20"/>
  <c r="L170" i="20"/>
  <c r="M205" i="20"/>
  <c r="H276" i="20"/>
  <c r="H283" i="20"/>
  <c r="J276" i="20"/>
  <c r="L276" i="20"/>
  <c r="L270" i="20"/>
  <c r="H274" i="20"/>
  <c r="H270" i="20"/>
  <c r="I283" i="20" s="1"/>
  <c r="J257" i="20"/>
  <c r="H228" i="20"/>
  <c r="I241" i="20" s="1"/>
  <c r="L257" i="20"/>
  <c r="J228" i="20"/>
  <c r="M257" i="20"/>
  <c r="L228" i="20"/>
  <c r="L222" i="20"/>
  <c r="H279" i="20"/>
  <c r="H204" i="20"/>
  <c r="I217" i="20" s="1"/>
  <c r="L245" i="20"/>
  <c r="H197" i="20"/>
  <c r="I210" i="20" s="1"/>
  <c r="M245" i="20"/>
  <c r="H142" i="20"/>
  <c r="I155" i="20" s="1"/>
  <c r="J204" i="20"/>
  <c r="H141" i="20"/>
  <c r="I154" i="20" s="1"/>
  <c r="J141" i="20"/>
  <c r="L141" i="20"/>
  <c r="J197" i="20"/>
  <c r="H162" i="20"/>
  <c r="I175" i="20" s="1"/>
  <c r="L195" i="20"/>
  <c r="J207" i="20"/>
  <c r="J162" i="20"/>
  <c r="L211" i="20"/>
  <c r="M174" i="20"/>
  <c r="L174" i="20"/>
  <c r="H174" i="20"/>
  <c r="I187" i="20" s="1"/>
  <c r="L197" i="20"/>
  <c r="L201" i="20"/>
  <c r="H207" i="20"/>
  <c r="I220" i="20" s="1"/>
  <c r="L258" i="20"/>
  <c r="H173" i="20"/>
  <c r="I186" i="20" s="1"/>
  <c r="H211" i="20"/>
  <c r="I224" i="20" s="1"/>
  <c r="J173" i="20"/>
  <c r="H264" i="20"/>
  <c r="I277" i="20" s="1"/>
  <c r="J201" i="20"/>
  <c r="L173" i="20"/>
  <c r="J264" i="20"/>
  <c r="J244" i="20"/>
  <c r="L162" i="20"/>
  <c r="H201" i="20"/>
  <c r="I214" i="20" s="1"/>
  <c r="L264" i="20"/>
  <c r="L244" i="20"/>
  <c r="J195" i="20"/>
  <c r="H195" i="20"/>
  <c r="I208" i="20" s="1"/>
  <c r="J211" i="20"/>
  <c r="H231" i="20"/>
  <c r="I244" i="20" s="1"/>
  <c r="J231" i="20"/>
  <c r="L231" i="20"/>
  <c r="HE25" i="1"/>
  <c r="L283" i="20"/>
  <c r="M283" i="20"/>
  <c r="L149" i="20"/>
  <c r="L207" i="20"/>
  <c r="G12" i="18"/>
  <c r="AB53" i="18" s="1"/>
  <c r="AB62" i="18" s="1"/>
  <c r="AC62" i="18" s="1"/>
  <c r="BE21" i="1"/>
  <c r="HA26" i="1"/>
  <c r="HC26" i="1" s="1"/>
  <c r="HG26" i="1" s="1"/>
  <c r="V26" i="1"/>
  <c r="W26" i="1"/>
  <c r="FU26" i="1"/>
  <c r="FW26" i="1" s="1"/>
  <c r="I66" i="20"/>
  <c r="L143" i="20"/>
  <c r="I113" i="20"/>
  <c r="M183" i="20"/>
  <c r="L183" i="20"/>
  <c r="J183" i="20"/>
  <c r="H183" i="20"/>
  <c r="I196" i="20" s="1"/>
  <c r="I44" i="20"/>
  <c r="I43" i="20"/>
  <c r="L146" i="20"/>
  <c r="I33" i="20"/>
  <c r="M255" i="20"/>
  <c r="L255" i="20"/>
  <c r="J255" i="20"/>
  <c r="H255" i="20"/>
  <c r="I268" i="20" s="1"/>
  <c r="I159" i="20"/>
  <c r="M194" i="20"/>
  <c r="L194" i="20"/>
  <c r="J194" i="20"/>
  <c r="H194" i="20"/>
  <c r="I207" i="20" s="1"/>
  <c r="I156" i="20"/>
  <c r="I106" i="20"/>
  <c r="L157" i="20"/>
  <c r="L145" i="20"/>
  <c r="I45" i="20"/>
  <c r="L151" i="20"/>
  <c r="L142" i="20"/>
  <c r="L144" i="20"/>
  <c r="L154" i="20"/>
  <c r="J259" i="20"/>
  <c r="M259" i="20"/>
  <c r="L259" i="20"/>
  <c r="L147" i="20"/>
  <c r="I131" i="20"/>
  <c r="I94" i="20"/>
  <c r="L159" i="20"/>
  <c r="L155" i="20"/>
  <c r="I92" i="20"/>
  <c r="J163" i="20"/>
  <c r="M163" i="20"/>
  <c r="L153" i="20"/>
  <c r="L156" i="20"/>
  <c r="M266" i="20"/>
  <c r="L266" i="20"/>
  <c r="J266" i="20"/>
  <c r="H266" i="20"/>
  <c r="I279" i="20" s="1"/>
  <c r="AR27" i="1"/>
  <c r="AT19" i="1"/>
  <c r="CO19" i="1" s="1"/>
  <c r="AP19" i="1"/>
  <c r="AT27" i="1"/>
  <c r="AU19" i="1"/>
  <c r="GG19" i="1" s="1"/>
  <c r="AQ27" i="1"/>
  <c r="AS19" i="1"/>
  <c r="AU27" i="1"/>
  <c r="AS27" i="1"/>
  <c r="AA9" i="25"/>
  <c r="AA10" i="25"/>
  <c r="AA4" i="25"/>
  <c r="AA7" i="25"/>
  <c r="AA5" i="25"/>
  <c r="AA6" i="25"/>
  <c r="AA8" i="25"/>
  <c r="GT19" i="1"/>
  <c r="FV19" i="1"/>
  <c r="HB19" i="1"/>
  <c r="HF19" i="1" s="1"/>
  <c r="BJ19" i="1"/>
  <c r="BJ20" i="1"/>
  <c r="M189" i="20"/>
  <c r="L189" i="20"/>
  <c r="J189" i="20"/>
  <c r="H189" i="20"/>
  <c r="I202" i="20" s="1"/>
  <c r="I122" i="20"/>
  <c r="W2" i="19"/>
  <c r="W6" i="19" s="1"/>
  <c r="I28" i="20"/>
  <c r="I104" i="20"/>
  <c r="I24" i="20"/>
  <c r="I40" i="20"/>
  <c r="I31" i="20"/>
  <c r="M241" i="20"/>
  <c r="L241" i="20"/>
  <c r="J241" i="20"/>
  <c r="H241" i="20"/>
  <c r="I254" i="20" s="1"/>
  <c r="I20" i="20"/>
  <c r="I79" i="20"/>
  <c r="I84" i="20"/>
  <c r="I83" i="20"/>
  <c r="I27" i="20"/>
  <c r="I82" i="20"/>
  <c r="I123" i="20"/>
  <c r="I120" i="20"/>
  <c r="I76" i="20"/>
  <c r="M199" i="20"/>
  <c r="L199" i="20"/>
  <c r="J199" i="20"/>
  <c r="H199" i="20"/>
  <c r="I212" i="20" s="1"/>
  <c r="M262" i="20"/>
  <c r="L262" i="20"/>
  <c r="J262" i="20"/>
  <c r="H262" i="20"/>
  <c r="I275" i="20" s="1"/>
  <c r="I71" i="20"/>
  <c r="M215" i="20"/>
  <c r="L215" i="20"/>
  <c r="J215" i="20"/>
  <c r="H215" i="20"/>
  <c r="I228" i="20" s="1"/>
  <c r="I111" i="20"/>
  <c r="I68" i="20"/>
  <c r="AQ19" i="1"/>
  <c r="I108" i="20"/>
  <c r="I107" i="20"/>
  <c r="M280" i="20"/>
  <c r="L280" i="20"/>
  <c r="J280" i="20"/>
  <c r="H280" i="20"/>
  <c r="M175" i="20"/>
  <c r="L175" i="20"/>
  <c r="J175" i="20"/>
  <c r="H175" i="20"/>
  <c r="I188" i="20" s="1"/>
  <c r="M238" i="20"/>
  <c r="L238" i="20"/>
  <c r="J238" i="20"/>
  <c r="H238" i="20"/>
  <c r="I251" i="20" s="1"/>
  <c r="R10" i="19"/>
  <c r="R6" i="19"/>
  <c r="I39" i="20"/>
  <c r="M182" i="20"/>
  <c r="L182" i="20"/>
  <c r="J182" i="20"/>
  <c r="H182" i="20"/>
  <c r="I195" i="20" s="1"/>
  <c r="I64" i="20"/>
  <c r="E27" i="1"/>
  <c r="FW22" i="1"/>
  <c r="FY21" i="1"/>
  <c r="FL12" i="1"/>
  <c r="EZ12" i="1"/>
  <c r="A13" i="1"/>
  <c r="ER12" i="1"/>
  <c r="BX12" i="1"/>
  <c r="GV12" i="1"/>
  <c r="GF12" i="1"/>
  <c r="DT12" i="1"/>
  <c r="CV12" i="1"/>
  <c r="A29" i="1"/>
  <c r="X28" i="1"/>
  <c r="AJ28" i="1" s="1"/>
  <c r="AI28" i="1"/>
  <c r="AG28" i="1"/>
  <c r="AE28" i="1"/>
  <c r="AC28" i="1"/>
  <c r="AO28" i="1" s="1"/>
  <c r="AA28" i="1"/>
  <c r="AM28" i="1" s="1"/>
  <c r="AH28" i="1"/>
  <c r="AD28" i="1"/>
  <c r="AB28" i="1"/>
  <c r="AN28" i="1" s="1"/>
  <c r="AF28" i="1"/>
  <c r="Z28" i="1"/>
  <c r="AL28" i="1" s="1"/>
  <c r="Y28" i="1"/>
  <c r="AK28" i="1" s="1"/>
  <c r="D28" i="1"/>
  <c r="C28" i="1"/>
  <c r="B28" i="1"/>
  <c r="M256" i="20"/>
  <c r="L256" i="20"/>
  <c r="J256" i="20"/>
  <c r="H256" i="20"/>
  <c r="I269" i="20" s="1"/>
  <c r="L248" i="20"/>
  <c r="J248" i="20"/>
  <c r="H248" i="20"/>
  <c r="I261" i="20" s="1"/>
  <c r="M248" i="20"/>
  <c r="I69" i="20"/>
  <c r="I55" i="20"/>
  <c r="I85" i="20"/>
  <c r="HC21" i="1"/>
  <c r="HG21" i="1" s="1"/>
  <c r="HE20" i="1"/>
  <c r="FW23" i="1"/>
  <c r="FY22" i="1"/>
  <c r="GG20" i="1"/>
  <c r="M221" i="20"/>
  <c r="L221" i="20"/>
  <c r="J221" i="20"/>
  <c r="H221" i="20"/>
  <c r="I234" i="20" s="1"/>
  <c r="I70" i="20"/>
  <c r="I65" i="20"/>
  <c r="EZ5" i="1"/>
  <c r="A6" i="1"/>
  <c r="ER5" i="1"/>
  <c r="BX5" i="1"/>
  <c r="GV5" i="1"/>
  <c r="GF5" i="1"/>
  <c r="DT5" i="1"/>
  <c r="CV5" i="1"/>
  <c r="FL5" i="1"/>
  <c r="I62" i="20"/>
  <c r="M232" i="20"/>
  <c r="L232" i="20"/>
  <c r="J232" i="20"/>
  <c r="H232" i="20"/>
  <c r="I245" i="20" s="1"/>
  <c r="I133" i="20"/>
  <c r="I59" i="20"/>
  <c r="L224" i="20"/>
  <c r="J224" i="20"/>
  <c r="H224" i="20"/>
  <c r="I237" i="20" s="1"/>
  <c r="M224" i="20"/>
  <c r="M167" i="20"/>
  <c r="L167" i="20"/>
  <c r="J167" i="20"/>
  <c r="H167" i="20"/>
  <c r="I180" i="20" s="1"/>
  <c r="M208" i="20"/>
  <c r="L208" i="20"/>
  <c r="J208" i="20"/>
  <c r="H208" i="20"/>
  <c r="I221" i="20" s="1"/>
  <c r="M260" i="20"/>
  <c r="L260" i="20"/>
  <c r="J260" i="20"/>
  <c r="H260" i="20"/>
  <c r="I273" i="20" s="1"/>
  <c r="M166" i="20"/>
  <c r="L166" i="20"/>
  <c r="J166" i="20"/>
  <c r="H166" i="20"/>
  <c r="I179" i="20" s="1"/>
  <c r="I60" i="20"/>
  <c r="I116" i="20"/>
  <c r="I67" i="20"/>
  <c r="GU22" i="1"/>
  <c r="FW24" i="1"/>
  <c r="GG21" i="1"/>
  <c r="BW21" i="1"/>
  <c r="G21" i="18" s="1"/>
  <c r="EW20" i="1"/>
  <c r="BW20" i="1"/>
  <c r="DQ20" i="1"/>
  <c r="DI20" i="1"/>
  <c r="I22" i="20"/>
  <c r="I114" i="20"/>
  <c r="M223" i="20"/>
  <c r="L223" i="20"/>
  <c r="J223" i="20"/>
  <c r="H223" i="20"/>
  <c r="I236" i="20" s="1"/>
  <c r="R2" i="19"/>
  <c r="I139" i="20"/>
  <c r="L272" i="20"/>
  <c r="J272" i="20"/>
  <c r="H272" i="20"/>
  <c r="M272" i="20"/>
  <c r="M191" i="20"/>
  <c r="L191" i="20"/>
  <c r="J191" i="20"/>
  <c r="H191" i="20"/>
  <c r="I204" i="20" s="1"/>
  <c r="M214" i="20"/>
  <c r="L214" i="20"/>
  <c r="J214" i="20"/>
  <c r="H214" i="20"/>
  <c r="I227" i="20" s="1"/>
  <c r="I136" i="20"/>
  <c r="M190" i="20"/>
  <c r="L190" i="20"/>
  <c r="J190" i="20"/>
  <c r="H190" i="20"/>
  <c r="I203" i="20" s="1"/>
  <c r="I130" i="20"/>
  <c r="I56" i="20"/>
  <c r="L200" i="20"/>
  <c r="J200" i="20"/>
  <c r="H200" i="20"/>
  <c r="I213" i="20" s="1"/>
  <c r="M200" i="20"/>
  <c r="M140" i="20"/>
  <c r="L140" i="20"/>
  <c r="J140" i="20"/>
  <c r="H140" i="20"/>
  <c r="I141" i="20" s="1"/>
  <c r="M184" i="20"/>
  <c r="L184" i="20"/>
  <c r="J184" i="20"/>
  <c r="H184" i="20"/>
  <c r="I197" i="20" s="1"/>
  <c r="M236" i="20"/>
  <c r="L236" i="20"/>
  <c r="J236" i="20"/>
  <c r="H236" i="20"/>
  <c r="I249" i="20" s="1"/>
  <c r="M275" i="20"/>
  <c r="L275" i="20"/>
  <c r="J275" i="20"/>
  <c r="H275" i="20"/>
  <c r="I18" i="20"/>
  <c r="I134" i="20"/>
  <c r="I34" i="20"/>
  <c r="I51" i="20"/>
  <c r="R7" i="19"/>
  <c r="GU23" i="1"/>
  <c r="GW20" i="1"/>
  <c r="FW25" i="1"/>
  <c r="GG22" i="1"/>
  <c r="BU22" i="1"/>
  <c r="BW22" i="1" s="1"/>
  <c r="DI21" i="1"/>
  <c r="I102" i="20"/>
  <c r="I101" i="20"/>
  <c r="I53" i="20"/>
  <c r="BO20" i="1"/>
  <c r="EO19" i="1"/>
  <c r="DA19" i="1"/>
  <c r="M160" i="20"/>
  <c r="L160" i="20"/>
  <c r="J160" i="20"/>
  <c r="H160" i="20"/>
  <c r="I173" i="20" s="1"/>
  <c r="M212" i="20"/>
  <c r="L212" i="20"/>
  <c r="J212" i="20"/>
  <c r="H212" i="20"/>
  <c r="I225" i="20" s="1"/>
  <c r="M251" i="20"/>
  <c r="L251" i="20"/>
  <c r="J251" i="20"/>
  <c r="H251" i="20"/>
  <c r="I264" i="20" s="1"/>
  <c r="I77" i="20"/>
  <c r="DM20" i="1"/>
  <c r="EO20" i="1"/>
  <c r="DE20" i="1"/>
  <c r="BS20" i="1"/>
  <c r="M188" i="20"/>
  <c r="L188" i="20"/>
  <c r="J188" i="20"/>
  <c r="H188" i="20"/>
  <c r="I201" i="20" s="1"/>
  <c r="I25" i="20"/>
  <c r="I46" i="20"/>
  <c r="GS24" i="1"/>
  <c r="BQ21" i="1"/>
  <c r="BS21" i="1" s="1"/>
  <c r="G20" i="18" s="1"/>
  <c r="I90" i="20"/>
  <c r="I127" i="20"/>
  <c r="L176" i="20"/>
  <c r="J176" i="20"/>
  <c r="H176" i="20"/>
  <c r="I189" i="20" s="1"/>
  <c r="M176" i="20"/>
  <c r="I128" i="20"/>
  <c r="I124" i="20"/>
  <c r="I50" i="20"/>
  <c r="BM21" i="1"/>
  <c r="DA20" i="1"/>
  <c r="I121" i="20"/>
  <c r="I47" i="20"/>
  <c r="L148" i="20"/>
  <c r="M164" i="20"/>
  <c r="L164" i="20"/>
  <c r="J164" i="20"/>
  <c r="H164" i="20"/>
  <c r="I177" i="20" s="1"/>
  <c r="M227" i="20"/>
  <c r="L227" i="20"/>
  <c r="J227" i="20"/>
  <c r="H227" i="20"/>
  <c r="I240" i="20" s="1"/>
  <c r="I21" i="20"/>
  <c r="R4" i="19"/>
  <c r="R3" i="19"/>
  <c r="I58" i="20"/>
  <c r="I57" i="20"/>
  <c r="R16" i="4"/>
  <c r="BK22" i="1"/>
  <c r="BJ21" i="1"/>
  <c r="M193" i="20"/>
  <c r="L193" i="20"/>
  <c r="J193" i="20"/>
  <c r="H193" i="20"/>
  <c r="I206" i="20" s="1"/>
  <c r="I117" i="20"/>
  <c r="M169" i="20"/>
  <c r="L169" i="20"/>
  <c r="J169" i="20"/>
  <c r="H169" i="20"/>
  <c r="I182" i="20" s="1"/>
  <c r="M247" i="20"/>
  <c r="L247" i="20"/>
  <c r="J247" i="20"/>
  <c r="H247" i="20"/>
  <c r="I260" i="20" s="1"/>
  <c r="I74" i="20"/>
  <c r="I19" i="20"/>
  <c r="I16" i="20"/>
  <c r="I17" i="20"/>
  <c r="I137" i="20"/>
  <c r="BI23" i="1"/>
  <c r="CC20" i="1" s="1"/>
  <c r="BJ22" i="1"/>
  <c r="CS20" i="1"/>
  <c r="I135" i="20"/>
  <c r="M263" i="20"/>
  <c r="L263" i="20"/>
  <c r="J263" i="20"/>
  <c r="H263" i="20"/>
  <c r="I276" i="20" s="1"/>
  <c r="I118" i="20"/>
  <c r="M278" i="20"/>
  <c r="L278" i="20"/>
  <c r="J278" i="20"/>
  <c r="H278" i="20"/>
  <c r="I115" i="20"/>
  <c r="I41" i="20"/>
  <c r="I103" i="20"/>
  <c r="M261" i="20"/>
  <c r="L261" i="20"/>
  <c r="J261" i="20"/>
  <c r="H261" i="20"/>
  <c r="I274" i="20" s="1"/>
  <c r="M203" i="20"/>
  <c r="L203" i="20"/>
  <c r="J203" i="20"/>
  <c r="H203" i="20"/>
  <c r="I216" i="20" s="1"/>
  <c r="I112" i="20"/>
  <c r="I38" i="20"/>
  <c r="I100" i="20"/>
  <c r="L150" i="20"/>
  <c r="I78" i="20"/>
  <c r="M239" i="20"/>
  <c r="L239" i="20"/>
  <c r="J239" i="20"/>
  <c r="H239" i="20"/>
  <c r="I252" i="20" s="1"/>
  <c r="I109" i="20"/>
  <c r="I35" i="20"/>
  <c r="I97" i="20"/>
  <c r="M237" i="20"/>
  <c r="L237" i="20"/>
  <c r="J237" i="20"/>
  <c r="H237" i="20"/>
  <c r="I250" i="20" s="1"/>
  <c r="AP27" i="1"/>
  <c r="M230" i="20"/>
  <c r="L230" i="20"/>
  <c r="J230" i="20"/>
  <c r="H230" i="20"/>
  <c r="I243" i="20" s="1"/>
  <c r="M179" i="20"/>
  <c r="L179" i="20"/>
  <c r="J179" i="20"/>
  <c r="H179" i="20"/>
  <c r="I192" i="20" s="1"/>
  <c r="R8" i="19"/>
  <c r="I110" i="20"/>
  <c r="I49" i="20"/>
  <c r="R5" i="19"/>
  <c r="I80" i="20"/>
  <c r="I119" i="20"/>
  <c r="I105" i="20"/>
  <c r="I125" i="20"/>
  <c r="I99" i="20"/>
  <c r="I98" i="20"/>
  <c r="B6" i="7"/>
  <c r="M269" i="20"/>
  <c r="L269" i="20"/>
  <c r="J269" i="20"/>
  <c r="H269" i="20"/>
  <c r="I282" i="20" s="1"/>
  <c r="I29" i="20"/>
  <c r="I91" i="20"/>
  <c r="M213" i="20"/>
  <c r="L213" i="20"/>
  <c r="J213" i="20"/>
  <c r="H213" i="20"/>
  <c r="I226" i="20" s="1"/>
  <c r="M265" i="20"/>
  <c r="L265" i="20"/>
  <c r="J265" i="20"/>
  <c r="H265" i="20"/>
  <c r="I278" i="20" s="1"/>
  <c r="M206" i="20"/>
  <c r="L206" i="20"/>
  <c r="J206" i="20"/>
  <c r="H206" i="20"/>
  <c r="I219" i="20" s="1"/>
  <c r="I61" i="20"/>
  <c r="I96" i="20"/>
  <c r="I81" i="20"/>
  <c r="AR19" i="1"/>
  <c r="I138" i="20"/>
  <c r="I89" i="20"/>
  <c r="I95" i="20"/>
  <c r="I87" i="20"/>
  <c r="I88" i="20"/>
  <c r="I37" i="20"/>
  <c r="I36" i="20"/>
  <c r="I30" i="20"/>
  <c r="I32" i="20"/>
  <c r="I63" i="20"/>
  <c r="I75" i="20"/>
  <c r="I42" i="20"/>
  <c r="I93" i="20"/>
  <c r="M165" i="20"/>
  <c r="L165" i="20"/>
  <c r="J165" i="20"/>
  <c r="H165" i="20"/>
  <c r="I178" i="20" s="1"/>
  <c r="I129" i="20"/>
  <c r="I86" i="20"/>
  <c r="I54" i="20"/>
  <c r="I48" i="20"/>
  <c r="I132" i="20"/>
  <c r="M217" i="20"/>
  <c r="L217" i="20"/>
  <c r="J217" i="20"/>
  <c r="H217" i="20"/>
  <c r="I230" i="20" s="1"/>
  <c r="I52" i="20"/>
  <c r="L158" i="20"/>
  <c r="I126" i="20"/>
  <c r="I157" i="20"/>
  <c r="R9" i="19"/>
  <c r="I26" i="20"/>
  <c r="I158" i="20"/>
  <c r="I73" i="20"/>
  <c r="I72" i="20"/>
  <c r="I23" i="20"/>
  <c r="AE208" i="23"/>
  <c r="AD208" i="23"/>
  <c r="AR207" i="23"/>
  <c r="AQ207" i="23"/>
  <c r="AP207" i="23"/>
  <c r="AO207" i="23"/>
  <c r="AN207" i="23"/>
  <c r="BA28" i="1"/>
  <c r="AW28" i="1"/>
  <c r="AV28" i="1"/>
  <c r="AZ28" i="1"/>
  <c r="BC28" i="1"/>
  <c r="AX28" i="1"/>
  <c r="BB28" i="1"/>
  <c r="AY28" i="1"/>
  <c r="O27" i="1"/>
  <c r="P27" i="1"/>
  <c r="H27" i="1"/>
  <c r="L27" i="1"/>
  <c r="T27" i="1"/>
  <c r="S27" i="1"/>
  <c r="K27" i="1"/>
  <c r="R27" i="1"/>
  <c r="F27" i="1"/>
  <c r="I27" i="1"/>
  <c r="Q27" i="1"/>
  <c r="N27" i="1"/>
  <c r="J27" i="1"/>
  <c r="M27" i="1"/>
  <c r="G27" i="1"/>
  <c r="BY19" i="1" l="1"/>
  <c r="HB20" i="1"/>
  <c r="HF20" i="1" s="1"/>
  <c r="HB24" i="1"/>
  <c r="HF24" i="1" s="1"/>
  <c r="HB22" i="1"/>
  <c r="HF22" i="1" s="1"/>
  <c r="HB23" i="1"/>
  <c r="HB25" i="1"/>
  <c r="HB21" i="1"/>
  <c r="FV23" i="1"/>
  <c r="FV22" i="1"/>
  <c r="FV25" i="1"/>
  <c r="FV24" i="1"/>
  <c r="FV21" i="1"/>
  <c r="M14" i="25"/>
  <c r="Z7" i="25" s="1"/>
  <c r="P14" i="25"/>
  <c r="Y6" i="25" s="1"/>
  <c r="BF19" i="1"/>
  <c r="CT19" i="1" s="1"/>
  <c r="BF20" i="1"/>
  <c r="CT20" i="1" s="1"/>
  <c r="P15" i="25"/>
  <c r="M13" i="25"/>
  <c r="L35" i="25"/>
  <c r="BV19" i="1"/>
  <c r="BV20" i="1"/>
  <c r="BV21" i="1"/>
  <c r="DJ21" i="1" s="1"/>
  <c r="BR20" i="1"/>
  <c r="BR19" i="1"/>
  <c r="DF19" i="1" s="1"/>
  <c r="BN19" i="1"/>
  <c r="DB19" i="1" s="1"/>
  <c r="BN20" i="1"/>
  <c r="DB20" i="1" s="1"/>
  <c r="GT22" i="1"/>
  <c r="GT21" i="1"/>
  <c r="GT23" i="1"/>
  <c r="I145" i="20"/>
  <c r="I147" i="20"/>
  <c r="I150" i="20"/>
  <c r="I143" i="20"/>
  <c r="I140" i="20"/>
  <c r="I149" i="20"/>
  <c r="V27" i="1"/>
  <c r="HA27" i="1"/>
  <c r="HC27" i="1" s="1"/>
  <c r="HG27" i="1" s="1"/>
  <c r="I160" i="20"/>
  <c r="I152" i="20"/>
  <c r="I144" i="20"/>
  <c r="I151" i="20"/>
  <c r="I146" i="20"/>
  <c r="I165" i="20"/>
  <c r="G11" i="18"/>
  <c r="CS21" i="1"/>
  <c r="AB63" i="18"/>
  <c r="AC63" i="18" s="1"/>
  <c r="BG21" i="1"/>
  <c r="BF21" i="1"/>
  <c r="BE22" i="1"/>
  <c r="BG22" i="1" s="1"/>
  <c r="DQ21" i="1"/>
  <c r="DS21" i="1" s="1"/>
  <c r="G17" i="18"/>
  <c r="CG20" i="1"/>
  <c r="DA20" i="6" s="1"/>
  <c r="N23" i="18"/>
  <c r="H12" i="18"/>
  <c r="B14" i="18" s="1"/>
  <c r="FV26" i="1"/>
  <c r="GG23" i="1"/>
  <c r="GI23" i="1" s="1"/>
  <c r="HB26" i="1"/>
  <c r="HE26" i="1"/>
  <c r="FU27" i="1"/>
  <c r="FW27" i="1" s="1"/>
  <c r="U27" i="1"/>
  <c r="W27" i="1"/>
  <c r="I164" i="20"/>
  <c r="GW19" i="1"/>
  <c r="GY20" i="1" s="1"/>
  <c r="AC9" i="25"/>
  <c r="EQ20" i="1"/>
  <c r="AS28" i="1"/>
  <c r="AU28" i="1"/>
  <c r="AC7" i="25"/>
  <c r="AQ28" i="1"/>
  <c r="EW21" i="1"/>
  <c r="EY21" i="1" s="1"/>
  <c r="AT28" i="1"/>
  <c r="AC10" i="25"/>
  <c r="AR28" i="1"/>
  <c r="AP28" i="1"/>
  <c r="BK23" i="1"/>
  <c r="G15" i="18" s="1"/>
  <c r="GA22" i="1"/>
  <c r="CD20" i="9"/>
  <c r="O20" i="9"/>
  <c r="BQ20" i="9"/>
  <c r="W20" i="8"/>
  <c r="N20" i="8"/>
  <c r="X20" i="4"/>
  <c r="GO20" i="1" s="1"/>
  <c r="N20" i="4"/>
  <c r="GT24" i="1"/>
  <c r="GS25" i="1"/>
  <c r="GW22" i="1" s="1"/>
  <c r="FY23" i="1"/>
  <c r="GA23" i="1" s="1"/>
  <c r="I168" i="20"/>
  <c r="E28" i="1"/>
  <c r="A30" i="1"/>
  <c r="X29" i="1"/>
  <c r="AJ29" i="1" s="1"/>
  <c r="AI29" i="1"/>
  <c r="AG29" i="1"/>
  <c r="AE29" i="1"/>
  <c r="AC29" i="1"/>
  <c r="AO29" i="1" s="1"/>
  <c r="Y29" i="1"/>
  <c r="AK29" i="1" s="1"/>
  <c r="AH29" i="1"/>
  <c r="AD29" i="1"/>
  <c r="AA29" i="1"/>
  <c r="AM29" i="1" s="1"/>
  <c r="AF29" i="1"/>
  <c r="AB29" i="1"/>
  <c r="AN29" i="1" s="1"/>
  <c r="Z29" i="1"/>
  <c r="AL29" i="1" s="1"/>
  <c r="D29" i="1"/>
  <c r="C29" i="1"/>
  <c r="B29" i="1"/>
  <c r="I163" i="20"/>
  <c r="I153" i="20"/>
  <c r="I148" i="20"/>
  <c r="BM22" i="1"/>
  <c r="DA22" i="1" s="1"/>
  <c r="DA21" i="1"/>
  <c r="BN21" i="1"/>
  <c r="I170" i="20"/>
  <c r="BL22" i="1"/>
  <c r="I169" i="20"/>
  <c r="BO21" i="1"/>
  <c r="M15" i="25"/>
  <c r="BI24" i="1"/>
  <c r="CC21" i="1" s="1"/>
  <c r="BJ23" i="1"/>
  <c r="GI21" i="1"/>
  <c r="GK20" i="1"/>
  <c r="R11" i="19"/>
  <c r="DG20" i="1"/>
  <c r="AC6" i="25"/>
  <c r="DC20" i="1"/>
  <c r="CD19" i="1"/>
  <c r="CC19" i="1"/>
  <c r="I162" i="20"/>
  <c r="AC8" i="25"/>
  <c r="I172" i="20"/>
  <c r="GI20" i="1"/>
  <c r="DO20" i="1"/>
  <c r="I166" i="20"/>
  <c r="I167" i="20"/>
  <c r="AC5" i="25"/>
  <c r="AC4" i="25"/>
  <c r="BU23" i="1"/>
  <c r="DI22" i="1"/>
  <c r="DK22" i="1" s="1"/>
  <c r="BV22" i="1"/>
  <c r="CU20" i="1"/>
  <c r="I142" i="20"/>
  <c r="I171" i="20"/>
  <c r="DK21" i="1"/>
  <c r="FI20" i="1"/>
  <c r="FK20" i="1"/>
  <c r="DK20" i="1"/>
  <c r="EZ6" i="1"/>
  <c r="DT6" i="1"/>
  <c r="BX6" i="1"/>
  <c r="ER6" i="1"/>
  <c r="CV6" i="1"/>
  <c r="GF6" i="1"/>
  <c r="A7" i="1"/>
  <c r="FL6" i="1"/>
  <c r="GV6" i="1"/>
  <c r="A14" i="1"/>
  <c r="FL13" i="1"/>
  <c r="GV13" i="1"/>
  <c r="EZ13" i="1"/>
  <c r="DT13" i="1"/>
  <c r="BX13" i="1"/>
  <c r="ER13" i="1"/>
  <c r="CV13" i="1"/>
  <c r="GF13" i="1"/>
  <c r="FE20" i="1"/>
  <c r="FG20" i="1"/>
  <c r="DS20" i="1"/>
  <c r="BQ22" i="1"/>
  <c r="BS22" i="1" s="1"/>
  <c r="DM21" i="1"/>
  <c r="EO21" i="1"/>
  <c r="EQ21" i="1" s="1"/>
  <c r="DE21" i="1"/>
  <c r="FI21" i="1" s="1"/>
  <c r="BR21" i="1"/>
  <c r="I161" i="20"/>
  <c r="GW21" i="1"/>
  <c r="EY20" i="1"/>
  <c r="CG19" i="1"/>
  <c r="H5" i="17"/>
  <c r="H22" i="17"/>
  <c r="CO20" i="1"/>
  <c r="BW16" i="1"/>
  <c r="GU24" i="1"/>
  <c r="GI22" i="1"/>
  <c r="CK19" i="1"/>
  <c r="FA19" i="1" s="1"/>
  <c r="AK207" i="23"/>
  <c r="AJ207" i="23"/>
  <c r="AI207" i="23"/>
  <c r="AH207" i="23"/>
  <c r="AG207" i="23"/>
  <c r="AY29" i="1"/>
  <c r="BC29" i="1"/>
  <c r="AX29" i="1"/>
  <c r="AV29" i="1"/>
  <c r="BB29" i="1"/>
  <c r="AZ29" i="1"/>
  <c r="BA29" i="1"/>
  <c r="AW29" i="1"/>
  <c r="O28" i="1"/>
  <c r="K28" i="1"/>
  <c r="R28" i="1"/>
  <c r="H28" i="1"/>
  <c r="T28" i="1"/>
  <c r="Q28" i="1"/>
  <c r="G28" i="1"/>
  <c r="I28" i="1"/>
  <c r="F28" i="1"/>
  <c r="M28" i="1"/>
  <c r="L28" i="1"/>
  <c r="N28" i="1"/>
  <c r="S28" i="1"/>
  <c r="P28" i="1"/>
  <c r="J28" i="1"/>
  <c r="Y4" i="25" l="1"/>
  <c r="Y10" i="25"/>
  <c r="Y7" i="25"/>
  <c r="B29" i="25"/>
  <c r="B28" i="25"/>
  <c r="Y5" i="25"/>
  <c r="Y8" i="25"/>
  <c r="Y9" i="25"/>
  <c r="HD23" i="1"/>
  <c r="HH23" i="1" s="1"/>
  <c r="HD24" i="1"/>
  <c r="HH24" i="1" s="1"/>
  <c r="HF23" i="1"/>
  <c r="HD25" i="1"/>
  <c r="HH25" i="1" s="1"/>
  <c r="HD26" i="1"/>
  <c r="HH26" i="1" s="1"/>
  <c r="N15" i="25"/>
  <c r="FX24" i="1"/>
  <c r="GH23" i="1"/>
  <c r="HD21" i="1"/>
  <c r="HH21" i="1" s="1"/>
  <c r="N14" i="25"/>
  <c r="X9" i="25" s="1"/>
  <c r="HF25" i="1"/>
  <c r="GH19" i="1"/>
  <c r="GL19" i="1" s="1"/>
  <c r="HF21" i="1"/>
  <c r="HD22" i="1"/>
  <c r="HH22" i="1" s="1"/>
  <c r="GH21" i="1"/>
  <c r="Z8" i="25"/>
  <c r="B37" i="25" s="1"/>
  <c r="Z6" i="25"/>
  <c r="B23" i="25" s="1"/>
  <c r="FZ21" i="1"/>
  <c r="FX22" i="1"/>
  <c r="Z10" i="25"/>
  <c r="B51" i="25" s="1"/>
  <c r="BH21" i="1"/>
  <c r="Z4" i="25"/>
  <c r="B9" i="25" s="1"/>
  <c r="Z5" i="25"/>
  <c r="B16" i="25" s="1"/>
  <c r="GX19" i="1"/>
  <c r="BP20" i="1"/>
  <c r="FX23" i="1"/>
  <c r="GH20" i="1"/>
  <c r="FZ22" i="1"/>
  <c r="EP20" i="1"/>
  <c r="GV23" i="1"/>
  <c r="BX21" i="1"/>
  <c r="H21" i="18" s="1"/>
  <c r="Z9" i="25"/>
  <c r="B44" i="25" s="1"/>
  <c r="BX20" i="1"/>
  <c r="FX25" i="1"/>
  <c r="CH19" i="1"/>
  <c r="DV19" i="1" s="1"/>
  <c r="CL19" i="1"/>
  <c r="DZ19" i="1" s="1"/>
  <c r="BX22" i="1"/>
  <c r="GV22" i="1"/>
  <c r="EP19" i="1"/>
  <c r="DN19" i="1"/>
  <c r="DJ20" i="1"/>
  <c r="BP21" i="1"/>
  <c r="EX20" i="1"/>
  <c r="BT20" i="1"/>
  <c r="CP19" i="1"/>
  <c r="ED19" i="1" s="1"/>
  <c r="DR20" i="1"/>
  <c r="DN20" i="1"/>
  <c r="DF20" i="1"/>
  <c r="DH20" i="1" s="1"/>
  <c r="GH22" i="1"/>
  <c r="EX19" i="1"/>
  <c r="DJ19" i="1"/>
  <c r="FJ19" i="1" s="1"/>
  <c r="GX20" i="1"/>
  <c r="DR19" i="1"/>
  <c r="U28" i="1"/>
  <c r="HB27" i="1"/>
  <c r="HD27" i="1" s="1"/>
  <c r="HH27" i="1" s="1"/>
  <c r="HE27" i="1"/>
  <c r="HA28" i="1"/>
  <c r="HC28" i="1" s="1"/>
  <c r="HG28" i="1" s="1"/>
  <c r="B10" i="25"/>
  <c r="B24" i="25"/>
  <c r="B31" i="25"/>
  <c r="B30" i="25"/>
  <c r="B38" i="25"/>
  <c r="B17" i="25"/>
  <c r="B45" i="25"/>
  <c r="BW23" i="1"/>
  <c r="DI23" i="1"/>
  <c r="DK23" i="1" s="1"/>
  <c r="DC21" i="1"/>
  <c r="DC22" i="1"/>
  <c r="BK19" i="13"/>
  <c r="CW19" i="1"/>
  <c r="B53" i="25"/>
  <c r="B52" i="25"/>
  <c r="DR21" i="1"/>
  <c r="FG21" i="1"/>
  <c r="DQ22" i="1"/>
  <c r="DS22" i="1" s="1"/>
  <c r="BF22" i="1"/>
  <c r="BH22" i="1" s="1"/>
  <c r="CS22" i="1"/>
  <c r="CU22" i="1" s="1"/>
  <c r="CT21" i="1"/>
  <c r="BE23" i="1"/>
  <c r="BY21" i="1" s="1"/>
  <c r="AS21" i="13" s="1"/>
  <c r="BZ19" i="1"/>
  <c r="BI19" i="4" s="1"/>
  <c r="BY20" i="1"/>
  <c r="AB20" i="13" s="1"/>
  <c r="CU21" i="1"/>
  <c r="CV21" i="1" s="1"/>
  <c r="AW19" i="4"/>
  <c r="BH19" i="4"/>
  <c r="BF19" i="4" s="1"/>
  <c r="BS19" i="4"/>
  <c r="BQ19" i="4" s="1"/>
  <c r="AL19" i="4"/>
  <c r="AS19" i="13"/>
  <c r="EK19" i="1"/>
  <c r="AB19" i="13"/>
  <c r="G14" i="18"/>
  <c r="H11" i="18"/>
  <c r="CI20" i="6"/>
  <c r="BQ20" i="6"/>
  <c r="H10" i="21"/>
  <c r="G10" i="21" s="1"/>
  <c r="CR20" i="6"/>
  <c r="AH20" i="6"/>
  <c r="AM20" i="6" s="1"/>
  <c r="DJ20" i="6"/>
  <c r="T20" i="6"/>
  <c r="X20" i="6" s="1"/>
  <c r="DU20" i="1"/>
  <c r="BZ20" i="6"/>
  <c r="G19" i="18"/>
  <c r="BO22" i="1"/>
  <c r="AB54" i="18"/>
  <c r="FX26" i="1"/>
  <c r="HF26" i="1"/>
  <c r="FV27" i="1"/>
  <c r="GH24" i="1" s="1"/>
  <c r="GG24" i="1"/>
  <c r="GI24" i="1" s="1"/>
  <c r="FU28" i="1"/>
  <c r="FW28" i="1" s="1"/>
  <c r="W28" i="1"/>
  <c r="V28" i="1"/>
  <c r="DD20" i="1"/>
  <c r="AT29" i="1"/>
  <c r="FE21" i="1"/>
  <c r="CK20" i="1"/>
  <c r="DY20" i="1" s="1"/>
  <c r="G33" i="18" s="1"/>
  <c r="AQ29" i="1"/>
  <c r="AR29" i="1"/>
  <c r="AU29" i="1"/>
  <c r="CH20" i="1"/>
  <c r="DG21" i="1"/>
  <c r="AP29" i="1"/>
  <c r="BK24" i="1"/>
  <c r="O21" i="9"/>
  <c r="Q21" i="9" s="1"/>
  <c r="G22" i="18" s="1"/>
  <c r="BQ21" i="9"/>
  <c r="BS21" i="9" s="1"/>
  <c r="CD21" i="9"/>
  <c r="CF21" i="9" s="1"/>
  <c r="W21" i="8"/>
  <c r="Y21" i="8" s="1"/>
  <c r="N21" i="8"/>
  <c r="P21" i="8" s="1"/>
  <c r="N21" i="4"/>
  <c r="P21" i="4" s="1"/>
  <c r="G16" i="18" s="1"/>
  <c r="X21" i="4"/>
  <c r="CE21" i="1"/>
  <c r="GK21" i="1"/>
  <c r="B18" i="25"/>
  <c r="B46" i="25"/>
  <c r="B11" i="25"/>
  <c r="BM23" i="1"/>
  <c r="BO23" i="1" s="1"/>
  <c r="BN22" i="1"/>
  <c r="BP22" i="1" s="1"/>
  <c r="FK21" i="1"/>
  <c r="EX21" i="1"/>
  <c r="AN20" i="8"/>
  <c r="O20" i="13"/>
  <c r="GF7" i="1"/>
  <c r="A8" i="1"/>
  <c r="FL7" i="1"/>
  <c r="GV7" i="1"/>
  <c r="EZ7" i="1"/>
  <c r="DT7" i="1"/>
  <c r="BX7" i="1"/>
  <c r="ER7" i="1"/>
  <c r="CV7" i="1"/>
  <c r="B32" i="25"/>
  <c r="BA20" i="8"/>
  <c r="AA20" i="8"/>
  <c r="AS29" i="1"/>
  <c r="GT25" i="1"/>
  <c r="GV25" i="1" s="1"/>
  <c r="GS26" i="1"/>
  <c r="GW23" i="1" s="1"/>
  <c r="GY23" i="1" s="1"/>
  <c r="BT21" i="1"/>
  <c r="BI25" i="1"/>
  <c r="CC22" i="1" s="1"/>
  <c r="CE22" i="1" s="1"/>
  <c r="BJ24" i="1"/>
  <c r="FY24" i="1"/>
  <c r="BU20" i="9"/>
  <c r="G19" i="11"/>
  <c r="E19" i="11"/>
  <c r="BR19" i="9"/>
  <c r="P19" i="9"/>
  <c r="CE19" i="9"/>
  <c r="O19" i="8"/>
  <c r="X19" i="8"/>
  <c r="Y19" i="4"/>
  <c r="O19" i="4"/>
  <c r="GU25" i="1"/>
  <c r="X20" i="9"/>
  <c r="AG20" i="9"/>
  <c r="CH20" i="9" s="1"/>
  <c r="CL20" i="9"/>
  <c r="H9" i="21"/>
  <c r="G9" i="21" s="1"/>
  <c r="CI19" i="6"/>
  <c r="AH19" i="6"/>
  <c r="AM19" i="6" s="1"/>
  <c r="BZ19" i="6"/>
  <c r="CR19" i="6"/>
  <c r="T19" i="6"/>
  <c r="X19" i="6" s="1"/>
  <c r="DJ19" i="6"/>
  <c r="DA19" i="6"/>
  <c r="BQ19" i="6"/>
  <c r="CI20" i="1"/>
  <c r="DU19" i="1"/>
  <c r="DF21" i="1"/>
  <c r="EP21" i="1"/>
  <c r="DN21" i="1"/>
  <c r="AE20" i="8"/>
  <c r="EC20" i="1"/>
  <c r="G34" i="18" s="1"/>
  <c r="E29" i="1"/>
  <c r="A31" i="1"/>
  <c r="X30" i="1"/>
  <c r="AJ30" i="1" s="1"/>
  <c r="AG30" i="1"/>
  <c r="AE30" i="1"/>
  <c r="AB30" i="1"/>
  <c r="AN30" i="1" s="1"/>
  <c r="Z30" i="1"/>
  <c r="AL30" i="1" s="1"/>
  <c r="AI30" i="1"/>
  <c r="AH30" i="1"/>
  <c r="AF30" i="1"/>
  <c r="AC30" i="1"/>
  <c r="AO30" i="1" s="1"/>
  <c r="AA30" i="1"/>
  <c r="AM30" i="1" s="1"/>
  <c r="AD30" i="1"/>
  <c r="Y30" i="1"/>
  <c r="AK30" i="1" s="1"/>
  <c r="C30" i="1"/>
  <c r="D30" i="1"/>
  <c r="B30" i="1"/>
  <c r="GX21" i="1"/>
  <c r="GV24" i="1"/>
  <c r="BQ19" i="9"/>
  <c r="O19" i="9"/>
  <c r="CD19" i="9"/>
  <c r="N19" i="8"/>
  <c r="W19" i="8"/>
  <c r="N19" i="4"/>
  <c r="X19" i="4"/>
  <c r="CE20" i="1"/>
  <c r="BQ23" i="1"/>
  <c r="BS23" i="1" s="1"/>
  <c r="BR22" i="1"/>
  <c r="DM22" i="1"/>
  <c r="EO22" i="1"/>
  <c r="EQ22" i="1" s="1"/>
  <c r="DE22" i="1"/>
  <c r="DG22" i="1" s="1"/>
  <c r="CV20" i="1"/>
  <c r="H23" i="17"/>
  <c r="H6" i="17"/>
  <c r="GY22" i="1"/>
  <c r="CD20" i="1"/>
  <c r="CF20" i="1" s="1"/>
  <c r="CO21" i="1"/>
  <c r="DO21" i="1"/>
  <c r="GY21" i="1"/>
  <c r="BL23" i="1"/>
  <c r="H15" i="18" s="1"/>
  <c r="FZ23" i="1"/>
  <c r="DJ22" i="1"/>
  <c r="DL22" i="1" s="1"/>
  <c r="DS19" i="6"/>
  <c r="EG19" i="1"/>
  <c r="DY19" i="1"/>
  <c r="ES19" i="1"/>
  <c r="CQ20" i="1"/>
  <c r="EZ14" i="1"/>
  <c r="DT14" i="1"/>
  <c r="BX14" i="1"/>
  <c r="ER14" i="1"/>
  <c r="CV14" i="1"/>
  <c r="GF14" i="1"/>
  <c r="FL14" i="1"/>
  <c r="GV14" i="1"/>
  <c r="EW22" i="1"/>
  <c r="B25" i="25"/>
  <c r="GK19" i="1"/>
  <c r="EC19" i="1"/>
  <c r="BU24" i="1"/>
  <c r="BW24" i="1" s="1"/>
  <c r="BV23" i="1"/>
  <c r="B39" i="25"/>
  <c r="CG21" i="1"/>
  <c r="DB21" i="1"/>
  <c r="DD21" i="1" s="1"/>
  <c r="CP20" i="1"/>
  <c r="AE207" i="23"/>
  <c r="AD207" i="23"/>
  <c r="AR206" i="23"/>
  <c r="AQ206" i="23"/>
  <c r="AP206" i="23"/>
  <c r="AO206" i="23"/>
  <c r="AN206" i="23"/>
  <c r="AZ30" i="1"/>
  <c r="BC30" i="1"/>
  <c r="AX30" i="1"/>
  <c r="AW30" i="1"/>
  <c r="AV30" i="1"/>
  <c r="AY30" i="1"/>
  <c r="BB30" i="1"/>
  <c r="BA30" i="1"/>
  <c r="K29" i="1"/>
  <c r="O29" i="1"/>
  <c r="T29" i="1"/>
  <c r="P29" i="1"/>
  <c r="N29" i="1"/>
  <c r="H29" i="1"/>
  <c r="I29" i="1"/>
  <c r="L29" i="1"/>
  <c r="F29" i="1"/>
  <c r="S29" i="1"/>
  <c r="Q29" i="1"/>
  <c r="G29" i="1"/>
  <c r="R29" i="1"/>
  <c r="J29" i="1"/>
  <c r="M29" i="1"/>
  <c r="B8" i="25" l="1"/>
  <c r="B7" i="25"/>
  <c r="B50" i="25"/>
  <c r="B49" i="25"/>
  <c r="B22" i="25"/>
  <c r="B21" i="25"/>
  <c r="B36" i="25"/>
  <c r="B35" i="25"/>
  <c r="B15" i="25"/>
  <c r="B14" i="25"/>
  <c r="B43" i="25"/>
  <c r="B42" i="25"/>
  <c r="H19" i="18"/>
  <c r="H17" i="18"/>
  <c r="X4" i="25"/>
  <c r="X6" i="25"/>
  <c r="X8" i="25"/>
  <c r="DP20" i="1"/>
  <c r="GJ21" i="1"/>
  <c r="AB8" i="25"/>
  <c r="GJ23" i="1"/>
  <c r="X7" i="25"/>
  <c r="X10" i="25"/>
  <c r="GJ22" i="1"/>
  <c r="GJ24" i="1"/>
  <c r="GB22" i="1"/>
  <c r="X5" i="25"/>
  <c r="CJ20" i="1"/>
  <c r="AB5" i="25"/>
  <c r="AB4" i="25"/>
  <c r="FL20" i="1"/>
  <c r="GJ20" i="1"/>
  <c r="AB7" i="25"/>
  <c r="DK19" i="6"/>
  <c r="ER20" i="1"/>
  <c r="AB9" i="25"/>
  <c r="DL21" i="1"/>
  <c r="CA19" i="6"/>
  <c r="DT19" i="6"/>
  <c r="FF19" i="1"/>
  <c r="EZ21" i="1"/>
  <c r="GZ20" i="1"/>
  <c r="AI19" i="6"/>
  <c r="BI19" i="6" s="1"/>
  <c r="ER21" i="1"/>
  <c r="FJ20" i="1"/>
  <c r="DH21" i="1"/>
  <c r="FL19" i="1"/>
  <c r="AB6" i="25"/>
  <c r="CJ19" i="6"/>
  <c r="FB19" i="1"/>
  <c r="DT20" i="1"/>
  <c r="FH19" i="1"/>
  <c r="BX16" i="1"/>
  <c r="AB10" i="25"/>
  <c r="U19" i="6"/>
  <c r="CS19" i="6"/>
  <c r="ET19" i="1"/>
  <c r="DP21" i="1"/>
  <c r="DB19" i="6"/>
  <c r="BR19" i="6"/>
  <c r="DL20" i="1"/>
  <c r="EZ20" i="1"/>
  <c r="FH20" i="1"/>
  <c r="FF20" i="1"/>
  <c r="DT21" i="1"/>
  <c r="GZ21" i="1"/>
  <c r="HF27" i="1"/>
  <c r="W29" i="1"/>
  <c r="HB28" i="1"/>
  <c r="HD28" i="1" s="1"/>
  <c r="HH28" i="1" s="1"/>
  <c r="HE28" i="1"/>
  <c r="V29" i="1"/>
  <c r="U29" i="1"/>
  <c r="G32" i="18"/>
  <c r="G28" i="18"/>
  <c r="CT22" i="1"/>
  <c r="H28" i="18" s="1"/>
  <c r="H14" i="18"/>
  <c r="FG22" i="1"/>
  <c r="CW21" i="1"/>
  <c r="AC19" i="13"/>
  <c r="EK20" i="1"/>
  <c r="EM20" i="1" s="1"/>
  <c r="DR22" i="1"/>
  <c r="DT22" i="1" s="1"/>
  <c r="CA21" i="1"/>
  <c r="EL19" i="1"/>
  <c r="BF23" i="1"/>
  <c r="BZ21" i="1" s="1"/>
  <c r="AT21" i="13" s="1"/>
  <c r="DQ23" i="1"/>
  <c r="DS23" i="1" s="1"/>
  <c r="CS23" i="1"/>
  <c r="CU23" i="1" s="1"/>
  <c r="CV23" i="1" s="1"/>
  <c r="BE24" i="1"/>
  <c r="BG24" i="1" s="1"/>
  <c r="BK20" i="13"/>
  <c r="BM20" i="13" s="1"/>
  <c r="EH19" i="1"/>
  <c r="BS20" i="4"/>
  <c r="BU20" i="4" s="1"/>
  <c r="BH21" i="4"/>
  <c r="AU21" i="4" s="1"/>
  <c r="AL21" i="4"/>
  <c r="BS21" i="4"/>
  <c r="BQ21" i="4" s="1"/>
  <c r="AL20" i="4"/>
  <c r="AN20" i="4" s="1"/>
  <c r="AW20" i="4"/>
  <c r="AB21" i="13"/>
  <c r="AE21" i="13" s="1"/>
  <c r="AW21" i="4"/>
  <c r="BK21" i="13"/>
  <c r="BH20" i="4"/>
  <c r="BF20" i="4" s="1"/>
  <c r="AS20" i="13"/>
  <c r="AU21" i="13" s="1"/>
  <c r="CW20" i="1"/>
  <c r="CX19" i="1"/>
  <c r="BL19" i="13"/>
  <c r="AT19" i="13"/>
  <c r="AM19" i="4"/>
  <c r="AX19" i="4"/>
  <c r="BT19" i="4"/>
  <c r="BR19" i="4" s="1"/>
  <c r="BG23" i="1"/>
  <c r="BZ20" i="1"/>
  <c r="CB20" i="1" s="1"/>
  <c r="CA20" i="1"/>
  <c r="CV22" i="1"/>
  <c r="AU19" i="4"/>
  <c r="AE20" i="13"/>
  <c r="AD20" i="13"/>
  <c r="BD20" i="6"/>
  <c r="BH20" i="6" s="1"/>
  <c r="AU20" i="6"/>
  <c r="AG20" i="6"/>
  <c r="F20" i="11"/>
  <c r="H7" i="17"/>
  <c r="H20" i="18"/>
  <c r="Z21" i="4"/>
  <c r="G18" i="18" s="1"/>
  <c r="M76" i="18"/>
  <c r="M77" i="18" s="1"/>
  <c r="H24" i="17"/>
  <c r="FX27" i="1"/>
  <c r="GG25" i="1"/>
  <c r="GI25" i="1" s="1"/>
  <c r="FV28" i="1"/>
  <c r="FX28" i="1" s="1"/>
  <c r="HA29" i="1"/>
  <c r="HC29" i="1" s="1"/>
  <c r="HG29" i="1" s="1"/>
  <c r="FU29" i="1"/>
  <c r="GG26" i="1" s="1"/>
  <c r="DS20" i="6"/>
  <c r="DU20" i="6" s="1"/>
  <c r="CH21" i="1"/>
  <c r="CJ21" i="1" s="1"/>
  <c r="FA20" i="1"/>
  <c r="FC20" i="1" s="1"/>
  <c r="EG20" i="1"/>
  <c r="EI20" i="1" s="1"/>
  <c r="CM20" i="1"/>
  <c r="CJ20" i="6"/>
  <c r="U20" i="6"/>
  <c r="BR20" i="6"/>
  <c r="DK20" i="6"/>
  <c r="ES20" i="1"/>
  <c r="EU20" i="1" s="1"/>
  <c r="AI20" i="6"/>
  <c r="AV20" i="6" s="1"/>
  <c r="DB20" i="6"/>
  <c r="CG22" i="1"/>
  <c r="DJ22" i="6" s="1"/>
  <c r="GU26" i="1"/>
  <c r="AQ20" i="9"/>
  <c r="AQ30" i="1"/>
  <c r="FI22" i="1"/>
  <c r="CO22" i="1"/>
  <c r="EC22" i="1" s="1"/>
  <c r="FK22" i="1"/>
  <c r="AT30" i="1"/>
  <c r="AU30" i="1"/>
  <c r="CA20" i="6"/>
  <c r="CS20" i="6"/>
  <c r="AP30" i="1"/>
  <c r="BK25" i="1"/>
  <c r="AS30" i="1"/>
  <c r="DL20" i="6"/>
  <c r="BQ24" i="1"/>
  <c r="EW24" i="1" s="1"/>
  <c r="BR23" i="1"/>
  <c r="EX23" i="1" s="1"/>
  <c r="DM23" i="1"/>
  <c r="DO23" i="1" s="1"/>
  <c r="EO23" i="1"/>
  <c r="EQ23" i="1" s="1"/>
  <c r="DE23" i="1"/>
  <c r="FI23" i="1" s="1"/>
  <c r="V20" i="6"/>
  <c r="CT20" i="6"/>
  <c r="AN19" i="6"/>
  <c r="Y19" i="6"/>
  <c r="CB20" i="6"/>
  <c r="O22" i="9"/>
  <c r="BQ22" i="9"/>
  <c r="BS22" i="9" s="1"/>
  <c r="CD22" i="9"/>
  <c r="CF22" i="9" s="1"/>
  <c r="W22" i="8"/>
  <c r="N22" i="8"/>
  <c r="P22" i="8" s="1"/>
  <c r="X22" i="4"/>
  <c r="Z22" i="4" s="1"/>
  <c r="N22" i="4"/>
  <c r="P22" i="4" s="1"/>
  <c r="GK22" i="1"/>
  <c r="GC21" i="1"/>
  <c r="GO21" i="1"/>
  <c r="EP22" i="1"/>
  <c r="ER22" i="1" s="1"/>
  <c r="DF22" i="1"/>
  <c r="FJ22" i="1" s="1"/>
  <c r="DN22" i="1"/>
  <c r="DP22" i="1" s="1"/>
  <c r="E30" i="1"/>
  <c r="DO22" i="1"/>
  <c r="EW23" i="1"/>
  <c r="EY23" i="1" s="1"/>
  <c r="BD19" i="6"/>
  <c r="AU19" i="6"/>
  <c r="AJ20" i="6"/>
  <c r="AG19" i="6"/>
  <c r="FZ24" i="1"/>
  <c r="GB24" i="1" s="1"/>
  <c r="FL21" i="1"/>
  <c r="A32" i="1"/>
  <c r="X31" i="1"/>
  <c r="AJ31" i="1" s="1"/>
  <c r="AG31" i="1"/>
  <c r="AB31" i="1"/>
  <c r="AN31" i="1" s="1"/>
  <c r="AH31" i="1"/>
  <c r="AF31" i="1"/>
  <c r="AC31" i="1"/>
  <c r="AO31" i="1" s="1"/>
  <c r="AA31" i="1"/>
  <c r="AM31" i="1" s="1"/>
  <c r="AI31" i="1"/>
  <c r="AD31" i="1"/>
  <c r="Y31" i="1"/>
  <c r="AK31" i="1" s="1"/>
  <c r="AE31" i="1"/>
  <c r="Z31" i="1"/>
  <c r="AL31" i="1" s="1"/>
  <c r="C31" i="1"/>
  <c r="D31" i="1"/>
  <c r="B31" i="1"/>
  <c r="DJ23" i="1"/>
  <c r="DL23" i="1" s="1"/>
  <c r="FR19" i="1"/>
  <c r="FT19" i="1"/>
  <c r="CK20" i="6"/>
  <c r="GP19" i="1"/>
  <c r="BI26" i="1"/>
  <c r="BJ25" i="1"/>
  <c r="BL25" i="1" s="1"/>
  <c r="FY25" i="1"/>
  <c r="GA25" i="1" s="1"/>
  <c r="BI6" i="1" a="1"/>
  <c r="BI6" i="1" s="1"/>
  <c r="FJ21" i="1"/>
  <c r="FS20" i="1"/>
  <c r="FQ20" i="1"/>
  <c r="B12" i="21"/>
  <c r="B14" i="21" s="1"/>
  <c r="B17" i="21" s="1"/>
  <c r="B20" i="21" s="1"/>
  <c r="B21" i="21" s="1"/>
  <c r="B23" i="21" s="1"/>
  <c r="BU25" i="1"/>
  <c r="BW25" i="1" s="1"/>
  <c r="BV24" i="1"/>
  <c r="DI24" i="1"/>
  <c r="DK24" i="1" s="1"/>
  <c r="Z20" i="4"/>
  <c r="X16" i="4"/>
  <c r="X5" i="4"/>
  <c r="GO19" i="1"/>
  <c r="BB19" i="8"/>
  <c r="AB19" i="8"/>
  <c r="AF19" i="8"/>
  <c r="GA24" i="1"/>
  <c r="AN21" i="8"/>
  <c r="AP21" i="8" s="1"/>
  <c r="O21" i="13"/>
  <c r="Q21" i="13" s="1"/>
  <c r="CE20" i="9"/>
  <c r="CG20" i="9" s="1"/>
  <c r="P20" i="9"/>
  <c r="BR20" i="9"/>
  <c r="BT20" i="9" s="1"/>
  <c r="O20" i="8"/>
  <c r="Q20" i="8" s="1"/>
  <c r="X20" i="8"/>
  <c r="Z20" i="8" s="1"/>
  <c r="O20" i="4"/>
  <c r="Y20" i="4"/>
  <c r="AE21" i="8"/>
  <c r="AG21" i="8" s="1"/>
  <c r="EK21" i="1"/>
  <c r="EC21" i="1"/>
  <c r="EE21" i="1" s="1"/>
  <c r="P20" i="4"/>
  <c r="N5" i="4"/>
  <c r="CQ21" i="1"/>
  <c r="AO19" i="8"/>
  <c r="P19" i="13"/>
  <c r="AA21" i="8"/>
  <c r="BA21" i="8"/>
  <c r="BC21" i="8" s="1"/>
  <c r="CM19" i="9"/>
  <c r="BA19" i="8"/>
  <c r="Y20" i="8"/>
  <c r="AA19" i="8"/>
  <c r="W5" i="8"/>
  <c r="AE19" i="8"/>
  <c r="CL20" i="1"/>
  <c r="FB20" i="1" s="1"/>
  <c r="GM21" i="1"/>
  <c r="CL21" i="9"/>
  <c r="Y19" i="9"/>
  <c r="AH19" i="9"/>
  <c r="AR19" i="9" s="1"/>
  <c r="BU21" i="9"/>
  <c r="BW21" i="9" s="1"/>
  <c r="EE20" i="1"/>
  <c r="FQ19" i="1"/>
  <c r="FS19" i="1"/>
  <c r="BV19" i="9"/>
  <c r="BE20" i="8"/>
  <c r="BN20" i="8"/>
  <c r="BT20" i="13"/>
  <c r="AF20" i="13"/>
  <c r="S20" i="13"/>
  <c r="AG21" i="9"/>
  <c r="AQ21" i="9" s="1"/>
  <c r="X21" i="9"/>
  <c r="Z21" i="9" s="1"/>
  <c r="GM20" i="1"/>
  <c r="GL20" i="1"/>
  <c r="FE22" i="1"/>
  <c r="EY22" i="1"/>
  <c r="EX22" i="1"/>
  <c r="BG19" i="4"/>
  <c r="AV19" i="4"/>
  <c r="AO20" i="6"/>
  <c r="BT22" i="1"/>
  <c r="AR20" i="8"/>
  <c r="FF21" i="1"/>
  <c r="ED20" i="1"/>
  <c r="CR20" i="1"/>
  <c r="Z20" i="6"/>
  <c r="GT26" i="1"/>
  <c r="GV26" i="1" s="1"/>
  <c r="GS27" i="1"/>
  <c r="GU27" i="1" s="1"/>
  <c r="FH21" i="1"/>
  <c r="CP21" i="1"/>
  <c r="CF20" i="9"/>
  <c r="CL19" i="9"/>
  <c r="CD5" i="9"/>
  <c r="AZ20" i="9"/>
  <c r="AL20" i="9"/>
  <c r="Q20" i="9"/>
  <c r="AG19" i="9"/>
  <c r="CH19" i="9" s="1"/>
  <c r="X19" i="9"/>
  <c r="O5" i="9"/>
  <c r="P20" i="8"/>
  <c r="AN19" i="8"/>
  <c r="O19" i="13"/>
  <c r="N5" i="8"/>
  <c r="BU19" i="9"/>
  <c r="BS20" i="9"/>
  <c r="BQ5" i="9"/>
  <c r="EA20" i="1"/>
  <c r="DV20" i="1"/>
  <c r="BX23" i="1"/>
  <c r="FM19" i="1"/>
  <c r="FO19" i="1"/>
  <c r="G42" i="18" s="1"/>
  <c r="CK21" i="1"/>
  <c r="DW20" i="1"/>
  <c r="GX22" i="1"/>
  <c r="DB22" i="1"/>
  <c r="AR30" i="1"/>
  <c r="BQ21" i="6"/>
  <c r="BQ5" i="6" s="1"/>
  <c r="T21" i="6"/>
  <c r="T5" i="6" s="1"/>
  <c r="DJ21" i="6"/>
  <c r="DJ5" i="6" s="1"/>
  <c r="CI21" i="6"/>
  <c r="CI5" i="6" s="1"/>
  <c r="BZ21" i="6"/>
  <c r="BZ5" i="6" s="1"/>
  <c r="AH21" i="6"/>
  <c r="AH5" i="6" s="1"/>
  <c r="CR21" i="6"/>
  <c r="CR5" i="6" s="1"/>
  <c r="DA21" i="6"/>
  <c r="DA5" i="6" s="1"/>
  <c r="DU21" i="1"/>
  <c r="CI21" i="1"/>
  <c r="GB23" i="1"/>
  <c r="BS20" i="6"/>
  <c r="CD21" i="1"/>
  <c r="H8" i="17"/>
  <c r="H25" i="17"/>
  <c r="DC20" i="6"/>
  <c r="BL24" i="1"/>
  <c r="FL8" i="1"/>
  <c r="GV8" i="1"/>
  <c r="EZ8" i="1"/>
  <c r="DT8" i="1"/>
  <c r="BX8" i="1"/>
  <c r="ER8" i="1"/>
  <c r="CV8" i="1"/>
  <c r="GF8" i="1"/>
  <c r="A9" i="1"/>
  <c r="BM24" i="1"/>
  <c r="BO24" i="1" s="1"/>
  <c r="DA23" i="1"/>
  <c r="BN23" i="1"/>
  <c r="CH22" i="1" s="1"/>
  <c r="AK206" i="23"/>
  <c r="AJ206" i="23"/>
  <c r="AI206" i="23"/>
  <c r="AH206" i="23"/>
  <c r="AG206" i="23"/>
  <c r="BB31" i="1"/>
  <c r="AW31" i="1"/>
  <c r="AV31" i="1"/>
  <c r="AX31" i="1"/>
  <c r="BC31" i="1"/>
  <c r="BA31" i="1"/>
  <c r="AY31" i="1"/>
  <c r="AZ31" i="1"/>
  <c r="T30" i="1"/>
  <c r="N30" i="1"/>
  <c r="M30" i="1"/>
  <c r="O30" i="1"/>
  <c r="L30" i="1"/>
  <c r="G30" i="1"/>
  <c r="F30" i="1"/>
  <c r="I30" i="1"/>
  <c r="P30" i="1"/>
  <c r="H30" i="1"/>
  <c r="Q30" i="1"/>
  <c r="K30" i="1"/>
  <c r="S30" i="1"/>
  <c r="R30" i="1"/>
  <c r="J30" i="1"/>
  <c r="L34" i="25" l="1"/>
  <c r="L37" i="25" s="1"/>
  <c r="DM20" i="6"/>
  <c r="CC20" i="6"/>
  <c r="BE19" i="6"/>
  <c r="AV19" i="6"/>
  <c r="AX20" i="6" s="1"/>
  <c r="W20" i="6"/>
  <c r="CL20" i="6"/>
  <c r="FD20" i="1"/>
  <c r="CU20" i="6"/>
  <c r="BT20" i="6"/>
  <c r="DD20" i="6"/>
  <c r="HF28" i="1"/>
  <c r="U30" i="1"/>
  <c r="W30" i="1"/>
  <c r="V30" i="1"/>
  <c r="AW5" i="4"/>
  <c r="AL5" i="4"/>
  <c r="BH5" i="4"/>
  <c r="AB5" i="13"/>
  <c r="BS5" i="4"/>
  <c r="AS5" i="13"/>
  <c r="BK5" i="13"/>
  <c r="DR23" i="1"/>
  <c r="DT23" i="1" s="1"/>
  <c r="BL21" i="13"/>
  <c r="BI21" i="4"/>
  <c r="AV21" i="4" s="1"/>
  <c r="AM21" i="4"/>
  <c r="AC21" i="13"/>
  <c r="AX21" i="4"/>
  <c r="BT21" i="4"/>
  <c r="BR21" i="4" s="1"/>
  <c r="CT23" i="1"/>
  <c r="CY21" i="1"/>
  <c r="EM21" i="1"/>
  <c r="CS24" i="1"/>
  <c r="CU24" i="1" s="1"/>
  <c r="CV24" i="1" s="1"/>
  <c r="BY22" i="1"/>
  <c r="CW22" i="1" s="1"/>
  <c r="DQ24" i="1"/>
  <c r="DS24" i="1" s="1"/>
  <c r="BH23" i="1"/>
  <c r="FN19" i="1"/>
  <c r="FP19" i="1"/>
  <c r="H42" i="18" s="1"/>
  <c r="BE25" i="1"/>
  <c r="BY23" i="1" s="1"/>
  <c r="BK23" i="13" s="1"/>
  <c r="BM21" i="13"/>
  <c r="AD21" i="13"/>
  <c r="BF24" i="1"/>
  <c r="BZ22" i="1" s="1"/>
  <c r="BL22" i="13" s="1"/>
  <c r="BF21" i="4"/>
  <c r="BF5" i="4" s="1"/>
  <c r="BQ20" i="4"/>
  <c r="BQ5" i="4" s="1"/>
  <c r="BU21" i="4"/>
  <c r="BJ20" i="4"/>
  <c r="AN21" i="4"/>
  <c r="AU20" i="13"/>
  <c r="AY21" i="4"/>
  <c r="CY20" i="1"/>
  <c r="AY20" i="4"/>
  <c r="AU20" i="4"/>
  <c r="AU5" i="4" s="1"/>
  <c r="BJ21" i="4"/>
  <c r="EL20" i="1"/>
  <c r="EN20" i="1" s="1"/>
  <c r="CX20" i="1"/>
  <c r="CZ20" i="1" s="1"/>
  <c r="CB21" i="1"/>
  <c r="AM20" i="4"/>
  <c r="AO20" i="4" s="1"/>
  <c r="BT20" i="4"/>
  <c r="BV20" i="4" s="1"/>
  <c r="BL20" i="13"/>
  <c r="BN20" i="13" s="1"/>
  <c r="AX20" i="4"/>
  <c r="BI20" i="4"/>
  <c r="AT20" i="13"/>
  <c r="AV20" i="13" s="1"/>
  <c r="AC20" i="13"/>
  <c r="CC23" i="1"/>
  <c r="O23" i="9" s="1"/>
  <c r="Q23" i="9" s="1"/>
  <c r="M23" i="18"/>
  <c r="DX20" i="1"/>
  <c r="H32" i="18"/>
  <c r="B16" i="18" s="1"/>
  <c r="B13" i="18" s="1"/>
  <c r="EF20" i="1"/>
  <c r="H34" i="18"/>
  <c r="GH25" i="1"/>
  <c r="GJ25" i="1" s="1"/>
  <c r="HE29" i="1"/>
  <c r="HB29" i="1"/>
  <c r="HD29" i="1" s="1"/>
  <c r="HH29" i="1" s="1"/>
  <c r="FV29" i="1"/>
  <c r="FX29" i="1" s="1"/>
  <c r="GI26" i="1"/>
  <c r="FW29" i="1"/>
  <c r="FU30" i="1"/>
  <c r="GG27" i="1" s="1"/>
  <c r="GI27" i="1" s="1"/>
  <c r="HA30" i="1"/>
  <c r="HC30" i="1" s="1"/>
  <c r="HG30" i="1" s="1"/>
  <c r="S16" i="4"/>
  <c r="FO20" i="1"/>
  <c r="FM20" i="1"/>
  <c r="DK21" i="6"/>
  <c r="DB21" i="6"/>
  <c r="CS21" i="6"/>
  <c r="AI21" i="6"/>
  <c r="AV21" i="6" s="1"/>
  <c r="AX21" i="6" s="1"/>
  <c r="CA21" i="6"/>
  <c r="BR21" i="6"/>
  <c r="U21" i="6"/>
  <c r="CJ21" i="6"/>
  <c r="DV21" i="1"/>
  <c r="AN21" i="6" s="1"/>
  <c r="FH22" i="1"/>
  <c r="DA22" i="6"/>
  <c r="DC22" i="6" s="1"/>
  <c r="AH22" i="6"/>
  <c r="BD22" i="6" s="1"/>
  <c r="CI22" i="6"/>
  <c r="BQ22" i="6"/>
  <c r="CI22" i="1"/>
  <c r="CR22" i="6"/>
  <c r="CT22" i="6" s="1"/>
  <c r="T22" i="6"/>
  <c r="X22" i="6" s="1"/>
  <c r="DH22" i="1"/>
  <c r="FL22" i="1"/>
  <c r="BI20" i="6"/>
  <c r="AL20" i="6"/>
  <c r="BE20" i="6"/>
  <c r="CQ22" i="1"/>
  <c r="DU22" i="1"/>
  <c r="DW22" i="1" s="1"/>
  <c r="BZ22" i="6"/>
  <c r="Q22" i="9"/>
  <c r="AE22" i="8"/>
  <c r="DG23" i="1"/>
  <c r="FK23" i="1"/>
  <c r="AS31" i="1"/>
  <c r="AP31" i="1"/>
  <c r="AI21" i="9"/>
  <c r="CH21" i="9"/>
  <c r="CJ21" i="9" s="1"/>
  <c r="Y22" i="8"/>
  <c r="AF20" i="8"/>
  <c r="AH20" i="8" s="1"/>
  <c r="AU31" i="1"/>
  <c r="CI19" i="9"/>
  <c r="EZ23" i="1"/>
  <c r="FF22" i="1"/>
  <c r="BK26" i="1"/>
  <c r="AT31" i="1"/>
  <c r="GX23" i="1"/>
  <c r="GZ23" i="1" s="1"/>
  <c r="BP23" i="1"/>
  <c r="AQ31" i="1"/>
  <c r="EY24" i="1"/>
  <c r="AS21" i="9"/>
  <c r="H9" i="17"/>
  <c r="H26" i="17"/>
  <c r="DS21" i="6"/>
  <c r="DS5" i="6" s="1"/>
  <c r="EG21" i="1"/>
  <c r="FM21" i="1" s="1"/>
  <c r="DY21" i="1"/>
  <c r="FS21" i="1" s="1"/>
  <c r="ES21" i="1"/>
  <c r="CM21" i="1"/>
  <c r="GQ21" i="1"/>
  <c r="AI22" i="6"/>
  <c r="DB22" i="6"/>
  <c r="CA22" i="6"/>
  <c r="CJ22" i="6"/>
  <c r="DK22" i="6"/>
  <c r="BR22" i="6"/>
  <c r="U22" i="6"/>
  <c r="CS22" i="6"/>
  <c r="BU26" i="1"/>
  <c r="BW26" i="1" s="1"/>
  <c r="BV25" i="1"/>
  <c r="BX25" i="1" s="1"/>
  <c r="DI25" i="1"/>
  <c r="DK25" i="1" s="1"/>
  <c r="BO6" i="1" a="1"/>
  <c r="BO6" i="1" s="1"/>
  <c r="EP23" i="1"/>
  <c r="ER23" i="1" s="1"/>
  <c r="DN23" i="1"/>
  <c r="DP23" i="1" s="1"/>
  <c r="DF23" i="1"/>
  <c r="FL23" i="1" s="1"/>
  <c r="CJ22" i="1"/>
  <c r="BU19" i="13"/>
  <c r="AG19" i="13"/>
  <c r="T19" i="13"/>
  <c r="BQ25" i="1"/>
  <c r="CK23" i="1" s="1"/>
  <c r="EO24" i="1"/>
  <c r="DM24" i="1"/>
  <c r="BR24" i="1"/>
  <c r="EX24" i="1" s="1"/>
  <c r="DE24" i="1"/>
  <c r="DG24" i="1" s="1"/>
  <c r="DJ24" i="1"/>
  <c r="DL24" i="1" s="1"/>
  <c r="BD20" i="9"/>
  <c r="BH20" i="9"/>
  <c r="AS19" i="8"/>
  <c r="CF21" i="1"/>
  <c r="BS24" i="1"/>
  <c r="BE21" i="8"/>
  <c r="BG21" i="8" s="1"/>
  <c r="BN21" i="8"/>
  <c r="BP21" i="8" s="1"/>
  <c r="BF19" i="8"/>
  <c r="BO19" i="8"/>
  <c r="GP20" i="1"/>
  <c r="GR20" i="1" s="1"/>
  <c r="AZ21" i="9"/>
  <c r="BB21" i="9" s="1"/>
  <c r="AL21" i="9"/>
  <c r="AO21" i="9" s="1"/>
  <c r="CX21" i="1"/>
  <c r="CT21" i="6"/>
  <c r="BB20" i="8"/>
  <c r="AB20" i="8"/>
  <c r="AD20" i="8" s="1"/>
  <c r="AR31" i="1"/>
  <c r="DW21" i="1"/>
  <c r="DC21" i="6"/>
  <c r="AO20" i="8"/>
  <c r="AQ20" i="8" s="1"/>
  <c r="P20" i="13"/>
  <c r="R20" i="13" s="1"/>
  <c r="DT20" i="6"/>
  <c r="DZ20" i="1"/>
  <c r="ET20" i="1"/>
  <c r="EH20" i="1"/>
  <c r="CN20" i="1"/>
  <c r="BV20" i="9"/>
  <c r="BX20" i="9" s="1"/>
  <c r="CD22" i="1"/>
  <c r="GC22" i="1"/>
  <c r="GE22" i="1" s="1"/>
  <c r="GO22" i="1"/>
  <c r="AU21" i="6"/>
  <c r="AU5" i="6" s="1"/>
  <c r="BD21" i="6"/>
  <c r="BD5" i="6" s="1"/>
  <c r="AG21" i="6"/>
  <c r="AG5" i="6" s="1"/>
  <c r="AM21" i="6"/>
  <c r="AM5" i="6" s="1"/>
  <c r="AJ21" i="6"/>
  <c r="G6" i="17" s="1"/>
  <c r="Y20" i="6"/>
  <c r="AN20" i="6"/>
  <c r="CJ20" i="9"/>
  <c r="CN20" i="9"/>
  <c r="CK21" i="6"/>
  <c r="BW20" i="9"/>
  <c r="BU5" i="9"/>
  <c r="CL5" i="9"/>
  <c r="D20" i="11"/>
  <c r="GQ20" i="1"/>
  <c r="Y20" i="9"/>
  <c r="AA20" i="9" s="1"/>
  <c r="AH20" i="9"/>
  <c r="AR20" i="9" s="1"/>
  <c r="GM22" i="1"/>
  <c r="DL22" i="6"/>
  <c r="DL21" i="6"/>
  <c r="EL21" i="1"/>
  <c r="ED21" i="1"/>
  <c r="GF9" i="1"/>
  <c r="A10" i="1"/>
  <c r="FL9" i="1"/>
  <c r="GV9" i="1"/>
  <c r="EZ9" i="1"/>
  <c r="DT9" i="1"/>
  <c r="BX9" i="1"/>
  <c r="ER9" i="1"/>
  <c r="CV9" i="1"/>
  <c r="V21" i="6"/>
  <c r="X21" i="6"/>
  <c r="X5" i="6" s="1"/>
  <c r="AC21" i="8"/>
  <c r="AG20" i="8"/>
  <c r="AE5" i="8"/>
  <c r="CM20" i="9"/>
  <c r="AN22" i="8"/>
  <c r="AP22" i="8" s="1"/>
  <c r="O22" i="13"/>
  <c r="Q22" i="13" s="1"/>
  <c r="BM25" i="1"/>
  <c r="CG24" i="1" s="1"/>
  <c r="BN24" i="1"/>
  <c r="BP24" i="1" s="1"/>
  <c r="DA24" i="1"/>
  <c r="DC24" i="1" s="1"/>
  <c r="BS21" i="6"/>
  <c r="Z20" i="9"/>
  <c r="X5" i="9"/>
  <c r="BX20" i="13"/>
  <c r="R20" i="4"/>
  <c r="AA22" i="8"/>
  <c r="AC22" i="8" s="1"/>
  <c r="BA22" i="8"/>
  <c r="BC22" i="8" s="1"/>
  <c r="CB21" i="6"/>
  <c r="CE21" i="9"/>
  <c r="P21" i="9"/>
  <c r="BR21" i="9"/>
  <c r="BR5" i="9" s="1"/>
  <c r="X21" i="8"/>
  <c r="X5" i="8" s="1"/>
  <c r="O21" i="8"/>
  <c r="O5" i="8" s="1"/>
  <c r="O21" i="4"/>
  <c r="O5" i="4" s="1"/>
  <c r="Y21" i="4"/>
  <c r="GL21" i="1"/>
  <c r="GN21" i="1" s="1"/>
  <c r="DC23" i="1"/>
  <c r="AZ19" i="9"/>
  <c r="AI20" i="9"/>
  <c r="AG5" i="9"/>
  <c r="AL19" i="9"/>
  <c r="EZ22" i="1"/>
  <c r="CR21" i="1"/>
  <c r="BT21" i="13"/>
  <c r="BV21" i="13" s="1"/>
  <c r="AF21" i="13"/>
  <c r="AH21" i="13" s="1"/>
  <c r="S21" i="13"/>
  <c r="FZ25" i="1"/>
  <c r="GB25" i="1" s="1"/>
  <c r="BJ6" i="1" a="1"/>
  <c r="BJ6" i="1" s="1"/>
  <c r="CP22" i="1"/>
  <c r="J4" i="17"/>
  <c r="BT19" i="13"/>
  <c r="Q20" i="13"/>
  <c r="O5" i="13"/>
  <c r="AF19" i="13"/>
  <c r="S19" i="13"/>
  <c r="BR20" i="8"/>
  <c r="BA19" i="9"/>
  <c r="AN19" i="9"/>
  <c r="AC20" i="8"/>
  <c r="AA5" i="8"/>
  <c r="GT27" i="1"/>
  <c r="GS28" i="1"/>
  <c r="GU28" i="1" s="1"/>
  <c r="CG23" i="1"/>
  <c r="AP20" i="8"/>
  <c r="AR19" i="8"/>
  <c r="AN5" i="8"/>
  <c r="GN20" i="1"/>
  <c r="FA21" i="1"/>
  <c r="AR21" i="8"/>
  <c r="AQ19" i="9"/>
  <c r="BI27" i="1"/>
  <c r="BK27" i="1" s="1"/>
  <c r="BJ26" i="1"/>
  <c r="BL26" i="1" s="1"/>
  <c r="FY26" i="1"/>
  <c r="GA26" i="1" s="1"/>
  <c r="CL22" i="9"/>
  <c r="GW24" i="1"/>
  <c r="DB23" i="1"/>
  <c r="DD23" i="1" s="1"/>
  <c r="R20" i="9"/>
  <c r="BN19" i="8"/>
  <c r="BE19" i="8"/>
  <c r="BC20" i="8"/>
  <c r="BA5" i="8"/>
  <c r="EE22" i="1"/>
  <c r="CL21" i="1"/>
  <c r="CN21" i="1" s="1"/>
  <c r="BX24" i="1"/>
  <c r="AW20" i="6"/>
  <c r="BU22" i="9"/>
  <c r="DD22" i="1"/>
  <c r="E31" i="1"/>
  <c r="A33" i="1"/>
  <c r="X32" i="1"/>
  <c r="AJ32" i="1" s="1"/>
  <c r="AG32" i="1"/>
  <c r="AA32" i="1"/>
  <c r="AM32" i="1" s="1"/>
  <c r="AH32" i="1"/>
  <c r="AF32" i="1"/>
  <c r="AC32" i="1"/>
  <c r="AO32" i="1" s="1"/>
  <c r="Z32" i="1"/>
  <c r="AL32" i="1" s="1"/>
  <c r="Y32" i="1"/>
  <c r="AK32" i="1" s="1"/>
  <c r="AI32" i="1"/>
  <c r="AD32" i="1"/>
  <c r="AB32" i="1"/>
  <c r="AN32" i="1" s="1"/>
  <c r="AE32" i="1"/>
  <c r="D32" i="1"/>
  <c r="C32" i="1"/>
  <c r="B32" i="1"/>
  <c r="BF20" i="6"/>
  <c r="BH19" i="6"/>
  <c r="BJ20" i="6"/>
  <c r="AG22" i="9"/>
  <c r="AQ22" i="9" s="1"/>
  <c r="X22" i="9"/>
  <c r="CO23" i="1"/>
  <c r="AB20" i="4"/>
  <c r="FG23" i="1"/>
  <c r="FE23" i="1"/>
  <c r="GZ22" i="1"/>
  <c r="BT23" i="1"/>
  <c r="CK22" i="1"/>
  <c r="CM22" i="1" s="1"/>
  <c r="AE206" i="23"/>
  <c r="AD206" i="23"/>
  <c r="AR205" i="23"/>
  <c r="AQ205" i="23"/>
  <c r="AP205" i="23"/>
  <c r="AO205" i="23"/>
  <c r="AN205" i="23"/>
  <c r="AY32" i="1"/>
  <c r="AW32" i="1"/>
  <c r="AZ32" i="1"/>
  <c r="AV32" i="1"/>
  <c r="BA32" i="1"/>
  <c r="BC32" i="1"/>
  <c r="AX32" i="1"/>
  <c r="BB32" i="1"/>
  <c r="O31" i="1"/>
  <c r="N31" i="1"/>
  <c r="T31" i="1"/>
  <c r="H31" i="1"/>
  <c r="I31" i="1"/>
  <c r="J31" i="1"/>
  <c r="F31" i="1"/>
  <c r="Q31" i="1"/>
  <c r="K31" i="1"/>
  <c r="P31" i="1"/>
  <c r="R31" i="1"/>
  <c r="M31" i="1"/>
  <c r="S31" i="1"/>
  <c r="L31" i="1"/>
  <c r="G31" i="1"/>
  <c r="BG20" i="6" l="1"/>
  <c r="FU31" i="1"/>
  <c r="FW31" i="1" s="1"/>
  <c r="HA31" i="1"/>
  <c r="HC31" i="1" s="1"/>
  <c r="HG31" i="1" s="1"/>
  <c r="W31" i="1"/>
  <c r="V31" i="1"/>
  <c r="U31" i="1"/>
  <c r="AX5" i="4"/>
  <c r="AN5" i="6"/>
  <c r="AC5" i="13"/>
  <c r="CH5" i="9"/>
  <c r="AV5" i="6"/>
  <c r="AZ20" i="4"/>
  <c r="BI5" i="4"/>
  <c r="CL21" i="6"/>
  <c r="CJ5" i="6"/>
  <c r="W21" i="6"/>
  <c r="U5" i="6"/>
  <c r="BT21" i="6"/>
  <c r="BR5" i="6"/>
  <c r="CC21" i="6"/>
  <c r="CA5" i="6"/>
  <c r="CU21" i="6"/>
  <c r="CS5" i="6"/>
  <c r="AB21" i="4"/>
  <c r="H18" i="18" s="1"/>
  <c r="Y5" i="4"/>
  <c r="DD21" i="6"/>
  <c r="DB5" i="6"/>
  <c r="DM21" i="6"/>
  <c r="DK5" i="6"/>
  <c r="CG21" i="9"/>
  <c r="CE5" i="9"/>
  <c r="AI5" i="6"/>
  <c r="R21" i="9"/>
  <c r="H22" i="18" s="1"/>
  <c r="P5" i="9"/>
  <c r="BL5" i="13"/>
  <c r="AT5" i="13"/>
  <c r="BT5" i="4"/>
  <c r="AM5" i="4"/>
  <c r="G43" i="18"/>
  <c r="BN22" i="13"/>
  <c r="AS22" i="13"/>
  <c r="AU22" i="13" s="1"/>
  <c r="BG21" i="4"/>
  <c r="AB22" i="13"/>
  <c r="AL22" i="4"/>
  <c r="AN22" i="4" s="1"/>
  <c r="BH22" i="4"/>
  <c r="AU22" i="4" s="1"/>
  <c r="BK22" i="13"/>
  <c r="EK22" i="1"/>
  <c r="EM22" i="1" s="1"/>
  <c r="FG24" i="1"/>
  <c r="AW22" i="4"/>
  <c r="AM22" i="4"/>
  <c r="AO22" i="4" s="1"/>
  <c r="BT22" i="4"/>
  <c r="CB22" i="1"/>
  <c r="CA23" i="1"/>
  <c r="BE26" i="1"/>
  <c r="BY24" i="1" s="1"/>
  <c r="CA24" i="1" s="1"/>
  <c r="BS23" i="4"/>
  <c r="BQ23" i="4" s="1"/>
  <c r="BH23" i="4"/>
  <c r="AU23" i="4" s="1"/>
  <c r="AL23" i="4"/>
  <c r="CS25" i="1"/>
  <c r="CU25" i="1" s="1"/>
  <c r="CV25" i="1" s="1"/>
  <c r="BI22" i="4"/>
  <c r="AZ22" i="4" s="1"/>
  <c r="AT22" i="13"/>
  <c r="AV22" i="13" s="1"/>
  <c r="AX22" i="4"/>
  <c r="DR24" i="1"/>
  <c r="DT24" i="1" s="1"/>
  <c r="BS22" i="4"/>
  <c r="BU22" i="4" s="1"/>
  <c r="CA22" i="1"/>
  <c r="AC22" i="13"/>
  <c r="AB23" i="13"/>
  <c r="BF25" i="1"/>
  <c r="BH25" i="1" s="1"/>
  <c r="BG25" i="1"/>
  <c r="CT24" i="1"/>
  <c r="AW23" i="4"/>
  <c r="AS23" i="13"/>
  <c r="DQ25" i="1"/>
  <c r="DS25" i="1" s="1"/>
  <c r="BG6" i="1" a="1"/>
  <c r="BG6" i="1" s="1"/>
  <c r="AZ21" i="4"/>
  <c r="BH24" i="1"/>
  <c r="CX22" i="1"/>
  <c r="CZ22" i="1" s="1"/>
  <c r="BR20" i="4"/>
  <c r="BR5" i="4" s="1"/>
  <c r="BV21" i="4"/>
  <c r="BK20" i="4"/>
  <c r="FN20" i="1"/>
  <c r="AV21" i="13"/>
  <c r="EN21" i="1"/>
  <c r="BN21" i="13"/>
  <c r="CW23" i="1"/>
  <c r="CY23" i="1" s="1"/>
  <c r="AO21" i="4"/>
  <c r="BG20" i="4"/>
  <c r="BK21" i="4"/>
  <c r="AV20" i="4"/>
  <c r="AV5" i="4" s="1"/>
  <c r="CE23" i="1"/>
  <c r="GK23" i="1"/>
  <c r="GM23" i="1" s="1"/>
  <c r="N23" i="4"/>
  <c r="X23" i="4"/>
  <c r="W23" i="8"/>
  <c r="BQ23" i="9"/>
  <c r="N23" i="8"/>
  <c r="CD23" i="9"/>
  <c r="FT20" i="1"/>
  <c r="H33" i="18"/>
  <c r="B12" i="18"/>
  <c r="G27" i="18"/>
  <c r="HF29" i="1"/>
  <c r="GH26" i="1"/>
  <c r="GJ26" i="1" s="1"/>
  <c r="FV30" i="1"/>
  <c r="GH27" i="1" s="1"/>
  <c r="HB30" i="1"/>
  <c r="HD30" i="1" s="1"/>
  <c r="HH30" i="1" s="1"/>
  <c r="FW30" i="1"/>
  <c r="HE30" i="1"/>
  <c r="DD22" i="6"/>
  <c r="DX21" i="1"/>
  <c r="AL21" i="6"/>
  <c r="BE21" i="6"/>
  <c r="BK21" i="6" s="1"/>
  <c r="AL22" i="6"/>
  <c r="BI21" i="6"/>
  <c r="BI5" i="6" s="1"/>
  <c r="FQ21" i="1"/>
  <c r="DM22" i="6"/>
  <c r="CU22" i="6"/>
  <c r="BT22" i="6"/>
  <c r="CC22" i="6"/>
  <c r="CL22" i="6"/>
  <c r="Y21" i="6"/>
  <c r="AA21" i="6" s="1"/>
  <c r="W22" i="6"/>
  <c r="BS22" i="6"/>
  <c r="CK22" i="6"/>
  <c r="CB22" i="6"/>
  <c r="I7" i="17" s="1"/>
  <c r="AM22" i="6"/>
  <c r="AO22" i="6" s="1"/>
  <c r="AJ22" i="6"/>
  <c r="G7" i="17" s="1"/>
  <c r="AA5" i="17" s="1"/>
  <c r="AG22" i="6"/>
  <c r="J7" i="17" s="1"/>
  <c r="V22" i="6"/>
  <c r="AU22" i="6"/>
  <c r="AW22" i="6" s="1"/>
  <c r="FO21" i="1"/>
  <c r="BK20" i="6"/>
  <c r="F22" i="11"/>
  <c r="AG22" i="8"/>
  <c r="DH23" i="1"/>
  <c r="CN21" i="9"/>
  <c r="FJ23" i="1"/>
  <c r="CH23" i="1"/>
  <c r="CJ23" i="1" s="1"/>
  <c r="FF23" i="1"/>
  <c r="FH23" i="1"/>
  <c r="CC24" i="1"/>
  <c r="CE24" i="1" s="1"/>
  <c r="AK20" i="9"/>
  <c r="CO24" i="1"/>
  <c r="CQ24" i="1" s="1"/>
  <c r="CF22" i="1"/>
  <c r="CI20" i="9"/>
  <c r="CK20" i="9" s="1"/>
  <c r="FR20" i="1"/>
  <c r="AU32" i="1"/>
  <c r="AP32" i="1"/>
  <c r="CP23" i="1"/>
  <c r="CR23" i="1" s="1"/>
  <c r="AT32" i="1"/>
  <c r="FP20" i="1"/>
  <c r="AQ32" i="1"/>
  <c r="AR32" i="1"/>
  <c r="AS32" i="1"/>
  <c r="CR24" i="6"/>
  <c r="BQ24" i="6"/>
  <c r="T24" i="6"/>
  <c r="DA24" i="6"/>
  <c r="CI24" i="6"/>
  <c r="DJ24" i="6"/>
  <c r="BZ24" i="6"/>
  <c r="AH24" i="6"/>
  <c r="EZ24" i="1"/>
  <c r="AS22" i="9"/>
  <c r="GT28" i="1"/>
  <c r="GV28" i="1" s="1"/>
  <c r="GS29" i="1"/>
  <c r="GW26" i="1" s="1"/>
  <c r="D21" i="11"/>
  <c r="D5" i="11" s="1"/>
  <c r="BT22" i="13"/>
  <c r="BV22" i="13" s="1"/>
  <c r="AF22" i="13"/>
  <c r="AH22" i="13" s="1"/>
  <c r="S22" i="13"/>
  <c r="V22" i="13" s="1"/>
  <c r="GY24" i="1"/>
  <c r="FC21" i="1"/>
  <c r="GW25" i="1"/>
  <c r="CM21" i="9"/>
  <c r="CM5" i="9" s="1"/>
  <c r="AR22" i="8"/>
  <c r="AI22" i="9"/>
  <c r="AT21" i="8"/>
  <c r="FE24" i="1"/>
  <c r="BX21" i="13"/>
  <c r="CA21" i="13" s="1"/>
  <c r="AP21" i="6"/>
  <c r="Z22" i="9"/>
  <c r="CY22" i="1"/>
  <c r="V20" i="13"/>
  <c r="U20" i="13"/>
  <c r="S5" i="13"/>
  <c r="G20" i="11"/>
  <c r="I23" i="17"/>
  <c r="I6" i="17"/>
  <c r="AH20" i="13"/>
  <c r="AF5" i="13"/>
  <c r="W5" i="17"/>
  <c r="EU21" i="1"/>
  <c r="AO21" i="6"/>
  <c r="EJ20" i="1"/>
  <c r="EA21" i="1"/>
  <c r="AO20" i="9"/>
  <c r="AL5" i="9"/>
  <c r="E32" i="1"/>
  <c r="A34" i="1"/>
  <c r="X33" i="1"/>
  <c r="AJ33" i="1" s="1"/>
  <c r="AG33" i="1"/>
  <c r="AD33" i="1"/>
  <c r="AA33" i="1"/>
  <c r="AM33" i="1" s="1"/>
  <c r="AI33" i="1"/>
  <c r="AE33" i="1"/>
  <c r="Z33" i="1"/>
  <c r="AL33" i="1" s="1"/>
  <c r="AH33" i="1"/>
  <c r="AF33" i="1"/>
  <c r="AB33" i="1"/>
  <c r="AN33" i="1" s="1"/>
  <c r="Y33" i="1"/>
  <c r="AK33" i="1" s="1"/>
  <c r="AC33" i="1"/>
  <c r="AO33" i="1" s="1"/>
  <c r="C33" i="1"/>
  <c r="D33" i="1"/>
  <c r="B33" i="1"/>
  <c r="BA20" i="9"/>
  <c r="BC20" i="9" s="1"/>
  <c r="AN20" i="9"/>
  <c r="AP20" i="9" s="1"/>
  <c r="J6" i="17"/>
  <c r="Q5" i="17" s="1"/>
  <c r="EV20" i="1"/>
  <c r="EI21" i="1"/>
  <c r="BG20" i="8"/>
  <c r="BE5" i="8"/>
  <c r="BV20" i="13"/>
  <c r="BT5" i="13"/>
  <c r="BX19" i="13"/>
  <c r="BJ22" i="6"/>
  <c r="BF22" i="6"/>
  <c r="BH21" i="6"/>
  <c r="BH5" i="6" s="1"/>
  <c r="BJ21" i="6"/>
  <c r="BF21" i="6"/>
  <c r="EB20" i="1"/>
  <c r="DS23" i="6"/>
  <c r="ES23" i="1"/>
  <c r="EG23" i="1"/>
  <c r="DY23" i="1"/>
  <c r="BR19" i="8"/>
  <c r="BP20" i="8"/>
  <c r="BN5" i="8"/>
  <c r="CH22" i="9"/>
  <c r="BE22" i="8"/>
  <c r="BG22" i="8" s="1"/>
  <c r="BN22" i="8"/>
  <c r="BP22" i="8" s="1"/>
  <c r="AW21" i="6"/>
  <c r="DU21" i="6"/>
  <c r="DV20" i="6"/>
  <c r="EP24" i="1"/>
  <c r="ER24" i="1" s="1"/>
  <c r="DN24" i="1"/>
  <c r="DP24" i="1" s="1"/>
  <c r="DF24" i="1"/>
  <c r="DH24" i="1" s="1"/>
  <c r="CL22" i="1"/>
  <c r="BH22" i="6"/>
  <c r="BQ26" i="1"/>
  <c r="BS26" i="1" s="1"/>
  <c r="EO25" i="1"/>
  <c r="EQ25" i="1" s="1"/>
  <c r="DE25" i="1"/>
  <c r="DG25" i="1" s="1"/>
  <c r="BR25" i="1"/>
  <c r="BT25" i="1" s="1"/>
  <c r="DM25" i="1"/>
  <c r="BM6" i="1" a="1"/>
  <c r="BM6" i="1" s="1"/>
  <c r="AA20" i="6"/>
  <c r="BS25" i="1"/>
  <c r="DV22" i="1"/>
  <c r="DO24" i="1"/>
  <c r="FI24" i="1"/>
  <c r="AT20" i="9"/>
  <c r="GX24" i="1"/>
  <c r="AP20" i="6"/>
  <c r="BT24" i="1"/>
  <c r="FK24" i="1"/>
  <c r="DS22" i="6"/>
  <c r="CM23" i="1"/>
  <c r="ES22" i="1"/>
  <c r="DY22" i="1"/>
  <c r="EA22" i="1" s="1"/>
  <c r="EG22" i="1"/>
  <c r="EI22" i="1" s="1"/>
  <c r="FA22" i="1"/>
  <c r="DT21" i="6"/>
  <c r="DV21" i="6" s="1"/>
  <c r="DZ21" i="1"/>
  <c r="EB21" i="1" s="1"/>
  <c r="EH21" i="1"/>
  <c r="FP21" i="1" s="1"/>
  <c r="ET21" i="1"/>
  <c r="GV27" i="1"/>
  <c r="CZ21" i="1"/>
  <c r="DB24" i="1"/>
  <c r="DD24" i="1" s="1"/>
  <c r="FB21" i="1"/>
  <c r="BY19" i="13"/>
  <c r="AG23" i="9"/>
  <c r="X23" i="9"/>
  <c r="AT20" i="8"/>
  <c r="AR5" i="8"/>
  <c r="ED22" i="1"/>
  <c r="EF22" i="1" s="1"/>
  <c r="EL22" i="1"/>
  <c r="BM26" i="1"/>
  <c r="BO26" i="1" s="1"/>
  <c r="DA25" i="1"/>
  <c r="BN25" i="1"/>
  <c r="CH24" i="1" s="1"/>
  <c r="BK6" i="1" a="1"/>
  <c r="BK6" i="1" s="1"/>
  <c r="CR22" i="1"/>
  <c r="GD21" i="1"/>
  <c r="GP21" i="1"/>
  <c r="GR21" i="1" s="1"/>
  <c r="EC23" i="1"/>
  <c r="EK23" i="1"/>
  <c r="FA23" i="1"/>
  <c r="CQ23" i="1"/>
  <c r="FZ26" i="1"/>
  <c r="GB26" i="1" s="1"/>
  <c r="BO25" i="1"/>
  <c r="AF21" i="8"/>
  <c r="AF5" i="8" s="1"/>
  <c r="BB20" i="9"/>
  <c r="AZ5" i="9"/>
  <c r="BD19" i="9"/>
  <c r="BH19" i="9"/>
  <c r="DA23" i="6"/>
  <c r="BZ23" i="6"/>
  <c r="AH23" i="6"/>
  <c r="DJ23" i="6"/>
  <c r="BQ23" i="6"/>
  <c r="T23" i="6"/>
  <c r="CR23" i="6"/>
  <c r="CI23" i="6"/>
  <c r="CI24" i="1"/>
  <c r="DU23" i="1"/>
  <c r="CI23" i="1"/>
  <c r="EF21" i="1"/>
  <c r="EQ24" i="1"/>
  <c r="BI28" i="1"/>
  <c r="CC25" i="1" s="1"/>
  <c r="BJ27" i="1"/>
  <c r="FY27" i="1"/>
  <c r="AO21" i="8"/>
  <c r="P21" i="13"/>
  <c r="R21" i="13" s="1"/>
  <c r="R21" i="4"/>
  <c r="H16" i="18" s="1"/>
  <c r="BS19" i="8"/>
  <c r="EW25" i="1"/>
  <c r="AB21" i="8"/>
  <c r="BB21" i="8"/>
  <c r="BD21" i="8" s="1"/>
  <c r="Z22" i="6"/>
  <c r="F21" i="11"/>
  <c r="F5" i="11" s="1"/>
  <c r="Z21" i="6"/>
  <c r="CE22" i="9"/>
  <c r="BR22" i="9"/>
  <c r="BT22" i="9" s="1"/>
  <c r="P22" i="9"/>
  <c r="X22" i="8"/>
  <c r="Z22" i="8" s="1"/>
  <c r="O22" i="8"/>
  <c r="Q22" i="8" s="1"/>
  <c r="Y22" i="4"/>
  <c r="AB22" i="4" s="1"/>
  <c r="O22" i="4"/>
  <c r="R22" i="4" s="1"/>
  <c r="GL22" i="1"/>
  <c r="BU20" i="13"/>
  <c r="BW20" i="13" s="1"/>
  <c r="AG20" i="13"/>
  <c r="T20" i="13"/>
  <c r="AS20" i="9"/>
  <c r="AQ5" i="9"/>
  <c r="CD23" i="1"/>
  <c r="BV21" i="9"/>
  <c r="Q21" i="8"/>
  <c r="BF20" i="8"/>
  <c r="BH20" i="8" s="1"/>
  <c r="BO20" i="8"/>
  <c r="BQ20" i="8" s="1"/>
  <c r="BW22" i="9"/>
  <c r="BD20" i="8"/>
  <c r="DJ25" i="1"/>
  <c r="DL25" i="1" s="1"/>
  <c r="BP6" i="1" a="1"/>
  <c r="BP6" i="1" s="1"/>
  <c r="GQ22" i="1"/>
  <c r="Y21" i="9"/>
  <c r="AA21" i="9" s="1"/>
  <c r="AH21" i="9"/>
  <c r="AH5" i="9" s="1"/>
  <c r="EZ10" i="1"/>
  <c r="DT10" i="1"/>
  <c r="BX10" i="1"/>
  <c r="ER10" i="1"/>
  <c r="CV10" i="1"/>
  <c r="GF10" i="1"/>
  <c r="A11" i="1"/>
  <c r="F23" i="17" s="1"/>
  <c r="L23" i="17" s="1"/>
  <c r="FL10" i="1"/>
  <c r="GV10" i="1"/>
  <c r="U21" i="13"/>
  <c r="BT21" i="9"/>
  <c r="AS20" i="8"/>
  <c r="AU20" i="8" s="1"/>
  <c r="Z21" i="8"/>
  <c r="BI22" i="6"/>
  <c r="BE22" i="6"/>
  <c r="AV22" i="6"/>
  <c r="BE19" i="9"/>
  <c r="BI19" i="9"/>
  <c r="AZ22" i="9"/>
  <c r="BB22" i="9" s="1"/>
  <c r="AL22" i="9"/>
  <c r="AO22" i="9" s="1"/>
  <c r="V21" i="13"/>
  <c r="BD21" i="9"/>
  <c r="BH21" i="9"/>
  <c r="BJ21" i="9" s="1"/>
  <c r="BR21" i="8"/>
  <c r="BU27" i="1"/>
  <c r="BV26" i="1"/>
  <c r="DI26" i="1"/>
  <c r="DK26" i="1" s="1"/>
  <c r="AK205" i="23"/>
  <c r="AJ205" i="23"/>
  <c r="AI205" i="23"/>
  <c r="AH205" i="23"/>
  <c r="AG205" i="23"/>
  <c r="BC33" i="1"/>
  <c r="BB33" i="1"/>
  <c r="AV33" i="1"/>
  <c r="AW33" i="1"/>
  <c r="AX33" i="1"/>
  <c r="AY33" i="1"/>
  <c r="AZ33" i="1"/>
  <c r="BA33" i="1"/>
  <c r="P32" i="1"/>
  <c r="L32" i="1"/>
  <c r="T32" i="1"/>
  <c r="M32" i="1"/>
  <c r="I32" i="1"/>
  <c r="G32" i="1"/>
  <c r="R32" i="1"/>
  <c r="S32" i="1"/>
  <c r="O32" i="1"/>
  <c r="K32" i="1"/>
  <c r="Q32" i="1"/>
  <c r="J32" i="1"/>
  <c r="F32" i="1"/>
  <c r="N32" i="1"/>
  <c r="H32" i="1"/>
  <c r="HB31" i="1" l="1"/>
  <c r="HF31" i="1" s="1"/>
  <c r="HE31" i="1"/>
  <c r="FV31" i="1"/>
  <c r="GH28" i="1" s="1"/>
  <c r="GJ28" i="1" s="1"/>
  <c r="GG28" i="1"/>
  <c r="GI28" i="1" s="1"/>
  <c r="T6" i="6"/>
  <c r="V6" i="6" s="1"/>
  <c r="BZ6" i="6"/>
  <c r="CB6" i="6" s="1"/>
  <c r="CI6" i="6"/>
  <c r="CK6" i="6" s="1"/>
  <c r="AH6" i="6"/>
  <c r="AJ6" i="6" s="1"/>
  <c r="DA6" i="6"/>
  <c r="DC6" i="6" s="1"/>
  <c r="CR6" i="6"/>
  <c r="CT6" i="6" s="1"/>
  <c r="BQ6" i="6"/>
  <c r="BS6" i="6" s="1"/>
  <c r="DJ6" i="6"/>
  <c r="DL6" i="6" s="1"/>
  <c r="DT5" i="6"/>
  <c r="AD21" i="8"/>
  <c r="AB5" i="8"/>
  <c r="P5" i="13"/>
  <c r="CF23" i="9"/>
  <c r="Y5" i="9"/>
  <c r="P23" i="8"/>
  <c r="BS23" i="9"/>
  <c r="AQ21" i="8"/>
  <c r="AO5" i="8"/>
  <c r="Y23" i="8"/>
  <c r="Z23" i="4"/>
  <c r="P23" i="4"/>
  <c r="BE5" i="6"/>
  <c r="BX21" i="9"/>
  <c r="BV5" i="9"/>
  <c r="BB5" i="8"/>
  <c r="BG5" i="4"/>
  <c r="Y5" i="6"/>
  <c r="BJ22" i="4"/>
  <c r="BF22" i="4"/>
  <c r="AY22" i="4"/>
  <c r="AD22" i="13"/>
  <c r="AE22" i="13"/>
  <c r="BM22" i="13"/>
  <c r="BM23" i="13"/>
  <c r="AN23" i="4"/>
  <c r="AU23" i="13"/>
  <c r="AE23" i="13"/>
  <c r="BV22" i="4"/>
  <c r="BF26" i="1"/>
  <c r="DR26" i="1" s="1"/>
  <c r="BE27" i="1"/>
  <c r="BY25" i="1" s="1"/>
  <c r="CA25" i="1" s="1"/>
  <c r="BG26" i="1"/>
  <c r="CS26" i="1"/>
  <c r="CU26" i="1" s="1"/>
  <c r="CV26" i="1" s="1"/>
  <c r="AY23" i="4"/>
  <c r="BJ23" i="4"/>
  <c r="BR22" i="4"/>
  <c r="BU23" i="4"/>
  <c r="BQ22" i="4"/>
  <c r="AD23" i="13"/>
  <c r="BF23" i="4"/>
  <c r="DR25" i="1"/>
  <c r="DT25" i="1" s="1"/>
  <c r="BZ23" i="1"/>
  <c r="AC23" i="13" s="1"/>
  <c r="BS24" i="4"/>
  <c r="BU24" i="4" s="1"/>
  <c r="BH6" i="1" a="1"/>
  <c r="BH6" i="1" s="1"/>
  <c r="BK22" i="4"/>
  <c r="AV22" i="4"/>
  <c r="BG22" i="4"/>
  <c r="CT25" i="1"/>
  <c r="AL24" i="4"/>
  <c r="AN24" i="4" s="1"/>
  <c r="DQ26" i="1"/>
  <c r="DS26" i="1" s="1"/>
  <c r="AW24" i="4"/>
  <c r="BH24" i="4"/>
  <c r="AY24" i="4" s="1"/>
  <c r="AB24" i="13"/>
  <c r="AD24" i="13" s="1"/>
  <c r="BK24" i="13"/>
  <c r="BM24" i="13" s="1"/>
  <c r="AS24" i="13"/>
  <c r="AU24" i="13" s="1"/>
  <c r="FG25" i="1"/>
  <c r="BU23" i="9"/>
  <c r="GC23" i="1"/>
  <c r="GE23" i="1" s="1"/>
  <c r="AN23" i="8"/>
  <c r="CL23" i="9"/>
  <c r="GO23" i="1"/>
  <c r="GQ23" i="1" s="1"/>
  <c r="O23" i="13"/>
  <c r="BA23" i="8"/>
  <c r="AA23" i="8"/>
  <c r="AE23" i="8"/>
  <c r="CH23" i="9"/>
  <c r="CJ23" i="9" s="1"/>
  <c r="FX30" i="1"/>
  <c r="GJ27" i="1"/>
  <c r="HF30" i="1"/>
  <c r="FU32" i="1"/>
  <c r="FW32" i="1" s="1"/>
  <c r="U32" i="1"/>
  <c r="W32" i="1"/>
  <c r="V32" i="1"/>
  <c r="BG21" i="6"/>
  <c r="G21" i="11"/>
  <c r="G5" i="11" s="1"/>
  <c r="I24" i="17"/>
  <c r="DK23" i="6"/>
  <c r="CJ23" i="6"/>
  <c r="U23" i="6"/>
  <c r="BR23" i="6"/>
  <c r="DB23" i="6"/>
  <c r="AI23" i="6"/>
  <c r="W6" i="17"/>
  <c r="Q6" i="17"/>
  <c r="S6" i="17" s="1"/>
  <c r="U6" i="17" s="1"/>
  <c r="AB5" i="17"/>
  <c r="CA23" i="6"/>
  <c r="EK24" i="1"/>
  <c r="EM24" i="1" s="1"/>
  <c r="CE25" i="1"/>
  <c r="GK24" i="1"/>
  <c r="GM24" i="1" s="1"/>
  <c r="N24" i="8"/>
  <c r="P24" i="8" s="1"/>
  <c r="W24" i="8"/>
  <c r="Y24" i="8" s="1"/>
  <c r="EC24" i="1"/>
  <c r="EE24" i="1" s="1"/>
  <c r="O24" i="9"/>
  <c r="CS23" i="6"/>
  <c r="CO20" i="9"/>
  <c r="BZ21" i="13"/>
  <c r="N24" i="4"/>
  <c r="P24" i="4" s="1"/>
  <c r="CW24" i="1"/>
  <c r="CY24" i="1" s="1"/>
  <c r="AM24" i="6"/>
  <c r="X24" i="4"/>
  <c r="GO24" i="1" s="1"/>
  <c r="BQ24" i="9"/>
  <c r="BS24" i="9" s="1"/>
  <c r="CD24" i="9"/>
  <c r="CF24" i="9" s="1"/>
  <c r="EW26" i="1"/>
  <c r="EY26" i="1" s="1"/>
  <c r="DU24" i="1"/>
  <c r="DW24" i="1" s="1"/>
  <c r="X24" i="6"/>
  <c r="CK24" i="1"/>
  <c r="CM24" i="1" s="1"/>
  <c r="EU23" i="1"/>
  <c r="EX25" i="1"/>
  <c r="EZ25" i="1" s="1"/>
  <c r="FN21" i="1"/>
  <c r="GX25" i="1"/>
  <c r="GZ25" i="1" s="1"/>
  <c r="AI23" i="9"/>
  <c r="FK25" i="1"/>
  <c r="FI25" i="1"/>
  <c r="AQ33" i="1"/>
  <c r="AT33" i="1"/>
  <c r="AP33" i="1"/>
  <c r="F25" i="17"/>
  <c r="L25" i="17" s="1"/>
  <c r="F21" i="17"/>
  <c r="L21" i="17" s="1"/>
  <c r="CL23" i="1"/>
  <c r="DZ23" i="1" s="1"/>
  <c r="DU23" i="6"/>
  <c r="AR33" i="1"/>
  <c r="H11" i="17"/>
  <c r="H28" i="17"/>
  <c r="S5" i="17"/>
  <c r="U5" i="17" s="1"/>
  <c r="O5" i="17"/>
  <c r="BA21" i="9"/>
  <c r="AN21" i="9"/>
  <c r="AP21" i="9" s="1"/>
  <c r="CM22" i="9"/>
  <c r="BZ20" i="13"/>
  <c r="CA20" i="13"/>
  <c r="BX5" i="13"/>
  <c r="Y22" i="9"/>
  <c r="AH22" i="9"/>
  <c r="CI22" i="9" s="1"/>
  <c r="BU28" i="1"/>
  <c r="CO26" i="1" s="1"/>
  <c r="DI27" i="1"/>
  <c r="DK27" i="1" s="1"/>
  <c r="BV27" i="1"/>
  <c r="BW27" i="1"/>
  <c r="BS20" i="8"/>
  <c r="DJ26" i="1"/>
  <c r="DL26" i="1" s="1"/>
  <c r="FC23" i="1"/>
  <c r="BR22" i="8"/>
  <c r="BT22" i="8" s="1"/>
  <c r="AK21" i="9"/>
  <c r="FL24" i="1"/>
  <c r="D22" i="11"/>
  <c r="EI23" i="1"/>
  <c r="FO22" i="1"/>
  <c r="FM22" i="1"/>
  <c r="BE20" i="9"/>
  <c r="BG20" i="9" s="1"/>
  <c r="BI20" i="9"/>
  <c r="BK20" i="9" s="1"/>
  <c r="FJ24" i="1"/>
  <c r="BU21" i="13"/>
  <c r="AG21" i="13"/>
  <c r="AI21" i="13" s="1"/>
  <c r="T21" i="13"/>
  <c r="T5" i="13" s="1"/>
  <c r="FE25" i="1"/>
  <c r="AS21" i="8"/>
  <c r="AU21" i="8" s="1"/>
  <c r="AR21" i="9"/>
  <c r="AR5" i="9" s="1"/>
  <c r="EA23" i="1"/>
  <c r="FQ22" i="1"/>
  <c r="FS22" i="1"/>
  <c r="BF21" i="8"/>
  <c r="BO21" i="8"/>
  <c r="BQ21" i="8" s="1"/>
  <c r="FD21" i="1"/>
  <c r="AX22" i="6"/>
  <c r="BX22" i="13"/>
  <c r="R22" i="9"/>
  <c r="E20" i="11"/>
  <c r="BY20" i="13"/>
  <c r="DU22" i="6"/>
  <c r="E33" i="1"/>
  <c r="A35" i="1"/>
  <c r="X34" i="1"/>
  <c r="AJ34" i="1" s="1"/>
  <c r="AH34" i="1"/>
  <c r="AF34" i="1"/>
  <c r="AC34" i="1"/>
  <c r="AO34" i="1" s="1"/>
  <c r="Y34" i="1"/>
  <c r="AK34" i="1" s="1"/>
  <c r="AG34" i="1"/>
  <c r="AD34" i="1"/>
  <c r="AI34" i="1"/>
  <c r="AE34" i="1"/>
  <c r="AA34" i="1"/>
  <c r="AM34" i="1" s="1"/>
  <c r="Z34" i="1"/>
  <c r="AL34" i="1" s="1"/>
  <c r="AB34" i="1"/>
  <c r="AN34" i="1" s="1"/>
  <c r="D34" i="1"/>
  <c r="C34" i="1"/>
  <c r="B34" i="1"/>
  <c r="AU24" i="6"/>
  <c r="BD24" i="6"/>
  <c r="AG24" i="6"/>
  <c r="J9" i="17" s="1"/>
  <c r="CI21" i="9"/>
  <c r="CI5" i="9" s="1"/>
  <c r="U22" i="13"/>
  <c r="CS24" i="6"/>
  <c r="BR24" i="6"/>
  <c r="U24" i="6"/>
  <c r="DK24" i="6"/>
  <c r="DB24" i="6"/>
  <c r="CA24" i="6"/>
  <c r="AI24" i="6"/>
  <c r="CJ24" i="6"/>
  <c r="AN22" i="6"/>
  <c r="Y22" i="6"/>
  <c r="DX22" i="1"/>
  <c r="CN22" i="9"/>
  <c r="CJ22" i="9"/>
  <c r="DW23" i="1"/>
  <c r="AH21" i="8"/>
  <c r="CG25" i="1"/>
  <c r="DB25" i="1"/>
  <c r="BL6" i="1" a="1"/>
  <c r="BL6" i="1" s="1"/>
  <c r="BP25" i="1"/>
  <c r="FF24" i="1"/>
  <c r="CG22" i="9"/>
  <c r="BQ25" i="9"/>
  <c r="O25" i="9"/>
  <c r="CD25" i="9"/>
  <c r="N25" i="8"/>
  <c r="W25" i="8"/>
  <c r="N25" i="4"/>
  <c r="X25" i="4"/>
  <c r="GK25" i="1"/>
  <c r="CK24" i="6"/>
  <c r="CK23" i="6"/>
  <c r="H10" i="17"/>
  <c r="H27" i="17"/>
  <c r="FH24" i="1"/>
  <c r="BT20" i="8"/>
  <c r="BR5" i="8"/>
  <c r="GT29" i="1"/>
  <c r="GX26" i="1" s="1"/>
  <c r="GS30" i="1"/>
  <c r="GW27" i="1" s="1"/>
  <c r="GY27" i="1" s="1"/>
  <c r="CT24" i="6"/>
  <c r="CT23" i="6"/>
  <c r="CE23" i="9"/>
  <c r="CG23" i="9" s="1"/>
  <c r="P23" i="9"/>
  <c r="R23" i="9" s="1"/>
  <c r="BR23" i="9"/>
  <c r="BT23" i="9" s="1"/>
  <c r="X23" i="8"/>
  <c r="O23" i="8"/>
  <c r="Q23" i="8" s="1"/>
  <c r="O23" i="4"/>
  <c r="Y23" i="4"/>
  <c r="AB23" i="4" s="1"/>
  <c r="GL23" i="1"/>
  <c r="CF23" i="1"/>
  <c r="BI29" i="1"/>
  <c r="BK29" i="1" s="1"/>
  <c r="BJ28" i="1"/>
  <c r="BL28" i="1" s="1"/>
  <c r="FY28" i="1"/>
  <c r="V24" i="6"/>
  <c r="X23" i="6"/>
  <c r="V23" i="6"/>
  <c r="EU22" i="1"/>
  <c r="BT21" i="8"/>
  <c r="FZ27" i="1"/>
  <c r="GB27" i="1" s="1"/>
  <c r="BK28" i="1"/>
  <c r="BS24" i="6"/>
  <c r="BS23" i="6"/>
  <c r="CD24" i="1"/>
  <c r="GA27" i="1"/>
  <c r="EP25" i="1"/>
  <c r="DF25" i="1"/>
  <c r="FJ25" i="1" s="1"/>
  <c r="DN25" i="1"/>
  <c r="BN6" i="1" a="1"/>
  <c r="BN6" i="1" s="1"/>
  <c r="ED23" i="1"/>
  <c r="EF23" i="1" s="1"/>
  <c r="GY26" i="1"/>
  <c r="GU29" i="1"/>
  <c r="DT22" i="6"/>
  <c r="EH22" i="1"/>
  <c r="ET22" i="1"/>
  <c r="DZ22" i="1"/>
  <c r="EB22" i="1" s="1"/>
  <c r="AT22" i="8"/>
  <c r="BD22" i="9"/>
  <c r="BH22" i="9"/>
  <c r="GD22" i="1"/>
  <c r="H27" i="18" s="1"/>
  <c r="GP22" i="1"/>
  <c r="DL24" i="6"/>
  <c r="DL23" i="6"/>
  <c r="BL27" i="1"/>
  <c r="BD23" i="6"/>
  <c r="AU23" i="6"/>
  <c r="AJ24" i="6"/>
  <c r="G9" i="17" s="1"/>
  <c r="AG23" i="6"/>
  <c r="AJ23" i="6"/>
  <c r="G8" i="17" s="1"/>
  <c r="AM23" i="6"/>
  <c r="AI20" i="13"/>
  <c r="EN22" i="1"/>
  <c r="DO25" i="1"/>
  <c r="CP24" i="1"/>
  <c r="DV23" i="1"/>
  <c r="DX23" i="1" s="1"/>
  <c r="AO22" i="8"/>
  <c r="P22" i="13"/>
  <c r="EY25" i="1"/>
  <c r="CJ24" i="1"/>
  <c r="CB24" i="6"/>
  <c r="CB23" i="6"/>
  <c r="FB22" i="1"/>
  <c r="DC25" i="1"/>
  <c r="BQ27" i="1"/>
  <c r="EW27" i="1" s="1"/>
  <c r="EO26" i="1"/>
  <c r="EQ26" i="1" s="1"/>
  <c r="BR26" i="1"/>
  <c r="BT26" i="1" s="1"/>
  <c r="DM26" i="1"/>
  <c r="DE26" i="1"/>
  <c r="DG26" i="1" s="1"/>
  <c r="AB22" i="8"/>
  <c r="BB22" i="8"/>
  <c r="BD22" i="8" s="1"/>
  <c r="DC24" i="6"/>
  <c r="DC23" i="6"/>
  <c r="AZ23" i="9"/>
  <c r="BB23" i="9" s="1"/>
  <c r="AL23" i="9"/>
  <c r="FT21" i="1"/>
  <c r="BG22" i="6"/>
  <c r="FC22" i="1"/>
  <c r="Z23" i="9"/>
  <c r="BM27" i="1"/>
  <c r="BO27" i="1" s="1"/>
  <c r="BN26" i="1"/>
  <c r="CH25" i="1" s="1"/>
  <c r="DA26" i="1"/>
  <c r="DC26" i="1" s="1"/>
  <c r="CO25" i="1"/>
  <c r="FL11" i="1"/>
  <c r="GV11" i="1"/>
  <c r="EZ11" i="1"/>
  <c r="DT11" i="1"/>
  <c r="BX11" i="1"/>
  <c r="ER11" i="1"/>
  <c r="CV11" i="1"/>
  <c r="GF11" i="1"/>
  <c r="BX26" i="1"/>
  <c r="BF21" i="9"/>
  <c r="BJ20" i="9"/>
  <c r="BH5" i="9"/>
  <c r="FO23" i="1"/>
  <c r="FM23" i="1"/>
  <c r="EM23" i="1"/>
  <c r="AF22" i="8"/>
  <c r="AH22" i="8" s="1"/>
  <c r="CN22" i="1"/>
  <c r="GN22" i="1"/>
  <c r="FR21" i="1"/>
  <c r="AS33" i="1"/>
  <c r="EJ21" i="1"/>
  <c r="BK22" i="6"/>
  <c r="BF20" i="9"/>
  <c r="BD5" i="9"/>
  <c r="FQ23" i="1"/>
  <c r="FS23" i="1"/>
  <c r="EE23" i="1"/>
  <c r="AU33" i="1"/>
  <c r="AQ23" i="9"/>
  <c r="BV22" i="9"/>
  <c r="BX22" i="9" s="1"/>
  <c r="GZ24" i="1"/>
  <c r="EV21" i="1"/>
  <c r="GY25" i="1"/>
  <c r="Y5" i="17"/>
  <c r="AE205" i="23"/>
  <c r="AD205" i="23"/>
  <c r="AR204" i="23"/>
  <c r="AQ204" i="23"/>
  <c r="AP204" i="23"/>
  <c r="AO204" i="23"/>
  <c r="AN204" i="23"/>
  <c r="AV34" i="1"/>
  <c r="AY34" i="1"/>
  <c r="AX34" i="1"/>
  <c r="AW34" i="1"/>
  <c r="BB34" i="1"/>
  <c r="BC34" i="1"/>
  <c r="AZ34" i="1"/>
  <c r="BA34" i="1"/>
  <c r="J33" i="1"/>
  <c r="O33" i="1"/>
  <c r="H33" i="1"/>
  <c r="K33" i="1"/>
  <c r="P33" i="1"/>
  <c r="Q33" i="1"/>
  <c r="L33" i="1"/>
  <c r="F33" i="1"/>
  <c r="I33" i="1"/>
  <c r="T33" i="1"/>
  <c r="M33" i="1"/>
  <c r="R33" i="1"/>
  <c r="N33" i="1"/>
  <c r="G33" i="1"/>
  <c r="S33" i="1"/>
  <c r="U33" i="1" l="1"/>
  <c r="HD31" i="1"/>
  <c r="HH31" i="1" s="1"/>
  <c r="FX31" i="1"/>
  <c r="AG6" i="6"/>
  <c r="BD6" i="6"/>
  <c r="BF6" i="6" s="1"/>
  <c r="AU6" i="6"/>
  <c r="AW6" i="6" s="1"/>
  <c r="X6" i="6"/>
  <c r="Z6" i="6" s="1"/>
  <c r="AL6" i="4"/>
  <c r="AN6" i="4" s="1"/>
  <c r="N6" i="4"/>
  <c r="P6" i="4" s="1"/>
  <c r="X6" i="4"/>
  <c r="Z6" i="4" s="1"/>
  <c r="AM6" i="6"/>
  <c r="AO6" i="6" s="1"/>
  <c r="CU23" i="6"/>
  <c r="CS6" i="6"/>
  <c r="CU6" i="6" s="1"/>
  <c r="Q24" i="9"/>
  <c r="O6" i="9"/>
  <c r="Q6" i="9" s="1"/>
  <c r="AG23" i="8"/>
  <c r="AC23" i="8"/>
  <c r="BE23" i="8"/>
  <c r="BT23" i="13"/>
  <c r="BX23" i="13" s="1"/>
  <c r="BZ23" i="13" s="1"/>
  <c r="H43" i="18"/>
  <c r="W6" i="8"/>
  <c r="Y6" i="8" s="1"/>
  <c r="AP23" i="8"/>
  <c r="CC23" i="6"/>
  <c r="CA6" i="6"/>
  <c r="CC6" i="6" s="1"/>
  <c r="BW23" i="9"/>
  <c r="BQ6" i="9"/>
  <c r="BS6" i="9" s="1"/>
  <c r="BH21" i="8"/>
  <c r="BF5" i="8"/>
  <c r="BE23" i="6"/>
  <c r="BG23" i="6" s="1"/>
  <c r="AI6" i="6"/>
  <c r="AL6" i="6" s="1"/>
  <c r="N6" i="8"/>
  <c r="P6" i="8" s="1"/>
  <c r="DD23" i="6"/>
  <c r="DB6" i="6"/>
  <c r="DD6" i="6" s="1"/>
  <c r="BT23" i="6"/>
  <c r="BR6" i="6"/>
  <c r="BT6" i="6" s="1"/>
  <c r="W23" i="6"/>
  <c r="U6" i="6"/>
  <c r="W6" i="6" s="1"/>
  <c r="CL23" i="6"/>
  <c r="CJ6" i="6"/>
  <c r="CL6" i="6" s="1"/>
  <c r="CD6" i="9"/>
  <c r="CF6" i="9" s="1"/>
  <c r="DM23" i="6"/>
  <c r="DK6" i="6"/>
  <c r="DM6" i="6" s="1"/>
  <c r="BW21" i="13"/>
  <c r="BU5" i="13"/>
  <c r="BO5" i="8"/>
  <c r="BH6" i="4"/>
  <c r="BJ6" i="4" s="1"/>
  <c r="AS6" i="13"/>
  <c r="AU6" i="13" s="1"/>
  <c r="AB6" i="13"/>
  <c r="AD6" i="13" s="1"/>
  <c r="AN5" i="9"/>
  <c r="AS5" i="8"/>
  <c r="BK6" i="13"/>
  <c r="BM6" i="13" s="1"/>
  <c r="BC21" i="9"/>
  <c r="BA5" i="9"/>
  <c r="AG5" i="13"/>
  <c r="BS6" i="4"/>
  <c r="BU6" i="4" s="1"/>
  <c r="BZ24" i="1"/>
  <c r="CB24" i="1" s="1"/>
  <c r="CS27" i="1"/>
  <c r="CU27" i="1" s="1"/>
  <c r="CV27" i="1" s="1"/>
  <c r="BF27" i="1"/>
  <c r="BZ25" i="1" s="1"/>
  <c r="AX25" i="4" s="1"/>
  <c r="BE28" i="1"/>
  <c r="BG28" i="1" s="1"/>
  <c r="BS25" i="4"/>
  <c r="BU25" i="4" s="1"/>
  <c r="AL25" i="4"/>
  <c r="AN25" i="4" s="1"/>
  <c r="AW25" i="4"/>
  <c r="BK25" i="13"/>
  <c r="BM25" i="13" s="1"/>
  <c r="CW25" i="1"/>
  <c r="CY25" i="1" s="1"/>
  <c r="AB25" i="13"/>
  <c r="AE25" i="13" s="1"/>
  <c r="AS25" i="13"/>
  <c r="AU25" i="13" s="1"/>
  <c r="CT26" i="1"/>
  <c r="BH26" i="1"/>
  <c r="BH25" i="4"/>
  <c r="BJ25" i="4" s="1"/>
  <c r="BG27" i="1"/>
  <c r="DQ27" i="1"/>
  <c r="DS27" i="1" s="1"/>
  <c r="FF25" i="1"/>
  <c r="EL23" i="1"/>
  <c r="EN23" i="1" s="1"/>
  <c r="BQ24" i="4"/>
  <c r="CB23" i="1"/>
  <c r="AX23" i="4"/>
  <c r="BI23" i="4"/>
  <c r="CX23" i="1"/>
  <c r="CZ23" i="1" s="1"/>
  <c r="AM23" i="4"/>
  <c r="BL23" i="13"/>
  <c r="BT23" i="4"/>
  <c r="AT23" i="13"/>
  <c r="BJ24" i="4"/>
  <c r="DT26" i="1"/>
  <c r="AE24" i="13"/>
  <c r="AU24" i="4"/>
  <c r="AU6" i="4" s="1"/>
  <c r="BF24" i="4"/>
  <c r="AR23" i="8"/>
  <c r="Q23" i="13"/>
  <c r="GQ24" i="1"/>
  <c r="BC23" i="8"/>
  <c r="AF23" i="13"/>
  <c r="CN23" i="9"/>
  <c r="S23" i="13"/>
  <c r="BN23" i="8"/>
  <c r="FV32" i="1"/>
  <c r="GH29" i="1" s="1"/>
  <c r="GJ29" i="1" s="1"/>
  <c r="GG29" i="1"/>
  <c r="GI29" i="1" s="1"/>
  <c r="W33" i="1"/>
  <c r="V33" i="1"/>
  <c r="FU33" i="1"/>
  <c r="GG30" i="1" s="1"/>
  <c r="CL24" i="6"/>
  <c r="Z24" i="4"/>
  <c r="DM24" i="6"/>
  <c r="O6" i="17"/>
  <c r="AL24" i="6"/>
  <c r="AL23" i="6"/>
  <c r="W24" i="6"/>
  <c r="BT24" i="6"/>
  <c r="AE24" i="8"/>
  <c r="AG24" i="8" s="1"/>
  <c r="BI23" i="6"/>
  <c r="CF25" i="9"/>
  <c r="AV23" i="6"/>
  <c r="GM25" i="1"/>
  <c r="X24" i="9"/>
  <c r="AG24" i="9"/>
  <c r="P25" i="4"/>
  <c r="AA24" i="8"/>
  <c r="AC24" i="8" s="1"/>
  <c r="O24" i="13"/>
  <c r="Q24" i="13" s="1"/>
  <c r="AN24" i="8"/>
  <c r="AP24" i="8" s="1"/>
  <c r="BS25" i="9"/>
  <c r="CN23" i="1"/>
  <c r="GC24" i="1"/>
  <c r="GE24" i="1" s="1"/>
  <c r="FB23" i="1"/>
  <c r="FD23" i="1" s="1"/>
  <c r="BU24" i="9"/>
  <c r="BW24" i="9" s="1"/>
  <c r="BA24" i="8"/>
  <c r="BC24" i="8" s="1"/>
  <c r="Z25" i="4"/>
  <c r="F24" i="11"/>
  <c r="CL24" i="9"/>
  <c r="DY24" i="1"/>
  <c r="EA24" i="1" s="1"/>
  <c r="EG24" i="1"/>
  <c r="FM24" i="1" s="1"/>
  <c r="ES24" i="1"/>
  <c r="EU24" i="1" s="1"/>
  <c r="DS24" i="6"/>
  <c r="FA24" i="1"/>
  <c r="FC24" i="1" s="1"/>
  <c r="AP34" i="1"/>
  <c r="CD25" i="1"/>
  <c r="CE25" i="9" s="1"/>
  <c r="EH23" i="1"/>
  <c r="EJ23" i="1" s="1"/>
  <c r="AR22" i="9"/>
  <c r="AT22" i="9" s="1"/>
  <c r="AA22" i="9"/>
  <c r="DT23" i="6"/>
  <c r="DV23" i="6" s="1"/>
  <c r="ET23" i="1"/>
  <c r="EV23" i="1" s="1"/>
  <c r="AU34" i="1"/>
  <c r="FT22" i="1"/>
  <c r="DV22" i="6"/>
  <c r="N12" i="4"/>
  <c r="AQ34" i="1"/>
  <c r="AR34" i="1"/>
  <c r="CL24" i="1"/>
  <c r="FB24" i="1" s="1"/>
  <c r="CK25" i="1"/>
  <c r="EG25" i="1" s="1"/>
  <c r="AT34" i="1"/>
  <c r="EB23" i="1"/>
  <c r="BP26" i="1"/>
  <c r="AS34" i="1"/>
  <c r="GV29" i="1"/>
  <c r="GZ26" i="1"/>
  <c r="U25" i="6"/>
  <c r="W25" i="6" s="1"/>
  <c r="DK25" i="6"/>
  <c r="DM25" i="6" s="1"/>
  <c r="CJ25" i="6"/>
  <c r="CL25" i="6" s="1"/>
  <c r="BR25" i="6"/>
  <c r="BT25" i="6" s="1"/>
  <c r="DB25" i="6"/>
  <c r="DD25" i="6" s="1"/>
  <c r="CS25" i="6"/>
  <c r="CU25" i="6" s="1"/>
  <c r="CA25" i="6"/>
  <c r="CC25" i="6" s="1"/>
  <c r="AI25" i="6"/>
  <c r="CJ25" i="1"/>
  <c r="EY27" i="1"/>
  <c r="Z24" i="6"/>
  <c r="F23" i="11"/>
  <c r="Z23" i="6"/>
  <c r="H29" i="17"/>
  <c r="H12" i="17"/>
  <c r="AA25" i="8"/>
  <c r="BA25" i="8"/>
  <c r="W12" i="8"/>
  <c r="I9" i="17"/>
  <c r="I26" i="17"/>
  <c r="AS23" i="9"/>
  <c r="AO24" i="6"/>
  <c r="AO23" i="6"/>
  <c r="AN25" i="8"/>
  <c r="O25" i="13"/>
  <c r="I25" i="17"/>
  <c r="I8" i="17"/>
  <c r="Y6" i="17" s="1"/>
  <c r="BM28" i="1"/>
  <c r="BO28" i="1" s="1"/>
  <c r="BN27" i="1"/>
  <c r="BP27" i="1" s="1"/>
  <c r="DA27" i="1"/>
  <c r="DC27" i="1" s="1"/>
  <c r="AA7" i="17"/>
  <c r="AB7" i="17" s="1"/>
  <c r="W7" i="17"/>
  <c r="AA6" i="17"/>
  <c r="E34" i="1"/>
  <c r="A36" i="1"/>
  <c r="X35" i="1"/>
  <c r="AJ35" i="1" s="1"/>
  <c r="AI35" i="1"/>
  <c r="AG35" i="1"/>
  <c r="AA35" i="1"/>
  <c r="AM35" i="1" s="1"/>
  <c r="AF35" i="1"/>
  <c r="AD35" i="1"/>
  <c r="AB35" i="1"/>
  <c r="AN35" i="1" s="1"/>
  <c r="Y35" i="1"/>
  <c r="AK35" i="1" s="1"/>
  <c r="AH35" i="1"/>
  <c r="AC35" i="1"/>
  <c r="AO35" i="1" s="1"/>
  <c r="AE35" i="1"/>
  <c r="Z35" i="1"/>
  <c r="AL35" i="1" s="1"/>
  <c r="C35" i="1"/>
  <c r="D35" i="1"/>
  <c r="B35" i="1"/>
  <c r="DD24" i="6"/>
  <c r="FD22" i="1"/>
  <c r="J8" i="17"/>
  <c r="Q7" i="17" s="1"/>
  <c r="CC26" i="1"/>
  <c r="EC26" i="1" s="1"/>
  <c r="CL25" i="9"/>
  <c r="W8" i="17"/>
  <c r="Q8" i="17"/>
  <c r="GT30" i="1"/>
  <c r="GV30" i="1" s="1"/>
  <c r="GS31" i="1"/>
  <c r="GW28" i="1" s="1"/>
  <c r="GA28" i="1"/>
  <c r="P25" i="8"/>
  <c r="AT21" i="9"/>
  <c r="CD12" i="9"/>
  <c r="AS22" i="8"/>
  <c r="AU22" i="8" s="1"/>
  <c r="AW24" i="6"/>
  <c r="AW23" i="6"/>
  <c r="BI30" i="1"/>
  <c r="BK30" i="1" s="1"/>
  <c r="BJ29" i="1"/>
  <c r="BL29" i="1" s="1"/>
  <c r="FY29" i="1"/>
  <c r="ER25" i="1"/>
  <c r="AG25" i="9"/>
  <c r="X25" i="9"/>
  <c r="O12" i="9"/>
  <c r="FL25" i="1"/>
  <c r="BJ24" i="6"/>
  <c r="BF24" i="6"/>
  <c r="BH23" i="6"/>
  <c r="BF23" i="6"/>
  <c r="BJ23" i="6"/>
  <c r="GU30" i="1"/>
  <c r="BU25" i="9"/>
  <c r="DH25" i="1"/>
  <c r="CO22" i="9"/>
  <c r="CK22" i="9"/>
  <c r="CK21" i="9"/>
  <c r="CO21" i="9"/>
  <c r="Q25" i="9"/>
  <c r="DD25" i="1"/>
  <c r="BF22" i="9"/>
  <c r="BR24" i="9"/>
  <c r="BT24" i="9" s="1"/>
  <c r="CE24" i="9"/>
  <c r="CE6" i="9" s="1"/>
  <c r="CG6" i="9" s="1"/>
  <c r="P24" i="9"/>
  <c r="O24" i="8"/>
  <c r="X24" i="8"/>
  <c r="X6" i="8" s="1"/>
  <c r="Z6" i="8" s="1"/>
  <c r="Y24" i="4"/>
  <c r="Y6" i="4" s="1"/>
  <c r="AB6" i="4" s="1"/>
  <c r="O24" i="4"/>
  <c r="O6" i="4" s="1"/>
  <c r="R6" i="4" s="1"/>
  <c r="GL24" i="1"/>
  <c r="GN24" i="1" s="1"/>
  <c r="CF24" i="1"/>
  <c r="CU24" i="6"/>
  <c r="FN22" i="1"/>
  <c r="GD23" i="1"/>
  <c r="GF23" i="1" s="1"/>
  <c r="GP23" i="1"/>
  <c r="Y16" i="4"/>
  <c r="BQ25" i="6"/>
  <c r="T25" i="6"/>
  <c r="DJ25" i="6"/>
  <c r="CI25" i="6"/>
  <c r="DA25" i="6"/>
  <c r="CR25" i="6"/>
  <c r="BZ25" i="6"/>
  <c r="AH25" i="6"/>
  <c r="DU25" i="1"/>
  <c r="CI25" i="1"/>
  <c r="EP26" i="1"/>
  <c r="ER26" i="1" s="1"/>
  <c r="DF26" i="1"/>
  <c r="DH26" i="1" s="1"/>
  <c r="DN26" i="1"/>
  <c r="FH26" i="1" s="1"/>
  <c r="FT23" i="1"/>
  <c r="FR23" i="1"/>
  <c r="BS21" i="8"/>
  <c r="BS5" i="8" s="1"/>
  <c r="GF22" i="1"/>
  <c r="FE26" i="1"/>
  <c r="FP22" i="1"/>
  <c r="Y23" i="6"/>
  <c r="AA23" i="6" s="1"/>
  <c r="AN23" i="6"/>
  <c r="AP23" i="6" s="1"/>
  <c r="Y25" i="8"/>
  <c r="AQ22" i="8"/>
  <c r="DJ27" i="1"/>
  <c r="FG26" i="1"/>
  <c r="BS27" i="1"/>
  <c r="AO23" i="8"/>
  <c r="P23" i="13"/>
  <c r="R23" i="13" s="1"/>
  <c r="FI26" i="1"/>
  <c r="BQ12" i="9"/>
  <c r="BU20" i="8"/>
  <c r="BD23" i="9"/>
  <c r="BH23" i="9"/>
  <c r="BJ22" i="9"/>
  <c r="FK26" i="1"/>
  <c r="ED24" i="1"/>
  <c r="CR24" i="1"/>
  <c r="BV23" i="9"/>
  <c r="BX23" i="9" s="1"/>
  <c r="G22" i="11"/>
  <c r="AA22" i="6"/>
  <c r="E21" i="11"/>
  <c r="E5" i="11" s="1"/>
  <c r="BY21" i="13"/>
  <c r="BY5" i="13" s="1"/>
  <c r="CP25" i="1"/>
  <c r="CR25" i="1" s="1"/>
  <c r="BU29" i="1"/>
  <c r="BV28" i="1"/>
  <c r="CP26" i="1" s="1"/>
  <c r="DI28" i="1"/>
  <c r="BA22" i="9"/>
  <c r="BC22" i="9" s="1"/>
  <c r="AN22" i="9"/>
  <c r="AP22" i="9" s="1"/>
  <c r="BQ28" i="1"/>
  <c r="EO27" i="1"/>
  <c r="BR27" i="1"/>
  <c r="CL25" i="1" s="1"/>
  <c r="DM27" i="1"/>
  <c r="DO27" i="1" s="1"/>
  <c r="DE27" i="1"/>
  <c r="DG27" i="1" s="1"/>
  <c r="AB23" i="8"/>
  <c r="AD23" i="8" s="1"/>
  <c r="BB23" i="8"/>
  <c r="BD23" i="8" s="1"/>
  <c r="AF23" i="8"/>
  <c r="AH23" i="8" s="1"/>
  <c r="BF22" i="8"/>
  <c r="BH22" i="8" s="1"/>
  <c r="BO22" i="8"/>
  <c r="EJ22" i="1"/>
  <c r="AO23" i="9"/>
  <c r="AH23" i="9"/>
  <c r="AK23" i="9" s="1"/>
  <c r="Y23" i="9"/>
  <c r="AA23" i="9" s="1"/>
  <c r="AP22" i="6"/>
  <c r="EX26" i="1"/>
  <c r="BW28" i="1"/>
  <c r="AK22" i="9"/>
  <c r="BU22" i="13"/>
  <c r="BW22" i="13" s="1"/>
  <c r="AG22" i="13"/>
  <c r="AI22" i="13" s="1"/>
  <c r="T22" i="13"/>
  <c r="FZ28" i="1"/>
  <c r="GB28" i="1" s="1"/>
  <c r="AE25" i="8"/>
  <c r="CQ26" i="1"/>
  <c r="EK25" i="1"/>
  <c r="EC25" i="1"/>
  <c r="CQ25" i="1"/>
  <c r="CG26" i="1"/>
  <c r="CI26" i="1" s="1"/>
  <c r="EV22" i="1"/>
  <c r="R23" i="4"/>
  <c r="DV24" i="1"/>
  <c r="BZ22" i="13"/>
  <c r="GR22" i="1"/>
  <c r="BE21" i="9"/>
  <c r="BI21" i="9"/>
  <c r="BI5" i="9" s="1"/>
  <c r="Z23" i="8"/>
  <c r="GC25" i="1"/>
  <c r="GO25" i="1"/>
  <c r="DP25" i="1"/>
  <c r="R22" i="13"/>
  <c r="CA22" i="13"/>
  <c r="DB26" i="1"/>
  <c r="FH25" i="1"/>
  <c r="FR22" i="1"/>
  <c r="X12" i="4"/>
  <c r="DO26" i="1"/>
  <c r="CM23" i="9"/>
  <c r="AD22" i="8"/>
  <c r="BH24" i="6"/>
  <c r="BX27" i="1"/>
  <c r="AV24" i="6"/>
  <c r="BI24" i="6"/>
  <c r="BE24" i="6"/>
  <c r="CC24" i="6"/>
  <c r="GN23" i="1"/>
  <c r="AK204" i="23"/>
  <c r="AJ204" i="23"/>
  <c r="AI204" i="23"/>
  <c r="AH204" i="23"/>
  <c r="AG204" i="23"/>
  <c r="AW35" i="1"/>
  <c r="AY35" i="1"/>
  <c r="AX35" i="1"/>
  <c r="BA35" i="1"/>
  <c r="BC35" i="1"/>
  <c r="BB35" i="1"/>
  <c r="O34" i="1"/>
  <c r="G34" i="1"/>
  <c r="T34" i="1"/>
  <c r="J34" i="1"/>
  <c r="K34" i="1"/>
  <c r="P34" i="1"/>
  <c r="R34" i="1"/>
  <c r="H34" i="1"/>
  <c r="Q34" i="1"/>
  <c r="F34" i="1"/>
  <c r="M34" i="1"/>
  <c r="L34" i="1"/>
  <c r="N34" i="1"/>
  <c r="S34" i="1"/>
  <c r="I34" i="1"/>
  <c r="AZ35" i="1"/>
  <c r="AV35" i="1"/>
  <c r="U34" i="1" l="1"/>
  <c r="W34" i="1"/>
  <c r="FU34" i="1"/>
  <c r="FW34" i="1" s="1"/>
  <c r="BK24" i="6"/>
  <c r="BJ6" i="6"/>
  <c r="BI6" i="6"/>
  <c r="BH6" i="6"/>
  <c r="BK23" i="6"/>
  <c r="BE6" i="6"/>
  <c r="AV23" i="4"/>
  <c r="BU6" i="9"/>
  <c r="BW6" i="9" s="1"/>
  <c r="DU24" i="6"/>
  <c r="DS6" i="6"/>
  <c r="DU6" i="6" s="1"/>
  <c r="AN6" i="8"/>
  <c r="AP6" i="8" s="1"/>
  <c r="AO23" i="4"/>
  <c r="O6" i="13"/>
  <c r="Q6" i="13" s="1"/>
  <c r="BV23" i="13"/>
  <c r="BP23" i="8"/>
  <c r="V23" i="13"/>
  <c r="BA6" i="8"/>
  <c r="BC6" i="8" s="1"/>
  <c r="BG23" i="8"/>
  <c r="AH23" i="13"/>
  <c r="BR6" i="9"/>
  <c r="BT6" i="9" s="1"/>
  <c r="AA6" i="8"/>
  <c r="AC6" i="8" s="1"/>
  <c r="AT23" i="8"/>
  <c r="AE6" i="8"/>
  <c r="AG6" i="8" s="1"/>
  <c r="AY6" i="4"/>
  <c r="BG21" i="9"/>
  <c r="BE5" i="9"/>
  <c r="CH24" i="9"/>
  <c r="CN24" i="9" s="1"/>
  <c r="AG6" i="9"/>
  <c r="AI6" i="9" s="1"/>
  <c r="Z24" i="9"/>
  <c r="X6" i="9"/>
  <c r="Z6" i="9" s="1"/>
  <c r="Q24" i="8"/>
  <c r="O6" i="8"/>
  <c r="Q6" i="8" s="1"/>
  <c r="R24" i="9"/>
  <c r="P6" i="9"/>
  <c r="R6" i="9" s="1"/>
  <c r="F6" i="11"/>
  <c r="AV23" i="13"/>
  <c r="AX23" i="6"/>
  <c r="AV6" i="6"/>
  <c r="AX6" i="6" s="1"/>
  <c r="BV23" i="4"/>
  <c r="BN23" i="13"/>
  <c r="BT24" i="4"/>
  <c r="BV24" i="4" s="1"/>
  <c r="AX24" i="4"/>
  <c r="AX6" i="4" s="1"/>
  <c r="DR27" i="1"/>
  <c r="DT27" i="1" s="1"/>
  <c r="CB25" i="1"/>
  <c r="AT25" i="13"/>
  <c r="BT25" i="4"/>
  <c r="BR25" i="4" s="1"/>
  <c r="AC25" i="13"/>
  <c r="CX24" i="1"/>
  <c r="CZ24" i="1" s="1"/>
  <c r="AM24" i="4"/>
  <c r="AO24" i="4" s="1"/>
  <c r="BL24" i="13"/>
  <c r="BN24" i="13" s="1"/>
  <c r="AC24" i="13"/>
  <c r="AC6" i="13" s="1"/>
  <c r="AE6" i="13" s="1"/>
  <c r="BI24" i="4"/>
  <c r="BG24" i="4" s="1"/>
  <c r="AT24" i="13"/>
  <c r="AT6" i="13" s="1"/>
  <c r="AV6" i="13" s="1"/>
  <c r="BI25" i="4"/>
  <c r="BL25" i="13"/>
  <c r="AM25" i="4"/>
  <c r="BH27" i="1"/>
  <c r="CS28" i="1"/>
  <c r="CU28" i="1" s="1"/>
  <c r="BF28" i="1"/>
  <c r="CT28" i="1" s="1"/>
  <c r="DQ28" i="1"/>
  <c r="DS28" i="1" s="1"/>
  <c r="CT27" i="1"/>
  <c r="EL24" i="1"/>
  <c r="EN24" i="1" s="1"/>
  <c r="BE29" i="1"/>
  <c r="BG29" i="1" s="1"/>
  <c r="BS12" i="4"/>
  <c r="BQ25" i="4"/>
  <c r="BQ12" i="4" s="1"/>
  <c r="BY26" i="1"/>
  <c r="EK26" i="1" s="1"/>
  <c r="EM26" i="1" s="1"/>
  <c r="AD25" i="13"/>
  <c r="BK12" i="13"/>
  <c r="AU25" i="4"/>
  <c r="BH12" i="4"/>
  <c r="BF25" i="4"/>
  <c r="AY25" i="4"/>
  <c r="BR23" i="4"/>
  <c r="AZ23" i="4"/>
  <c r="BG23" i="4"/>
  <c r="BK23" i="4"/>
  <c r="U23" i="13"/>
  <c r="D23" i="11"/>
  <c r="BR23" i="8"/>
  <c r="FX32" i="1"/>
  <c r="GI30" i="1"/>
  <c r="FV33" i="1"/>
  <c r="FX33" i="1" s="1"/>
  <c r="FW33" i="1"/>
  <c r="V34" i="1"/>
  <c r="AQ24" i="9"/>
  <c r="AG25" i="8"/>
  <c r="AX24" i="6"/>
  <c r="AL24" i="9"/>
  <c r="AF24" i="13"/>
  <c r="AH24" i="13" s="1"/>
  <c r="BT24" i="13"/>
  <c r="BV24" i="13" s="1"/>
  <c r="AI25" i="9"/>
  <c r="CM25" i="1"/>
  <c r="AZ24" i="9"/>
  <c r="S24" i="13"/>
  <c r="U24" i="13" s="1"/>
  <c r="Q25" i="13"/>
  <c r="BE24" i="8"/>
  <c r="BG24" i="8" s="1"/>
  <c r="BN24" i="8"/>
  <c r="BR24" i="8" s="1"/>
  <c r="AI24" i="9"/>
  <c r="DS25" i="6"/>
  <c r="DU25" i="6" s="1"/>
  <c r="FO24" i="1"/>
  <c r="EI24" i="1"/>
  <c r="FQ24" i="1"/>
  <c r="FS24" i="1"/>
  <c r="AR24" i="8"/>
  <c r="AT24" i="8" s="1"/>
  <c r="AN12" i="8"/>
  <c r="FA25" i="1"/>
  <c r="FC25" i="1" s="1"/>
  <c r="BC25" i="8"/>
  <c r="ES25" i="1"/>
  <c r="EU25" i="1" s="1"/>
  <c r="DY25" i="1"/>
  <c r="EA25" i="1" s="1"/>
  <c r="CS12" i="6"/>
  <c r="FP23" i="1"/>
  <c r="CX25" i="1"/>
  <c r="Y25" i="4"/>
  <c r="AB25" i="4" s="1"/>
  <c r="O25" i="4"/>
  <c r="O12" i="4" s="1"/>
  <c r="X25" i="8"/>
  <c r="P25" i="9"/>
  <c r="GL25" i="1"/>
  <c r="GN25" i="1" s="1"/>
  <c r="CF25" i="1"/>
  <c r="BR25" i="9"/>
  <c r="DV25" i="1"/>
  <c r="Y25" i="6" s="1"/>
  <c r="O25" i="8"/>
  <c r="FN23" i="1"/>
  <c r="AA12" i="8"/>
  <c r="AP25" i="8"/>
  <c r="FF26" i="1"/>
  <c r="AL25" i="6"/>
  <c r="Y7" i="17"/>
  <c r="AQ25" i="9"/>
  <c r="AC25" i="8"/>
  <c r="AQ35" i="1"/>
  <c r="CD26" i="1"/>
  <c r="CF26" i="1" s="1"/>
  <c r="BX28" i="1"/>
  <c r="ET24" i="1"/>
  <c r="EV24" i="1" s="1"/>
  <c r="CN24" i="1"/>
  <c r="O12" i="13"/>
  <c r="DZ24" i="1"/>
  <c r="EB24" i="1" s="1"/>
  <c r="EH24" i="1"/>
  <c r="EJ24" i="1" s="1"/>
  <c r="DT24" i="6"/>
  <c r="DV24" i="6" s="1"/>
  <c r="CH26" i="1"/>
  <c r="CJ26" i="1" s="1"/>
  <c r="Z24" i="8"/>
  <c r="AF24" i="8"/>
  <c r="AH24" i="8" s="1"/>
  <c r="AU35" i="1"/>
  <c r="CI23" i="9"/>
  <c r="AS35" i="1"/>
  <c r="CC27" i="1"/>
  <c r="BQ27" i="9" s="1"/>
  <c r="R24" i="4"/>
  <c r="AR23" i="9"/>
  <c r="AT23" i="9" s="1"/>
  <c r="CG24" i="9"/>
  <c r="FL26" i="1"/>
  <c r="FK27" i="1"/>
  <c r="EX27" i="1"/>
  <c r="EZ27" i="1" s="1"/>
  <c r="BT27" i="1"/>
  <c r="FJ26" i="1"/>
  <c r="FI27" i="1"/>
  <c r="GU31" i="1"/>
  <c r="AR35" i="1"/>
  <c r="H13" i="17"/>
  <c r="H30" i="17"/>
  <c r="GY28" i="1"/>
  <c r="DT25" i="6"/>
  <c r="EH25" i="1"/>
  <c r="ET25" i="1"/>
  <c r="DZ25" i="1"/>
  <c r="CN25" i="1"/>
  <c r="O7" i="17"/>
  <c r="S7" i="17"/>
  <c r="U7" i="17" s="1"/>
  <c r="BA23" i="9"/>
  <c r="BC23" i="9" s="1"/>
  <c r="AN23" i="9"/>
  <c r="BU23" i="13"/>
  <c r="BW23" i="13" s="1"/>
  <c r="AG23" i="13"/>
  <c r="AI23" i="13" s="1"/>
  <c r="T23" i="13"/>
  <c r="EQ27" i="1"/>
  <c r="DB27" i="1"/>
  <c r="DD27" i="1" s="1"/>
  <c r="BU30" i="1"/>
  <c r="CO28" i="1" s="1"/>
  <c r="DI29" i="1"/>
  <c r="DK29" i="1" s="1"/>
  <c r="BV29" i="1"/>
  <c r="CP27" i="1" s="1"/>
  <c r="BQ29" i="1"/>
  <c r="EW29" i="1" s="1"/>
  <c r="EO28" i="1"/>
  <c r="DE28" i="1"/>
  <c r="DG28" i="1" s="1"/>
  <c r="BR28" i="1"/>
  <c r="BT28" i="1" s="1"/>
  <c r="DM28" i="1"/>
  <c r="AS23" i="8"/>
  <c r="AU23" i="8" s="1"/>
  <c r="BS28" i="1"/>
  <c r="E35" i="1"/>
  <c r="A37" i="1"/>
  <c r="Z36" i="1"/>
  <c r="AL36" i="1" s="1"/>
  <c r="X36" i="1"/>
  <c r="AJ36" i="1" s="1"/>
  <c r="AI36" i="1"/>
  <c r="AD36" i="1"/>
  <c r="Y36" i="1"/>
  <c r="AK36" i="1" s="1"/>
  <c r="AG36" i="1"/>
  <c r="AE36" i="1"/>
  <c r="AF36" i="1"/>
  <c r="AC36" i="1"/>
  <c r="AO36" i="1" s="1"/>
  <c r="AH36" i="1"/>
  <c r="AA36" i="1"/>
  <c r="AM36" i="1" s="1"/>
  <c r="AB36" i="1"/>
  <c r="AN36" i="1" s="1"/>
  <c r="C36" i="1"/>
  <c r="D36" i="1"/>
  <c r="B36" i="1"/>
  <c r="BM29" i="1"/>
  <c r="BO29" i="1" s="1"/>
  <c r="BN28" i="1"/>
  <c r="DA28" i="1"/>
  <c r="DC28" i="1" s="1"/>
  <c r="BI25" i="6"/>
  <c r="BE25" i="6"/>
  <c r="BK25" i="6" s="1"/>
  <c r="AV25" i="6"/>
  <c r="GD24" i="1"/>
  <c r="GF24" i="1" s="1"/>
  <c r="GP24" i="1"/>
  <c r="GR24" i="1" s="1"/>
  <c r="BE25" i="8"/>
  <c r="BN25" i="8"/>
  <c r="DW25" i="1"/>
  <c r="AZ25" i="9"/>
  <c r="AG12" i="9"/>
  <c r="AL25" i="9"/>
  <c r="EI25" i="1"/>
  <c r="FG27" i="1"/>
  <c r="BB24" i="8"/>
  <c r="BD24" i="8" s="1"/>
  <c r="AB24" i="8"/>
  <c r="AD24" i="8" s="1"/>
  <c r="DL27" i="1"/>
  <c r="FE27" i="1"/>
  <c r="AU25" i="6"/>
  <c r="BD25" i="6"/>
  <c r="AG25" i="6"/>
  <c r="AJ25" i="6"/>
  <c r="G10" i="17" s="1"/>
  <c r="AM25" i="6"/>
  <c r="AO24" i="8"/>
  <c r="AQ24" i="8" s="1"/>
  <c r="P24" i="13"/>
  <c r="P6" i="13" s="1"/>
  <c r="R6" i="13" s="1"/>
  <c r="GX27" i="1"/>
  <c r="CH25" i="9"/>
  <c r="GR23" i="1"/>
  <c r="BG24" i="6"/>
  <c r="CI26" i="6"/>
  <c r="CK26" i="6" s="1"/>
  <c r="AH26" i="6"/>
  <c r="AM26" i="6" s="1"/>
  <c r="DA26" i="6"/>
  <c r="DC26" i="6" s="1"/>
  <c r="T26" i="6"/>
  <c r="X26" i="6" s="1"/>
  <c r="CR26" i="6"/>
  <c r="BZ26" i="6"/>
  <c r="CB26" i="6" s="1"/>
  <c r="DJ26" i="6"/>
  <c r="DL26" i="6" s="1"/>
  <c r="BQ26" i="6"/>
  <c r="BS26" i="6" s="1"/>
  <c r="DU26" i="1"/>
  <c r="DW26" i="1" s="1"/>
  <c r="AH24" i="9"/>
  <c r="CI24" i="9" s="1"/>
  <c r="Y24" i="9"/>
  <c r="Y6" i="9" s="1"/>
  <c r="AA6" i="9" s="1"/>
  <c r="AB6" i="17"/>
  <c r="CB25" i="6"/>
  <c r="EZ26" i="1"/>
  <c r="BE22" i="9"/>
  <c r="BG22" i="9" s="1"/>
  <c r="BI22" i="9"/>
  <c r="BK22" i="9" s="1"/>
  <c r="CT25" i="6"/>
  <c r="CG25" i="9"/>
  <c r="CM24" i="9"/>
  <c r="CM6" i="9" s="1"/>
  <c r="CO6" i="9" s="1"/>
  <c r="BW25" i="9"/>
  <c r="GA29" i="1"/>
  <c r="DK12" i="6"/>
  <c r="DC25" i="6"/>
  <c r="GT31" i="1"/>
  <c r="GV31" i="1" s="1"/>
  <c r="GS32" i="1"/>
  <c r="GU32" i="1" s="1"/>
  <c r="U12" i="6"/>
  <c r="CK25" i="6"/>
  <c r="CO27" i="1"/>
  <c r="BV24" i="9"/>
  <c r="FZ29" i="1"/>
  <c r="GB29" i="1" s="1"/>
  <c r="EE26" i="1"/>
  <c r="EE25" i="1"/>
  <c r="DL25" i="6"/>
  <c r="DD26" i="1"/>
  <c r="BS22" i="8"/>
  <c r="EW28" i="1"/>
  <c r="FO25" i="1"/>
  <c r="FM25" i="1"/>
  <c r="EM25" i="1"/>
  <c r="DK28" i="1"/>
  <c r="BQ22" i="8"/>
  <c r="V25" i="6"/>
  <c r="X25" i="6"/>
  <c r="BF23" i="9"/>
  <c r="BI31" i="1"/>
  <c r="BK31" i="1" s="1"/>
  <c r="BJ30" i="1"/>
  <c r="CD27" i="1" s="1"/>
  <c r="FY30" i="1"/>
  <c r="GA30" i="1" s="1"/>
  <c r="CA23" i="13"/>
  <c r="O26" i="9"/>
  <c r="BQ26" i="9"/>
  <c r="CD26" i="9"/>
  <c r="N26" i="8"/>
  <c r="W26" i="8"/>
  <c r="N26" i="4"/>
  <c r="X26" i="4"/>
  <c r="GK26" i="1"/>
  <c r="CE26" i="1"/>
  <c r="AP35" i="1"/>
  <c r="BQ12" i="6"/>
  <c r="BS25" i="6"/>
  <c r="Z25" i="9"/>
  <c r="FD24" i="1"/>
  <c r="Y24" i="6"/>
  <c r="AA24" i="6" s="1"/>
  <c r="AN24" i="6"/>
  <c r="AN6" i="6" s="1"/>
  <c r="AP6" i="6" s="1"/>
  <c r="AE12" i="8"/>
  <c r="DJ28" i="1"/>
  <c r="BJ23" i="9"/>
  <c r="O8" i="17"/>
  <c r="S8" i="17"/>
  <c r="U8" i="17" s="1"/>
  <c r="DP26" i="1"/>
  <c r="BK21" i="9"/>
  <c r="BF23" i="8"/>
  <c r="BO23" i="8"/>
  <c r="BQ23" i="8" s="1"/>
  <c r="BW29" i="1"/>
  <c r="AB24" i="4"/>
  <c r="BU21" i="8"/>
  <c r="E22" i="11"/>
  <c r="BY22" i="13"/>
  <c r="CK26" i="1"/>
  <c r="GE25" i="1"/>
  <c r="DX24" i="1"/>
  <c r="AT35" i="1"/>
  <c r="BT25" i="13"/>
  <c r="AF25" i="13"/>
  <c r="S25" i="13"/>
  <c r="AQ23" i="8"/>
  <c r="CG27" i="1"/>
  <c r="AR25" i="8"/>
  <c r="CR26" i="1"/>
  <c r="FB25" i="1"/>
  <c r="FD25" i="1" s="1"/>
  <c r="EL25" i="1"/>
  <c r="ED25" i="1"/>
  <c r="EF25" i="1" s="1"/>
  <c r="GQ25" i="1"/>
  <c r="EP27" i="1"/>
  <c r="DN27" i="1"/>
  <c r="DP27" i="1" s="1"/>
  <c r="DF27" i="1"/>
  <c r="FL27" i="1" s="1"/>
  <c r="G23" i="11"/>
  <c r="EF24" i="1"/>
  <c r="AE204" i="23"/>
  <c r="AD204" i="23"/>
  <c r="AR203" i="23"/>
  <c r="AQ203" i="23"/>
  <c r="AP203" i="23"/>
  <c r="AO203" i="23"/>
  <c r="AN203" i="23"/>
  <c r="AW36" i="1"/>
  <c r="AZ36" i="1"/>
  <c r="BA36" i="1"/>
  <c r="AX36" i="1"/>
  <c r="AV36" i="1"/>
  <c r="AY36" i="1"/>
  <c r="BB36" i="1"/>
  <c r="BC36" i="1"/>
  <c r="G35" i="1"/>
  <c r="T35" i="1"/>
  <c r="H35" i="1"/>
  <c r="L35" i="1"/>
  <c r="M35" i="1"/>
  <c r="F35" i="1"/>
  <c r="I35" i="1"/>
  <c r="K35" i="1"/>
  <c r="O35" i="1"/>
  <c r="P35" i="1"/>
  <c r="N35" i="1"/>
  <c r="Q35" i="1"/>
  <c r="S35" i="1"/>
  <c r="R35" i="1"/>
  <c r="J35" i="1"/>
  <c r="GG31" i="1" l="1"/>
  <c r="GI31" i="1" s="1"/>
  <c r="FV34" i="1"/>
  <c r="FX34" i="1" s="1"/>
  <c r="BN6" i="8"/>
  <c r="BP6" i="8" s="1"/>
  <c r="AF6" i="8"/>
  <c r="AH6" i="8" s="1"/>
  <c r="S6" i="13"/>
  <c r="U6" i="13" s="1"/>
  <c r="BL6" i="13"/>
  <c r="BN6" i="13" s="1"/>
  <c r="BT6" i="4"/>
  <c r="BV6" i="4" s="1"/>
  <c r="AM6" i="4"/>
  <c r="AO6" i="4" s="1"/>
  <c r="BT6" i="13"/>
  <c r="BV6" i="13" s="1"/>
  <c r="CO23" i="9"/>
  <c r="CI6" i="9"/>
  <c r="CK6" i="9" s="1"/>
  <c r="AO24" i="9"/>
  <c r="AL6" i="9"/>
  <c r="AO6" i="9" s="1"/>
  <c r="DT6" i="6"/>
  <c r="DV6" i="6" s="1"/>
  <c r="BB24" i="9"/>
  <c r="AZ6" i="9"/>
  <c r="BB6" i="9" s="1"/>
  <c r="Y6" i="6"/>
  <c r="AA6" i="6" s="1"/>
  <c r="CJ24" i="9"/>
  <c r="CH6" i="9"/>
  <c r="CJ6" i="9" s="1"/>
  <c r="BB6" i="8"/>
  <c r="BD6" i="8" s="1"/>
  <c r="AS24" i="9"/>
  <c r="AQ6" i="9"/>
  <c r="AS6" i="9" s="1"/>
  <c r="BT23" i="8"/>
  <c r="BR6" i="8"/>
  <c r="BT6" i="8" s="1"/>
  <c r="AR6" i="8"/>
  <c r="AT6" i="8" s="1"/>
  <c r="AB6" i="8"/>
  <c r="AD6" i="8" s="1"/>
  <c r="BG6" i="4"/>
  <c r="BI6" i="4"/>
  <c r="AH6" i="9"/>
  <c r="AK6" i="9" s="1"/>
  <c r="BG6" i="6"/>
  <c r="BK6" i="6"/>
  <c r="AF6" i="13"/>
  <c r="AH6" i="13" s="1"/>
  <c r="BE6" i="8"/>
  <c r="BG6" i="8" s="1"/>
  <c r="BX24" i="9"/>
  <c r="BV6" i="9"/>
  <c r="BX6" i="9" s="1"/>
  <c r="AO6" i="8"/>
  <c r="AQ6" i="8" s="1"/>
  <c r="BR24" i="4"/>
  <c r="BV25" i="4"/>
  <c r="BT12" i="4"/>
  <c r="AV25" i="13"/>
  <c r="DR28" i="1"/>
  <c r="DT28" i="1" s="1"/>
  <c r="BZ26" i="1"/>
  <c r="EL26" i="1" s="1"/>
  <c r="EN26" i="1" s="1"/>
  <c r="CZ25" i="1"/>
  <c r="AZ24" i="4"/>
  <c r="BK24" i="4"/>
  <c r="BI12" i="4"/>
  <c r="AV24" i="4"/>
  <c r="AV6" i="4" s="1"/>
  <c r="AM12" i="4"/>
  <c r="AV25" i="4"/>
  <c r="BK25" i="4"/>
  <c r="BG25" i="4"/>
  <c r="BG12" i="4" s="1"/>
  <c r="AZ25" i="4"/>
  <c r="AV24" i="13"/>
  <c r="AT12" i="13"/>
  <c r="AO25" i="4"/>
  <c r="BL12" i="13"/>
  <c r="BN25" i="13"/>
  <c r="BH28" i="1"/>
  <c r="FE28" i="1"/>
  <c r="CS29" i="1"/>
  <c r="CU29" i="1" s="1"/>
  <c r="CV29" i="1" s="1"/>
  <c r="EN25" i="1"/>
  <c r="DQ29" i="1"/>
  <c r="DS29" i="1" s="1"/>
  <c r="BF29" i="1"/>
  <c r="BH29" i="1" s="1"/>
  <c r="CA26" i="1"/>
  <c r="AB26" i="13"/>
  <c r="CW26" i="1"/>
  <c r="CY26" i="1" s="1"/>
  <c r="AL26" i="4"/>
  <c r="BS26" i="4"/>
  <c r="BY27" i="1"/>
  <c r="AB27" i="13" s="1"/>
  <c r="BE30" i="1"/>
  <c r="BY28" i="1" s="1"/>
  <c r="BK28" i="13" s="1"/>
  <c r="AW26" i="4"/>
  <c r="AS26" i="13"/>
  <c r="AU26" i="13" s="1"/>
  <c r="BK26" i="13"/>
  <c r="BH26" i="4"/>
  <c r="GH30" i="1"/>
  <c r="GJ30" i="1" s="1"/>
  <c r="W35" i="1"/>
  <c r="V35" i="1"/>
  <c r="U35" i="1"/>
  <c r="FU35" i="1"/>
  <c r="GG32" i="1" s="1"/>
  <c r="AS25" i="9"/>
  <c r="BP24" i="8"/>
  <c r="AO25" i="9"/>
  <c r="BH24" i="9"/>
  <c r="BD24" i="9"/>
  <c r="V24" i="13"/>
  <c r="BB25" i="9"/>
  <c r="D24" i="11"/>
  <c r="D6" i="11" s="1"/>
  <c r="BX24" i="13"/>
  <c r="BN12" i="8"/>
  <c r="FR24" i="1"/>
  <c r="BG25" i="8"/>
  <c r="FT24" i="1"/>
  <c r="AQ12" i="9"/>
  <c r="FP24" i="1"/>
  <c r="FS25" i="1"/>
  <c r="FQ25" i="1"/>
  <c r="DX25" i="1"/>
  <c r="BV25" i="9"/>
  <c r="BX25" i="9" s="1"/>
  <c r="AH25" i="9"/>
  <c r="AR25" i="9" s="1"/>
  <c r="P12" i="9"/>
  <c r="Y25" i="9"/>
  <c r="Y12" i="9" s="1"/>
  <c r="GP25" i="1"/>
  <c r="GR25" i="1" s="1"/>
  <c r="GD25" i="1"/>
  <c r="GF25" i="1" s="1"/>
  <c r="BB25" i="8"/>
  <c r="BF25" i="8" s="1"/>
  <c r="EB25" i="1"/>
  <c r="AF25" i="8"/>
  <c r="CK23" i="9"/>
  <c r="CM25" i="9"/>
  <c r="CM12" i="9" s="1"/>
  <c r="R25" i="9"/>
  <c r="AB25" i="8"/>
  <c r="Z25" i="8"/>
  <c r="CL26" i="1"/>
  <c r="DZ26" i="1" s="1"/>
  <c r="P25" i="13"/>
  <c r="BU25" i="13" s="1"/>
  <c r="AO25" i="8"/>
  <c r="AQ25" i="8" s="1"/>
  <c r="Q25" i="8"/>
  <c r="BT25" i="9"/>
  <c r="R25" i="4"/>
  <c r="AN25" i="6"/>
  <c r="AP25" i="6" s="1"/>
  <c r="FI28" i="1"/>
  <c r="FK28" i="1"/>
  <c r="DV25" i="6"/>
  <c r="BX29" i="1"/>
  <c r="CE27" i="1"/>
  <c r="GK27" i="1"/>
  <c r="GM27" i="1" s="1"/>
  <c r="N27" i="4"/>
  <c r="P27" i="4" s="1"/>
  <c r="X27" i="4"/>
  <c r="Z27" i="4" s="1"/>
  <c r="W27" i="8"/>
  <c r="Y27" i="8" s="1"/>
  <c r="N27" i="8"/>
  <c r="N7" i="8" s="1"/>
  <c r="P7" i="8" s="1"/>
  <c r="O27" i="9"/>
  <c r="Q27" i="9" s="1"/>
  <c r="CD27" i="9"/>
  <c r="CL27" i="9" s="1"/>
  <c r="FG28" i="1"/>
  <c r="X26" i="8"/>
  <c r="AF26" i="8" s="1"/>
  <c r="DV26" i="1"/>
  <c r="DX26" i="1" s="1"/>
  <c r="BR26" i="6"/>
  <c r="BT26" i="6" s="1"/>
  <c r="DK26" i="6"/>
  <c r="U26" i="6"/>
  <c r="DB26" i="6"/>
  <c r="CE26" i="9"/>
  <c r="CS26" i="6"/>
  <c r="O26" i="4"/>
  <c r="R26" i="4" s="1"/>
  <c r="P26" i="9"/>
  <c r="R26" i="9" s="1"/>
  <c r="AI26" i="6"/>
  <c r="Y26" i="4"/>
  <c r="AB26" i="4" s="1"/>
  <c r="DO28" i="1"/>
  <c r="O26" i="8"/>
  <c r="AO26" i="8" s="1"/>
  <c r="BR26" i="9"/>
  <c r="BT26" i="9" s="1"/>
  <c r="EJ25" i="1"/>
  <c r="GL26" i="1"/>
  <c r="GN26" i="1" s="1"/>
  <c r="FN24" i="1"/>
  <c r="ED26" i="1"/>
  <c r="EF26" i="1" s="1"/>
  <c r="AX25" i="6"/>
  <c r="AV12" i="6"/>
  <c r="CJ26" i="6"/>
  <c r="CA26" i="6"/>
  <c r="EV25" i="1"/>
  <c r="AT36" i="1"/>
  <c r="AP36" i="1"/>
  <c r="AR36" i="1"/>
  <c r="AQ36" i="1"/>
  <c r="BL30" i="1"/>
  <c r="CC28" i="1"/>
  <c r="CE28" i="1" s="1"/>
  <c r="BG25" i="6"/>
  <c r="BW30" i="1"/>
  <c r="GW29" i="1"/>
  <c r="GY29" i="1" s="1"/>
  <c r="CK24" i="9"/>
  <c r="CO24" i="9"/>
  <c r="H14" i="17"/>
  <c r="H31" i="17"/>
  <c r="GC26" i="1"/>
  <c r="GO26" i="1"/>
  <c r="Z26" i="4"/>
  <c r="BR27" i="9"/>
  <c r="CE27" i="9"/>
  <c r="P27" i="9"/>
  <c r="O27" i="8"/>
  <c r="X27" i="8"/>
  <c r="AF27" i="8" s="1"/>
  <c r="Y27" i="4"/>
  <c r="O27" i="4"/>
  <c r="GL27" i="1"/>
  <c r="BR25" i="8"/>
  <c r="BT25" i="8" s="1"/>
  <c r="EP28" i="1"/>
  <c r="ER28" i="1" s="1"/>
  <c r="DN28" i="1"/>
  <c r="DP28" i="1" s="1"/>
  <c r="DF28" i="1"/>
  <c r="FL28" i="1" s="1"/>
  <c r="CR27" i="1"/>
  <c r="AS36" i="1"/>
  <c r="BE23" i="9"/>
  <c r="BG23" i="9" s="1"/>
  <c r="BI23" i="9"/>
  <c r="BK23" i="9" s="1"/>
  <c r="Z26" i="6"/>
  <c r="F25" i="11"/>
  <c r="Z25" i="6"/>
  <c r="BD26" i="6"/>
  <c r="BF26" i="6" s="1"/>
  <c r="AU26" i="6"/>
  <c r="AW26" i="6" s="1"/>
  <c r="AG26" i="6"/>
  <c r="BQ30" i="1"/>
  <c r="CK28" i="1" s="1"/>
  <c r="BR29" i="1"/>
  <c r="BT29" i="1" s="1"/>
  <c r="EO29" i="1"/>
  <c r="EQ29" i="1" s="1"/>
  <c r="DM29" i="1"/>
  <c r="DE29" i="1"/>
  <c r="DG29" i="1" s="1"/>
  <c r="AK24" i="9"/>
  <c r="AA26" i="8"/>
  <c r="BA26" i="8"/>
  <c r="AE26" i="8"/>
  <c r="Y26" i="8"/>
  <c r="BS29" i="1"/>
  <c r="BP25" i="8"/>
  <c r="AN26" i="8"/>
  <c r="O26" i="13"/>
  <c r="P26" i="8"/>
  <c r="V26" i="6"/>
  <c r="F26" i="11"/>
  <c r="D25" i="11"/>
  <c r="S12" i="13"/>
  <c r="BS23" i="8"/>
  <c r="BU23" i="8" s="1"/>
  <c r="CQ28" i="1"/>
  <c r="EC27" i="1"/>
  <c r="CQ27" i="1"/>
  <c r="CG28" i="1"/>
  <c r="CI28" i="1" s="1"/>
  <c r="AU36" i="1"/>
  <c r="G25" i="11"/>
  <c r="DJ29" i="1"/>
  <c r="DL29" i="1" s="1"/>
  <c r="DS26" i="6"/>
  <c r="ES26" i="1"/>
  <c r="DY26" i="1"/>
  <c r="EG26" i="1"/>
  <c r="CM26" i="1"/>
  <c r="FA26" i="1"/>
  <c r="CL26" i="9"/>
  <c r="CF26" i="9"/>
  <c r="DB28" i="1"/>
  <c r="DD28" i="1" s="1"/>
  <c r="BS27" i="9"/>
  <c r="BU26" i="9"/>
  <c r="BS26" i="9"/>
  <c r="GT32" i="1"/>
  <c r="GV32" i="1" s="1"/>
  <c r="GS33" i="1"/>
  <c r="GW30" i="1" s="1"/>
  <c r="I10" i="17"/>
  <c r="Y8" i="17" s="1"/>
  <c r="I27" i="17"/>
  <c r="CJ25" i="9"/>
  <c r="CN25" i="9"/>
  <c r="CH12" i="9"/>
  <c r="V25" i="13"/>
  <c r="BU31" i="1"/>
  <c r="BW31" i="1" s="1"/>
  <c r="DI30" i="1"/>
  <c r="DK30" i="1" s="1"/>
  <c r="BV30" i="1"/>
  <c r="BX30" i="1" s="1"/>
  <c r="AA25" i="6"/>
  <c r="G24" i="11"/>
  <c r="G6" i="11" s="1"/>
  <c r="I11" i="17"/>
  <c r="I28" i="17"/>
  <c r="BA24" i="9"/>
  <c r="AN24" i="9"/>
  <c r="AN6" i="9" s="1"/>
  <c r="AP6" i="9" s="1"/>
  <c r="BM30" i="1"/>
  <c r="BO30" i="1" s="1"/>
  <c r="BN29" i="1"/>
  <c r="BP29" i="1" s="1"/>
  <c r="DA29" i="1"/>
  <c r="DC29" i="1" s="1"/>
  <c r="U25" i="13"/>
  <c r="AA24" i="9"/>
  <c r="AG26" i="9"/>
  <c r="X26" i="9"/>
  <c r="Q26" i="9"/>
  <c r="GZ27" i="1"/>
  <c r="AR24" i="9"/>
  <c r="AR6" i="9" s="1"/>
  <c r="AT6" i="9" s="1"/>
  <c r="BH23" i="8"/>
  <c r="BU24" i="13"/>
  <c r="BW24" i="13" s="1"/>
  <c r="AG24" i="13"/>
  <c r="T24" i="13"/>
  <c r="T6" i="13" s="1"/>
  <c r="V6" i="13" s="1"/>
  <c r="E36" i="1"/>
  <c r="A38" i="1"/>
  <c r="Z37" i="1"/>
  <c r="AL37" i="1" s="1"/>
  <c r="AF37" i="1"/>
  <c r="AC37" i="1"/>
  <c r="AO37" i="1" s="1"/>
  <c r="Y37" i="1"/>
  <c r="AK37" i="1" s="1"/>
  <c r="X37" i="1"/>
  <c r="AJ37" i="1" s="1"/>
  <c r="AI37" i="1"/>
  <c r="AG37" i="1"/>
  <c r="AB37" i="1"/>
  <c r="AN37" i="1" s="1"/>
  <c r="AH37" i="1"/>
  <c r="AE37" i="1"/>
  <c r="AA37" i="1"/>
  <c r="AM37" i="1" s="1"/>
  <c r="AD37" i="1"/>
  <c r="B37" i="1"/>
  <c r="D37" i="1"/>
  <c r="C37" i="1"/>
  <c r="CH27" i="1"/>
  <c r="AS24" i="8"/>
  <c r="AU24" i="8" s="1"/>
  <c r="FJ27" i="1"/>
  <c r="AP24" i="6"/>
  <c r="AF12" i="13"/>
  <c r="BX25" i="13"/>
  <c r="BT12" i="13"/>
  <c r="AP23" i="9"/>
  <c r="AH25" i="13"/>
  <c r="BP28" i="1"/>
  <c r="AR12" i="8"/>
  <c r="GX28" i="1"/>
  <c r="CT26" i="6"/>
  <c r="BD25" i="9"/>
  <c r="BH25" i="9"/>
  <c r="AZ12" i="9"/>
  <c r="AT25" i="8"/>
  <c r="DL28" i="1"/>
  <c r="AO26" i="6"/>
  <c r="AO25" i="6"/>
  <c r="AM12" i="6"/>
  <c r="E23" i="11"/>
  <c r="BY23" i="13"/>
  <c r="DH27" i="1"/>
  <c r="DA27" i="6"/>
  <c r="DC27" i="6" s="1"/>
  <c r="BZ27" i="6"/>
  <c r="BZ7" i="6" s="1"/>
  <c r="CB7" i="6" s="1"/>
  <c r="CR27" i="6"/>
  <c r="CT27" i="6" s="1"/>
  <c r="AH27" i="6"/>
  <c r="AH7" i="6" s="1"/>
  <c r="AJ7" i="6" s="1"/>
  <c r="T27" i="6"/>
  <c r="V27" i="6" s="1"/>
  <c r="DJ27" i="6"/>
  <c r="DL27" i="6" s="1"/>
  <c r="BQ27" i="6"/>
  <c r="BS27" i="6" s="1"/>
  <c r="CI27" i="6"/>
  <c r="CK27" i="6" s="1"/>
  <c r="DU27" i="1"/>
  <c r="FZ30" i="1"/>
  <c r="BI32" i="1"/>
  <c r="BK32" i="1" s="1"/>
  <c r="BJ31" i="1"/>
  <c r="CD28" i="1" s="1"/>
  <c r="FY31" i="1"/>
  <c r="GA31" i="1" s="1"/>
  <c r="W9" i="17"/>
  <c r="AA8" i="17"/>
  <c r="P26" i="4"/>
  <c r="GM26" i="1"/>
  <c r="ER27" i="1"/>
  <c r="CI27" i="1"/>
  <c r="J10" i="17"/>
  <c r="Q9" i="17" s="1"/>
  <c r="AG12" i="6"/>
  <c r="CF27" i="1"/>
  <c r="CV28" i="1"/>
  <c r="FH27" i="1"/>
  <c r="BH25" i="6"/>
  <c r="BD12" i="6"/>
  <c r="BJ25" i="6"/>
  <c r="BF25" i="6"/>
  <c r="BF24" i="8"/>
  <c r="BF6" i="8" s="1"/>
  <c r="BH6" i="8" s="1"/>
  <c r="BO24" i="8"/>
  <c r="BQ24" i="8" s="1"/>
  <c r="R24" i="13"/>
  <c r="BT24" i="8"/>
  <c r="ED27" i="1"/>
  <c r="BU22" i="8"/>
  <c r="FF27" i="1"/>
  <c r="AU12" i="6"/>
  <c r="AW25" i="6"/>
  <c r="CK27" i="1"/>
  <c r="EQ28" i="1"/>
  <c r="FR25" i="1"/>
  <c r="FT25" i="1"/>
  <c r="FP25" i="1"/>
  <c r="FN25" i="1"/>
  <c r="EX28" i="1"/>
  <c r="EY29" i="1"/>
  <c r="EY28" i="1"/>
  <c r="AJ26" i="6"/>
  <c r="G11" i="17" s="1"/>
  <c r="AA9" i="17" s="1"/>
  <c r="BV25" i="13"/>
  <c r="AK203" i="23"/>
  <c r="AJ203" i="23"/>
  <c r="AI203" i="23"/>
  <c r="AH203" i="23"/>
  <c r="AG203" i="23"/>
  <c r="AV37" i="1"/>
  <c r="AW37" i="1"/>
  <c r="BC37" i="1"/>
  <c r="AX37" i="1"/>
  <c r="BB37" i="1"/>
  <c r="BA37" i="1"/>
  <c r="AY37" i="1"/>
  <c r="AZ37" i="1"/>
  <c r="M36" i="1"/>
  <c r="K36" i="1"/>
  <c r="I36" i="1"/>
  <c r="G36" i="1"/>
  <c r="Q36" i="1"/>
  <c r="F36" i="1"/>
  <c r="L36" i="1"/>
  <c r="O36" i="1"/>
  <c r="T36" i="1"/>
  <c r="R36" i="1"/>
  <c r="N36" i="1"/>
  <c r="J36" i="1"/>
  <c r="H36" i="1"/>
  <c r="P36" i="1"/>
  <c r="S36" i="1"/>
  <c r="V36" i="1" l="1"/>
  <c r="FU36" i="1"/>
  <c r="GG33" i="1" s="1"/>
  <c r="GI33" i="1" s="1"/>
  <c r="W36" i="1"/>
  <c r="GI32" i="1"/>
  <c r="GH31" i="1"/>
  <c r="GJ31" i="1" s="1"/>
  <c r="U36" i="1"/>
  <c r="P7" i="9"/>
  <c r="R7" i="9" s="1"/>
  <c r="BU6" i="13"/>
  <c r="BW6" i="13" s="1"/>
  <c r="X7" i="4"/>
  <c r="Z7" i="4" s="1"/>
  <c r="N7" i="4"/>
  <c r="P7" i="4" s="1"/>
  <c r="AN26" i="4"/>
  <c r="AI24" i="13"/>
  <c r="AG6" i="13"/>
  <c r="AI6" i="13" s="1"/>
  <c r="CC26" i="6"/>
  <c r="AE26" i="13"/>
  <c r="AB7" i="13"/>
  <c r="AD7" i="13" s="1"/>
  <c r="T7" i="6"/>
  <c r="V7" i="6" s="1"/>
  <c r="X7" i="8"/>
  <c r="Z7" i="8" s="1"/>
  <c r="AS6" i="8"/>
  <c r="AU6" i="8" s="1"/>
  <c r="O7" i="8"/>
  <c r="Q7" i="8" s="1"/>
  <c r="BJ24" i="9"/>
  <c r="BH6" i="9"/>
  <c r="BJ6" i="9" s="1"/>
  <c r="BR6" i="4"/>
  <c r="DD26" i="6"/>
  <c r="W7" i="8"/>
  <c r="Y7" i="8" s="1"/>
  <c r="BI26" i="6"/>
  <c r="DA7" i="6"/>
  <c r="DC7" i="6" s="1"/>
  <c r="DM26" i="6"/>
  <c r="AF7" i="8"/>
  <c r="AH7" i="8" s="1"/>
  <c r="BK6" i="4"/>
  <c r="AZ6" i="4"/>
  <c r="O7" i="9"/>
  <c r="Q7" i="9" s="1"/>
  <c r="BO6" i="8"/>
  <c r="BQ6" i="8" s="1"/>
  <c r="O7" i="4"/>
  <c r="R7" i="4" s="1"/>
  <c r="BF26" i="4"/>
  <c r="BR7" i="9"/>
  <c r="BT7" i="9" s="1"/>
  <c r="W26" i="6"/>
  <c r="Y7" i="4"/>
  <c r="AB7" i="4" s="1"/>
  <c r="BF24" i="9"/>
  <c r="BD6" i="9"/>
  <c r="BF6" i="9" s="1"/>
  <c r="BM26" i="13"/>
  <c r="CU26" i="6"/>
  <c r="CI7" i="6"/>
  <c r="CK7" i="6" s="1"/>
  <c r="CL26" i="6"/>
  <c r="CA24" i="13"/>
  <c r="BX6" i="13"/>
  <c r="BZ6" i="13" s="1"/>
  <c r="DJ7" i="6"/>
  <c r="DL7" i="6" s="1"/>
  <c r="BQ7" i="6"/>
  <c r="BS7" i="6" s="1"/>
  <c r="CR7" i="6"/>
  <c r="CT7" i="6" s="1"/>
  <c r="BC24" i="9"/>
  <c r="BA6" i="9"/>
  <c r="BC6" i="9" s="1"/>
  <c r="CG26" i="9"/>
  <c r="CE7" i="9"/>
  <c r="CG7" i="9" s="1"/>
  <c r="BQ26" i="4"/>
  <c r="AX26" i="4"/>
  <c r="AC26" i="13"/>
  <c r="BI26" i="4"/>
  <c r="AT26" i="13"/>
  <c r="BL26" i="13"/>
  <c r="CB26" i="1"/>
  <c r="CX26" i="1"/>
  <c r="CZ26" i="1" s="1"/>
  <c r="BT26" i="4"/>
  <c r="AM26" i="4"/>
  <c r="AV12" i="4"/>
  <c r="CT29" i="1"/>
  <c r="BZ27" i="1"/>
  <c r="AM27" i="4" s="1"/>
  <c r="BF30" i="1"/>
  <c r="BH30" i="1" s="1"/>
  <c r="DR29" i="1"/>
  <c r="DT29" i="1" s="1"/>
  <c r="AD26" i="13"/>
  <c r="BU26" i="4"/>
  <c r="AD27" i="13"/>
  <c r="AS27" i="13"/>
  <c r="AU27" i="13" s="1"/>
  <c r="FE29" i="1"/>
  <c r="EK27" i="1"/>
  <c r="EM27" i="1" s="1"/>
  <c r="AL27" i="4"/>
  <c r="AN27" i="4" s="1"/>
  <c r="BE31" i="1"/>
  <c r="BY29" i="1" s="1"/>
  <c r="CA29" i="1" s="1"/>
  <c r="CW27" i="1"/>
  <c r="CY27" i="1" s="1"/>
  <c r="CS30" i="1"/>
  <c r="CU30" i="1" s="1"/>
  <c r="CV30" i="1" s="1"/>
  <c r="CA27" i="1"/>
  <c r="BH27" i="4"/>
  <c r="BF27" i="4" s="1"/>
  <c r="DQ30" i="1"/>
  <c r="DS30" i="1" s="1"/>
  <c r="AE27" i="13"/>
  <c r="EK28" i="1"/>
  <c r="AB28" i="13"/>
  <c r="AE28" i="13" s="1"/>
  <c r="AL28" i="4"/>
  <c r="BK27" i="13"/>
  <c r="BM27" i="13" s="1"/>
  <c r="AS28" i="13"/>
  <c r="AW27" i="4"/>
  <c r="AW7" i="4" s="1"/>
  <c r="BS27" i="4"/>
  <c r="BQ27" i="4" s="1"/>
  <c r="BH28" i="4"/>
  <c r="BS28" i="4"/>
  <c r="BQ28" i="4" s="1"/>
  <c r="CA28" i="1"/>
  <c r="AW28" i="4"/>
  <c r="BG30" i="1"/>
  <c r="AY26" i="4"/>
  <c r="BJ26" i="4"/>
  <c r="AU26" i="4"/>
  <c r="FV35" i="1"/>
  <c r="FX35" i="1" s="1"/>
  <c r="FW35" i="1"/>
  <c r="BJ25" i="9"/>
  <c r="BF25" i="9"/>
  <c r="BZ25" i="13"/>
  <c r="BZ24" i="13"/>
  <c r="X27" i="9"/>
  <c r="Z27" i="9" s="1"/>
  <c r="AG27" i="9"/>
  <c r="CH27" i="9" s="1"/>
  <c r="AA25" i="9"/>
  <c r="GD26" i="1"/>
  <c r="GF26" i="1" s="1"/>
  <c r="GP26" i="1"/>
  <c r="GR26" i="1" s="1"/>
  <c r="AV26" i="6"/>
  <c r="FB26" i="1"/>
  <c r="FD26" i="1" s="1"/>
  <c r="AD25" i="8"/>
  <c r="EH26" i="1"/>
  <c r="EJ26" i="1" s="1"/>
  <c r="AK25" i="9"/>
  <c r="AN25" i="9"/>
  <c r="BA25" i="9"/>
  <c r="BC25" i="9" s="1"/>
  <c r="BD25" i="8"/>
  <c r="AH12" i="9"/>
  <c r="ET26" i="1"/>
  <c r="EV26" i="1" s="1"/>
  <c r="DT26" i="6"/>
  <c r="CN26" i="1"/>
  <c r="BE26" i="6"/>
  <c r="AS25" i="8"/>
  <c r="BA27" i="8"/>
  <c r="BN27" i="8" s="1"/>
  <c r="T25" i="13"/>
  <c r="BY25" i="13" s="1"/>
  <c r="AG25" i="13"/>
  <c r="CI25" i="9"/>
  <c r="CO25" i="9" s="1"/>
  <c r="BO25" i="8"/>
  <c r="BS25" i="8" s="1"/>
  <c r="AH25" i="8"/>
  <c r="AH26" i="8"/>
  <c r="AB27" i="4"/>
  <c r="R25" i="13"/>
  <c r="AQ26" i="8"/>
  <c r="BR12" i="8"/>
  <c r="R27" i="4"/>
  <c r="AE27" i="8"/>
  <c r="AG27" i="8" s="1"/>
  <c r="AL26" i="6"/>
  <c r="GK28" i="1"/>
  <c r="GM28" i="1" s="1"/>
  <c r="DO29" i="1"/>
  <c r="N28" i="8"/>
  <c r="CD28" i="9"/>
  <c r="CF28" i="9" s="1"/>
  <c r="BB26" i="8"/>
  <c r="BD26" i="8" s="1"/>
  <c r="EF27" i="1"/>
  <c r="FR26" i="1"/>
  <c r="BU27" i="9"/>
  <c r="BW27" i="9" s="1"/>
  <c r="GO27" i="1"/>
  <c r="GQ27" i="1" s="1"/>
  <c r="GC27" i="1"/>
  <c r="GE27" i="1" s="1"/>
  <c r="AA27" i="8"/>
  <c r="AC27" i="8" s="1"/>
  <c r="DH28" i="1"/>
  <c r="X28" i="4"/>
  <c r="Z28" i="4" s="1"/>
  <c r="O27" i="13"/>
  <c r="Q27" i="13" s="1"/>
  <c r="W28" i="8"/>
  <c r="Y28" i="8" s="1"/>
  <c r="AN27" i="8"/>
  <c r="AP27" i="8" s="1"/>
  <c r="O28" i="9"/>
  <c r="AG28" i="9" s="1"/>
  <c r="BQ28" i="9"/>
  <c r="BS28" i="9" s="1"/>
  <c r="P27" i="8"/>
  <c r="CF27" i="9"/>
  <c r="FJ28" i="1"/>
  <c r="R27" i="9"/>
  <c r="Z26" i="8"/>
  <c r="Q26" i="8"/>
  <c r="AN26" i="6"/>
  <c r="AP26" i="6" s="1"/>
  <c r="N28" i="4"/>
  <c r="BH25" i="8"/>
  <c r="GN27" i="1"/>
  <c r="Y26" i="6"/>
  <c r="Z27" i="8"/>
  <c r="Y26" i="9"/>
  <c r="AA26" i="9" s="1"/>
  <c r="BJ26" i="6"/>
  <c r="AS37" i="1"/>
  <c r="CG27" i="9"/>
  <c r="AH26" i="9"/>
  <c r="AK26" i="9" s="1"/>
  <c r="CA25" i="13"/>
  <c r="FT26" i="1"/>
  <c r="AB26" i="8"/>
  <c r="AD26" i="8" s="1"/>
  <c r="BV26" i="9"/>
  <c r="BX26" i="9" s="1"/>
  <c r="CM26" i="9"/>
  <c r="P26" i="13"/>
  <c r="R26" i="13" s="1"/>
  <c r="EC28" i="1"/>
  <c r="EE28" i="1" s="1"/>
  <c r="CG29" i="1"/>
  <c r="BZ29" i="6" s="1"/>
  <c r="BL31" i="1"/>
  <c r="Y9" i="17"/>
  <c r="CC29" i="1"/>
  <c r="CE29" i="1" s="1"/>
  <c r="CW28" i="1"/>
  <c r="GX29" i="1"/>
  <c r="GZ29" i="1" s="1"/>
  <c r="FK29" i="1"/>
  <c r="CP28" i="1"/>
  <c r="CR28" i="1" s="1"/>
  <c r="EX29" i="1"/>
  <c r="EZ29" i="1" s="1"/>
  <c r="AQ37" i="1"/>
  <c r="AU37" i="1"/>
  <c r="EB26" i="1"/>
  <c r="AB8" i="17"/>
  <c r="AP37" i="1"/>
  <c r="FI29" i="1"/>
  <c r="AR37" i="1"/>
  <c r="EW30" i="1"/>
  <c r="EY30" i="1" s="1"/>
  <c r="CO29" i="1"/>
  <c r="CQ29" i="1" s="1"/>
  <c r="FG29" i="1"/>
  <c r="CH28" i="1"/>
  <c r="U28" i="6" s="1"/>
  <c r="BD12" i="9"/>
  <c r="CL27" i="1"/>
  <c r="DZ27" i="1" s="1"/>
  <c r="EB27" i="1" s="1"/>
  <c r="AT37" i="1"/>
  <c r="V37" i="1"/>
  <c r="W37" i="1"/>
  <c r="DS28" i="6"/>
  <c r="ES28" i="1"/>
  <c r="EG28" i="1"/>
  <c r="DY28" i="1"/>
  <c r="FA28" i="1"/>
  <c r="GY30" i="1"/>
  <c r="BU32" i="1"/>
  <c r="BW32" i="1" s="1"/>
  <c r="BV31" i="1"/>
  <c r="BX31" i="1" s="1"/>
  <c r="DI31" i="1"/>
  <c r="DK31" i="1" s="1"/>
  <c r="BF12" i="8"/>
  <c r="AB27" i="8"/>
  <c r="BB27" i="8"/>
  <c r="E24" i="11"/>
  <c r="E6" i="11" s="1"/>
  <c r="BY24" i="13"/>
  <c r="BY6" i="13" s="1"/>
  <c r="CA6" i="13" s="1"/>
  <c r="AO27" i="8"/>
  <c r="AQ27" i="8" s="1"/>
  <c r="P27" i="13"/>
  <c r="BD27" i="6"/>
  <c r="AU27" i="6"/>
  <c r="AW27" i="6" s="1"/>
  <c r="AG27" i="6"/>
  <c r="J12" i="17" s="1"/>
  <c r="AM27" i="6"/>
  <c r="AM7" i="6" s="1"/>
  <c r="AO7" i="6" s="1"/>
  <c r="EZ28" i="1"/>
  <c r="BH24" i="8"/>
  <c r="J11" i="17"/>
  <c r="AB9" i="17" s="1"/>
  <c r="AH27" i="9"/>
  <c r="CI27" i="9" s="1"/>
  <c r="Y27" i="9"/>
  <c r="BW25" i="13"/>
  <c r="BE24" i="9"/>
  <c r="BI24" i="9"/>
  <c r="BK24" i="9" s="1"/>
  <c r="BT26" i="13"/>
  <c r="AF26" i="13"/>
  <c r="Q26" i="13"/>
  <c r="S26" i="13"/>
  <c r="CM27" i="9"/>
  <c r="FZ31" i="1"/>
  <c r="GB31" i="1" s="1"/>
  <c r="EE27" i="1"/>
  <c r="AR26" i="8"/>
  <c r="AP26" i="8"/>
  <c r="BI33" i="1"/>
  <c r="BK33" i="1" s="1"/>
  <c r="BJ32" i="1"/>
  <c r="BL32" i="1" s="1"/>
  <c r="FY32" i="1"/>
  <c r="GA32" i="1" s="1"/>
  <c r="AJ27" i="6"/>
  <c r="G12" i="17" s="1"/>
  <c r="AA10" i="17" s="1"/>
  <c r="AP24" i="9"/>
  <c r="BV27" i="9"/>
  <c r="AH27" i="8"/>
  <c r="W10" i="17"/>
  <c r="CB27" i="6"/>
  <c r="FA27" i="1"/>
  <c r="FC27" i="1" s="1"/>
  <c r="BH26" i="6"/>
  <c r="AG26" i="8"/>
  <c r="GQ26" i="1"/>
  <c r="X27" i="6"/>
  <c r="X7" i="6" s="1"/>
  <c r="Z7" i="6" s="1"/>
  <c r="Z26" i="9"/>
  <c r="GE26" i="1"/>
  <c r="BE26" i="8"/>
  <c r="BN26" i="8"/>
  <c r="BC26" i="8"/>
  <c r="AZ26" i="9"/>
  <c r="AI26" i="9"/>
  <c r="AL26" i="9"/>
  <c r="AC26" i="8"/>
  <c r="FC26" i="1"/>
  <c r="BT27" i="9"/>
  <c r="AQ26" i="9"/>
  <c r="FF28" i="1"/>
  <c r="O9" i="17"/>
  <c r="S9" i="17"/>
  <c r="U9" i="17" s="1"/>
  <c r="CA27" i="6"/>
  <c r="CA7" i="6" s="1"/>
  <c r="CC7" i="6" s="1"/>
  <c r="CS27" i="6"/>
  <c r="CS7" i="6" s="1"/>
  <c r="CU7" i="6" s="1"/>
  <c r="AI27" i="6"/>
  <c r="AI7" i="6" s="1"/>
  <c r="AL7" i="6" s="1"/>
  <c r="DB27" i="6"/>
  <c r="DB7" i="6" s="1"/>
  <c r="DD7" i="6" s="1"/>
  <c r="CJ27" i="6"/>
  <c r="CJ7" i="6" s="1"/>
  <c r="CL7" i="6" s="1"/>
  <c r="U27" i="6"/>
  <c r="U7" i="6" s="1"/>
  <c r="W7" i="6" s="1"/>
  <c r="DK27" i="6"/>
  <c r="DK7" i="6" s="1"/>
  <c r="DM7" i="6" s="1"/>
  <c r="BR27" i="6"/>
  <c r="DV27" i="1"/>
  <c r="CJ27" i="1"/>
  <c r="GT33" i="1"/>
  <c r="GX30" i="1" s="1"/>
  <c r="GS34" i="1"/>
  <c r="GW31" i="1" s="1"/>
  <c r="GY31" i="1" s="1"/>
  <c r="EI26" i="1"/>
  <c r="FO26" i="1"/>
  <c r="FM26" i="1"/>
  <c r="FH28" i="1"/>
  <c r="DS27" i="6"/>
  <c r="DS7" i="6" s="1"/>
  <c r="DU7" i="6" s="1"/>
  <c r="CM28" i="1"/>
  <c r="ES27" i="1"/>
  <c r="EG27" i="1"/>
  <c r="DY27" i="1"/>
  <c r="BH12" i="9"/>
  <c r="A39" i="1"/>
  <c r="Z38" i="1"/>
  <c r="AL38" i="1" s="1"/>
  <c r="Y38" i="1"/>
  <c r="AK38" i="1" s="1"/>
  <c r="X38" i="1"/>
  <c r="AJ38" i="1" s="1"/>
  <c r="AE38" i="1"/>
  <c r="AI38" i="1"/>
  <c r="AG38" i="1"/>
  <c r="AD38" i="1"/>
  <c r="AA38" i="1"/>
  <c r="AM38" i="1" s="1"/>
  <c r="AF38" i="1"/>
  <c r="AC38" i="1"/>
  <c r="AO38" i="1" s="1"/>
  <c r="AH38" i="1"/>
  <c r="AB38" i="1"/>
  <c r="AN38" i="1" s="1"/>
  <c r="D38" i="1"/>
  <c r="B38" i="1"/>
  <c r="C38" i="1"/>
  <c r="W38" i="1" s="1"/>
  <c r="FS26" i="1"/>
  <c r="EA26" i="1"/>
  <c r="FQ26" i="1"/>
  <c r="GB30" i="1"/>
  <c r="AT25" i="9"/>
  <c r="AT24" i="9"/>
  <c r="GU33" i="1"/>
  <c r="EU26" i="1"/>
  <c r="BR28" i="9"/>
  <c r="CE28" i="9"/>
  <c r="P28" i="9"/>
  <c r="O28" i="8"/>
  <c r="Q28" i="8" s="1"/>
  <c r="X28" i="8"/>
  <c r="Y28" i="4"/>
  <c r="AB28" i="4" s="1"/>
  <c r="O28" i="4"/>
  <c r="R28" i="4" s="1"/>
  <c r="GL28" i="1"/>
  <c r="GN28" i="1" s="1"/>
  <c r="BS24" i="8"/>
  <c r="BS6" i="8" s="1"/>
  <c r="BU6" i="8" s="1"/>
  <c r="E37" i="1"/>
  <c r="DJ30" i="1"/>
  <c r="CM27" i="1"/>
  <c r="DN29" i="1"/>
  <c r="EP29" i="1"/>
  <c r="ER29" i="1" s="1"/>
  <c r="DF29" i="1"/>
  <c r="FL29" i="1" s="1"/>
  <c r="DU26" i="6"/>
  <c r="BQ31" i="1"/>
  <c r="BS31" i="1" s="1"/>
  <c r="EO30" i="1"/>
  <c r="EQ30" i="1" s="1"/>
  <c r="DM30" i="1"/>
  <c r="DO30" i="1" s="1"/>
  <c r="BR30" i="1"/>
  <c r="CL28" i="1" s="1"/>
  <c r="DE30" i="1"/>
  <c r="FK30" i="1" s="1"/>
  <c r="CF28" i="1"/>
  <c r="DW27" i="1"/>
  <c r="DB29" i="1"/>
  <c r="DD29" i="1" s="1"/>
  <c r="BW26" i="9"/>
  <c r="CH26" i="9"/>
  <c r="AS26" i="8"/>
  <c r="BS30" i="1"/>
  <c r="GZ28" i="1"/>
  <c r="BM31" i="1"/>
  <c r="CG30" i="1" s="1"/>
  <c r="DA30" i="1"/>
  <c r="BN30" i="1"/>
  <c r="CH29" i="1" s="1"/>
  <c r="CR28" i="6"/>
  <c r="BQ28" i="6"/>
  <c r="BS28" i="6" s="1"/>
  <c r="DJ28" i="6"/>
  <c r="DL28" i="6" s="1"/>
  <c r="T28" i="6"/>
  <c r="DA28" i="6"/>
  <c r="DC28" i="6" s="1"/>
  <c r="CI28" i="6"/>
  <c r="AH28" i="6"/>
  <c r="BZ28" i="6"/>
  <c r="DU28" i="1"/>
  <c r="Q27" i="8"/>
  <c r="GD27" i="1"/>
  <c r="GP27" i="1"/>
  <c r="BH12" i="6"/>
  <c r="H32" i="17"/>
  <c r="H15" i="17"/>
  <c r="AE203" i="23"/>
  <c r="AD203" i="23"/>
  <c r="AR202" i="23"/>
  <c r="AQ202" i="23"/>
  <c r="AP202" i="23"/>
  <c r="AO202" i="23"/>
  <c r="AN202" i="23"/>
  <c r="AW38" i="1"/>
  <c r="BC38" i="1"/>
  <c r="AX38" i="1"/>
  <c r="AY38" i="1"/>
  <c r="BB38" i="1"/>
  <c r="BA38" i="1"/>
  <c r="O37" i="1"/>
  <c r="R37" i="1"/>
  <c r="M37" i="1"/>
  <c r="F37" i="1"/>
  <c r="T37" i="1"/>
  <c r="J37" i="1"/>
  <c r="N37" i="1"/>
  <c r="I37" i="1"/>
  <c r="P37" i="1"/>
  <c r="K37" i="1"/>
  <c r="H37" i="1"/>
  <c r="G37" i="1"/>
  <c r="L37" i="1"/>
  <c r="S37" i="1"/>
  <c r="Q37" i="1"/>
  <c r="AV38" i="1"/>
  <c r="AZ38" i="1"/>
  <c r="FV36" i="1" l="1"/>
  <c r="GH33" i="1" s="1"/>
  <c r="FW36" i="1"/>
  <c r="FU37" i="1"/>
  <c r="GG34" i="1" s="1"/>
  <c r="GI34" i="1" s="1"/>
  <c r="BB7" i="8"/>
  <c r="BD7" i="8" s="1"/>
  <c r="BH7" i="4"/>
  <c r="BJ7" i="4" s="1"/>
  <c r="Y7" i="9"/>
  <c r="AA7" i="9" s="1"/>
  <c r="P7" i="13"/>
  <c r="R7" i="13" s="1"/>
  <c r="AA7" i="8"/>
  <c r="AC7" i="8" s="1"/>
  <c r="AG7" i="9"/>
  <c r="AI7" i="9" s="1"/>
  <c r="BF27" i="6"/>
  <c r="BD7" i="6"/>
  <c r="AB7" i="8"/>
  <c r="AD7" i="8" s="1"/>
  <c r="AH7" i="9"/>
  <c r="AK7" i="9" s="1"/>
  <c r="BA7" i="8"/>
  <c r="BC7" i="8" s="1"/>
  <c r="AO26" i="4"/>
  <c r="AM7" i="4"/>
  <c r="AO7" i="4" s="1"/>
  <c r="BK7" i="13"/>
  <c r="BM7" i="13" s="1"/>
  <c r="AE7" i="8"/>
  <c r="AG7" i="8" s="1"/>
  <c r="BK26" i="6"/>
  <c r="BV26" i="4"/>
  <c r="AO7" i="8"/>
  <c r="AQ7" i="8" s="1"/>
  <c r="AV26" i="13"/>
  <c r="DV26" i="6"/>
  <c r="BG24" i="9"/>
  <c r="BE6" i="9"/>
  <c r="BG6" i="9" s="1"/>
  <c r="BK26" i="4"/>
  <c r="BN26" i="13"/>
  <c r="BU7" i="9"/>
  <c r="BW7" i="9" s="1"/>
  <c r="BN7" i="8"/>
  <c r="BP7" i="8" s="1"/>
  <c r="BF7" i="4"/>
  <c r="BS7" i="4"/>
  <c r="BU7" i="4" s="1"/>
  <c r="AL7" i="4"/>
  <c r="AN7" i="4" s="1"/>
  <c r="BQ7" i="4"/>
  <c r="BI6" i="9"/>
  <c r="BK6" i="9" s="1"/>
  <c r="AN7" i="8"/>
  <c r="AP7" i="8" s="1"/>
  <c r="O7" i="13"/>
  <c r="Q7" i="13" s="1"/>
  <c r="AG7" i="6"/>
  <c r="G26" i="11"/>
  <c r="AX26" i="6"/>
  <c r="AU7" i="6"/>
  <c r="AW7" i="6" s="1"/>
  <c r="BG26" i="4"/>
  <c r="BR26" i="4"/>
  <c r="AZ26" i="4"/>
  <c r="AV26" i="4"/>
  <c r="AO27" i="4"/>
  <c r="BT27" i="4"/>
  <c r="BV27" i="4" s="1"/>
  <c r="DR30" i="1"/>
  <c r="DT30" i="1" s="1"/>
  <c r="BZ28" i="1"/>
  <c r="AT28" i="13" s="1"/>
  <c r="AX27" i="4"/>
  <c r="AX7" i="4" s="1"/>
  <c r="BI27" i="4"/>
  <c r="BG27" i="4" s="1"/>
  <c r="CB27" i="1"/>
  <c r="FH29" i="1"/>
  <c r="EL27" i="1"/>
  <c r="EN27" i="1" s="1"/>
  <c r="AT27" i="13"/>
  <c r="AV27" i="13" s="1"/>
  <c r="AC27" i="13"/>
  <c r="AC7" i="13" s="1"/>
  <c r="AE7" i="13" s="1"/>
  <c r="BL27" i="13"/>
  <c r="BN27" i="13" s="1"/>
  <c r="CX27" i="1"/>
  <c r="CZ27" i="1" s="1"/>
  <c r="CT30" i="1"/>
  <c r="BE32" i="1"/>
  <c r="BG32" i="1" s="1"/>
  <c r="AB29" i="13"/>
  <c r="AE29" i="13" s="1"/>
  <c r="AU28" i="13"/>
  <c r="DQ31" i="1"/>
  <c r="DS31" i="1" s="1"/>
  <c r="BK29" i="13"/>
  <c r="BM29" i="13" s="1"/>
  <c r="EM28" i="1"/>
  <c r="BG31" i="1"/>
  <c r="BH29" i="4"/>
  <c r="BJ29" i="4" s="1"/>
  <c r="CY28" i="1"/>
  <c r="AL29" i="4"/>
  <c r="AN29" i="4" s="1"/>
  <c r="BS29" i="4"/>
  <c r="BQ29" i="4" s="1"/>
  <c r="AW29" i="4"/>
  <c r="AS29" i="13"/>
  <c r="AU29" i="13" s="1"/>
  <c r="AN28" i="4"/>
  <c r="AD28" i="13"/>
  <c r="AU27" i="4"/>
  <c r="AU7" i="4" s="1"/>
  <c r="BJ28" i="4"/>
  <c r="BM28" i="13"/>
  <c r="CS31" i="1"/>
  <c r="CU31" i="1" s="1"/>
  <c r="CV31" i="1" s="1"/>
  <c r="BF31" i="1"/>
  <c r="DR31" i="1" s="1"/>
  <c r="BU28" i="4"/>
  <c r="AY27" i="4"/>
  <c r="BJ27" i="4"/>
  <c r="FM28" i="1"/>
  <c r="BU27" i="4"/>
  <c r="AU28" i="4"/>
  <c r="BF28" i="4"/>
  <c r="AY28" i="4"/>
  <c r="GH32" i="1"/>
  <c r="GJ32" i="1" s="1"/>
  <c r="U37" i="1"/>
  <c r="AL27" i="9"/>
  <c r="AO27" i="9" s="1"/>
  <c r="AQ27" i="9"/>
  <c r="AS27" i="9" s="1"/>
  <c r="AZ27" i="9"/>
  <c r="BD27" i="9" s="1"/>
  <c r="AI27" i="9"/>
  <c r="FN26" i="1"/>
  <c r="BI25" i="9"/>
  <c r="BK25" i="9" s="1"/>
  <c r="GF27" i="1"/>
  <c r="GR27" i="1"/>
  <c r="BE25" i="9"/>
  <c r="BE12" i="9" s="1"/>
  <c r="FP26" i="1"/>
  <c r="BA12" i="9"/>
  <c r="BE27" i="8"/>
  <c r="BG27" i="8" s="1"/>
  <c r="AI25" i="13"/>
  <c r="CK25" i="9"/>
  <c r="AN12" i="9"/>
  <c r="BC27" i="8"/>
  <c r="AU26" i="8"/>
  <c r="AU25" i="8"/>
  <c r="AP25" i="9"/>
  <c r="E25" i="11"/>
  <c r="BG26" i="6"/>
  <c r="CI12" i="9"/>
  <c r="AA26" i="6"/>
  <c r="BQ25" i="8"/>
  <c r="S27" i="13"/>
  <c r="D27" i="11" s="1"/>
  <c r="AR27" i="8"/>
  <c r="AT27" i="8" s="1"/>
  <c r="BT27" i="13"/>
  <c r="BX27" i="13" s="1"/>
  <c r="P28" i="4"/>
  <c r="DA29" i="6"/>
  <c r="DC29" i="6" s="1"/>
  <c r="DJ29" i="6"/>
  <c r="DL29" i="6" s="1"/>
  <c r="EU28" i="1"/>
  <c r="CR29" i="6"/>
  <c r="CT29" i="6" s="1"/>
  <c r="BD27" i="8"/>
  <c r="BF26" i="8"/>
  <c r="BX27" i="9"/>
  <c r="AN28" i="8"/>
  <c r="O28" i="13"/>
  <c r="Q28" i="13" s="1"/>
  <c r="CI30" i="1"/>
  <c r="AE28" i="8"/>
  <c r="AF27" i="13"/>
  <c r="AH27" i="13" s="1"/>
  <c r="BO26" i="8"/>
  <c r="BQ26" i="8" s="1"/>
  <c r="CI29" i="1"/>
  <c r="GC28" i="1"/>
  <c r="GE28" i="1" s="1"/>
  <c r="BQ29" i="6"/>
  <c r="BS29" i="6" s="1"/>
  <c r="BU28" i="9"/>
  <c r="BW28" i="9" s="1"/>
  <c r="AA28" i="8"/>
  <c r="AC28" i="8" s="1"/>
  <c r="P28" i="8"/>
  <c r="AN26" i="9"/>
  <c r="AP26" i="9" s="1"/>
  <c r="CI29" i="6"/>
  <c r="CK29" i="6" s="1"/>
  <c r="T29" i="6"/>
  <c r="X29" i="6" s="1"/>
  <c r="CL28" i="9"/>
  <c r="FO28" i="1"/>
  <c r="EI28" i="1"/>
  <c r="BA26" i="9"/>
  <c r="BC26" i="9" s="1"/>
  <c r="BA28" i="8"/>
  <c r="CJ28" i="1"/>
  <c r="CJ28" i="6"/>
  <c r="CL28" i="6" s="1"/>
  <c r="GO28" i="1"/>
  <c r="GQ28" i="1" s="1"/>
  <c r="X28" i="9"/>
  <c r="AI28" i="9"/>
  <c r="DB28" i="6"/>
  <c r="DD28" i="6" s="1"/>
  <c r="Q28" i="9"/>
  <c r="CH28" i="9"/>
  <c r="CJ28" i="9" s="1"/>
  <c r="DV28" i="1"/>
  <c r="AN28" i="6" s="1"/>
  <c r="CA28" i="6"/>
  <c r="CC28" i="6" s="1"/>
  <c r="CP29" i="1"/>
  <c r="CR29" i="1" s="1"/>
  <c r="AH29" i="6"/>
  <c r="AM29" i="6" s="1"/>
  <c r="AA27" i="9"/>
  <c r="BU26" i="13"/>
  <c r="EA28" i="1"/>
  <c r="T26" i="13"/>
  <c r="BY26" i="13" s="1"/>
  <c r="AG26" i="13"/>
  <c r="AI26" i="13" s="1"/>
  <c r="R27" i="13"/>
  <c r="FS28" i="1"/>
  <c r="FQ28" i="1"/>
  <c r="DU29" i="1"/>
  <c r="DW29" i="1" s="1"/>
  <c r="EH27" i="1"/>
  <c r="DT27" i="6"/>
  <c r="DV27" i="6" s="1"/>
  <c r="ET27" i="1"/>
  <c r="EV27" i="1" s="1"/>
  <c r="AR27" i="9"/>
  <c r="BU25" i="8"/>
  <c r="CI26" i="9"/>
  <c r="CO27" i="9" s="1"/>
  <c r="AR26" i="9"/>
  <c r="AD27" i="8"/>
  <c r="AS38" i="1"/>
  <c r="AT38" i="1"/>
  <c r="CD29" i="9"/>
  <c r="CF29" i="9" s="1"/>
  <c r="BQ29" i="9"/>
  <c r="BS29" i="9" s="1"/>
  <c r="DU28" i="6"/>
  <c r="EC29" i="1"/>
  <c r="EE29" i="1" s="1"/>
  <c r="EK29" i="1"/>
  <c r="EM29" i="1" s="1"/>
  <c r="ED28" i="1"/>
  <c r="EF28" i="1" s="1"/>
  <c r="GK29" i="1"/>
  <c r="GM29" i="1" s="1"/>
  <c r="N29" i="4"/>
  <c r="P29" i="4" s="1"/>
  <c r="CB29" i="6"/>
  <c r="I14" i="17" s="1"/>
  <c r="X29" i="4"/>
  <c r="Z29" i="4" s="1"/>
  <c r="W29" i="8"/>
  <c r="AE29" i="8" s="1"/>
  <c r="N29" i="8"/>
  <c r="P29" i="8" s="1"/>
  <c r="CW29" i="1"/>
  <c r="CY29" i="1" s="1"/>
  <c r="O29" i="9"/>
  <c r="X29" i="9" s="1"/>
  <c r="FF29" i="1"/>
  <c r="EA27" i="1"/>
  <c r="AK27" i="9"/>
  <c r="AB10" i="17"/>
  <c r="CD29" i="1"/>
  <c r="CF29" i="1" s="1"/>
  <c r="BJ27" i="6"/>
  <c r="AI28" i="6"/>
  <c r="BE28" i="6" s="1"/>
  <c r="AP38" i="1"/>
  <c r="GU34" i="1"/>
  <c r="DK28" i="6"/>
  <c r="DM28" i="6" s="1"/>
  <c r="AR38" i="1"/>
  <c r="BR28" i="6"/>
  <c r="BT28" i="6" s="1"/>
  <c r="CS28" i="6"/>
  <c r="CU28" i="6" s="1"/>
  <c r="AQ38" i="1"/>
  <c r="Q10" i="17"/>
  <c r="O10" i="17" s="1"/>
  <c r="GV33" i="1"/>
  <c r="EU27" i="1"/>
  <c r="FE30" i="1"/>
  <c r="FI30" i="1"/>
  <c r="CK29" i="1"/>
  <c r="FA29" i="1" s="1"/>
  <c r="FC29" i="1" s="1"/>
  <c r="FB27" i="1"/>
  <c r="FD27" i="1" s="1"/>
  <c r="CN27" i="1"/>
  <c r="FG30" i="1"/>
  <c r="FC28" i="1"/>
  <c r="BP30" i="1"/>
  <c r="DU27" i="6"/>
  <c r="U29" i="6"/>
  <c r="W29" i="6" s="1"/>
  <c r="DK29" i="6"/>
  <c r="CJ29" i="6"/>
  <c r="BR29" i="6"/>
  <c r="CS29" i="6"/>
  <c r="AI29" i="6"/>
  <c r="CA29" i="6"/>
  <c r="DB29" i="6"/>
  <c r="CJ29" i="1"/>
  <c r="GZ30" i="1"/>
  <c r="BM32" i="1"/>
  <c r="DA31" i="1"/>
  <c r="DC31" i="1" s="1"/>
  <c r="BN31" i="1"/>
  <c r="BP31" i="1" s="1"/>
  <c r="AS27" i="8"/>
  <c r="AU27" i="8" s="1"/>
  <c r="EP30" i="1"/>
  <c r="ER30" i="1" s="1"/>
  <c r="DN30" i="1"/>
  <c r="DP30" i="1" s="1"/>
  <c r="DF30" i="1"/>
  <c r="FL30" i="1" s="1"/>
  <c r="BO31" i="1"/>
  <c r="DJ31" i="1"/>
  <c r="FO27" i="1"/>
  <c r="AU38" i="1"/>
  <c r="AS26" i="9"/>
  <c r="Y27" i="6"/>
  <c r="Y7" i="6" s="1"/>
  <c r="AA7" i="6" s="1"/>
  <c r="AN27" i="6"/>
  <c r="AN7" i="6" s="1"/>
  <c r="AP7" i="6" s="1"/>
  <c r="DX27" i="1"/>
  <c r="BP27" i="8"/>
  <c r="BR26" i="8"/>
  <c r="BP26" i="8"/>
  <c r="FM27" i="1"/>
  <c r="BU33" i="1"/>
  <c r="CO31" i="1" s="1"/>
  <c r="DI32" i="1"/>
  <c r="DK32" i="1" s="1"/>
  <c r="BV32" i="1"/>
  <c r="BX32" i="1" s="1"/>
  <c r="DT28" i="6"/>
  <c r="ET28" i="1"/>
  <c r="DZ28" i="1"/>
  <c r="BE27" i="6"/>
  <c r="BE7" i="6" s="1"/>
  <c r="BI27" i="6"/>
  <c r="AV27" i="6"/>
  <c r="AV7" i="6" s="1"/>
  <c r="AX7" i="6" s="1"/>
  <c r="AL27" i="6"/>
  <c r="DG30" i="1"/>
  <c r="BR27" i="8"/>
  <c r="GD28" i="1"/>
  <c r="GF28" i="1" s="1"/>
  <c r="GP28" i="1"/>
  <c r="GR28" i="1" s="1"/>
  <c r="BT27" i="6"/>
  <c r="CB28" i="6"/>
  <c r="U38" i="1"/>
  <c r="DM27" i="6"/>
  <c r="BG26" i="8"/>
  <c r="AB28" i="8"/>
  <c r="AD28" i="8" s="1"/>
  <c r="BB28" i="8"/>
  <c r="BD28" i="8" s="1"/>
  <c r="V38" i="1"/>
  <c r="W28" i="6"/>
  <c r="W27" i="6"/>
  <c r="FB28" i="1"/>
  <c r="I12" i="17"/>
  <c r="Y10" i="17" s="1"/>
  <c r="I29" i="17"/>
  <c r="AO28" i="8"/>
  <c r="AQ28" i="8" s="1"/>
  <c r="P28" i="13"/>
  <c r="R28" i="13" s="1"/>
  <c r="CL27" i="6"/>
  <c r="DD27" i="6"/>
  <c r="AF28" i="8"/>
  <c r="BF27" i="8"/>
  <c r="BO27" i="8"/>
  <c r="CM28" i="9"/>
  <c r="CU27" i="6"/>
  <c r="AO26" i="9"/>
  <c r="CK28" i="6"/>
  <c r="AU28" i="6"/>
  <c r="AW28" i="6" s="1"/>
  <c r="BD28" i="6"/>
  <c r="BJ28" i="6" s="1"/>
  <c r="AG28" i="6"/>
  <c r="AM28" i="6"/>
  <c r="FJ29" i="1"/>
  <c r="A40" i="1"/>
  <c r="Z39" i="1"/>
  <c r="AL39" i="1" s="1"/>
  <c r="AI39" i="1"/>
  <c r="AE39" i="1"/>
  <c r="AC39" i="1"/>
  <c r="AO39" i="1" s="1"/>
  <c r="Y39" i="1"/>
  <c r="AK39" i="1" s="1"/>
  <c r="X39" i="1"/>
  <c r="AJ39" i="1" s="1"/>
  <c r="AF39" i="1"/>
  <c r="AG39" i="1"/>
  <c r="AD39" i="1"/>
  <c r="AA39" i="1"/>
  <c r="AM39" i="1" s="1"/>
  <c r="AH39" i="1"/>
  <c r="AB39" i="1"/>
  <c r="AN39" i="1" s="1"/>
  <c r="B39" i="1"/>
  <c r="D39" i="1"/>
  <c r="C39" i="1"/>
  <c r="W39" i="1" s="1"/>
  <c r="DL30" i="1"/>
  <c r="CC27" i="6"/>
  <c r="Z28" i="8"/>
  <c r="X28" i="6"/>
  <c r="Z28" i="6" s="1"/>
  <c r="BT30" i="1"/>
  <c r="CC30" i="1"/>
  <c r="DU30" i="1" s="1"/>
  <c r="CG28" i="9"/>
  <c r="BV28" i="9"/>
  <c r="E38" i="1"/>
  <c r="DC30" i="1"/>
  <c r="CT28" i="6"/>
  <c r="F27" i="11"/>
  <c r="Z27" i="6"/>
  <c r="FZ32" i="1"/>
  <c r="GB32" i="1" s="1"/>
  <c r="BD26" i="9"/>
  <c r="BB26" i="9"/>
  <c r="BH26" i="9"/>
  <c r="V28" i="6"/>
  <c r="CN28" i="1"/>
  <c r="AT26" i="8"/>
  <c r="BA27" i="9"/>
  <c r="AN27" i="9"/>
  <c r="AZ28" i="9"/>
  <c r="AL28" i="9"/>
  <c r="Y28" i="9"/>
  <c r="AH28" i="9"/>
  <c r="DP29" i="1"/>
  <c r="BI34" i="1"/>
  <c r="CC31" i="1" s="1"/>
  <c r="BJ33" i="1"/>
  <c r="BL33" i="1" s="1"/>
  <c r="FY33" i="1"/>
  <c r="DW28" i="1"/>
  <c r="D26" i="11"/>
  <c r="U26" i="13"/>
  <c r="V26" i="13"/>
  <c r="R28" i="9"/>
  <c r="FR27" i="1"/>
  <c r="AO27" i="6"/>
  <c r="EX30" i="1"/>
  <c r="FT27" i="1"/>
  <c r="CJ27" i="9"/>
  <c r="CN27" i="9"/>
  <c r="CJ26" i="9"/>
  <c r="CN26" i="9"/>
  <c r="GT34" i="1"/>
  <c r="GV34" i="1" s="1"/>
  <c r="GS35" i="1"/>
  <c r="BT28" i="9"/>
  <c r="FS27" i="1"/>
  <c r="AH26" i="13"/>
  <c r="AJ28" i="6"/>
  <c r="G13" i="17" s="1"/>
  <c r="AA11" i="17" s="1"/>
  <c r="EI27" i="1"/>
  <c r="FQ27" i="1"/>
  <c r="AQ28" i="9"/>
  <c r="CO30" i="1"/>
  <c r="CI30" i="6"/>
  <c r="AH30" i="6"/>
  <c r="DA30" i="6"/>
  <c r="BZ30" i="6"/>
  <c r="T30" i="6"/>
  <c r="BQ30" i="6"/>
  <c r="DJ30" i="6"/>
  <c r="CR30" i="6"/>
  <c r="DB30" i="1"/>
  <c r="DD30" i="1" s="1"/>
  <c r="BQ32" i="1"/>
  <c r="BS32" i="1" s="1"/>
  <c r="EO31" i="1"/>
  <c r="EQ31" i="1" s="1"/>
  <c r="BR31" i="1"/>
  <c r="CL29" i="1" s="1"/>
  <c r="DM31" i="1"/>
  <c r="DE31" i="1"/>
  <c r="DG31" i="1" s="1"/>
  <c r="BU24" i="8"/>
  <c r="DH29" i="1"/>
  <c r="W11" i="17"/>
  <c r="Q11" i="17"/>
  <c r="BX26" i="13"/>
  <c r="BV26" i="13"/>
  <c r="BH27" i="6"/>
  <c r="BH7" i="6" s="1"/>
  <c r="BU27" i="13"/>
  <c r="AG27" i="13"/>
  <c r="T27" i="13"/>
  <c r="EW31" i="1"/>
  <c r="AK202" i="23"/>
  <c r="AJ202" i="23"/>
  <c r="AI202" i="23"/>
  <c r="AH202" i="23"/>
  <c r="AG202" i="23"/>
  <c r="AW39" i="1"/>
  <c r="AX39" i="1"/>
  <c r="AZ39" i="1"/>
  <c r="AY39" i="1"/>
  <c r="BB39" i="1"/>
  <c r="AV39" i="1"/>
  <c r="O38" i="1"/>
  <c r="R38" i="1"/>
  <c r="I38" i="1"/>
  <c r="F38" i="1"/>
  <c r="N38" i="1"/>
  <c r="M38" i="1"/>
  <c r="G38" i="1"/>
  <c r="L38" i="1"/>
  <c r="P38" i="1"/>
  <c r="J38" i="1"/>
  <c r="S38" i="1"/>
  <c r="K38" i="1"/>
  <c r="H38" i="1"/>
  <c r="Q38" i="1"/>
  <c r="T38" i="1"/>
  <c r="BA39" i="1"/>
  <c r="BC39" i="1"/>
  <c r="FX36" i="1" l="1"/>
  <c r="FW37" i="1"/>
  <c r="FV37" i="1"/>
  <c r="GH34" i="1" s="1"/>
  <c r="GJ34" i="1" s="1"/>
  <c r="AY7" i="4"/>
  <c r="BQ8" i="6"/>
  <c r="BS8" i="6" s="1"/>
  <c r="BD7" i="9"/>
  <c r="BF7" i="9" s="1"/>
  <c r="BR7" i="8"/>
  <c r="BT7" i="8" s="1"/>
  <c r="DJ8" i="6"/>
  <c r="DL8" i="6" s="1"/>
  <c r="BA7" i="9"/>
  <c r="BC7" i="9" s="1"/>
  <c r="AT7" i="13"/>
  <c r="AV7" i="13" s="1"/>
  <c r="AL7" i="9"/>
  <c r="AO7" i="9" s="1"/>
  <c r="CI7" i="9"/>
  <c r="CK7" i="9" s="1"/>
  <c r="T7" i="13"/>
  <c r="V7" i="13" s="1"/>
  <c r="BG7" i="6"/>
  <c r="BK7" i="6"/>
  <c r="BI7" i="4"/>
  <c r="DT7" i="6"/>
  <c r="DV7" i="6" s="1"/>
  <c r="BW26" i="13"/>
  <c r="BU7" i="13"/>
  <c r="BW7" i="13" s="1"/>
  <c r="BT7" i="13"/>
  <c r="BV7" i="13" s="1"/>
  <c r="BG7" i="4"/>
  <c r="BT7" i="4"/>
  <c r="BV7" i="4" s="1"/>
  <c r="BH26" i="8"/>
  <c r="BF7" i="8"/>
  <c r="BH7" i="8" s="1"/>
  <c r="AS7" i="8"/>
  <c r="AU7" i="8" s="1"/>
  <c r="S7" i="13"/>
  <c r="U7" i="13" s="1"/>
  <c r="BO7" i="8"/>
  <c r="BQ7" i="8" s="1"/>
  <c r="AN7" i="9"/>
  <c r="AP7" i="9" s="1"/>
  <c r="AG7" i="13"/>
  <c r="AI7" i="13" s="1"/>
  <c r="AT26" i="9"/>
  <c r="AR7" i="9"/>
  <c r="AT7" i="9" s="1"/>
  <c r="AR7" i="8"/>
  <c r="AT7" i="8" s="1"/>
  <c r="BX7" i="13"/>
  <c r="BZ7" i="13" s="1"/>
  <c r="BJ7" i="6"/>
  <c r="BF7" i="6"/>
  <c r="BL7" i="13"/>
  <c r="BN7" i="13" s="1"/>
  <c r="BR27" i="4"/>
  <c r="BR7" i="4" s="1"/>
  <c r="BL28" i="13"/>
  <c r="BN28" i="13" s="1"/>
  <c r="EH28" i="1"/>
  <c r="EJ28" i="1" s="1"/>
  <c r="BI28" i="4"/>
  <c r="DT31" i="1"/>
  <c r="CB28" i="1"/>
  <c r="CX28" i="1"/>
  <c r="CZ28" i="1" s="1"/>
  <c r="FE31" i="1"/>
  <c r="AX28" i="4"/>
  <c r="AM28" i="4"/>
  <c r="BT28" i="4"/>
  <c r="BV28" i="4" s="1"/>
  <c r="AC28" i="13"/>
  <c r="EL28" i="1"/>
  <c r="EN28" i="1" s="1"/>
  <c r="AZ27" i="4"/>
  <c r="AV27" i="4"/>
  <c r="AV7" i="4" s="1"/>
  <c r="BK27" i="4"/>
  <c r="AD29" i="13"/>
  <c r="FN27" i="1"/>
  <c r="AY29" i="4"/>
  <c r="AU29" i="4"/>
  <c r="BF29" i="4"/>
  <c r="DQ32" i="1"/>
  <c r="DS32" i="1" s="1"/>
  <c r="BY30" i="1"/>
  <c r="BS30" i="4" s="1"/>
  <c r="BS8" i="4" s="1"/>
  <c r="BU8" i="4" s="1"/>
  <c r="CS32" i="1"/>
  <c r="CU32" i="1" s="1"/>
  <c r="CV32" i="1" s="1"/>
  <c r="BF32" i="1"/>
  <c r="DR32" i="1" s="1"/>
  <c r="DT32" i="1" s="1"/>
  <c r="BE33" i="1"/>
  <c r="BY31" i="1" s="1"/>
  <c r="BH31" i="4" s="1"/>
  <c r="BU29" i="4"/>
  <c r="CT31" i="1"/>
  <c r="BZ29" i="1"/>
  <c r="CB29" i="1" s="1"/>
  <c r="BH31" i="1"/>
  <c r="GJ33" i="1"/>
  <c r="FU38" i="1"/>
  <c r="GG35" i="1" s="1"/>
  <c r="GI35" i="1" s="1"/>
  <c r="AS28" i="9"/>
  <c r="BB27" i="9"/>
  <c r="BH27" i="9"/>
  <c r="BJ27" i="9" s="1"/>
  <c r="BI12" i="9"/>
  <c r="BG25" i="9"/>
  <c r="BN28" i="8"/>
  <c r="BP28" i="8" s="1"/>
  <c r="V27" i="13"/>
  <c r="U27" i="13"/>
  <c r="DC30" i="6"/>
  <c r="BV27" i="13"/>
  <c r="AF28" i="13"/>
  <c r="AH28" i="13" s="1"/>
  <c r="S28" i="13"/>
  <c r="V28" i="13" s="1"/>
  <c r="V29" i="6"/>
  <c r="BT28" i="13"/>
  <c r="BV28" i="13" s="1"/>
  <c r="GO29" i="1"/>
  <c r="GQ29" i="1" s="1"/>
  <c r="BH27" i="8"/>
  <c r="BE28" i="8"/>
  <c r="AR28" i="8"/>
  <c r="AT28" i="8" s="1"/>
  <c r="AG28" i="8"/>
  <c r="CK27" i="9"/>
  <c r="AP27" i="9"/>
  <c r="BI26" i="9"/>
  <c r="BK26" i="9" s="1"/>
  <c r="BQ27" i="8"/>
  <c r="BS26" i="8"/>
  <c r="GC29" i="1"/>
  <c r="GE29" i="1" s="1"/>
  <c r="CK30" i="6"/>
  <c r="AG29" i="8"/>
  <c r="AJ30" i="6"/>
  <c r="G15" i="17" s="1"/>
  <c r="W14" i="17" s="1"/>
  <c r="Y14" i="17" s="1"/>
  <c r="DY29" i="1"/>
  <c r="EA29" i="1" s="1"/>
  <c r="BE26" i="9"/>
  <c r="BG26" i="9" s="1"/>
  <c r="CN28" i="9"/>
  <c r="BC27" i="9"/>
  <c r="AP28" i="8"/>
  <c r="BW27" i="13"/>
  <c r="DS29" i="6"/>
  <c r="Y28" i="6"/>
  <c r="DX28" i="1"/>
  <c r="Z28" i="9"/>
  <c r="Z29" i="9"/>
  <c r="AJ29" i="6"/>
  <c r="G14" i="17" s="1"/>
  <c r="AA12" i="17" s="1"/>
  <c r="BC28" i="8"/>
  <c r="Q29" i="9"/>
  <c r="FH30" i="1"/>
  <c r="DD29" i="6"/>
  <c r="AG29" i="6"/>
  <c r="J14" i="17" s="1"/>
  <c r="AI27" i="13"/>
  <c r="FF30" i="1"/>
  <c r="AU29" i="6"/>
  <c r="AW29" i="6" s="1"/>
  <c r="BD29" i="6"/>
  <c r="BJ29" i="6" s="1"/>
  <c r="EG29" i="1"/>
  <c r="EI29" i="1" s="1"/>
  <c r="CH30" i="1"/>
  <c r="CJ30" i="6" s="1"/>
  <c r="CL30" i="6" s="1"/>
  <c r="E26" i="11"/>
  <c r="FP27" i="1"/>
  <c r="ED29" i="1"/>
  <c r="EF29" i="1" s="1"/>
  <c r="O29" i="4"/>
  <c r="EV28" i="1"/>
  <c r="AT27" i="9"/>
  <c r="EJ27" i="1"/>
  <c r="F29" i="11"/>
  <c r="P29" i="9"/>
  <c r="R29" i="9" s="1"/>
  <c r="GL29" i="1"/>
  <c r="GN29" i="1" s="1"/>
  <c r="DM29" i="6"/>
  <c r="DV28" i="6"/>
  <c r="FT28" i="1"/>
  <c r="S10" i="17"/>
  <c r="U10" i="17" s="1"/>
  <c r="CU29" i="6"/>
  <c r="CL29" i="9"/>
  <c r="O29" i="13"/>
  <c r="Q29" i="13" s="1"/>
  <c r="AN29" i="8"/>
  <c r="AP29" i="8" s="1"/>
  <c r="BA29" i="8"/>
  <c r="BC29" i="8" s="1"/>
  <c r="CK26" i="9"/>
  <c r="CO26" i="9"/>
  <c r="BU29" i="9"/>
  <c r="BW29" i="9" s="1"/>
  <c r="BF28" i="6"/>
  <c r="I31" i="17"/>
  <c r="AO29" i="6"/>
  <c r="Y29" i="8"/>
  <c r="AG29" i="9"/>
  <c r="FR28" i="1"/>
  <c r="AA29" i="8"/>
  <c r="AC29" i="8" s="1"/>
  <c r="BI28" i="6"/>
  <c r="AL28" i="6"/>
  <c r="AV28" i="6"/>
  <c r="AX28" i="6" s="1"/>
  <c r="Y29" i="4"/>
  <c r="X29" i="8"/>
  <c r="AF29" i="8" s="1"/>
  <c r="AH29" i="8" s="1"/>
  <c r="O29" i="8"/>
  <c r="CE29" i="9"/>
  <c r="CG29" i="9" s="1"/>
  <c r="BR29" i="9"/>
  <c r="BT29" i="6"/>
  <c r="EB28" i="1"/>
  <c r="AO28" i="6"/>
  <c r="DV29" i="1"/>
  <c r="DX29" i="1" s="1"/>
  <c r="DH30" i="1"/>
  <c r="BB28" i="9"/>
  <c r="CM29" i="1"/>
  <c r="ES29" i="1"/>
  <c r="EU29" i="1" s="1"/>
  <c r="AQ39" i="1"/>
  <c r="AO28" i="9"/>
  <c r="AS39" i="1"/>
  <c r="BW33" i="1"/>
  <c r="U39" i="1"/>
  <c r="AU39" i="1"/>
  <c r="FK31" i="1"/>
  <c r="FI31" i="1"/>
  <c r="BK34" i="1"/>
  <c r="AR39" i="1"/>
  <c r="FJ30" i="1"/>
  <c r="AT39" i="1"/>
  <c r="DO31" i="1"/>
  <c r="AP39" i="1"/>
  <c r="EC31" i="1"/>
  <c r="DT29" i="6"/>
  <c r="DV29" i="6" s="1"/>
  <c r="DZ29" i="1"/>
  <c r="EB29" i="1" s="1"/>
  <c r="ET29" i="1"/>
  <c r="EV29" i="1" s="1"/>
  <c r="FB29" i="1"/>
  <c r="FD29" i="1" s="1"/>
  <c r="CN29" i="1"/>
  <c r="CD31" i="9"/>
  <c r="BQ31" i="9"/>
  <c r="O31" i="9"/>
  <c r="N31" i="8"/>
  <c r="W31" i="8"/>
  <c r="AE31" i="8" s="1"/>
  <c r="X31" i="4"/>
  <c r="N31" i="4"/>
  <c r="GK31" i="1"/>
  <c r="GT35" i="1"/>
  <c r="GV35" i="1" s="1"/>
  <c r="GS36" i="1"/>
  <c r="GW33" i="1" s="1"/>
  <c r="BQ33" i="1"/>
  <c r="BS33" i="1" s="1"/>
  <c r="DM32" i="1"/>
  <c r="DE32" i="1"/>
  <c r="FI32" i="1" s="1"/>
  <c r="EO32" i="1"/>
  <c r="EQ32" i="1" s="1"/>
  <c r="BR32" i="1"/>
  <c r="EX32" i="1" s="1"/>
  <c r="BH28" i="6"/>
  <c r="BT27" i="8"/>
  <c r="BT26" i="8"/>
  <c r="BT31" i="1"/>
  <c r="DB31" i="1"/>
  <c r="DD31" i="1" s="1"/>
  <c r="CP30" i="1"/>
  <c r="FG31" i="1"/>
  <c r="BI29" i="6"/>
  <c r="AV29" i="6"/>
  <c r="BE29" i="6"/>
  <c r="BK29" i="6" s="1"/>
  <c r="AX27" i="6"/>
  <c r="EX31" i="1"/>
  <c r="EZ31" i="1" s="1"/>
  <c r="BM33" i="1"/>
  <c r="DA32" i="1"/>
  <c r="DC32" i="1" s="1"/>
  <c r="BN32" i="1"/>
  <c r="BP32" i="1" s="1"/>
  <c r="EY31" i="1"/>
  <c r="BO32" i="1"/>
  <c r="E27" i="11"/>
  <c r="BY27" i="13"/>
  <c r="BY7" i="13" s="1"/>
  <c r="CA7" i="13" s="1"/>
  <c r="BQ30" i="9"/>
  <c r="O30" i="9"/>
  <c r="CD30" i="9"/>
  <c r="AM30" i="6"/>
  <c r="AO30" i="6" s="1"/>
  <c r="X30" i="6"/>
  <c r="X8" i="6" s="1"/>
  <c r="Z8" i="6" s="1"/>
  <c r="N30" i="8"/>
  <c r="N8" i="8" s="1"/>
  <c r="P8" i="8" s="1"/>
  <c r="W30" i="8"/>
  <c r="AE30" i="8" s="1"/>
  <c r="AE8" i="8" s="1"/>
  <c r="AG8" i="8" s="1"/>
  <c r="N30" i="4"/>
  <c r="N8" i="4" s="1"/>
  <c r="P8" i="4" s="1"/>
  <c r="X30" i="4"/>
  <c r="X8" i="4" s="1"/>
  <c r="Z8" i="4" s="1"/>
  <c r="CE31" i="1"/>
  <c r="GK30" i="1"/>
  <c r="CE30" i="1"/>
  <c r="BK28" i="6"/>
  <c r="BG28" i="6"/>
  <c r="BG27" i="6"/>
  <c r="BK27" i="6"/>
  <c r="CA27" i="13"/>
  <c r="BZ27" i="13"/>
  <c r="CA26" i="13"/>
  <c r="BZ26" i="13"/>
  <c r="S11" i="17"/>
  <c r="U11" i="17" s="1"/>
  <c r="O11" i="17"/>
  <c r="BX28" i="9"/>
  <c r="V39" i="1"/>
  <c r="BS27" i="8"/>
  <c r="GW32" i="1"/>
  <c r="AP28" i="6"/>
  <c r="AP27" i="6"/>
  <c r="G27" i="11"/>
  <c r="AA27" i="6"/>
  <c r="CL29" i="6"/>
  <c r="AV28" i="13"/>
  <c r="BJ26" i="9"/>
  <c r="GU35" i="1"/>
  <c r="CC29" i="6"/>
  <c r="Z29" i="6"/>
  <c r="F28" i="11"/>
  <c r="DJ32" i="1"/>
  <c r="DL32" i="1" s="1"/>
  <c r="BA28" i="9"/>
  <c r="BC28" i="9" s="1"/>
  <c r="AN28" i="9"/>
  <c r="AP28" i="9" s="1"/>
  <c r="AR28" i="9"/>
  <c r="EW32" i="1"/>
  <c r="FD28" i="1"/>
  <c r="EZ30" i="1"/>
  <c r="A41" i="1"/>
  <c r="Z40" i="1"/>
  <c r="AL40" i="1" s="1"/>
  <c r="Y40" i="1"/>
  <c r="AK40" i="1" s="1"/>
  <c r="AI40" i="1"/>
  <c r="AD40" i="1"/>
  <c r="X40" i="1"/>
  <c r="AJ40" i="1" s="1"/>
  <c r="AF40" i="1"/>
  <c r="AC40" i="1"/>
  <c r="AO40" i="1" s="1"/>
  <c r="AH40" i="1"/>
  <c r="AE40" i="1"/>
  <c r="AG40" i="1"/>
  <c r="AA40" i="1"/>
  <c r="AM40" i="1" s="1"/>
  <c r="AB40" i="1"/>
  <c r="AN40" i="1" s="1"/>
  <c r="C40" i="1"/>
  <c r="W40" i="1" s="1"/>
  <c r="D40" i="1"/>
  <c r="B40" i="1"/>
  <c r="BU34" i="1"/>
  <c r="BW34" i="1" s="1"/>
  <c r="BV33" i="1"/>
  <c r="DI33" i="1"/>
  <c r="AA28" i="9"/>
  <c r="E39" i="1"/>
  <c r="BD30" i="6"/>
  <c r="AU30" i="6"/>
  <c r="AG30" i="6"/>
  <c r="J15" i="17" s="1"/>
  <c r="FZ33" i="1"/>
  <c r="GB33" i="1" s="1"/>
  <c r="BU28" i="13"/>
  <c r="AG28" i="13"/>
  <c r="T28" i="13"/>
  <c r="AL29" i="6"/>
  <c r="GX31" i="1"/>
  <c r="CK30" i="1"/>
  <c r="FA30" i="1" s="1"/>
  <c r="BD28" i="9"/>
  <c r="BH28" i="9"/>
  <c r="DL31" i="1"/>
  <c r="BI35" i="1"/>
  <c r="BK35" i="1" s="1"/>
  <c r="BJ34" i="1"/>
  <c r="BL34" i="1" s="1"/>
  <c r="FY34" i="1"/>
  <c r="GA34" i="1" s="1"/>
  <c r="GA33" i="1"/>
  <c r="AH28" i="8"/>
  <c r="AS28" i="8"/>
  <c r="AU28" i="8" s="1"/>
  <c r="BF28" i="8"/>
  <c r="BO28" i="8"/>
  <c r="BQ28" i="8" s="1"/>
  <c r="DL30" i="6"/>
  <c r="CB30" i="6"/>
  <c r="CQ31" i="1"/>
  <c r="EC30" i="1"/>
  <c r="CQ30" i="1"/>
  <c r="W12" i="17"/>
  <c r="Y12" i="17" s="1"/>
  <c r="BE27" i="9"/>
  <c r="BI27" i="9"/>
  <c r="BS30" i="6"/>
  <c r="DW30" i="1"/>
  <c r="BF27" i="9"/>
  <c r="BF26" i="9"/>
  <c r="EP31" i="1"/>
  <c r="ER31" i="1" s="1"/>
  <c r="DN31" i="1"/>
  <c r="FF31" i="1" s="1"/>
  <c r="DF31" i="1"/>
  <c r="AK28" i="9"/>
  <c r="CD30" i="1"/>
  <c r="CI28" i="9"/>
  <c r="J13" i="17"/>
  <c r="AB11" i="17" s="1"/>
  <c r="V30" i="6"/>
  <c r="I13" i="17"/>
  <c r="Y11" i="17" s="1"/>
  <c r="I30" i="17"/>
  <c r="CT30" i="6"/>
  <c r="CG31" i="1"/>
  <c r="AE202" i="23"/>
  <c r="AD202" i="23"/>
  <c r="AR201" i="23"/>
  <c r="AQ201" i="23"/>
  <c r="AP201" i="23"/>
  <c r="AO201" i="23"/>
  <c r="AN201" i="23"/>
  <c r="AY40" i="1"/>
  <c r="AZ40" i="1"/>
  <c r="AX40" i="1"/>
  <c r="BB40" i="1"/>
  <c r="BC40" i="1"/>
  <c r="BA40" i="1"/>
  <c r="N39" i="1"/>
  <c r="Q39" i="1"/>
  <c r="T39" i="1"/>
  <c r="G39" i="1"/>
  <c r="H39" i="1"/>
  <c r="P39" i="1"/>
  <c r="R39" i="1"/>
  <c r="I39" i="1"/>
  <c r="J39" i="1"/>
  <c r="S39" i="1"/>
  <c r="F39" i="1"/>
  <c r="K39" i="1"/>
  <c r="L39" i="1"/>
  <c r="O39" i="1"/>
  <c r="M39" i="1"/>
  <c r="AV40" i="1"/>
  <c r="AW40" i="1"/>
  <c r="FX37" i="1" l="1"/>
  <c r="BD8" i="6"/>
  <c r="BJ8" i="6" s="1"/>
  <c r="BI7" i="9"/>
  <c r="BK7" i="9" s="1"/>
  <c r="AU8" i="6"/>
  <c r="AW8" i="6" s="1"/>
  <c r="BE7" i="9"/>
  <c r="BG7" i="9" s="1"/>
  <c r="AG8" i="6"/>
  <c r="CJ8" i="6"/>
  <c r="CL8" i="6" s="1"/>
  <c r="DU29" i="6"/>
  <c r="AM8" i="6"/>
  <c r="AO8" i="6" s="1"/>
  <c r="BT29" i="9"/>
  <c r="AO29" i="8"/>
  <c r="AS29" i="8" s="1"/>
  <c r="AB29" i="4"/>
  <c r="R29" i="4"/>
  <c r="BU26" i="8"/>
  <c r="BS7" i="8"/>
  <c r="BU7" i="8" s="1"/>
  <c r="AZ7" i="4"/>
  <c r="BK7" i="4"/>
  <c r="W8" i="8"/>
  <c r="Y8" i="8" s="1"/>
  <c r="AZ29" i="9"/>
  <c r="BD29" i="9" s="1"/>
  <c r="BF29" i="9" s="1"/>
  <c r="AV28" i="4"/>
  <c r="BG28" i="4"/>
  <c r="AZ28" i="4"/>
  <c r="BK28" i="4"/>
  <c r="BR28" i="4"/>
  <c r="FP28" i="1"/>
  <c r="FN28" i="1"/>
  <c r="AO28" i="4"/>
  <c r="CT32" i="1"/>
  <c r="DQ33" i="1"/>
  <c r="DS33" i="1" s="1"/>
  <c r="AB31" i="13"/>
  <c r="BK31" i="13"/>
  <c r="EK31" i="1"/>
  <c r="BH32" i="1"/>
  <c r="BZ30" i="1"/>
  <c r="EL30" i="1" s="1"/>
  <c r="AS31" i="13"/>
  <c r="FG32" i="1"/>
  <c r="CS33" i="1"/>
  <c r="CU33" i="1" s="1"/>
  <c r="CV33" i="1" s="1"/>
  <c r="BF33" i="1"/>
  <c r="BH33" i="1" s="1"/>
  <c r="BE34" i="1"/>
  <c r="BY32" i="1" s="1"/>
  <c r="CA32" i="1" s="1"/>
  <c r="EK30" i="1"/>
  <c r="CA30" i="1"/>
  <c r="CW30" i="1"/>
  <c r="CY30" i="1" s="1"/>
  <c r="BK30" i="13"/>
  <c r="BM30" i="13" s="1"/>
  <c r="AB30" i="13"/>
  <c r="AB8" i="13" s="1"/>
  <c r="AD8" i="13" s="1"/>
  <c r="BG33" i="1"/>
  <c r="AW30" i="4"/>
  <c r="AW8" i="4" s="1"/>
  <c r="BH30" i="4"/>
  <c r="AL30" i="4"/>
  <c r="AL8" i="4" s="1"/>
  <c r="AN8" i="4" s="1"/>
  <c r="AW31" i="4"/>
  <c r="AS30" i="13"/>
  <c r="CW31" i="1"/>
  <c r="AC29" i="13"/>
  <c r="AM29" i="4"/>
  <c r="AO29" i="4" s="1"/>
  <c r="AL31" i="4"/>
  <c r="BS31" i="4"/>
  <c r="BU31" i="4" s="1"/>
  <c r="CA31" i="1"/>
  <c r="BT29" i="4"/>
  <c r="BV29" i="4" s="1"/>
  <c r="AX29" i="4"/>
  <c r="BI29" i="4"/>
  <c r="AZ29" i="4" s="1"/>
  <c r="AT29" i="13"/>
  <c r="AV29" i="13" s="1"/>
  <c r="BL29" i="13"/>
  <c r="BN29" i="13" s="1"/>
  <c r="EH29" i="1"/>
  <c r="EJ29" i="1" s="1"/>
  <c r="EL29" i="1"/>
  <c r="EN29" i="1" s="1"/>
  <c r="CX29" i="1"/>
  <c r="CZ29" i="1" s="1"/>
  <c r="FV38" i="1"/>
  <c r="FX38" i="1" s="1"/>
  <c r="FW38" i="1"/>
  <c r="FU39" i="1"/>
  <c r="FW39" i="1" s="1"/>
  <c r="BJ28" i="9"/>
  <c r="BR28" i="8"/>
  <c r="BT28" i="8" s="1"/>
  <c r="D28" i="11"/>
  <c r="U28" i="13"/>
  <c r="AW30" i="6"/>
  <c r="DV30" i="1"/>
  <c r="AN30" i="6" s="1"/>
  <c r="BG28" i="8"/>
  <c r="FS29" i="1"/>
  <c r="FQ29" i="1"/>
  <c r="BU27" i="8"/>
  <c r="BX28" i="13"/>
  <c r="CA28" i="13" s="1"/>
  <c r="BK27" i="9"/>
  <c r="BJ30" i="6"/>
  <c r="CJ30" i="1"/>
  <c r="BH29" i="6"/>
  <c r="BG27" i="9"/>
  <c r="AA28" i="6"/>
  <c r="FM29" i="1"/>
  <c r="BN29" i="8"/>
  <c r="BP29" i="8" s="1"/>
  <c r="AA14" i="17"/>
  <c r="AB14" i="17" s="1"/>
  <c r="AA13" i="17"/>
  <c r="AB13" i="17" s="1"/>
  <c r="Q14" i="17"/>
  <c r="O14" i="17" s="1"/>
  <c r="W13" i="17"/>
  <c r="G28" i="11"/>
  <c r="BT29" i="13"/>
  <c r="BV29" i="13" s="1"/>
  <c r="AB12" i="17"/>
  <c r="BE29" i="8"/>
  <c r="BG29" i="8" s="1"/>
  <c r="AN29" i="6"/>
  <c r="DB30" i="6"/>
  <c r="Q13" i="17"/>
  <c r="S13" i="17" s="1"/>
  <c r="U13" i="17" s="1"/>
  <c r="AI30" i="6"/>
  <c r="BR30" i="6"/>
  <c r="CA30" i="6"/>
  <c r="FO29" i="1"/>
  <c r="FT29" i="1"/>
  <c r="AF29" i="13"/>
  <c r="AH29" i="13" s="1"/>
  <c r="FR29" i="1"/>
  <c r="CS30" i="6"/>
  <c r="BF29" i="6"/>
  <c r="U30" i="6"/>
  <c r="DK30" i="6"/>
  <c r="AH29" i="9"/>
  <c r="AR29" i="9" s="1"/>
  <c r="AT29" i="9" s="1"/>
  <c r="Y29" i="9"/>
  <c r="AA29" i="9" s="1"/>
  <c r="AL29" i="9"/>
  <c r="GP29" i="1"/>
  <c r="GR29" i="1" s="1"/>
  <c r="P29" i="13"/>
  <c r="R29" i="13" s="1"/>
  <c r="EW33" i="1"/>
  <c r="EY33" i="1" s="1"/>
  <c r="Y29" i="6"/>
  <c r="AA29" i="6" s="1"/>
  <c r="CL30" i="1"/>
  <c r="FB30" i="1" s="1"/>
  <c r="FD30" i="1" s="1"/>
  <c r="BT32" i="1"/>
  <c r="S29" i="13"/>
  <c r="V29" i="13" s="1"/>
  <c r="GD29" i="1"/>
  <c r="GF29" i="1" s="1"/>
  <c r="GX32" i="1"/>
  <c r="GZ32" i="1" s="1"/>
  <c r="DO32" i="1"/>
  <c r="BB29" i="8"/>
  <c r="BD29" i="8" s="1"/>
  <c r="FE32" i="1"/>
  <c r="Q29" i="8"/>
  <c r="BV29" i="9"/>
  <c r="BX29" i="9" s="1"/>
  <c r="AR29" i="8"/>
  <c r="AT29" i="8" s="1"/>
  <c r="AB29" i="8"/>
  <c r="AD29" i="8" s="1"/>
  <c r="AX29" i="6"/>
  <c r="CM29" i="9"/>
  <c r="Z29" i="8"/>
  <c r="CH29" i="9"/>
  <c r="AI29" i="9"/>
  <c r="AQ29" i="9"/>
  <c r="AS29" i="9" s="1"/>
  <c r="AR40" i="1"/>
  <c r="AQ40" i="1"/>
  <c r="CK31" i="1"/>
  <c r="CM31" i="1" s="1"/>
  <c r="BG29" i="6"/>
  <c r="CC32" i="1"/>
  <c r="CE32" i="1" s="1"/>
  <c r="AU40" i="1"/>
  <c r="AT40" i="1"/>
  <c r="FK32" i="1"/>
  <c r="AS40" i="1"/>
  <c r="Q12" i="17"/>
  <c r="S12" i="17" s="1"/>
  <c r="U12" i="17" s="1"/>
  <c r="BF28" i="9"/>
  <c r="V40" i="1"/>
  <c r="CO32" i="1"/>
  <c r="CD31" i="1"/>
  <c r="GL31" i="1" s="1"/>
  <c r="DG32" i="1"/>
  <c r="GU36" i="1"/>
  <c r="AG31" i="8"/>
  <c r="BI36" i="1"/>
  <c r="BK36" i="1" s="1"/>
  <c r="BJ35" i="1"/>
  <c r="BL35" i="1" s="1"/>
  <c r="FY35" i="1"/>
  <c r="GA35" i="1" s="1"/>
  <c r="DS30" i="6"/>
  <c r="DS8" i="6" s="1"/>
  <c r="DU8" i="6" s="1"/>
  <c r="ES30" i="1"/>
  <c r="EG30" i="1"/>
  <c r="DY30" i="1"/>
  <c r="FQ30" i="1" s="1"/>
  <c r="CM30" i="1"/>
  <c r="BM34" i="1"/>
  <c r="CG33" i="1" s="1"/>
  <c r="BN33" i="1"/>
  <c r="BP33" i="1" s="1"/>
  <c r="DA33" i="1"/>
  <c r="DC33" i="1" s="1"/>
  <c r="AN31" i="8"/>
  <c r="O31" i="13"/>
  <c r="DA31" i="6"/>
  <c r="BZ31" i="6"/>
  <c r="CR31" i="6"/>
  <c r="T31" i="6"/>
  <c r="AH31" i="6"/>
  <c r="CI31" i="6"/>
  <c r="BQ31" i="6"/>
  <c r="DJ31" i="6"/>
  <c r="DU31" i="1"/>
  <c r="CI31" i="1"/>
  <c r="GZ31" i="1"/>
  <c r="BO33" i="1"/>
  <c r="FH31" i="1"/>
  <c r="BE28" i="9"/>
  <c r="BG28" i="9" s="1"/>
  <c r="BI28" i="9"/>
  <c r="BK28" i="9" s="1"/>
  <c r="EZ32" i="1"/>
  <c r="AG31" i="9"/>
  <c r="AQ31" i="9" s="1"/>
  <c r="X31" i="9"/>
  <c r="ED30" i="1"/>
  <c r="CR30" i="1"/>
  <c r="BQ30" i="4"/>
  <c r="BQ8" i="4" s="1"/>
  <c r="BU30" i="4"/>
  <c r="DP31" i="1"/>
  <c r="AG30" i="8"/>
  <c r="BU31" i="9"/>
  <c r="GM31" i="1"/>
  <c r="GM30" i="1"/>
  <c r="I15" i="17"/>
  <c r="I32" i="17"/>
  <c r="BS28" i="8"/>
  <c r="BU28" i="8" s="1"/>
  <c r="AP40" i="1"/>
  <c r="DK33" i="1"/>
  <c r="BH28" i="8"/>
  <c r="CL31" i="9"/>
  <c r="Z31" i="4"/>
  <c r="GC30" i="1"/>
  <c r="GO30" i="1"/>
  <c r="Z30" i="4"/>
  <c r="P31" i="4"/>
  <c r="P30" i="4"/>
  <c r="BF31" i="4"/>
  <c r="AU31" i="4"/>
  <c r="GT36" i="1"/>
  <c r="GS37" i="1"/>
  <c r="GU37" i="1" s="1"/>
  <c r="E28" i="11"/>
  <c r="BY28" i="13"/>
  <c r="BU35" i="1"/>
  <c r="BW35" i="1" s="1"/>
  <c r="DI34" i="1"/>
  <c r="BV34" i="1"/>
  <c r="CP32" i="1" s="1"/>
  <c r="BF30" i="6"/>
  <c r="FJ31" i="1"/>
  <c r="FL31" i="1"/>
  <c r="BA30" i="8"/>
  <c r="BA8" i="8" s="1"/>
  <c r="BC8" i="8" s="1"/>
  <c r="AA30" i="8"/>
  <c r="Y31" i="8"/>
  <c r="Y30" i="8"/>
  <c r="DJ33" i="1"/>
  <c r="DL33" i="1" s="1"/>
  <c r="CP31" i="1"/>
  <c r="P31" i="8"/>
  <c r="AN30" i="8"/>
  <c r="AN8" i="8" s="1"/>
  <c r="AP8" i="8" s="1"/>
  <c r="O30" i="13"/>
  <c r="P30" i="8"/>
  <c r="GY33" i="1"/>
  <c r="GY32" i="1"/>
  <c r="F30" i="11"/>
  <c r="Z30" i="6"/>
  <c r="DF32" i="1"/>
  <c r="FJ32" i="1" s="1"/>
  <c r="DN32" i="1"/>
  <c r="DP32" i="1" s="1"/>
  <c r="EP32" i="1"/>
  <c r="ER32" i="1" s="1"/>
  <c r="DH31" i="1"/>
  <c r="CO28" i="9"/>
  <c r="CK28" i="9"/>
  <c r="AI28" i="13"/>
  <c r="U40" i="1"/>
  <c r="BW28" i="13"/>
  <c r="CF31" i="9"/>
  <c r="CL30" i="9"/>
  <c r="CF30" i="9"/>
  <c r="CH31" i="1"/>
  <c r="EE31" i="1"/>
  <c r="EE30" i="1"/>
  <c r="BX33" i="1"/>
  <c r="AG30" i="9"/>
  <c r="AQ30" i="9" s="1"/>
  <c r="X30" i="9"/>
  <c r="X8" i="9" s="1"/>
  <c r="Q31" i="9"/>
  <c r="Q30" i="9"/>
  <c r="FC30" i="1"/>
  <c r="AT28" i="9"/>
  <c r="EY32" i="1"/>
  <c r="BQ34" i="1"/>
  <c r="EW34" i="1" s="1"/>
  <c r="DM33" i="1"/>
  <c r="DE33" i="1"/>
  <c r="EO33" i="1"/>
  <c r="EQ33" i="1" s="1"/>
  <c r="BR33" i="1"/>
  <c r="E40" i="1"/>
  <c r="A42" i="1"/>
  <c r="Y41" i="1"/>
  <c r="AK41" i="1" s="1"/>
  <c r="X41" i="1"/>
  <c r="AJ41" i="1" s="1"/>
  <c r="AG41" i="1"/>
  <c r="AB41" i="1"/>
  <c r="AN41" i="1" s="1"/>
  <c r="AH41" i="1"/>
  <c r="AF41" i="1"/>
  <c r="AA41" i="1"/>
  <c r="AM41" i="1" s="1"/>
  <c r="AD41" i="1"/>
  <c r="AI41" i="1"/>
  <c r="AE41" i="1"/>
  <c r="AC41" i="1"/>
  <c r="AO41" i="1" s="1"/>
  <c r="Z41" i="1"/>
  <c r="AL41" i="1" s="1"/>
  <c r="C41" i="1"/>
  <c r="U41" i="1" s="1"/>
  <c r="B41" i="1"/>
  <c r="D41" i="1"/>
  <c r="BU30" i="9"/>
  <c r="BS31" i="9"/>
  <c r="BS30" i="9"/>
  <c r="GC31" i="1"/>
  <c r="GO31" i="1"/>
  <c r="CG32" i="1"/>
  <c r="CI32" i="1" s="1"/>
  <c r="BH30" i="6"/>
  <c r="DB32" i="1"/>
  <c r="DD32" i="1" s="1"/>
  <c r="P30" i="9"/>
  <c r="CE30" i="9"/>
  <c r="BR30" i="9"/>
  <c r="BR8" i="9" s="1"/>
  <c r="BT8" i="9" s="1"/>
  <c r="O30" i="8"/>
  <c r="O8" i="8" s="1"/>
  <c r="Q8" i="8" s="1"/>
  <c r="X30" i="8"/>
  <c r="AF30" i="8" s="1"/>
  <c r="O30" i="4"/>
  <c r="O8" i="4" s="1"/>
  <c r="R8" i="4" s="1"/>
  <c r="Y30" i="4"/>
  <c r="Y8" i="4" s="1"/>
  <c r="AB8" i="4" s="1"/>
  <c r="GL30" i="1"/>
  <c r="CF30" i="1"/>
  <c r="FZ34" i="1"/>
  <c r="GB34" i="1" s="1"/>
  <c r="AA31" i="8"/>
  <c r="BA31" i="8"/>
  <c r="AK201" i="23"/>
  <c r="AJ201" i="23"/>
  <c r="AI201" i="23"/>
  <c r="AH201" i="23"/>
  <c r="AG201" i="23"/>
  <c r="BA41" i="1"/>
  <c r="BC41" i="1"/>
  <c r="AX41" i="1"/>
  <c r="AY41" i="1"/>
  <c r="AV41" i="1"/>
  <c r="AZ41" i="1"/>
  <c r="O40" i="1"/>
  <c r="I40" i="1"/>
  <c r="K40" i="1"/>
  <c r="R40" i="1"/>
  <c r="N40" i="1"/>
  <c r="T40" i="1"/>
  <c r="H40" i="1"/>
  <c r="L40" i="1"/>
  <c r="S40" i="1"/>
  <c r="F40" i="1"/>
  <c r="J40" i="1"/>
  <c r="G40" i="1"/>
  <c r="P40" i="1"/>
  <c r="Q40" i="1"/>
  <c r="M40" i="1"/>
  <c r="BB41" i="1"/>
  <c r="AW41" i="1"/>
  <c r="BF8" i="6" l="1"/>
  <c r="BH29" i="9"/>
  <c r="BJ29" i="9" s="1"/>
  <c r="BH8" i="6"/>
  <c r="AO29" i="9"/>
  <c r="AG8" i="9"/>
  <c r="AI8" i="9" s="1"/>
  <c r="DM30" i="6"/>
  <c r="DK8" i="6"/>
  <c r="DM8" i="6" s="1"/>
  <c r="BB29" i="9"/>
  <c r="W30" i="6"/>
  <c r="U8" i="6"/>
  <c r="W8" i="6" s="1"/>
  <c r="AY31" i="4"/>
  <c r="BH8" i="4"/>
  <c r="CU30" i="6"/>
  <c r="CS8" i="6"/>
  <c r="CU8" i="6" s="1"/>
  <c r="BT30" i="6"/>
  <c r="BR8" i="6"/>
  <c r="AL30" i="6"/>
  <c r="AI8" i="6"/>
  <c r="AL8" i="6" s="1"/>
  <c r="CC30" i="6"/>
  <c r="CA8" i="6"/>
  <c r="CC8" i="6" s="1"/>
  <c r="DD30" i="6"/>
  <c r="DB8" i="6"/>
  <c r="DD8" i="6" s="1"/>
  <c r="AP29" i="6"/>
  <c r="AN8" i="6"/>
  <c r="AP8" i="6" s="1"/>
  <c r="AQ29" i="8"/>
  <c r="EM31" i="1"/>
  <c r="BT30" i="4"/>
  <c r="BR30" i="4" s="1"/>
  <c r="AC30" i="13"/>
  <c r="DR33" i="1"/>
  <c r="DT33" i="1" s="1"/>
  <c r="AE31" i="13"/>
  <c r="AD30" i="13"/>
  <c r="AM30" i="4"/>
  <c r="AE30" i="13"/>
  <c r="AX30" i="4"/>
  <c r="AX8" i="4" s="1"/>
  <c r="CB30" i="1"/>
  <c r="BI30" i="4"/>
  <c r="EM30" i="1"/>
  <c r="CT33" i="1"/>
  <c r="BL30" i="13"/>
  <c r="BN30" i="13" s="1"/>
  <c r="AU31" i="13"/>
  <c r="CX30" i="1"/>
  <c r="CZ30" i="1" s="1"/>
  <c r="AT30" i="13"/>
  <c r="AV30" i="13" s="1"/>
  <c r="BZ31" i="1"/>
  <c r="AC31" i="13" s="1"/>
  <c r="BH32" i="4"/>
  <c r="BJ32" i="4" s="1"/>
  <c r="BG34" i="1"/>
  <c r="EK32" i="1"/>
  <c r="EM32" i="1" s="1"/>
  <c r="DQ34" i="1"/>
  <c r="DS34" i="1" s="1"/>
  <c r="AS32" i="13"/>
  <c r="AU32" i="13" s="1"/>
  <c r="BS32" i="4"/>
  <c r="BU32" i="4" s="1"/>
  <c r="AL32" i="4"/>
  <c r="AN32" i="4" s="1"/>
  <c r="AU30" i="4"/>
  <c r="AU8" i="4" s="1"/>
  <c r="BF30" i="4"/>
  <c r="AB32" i="13"/>
  <c r="AE32" i="13" s="1"/>
  <c r="AD31" i="13"/>
  <c r="AW32" i="4"/>
  <c r="BK32" i="13"/>
  <c r="BM32" i="13" s="1"/>
  <c r="CY31" i="1"/>
  <c r="BM31" i="13"/>
  <c r="FM30" i="1"/>
  <c r="CS34" i="1"/>
  <c r="CU34" i="1" s="1"/>
  <c r="CV34" i="1" s="1"/>
  <c r="BF34" i="1"/>
  <c r="BZ32" i="1" s="1"/>
  <c r="AM32" i="4" s="1"/>
  <c r="BE35" i="1"/>
  <c r="BG35" i="1" s="1"/>
  <c r="AY30" i="4"/>
  <c r="BQ31" i="4"/>
  <c r="BJ30" i="4"/>
  <c r="BJ31" i="4"/>
  <c r="AN31" i="4"/>
  <c r="AN30" i="4"/>
  <c r="AU30" i="13"/>
  <c r="BK29" i="4"/>
  <c r="BR29" i="4"/>
  <c r="FN29" i="1"/>
  <c r="FP29" i="1"/>
  <c r="AV29" i="4"/>
  <c r="BG29" i="4"/>
  <c r="GH35" i="1"/>
  <c r="GJ35" i="1" s="1"/>
  <c r="FV39" i="1"/>
  <c r="GH36" i="1" s="1"/>
  <c r="GG36" i="1"/>
  <c r="GI36" i="1" s="1"/>
  <c r="FU40" i="1"/>
  <c r="FW40" i="1" s="1"/>
  <c r="DX30" i="1"/>
  <c r="Y30" i="6"/>
  <c r="AA30" i="6" s="1"/>
  <c r="BZ28" i="13"/>
  <c r="AG29" i="13"/>
  <c r="AI29" i="13" s="1"/>
  <c r="BU29" i="13"/>
  <c r="BW29" i="13" s="1"/>
  <c r="BF29" i="8"/>
  <c r="D29" i="11"/>
  <c r="BR29" i="8"/>
  <c r="BT29" i="8" s="1"/>
  <c r="AN29" i="9"/>
  <c r="AP29" i="9" s="1"/>
  <c r="AV30" i="6"/>
  <c r="BI30" i="6"/>
  <c r="BI8" i="6" s="1"/>
  <c r="BX29" i="13"/>
  <c r="BZ29" i="13" s="1"/>
  <c r="Y13" i="17"/>
  <c r="BE30" i="6"/>
  <c r="S14" i="17"/>
  <c r="U14" i="17" s="1"/>
  <c r="CD32" i="9"/>
  <c r="O32" i="9"/>
  <c r="AP30" i="6"/>
  <c r="BA29" i="9"/>
  <c r="O13" i="17"/>
  <c r="T29" i="13"/>
  <c r="BY29" i="13" s="1"/>
  <c r="CE31" i="9"/>
  <c r="CG31" i="9" s="1"/>
  <c r="O31" i="8"/>
  <c r="Q31" i="8" s="1"/>
  <c r="CN30" i="1"/>
  <c r="CI29" i="9"/>
  <c r="CO29" i="9" s="1"/>
  <c r="AK29" i="9"/>
  <c r="N32" i="4"/>
  <c r="GK32" i="1"/>
  <c r="GM32" i="1" s="1"/>
  <c r="EH30" i="1"/>
  <c r="EJ30" i="1" s="1"/>
  <c r="X32" i="4"/>
  <c r="Z32" i="4" s="1"/>
  <c r="DZ30" i="1"/>
  <c r="EB30" i="1" s="1"/>
  <c r="G29" i="11"/>
  <c r="ET30" i="1"/>
  <c r="EV30" i="1" s="1"/>
  <c r="W32" i="8"/>
  <c r="Y32" i="8" s="1"/>
  <c r="N32" i="8"/>
  <c r="P32" i="8" s="1"/>
  <c r="DT30" i="6"/>
  <c r="CW32" i="1"/>
  <c r="CY32" i="1" s="1"/>
  <c r="CD32" i="1"/>
  <c r="Y32" i="4" s="1"/>
  <c r="BQ32" i="9"/>
  <c r="FS30" i="1"/>
  <c r="CF31" i="1"/>
  <c r="O31" i="4"/>
  <c r="R31" i="4" s="1"/>
  <c r="BR31" i="9"/>
  <c r="BO29" i="8"/>
  <c r="Y31" i="4"/>
  <c r="GD31" i="1" s="1"/>
  <c r="U29" i="13"/>
  <c r="O12" i="17"/>
  <c r="X31" i="8"/>
  <c r="BB31" i="8" s="1"/>
  <c r="CH32" i="1"/>
  <c r="AI32" i="6" s="1"/>
  <c r="FA31" i="1"/>
  <c r="FC31" i="1" s="1"/>
  <c r="DY31" i="1"/>
  <c r="FS31" i="1" s="1"/>
  <c r="EG31" i="1"/>
  <c r="FO31" i="1" s="1"/>
  <c r="ES31" i="1"/>
  <c r="EU31" i="1" s="1"/>
  <c r="DS31" i="6"/>
  <c r="DU31" i="6" s="1"/>
  <c r="FO30" i="1"/>
  <c r="CQ32" i="1"/>
  <c r="CJ29" i="9"/>
  <c r="CN29" i="9"/>
  <c r="BX34" i="1"/>
  <c r="EC32" i="1"/>
  <c r="EE32" i="1" s="1"/>
  <c r="BO34" i="1"/>
  <c r="AS41" i="1"/>
  <c r="V41" i="1"/>
  <c r="W41" i="1"/>
  <c r="P31" i="9"/>
  <c r="R31" i="9" s="1"/>
  <c r="AQ41" i="1"/>
  <c r="CO33" i="1"/>
  <c r="CQ33" i="1" s="1"/>
  <c r="AR41" i="1"/>
  <c r="AU41" i="1"/>
  <c r="CH30" i="9"/>
  <c r="CN30" i="9" s="1"/>
  <c r="AS31" i="9"/>
  <c r="AS30" i="9"/>
  <c r="AH30" i="8"/>
  <c r="EY34" i="1"/>
  <c r="AO30" i="8"/>
  <c r="AO8" i="8" s="1"/>
  <c r="AQ8" i="8" s="1"/>
  <c r="P30" i="13"/>
  <c r="Q30" i="8"/>
  <c r="BV30" i="9"/>
  <c r="BT30" i="9"/>
  <c r="AZ31" i="9"/>
  <c r="AL31" i="9"/>
  <c r="BS31" i="6"/>
  <c r="CK31" i="6"/>
  <c r="CR32" i="1"/>
  <c r="ED31" i="1"/>
  <c r="EF31" i="1" s="1"/>
  <c r="BD31" i="6"/>
  <c r="AU31" i="6"/>
  <c r="AG31" i="6"/>
  <c r="AJ31" i="6"/>
  <c r="AM31" i="6"/>
  <c r="V31" i="6"/>
  <c r="X31" i="6"/>
  <c r="Y30" i="9"/>
  <c r="AH30" i="9"/>
  <c r="CI30" i="9" s="1"/>
  <c r="R30" i="9"/>
  <c r="CT31" i="6"/>
  <c r="DF33" i="1"/>
  <c r="DH33" i="1" s="1"/>
  <c r="DN33" i="1"/>
  <c r="EP33" i="1"/>
  <c r="AT41" i="1"/>
  <c r="CL31" i="1"/>
  <c r="FL32" i="1"/>
  <c r="CB31" i="6"/>
  <c r="EA30" i="1"/>
  <c r="DO33" i="1"/>
  <c r="EX33" i="1"/>
  <c r="DJ34" i="1"/>
  <c r="GQ31" i="1"/>
  <c r="GQ30" i="1"/>
  <c r="DC31" i="6"/>
  <c r="EI30" i="1"/>
  <c r="CM30" i="9"/>
  <c r="CG30" i="9"/>
  <c r="BW31" i="9"/>
  <c r="BW30" i="9"/>
  <c r="CK32" i="1"/>
  <c r="BS34" i="1"/>
  <c r="GW34" i="1"/>
  <c r="GE31" i="1"/>
  <c r="GE30" i="1"/>
  <c r="EU30" i="1"/>
  <c r="BT33" i="1"/>
  <c r="BT31" i="13"/>
  <c r="AF31" i="13"/>
  <c r="S31" i="13"/>
  <c r="DU30" i="6"/>
  <c r="EN30" i="1"/>
  <c r="BE31" i="8"/>
  <c r="BN31" i="8"/>
  <c r="AP41" i="1"/>
  <c r="GT37" i="1"/>
  <c r="GX34" i="1" s="1"/>
  <c r="GS38" i="1"/>
  <c r="GW35" i="1" s="1"/>
  <c r="CR32" i="6"/>
  <c r="CT32" i="6" s="1"/>
  <c r="BQ32" i="6"/>
  <c r="BS32" i="6" s="1"/>
  <c r="DJ32" i="6"/>
  <c r="DL32" i="6" s="1"/>
  <c r="AH32" i="6"/>
  <c r="T32" i="6"/>
  <c r="BZ32" i="6"/>
  <c r="CB32" i="6" s="1"/>
  <c r="DA32" i="6"/>
  <c r="DC32" i="6" s="1"/>
  <c r="CI32" i="6"/>
  <c r="CK32" i="6" s="1"/>
  <c r="CI33" i="1"/>
  <c r="DU32" i="1"/>
  <c r="DW32" i="1" s="1"/>
  <c r="BU36" i="1"/>
  <c r="BW36" i="1" s="1"/>
  <c r="BV35" i="1"/>
  <c r="DI35" i="1"/>
  <c r="DK35" i="1" s="1"/>
  <c r="CR31" i="1"/>
  <c r="AR31" i="8"/>
  <c r="CC33" i="1"/>
  <c r="BQ35" i="1"/>
  <c r="CK33" i="1" s="1"/>
  <c r="DM34" i="1"/>
  <c r="EO34" i="1"/>
  <c r="EQ34" i="1" s="1"/>
  <c r="DE34" i="1"/>
  <c r="BR34" i="1"/>
  <c r="CL32" i="1" s="1"/>
  <c r="FK33" i="1"/>
  <c r="FZ35" i="1"/>
  <c r="GB35" i="1" s="1"/>
  <c r="DL31" i="6"/>
  <c r="FI33" i="1"/>
  <c r="DJ33" i="6"/>
  <c r="BZ33" i="6"/>
  <c r="T33" i="6"/>
  <c r="DA33" i="6"/>
  <c r="BQ33" i="6"/>
  <c r="CR33" i="6"/>
  <c r="CI33" i="6"/>
  <c r="AH33" i="6"/>
  <c r="DG33" i="1"/>
  <c r="AC31" i="8"/>
  <c r="AC30" i="8"/>
  <c r="DK34" i="1"/>
  <c r="BI37" i="1"/>
  <c r="CC34" i="1" s="1"/>
  <c r="BJ36" i="1"/>
  <c r="CD33" i="1" s="1"/>
  <c r="FY36" i="1"/>
  <c r="GA36" i="1" s="1"/>
  <c r="CA31" i="6"/>
  <c r="CS31" i="6"/>
  <c r="CJ31" i="6"/>
  <c r="AI31" i="6"/>
  <c r="DB31" i="6"/>
  <c r="U31" i="6"/>
  <c r="BR31" i="6"/>
  <c r="DK31" i="6"/>
  <c r="DV31" i="1"/>
  <c r="CJ31" i="1"/>
  <c r="BE30" i="8"/>
  <c r="BE8" i="8" s="1"/>
  <c r="BC31" i="8"/>
  <c r="BN30" i="8"/>
  <c r="BN8" i="8" s="1"/>
  <c r="BP8" i="8" s="1"/>
  <c r="BC30" i="8"/>
  <c r="FE33" i="1"/>
  <c r="DB33" i="1"/>
  <c r="GN31" i="1"/>
  <c r="GN30" i="1"/>
  <c r="Z31" i="9"/>
  <c r="Z30" i="9"/>
  <c r="AU29" i="8"/>
  <c r="FG33" i="1"/>
  <c r="BM35" i="1"/>
  <c r="CG34" i="1" s="1"/>
  <c r="CI34" i="1" s="1"/>
  <c r="BN34" i="1"/>
  <c r="BP34" i="1" s="1"/>
  <c r="DA34" i="1"/>
  <c r="DC34" i="1" s="1"/>
  <c r="A43" i="1"/>
  <c r="Y42" i="1"/>
  <c r="AK42" i="1" s="1"/>
  <c r="AI42" i="1"/>
  <c r="AE42" i="1"/>
  <c r="X42" i="1"/>
  <c r="AJ42" i="1" s="1"/>
  <c r="AD42" i="1"/>
  <c r="AB42" i="1"/>
  <c r="AN42" i="1" s="1"/>
  <c r="AG42" i="1"/>
  <c r="AA42" i="1"/>
  <c r="AM42" i="1" s="1"/>
  <c r="AH42" i="1"/>
  <c r="AC42" i="1"/>
  <c r="AO42" i="1" s="1"/>
  <c r="AF42" i="1"/>
  <c r="Z42" i="1"/>
  <c r="AL42" i="1" s="1"/>
  <c r="B42" i="1"/>
  <c r="D42" i="1"/>
  <c r="C42" i="1"/>
  <c r="W42" i="1" s="1"/>
  <c r="AZ30" i="9"/>
  <c r="AZ8" i="9" s="1"/>
  <c r="AI31" i="9"/>
  <c r="AL30" i="9"/>
  <c r="AL8" i="9" s="1"/>
  <c r="AO8" i="9" s="1"/>
  <c r="AI30" i="9"/>
  <c r="E41" i="1"/>
  <c r="GD30" i="1"/>
  <c r="GP30" i="1"/>
  <c r="AB30" i="4"/>
  <c r="FF32" i="1"/>
  <c r="DH32" i="1"/>
  <c r="FH32" i="1"/>
  <c r="Q31" i="13"/>
  <c r="BT30" i="13"/>
  <c r="BT8" i="13" s="1"/>
  <c r="BV8" i="13" s="1"/>
  <c r="AF30" i="13"/>
  <c r="Q30" i="13"/>
  <c r="S30" i="13"/>
  <c r="S8" i="13" s="1"/>
  <c r="U8" i="13" s="1"/>
  <c r="GX33" i="1"/>
  <c r="CH31" i="9"/>
  <c r="EF30" i="1"/>
  <c r="R30" i="4"/>
  <c r="BB30" i="8"/>
  <c r="AB30" i="8"/>
  <c r="Z30" i="8"/>
  <c r="AP31" i="8"/>
  <c r="AR30" i="8"/>
  <c r="AR8" i="8" s="1"/>
  <c r="AT8" i="8" s="1"/>
  <c r="AP30" i="8"/>
  <c r="GV36" i="1"/>
  <c r="DW31" i="1"/>
  <c r="AE201" i="23"/>
  <c r="AD201" i="23"/>
  <c r="AR200" i="23"/>
  <c r="AQ200" i="23"/>
  <c r="AP200" i="23"/>
  <c r="AO200" i="23"/>
  <c r="AN200" i="23"/>
  <c r="AW42" i="1"/>
  <c r="AV42" i="1"/>
  <c r="AX42" i="1"/>
  <c r="BB42" i="1"/>
  <c r="BC42" i="1"/>
  <c r="AZ42" i="1"/>
  <c r="AY42" i="1"/>
  <c r="BA42" i="1"/>
  <c r="H41" i="1"/>
  <c r="T41" i="1"/>
  <c r="R41" i="1"/>
  <c r="L41" i="1"/>
  <c r="N41" i="1"/>
  <c r="F41" i="1"/>
  <c r="M41" i="1"/>
  <c r="I41" i="1"/>
  <c r="G41" i="1"/>
  <c r="K41" i="1"/>
  <c r="P41" i="1"/>
  <c r="S41" i="1"/>
  <c r="Q41" i="1"/>
  <c r="O41" i="1"/>
  <c r="J41" i="1"/>
  <c r="CH8" i="9" l="1"/>
  <c r="BR8" i="4"/>
  <c r="CF32" i="9"/>
  <c r="DV30" i="6"/>
  <c r="DT8" i="6"/>
  <c r="DV8" i="6" s="1"/>
  <c r="P32" i="4"/>
  <c r="BI29" i="9"/>
  <c r="BK29" i="9" s="1"/>
  <c r="BJ8" i="4"/>
  <c r="AY8" i="4"/>
  <c r="AZ30" i="4"/>
  <c r="BI8" i="4"/>
  <c r="AG32" i="9"/>
  <c r="AI32" i="9" s="1"/>
  <c r="AO30" i="4"/>
  <c r="AM8" i="4"/>
  <c r="AO8" i="4" s="1"/>
  <c r="BG30" i="6"/>
  <c r="BE8" i="6"/>
  <c r="BQ29" i="8"/>
  <c r="AX30" i="6"/>
  <c r="AV8" i="6"/>
  <c r="AX8" i="6" s="1"/>
  <c r="BH29" i="8"/>
  <c r="Y8" i="6"/>
  <c r="AA8" i="6" s="1"/>
  <c r="BV30" i="4"/>
  <c r="FH33" i="1"/>
  <c r="AV30" i="4"/>
  <c r="AV8" i="4" s="1"/>
  <c r="BK30" i="4"/>
  <c r="BG30" i="4"/>
  <c r="BG8" i="4" s="1"/>
  <c r="FE34" i="1"/>
  <c r="EL32" i="1"/>
  <c r="AT31" i="13"/>
  <c r="CX31" i="1"/>
  <c r="CZ31" i="1" s="1"/>
  <c r="AM31" i="4"/>
  <c r="BT31" i="4"/>
  <c r="BV31" i="4" s="1"/>
  <c r="EL31" i="1"/>
  <c r="EN31" i="1" s="1"/>
  <c r="BI31" i="4"/>
  <c r="AV31" i="4" s="1"/>
  <c r="AX31" i="4"/>
  <c r="AU32" i="4"/>
  <c r="BF32" i="4"/>
  <c r="BL31" i="13"/>
  <c r="BN31" i="13" s="1"/>
  <c r="AY32" i="4"/>
  <c r="CB32" i="1"/>
  <c r="CB31" i="1"/>
  <c r="BQ32" i="4"/>
  <c r="AD32" i="13"/>
  <c r="AT32" i="13"/>
  <c r="AX32" i="4"/>
  <c r="AC32" i="13"/>
  <c r="BL32" i="13"/>
  <c r="BT32" i="4"/>
  <c r="BI32" i="4"/>
  <c r="BH34" i="1"/>
  <c r="BY33" i="1"/>
  <c r="AW33" i="4" s="1"/>
  <c r="DQ35" i="1"/>
  <c r="DS35" i="1" s="1"/>
  <c r="BF35" i="1"/>
  <c r="BZ33" i="1" s="1"/>
  <c r="CB33" i="1" s="1"/>
  <c r="DR34" i="1"/>
  <c r="DT34" i="1" s="1"/>
  <c r="CT34" i="1"/>
  <c r="BE36" i="1"/>
  <c r="BG36" i="1" s="1"/>
  <c r="CS35" i="1"/>
  <c r="CU35" i="1" s="1"/>
  <c r="CV35" i="1" s="1"/>
  <c r="FX39" i="1"/>
  <c r="GJ36" i="1"/>
  <c r="FV40" i="1"/>
  <c r="FX40" i="1" s="1"/>
  <c r="GG37" i="1"/>
  <c r="GI37" i="1" s="1"/>
  <c r="FU41" i="1"/>
  <c r="FW41" i="1" s="1"/>
  <c r="G30" i="11"/>
  <c r="BU32" i="9"/>
  <c r="Q32" i="9"/>
  <c r="X32" i="9"/>
  <c r="O32" i="8"/>
  <c r="P32" i="13" s="1"/>
  <c r="CF32" i="1"/>
  <c r="AN32" i="8"/>
  <c r="AR32" i="8" s="1"/>
  <c r="AT32" i="8" s="1"/>
  <c r="O32" i="13"/>
  <c r="CN31" i="9"/>
  <c r="O32" i="4"/>
  <c r="R32" i="4" s="1"/>
  <c r="X32" i="8"/>
  <c r="AF32" i="8" s="1"/>
  <c r="CE32" i="9"/>
  <c r="CG32" i="9" s="1"/>
  <c r="E29" i="11"/>
  <c r="BK30" i="6"/>
  <c r="CJ32" i="6"/>
  <c r="CL32" i="6" s="1"/>
  <c r="CA29" i="13"/>
  <c r="GL32" i="1"/>
  <c r="GN32" i="1" s="1"/>
  <c r="DB32" i="6"/>
  <c r="DD32" i="6" s="1"/>
  <c r="BR32" i="6"/>
  <c r="BT32" i="6" s="1"/>
  <c r="U32" i="6"/>
  <c r="W32" i="6" s="1"/>
  <c r="CJ32" i="1"/>
  <c r="BE29" i="9"/>
  <c r="BG29" i="9" s="1"/>
  <c r="BC29" i="9"/>
  <c r="P31" i="13"/>
  <c r="BU31" i="13" s="1"/>
  <c r="P32" i="9"/>
  <c r="R32" i="9" s="1"/>
  <c r="BA32" i="8"/>
  <c r="BN32" i="8" s="1"/>
  <c r="BP32" i="8" s="1"/>
  <c r="BR32" i="9"/>
  <c r="BT32" i="9" s="1"/>
  <c r="AO31" i="8"/>
  <c r="AS31" i="8" s="1"/>
  <c r="AA32" i="8"/>
  <c r="AC32" i="8" s="1"/>
  <c r="GO32" i="1"/>
  <c r="GQ32" i="1" s="1"/>
  <c r="GC32" i="1"/>
  <c r="GE32" i="1" s="1"/>
  <c r="CA32" i="6"/>
  <c r="CC32" i="6" s="1"/>
  <c r="CS32" i="6"/>
  <c r="CU32" i="6" s="1"/>
  <c r="CK29" i="9"/>
  <c r="FR30" i="1"/>
  <c r="FT30" i="1"/>
  <c r="AB31" i="4"/>
  <c r="BS29" i="8"/>
  <c r="BU29" i="8" s="1"/>
  <c r="DV32" i="1"/>
  <c r="Y32" i="6" s="1"/>
  <c r="DK32" i="6"/>
  <c r="DM32" i="6" s="1"/>
  <c r="FN30" i="1"/>
  <c r="FP30" i="1"/>
  <c r="CF33" i="1"/>
  <c r="CX32" i="1"/>
  <c r="AE32" i="8"/>
  <c r="BT31" i="9"/>
  <c r="EI31" i="1"/>
  <c r="BS32" i="9"/>
  <c r="GP31" i="1"/>
  <c r="GR31" i="1" s="1"/>
  <c r="CL32" i="9"/>
  <c r="ED32" i="1"/>
  <c r="EF32" i="1" s="1"/>
  <c r="CM31" i="9"/>
  <c r="EA31" i="1"/>
  <c r="AB31" i="8"/>
  <c r="AD31" i="8" s="1"/>
  <c r="Z31" i="8"/>
  <c r="AF31" i="8"/>
  <c r="FQ31" i="1"/>
  <c r="FM31" i="1"/>
  <c r="BV31" i="9"/>
  <c r="BX31" i="9" s="1"/>
  <c r="AH31" i="9"/>
  <c r="AR31" i="9" s="1"/>
  <c r="AR30" i="9"/>
  <c r="Y31" i="9"/>
  <c r="BK37" i="1"/>
  <c r="BT34" i="1"/>
  <c r="BL36" i="1"/>
  <c r="EC33" i="1"/>
  <c r="EE33" i="1" s="1"/>
  <c r="CJ30" i="9"/>
  <c r="AU42" i="1"/>
  <c r="AQ42" i="1"/>
  <c r="DU33" i="1"/>
  <c r="DW33" i="1" s="1"/>
  <c r="V42" i="1"/>
  <c r="BS35" i="1"/>
  <c r="FF33" i="1"/>
  <c r="AS42" i="1"/>
  <c r="CH33" i="1"/>
  <c r="CJ33" i="1" s="1"/>
  <c r="AP42" i="1"/>
  <c r="U42" i="1"/>
  <c r="O34" i="9"/>
  <c r="BQ34" i="9"/>
  <c r="CD34" i="9"/>
  <c r="N34" i="8"/>
  <c r="W34" i="8"/>
  <c r="X34" i="4"/>
  <c r="N34" i="4"/>
  <c r="GK34" i="1"/>
  <c r="DT32" i="6"/>
  <c r="EH32" i="1"/>
  <c r="DZ32" i="1"/>
  <c r="ET32" i="1"/>
  <c r="FB32" i="1"/>
  <c r="DS33" i="6"/>
  <c r="DY33" i="1"/>
  <c r="ES33" i="1"/>
  <c r="FA33" i="1"/>
  <c r="AD30" i="8"/>
  <c r="D30" i="11"/>
  <c r="D8" i="11" s="1"/>
  <c r="V31" i="13"/>
  <c r="U31" i="13"/>
  <c r="U30" i="13"/>
  <c r="V30" i="13"/>
  <c r="DJ35" i="1"/>
  <c r="DL35" i="1" s="1"/>
  <c r="A44" i="1"/>
  <c r="Y43" i="1"/>
  <c r="AK43" i="1" s="1"/>
  <c r="X43" i="1"/>
  <c r="AJ43" i="1" s="1"/>
  <c r="AH43" i="1"/>
  <c r="AE43" i="1"/>
  <c r="AA43" i="1"/>
  <c r="AM43" i="1" s="1"/>
  <c r="AI43" i="1"/>
  <c r="AD43" i="1"/>
  <c r="AF43" i="1"/>
  <c r="AC43" i="1"/>
  <c r="AO43" i="1" s="1"/>
  <c r="Z43" i="1"/>
  <c r="AL43" i="1" s="1"/>
  <c r="AG43" i="1"/>
  <c r="AB43" i="1"/>
  <c r="AN43" i="1" s="1"/>
  <c r="B43" i="1"/>
  <c r="D43" i="1"/>
  <c r="C43" i="1"/>
  <c r="W43" i="1" s="1"/>
  <c r="DM31" i="6"/>
  <c r="BT31" i="6"/>
  <c r="BU37" i="1"/>
  <c r="BW37" i="1" s="1"/>
  <c r="DI36" i="1"/>
  <c r="DK36" i="1" s="1"/>
  <c r="BV36" i="1"/>
  <c r="CP34" i="1" s="1"/>
  <c r="W31" i="6"/>
  <c r="EP34" i="1"/>
  <c r="ER34" i="1" s="1"/>
  <c r="DF34" i="1"/>
  <c r="DH34" i="1" s="1"/>
  <c r="DN34" i="1"/>
  <c r="DP34" i="1" s="1"/>
  <c r="E42" i="1"/>
  <c r="AH31" i="13"/>
  <c r="AH30" i="13"/>
  <c r="DD31" i="6"/>
  <c r="BE31" i="6"/>
  <c r="AV31" i="6"/>
  <c r="AL32" i="6"/>
  <c r="BI31" i="6"/>
  <c r="AL31" i="6"/>
  <c r="BU30" i="13"/>
  <c r="AG30" i="13"/>
  <c r="T30" i="13"/>
  <c r="R30" i="13"/>
  <c r="CL31" i="6"/>
  <c r="GD32" i="1"/>
  <c r="GF32" i="1" s="1"/>
  <c r="GP32" i="1"/>
  <c r="AS30" i="8"/>
  <c r="AS8" i="8" s="1"/>
  <c r="AU8" i="8" s="1"/>
  <c r="AQ30" i="8"/>
  <c r="AV32" i="6"/>
  <c r="BE32" i="6"/>
  <c r="BI32" i="6"/>
  <c r="AT42" i="1"/>
  <c r="DS32" i="6"/>
  <c r="CM33" i="1"/>
  <c r="EG32" i="1"/>
  <c r="DY32" i="1"/>
  <c r="ES32" i="1"/>
  <c r="FA32" i="1"/>
  <c r="CM32" i="1"/>
  <c r="BD31" i="9"/>
  <c r="BH31" i="9"/>
  <c r="CC31" i="6"/>
  <c r="O33" i="9"/>
  <c r="O9" i="9" s="1"/>
  <c r="CD33" i="9"/>
  <c r="CD9" i="9" s="1"/>
  <c r="BQ33" i="9"/>
  <c r="BQ9" i="9" s="1"/>
  <c r="X33" i="6"/>
  <c r="AM33" i="6"/>
  <c r="N33" i="8"/>
  <c r="W33" i="8"/>
  <c r="X33" i="4"/>
  <c r="N33" i="4"/>
  <c r="N9" i="4" s="1"/>
  <c r="P9" i="4" s="1"/>
  <c r="CE34" i="1"/>
  <c r="GK33" i="1"/>
  <c r="CE33" i="1"/>
  <c r="CP33" i="1"/>
  <c r="BQ36" i="1"/>
  <c r="EW36" i="1" s="1"/>
  <c r="DM35" i="1"/>
  <c r="DO35" i="1" s="1"/>
  <c r="DE35" i="1"/>
  <c r="DG35" i="1" s="1"/>
  <c r="EO35" i="1"/>
  <c r="BR35" i="1"/>
  <c r="BT35" i="1" s="1"/>
  <c r="DB34" i="1"/>
  <c r="DD34" i="1" s="1"/>
  <c r="BM36" i="1"/>
  <c r="CG35" i="1" s="1"/>
  <c r="DA35" i="1"/>
  <c r="DC35" i="1" s="1"/>
  <c r="BN35" i="1"/>
  <c r="BP35" i="1" s="1"/>
  <c r="CK33" i="6"/>
  <c r="D31" i="11"/>
  <c r="CI34" i="6"/>
  <c r="CK34" i="6" s="1"/>
  <c r="AH34" i="6"/>
  <c r="T34" i="6"/>
  <c r="BQ34" i="6"/>
  <c r="CR34" i="6"/>
  <c r="CT34" i="6" s="1"/>
  <c r="DJ34" i="6"/>
  <c r="DL34" i="6" s="1"/>
  <c r="BZ34" i="6"/>
  <c r="DA34" i="6"/>
  <c r="DU34" i="1"/>
  <c r="BO35" i="1"/>
  <c r="FZ36" i="1"/>
  <c r="GB36" i="1" s="1"/>
  <c r="DC33" i="6"/>
  <c r="EX34" i="1"/>
  <c r="EZ34" i="1" s="1"/>
  <c r="FJ33" i="1"/>
  <c r="AO31" i="6"/>
  <c r="CJ31" i="9"/>
  <c r="CB33" i="6"/>
  <c r="BX31" i="13"/>
  <c r="FL33" i="1"/>
  <c r="AO31" i="9"/>
  <c r="AO30" i="9"/>
  <c r="BI38" i="1"/>
  <c r="CC35" i="1" s="1"/>
  <c r="CE35" i="1" s="1"/>
  <c r="BJ37" i="1"/>
  <c r="CD34" i="1" s="1"/>
  <c r="CF34" i="1" s="1"/>
  <c r="FY37" i="1"/>
  <c r="V33" i="6"/>
  <c r="X32" i="6"/>
  <c r="BX35" i="1"/>
  <c r="DL34" i="1"/>
  <c r="BA30" i="9"/>
  <c r="BA8" i="9" s="1"/>
  <c r="BC8" i="9" s="1"/>
  <c r="AN30" i="9"/>
  <c r="AK30" i="9"/>
  <c r="AU32" i="6"/>
  <c r="AW32" i="6" s="1"/>
  <c r="BD32" i="6"/>
  <c r="BJ32" i="6" s="1"/>
  <c r="AJ33" i="6"/>
  <c r="AG32" i="6"/>
  <c r="AM32" i="6"/>
  <c r="EZ33" i="1"/>
  <c r="AA30" i="9"/>
  <c r="AJ32" i="6"/>
  <c r="BF31" i="8"/>
  <c r="BO31" i="8"/>
  <c r="ER33" i="1"/>
  <c r="DT31" i="6"/>
  <c r="CN32" i="1"/>
  <c r="DZ31" i="1"/>
  <c r="FT31" i="1" s="1"/>
  <c r="ET31" i="1"/>
  <c r="EH31" i="1"/>
  <c r="CN31" i="1"/>
  <c r="AW31" i="6"/>
  <c r="AB32" i="4"/>
  <c r="BF30" i="8"/>
  <c r="BF8" i="8" s="1"/>
  <c r="BH8" i="8" s="1"/>
  <c r="BD31" i="8"/>
  <c r="BO30" i="8"/>
  <c r="BO8" i="8" s="1"/>
  <c r="BQ8" i="8" s="1"/>
  <c r="BD30" i="8"/>
  <c r="BV31" i="13"/>
  <c r="BX30" i="13"/>
  <c r="BV30" i="13"/>
  <c r="BP31" i="8"/>
  <c r="BR30" i="8"/>
  <c r="BR8" i="8" s="1"/>
  <c r="BT8" i="8" s="1"/>
  <c r="BP30" i="8"/>
  <c r="AU33" i="6"/>
  <c r="BD33" i="6"/>
  <c r="AG33" i="6"/>
  <c r="BS33" i="6"/>
  <c r="BH31" i="6"/>
  <c r="BF31" i="6"/>
  <c r="BJ31" i="6"/>
  <c r="CT33" i="6"/>
  <c r="GT38" i="1"/>
  <c r="GV38" i="1" s="1"/>
  <c r="GS39" i="1"/>
  <c r="CK30" i="9"/>
  <c r="CO30" i="9"/>
  <c r="DO34" i="1"/>
  <c r="F31" i="11"/>
  <c r="Z31" i="6"/>
  <c r="AT31" i="8"/>
  <c r="AT30" i="8"/>
  <c r="CO34" i="1"/>
  <c r="GU38" i="1"/>
  <c r="FK34" i="1"/>
  <c r="CU31" i="6"/>
  <c r="AR42" i="1"/>
  <c r="P33" i="9"/>
  <c r="CE33" i="9"/>
  <c r="BR33" i="9"/>
  <c r="X33" i="8"/>
  <c r="O33" i="8"/>
  <c r="Y33" i="4"/>
  <c r="AB33" i="4" s="1"/>
  <c r="O33" i="4"/>
  <c r="GL33" i="1"/>
  <c r="DL33" i="6"/>
  <c r="GV37" i="1"/>
  <c r="GR30" i="1"/>
  <c r="FI34" i="1"/>
  <c r="DG34" i="1"/>
  <c r="V32" i="6"/>
  <c r="GF31" i="1"/>
  <c r="GF30" i="1"/>
  <c r="DD33" i="1"/>
  <c r="EW35" i="1"/>
  <c r="BR31" i="8"/>
  <c r="GY35" i="1"/>
  <c r="GY34" i="1"/>
  <c r="FB31" i="1"/>
  <c r="BX30" i="9"/>
  <c r="BB31" i="9"/>
  <c r="BD30" i="9"/>
  <c r="BD8" i="9" s="1"/>
  <c r="BF8" i="9" s="1"/>
  <c r="BH30" i="9"/>
  <c r="BB30" i="9"/>
  <c r="BG31" i="8"/>
  <c r="BG30" i="8"/>
  <c r="GZ34" i="1"/>
  <c r="GZ33" i="1"/>
  <c r="Y31" i="6"/>
  <c r="AN31" i="6"/>
  <c r="DX31" i="1"/>
  <c r="FG34" i="1"/>
  <c r="DP33" i="1"/>
  <c r="AK200" i="23"/>
  <c r="AJ200" i="23"/>
  <c r="AI200" i="23"/>
  <c r="AH200" i="23"/>
  <c r="AG200" i="23"/>
  <c r="BB43" i="1"/>
  <c r="AV43" i="1"/>
  <c r="AX43" i="1"/>
  <c r="AZ43" i="1"/>
  <c r="AY43" i="1"/>
  <c r="BC43" i="1"/>
  <c r="G42" i="1"/>
  <c r="K42" i="1"/>
  <c r="S42" i="1"/>
  <c r="T42" i="1"/>
  <c r="N42" i="1"/>
  <c r="H42" i="1"/>
  <c r="J42" i="1"/>
  <c r="P42" i="1"/>
  <c r="F42" i="1"/>
  <c r="O42" i="1"/>
  <c r="M42" i="1"/>
  <c r="Q42" i="1"/>
  <c r="I42" i="1"/>
  <c r="L42" i="1"/>
  <c r="R42" i="1"/>
  <c r="AW43" i="1"/>
  <c r="BA43" i="1"/>
  <c r="CH32" i="9" l="1"/>
  <c r="CJ32" i="9" s="1"/>
  <c r="AQ32" i="9"/>
  <c r="AS32" i="9" s="1"/>
  <c r="AL32" i="9"/>
  <c r="AO32" i="9" s="1"/>
  <c r="AZ32" i="9"/>
  <c r="BB32" i="9" s="1"/>
  <c r="CE9" i="9"/>
  <c r="BR9" i="9"/>
  <c r="BT9" i="9" s="1"/>
  <c r="AG32" i="8"/>
  <c r="BK8" i="6"/>
  <c r="BG8" i="6"/>
  <c r="BT32" i="13"/>
  <c r="BX32" i="13" s="1"/>
  <c r="AZ8" i="4"/>
  <c r="BK8" i="4"/>
  <c r="Z32" i="9"/>
  <c r="BW32" i="9"/>
  <c r="P9" i="9"/>
  <c r="FP31" i="1"/>
  <c r="CZ32" i="1"/>
  <c r="AX33" i="4"/>
  <c r="AM33" i="4"/>
  <c r="AO33" i="4" s="1"/>
  <c r="BI33" i="4"/>
  <c r="BG33" i="4" s="1"/>
  <c r="AT33" i="13"/>
  <c r="AV33" i="13" s="1"/>
  <c r="BL33" i="13"/>
  <c r="BN33" i="13" s="1"/>
  <c r="EN32" i="1"/>
  <c r="AZ31" i="4"/>
  <c r="BK32" i="4"/>
  <c r="BG31" i="4"/>
  <c r="BV32" i="4"/>
  <c r="BT33" i="4"/>
  <c r="BR33" i="4" s="1"/>
  <c r="FN32" i="1"/>
  <c r="AC33" i="13"/>
  <c r="AV32" i="13"/>
  <c r="BK31" i="4"/>
  <c r="AV31" i="13"/>
  <c r="AO31" i="4"/>
  <c r="BR31" i="4"/>
  <c r="BR32" i="4"/>
  <c r="AO32" i="4"/>
  <c r="CT35" i="1"/>
  <c r="BN32" i="13"/>
  <c r="BG32" i="4"/>
  <c r="AV32" i="4"/>
  <c r="BH35" i="1"/>
  <c r="AZ32" i="4"/>
  <c r="AB33" i="13"/>
  <c r="AE33" i="13" s="1"/>
  <c r="BY34" i="1"/>
  <c r="BH34" i="4" s="1"/>
  <c r="EG33" i="1"/>
  <c r="EI33" i="1" s="1"/>
  <c r="EK33" i="1"/>
  <c r="EM33" i="1" s="1"/>
  <c r="CW33" i="1"/>
  <c r="CY33" i="1" s="1"/>
  <c r="CA33" i="1"/>
  <c r="AL33" i="4"/>
  <c r="AN33" i="4" s="1"/>
  <c r="BH33" i="4"/>
  <c r="BF33" i="4" s="1"/>
  <c r="BS33" i="4"/>
  <c r="BQ33" i="4" s="1"/>
  <c r="BK33" i="13"/>
  <c r="BM33" i="13" s="1"/>
  <c r="AS33" i="13"/>
  <c r="CS36" i="1"/>
  <c r="CU36" i="1" s="1"/>
  <c r="BF36" i="1"/>
  <c r="BH36" i="1" s="1"/>
  <c r="BE37" i="1"/>
  <c r="BY35" i="1" s="1"/>
  <c r="AS35" i="13" s="1"/>
  <c r="DQ36" i="1"/>
  <c r="DS36" i="1" s="1"/>
  <c r="DR35" i="1"/>
  <c r="DT35" i="1" s="1"/>
  <c r="CX33" i="1"/>
  <c r="CZ33" i="1" s="1"/>
  <c r="FV41" i="1"/>
  <c r="GH38" i="1" s="1"/>
  <c r="GH37" i="1"/>
  <c r="GJ37" i="1" s="1"/>
  <c r="GG38" i="1"/>
  <c r="GI38" i="1" s="1"/>
  <c r="FU42" i="1"/>
  <c r="FW42" i="1" s="1"/>
  <c r="Q32" i="8"/>
  <c r="AO32" i="8"/>
  <c r="AQ32" i="8" s="1"/>
  <c r="Q32" i="13"/>
  <c r="BE32" i="8"/>
  <c r="BG32" i="8" s="1"/>
  <c r="BC32" i="8"/>
  <c r="S32" i="13"/>
  <c r="V32" i="13" s="1"/>
  <c r="AF32" i="13"/>
  <c r="AH32" i="13" s="1"/>
  <c r="AP32" i="8"/>
  <c r="AB32" i="8"/>
  <c r="AD32" i="8" s="1"/>
  <c r="BB32" i="8"/>
  <c r="BD32" i="8" s="1"/>
  <c r="Z32" i="8"/>
  <c r="AH32" i="8"/>
  <c r="AH32" i="9"/>
  <c r="CI32" i="9" s="1"/>
  <c r="CG33" i="9"/>
  <c r="BA31" i="9"/>
  <c r="BE31" i="9" s="1"/>
  <c r="AN31" i="9"/>
  <c r="AP31" i="9" s="1"/>
  <c r="CM32" i="9"/>
  <c r="GN33" i="1"/>
  <c r="Y32" i="9"/>
  <c r="AA32" i="9" s="1"/>
  <c r="R33" i="9"/>
  <c r="AA31" i="9"/>
  <c r="GR32" i="1"/>
  <c r="R31" i="13"/>
  <c r="R32" i="13"/>
  <c r="T31" i="13"/>
  <c r="E31" i="11" s="1"/>
  <c r="AG31" i="13"/>
  <c r="AI31" i="13" s="1"/>
  <c r="AQ31" i="8"/>
  <c r="DX32" i="1"/>
  <c r="BV32" i="9"/>
  <c r="BX32" i="9" s="1"/>
  <c r="AN32" i="6"/>
  <c r="AP32" i="6" s="1"/>
  <c r="AT31" i="9"/>
  <c r="AT30" i="9"/>
  <c r="FT32" i="1"/>
  <c r="AH31" i="8"/>
  <c r="AK31" i="9"/>
  <c r="CI31" i="9"/>
  <c r="DW34" i="1"/>
  <c r="FH34" i="1"/>
  <c r="FR32" i="1"/>
  <c r="FP32" i="1"/>
  <c r="AS43" i="1"/>
  <c r="BR33" i="6"/>
  <c r="BT33" i="6" s="1"/>
  <c r="FJ34" i="1"/>
  <c r="FL34" i="1"/>
  <c r="CS33" i="6"/>
  <c r="CU33" i="6" s="1"/>
  <c r="DK33" i="6"/>
  <c r="DM33" i="6" s="1"/>
  <c r="FF34" i="1"/>
  <c r="AP43" i="1"/>
  <c r="DC34" i="6"/>
  <c r="GX35" i="1"/>
  <c r="GZ35" i="1" s="1"/>
  <c r="FN31" i="1"/>
  <c r="CK34" i="1"/>
  <c r="FA34" i="1" s="1"/>
  <c r="FC34" i="1" s="1"/>
  <c r="FK35" i="1"/>
  <c r="DB33" i="6"/>
  <c r="DD33" i="6" s="1"/>
  <c r="U33" i="6"/>
  <c r="W33" i="6" s="1"/>
  <c r="CB34" i="6"/>
  <c r="CA33" i="6"/>
  <c r="CC33" i="6" s="1"/>
  <c r="AR43" i="1"/>
  <c r="CJ33" i="6"/>
  <c r="CL33" i="6" s="1"/>
  <c r="BL37" i="1"/>
  <c r="V43" i="1"/>
  <c r="AQ43" i="1"/>
  <c r="DV33" i="1"/>
  <c r="DX33" i="1" s="1"/>
  <c r="AI33" i="6"/>
  <c r="AL33" i="6" s="1"/>
  <c r="BO36" i="1"/>
  <c r="FE35" i="1"/>
  <c r="V34" i="6"/>
  <c r="U43" i="1"/>
  <c r="ED34" i="1"/>
  <c r="AH35" i="6"/>
  <c r="AJ35" i="6" s="1"/>
  <c r="DA35" i="6"/>
  <c r="DC35" i="6" s="1"/>
  <c r="BZ35" i="6"/>
  <c r="CB35" i="6" s="1"/>
  <c r="BQ35" i="6"/>
  <c r="BS35" i="6" s="1"/>
  <c r="CR35" i="6"/>
  <c r="CT35" i="6" s="1"/>
  <c r="T35" i="6"/>
  <c r="V35" i="6" s="1"/>
  <c r="DJ35" i="6"/>
  <c r="DL35" i="6" s="1"/>
  <c r="CI35" i="6"/>
  <c r="CK35" i="6" s="1"/>
  <c r="DU35" i="1"/>
  <c r="DW35" i="1" s="1"/>
  <c r="CI35" i="1"/>
  <c r="BF32" i="6"/>
  <c r="BZ31" i="13"/>
  <c r="CA31" i="13"/>
  <c r="CA30" i="13"/>
  <c r="BZ30" i="13"/>
  <c r="BS31" i="8"/>
  <c r="AP30" i="9"/>
  <c r="AO33" i="8"/>
  <c r="P33" i="13"/>
  <c r="R33" i="13" s="1"/>
  <c r="BH33" i="6"/>
  <c r="BF31" i="9"/>
  <c r="BF30" i="9"/>
  <c r="BE30" i="9"/>
  <c r="BC30" i="9"/>
  <c r="BI30" i="9"/>
  <c r="BD34" i="6"/>
  <c r="BJ34" i="6" s="1"/>
  <c r="AU34" i="6"/>
  <c r="AW34" i="6" s="1"/>
  <c r="AG34" i="6"/>
  <c r="DB35" i="1"/>
  <c r="DD35" i="1" s="1"/>
  <c r="GM34" i="1"/>
  <c r="GM33" i="1"/>
  <c r="CO35" i="1"/>
  <c r="CQ35" i="1" s="1"/>
  <c r="GC34" i="1"/>
  <c r="GO34" i="1"/>
  <c r="AP31" i="6"/>
  <c r="BS34" i="6"/>
  <c r="BQ31" i="8"/>
  <c r="BS30" i="8"/>
  <c r="BQ30" i="8"/>
  <c r="AX32" i="6"/>
  <c r="AX31" i="6"/>
  <c r="EX35" i="1"/>
  <c r="EZ35" i="1" s="1"/>
  <c r="FD32" i="1"/>
  <c r="FD31" i="1"/>
  <c r="BM37" i="1"/>
  <c r="CG36" i="1" s="1"/>
  <c r="BN36" i="1"/>
  <c r="DA36" i="1"/>
  <c r="P34" i="4"/>
  <c r="P33" i="4"/>
  <c r="BK32" i="6"/>
  <c r="BG32" i="6"/>
  <c r="BG31" i="6"/>
  <c r="BK31" i="6"/>
  <c r="GT39" i="1"/>
  <c r="GX36" i="1" s="1"/>
  <c r="GS40" i="1"/>
  <c r="GW37" i="1" s="1"/>
  <c r="AA32" i="6"/>
  <c r="G31" i="11"/>
  <c r="AA31" i="6"/>
  <c r="Z34" i="4"/>
  <c r="GC33" i="1"/>
  <c r="GO33" i="1"/>
  <c r="Z33" i="4"/>
  <c r="CL33" i="1"/>
  <c r="FB33" i="1" s="1"/>
  <c r="FD33" i="1" s="1"/>
  <c r="DJ36" i="1"/>
  <c r="DL36" i="1" s="1"/>
  <c r="BX36" i="1"/>
  <c r="BA34" i="8"/>
  <c r="AA34" i="8"/>
  <c r="AE34" i="8"/>
  <c r="EC34" i="1"/>
  <c r="CQ34" i="1"/>
  <c r="BH31" i="8"/>
  <c r="BH30" i="8"/>
  <c r="AN34" i="8"/>
  <c r="O34" i="13"/>
  <c r="EY36" i="1"/>
  <c r="EY35" i="1"/>
  <c r="P34" i="9"/>
  <c r="BR34" i="9"/>
  <c r="BT34" i="9" s="1"/>
  <c r="CE34" i="9"/>
  <c r="X34" i="8"/>
  <c r="AF34" i="8" s="1"/>
  <c r="O34" i="8"/>
  <c r="Y34" i="4"/>
  <c r="AB34" i="4" s="1"/>
  <c r="O34" i="4"/>
  <c r="R34" i="4" s="1"/>
  <c r="GL34" i="1"/>
  <c r="GN34" i="1" s="1"/>
  <c r="CH34" i="1"/>
  <c r="AT43" i="1"/>
  <c r="X34" i="6"/>
  <c r="Z34" i="6" s="1"/>
  <c r="AA33" i="8"/>
  <c r="Y34" i="8"/>
  <c r="BA33" i="8"/>
  <c r="Y33" i="8"/>
  <c r="AE33" i="8"/>
  <c r="AE9" i="8" s="1"/>
  <c r="AG9" i="8" s="1"/>
  <c r="BU38" i="1"/>
  <c r="CO36" i="1" s="1"/>
  <c r="BV37" i="1"/>
  <c r="BX37" i="1" s="1"/>
  <c r="DI37" i="1"/>
  <c r="DK37" i="1" s="1"/>
  <c r="AM34" i="6"/>
  <c r="AO34" i="6" s="1"/>
  <c r="GD33" i="1"/>
  <c r="GF33" i="1" s="1"/>
  <c r="GP33" i="1"/>
  <c r="GR33" i="1" s="1"/>
  <c r="GW36" i="1"/>
  <c r="AN33" i="8"/>
  <c r="P34" i="8"/>
  <c r="O33" i="13"/>
  <c r="O9" i="13" s="1"/>
  <c r="P33" i="8"/>
  <c r="E30" i="11"/>
  <c r="BY30" i="13"/>
  <c r="CL34" i="9"/>
  <c r="FC33" i="1"/>
  <c r="FC32" i="1"/>
  <c r="BR32" i="8"/>
  <c r="BT32" i="8" s="1"/>
  <c r="BB33" i="8"/>
  <c r="AB33" i="8"/>
  <c r="AO33" i="6"/>
  <c r="Z33" i="6"/>
  <c r="F32" i="11"/>
  <c r="EP35" i="1"/>
  <c r="ER35" i="1" s="1"/>
  <c r="DF35" i="1"/>
  <c r="FL35" i="1" s="1"/>
  <c r="DN35" i="1"/>
  <c r="F33" i="11"/>
  <c r="AI30" i="13"/>
  <c r="BU34" i="9"/>
  <c r="GU39" i="1"/>
  <c r="AJ34" i="6"/>
  <c r="EU33" i="1"/>
  <c r="EU32" i="1"/>
  <c r="G32" i="11"/>
  <c r="BS34" i="9"/>
  <c r="BU33" i="9"/>
  <c r="BU9" i="9" s="1"/>
  <c r="BS33" i="9"/>
  <c r="EA33" i="1"/>
  <c r="EA32" i="1"/>
  <c r="FS32" i="1"/>
  <c r="FQ32" i="1"/>
  <c r="BW31" i="13"/>
  <c r="BW30" i="13"/>
  <c r="AU43" i="1"/>
  <c r="AG34" i="9"/>
  <c r="AQ34" i="9" s="1"/>
  <c r="X34" i="9"/>
  <c r="BV33" i="9"/>
  <c r="CL33" i="9"/>
  <c r="CL9" i="9" s="1"/>
  <c r="CF34" i="9"/>
  <c r="CF33" i="9"/>
  <c r="FO32" i="1"/>
  <c r="EI32" i="1"/>
  <c r="FM32" i="1"/>
  <c r="EJ32" i="1"/>
  <c r="EJ31" i="1"/>
  <c r="BQ37" i="1"/>
  <c r="CK35" i="1" s="1"/>
  <c r="DM36" i="1"/>
  <c r="BR36" i="1"/>
  <c r="EO36" i="1"/>
  <c r="DE36" i="1"/>
  <c r="CM33" i="9"/>
  <c r="BT31" i="8"/>
  <c r="BT30" i="8"/>
  <c r="FG35" i="1"/>
  <c r="EV32" i="1"/>
  <c r="EV31" i="1"/>
  <c r="AW33" i="6"/>
  <c r="FZ37" i="1"/>
  <c r="GB37" i="1" s="1"/>
  <c r="Z33" i="8"/>
  <c r="BS36" i="1"/>
  <c r="Q34" i="9"/>
  <c r="X33" i="9"/>
  <c r="X9" i="9" s="1"/>
  <c r="Z9" i="9" s="1"/>
  <c r="AG33" i="9"/>
  <c r="CH33" i="9" s="1"/>
  <c r="Q33" i="9"/>
  <c r="DU33" i="6"/>
  <c r="DU32" i="6"/>
  <c r="BF33" i="6"/>
  <c r="BJ33" i="6"/>
  <c r="BH32" i="6"/>
  <c r="BQ35" i="9"/>
  <c r="BS35" i="9" s="1"/>
  <c r="CD35" i="9"/>
  <c r="CF35" i="9" s="1"/>
  <c r="O35" i="9"/>
  <c r="Q35" i="9" s="1"/>
  <c r="W35" i="8"/>
  <c r="Y35" i="8" s="1"/>
  <c r="N35" i="8"/>
  <c r="P35" i="8" s="1"/>
  <c r="X35" i="4"/>
  <c r="Z35" i="4" s="1"/>
  <c r="N35" i="4"/>
  <c r="GK35" i="1"/>
  <c r="GM35" i="1" s="1"/>
  <c r="BI39" i="1"/>
  <c r="CC36" i="1" s="1"/>
  <c r="BJ38" i="1"/>
  <c r="FY38" i="1"/>
  <c r="GA38" i="1" s="1"/>
  <c r="BK38" i="1"/>
  <c r="AO32" i="6"/>
  <c r="BT33" i="9"/>
  <c r="FS33" i="1"/>
  <c r="FI35" i="1"/>
  <c r="DV32" i="6"/>
  <c r="DV31" i="6"/>
  <c r="GA37" i="1"/>
  <c r="BU32" i="13"/>
  <c r="BW32" i="13" s="1"/>
  <c r="AG32" i="13"/>
  <c r="T32" i="13"/>
  <c r="AU31" i="8"/>
  <c r="AU30" i="8"/>
  <c r="R33" i="4"/>
  <c r="A45" i="1"/>
  <c r="Y44" i="1"/>
  <c r="AK44" i="1" s="1"/>
  <c r="X44" i="1"/>
  <c r="AJ44" i="1" s="1"/>
  <c r="AH44" i="1"/>
  <c r="AC44" i="1"/>
  <c r="AO44" i="1" s="1"/>
  <c r="Z44" i="1"/>
  <c r="AL44" i="1" s="1"/>
  <c r="AI44" i="1"/>
  <c r="AE44" i="1"/>
  <c r="AB44" i="1"/>
  <c r="AN44" i="1" s="1"/>
  <c r="AF44" i="1"/>
  <c r="AD44" i="1"/>
  <c r="AG44" i="1"/>
  <c r="AA44" i="1"/>
  <c r="AM44" i="1" s="1"/>
  <c r="B44" i="1"/>
  <c r="D44" i="1"/>
  <c r="C44" i="1"/>
  <c r="W44" i="1" s="1"/>
  <c r="FQ33" i="1"/>
  <c r="AH33" i="9"/>
  <c r="Y33" i="9"/>
  <c r="EB32" i="1"/>
  <c r="EB31" i="1"/>
  <c r="BJ31" i="9"/>
  <c r="BJ30" i="9"/>
  <c r="Z32" i="6"/>
  <c r="Q33" i="8"/>
  <c r="EQ35" i="1"/>
  <c r="E43" i="1"/>
  <c r="AF33" i="8"/>
  <c r="CR34" i="1"/>
  <c r="ED33" i="1"/>
  <c r="EL33" i="1"/>
  <c r="CR33" i="1"/>
  <c r="FR31" i="1"/>
  <c r="AE200" i="23"/>
  <c r="AD200" i="23"/>
  <c r="AR199" i="23"/>
  <c r="AQ199" i="23"/>
  <c r="AP199" i="23"/>
  <c r="AO199" i="23"/>
  <c r="AN199" i="23"/>
  <c r="AW44" i="1"/>
  <c r="AY44" i="1"/>
  <c r="AV44" i="1"/>
  <c r="AX44" i="1"/>
  <c r="BC44" i="1"/>
  <c r="BB44" i="1"/>
  <c r="AZ44" i="1"/>
  <c r="BA44" i="1"/>
  <c r="O43" i="1"/>
  <c r="K43" i="1"/>
  <c r="T43" i="1"/>
  <c r="P43" i="1"/>
  <c r="J43" i="1"/>
  <c r="M43" i="1"/>
  <c r="G43" i="1"/>
  <c r="H43" i="1"/>
  <c r="N43" i="1"/>
  <c r="L43" i="1"/>
  <c r="Q43" i="1"/>
  <c r="S43" i="1"/>
  <c r="I43" i="1"/>
  <c r="F43" i="1"/>
  <c r="R43" i="1"/>
  <c r="FU43" i="1" l="1"/>
  <c r="GG40" i="1" s="1"/>
  <c r="BD32" i="9"/>
  <c r="BF32" i="9" s="1"/>
  <c r="BH32" i="9"/>
  <c r="BJ32" i="9" s="1"/>
  <c r="CH9" i="9"/>
  <c r="CJ9" i="9" s="1"/>
  <c r="CN32" i="9"/>
  <c r="BV9" i="9"/>
  <c r="AT9" i="13"/>
  <c r="CM9" i="9"/>
  <c r="AM9" i="4"/>
  <c r="AO9" i="4" s="1"/>
  <c r="AU33" i="13"/>
  <c r="AS9" i="13"/>
  <c r="Y9" i="9"/>
  <c r="AH9" i="9"/>
  <c r="BV32" i="13"/>
  <c r="BK33" i="4"/>
  <c r="AZ33" i="4"/>
  <c r="AV33" i="4"/>
  <c r="AD33" i="13"/>
  <c r="BV33" i="4"/>
  <c r="BJ33" i="4"/>
  <c r="DQ37" i="1"/>
  <c r="DS37" i="1" s="1"/>
  <c r="AY33" i="4"/>
  <c r="AW34" i="4"/>
  <c r="BK34" i="13"/>
  <c r="FE36" i="1"/>
  <c r="EK34" i="1"/>
  <c r="EM34" i="1" s="1"/>
  <c r="BU33" i="4"/>
  <c r="AB34" i="13"/>
  <c r="AD34" i="13" s="1"/>
  <c r="CW34" i="1"/>
  <c r="CY34" i="1" s="1"/>
  <c r="BS34" i="4"/>
  <c r="CA34" i="1"/>
  <c r="AU33" i="4"/>
  <c r="AS34" i="13"/>
  <c r="AU34" i="13" s="1"/>
  <c r="AB35" i="13"/>
  <c r="CW35" i="1"/>
  <c r="BK35" i="13"/>
  <c r="FH35" i="1"/>
  <c r="FO33" i="1"/>
  <c r="BG37" i="1"/>
  <c r="BJ34" i="4"/>
  <c r="CA35" i="1"/>
  <c r="AL34" i="4"/>
  <c r="AN34" i="4" s="1"/>
  <c r="FM33" i="1"/>
  <c r="CS37" i="1"/>
  <c r="CU37" i="1" s="1"/>
  <c r="CV37" i="1" s="1"/>
  <c r="DR36" i="1"/>
  <c r="DT36" i="1" s="1"/>
  <c r="BZ34" i="1"/>
  <c r="CB34" i="1" s="1"/>
  <c r="BH35" i="4"/>
  <c r="AY35" i="4" s="1"/>
  <c r="AL35" i="4"/>
  <c r="AW35" i="4"/>
  <c r="CT36" i="1"/>
  <c r="BS35" i="4"/>
  <c r="BQ35" i="4" s="1"/>
  <c r="BF37" i="1"/>
  <c r="BZ35" i="1" s="1"/>
  <c r="BE38" i="1"/>
  <c r="BG38" i="1" s="1"/>
  <c r="FX41" i="1"/>
  <c r="FV42" i="1"/>
  <c r="FX42" i="1" s="1"/>
  <c r="GG39" i="1"/>
  <c r="GI39" i="1" s="1"/>
  <c r="AS32" i="8"/>
  <c r="AU32" i="8" s="1"/>
  <c r="AQ33" i="8"/>
  <c r="D32" i="11"/>
  <c r="AD33" i="8"/>
  <c r="BO32" i="8"/>
  <c r="BQ32" i="8" s="1"/>
  <c r="BF32" i="8"/>
  <c r="BH32" i="8" s="1"/>
  <c r="BD33" i="8"/>
  <c r="U32" i="13"/>
  <c r="BA32" i="9"/>
  <c r="BC32" i="9" s="1"/>
  <c r="AN32" i="9"/>
  <c r="AP32" i="9" s="1"/>
  <c r="AR32" i="9"/>
  <c r="BC31" i="9"/>
  <c r="BI31" i="9"/>
  <c r="BK31" i="9" s="1"/>
  <c r="AK32" i="9"/>
  <c r="CK32" i="9"/>
  <c r="AI32" i="13"/>
  <c r="BY31" i="13"/>
  <c r="BX33" i="9"/>
  <c r="CM34" i="1"/>
  <c r="CO32" i="9"/>
  <c r="X35" i="6"/>
  <c r="F35" i="11" s="1"/>
  <c r="ES34" i="1"/>
  <c r="EU34" i="1" s="1"/>
  <c r="BI33" i="6"/>
  <c r="BE33" i="6"/>
  <c r="BK33" i="6" s="1"/>
  <c r="AV33" i="6"/>
  <c r="AX33" i="6" s="1"/>
  <c r="Y33" i="6"/>
  <c r="AA33" i="6" s="1"/>
  <c r="AN33" i="6"/>
  <c r="AP33" i="6" s="1"/>
  <c r="CO31" i="9"/>
  <c r="CK31" i="9"/>
  <c r="EG34" i="1"/>
  <c r="EI34" i="1" s="1"/>
  <c r="DS34" i="6"/>
  <c r="DU34" i="6" s="1"/>
  <c r="DY34" i="1"/>
  <c r="EA34" i="1" s="1"/>
  <c r="AS44" i="1"/>
  <c r="AM35" i="6"/>
  <c r="AO35" i="6" s="1"/>
  <c r="AY34" i="4"/>
  <c r="AQ44" i="1"/>
  <c r="GV39" i="1"/>
  <c r="AR44" i="1"/>
  <c r="AU44" i="1"/>
  <c r="CH34" i="9"/>
  <c r="CJ34" i="9" s="1"/>
  <c r="R34" i="9"/>
  <c r="V44" i="1"/>
  <c r="BF34" i="6"/>
  <c r="Z34" i="8"/>
  <c r="DP35" i="1"/>
  <c r="CG34" i="9"/>
  <c r="BO37" i="1"/>
  <c r="EC36" i="1"/>
  <c r="CJ33" i="9"/>
  <c r="CN33" i="9"/>
  <c r="DS35" i="6"/>
  <c r="EG35" i="1"/>
  <c r="DY35" i="1"/>
  <c r="ES35" i="1"/>
  <c r="CM35" i="1"/>
  <c r="BZ36" i="6"/>
  <c r="CB36" i="6" s="1"/>
  <c r="DJ36" i="6"/>
  <c r="DL36" i="6" s="1"/>
  <c r="BQ36" i="6"/>
  <c r="BS36" i="6" s="1"/>
  <c r="DA36" i="6"/>
  <c r="DC36" i="6" s="1"/>
  <c r="CR36" i="6"/>
  <c r="T36" i="6"/>
  <c r="V36" i="6" s="1"/>
  <c r="CI36" i="6"/>
  <c r="AH36" i="6"/>
  <c r="AJ36" i="6" s="1"/>
  <c r="DU36" i="1"/>
  <c r="DW36" i="1" s="1"/>
  <c r="CI36" i="1"/>
  <c r="BQ36" i="9"/>
  <c r="BS36" i="9" s="1"/>
  <c r="CD36" i="9"/>
  <c r="O36" i="9"/>
  <c r="Q36" i="9" s="1"/>
  <c r="N36" i="8"/>
  <c r="W36" i="8"/>
  <c r="X36" i="4"/>
  <c r="Z36" i="4" s="1"/>
  <c r="N36" i="4"/>
  <c r="P36" i="4" s="1"/>
  <c r="GK36" i="1"/>
  <c r="GM36" i="1" s="1"/>
  <c r="CE36" i="1"/>
  <c r="CV36" i="1"/>
  <c r="AR33" i="8"/>
  <c r="AP34" i="8"/>
  <c r="AP33" i="8"/>
  <c r="BD35" i="6"/>
  <c r="BF35" i="6" s="1"/>
  <c r="AU35" i="6"/>
  <c r="AW35" i="6" s="1"/>
  <c r="AG35" i="6"/>
  <c r="AP44" i="1"/>
  <c r="AQ33" i="9"/>
  <c r="AQ9" i="9" s="1"/>
  <c r="BK30" i="9"/>
  <c r="GY37" i="1"/>
  <c r="GY36" i="1"/>
  <c r="BA33" i="9"/>
  <c r="AN33" i="9"/>
  <c r="DH35" i="1"/>
  <c r="EE34" i="1"/>
  <c r="E44" i="1"/>
  <c r="U44" i="1"/>
  <c r="FZ38" i="1"/>
  <c r="GB38" i="1" s="1"/>
  <c r="DO36" i="1"/>
  <c r="AG34" i="8"/>
  <c r="AG33" i="8"/>
  <c r="FG36" i="1"/>
  <c r="FF35" i="1"/>
  <c r="BG31" i="9"/>
  <c r="BG30" i="9"/>
  <c r="BI40" i="1"/>
  <c r="CC37" i="1" s="1"/>
  <c r="CE37" i="1" s="1"/>
  <c r="BJ39" i="1"/>
  <c r="FY39" i="1"/>
  <c r="GA39" i="1" s="1"/>
  <c r="BT34" i="13"/>
  <c r="AF34" i="13"/>
  <c r="S34" i="13"/>
  <c r="BK39" i="1"/>
  <c r="BW34" i="9"/>
  <c r="BW33" i="9"/>
  <c r="BE33" i="8"/>
  <c r="BC34" i="8"/>
  <c r="BN33" i="8"/>
  <c r="BC33" i="8"/>
  <c r="GJ38" i="1"/>
  <c r="AR34" i="8"/>
  <c r="AE35" i="8"/>
  <c r="CQ36" i="1"/>
  <c r="EK35" i="1"/>
  <c r="EC35" i="1"/>
  <c r="EE35" i="1" s="1"/>
  <c r="FA35" i="1"/>
  <c r="FC35" i="1" s="1"/>
  <c r="DG36" i="1"/>
  <c r="AC34" i="8"/>
  <c r="AC33" i="8"/>
  <c r="CJ34" i="6"/>
  <c r="AI34" i="6"/>
  <c r="U34" i="6"/>
  <c r="CA34" i="6"/>
  <c r="DB34" i="6"/>
  <c r="CS34" i="6"/>
  <c r="DK34" i="6"/>
  <c r="BR34" i="6"/>
  <c r="DV34" i="1"/>
  <c r="CJ34" i="1"/>
  <c r="FI36" i="1"/>
  <c r="DB36" i="1"/>
  <c r="DD36" i="1" s="1"/>
  <c r="A46" i="1"/>
  <c r="Y45" i="1"/>
  <c r="AK45" i="1" s="1"/>
  <c r="AI45" i="1"/>
  <c r="AG45" i="1"/>
  <c r="AE45" i="1"/>
  <c r="X45" i="1"/>
  <c r="AJ45" i="1" s="1"/>
  <c r="AF45" i="1"/>
  <c r="AB45" i="1"/>
  <c r="AN45" i="1" s="1"/>
  <c r="AH45" i="1"/>
  <c r="AC45" i="1"/>
  <c r="AO45" i="1" s="1"/>
  <c r="Z45" i="1"/>
  <c r="AL45" i="1" s="1"/>
  <c r="AA45" i="1"/>
  <c r="AM45" i="1" s="1"/>
  <c r="AD45" i="1"/>
  <c r="B45" i="1"/>
  <c r="D45" i="1"/>
  <c r="C45" i="1"/>
  <c r="V45" i="1" s="1"/>
  <c r="GC35" i="1"/>
  <c r="GO35" i="1"/>
  <c r="GQ35" i="1" s="1"/>
  <c r="BF33" i="8"/>
  <c r="BO33" i="8"/>
  <c r="FK36" i="1"/>
  <c r="BM38" i="1"/>
  <c r="CG37" i="1" s="1"/>
  <c r="BN37" i="1"/>
  <c r="CH36" i="1" s="1"/>
  <c r="DA37" i="1"/>
  <c r="DN36" i="1"/>
  <c r="DP36" i="1" s="1"/>
  <c r="DF36" i="1"/>
  <c r="FL36" i="1" s="1"/>
  <c r="EP36" i="1"/>
  <c r="ER36" i="1" s="1"/>
  <c r="AR33" i="9"/>
  <c r="BZ32" i="13"/>
  <c r="GT40" i="1"/>
  <c r="GV40" i="1" s="1"/>
  <c r="GS41" i="1"/>
  <c r="GW38" i="1" s="1"/>
  <c r="AN35" i="8"/>
  <c r="AP35" i="8" s="1"/>
  <c r="O35" i="13"/>
  <c r="BQ38" i="1"/>
  <c r="BS38" i="1" s="1"/>
  <c r="DM37" i="1"/>
  <c r="DO37" i="1" s="1"/>
  <c r="BR37" i="1"/>
  <c r="CL35" i="1" s="1"/>
  <c r="DE37" i="1"/>
  <c r="FI37" i="1" s="1"/>
  <c r="EO37" i="1"/>
  <c r="EQ37" i="1" s="1"/>
  <c r="CA32" i="13"/>
  <c r="BE34" i="8"/>
  <c r="BN34" i="8"/>
  <c r="DC36" i="1"/>
  <c r="BA35" i="8"/>
  <c r="BC35" i="8" s="1"/>
  <c r="AA35" i="8"/>
  <c r="BS37" i="1"/>
  <c r="GD34" i="1"/>
  <c r="GF34" i="1" s="1"/>
  <c r="GP34" i="1"/>
  <c r="GU40" i="1"/>
  <c r="CH35" i="1"/>
  <c r="CJ35" i="1" s="1"/>
  <c r="AZ33" i="9"/>
  <c r="AZ9" i="9" s="1"/>
  <c r="BB9" i="9" s="1"/>
  <c r="AI34" i="9"/>
  <c r="AL33" i="9"/>
  <c r="AL9" i="9" s="1"/>
  <c r="AO9" i="9" s="1"/>
  <c r="AI33" i="9"/>
  <c r="CP35" i="1"/>
  <c r="P35" i="4"/>
  <c r="Z34" i="9"/>
  <c r="Z33" i="9"/>
  <c r="CI33" i="9"/>
  <c r="CI9" i="9" s="1"/>
  <c r="AO34" i="8"/>
  <c r="AQ34" i="8" s="1"/>
  <c r="P34" i="13"/>
  <c r="R34" i="13" s="1"/>
  <c r="EX36" i="1"/>
  <c r="EZ36" i="1" s="1"/>
  <c r="BP36" i="1"/>
  <c r="AU34" i="4"/>
  <c r="BF34" i="4"/>
  <c r="F34" i="11"/>
  <c r="BB34" i="8"/>
  <c r="AB34" i="8"/>
  <c r="BU31" i="8"/>
  <c r="BU30" i="8"/>
  <c r="EN33" i="1"/>
  <c r="X35" i="9"/>
  <c r="Z35" i="9" s="1"/>
  <c r="AG35" i="9"/>
  <c r="CH35" i="9" s="1"/>
  <c r="AZ34" i="9"/>
  <c r="AL34" i="9"/>
  <c r="CM34" i="9"/>
  <c r="CL35" i="9"/>
  <c r="CL34" i="1"/>
  <c r="CN34" i="1" s="1"/>
  <c r="FJ35" i="1"/>
  <c r="EF34" i="1"/>
  <c r="EF33" i="1"/>
  <c r="EW37" i="1"/>
  <c r="BV34" i="9"/>
  <c r="BX34" i="9" s="1"/>
  <c r="DT33" i="6"/>
  <c r="EH33" i="1"/>
  <c r="ET33" i="1"/>
  <c r="DZ33" i="1"/>
  <c r="CN33" i="1"/>
  <c r="BH34" i="6"/>
  <c r="AA33" i="9"/>
  <c r="BU35" i="9"/>
  <c r="BW35" i="9" s="1"/>
  <c r="AH34" i="9"/>
  <c r="CI34" i="9" s="1"/>
  <c r="Y34" i="9"/>
  <c r="GZ36" i="1"/>
  <c r="AT44" i="1"/>
  <c r="CD35" i="1"/>
  <c r="E32" i="11"/>
  <c r="BY32" i="13"/>
  <c r="AH34" i="8"/>
  <c r="AH33" i="8"/>
  <c r="EQ36" i="1"/>
  <c r="Q34" i="13"/>
  <c r="BT33" i="13"/>
  <c r="BT9" i="13" s="1"/>
  <c r="BV9" i="13" s="1"/>
  <c r="AF33" i="13"/>
  <c r="Q33" i="13"/>
  <c r="S33" i="13"/>
  <c r="GQ34" i="1"/>
  <c r="GQ33" i="1"/>
  <c r="Q34" i="8"/>
  <c r="DJ37" i="1"/>
  <c r="DL37" i="1" s="1"/>
  <c r="BU33" i="13"/>
  <c r="BW33" i="13" s="1"/>
  <c r="AG33" i="13"/>
  <c r="AI33" i="13" s="1"/>
  <c r="T33" i="13"/>
  <c r="BL38" i="1"/>
  <c r="BT36" i="1"/>
  <c r="BU39" i="1"/>
  <c r="CO37" i="1" s="1"/>
  <c r="DI38" i="1"/>
  <c r="DK38" i="1" s="1"/>
  <c r="BV38" i="1"/>
  <c r="CP36" i="1" s="1"/>
  <c r="BW38" i="1"/>
  <c r="GE34" i="1"/>
  <c r="GE33" i="1"/>
  <c r="AK33" i="9"/>
  <c r="AS33" i="8"/>
  <c r="AK199" i="23"/>
  <c r="AJ199" i="23"/>
  <c r="AI199" i="23"/>
  <c r="AH199" i="23"/>
  <c r="AG199" i="23"/>
  <c r="AX45" i="1"/>
  <c r="BC45" i="1"/>
  <c r="AZ45" i="1"/>
  <c r="BA45" i="1"/>
  <c r="BB45" i="1"/>
  <c r="H44" i="1"/>
  <c r="P44" i="1"/>
  <c r="G44" i="1"/>
  <c r="L44" i="1"/>
  <c r="S44" i="1"/>
  <c r="N44" i="1"/>
  <c r="R44" i="1"/>
  <c r="O44" i="1"/>
  <c r="M44" i="1"/>
  <c r="F44" i="1"/>
  <c r="I44" i="1"/>
  <c r="K44" i="1"/>
  <c r="Q44" i="1"/>
  <c r="T44" i="1"/>
  <c r="J44" i="1"/>
  <c r="AV45" i="1"/>
  <c r="AY45" i="1"/>
  <c r="AW45" i="1"/>
  <c r="FV43" i="1" l="1"/>
  <c r="FX43" i="1" s="1"/>
  <c r="FW43" i="1"/>
  <c r="BZ10" i="6"/>
  <c r="BQ10" i="9"/>
  <c r="BS10" i="9" s="1"/>
  <c r="DJ10" i="6"/>
  <c r="Y36" i="8"/>
  <c r="W10" i="8"/>
  <c r="AN9" i="9"/>
  <c r="O10" i="9"/>
  <c r="Q10" i="9" s="1"/>
  <c r="P36" i="8"/>
  <c r="N10" i="8"/>
  <c r="CF36" i="9"/>
  <c r="CD10" i="9"/>
  <c r="CF10" i="9" s="1"/>
  <c r="AT32" i="9"/>
  <c r="AR9" i="9"/>
  <c r="CK36" i="6"/>
  <c r="CI10" i="6"/>
  <c r="BQ10" i="6"/>
  <c r="BA9" i="9"/>
  <c r="BC9" i="9" s="1"/>
  <c r="CT36" i="6"/>
  <c r="CR10" i="6"/>
  <c r="T10" i="6"/>
  <c r="DA10" i="6"/>
  <c r="AH10" i="6"/>
  <c r="X10" i="4"/>
  <c r="N10" i="4"/>
  <c r="P10" i="4" s="1"/>
  <c r="BM34" i="13"/>
  <c r="EM35" i="1"/>
  <c r="AE34" i="13"/>
  <c r="AD35" i="13"/>
  <c r="AU35" i="13"/>
  <c r="BU34" i="4"/>
  <c r="BQ34" i="4"/>
  <c r="AE35" i="13"/>
  <c r="BM35" i="13"/>
  <c r="CY35" i="1"/>
  <c r="AN35" i="4"/>
  <c r="BU35" i="4"/>
  <c r="BF35" i="4"/>
  <c r="CT37" i="1"/>
  <c r="BJ35" i="4"/>
  <c r="AU35" i="4"/>
  <c r="DQ38" i="1"/>
  <c r="DS38" i="1" s="1"/>
  <c r="CB35" i="1"/>
  <c r="CX35" i="1"/>
  <c r="EL34" i="1"/>
  <c r="EN34" i="1" s="1"/>
  <c r="BL34" i="13"/>
  <c r="BN34" i="13" s="1"/>
  <c r="AM35" i="4"/>
  <c r="BT34" i="4"/>
  <c r="BV34" i="4" s="1"/>
  <c r="BH37" i="1"/>
  <c r="AX35" i="4"/>
  <c r="AM34" i="4"/>
  <c r="CX34" i="1"/>
  <c r="CZ34" i="1" s="1"/>
  <c r="BI34" i="4"/>
  <c r="BK34" i="4" s="1"/>
  <c r="AC34" i="13"/>
  <c r="AT34" i="13"/>
  <c r="AX34" i="4"/>
  <c r="BI35" i="4"/>
  <c r="BG35" i="4" s="1"/>
  <c r="BE39" i="1"/>
  <c r="BY37" i="1" s="1"/>
  <c r="AB37" i="13" s="1"/>
  <c r="DR37" i="1"/>
  <c r="DT37" i="1" s="1"/>
  <c r="BT35" i="4"/>
  <c r="AC35" i="13"/>
  <c r="BF38" i="1"/>
  <c r="BZ36" i="1" s="1"/>
  <c r="AC36" i="13" s="1"/>
  <c r="AT35" i="13"/>
  <c r="BL35" i="13"/>
  <c r="CS38" i="1"/>
  <c r="CU38" i="1" s="1"/>
  <c r="CV38" i="1" s="1"/>
  <c r="BY36" i="1"/>
  <c r="EK36" i="1" s="1"/>
  <c r="EM36" i="1" s="1"/>
  <c r="GH39" i="1"/>
  <c r="GJ39" i="1" s="1"/>
  <c r="GI40" i="1"/>
  <c r="FU44" i="1"/>
  <c r="GG41" i="1" s="1"/>
  <c r="GI41" i="1" s="1"/>
  <c r="AU33" i="8"/>
  <c r="BS32" i="8"/>
  <c r="BU32" i="8" s="1"/>
  <c r="BH33" i="8"/>
  <c r="BI32" i="9"/>
  <c r="BK32" i="9" s="1"/>
  <c r="AT33" i="9"/>
  <c r="BC33" i="9"/>
  <c r="AP33" i="9"/>
  <c r="BE32" i="9"/>
  <c r="Z35" i="6"/>
  <c r="BG33" i="6"/>
  <c r="G33" i="11"/>
  <c r="G9" i="11" s="1"/>
  <c r="EI35" i="1"/>
  <c r="DU35" i="6"/>
  <c r="BJ35" i="6"/>
  <c r="FM34" i="1"/>
  <c r="FO34" i="1"/>
  <c r="FS34" i="1"/>
  <c r="FQ34" i="1"/>
  <c r="EA35" i="1"/>
  <c r="DH36" i="1"/>
  <c r="FE37" i="1"/>
  <c r="FF36" i="1"/>
  <c r="FH36" i="1"/>
  <c r="AS45" i="1"/>
  <c r="AR45" i="1"/>
  <c r="CN34" i="9"/>
  <c r="FK37" i="1"/>
  <c r="BX38" i="1"/>
  <c r="BW39" i="1"/>
  <c r="AM36" i="6"/>
  <c r="EW38" i="1"/>
  <c r="EY38" i="1" s="1"/>
  <c r="CK36" i="1"/>
  <c r="DS36" i="6" s="1"/>
  <c r="DU36" i="6" s="1"/>
  <c r="AR34" i="9"/>
  <c r="AT45" i="1"/>
  <c r="BK40" i="1"/>
  <c r="CN35" i="9"/>
  <c r="CJ35" i="9"/>
  <c r="AI35" i="9"/>
  <c r="AQ35" i="9"/>
  <c r="AS35" i="9" s="1"/>
  <c r="FG37" i="1"/>
  <c r="GX37" i="1"/>
  <c r="GZ37" i="1" s="1"/>
  <c r="AU45" i="1"/>
  <c r="EX37" i="1"/>
  <c r="EZ37" i="1" s="1"/>
  <c r="FJ36" i="1"/>
  <c r="AP45" i="1"/>
  <c r="CR37" i="6"/>
  <c r="CT37" i="6" s="1"/>
  <c r="BQ37" i="6"/>
  <c r="BS37" i="6" s="1"/>
  <c r="T37" i="6"/>
  <c r="X37" i="6" s="1"/>
  <c r="CI37" i="6"/>
  <c r="CK37" i="6" s="1"/>
  <c r="DJ37" i="6"/>
  <c r="DL37" i="6" s="1"/>
  <c r="AH37" i="6"/>
  <c r="AJ37" i="6" s="1"/>
  <c r="DA37" i="6"/>
  <c r="DC37" i="6" s="1"/>
  <c r="BZ37" i="6"/>
  <c r="CB37" i="6" s="1"/>
  <c r="DU37" i="1"/>
  <c r="DW37" i="1" s="1"/>
  <c r="CI37" i="1"/>
  <c r="GY38" i="1"/>
  <c r="CA36" i="6"/>
  <c r="CS36" i="6"/>
  <c r="DK36" i="6"/>
  <c r="BR36" i="6"/>
  <c r="CJ36" i="6"/>
  <c r="AI36" i="6"/>
  <c r="U36" i="6"/>
  <c r="DB36" i="6"/>
  <c r="AH34" i="13"/>
  <c r="AH33" i="13"/>
  <c r="BU40" i="1"/>
  <c r="BW40" i="1" s="1"/>
  <c r="DI39" i="1"/>
  <c r="DK39" i="1" s="1"/>
  <c r="BV39" i="1"/>
  <c r="CP37" i="1" s="1"/>
  <c r="AZ35" i="9"/>
  <c r="BB35" i="9" s="1"/>
  <c r="AL35" i="9"/>
  <c r="AO35" i="9" s="1"/>
  <c r="CK34" i="9"/>
  <c r="CO34" i="9"/>
  <c r="CO33" i="9"/>
  <c r="CK33" i="9"/>
  <c r="W45" i="1"/>
  <c r="CC34" i="6"/>
  <c r="EV33" i="1"/>
  <c r="BI34" i="6"/>
  <c r="BE34" i="6"/>
  <c r="AV34" i="6"/>
  <c r="AL34" i="6"/>
  <c r="EJ33" i="1"/>
  <c r="CL34" i="6"/>
  <c r="BF34" i="8"/>
  <c r="BH34" i="8" s="1"/>
  <c r="BO34" i="8"/>
  <c r="BQ34" i="8" s="1"/>
  <c r="DV33" i="6"/>
  <c r="BD36" i="6"/>
  <c r="AU36" i="6"/>
  <c r="AG36" i="6"/>
  <c r="AG10" i="6" s="1"/>
  <c r="DN37" i="1"/>
  <c r="EP37" i="1"/>
  <c r="ER37" i="1" s="1"/>
  <c r="DF37" i="1"/>
  <c r="DH37" i="1" s="1"/>
  <c r="EB33" i="1"/>
  <c r="EY37" i="1"/>
  <c r="A47" i="1"/>
  <c r="Y46" i="1"/>
  <c r="AK46" i="1" s="1"/>
  <c r="AG46" i="1"/>
  <c r="AD46" i="1"/>
  <c r="AB46" i="1"/>
  <c r="AN46" i="1" s="1"/>
  <c r="X46" i="1"/>
  <c r="AJ46" i="1" s="1"/>
  <c r="AE46" i="1"/>
  <c r="AA46" i="1"/>
  <c r="AM46" i="1" s="1"/>
  <c r="AH46" i="1"/>
  <c r="AF46" i="1"/>
  <c r="AI46" i="1"/>
  <c r="AC46" i="1"/>
  <c r="AO46" i="1" s="1"/>
  <c r="Z46" i="1"/>
  <c r="AL46" i="1" s="1"/>
  <c r="B46" i="1"/>
  <c r="D46" i="1"/>
  <c r="C46" i="1"/>
  <c r="W46" i="1" s="1"/>
  <c r="GC36" i="1"/>
  <c r="GE36" i="1" s="1"/>
  <c r="GO36" i="1"/>
  <c r="BE35" i="8"/>
  <c r="BG35" i="8" s="1"/>
  <c r="BN35" i="8"/>
  <c r="BP35" i="8" s="1"/>
  <c r="BQ39" i="1"/>
  <c r="BS39" i="1" s="1"/>
  <c r="DE38" i="1"/>
  <c r="FI38" i="1" s="1"/>
  <c r="BR38" i="1"/>
  <c r="EX38" i="1" s="1"/>
  <c r="DM38" i="1"/>
  <c r="EO38" i="1"/>
  <c r="EQ38" i="1" s="1"/>
  <c r="AD34" i="8"/>
  <c r="E33" i="11"/>
  <c r="BY33" i="13"/>
  <c r="BA34" i="9"/>
  <c r="BC34" i="9" s="1"/>
  <c r="AN34" i="9"/>
  <c r="AP34" i="9" s="1"/>
  <c r="E45" i="1"/>
  <c r="CR36" i="1"/>
  <c r="ED35" i="1"/>
  <c r="FB35" i="1"/>
  <c r="EL35" i="1"/>
  <c r="CR35" i="1"/>
  <c r="DT35" i="6"/>
  <c r="EH35" i="1"/>
  <c r="ET35" i="1"/>
  <c r="DZ35" i="1"/>
  <c r="DG37" i="1"/>
  <c r="D34" i="11"/>
  <c r="BA36" i="8"/>
  <c r="BA10" i="8" s="1"/>
  <c r="AA36" i="8"/>
  <c r="AA10" i="8" s="1"/>
  <c r="FP33" i="1"/>
  <c r="BT35" i="13"/>
  <c r="BV35" i="13" s="1"/>
  <c r="AF35" i="13"/>
  <c r="AH35" i="13" s="1"/>
  <c r="S35" i="13"/>
  <c r="U35" i="13" s="1"/>
  <c r="AN36" i="8"/>
  <c r="AP36" i="8" s="1"/>
  <c r="O36" i="13"/>
  <c r="Q36" i="13" s="1"/>
  <c r="FN33" i="1"/>
  <c r="AR35" i="8"/>
  <c r="AT35" i="8" s="1"/>
  <c r="AQ45" i="1"/>
  <c r="BX34" i="13"/>
  <c r="D33" i="11"/>
  <c r="V34" i="13"/>
  <c r="U34" i="13"/>
  <c r="V33" i="13"/>
  <c r="U33" i="13"/>
  <c r="DB37" i="1"/>
  <c r="DD37" i="1" s="1"/>
  <c r="BP37" i="1"/>
  <c r="Q35" i="13"/>
  <c r="AA34" i="9"/>
  <c r="BH35" i="6"/>
  <c r="X36" i="9"/>
  <c r="Z36" i="9" s="1"/>
  <c r="AG36" i="9"/>
  <c r="CH36" i="9" s="1"/>
  <c r="CH10" i="9" s="1"/>
  <c r="CJ10" i="9" s="1"/>
  <c r="BT37" i="1"/>
  <c r="BM39" i="1"/>
  <c r="CG38" i="1" s="1"/>
  <c r="CI38" i="1" s="1"/>
  <c r="BN38" i="1"/>
  <c r="BP38" i="1" s="1"/>
  <c r="DA38" i="1"/>
  <c r="DC38" i="1" s="1"/>
  <c r="GE35" i="1"/>
  <c r="X36" i="6"/>
  <c r="X10" i="6" s="1"/>
  <c r="BU34" i="13"/>
  <c r="BW34" i="13" s="1"/>
  <c r="AG34" i="13"/>
  <c r="AI34" i="13" s="1"/>
  <c r="T34" i="13"/>
  <c r="AO34" i="9"/>
  <c r="AO33" i="9"/>
  <c r="BO38" i="1"/>
  <c r="EE36" i="1"/>
  <c r="FS35" i="1"/>
  <c r="FQ35" i="1"/>
  <c r="BR33" i="8"/>
  <c r="BP34" i="8"/>
  <c r="BP33" i="8"/>
  <c r="CD37" i="9"/>
  <c r="CF37" i="9" s="1"/>
  <c r="BQ37" i="9"/>
  <c r="BS37" i="9" s="1"/>
  <c r="O37" i="9"/>
  <c r="W37" i="8"/>
  <c r="AE37" i="8" s="1"/>
  <c r="N37" i="8"/>
  <c r="P37" i="8" s="1"/>
  <c r="N37" i="4"/>
  <c r="X37" i="4"/>
  <c r="GK37" i="1"/>
  <c r="GM37" i="1" s="1"/>
  <c r="FM35" i="1"/>
  <c r="FO35" i="1"/>
  <c r="FZ39" i="1"/>
  <c r="CL36" i="9"/>
  <c r="CL10" i="9" s="1"/>
  <c r="CN10" i="9" s="1"/>
  <c r="AS34" i="8"/>
  <c r="AU34" i="8" s="1"/>
  <c r="BR34" i="8"/>
  <c r="AN34" i="6"/>
  <c r="Y34" i="6"/>
  <c r="DX34" i="1"/>
  <c r="BG34" i="8"/>
  <c r="BG33" i="8"/>
  <c r="BI41" i="1"/>
  <c r="BK41" i="1" s="1"/>
  <c r="BJ40" i="1"/>
  <c r="BL40" i="1" s="1"/>
  <c r="FY40" i="1"/>
  <c r="GA40" i="1" s="1"/>
  <c r="W34" i="6"/>
  <c r="BD34" i="9"/>
  <c r="BH34" i="9"/>
  <c r="BB34" i="9"/>
  <c r="BD33" i="9"/>
  <c r="BD9" i="9" s="1"/>
  <c r="BF9" i="9" s="1"/>
  <c r="BB33" i="9"/>
  <c r="BH33" i="9"/>
  <c r="BH9" i="9" s="1"/>
  <c r="CD36" i="1"/>
  <c r="ED36" i="1" s="1"/>
  <c r="AT34" i="8"/>
  <c r="AT33" i="8"/>
  <c r="BU36" i="9"/>
  <c r="BW36" i="9" s="1"/>
  <c r="EC37" i="1"/>
  <c r="DJ38" i="1"/>
  <c r="DL38" i="1" s="1"/>
  <c r="FT33" i="1"/>
  <c r="AI35" i="6"/>
  <c r="AL35" i="6" s="1"/>
  <c r="DB35" i="6"/>
  <c r="CA35" i="6"/>
  <c r="CC35" i="6" s="1"/>
  <c r="BR35" i="6"/>
  <c r="CS35" i="6"/>
  <c r="CU35" i="6" s="1"/>
  <c r="CJ35" i="6"/>
  <c r="CL35" i="6" s="1"/>
  <c r="DK35" i="6"/>
  <c r="DM35" i="6" s="1"/>
  <c r="U35" i="6"/>
  <c r="W35" i="6" s="1"/>
  <c r="CJ36" i="1"/>
  <c r="DV35" i="1"/>
  <c r="DX35" i="1" s="1"/>
  <c r="GT41" i="1"/>
  <c r="GS42" i="1"/>
  <c r="GU42" i="1" s="1"/>
  <c r="BS33" i="8"/>
  <c r="BT34" i="6"/>
  <c r="DC37" i="1"/>
  <c r="BL39" i="1"/>
  <c r="CQ37" i="1"/>
  <c r="FR33" i="1"/>
  <c r="DM34" i="6"/>
  <c r="AG35" i="8"/>
  <c r="AS34" i="9"/>
  <c r="AS33" i="9"/>
  <c r="AE36" i="8"/>
  <c r="AE10" i="8" s="1"/>
  <c r="AG10" i="8" s="1"/>
  <c r="BV34" i="13"/>
  <c r="BX33" i="13"/>
  <c r="BX9" i="13" s="1"/>
  <c r="BV33" i="13"/>
  <c r="DT34" i="6"/>
  <c r="CN35" i="1"/>
  <c r="EH34" i="1"/>
  <c r="DZ34" i="1"/>
  <c r="ET34" i="1"/>
  <c r="FB34" i="1"/>
  <c r="BD34" i="8"/>
  <c r="BR35" i="9"/>
  <c r="P35" i="9"/>
  <c r="CE35" i="9"/>
  <c r="O35" i="8"/>
  <c r="X35" i="8"/>
  <c r="Y35" i="4"/>
  <c r="O35" i="4"/>
  <c r="GL35" i="1"/>
  <c r="CF35" i="1"/>
  <c r="BQ33" i="8"/>
  <c r="GU41" i="1"/>
  <c r="U45" i="1"/>
  <c r="CU34" i="6"/>
  <c r="GR34" i="1"/>
  <c r="BE33" i="9"/>
  <c r="BI33" i="9"/>
  <c r="AC35" i="8"/>
  <c r="DD34" i="6"/>
  <c r="EU35" i="1"/>
  <c r="AK34" i="9"/>
  <c r="AE199" i="23"/>
  <c r="AD199" i="23"/>
  <c r="AR198" i="23"/>
  <c r="AQ198" i="23"/>
  <c r="AP198" i="23"/>
  <c r="AO198" i="23"/>
  <c r="AN198" i="23"/>
  <c r="AV46" i="1"/>
  <c r="BA46" i="1"/>
  <c r="AX46" i="1"/>
  <c r="AZ46" i="1"/>
  <c r="AY46" i="1"/>
  <c r="H45" i="1"/>
  <c r="P45" i="1"/>
  <c r="M45" i="1"/>
  <c r="F45" i="1"/>
  <c r="G45" i="1"/>
  <c r="K45" i="1"/>
  <c r="T45" i="1"/>
  <c r="S45" i="1"/>
  <c r="I45" i="1"/>
  <c r="O45" i="1"/>
  <c r="N45" i="1"/>
  <c r="J45" i="1"/>
  <c r="R45" i="1"/>
  <c r="Q45" i="1"/>
  <c r="L45" i="1"/>
  <c r="BC46" i="1"/>
  <c r="AW46" i="1"/>
  <c r="BB46" i="1"/>
  <c r="GH40" i="1" l="1"/>
  <c r="GJ40" i="1" s="1"/>
  <c r="BR10" i="6"/>
  <c r="U10" i="6"/>
  <c r="DK10" i="6"/>
  <c r="CS10" i="6"/>
  <c r="DB10" i="6"/>
  <c r="BI9" i="9"/>
  <c r="BG32" i="9"/>
  <c r="BE9" i="9"/>
  <c r="AW36" i="6"/>
  <c r="AU10" i="6"/>
  <c r="BJ36" i="6"/>
  <c r="BD10" i="6"/>
  <c r="AO36" i="6"/>
  <c r="AM10" i="6"/>
  <c r="CJ10" i="6"/>
  <c r="AI10" i="6"/>
  <c r="AG10" i="9"/>
  <c r="X10" i="9"/>
  <c r="Z10" i="9" s="1"/>
  <c r="CA10" i="6"/>
  <c r="AN10" i="8"/>
  <c r="BU10" i="9"/>
  <c r="BW10" i="9" s="1"/>
  <c r="O10" i="13"/>
  <c r="Q10" i="13" s="1"/>
  <c r="FG38" i="1"/>
  <c r="AV35" i="4"/>
  <c r="BN35" i="13"/>
  <c r="EK37" i="1"/>
  <c r="EM37" i="1" s="1"/>
  <c r="AV34" i="4"/>
  <c r="BV35" i="4"/>
  <c r="AV34" i="13"/>
  <c r="FF37" i="1"/>
  <c r="EL36" i="1"/>
  <c r="EN36" i="1" s="1"/>
  <c r="CZ35" i="1"/>
  <c r="CT38" i="1"/>
  <c r="AO35" i="4"/>
  <c r="AO34" i="4"/>
  <c r="DQ39" i="1"/>
  <c r="DS39" i="1" s="1"/>
  <c r="BG39" i="1"/>
  <c r="CS39" i="1"/>
  <c r="CU39" i="1" s="1"/>
  <c r="CV39" i="1" s="1"/>
  <c r="BF39" i="1"/>
  <c r="BH39" i="1" s="1"/>
  <c r="BE40" i="1"/>
  <c r="BY38" i="1" s="1"/>
  <c r="CA38" i="1" s="1"/>
  <c r="AZ35" i="4"/>
  <c r="AZ34" i="4"/>
  <c r="BK35" i="4"/>
  <c r="BR35" i="4"/>
  <c r="BG34" i="4"/>
  <c r="DR38" i="1"/>
  <c r="DT38" i="1" s="1"/>
  <c r="BH37" i="4"/>
  <c r="BF37" i="4" s="1"/>
  <c r="AV35" i="13"/>
  <c r="BH38" i="1"/>
  <c r="CW37" i="1"/>
  <c r="AW37" i="4"/>
  <c r="BS37" i="4"/>
  <c r="BQ37" i="4" s="1"/>
  <c r="BK37" i="13"/>
  <c r="AL37" i="4"/>
  <c r="CA37" i="1"/>
  <c r="AS37" i="13"/>
  <c r="BR34" i="4"/>
  <c r="AX36" i="4"/>
  <c r="AX10" i="4" s="1"/>
  <c r="BI36" i="4"/>
  <c r="AZ36" i="4" s="1"/>
  <c r="BT36" i="4"/>
  <c r="BV36" i="4" s="1"/>
  <c r="BL36" i="13"/>
  <c r="BN36" i="13" s="1"/>
  <c r="CB36" i="1"/>
  <c r="AM36" i="4"/>
  <c r="AO36" i="4" s="1"/>
  <c r="BS36" i="4"/>
  <c r="BK36" i="13"/>
  <c r="BH36" i="4"/>
  <c r="BJ36" i="4" s="1"/>
  <c r="AL36" i="4"/>
  <c r="AN36" i="4" s="1"/>
  <c r="AB36" i="13"/>
  <c r="AW36" i="4"/>
  <c r="AT36" i="13"/>
  <c r="AV36" i="13" s="1"/>
  <c r="CW36" i="1"/>
  <c r="CY36" i="1" s="1"/>
  <c r="CA36" i="1"/>
  <c r="AS36" i="13"/>
  <c r="FW44" i="1"/>
  <c r="FV44" i="1"/>
  <c r="FX44" i="1" s="1"/>
  <c r="FU45" i="1"/>
  <c r="GG42" i="1" s="1"/>
  <c r="GI42" i="1" s="1"/>
  <c r="BU33" i="8"/>
  <c r="BK33" i="9"/>
  <c r="FK38" i="1"/>
  <c r="BX39" i="1"/>
  <c r="CM36" i="1"/>
  <c r="FA36" i="1"/>
  <c r="FC36" i="1" s="1"/>
  <c r="EZ38" i="1"/>
  <c r="FL37" i="1"/>
  <c r="ES36" i="1"/>
  <c r="EU36" i="1" s="1"/>
  <c r="AT34" i="9"/>
  <c r="EG36" i="1"/>
  <c r="EI36" i="1" s="1"/>
  <c r="FE38" i="1"/>
  <c r="DY36" i="1"/>
  <c r="FQ36" i="1" s="1"/>
  <c r="FH37" i="1"/>
  <c r="BF36" i="6"/>
  <c r="DP37" i="1"/>
  <c r="EV35" i="1"/>
  <c r="AM37" i="6"/>
  <c r="AO37" i="6" s="1"/>
  <c r="AR46" i="1"/>
  <c r="DV35" i="6"/>
  <c r="FJ37" i="1"/>
  <c r="CH37" i="1"/>
  <c r="CJ37" i="1" s="1"/>
  <c r="AT46" i="1"/>
  <c r="AQ46" i="1"/>
  <c r="AQ36" i="9"/>
  <c r="AS36" i="9" s="1"/>
  <c r="Y37" i="8"/>
  <c r="V37" i="6"/>
  <c r="CF36" i="1"/>
  <c r="V35" i="13"/>
  <c r="CC38" i="1"/>
  <c r="N38" i="4" s="1"/>
  <c r="P38" i="4" s="1"/>
  <c r="AU46" i="1"/>
  <c r="AS46" i="1"/>
  <c r="V46" i="1"/>
  <c r="AP46" i="1"/>
  <c r="CN36" i="9"/>
  <c r="CJ36" i="9"/>
  <c r="GW39" i="1"/>
  <c r="F37" i="11"/>
  <c r="DN38" i="1"/>
  <c r="DP38" i="1" s="1"/>
  <c r="DF38" i="1"/>
  <c r="FL38" i="1" s="1"/>
  <c r="EP38" i="1"/>
  <c r="ER38" i="1" s="1"/>
  <c r="EV34" i="1"/>
  <c r="BU41" i="1"/>
  <c r="CO39" i="1" s="1"/>
  <c r="DI40" i="1"/>
  <c r="DK40" i="1" s="1"/>
  <c r="BV40" i="1"/>
  <c r="BX40" i="1" s="1"/>
  <c r="BT38" i="1"/>
  <c r="CD37" i="1"/>
  <c r="ED37" i="1" s="1"/>
  <c r="EF37" i="1" s="1"/>
  <c r="AG37" i="9"/>
  <c r="CH37" i="9" s="1"/>
  <c r="CN37" i="9" s="1"/>
  <c r="X37" i="9"/>
  <c r="Z37" i="9" s="1"/>
  <c r="BE36" i="8"/>
  <c r="BG36" i="8" s="1"/>
  <c r="BN36" i="8"/>
  <c r="BQ40" i="1"/>
  <c r="CK38" i="1" s="1"/>
  <c r="BR39" i="1"/>
  <c r="BT39" i="1" s="1"/>
  <c r="DM39" i="1"/>
  <c r="DE39" i="1"/>
  <c r="FK39" i="1" s="1"/>
  <c r="EO39" i="1"/>
  <c r="EQ39" i="1" s="1"/>
  <c r="GN35" i="1"/>
  <c r="FD35" i="1"/>
  <c r="FD34" i="1"/>
  <c r="BU37" i="9"/>
  <c r="BW37" i="9" s="1"/>
  <c r="Z37" i="6"/>
  <c r="F36" i="11"/>
  <c r="F10" i="11" s="1"/>
  <c r="Z36" i="6"/>
  <c r="A48" i="1"/>
  <c r="Y47" i="1"/>
  <c r="AK47" i="1" s="1"/>
  <c r="X47" i="1"/>
  <c r="AJ47" i="1" s="1"/>
  <c r="AH47" i="1"/>
  <c r="AE47" i="1"/>
  <c r="AC47" i="1"/>
  <c r="AO47" i="1" s="1"/>
  <c r="AG47" i="1"/>
  <c r="AB47" i="1"/>
  <c r="AN47" i="1" s="1"/>
  <c r="AF47" i="1"/>
  <c r="AD47" i="1"/>
  <c r="AI47" i="1"/>
  <c r="AA47" i="1"/>
  <c r="AM47" i="1" s="1"/>
  <c r="Z47" i="1"/>
  <c r="AL47" i="1" s="1"/>
  <c r="C47" i="1"/>
  <c r="W47" i="1" s="1"/>
  <c r="D47" i="1"/>
  <c r="B47" i="1"/>
  <c r="AC36" i="8"/>
  <c r="DO38" i="1"/>
  <c r="AO35" i="8"/>
  <c r="P35" i="13"/>
  <c r="Q35" i="8"/>
  <c r="BF34" i="9"/>
  <c r="BF33" i="9"/>
  <c r="R35" i="4"/>
  <c r="EB35" i="1"/>
  <c r="FR34" i="1"/>
  <c r="FT34" i="1"/>
  <c r="CL37" i="9"/>
  <c r="BR35" i="8"/>
  <c r="E46" i="1"/>
  <c r="GT42" i="1"/>
  <c r="GV42" i="1" s="1"/>
  <c r="GS43" i="1"/>
  <c r="GU43" i="1" s="1"/>
  <c r="GD35" i="1"/>
  <c r="GP35" i="1"/>
  <c r="AB35" i="4"/>
  <c r="EJ35" i="1"/>
  <c r="FP34" i="1"/>
  <c r="FN34" i="1"/>
  <c r="Y35" i="6"/>
  <c r="AN35" i="6"/>
  <c r="AP35" i="6" s="1"/>
  <c r="G34" i="11"/>
  <c r="AA34" i="6"/>
  <c r="D35" i="11"/>
  <c r="BC36" i="8"/>
  <c r="EJ34" i="1"/>
  <c r="BE34" i="9"/>
  <c r="BI34" i="9"/>
  <c r="BK34" i="9" s="1"/>
  <c r="DM36" i="6"/>
  <c r="BT34" i="8"/>
  <c r="BT33" i="8"/>
  <c r="BX35" i="13"/>
  <c r="DV34" i="6"/>
  <c r="CM35" i="9"/>
  <c r="CG35" i="9"/>
  <c r="CU36" i="6"/>
  <c r="AU37" i="6"/>
  <c r="AW37" i="6" s="1"/>
  <c r="BD37" i="6"/>
  <c r="BJ37" i="6" s="1"/>
  <c r="AG37" i="6"/>
  <c r="W36" i="6"/>
  <c r="Y35" i="9"/>
  <c r="AH35" i="9"/>
  <c r="R35" i="9"/>
  <c r="BH36" i="6"/>
  <c r="BH10" i="6" s="1"/>
  <c r="DV36" i="1"/>
  <c r="DX36" i="1" s="1"/>
  <c r="BT36" i="6"/>
  <c r="BQ38" i="6"/>
  <c r="BS38" i="6" s="1"/>
  <c r="T38" i="6"/>
  <c r="DJ38" i="6"/>
  <c r="DL38" i="6" s="1"/>
  <c r="CI38" i="6"/>
  <c r="CK38" i="6" s="1"/>
  <c r="BZ38" i="6"/>
  <c r="CB38" i="6" s="1"/>
  <c r="AH38" i="6"/>
  <c r="DA38" i="6"/>
  <c r="CR38" i="6"/>
  <c r="CC36" i="6"/>
  <c r="AX34" i="6"/>
  <c r="BD35" i="9"/>
  <c r="BH35" i="9"/>
  <c r="CX36" i="1"/>
  <c r="DD36" i="6"/>
  <c r="DB38" i="1"/>
  <c r="EB34" i="1"/>
  <c r="BK34" i="6"/>
  <c r="BG34" i="6"/>
  <c r="AI36" i="9"/>
  <c r="BM40" i="1"/>
  <c r="CG39" i="1" s="1"/>
  <c r="CI39" i="1" s="1"/>
  <c r="DA39" i="1"/>
  <c r="DC39" i="1" s="1"/>
  <c r="BN39" i="1"/>
  <c r="BP39" i="1" s="1"/>
  <c r="FP35" i="1"/>
  <c r="FN35" i="1"/>
  <c r="EN35" i="1"/>
  <c r="BZ34" i="13"/>
  <c r="CA34" i="13"/>
  <c r="CA33" i="13"/>
  <c r="BZ33" i="13"/>
  <c r="BO39" i="1"/>
  <c r="BG33" i="9"/>
  <c r="BI36" i="6"/>
  <c r="AV36" i="6"/>
  <c r="BE36" i="6"/>
  <c r="BB35" i="8"/>
  <c r="AB35" i="8"/>
  <c r="Z35" i="8"/>
  <c r="CL36" i="6"/>
  <c r="BV35" i="9"/>
  <c r="BT35" i="9"/>
  <c r="GC37" i="1"/>
  <c r="GE37" i="1" s="1"/>
  <c r="GO37" i="1"/>
  <c r="EF36" i="1"/>
  <c r="FR35" i="1"/>
  <c r="FT35" i="1"/>
  <c r="EF35" i="1"/>
  <c r="U46" i="1"/>
  <c r="BE35" i="6"/>
  <c r="BK35" i="6" s="1"/>
  <c r="AL36" i="6"/>
  <c r="BI35" i="6"/>
  <c r="AV35" i="6"/>
  <c r="AX35" i="6" s="1"/>
  <c r="GX38" i="1"/>
  <c r="AG37" i="8"/>
  <c r="GB39" i="1"/>
  <c r="EE37" i="1"/>
  <c r="Z37" i="4"/>
  <c r="P37" i="4"/>
  <c r="DG38" i="1"/>
  <c r="GQ36" i="1"/>
  <c r="CO38" i="1"/>
  <c r="AP34" i="6"/>
  <c r="GV41" i="1"/>
  <c r="BR36" i="9"/>
  <c r="BT36" i="9" s="1"/>
  <c r="P36" i="9"/>
  <c r="R36" i="9" s="1"/>
  <c r="CE36" i="9"/>
  <c r="CG36" i="9" s="1"/>
  <c r="O36" i="8"/>
  <c r="Q36" i="8" s="1"/>
  <c r="X36" i="8"/>
  <c r="Z36" i="8" s="1"/>
  <c r="Y36" i="4"/>
  <c r="AB36" i="4" s="1"/>
  <c r="O36" i="4"/>
  <c r="O10" i="4" s="1"/>
  <c r="GL36" i="1"/>
  <c r="E34" i="11"/>
  <c r="BY34" i="13"/>
  <c r="AF35" i="8"/>
  <c r="DJ39" i="1"/>
  <c r="DL39" i="1" s="1"/>
  <c r="BS34" i="8"/>
  <c r="BU34" i="8" s="1"/>
  <c r="BT35" i="6"/>
  <c r="AG36" i="8"/>
  <c r="FZ40" i="1"/>
  <c r="AN37" i="8"/>
  <c r="AP37" i="8" s="1"/>
  <c r="O37" i="13"/>
  <c r="Q37" i="13" s="1"/>
  <c r="CR37" i="1"/>
  <c r="BT36" i="13"/>
  <c r="BV36" i="13" s="1"/>
  <c r="AF36" i="13"/>
  <c r="S36" i="13"/>
  <c r="S10" i="13" s="1"/>
  <c r="CK37" i="1"/>
  <c r="CL36" i="1"/>
  <c r="EW39" i="1"/>
  <c r="AZ36" i="9"/>
  <c r="AL36" i="9"/>
  <c r="AL10" i="9" s="1"/>
  <c r="AO10" i="9" s="1"/>
  <c r="DD35" i="6"/>
  <c r="BJ34" i="9"/>
  <c r="BJ33" i="9"/>
  <c r="BI42" i="1"/>
  <c r="BK42" i="1" s="1"/>
  <c r="BJ41" i="1"/>
  <c r="FY41" i="1"/>
  <c r="GA41" i="1" s="1"/>
  <c r="BA37" i="8"/>
  <c r="BC37" i="8" s="1"/>
  <c r="AA37" i="8"/>
  <c r="AC37" i="8" s="1"/>
  <c r="Q37" i="9"/>
  <c r="AR36" i="8"/>
  <c r="AR10" i="8" s="1"/>
  <c r="AK198" i="23"/>
  <c r="AJ198" i="23"/>
  <c r="AI198" i="23"/>
  <c r="AH198" i="23"/>
  <c r="AG198" i="23"/>
  <c r="AZ47" i="1"/>
  <c r="AY47" i="1"/>
  <c r="AX47" i="1"/>
  <c r="BC47" i="1"/>
  <c r="BB47" i="1"/>
  <c r="Q46" i="1"/>
  <c r="L46" i="1"/>
  <c r="G46" i="1"/>
  <c r="R46" i="1"/>
  <c r="H46" i="1"/>
  <c r="F46" i="1"/>
  <c r="S46" i="1"/>
  <c r="M46" i="1"/>
  <c r="T46" i="1"/>
  <c r="P46" i="1"/>
  <c r="I46" i="1"/>
  <c r="K46" i="1"/>
  <c r="O46" i="1"/>
  <c r="J46" i="1"/>
  <c r="N46" i="1"/>
  <c r="AV47" i="1"/>
  <c r="BA47" i="1"/>
  <c r="AW47" i="1"/>
  <c r="BL10" i="13" l="1"/>
  <c r="BE10" i="8"/>
  <c r="BI10" i="6"/>
  <c r="BI10" i="4"/>
  <c r="BT10" i="13"/>
  <c r="BV10" i="13" s="1"/>
  <c r="BR10" i="9"/>
  <c r="BT10" i="9" s="1"/>
  <c r="AV10" i="6"/>
  <c r="AT10" i="13"/>
  <c r="AV10" i="13" s="1"/>
  <c r="BB36" i="9"/>
  <c r="AZ10" i="9"/>
  <c r="BB10" i="9" s="1"/>
  <c r="AU36" i="13"/>
  <c r="AS10" i="13"/>
  <c r="AU10" i="13" s="1"/>
  <c r="P10" i="9"/>
  <c r="R10" i="9" s="1"/>
  <c r="BP36" i="8"/>
  <c r="BN10" i="8"/>
  <c r="AH36" i="13"/>
  <c r="AF10" i="13"/>
  <c r="CE10" i="9"/>
  <c r="CG10" i="9" s="1"/>
  <c r="AE36" i="13"/>
  <c r="AB10" i="13"/>
  <c r="Y10" i="4"/>
  <c r="O10" i="8"/>
  <c r="BM36" i="13"/>
  <c r="BK10" i="13"/>
  <c r="BQ36" i="4"/>
  <c r="BS10" i="4"/>
  <c r="CI35" i="9"/>
  <c r="CO35" i="9" s="1"/>
  <c r="BE10" i="6"/>
  <c r="AQ10" i="9"/>
  <c r="AS10" i="9" s="1"/>
  <c r="AM10" i="4"/>
  <c r="AO10" i="4" s="1"/>
  <c r="BR36" i="4"/>
  <c r="BR10" i="4" s="1"/>
  <c r="FG39" i="1"/>
  <c r="BE41" i="1"/>
  <c r="BG41" i="1" s="1"/>
  <c r="BF40" i="1"/>
  <c r="BZ38" i="1" s="1"/>
  <c r="BL38" i="13" s="1"/>
  <c r="CT39" i="1"/>
  <c r="AU37" i="4"/>
  <c r="DR39" i="1"/>
  <c r="DT39" i="1" s="1"/>
  <c r="CS40" i="1"/>
  <c r="CU40" i="1" s="1"/>
  <c r="CV40" i="1" s="1"/>
  <c r="BS38" i="4"/>
  <c r="BQ38" i="4" s="1"/>
  <c r="BH38" i="4"/>
  <c r="BF38" i="4" s="1"/>
  <c r="AS38" i="13"/>
  <c r="AU38" i="13" s="1"/>
  <c r="AW38" i="4"/>
  <c r="AY37" i="4"/>
  <c r="BG40" i="1"/>
  <c r="BK38" i="13"/>
  <c r="BM38" i="13" s="1"/>
  <c r="BZ37" i="1"/>
  <c r="BI37" i="4" s="1"/>
  <c r="BK37" i="4" s="1"/>
  <c r="AL38" i="4"/>
  <c r="AN38" i="4" s="1"/>
  <c r="AB38" i="13"/>
  <c r="AD38" i="13" s="1"/>
  <c r="BK36" i="4"/>
  <c r="DQ40" i="1"/>
  <c r="DS40" i="1" s="1"/>
  <c r="AD37" i="13"/>
  <c r="BJ37" i="4"/>
  <c r="BU36" i="4"/>
  <c r="AU36" i="4"/>
  <c r="AV36" i="4"/>
  <c r="AV10" i="4" s="1"/>
  <c r="AN37" i="4"/>
  <c r="BG36" i="4"/>
  <c r="BG10" i="4" s="1"/>
  <c r="BF36" i="4"/>
  <c r="BF10" i="4" s="1"/>
  <c r="AD36" i="13"/>
  <c r="CY37" i="1"/>
  <c r="BM37" i="13"/>
  <c r="AY36" i="4"/>
  <c r="AE37" i="13"/>
  <c r="BU37" i="4"/>
  <c r="AU37" i="13"/>
  <c r="GH41" i="1"/>
  <c r="GJ41" i="1" s="1"/>
  <c r="FV45" i="1"/>
  <c r="FX45" i="1" s="1"/>
  <c r="FW45" i="1"/>
  <c r="FU46" i="1"/>
  <c r="FW46" i="1" s="1"/>
  <c r="DH38" i="1"/>
  <c r="DK37" i="6"/>
  <c r="CE38" i="1"/>
  <c r="CS37" i="6"/>
  <c r="DU38" i="1"/>
  <c r="DW38" i="1" s="1"/>
  <c r="AI37" i="9"/>
  <c r="CW38" i="1"/>
  <c r="CY38" i="1" s="1"/>
  <c r="FM36" i="1"/>
  <c r="FI39" i="1"/>
  <c r="X38" i="6"/>
  <c r="EX39" i="1"/>
  <c r="EZ39" i="1" s="1"/>
  <c r="FO36" i="1"/>
  <c r="CP38" i="1"/>
  <c r="DB37" i="6"/>
  <c r="AI37" i="6"/>
  <c r="BF37" i="6"/>
  <c r="CA37" i="6"/>
  <c r="CC37" i="6" s="1"/>
  <c r="CJ37" i="6"/>
  <c r="CL37" i="6" s="1"/>
  <c r="FF38" i="1"/>
  <c r="FH38" i="1"/>
  <c r="U37" i="6"/>
  <c r="W37" i="6" s="1"/>
  <c r="BR37" i="6"/>
  <c r="BT37" i="6" s="1"/>
  <c r="EA36" i="1"/>
  <c r="FS36" i="1"/>
  <c r="GW40" i="1"/>
  <c r="GY40" i="1" s="1"/>
  <c r="BG34" i="9"/>
  <c r="CD38" i="9"/>
  <c r="BW41" i="1"/>
  <c r="O38" i="9"/>
  <c r="BQ38" i="9"/>
  <c r="AP47" i="1"/>
  <c r="FE39" i="1"/>
  <c r="BO40" i="1"/>
  <c r="CF37" i="1"/>
  <c r="DV37" i="1"/>
  <c r="Y37" i="6" s="1"/>
  <c r="N38" i="8"/>
  <c r="W38" i="8"/>
  <c r="BG35" i="6"/>
  <c r="CH38" i="1"/>
  <c r="CJ38" i="1" s="1"/>
  <c r="AS47" i="1"/>
  <c r="AT47" i="1"/>
  <c r="AR35" i="9"/>
  <c r="AQ47" i="1"/>
  <c r="AQ37" i="9"/>
  <c r="GK38" i="1"/>
  <c r="GM38" i="1" s="1"/>
  <c r="X38" i="4"/>
  <c r="DS37" i="6"/>
  <c r="CM38" i="1"/>
  <c r="EG37" i="1"/>
  <c r="DY37" i="1"/>
  <c r="ES37" i="1"/>
  <c r="CM37" i="1"/>
  <c r="FA37" i="1"/>
  <c r="FZ41" i="1"/>
  <c r="GB41" i="1" s="1"/>
  <c r="DT36" i="6"/>
  <c r="DT10" i="6" s="1"/>
  <c r="EH36" i="1"/>
  <c r="DZ36" i="1"/>
  <c r="ET36" i="1"/>
  <c r="FB36" i="1"/>
  <c r="CN36" i="1"/>
  <c r="BV36" i="9"/>
  <c r="BV10" i="9" s="1"/>
  <c r="BX10" i="9" s="1"/>
  <c r="AU47" i="1"/>
  <c r="U47" i="1"/>
  <c r="D36" i="11"/>
  <c r="D10" i="11" s="1"/>
  <c r="BG36" i="6"/>
  <c r="BK36" i="6"/>
  <c r="V47" i="1"/>
  <c r="BX35" i="9"/>
  <c r="G35" i="11"/>
  <c r="DS38" i="6"/>
  <c r="EG38" i="1"/>
  <c r="DY38" i="1"/>
  <c r="ES38" i="1"/>
  <c r="BI43" i="1"/>
  <c r="CC40" i="1" s="1"/>
  <c r="BJ42" i="1"/>
  <c r="FY42" i="1"/>
  <c r="GA42" i="1" s="1"/>
  <c r="DG39" i="1"/>
  <c r="CJ37" i="9"/>
  <c r="AH35" i="8"/>
  <c r="BA35" i="9"/>
  <c r="AN35" i="9"/>
  <c r="AK35" i="9"/>
  <c r="E47" i="1"/>
  <c r="A49" i="1"/>
  <c r="Y48" i="1"/>
  <c r="AK48" i="1" s="1"/>
  <c r="X48" i="1"/>
  <c r="AJ48" i="1" s="1"/>
  <c r="AI48" i="1"/>
  <c r="AG48" i="1"/>
  <c r="AA48" i="1"/>
  <c r="AM48" i="1" s="1"/>
  <c r="AH48" i="1"/>
  <c r="AF48" i="1"/>
  <c r="AD48" i="1"/>
  <c r="Z48" i="1"/>
  <c r="AL48" i="1" s="1"/>
  <c r="AE48" i="1"/>
  <c r="AB48" i="1"/>
  <c r="AN48" i="1" s="1"/>
  <c r="AC48" i="1"/>
  <c r="AO48" i="1" s="1"/>
  <c r="C48" i="1"/>
  <c r="W48" i="1" s="1"/>
  <c r="B48" i="1"/>
  <c r="D48" i="1"/>
  <c r="AA35" i="9"/>
  <c r="BU35" i="13"/>
  <c r="AG35" i="13"/>
  <c r="T35" i="13"/>
  <c r="R35" i="13"/>
  <c r="BZ35" i="13"/>
  <c r="DN39" i="1"/>
  <c r="DP39" i="1" s="1"/>
  <c r="DF39" i="1"/>
  <c r="DH39" i="1" s="1"/>
  <c r="EP39" i="1"/>
  <c r="ER39" i="1" s="1"/>
  <c r="FJ38" i="1"/>
  <c r="GR35" i="1"/>
  <c r="AS35" i="8"/>
  <c r="AQ35" i="8"/>
  <c r="CA35" i="13"/>
  <c r="BQ41" i="1"/>
  <c r="EW41" i="1" s="1"/>
  <c r="BR40" i="1"/>
  <c r="EX40" i="1" s="1"/>
  <c r="DM40" i="1"/>
  <c r="DE40" i="1"/>
  <c r="DG40" i="1" s="1"/>
  <c r="EO40" i="1"/>
  <c r="EQ40" i="1" s="1"/>
  <c r="AU38" i="6"/>
  <c r="AW38" i="6" s="1"/>
  <c r="BD38" i="6"/>
  <c r="BF38" i="6" s="1"/>
  <c r="AG38" i="6"/>
  <c r="GF35" i="1"/>
  <c r="BS40" i="1"/>
  <c r="GY39" i="1"/>
  <c r="BX36" i="13"/>
  <c r="CQ39" i="1"/>
  <c r="EK38" i="1"/>
  <c r="EC38" i="1"/>
  <c r="FA38" i="1"/>
  <c r="CQ38" i="1"/>
  <c r="AD35" i="8"/>
  <c r="BR36" i="8"/>
  <c r="BR10" i="8" s="1"/>
  <c r="BF35" i="8"/>
  <c r="BO35" i="8"/>
  <c r="BD35" i="8"/>
  <c r="CZ36" i="1"/>
  <c r="DC38" i="6"/>
  <c r="AM38" i="6"/>
  <c r="CT38" i="6"/>
  <c r="BH37" i="6"/>
  <c r="U36" i="13"/>
  <c r="DJ40" i="1"/>
  <c r="DL40" i="1" s="1"/>
  <c r="AJ38" i="6"/>
  <c r="V36" i="13"/>
  <c r="AR47" i="1"/>
  <c r="BT37" i="13"/>
  <c r="BV37" i="13" s="1"/>
  <c r="AF37" i="13"/>
  <c r="AH37" i="13" s="1"/>
  <c r="S37" i="13"/>
  <c r="EW40" i="1"/>
  <c r="CD38" i="1"/>
  <c r="BL41" i="1"/>
  <c r="GD36" i="1"/>
  <c r="GP36" i="1"/>
  <c r="GR36" i="1" s="1"/>
  <c r="BJ35" i="9"/>
  <c r="BD36" i="9"/>
  <c r="BF36" i="9" s="1"/>
  <c r="BH36" i="9"/>
  <c r="BJ36" i="9" s="1"/>
  <c r="AR37" i="8"/>
  <c r="AT37" i="8" s="1"/>
  <c r="V38" i="6"/>
  <c r="AZ37" i="9"/>
  <c r="BB37" i="9" s="1"/>
  <c r="AL37" i="9"/>
  <c r="AO37" i="9" s="1"/>
  <c r="BB36" i="8"/>
  <c r="BB10" i="8" s="1"/>
  <c r="AB36" i="8"/>
  <c r="AD36" i="8" s="1"/>
  <c r="AF36" i="8"/>
  <c r="AH36" i="8" s="1"/>
  <c r="AO36" i="9"/>
  <c r="BT35" i="8"/>
  <c r="GT43" i="1"/>
  <c r="GX40" i="1" s="1"/>
  <c r="GS44" i="1"/>
  <c r="GU44" i="1" s="1"/>
  <c r="R36" i="4"/>
  <c r="P37" i="9"/>
  <c r="R37" i="9" s="1"/>
  <c r="CE37" i="9"/>
  <c r="CG37" i="9" s="1"/>
  <c r="BR37" i="9"/>
  <c r="BT37" i="9" s="1"/>
  <c r="X37" i="8"/>
  <c r="Z37" i="8" s="1"/>
  <c r="O37" i="8"/>
  <c r="Q37" i="8" s="1"/>
  <c r="O37" i="4"/>
  <c r="Y37" i="4"/>
  <c r="AB37" i="4" s="1"/>
  <c r="GL37" i="1"/>
  <c r="GN37" i="1" s="1"/>
  <c r="BU42" i="1"/>
  <c r="CO40" i="1" s="1"/>
  <c r="BV41" i="1"/>
  <c r="BX41" i="1" s="1"/>
  <c r="DI41" i="1"/>
  <c r="DK41" i="1" s="1"/>
  <c r="DO39" i="1"/>
  <c r="AO36" i="8"/>
  <c r="AQ36" i="8" s="1"/>
  <c r="P36" i="13"/>
  <c r="R36" i="13" s="1"/>
  <c r="GQ37" i="1"/>
  <c r="BF35" i="9"/>
  <c r="GX39" i="1"/>
  <c r="CI39" i="6"/>
  <c r="CK39" i="6" s="1"/>
  <c r="AH39" i="6"/>
  <c r="AH11" i="6" s="1"/>
  <c r="AJ11" i="6" s="1"/>
  <c r="BQ39" i="6"/>
  <c r="BQ11" i="6" s="1"/>
  <c r="BS11" i="6" s="1"/>
  <c r="CR39" i="6"/>
  <c r="CT39" i="6" s="1"/>
  <c r="T39" i="6"/>
  <c r="DJ39" i="6"/>
  <c r="DJ11" i="6" s="1"/>
  <c r="DL11" i="6" s="1"/>
  <c r="DA39" i="6"/>
  <c r="BZ39" i="6"/>
  <c r="CB39" i="6" s="1"/>
  <c r="BE37" i="8"/>
  <c r="BN37" i="8"/>
  <c r="BP37" i="8" s="1"/>
  <c r="CM36" i="9"/>
  <c r="DB39" i="1"/>
  <c r="DD39" i="1" s="1"/>
  <c r="Y36" i="6"/>
  <c r="AN36" i="6"/>
  <c r="AN10" i="6" s="1"/>
  <c r="DD38" i="1"/>
  <c r="AT36" i="8"/>
  <c r="CL37" i="1"/>
  <c r="CN37" i="1" s="1"/>
  <c r="EY39" i="1"/>
  <c r="GZ38" i="1"/>
  <c r="CC39" i="1"/>
  <c r="Y36" i="9"/>
  <c r="Y10" i="9" s="1"/>
  <c r="AA10" i="9" s="1"/>
  <c r="AH36" i="9"/>
  <c r="AK36" i="9" s="1"/>
  <c r="AX36" i="6"/>
  <c r="BM41" i="1"/>
  <c r="CG40" i="1" s="1"/>
  <c r="BN40" i="1"/>
  <c r="CH39" i="1" s="1"/>
  <c r="DA40" i="1"/>
  <c r="DC40" i="1" s="1"/>
  <c r="AA35" i="6"/>
  <c r="GB40" i="1"/>
  <c r="GN36" i="1"/>
  <c r="AE198" i="23"/>
  <c r="AD198" i="23"/>
  <c r="AR197" i="23"/>
  <c r="AQ197" i="23"/>
  <c r="AP197" i="23"/>
  <c r="AO197" i="23"/>
  <c r="AN197" i="23"/>
  <c r="AV48" i="1"/>
  <c r="AX48" i="1"/>
  <c r="BC48" i="1"/>
  <c r="BA48" i="1"/>
  <c r="AY48" i="1"/>
  <c r="Q47" i="1"/>
  <c r="O47" i="1"/>
  <c r="F47" i="1"/>
  <c r="J47" i="1"/>
  <c r="P47" i="1"/>
  <c r="H47" i="1"/>
  <c r="T47" i="1"/>
  <c r="R47" i="1"/>
  <c r="N47" i="1"/>
  <c r="K47" i="1"/>
  <c r="L47" i="1"/>
  <c r="G47" i="1"/>
  <c r="S47" i="1"/>
  <c r="M47" i="1"/>
  <c r="I47" i="1"/>
  <c r="AZ48" i="1"/>
  <c r="BB48" i="1"/>
  <c r="AW48" i="1"/>
  <c r="FU47" i="1" l="1"/>
  <c r="FW47" i="1" s="1"/>
  <c r="CK35" i="9"/>
  <c r="BS38" i="9"/>
  <c r="Q38" i="9"/>
  <c r="CF38" i="9"/>
  <c r="AO10" i="8"/>
  <c r="P10" i="13"/>
  <c r="DC39" i="6"/>
  <c r="DA11" i="6"/>
  <c r="DC11" i="6" s="1"/>
  <c r="V39" i="6"/>
  <c r="T11" i="6"/>
  <c r="V11" i="6" s="1"/>
  <c r="Z38" i="4"/>
  <c r="CI11" i="6"/>
  <c r="CK11" i="6" s="1"/>
  <c r="BZ11" i="6"/>
  <c r="CB11" i="6" s="1"/>
  <c r="AF10" i="8"/>
  <c r="AB10" i="8"/>
  <c r="AH10" i="9"/>
  <c r="AK10" i="9" s="1"/>
  <c r="P38" i="8"/>
  <c r="CR11" i="6"/>
  <c r="CT11" i="6" s="1"/>
  <c r="AA36" i="6"/>
  <c r="Y10" i="6"/>
  <c r="BZ36" i="13"/>
  <c r="BX10" i="13"/>
  <c r="BZ10" i="13" s="1"/>
  <c r="Y38" i="8"/>
  <c r="BD10" i="9"/>
  <c r="BF10" i="9" s="1"/>
  <c r="AT35" i="9"/>
  <c r="BH10" i="9"/>
  <c r="BJ10" i="9" s="1"/>
  <c r="BF41" i="1"/>
  <c r="CT41" i="1" s="1"/>
  <c r="CX38" i="1"/>
  <c r="BH40" i="1"/>
  <c r="BY39" i="1"/>
  <c r="CA39" i="1" s="1"/>
  <c r="DQ41" i="1"/>
  <c r="DS41" i="1" s="1"/>
  <c r="CS41" i="1"/>
  <c r="CU41" i="1" s="1"/>
  <c r="CV41" i="1" s="1"/>
  <c r="BE42" i="1"/>
  <c r="BY40" i="1" s="1"/>
  <c r="AB40" i="13" s="1"/>
  <c r="EL38" i="1"/>
  <c r="BT38" i="4"/>
  <c r="BR38" i="4" s="1"/>
  <c r="BI38" i="4"/>
  <c r="BK38" i="4" s="1"/>
  <c r="AT38" i="13"/>
  <c r="AX38" i="4"/>
  <c r="AM38" i="4"/>
  <c r="DR40" i="1"/>
  <c r="DT40" i="1" s="1"/>
  <c r="AC38" i="13"/>
  <c r="CT40" i="1"/>
  <c r="BU38" i="4"/>
  <c r="AU38" i="4"/>
  <c r="BJ38" i="4"/>
  <c r="AV37" i="4"/>
  <c r="AY38" i="4"/>
  <c r="FE40" i="1"/>
  <c r="BG37" i="4"/>
  <c r="CX37" i="1"/>
  <c r="CZ37" i="1" s="1"/>
  <c r="CB37" i="1"/>
  <c r="EL37" i="1"/>
  <c r="EN37" i="1" s="1"/>
  <c r="AZ37" i="4"/>
  <c r="AE38" i="13"/>
  <c r="AM37" i="4"/>
  <c r="AO37" i="4" s="1"/>
  <c r="AX37" i="4"/>
  <c r="CB38" i="1"/>
  <c r="AC37" i="13"/>
  <c r="AT37" i="13"/>
  <c r="AV37" i="13" s="1"/>
  <c r="BL37" i="13"/>
  <c r="BN37" i="13" s="1"/>
  <c r="BT37" i="4"/>
  <c r="BV37" i="4" s="1"/>
  <c r="FV46" i="1"/>
  <c r="FX46" i="1" s="1"/>
  <c r="GH42" i="1"/>
  <c r="GJ42" i="1" s="1"/>
  <c r="GG43" i="1"/>
  <c r="GI43" i="1" s="1"/>
  <c r="DM37" i="6"/>
  <c r="CU37" i="6"/>
  <c r="F38" i="11"/>
  <c r="Z38" i="6"/>
  <c r="DD37" i="6"/>
  <c r="CR38" i="1"/>
  <c r="AN38" i="8"/>
  <c r="BE37" i="6"/>
  <c r="BI37" i="6"/>
  <c r="AV37" i="6"/>
  <c r="AX37" i="6" s="1"/>
  <c r="AL37" i="6"/>
  <c r="FF39" i="1"/>
  <c r="CJ39" i="1"/>
  <c r="X38" i="9"/>
  <c r="AG38" i="9"/>
  <c r="BA38" i="8"/>
  <c r="AN37" i="6"/>
  <c r="DK38" i="6"/>
  <c r="DM38" i="6" s="1"/>
  <c r="DX37" i="1"/>
  <c r="BR38" i="6"/>
  <c r="BT38" i="6" s="1"/>
  <c r="CJ38" i="6"/>
  <c r="CL38" i="6" s="1"/>
  <c r="R37" i="4"/>
  <c r="BU38" i="9"/>
  <c r="CL38" i="9"/>
  <c r="GW41" i="1"/>
  <c r="GY41" i="1" s="1"/>
  <c r="AR48" i="1"/>
  <c r="AE38" i="8"/>
  <c r="O38" i="13"/>
  <c r="CA38" i="6"/>
  <c r="CC38" i="6" s="1"/>
  <c r="U38" i="6"/>
  <c r="W38" i="6" s="1"/>
  <c r="BW42" i="1"/>
  <c r="CS38" i="6"/>
  <c r="CU38" i="6" s="1"/>
  <c r="DB38" i="6"/>
  <c r="DD38" i="6" s="1"/>
  <c r="AI38" i="6"/>
  <c r="AL38" i="6" s="1"/>
  <c r="AT48" i="1"/>
  <c r="FG40" i="1"/>
  <c r="ED38" i="1"/>
  <c r="EF38" i="1" s="1"/>
  <c r="AA38" i="8"/>
  <c r="BJ38" i="6"/>
  <c r="GC38" i="1"/>
  <c r="GE38" i="1" s="1"/>
  <c r="FL39" i="1"/>
  <c r="AU48" i="1"/>
  <c r="AQ48" i="1"/>
  <c r="GV43" i="1"/>
  <c r="FJ39" i="1"/>
  <c r="EY41" i="1"/>
  <c r="GO38" i="1"/>
  <c r="GQ38" i="1" s="1"/>
  <c r="BO41" i="1"/>
  <c r="AS48" i="1"/>
  <c r="AS37" i="9"/>
  <c r="AP48" i="1"/>
  <c r="EY40" i="1"/>
  <c r="BK43" i="1"/>
  <c r="O40" i="9"/>
  <c r="BQ40" i="9"/>
  <c r="CD40" i="9"/>
  <c r="W40" i="8"/>
  <c r="AE40" i="8" s="1"/>
  <c r="N40" i="8"/>
  <c r="N40" i="4"/>
  <c r="X40" i="4"/>
  <c r="GK40" i="1"/>
  <c r="E48" i="1"/>
  <c r="BD39" i="6"/>
  <c r="AU39" i="6"/>
  <c r="AG39" i="6"/>
  <c r="AG11" i="6" s="1"/>
  <c r="DL39" i="6"/>
  <c r="BT36" i="8"/>
  <c r="DU38" i="6"/>
  <c r="DU37" i="6"/>
  <c r="CM37" i="9"/>
  <c r="DN40" i="1"/>
  <c r="EP40" i="1"/>
  <c r="ER40" i="1" s="1"/>
  <c r="DF40" i="1"/>
  <c r="FL40" i="1" s="1"/>
  <c r="D37" i="11"/>
  <c r="AH37" i="9"/>
  <c r="AK37" i="9" s="1"/>
  <c r="Y37" i="9"/>
  <c r="AA37" i="9" s="1"/>
  <c r="BQ42" i="1"/>
  <c r="BS42" i="1" s="1"/>
  <c r="BR41" i="1"/>
  <c r="BT41" i="1" s="1"/>
  <c r="DM41" i="1"/>
  <c r="DE41" i="1"/>
  <c r="DG41" i="1" s="1"/>
  <c r="EO41" i="1"/>
  <c r="EQ41" i="1" s="1"/>
  <c r="FZ42" i="1"/>
  <c r="GB42" i="1" s="1"/>
  <c r="AP36" i="6"/>
  <c r="BH38" i="6"/>
  <c r="BS41" i="1"/>
  <c r="E35" i="11"/>
  <c r="BY35" i="13"/>
  <c r="BI44" i="1"/>
  <c r="BK44" i="1" s="1"/>
  <c r="BJ43" i="1"/>
  <c r="BL43" i="1" s="1"/>
  <c r="FY43" i="1"/>
  <c r="BV37" i="9"/>
  <c r="O39" i="9"/>
  <c r="O11" i="9" s="1"/>
  <c r="Q11" i="9" s="1"/>
  <c r="CD39" i="9"/>
  <c r="CD11" i="9" s="1"/>
  <c r="CF11" i="9" s="1"/>
  <c r="BQ39" i="9"/>
  <c r="BQ11" i="9" s="1"/>
  <c r="BS11" i="9" s="1"/>
  <c r="AM39" i="6"/>
  <c r="X39" i="6"/>
  <c r="X11" i="6" s="1"/>
  <c r="Z11" i="6" s="1"/>
  <c r="W39" i="8"/>
  <c r="W11" i="8" s="1"/>
  <c r="Y11" i="8" s="1"/>
  <c r="N39" i="8"/>
  <c r="N11" i="8" s="1"/>
  <c r="P11" i="8" s="1"/>
  <c r="N39" i="4"/>
  <c r="N11" i="4" s="1"/>
  <c r="P11" i="4" s="1"/>
  <c r="X39" i="4"/>
  <c r="X11" i="4" s="1"/>
  <c r="Z11" i="4" s="1"/>
  <c r="CE40" i="1"/>
  <c r="GK39" i="1"/>
  <c r="CE39" i="1"/>
  <c r="BD37" i="9"/>
  <c r="BF37" i="9" s="1"/>
  <c r="BH37" i="9"/>
  <c r="BJ37" i="9" s="1"/>
  <c r="CE38" i="9"/>
  <c r="BR38" i="9"/>
  <c r="BT38" i="9" s="1"/>
  <c r="P38" i="9"/>
  <c r="R38" i="9" s="1"/>
  <c r="X38" i="8"/>
  <c r="Z38" i="8" s="1"/>
  <c r="O38" i="8"/>
  <c r="Q38" i="8" s="1"/>
  <c r="O38" i="4"/>
  <c r="R38" i="4" s="1"/>
  <c r="Y38" i="4"/>
  <c r="AB38" i="4" s="1"/>
  <c r="GL38" i="1"/>
  <c r="GN38" i="1" s="1"/>
  <c r="AO38" i="6"/>
  <c r="AP35" i="9"/>
  <c r="AJ39" i="6"/>
  <c r="AI35" i="13"/>
  <c r="FI40" i="1"/>
  <c r="FK40" i="1"/>
  <c r="CP39" i="1"/>
  <c r="BW35" i="13"/>
  <c r="BE35" i="9"/>
  <c r="BC35" i="9"/>
  <c r="BI35" i="9"/>
  <c r="GZ40" i="1"/>
  <c r="GZ39" i="1"/>
  <c r="BR37" i="8"/>
  <c r="BA36" i="9"/>
  <c r="BC36" i="9" s="1"/>
  <c r="AN36" i="9"/>
  <c r="AN10" i="9" s="1"/>
  <c r="AP10" i="9" s="1"/>
  <c r="EC40" i="1"/>
  <c r="FD36" i="1"/>
  <c r="AU35" i="8"/>
  <c r="EV36" i="1"/>
  <c r="GT44" i="1"/>
  <c r="GX41" i="1" s="1"/>
  <c r="GS45" i="1"/>
  <c r="GW42" i="1" s="1"/>
  <c r="FS38" i="1"/>
  <c r="FQ38" i="1"/>
  <c r="EE38" i="1"/>
  <c r="G37" i="11"/>
  <c r="U37" i="13"/>
  <c r="FT36" i="1"/>
  <c r="FR36" i="1"/>
  <c r="EB36" i="1"/>
  <c r="DJ41" i="1"/>
  <c r="DL41" i="1" s="1"/>
  <c r="FM38" i="1"/>
  <c r="FO38" i="1"/>
  <c r="EM38" i="1"/>
  <c r="CA36" i="13"/>
  <c r="V37" i="13"/>
  <c r="EJ36" i="1"/>
  <c r="FP36" i="1"/>
  <c r="FN36" i="1"/>
  <c r="DV38" i="1"/>
  <c r="DV36" i="6"/>
  <c r="AA37" i="6"/>
  <c r="G36" i="11"/>
  <c r="G10" i="11" s="1"/>
  <c r="BU43" i="1"/>
  <c r="CO41" i="1" s="1"/>
  <c r="DI42" i="1"/>
  <c r="BV42" i="1"/>
  <c r="BX42" i="1" s="1"/>
  <c r="CD39" i="1"/>
  <c r="CF39" i="1" s="1"/>
  <c r="BF36" i="8"/>
  <c r="BF10" i="8" s="1"/>
  <c r="BO36" i="8"/>
  <c r="BQ36" i="8" s="1"/>
  <c r="CJ39" i="6"/>
  <c r="AI39" i="6"/>
  <c r="DB39" i="6"/>
  <c r="CS39" i="6"/>
  <c r="U39" i="6"/>
  <c r="CA39" i="6"/>
  <c r="BR39" i="6"/>
  <c r="DK39" i="6"/>
  <c r="AA36" i="9"/>
  <c r="BL42" i="1"/>
  <c r="AH40" i="6"/>
  <c r="AJ40" i="6" s="1"/>
  <c r="DA40" i="6"/>
  <c r="BZ40" i="6"/>
  <c r="CI40" i="6"/>
  <c r="CK40" i="6" s="1"/>
  <c r="DJ40" i="6"/>
  <c r="DL40" i="6" s="1"/>
  <c r="CR40" i="6"/>
  <c r="T40" i="6"/>
  <c r="X40" i="6" s="1"/>
  <c r="BQ40" i="6"/>
  <c r="BS40" i="6" s="1"/>
  <c r="DU40" i="1"/>
  <c r="EC39" i="1"/>
  <c r="EE39" i="1" s="1"/>
  <c r="DB40" i="1"/>
  <c r="DD40" i="1" s="1"/>
  <c r="DT37" i="6"/>
  <c r="DV37" i="6" s="1"/>
  <c r="ET37" i="1"/>
  <c r="EV37" i="1" s="1"/>
  <c r="EH37" i="1"/>
  <c r="DZ37" i="1"/>
  <c r="FB37" i="1"/>
  <c r="FD37" i="1" s="1"/>
  <c r="DU39" i="1"/>
  <c r="BU36" i="13"/>
  <c r="BU10" i="13" s="1"/>
  <c r="AG36" i="13"/>
  <c r="AG10" i="13" s="1"/>
  <c r="T36" i="13"/>
  <c r="T10" i="13" s="1"/>
  <c r="BS35" i="8"/>
  <c r="BQ35" i="8"/>
  <c r="BM42" i="1"/>
  <c r="BO42" i="1" s="1"/>
  <c r="BN41" i="1"/>
  <c r="CH40" i="1" s="1"/>
  <c r="CJ40" i="1" s="1"/>
  <c r="DA41" i="1"/>
  <c r="DC41" i="1" s="1"/>
  <c r="BP40" i="1"/>
  <c r="CI40" i="1"/>
  <c r="AS36" i="8"/>
  <c r="AU36" i="8" s="1"/>
  <c r="CF38" i="1"/>
  <c r="BS39" i="6"/>
  <c r="CQ40" i="1"/>
  <c r="BD36" i="8"/>
  <c r="CL38" i="1"/>
  <c r="CN38" i="1" s="1"/>
  <c r="U48" i="1"/>
  <c r="FC38" i="1"/>
  <c r="FC37" i="1"/>
  <c r="BX37" i="13"/>
  <c r="CA37" i="13" s="1"/>
  <c r="CI36" i="9"/>
  <c r="CI10" i="9" s="1"/>
  <c r="CK10" i="9" s="1"/>
  <c r="GD37" i="1"/>
  <c r="GP37" i="1"/>
  <c r="BH35" i="8"/>
  <c r="V48" i="1"/>
  <c r="BX36" i="9"/>
  <c r="AR36" i="9"/>
  <c r="AR10" i="9" s="1"/>
  <c r="AT10" i="9" s="1"/>
  <c r="BG37" i="8"/>
  <c r="EU38" i="1"/>
  <c r="EU37" i="1"/>
  <c r="AO37" i="8"/>
  <c r="AQ37" i="8" s="1"/>
  <c r="P37" i="13"/>
  <c r="FH39" i="1"/>
  <c r="CK39" i="1"/>
  <c r="BT40" i="1"/>
  <c r="DO40" i="1"/>
  <c r="EA38" i="1"/>
  <c r="FQ37" i="1"/>
  <c r="FS37" i="1"/>
  <c r="EA37" i="1"/>
  <c r="BB37" i="8"/>
  <c r="AB37" i="8"/>
  <c r="AF37" i="8"/>
  <c r="EZ40" i="1"/>
  <c r="GF36" i="1"/>
  <c r="A50" i="1"/>
  <c r="Y49" i="1"/>
  <c r="AK49" i="1" s="1"/>
  <c r="X49" i="1"/>
  <c r="AJ49" i="1" s="1"/>
  <c r="AD49" i="1"/>
  <c r="AA49" i="1"/>
  <c r="AM49" i="1" s="1"/>
  <c r="AI49" i="1"/>
  <c r="AF49" i="1"/>
  <c r="AB49" i="1"/>
  <c r="AN49" i="1" s="1"/>
  <c r="AG49" i="1"/>
  <c r="AE49" i="1"/>
  <c r="Z49" i="1"/>
  <c r="AL49" i="1" s="1"/>
  <c r="AH49" i="1"/>
  <c r="AC49" i="1"/>
  <c r="AO49" i="1" s="1"/>
  <c r="B49" i="1"/>
  <c r="D49" i="1"/>
  <c r="C49" i="1"/>
  <c r="U49" i="1" s="1"/>
  <c r="EI38" i="1"/>
  <c r="EI37" i="1"/>
  <c r="FO37" i="1"/>
  <c r="FM37" i="1"/>
  <c r="AK197" i="23"/>
  <c r="AJ197" i="23"/>
  <c r="AI197" i="23"/>
  <c r="AH197" i="23"/>
  <c r="AG197" i="23"/>
  <c r="AV49" i="1"/>
  <c r="BA49" i="1"/>
  <c r="AW49" i="1"/>
  <c r="AX49" i="1"/>
  <c r="AY49" i="1"/>
  <c r="BC49" i="1"/>
  <c r="J48" i="1"/>
  <c r="O48" i="1"/>
  <c r="K48" i="1"/>
  <c r="H48" i="1"/>
  <c r="Q48" i="1"/>
  <c r="G48" i="1"/>
  <c r="F48" i="1"/>
  <c r="T48" i="1"/>
  <c r="S48" i="1"/>
  <c r="P48" i="1"/>
  <c r="N48" i="1"/>
  <c r="R48" i="1"/>
  <c r="M48" i="1"/>
  <c r="L48" i="1"/>
  <c r="I48" i="1"/>
  <c r="BB49" i="1"/>
  <c r="AZ49" i="1"/>
  <c r="FV47" i="1" l="1"/>
  <c r="FX47" i="1" s="1"/>
  <c r="GG44" i="1"/>
  <c r="GI44" i="1" s="1"/>
  <c r="CS11" i="6"/>
  <c r="CU11" i="6" s="1"/>
  <c r="DB11" i="6"/>
  <c r="DD11" i="6" s="1"/>
  <c r="U11" i="6"/>
  <c r="W11" i="6" s="1"/>
  <c r="AI11" i="6"/>
  <c r="AL11" i="6" s="1"/>
  <c r="Q38" i="13"/>
  <c r="AG38" i="8"/>
  <c r="BW38" i="9"/>
  <c r="CJ11" i="6"/>
  <c r="CL11" i="6" s="1"/>
  <c r="BO10" i="8"/>
  <c r="BC38" i="8"/>
  <c r="CH38" i="9"/>
  <c r="CN38" i="9" s="1"/>
  <c r="Z38" i="9"/>
  <c r="AS10" i="8"/>
  <c r="BA10" i="9"/>
  <c r="BC10" i="9" s="1"/>
  <c r="AO39" i="6"/>
  <c r="AM11" i="6"/>
  <c r="AO11" i="6" s="1"/>
  <c r="AC38" i="8"/>
  <c r="BR11" i="6"/>
  <c r="BT11" i="6" s="1"/>
  <c r="AW39" i="6"/>
  <c r="AU11" i="6"/>
  <c r="AW11" i="6" s="1"/>
  <c r="BF39" i="6"/>
  <c r="BD11" i="6"/>
  <c r="AP38" i="8"/>
  <c r="DK11" i="6"/>
  <c r="DM11" i="6" s="1"/>
  <c r="CA11" i="6"/>
  <c r="CC11" i="6" s="1"/>
  <c r="BH41" i="1"/>
  <c r="DR41" i="1"/>
  <c r="DT41" i="1" s="1"/>
  <c r="BZ39" i="1"/>
  <c r="AX39" i="4" s="1"/>
  <c r="AX11" i="4" s="1"/>
  <c r="AW40" i="4"/>
  <c r="CW40" i="1"/>
  <c r="AL40" i="4"/>
  <c r="BS40" i="4"/>
  <c r="BQ40" i="4" s="1"/>
  <c r="BH40" i="4"/>
  <c r="BF40" i="4" s="1"/>
  <c r="AS40" i="13"/>
  <c r="BK40" i="13"/>
  <c r="BH39" i="4"/>
  <c r="DQ42" i="1"/>
  <c r="DS42" i="1" s="1"/>
  <c r="EK40" i="1"/>
  <c r="BE43" i="1"/>
  <c r="BY41" i="1" s="1"/>
  <c r="AW41" i="4" s="1"/>
  <c r="BF42" i="1"/>
  <c r="CT42" i="1" s="1"/>
  <c r="CS42" i="1"/>
  <c r="CU42" i="1" s="1"/>
  <c r="CA40" i="1"/>
  <c r="AL39" i="4"/>
  <c r="AB39" i="13"/>
  <c r="FG41" i="1"/>
  <c r="CW39" i="1"/>
  <c r="BG42" i="1"/>
  <c r="EK39" i="1"/>
  <c r="EM39" i="1" s="1"/>
  <c r="AS39" i="13"/>
  <c r="BK39" i="13"/>
  <c r="BS39" i="4"/>
  <c r="AW39" i="4"/>
  <c r="BG38" i="4"/>
  <c r="AV38" i="4"/>
  <c r="AZ38" i="4"/>
  <c r="FF40" i="1"/>
  <c r="CZ38" i="1"/>
  <c r="AO38" i="4"/>
  <c r="AV38" i="13"/>
  <c r="EN38" i="1"/>
  <c r="BN38" i="13"/>
  <c r="BV38" i="4"/>
  <c r="BR37" i="4"/>
  <c r="GH43" i="1"/>
  <c r="GJ43" i="1" s="1"/>
  <c r="FU48" i="1"/>
  <c r="FW48" i="1" s="1"/>
  <c r="BE38" i="8"/>
  <c r="DD39" i="6"/>
  <c r="W39" i="6"/>
  <c r="AR38" i="8"/>
  <c r="AR37" i="9"/>
  <c r="AT37" i="9" s="1"/>
  <c r="BN38" i="8"/>
  <c r="AL39" i="6"/>
  <c r="BE38" i="6"/>
  <c r="BK38" i="6" s="1"/>
  <c r="BI38" i="6"/>
  <c r="AV38" i="6"/>
  <c r="AX38" i="6" s="1"/>
  <c r="BG37" i="6"/>
  <c r="AL38" i="9"/>
  <c r="BK37" i="6"/>
  <c r="AF38" i="13"/>
  <c r="BT38" i="13"/>
  <c r="S38" i="13"/>
  <c r="DH40" i="1"/>
  <c r="GY42" i="1"/>
  <c r="AZ38" i="9"/>
  <c r="CC39" i="6"/>
  <c r="DP40" i="1"/>
  <c r="BT39" i="6"/>
  <c r="AQ38" i="9"/>
  <c r="AI38" i="9"/>
  <c r="AP37" i="6"/>
  <c r="FE41" i="1"/>
  <c r="FH40" i="1"/>
  <c r="FJ40" i="1"/>
  <c r="AQ49" i="1"/>
  <c r="CK40" i="1"/>
  <c r="FA40" i="1" s="1"/>
  <c r="BZ37" i="13"/>
  <c r="EW42" i="1"/>
  <c r="EY42" i="1" s="1"/>
  <c r="CC41" i="1"/>
  <c r="CE41" i="1" s="1"/>
  <c r="GV44" i="1"/>
  <c r="DV39" i="1"/>
  <c r="Y39" i="6" s="1"/>
  <c r="CP40" i="1"/>
  <c r="CR40" i="1" s="1"/>
  <c r="V40" i="6"/>
  <c r="CL39" i="1"/>
  <c r="DZ39" i="1" s="1"/>
  <c r="AS49" i="1"/>
  <c r="V49" i="1"/>
  <c r="EX41" i="1"/>
  <c r="EZ41" i="1" s="1"/>
  <c r="AU49" i="1"/>
  <c r="CG41" i="1"/>
  <c r="T41" i="6" s="1"/>
  <c r="AR49" i="1"/>
  <c r="R37" i="13"/>
  <c r="GZ41" i="1"/>
  <c r="F40" i="11"/>
  <c r="BK35" i="9"/>
  <c r="BV38" i="9"/>
  <c r="BX38" i="9" s="1"/>
  <c r="Q40" i="9"/>
  <c r="X39" i="9"/>
  <c r="X11" i="9" s="1"/>
  <c r="Z11" i="9" s="1"/>
  <c r="AG39" i="9"/>
  <c r="AQ39" i="9" s="1"/>
  <c r="Q39" i="9"/>
  <c r="BG35" i="9"/>
  <c r="E36" i="11"/>
  <c r="E10" i="11" s="1"/>
  <c r="BY36" i="13"/>
  <c r="BD40" i="6"/>
  <c r="BJ40" i="6" s="1"/>
  <c r="AU40" i="6"/>
  <c r="AW40" i="6" s="1"/>
  <c r="AG40" i="6"/>
  <c r="CM38" i="9"/>
  <c r="BA37" i="9"/>
  <c r="BC37" i="9" s="1"/>
  <c r="AN37" i="9"/>
  <c r="AP37" i="9" s="1"/>
  <c r="AT36" i="9"/>
  <c r="CI37" i="9"/>
  <c r="CO37" i="9" s="1"/>
  <c r="BH39" i="6"/>
  <c r="AD37" i="8"/>
  <c r="DJ42" i="1"/>
  <c r="DL42" i="1" s="1"/>
  <c r="CG38" i="9"/>
  <c r="GC40" i="1"/>
  <c r="GO40" i="1"/>
  <c r="BF37" i="8"/>
  <c r="BO37" i="8"/>
  <c r="CB40" i="6"/>
  <c r="W49" i="1"/>
  <c r="CO36" i="9"/>
  <c r="CK36" i="9"/>
  <c r="CT40" i="6"/>
  <c r="BE36" i="9"/>
  <c r="BG36" i="9" s="1"/>
  <c r="BI36" i="9"/>
  <c r="BI10" i="9" s="1"/>
  <c r="BK10" i="9" s="1"/>
  <c r="BW36" i="13"/>
  <c r="FZ43" i="1"/>
  <c r="GB43" i="1" s="1"/>
  <c r="DW40" i="1"/>
  <c r="DW39" i="1"/>
  <c r="DC40" i="6"/>
  <c r="BU44" i="1"/>
  <c r="BW44" i="1" s="1"/>
  <c r="BV43" i="1"/>
  <c r="CP41" i="1" s="1"/>
  <c r="DI43" i="1"/>
  <c r="DK43" i="1" s="1"/>
  <c r="DM39" i="6"/>
  <c r="BU37" i="13"/>
  <c r="AG37" i="13"/>
  <c r="T37" i="13"/>
  <c r="AH37" i="8"/>
  <c r="BI39" i="6"/>
  <c r="BE39" i="6"/>
  <c r="AV39" i="6"/>
  <c r="BW43" i="1"/>
  <c r="BI45" i="1"/>
  <c r="BK45" i="1" s="1"/>
  <c r="BJ44" i="1"/>
  <c r="BL44" i="1" s="1"/>
  <c r="FY44" i="1"/>
  <c r="GA44" i="1" s="1"/>
  <c r="CD40" i="1"/>
  <c r="AP49" i="1"/>
  <c r="A51" i="1"/>
  <c r="Y50" i="1"/>
  <c r="AK50" i="1" s="1"/>
  <c r="X50" i="1"/>
  <c r="AJ50" i="1" s="1"/>
  <c r="AG50" i="1"/>
  <c r="AD50" i="1"/>
  <c r="AB50" i="1"/>
  <c r="AN50" i="1" s="1"/>
  <c r="AI50" i="1"/>
  <c r="AF50" i="1"/>
  <c r="AH50" i="1"/>
  <c r="AE50" i="1"/>
  <c r="AC50" i="1"/>
  <c r="AO50" i="1" s="1"/>
  <c r="Z50" i="1"/>
  <c r="AL50" i="1" s="1"/>
  <c r="AA50" i="1"/>
  <c r="AM50" i="1" s="1"/>
  <c r="D50" i="1"/>
  <c r="B50" i="1"/>
  <c r="C50" i="1"/>
  <c r="W50" i="1" s="1"/>
  <c r="AS37" i="8"/>
  <c r="FR37" i="1"/>
  <c r="FT37" i="1"/>
  <c r="ED39" i="1"/>
  <c r="CR39" i="1"/>
  <c r="O40" i="13"/>
  <c r="AN40" i="8"/>
  <c r="BA40" i="8"/>
  <c r="AA40" i="8"/>
  <c r="BS36" i="8"/>
  <c r="BU36" i="8" s="1"/>
  <c r="Z40" i="4"/>
  <c r="GC39" i="1"/>
  <c r="GO39" i="1"/>
  <c r="Z39" i="4"/>
  <c r="AM40" i="6"/>
  <c r="AO40" i="6" s="1"/>
  <c r="BD37" i="8"/>
  <c r="P40" i="4"/>
  <c r="P39" i="4"/>
  <c r="CL40" i="9"/>
  <c r="DS39" i="6"/>
  <c r="DS11" i="6" s="1"/>
  <c r="EG39" i="1"/>
  <c r="DY39" i="1"/>
  <c r="FQ39" i="1" s="1"/>
  <c r="ES39" i="1"/>
  <c r="FA39" i="1"/>
  <c r="CM39" i="1"/>
  <c r="BU40" i="9"/>
  <c r="GM40" i="1"/>
  <c r="GM39" i="1"/>
  <c r="E49" i="1"/>
  <c r="AN39" i="8"/>
  <c r="AN11" i="8" s="1"/>
  <c r="AP11" i="8" s="1"/>
  <c r="P40" i="8"/>
  <c r="O39" i="13"/>
  <c r="O11" i="13" s="1"/>
  <c r="Q11" i="13" s="1"/>
  <c r="P39" i="8"/>
  <c r="BX37" i="9"/>
  <c r="FP37" i="1"/>
  <c r="FN37" i="1"/>
  <c r="DB40" i="6"/>
  <c r="CA40" i="6"/>
  <c r="CC40" i="6" s="1"/>
  <c r="AI40" i="6"/>
  <c r="AL40" i="6" s="1"/>
  <c r="CJ40" i="6"/>
  <c r="CL40" i="6" s="1"/>
  <c r="DK40" i="6"/>
  <c r="DM40" i="6" s="1"/>
  <c r="CS40" i="6"/>
  <c r="CU40" i="6" s="1"/>
  <c r="U40" i="6"/>
  <c r="W40" i="6" s="1"/>
  <c r="BR40" i="6"/>
  <c r="BT40" i="6" s="1"/>
  <c r="CU39" i="6"/>
  <c r="DN41" i="1"/>
  <c r="DF41" i="1"/>
  <c r="EP41" i="1"/>
  <c r="ER41" i="1" s="1"/>
  <c r="DB41" i="1"/>
  <c r="DD41" i="1" s="1"/>
  <c r="BP41" i="1"/>
  <c r="GT45" i="1"/>
  <c r="GS46" i="1"/>
  <c r="GU46" i="1" s="1"/>
  <c r="EE40" i="1"/>
  <c r="AN38" i="6"/>
  <c r="Y38" i="6"/>
  <c r="DX38" i="1"/>
  <c r="AI36" i="13"/>
  <c r="BA39" i="8"/>
  <c r="BA11" i="8" s="1"/>
  <c r="BC11" i="8" s="1"/>
  <c r="AA39" i="8"/>
  <c r="AA11" i="8" s="1"/>
  <c r="AC11" i="8" s="1"/>
  <c r="Y40" i="8"/>
  <c r="Y39" i="8"/>
  <c r="AE39" i="8"/>
  <c r="AE11" i="8" s="1"/>
  <c r="AG11" i="8" s="1"/>
  <c r="BJ39" i="6"/>
  <c r="BQ43" i="1"/>
  <c r="EW43" i="1" s="1"/>
  <c r="BR42" i="1"/>
  <c r="EX42" i="1" s="1"/>
  <c r="DM42" i="1"/>
  <c r="DE42" i="1"/>
  <c r="DG42" i="1" s="1"/>
  <c r="EO42" i="1"/>
  <c r="EQ42" i="1" s="1"/>
  <c r="GA43" i="1"/>
  <c r="X40" i="9"/>
  <c r="AG40" i="9"/>
  <c r="AQ40" i="9" s="1"/>
  <c r="P39" i="9"/>
  <c r="R39" i="9" s="1"/>
  <c r="CE39" i="9"/>
  <c r="CG39" i="9" s="1"/>
  <c r="BR39" i="9"/>
  <c r="BR11" i="9" s="1"/>
  <c r="BT11" i="9" s="1"/>
  <c r="X39" i="8"/>
  <c r="O39" i="8"/>
  <c r="O11" i="8" s="1"/>
  <c r="Q11" i="8" s="1"/>
  <c r="O39" i="4"/>
  <c r="R39" i="4" s="1"/>
  <c r="Y39" i="4"/>
  <c r="AB39" i="4" s="1"/>
  <c r="GL39" i="1"/>
  <c r="GN39" i="1" s="1"/>
  <c r="BM43" i="1"/>
  <c r="BO43" i="1" s="1"/>
  <c r="DA42" i="1"/>
  <c r="DC42" i="1" s="1"/>
  <c r="BN42" i="1"/>
  <c r="GU45" i="1"/>
  <c r="GD38" i="1"/>
  <c r="GP38" i="1"/>
  <c r="Z40" i="6"/>
  <c r="F39" i="11"/>
  <c r="F11" i="11" s="1"/>
  <c r="Z39" i="6"/>
  <c r="EJ37" i="1"/>
  <c r="EB37" i="1"/>
  <c r="FI41" i="1"/>
  <c r="DO41" i="1"/>
  <c r="FK41" i="1"/>
  <c r="BT37" i="8"/>
  <c r="CL39" i="6"/>
  <c r="GF37" i="1"/>
  <c r="DK42" i="1"/>
  <c r="AO38" i="8"/>
  <c r="P38" i="13"/>
  <c r="R38" i="13" s="1"/>
  <c r="BU39" i="9"/>
  <c r="BU11" i="9" s="1"/>
  <c r="BW11" i="9" s="1"/>
  <c r="BS40" i="9"/>
  <c r="BS39" i="9"/>
  <c r="BH36" i="8"/>
  <c r="DT38" i="6"/>
  <c r="DV38" i="6" s="1"/>
  <c r="ET38" i="1"/>
  <c r="EV38" i="1" s="1"/>
  <c r="EH38" i="1"/>
  <c r="EJ38" i="1" s="1"/>
  <c r="DZ38" i="1"/>
  <c r="FB38" i="1"/>
  <c r="BB38" i="8"/>
  <c r="BD38" i="8" s="1"/>
  <c r="AB38" i="8"/>
  <c r="AD38" i="8" s="1"/>
  <c r="AF38" i="8"/>
  <c r="AH38" i="8" s="1"/>
  <c r="CL39" i="9"/>
  <c r="CF40" i="9"/>
  <c r="CF39" i="9"/>
  <c r="AT49" i="1"/>
  <c r="GR37" i="1"/>
  <c r="AP36" i="9"/>
  <c r="BU35" i="8"/>
  <c r="CQ41" i="1"/>
  <c r="AH38" i="9"/>
  <c r="AR38" i="9" s="1"/>
  <c r="Y38" i="9"/>
  <c r="AE197" i="23"/>
  <c r="AD197" i="23"/>
  <c r="AR196" i="23"/>
  <c r="AQ196" i="23"/>
  <c r="AP196" i="23"/>
  <c r="AO196" i="23"/>
  <c r="AN196" i="23"/>
  <c r="AZ50" i="1"/>
  <c r="AW50" i="1"/>
  <c r="AY50" i="1"/>
  <c r="AV50" i="1"/>
  <c r="AX50" i="1"/>
  <c r="BC50" i="1"/>
  <c r="BB50" i="1"/>
  <c r="BA50" i="1"/>
  <c r="O49" i="1"/>
  <c r="M49" i="1"/>
  <c r="J49" i="1"/>
  <c r="I49" i="1"/>
  <c r="H49" i="1"/>
  <c r="N49" i="1"/>
  <c r="R49" i="1"/>
  <c r="G49" i="1"/>
  <c r="F49" i="1"/>
  <c r="S49" i="1"/>
  <c r="L49" i="1"/>
  <c r="P49" i="1"/>
  <c r="T49" i="1"/>
  <c r="K49" i="1"/>
  <c r="Q49" i="1"/>
  <c r="GH44" i="1" l="1"/>
  <c r="GJ44" i="1" s="1"/>
  <c r="Y11" i="6"/>
  <c r="AA11" i="6" s="1"/>
  <c r="BI11" i="6"/>
  <c r="BJ39" i="4"/>
  <c r="BH11" i="4"/>
  <c r="BB38" i="9"/>
  <c r="AG11" i="9"/>
  <c r="AI11" i="9" s="1"/>
  <c r="U38" i="13"/>
  <c r="CJ38" i="9"/>
  <c r="BV38" i="13"/>
  <c r="O11" i="4"/>
  <c r="R11" i="4" s="1"/>
  <c r="AH38" i="13"/>
  <c r="Y11" i="4"/>
  <c r="AB11" i="4" s="1"/>
  <c r="AV11" i="6"/>
  <c r="AX11" i="6" s="1"/>
  <c r="AS38" i="9"/>
  <c r="AQ11" i="9"/>
  <c r="AS11" i="9" s="1"/>
  <c r="AO38" i="9"/>
  <c r="BJ11" i="6"/>
  <c r="BF11" i="6"/>
  <c r="AF39" i="8"/>
  <c r="AF11" i="8" s="1"/>
  <c r="AH11" i="8" s="1"/>
  <c r="X11" i="8"/>
  <c r="BU39" i="4"/>
  <c r="BS11" i="4"/>
  <c r="BU11" i="4" s="1"/>
  <c r="BM39" i="13"/>
  <c r="BK11" i="13"/>
  <c r="BM11" i="13" s="1"/>
  <c r="BS10" i="8"/>
  <c r="AU39" i="13"/>
  <c r="AS11" i="13"/>
  <c r="AU11" i="13" s="1"/>
  <c r="BP38" i="8"/>
  <c r="BE10" i="9"/>
  <c r="BG10" i="9" s="1"/>
  <c r="P11" i="9"/>
  <c r="R11" i="9" s="1"/>
  <c r="AT38" i="8"/>
  <c r="AD40" i="13"/>
  <c r="AB11" i="13"/>
  <c r="AD11" i="13" s="1"/>
  <c r="AN39" i="4"/>
  <c r="AL11" i="4"/>
  <c r="BE11" i="6"/>
  <c r="BG38" i="8"/>
  <c r="CE11" i="9"/>
  <c r="CG11" i="9" s="1"/>
  <c r="CB39" i="1"/>
  <c r="AT39" i="13"/>
  <c r="CX39" i="1"/>
  <c r="CZ39" i="1" s="1"/>
  <c r="AC39" i="13"/>
  <c r="AC11" i="13" s="1"/>
  <c r="BI39" i="4"/>
  <c r="BL39" i="13"/>
  <c r="BT39" i="4"/>
  <c r="BT11" i="4" s="1"/>
  <c r="AM39" i="4"/>
  <c r="EL39" i="1"/>
  <c r="EN39" i="1" s="1"/>
  <c r="BH41" i="4"/>
  <c r="BJ41" i="4" s="1"/>
  <c r="AS41" i="13"/>
  <c r="AU41" i="13" s="1"/>
  <c r="CY40" i="1"/>
  <c r="AB41" i="13"/>
  <c r="AD41" i="13" s="1"/>
  <c r="BH42" i="1"/>
  <c r="EK41" i="1"/>
  <c r="EM41" i="1" s="1"/>
  <c r="AY39" i="4"/>
  <c r="BJ40" i="4"/>
  <c r="BE44" i="1"/>
  <c r="BG44" i="1" s="1"/>
  <c r="CA41" i="1"/>
  <c r="AY40" i="4"/>
  <c r="AU40" i="4"/>
  <c r="AU39" i="4"/>
  <c r="CY39" i="1"/>
  <c r="FG42" i="1"/>
  <c r="BZ40" i="1"/>
  <c r="EL40" i="1" s="1"/>
  <c r="BG43" i="1"/>
  <c r="DR42" i="1"/>
  <c r="DT42" i="1" s="1"/>
  <c r="BF39" i="4"/>
  <c r="DQ43" i="1"/>
  <c r="DS43" i="1" s="1"/>
  <c r="BK41" i="13"/>
  <c r="BM41" i="13" s="1"/>
  <c r="AL41" i="4"/>
  <c r="AN41" i="4" s="1"/>
  <c r="BS41" i="4"/>
  <c r="BU41" i="4" s="1"/>
  <c r="CS43" i="1"/>
  <c r="CU43" i="1" s="1"/>
  <c r="CV43" i="1" s="1"/>
  <c r="BF43" i="1"/>
  <c r="BH43" i="1" s="1"/>
  <c r="AD39" i="13"/>
  <c r="AE39" i="13"/>
  <c r="AN40" i="4"/>
  <c r="AE40" i="13"/>
  <c r="EM40" i="1"/>
  <c r="AU40" i="13"/>
  <c r="BU40" i="4"/>
  <c r="BQ39" i="4"/>
  <c r="BQ11" i="4" s="1"/>
  <c r="BM40" i="13"/>
  <c r="GG45" i="1"/>
  <c r="GI45" i="1" s="1"/>
  <c r="FV48" i="1"/>
  <c r="FX48" i="1" s="1"/>
  <c r="FU49" i="1"/>
  <c r="FW49" i="1" s="1"/>
  <c r="CI41" i="1"/>
  <c r="BR38" i="8"/>
  <c r="AX39" i="6"/>
  <c r="BK39" i="6"/>
  <c r="BQ41" i="6"/>
  <c r="BS41" i="6" s="1"/>
  <c r="BG38" i="6"/>
  <c r="DA41" i="6"/>
  <c r="DC41" i="6" s="1"/>
  <c r="AH41" i="6"/>
  <c r="AJ41" i="6" s="1"/>
  <c r="BZ41" i="6"/>
  <c r="CB41" i="6" s="1"/>
  <c r="BX38" i="13"/>
  <c r="CI41" i="6"/>
  <c r="CK41" i="6" s="1"/>
  <c r="CR41" i="6"/>
  <c r="CT41" i="6" s="1"/>
  <c r="BD38" i="9"/>
  <c r="DU41" i="1"/>
  <c r="DW41" i="1" s="1"/>
  <c r="BH38" i="9"/>
  <c r="D38" i="11"/>
  <c r="CH39" i="9"/>
  <c r="CJ39" i="9" s="1"/>
  <c r="V38" i="13"/>
  <c r="DT39" i="6"/>
  <c r="DV39" i="6" s="1"/>
  <c r="EH39" i="1"/>
  <c r="EJ39" i="1" s="1"/>
  <c r="ET39" i="1"/>
  <c r="EV39" i="1" s="1"/>
  <c r="DJ41" i="6"/>
  <c r="DL41" i="6" s="1"/>
  <c r="ES40" i="1"/>
  <c r="EU40" i="1" s="1"/>
  <c r="DX39" i="1"/>
  <c r="EG40" i="1"/>
  <c r="FO40" i="1" s="1"/>
  <c r="CW41" i="1"/>
  <c r="CY41" i="1" s="1"/>
  <c r="CM40" i="1"/>
  <c r="DY40" i="1"/>
  <c r="FQ40" i="1" s="1"/>
  <c r="DS40" i="6"/>
  <c r="DU40" i="6" s="1"/>
  <c r="CD41" i="9"/>
  <c r="CF41" i="9" s="1"/>
  <c r="BQ41" i="9"/>
  <c r="BS41" i="9" s="1"/>
  <c r="GW43" i="1"/>
  <c r="GY43" i="1" s="1"/>
  <c r="X41" i="4"/>
  <c r="GC41" i="1" s="1"/>
  <c r="GE41" i="1" s="1"/>
  <c r="ED40" i="1"/>
  <c r="EF40" i="1" s="1"/>
  <c r="AS50" i="1"/>
  <c r="U50" i="1"/>
  <c r="O41" i="9"/>
  <c r="Q41" i="9" s="1"/>
  <c r="EC41" i="1"/>
  <c r="EE41" i="1" s="1"/>
  <c r="CF40" i="1"/>
  <c r="BG39" i="6"/>
  <c r="CO42" i="1"/>
  <c r="CQ42" i="1" s="1"/>
  <c r="CG42" i="1"/>
  <c r="CI42" i="1" s="1"/>
  <c r="CD41" i="1"/>
  <c r="ED41" i="1" s="1"/>
  <c r="FS39" i="1"/>
  <c r="CH40" i="9"/>
  <c r="CK37" i="9"/>
  <c r="AN39" i="6"/>
  <c r="AP39" i="6" s="1"/>
  <c r="V50" i="1"/>
  <c r="FB39" i="1"/>
  <c r="FD39" i="1" s="1"/>
  <c r="GK41" i="1"/>
  <c r="GM41" i="1" s="1"/>
  <c r="AR50" i="1"/>
  <c r="AU50" i="1"/>
  <c r="BH37" i="8"/>
  <c r="AT50" i="1"/>
  <c r="DV40" i="1"/>
  <c r="DX40" i="1" s="1"/>
  <c r="AQ50" i="1"/>
  <c r="N41" i="4"/>
  <c r="P41" i="4" s="1"/>
  <c r="W41" i="8"/>
  <c r="BA41" i="8" s="1"/>
  <c r="BC41" i="8" s="1"/>
  <c r="CN39" i="1"/>
  <c r="N41" i="8"/>
  <c r="P41" i="8" s="1"/>
  <c r="Z39" i="8"/>
  <c r="AP50" i="1"/>
  <c r="CC42" i="1"/>
  <c r="CE42" i="1" s="1"/>
  <c r="EZ42" i="1"/>
  <c r="CR41" i="1"/>
  <c r="AT38" i="9"/>
  <c r="EY43" i="1"/>
  <c r="BE40" i="8"/>
  <c r="BN40" i="8"/>
  <c r="E50" i="1"/>
  <c r="E37" i="11"/>
  <c r="BY37" i="13"/>
  <c r="AA38" i="9"/>
  <c r="BV39" i="9"/>
  <c r="BX39" i="9" s="1"/>
  <c r="FE42" i="1"/>
  <c r="P39" i="13"/>
  <c r="R39" i="13" s="1"/>
  <c r="AO39" i="8"/>
  <c r="AQ39" i="8" s="1"/>
  <c r="BT42" i="1"/>
  <c r="AH39" i="9"/>
  <c r="AK39" i="9" s="1"/>
  <c r="Y39" i="9"/>
  <c r="Y11" i="9" s="1"/>
  <c r="AA11" i="9" s="1"/>
  <c r="CK41" i="1"/>
  <c r="AS40" i="9"/>
  <c r="AS39" i="9"/>
  <c r="GR38" i="1"/>
  <c r="DH41" i="1"/>
  <c r="BA38" i="9"/>
  <c r="BC38" i="9" s="1"/>
  <c r="AN38" i="9"/>
  <c r="AP38" i="9" s="1"/>
  <c r="AA39" i="6"/>
  <c r="G38" i="11"/>
  <c r="AA38" i="6"/>
  <c r="GQ40" i="1"/>
  <c r="GQ39" i="1"/>
  <c r="AP38" i="6"/>
  <c r="GE40" i="1"/>
  <c r="GE39" i="1"/>
  <c r="BS37" i="8"/>
  <c r="BU37" i="8" s="1"/>
  <c r="CM39" i="9"/>
  <c r="CM11" i="9" s="1"/>
  <c r="AR40" i="8"/>
  <c r="GF38" i="1"/>
  <c r="FL41" i="1"/>
  <c r="BT40" i="13"/>
  <c r="AF40" i="13"/>
  <c r="S40" i="13"/>
  <c r="P40" i="9"/>
  <c r="BR40" i="9"/>
  <c r="CE40" i="9"/>
  <c r="O40" i="8"/>
  <c r="Q40" i="8" s="1"/>
  <c r="X40" i="8"/>
  <c r="Z40" i="8" s="1"/>
  <c r="O40" i="4"/>
  <c r="R40" i="4" s="1"/>
  <c r="Y40" i="4"/>
  <c r="AB40" i="4" s="1"/>
  <c r="GL40" i="1"/>
  <c r="GN40" i="1" s="1"/>
  <c r="FJ41" i="1"/>
  <c r="FT39" i="1"/>
  <c r="FR39" i="1"/>
  <c r="EF39" i="1"/>
  <c r="FZ44" i="1"/>
  <c r="BW37" i="13"/>
  <c r="Q39" i="8"/>
  <c r="BS43" i="1"/>
  <c r="GT46" i="1"/>
  <c r="GV46" i="1" s="1"/>
  <c r="GS47" i="1"/>
  <c r="GW44" i="1" s="1"/>
  <c r="BI46" i="1"/>
  <c r="CC43" i="1" s="1"/>
  <c r="BJ45" i="1"/>
  <c r="CD42" i="1" s="1"/>
  <c r="FY45" i="1"/>
  <c r="GA45" i="1" s="1"/>
  <c r="BH40" i="6"/>
  <c r="AI37" i="13"/>
  <c r="FI42" i="1"/>
  <c r="AI40" i="9"/>
  <c r="AZ39" i="9"/>
  <c r="AZ11" i="9" s="1"/>
  <c r="BB11" i="9" s="1"/>
  <c r="AL39" i="9"/>
  <c r="AL11" i="9" s="1"/>
  <c r="AO11" i="9" s="1"/>
  <c r="AI39" i="9"/>
  <c r="AS38" i="8"/>
  <c r="DO42" i="1"/>
  <c r="FK42" i="1"/>
  <c r="Z40" i="9"/>
  <c r="Z39" i="9"/>
  <c r="BQ44" i="1"/>
  <c r="EW44" i="1" s="1"/>
  <c r="BR43" i="1"/>
  <c r="BT43" i="1" s="1"/>
  <c r="DM43" i="1"/>
  <c r="DE43" i="1"/>
  <c r="FK43" i="1" s="1"/>
  <c r="EO43" i="1"/>
  <c r="EQ43" i="1" s="1"/>
  <c r="DB42" i="1"/>
  <c r="DD42" i="1" s="1"/>
  <c r="AG40" i="8"/>
  <c r="AG39" i="8"/>
  <c r="EB39" i="1"/>
  <c r="FR38" i="1"/>
  <c r="FT38" i="1"/>
  <c r="BM44" i="1"/>
  <c r="CG43" i="1" s="1"/>
  <c r="BN43" i="1"/>
  <c r="DA43" i="1"/>
  <c r="DJ43" i="1"/>
  <c r="DL43" i="1" s="1"/>
  <c r="BX43" i="1"/>
  <c r="DN42" i="1"/>
  <c r="DF42" i="1"/>
  <c r="FJ42" i="1" s="1"/>
  <c r="EP42" i="1"/>
  <c r="BF38" i="8"/>
  <c r="BH38" i="8" s="1"/>
  <c r="BO38" i="8"/>
  <c r="BQ38" i="8" s="1"/>
  <c r="FP38" i="1"/>
  <c r="FN38" i="1"/>
  <c r="CH41" i="1"/>
  <c r="FC40" i="1"/>
  <c r="FC39" i="1"/>
  <c r="FF41" i="1"/>
  <c r="BU45" i="1"/>
  <c r="CO43" i="1" s="1"/>
  <c r="DI44" i="1"/>
  <c r="DK44" i="1" s="1"/>
  <c r="BV44" i="1"/>
  <c r="CP42" i="1" s="1"/>
  <c r="CR42" i="1" s="1"/>
  <c r="BW40" i="9"/>
  <c r="BW39" i="9"/>
  <c r="BU38" i="13"/>
  <c r="AG38" i="13"/>
  <c r="T38" i="13"/>
  <c r="EU39" i="1"/>
  <c r="FH41" i="1"/>
  <c r="BC40" i="8"/>
  <c r="BE39" i="8"/>
  <c r="BE11" i="8" s="1"/>
  <c r="BG11" i="8" s="1"/>
  <c r="BN39" i="8"/>
  <c r="BN11" i="8" s="1"/>
  <c r="BP11" i="8" s="1"/>
  <c r="BC39" i="8"/>
  <c r="BP42" i="1"/>
  <c r="BT39" i="13"/>
  <c r="BT11" i="13" s="1"/>
  <c r="BV11" i="13" s="1"/>
  <c r="Q40" i="13"/>
  <c r="AF39" i="13"/>
  <c r="AF11" i="13" s="1"/>
  <c r="AH11" i="13" s="1"/>
  <c r="S39" i="13"/>
  <c r="S11" i="13" s="1"/>
  <c r="U11" i="13" s="1"/>
  <c r="Q39" i="13"/>
  <c r="EA39" i="1"/>
  <c r="DD40" i="6"/>
  <c r="X41" i="6"/>
  <c r="BT39" i="9"/>
  <c r="FO39" i="1"/>
  <c r="FM39" i="1"/>
  <c r="EI39" i="1"/>
  <c r="EB38" i="1"/>
  <c r="BE37" i="9"/>
  <c r="BG37" i="9" s="1"/>
  <c r="BI37" i="9"/>
  <c r="AC40" i="8"/>
  <c r="AC39" i="8"/>
  <c r="GX42" i="1"/>
  <c r="AR39" i="8"/>
  <c r="AR11" i="8" s="1"/>
  <c r="AT11" i="8" s="1"/>
  <c r="AP40" i="8"/>
  <c r="AP39" i="8"/>
  <c r="BQ37" i="8"/>
  <c r="CV42" i="1"/>
  <c r="BF40" i="6"/>
  <c r="AK38" i="9"/>
  <c r="DP41" i="1"/>
  <c r="GD39" i="1"/>
  <c r="GP39" i="1"/>
  <c r="GV45" i="1"/>
  <c r="DU39" i="6"/>
  <c r="FD38" i="1"/>
  <c r="BK36" i="9"/>
  <c r="V41" i="6"/>
  <c r="AU37" i="8"/>
  <c r="AQ38" i="8"/>
  <c r="CI38" i="9"/>
  <c r="CK38" i="9" s="1"/>
  <c r="BB39" i="8"/>
  <c r="BD39" i="8" s="1"/>
  <c r="AB39" i="8"/>
  <c r="AD39" i="8" s="1"/>
  <c r="AZ40" i="9"/>
  <c r="AL40" i="9"/>
  <c r="CL40" i="1"/>
  <c r="BE40" i="6"/>
  <c r="BG40" i="6" s="1"/>
  <c r="AV40" i="6"/>
  <c r="AX40" i="6" s="1"/>
  <c r="BI40" i="6"/>
  <c r="A52" i="1"/>
  <c r="Y51" i="1"/>
  <c r="AK51" i="1" s="1"/>
  <c r="AI51" i="1"/>
  <c r="AG51" i="1"/>
  <c r="AD51" i="1"/>
  <c r="X51" i="1"/>
  <c r="AJ51" i="1" s="1"/>
  <c r="AH51" i="1"/>
  <c r="AA51" i="1"/>
  <c r="AM51" i="1" s="1"/>
  <c r="AF51" i="1"/>
  <c r="AB51" i="1"/>
  <c r="AN51" i="1" s="1"/>
  <c r="AE51" i="1"/>
  <c r="Z51" i="1"/>
  <c r="AL51" i="1" s="1"/>
  <c r="AC51" i="1"/>
  <c r="AO51" i="1" s="1"/>
  <c r="B51" i="1"/>
  <c r="D51" i="1"/>
  <c r="C51" i="1"/>
  <c r="W51" i="1" s="1"/>
  <c r="G39" i="11"/>
  <c r="AK196" i="23"/>
  <c r="AJ196" i="23"/>
  <c r="AI196" i="23"/>
  <c r="AH196" i="23"/>
  <c r="AG196" i="23"/>
  <c r="AZ51" i="1"/>
  <c r="AV51" i="1"/>
  <c r="AX51" i="1"/>
  <c r="BA51" i="1"/>
  <c r="AW51" i="1"/>
  <c r="BC51" i="1"/>
  <c r="P50" i="1"/>
  <c r="F50" i="1"/>
  <c r="K50" i="1"/>
  <c r="S50" i="1"/>
  <c r="H50" i="1"/>
  <c r="G50" i="1"/>
  <c r="R50" i="1"/>
  <c r="L50" i="1"/>
  <c r="I50" i="1"/>
  <c r="J50" i="1"/>
  <c r="Q50" i="1"/>
  <c r="O50" i="1"/>
  <c r="T50" i="1"/>
  <c r="M50" i="1"/>
  <c r="N50" i="1"/>
  <c r="AY51" i="1"/>
  <c r="BB51" i="1"/>
  <c r="FU50" i="1" l="1"/>
  <c r="FW50" i="1" s="1"/>
  <c r="AH39" i="8"/>
  <c r="AH11" i="9"/>
  <c r="AK11" i="9" s="1"/>
  <c r="AV39" i="13"/>
  <c r="AT11" i="13"/>
  <c r="AV11" i="13" s="1"/>
  <c r="BJ38" i="9"/>
  <c r="BF38" i="9"/>
  <c r="BK11" i="6"/>
  <c r="BG11" i="6"/>
  <c r="CH11" i="9"/>
  <c r="CJ11" i="9" s="1"/>
  <c r="BT38" i="8"/>
  <c r="G11" i="11"/>
  <c r="BV11" i="9"/>
  <c r="BX11" i="9" s="1"/>
  <c r="BB11" i="8"/>
  <c r="BD11" i="8" s="1"/>
  <c r="P11" i="13"/>
  <c r="R11" i="13" s="1"/>
  <c r="BZ38" i="13"/>
  <c r="AO39" i="4"/>
  <c r="AM11" i="4"/>
  <c r="AO11" i="4" s="1"/>
  <c r="AO11" i="8"/>
  <c r="AQ11" i="8" s="1"/>
  <c r="DT11" i="6"/>
  <c r="DV11" i="6" s="1"/>
  <c r="BN39" i="13"/>
  <c r="BL11" i="13"/>
  <c r="BN11" i="13" s="1"/>
  <c r="AB11" i="8"/>
  <c r="AD11" i="8" s="1"/>
  <c r="AN11" i="6"/>
  <c r="AP11" i="6" s="1"/>
  <c r="AZ39" i="4"/>
  <c r="BI11" i="4"/>
  <c r="BK39" i="4"/>
  <c r="AV39" i="4"/>
  <c r="BG39" i="4"/>
  <c r="BG11" i="4" s="1"/>
  <c r="EN40" i="1"/>
  <c r="AY41" i="4"/>
  <c r="BV39" i="4"/>
  <c r="BR39" i="4"/>
  <c r="AU41" i="4"/>
  <c r="BF41" i="4"/>
  <c r="AE41" i="13"/>
  <c r="CX40" i="1"/>
  <c r="CZ40" i="1" s="1"/>
  <c r="CB40" i="1"/>
  <c r="AX40" i="4"/>
  <c r="BT40" i="4"/>
  <c r="BR40" i="4" s="1"/>
  <c r="AT40" i="13"/>
  <c r="AV40" i="13" s="1"/>
  <c r="AM40" i="4"/>
  <c r="AO40" i="4" s="1"/>
  <c r="BY42" i="1"/>
  <c r="BH42" i="4" s="1"/>
  <c r="AY42" i="4" s="1"/>
  <c r="BF44" i="1"/>
  <c r="BH44" i="1" s="1"/>
  <c r="CS44" i="1"/>
  <c r="CU44" i="1" s="1"/>
  <c r="DQ44" i="1"/>
  <c r="DS44" i="1" s="1"/>
  <c r="BI40" i="4"/>
  <c r="BG40" i="4" s="1"/>
  <c r="BE45" i="1"/>
  <c r="BG45" i="1" s="1"/>
  <c r="FF42" i="1"/>
  <c r="BL40" i="13"/>
  <c r="BN40" i="13" s="1"/>
  <c r="AC40" i="13"/>
  <c r="DR43" i="1"/>
  <c r="DT43" i="1" s="1"/>
  <c r="BQ41" i="4"/>
  <c r="CT43" i="1"/>
  <c r="BZ41" i="1"/>
  <c r="EL41" i="1" s="1"/>
  <c r="EN41" i="1" s="1"/>
  <c r="GH45" i="1"/>
  <c r="GJ45" i="1" s="1"/>
  <c r="FV49" i="1"/>
  <c r="GH46" i="1" s="1"/>
  <c r="GG46" i="1"/>
  <c r="GI46" i="1" s="1"/>
  <c r="CA38" i="13"/>
  <c r="CN39" i="9"/>
  <c r="AG41" i="9"/>
  <c r="AI41" i="9" s="1"/>
  <c r="AM41" i="6"/>
  <c r="AO41" i="6" s="1"/>
  <c r="AG41" i="6"/>
  <c r="FS40" i="1"/>
  <c r="BD41" i="6"/>
  <c r="BJ41" i="6" s="1"/>
  <c r="N42" i="8"/>
  <c r="P42" i="8" s="1"/>
  <c r="GK42" i="1"/>
  <c r="GM42" i="1" s="1"/>
  <c r="AU41" i="6"/>
  <c r="AW41" i="6" s="1"/>
  <c r="CL41" i="9"/>
  <c r="CN40" i="9"/>
  <c r="BU41" i="9"/>
  <c r="BW41" i="9" s="1"/>
  <c r="X41" i="9"/>
  <c r="Z41" i="9" s="1"/>
  <c r="EI40" i="1"/>
  <c r="AH42" i="6"/>
  <c r="AJ42" i="6" s="1"/>
  <c r="T42" i="6"/>
  <c r="V42" i="6" s="1"/>
  <c r="BQ42" i="6"/>
  <c r="BS42" i="6" s="1"/>
  <c r="CR42" i="6"/>
  <c r="CT42" i="6" s="1"/>
  <c r="EA40" i="1"/>
  <c r="FP39" i="1"/>
  <c r="FN39" i="1"/>
  <c r="BZ42" i="6"/>
  <c r="CB42" i="6" s="1"/>
  <c r="DJ42" i="6"/>
  <c r="DL42" i="6" s="1"/>
  <c r="DA42" i="6"/>
  <c r="DC42" i="6" s="1"/>
  <c r="DU42" i="1"/>
  <c r="DW42" i="1" s="1"/>
  <c r="FM40" i="1"/>
  <c r="AN41" i="8"/>
  <c r="AP41" i="8" s="1"/>
  <c r="EF41" i="1"/>
  <c r="Z41" i="4"/>
  <c r="Y40" i="6"/>
  <c r="AA40" i="6" s="1"/>
  <c r="AN40" i="6"/>
  <c r="AP40" i="6" s="1"/>
  <c r="CJ40" i="9"/>
  <c r="AA41" i="8"/>
  <c r="AC41" i="8" s="1"/>
  <c r="O42" i="9"/>
  <c r="Q42" i="9" s="1"/>
  <c r="O41" i="13"/>
  <c r="Q41" i="13" s="1"/>
  <c r="X42" i="4"/>
  <c r="Z42" i="4" s="1"/>
  <c r="W42" i="8"/>
  <c r="AE42" i="8" s="1"/>
  <c r="CD42" i="9"/>
  <c r="CF42" i="9" s="1"/>
  <c r="CQ43" i="1"/>
  <c r="BQ42" i="9"/>
  <c r="BS42" i="9" s="1"/>
  <c r="CE43" i="1"/>
  <c r="GO41" i="1"/>
  <c r="GQ41" i="1" s="1"/>
  <c r="CI39" i="9"/>
  <c r="CI42" i="6"/>
  <c r="CK42" i="6" s="1"/>
  <c r="AR39" i="9"/>
  <c r="AQ51" i="1"/>
  <c r="GL41" i="1"/>
  <c r="GN41" i="1" s="1"/>
  <c r="O41" i="4"/>
  <c r="R41" i="4" s="1"/>
  <c r="CF41" i="1"/>
  <c r="Y41" i="4"/>
  <c r="GD41" i="1" s="1"/>
  <c r="X41" i="8"/>
  <c r="AF41" i="8" s="1"/>
  <c r="CF42" i="1"/>
  <c r="O41" i="8"/>
  <c r="Q41" i="8" s="1"/>
  <c r="CE41" i="9"/>
  <c r="CG41" i="9" s="1"/>
  <c r="P41" i="9"/>
  <c r="R41" i="9" s="1"/>
  <c r="AT51" i="1"/>
  <c r="EX43" i="1"/>
  <c r="EZ43" i="1" s="1"/>
  <c r="BR41" i="9"/>
  <c r="BT41" i="9" s="1"/>
  <c r="V51" i="1"/>
  <c r="N42" i="4"/>
  <c r="P42" i="4" s="1"/>
  <c r="AU51" i="1"/>
  <c r="AR51" i="1"/>
  <c r="AS51" i="1"/>
  <c r="AE41" i="8"/>
  <c r="AG41" i="8" s="1"/>
  <c r="Y41" i="8"/>
  <c r="BK40" i="6"/>
  <c r="EC42" i="1"/>
  <c r="EE42" i="1" s="1"/>
  <c r="U51" i="1"/>
  <c r="CL41" i="1"/>
  <c r="FB41" i="1" s="1"/>
  <c r="CK42" i="1"/>
  <c r="FA42" i="1" s="1"/>
  <c r="FL42" i="1"/>
  <c r="DG43" i="1"/>
  <c r="BW45" i="1"/>
  <c r="AP51" i="1"/>
  <c r="GY44" i="1"/>
  <c r="DJ44" i="1"/>
  <c r="DL44" i="1" s="1"/>
  <c r="DN43" i="1"/>
  <c r="DP43" i="1" s="1"/>
  <c r="DF43" i="1"/>
  <c r="DH43" i="1" s="1"/>
  <c r="EP43" i="1"/>
  <c r="ER43" i="1" s="1"/>
  <c r="CM40" i="9"/>
  <c r="BQ45" i="1"/>
  <c r="BS45" i="1" s="1"/>
  <c r="BR44" i="1"/>
  <c r="BT44" i="1" s="1"/>
  <c r="DE44" i="1"/>
  <c r="FK44" i="1" s="1"/>
  <c r="EO44" i="1"/>
  <c r="EQ44" i="1" s="1"/>
  <c r="DM44" i="1"/>
  <c r="BV40" i="9"/>
  <c r="BX40" i="9" s="1"/>
  <c r="CG40" i="9"/>
  <c r="A53" i="1"/>
  <c r="Y52" i="1"/>
  <c r="AK52" i="1" s="1"/>
  <c r="X52" i="1"/>
  <c r="AJ52" i="1" s="1"/>
  <c r="AI52" i="1"/>
  <c r="AC52" i="1"/>
  <c r="AO52" i="1" s="1"/>
  <c r="Z52" i="1"/>
  <c r="AL52" i="1" s="1"/>
  <c r="AF52" i="1"/>
  <c r="AD52" i="1"/>
  <c r="AH52" i="1"/>
  <c r="AE52" i="1"/>
  <c r="AA52" i="1"/>
  <c r="AM52" i="1" s="1"/>
  <c r="AG52" i="1"/>
  <c r="AB52" i="1"/>
  <c r="AN52" i="1" s="1"/>
  <c r="B52" i="1"/>
  <c r="D52" i="1"/>
  <c r="C52" i="1"/>
  <c r="V52" i="1" s="1"/>
  <c r="E38" i="11"/>
  <c r="BY38" i="13"/>
  <c r="DB43" i="1"/>
  <c r="DD43" i="1" s="1"/>
  <c r="CO38" i="9"/>
  <c r="D39" i="11"/>
  <c r="D11" i="11" s="1"/>
  <c r="V40" i="13"/>
  <c r="U40" i="13"/>
  <c r="V39" i="13"/>
  <c r="U39" i="13"/>
  <c r="BM45" i="1"/>
  <c r="CG44" i="1" s="1"/>
  <c r="BN44" i="1"/>
  <c r="DA44" i="1"/>
  <c r="BS44" i="1"/>
  <c r="T43" i="6"/>
  <c r="X43" i="6" s="1"/>
  <c r="CR43" i="6"/>
  <c r="BQ43" i="6"/>
  <c r="CI43" i="6"/>
  <c r="BZ43" i="6"/>
  <c r="DJ43" i="6"/>
  <c r="DA43" i="6"/>
  <c r="AH43" i="6"/>
  <c r="AM43" i="6" s="1"/>
  <c r="DU43" i="1"/>
  <c r="E51" i="1"/>
  <c r="AH40" i="13"/>
  <c r="AH39" i="13"/>
  <c r="BU46" i="1"/>
  <c r="CO44" i="1" s="1"/>
  <c r="CQ44" i="1" s="1"/>
  <c r="DI45" i="1"/>
  <c r="DK45" i="1" s="1"/>
  <c r="BV45" i="1"/>
  <c r="BO44" i="1"/>
  <c r="DO43" i="1"/>
  <c r="Y40" i="9"/>
  <c r="AH40" i="9"/>
  <c r="AR40" i="9" s="1"/>
  <c r="BS38" i="8"/>
  <c r="BV40" i="13"/>
  <c r="BX39" i="13"/>
  <c r="BX11" i="13" s="1"/>
  <c r="BZ11" i="13" s="1"/>
  <c r="BV39" i="13"/>
  <c r="D40" i="11"/>
  <c r="BR40" i="8"/>
  <c r="DT40" i="6"/>
  <c r="ET40" i="1"/>
  <c r="EH40" i="1"/>
  <c r="DZ40" i="1"/>
  <c r="CN40" i="1"/>
  <c r="FB40" i="1"/>
  <c r="BK37" i="9"/>
  <c r="BW38" i="13"/>
  <c r="AO40" i="9"/>
  <c r="AO39" i="9"/>
  <c r="BB40" i="9"/>
  <c r="BD39" i="9"/>
  <c r="BD11" i="9" s="1"/>
  <c r="BF11" i="9" s="1"/>
  <c r="BB39" i="9"/>
  <c r="BH39" i="9"/>
  <c r="BH11" i="9" s="1"/>
  <c r="BJ11" i="9" s="1"/>
  <c r="BX40" i="13"/>
  <c r="BR39" i="8"/>
  <c r="BR11" i="8" s="1"/>
  <c r="BT11" i="8" s="1"/>
  <c r="BP40" i="8"/>
  <c r="BP39" i="8"/>
  <c r="BG40" i="8"/>
  <c r="BG39" i="8"/>
  <c r="DH42" i="1"/>
  <c r="ER42" i="1"/>
  <c r="CS41" i="6"/>
  <c r="BR41" i="6"/>
  <c r="CA41" i="6"/>
  <c r="DB41" i="6"/>
  <c r="U41" i="6"/>
  <c r="CJ41" i="6"/>
  <c r="DK41" i="6"/>
  <c r="AI41" i="6"/>
  <c r="DV41" i="1"/>
  <c r="CJ41" i="1"/>
  <c r="BX44" i="1"/>
  <c r="FH42" i="1"/>
  <c r="BT40" i="9"/>
  <c r="BE38" i="9"/>
  <c r="BG38" i="9" s="1"/>
  <c r="BI38" i="9"/>
  <c r="DS41" i="6"/>
  <c r="EG41" i="1"/>
  <c r="ES41" i="1"/>
  <c r="DY41" i="1"/>
  <c r="CM41" i="1"/>
  <c r="FA41" i="1"/>
  <c r="BD40" i="9"/>
  <c r="BH40" i="9"/>
  <c r="CH42" i="1"/>
  <c r="CJ42" i="1" s="1"/>
  <c r="BE41" i="8"/>
  <c r="BN41" i="8"/>
  <c r="CD43" i="9"/>
  <c r="BQ43" i="9"/>
  <c r="O43" i="9"/>
  <c r="N43" i="8"/>
  <c r="W43" i="8"/>
  <c r="AE43" i="8" s="1"/>
  <c r="N43" i="4"/>
  <c r="X43" i="4"/>
  <c r="GK43" i="1"/>
  <c r="GR39" i="1"/>
  <c r="AA39" i="9"/>
  <c r="ED42" i="1"/>
  <c r="EF42" i="1" s="1"/>
  <c r="FZ45" i="1"/>
  <c r="GB45" i="1" s="1"/>
  <c r="BA39" i="9"/>
  <c r="AN39" i="9"/>
  <c r="AU38" i="8"/>
  <c r="FG43" i="1"/>
  <c r="BP43" i="1"/>
  <c r="FE43" i="1"/>
  <c r="BI47" i="1"/>
  <c r="BK47" i="1" s="1"/>
  <c r="BJ46" i="1"/>
  <c r="BL46" i="1" s="1"/>
  <c r="FY46" i="1"/>
  <c r="R40" i="9"/>
  <c r="GZ42" i="1"/>
  <c r="BK46" i="1"/>
  <c r="BF39" i="8"/>
  <c r="BF11" i="8" s="1"/>
  <c r="BH11" i="8" s="1"/>
  <c r="BO39" i="8"/>
  <c r="BO11" i="8" s="1"/>
  <c r="BQ11" i="8" s="1"/>
  <c r="F41" i="11"/>
  <c r="Z41" i="6"/>
  <c r="GX43" i="1"/>
  <c r="GZ43" i="1" s="1"/>
  <c r="FI43" i="1"/>
  <c r="BR42" i="9"/>
  <c r="P42" i="9"/>
  <c r="CE42" i="9"/>
  <c r="O42" i="8"/>
  <c r="X42" i="8"/>
  <c r="Y42" i="4"/>
  <c r="O42" i="4"/>
  <c r="GL42" i="1"/>
  <c r="AT40" i="8"/>
  <c r="AT39" i="8"/>
  <c r="CI43" i="1"/>
  <c r="BL45" i="1"/>
  <c r="DP42" i="1"/>
  <c r="GB44" i="1"/>
  <c r="GT47" i="1"/>
  <c r="GV47" i="1" s="1"/>
  <c r="GS48" i="1"/>
  <c r="GU48" i="1" s="1"/>
  <c r="GD40" i="1"/>
  <c r="GP40" i="1"/>
  <c r="AS39" i="8"/>
  <c r="AU39" i="8" s="1"/>
  <c r="AI38" i="13"/>
  <c r="EY44" i="1"/>
  <c r="BU39" i="13"/>
  <c r="BW39" i="13" s="1"/>
  <c r="AG39" i="13"/>
  <c r="AG11" i="13" s="1"/>
  <c r="AI11" i="13" s="1"/>
  <c r="T39" i="13"/>
  <c r="T11" i="13" s="1"/>
  <c r="V11" i="13" s="1"/>
  <c r="GU47" i="1"/>
  <c r="EC43" i="1"/>
  <c r="DC43" i="1"/>
  <c r="AB40" i="8"/>
  <c r="BB40" i="8"/>
  <c r="AF40" i="8"/>
  <c r="GF39" i="1"/>
  <c r="AO40" i="8"/>
  <c r="AQ40" i="8" s="1"/>
  <c r="P40" i="13"/>
  <c r="R40" i="13" s="1"/>
  <c r="AE196" i="23"/>
  <c r="AD196" i="23"/>
  <c r="AR195" i="23"/>
  <c r="AQ195" i="23"/>
  <c r="AP195" i="23"/>
  <c r="AO195" i="23"/>
  <c r="AN195" i="23"/>
  <c r="AW52" i="1"/>
  <c r="BC52" i="1"/>
  <c r="AX52" i="1"/>
  <c r="BB52" i="1"/>
  <c r="AZ52" i="1"/>
  <c r="AY52" i="1"/>
  <c r="AV52" i="1"/>
  <c r="BA52" i="1"/>
  <c r="H51" i="1"/>
  <c r="I51" i="1"/>
  <c r="G51" i="1"/>
  <c r="J51" i="1"/>
  <c r="F51" i="1"/>
  <c r="M51" i="1"/>
  <c r="K51" i="1"/>
  <c r="S51" i="1"/>
  <c r="P51" i="1"/>
  <c r="R51" i="1"/>
  <c r="T51" i="1"/>
  <c r="O51" i="1"/>
  <c r="L51" i="1"/>
  <c r="Q51" i="1"/>
  <c r="N51" i="1"/>
  <c r="GG47" i="1" l="1"/>
  <c r="GI47" i="1" s="1"/>
  <c r="FV50" i="1"/>
  <c r="GH47" i="1" s="1"/>
  <c r="GJ47" i="1" s="1"/>
  <c r="AP39" i="9"/>
  <c r="AN11" i="9"/>
  <c r="AP11" i="9" s="1"/>
  <c r="AT39" i="9"/>
  <c r="AR11" i="9"/>
  <c r="AT11" i="9" s="1"/>
  <c r="BC39" i="9"/>
  <c r="BA11" i="9"/>
  <c r="BC11" i="9" s="1"/>
  <c r="CK39" i="9"/>
  <c r="CI11" i="9"/>
  <c r="CK11" i="9" s="1"/>
  <c r="BK11" i="4"/>
  <c r="AZ11" i="4"/>
  <c r="BU11" i="13"/>
  <c r="BW11" i="13" s="1"/>
  <c r="AS11" i="8"/>
  <c r="AU11" i="8" s="1"/>
  <c r="BV40" i="4"/>
  <c r="BF42" i="4"/>
  <c r="AU42" i="4"/>
  <c r="BS42" i="4"/>
  <c r="BQ42" i="4" s="1"/>
  <c r="CS45" i="1"/>
  <c r="CU45" i="1" s="1"/>
  <c r="CV45" i="1" s="1"/>
  <c r="BF45" i="1"/>
  <c r="BH45" i="1" s="1"/>
  <c r="DQ45" i="1"/>
  <c r="DS45" i="1" s="1"/>
  <c r="BY43" i="1"/>
  <c r="EK43" i="1" s="1"/>
  <c r="BE46" i="1"/>
  <c r="BY44" i="1" s="1"/>
  <c r="AB44" i="13" s="1"/>
  <c r="BJ42" i="4"/>
  <c r="BZ42" i="1"/>
  <c r="EL42" i="1" s="1"/>
  <c r="EN42" i="1" s="1"/>
  <c r="CT44" i="1"/>
  <c r="DR44" i="1"/>
  <c r="DT44" i="1" s="1"/>
  <c r="CW42" i="1"/>
  <c r="CY42" i="1" s="1"/>
  <c r="AS42" i="13"/>
  <c r="AU42" i="13" s="1"/>
  <c r="AZ40" i="4"/>
  <c r="BK40" i="4"/>
  <c r="AV40" i="4"/>
  <c r="AL42" i="4"/>
  <c r="AN42" i="4" s="1"/>
  <c r="AW42" i="4"/>
  <c r="CA42" i="1"/>
  <c r="EK42" i="1"/>
  <c r="EM42" i="1" s="1"/>
  <c r="BK42" i="13"/>
  <c r="BM42" i="13" s="1"/>
  <c r="AB42" i="13"/>
  <c r="AE42" i="13" s="1"/>
  <c r="AX41" i="4"/>
  <c r="AM41" i="4"/>
  <c r="AO41" i="4" s="1"/>
  <c r="BT41" i="4"/>
  <c r="BV41" i="4" s="1"/>
  <c r="BI41" i="4"/>
  <c r="AZ41" i="4" s="1"/>
  <c r="BL41" i="13"/>
  <c r="BN41" i="13" s="1"/>
  <c r="AT41" i="13"/>
  <c r="AV41" i="13" s="1"/>
  <c r="CX41" i="1"/>
  <c r="CZ41" i="1" s="1"/>
  <c r="AC41" i="13"/>
  <c r="CB41" i="1"/>
  <c r="GJ46" i="1"/>
  <c r="FX49" i="1"/>
  <c r="FU51" i="1"/>
  <c r="FW51" i="1" s="1"/>
  <c r="O42" i="13"/>
  <c r="Q42" i="13" s="1"/>
  <c r="AN42" i="8"/>
  <c r="AR42" i="8" s="1"/>
  <c r="AQ41" i="9"/>
  <c r="AS41" i="9" s="1"/>
  <c r="CH41" i="9"/>
  <c r="CJ41" i="9" s="1"/>
  <c r="AL41" i="9"/>
  <c r="AO41" i="9" s="1"/>
  <c r="AZ41" i="9"/>
  <c r="BB41" i="9" s="1"/>
  <c r="BH41" i="6"/>
  <c r="P43" i="8"/>
  <c r="BF41" i="6"/>
  <c r="AU42" i="6"/>
  <c r="AW42" i="6" s="1"/>
  <c r="BD42" i="6"/>
  <c r="BJ42" i="6" s="1"/>
  <c r="AG42" i="6"/>
  <c r="X42" i="6"/>
  <c r="Z42" i="6" s="1"/>
  <c r="GM43" i="1"/>
  <c r="AM42" i="6"/>
  <c r="AO43" i="6" s="1"/>
  <c r="BS43" i="9"/>
  <c r="BA42" i="8"/>
  <c r="BC42" i="8" s="1"/>
  <c r="AR41" i="8"/>
  <c r="AT41" i="8" s="1"/>
  <c r="CT43" i="6"/>
  <c r="CO39" i="9"/>
  <c r="Z43" i="4"/>
  <c r="G40" i="11"/>
  <c r="CB43" i="6"/>
  <c r="DC43" i="6"/>
  <c r="CF43" i="9"/>
  <c r="DL43" i="6"/>
  <c r="AB41" i="4"/>
  <c r="AO41" i="8"/>
  <c r="AQ41" i="8" s="1"/>
  <c r="AG42" i="9"/>
  <c r="CH42" i="9" s="1"/>
  <c r="BU42" i="9"/>
  <c r="BW42" i="9" s="1"/>
  <c r="X42" i="9"/>
  <c r="Z42" i="9" s="1"/>
  <c r="CM42" i="1"/>
  <c r="P41" i="13"/>
  <c r="R41" i="13" s="1"/>
  <c r="EE43" i="1"/>
  <c r="GC42" i="1"/>
  <c r="GE42" i="1" s="1"/>
  <c r="DY42" i="1"/>
  <c r="FS42" i="1" s="1"/>
  <c r="EG42" i="1"/>
  <c r="EI42" i="1" s="1"/>
  <c r="GO42" i="1"/>
  <c r="GQ42" i="1" s="1"/>
  <c r="ES42" i="1"/>
  <c r="EU42" i="1" s="1"/>
  <c r="CL42" i="9"/>
  <c r="DS42" i="6"/>
  <c r="DU42" i="6" s="1"/>
  <c r="AH41" i="9"/>
  <c r="AR41" i="9" s="1"/>
  <c r="AT41" i="9" s="1"/>
  <c r="AF41" i="13"/>
  <c r="AH41" i="13" s="1"/>
  <c r="BB41" i="8"/>
  <c r="BO41" i="8" s="1"/>
  <c r="Z41" i="8"/>
  <c r="BT41" i="13"/>
  <c r="BV41" i="13" s="1"/>
  <c r="GN42" i="1"/>
  <c r="DG44" i="1"/>
  <c r="BV41" i="9"/>
  <c r="BX41" i="9" s="1"/>
  <c r="CM41" i="9"/>
  <c r="S41" i="13"/>
  <c r="V41" i="13" s="1"/>
  <c r="AB41" i="8"/>
  <c r="AD41" i="8" s="1"/>
  <c r="AG43" i="8"/>
  <c r="Y42" i="8"/>
  <c r="AA42" i="8"/>
  <c r="AC42" i="8" s="1"/>
  <c r="FL43" i="1"/>
  <c r="FJ43" i="1"/>
  <c r="FH43" i="1"/>
  <c r="Y41" i="9"/>
  <c r="AA41" i="9" s="1"/>
  <c r="GP41" i="1"/>
  <c r="GR41" i="1" s="1"/>
  <c r="DT41" i="6"/>
  <c r="DV41" i="6" s="1"/>
  <c r="GF41" i="1"/>
  <c r="CN41" i="1"/>
  <c r="AQ52" i="1"/>
  <c r="BO45" i="1"/>
  <c r="CK43" i="1"/>
  <c r="AG42" i="8"/>
  <c r="CL42" i="1"/>
  <c r="FB42" i="1" s="1"/>
  <c r="FD42" i="1" s="1"/>
  <c r="EW45" i="1"/>
  <c r="EY45" i="1" s="1"/>
  <c r="AU52" i="1"/>
  <c r="EH41" i="1"/>
  <c r="EJ41" i="1" s="1"/>
  <c r="FI44" i="1"/>
  <c r="ET41" i="1"/>
  <c r="EV41" i="1" s="1"/>
  <c r="DZ41" i="1"/>
  <c r="EB41" i="1" s="1"/>
  <c r="AR52" i="1"/>
  <c r="BW46" i="1"/>
  <c r="AP52" i="1"/>
  <c r="FF43" i="1"/>
  <c r="CD43" i="1"/>
  <c r="P43" i="9" s="1"/>
  <c r="R43" i="9" s="1"/>
  <c r="CC44" i="1"/>
  <c r="DU44" i="1" s="1"/>
  <c r="DW44" i="1" s="1"/>
  <c r="AT52" i="1"/>
  <c r="GX44" i="1"/>
  <c r="GZ44" i="1" s="1"/>
  <c r="T44" i="6"/>
  <c r="V44" i="6" s="1"/>
  <c r="DA44" i="6"/>
  <c r="DC44" i="6" s="1"/>
  <c r="BZ44" i="6"/>
  <c r="CB44" i="6" s="1"/>
  <c r="CR44" i="6"/>
  <c r="CT44" i="6" s="1"/>
  <c r="CI44" i="6"/>
  <c r="CK44" i="6" s="1"/>
  <c r="AH44" i="6"/>
  <c r="AJ44" i="6" s="1"/>
  <c r="BQ44" i="6"/>
  <c r="BS44" i="6" s="1"/>
  <c r="DJ44" i="6"/>
  <c r="DL44" i="6" s="1"/>
  <c r="CI44" i="1"/>
  <c r="W52" i="1"/>
  <c r="GD42" i="1"/>
  <c r="GF42" i="1" s="1"/>
  <c r="GP42" i="1"/>
  <c r="AV41" i="6"/>
  <c r="BI41" i="6"/>
  <c r="BE41" i="6"/>
  <c r="AL41" i="6"/>
  <c r="AA43" i="8"/>
  <c r="BA43" i="8"/>
  <c r="FC42" i="1"/>
  <c r="FC41" i="1"/>
  <c r="DM41" i="6"/>
  <c r="AB42" i="4"/>
  <c r="DB44" i="1"/>
  <c r="DD44" i="1" s="1"/>
  <c r="BB42" i="8"/>
  <c r="AB42" i="8"/>
  <c r="CL41" i="6"/>
  <c r="BA40" i="9"/>
  <c r="BC40" i="9" s="1"/>
  <c r="AN40" i="9"/>
  <c r="BM46" i="1"/>
  <c r="CG45" i="1" s="1"/>
  <c r="BN45" i="1"/>
  <c r="DA45" i="1"/>
  <c r="DC45" i="1" s="1"/>
  <c r="A54" i="1"/>
  <c r="Y53" i="1"/>
  <c r="AK53" i="1" s="1"/>
  <c r="AI53" i="1"/>
  <c r="AG53" i="1"/>
  <c r="AB53" i="1"/>
  <c r="AN53" i="1" s="1"/>
  <c r="X53" i="1"/>
  <c r="AJ53" i="1" s="1"/>
  <c r="AE53" i="1"/>
  <c r="AA53" i="1"/>
  <c r="AM53" i="1" s="1"/>
  <c r="AH53" i="1"/>
  <c r="AF53" i="1"/>
  <c r="AC53" i="1"/>
  <c r="AO53" i="1" s="1"/>
  <c r="AD53" i="1"/>
  <c r="Z53" i="1"/>
  <c r="AL53" i="1" s="1"/>
  <c r="C53" i="1"/>
  <c r="U53" i="1" s="1"/>
  <c r="D53" i="1"/>
  <c r="B53" i="1"/>
  <c r="AN43" i="8"/>
  <c r="O43" i="13"/>
  <c r="FQ41" i="1"/>
  <c r="FS41" i="1"/>
  <c r="EA41" i="1"/>
  <c r="W41" i="6"/>
  <c r="GW45" i="1"/>
  <c r="GF40" i="1"/>
  <c r="F43" i="11"/>
  <c r="EU41" i="1"/>
  <c r="DD41" i="6"/>
  <c r="E52" i="1"/>
  <c r="CI40" i="9"/>
  <c r="E39" i="11"/>
  <c r="E11" i="11" s="1"/>
  <c r="BY39" i="13"/>
  <c r="BY11" i="13" s="1"/>
  <c r="BS39" i="8"/>
  <c r="FM41" i="1"/>
  <c r="FO41" i="1"/>
  <c r="EI41" i="1"/>
  <c r="CC41" i="6"/>
  <c r="Z42" i="8"/>
  <c r="CM42" i="9"/>
  <c r="X43" i="9"/>
  <c r="AG43" i="9"/>
  <c r="AO42" i="8"/>
  <c r="P42" i="13"/>
  <c r="BT41" i="6"/>
  <c r="AU43" i="6"/>
  <c r="BD43" i="6"/>
  <c r="AG43" i="6"/>
  <c r="AS40" i="8"/>
  <c r="Y42" i="9"/>
  <c r="AH42" i="9"/>
  <c r="CI42" i="9" s="1"/>
  <c r="BD40" i="8"/>
  <c r="BU43" i="9"/>
  <c r="DU41" i="6"/>
  <c r="CU41" i="6"/>
  <c r="BV42" i="9"/>
  <c r="GR40" i="1"/>
  <c r="AD40" i="8"/>
  <c r="BJ40" i="9"/>
  <c r="BJ39" i="9"/>
  <c r="FD41" i="1"/>
  <c r="FD40" i="1"/>
  <c r="AS52" i="1"/>
  <c r="BR41" i="8"/>
  <c r="EB40" i="1"/>
  <c r="FT40" i="1"/>
  <c r="FR40" i="1"/>
  <c r="DC44" i="1"/>
  <c r="BU40" i="13"/>
  <c r="AG40" i="13"/>
  <c r="T40" i="13"/>
  <c r="BT40" i="8"/>
  <c r="BT39" i="8"/>
  <c r="BF40" i="9"/>
  <c r="BF39" i="9"/>
  <c r="EJ40" i="1"/>
  <c r="FN40" i="1"/>
  <c r="FP40" i="1"/>
  <c r="BH39" i="8"/>
  <c r="DJ45" i="1"/>
  <c r="DL45" i="1" s="1"/>
  <c r="EV40" i="1"/>
  <c r="AT40" i="9"/>
  <c r="GT48" i="1"/>
  <c r="GV48" i="1" s="1"/>
  <c r="GS49" i="1"/>
  <c r="GU49" i="1" s="1"/>
  <c r="BT42" i="9"/>
  <c r="CG42" i="9"/>
  <c r="DW43" i="1"/>
  <c r="CV44" i="1"/>
  <c r="CS42" i="6"/>
  <c r="BR42" i="6"/>
  <c r="U42" i="6"/>
  <c r="DK42" i="6"/>
  <c r="DM42" i="6" s="1"/>
  <c r="CJ42" i="6"/>
  <c r="CL42" i="6" s="1"/>
  <c r="CA42" i="6"/>
  <c r="CC42" i="6" s="1"/>
  <c r="AI42" i="6"/>
  <c r="AL42" i="6" s="1"/>
  <c r="DB42" i="6"/>
  <c r="DD42" i="6" s="1"/>
  <c r="DV42" i="1"/>
  <c r="DX42" i="1" s="1"/>
  <c r="CK43" i="6"/>
  <c r="DN44" i="1"/>
  <c r="DP44" i="1" s="1"/>
  <c r="DF44" i="1"/>
  <c r="FJ44" i="1" s="1"/>
  <c r="EP44" i="1"/>
  <c r="AF42" i="8"/>
  <c r="Q42" i="8"/>
  <c r="DV40" i="6"/>
  <c r="CA40" i="13"/>
  <c r="BZ40" i="13"/>
  <c r="CA39" i="13"/>
  <c r="BZ39" i="13"/>
  <c r="BU47" i="1"/>
  <c r="CO45" i="1" s="1"/>
  <c r="CQ45" i="1" s="1"/>
  <c r="DI46" i="1"/>
  <c r="DK46" i="1" s="1"/>
  <c r="BV46" i="1"/>
  <c r="BX46" i="1" s="1"/>
  <c r="BQ46" i="1"/>
  <c r="BS46" i="1" s="1"/>
  <c r="BR45" i="1"/>
  <c r="CL43" i="1" s="1"/>
  <c r="DM45" i="1"/>
  <c r="DE45" i="1"/>
  <c r="FI45" i="1" s="1"/>
  <c r="EO45" i="1"/>
  <c r="EQ45" i="1" s="1"/>
  <c r="P43" i="4"/>
  <c r="CL43" i="9"/>
  <c r="BE39" i="9"/>
  <c r="BI39" i="9"/>
  <c r="BK39" i="9" s="1"/>
  <c r="Y43" i="8"/>
  <c r="BG41" i="8"/>
  <c r="BS43" i="6"/>
  <c r="V43" i="6"/>
  <c r="AK40" i="9"/>
  <c r="AA40" i="9"/>
  <c r="R42" i="4"/>
  <c r="BQ39" i="8"/>
  <c r="AI39" i="13"/>
  <c r="CP43" i="1"/>
  <c r="FZ46" i="1"/>
  <c r="GB46" i="1" s="1"/>
  <c r="BP41" i="8"/>
  <c r="CH43" i="1"/>
  <c r="CJ43" i="1" s="1"/>
  <c r="BK38" i="9"/>
  <c r="AJ43" i="6"/>
  <c r="BI48" i="1"/>
  <c r="CC45" i="1" s="1"/>
  <c r="BJ47" i="1"/>
  <c r="FY47" i="1"/>
  <c r="GA46" i="1"/>
  <c r="DO44" i="1"/>
  <c r="EX44" i="1"/>
  <c r="AH41" i="8"/>
  <c r="AH40" i="8"/>
  <c r="R42" i="9"/>
  <c r="BU38" i="8"/>
  <c r="BP44" i="1"/>
  <c r="U52" i="1"/>
  <c r="FG44" i="1"/>
  <c r="Q43" i="9"/>
  <c r="BF40" i="8"/>
  <c r="BO40" i="8"/>
  <c r="GC43" i="1"/>
  <c r="GO43" i="1"/>
  <c r="Y41" i="6"/>
  <c r="AN41" i="6"/>
  <c r="DX41" i="1"/>
  <c r="FE44" i="1"/>
  <c r="BX45" i="1"/>
  <c r="AK195" i="23"/>
  <c r="AJ195" i="23"/>
  <c r="AI195" i="23"/>
  <c r="AH195" i="23"/>
  <c r="AG195" i="23"/>
  <c r="AY53" i="1"/>
  <c r="BB53" i="1"/>
  <c r="AX53" i="1"/>
  <c r="AW53" i="1"/>
  <c r="AZ53" i="1"/>
  <c r="BA53" i="1"/>
  <c r="BC53" i="1"/>
  <c r="AV53" i="1"/>
  <c r="K52" i="1"/>
  <c r="M52" i="1"/>
  <c r="F52" i="1"/>
  <c r="I52" i="1"/>
  <c r="T52" i="1"/>
  <c r="O52" i="1"/>
  <c r="R52" i="1"/>
  <c r="L52" i="1"/>
  <c r="N52" i="1"/>
  <c r="G52" i="1"/>
  <c r="H52" i="1"/>
  <c r="P52" i="1"/>
  <c r="S52" i="1"/>
  <c r="J52" i="1"/>
  <c r="Q52" i="1"/>
  <c r="FX50" i="1" l="1"/>
  <c r="FU52" i="1"/>
  <c r="FW52" i="1" s="1"/>
  <c r="BG39" i="9"/>
  <c r="BE11" i="9"/>
  <c r="BG11" i="9" s="1"/>
  <c r="BU39" i="8"/>
  <c r="BS11" i="8"/>
  <c r="BU11" i="8" s="1"/>
  <c r="BI11" i="9"/>
  <c r="BK11" i="9" s="1"/>
  <c r="BH43" i="4"/>
  <c r="AU43" i="4" s="1"/>
  <c r="BS43" i="4"/>
  <c r="BU43" i="4" s="1"/>
  <c r="AL43" i="4"/>
  <c r="AN43" i="4" s="1"/>
  <c r="BK43" i="13"/>
  <c r="BM43" i="13" s="1"/>
  <c r="AB43" i="13"/>
  <c r="AE44" i="13" s="1"/>
  <c r="CT45" i="1"/>
  <c r="AS43" i="13"/>
  <c r="AU43" i="13" s="1"/>
  <c r="EK44" i="1"/>
  <c r="EM44" i="1" s="1"/>
  <c r="BG46" i="1"/>
  <c r="BE47" i="1"/>
  <c r="BG47" i="1" s="1"/>
  <c r="CA43" i="1"/>
  <c r="CB42" i="1"/>
  <c r="AX42" i="4"/>
  <c r="CX42" i="1"/>
  <c r="CZ42" i="1" s="1"/>
  <c r="BI42" i="4"/>
  <c r="AV42" i="4" s="1"/>
  <c r="DQ46" i="1"/>
  <c r="DS46" i="1" s="1"/>
  <c r="AC42" i="13"/>
  <c r="BL42" i="13"/>
  <c r="BN42" i="13" s="1"/>
  <c r="AT42" i="13"/>
  <c r="AV42" i="13" s="1"/>
  <c r="BT42" i="4"/>
  <c r="BR42" i="4" s="1"/>
  <c r="AM42" i="4"/>
  <c r="AO42" i="4" s="1"/>
  <c r="BS44" i="4"/>
  <c r="BQ44" i="4" s="1"/>
  <c r="BF46" i="1"/>
  <c r="BH46" i="1" s="1"/>
  <c r="AW44" i="4"/>
  <c r="CS46" i="1"/>
  <c r="CU46" i="1" s="1"/>
  <c r="CV46" i="1" s="1"/>
  <c r="BK44" i="13"/>
  <c r="AS44" i="13"/>
  <c r="BU42" i="4"/>
  <c r="DR45" i="1"/>
  <c r="DT45" i="1" s="1"/>
  <c r="BZ43" i="1"/>
  <c r="CB43" i="1" s="1"/>
  <c r="BH44" i="4"/>
  <c r="AL44" i="4"/>
  <c r="CA44" i="1"/>
  <c r="EG43" i="1"/>
  <c r="EI43" i="1" s="1"/>
  <c r="CW43" i="1"/>
  <c r="CY43" i="1" s="1"/>
  <c r="AW43" i="4"/>
  <c r="BR41" i="4"/>
  <c r="EM43" i="1"/>
  <c r="BK41" i="4"/>
  <c r="AD42" i="13"/>
  <c r="AV41" i="4"/>
  <c r="BG41" i="4"/>
  <c r="FV51" i="1"/>
  <c r="FX51" i="1" s="1"/>
  <c r="GG48" i="1"/>
  <c r="GI48" i="1" s="1"/>
  <c r="AF42" i="13"/>
  <c r="AH42" i="13" s="1"/>
  <c r="AP42" i="8"/>
  <c r="BT42" i="13"/>
  <c r="BX42" i="13" s="1"/>
  <c r="Q43" i="13"/>
  <c r="S42" i="13"/>
  <c r="V42" i="13" s="1"/>
  <c r="F42" i="11"/>
  <c r="AW43" i="6"/>
  <c r="Z43" i="6"/>
  <c r="AN41" i="9"/>
  <c r="AP41" i="9" s="1"/>
  <c r="GE43" i="1"/>
  <c r="CN41" i="9"/>
  <c r="CN42" i="9"/>
  <c r="BH42" i="6"/>
  <c r="BF42" i="6"/>
  <c r="BH41" i="9"/>
  <c r="BJ41" i="9" s="1"/>
  <c r="BD41" i="9"/>
  <c r="BF41" i="9" s="1"/>
  <c r="U41" i="13"/>
  <c r="AO42" i="6"/>
  <c r="BJ43" i="6"/>
  <c r="BA41" i="9"/>
  <c r="BC41" i="9" s="1"/>
  <c r="AQ42" i="9"/>
  <c r="AS42" i="9" s="1"/>
  <c r="AL42" i="9"/>
  <c r="AO42" i="9" s="1"/>
  <c r="AZ42" i="9"/>
  <c r="BB42" i="9" s="1"/>
  <c r="AI43" i="9"/>
  <c r="AS41" i="8"/>
  <c r="AU41" i="8" s="1"/>
  <c r="BN42" i="8"/>
  <c r="BP42" i="8" s="1"/>
  <c r="BC43" i="8"/>
  <c r="BE42" i="8"/>
  <c r="BG42" i="8" s="1"/>
  <c r="AT42" i="8"/>
  <c r="FM42" i="1"/>
  <c r="FO42" i="1"/>
  <c r="CJ42" i="9"/>
  <c r="FQ42" i="1"/>
  <c r="FN41" i="1"/>
  <c r="EA42" i="1"/>
  <c r="CF43" i="1"/>
  <c r="D41" i="11"/>
  <c r="AI42" i="9"/>
  <c r="T41" i="13"/>
  <c r="BY41" i="13" s="1"/>
  <c r="AG41" i="13"/>
  <c r="AI41" i="13" s="1"/>
  <c r="GQ43" i="1"/>
  <c r="BU41" i="13"/>
  <c r="BW41" i="13" s="1"/>
  <c r="R42" i="13"/>
  <c r="Z43" i="9"/>
  <c r="BW43" i="9"/>
  <c r="AD42" i="8"/>
  <c r="AA42" i="9"/>
  <c r="DY43" i="1"/>
  <c r="FS43" i="1" s="1"/>
  <c r="FP41" i="1"/>
  <c r="DS43" i="6"/>
  <c r="DU43" i="6" s="1"/>
  <c r="BF41" i="8"/>
  <c r="BH41" i="8" s="1"/>
  <c r="BD41" i="8"/>
  <c r="BD42" i="8"/>
  <c r="BX42" i="9"/>
  <c r="AK41" i="9"/>
  <c r="BX41" i="13"/>
  <c r="CA41" i="13" s="1"/>
  <c r="CI41" i="9"/>
  <c r="CK41" i="9" s="1"/>
  <c r="X44" i="4"/>
  <c r="Z44" i="4" s="1"/>
  <c r="N44" i="4"/>
  <c r="P44" i="4" s="1"/>
  <c r="W44" i="8"/>
  <c r="Y44" i="8" s="1"/>
  <c r="N44" i="8"/>
  <c r="P44" i="8" s="1"/>
  <c r="BQ44" i="9"/>
  <c r="BS44" i="9" s="1"/>
  <c r="CD44" i="9"/>
  <c r="CF44" i="9" s="1"/>
  <c r="CE44" i="1"/>
  <c r="CW44" i="1"/>
  <c r="O44" i="9"/>
  <c r="Q44" i="9" s="1"/>
  <c r="AC43" i="8"/>
  <c r="AK42" i="9"/>
  <c r="ES43" i="1"/>
  <c r="EU43" i="1" s="1"/>
  <c r="CH43" i="9"/>
  <c r="CJ43" i="9" s="1"/>
  <c r="X44" i="6"/>
  <c r="Z44" i="6" s="1"/>
  <c r="AR53" i="1"/>
  <c r="BR43" i="9"/>
  <c r="BT43" i="9" s="1"/>
  <c r="AS53" i="1"/>
  <c r="ET42" i="1"/>
  <c r="EV42" i="1" s="1"/>
  <c r="CN42" i="1"/>
  <c r="EH42" i="1"/>
  <c r="FN42" i="1" s="1"/>
  <c r="DZ42" i="1"/>
  <c r="EB42" i="1" s="1"/>
  <c r="DT42" i="6"/>
  <c r="DV42" i="6" s="1"/>
  <c r="BO46" i="1"/>
  <c r="BK48" i="1"/>
  <c r="GK44" i="1"/>
  <c r="GM44" i="1" s="1"/>
  <c r="EC44" i="1"/>
  <c r="EE44" i="1" s="1"/>
  <c r="FA43" i="1"/>
  <c r="FC43" i="1" s="1"/>
  <c r="CM43" i="1"/>
  <c r="AQ43" i="9"/>
  <c r="FK45" i="1"/>
  <c r="FH44" i="1"/>
  <c r="FF44" i="1"/>
  <c r="AP53" i="1"/>
  <c r="GL43" i="1"/>
  <c r="GN43" i="1" s="1"/>
  <c r="O43" i="4"/>
  <c r="R43" i="4" s="1"/>
  <c r="FT41" i="1"/>
  <c r="FR41" i="1"/>
  <c r="BF43" i="6"/>
  <c r="GW46" i="1"/>
  <c r="GY46" i="1" s="1"/>
  <c r="AU53" i="1"/>
  <c r="AT53" i="1"/>
  <c r="W53" i="1"/>
  <c r="Y43" i="4"/>
  <c r="GD43" i="1" s="1"/>
  <c r="GF43" i="1" s="1"/>
  <c r="AQ53" i="1"/>
  <c r="X43" i="8"/>
  <c r="BB43" i="8" s="1"/>
  <c r="BD43" i="8" s="1"/>
  <c r="O43" i="8"/>
  <c r="Q43" i="8" s="1"/>
  <c r="CE43" i="9"/>
  <c r="CG43" i="9" s="1"/>
  <c r="DT43" i="6"/>
  <c r="DZ43" i="1"/>
  <c r="ET43" i="1"/>
  <c r="CN43" i="1"/>
  <c r="BQ45" i="9"/>
  <c r="CD45" i="9"/>
  <c r="O45" i="9"/>
  <c r="W45" i="8"/>
  <c r="AE45" i="8" s="1"/>
  <c r="N45" i="8"/>
  <c r="X45" i="4"/>
  <c r="N45" i="4"/>
  <c r="GK45" i="1"/>
  <c r="CE45" i="1"/>
  <c r="BU42" i="13"/>
  <c r="AG42" i="13"/>
  <c r="T42" i="13"/>
  <c r="V53" i="1"/>
  <c r="AR43" i="8"/>
  <c r="AT43" i="8" s="1"/>
  <c r="AU44" i="6"/>
  <c r="AW44" i="6" s="1"/>
  <c r="BD44" i="6"/>
  <c r="BJ44" i="6" s="1"/>
  <c r="AG44" i="6"/>
  <c r="BQ40" i="8"/>
  <c r="E53" i="1"/>
  <c r="A55" i="1"/>
  <c r="Y54" i="1"/>
  <c r="AK54" i="1" s="1"/>
  <c r="AH54" i="1"/>
  <c r="AE54" i="1"/>
  <c r="AA54" i="1"/>
  <c r="AM54" i="1" s="1"/>
  <c r="X54" i="1"/>
  <c r="AJ54" i="1" s="1"/>
  <c r="AF54" i="1"/>
  <c r="Z54" i="1"/>
  <c r="AL54" i="1" s="1"/>
  <c r="AB54" i="1"/>
  <c r="AN54" i="1" s="1"/>
  <c r="AI54" i="1"/>
  <c r="AG54" i="1"/>
  <c r="AC54" i="1"/>
  <c r="AO54" i="1" s="1"/>
  <c r="AD54" i="1"/>
  <c r="B54" i="1"/>
  <c r="D54" i="1"/>
  <c r="C54" i="1"/>
  <c r="W54" i="1" s="1"/>
  <c r="AP43" i="8"/>
  <c r="AI40" i="13"/>
  <c r="DA45" i="6"/>
  <c r="DC45" i="6" s="1"/>
  <c r="BZ45" i="6"/>
  <c r="CB45" i="6" s="1"/>
  <c r="CR45" i="6"/>
  <c r="CT45" i="6" s="1"/>
  <c r="DJ45" i="6"/>
  <c r="DL45" i="6" s="1"/>
  <c r="BQ45" i="6"/>
  <c r="T45" i="6"/>
  <c r="V45" i="6" s="1"/>
  <c r="AH45" i="6"/>
  <c r="AJ45" i="6" s="1"/>
  <c r="CI45" i="6"/>
  <c r="DU45" i="1"/>
  <c r="DW45" i="1" s="1"/>
  <c r="AS42" i="8"/>
  <c r="BQ47" i="1"/>
  <c r="CK45" i="1" s="1"/>
  <c r="BR46" i="1"/>
  <c r="BT46" i="1" s="1"/>
  <c r="DM46" i="1"/>
  <c r="DE46" i="1"/>
  <c r="FK46" i="1" s="1"/>
  <c r="EO46" i="1"/>
  <c r="EQ46" i="1" s="1"/>
  <c r="BA42" i="9"/>
  <c r="AN42" i="9"/>
  <c r="DB45" i="1"/>
  <c r="DD45" i="1" s="1"/>
  <c r="DJ46" i="1"/>
  <c r="DL46" i="1" s="1"/>
  <c r="CK40" i="9"/>
  <c r="CO40" i="9"/>
  <c r="GY45" i="1"/>
  <c r="BM47" i="1"/>
  <c r="BO47" i="1" s="1"/>
  <c r="BN46" i="1"/>
  <c r="BP46" i="1" s="1"/>
  <c r="DA46" i="1"/>
  <c r="DC46" i="1" s="1"/>
  <c r="BK41" i="6"/>
  <c r="BG41" i="6"/>
  <c r="DN45" i="1"/>
  <c r="DF45" i="1"/>
  <c r="FL45" i="1" s="1"/>
  <c r="EP45" i="1"/>
  <c r="BI49" i="1"/>
  <c r="BK49" i="1" s="1"/>
  <c r="BJ48" i="1"/>
  <c r="FY48" i="1"/>
  <c r="GA48" i="1" s="1"/>
  <c r="EC45" i="1"/>
  <c r="BW40" i="13"/>
  <c r="BN43" i="8"/>
  <c r="BE43" i="8"/>
  <c r="FZ47" i="1"/>
  <c r="GB47" i="1" s="1"/>
  <c r="EW46" i="1"/>
  <c r="BT45" i="1"/>
  <c r="AZ43" i="9"/>
  <c r="AL43" i="9"/>
  <c r="AX41" i="6"/>
  <c r="BU48" i="1"/>
  <c r="BW48" i="1" s="1"/>
  <c r="DI47" i="1"/>
  <c r="DK47" i="1" s="1"/>
  <c r="BV47" i="1"/>
  <c r="BX47" i="1" s="1"/>
  <c r="FE45" i="1"/>
  <c r="BS40" i="8"/>
  <c r="BU40" i="8" s="1"/>
  <c r="BQ41" i="8"/>
  <c r="BW47" i="1"/>
  <c r="FG45" i="1"/>
  <c r="ER44" i="1"/>
  <c r="BE40" i="9"/>
  <c r="BG40" i="9" s="1"/>
  <c r="BI40" i="9"/>
  <c r="AP40" i="9"/>
  <c r="GX45" i="1"/>
  <c r="BH43" i="6"/>
  <c r="GA47" i="1"/>
  <c r="AR42" i="9"/>
  <c r="AQ42" i="8"/>
  <c r="EZ44" i="1"/>
  <c r="CD44" i="1"/>
  <c r="AM44" i="6"/>
  <c r="GT49" i="1"/>
  <c r="GV49" i="1" s="1"/>
  <c r="GS50" i="1"/>
  <c r="GW47" i="1" s="1"/>
  <c r="CP44" i="1"/>
  <c r="DH44" i="1"/>
  <c r="CU42" i="6"/>
  <c r="BS41" i="8"/>
  <c r="G41" i="11"/>
  <c r="AA41" i="6"/>
  <c r="BL47" i="1"/>
  <c r="E40" i="11"/>
  <c r="BY40" i="13"/>
  <c r="W42" i="6"/>
  <c r="BH40" i="8"/>
  <c r="AN42" i="6"/>
  <c r="AP42" i="6" s="1"/>
  <c r="Y42" i="6"/>
  <c r="AA42" i="6" s="1"/>
  <c r="AU40" i="8"/>
  <c r="BF42" i="8"/>
  <c r="BO42" i="8"/>
  <c r="FB43" i="1"/>
  <c r="ED43" i="1"/>
  <c r="CR43" i="1"/>
  <c r="CK44" i="1"/>
  <c r="CH44" i="1"/>
  <c r="CJ44" i="1" s="1"/>
  <c r="Y43" i="9"/>
  <c r="AH43" i="9"/>
  <c r="BT41" i="8"/>
  <c r="AV42" i="6"/>
  <c r="BE42" i="6"/>
  <c r="BI42" i="6"/>
  <c r="FL44" i="1"/>
  <c r="CS43" i="6"/>
  <c r="CU43" i="6" s="1"/>
  <c r="BR43" i="6"/>
  <c r="BT43" i="6" s="1"/>
  <c r="DK43" i="6"/>
  <c r="U43" i="6"/>
  <c r="CJ43" i="6"/>
  <c r="AI43" i="6"/>
  <c r="DB43" i="6"/>
  <c r="CA43" i="6"/>
  <c r="CC43" i="6" s="1"/>
  <c r="DV43" i="1"/>
  <c r="DX43" i="1" s="1"/>
  <c r="AH42" i="8"/>
  <c r="CI45" i="1"/>
  <c r="AP41" i="6"/>
  <c r="EX45" i="1"/>
  <c r="DG45" i="1"/>
  <c r="DO45" i="1"/>
  <c r="BT42" i="6"/>
  <c r="BT43" i="13"/>
  <c r="AF43" i="13"/>
  <c r="S43" i="13"/>
  <c r="BP45" i="1"/>
  <c r="GR42" i="1"/>
  <c r="AE195" i="23"/>
  <c r="AD195" i="23"/>
  <c r="AR194" i="23"/>
  <c r="AQ194" i="23"/>
  <c r="AP194" i="23"/>
  <c r="AO194" i="23"/>
  <c r="AN194" i="23"/>
  <c r="AX54" i="1"/>
  <c r="AZ54" i="1"/>
  <c r="BC54" i="1"/>
  <c r="AV54" i="1"/>
  <c r="AY54" i="1"/>
  <c r="Q53" i="1"/>
  <c r="S53" i="1"/>
  <c r="H53" i="1"/>
  <c r="K53" i="1"/>
  <c r="T53" i="1"/>
  <c r="F53" i="1"/>
  <c r="M53" i="1"/>
  <c r="J53" i="1"/>
  <c r="O53" i="1"/>
  <c r="R53" i="1"/>
  <c r="P53" i="1"/>
  <c r="L53" i="1"/>
  <c r="I53" i="1"/>
  <c r="N53" i="1"/>
  <c r="G53" i="1"/>
  <c r="BA54" i="1"/>
  <c r="AW54" i="1"/>
  <c r="BB54" i="1"/>
  <c r="FV52" i="1" l="1"/>
  <c r="FX52" i="1" s="1"/>
  <c r="GG49" i="1"/>
  <c r="GI49" i="1" s="1"/>
  <c r="AE43" i="13"/>
  <c r="AD44" i="13"/>
  <c r="AD43" i="13"/>
  <c r="BQ43" i="4"/>
  <c r="BJ44" i="4"/>
  <c r="BJ43" i="4"/>
  <c r="AY43" i="4"/>
  <c r="BF43" i="4"/>
  <c r="AN44" i="4"/>
  <c r="BM44" i="13"/>
  <c r="AU44" i="13"/>
  <c r="BY45" i="1"/>
  <c r="EK45" i="1" s="1"/>
  <c r="EM45" i="1" s="1"/>
  <c r="AZ42" i="4"/>
  <c r="BK42" i="4"/>
  <c r="DQ47" i="1"/>
  <c r="DS47" i="1" s="1"/>
  <c r="CS47" i="1"/>
  <c r="CU47" i="1" s="1"/>
  <c r="CV47" i="1" s="1"/>
  <c r="BF47" i="1"/>
  <c r="BH47" i="1" s="1"/>
  <c r="BE48" i="1"/>
  <c r="BY46" i="1" s="1"/>
  <c r="AW46" i="4" s="1"/>
  <c r="BG42" i="4"/>
  <c r="CT46" i="1"/>
  <c r="BZ44" i="1"/>
  <c r="AT44" i="13" s="1"/>
  <c r="DR46" i="1"/>
  <c r="DT46" i="1" s="1"/>
  <c r="BV42" i="4"/>
  <c r="FE46" i="1"/>
  <c r="BU44" i="4"/>
  <c r="FF45" i="1"/>
  <c r="BI43" i="4"/>
  <c r="BK43" i="4" s="1"/>
  <c r="CX43" i="1"/>
  <c r="CZ43" i="1" s="1"/>
  <c r="EH43" i="1"/>
  <c r="EJ43" i="1" s="1"/>
  <c r="AY44" i="4"/>
  <c r="CY44" i="1"/>
  <c r="FM43" i="1"/>
  <c r="AC43" i="13"/>
  <c r="AT43" i="13"/>
  <c r="AV43" i="13" s="1"/>
  <c r="BL43" i="13"/>
  <c r="BN43" i="13" s="1"/>
  <c r="AU44" i="4"/>
  <c r="AX43" i="4"/>
  <c r="EL43" i="1"/>
  <c r="BF44" i="4"/>
  <c r="AM43" i="4"/>
  <c r="AO43" i="4" s="1"/>
  <c r="FO43" i="1"/>
  <c r="BT43" i="4"/>
  <c r="BV43" i="4" s="1"/>
  <c r="GH48" i="1"/>
  <c r="GJ48" i="1" s="1"/>
  <c r="FU53" i="1"/>
  <c r="FW53" i="1" s="1"/>
  <c r="U42" i="13"/>
  <c r="D42" i="11"/>
  <c r="BV42" i="13"/>
  <c r="AP42" i="9"/>
  <c r="BI41" i="9"/>
  <c r="BK41" i="9" s="1"/>
  <c r="BE41" i="9"/>
  <c r="BG41" i="9" s="1"/>
  <c r="BC42" i="9"/>
  <c r="AO43" i="9"/>
  <c r="BB43" i="9"/>
  <c r="BH42" i="9"/>
  <c r="BJ42" i="9" s="1"/>
  <c r="BD42" i="9"/>
  <c r="BF42" i="9" s="1"/>
  <c r="BG43" i="8"/>
  <c r="AS43" i="9"/>
  <c r="BR42" i="8"/>
  <c r="BT42" i="8" s="1"/>
  <c r="BP43" i="8"/>
  <c r="E41" i="11"/>
  <c r="BW42" i="13"/>
  <c r="AG44" i="9"/>
  <c r="CH44" i="9" s="1"/>
  <c r="CN44" i="9" s="1"/>
  <c r="AI42" i="13"/>
  <c r="BU44" i="9"/>
  <c r="BW44" i="9" s="1"/>
  <c r="O44" i="13"/>
  <c r="Q44" i="13" s="1"/>
  <c r="BZ41" i="13"/>
  <c r="AN44" i="8"/>
  <c r="AR44" i="8" s="1"/>
  <c r="AT44" i="8" s="1"/>
  <c r="EA43" i="1"/>
  <c r="CL44" i="9"/>
  <c r="Q45" i="9"/>
  <c r="GC44" i="1"/>
  <c r="GE44" i="1" s="1"/>
  <c r="BA44" i="8"/>
  <c r="BC44" i="8" s="1"/>
  <c r="AA44" i="8"/>
  <c r="AC44" i="8" s="1"/>
  <c r="FH45" i="1"/>
  <c r="GO44" i="1"/>
  <c r="GQ44" i="1" s="1"/>
  <c r="FQ43" i="1"/>
  <c r="X44" i="9"/>
  <c r="Z44" i="9" s="1"/>
  <c r="BV43" i="9"/>
  <c r="BX43" i="9" s="1"/>
  <c r="CA42" i="13"/>
  <c r="AE44" i="8"/>
  <c r="AG45" i="8" s="1"/>
  <c r="F44" i="11"/>
  <c r="Z45" i="4"/>
  <c r="CO42" i="9"/>
  <c r="CK42" i="9"/>
  <c r="P45" i="8"/>
  <c r="CO41" i="9"/>
  <c r="FJ45" i="1"/>
  <c r="CF45" i="9"/>
  <c r="DV43" i="6"/>
  <c r="EJ42" i="1"/>
  <c r="P45" i="4"/>
  <c r="DP45" i="1"/>
  <c r="BS45" i="9"/>
  <c r="BF44" i="6"/>
  <c r="Y45" i="8"/>
  <c r="FR42" i="1"/>
  <c r="AB43" i="4"/>
  <c r="EV43" i="1"/>
  <c r="GP43" i="1"/>
  <c r="GR43" i="1" s="1"/>
  <c r="CN43" i="9"/>
  <c r="CG46" i="1"/>
  <c r="CI46" i="1" s="1"/>
  <c r="FT42" i="1"/>
  <c r="P43" i="13"/>
  <c r="R43" i="13" s="1"/>
  <c r="Z43" i="8"/>
  <c r="CM43" i="9"/>
  <c r="GM45" i="1"/>
  <c r="FP42" i="1"/>
  <c r="AF43" i="8"/>
  <c r="AH43" i="8" s="1"/>
  <c r="EE45" i="1"/>
  <c r="AB43" i="8"/>
  <c r="AD43" i="8" s="1"/>
  <c r="AT54" i="1"/>
  <c r="AR54" i="1"/>
  <c r="EB43" i="1"/>
  <c r="CI43" i="9"/>
  <c r="CO43" i="9" s="1"/>
  <c r="AO43" i="8"/>
  <c r="AQ43" i="8" s="1"/>
  <c r="CH45" i="1"/>
  <c r="CJ45" i="6" s="1"/>
  <c r="DG46" i="1"/>
  <c r="AU54" i="1"/>
  <c r="AS54" i="1"/>
  <c r="AR43" i="9"/>
  <c r="AT43" i="9" s="1"/>
  <c r="V54" i="1"/>
  <c r="DO46" i="1"/>
  <c r="BZ42" i="13"/>
  <c r="GX46" i="1"/>
  <c r="GZ46" i="1" s="1"/>
  <c r="AQ54" i="1"/>
  <c r="AM45" i="6"/>
  <c r="AO45" i="6" s="1"/>
  <c r="GY47" i="1"/>
  <c r="DS45" i="6"/>
  <c r="DY45" i="1"/>
  <c r="FS45" i="1" s="1"/>
  <c r="ES45" i="1"/>
  <c r="FA45" i="1"/>
  <c r="AO44" i="6"/>
  <c r="BU49" i="1"/>
  <c r="CO47" i="1" s="1"/>
  <c r="BV48" i="1"/>
  <c r="CP46" i="1" s="1"/>
  <c r="DI48" i="1"/>
  <c r="DK48" i="1" s="1"/>
  <c r="CC46" i="1"/>
  <c r="BM48" i="1"/>
  <c r="CG47" i="1" s="1"/>
  <c r="BN47" i="1"/>
  <c r="BP47" i="1" s="1"/>
  <c r="DA47" i="1"/>
  <c r="DC47" i="1" s="1"/>
  <c r="FZ48" i="1"/>
  <c r="GB48" i="1" s="1"/>
  <c r="BA43" i="9"/>
  <c r="BC43" i="9" s="1"/>
  <c r="AN43" i="9"/>
  <c r="AP43" i="9" s="1"/>
  <c r="FD43" i="1"/>
  <c r="BS42" i="8"/>
  <c r="BU42" i="8" s="1"/>
  <c r="BI50" i="1"/>
  <c r="CC47" i="1" s="1"/>
  <c r="BJ49" i="1"/>
  <c r="FY49" i="1"/>
  <c r="GA49" i="1" s="1"/>
  <c r="AN43" i="6"/>
  <c r="AP43" i="6" s="1"/>
  <c r="Y43" i="6"/>
  <c r="AA43" i="6" s="1"/>
  <c r="DN46" i="1"/>
  <c r="DP46" i="1" s="1"/>
  <c r="DF46" i="1"/>
  <c r="DH46" i="1" s="1"/>
  <c r="EP46" i="1"/>
  <c r="ER46" i="1" s="1"/>
  <c r="U44" i="6"/>
  <c r="CS44" i="6"/>
  <c r="CU44" i="6" s="1"/>
  <c r="BR44" i="6"/>
  <c r="DB44" i="6"/>
  <c r="DD44" i="6" s="1"/>
  <c r="CA44" i="6"/>
  <c r="CC44" i="6" s="1"/>
  <c r="CJ44" i="6"/>
  <c r="CL44" i="6" s="1"/>
  <c r="AI44" i="6"/>
  <c r="AL44" i="6" s="1"/>
  <c r="DK44" i="6"/>
  <c r="DV44" i="1"/>
  <c r="BQ48" i="1"/>
  <c r="CK46" i="1" s="1"/>
  <c r="BR47" i="1"/>
  <c r="BT47" i="1" s="1"/>
  <c r="DM47" i="1"/>
  <c r="DO47" i="1" s="1"/>
  <c r="EO47" i="1"/>
  <c r="DE47" i="1"/>
  <c r="DG47" i="1" s="1"/>
  <c r="A56" i="1"/>
  <c r="Y55" i="1"/>
  <c r="AK55" i="1" s="1"/>
  <c r="AH55" i="1"/>
  <c r="AF55" i="1"/>
  <c r="AB55" i="1"/>
  <c r="AN55" i="1" s="1"/>
  <c r="X55" i="1"/>
  <c r="AJ55" i="1" s="1"/>
  <c r="AI55" i="1"/>
  <c r="AD55" i="1"/>
  <c r="AE55" i="1"/>
  <c r="AG55" i="1"/>
  <c r="AC55" i="1"/>
  <c r="AO55" i="1" s="1"/>
  <c r="Z55" i="1"/>
  <c r="AL55" i="1" s="1"/>
  <c r="AA55" i="1"/>
  <c r="AM55" i="1" s="1"/>
  <c r="B55" i="1"/>
  <c r="D55" i="1"/>
  <c r="C55" i="1"/>
  <c r="V55" i="1" s="1"/>
  <c r="FG46" i="1"/>
  <c r="BS47" i="1"/>
  <c r="CL44" i="1"/>
  <c r="FB44" i="1" s="1"/>
  <c r="E54" i="1"/>
  <c r="BH44" i="6"/>
  <c r="DS44" i="6"/>
  <c r="CM45" i="1"/>
  <c r="EG44" i="1"/>
  <c r="DY44" i="1"/>
  <c r="ES44" i="1"/>
  <c r="CM44" i="1"/>
  <c r="FA44" i="1"/>
  <c r="ED44" i="1"/>
  <c r="EF44" i="1" s="1"/>
  <c r="AV43" i="6"/>
  <c r="BE43" i="6"/>
  <c r="BG43" i="6" s="1"/>
  <c r="BI43" i="6"/>
  <c r="BX43" i="13"/>
  <c r="BZ43" i="13" s="1"/>
  <c r="AA43" i="9"/>
  <c r="DM43" i="6"/>
  <c r="D43" i="11"/>
  <c r="GT50" i="1"/>
  <c r="GV50" i="1" s="1"/>
  <c r="GS51" i="1"/>
  <c r="GW48" i="1" s="1"/>
  <c r="GZ45" i="1"/>
  <c r="BK40" i="9"/>
  <c r="GC45" i="1"/>
  <c r="GO45" i="1"/>
  <c r="AX42" i="6"/>
  <c r="BV43" i="13"/>
  <c r="DH45" i="1"/>
  <c r="FT43" i="1"/>
  <c r="FR43" i="1"/>
  <c r="EF43" i="1"/>
  <c r="GU50" i="1"/>
  <c r="AU42" i="8"/>
  <c r="ER45" i="1"/>
  <c r="CP45" i="1"/>
  <c r="CR45" i="1" s="1"/>
  <c r="CD45" i="1"/>
  <c r="EX46" i="1"/>
  <c r="BD45" i="6"/>
  <c r="BF45" i="6" s="1"/>
  <c r="AU45" i="6"/>
  <c r="AW45" i="6" s="1"/>
  <c r="AG45" i="6"/>
  <c r="O45" i="13"/>
  <c r="AN45" i="8"/>
  <c r="CR44" i="1"/>
  <c r="BH42" i="8"/>
  <c r="BL48" i="1"/>
  <c r="BE42" i="9"/>
  <c r="BI42" i="9"/>
  <c r="BA45" i="8"/>
  <c r="AA45" i="8"/>
  <c r="AK43" i="9"/>
  <c r="BS45" i="6"/>
  <c r="U43" i="13"/>
  <c r="CL43" i="6"/>
  <c r="AL43" i="6"/>
  <c r="DD43" i="6"/>
  <c r="G42" i="11"/>
  <c r="P44" i="9"/>
  <c r="BR44" i="9"/>
  <c r="CE44" i="9"/>
  <c r="X44" i="8"/>
  <c r="AF44" i="8" s="1"/>
  <c r="O44" i="8"/>
  <c r="Y44" i="4"/>
  <c r="O44" i="4"/>
  <c r="GL44" i="1"/>
  <c r="CF44" i="1"/>
  <c r="BD43" i="9"/>
  <c r="BH43" i="9"/>
  <c r="V43" i="13"/>
  <c r="AP54" i="1"/>
  <c r="X45" i="6"/>
  <c r="CO46" i="1"/>
  <c r="BK42" i="6"/>
  <c r="X45" i="9"/>
  <c r="AG45" i="9"/>
  <c r="CH45" i="9" s="1"/>
  <c r="EZ45" i="1"/>
  <c r="AT42" i="9"/>
  <c r="BU41" i="8"/>
  <c r="W43" i="6"/>
  <c r="BG42" i="6"/>
  <c r="U54" i="1"/>
  <c r="BF43" i="8"/>
  <c r="BH43" i="8" s="1"/>
  <c r="BO43" i="8"/>
  <c r="DJ47" i="1"/>
  <c r="DL47" i="1" s="1"/>
  <c r="CL45" i="9"/>
  <c r="CK45" i="6"/>
  <c r="E42" i="11"/>
  <c r="BY42" i="13"/>
  <c r="BU45" i="9"/>
  <c r="BQ42" i="8"/>
  <c r="FI46" i="1"/>
  <c r="EW47" i="1"/>
  <c r="EY47" i="1" s="1"/>
  <c r="EY46" i="1"/>
  <c r="BR43" i="8"/>
  <c r="DB46" i="1"/>
  <c r="DD46" i="1" s="1"/>
  <c r="AH43" i="13"/>
  <c r="AK194" i="23"/>
  <c r="AJ194" i="23"/>
  <c r="AI194" i="23"/>
  <c r="AH194" i="23"/>
  <c r="AG194" i="23"/>
  <c r="AZ55" i="1"/>
  <c r="BB55" i="1"/>
  <c r="AV55" i="1"/>
  <c r="BA55" i="1"/>
  <c r="AY55" i="1"/>
  <c r="AX55" i="1"/>
  <c r="AW55" i="1"/>
  <c r="BC55" i="1"/>
  <c r="P54" i="1"/>
  <c r="O54" i="1"/>
  <c r="N54" i="1"/>
  <c r="Q54" i="1"/>
  <c r="S54" i="1"/>
  <c r="I54" i="1"/>
  <c r="L54" i="1"/>
  <c r="F54" i="1"/>
  <c r="K54" i="1"/>
  <c r="G54" i="1"/>
  <c r="R54" i="1"/>
  <c r="H54" i="1"/>
  <c r="T54" i="1"/>
  <c r="M54" i="1"/>
  <c r="J54" i="1"/>
  <c r="GH49" i="1" l="1"/>
  <c r="GJ49" i="1" s="1"/>
  <c r="EG45" i="1"/>
  <c r="FO45" i="1" s="1"/>
  <c r="CW45" i="1"/>
  <c r="CY45" i="1" s="1"/>
  <c r="AL45" i="4"/>
  <c r="AN45" i="4" s="1"/>
  <c r="BH45" i="4"/>
  <c r="AU45" i="4" s="1"/>
  <c r="AB45" i="13"/>
  <c r="AE45" i="13" s="1"/>
  <c r="AS45" i="13"/>
  <c r="AU45" i="13" s="1"/>
  <c r="BK45" i="13"/>
  <c r="BM45" i="13" s="1"/>
  <c r="BS45" i="4"/>
  <c r="BQ45" i="4" s="1"/>
  <c r="AW45" i="4"/>
  <c r="CA45" i="1"/>
  <c r="BZ45" i="1"/>
  <c r="BI45" i="4" s="1"/>
  <c r="CT47" i="1"/>
  <c r="DR47" i="1"/>
  <c r="DT47" i="1" s="1"/>
  <c r="BF48" i="1"/>
  <c r="BZ46" i="1" s="1"/>
  <c r="AT46" i="13" s="1"/>
  <c r="CS48" i="1"/>
  <c r="CU48" i="1" s="1"/>
  <c r="CV48" i="1" s="1"/>
  <c r="BE49" i="1"/>
  <c r="BG49" i="1" s="1"/>
  <c r="CA46" i="1"/>
  <c r="DQ48" i="1"/>
  <c r="DS48" i="1" s="1"/>
  <c r="CW46" i="1"/>
  <c r="BG48" i="1"/>
  <c r="AB46" i="13"/>
  <c r="AS46" i="13"/>
  <c r="BK46" i="13"/>
  <c r="AL46" i="4"/>
  <c r="BH46" i="4"/>
  <c r="AU46" i="4" s="1"/>
  <c r="BS46" i="4"/>
  <c r="EL44" i="1"/>
  <c r="EN44" i="1" s="1"/>
  <c r="CB44" i="1"/>
  <c r="CX44" i="1"/>
  <c r="CZ44" i="1" s="1"/>
  <c r="BT44" i="4"/>
  <c r="BR44" i="4" s="1"/>
  <c r="AM44" i="4"/>
  <c r="AO44" i="4" s="1"/>
  <c r="BL44" i="13"/>
  <c r="BN44" i="13" s="1"/>
  <c r="BI44" i="4"/>
  <c r="AV44" i="4" s="1"/>
  <c r="AX44" i="4"/>
  <c r="AC44" i="13"/>
  <c r="FP43" i="1"/>
  <c r="FN43" i="1"/>
  <c r="EN43" i="1"/>
  <c r="BG43" i="4"/>
  <c r="AV43" i="4"/>
  <c r="AZ43" i="4"/>
  <c r="BR43" i="4"/>
  <c r="FV53" i="1"/>
  <c r="GH50" i="1" s="1"/>
  <c r="GG50" i="1"/>
  <c r="GI50" i="1" s="1"/>
  <c r="FU54" i="1"/>
  <c r="FW54" i="1" s="1"/>
  <c r="BG42" i="9"/>
  <c r="BK42" i="9"/>
  <c r="AQ44" i="9"/>
  <c r="AS44" i="9" s="1"/>
  <c r="AL44" i="9"/>
  <c r="AO44" i="9" s="1"/>
  <c r="BT44" i="13"/>
  <c r="BV44" i="13" s="1"/>
  <c r="S44" i="13"/>
  <c r="V44" i="13" s="1"/>
  <c r="AF44" i="13"/>
  <c r="AH44" i="13" s="1"/>
  <c r="AI44" i="9"/>
  <c r="AZ44" i="9"/>
  <c r="BB44" i="9" s="1"/>
  <c r="GE45" i="1"/>
  <c r="DA46" i="6"/>
  <c r="DC46" i="6" s="1"/>
  <c r="AP45" i="8"/>
  <c r="AP44" i="8"/>
  <c r="AG44" i="8"/>
  <c r="GQ45" i="1"/>
  <c r="BE44" i="8"/>
  <c r="BG44" i="8" s="1"/>
  <c r="BN44" i="8"/>
  <c r="BP44" i="8" s="1"/>
  <c r="BC45" i="8"/>
  <c r="CJ44" i="9"/>
  <c r="Z45" i="9"/>
  <c r="AC45" i="8"/>
  <c r="BZ46" i="6"/>
  <c r="CB46" i="6" s="1"/>
  <c r="DV45" i="1"/>
  <c r="AN45" i="6" s="1"/>
  <c r="AS43" i="8"/>
  <c r="AU43" i="8" s="1"/>
  <c r="T46" i="6"/>
  <c r="V46" i="6" s="1"/>
  <c r="CR46" i="6"/>
  <c r="CT46" i="6" s="1"/>
  <c r="T43" i="13"/>
  <c r="BY43" i="13" s="1"/>
  <c r="AH46" i="6"/>
  <c r="AM46" i="6" s="1"/>
  <c r="AI45" i="6"/>
  <c r="BE45" i="6" s="1"/>
  <c r="CI46" i="6"/>
  <c r="CK46" i="6" s="1"/>
  <c r="DJ46" i="6"/>
  <c r="DL46" i="6" s="1"/>
  <c r="CA45" i="6"/>
  <c r="CC45" i="6" s="1"/>
  <c r="AG43" i="13"/>
  <c r="AI43" i="13" s="1"/>
  <c r="FE47" i="1"/>
  <c r="FG47" i="1"/>
  <c r="BQ46" i="6"/>
  <c r="BS46" i="6" s="1"/>
  <c r="DB45" i="6"/>
  <c r="DD45" i="6" s="1"/>
  <c r="BR45" i="6"/>
  <c r="BT45" i="6" s="1"/>
  <c r="DK45" i="6"/>
  <c r="DM45" i="6" s="1"/>
  <c r="CS45" i="6"/>
  <c r="CU45" i="6" s="1"/>
  <c r="U45" i="6"/>
  <c r="W45" i="6" s="1"/>
  <c r="BU43" i="13"/>
  <c r="BW43" i="13" s="1"/>
  <c r="CJ45" i="1"/>
  <c r="FL46" i="1"/>
  <c r="CH46" i="1"/>
  <c r="AI46" i="6" s="1"/>
  <c r="FQ45" i="1"/>
  <c r="DU46" i="1"/>
  <c r="DW46" i="1" s="1"/>
  <c r="FK47" i="1"/>
  <c r="FJ46" i="1"/>
  <c r="AU55" i="1"/>
  <c r="AR55" i="1"/>
  <c r="CK43" i="9"/>
  <c r="W55" i="1"/>
  <c r="FI47" i="1"/>
  <c r="BO48" i="1"/>
  <c r="AQ45" i="9"/>
  <c r="EX47" i="1"/>
  <c r="EZ47" i="1" s="1"/>
  <c r="FF46" i="1"/>
  <c r="BS48" i="1"/>
  <c r="CF45" i="1"/>
  <c r="AS55" i="1"/>
  <c r="CA43" i="13"/>
  <c r="AP55" i="1"/>
  <c r="AT55" i="1"/>
  <c r="U55" i="1"/>
  <c r="GX47" i="1"/>
  <c r="GZ47" i="1" s="1"/>
  <c r="DJ47" i="6"/>
  <c r="CI47" i="6"/>
  <c r="AH47" i="6"/>
  <c r="CR47" i="6"/>
  <c r="BQ47" i="6"/>
  <c r="DA47" i="6"/>
  <c r="T47" i="6"/>
  <c r="BZ47" i="6"/>
  <c r="DU47" i="1"/>
  <c r="CI47" i="1"/>
  <c r="AH44" i="8"/>
  <c r="CJ45" i="9"/>
  <c r="CN45" i="9"/>
  <c r="GY48" i="1"/>
  <c r="DS46" i="6"/>
  <c r="DU46" i="6" s="1"/>
  <c r="EG46" i="1"/>
  <c r="DY46" i="1"/>
  <c r="EA46" i="1" s="1"/>
  <c r="ES46" i="1"/>
  <c r="EU46" i="1" s="1"/>
  <c r="CM46" i="1"/>
  <c r="EC47" i="1"/>
  <c r="W44" i="6"/>
  <c r="BJ45" i="6"/>
  <c r="EW48" i="1"/>
  <c r="EY48" i="1" s="1"/>
  <c r="DJ48" i="1"/>
  <c r="DL48" i="1" s="1"/>
  <c r="P44" i="13"/>
  <c r="AO44" i="8"/>
  <c r="Q44" i="8"/>
  <c r="DU45" i="6"/>
  <c r="DU44" i="6"/>
  <c r="GT51" i="1"/>
  <c r="GX48" i="1" s="1"/>
  <c r="GS52" i="1"/>
  <c r="GU52" i="1" s="1"/>
  <c r="BQ47" i="9"/>
  <c r="O47" i="9"/>
  <c r="CD47" i="9"/>
  <c r="W47" i="8"/>
  <c r="AE47" i="8" s="1"/>
  <c r="N47" i="8"/>
  <c r="X47" i="4"/>
  <c r="N47" i="4"/>
  <c r="GK47" i="1"/>
  <c r="BE43" i="9"/>
  <c r="BG43" i="9" s="1"/>
  <c r="BI43" i="9"/>
  <c r="BK43" i="9" s="1"/>
  <c r="BS43" i="8"/>
  <c r="BU43" i="8" s="1"/>
  <c r="BU50" i="1"/>
  <c r="CO48" i="1" s="1"/>
  <c r="DI49" i="1"/>
  <c r="DK49" i="1" s="1"/>
  <c r="BV49" i="1"/>
  <c r="GU51" i="1"/>
  <c r="BI51" i="1"/>
  <c r="CC48" i="1" s="1"/>
  <c r="BJ50" i="1"/>
  <c r="BL50" i="1" s="1"/>
  <c r="FY50" i="1"/>
  <c r="BW49" i="1"/>
  <c r="A57" i="1"/>
  <c r="AE56" i="1"/>
  <c r="AC56" i="1"/>
  <c r="AO56" i="1" s="1"/>
  <c r="AB56" i="1"/>
  <c r="AN56" i="1" s="1"/>
  <c r="AI56" i="1"/>
  <c r="AF56" i="1"/>
  <c r="AD56" i="1"/>
  <c r="AA56" i="1"/>
  <c r="AM56" i="1" s="1"/>
  <c r="AG56" i="1"/>
  <c r="Z56" i="1"/>
  <c r="AL56" i="1" s="1"/>
  <c r="X56" i="1"/>
  <c r="AJ56" i="1" s="1"/>
  <c r="AH56" i="1"/>
  <c r="Y56" i="1"/>
  <c r="AK56" i="1" s="1"/>
  <c r="B56" i="1"/>
  <c r="D56" i="1"/>
  <c r="C56" i="1"/>
  <c r="U56" i="1" s="1"/>
  <c r="CL45" i="1"/>
  <c r="FB45" i="1" s="1"/>
  <c r="BK50" i="1"/>
  <c r="AI45" i="9"/>
  <c r="CR46" i="1"/>
  <c r="ED45" i="1"/>
  <c r="DT44" i="6"/>
  <c r="DZ44" i="1"/>
  <c r="FT44" i="1" s="1"/>
  <c r="EH44" i="1"/>
  <c r="ET44" i="1"/>
  <c r="CN44" i="1"/>
  <c r="EZ46" i="1"/>
  <c r="E55" i="1"/>
  <c r="BW45" i="9"/>
  <c r="CQ47" i="1"/>
  <c r="FA46" i="1"/>
  <c r="FC46" i="1" s="1"/>
  <c r="EK46" i="1"/>
  <c r="EC46" i="1"/>
  <c r="CQ46" i="1"/>
  <c r="F45" i="11"/>
  <c r="Z45" i="6"/>
  <c r="FZ49" i="1"/>
  <c r="GB49" i="1" s="1"/>
  <c r="AR45" i="8"/>
  <c r="AT45" i="8" s="1"/>
  <c r="BT44" i="6"/>
  <c r="AF45" i="13"/>
  <c r="BT45" i="13"/>
  <c r="S45" i="13"/>
  <c r="AQ55" i="1"/>
  <c r="BQ43" i="8"/>
  <c r="DN47" i="1"/>
  <c r="DP47" i="1" s="1"/>
  <c r="EP47" i="1"/>
  <c r="ER47" i="1" s="1"/>
  <c r="DF47" i="1"/>
  <c r="DH47" i="1" s="1"/>
  <c r="EQ47" i="1"/>
  <c r="FC45" i="1"/>
  <c r="FC44" i="1"/>
  <c r="BQ49" i="1"/>
  <c r="EW49" i="1" s="1"/>
  <c r="BR48" i="1"/>
  <c r="EX48" i="1" s="1"/>
  <c r="DM48" i="1"/>
  <c r="DE48" i="1"/>
  <c r="DG48" i="1" s="1"/>
  <c r="EO48" i="1"/>
  <c r="EQ48" i="1" s="1"/>
  <c r="BJ43" i="9"/>
  <c r="GN44" i="1"/>
  <c r="BT43" i="8"/>
  <c r="FD44" i="1"/>
  <c r="CD46" i="1"/>
  <c r="ED46" i="1" s="1"/>
  <c r="EU45" i="1"/>
  <c r="EU44" i="1"/>
  <c r="BL49" i="1"/>
  <c r="R44" i="4"/>
  <c r="EA45" i="1"/>
  <c r="EA44" i="1"/>
  <c r="FQ44" i="1"/>
  <c r="FS44" i="1"/>
  <c r="BF43" i="9"/>
  <c r="AX43" i="6"/>
  <c r="BK43" i="6"/>
  <c r="GD44" i="1"/>
  <c r="GP44" i="1"/>
  <c r="AB44" i="4"/>
  <c r="BN45" i="8"/>
  <c r="BE45" i="8"/>
  <c r="BH45" i="6"/>
  <c r="FO44" i="1"/>
  <c r="FM44" i="1"/>
  <c r="EI44" i="1"/>
  <c r="Y44" i="6"/>
  <c r="AN44" i="6"/>
  <c r="AP44" i="6" s="1"/>
  <c r="AZ45" i="9"/>
  <c r="AL45" i="9"/>
  <c r="Q45" i="13"/>
  <c r="DB47" i="1"/>
  <c r="DD47" i="1" s="1"/>
  <c r="AV44" i="6"/>
  <c r="BE44" i="6"/>
  <c r="BI44" i="6"/>
  <c r="AB44" i="8"/>
  <c r="BB44" i="8"/>
  <c r="Z44" i="8"/>
  <c r="CM44" i="9"/>
  <c r="CG44" i="9"/>
  <c r="CL45" i="6"/>
  <c r="DX44" i="1"/>
  <c r="BM49" i="1"/>
  <c r="CG48" i="1" s="1"/>
  <c r="CI48" i="1" s="1"/>
  <c r="BN48" i="1"/>
  <c r="CH47" i="1" s="1"/>
  <c r="DA48" i="1"/>
  <c r="DC48" i="1" s="1"/>
  <c r="G43" i="11"/>
  <c r="BV44" i="9"/>
  <c r="BT44" i="9"/>
  <c r="DM44" i="6"/>
  <c r="BX48" i="1"/>
  <c r="AH44" i="9"/>
  <c r="Y44" i="9"/>
  <c r="R44" i="9"/>
  <c r="FH46" i="1"/>
  <c r="BR45" i="9"/>
  <c r="BT45" i="9" s="1"/>
  <c r="CE45" i="9"/>
  <c r="CG45" i="9" s="1"/>
  <c r="P45" i="9"/>
  <c r="R45" i="9" s="1"/>
  <c r="X45" i="8"/>
  <c r="Z45" i="8" s="1"/>
  <c r="O45" i="8"/>
  <c r="Y45" i="4"/>
  <c r="AB45" i="4" s="1"/>
  <c r="O45" i="4"/>
  <c r="R45" i="4" s="1"/>
  <c r="GL45" i="1"/>
  <c r="GN45" i="1" s="1"/>
  <c r="AV44" i="13"/>
  <c r="CD46" i="9"/>
  <c r="O46" i="9"/>
  <c r="BQ46" i="9"/>
  <c r="W46" i="8"/>
  <c r="N46" i="8"/>
  <c r="X46" i="4"/>
  <c r="N46" i="4"/>
  <c r="CE47" i="1"/>
  <c r="GK46" i="1"/>
  <c r="CE46" i="1"/>
  <c r="AE194" i="23"/>
  <c r="AD194" i="23"/>
  <c r="AR193" i="23"/>
  <c r="AQ193" i="23"/>
  <c r="AP193" i="23"/>
  <c r="AO193" i="23"/>
  <c r="AN193" i="23"/>
  <c r="AZ56" i="1"/>
  <c r="AV56" i="1"/>
  <c r="BA56" i="1"/>
  <c r="BC56" i="1"/>
  <c r="AW56" i="1"/>
  <c r="AX56" i="1"/>
  <c r="BB56" i="1"/>
  <c r="AY56" i="1"/>
  <c r="O55" i="1"/>
  <c r="T55" i="1"/>
  <c r="J55" i="1"/>
  <c r="R55" i="1"/>
  <c r="N55" i="1"/>
  <c r="P55" i="1"/>
  <c r="G55" i="1"/>
  <c r="K55" i="1"/>
  <c r="L55" i="1"/>
  <c r="Q55" i="1"/>
  <c r="M55" i="1"/>
  <c r="S55" i="1"/>
  <c r="H55" i="1"/>
  <c r="I55" i="1"/>
  <c r="F55" i="1"/>
  <c r="GJ50" i="1" l="1"/>
  <c r="AN46" i="4"/>
  <c r="CY46" i="1"/>
  <c r="EI45" i="1"/>
  <c r="FM45" i="1"/>
  <c r="EI46" i="1"/>
  <c r="BJ45" i="4"/>
  <c r="AY45" i="4"/>
  <c r="BF45" i="4"/>
  <c r="AD45" i="13"/>
  <c r="BM46" i="13"/>
  <c r="AD46" i="13"/>
  <c r="BU46" i="4"/>
  <c r="AU46" i="13"/>
  <c r="AM46" i="4"/>
  <c r="BT46" i="4"/>
  <c r="BR46" i="4" s="1"/>
  <c r="CB45" i="1"/>
  <c r="AX45" i="4"/>
  <c r="CX45" i="1"/>
  <c r="CZ45" i="1" s="1"/>
  <c r="AC45" i="13"/>
  <c r="BT45" i="4"/>
  <c r="BV45" i="4" s="1"/>
  <c r="BU45" i="4"/>
  <c r="EL45" i="1"/>
  <c r="EN45" i="1" s="1"/>
  <c r="AT45" i="13"/>
  <c r="AV45" i="13" s="1"/>
  <c r="BL45" i="13"/>
  <c r="BN45" i="13" s="1"/>
  <c r="BI46" i="4"/>
  <c r="AV46" i="4" s="1"/>
  <c r="AC46" i="13"/>
  <c r="AX46" i="4"/>
  <c r="AE46" i="13"/>
  <c r="BH48" i="1"/>
  <c r="CT48" i="1"/>
  <c r="CB46" i="1"/>
  <c r="BQ46" i="4"/>
  <c r="BL46" i="13"/>
  <c r="CS49" i="1"/>
  <c r="CU49" i="1" s="1"/>
  <c r="BF49" i="1"/>
  <c r="BZ47" i="1" s="1"/>
  <c r="CB47" i="1" s="1"/>
  <c r="BE50" i="1"/>
  <c r="BG50" i="1" s="1"/>
  <c r="AM45" i="4"/>
  <c r="DR48" i="1"/>
  <c r="DT48" i="1" s="1"/>
  <c r="EL46" i="1"/>
  <c r="DQ49" i="1"/>
  <c r="DS49" i="1" s="1"/>
  <c r="BY47" i="1"/>
  <c r="CW47" i="1" s="1"/>
  <c r="CY47" i="1" s="1"/>
  <c r="BJ46" i="4"/>
  <c r="AY46" i="4"/>
  <c r="BV44" i="4"/>
  <c r="BF46" i="4"/>
  <c r="FP44" i="1"/>
  <c r="AZ44" i="4"/>
  <c r="BG44" i="4"/>
  <c r="BK44" i="4"/>
  <c r="AZ45" i="4"/>
  <c r="FX53" i="1"/>
  <c r="FV54" i="1"/>
  <c r="GH51" i="1" s="1"/>
  <c r="GG51" i="1"/>
  <c r="GI51" i="1" s="1"/>
  <c r="FU55" i="1"/>
  <c r="FW55" i="1" s="1"/>
  <c r="BX44" i="13"/>
  <c r="CA44" i="13" s="1"/>
  <c r="BV45" i="13"/>
  <c r="AH45" i="13"/>
  <c r="AS45" i="9"/>
  <c r="D44" i="11"/>
  <c r="BR44" i="8"/>
  <c r="BT44" i="8" s="1"/>
  <c r="U44" i="13"/>
  <c r="CJ47" i="1"/>
  <c r="BB45" i="9"/>
  <c r="U45" i="13"/>
  <c r="BH44" i="9"/>
  <c r="BJ44" i="9" s="1"/>
  <c r="BD44" i="9"/>
  <c r="BF44" i="9" s="1"/>
  <c r="E43" i="11"/>
  <c r="Y45" i="6"/>
  <c r="AA45" i="6" s="1"/>
  <c r="DX45" i="1"/>
  <c r="DC47" i="6"/>
  <c r="BG45" i="8"/>
  <c r="CT47" i="6"/>
  <c r="CJ46" i="1"/>
  <c r="CB47" i="6"/>
  <c r="AJ46" i="6"/>
  <c r="BD46" i="6"/>
  <c r="BF46" i="6" s="1"/>
  <c r="BP45" i="8"/>
  <c r="CK47" i="6"/>
  <c r="AG46" i="6"/>
  <c r="AU46" i="6"/>
  <c r="AW46" i="6" s="1"/>
  <c r="X46" i="6"/>
  <c r="F46" i="11" s="1"/>
  <c r="V47" i="6"/>
  <c r="BK45" i="4"/>
  <c r="DK46" i="6"/>
  <c r="DM46" i="6" s="1"/>
  <c r="AL45" i="6"/>
  <c r="DL47" i="6"/>
  <c r="CA46" i="6"/>
  <c r="CC46" i="6" s="1"/>
  <c r="AL46" i="6"/>
  <c r="AV45" i="6"/>
  <c r="AX45" i="6" s="1"/>
  <c r="BI45" i="6"/>
  <c r="U46" i="6"/>
  <c r="W46" i="6" s="1"/>
  <c r="DB46" i="6"/>
  <c r="DD46" i="6" s="1"/>
  <c r="GZ48" i="1"/>
  <c r="BR46" i="6"/>
  <c r="BT46" i="6" s="1"/>
  <c r="BS47" i="6"/>
  <c r="CJ46" i="6"/>
  <c r="CL46" i="6" s="1"/>
  <c r="GV51" i="1"/>
  <c r="DW47" i="1"/>
  <c r="CS46" i="6"/>
  <c r="CU46" i="6" s="1"/>
  <c r="FF47" i="1"/>
  <c r="FH47" i="1"/>
  <c r="CF46" i="1"/>
  <c r="CX46" i="1"/>
  <c r="GW49" i="1"/>
  <c r="GY49" i="1" s="1"/>
  <c r="FN44" i="1"/>
  <c r="BO49" i="1"/>
  <c r="AU56" i="1"/>
  <c r="V45" i="13"/>
  <c r="BS49" i="1"/>
  <c r="AQ56" i="1"/>
  <c r="FR44" i="1"/>
  <c r="AP45" i="6"/>
  <c r="AP56" i="1"/>
  <c r="V56" i="1"/>
  <c r="W56" i="1"/>
  <c r="AS56" i="1"/>
  <c r="DV46" i="1"/>
  <c r="DX46" i="1" s="1"/>
  <c r="AT56" i="1"/>
  <c r="O48" i="9"/>
  <c r="Q48" i="9" s="1"/>
  <c r="BQ48" i="9"/>
  <c r="BS48" i="9" s="1"/>
  <c r="CD48" i="9"/>
  <c r="CF48" i="9" s="1"/>
  <c r="N48" i="8"/>
  <c r="P48" i="8" s="1"/>
  <c r="W48" i="8"/>
  <c r="Y48" i="8" s="1"/>
  <c r="X48" i="4"/>
  <c r="Z48" i="4" s="1"/>
  <c r="N48" i="4"/>
  <c r="P48" i="4" s="1"/>
  <c r="GK48" i="1"/>
  <c r="GM48" i="1" s="1"/>
  <c r="CE48" i="1"/>
  <c r="EC48" i="1"/>
  <c r="CQ48" i="1"/>
  <c r="EZ48" i="1"/>
  <c r="FI48" i="1"/>
  <c r="Z47" i="4"/>
  <c r="GC46" i="1"/>
  <c r="GO46" i="1"/>
  <c r="Z46" i="4"/>
  <c r="P45" i="13"/>
  <c r="R45" i="13" s="1"/>
  <c r="AO45" i="8"/>
  <c r="AQ45" i="8" s="1"/>
  <c r="BM50" i="1"/>
  <c r="BO50" i="1" s="1"/>
  <c r="DA49" i="1"/>
  <c r="DC49" i="1" s="1"/>
  <c r="BN49" i="1"/>
  <c r="CH48" i="1" s="1"/>
  <c r="CL46" i="1"/>
  <c r="CN46" i="1" s="1"/>
  <c r="EF46" i="1"/>
  <c r="CL47" i="9"/>
  <c r="FK48" i="1"/>
  <c r="P47" i="8"/>
  <c r="O46" i="13"/>
  <c r="AN46" i="8"/>
  <c r="P46" i="8"/>
  <c r="AB45" i="8"/>
  <c r="BB45" i="8"/>
  <c r="BD45" i="8" s="1"/>
  <c r="DB48" i="1"/>
  <c r="DD48" i="1" s="1"/>
  <c r="BF44" i="8"/>
  <c r="BO44" i="8"/>
  <c r="BD44" i="8"/>
  <c r="BA46" i="8"/>
  <c r="AA46" i="8"/>
  <c r="Y47" i="8"/>
  <c r="Y46" i="8"/>
  <c r="AD44" i="8"/>
  <c r="AR56" i="1"/>
  <c r="AG47" i="9"/>
  <c r="AQ47" i="9" s="1"/>
  <c r="X47" i="9"/>
  <c r="G44" i="11"/>
  <c r="BU47" i="9"/>
  <c r="BT48" i="1"/>
  <c r="FD45" i="1"/>
  <c r="AF45" i="8"/>
  <c r="FZ50" i="1"/>
  <c r="GB50" i="1" s="1"/>
  <c r="AX44" i="6"/>
  <c r="Y45" i="9"/>
  <c r="AA45" i="9" s="1"/>
  <c r="AH45" i="9"/>
  <c r="CI45" i="9" s="1"/>
  <c r="BI52" i="1"/>
  <c r="CC49" i="1" s="1"/>
  <c r="BJ51" i="1"/>
  <c r="BL51" i="1" s="1"/>
  <c r="FY51" i="1"/>
  <c r="AO46" i="6"/>
  <c r="CM45" i="9"/>
  <c r="BS47" i="9"/>
  <c r="BU46" i="9"/>
  <c r="BS46" i="9"/>
  <c r="BV45" i="9"/>
  <c r="BX45" i="9" s="1"/>
  <c r="BK51" i="1"/>
  <c r="FE48" i="1"/>
  <c r="GT52" i="1"/>
  <c r="GS53" i="1"/>
  <c r="GU53" i="1" s="1"/>
  <c r="Q47" i="9"/>
  <c r="AG46" i="9"/>
  <c r="AQ46" i="9" s="1"/>
  <c r="X46" i="9"/>
  <c r="Q46" i="9"/>
  <c r="BD45" i="9"/>
  <c r="BH45" i="9"/>
  <c r="FG48" i="1"/>
  <c r="AS44" i="8"/>
  <c r="AQ44" i="8"/>
  <c r="BU44" i="13"/>
  <c r="AG44" i="13"/>
  <c r="T44" i="13"/>
  <c r="R44" i="13"/>
  <c r="CK47" i="1"/>
  <c r="DO48" i="1"/>
  <c r="DJ49" i="1"/>
  <c r="DL49" i="1" s="1"/>
  <c r="Q45" i="8"/>
  <c r="CL46" i="9"/>
  <c r="CF47" i="9"/>
  <c r="CF46" i="9"/>
  <c r="AA44" i="9"/>
  <c r="AA44" i="6"/>
  <c r="BK45" i="6"/>
  <c r="BG45" i="6"/>
  <c r="CP47" i="1"/>
  <c r="BA44" i="9"/>
  <c r="AK44" i="9"/>
  <c r="AN44" i="9"/>
  <c r="CD47" i="1"/>
  <c r="BI46" i="6"/>
  <c r="BE46" i="6"/>
  <c r="BG46" i="6" s="1"/>
  <c r="AV46" i="6"/>
  <c r="BD47" i="6"/>
  <c r="AU47" i="6"/>
  <c r="AG47" i="6"/>
  <c r="DN48" i="1"/>
  <c r="DF48" i="1"/>
  <c r="DH48" i="1" s="1"/>
  <c r="EP48" i="1"/>
  <c r="D45" i="11"/>
  <c r="BU51" i="1"/>
  <c r="CO49" i="1" s="1"/>
  <c r="DI50" i="1"/>
  <c r="DK50" i="1" s="1"/>
  <c r="BV50" i="1"/>
  <c r="CP48" i="1" s="1"/>
  <c r="BR45" i="8"/>
  <c r="BQ50" i="1"/>
  <c r="EW50" i="1" s="1"/>
  <c r="EY50" i="1" s="1"/>
  <c r="DE49" i="1"/>
  <c r="DG49" i="1" s="1"/>
  <c r="BR49" i="1"/>
  <c r="BT49" i="1" s="1"/>
  <c r="DM49" i="1"/>
  <c r="EO49" i="1"/>
  <c r="EQ49" i="1" s="1"/>
  <c r="BX45" i="13"/>
  <c r="BW50" i="1"/>
  <c r="BX49" i="1"/>
  <c r="EY49" i="1"/>
  <c r="EV44" i="1"/>
  <c r="AO45" i="9"/>
  <c r="GA50" i="1"/>
  <c r="DK47" i="6"/>
  <c r="CJ47" i="6"/>
  <c r="AI47" i="6"/>
  <c r="AL47" i="6" s="1"/>
  <c r="DB47" i="6"/>
  <c r="BR47" i="6"/>
  <c r="U47" i="6"/>
  <c r="CS47" i="6"/>
  <c r="CA47" i="6"/>
  <c r="EJ44" i="1"/>
  <c r="GC47" i="1"/>
  <c r="GO47" i="1"/>
  <c r="BK44" i="6"/>
  <c r="GR44" i="1"/>
  <c r="EE47" i="1"/>
  <c r="FS46" i="1"/>
  <c r="FQ46" i="1"/>
  <c r="EE46" i="1"/>
  <c r="EB44" i="1"/>
  <c r="DT45" i="6"/>
  <c r="DV45" i="6" s="1"/>
  <c r="EH45" i="1"/>
  <c r="ET45" i="1"/>
  <c r="EV45" i="1" s="1"/>
  <c r="DZ45" i="1"/>
  <c r="EB45" i="1" s="1"/>
  <c r="BG44" i="6"/>
  <c r="GF44" i="1"/>
  <c r="FO46" i="1"/>
  <c r="FM46" i="1"/>
  <c r="EM46" i="1"/>
  <c r="CN45" i="1"/>
  <c r="A58" i="1"/>
  <c r="AI57" i="1"/>
  <c r="AG57" i="1"/>
  <c r="AE57" i="1"/>
  <c r="AD57" i="1"/>
  <c r="AB57" i="1"/>
  <c r="AN57" i="1" s="1"/>
  <c r="Z57" i="1"/>
  <c r="AL57" i="1" s="1"/>
  <c r="AA57" i="1"/>
  <c r="AM57" i="1" s="1"/>
  <c r="AC57" i="1"/>
  <c r="AO57" i="1" s="1"/>
  <c r="Y57" i="1"/>
  <c r="AK57" i="1" s="1"/>
  <c r="X57" i="1"/>
  <c r="AJ57" i="1" s="1"/>
  <c r="AF57" i="1"/>
  <c r="AH57" i="1"/>
  <c r="D57" i="1"/>
  <c r="C57" i="1"/>
  <c r="V57" i="1" s="1"/>
  <c r="B57" i="1"/>
  <c r="DV44" i="6"/>
  <c r="O47" i="13"/>
  <c r="AN47" i="8"/>
  <c r="BP48" i="1"/>
  <c r="FL47" i="1"/>
  <c r="FJ47" i="1"/>
  <c r="GM47" i="1"/>
  <c r="GM46" i="1"/>
  <c r="AR44" i="9"/>
  <c r="AJ47" i="6"/>
  <c r="E56" i="1"/>
  <c r="BA47" i="8"/>
  <c r="AA47" i="8"/>
  <c r="P47" i="4"/>
  <c r="P46" i="4"/>
  <c r="AE46" i="8"/>
  <c r="X47" i="6"/>
  <c r="AV45" i="4"/>
  <c r="BG45" i="4"/>
  <c r="CI44" i="9"/>
  <c r="T48" i="6"/>
  <c r="X48" i="6" s="1"/>
  <c r="CR48" i="6"/>
  <c r="BQ48" i="6"/>
  <c r="BS48" i="6" s="1"/>
  <c r="DA48" i="6"/>
  <c r="DC48" i="6" s="1"/>
  <c r="CI48" i="6"/>
  <c r="CK48" i="6" s="1"/>
  <c r="AH48" i="6"/>
  <c r="AJ48" i="6" s="1"/>
  <c r="BZ48" i="6"/>
  <c r="CB48" i="6" s="1"/>
  <c r="DJ48" i="6"/>
  <c r="DL48" i="6" s="1"/>
  <c r="DU48" i="1"/>
  <c r="GD45" i="1"/>
  <c r="GF45" i="1" s="1"/>
  <c r="GP45" i="1"/>
  <c r="GR45" i="1" s="1"/>
  <c r="BX44" i="9"/>
  <c r="CE46" i="9"/>
  <c r="CG46" i="9" s="1"/>
  <c r="P46" i="9"/>
  <c r="BR46" i="9"/>
  <c r="BT46" i="9" s="1"/>
  <c r="X46" i="8"/>
  <c r="Z46" i="8" s="1"/>
  <c r="O46" i="8"/>
  <c r="Y46" i="4"/>
  <c r="AB46" i="4" s="1"/>
  <c r="O46" i="4"/>
  <c r="R46" i="4" s="1"/>
  <c r="GL46" i="1"/>
  <c r="GN46" i="1" s="1"/>
  <c r="EF45" i="1"/>
  <c r="AM47" i="6"/>
  <c r="AK193" i="23"/>
  <c r="AJ193" i="23"/>
  <c r="AI193" i="23"/>
  <c r="AH193" i="23"/>
  <c r="AG193" i="23"/>
  <c r="AY57" i="1"/>
  <c r="AV57" i="1"/>
  <c r="AZ57" i="1"/>
  <c r="AX57" i="1"/>
  <c r="BB57" i="1"/>
  <c r="AW57" i="1"/>
  <c r="O56" i="1"/>
  <c r="P56" i="1"/>
  <c r="L56" i="1"/>
  <c r="F56" i="1"/>
  <c r="I56" i="1"/>
  <c r="T56" i="1"/>
  <c r="H56" i="1"/>
  <c r="N56" i="1"/>
  <c r="J56" i="1"/>
  <c r="R56" i="1"/>
  <c r="K56" i="1"/>
  <c r="M56" i="1"/>
  <c r="S56" i="1"/>
  <c r="G56" i="1"/>
  <c r="Q56" i="1"/>
  <c r="BA57" i="1"/>
  <c r="BC57" i="1"/>
  <c r="AO46" i="4" l="1"/>
  <c r="FP45" i="1"/>
  <c r="BR45" i="4"/>
  <c r="CZ46" i="1"/>
  <c r="BV46" i="4"/>
  <c r="BK46" i="4"/>
  <c r="BN46" i="13"/>
  <c r="AZ46" i="4"/>
  <c r="EN46" i="1"/>
  <c r="AV46" i="13"/>
  <c r="BF50" i="1"/>
  <c r="BZ48" i="1" s="1"/>
  <c r="EL48" i="1" s="1"/>
  <c r="BE51" i="1"/>
  <c r="BY49" i="1" s="1"/>
  <c r="EK49" i="1" s="1"/>
  <c r="CS50" i="1"/>
  <c r="CU50" i="1" s="1"/>
  <c r="CV50" i="1" s="1"/>
  <c r="BG46" i="4"/>
  <c r="FH48" i="1"/>
  <c r="DQ50" i="1"/>
  <c r="DS50" i="1" s="1"/>
  <c r="BY48" i="1"/>
  <c r="AS48" i="13" s="1"/>
  <c r="DR49" i="1"/>
  <c r="DT49" i="1" s="1"/>
  <c r="BT47" i="4"/>
  <c r="BV47" i="4" s="1"/>
  <c r="AX47" i="4"/>
  <c r="AC47" i="13"/>
  <c r="AT47" i="13"/>
  <c r="AV47" i="13" s="1"/>
  <c r="BL47" i="13"/>
  <c r="BN47" i="13" s="1"/>
  <c r="CT49" i="1"/>
  <c r="BH49" i="1"/>
  <c r="BI47" i="4"/>
  <c r="AZ47" i="4" s="1"/>
  <c r="AM47" i="4"/>
  <c r="AO47" i="4" s="1"/>
  <c r="BK47" i="13"/>
  <c r="BM47" i="13" s="1"/>
  <c r="BH47" i="4"/>
  <c r="AY47" i="4" s="1"/>
  <c r="AO45" i="4"/>
  <c r="EK47" i="1"/>
  <c r="EM47" i="1" s="1"/>
  <c r="AL47" i="4"/>
  <c r="AN47" i="4" s="1"/>
  <c r="AW47" i="4"/>
  <c r="CA47" i="1"/>
  <c r="AS47" i="13"/>
  <c r="AU47" i="13" s="1"/>
  <c r="BS47" i="4"/>
  <c r="BU47" i="4" s="1"/>
  <c r="AB47" i="13"/>
  <c r="AE47" i="13" s="1"/>
  <c r="FX54" i="1"/>
  <c r="FV55" i="1"/>
  <c r="FX55" i="1" s="1"/>
  <c r="GG52" i="1"/>
  <c r="GI52" i="1" s="1"/>
  <c r="FU56" i="1"/>
  <c r="FW56" i="1" s="1"/>
  <c r="CA45" i="13"/>
  <c r="BZ44" i="13"/>
  <c r="BT45" i="8"/>
  <c r="BJ45" i="9"/>
  <c r="BH46" i="6"/>
  <c r="G45" i="11"/>
  <c r="Z46" i="6"/>
  <c r="AW47" i="6"/>
  <c r="BJ47" i="6"/>
  <c r="BJ46" i="6"/>
  <c r="AX46" i="6"/>
  <c r="DM47" i="6"/>
  <c r="CC47" i="6"/>
  <c r="DD47" i="6"/>
  <c r="CU47" i="6"/>
  <c r="BK52" i="1"/>
  <c r="CH46" i="9"/>
  <c r="CJ46" i="9" s="1"/>
  <c r="BF47" i="6"/>
  <c r="CD48" i="1"/>
  <c r="ED48" i="1" s="1"/>
  <c r="EJ45" i="1"/>
  <c r="AQ57" i="1"/>
  <c r="GW50" i="1"/>
  <c r="GY50" i="1" s="1"/>
  <c r="CK48" i="1"/>
  <c r="FA48" i="1" s="1"/>
  <c r="BS50" i="1"/>
  <c r="Y46" i="6"/>
  <c r="AA46" i="6" s="1"/>
  <c r="AR45" i="9"/>
  <c r="AT45" i="9" s="1"/>
  <c r="AN46" i="6"/>
  <c r="AP46" i="6" s="1"/>
  <c r="CG49" i="1"/>
  <c r="CI49" i="1" s="1"/>
  <c r="V48" i="6"/>
  <c r="BW51" i="1"/>
  <c r="DP48" i="1"/>
  <c r="AP57" i="1"/>
  <c r="W57" i="1"/>
  <c r="FL48" i="1"/>
  <c r="FJ48" i="1"/>
  <c r="AR57" i="1"/>
  <c r="BX50" i="1"/>
  <c r="FN45" i="1"/>
  <c r="AT57" i="1"/>
  <c r="F48" i="11"/>
  <c r="AF47" i="13"/>
  <c r="BT47" i="13"/>
  <c r="S47" i="13"/>
  <c r="AZ47" i="9"/>
  <c r="AL47" i="9"/>
  <c r="DT46" i="6"/>
  <c r="DV46" i="6" s="1"/>
  <c r="EH46" i="1"/>
  <c r="EJ46" i="1" s="1"/>
  <c r="ET46" i="1"/>
  <c r="EV46" i="1" s="1"/>
  <c r="DZ46" i="1"/>
  <c r="EB46" i="1" s="1"/>
  <c r="FB46" i="1"/>
  <c r="P46" i="13"/>
  <c r="R46" i="13" s="1"/>
  <c r="AO46" i="8"/>
  <c r="AQ46" i="8" s="1"/>
  <c r="EP49" i="1"/>
  <c r="ER49" i="1" s="1"/>
  <c r="DN49" i="1"/>
  <c r="DP49" i="1" s="1"/>
  <c r="DF49" i="1"/>
  <c r="FJ49" i="1" s="1"/>
  <c r="CL47" i="1"/>
  <c r="CN47" i="1" s="1"/>
  <c r="BW44" i="13"/>
  <c r="BQ49" i="9"/>
  <c r="BS49" i="9" s="1"/>
  <c r="CD49" i="9"/>
  <c r="CF49" i="9" s="1"/>
  <c r="O49" i="9"/>
  <c r="Q49" i="9" s="1"/>
  <c r="N49" i="8"/>
  <c r="P49" i="8" s="1"/>
  <c r="W49" i="8"/>
  <c r="AE49" i="8" s="1"/>
  <c r="X49" i="4"/>
  <c r="Z49" i="4" s="1"/>
  <c r="N49" i="4"/>
  <c r="P49" i="4" s="1"/>
  <c r="GK49" i="1"/>
  <c r="GM49" i="1" s="1"/>
  <c r="BA48" i="8"/>
  <c r="BC48" i="8" s="1"/>
  <c r="AA48" i="8"/>
  <c r="AC48" i="8" s="1"/>
  <c r="A59" i="1"/>
  <c r="AD58" i="1"/>
  <c r="X58" i="1"/>
  <c r="AJ58" i="1" s="1"/>
  <c r="AC58" i="1"/>
  <c r="AO58" i="1" s="1"/>
  <c r="AB58" i="1"/>
  <c r="AN58" i="1" s="1"/>
  <c r="AA58" i="1"/>
  <c r="AM58" i="1" s="1"/>
  <c r="AE58" i="1"/>
  <c r="Z58" i="1"/>
  <c r="AL58" i="1" s="1"/>
  <c r="Y58" i="1"/>
  <c r="AK58" i="1" s="1"/>
  <c r="AI58" i="1"/>
  <c r="AH58" i="1"/>
  <c r="AG58" i="1"/>
  <c r="AF58" i="1"/>
  <c r="D58" i="1"/>
  <c r="C58" i="1"/>
  <c r="W58" i="1" s="1"/>
  <c r="B58" i="1"/>
  <c r="CK45" i="9"/>
  <c r="CO45" i="9"/>
  <c r="CK44" i="9"/>
  <c r="CO44" i="9"/>
  <c r="AS57" i="1"/>
  <c r="FI49" i="1"/>
  <c r="BT47" i="6"/>
  <c r="FZ51" i="1"/>
  <c r="GB51" i="1" s="1"/>
  <c r="DB49" i="1"/>
  <c r="DD49" i="1" s="1"/>
  <c r="AN48" i="8"/>
  <c r="AP48" i="8" s="1"/>
  <c r="O48" i="13"/>
  <c r="BE47" i="8"/>
  <c r="BN47" i="8"/>
  <c r="BI47" i="6"/>
  <c r="BE47" i="6"/>
  <c r="BK47" i="6" s="1"/>
  <c r="AV47" i="6"/>
  <c r="AX47" i="6" s="1"/>
  <c r="BQ51" i="1"/>
  <c r="EW51" i="1" s="1"/>
  <c r="EY51" i="1" s="1"/>
  <c r="BR50" i="1"/>
  <c r="EX50" i="1" s="1"/>
  <c r="DE50" i="1"/>
  <c r="FI50" i="1" s="1"/>
  <c r="DM50" i="1"/>
  <c r="DO50" i="1" s="1"/>
  <c r="EO50" i="1"/>
  <c r="EQ50" i="1" s="1"/>
  <c r="FK49" i="1"/>
  <c r="GT53" i="1"/>
  <c r="GV53" i="1" s="1"/>
  <c r="GS54" i="1"/>
  <c r="GU54" i="1" s="1"/>
  <c r="BI53" i="1"/>
  <c r="CC50" i="1" s="1"/>
  <c r="CE50" i="1" s="1"/>
  <c r="BJ52" i="1"/>
  <c r="FY52" i="1"/>
  <c r="GA51" i="1"/>
  <c r="AT44" i="9"/>
  <c r="BF45" i="8"/>
  <c r="BO45" i="8"/>
  <c r="BQ45" i="8" s="1"/>
  <c r="CL48" i="9"/>
  <c r="CV49" i="1"/>
  <c r="BM51" i="1"/>
  <c r="CG50" i="1" s="1"/>
  <c r="BN50" i="1"/>
  <c r="DA50" i="1"/>
  <c r="AM48" i="6"/>
  <c r="AO48" i="6" s="1"/>
  <c r="E57" i="1"/>
  <c r="F47" i="11"/>
  <c r="Z48" i="6"/>
  <c r="AH45" i="8"/>
  <c r="AU44" i="8"/>
  <c r="Q46" i="8"/>
  <c r="BU48" i="9"/>
  <c r="BW48" i="9" s="1"/>
  <c r="AP44" i="9"/>
  <c r="GX49" i="1"/>
  <c r="ER48" i="1"/>
  <c r="AP47" i="8"/>
  <c r="AR46" i="8"/>
  <c r="AP46" i="8"/>
  <c r="AS45" i="8"/>
  <c r="AU45" i="8" s="1"/>
  <c r="X48" i="9"/>
  <c r="Z48" i="9" s="1"/>
  <c r="AG48" i="9"/>
  <c r="AI48" i="9" s="1"/>
  <c r="BH47" i="6"/>
  <c r="GV52" i="1"/>
  <c r="Q47" i="13"/>
  <c r="BT46" i="13"/>
  <c r="AF46" i="13"/>
  <c r="Q46" i="13"/>
  <c r="S46" i="13"/>
  <c r="BU45" i="13"/>
  <c r="BW45" i="13" s="1"/>
  <c r="AG45" i="13"/>
  <c r="AI45" i="13" s="1"/>
  <c r="T45" i="13"/>
  <c r="FF48" i="1"/>
  <c r="BE44" i="9"/>
  <c r="BI44" i="9"/>
  <c r="BC44" i="9"/>
  <c r="EX49" i="1"/>
  <c r="AD45" i="8"/>
  <c r="BR47" i="9"/>
  <c r="P47" i="9"/>
  <c r="R47" i="9" s="1"/>
  <c r="CE47" i="9"/>
  <c r="CG47" i="9" s="1"/>
  <c r="X47" i="8"/>
  <c r="Z47" i="8" s="1"/>
  <c r="O47" i="8"/>
  <c r="Q47" i="8" s="1"/>
  <c r="Y47" i="4"/>
  <c r="O47" i="4"/>
  <c r="R47" i="4" s="1"/>
  <c r="GL47" i="1"/>
  <c r="CF47" i="1"/>
  <c r="AU48" i="6"/>
  <c r="AW48" i="6" s="1"/>
  <c r="BD48" i="6"/>
  <c r="BF48" i="6" s="1"/>
  <c r="AG48" i="6"/>
  <c r="AK45" i="9"/>
  <c r="W47" i="6"/>
  <c r="GQ47" i="1"/>
  <c r="GQ46" i="1"/>
  <c r="CX47" i="1"/>
  <c r="BZ45" i="13"/>
  <c r="GE47" i="1"/>
  <c r="GE46" i="1"/>
  <c r="GD46" i="1"/>
  <c r="GF46" i="1" s="1"/>
  <c r="GP46" i="1"/>
  <c r="GR46" i="1" s="1"/>
  <c r="FG49" i="1"/>
  <c r="Z47" i="6"/>
  <c r="AC47" i="8"/>
  <c r="AC46" i="8"/>
  <c r="U57" i="1"/>
  <c r="EC49" i="1"/>
  <c r="EE49" i="1" s="1"/>
  <c r="FE49" i="1"/>
  <c r="CR48" i="1"/>
  <c r="EL47" i="1"/>
  <c r="ED47" i="1"/>
  <c r="CR47" i="1"/>
  <c r="BW47" i="9"/>
  <c r="BW46" i="9"/>
  <c r="BE46" i="8"/>
  <c r="BC47" i="8"/>
  <c r="BN46" i="8"/>
  <c r="BC46" i="8"/>
  <c r="AS47" i="9"/>
  <c r="AS46" i="9"/>
  <c r="AU57" i="1"/>
  <c r="DS47" i="6"/>
  <c r="EG47" i="1"/>
  <c r="DY47" i="1"/>
  <c r="ES47" i="1"/>
  <c r="CM47" i="1"/>
  <c r="FA47" i="1"/>
  <c r="AG47" i="8"/>
  <c r="AG46" i="8"/>
  <c r="BB46" i="8"/>
  <c r="BD46" i="8" s="1"/>
  <c r="AB46" i="8"/>
  <c r="AF46" i="8"/>
  <c r="AR47" i="8"/>
  <c r="DJ50" i="1"/>
  <c r="DL50" i="1" s="1"/>
  <c r="BS44" i="8"/>
  <c r="BQ44" i="8"/>
  <c r="CH47" i="9"/>
  <c r="CQ49" i="1"/>
  <c r="BV46" i="9"/>
  <c r="BX46" i="9" s="1"/>
  <c r="BK46" i="6"/>
  <c r="BH44" i="8"/>
  <c r="AE48" i="8"/>
  <c r="BA45" i="9"/>
  <c r="BC45" i="9" s="1"/>
  <c r="AN45" i="9"/>
  <c r="AP45" i="9" s="1"/>
  <c r="CS48" i="6"/>
  <c r="BR48" i="6"/>
  <c r="BT48" i="6" s="1"/>
  <c r="U48" i="6"/>
  <c r="DB48" i="6"/>
  <c r="DD48" i="6" s="1"/>
  <c r="CJ48" i="6"/>
  <c r="CL48" i="6" s="1"/>
  <c r="AI48" i="6"/>
  <c r="CA48" i="6"/>
  <c r="CC48" i="6" s="1"/>
  <c r="DK48" i="6"/>
  <c r="AH46" i="9"/>
  <c r="AK46" i="9" s="1"/>
  <c r="Y46" i="9"/>
  <c r="AA46" i="9" s="1"/>
  <c r="DV47" i="1"/>
  <c r="BU52" i="1"/>
  <c r="CO50" i="1" s="1"/>
  <c r="CQ50" i="1" s="1"/>
  <c r="DI51" i="1"/>
  <c r="DK51" i="1" s="1"/>
  <c r="BV51" i="1"/>
  <c r="CT48" i="6"/>
  <c r="Z47" i="9"/>
  <c r="Z46" i="9"/>
  <c r="AO47" i="6"/>
  <c r="BF45" i="9"/>
  <c r="CE49" i="1"/>
  <c r="GJ51" i="1"/>
  <c r="R46" i="9"/>
  <c r="CM46" i="9"/>
  <c r="CJ48" i="1"/>
  <c r="CL47" i="6"/>
  <c r="AI47" i="9"/>
  <c r="AZ46" i="9"/>
  <c r="AI46" i="9"/>
  <c r="AL46" i="9"/>
  <c r="DW48" i="1"/>
  <c r="BP49" i="1"/>
  <c r="FR45" i="1"/>
  <c r="E44" i="11"/>
  <c r="BY44" i="13"/>
  <c r="DO49" i="1"/>
  <c r="FT45" i="1"/>
  <c r="GC48" i="1"/>
  <c r="GE48" i="1" s="1"/>
  <c r="GO48" i="1"/>
  <c r="GQ48" i="1" s="1"/>
  <c r="AI44" i="13"/>
  <c r="EE48" i="1"/>
  <c r="AE193" i="23"/>
  <c r="AD193" i="23"/>
  <c r="AR192" i="23"/>
  <c r="AQ192" i="23"/>
  <c r="AP192" i="23"/>
  <c r="AO192" i="23"/>
  <c r="AN192" i="23"/>
  <c r="AW58" i="1"/>
  <c r="BC58" i="1"/>
  <c r="BA58" i="1"/>
  <c r="AX58" i="1"/>
  <c r="AY58" i="1"/>
  <c r="O57" i="1"/>
  <c r="F57" i="1"/>
  <c r="P57" i="1"/>
  <c r="H57" i="1"/>
  <c r="K57" i="1"/>
  <c r="Q57" i="1"/>
  <c r="M57" i="1"/>
  <c r="T57" i="1"/>
  <c r="J57" i="1"/>
  <c r="G57" i="1"/>
  <c r="I57" i="1"/>
  <c r="L57" i="1"/>
  <c r="S57" i="1"/>
  <c r="R57" i="1"/>
  <c r="N57" i="1"/>
  <c r="AV58" i="1"/>
  <c r="BB58" i="1"/>
  <c r="AZ58" i="1"/>
  <c r="CT50" i="1" l="1"/>
  <c r="DR50" i="1"/>
  <c r="DT50" i="1" s="1"/>
  <c r="BH49" i="4"/>
  <c r="AU49" i="4" s="1"/>
  <c r="BH50" i="1"/>
  <c r="DQ51" i="1"/>
  <c r="DS51" i="1" s="1"/>
  <c r="CW49" i="1"/>
  <c r="AW49" i="4"/>
  <c r="BS49" i="4"/>
  <c r="BQ49" i="4" s="1"/>
  <c r="AL49" i="4"/>
  <c r="AB49" i="13"/>
  <c r="AS49" i="13"/>
  <c r="AU49" i="13" s="1"/>
  <c r="BF51" i="1"/>
  <c r="BH51" i="1" s="1"/>
  <c r="BK49" i="13"/>
  <c r="BG51" i="1"/>
  <c r="CS51" i="1"/>
  <c r="CU51" i="1" s="1"/>
  <c r="CV51" i="1" s="1"/>
  <c r="BK48" i="13"/>
  <c r="BE52" i="1"/>
  <c r="BG52" i="1" s="1"/>
  <c r="EK48" i="1"/>
  <c r="EM48" i="1" s="1"/>
  <c r="CW48" i="1"/>
  <c r="CY48" i="1" s="1"/>
  <c r="CA48" i="1"/>
  <c r="CA49" i="1"/>
  <c r="BS48" i="4"/>
  <c r="AL48" i="4"/>
  <c r="AW48" i="4"/>
  <c r="BH48" i="4"/>
  <c r="AB48" i="13"/>
  <c r="BR47" i="4"/>
  <c r="BF47" i="4"/>
  <c r="AV47" i="4"/>
  <c r="BG47" i="4"/>
  <c r="AU47" i="4"/>
  <c r="BJ47" i="4"/>
  <c r="BK47" i="4"/>
  <c r="AD47" i="13"/>
  <c r="BQ47" i="4"/>
  <c r="GH52" i="1"/>
  <c r="GJ52" i="1" s="1"/>
  <c r="GG53" i="1"/>
  <c r="GI53" i="1" s="1"/>
  <c r="FV56" i="1"/>
  <c r="FX56" i="1" s="1"/>
  <c r="FU57" i="1"/>
  <c r="FW57" i="1" s="1"/>
  <c r="ES48" i="1"/>
  <c r="EU48" i="1" s="1"/>
  <c r="EG48" i="1"/>
  <c r="EI48" i="1" s="1"/>
  <c r="DY48" i="1"/>
  <c r="FQ48" i="1" s="1"/>
  <c r="DS48" i="6"/>
  <c r="DU48" i="6" s="1"/>
  <c r="DV48" i="1"/>
  <c r="AN48" i="6" s="1"/>
  <c r="BR48" i="9"/>
  <c r="BT48" i="9" s="1"/>
  <c r="CM48" i="1"/>
  <c r="P48" i="9"/>
  <c r="AH48" i="9" s="1"/>
  <c r="CF48" i="1"/>
  <c r="FH49" i="1"/>
  <c r="FF49" i="1"/>
  <c r="FK50" i="1"/>
  <c r="CN46" i="9"/>
  <c r="BG47" i="6"/>
  <c r="DA49" i="6"/>
  <c r="DC49" i="6" s="1"/>
  <c r="CI49" i="6"/>
  <c r="CK49" i="6" s="1"/>
  <c r="DH49" i="1"/>
  <c r="CE48" i="9"/>
  <c r="CG48" i="9" s="1"/>
  <c r="CR49" i="6"/>
  <c r="CT49" i="6" s="1"/>
  <c r="FL49" i="1"/>
  <c r="O48" i="8"/>
  <c r="P48" i="13" s="1"/>
  <c r="O48" i="4"/>
  <c r="R48" i="4" s="1"/>
  <c r="X48" i="8"/>
  <c r="AF48" i="8" s="1"/>
  <c r="Y48" i="4"/>
  <c r="AB48" i="4" s="1"/>
  <c r="CB48" i="1"/>
  <c r="AT48" i="13"/>
  <c r="AV48" i="13" s="1"/>
  <c r="AM48" i="4"/>
  <c r="AO48" i="4" s="1"/>
  <c r="AQ58" i="1"/>
  <c r="BT48" i="4"/>
  <c r="BV48" i="4" s="1"/>
  <c r="BI48" i="4"/>
  <c r="BK48" i="4" s="1"/>
  <c r="AX48" i="4"/>
  <c r="GL48" i="1"/>
  <c r="GN48" i="1" s="1"/>
  <c r="G46" i="11"/>
  <c r="FB47" i="1"/>
  <c r="FD47" i="1" s="1"/>
  <c r="FE50" i="1"/>
  <c r="DU49" i="1"/>
  <c r="DW49" i="1" s="1"/>
  <c r="AH49" i="6"/>
  <c r="AM49" i="6" s="1"/>
  <c r="AO49" i="6" s="1"/>
  <c r="DJ49" i="6"/>
  <c r="DL49" i="6" s="1"/>
  <c r="BQ49" i="6"/>
  <c r="BS49" i="6" s="1"/>
  <c r="T49" i="6"/>
  <c r="X49" i="6" s="1"/>
  <c r="Z49" i="6" s="1"/>
  <c r="BZ49" i="6"/>
  <c r="CB49" i="6" s="1"/>
  <c r="AQ48" i="9"/>
  <c r="AS48" i="9" s="1"/>
  <c r="AC48" i="13"/>
  <c r="AT58" i="1"/>
  <c r="GN47" i="1"/>
  <c r="CX48" i="1"/>
  <c r="CZ48" i="1" s="1"/>
  <c r="GW51" i="1"/>
  <c r="GY51" i="1" s="1"/>
  <c r="BL48" i="13"/>
  <c r="BN48" i="13" s="1"/>
  <c r="FG50" i="1"/>
  <c r="AP58" i="1"/>
  <c r="BO51" i="1"/>
  <c r="AU58" i="1"/>
  <c r="U58" i="1"/>
  <c r="BJ48" i="6"/>
  <c r="AF47" i="8"/>
  <c r="AH47" i="8" s="1"/>
  <c r="DA50" i="6"/>
  <c r="BZ50" i="6"/>
  <c r="T50" i="6"/>
  <c r="X50" i="6" s="1"/>
  <c r="CR50" i="6"/>
  <c r="CI50" i="6"/>
  <c r="AH50" i="6"/>
  <c r="AM50" i="6" s="1"/>
  <c r="BQ50" i="6"/>
  <c r="DJ50" i="6"/>
  <c r="DU50" i="1"/>
  <c r="CI50" i="1"/>
  <c r="GD47" i="1"/>
  <c r="GF47" i="1" s="1"/>
  <c r="GP47" i="1"/>
  <c r="GR47" i="1" s="1"/>
  <c r="D46" i="11"/>
  <c r="V47" i="13"/>
  <c r="U47" i="13"/>
  <c r="V46" i="13"/>
  <c r="U46" i="13"/>
  <c r="FC48" i="1"/>
  <c r="FC47" i="1"/>
  <c r="GX50" i="1"/>
  <c r="GZ50" i="1" s="1"/>
  <c r="DN50" i="1"/>
  <c r="EP50" i="1"/>
  <c r="ER50" i="1" s="1"/>
  <c r="DF50" i="1"/>
  <c r="DH50" i="1" s="1"/>
  <c r="V58" i="1"/>
  <c r="BQ52" i="1"/>
  <c r="CK50" i="1" s="1"/>
  <c r="BR51" i="1"/>
  <c r="EX51" i="1" s="1"/>
  <c r="DM51" i="1"/>
  <c r="EO51" i="1"/>
  <c r="EQ51" i="1" s="1"/>
  <c r="DE51" i="1"/>
  <c r="FK51" i="1" s="1"/>
  <c r="DG50" i="1"/>
  <c r="AS46" i="8"/>
  <c r="AU46" i="8" s="1"/>
  <c r="EN48" i="1"/>
  <c r="EN47" i="1"/>
  <c r="EU47" i="1"/>
  <c r="AO47" i="8"/>
  <c r="P47" i="13"/>
  <c r="R47" i="13" s="1"/>
  <c r="FS47" i="1"/>
  <c r="FQ47" i="1"/>
  <c r="EA47" i="1"/>
  <c r="BV47" i="13"/>
  <c r="BX46" i="13"/>
  <c r="BV46" i="13"/>
  <c r="BS51" i="1"/>
  <c r="BU46" i="13"/>
  <c r="BW46" i="13" s="1"/>
  <c r="AG46" i="13"/>
  <c r="AI46" i="13" s="1"/>
  <c r="T46" i="13"/>
  <c r="AH47" i="13"/>
  <c r="AH46" i="13"/>
  <c r="BB47" i="8"/>
  <c r="BD47" i="8" s="1"/>
  <c r="AB47" i="8"/>
  <c r="AD47" i="8" s="1"/>
  <c r="AV48" i="6"/>
  <c r="BE48" i="6"/>
  <c r="BG48" i="6" s="1"/>
  <c r="BI48" i="6"/>
  <c r="FM47" i="1"/>
  <c r="EI47" i="1"/>
  <c r="FO47" i="1"/>
  <c r="CM47" i="9"/>
  <c r="AL48" i="6"/>
  <c r="GC49" i="1"/>
  <c r="GO49" i="1"/>
  <c r="GQ49" i="1" s="1"/>
  <c r="FD46" i="1"/>
  <c r="CH48" i="9"/>
  <c r="CJ48" i="9" s="1"/>
  <c r="FT46" i="1"/>
  <c r="FR46" i="1"/>
  <c r="DU47" i="6"/>
  <c r="CZ47" i="1"/>
  <c r="AH47" i="9"/>
  <c r="AR47" i="9" s="1"/>
  <c r="Y47" i="9"/>
  <c r="AA47" i="9" s="1"/>
  <c r="DB50" i="1"/>
  <c r="DD50" i="1" s="1"/>
  <c r="DC50" i="1"/>
  <c r="BA49" i="8"/>
  <c r="BC49" i="8" s="1"/>
  <c r="AA49" i="8"/>
  <c r="AC49" i="8" s="1"/>
  <c r="FP46" i="1"/>
  <c r="FN46" i="1"/>
  <c r="EC50" i="1"/>
  <c r="EE50" i="1" s="1"/>
  <c r="BM52" i="1"/>
  <c r="BO52" i="1" s="1"/>
  <c r="BN51" i="1"/>
  <c r="CH50" i="1" s="1"/>
  <c r="DA51" i="1"/>
  <c r="DC51" i="1" s="1"/>
  <c r="BS45" i="8"/>
  <c r="BU45" i="8" s="1"/>
  <c r="AN49" i="8"/>
  <c r="O49" i="13"/>
  <c r="Q49" i="13" s="1"/>
  <c r="BR47" i="8"/>
  <c r="AG49" i="9"/>
  <c r="AQ49" i="9" s="1"/>
  <c r="X49" i="9"/>
  <c r="Z49" i="9" s="1"/>
  <c r="BB47" i="9"/>
  <c r="BD46" i="9"/>
  <c r="BB46" i="9"/>
  <c r="BH46" i="9"/>
  <c r="DJ51" i="1"/>
  <c r="DL51" i="1" s="1"/>
  <c r="EZ50" i="1"/>
  <c r="EZ49" i="1"/>
  <c r="AU48" i="13"/>
  <c r="AD46" i="8"/>
  <c r="BQ50" i="9"/>
  <c r="BS50" i="9" s="1"/>
  <c r="O50" i="9"/>
  <c r="CD50" i="9"/>
  <c r="W50" i="8"/>
  <c r="AE50" i="8" s="1"/>
  <c r="N50" i="8"/>
  <c r="P50" i="8" s="1"/>
  <c r="N50" i="4"/>
  <c r="X50" i="4"/>
  <c r="Z50" i="4" s="1"/>
  <c r="GK50" i="1"/>
  <c r="GM50" i="1" s="1"/>
  <c r="E58" i="1"/>
  <c r="A60" i="1"/>
  <c r="AI59" i="1"/>
  <c r="AG59" i="1"/>
  <c r="AA59" i="1"/>
  <c r="AM59" i="1" s="1"/>
  <c r="AF59" i="1"/>
  <c r="AE59" i="1"/>
  <c r="AD59" i="1"/>
  <c r="AC59" i="1"/>
  <c r="AO59" i="1" s="1"/>
  <c r="AB59" i="1"/>
  <c r="AN59" i="1" s="1"/>
  <c r="Y59" i="1"/>
  <c r="AK59" i="1" s="1"/>
  <c r="X59" i="1"/>
  <c r="AJ59" i="1" s="1"/>
  <c r="AH59" i="1"/>
  <c r="Z59" i="1"/>
  <c r="AL59" i="1" s="1"/>
  <c r="C59" i="1"/>
  <c r="V59" i="1" s="1"/>
  <c r="D59" i="1"/>
  <c r="B59" i="1"/>
  <c r="BV47" i="9"/>
  <c r="BX47" i="9" s="1"/>
  <c r="FZ52" i="1"/>
  <c r="GB52" i="1" s="1"/>
  <c r="CL49" i="9"/>
  <c r="BD47" i="9"/>
  <c r="BH47" i="9"/>
  <c r="BU53" i="1"/>
  <c r="BW53" i="1" s="1"/>
  <c r="DI52" i="1"/>
  <c r="BV52" i="1"/>
  <c r="BX52" i="1" s="1"/>
  <c r="BI54" i="1"/>
  <c r="CC51" i="1" s="1"/>
  <c r="BJ53" i="1"/>
  <c r="CD50" i="1" s="1"/>
  <c r="FY53" i="1"/>
  <c r="AF48" i="13"/>
  <c r="AH48" i="13" s="1"/>
  <c r="BT48" i="13"/>
  <c r="S48" i="13"/>
  <c r="V48" i="13" s="1"/>
  <c r="Y49" i="8"/>
  <c r="GA52" i="1"/>
  <c r="CI46" i="9"/>
  <c r="BW52" i="1"/>
  <c r="BE45" i="9"/>
  <c r="BG45" i="9" s="1"/>
  <c r="BI45" i="9"/>
  <c r="BK45" i="9" s="1"/>
  <c r="BU44" i="8"/>
  <c r="BK44" i="9"/>
  <c r="AZ48" i="9"/>
  <c r="BB48" i="9" s="1"/>
  <c r="AL48" i="9"/>
  <c r="AO48" i="9" s="1"/>
  <c r="CJ47" i="9"/>
  <c r="BK53" i="1"/>
  <c r="BN48" i="8"/>
  <c r="BE48" i="8"/>
  <c r="BU49" i="9"/>
  <c r="BF46" i="8"/>
  <c r="BO46" i="8"/>
  <c r="BG44" i="9"/>
  <c r="CN47" i="9"/>
  <c r="AR48" i="8"/>
  <c r="AT48" i="8" s="1"/>
  <c r="W48" i="6"/>
  <c r="BT47" i="9"/>
  <c r="BP47" i="8"/>
  <c r="BR46" i="8"/>
  <c r="BP46" i="8"/>
  <c r="GT54" i="1"/>
  <c r="GS55" i="1"/>
  <c r="GW52" i="1" s="1"/>
  <c r="CH49" i="1"/>
  <c r="D47" i="11"/>
  <c r="DM48" i="6"/>
  <c r="BX47" i="13"/>
  <c r="CP49" i="1"/>
  <c r="BG47" i="8"/>
  <c r="BG46" i="8"/>
  <c r="BH48" i="6"/>
  <c r="BP50" i="1"/>
  <c r="DT47" i="6"/>
  <c r="EH47" i="1"/>
  <c r="FP47" i="1" s="1"/>
  <c r="DZ47" i="1"/>
  <c r="EB47" i="1" s="1"/>
  <c r="ET47" i="1"/>
  <c r="EV47" i="1" s="1"/>
  <c r="AO47" i="9"/>
  <c r="AO46" i="9"/>
  <c r="AT47" i="8"/>
  <c r="AT46" i="8"/>
  <c r="AR58" i="1"/>
  <c r="CL48" i="1"/>
  <c r="CN48" i="1" s="1"/>
  <c r="Q48" i="13"/>
  <c r="AG49" i="8"/>
  <c r="AG48" i="8"/>
  <c r="BA46" i="9"/>
  <c r="BC46" i="9" s="1"/>
  <c r="AN46" i="9"/>
  <c r="E45" i="11"/>
  <c r="BY45" i="13"/>
  <c r="CD49" i="1"/>
  <c r="AS58" i="1"/>
  <c r="BH45" i="8"/>
  <c r="AB47" i="4"/>
  <c r="CK49" i="1"/>
  <c r="BL52" i="1"/>
  <c r="CU48" i="6"/>
  <c r="BX51" i="1"/>
  <c r="EF48" i="1"/>
  <c r="EF47" i="1"/>
  <c r="AR46" i="9"/>
  <c r="AH46" i="8"/>
  <c r="AN47" i="6"/>
  <c r="Y47" i="6"/>
  <c r="DX47" i="1"/>
  <c r="GZ49" i="1"/>
  <c r="BT50" i="1"/>
  <c r="AK192" i="23"/>
  <c r="AJ192" i="23"/>
  <c r="AI192" i="23"/>
  <c r="AH192" i="23"/>
  <c r="AG192" i="23"/>
  <c r="AW59" i="1"/>
  <c r="AV59" i="1"/>
  <c r="AZ59" i="1"/>
  <c r="AX59" i="1"/>
  <c r="BC59" i="1"/>
  <c r="BA59" i="1"/>
  <c r="K58" i="1"/>
  <c r="G58" i="1"/>
  <c r="H58" i="1"/>
  <c r="L58" i="1"/>
  <c r="I58" i="1"/>
  <c r="N58" i="1"/>
  <c r="T58" i="1"/>
  <c r="Q58" i="1"/>
  <c r="J58" i="1"/>
  <c r="S58" i="1"/>
  <c r="R58" i="1"/>
  <c r="O58" i="1"/>
  <c r="P58" i="1"/>
  <c r="M58" i="1"/>
  <c r="F58" i="1"/>
  <c r="BB59" i="1"/>
  <c r="AY59" i="1"/>
  <c r="FG51" i="1" l="1"/>
  <c r="BF49" i="4"/>
  <c r="AY49" i="4"/>
  <c r="FH50" i="1"/>
  <c r="BU49" i="4"/>
  <c r="CS52" i="1"/>
  <c r="CU52" i="1" s="1"/>
  <c r="CV52" i="1" s="1"/>
  <c r="BE53" i="1"/>
  <c r="BG53" i="1" s="1"/>
  <c r="AN49" i="4"/>
  <c r="AE49" i="13"/>
  <c r="BJ49" i="4"/>
  <c r="BF52" i="1"/>
  <c r="BH52" i="1" s="1"/>
  <c r="CY49" i="1"/>
  <c r="BM49" i="13"/>
  <c r="BJ48" i="4"/>
  <c r="CT51" i="1"/>
  <c r="BZ49" i="1"/>
  <c r="BL49" i="13" s="1"/>
  <c r="BN49" i="13" s="1"/>
  <c r="DR51" i="1"/>
  <c r="DT51" i="1" s="1"/>
  <c r="BM48" i="13"/>
  <c r="BY50" i="1"/>
  <c r="EK50" i="1" s="1"/>
  <c r="EM50" i="1" s="1"/>
  <c r="DQ52" i="1"/>
  <c r="DS52" i="1" s="1"/>
  <c r="EM49" i="1"/>
  <c r="AY48" i="4"/>
  <c r="BU48" i="4"/>
  <c r="BF48" i="4"/>
  <c r="AN48" i="4"/>
  <c r="BQ48" i="4"/>
  <c r="AU48" i="4"/>
  <c r="AE48" i="13"/>
  <c r="AD48" i="13"/>
  <c r="AD49" i="13"/>
  <c r="GH53" i="1"/>
  <c r="GJ53" i="1" s="1"/>
  <c r="FV57" i="1"/>
  <c r="GH54" i="1" s="1"/>
  <c r="GG54" i="1"/>
  <c r="GI54" i="1" s="1"/>
  <c r="FU58" i="1"/>
  <c r="GG55" i="1" s="1"/>
  <c r="FM48" i="1"/>
  <c r="FO48" i="1"/>
  <c r="FS48" i="1"/>
  <c r="DX48" i="1"/>
  <c r="EA48" i="1"/>
  <c r="Y48" i="6"/>
  <c r="G48" i="11" s="1"/>
  <c r="CM48" i="9"/>
  <c r="BR48" i="4"/>
  <c r="BD49" i="6"/>
  <c r="BF49" i="6" s="1"/>
  <c r="BV48" i="9"/>
  <c r="BX48" i="9" s="1"/>
  <c r="Y48" i="9"/>
  <c r="AA48" i="9" s="1"/>
  <c r="R48" i="9"/>
  <c r="DC50" i="6"/>
  <c r="CT50" i="6"/>
  <c r="BB48" i="8"/>
  <c r="BF48" i="8" s="1"/>
  <c r="GP48" i="1"/>
  <c r="GR48" i="1" s="1"/>
  <c r="GD48" i="1"/>
  <c r="GF48" i="1" s="1"/>
  <c r="AB48" i="8"/>
  <c r="AD48" i="8" s="1"/>
  <c r="AO48" i="8"/>
  <c r="AS48" i="8" s="1"/>
  <c r="Q48" i="8"/>
  <c r="CK50" i="6"/>
  <c r="Z48" i="8"/>
  <c r="AU49" i="6"/>
  <c r="AW49" i="6" s="1"/>
  <c r="F49" i="11"/>
  <c r="BS50" i="6"/>
  <c r="Z50" i="6"/>
  <c r="V50" i="6"/>
  <c r="DW50" i="1"/>
  <c r="CB50" i="6"/>
  <c r="DO51" i="1"/>
  <c r="DL50" i="6"/>
  <c r="FL50" i="1"/>
  <c r="FJ50" i="1"/>
  <c r="FE51" i="1"/>
  <c r="AZ48" i="4"/>
  <c r="AO50" i="6"/>
  <c r="AG49" i="6"/>
  <c r="V49" i="6"/>
  <c r="AV48" i="4"/>
  <c r="BG48" i="4"/>
  <c r="AJ49" i="6"/>
  <c r="AS49" i="9"/>
  <c r="AK47" i="9"/>
  <c r="AQ59" i="1"/>
  <c r="CN48" i="9"/>
  <c r="AH48" i="8"/>
  <c r="AU59" i="1"/>
  <c r="BL53" i="1"/>
  <c r="CI47" i="9"/>
  <c r="AI49" i="9"/>
  <c r="CH49" i="9"/>
  <c r="CJ49" i="9" s="1"/>
  <c r="AP59" i="1"/>
  <c r="FF50" i="1"/>
  <c r="DP50" i="1"/>
  <c r="AJ50" i="6"/>
  <c r="U59" i="1"/>
  <c r="W59" i="1"/>
  <c r="AS59" i="1"/>
  <c r="BK54" i="1"/>
  <c r="FR47" i="1"/>
  <c r="FT47" i="1"/>
  <c r="BK48" i="6"/>
  <c r="AT59" i="1"/>
  <c r="GU55" i="1"/>
  <c r="EW52" i="1"/>
  <c r="EY52" i="1" s="1"/>
  <c r="CP50" i="1"/>
  <c r="ED50" i="1" s="1"/>
  <c r="U48" i="13"/>
  <c r="BP51" i="1"/>
  <c r="DS50" i="6"/>
  <c r="DY50" i="1"/>
  <c r="FQ50" i="1" s="1"/>
  <c r="ES50" i="1"/>
  <c r="FA50" i="1"/>
  <c r="DB50" i="6"/>
  <c r="CA50" i="6"/>
  <c r="CS50" i="6"/>
  <c r="CJ50" i="6"/>
  <c r="AI50" i="6"/>
  <c r="BR50" i="6"/>
  <c r="DK50" i="6"/>
  <c r="U50" i="6"/>
  <c r="DV50" i="1"/>
  <c r="AG50" i="8"/>
  <c r="EZ51" i="1"/>
  <c r="CD51" i="9"/>
  <c r="CF51" i="9" s="1"/>
  <c r="BQ51" i="9"/>
  <c r="BS51" i="9" s="1"/>
  <c r="O51" i="9"/>
  <c r="Q51" i="9" s="1"/>
  <c r="W51" i="8"/>
  <c r="Y51" i="8" s="1"/>
  <c r="N51" i="8"/>
  <c r="N51" i="4"/>
  <c r="X51" i="4"/>
  <c r="Z51" i="4" s="1"/>
  <c r="GK51" i="1"/>
  <c r="GM51" i="1" s="1"/>
  <c r="CE51" i="1"/>
  <c r="GY52" i="1"/>
  <c r="BA48" i="9"/>
  <c r="AN48" i="9"/>
  <c r="AT47" i="9"/>
  <c r="AT46" i="9"/>
  <c r="CA47" i="13"/>
  <c r="BZ47" i="13"/>
  <c r="CA46" i="13"/>
  <c r="BZ46" i="13"/>
  <c r="U49" i="6"/>
  <c r="DB49" i="6"/>
  <c r="CA49" i="6"/>
  <c r="CS49" i="6"/>
  <c r="AI49" i="6"/>
  <c r="DK49" i="6"/>
  <c r="BR49" i="6"/>
  <c r="CJ49" i="6"/>
  <c r="CJ50" i="1"/>
  <c r="DV49" i="1"/>
  <c r="CJ49" i="1"/>
  <c r="AR59" i="1"/>
  <c r="DT48" i="6"/>
  <c r="EH48" i="1"/>
  <c r="EJ48" i="1" s="1"/>
  <c r="DZ48" i="1"/>
  <c r="EB48" i="1" s="1"/>
  <c r="ET48" i="1"/>
  <c r="EV48" i="1" s="1"/>
  <c r="FB48" i="1"/>
  <c r="BU48" i="13"/>
  <c r="AG48" i="13"/>
  <c r="T48" i="13"/>
  <c r="BU54" i="1"/>
  <c r="BW54" i="1" s="1"/>
  <c r="DI53" i="1"/>
  <c r="BV53" i="1"/>
  <c r="CP51" i="1" s="1"/>
  <c r="AN50" i="8"/>
  <c r="AP50" i="8" s="1"/>
  <c r="O50" i="13"/>
  <c r="Q50" i="13" s="1"/>
  <c r="GT55" i="1"/>
  <c r="GX52" i="1" s="1"/>
  <c r="GS56" i="1"/>
  <c r="GU56" i="1" s="1"/>
  <c r="DN51" i="1"/>
  <c r="DF51" i="1"/>
  <c r="FL51" i="1" s="1"/>
  <c r="EP51" i="1"/>
  <c r="ER51" i="1" s="1"/>
  <c r="BA50" i="8"/>
  <c r="BC50" i="8" s="1"/>
  <c r="AA50" i="8"/>
  <c r="AC50" i="8" s="1"/>
  <c r="BQ53" i="1"/>
  <c r="CK51" i="1" s="1"/>
  <c r="BR52" i="1"/>
  <c r="BT52" i="1" s="1"/>
  <c r="DE52" i="1"/>
  <c r="DG52" i="1" s="1"/>
  <c r="DM52" i="1"/>
  <c r="EO52" i="1"/>
  <c r="BJ47" i="9"/>
  <c r="BJ46" i="9"/>
  <c r="BS52" i="1"/>
  <c r="BS46" i="8"/>
  <c r="BU46" i="8" s="1"/>
  <c r="G47" i="11"/>
  <c r="AA47" i="6"/>
  <c r="CI48" i="9"/>
  <c r="AP46" i="9"/>
  <c r="F50" i="11"/>
  <c r="CL50" i="9"/>
  <c r="BF47" i="9"/>
  <c r="BF46" i="9"/>
  <c r="R48" i="13"/>
  <c r="BU47" i="13"/>
  <c r="AG47" i="13"/>
  <c r="T47" i="13"/>
  <c r="DV47" i="6"/>
  <c r="EJ47" i="1"/>
  <c r="AR48" i="9"/>
  <c r="AT48" i="9" s="1"/>
  <c r="AG50" i="9"/>
  <c r="AI50" i="9" s="1"/>
  <c r="X50" i="9"/>
  <c r="Z50" i="9" s="1"/>
  <c r="BH46" i="8"/>
  <c r="AS47" i="8"/>
  <c r="CO46" i="9"/>
  <c r="CK46" i="9"/>
  <c r="CE49" i="9"/>
  <c r="BR49" i="9"/>
  <c r="P49" i="9"/>
  <c r="O49" i="8"/>
  <c r="X49" i="8"/>
  <c r="AF49" i="8" s="1"/>
  <c r="Y49" i="4"/>
  <c r="O49" i="4"/>
  <c r="CF50" i="1"/>
  <c r="GL49" i="1"/>
  <c r="CF49" i="1"/>
  <c r="ED49" i="1"/>
  <c r="CR49" i="1"/>
  <c r="D48" i="11"/>
  <c r="CF50" i="9"/>
  <c r="BU50" i="9"/>
  <c r="BW50" i="9" s="1"/>
  <c r="AF49" i="13"/>
  <c r="AH49" i="13" s="1"/>
  <c r="BT49" i="13"/>
  <c r="BV49" i="13" s="1"/>
  <c r="S49" i="13"/>
  <c r="V49" i="13" s="1"/>
  <c r="Y50" i="8"/>
  <c r="BF47" i="8"/>
  <c r="BH47" i="8" s="1"/>
  <c r="BO47" i="8"/>
  <c r="BN49" i="8"/>
  <c r="BP49" i="8" s="1"/>
  <c r="BE49" i="8"/>
  <c r="BG49" i="8" s="1"/>
  <c r="DG51" i="1"/>
  <c r="AR49" i="8"/>
  <c r="AT49" i="8" s="1"/>
  <c r="BR48" i="8"/>
  <c r="BT48" i="8" s="1"/>
  <c r="BX48" i="13"/>
  <c r="BZ48" i="13" s="1"/>
  <c r="BT47" i="8"/>
  <c r="BT46" i="8"/>
  <c r="DS49" i="6"/>
  <c r="CM50" i="1"/>
  <c r="EG49" i="1"/>
  <c r="ES49" i="1"/>
  <c r="DY49" i="1"/>
  <c r="CM49" i="1"/>
  <c r="FA49" i="1"/>
  <c r="BV48" i="13"/>
  <c r="BR50" i="9"/>
  <c r="P50" i="9"/>
  <c r="CE50" i="9"/>
  <c r="O50" i="8"/>
  <c r="X50" i="8"/>
  <c r="O50" i="4"/>
  <c r="Y50" i="4"/>
  <c r="GL50" i="1"/>
  <c r="BQ46" i="8"/>
  <c r="BD50" i="6"/>
  <c r="AU50" i="6"/>
  <c r="AG50" i="6"/>
  <c r="AP48" i="6"/>
  <c r="AP47" i="6"/>
  <c r="BW49" i="9"/>
  <c r="CG51" i="1"/>
  <c r="E46" i="11"/>
  <c r="BY46" i="13"/>
  <c r="FN47" i="1"/>
  <c r="FZ53" i="1"/>
  <c r="GB53" i="1" s="1"/>
  <c r="AZ49" i="9"/>
  <c r="BB49" i="9" s="1"/>
  <c r="AL49" i="9"/>
  <c r="AO49" i="9" s="1"/>
  <c r="CL49" i="1"/>
  <c r="CN49" i="1" s="1"/>
  <c r="E59" i="1"/>
  <c r="A61" i="1"/>
  <c r="AC60" i="1"/>
  <c r="AO60" i="1" s="1"/>
  <c r="AE60" i="1"/>
  <c r="Z60" i="1"/>
  <c r="AL60" i="1" s="1"/>
  <c r="Y60" i="1"/>
  <c r="AK60" i="1" s="1"/>
  <c r="X60" i="1"/>
  <c r="AJ60" i="1" s="1"/>
  <c r="AI60" i="1"/>
  <c r="AH60" i="1"/>
  <c r="AF60" i="1"/>
  <c r="AD60" i="1"/>
  <c r="AG60" i="1"/>
  <c r="AB60" i="1"/>
  <c r="AN60" i="1" s="1"/>
  <c r="AA60" i="1"/>
  <c r="AM60" i="1" s="1"/>
  <c r="C60" i="1"/>
  <c r="U60" i="1" s="1"/>
  <c r="D60" i="1"/>
  <c r="B60" i="1"/>
  <c r="Q50" i="9"/>
  <c r="DB51" i="1"/>
  <c r="DD51" i="1" s="1"/>
  <c r="BE46" i="9"/>
  <c r="BI46" i="9"/>
  <c r="BK46" i="9" s="1"/>
  <c r="GX51" i="1"/>
  <c r="BG48" i="8"/>
  <c r="FI51" i="1"/>
  <c r="BP48" i="8"/>
  <c r="AK48" i="9"/>
  <c r="BA47" i="9"/>
  <c r="BC47" i="9" s="1"/>
  <c r="AN47" i="9"/>
  <c r="P50" i="4"/>
  <c r="BD48" i="9"/>
  <c r="BH48" i="9"/>
  <c r="BJ48" i="9" s="1"/>
  <c r="BI55" i="1"/>
  <c r="BK55" i="1" s="1"/>
  <c r="BJ54" i="1"/>
  <c r="BL54" i="1" s="1"/>
  <c r="FY54" i="1"/>
  <c r="GA54" i="1" s="1"/>
  <c r="BM53" i="1"/>
  <c r="BO53" i="1" s="1"/>
  <c r="BN52" i="1"/>
  <c r="DA52" i="1"/>
  <c r="DC52" i="1" s="1"/>
  <c r="GV54" i="1"/>
  <c r="CO51" i="1"/>
  <c r="GA53" i="1"/>
  <c r="BT51" i="1"/>
  <c r="AP49" i="8"/>
  <c r="DJ52" i="1"/>
  <c r="DK52" i="1"/>
  <c r="AX48" i="6"/>
  <c r="AQ47" i="8"/>
  <c r="GC50" i="1"/>
  <c r="GO50" i="1"/>
  <c r="GE49" i="1"/>
  <c r="AE192" i="23"/>
  <c r="AD192" i="23"/>
  <c r="AR191" i="23"/>
  <c r="AQ191" i="23"/>
  <c r="AP191" i="23"/>
  <c r="AO191" i="23"/>
  <c r="AN191" i="23"/>
  <c r="AY60" i="1"/>
  <c r="AX60" i="1"/>
  <c r="BC60" i="1"/>
  <c r="BB60" i="1"/>
  <c r="AZ60" i="1"/>
  <c r="O59" i="1"/>
  <c r="R59" i="1"/>
  <c r="L59" i="1"/>
  <c r="F59" i="1"/>
  <c r="P59" i="1"/>
  <c r="K59" i="1"/>
  <c r="M59" i="1"/>
  <c r="I59" i="1"/>
  <c r="H59" i="1"/>
  <c r="G59" i="1"/>
  <c r="S59" i="1"/>
  <c r="J59" i="1"/>
  <c r="N59" i="1"/>
  <c r="T59" i="1"/>
  <c r="Q59" i="1"/>
  <c r="AW60" i="1"/>
  <c r="BA60" i="1"/>
  <c r="AV60" i="1"/>
  <c r="DQ53" i="1" l="1"/>
  <c r="DS53" i="1" s="1"/>
  <c r="BF53" i="1"/>
  <c r="DR53" i="1" s="1"/>
  <c r="CS53" i="1"/>
  <c r="CU53" i="1" s="1"/>
  <c r="CV53" i="1" s="1"/>
  <c r="BE54" i="1"/>
  <c r="BY52" i="1" s="1"/>
  <c r="BK52" i="13" s="1"/>
  <c r="EL49" i="1"/>
  <c r="EN49" i="1" s="1"/>
  <c r="BH50" i="4"/>
  <c r="AU50" i="4" s="1"/>
  <c r="CA50" i="1"/>
  <c r="CW50" i="1"/>
  <c r="CY50" i="1" s="1"/>
  <c r="AL50" i="4"/>
  <c r="AN50" i="4" s="1"/>
  <c r="BS50" i="4"/>
  <c r="BU50" i="4" s="1"/>
  <c r="BK50" i="13"/>
  <c r="BM50" i="13" s="1"/>
  <c r="BY51" i="1"/>
  <c r="BK51" i="13" s="1"/>
  <c r="AC49" i="13"/>
  <c r="BI49" i="4"/>
  <c r="BG49" i="4" s="1"/>
  <c r="AM49" i="4"/>
  <c r="AO49" i="4" s="1"/>
  <c r="BT49" i="4"/>
  <c r="BV49" i="4" s="1"/>
  <c r="AT49" i="13"/>
  <c r="AV49" i="13" s="1"/>
  <c r="AX49" i="4"/>
  <c r="CB49" i="1"/>
  <c r="DR52" i="1"/>
  <c r="DT52" i="1" s="1"/>
  <c r="BZ50" i="1"/>
  <c r="CX50" i="1" s="1"/>
  <c r="CT52" i="1"/>
  <c r="AW50" i="4"/>
  <c r="AB50" i="13"/>
  <c r="AD50" i="13" s="1"/>
  <c r="AS50" i="13"/>
  <c r="AU50" i="13" s="1"/>
  <c r="CX49" i="1"/>
  <c r="CZ49" i="1" s="1"/>
  <c r="FH51" i="1"/>
  <c r="EG50" i="1"/>
  <c r="FM50" i="1" s="1"/>
  <c r="FE52" i="1"/>
  <c r="FX57" i="1"/>
  <c r="GJ54" i="1"/>
  <c r="FV58" i="1"/>
  <c r="FX58" i="1" s="1"/>
  <c r="GI55" i="1"/>
  <c r="FW58" i="1"/>
  <c r="FU59" i="1"/>
  <c r="FW59" i="1" s="1"/>
  <c r="AA48" i="6"/>
  <c r="BO48" i="8"/>
  <c r="BQ48" i="8" s="1"/>
  <c r="BH49" i="6"/>
  <c r="AQ48" i="8"/>
  <c r="BF50" i="6"/>
  <c r="BD48" i="8"/>
  <c r="BJ49" i="6"/>
  <c r="AW50" i="6"/>
  <c r="CN49" i="9"/>
  <c r="EX52" i="1"/>
  <c r="EZ52" i="1" s="1"/>
  <c r="DH51" i="1"/>
  <c r="AQ50" i="9"/>
  <c r="AS50" i="9" s="1"/>
  <c r="AP48" i="9"/>
  <c r="CO48" i="9"/>
  <c r="DP51" i="1"/>
  <c r="CK47" i="9"/>
  <c r="CO47" i="9"/>
  <c r="AS60" i="1"/>
  <c r="CK48" i="9"/>
  <c r="FS50" i="1"/>
  <c r="CC52" i="1"/>
  <c r="BQ52" i="9" s="1"/>
  <c r="BS52" i="9" s="1"/>
  <c r="BX53" i="1"/>
  <c r="BW48" i="13"/>
  <c r="AQ60" i="1"/>
  <c r="AT60" i="1"/>
  <c r="DO52" i="1"/>
  <c r="AU48" i="8"/>
  <c r="AR60" i="1"/>
  <c r="AU60" i="1"/>
  <c r="CA48" i="13"/>
  <c r="CR50" i="1"/>
  <c r="AU47" i="8"/>
  <c r="AP60" i="1"/>
  <c r="AI48" i="13"/>
  <c r="GZ52" i="1"/>
  <c r="BW47" i="13"/>
  <c r="GW53" i="1"/>
  <c r="GY53" i="1" s="1"/>
  <c r="U49" i="13"/>
  <c r="W60" i="1"/>
  <c r="FK52" i="1"/>
  <c r="DS51" i="6"/>
  <c r="DU51" i="6" s="1"/>
  <c r="ES51" i="1"/>
  <c r="EU51" i="1" s="1"/>
  <c r="DY51" i="1"/>
  <c r="EA51" i="1" s="1"/>
  <c r="CM51" i="1"/>
  <c r="CG50" i="9"/>
  <c r="CM49" i="9"/>
  <c r="CG49" i="9"/>
  <c r="BB50" i="8"/>
  <c r="AB50" i="8"/>
  <c r="AO50" i="8"/>
  <c r="P50" i="13"/>
  <c r="BR49" i="8"/>
  <c r="BT49" i="8" s="1"/>
  <c r="EW53" i="1"/>
  <c r="Y49" i="6"/>
  <c r="AN49" i="6"/>
  <c r="DX50" i="1"/>
  <c r="DX49" i="1"/>
  <c r="E47" i="11"/>
  <c r="BY47" i="13"/>
  <c r="DJ53" i="1"/>
  <c r="DL53" i="1" s="1"/>
  <c r="CM50" i="9"/>
  <c r="EF50" i="1"/>
  <c r="EF49" i="1"/>
  <c r="CL50" i="6"/>
  <c r="CL49" i="6"/>
  <c r="DB52" i="1"/>
  <c r="DD52" i="1" s="1"/>
  <c r="BM54" i="1"/>
  <c r="CG53" i="1" s="1"/>
  <c r="BN53" i="1"/>
  <c r="DA53" i="1"/>
  <c r="DC53" i="1" s="1"/>
  <c r="FB49" i="1"/>
  <c r="FD49" i="1" s="1"/>
  <c r="BU55" i="1"/>
  <c r="BW55" i="1" s="1"/>
  <c r="DI54" i="1"/>
  <c r="BV54" i="1"/>
  <c r="BT50" i="6"/>
  <c r="BT49" i="6"/>
  <c r="Y50" i="6"/>
  <c r="AN50" i="6"/>
  <c r="AH50" i="9"/>
  <c r="AR50" i="9" s="1"/>
  <c r="Y50" i="9"/>
  <c r="DM50" i="6"/>
  <c r="DM49" i="6"/>
  <c r="E48" i="11"/>
  <c r="BY48" i="13"/>
  <c r="AV49" i="6"/>
  <c r="BI49" i="6"/>
  <c r="BE49" i="6"/>
  <c r="AL50" i="6"/>
  <c r="AL49" i="6"/>
  <c r="CU50" i="6"/>
  <c r="CU49" i="6"/>
  <c r="CR51" i="1"/>
  <c r="BI56" i="1"/>
  <c r="CC53" i="1" s="1"/>
  <c r="BJ55" i="1"/>
  <c r="FY55" i="1"/>
  <c r="CH51" i="1"/>
  <c r="CC50" i="6"/>
  <c r="CC49" i="6"/>
  <c r="AF50" i="8"/>
  <c r="BV50" i="9"/>
  <c r="DD50" i="6"/>
  <c r="DD49" i="6"/>
  <c r="FG52" i="1"/>
  <c r="BE50" i="6"/>
  <c r="AV50" i="6"/>
  <c r="BI50" i="6"/>
  <c r="BJ50" i="6"/>
  <c r="BP52" i="1"/>
  <c r="FC50" i="1"/>
  <c r="FC49" i="1"/>
  <c r="BS47" i="8"/>
  <c r="BU47" i="8" s="1"/>
  <c r="AZ50" i="9"/>
  <c r="BB50" i="9" s="1"/>
  <c r="AL50" i="9"/>
  <c r="CH50" i="9"/>
  <c r="FD48" i="1"/>
  <c r="W50" i="6"/>
  <c r="W49" i="6"/>
  <c r="GT56" i="1"/>
  <c r="GV56" i="1" s="1"/>
  <c r="GS57" i="1"/>
  <c r="GU57" i="1" s="1"/>
  <c r="GC51" i="1"/>
  <c r="GE51" i="1" s="1"/>
  <c r="GO51" i="1"/>
  <c r="DJ51" i="6"/>
  <c r="CI51" i="6"/>
  <c r="AH51" i="6"/>
  <c r="BQ51" i="6"/>
  <c r="T51" i="6"/>
  <c r="DA51" i="6"/>
  <c r="CR51" i="6"/>
  <c r="BZ51" i="6"/>
  <c r="DU51" i="1"/>
  <c r="CI51" i="1"/>
  <c r="E60" i="1"/>
  <c r="A62" i="1"/>
  <c r="AI61" i="1"/>
  <c r="AE61" i="1"/>
  <c r="AH61" i="1"/>
  <c r="AG61" i="1"/>
  <c r="AF61" i="1"/>
  <c r="AC61" i="1"/>
  <c r="AO61" i="1" s="1"/>
  <c r="AB61" i="1"/>
  <c r="AN61" i="1" s="1"/>
  <c r="AA61" i="1"/>
  <c r="AM61" i="1" s="1"/>
  <c r="AD61" i="1"/>
  <c r="Z61" i="1"/>
  <c r="AL61" i="1" s="1"/>
  <c r="Y61" i="1"/>
  <c r="AK61" i="1" s="1"/>
  <c r="X61" i="1"/>
  <c r="AJ61" i="1" s="1"/>
  <c r="C61" i="1"/>
  <c r="U61" i="1" s="1"/>
  <c r="D61" i="1"/>
  <c r="B61" i="1"/>
  <c r="EA50" i="1"/>
  <c r="EA49" i="1"/>
  <c r="FQ49" i="1"/>
  <c r="FS49" i="1"/>
  <c r="BH48" i="8"/>
  <c r="FT48" i="1"/>
  <c r="FR48" i="1"/>
  <c r="FF51" i="1"/>
  <c r="FZ54" i="1"/>
  <c r="GB54" i="1" s="1"/>
  <c r="AH49" i="8"/>
  <c r="EU50" i="1"/>
  <c r="EU49" i="1"/>
  <c r="GQ50" i="1"/>
  <c r="GN50" i="1"/>
  <c r="GN49" i="1"/>
  <c r="DN52" i="1"/>
  <c r="DF52" i="1"/>
  <c r="FL52" i="1" s="1"/>
  <c r="EP52" i="1"/>
  <c r="ER52" i="1" s="1"/>
  <c r="FP48" i="1"/>
  <c r="FN48" i="1"/>
  <c r="FO49" i="1"/>
  <c r="FM49" i="1"/>
  <c r="EI49" i="1"/>
  <c r="BQ54" i="1"/>
  <c r="CK52" i="1" s="1"/>
  <c r="BR53" i="1"/>
  <c r="DM53" i="1"/>
  <c r="DO53" i="1" s="1"/>
  <c r="DE53" i="1"/>
  <c r="EO53" i="1"/>
  <c r="EQ53" i="1" s="1"/>
  <c r="AP47" i="9"/>
  <c r="DT49" i="6"/>
  <c r="DZ49" i="1"/>
  <c r="FR49" i="1" s="1"/>
  <c r="EH49" i="1"/>
  <c r="ET49" i="1"/>
  <c r="EV49" i="1" s="1"/>
  <c r="BH50" i="6"/>
  <c r="D49" i="11"/>
  <c r="R50" i="4"/>
  <c r="R49" i="4"/>
  <c r="BQ47" i="8"/>
  <c r="BS53" i="1"/>
  <c r="P51" i="4"/>
  <c r="AN51" i="8"/>
  <c r="AP51" i="8" s="1"/>
  <c r="O51" i="13"/>
  <c r="Q51" i="13" s="1"/>
  <c r="BC48" i="9"/>
  <c r="BE47" i="9"/>
  <c r="BG47" i="9" s="1"/>
  <c r="BI47" i="9"/>
  <c r="BK47" i="9" s="1"/>
  <c r="V60" i="1"/>
  <c r="AI47" i="13"/>
  <c r="DU50" i="6"/>
  <c r="DU49" i="6"/>
  <c r="FI52" i="1"/>
  <c r="BE48" i="9"/>
  <c r="BI48" i="9"/>
  <c r="BA51" i="8"/>
  <c r="BC51" i="8" s="1"/>
  <c r="AA51" i="8"/>
  <c r="AC51" i="8" s="1"/>
  <c r="BX49" i="13"/>
  <c r="CA49" i="13" s="1"/>
  <c r="AB50" i="4"/>
  <c r="GD49" i="1"/>
  <c r="GP49" i="1"/>
  <c r="AB49" i="4"/>
  <c r="BN50" i="8"/>
  <c r="BE50" i="8"/>
  <c r="BG50" i="8" s="1"/>
  <c r="BB49" i="8"/>
  <c r="Z50" i="8"/>
  <c r="AB49" i="8"/>
  <c r="Z49" i="8"/>
  <c r="EQ52" i="1"/>
  <c r="DK53" i="1"/>
  <c r="AO49" i="8"/>
  <c r="Q50" i="8"/>
  <c r="P49" i="13"/>
  <c r="Q49" i="8"/>
  <c r="AG51" i="9"/>
  <c r="AI51" i="9" s="1"/>
  <c r="X51" i="9"/>
  <c r="R50" i="9"/>
  <c r="AH49" i="9"/>
  <c r="Y49" i="9"/>
  <c r="R49" i="9"/>
  <c r="AF50" i="13"/>
  <c r="AH50" i="13" s="1"/>
  <c r="BT50" i="13"/>
  <c r="S50" i="13"/>
  <c r="FJ51" i="1"/>
  <c r="DV48" i="6"/>
  <c r="BD49" i="9"/>
  <c r="BF49" i="9" s="1"/>
  <c r="BH49" i="9"/>
  <c r="BJ49" i="9" s="1"/>
  <c r="GD50" i="1"/>
  <c r="GP50" i="1"/>
  <c r="BT50" i="9"/>
  <c r="BV49" i="9"/>
  <c r="BT49" i="9"/>
  <c r="BF48" i="9"/>
  <c r="P51" i="8"/>
  <c r="DL52" i="1"/>
  <c r="BU51" i="9"/>
  <c r="BW51" i="9" s="1"/>
  <c r="GE50" i="1"/>
  <c r="AR50" i="8"/>
  <c r="AT50" i="8" s="1"/>
  <c r="AE51" i="8"/>
  <c r="EC51" i="1"/>
  <c r="FA51" i="1"/>
  <c r="CQ51" i="1"/>
  <c r="GZ51" i="1"/>
  <c r="CG52" i="1"/>
  <c r="CD51" i="1"/>
  <c r="ED51" i="1" s="1"/>
  <c r="GV55" i="1"/>
  <c r="CL50" i="1"/>
  <c r="CN50" i="1" s="1"/>
  <c r="CO52" i="1"/>
  <c r="BG46" i="9"/>
  <c r="CL51" i="9"/>
  <c r="AK191" i="23"/>
  <c r="AJ191" i="23"/>
  <c r="AI191" i="23"/>
  <c r="AH191" i="23"/>
  <c r="AG191" i="23"/>
  <c r="AV61" i="1"/>
  <c r="AY61" i="1"/>
  <c r="BB61" i="1"/>
  <c r="AX61" i="1"/>
  <c r="BC61" i="1"/>
  <c r="AZ61" i="1"/>
  <c r="BA61" i="1"/>
  <c r="AW61" i="1"/>
  <c r="T60" i="1"/>
  <c r="J60" i="1"/>
  <c r="K60" i="1"/>
  <c r="M60" i="1"/>
  <c r="Q60" i="1"/>
  <c r="L60" i="1"/>
  <c r="S60" i="1"/>
  <c r="O60" i="1"/>
  <c r="H60" i="1"/>
  <c r="P60" i="1"/>
  <c r="R60" i="1"/>
  <c r="I60" i="1"/>
  <c r="F60" i="1"/>
  <c r="G60" i="1"/>
  <c r="N60" i="1"/>
  <c r="BH53" i="1" l="1"/>
  <c r="BG54" i="1"/>
  <c r="CT53" i="1"/>
  <c r="BE55" i="1"/>
  <c r="BY53" i="1" s="1"/>
  <c r="BS53" i="4" s="1"/>
  <c r="DQ54" i="1"/>
  <c r="DS54" i="1" s="1"/>
  <c r="AB52" i="13"/>
  <c r="BH52" i="4"/>
  <c r="BF52" i="4" s="1"/>
  <c r="BS52" i="4"/>
  <c r="BQ52" i="4" s="1"/>
  <c r="AS52" i="13"/>
  <c r="BZ51" i="1"/>
  <c r="EL51" i="1" s="1"/>
  <c r="AL52" i="4"/>
  <c r="AW52" i="4"/>
  <c r="CS54" i="1"/>
  <c r="CU54" i="1" s="1"/>
  <c r="CV54" i="1" s="1"/>
  <c r="BF54" i="1"/>
  <c r="BH54" i="1" s="1"/>
  <c r="AY50" i="4"/>
  <c r="BJ50" i="4"/>
  <c r="BQ50" i="4"/>
  <c r="BF50" i="4"/>
  <c r="FP49" i="1"/>
  <c r="EK51" i="1"/>
  <c r="EM51" i="1" s="1"/>
  <c r="BH51" i="4"/>
  <c r="BJ51" i="4" s="1"/>
  <c r="BM52" i="13"/>
  <c r="EG51" i="1"/>
  <c r="EI51" i="1" s="1"/>
  <c r="CA51" i="1"/>
  <c r="AS51" i="13"/>
  <c r="AB51" i="13"/>
  <c r="AE51" i="13" s="1"/>
  <c r="BS51" i="4"/>
  <c r="BQ51" i="4" s="1"/>
  <c r="AW51" i="4"/>
  <c r="AL51" i="4"/>
  <c r="AN51" i="4" s="1"/>
  <c r="AX50" i="4"/>
  <c r="BM51" i="13"/>
  <c r="BI50" i="4"/>
  <c r="BG50" i="4" s="1"/>
  <c r="AM50" i="4"/>
  <c r="AO50" i="4" s="1"/>
  <c r="CW51" i="1"/>
  <c r="CY51" i="1" s="1"/>
  <c r="AC50" i="13"/>
  <c r="CA52" i="1"/>
  <c r="AV49" i="4"/>
  <c r="AZ49" i="4"/>
  <c r="AT50" i="13"/>
  <c r="AV50" i="13" s="1"/>
  <c r="BL50" i="13"/>
  <c r="BN50" i="13" s="1"/>
  <c r="EL50" i="1"/>
  <c r="EN50" i="1" s="1"/>
  <c r="AE50" i="13"/>
  <c r="BR49" i="4"/>
  <c r="BK49" i="4"/>
  <c r="BT50" i="4"/>
  <c r="BV50" i="4" s="1"/>
  <c r="CB50" i="1"/>
  <c r="DT53" i="1"/>
  <c r="FF52" i="1"/>
  <c r="EI50" i="1"/>
  <c r="CZ50" i="1"/>
  <c r="FO50" i="1"/>
  <c r="GH55" i="1"/>
  <c r="GJ55" i="1" s="1"/>
  <c r="FV59" i="1"/>
  <c r="FX59" i="1" s="1"/>
  <c r="GG56" i="1"/>
  <c r="GI56" i="1" s="1"/>
  <c r="FU60" i="1"/>
  <c r="FW60" i="1" s="1"/>
  <c r="BS48" i="8"/>
  <c r="BU48" i="8" s="1"/>
  <c r="CW52" i="1"/>
  <c r="N52" i="4"/>
  <c r="P52" i="4" s="1"/>
  <c r="CE52" i="1"/>
  <c r="X52" i="4"/>
  <c r="Z52" i="4" s="1"/>
  <c r="O52" i="9"/>
  <c r="Q52" i="9" s="1"/>
  <c r="W52" i="8"/>
  <c r="AE52" i="8" s="1"/>
  <c r="AG52" i="8" s="1"/>
  <c r="CE53" i="1"/>
  <c r="GK52" i="1"/>
  <c r="GM52" i="1" s="1"/>
  <c r="N52" i="8"/>
  <c r="P52" i="8" s="1"/>
  <c r="CD52" i="9"/>
  <c r="CF52" i="9" s="1"/>
  <c r="AP61" i="1"/>
  <c r="BK56" i="1"/>
  <c r="CO53" i="1"/>
  <c r="AQ61" i="1"/>
  <c r="GW54" i="1"/>
  <c r="GY54" i="1" s="1"/>
  <c r="AS61" i="1"/>
  <c r="AT61" i="1"/>
  <c r="BZ49" i="13"/>
  <c r="V61" i="1"/>
  <c r="W61" i="1"/>
  <c r="FH52" i="1"/>
  <c r="FJ52" i="1"/>
  <c r="AU61" i="1"/>
  <c r="GX53" i="1"/>
  <c r="GZ53" i="1" s="1"/>
  <c r="BG48" i="9"/>
  <c r="EB49" i="1"/>
  <c r="T53" i="6"/>
  <c r="X53" i="6" s="1"/>
  <c r="CR53" i="6"/>
  <c r="BQ53" i="6"/>
  <c r="CI53" i="6"/>
  <c r="DJ53" i="6"/>
  <c r="DA53" i="6"/>
  <c r="AH53" i="6"/>
  <c r="AM53" i="6" s="1"/>
  <c r="BZ53" i="6"/>
  <c r="DU53" i="1"/>
  <c r="DS52" i="6"/>
  <c r="DU52" i="6" s="1"/>
  <c r="EG52" i="1"/>
  <c r="ES52" i="1"/>
  <c r="EU52" i="1" s="1"/>
  <c r="DY52" i="1"/>
  <c r="EA52" i="1" s="1"/>
  <c r="CM52" i="1"/>
  <c r="EF51" i="1"/>
  <c r="CI52" i="6"/>
  <c r="CK52" i="6" s="1"/>
  <c r="DJ52" i="6"/>
  <c r="DL52" i="6" s="1"/>
  <c r="T52" i="6"/>
  <c r="V52" i="6" s="1"/>
  <c r="CR52" i="6"/>
  <c r="CT52" i="6" s="1"/>
  <c r="AH52" i="6"/>
  <c r="AJ52" i="6" s="1"/>
  <c r="BZ52" i="6"/>
  <c r="CB52" i="6" s="1"/>
  <c r="BQ52" i="6"/>
  <c r="BS52" i="6" s="1"/>
  <c r="DA52" i="6"/>
  <c r="DC52" i="6" s="1"/>
  <c r="CI53" i="1"/>
  <c r="DU52" i="1"/>
  <c r="AR61" i="1"/>
  <c r="BG50" i="6"/>
  <c r="BK50" i="6"/>
  <c r="BG49" i="6"/>
  <c r="BK49" i="6"/>
  <c r="BA49" i="9"/>
  <c r="AK50" i="9"/>
  <c r="AN49" i="9"/>
  <c r="AK49" i="9"/>
  <c r="D50" i="11"/>
  <c r="AA50" i="9"/>
  <c r="AA49" i="9"/>
  <c r="AD50" i="8"/>
  <c r="AD49" i="8"/>
  <c r="BE51" i="8"/>
  <c r="BG51" i="8" s="1"/>
  <c r="BN51" i="8"/>
  <c r="BP51" i="8" s="1"/>
  <c r="BA50" i="9"/>
  <c r="AN50" i="9"/>
  <c r="AX50" i="6"/>
  <c r="AX49" i="6"/>
  <c r="BD50" i="8"/>
  <c r="BF49" i="8"/>
  <c r="BO49" i="8"/>
  <c r="BD49" i="8"/>
  <c r="DV49" i="6"/>
  <c r="DG53" i="1"/>
  <c r="CJ50" i="9"/>
  <c r="CN50" i="9"/>
  <c r="DJ54" i="1"/>
  <c r="DL54" i="1" s="1"/>
  <c r="DN53" i="1"/>
  <c r="DP53" i="1" s="1"/>
  <c r="EP53" i="1"/>
  <c r="ER53" i="1" s="1"/>
  <c r="DF53" i="1"/>
  <c r="FJ53" i="1" s="1"/>
  <c r="BQ55" i="1"/>
  <c r="CK53" i="1" s="1"/>
  <c r="BR54" i="1"/>
  <c r="EX54" i="1" s="1"/>
  <c r="DM54" i="1"/>
  <c r="DE54" i="1"/>
  <c r="FI54" i="1" s="1"/>
  <c r="EO54" i="1"/>
  <c r="EQ54" i="1" s="1"/>
  <c r="AQ51" i="9"/>
  <c r="BD50" i="9"/>
  <c r="BH50" i="9"/>
  <c r="BJ50" i="9" s="1"/>
  <c r="EW54" i="1"/>
  <c r="EY54" i="1" s="1"/>
  <c r="FI53" i="1"/>
  <c r="BS54" i="1"/>
  <c r="BU56" i="1"/>
  <c r="BW56" i="1" s="1"/>
  <c r="DI55" i="1"/>
  <c r="DK55" i="1" s="1"/>
  <c r="BV55" i="1"/>
  <c r="BX55" i="1" s="1"/>
  <c r="FK53" i="1"/>
  <c r="AP50" i="6"/>
  <c r="AP49" i="6"/>
  <c r="DK54" i="1"/>
  <c r="AA50" i="6"/>
  <c r="G49" i="11"/>
  <c r="AA49" i="6"/>
  <c r="CI49" i="9"/>
  <c r="EK52" i="1"/>
  <c r="EC52" i="1"/>
  <c r="EE52" i="1" s="1"/>
  <c r="FA52" i="1"/>
  <c r="FC52" i="1" s="1"/>
  <c r="EY53" i="1"/>
  <c r="BR50" i="8"/>
  <c r="BT50" i="8" s="1"/>
  <c r="U50" i="13"/>
  <c r="AH50" i="8"/>
  <c r="GT57" i="1"/>
  <c r="GV57" i="1" s="1"/>
  <c r="GS58" i="1"/>
  <c r="GW55" i="1" s="1"/>
  <c r="AI51" i="6"/>
  <c r="CJ51" i="6"/>
  <c r="DK51" i="6"/>
  <c r="BR51" i="6"/>
  <c r="U51" i="6"/>
  <c r="DB51" i="6"/>
  <c r="CS51" i="6"/>
  <c r="CA51" i="6"/>
  <c r="DV51" i="1"/>
  <c r="CJ51" i="1"/>
  <c r="DH52" i="1"/>
  <c r="V50" i="13"/>
  <c r="CE51" i="9"/>
  <c r="BR51" i="9"/>
  <c r="P51" i="9"/>
  <c r="X51" i="8"/>
  <c r="O51" i="8"/>
  <c r="O51" i="4"/>
  <c r="Y51" i="4"/>
  <c r="GL51" i="1"/>
  <c r="CF51" i="1"/>
  <c r="E61" i="1"/>
  <c r="A63" i="1"/>
  <c r="AI62" i="1"/>
  <c r="AG62" i="1"/>
  <c r="AH62" i="1"/>
  <c r="AE62" i="1"/>
  <c r="Z62" i="1"/>
  <c r="AL62" i="1" s="1"/>
  <c r="Y62" i="1"/>
  <c r="AK62" i="1" s="1"/>
  <c r="AF62" i="1"/>
  <c r="AC62" i="1"/>
  <c r="AO62" i="1" s="1"/>
  <c r="AA62" i="1"/>
  <c r="AM62" i="1" s="1"/>
  <c r="AD62" i="1"/>
  <c r="AB62" i="1"/>
  <c r="AN62" i="1" s="1"/>
  <c r="X62" i="1"/>
  <c r="AJ62" i="1" s="1"/>
  <c r="D62" i="1"/>
  <c r="C62" i="1"/>
  <c r="W62" i="1" s="1"/>
  <c r="B62" i="1"/>
  <c r="BQ53" i="9"/>
  <c r="CD53" i="9"/>
  <c r="O53" i="9"/>
  <c r="W53" i="8"/>
  <c r="N53" i="8"/>
  <c r="X53" i="4"/>
  <c r="N53" i="4"/>
  <c r="GK53" i="1"/>
  <c r="FT49" i="1"/>
  <c r="AZ51" i="9"/>
  <c r="AL51" i="9"/>
  <c r="FZ55" i="1"/>
  <c r="GB55" i="1" s="1"/>
  <c r="CD52" i="1"/>
  <c r="BI57" i="1"/>
  <c r="BJ56" i="1"/>
  <c r="CD53" i="1" s="1"/>
  <c r="FY56" i="1"/>
  <c r="GA56" i="1" s="1"/>
  <c r="BU49" i="13"/>
  <c r="R50" i="13"/>
  <c r="AG49" i="13"/>
  <c r="T49" i="13"/>
  <c r="R49" i="13"/>
  <c r="BL55" i="1"/>
  <c r="DW51" i="1"/>
  <c r="BP50" i="8"/>
  <c r="GR50" i="1"/>
  <c r="GR49" i="1"/>
  <c r="BK48" i="9"/>
  <c r="CI52" i="1"/>
  <c r="GF50" i="1"/>
  <c r="GF49" i="1"/>
  <c r="CB51" i="6"/>
  <c r="FN49" i="1"/>
  <c r="DB53" i="1"/>
  <c r="DD53" i="1" s="1"/>
  <c r="CI50" i="9"/>
  <c r="BU50" i="13"/>
  <c r="AG50" i="13"/>
  <c r="T50" i="13"/>
  <c r="CT51" i="6"/>
  <c r="BM55" i="1"/>
  <c r="CG54" i="1" s="1"/>
  <c r="BN54" i="1"/>
  <c r="BP54" i="1" s="1"/>
  <c r="DA54" i="1"/>
  <c r="DC54" i="1" s="1"/>
  <c r="AO50" i="9"/>
  <c r="AR49" i="9"/>
  <c r="EJ49" i="1"/>
  <c r="GQ51" i="1"/>
  <c r="DC51" i="6"/>
  <c r="BO54" i="1"/>
  <c r="CP52" i="1"/>
  <c r="AS50" i="8"/>
  <c r="X51" i="6"/>
  <c r="V51" i="6"/>
  <c r="FQ51" i="1"/>
  <c r="FS51" i="1"/>
  <c r="EE51" i="1"/>
  <c r="FC51" i="1"/>
  <c r="BS51" i="6"/>
  <c r="CH52" i="1"/>
  <c r="BF50" i="8"/>
  <c r="BO50" i="8"/>
  <c r="BX50" i="13"/>
  <c r="CA50" i="13" s="1"/>
  <c r="EX53" i="1"/>
  <c r="CH51" i="9"/>
  <c r="CJ51" i="9" s="1"/>
  <c r="BX50" i="9"/>
  <c r="BX49" i="9"/>
  <c r="DT50" i="6"/>
  <c r="EH50" i="1"/>
  <c r="ET50" i="1"/>
  <c r="EV50" i="1" s="1"/>
  <c r="DZ50" i="1"/>
  <c r="EB50" i="1" s="1"/>
  <c r="FB50" i="1"/>
  <c r="AQ50" i="8"/>
  <c r="AS49" i="8"/>
  <c r="AQ49" i="8"/>
  <c r="CL51" i="1"/>
  <c r="CN51" i="1" s="1"/>
  <c r="CQ52" i="1"/>
  <c r="AF51" i="13"/>
  <c r="AH51" i="13" s="1"/>
  <c r="BT51" i="13"/>
  <c r="S51" i="13"/>
  <c r="CK51" i="6"/>
  <c r="G50" i="11"/>
  <c r="GA55" i="1"/>
  <c r="BP53" i="1"/>
  <c r="BX54" i="1"/>
  <c r="FE53" i="1"/>
  <c r="BV50" i="13"/>
  <c r="BD51" i="6"/>
  <c r="AU51" i="6"/>
  <c r="AG51" i="6"/>
  <c r="AM51" i="6"/>
  <c r="AJ51" i="6"/>
  <c r="AG51" i="8"/>
  <c r="AR51" i="8"/>
  <c r="BT53" i="1"/>
  <c r="DL51" i="6"/>
  <c r="Z51" i="9"/>
  <c r="DP52" i="1"/>
  <c r="FG53" i="1"/>
  <c r="AE191" i="23"/>
  <c r="AD191" i="23"/>
  <c r="AR190" i="23"/>
  <c r="AQ190" i="23"/>
  <c r="AP190" i="23"/>
  <c r="AO190" i="23"/>
  <c r="AN190" i="23"/>
  <c r="AV62" i="1"/>
  <c r="BA62" i="1"/>
  <c r="AX62" i="1"/>
  <c r="AZ62" i="1"/>
  <c r="BB62" i="1"/>
  <c r="BC62" i="1"/>
  <c r="I61" i="1"/>
  <c r="J61" i="1"/>
  <c r="M61" i="1"/>
  <c r="O61" i="1"/>
  <c r="P61" i="1"/>
  <c r="Q61" i="1"/>
  <c r="S61" i="1"/>
  <c r="F61" i="1"/>
  <c r="N61" i="1"/>
  <c r="G61" i="1"/>
  <c r="T61" i="1"/>
  <c r="H61" i="1"/>
  <c r="K61" i="1"/>
  <c r="R61" i="1"/>
  <c r="L61" i="1"/>
  <c r="AY62" i="1"/>
  <c r="AW62" i="1"/>
  <c r="FU61" i="1" l="1"/>
  <c r="GG58" i="1" s="1"/>
  <c r="BF55" i="1"/>
  <c r="BZ53" i="1" s="1"/>
  <c r="CS55" i="1"/>
  <c r="CU55" i="1" s="1"/>
  <c r="CV55" i="1" s="1"/>
  <c r="AB53" i="13"/>
  <c r="AE53" i="13" s="1"/>
  <c r="BG55" i="1"/>
  <c r="BH53" i="4"/>
  <c r="AU53" i="4" s="1"/>
  <c r="BK53" i="13"/>
  <c r="BM53" i="13" s="1"/>
  <c r="AW53" i="4"/>
  <c r="AS53" i="13"/>
  <c r="AU53" i="13" s="1"/>
  <c r="BE56" i="1"/>
  <c r="BY54" i="1" s="1"/>
  <c r="CA54" i="1" s="1"/>
  <c r="AL53" i="4"/>
  <c r="AN53" i="4" s="1"/>
  <c r="EK53" i="1"/>
  <c r="EM53" i="1" s="1"/>
  <c r="CA53" i="1"/>
  <c r="DQ55" i="1"/>
  <c r="DS55" i="1" s="1"/>
  <c r="CW53" i="1"/>
  <c r="CY53" i="1" s="1"/>
  <c r="AU52" i="4"/>
  <c r="BU53" i="4"/>
  <c r="BI51" i="4"/>
  <c r="AZ51" i="4" s="1"/>
  <c r="AM51" i="4"/>
  <c r="AO51" i="4" s="1"/>
  <c r="BT51" i="4"/>
  <c r="BV51" i="4" s="1"/>
  <c r="AC51" i="13"/>
  <c r="AT51" i="13"/>
  <c r="AV51" i="13" s="1"/>
  <c r="AX51" i="4"/>
  <c r="AU52" i="13"/>
  <c r="BL51" i="13"/>
  <c r="BN51" i="13" s="1"/>
  <c r="CX51" i="1"/>
  <c r="CZ51" i="1" s="1"/>
  <c r="CT54" i="1"/>
  <c r="CB51" i="1"/>
  <c r="BZ52" i="1"/>
  <c r="CB52" i="1" s="1"/>
  <c r="DR54" i="1"/>
  <c r="DT54" i="1" s="1"/>
  <c r="EM52" i="1"/>
  <c r="FO51" i="1"/>
  <c r="AE52" i="13"/>
  <c r="AY51" i="4"/>
  <c r="BJ52" i="4"/>
  <c r="AZ50" i="4"/>
  <c r="AV50" i="4"/>
  <c r="AU51" i="4"/>
  <c r="BF51" i="4"/>
  <c r="AY52" i="4"/>
  <c r="AU51" i="13"/>
  <c r="EI52" i="1"/>
  <c r="AD52" i="13"/>
  <c r="AD51" i="13"/>
  <c r="BU52" i="4"/>
  <c r="BK50" i="4"/>
  <c r="FM51" i="1"/>
  <c r="AN52" i="4"/>
  <c r="EN51" i="1"/>
  <c r="FP50" i="1"/>
  <c r="BU51" i="4"/>
  <c r="CY52" i="1"/>
  <c r="BR50" i="4"/>
  <c r="FV60" i="1"/>
  <c r="GH57" i="1" s="1"/>
  <c r="GH56" i="1"/>
  <c r="GJ56" i="1" s="1"/>
  <c r="GG57" i="1"/>
  <c r="GI57" i="1" s="1"/>
  <c r="CL52" i="9"/>
  <c r="CQ53" i="1"/>
  <c r="Y52" i="8"/>
  <c r="AG52" i="9"/>
  <c r="AZ52" i="9" s="1"/>
  <c r="BB52" i="9" s="1"/>
  <c r="BU52" i="9"/>
  <c r="BW52" i="9" s="1"/>
  <c r="X52" i="9"/>
  <c r="Z52" i="9" s="1"/>
  <c r="CF53" i="9"/>
  <c r="O52" i="13"/>
  <c r="Q52" i="13" s="1"/>
  <c r="GO52" i="1"/>
  <c r="GQ52" i="1" s="1"/>
  <c r="GC52" i="1"/>
  <c r="GE52" i="1" s="1"/>
  <c r="AA52" i="8"/>
  <c r="AC52" i="8" s="1"/>
  <c r="DW53" i="1"/>
  <c r="Z53" i="4"/>
  <c r="AN52" i="8"/>
  <c r="AP52" i="8" s="1"/>
  <c r="Q53" i="9"/>
  <c r="BA52" i="8"/>
  <c r="BC52" i="8" s="1"/>
  <c r="AE53" i="8"/>
  <c r="AG53" i="8" s="1"/>
  <c r="FL53" i="1"/>
  <c r="EC53" i="1"/>
  <c r="EE53" i="1" s="1"/>
  <c r="DW52" i="1"/>
  <c r="FH53" i="1"/>
  <c r="DH53" i="1"/>
  <c r="FF53" i="1"/>
  <c r="AP62" i="1"/>
  <c r="DL53" i="6"/>
  <c r="BL56" i="1"/>
  <c r="CL52" i="1"/>
  <c r="CN52" i="1" s="1"/>
  <c r="Y53" i="8"/>
  <c r="BS53" i="6"/>
  <c r="CT53" i="6"/>
  <c r="BZ50" i="13"/>
  <c r="AR62" i="1"/>
  <c r="BO55" i="1"/>
  <c r="EW55" i="1"/>
  <c r="EY55" i="1" s="1"/>
  <c r="CB53" i="6"/>
  <c r="BS55" i="1"/>
  <c r="GU58" i="1"/>
  <c r="EJ50" i="1"/>
  <c r="FN50" i="1"/>
  <c r="DS53" i="6"/>
  <c r="DU53" i="6" s="1"/>
  <c r="DY53" i="1"/>
  <c r="EA53" i="1" s="1"/>
  <c r="EG53" i="1"/>
  <c r="ES53" i="1"/>
  <c r="EU53" i="1" s="1"/>
  <c r="CM53" i="1"/>
  <c r="FA53" i="1"/>
  <c r="FC53" i="1" s="1"/>
  <c r="GY55" i="1"/>
  <c r="BX51" i="13"/>
  <c r="CA51" i="13" s="1"/>
  <c r="BW50" i="13"/>
  <c r="BW49" i="13"/>
  <c r="AU50" i="8"/>
  <c r="AU49" i="8"/>
  <c r="BS50" i="8"/>
  <c r="FZ56" i="1"/>
  <c r="GB56" i="1" s="1"/>
  <c r="AO51" i="8"/>
  <c r="P51" i="13"/>
  <c r="Q51" i="8"/>
  <c r="CC51" i="6"/>
  <c r="DJ55" i="1"/>
  <c r="DL55" i="1" s="1"/>
  <c r="BI58" i="1"/>
  <c r="CC55" i="1" s="1"/>
  <c r="BJ57" i="1"/>
  <c r="CD54" i="1" s="1"/>
  <c r="CF54" i="1" s="1"/>
  <c r="FY57" i="1"/>
  <c r="GA57" i="1" s="1"/>
  <c r="AU62" i="1"/>
  <c r="BB51" i="8"/>
  <c r="AB51" i="8"/>
  <c r="Z51" i="8"/>
  <c r="AF51" i="8"/>
  <c r="CU51" i="6"/>
  <c r="BQ53" i="4"/>
  <c r="AT50" i="9"/>
  <c r="AT49" i="9"/>
  <c r="BK57" i="1"/>
  <c r="Y51" i="9"/>
  <c r="AH51" i="9"/>
  <c r="CI51" i="9" s="1"/>
  <c r="CK51" i="9" s="1"/>
  <c r="R51" i="9"/>
  <c r="DD51" i="6"/>
  <c r="AP50" i="9"/>
  <c r="AP49" i="9"/>
  <c r="V62" i="1"/>
  <c r="W51" i="6"/>
  <c r="BV51" i="9"/>
  <c r="BT51" i="9"/>
  <c r="BT51" i="6"/>
  <c r="BU57" i="1"/>
  <c r="BW57" i="1" s="1"/>
  <c r="BV56" i="1"/>
  <c r="DI56" i="1"/>
  <c r="DK56" i="1" s="1"/>
  <c r="BC50" i="9"/>
  <c r="BE49" i="9"/>
  <c r="BI49" i="9"/>
  <c r="BC49" i="9"/>
  <c r="GC53" i="1"/>
  <c r="GO53" i="1"/>
  <c r="DM51" i="6"/>
  <c r="FQ52" i="1"/>
  <c r="FS52" i="1"/>
  <c r="P52" i="9"/>
  <c r="R52" i="9" s="1"/>
  <c r="CE52" i="9"/>
  <c r="CG52" i="9" s="1"/>
  <c r="BR52" i="9"/>
  <c r="BT52" i="9" s="1"/>
  <c r="O52" i="8"/>
  <c r="Q52" i="8" s="1"/>
  <c r="X52" i="8"/>
  <c r="O52" i="4"/>
  <c r="Y52" i="4"/>
  <c r="AB52" i="4" s="1"/>
  <c r="CF53" i="1"/>
  <c r="GL52" i="1"/>
  <c r="GN52" i="1" s="1"/>
  <c r="DA54" i="6"/>
  <c r="BZ54" i="6"/>
  <c r="T54" i="6"/>
  <c r="V54" i="6" s="1"/>
  <c r="CI54" i="6"/>
  <c r="CK54" i="6" s="1"/>
  <c r="CR54" i="6"/>
  <c r="CT54" i="6" s="1"/>
  <c r="AH54" i="6"/>
  <c r="AJ54" i="6" s="1"/>
  <c r="BQ54" i="6"/>
  <c r="BS54" i="6" s="1"/>
  <c r="DJ54" i="6"/>
  <c r="DL54" i="6" s="1"/>
  <c r="D51" i="11"/>
  <c r="DK52" i="6"/>
  <c r="DM52" i="6" s="1"/>
  <c r="CJ52" i="6"/>
  <c r="CL52" i="6" s="1"/>
  <c r="AI52" i="6"/>
  <c r="U52" i="6"/>
  <c r="CA52" i="6"/>
  <c r="CS52" i="6"/>
  <c r="CU52" i="6" s="1"/>
  <c r="BR52" i="6"/>
  <c r="BT52" i="6" s="1"/>
  <c r="DB52" i="6"/>
  <c r="DD52" i="6" s="1"/>
  <c r="DV52" i="1"/>
  <c r="DX52" i="1" s="1"/>
  <c r="DB54" i="1"/>
  <c r="CM51" i="9"/>
  <c r="CG51" i="9"/>
  <c r="CL51" i="6"/>
  <c r="FO52" i="1"/>
  <c r="FM52" i="1"/>
  <c r="CN51" i="9"/>
  <c r="X53" i="9"/>
  <c r="AG53" i="9"/>
  <c r="BM56" i="1"/>
  <c r="CG55" i="1" s="1"/>
  <c r="DA55" i="1"/>
  <c r="BN55" i="1"/>
  <c r="BP55" i="1" s="1"/>
  <c r="E49" i="11"/>
  <c r="BY49" i="13"/>
  <c r="AN53" i="8"/>
  <c r="O53" i="13"/>
  <c r="BI51" i="6"/>
  <c r="BE51" i="6"/>
  <c r="AV51" i="6"/>
  <c r="AL51" i="6"/>
  <c r="BE50" i="9"/>
  <c r="BI50" i="9"/>
  <c r="AI50" i="13"/>
  <c r="AI49" i="13"/>
  <c r="BA53" i="8"/>
  <c r="AA53" i="8"/>
  <c r="DO54" i="1"/>
  <c r="AO51" i="6"/>
  <c r="EZ54" i="1"/>
  <c r="EZ53" i="1"/>
  <c r="GX54" i="1"/>
  <c r="GT58" i="1"/>
  <c r="GS59" i="1"/>
  <c r="GW56" i="1" s="1"/>
  <c r="CO50" i="9"/>
  <c r="CK50" i="9"/>
  <c r="CK49" i="9"/>
  <c r="CO49" i="9"/>
  <c r="DN54" i="1"/>
  <c r="DP54" i="1" s="1"/>
  <c r="DF54" i="1"/>
  <c r="FJ54" i="1" s="1"/>
  <c r="EP54" i="1"/>
  <c r="ER54" i="1" s="1"/>
  <c r="CI54" i="1"/>
  <c r="BQ56" i="1"/>
  <c r="CK54" i="1" s="1"/>
  <c r="DE55" i="1"/>
  <c r="FK55" i="1" s="1"/>
  <c r="BR55" i="1"/>
  <c r="EX55" i="1" s="1"/>
  <c r="DM55" i="1"/>
  <c r="DO55" i="1" s="1"/>
  <c r="EO55" i="1"/>
  <c r="EQ55" i="1" s="1"/>
  <c r="F53" i="11"/>
  <c r="DV50" i="6"/>
  <c r="BD53" i="6"/>
  <c r="AU53" i="6"/>
  <c r="AG53" i="6"/>
  <c r="BR53" i="9"/>
  <c r="P53" i="9"/>
  <c r="CE53" i="9"/>
  <c r="O53" i="8"/>
  <c r="X53" i="8"/>
  <c r="Y53" i="4"/>
  <c r="O53" i="4"/>
  <c r="GL53" i="1"/>
  <c r="CL53" i="9"/>
  <c r="BQ50" i="8"/>
  <c r="BS49" i="8"/>
  <c r="BQ49" i="8"/>
  <c r="BR51" i="8"/>
  <c r="BH51" i="6"/>
  <c r="BF51" i="6"/>
  <c r="BJ51" i="6"/>
  <c r="AT51" i="8"/>
  <c r="FK54" i="1"/>
  <c r="BH50" i="8"/>
  <c r="BH49" i="8"/>
  <c r="AQ62" i="1"/>
  <c r="P53" i="4"/>
  <c r="FE54" i="1"/>
  <c r="DC53" i="6"/>
  <c r="BU53" i="9"/>
  <c r="DT51" i="6"/>
  <c r="DV51" i="6" s="1"/>
  <c r="EH51" i="1"/>
  <c r="EJ51" i="1" s="1"/>
  <c r="DZ51" i="1"/>
  <c r="EB51" i="1" s="1"/>
  <c r="ET51" i="1"/>
  <c r="EV51" i="1" s="1"/>
  <c r="FB51" i="1"/>
  <c r="FD51" i="1" s="1"/>
  <c r="E62" i="1"/>
  <c r="A64" i="1"/>
  <c r="AC63" i="1"/>
  <c r="AO63" i="1" s="1"/>
  <c r="AB63" i="1"/>
  <c r="AN63" i="1" s="1"/>
  <c r="Z63" i="1"/>
  <c r="AL63" i="1" s="1"/>
  <c r="X63" i="1"/>
  <c r="AJ63" i="1" s="1"/>
  <c r="AI63" i="1"/>
  <c r="AH63" i="1"/>
  <c r="AA63" i="1"/>
  <c r="AM63" i="1" s="1"/>
  <c r="AG63" i="1"/>
  <c r="AF63" i="1"/>
  <c r="AD63" i="1"/>
  <c r="AE63" i="1"/>
  <c r="Y63" i="1"/>
  <c r="AK63" i="1" s="1"/>
  <c r="C63" i="1"/>
  <c r="U63" i="1" s="1"/>
  <c r="D63" i="1"/>
  <c r="B63" i="1"/>
  <c r="AO51" i="9"/>
  <c r="FG54" i="1"/>
  <c r="AW51" i="6"/>
  <c r="BD51" i="9"/>
  <c r="BH51" i="9"/>
  <c r="BB51" i="9"/>
  <c r="GM53" i="1"/>
  <c r="BD52" i="6"/>
  <c r="AJ53" i="6"/>
  <c r="AU52" i="6"/>
  <c r="AG52" i="6"/>
  <c r="AM52" i="6"/>
  <c r="AO53" i="6" s="1"/>
  <c r="E50" i="11"/>
  <c r="BY50" i="13"/>
  <c r="ED52" i="1"/>
  <c r="CR52" i="1"/>
  <c r="AT62" i="1"/>
  <c r="GN51" i="1"/>
  <c r="AS51" i="9"/>
  <c r="FD50" i="1"/>
  <c r="AS62" i="1"/>
  <c r="CF52" i="1"/>
  <c r="V53" i="6"/>
  <c r="X52" i="6"/>
  <c r="Z52" i="6" s="1"/>
  <c r="BV51" i="13"/>
  <c r="BS53" i="9"/>
  <c r="U62" i="1"/>
  <c r="FR50" i="1"/>
  <c r="FT50" i="1"/>
  <c r="GD51" i="1"/>
  <c r="GP51" i="1"/>
  <c r="AB51" i="4"/>
  <c r="BT54" i="1"/>
  <c r="CH53" i="1"/>
  <c r="BF50" i="9"/>
  <c r="R51" i="4"/>
  <c r="AN51" i="6"/>
  <c r="Y51" i="6"/>
  <c r="DX51" i="1"/>
  <c r="P53" i="8"/>
  <c r="CO54" i="1"/>
  <c r="CP53" i="1"/>
  <c r="CR53" i="1" s="1"/>
  <c r="U51" i="13"/>
  <c r="CK53" i="6"/>
  <c r="F51" i="11"/>
  <c r="Z51" i="6"/>
  <c r="CC54" i="1"/>
  <c r="CJ52" i="1"/>
  <c r="DG54" i="1"/>
  <c r="V51" i="13"/>
  <c r="AK190" i="23"/>
  <c r="AJ190" i="23"/>
  <c r="AI190" i="23"/>
  <c r="AH190" i="23"/>
  <c r="AG190" i="23"/>
  <c r="AV63" i="1"/>
  <c r="AX63" i="1"/>
  <c r="BA63" i="1"/>
  <c r="AW63" i="1"/>
  <c r="AZ63" i="1"/>
  <c r="AY63" i="1"/>
  <c r="BC63" i="1"/>
  <c r="N62" i="1"/>
  <c r="P62" i="1"/>
  <c r="J62" i="1"/>
  <c r="S62" i="1"/>
  <c r="G62" i="1"/>
  <c r="T62" i="1"/>
  <c r="H62" i="1"/>
  <c r="I62" i="1"/>
  <c r="O62" i="1"/>
  <c r="Q62" i="1"/>
  <c r="M62" i="1"/>
  <c r="L62" i="1"/>
  <c r="K62" i="1"/>
  <c r="R62" i="1"/>
  <c r="F62" i="1"/>
  <c r="BB63" i="1"/>
  <c r="FU62" i="1" l="1"/>
  <c r="FW62" i="1" s="1"/>
  <c r="FW61" i="1"/>
  <c r="FV61" i="1"/>
  <c r="FX61" i="1" s="1"/>
  <c r="BH55" i="1"/>
  <c r="CT55" i="1"/>
  <c r="DR55" i="1"/>
  <c r="DT55" i="1" s="1"/>
  <c r="DQ56" i="1"/>
  <c r="DS56" i="1" s="1"/>
  <c r="BF53" i="4"/>
  <c r="BJ53" i="4"/>
  <c r="AD53" i="13"/>
  <c r="AY53" i="4"/>
  <c r="BG56" i="1"/>
  <c r="BF56" i="1"/>
  <c r="BZ54" i="1" s="1"/>
  <c r="AT54" i="13" s="1"/>
  <c r="CS56" i="1"/>
  <c r="CU56" i="1" s="1"/>
  <c r="BE57" i="1"/>
  <c r="BF57" i="1" s="1"/>
  <c r="BS54" i="4"/>
  <c r="BQ54" i="4" s="1"/>
  <c r="BH54" i="4"/>
  <c r="BJ54" i="4" s="1"/>
  <c r="FM53" i="1"/>
  <c r="AW54" i="4"/>
  <c r="AL54" i="4"/>
  <c r="AN54" i="4" s="1"/>
  <c r="BK54" i="13"/>
  <c r="BM54" i="13" s="1"/>
  <c r="AS54" i="13"/>
  <c r="AU54" i="13" s="1"/>
  <c r="AB54" i="13"/>
  <c r="AE54" i="13" s="1"/>
  <c r="BR51" i="4"/>
  <c r="BK51" i="4"/>
  <c r="AV51" i="4"/>
  <c r="BG51" i="4"/>
  <c r="EL52" i="1"/>
  <c r="EN52" i="1" s="1"/>
  <c r="AT52" i="13"/>
  <c r="AV52" i="13" s="1"/>
  <c r="BL52" i="13"/>
  <c r="BN52" i="13" s="1"/>
  <c r="CX52" i="1"/>
  <c r="CZ52" i="1" s="1"/>
  <c r="AC52" i="13"/>
  <c r="AX52" i="4"/>
  <c r="BT52" i="4"/>
  <c r="BV52" i="4" s="1"/>
  <c r="AM52" i="4"/>
  <c r="AO52" i="4" s="1"/>
  <c r="BI52" i="4"/>
  <c r="AZ52" i="4" s="1"/>
  <c r="FX60" i="1"/>
  <c r="GI58" i="1"/>
  <c r="GJ57" i="1"/>
  <c r="S52" i="13"/>
  <c r="U52" i="13" s="1"/>
  <c r="BT52" i="13"/>
  <c r="BV52" i="13" s="1"/>
  <c r="Q53" i="13"/>
  <c r="AF52" i="13"/>
  <c r="AH52" i="13" s="1"/>
  <c r="BE52" i="8"/>
  <c r="BG52" i="8" s="1"/>
  <c r="AR52" i="8"/>
  <c r="AT52" i="8" s="1"/>
  <c r="Z53" i="9"/>
  <c r="AQ52" i="9"/>
  <c r="AS52" i="9" s="1"/>
  <c r="CH52" i="9"/>
  <c r="CJ52" i="9" s="1"/>
  <c r="AI52" i="9"/>
  <c r="BW53" i="9"/>
  <c r="EI53" i="1"/>
  <c r="GQ53" i="1"/>
  <c r="GE53" i="1"/>
  <c r="ET52" i="1"/>
  <c r="EV52" i="1" s="1"/>
  <c r="BN52" i="8"/>
  <c r="BP52" i="8" s="1"/>
  <c r="DT52" i="6"/>
  <c r="DV52" i="6" s="1"/>
  <c r="AL52" i="9"/>
  <c r="AO52" i="9" s="1"/>
  <c r="AP53" i="8"/>
  <c r="AC53" i="8"/>
  <c r="EH52" i="1"/>
  <c r="DZ52" i="1"/>
  <c r="EB52" i="1" s="1"/>
  <c r="BC53" i="8"/>
  <c r="AR51" i="9"/>
  <c r="AT51" i="9" s="1"/>
  <c r="FB52" i="1"/>
  <c r="FD52" i="1" s="1"/>
  <c r="FS53" i="1"/>
  <c r="BZ51" i="13"/>
  <c r="FF54" i="1"/>
  <c r="AR63" i="1"/>
  <c r="FO53" i="1"/>
  <c r="FH54" i="1"/>
  <c r="V63" i="1"/>
  <c r="DH54" i="1"/>
  <c r="AQ63" i="1"/>
  <c r="FG55" i="1"/>
  <c r="BT55" i="1"/>
  <c r="FE55" i="1"/>
  <c r="W63" i="1"/>
  <c r="CH54" i="1"/>
  <c r="CJ54" i="1" s="1"/>
  <c r="AT63" i="1"/>
  <c r="BL57" i="1"/>
  <c r="AP63" i="1"/>
  <c r="CO51" i="9"/>
  <c r="DG55" i="1"/>
  <c r="R53" i="4"/>
  <c r="AW53" i="6"/>
  <c r="DS54" i="6"/>
  <c r="DU54" i="6" s="1"/>
  <c r="EG54" i="1"/>
  <c r="EI54" i="1" s="1"/>
  <c r="DY54" i="1"/>
  <c r="EA54" i="1" s="1"/>
  <c r="ES54" i="1"/>
  <c r="EU54" i="1" s="1"/>
  <c r="CM54" i="1"/>
  <c r="EZ55" i="1"/>
  <c r="AS63" i="1"/>
  <c r="BD52" i="9"/>
  <c r="BF52" i="9" s="1"/>
  <c r="BH52" i="9"/>
  <c r="BJ52" i="9" s="1"/>
  <c r="DJ56" i="1"/>
  <c r="DL56" i="1" s="1"/>
  <c r="DA55" i="6"/>
  <c r="DC55" i="6" s="1"/>
  <c r="BZ55" i="6"/>
  <c r="CB55" i="6" s="1"/>
  <c r="CR55" i="6"/>
  <c r="CT55" i="6" s="1"/>
  <c r="CI55" i="6"/>
  <c r="CK55" i="6" s="1"/>
  <c r="T55" i="6"/>
  <c r="X55" i="6" s="1"/>
  <c r="AH55" i="6"/>
  <c r="AM55" i="6" s="1"/>
  <c r="BQ55" i="6"/>
  <c r="BS55" i="6" s="1"/>
  <c r="DJ55" i="6"/>
  <c r="DL55" i="6" s="1"/>
  <c r="DU55" i="1"/>
  <c r="DB55" i="1"/>
  <c r="DD55" i="1" s="1"/>
  <c r="BD54" i="6"/>
  <c r="BF54" i="6" s="1"/>
  <c r="AU54" i="6"/>
  <c r="AG54" i="6"/>
  <c r="BU58" i="1"/>
  <c r="BW58" i="1" s="1"/>
  <c r="BV57" i="1"/>
  <c r="CP55" i="1" s="1"/>
  <c r="DI57" i="1"/>
  <c r="DK57" i="1" s="1"/>
  <c r="FL54" i="1"/>
  <c r="BB53" i="8"/>
  <c r="AB53" i="8"/>
  <c r="BI52" i="6"/>
  <c r="BE52" i="6"/>
  <c r="BG52" i="6" s="1"/>
  <c r="AV52" i="6"/>
  <c r="AX52" i="6" s="1"/>
  <c r="BF53" i="6"/>
  <c r="BJ53" i="6"/>
  <c r="BH52" i="6"/>
  <c r="BU50" i="8"/>
  <c r="BU49" i="8"/>
  <c r="BH53" i="6"/>
  <c r="CP54" i="1"/>
  <c r="GD53" i="1"/>
  <c r="GP53" i="1"/>
  <c r="AZ53" i="9"/>
  <c r="AL53" i="9"/>
  <c r="BM57" i="1"/>
  <c r="CG56" i="1" s="1"/>
  <c r="DA56" i="1"/>
  <c r="DC56" i="1" s="1"/>
  <c r="BN56" i="1"/>
  <c r="BP56" i="1" s="1"/>
  <c r="BA51" i="9"/>
  <c r="AK51" i="9"/>
  <c r="AN51" i="9"/>
  <c r="CS53" i="6"/>
  <c r="CU53" i="6" s="1"/>
  <c r="BR53" i="6"/>
  <c r="CJ53" i="6"/>
  <c r="CL53" i="6" s="1"/>
  <c r="DK53" i="6"/>
  <c r="U53" i="6"/>
  <c r="W53" i="6" s="1"/>
  <c r="AI53" i="6"/>
  <c r="AL53" i="6" s="1"/>
  <c r="CA53" i="6"/>
  <c r="DB53" i="6"/>
  <c r="DD53" i="6" s="1"/>
  <c r="DV53" i="1"/>
  <c r="DX53" i="1" s="1"/>
  <c r="BS56" i="1"/>
  <c r="AI53" i="9"/>
  <c r="AF53" i="8"/>
  <c r="EL53" i="1"/>
  <c r="ED53" i="1"/>
  <c r="EF53" i="1" s="1"/>
  <c r="EK54" i="1"/>
  <c r="FA54" i="1"/>
  <c r="FC54" i="1" s="1"/>
  <c r="EC54" i="1"/>
  <c r="CQ54" i="1"/>
  <c r="FT51" i="1"/>
  <c r="FR51" i="1"/>
  <c r="BE53" i="8"/>
  <c r="BN53" i="8"/>
  <c r="BO56" i="1"/>
  <c r="FI55" i="1"/>
  <c r="BX56" i="1"/>
  <c r="CB54" i="6"/>
  <c r="GT59" i="1"/>
  <c r="GV59" i="1" s="1"/>
  <c r="GS60" i="1"/>
  <c r="GU60" i="1" s="1"/>
  <c r="BX51" i="9"/>
  <c r="GY56" i="1"/>
  <c r="CC52" i="6"/>
  <c r="G51" i="11"/>
  <c r="AA51" i="6"/>
  <c r="AP51" i="6"/>
  <c r="GU59" i="1"/>
  <c r="CJ53" i="1"/>
  <c r="F52" i="11"/>
  <c r="Z53" i="6"/>
  <c r="CH53" i="9"/>
  <c r="AN52" i="6"/>
  <c r="AP52" i="6" s="1"/>
  <c r="Y52" i="6"/>
  <c r="AA52" i="6" s="1"/>
  <c r="CD54" i="9"/>
  <c r="O54" i="9"/>
  <c r="BQ54" i="9"/>
  <c r="X54" i="6"/>
  <c r="AM54" i="6"/>
  <c r="N54" i="8"/>
  <c r="W54" i="8"/>
  <c r="AE54" i="8" s="1"/>
  <c r="X54" i="4"/>
  <c r="N54" i="4"/>
  <c r="CE55" i="1"/>
  <c r="GK54" i="1"/>
  <c r="CE54" i="1"/>
  <c r="GZ54" i="1"/>
  <c r="AC53" i="13"/>
  <c r="AT53" i="13"/>
  <c r="BL53" i="13"/>
  <c r="AX53" i="4"/>
  <c r="BT53" i="4"/>
  <c r="BI53" i="4"/>
  <c r="AM53" i="4"/>
  <c r="CX53" i="1"/>
  <c r="CB53" i="1"/>
  <c r="GN53" i="1"/>
  <c r="AQ53" i="9"/>
  <c r="BU51" i="13"/>
  <c r="AG51" i="13"/>
  <c r="T51" i="13"/>
  <c r="R51" i="13"/>
  <c r="DD54" i="1"/>
  <c r="R52" i="4"/>
  <c r="DN55" i="1"/>
  <c r="DF55" i="1"/>
  <c r="DH55" i="1" s="1"/>
  <c r="EP55" i="1"/>
  <c r="GX55" i="1"/>
  <c r="CW54" i="1"/>
  <c r="AH51" i="8"/>
  <c r="AS51" i="8"/>
  <c r="AQ51" i="8"/>
  <c r="EF52" i="1"/>
  <c r="GV58" i="1"/>
  <c r="AB53" i="4"/>
  <c r="GD52" i="1"/>
  <c r="GF52" i="1" s="1"/>
  <c r="GP52" i="1"/>
  <c r="DC55" i="1"/>
  <c r="AD51" i="8"/>
  <c r="BF51" i="8"/>
  <c r="BO51" i="8"/>
  <c r="BD51" i="8"/>
  <c r="CE54" i="9"/>
  <c r="CG54" i="9" s="1"/>
  <c r="P54" i="9"/>
  <c r="R54" i="9" s="1"/>
  <c r="BR54" i="9"/>
  <c r="BT54" i="9" s="1"/>
  <c r="X54" i="8"/>
  <c r="Z54" i="8" s="1"/>
  <c r="O54" i="8"/>
  <c r="Y54" i="4"/>
  <c r="O54" i="4"/>
  <c r="R54" i="4" s="1"/>
  <c r="GL54" i="1"/>
  <c r="GN54" i="1" s="1"/>
  <c r="BB52" i="8"/>
  <c r="BD52" i="8" s="1"/>
  <c r="AB52" i="8"/>
  <c r="AD52" i="8" s="1"/>
  <c r="Z53" i="8"/>
  <c r="BK50" i="9"/>
  <c r="BK49" i="9"/>
  <c r="Z52" i="8"/>
  <c r="BK51" i="6"/>
  <c r="BG51" i="6"/>
  <c r="Q53" i="8"/>
  <c r="AO52" i="8"/>
  <c r="AQ52" i="8" s="1"/>
  <c r="P52" i="13"/>
  <c r="R52" i="13" s="1"/>
  <c r="BG50" i="9"/>
  <c r="BG49" i="9"/>
  <c r="AW52" i="6"/>
  <c r="CM53" i="9"/>
  <c r="W52" i="6"/>
  <c r="AA51" i="9"/>
  <c r="AO53" i="8"/>
  <c r="P53" i="13"/>
  <c r="AL52" i="6"/>
  <c r="BT53" i="9"/>
  <c r="BV52" i="9"/>
  <c r="FP51" i="1"/>
  <c r="FN51" i="1"/>
  <c r="AF52" i="8"/>
  <c r="CM52" i="9"/>
  <c r="CG53" i="9"/>
  <c r="CO55" i="1"/>
  <c r="CQ55" i="1" s="1"/>
  <c r="BQ55" i="9"/>
  <c r="O55" i="9"/>
  <c r="CD55" i="9"/>
  <c r="N55" i="8"/>
  <c r="W55" i="8"/>
  <c r="N55" i="4"/>
  <c r="X55" i="4"/>
  <c r="GK55" i="1"/>
  <c r="BQ57" i="1"/>
  <c r="CK55" i="1" s="1"/>
  <c r="EO56" i="1"/>
  <c r="EQ56" i="1" s="1"/>
  <c r="BR56" i="1"/>
  <c r="CL54" i="1" s="1"/>
  <c r="DM56" i="1"/>
  <c r="DO56" i="1" s="1"/>
  <c r="DE56" i="1"/>
  <c r="FK56" i="1" s="1"/>
  <c r="AX51" i="6"/>
  <c r="GR51" i="1"/>
  <c r="BT51" i="8"/>
  <c r="BJ52" i="6"/>
  <c r="AF53" i="13"/>
  <c r="BT53" i="13"/>
  <c r="S53" i="13"/>
  <c r="BF52" i="6"/>
  <c r="Y53" i="9"/>
  <c r="AH53" i="9"/>
  <c r="CL53" i="1"/>
  <c r="AO52" i="6"/>
  <c r="AR53" i="8"/>
  <c r="R53" i="9"/>
  <c r="AH52" i="9"/>
  <c r="Y52" i="9"/>
  <c r="AA52" i="9" s="1"/>
  <c r="FZ57" i="1"/>
  <c r="GB57" i="1" s="1"/>
  <c r="DU54" i="1"/>
  <c r="EW56" i="1"/>
  <c r="BI59" i="1"/>
  <c r="CC56" i="1" s="1"/>
  <c r="BJ58" i="1"/>
  <c r="BL58" i="1" s="1"/>
  <c r="FY58" i="1"/>
  <c r="GA58" i="1" s="1"/>
  <c r="BF51" i="9"/>
  <c r="AU63" i="1"/>
  <c r="GF51" i="1"/>
  <c r="BJ51" i="9"/>
  <c r="BV53" i="9"/>
  <c r="E63" i="1"/>
  <c r="A65" i="1"/>
  <c r="AH64" i="1"/>
  <c r="X64" i="1"/>
  <c r="AJ64" i="1" s="1"/>
  <c r="Z64" i="1"/>
  <c r="AL64" i="1" s="1"/>
  <c r="Y64" i="1"/>
  <c r="AK64" i="1" s="1"/>
  <c r="AG64" i="1"/>
  <c r="AF64" i="1"/>
  <c r="AI64" i="1"/>
  <c r="AE64" i="1"/>
  <c r="AD64" i="1"/>
  <c r="AA64" i="1"/>
  <c r="AM64" i="1" s="1"/>
  <c r="AC64" i="1"/>
  <c r="AO64" i="1" s="1"/>
  <c r="AB64" i="1"/>
  <c r="AN64" i="1" s="1"/>
  <c r="D64" i="1"/>
  <c r="C64" i="1"/>
  <c r="V64" i="1" s="1"/>
  <c r="B64" i="1"/>
  <c r="DC54" i="6"/>
  <c r="CI55" i="1"/>
  <c r="FQ53" i="1"/>
  <c r="BK58" i="1"/>
  <c r="AE190" i="23"/>
  <c r="AD190" i="23"/>
  <c r="AR189" i="23"/>
  <c r="AQ189" i="23"/>
  <c r="AP189" i="23"/>
  <c r="AO189" i="23"/>
  <c r="AN189" i="23"/>
  <c r="AW64" i="1"/>
  <c r="BC64" i="1"/>
  <c r="AV64" i="1"/>
  <c r="AX64" i="1"/>
  <c r="BA64" i="1"/>
  <c r="BB64" i="1"/>
  <c r="R63" i="1"/>
  <c r="L63" i="1"/>
  <c r="Q63" i="1"/>
  <c r="T63" i="1"/>
  <c r="M63" i="1"/>
  <c r="P63" i="1"/>
  <c r="G63" i="1"/>
  <c r="O63" i="1"/>
  <c r="I63" i="1"/>
  <c r="H63" i="1"/>
  <c r="J63" i="1"/>
  <c r="K63" i="1"/>
  <c r="N63" i="1"/>
  <c r="F63" i="1"/>
  <c r="S63" i="1"/>
  <c r="AZ64" i="1"/>
  <c r="AY64" i="1"/>
  <c r="GG59" i="1" l="1"/>
  <c r="GI59" i="1" s="1"/>
  <c r="FV62" i="1"/>
  <c r="FX62" i="1" s="1"/>
  <c r="GH58" i="1"/>
  <c r="GJ58" i="1" s="1"/>
  <c r="FU63" i="1"/>
  <c r="GG60" i="1" s="1"/>
  <c r="CT56" i="1"/>
  <c r="AX54" i="4"/>
  <c r="BL54" i="13"/>
  <c r="BN54" i="13" s="1"/>
  <c r="AC54" i="13"/>
  <c r="BI54" i="4"/>
  <c r="BG54" i="4" s="1"/>
  <c r="BT54" i="4"/>
  <c r="BV54" i="4" s="1"/>
  <c r="BF54" i="4"/>
  <c r="CB54" i="1"/>
  <c r="DR56" i="1"/>
  <c r="DT56" i="1" s="1"/>
  <c r="AM54" i="4"/>
  <c r="AO54" i="4" s="1"/>
  <c r="CX54" i="1"/>
  <c r="CZ54" i="1" s="1"/>
  <c r="BU54" i="4"/>
  <c r="BH56" i="1"/>
  <c r="DQ57" i="1"/>
  <c r="DS57" i="1" s="1"/>
  <c r="BY55" i="1"/>
  <c r="BH55" i="4" s="1"/>
  <c r="BG57" i="1"/>
  <c r="BH57" i="1"/>
  <c r="CS57" i="1"/>
  <c r="CU57" i="1" s="1"/>
  <c r="CV57" i="1" s="1"/>
  <c r="BE58" i="1"/>
  <c r="BG58" i="1" s="1"/>
  <c r="AU54" i="4"/>
  <c r="AY54" i="4"/>
  <c r="AD54" i="13"/>
  <c r="BR52" i="4"/>
  <c r="FP52" i="1"/>
  <c r="BG52" i="4"/>
  <c r="BK52" i="4"/>
  <c r="AV52" i="4"/>
  <c r="D52" i="11"/>
  <c r="V52" i="13"/>
  <c r="BV53" i="13"/>
  <c r="BX52" i="13"/>
  <c r="CA52" i="13" s="1"/>
  <c r="AH53" i="13"/>
  <c r="AT53" i="8"/>
  <c r="BG53" i="8"/>
  <c r="CJ53" i="9"/>
  <c r="AS53" i="9"/>
  <c r="BR52" i="8"/>
  <c r="BT52" i="8" s="1"/>
  <c r="CN52" i="9"/>
  <c r="FR52" i="1"/>
  <c r="FT52" i="1"/>
  <c r="EJ52" i="1"/>
  <c r="AO53" i="9"/>
  <c r="FN52" i="1"/>
  <c r="V55" i="6"/>
  <c r="AH53" i="8"/>
  <c r="DV54" i="1"/>
  <c r="AN54" i="6" s="1"/>
  <c r="AI54" i="6"/>
  <c r="BI54" i="6" s="1"/>
  <c r="BR54" i="6"/>
  <c r="BT54" i="6" s="1"/>
  <c r="CA54" i="6"/>
  <c r="CC54" i="6" s="1"/>
  <c r="U54" i="6"/>
  <c r="W54" i="6" s="1"/>
  <c r="CJ54" i="6"/>
  <c r="CL54" i="6" s="1"/>
  <c r="DB54" i="6"/>
  <c r="DD54" i="6" s="1"/>
  <c r="GX56" i="1"/>
  <c r="GZ56" i="1" s="1"/>
  <c r="CS54" i="6"/>
  <c r="CU54" i="6" s="1"/>
  <c r="AT64" i="1"/>
  <c r="U64" i="1"/>
  <c r="BK52" i="6"/>
  <c r="GR53" i="1"/>
  <c r="DK54" i="6"/>
  <c r="DM54" i="6" s="1"/>
  <c r="W64" i="1"/>
  <c r="AQ64" i="1"/>
  <c r="BZ55" i="1"/>
  <c r="CB55" i="1" s="1"/>
  <c r="AS64" i="1"/>
  <c r="AR64" i="1"/>
  <c r="CO56" i="1"/>
  <c r="EC56" i="1" s="1"/>
  <c r="GW57" i="1"/>
  <c r="GY57" i="1" s="1"/>
  <c r="CH55" i="1"/>
  <c r="CJ55" i="1" s="1"/>
  <c r="CN53" i="9"/>
  <c r="GR52" i="1"/>
  <c r="FI56" i="1"/>
  <c r="BX53" i="9"/>
  <c r="CD55" i="1"/>
  <c r="CF55" i="1" s="1"/>
  <c r="BJ54" i="6"/>
  <c r="BT56" i="1"/>
  <c r="DT54" i="6"/>
  <c r="DZ54" i="1"/>
  <c r="ET54" i="1"/>
  <c r="EH54" i="1"/>
  <c r="DJ56" i="6"/>
  <c r="DL56" i="6" s="1"/>
  <c r="CI56" i="6"/>
  <c r="AH56" i="6"/>
  <c r="AM56" i="6" s="1"/>
  <c r="AO56" i="6" s="1"/>
  <c r="DA56" i="6"/>
  <c r="DC56" i="6" s="1"/>
  <c r="BQ56" i="6"/>
  <c r="BS56" i="6" s="1"/>
  <c r="CR56" i="6"/>
  <c r="CT56" i="6" s="1"/>
  <c r="T56" i="6"/>
  <c r="V56" i="6" s="1"/>
  <c r="BZ56" i="6"/>
  <c r="CB56" i="6" s="1"/>
  <c r="DU56" i="1"/>
  <c r="DW56" i="1" s="1"/>
  <c r="CI56" i="1"/>
  <c r="DS55" i="6"/>
  <c r="DU55" i="6" s="1"/>
  <c r="DY55" i="1"/>
  <c r="EA55" i="1" s="1"/>
  <c r="ES55" i="1"/>
  <c r="EU55" i="1" s="1"/>
  <c r="CM55" i="1"/>
  <c r="AG54" i="8"/>
  <c r="FG56" i="1"/>
  <c r="AK53" i="9"/>
  <c r="BA52" i="9"/>
  <c r="AN52" i="9"/>
  <c r="AP52" i="9" s="1"/>
  <c r="AS52" i="8"/>
  <c r="AU52" i="8" s="1"/>
  <c r="AQ53" i="8"/>
  <c r="AH54" i="9"/>
  <c r="AR54" i="9" s="1"/>
  <c r="Y54" i="9"/>
  <c r="AA54" i="9" s="1"/>
  <c r="GZ55" i="1"/>
  <c r="AF54" i="8"/>
  <c r="AH54" i="8" s="1"/>
  <c r="CR55" i="1"/>
  <c r="EL54" i="1"/>
  <c r="EN54" i="1" s="1"/>
  <c r="ED54" i="1"/>
  <c r="EF54" i="1" s="1"/>
  <c r="FB54" i="1"/>
  <c r="FM54" i="1"/>
  <c r="FO54" i="1"/>
  <c r="EM54" i="1"/>
  <c r="BE51" i="9"/>
  <c r="BI51" i="9"/>
  <c r="BC51" i="9"/>
  <c r="BD55" i="6"/>
  <c r="BJ55" i="6" s="1"/>
  <c r="AU55" i="6"/>
  <c r="AW55" i="6" s="1"/>
  <c r="AG55" i="6"/>
  <c r="AG55" i="9"/>
  <c r="AQ55" i="9" s="1"/>
  <c r="X55" i="9"/>
  <c r="BU55" i="9"/>
  <c r="CM54" i="9"/>
  <c r="AK52" i="9"/>
  <c r="EW57" i="1"/>
  <c r="EY57" i="1" s="1"/>
  <c r="E51" i="11"/>
  <c r="BY51" i="13"/>
  <c r="GM55" i="1"/>
  <c r="GM54" i="1"/>
  <c r="AU64" i="1"/>
  <c r="BS51" i="8"/>
  <c r="BQ51" i="8"/>
  <c r="DT53" i="6"/>
  <c r="CN54" i="1"/>
  <c r="DZ53" i="1"/>
  <c r="EH53" i="1"/>
  <c r="FN53" i="1" s="1"/>
  <c r="ET53" i="1"/>
  <c r="CN53" i="1"/>
  <c r="AE55" i="8"/>
  <c r="FA55" i="1"/>
  <c r="FC55" i="1" s="1"/>
  <c r="EC55" i="1"/>
  <c r="EE55" i="1" s="1"/>
  <c r="BH51" i="8"/>
  <c r="DG56" i="1"/>
  <c r="AI51" i="13"/>
  <c r="FB53" i="1"/>
  <c r="GD54" i="1"/>
  <c r="GF54" i="1" s="1"/>
  <c r="GP54" i="1"/>
  <c r="GR54" i="1" s="1"/>
  <c r="AP64" i="1"/>
  <c r="P55" i="4"/>
  <c r="P54" i="4"/>
  <c r="DR57" i="1"/>
  <c r="DJ57" i="1"/>
  <c r="DL57" i="1" s="1"/>
  <c r="BA53" i="9"/>
  <c r="AN53" i="9"/>
  <c r="EP56" i="1"/>
  <c r="ER56" i="1" s="1"/>
  <c r="DN56" i="1"/>
  <c r="DF56" i="1"/>
  <c r="FL56" i="1" s="1"/>
  <c r="CI52" i="9"/>
  <c r="CI53" i="9"/>
  <c r="BW51" i="13"/>
  <c r="DB56" i="1"/>
  <c r="DD56" i="1" s="1"/>
  <c r="BU59" i="1"/>
  <c r="CO57" i="1" s="1"/>
  <c r="BV58" i="1"/>
  <c r="CP56" i="1" s="1"/>
  <c r="DI58" i="1"/>
  <c r="CV56" i="1"/>
  <c r="Z55" i="4"/>
  <c r="GC54" i="1"/>
  <c r="GO54" i="1"/>
  <c r="Z54" i="4"/>
  <c r="CR54" i="1"/>
  <c r="CT57" i="1"/>
  <c r="DM53" i="6"/>
  <c r="A66" i="1"/>
  <c r="AA65" i="1"/>
  <c r="AM65" i="1" s="1"/>
  <c r="Z65" i="1"/>
  <c r="AL65" i="1" s="1"/>
  <c r="Y65" i="1"/>
  <c r="AK65" i="1" s="1"/>
  <c r="X65" i="1"/>
  <c r="AJ65" i="1" s="1"/>
  <c r="AG65" i="1"/>
  <c r="AF65" i="1"/>
  <c r="AC65" i="1"/>
  <c r="AO65" i="1" s="1"/>
  <c r="AI65" i="1"/>
  <c r="AH65" i="1"/>
  <c r="AE65" i="1"/>
  <c r="AD65" i="1"/>
  <c r="AB65" i="1"/>
  <c r="AN65" i="1" s="1"/>
  <c r="B65" i="1"/>
  <c r="D65" i="1"/>
  <c r="C65" i="1"/>
  <c r="V65" i="1" s="1"/>
  <c r="O56" i="9"/>
  <c r="BQ56" i="9"/>
  <c r="CD56" i="9"/>
  <c r="CF56" i="9" s="1"/>
  <c r="W56" i="8"/>
  <c r="N56" i="8"/>
  <c r="P56" i="8" s="1"/>
  <c r="N56" i="4"/>
  <c r="P56" i="4" s="1"/>
  <c r="X56" i="4"/>
  <c r="Z56" i="4" s="1"/>
  <c r="GK56" i="1"/>
  <c r="BQ58" i="1"/>
  <c r="BS58" i="1" s="1"/>
  <c r="BR57" i="1"/>
  <c r="EX57" i="1" s="1"/>
  <c r="EO57" i="1"/>
  <c r="EQ57" i="1" s="1"/>
  <c r="DM57" i="1"/>
  <c r="DE57" i="1"/>
  <c r="BM58" i="1"/>
  <c r="BO58" i="1" s="1"/>
  <c r="BN57" i="1"/>
  <c r="BP57" i="1" s="1"/>
  <c r="DA57" i="1"/>
  <c r="DC57" i="1" s="1"/>
  <c r="AA55" i="8"/>
  <c r="BA55" i="8"/>
  <c r="Y55" i="8"/>
  <c r="BA54" i="8"/>
  <c r="AA54" i="8"/>
  <c r="Y54" i="8"/>
  <c r="FF55" i="1"/>
  <c r="BO57" i="1"/>
  <c r="AJ55" i="6"/>
  <c r="BI60" i="1"/>
  <c r="BK60" i="1" s="1"/>
  <c r="BJ59" i="1"/>
  <c r="BL59" i="1" s="1"/>
  <c r="FY59" i="1"/>
  <c r="GA59" i="1" s="1"/>
  <c r="AN54" i="8"/>
  <c r="P55" i="8"/>
  <c r="O54" i="13"/>
  <c r="P54" i="8"/>
  <c r="FH55" i="1"/>
  <c r="E64" i="1"/>
  <c r="BK59" i="1"/>
  <c r="FL55" i="1"/>
  <c r="AO55" i="6"/>
  <c r="AO54" i="6"/>
  <c r="AN53" i="6"/>
  <c r="Y53" i="6"/>
  <c r="AA53" i="6" s="1"/>
  <c r="BH54" i="6"/>
  <c r="BX53" i="13"/>
  <c r="FZ58" i="1"/>
  <c r="GB58" i="1" s="1"/>
  <c r="BS57" i="1"/>
  <c r="ER55" i="1"/>
  <c r="CE56" i="1"/>
  <c r="AD53" i="8"/>
  <c r="FJ55" i="1"/>
  <c r="CZ53" i="1"/>
  <c r="F54" i="11"/>
  <c r="Z55" i="6"/>
  <c r="Z54" i="6"/>
  <c r="EY56" i="1"/>
  <c r="D53" i="11"/>
  <c r="GC55" i="1"/>
  <c r="GO55" i="1"/>
  <c r="BD53" i="8"/>
  <c r="BF52" i="8"/>
  <c r="BO52" i="8"/>
  <c r="BQ52" i="8" s="1"/>
  <c r="U53" i="13"/>
  <c r="EX56" i="1"/>
  <c r="DW55" i="1"/>
  <c r="DW54" i="1"/>
  <c r="V53" i="13"/>
  <c r="AO53" i="4"/>
  <c r="BS55" i="9"/>
  <c r="BU54" i="9"/>
  <c r="BS54" i="9"/>
  <c r="BR53" i="8"/>
  <c r="BD53" i="9"/>
  <c r="BH53" i="9"/>
  <c r="AV53" i="4"/>
  <c r="BG53" i="4"/>
  <c r="AZ53" i="4"/>
  <c r="BK53" i="4"/>
  <c r="Q55" i="9"/>
  <c r="AG54" i="9"/>
  <c r="CH54" i="9" s="1"/>
  <c r="CN54" i="9" s="1"/>
  <c r="X54" i="9"/>
  <c r="Q54" i="9"/>
  <c r="BE53" i="6"/>
  <c r="BG53" i="6" s="1"/>
  <c r="AV53" i="6"/>
  <c r="BI53" i="6"/>
  <c r="AW54" i="6"/>
  <c r="BR53" i="4"/>
  <c r="BV53" i="4"/>
  <c r="BX57" i="1"/>
  <c r="AN55" i="8"/>
  <c r="O55" i="13"/>
  <c r="AU51" i="8"/>
  <c r="BN53" i="13"/>
  <c r="BX52" i="9"/>
  <c r="AB54" i="4"/>
  <c r="BF53" i="8"/>
  <c r="BO53" i="8"/>
  <c r="BU53" i="13"/>
  <c r="AG53" i="13"/>
  <c r="T53" i="13"/>
  <c r="AO54" i="8"/>
  <c r="AQ54" i="8" s="1"/>
  <c r="P54" i="13"/>
  <c r="AV54" i="13"/>
  <c r="AV53" i="13"/>
  <c r="G52" i="11"/>
  <c r="BB53" i="9"/>
  <c r="F55" i="11"/>
  <c r="Q54" i="8"/>
  <c r="BB54" i="8"/>
  <c r="AB54" i="8"/>
  <c r="AD54" i="8" s="1"/>
  <c r="GF53" i="1"/>
  <c r="AH52" i="8"/>
  <c r="AR53" i="9"/>
  <c r="BV54" i="9"/>
  <c r="BX54" i="9" s="1"/>
  <c r="CY54" i="1"/>
  <c r="GT60" i="1"/>
  <c r="GS61" i="1"/>
  <c r="GW58" i="1" s="1"/>
  <c r="CC53" i="6"/>
  <c r="DP55" i="1"/>
  <c r="CL54" i="9"/>
  <c r="CF55" i="9"/>
  <c r="CF54" i="9"/>
  <c r="AS53" i="8"/>
  <c r="FE56" i="1"/>
  <c r="AA53" i="9"/>
  <c r="BP53" i="8"/>
  <c r="CL55" i="9"/>
  <c r="BU52" i="13"/>
  <c r="R53" i="13"/>
  <c r="AG52" i="13"/>
  <c r="T52" i="13"/>
  <c r="AR52" i="9"/>
  <c r="BT53" i="6"/>
  <c r="FQ54" i="1"/>
  <c r="FS54" i="1"/>
  <c r="EE54" i="1"/>
  <c r="AP51" i="9"/>
  <c r="EN53" i="1"/>
  <c r="AK189" i="23"/>
  <c r="AJ189" i="23"/>
  <c r="AI189" i="23"/>
  <c r="AH189" i="23"/>
  <c r="AG189" i="23"/>
  <c r="BA65" i="1"/>
  <c r="BB65" i="1"/>
  <c r="AW65" i="1"/>
  <c r="AX65" i="1"/>
  <c r="BC65" i="1"/>
  <c r="I64" i="1"/>
  <c r="N64" i="1"/>
  <c r="T64" i="1"/>
  <c r="F64" i="1"/>
  <c r="R64" i="1"/>
  <c r="M64" i="1"/>
  <c r="J64" i="1"/>
  <c r="G64" i="1"/>
  <c r="O64" i="1"/>
  <c r="Q64" i="1"/>
  <c r="L64" i="1"/>
  <c r="P64" i="1"/>
  <c r="K64" i="1"/>
  <c r="S64" i="1"/>
  <c r="H64" i="1"/>
  <c r="AZ65" i="1"/>
  <c r="AY65" i="1"/>
  <c r="AV65" i="1"/>
  <c r="GH59" i="1" l="1"/>
  <c r="GJ59" i="1" s="1"/>
  <c r="GI60" i="1"/>
  <c r="FV63" i="1"/>
  <c r="GH60" i="1" s="1"/>
  <c r="FW63" i="1"/>
  <c r="FU64" i="1"/>
  <c r="FW64" i="1" s="1"/>
  <c r="BR54" i="4"/>
  <c r="AV54" i="4"/>
  <c r="BK54" i="4"/>
  <c r="AZ54" i="4"/>
  <c r="FH56" i="1"/>
  <c r="AS55" i="13"/>
  <c r="AU55" i="13" s="1"/>
  <c r="BE59" i="1"/>
  <c r="BY57" i="1" s="1"/>
  <c r="BK57" i="13" s="1"/>
  <c r="CA55" i="1"/>
  <c r="CW55" i="1"/>
  <c r="CY55" i="1" s="1"/>
  <c r="AW55" i="4"/>
  <c r="AL55" i="4"/>
  <c r="AN55" i="4" s="1"/>
  <c r="BK55" i="13"/>
  <c r="BM55" i="13" s="1"/>
  <c r="AB55" i="13"/>
  <c r="AE55" i="13" s="1"/>
  <c r="EG55" i="1"/>
  <c r="EI55" i="1" s="1"/>
  <c r="EK55" i="1"/>
  <c r="EM55" i="1" s="1"/>
  <c r="BS55" i="4"/>
  <c r="BQ55" i="4" s="1"/>
  <c r="FG57" i="1"/>
  <c r="BY56" i="1"/>
  <c r="BS56" i="4" s="1"/>
  <c r="BF58" i="1"/>
  <c r="BZ56" i="1" s="1"/>
  <c r="CS58" i="1"/>
  <c r="CU58" i="1" s="1"/>
  <c r="CV58" i="1" s="1"/>
  <c r="DQ58" i="1"/>
  <c r="DS58" i="1" s="1"/>
  <c r="CA53" i="13"/>
  <c r="BZ52" i="13"/>
  <c r="Y54" i="6"/>
  <c r="G54" i="11" s="1"/>
  <c r="DX54" i="1"/>
  <c r="AL54" i="6"/>
  <c r="AV54" i="6"/>
  <c r="AX54" i="6" s="1"/>
  <c r="BE54" i="6"/>
  <c r="BG54" i="6" s="1"/>
  <c r="DK55" i="6"/>
  <c r="DM55" i="6" s="1"/>
  <c r="BR55" i="6"/>
  <c r="BT55" i="6" s="1"/>
  <c r="BT55" i="4"/>
  <c r="BV55" i="4" s="1"/>
  <c r="BL55" i="13"/>
  <c r="BN55" i="13" s="1"/>
  <c r="AC55" i="13"/>
  <c r="X56" i="6"/>
  <c r="Z56" i="6" s="1"/>
  <c r="CH55" i="9"/>
  <c r="CN55" i="9" s="1"/>
  <c r="CA55" i="6"/>
  <c r="CC55" i="6" s="1"/>
  <c r="DB55" i="6"/>
  <c r="DD55" i="6" s="1"/>
  <c r="CS55" i="6"/>
  <c r="CU55" i="6" s="1"/>
  <c r="AI55" i="6"/>
  <c r="AL55" i="6" s="1"/>
  <c r="U55" i="6"/>
  <c r="W55" i="6" s="1"/>
  <c r="CJ55" i="6"/>
  <c r="CL55" i="6" s="1"/>
  <c r="EL55" i="1"/>
  <c r="EN55" i="1" s="1"/>
  <c r="AE56" i="8"/>
  <c r="AG56" i="8" s="1"/>
  <c r="AX55" i="4"/>
  <c r="AM55" i="4"/>
  <c r="AO55" i="4" s="1"/>
  <c r="AT55" i="13"/>
  <c r="AV55" i="13" s="1"/>
  <c r="BI55" i="4"/>
  <c r="BK55" i="4" s="1"/>
  <c r="O55" i="4"/>
  <c r="R55" i="4" s="1"/>
  <c r="CE55" i="9"/>
  <c r="Y55" i="4"/>
  <c r="AB55" i="4" s="1"/>
  <c r="ED55" i="1"/>
  <c r="EF55" i="1" s="1"/>
  <c r="X55" i="8"/>
  <c r="Z55" i="8" s="1"/>
  <c r="O55" i="8"/>
  <c r="AO55" i="8" s="1"/>
  <c r="AQ55" i="8" s="1"/>
  <c r="BR55" i="9"/>
  <c r="BT55" i="9" s="1"/>
  <c r="CX55" i="1"/>
  <c r="CZ55" i="1" s="1"/>
  <c r="DO57" i="1"/>
  <c r="GL55" i="1"/>
  <c r="GN55" i="1" s="1"/>
  <c r="CD56" i="1"/>
  <c r="CF56" i="1" s="1"/>
  <c r="AK54" i="9"/>
  <c r="CC57" i="1"/>
  <c r="CQ56" i="1"/>
  <c r="AJ56" i="6"/>
  <c r="BH53" i="8"/>
  <c r="AT65" i="1"/>
  <c r="P55" i="9"/>
  <c r="R55" i="9" s="1"/>
  <c r="DV55" i="1"/>
  <c r="DX55" i="1" s="1"/>
  <c r="U65" i="1"/>
  <c r="FJ56" i="1"/>
  <c r="FF56" i="1"/>
  <c r="Y56" i="8"/>
  <c r="BF55" i="6"/>
  <c r="AP54" i="6"/>
  <c r="CI54" i="9"/>
  <c r="CO54" i="9" s="1"/>
  <c r="BT57" i="1"/>
  <c r="AX53" i="6"/>
  <c r="AP53" i="6"/>
  <c r="CK56" i="1"/>
  <c r="FA56" i="1" s="1"/>
  <c r="FC56" i="1" s="1"/>
  <c r="AT54" i="9"/>
  <c r="AP65" i="1"/>
  <c r="AS65" i="1"/>
  <c r="EW58" i="1"/>
  <c r="EY58" i="1" s="1"/>
  <c r="AU65" i="1"/>
  <c r="GX65" i="1" s="1"/>
  <c r="AQ65" i="1"/>
  <c r="CD65" i="1" s="1"/>
  <c r="AR65" i="1"/>
  <c r="FP53" i="1"/>
  <c r="CR56" i="1"/>
  <c r="CQ57" i="1"/>
  <c r="GY58" i="1"/>
  <c r="EJ54" i="1"/>
  <c r="EJ53" i="1"/>
  <c r="AP53" i="9"/>
  <c r="E52" i="11"/>
  <c r="BY52" i="13"/>
  <c r="Z55" i="9"/>
  <c r="Z54" i="9"/>
  <c r="CG57" i="1"/>
  <c r="W65" i="1"/>
  <c r="EB54" i="1"/>
  <c r="EB53" i="1"/>
  <c r="BK51" i="9"/>
  <c r="BC53" i="9"/>
  <c r="BE52" i="9"/>
  <c r="BG52" i="9" s="1"/>
  <c r="BI52" i="9"/>
  <c r="AT53" i="9"/>
  <c r="AT52" i="9"/>
  <c r="AI53" i="13"/>
  <c r="GT61" i="1"/>
  <c r="GV61" i="1" s="1"/>
  <c r="GS62" i="1"/>
  <c r="GW59" i="1" s="1"/>
  <c r="GY59" i="1" s="1"/>
  <c r="AI55" i="9"/>
  <c r="AZ54" i="9"/>
  <c r="AI54" i="9"/>
  <c r="AL54" i="9"/>
  <c r="CL56" i="9"/>
  <c r="BG51" i="9"/>
  <c r="AC55" i="8"/>
  <c r="AC54" i="8"/>
  <c r="DV54" i="6"/>
  <c r="DV53" i="6"/>
  <c r="BC52" i="9"/>
  <c r="DB57" i="1"/>
  <c r="DD57" i="1" s="1"/>
  <c r="BU56" i="9"/>
  <c r="BW56" i="9" s="1"/>
  <c r="BW53" i="13"/>
  <c r="GU61" i="1"/>
  <c r="BN54" i="8"/>
  <c r="BE54" i="8"/>
  <c r="BC55" i="8"/>
  <c r="BC54" i="8"/>
  <c r="BE53" i="9"/>
  <c r="BI53" i="9"/>
  <c r="BU51" i="8"/>
  <c r="BW55" i="9"/>
  <c r="BW54" i="9"/>
  <c r="CJ54" i="9"/>
  <c r="BM59" i="1"/>
  <c r="CG58" i="1" s="1"/>
  <c r="BN58" i="1"/>
  <c r="CH57" i="1" s="1"/>
  <c r="DA58" i="1"/>
  <c r="DC58" i="1" s="1"/>
  <c r="X56" i="9"/>
  <c r="Z56" i="9" s="1"/>
  <c r="AG56" i="9"/>
  <c r="CH56" i="9" s="1"/>
  <c r="BZ53" i="13"/>
  <c r="FE57" i="1"/>
  <c r="AF55" i="13"/>
  <c r="BT55" i="13"/>
  <c r="S55" i="13"/>
  <c r="Y66" i="1"/>
  <c r="AK66" i="1" s="1"/>
  <c r="X66" i="1"/>
  <c r="AJ66" i="1" s="1"/>
  <c r="AH66" i="1"/>
  <c r="AG66" i="1"/>
  <c r="AF66" i="1"/>
  <c r="AE66" i="1"/>
  <c r="AD66" i="1"/>
  <c r="AC66" i="1"/>
  <c r="AO66" i="1" s="1"/>
  <c r="AA66" i="1"/>
  <c r="AM66" i="1" s="1"/>
  <c r="Z66" i="1"/>
  <c r="AL66" i="1" s="1"/>
  <c r="AI66" i="1"/>
  <c r="AB66" i="1"/>
  <c r="AN66" i="1" s="1"/>
  <c r="B66" i="1"/>
  <c r="D66" i="1"/>
  <c r="C66" i="1"/>
  <c r="V66" i="1" s="1"/>
  <c r="F22" i="17"/>
  <c r="L22" i="17" s="1"/>
  <c r="F29" i="17"/>
  <c r="L29" i="17" s="1"/>
  <c r="E39" i="17"/>
  <c r="K39" i="17" s="1"/>
  <c r="F26" i="17"/>
  <c r="L26" i="17" s="1"/>
  <c r="E41" i="17"/>
  <c r="K41" i="17" s="1"/>
  <c r="F31" i="17"/>
  <c r="L31" i="17" s="1"/>
  <c r="F24" i="17"/>
  <c r="L24" i="17" s="1"/>
  <c r="F30" i="17"/>
  <c r="L30" i="17" s="1"/>
  <c r="E40" i="17"/>
  <c r="K40" i="17" s="1"/>
  <c r="AR55" i="8"/>
  <c r="EZ57" i="1"/>
  <c r="EZ56" i="1"/>
  <c r="E65" i="1"/>
  <c r="FD54" i="1"/>
  <c r="FD53" i="1"/>
  <c r="DJ58" i="1"/>
  <c r="DL58" i="1" s="1"/>
  <c r="BU60" i="1"/>
  <c r="CO58" i="1" s="1"/>
  <c r="CQ58" i="1" s="1"/>
  <c r="BV59" i="1"/>
  <c r="CP57" i="1" s="1"/>
  <c r="DI59" i="1"/>
  <c r="DK59" i="1" s="1"/>
  <c r="AI52" i="13"/>
  <c r="FK57" i="1"/>
  <c r="FR54" i="1"/>
  <c r="FT54" i="1"/>
  <c r="BU54" i="13"/>
  <c r="BW54" i="13" s="1"/>
  <c r="AG54" i="13"/>
  <c r="AI54" i="13" s="1"/>
  <c r="T54" i="13"/>
  <c r="BJ53" i="9"/>
  <c r="AS54" i="8"/>
  <c r="AU54" i="8" s="1"/>
  <c r="BW59" i="1"/>
  <c r="BX58" i="1"/>
  <c r="DP56" i="1"/>
  <c r="FI57" i="1"/>
  <c r="BS56" i="9"/>
  <c r="FP54" i="1"/>
  <c r="FN54" i="1"/>
  <c r="BF54" i="8"/>
  <c r="BO54" i="8"/>
  <c r="BK53" i="6"/>
  <c r="AF54" i="13"/>
  <c r="BT54" i="13"/>
  <c r="Q55" i="13"/>
  <c r="Q54" i="13"/>
  <c r="S54" i="13"/>
  <c r="EP57" i="1"/>
  <c r="ER57" i="1" s="1"/>
  <c r="DN57" i="1"/>
  <c r="DP57" i="1" s="1"/>
  <c r="DF57" i="1"/>
  <c r="FL57" i="1" s="1"/>
  <c r="CH56" i="1"/>
  <c r="FR53" i="1"/>
  <c r="DK58" i="1"/>
  <c r="E53" i="11"/>
  <c r="BY53" i="13"/>
  <c r="BQ59" i="1"/>
  <c r="CK57" i="1" s="1"/>
  <c r="EO58" i="1"/>
  <c r="BR58" i="1"/>
  <c r="EX58" i="1" s="1"/>
  <c r="DE58" i="1"/>
  <c r="FK58" i="1" s="1"/>
  <c r="DM58" i="1"/>
  <c r="FT53" i="1"/>
  <c r="BF55" i="4"/>
  <c r="AU55" i="4"/>
  <c r="AY55" i="4"/>
  <c r="BJ55" i="4"/>
  <c r="BD56" i="6"/>
  <c r="BJ56" i="6" s="1"/>
  <c r="AU56" i="6"/>
  <c r="AW56" i="6" s="1"/>
  <c r="AG56" i="6"/>
  <c r="G53" i="11"/>
  <c r="EE56" i="1"/>
  <c r="FQ55" i="1"/>
  <c r="FS55" i="1"/>
  <c r="AZ55" i="9"/>
  <c r="AL55" i="9"/>
  <c r="Q56" i="9"/>
  <c r="R54" i="13"/>
  <c r="DT57" i="1"/>
  <c r="FZ59" i="1"/>
  <c r="GC56" i="1"/>
  <c r="GE56" i="1" s="1"/>
  <c r="GO56" i="1"/>
  <c r="DH56" i="1"/>
  <c r="AP55" i="8"/>
  <c r="AR54" i="8"/>
  <c r="AP54" i="8"/>
  <c r="BH52" i="8"/>
  <c r="BF53" i="9"/>
  <c r="BI61" i="1"/>
  <c r="BK61" i="1" s="1"/>
  <c r="BJ60" i="1"/>
  <c r="BL60" i="1" s="1"/>
  <c r="FY60" i="1"/>
  <c r="GA60" i="1" s="1"/>
  <c r="BN55" i="8"/>
  <c r="BE55" i="8"/>
  <c r="BA54" i="9"/>
  <c r="AN54" i="9"/>
  <c r="AP54" i="9" s="1"/>
  <c r="GX57" i="1"/>
  <c r="BS53" i="8"/>
  <c r="BW52" i="13"/>
  <c r="BS52" i="8"/>
  <c r="BQ53" i="8"/>
  <c r="GQ55" i="1"/>
  <c r="GQ54" i="1"/>
  <c r="GV60" i="1"/>
  <c r="BD54" i="8"/>
  <c r="GM56" i="1"/>
  <c r="GE55" i="1"/>
  <c r="GE54" i="1"/>
  <c r="DG57" i="1"/>
  <c r="AN56" i="8"/>
  <c r="AP56" i="8" s="1"/>
  <c r="O56" i="13"/>
  <c r="CO53" i="9"/>
  <c r="CK53" i="9"/>
  <c r="CK52" i="9"/>
  <c r="CO52" i="9"/>
  <c r="BH55" i="6"/>
  <c r="AU53" i="8"/>
  <c r="AA56" i="8"/>
  <c r="BA56" i="8"/>
  <c r="AQ54" i="9"/>
  <c r="CL55" i="1"/>
  <c r="EV54" i="1"/>
  <c r="EV53" i="1"/>
  <c r="CK56" i="6"/>
  <c r="BT53" i="8"/>
  <c r="AG55" i="8"/>
  <c r="AE189" i="23"/>
  <c r="AD189" i="23"/>
  <c r="AR188" i="23"/>
  <c r="AQ188" i="23"/>
  <c r="AP188" i="23"/>
  <c r="AO188" i="23"/>
  <c r="AN188" i="23"/>
  <c r="AW66" i="1"/>
  <c r="AV66" i="1"/>
  <c r="AY66" i="1"/>
  <c r="AX66" i="1"/>
  <c r="BB66" i="1"/>
  <c r="BC66" i="1"/>
  <c r="BA66" i="1"/>
  <c r="S65" i="1"/>
  <c r="Q65" i="1"/>
  <c r="I65" i="1"/>
  <c r="F65" i="1"/>
  <c r="H65" i="1"/>
  <c r="R65" i="1"/>
  <c r="O65" i="1"/>
  <c r="M65" i="1"/>
  <c r="N65" i="1"/>
  <c r="G65" i="1"/>
  <c r="S67" i="1"/>
  <c r="J65" i="1"/>
  <c r="R66" i="1"/>
  <c r="Q66" i="1"/>
  <c r="L65" i="1"/>
  <c r="J66" i="1"/>
  <c r="F66" i="1"/>
  <c r="T65" i="1"/>
  <c r="K66" i="1"/>
  <c r="P65" i="1"/>
  <c r="K65" i="1"/>
  <c r="AZ66" i="1"/>
  <c r="FU65" i="1" l="1"/>
  <c r="FW65" i="1" s="1"/>
  <c r="GJ60" i="1"/>
  <c r="FX63" i="1"/>
  <c r="FV64" i="1"/>
  <c r="GH61" i="1" s="1"/>
  <c r="GJ61" i="1" s="1"/>
  <c r="GG61" i="1"/>
  <c r="GI61" i="1" s="1"/>
  <c r="DQ59" i="1"/>
  <c r="DS59" i="1" s="1"/>
  <c r="BS57" i="4"/>
  <c r="BU57" i="4" s="1"/>
  <c r="AS57" i="13"/>
  <c r="BF59" i="1"/>
  <c r="BH59" i="1" s="1"/>
  <c r="CS59" i="1"/>
  <c r="CU59" i="1" s="1"/>
  <c r="CV59" i="1" s="1"/>
  <c r="BE60" i="1"/>
  <c r="BY58" i="1" s="1"/>
  <c r="CA58" i="1" s="1"/>
  <c r="BH57" i="4"/>
  <c r="AU57" i="4" s="1"/>
  <c r="AW57" i="4"/>
  <c r="AB57" i="13"/>
  <c r="CW57" i="1"/>
  <c r="AL57" i="4"/>
  <c r="EK57" i="1"/>
  <c r="BG59" i="1"/>
  <c r="BU56" i="4"/>
  <c r="EK56" i="1"/>
  <c r="EM56" i="1" s="1"/>
  <c r="CW56" i="1"/>
  <c r="CY56" i="1" s="1"/>
  <c r="BU55" i="4"/>
  <c r="CA57" i="1"/>
  <c r="AW56" i="4"/>
  <c r="BH58" i="1"/>
  <c r="FO55" i="1"/>
  <c r="BH56" i="4"/>
  <c r="AY56" i="4" s="1"/>
  <c r="BK56" i="13"/>
  <c r="BM57" i="13" s="1"/>
  <c r="AL56" i="4"/>
  <c r="AN56" i="4" s="1"/>
  <c r="AS56" i="13"/>
  <c r="AU56" i="13" s="1"/>
  <c r="AB56" i="13"/>
  <c r="FM55" i="1"/>
  <c r="AD55" i="13"/>
  <c r="CA56" i="1"/>
  <c r="DR58" i="1"/>
  <c r="DT58" i="1" s="1"/>
  <c r="CT58" i="1"/>
  <c r="AA54" i="6"/>
  <c r="BK54" i="6"/>
  <c r="F56" i="11"/>
  <c r="CJ55" i="9"/>
  <c r="AV55" i="6"/>
  <c r="AX55" i="6" s="1"/>
  <c r="BI55" i="6"/>
  <c r="BE55" i="6"/>
  <c r="BG55" i="6" s="1"/>
  <c r="CE56" i="9"/>
  <c r="CG56" i="9" s="1"/>
  <c r="X56" i="8"/>
  <c r="Z56" i="8" s="1"/>
  <c r="BR55" i="4"/>
  <c r="Q55" i="8"/>
  <c r="GL56" i="1"/>
  <c r="GN56" i="1" s="1"/>
  <c r="CE57" i="1"/>
  <c r="X57" i="4"/>
  <c r="GC57" i="1" s="1"/>
  <c r="GE57" i="1" s="1"/>
  <c r="O57" i="9"/>
  <c r="X57" i="9" s="1"/>
  <c r="Z57" i="9" s="1"/>
  <c r="W57" i="8"/>
  <c r="AE57" i="8" s="1"/>
  <c r="AG57" i="8" s="1"/>
  <c r="CD57" i="9"/>
  <c r="CF57" i="9" s="1"/>
  <c r="GK57" i="1"/>
  <c r="GM57" i="1" s="1"/>
  <c r="N57" i="8"/>
  <c r="P57" i="8" s="1"/>
  <c r="BQ57" i="9"/>
  <c r="CK54" i="9"/>
  <c r="CM55" i="9"/>
  <c r="CG55" i="9"/>
  <c r="AV55" i="4"/>
  <c r="BG55" i="4"/>
  <c r="AH55" i="9"/>
  <c r="AR55" i="9" s="1"/>
  <c r="AT55" i="9" s="1"/>
  <c r="AB55" i="8"/>
  <c r="AD55" i="8" s="1"/>
  <c r="Y56" i="4"/>
  <c r="AB56" i="4" s="1"/>
  <c r="O56" i="8"/>
  <c r="Q56" i="8" s="1"/>
  <c r="BR56" i="9"/>
  <c r="BT56" i="9" s="1"/>
  <c r="P56" i="9"/>
  <c r="R56" i="9" s="1"/>
  <c r="ED56" i="1"/>
  <c r="EF56" i="1" s="1"/>
  <c r="GP55" i="1"/>
  <c r="GR55" i="1" s="1"/>
  <c r="BV55" i="9"/>
  <c r="BX55" i="9" s="1"/>
  <c r="AZ55" i="4"/>
  <c r="GD55" i="1"/>
  <c r="GF55" i="1" s="1"/>
  <c r="O56" i="4"/>
  <c r="R56" i="4" s="1"/>
  <c r="P55" i="13"/>
  <c r="R55" i="13" s="1"/>
  <c r="Y55" i="9"/>
  <c r="AA55" i="9" s="1"/>
  <c r="BF56" i="6"/>
  <c r="AF55" i="8"/>
  <c r="AH55" i="8" s="1"/>
  <c r="BB55" i="8"/>
  <c r="BD55" i="8" s="1"/>
  <c r="N57" i="4"/>
  <c r="P57" i="4" s="1"/>
  <c r="EC57" i="1"/>
  <c r="EE57" i="1" s="1"/>
  <c r="AN55" i="6"/>
  <c r="AP55" i="6" s="1"/>
  <c r="Y55" i="6"/>
  <c r="G55" i="11" s="1"/>
  <c r="BT58" i="1"/>
  <c r="BU53" i="8"/>
  <c r="BW60" i="1"/>
  <c r="AU66" i="1"/>
  <c r="GG66" i="1" s="1"/>
  <c r="BX59" i="1"/>
  <c r="U66" i="1"/>
  <c r="DS56" i="6"/>
  <c r="DU56" i="6" s="1"/>
  <c r="GX58" i="1"/>
  <c r="GZ58" i="1" s="1"/>
  <c r="DY56" i="1"/>
  <c r="EA56" i="1" s="1"/>
  <c r="CL56" i="1"/>
  <c r="DZ56" i="1" s="1"/>
  <c r="AR66" i="1"/>
  <c r="AS66" i="1"/>
  <c r="CL66" i="1" s="1"/>
  <c r="GW65" i="1"/>
  <c r="BO59" i="1"/>
  <c r="CM56" i="1"/>
  <c r="BS59" i="1"/>
  <c r="FF57" i="1"/>
  <c r="CC65" i="1"/>
  <c r="BQ65" i="9" s="1"/>
  <c r="EG56" i="1"/>
  <c r="ES56" i="1"/>
  <c r="EU56" i="1" s="1"/>
  <c r="CD57" i="1"/>
  <c r="X57" i="8" s="1"/>
  <c r="CC58" i="1"/>
  <c r="CE58" i="1" s="1"/>
  <c r="AQ66" i="1"/>
  <c r="CD66" i="1" s="1"/>
  <c r="CF66" i="1" s="1"/>
  <c r="EW59" i="1"/>
  <c r="EY59" i="1" s="1"/>
  <c r="GH65" i="1"/>
  <c r="GL65" i="1" s="1"/>
  <c r="AP66" i="1"/>
  <c r="BZ66" i="1" s="1"/>
  <c r="GG65" i="1"/>
  <c r="BK53" i="9"/>
  <c r="FJ57" i="1"/>
  <c r="AT66" i="1"/>
  <c r="CO66" i="1" s="1"/>
  <c r="DS57" i="6"/>
  <c r="ES57" i="1"/>
  <c r="EG57" i="1"/>
  <c r="DY57" i="1"/>
  <c r="FA57" i="1"/>
  <c r="CM57" i="1"/>
  <c r="CN56" i="9"/>
  <c r="CJ56" i="9"/>
  <c r="CR57" i="1"/>
  <c r="FZ60" i="1"/>
  <c r="GB60" i="1" s="1"/>
  <c r="AQ56" i="9"/>
  <c r="BS54" i="8"/>
  <c r="BU54" i="8" s="1"/>
  <c r="BQ56" i="4"/>
  <c r="DH57" i="1"/>
  <c r="BD55" i="9"/>
  <c r="BH55" i="9"/>
  <c r="AI56" i="9"/>
  <c r="BG53" i="9"/>
  <c r="FI58" i="1"/>
  <c r="BI62" i="1"/>
  <c r="CC59" i="1" s="1"/>
  <c r="BJ61" i="1"/>
  <c r="FY61" i="1"/>
  <c r="GA61" i="1" s="1"/>
  <c r="BK52" i="9"/>
  <c r="BT56" i="13"/>
  <c r="BV56" i="13" s="1"/>
  <c r="AF56" i="13"/>
  <c r="AH56" i="13" s="1"/>
  <c r="S56" i="13"/>
  <c r="V56" i="13" s="1"/>
  <c r="BQ54" i="8"/>
  <c r="AC56" i="13"/>
  <c r="AT56" i="13"/>
  <c r="BL56" i="13"/>
  <c r="AM56" i="4"/>
  <c r="BI56" i="4"/>
  <c r="BT56" i="4"/>
  <c r="AX56" i="4"/>
  <c r="CX56" i="1"/>
  <c r="CB56" i="1"/>
  <c r="DK56" i="6"/>
  <c r="CJ56" i="6"/>
  <c r="AI56" i="6"/>
  <c r="BR56" i="6"/>
  <c r="CS56" i="6"/>
  <c r="CA56" i="6"/>
  <c r="DB56" i="6"/>
  <c r="U56" i="6"/>
  <c r="CJ57" i="1"/>
  <c r="DV56" i="1"/>
  <c r="CJ56" i="1"/>
  <c r="GZ57" i="1"/>
  <c r="AT55" i="8"/>
  <c r="AT54" i="8"/>
  <c r="EZ58" i="1"/>
  <c r="BG55" i="8"/>
  <c r="BG54" i="8"/>
  <c r="GQ56" i="1"/>
  <c r="AR56" i="8"/>
  <c r="AT56" i="8" s="1"/>
  <c r="DT55" i="6"/>
  <c r="DZ55" i="1"/>
  <c r="EH55" i="1"/>
  <c r="ET55" i="1"/>
  <c r="CN55" i="1"/>
  <c r="FB55" i="1"/>
  <c r="FG58" i="1"/>
  <c r="BP55" i="8"/>
  <c r="BR54" i="8"/>
  <c r="BP54" i="8"/>
  <c r="EP58" i="1"/>
  <c r="ER58" i="1" s="1"/>
  <c r="DN58" i="1"/>
  <c r="DP58" i="1" s="1"/>
  <c r="DF58" i="1"/>
  <c r="FJ58" i="1" s="1"/>
  <c r="FH57" i="1"/>
  <c r="FE58" i="1"/>
  <c r="GG12" i="1"/>
  <c r="GH12" i="1"/>
  <c r="CC12" i="1"/>
  <c r="GX14" i="1"/>
  <c r="FN14" i="1"/>
  <c r="CK14" i="1"/>
  <c r="GL12" i="1"/>
  <c r="CL14" i="1"/>
  <c r="GK12" i="1"/>
  <c r="ES12" i="1"/>
  <c r="ET12" i="1"/>
  <c r="CW12" i="1"/>
  <c r="DU12" i="1"/>
  <c r="FS14" i="1"/>
  <c r="GX12" i="1"/>
  <c r="GO14" i="1"/>
  <c r="DY12" i="1"/>
  <c r="EK12" i="1"/>
  <c r="EH14" i="1"/>
  <c r="DV12" i="1"/>
  <c r="GG14" i="1"/>
  <c r="CX12" i="1"/>
  <c r="DY14" i="1"/>
  <c r="EL12" i="1"/>
  <c r="CP14" i="1"/>
  <c r="CW14" i="1"/>
  <c r="FM14" i="1"/>
  <c r="FO14" i="1"/>
  <c r="FR14" i="1"/>
  <c r="EL14" i="1"/>
  <c r="GH14" i="1"/>
  <c r="EC14" i="1"/>
  <c r="DZ14" i="1"/>
  <c r="FP14" i="1"/>
  <c r="EG14" i="1"/>
  <c r="DV14" i="1"/>
  <c r="ET14" i="1"/>
  <c r="GP14" i="1"/>
  <c r="GK14" i="1"/>
  <c r="CX14" i="1"/>
  <c r="CD14" i="1"/>
  <c r="BY14" i="1"/>
  <c r="CH14" i="1"/>
  <c r="FQ14" i="1"/>
  <c r="CO14" i="1"/>
  <c r="ED14" i="1"/>
  <c r="CG14" i="1"/>
  <c r="FA14" i="1"/>
  <c r="GO12" i="1"/>
  <c r="ES14" i="1"/>
  <c r="CC14" i="1"/>
  <c r="FT14" i="1"/>
  <c r="DU14" i="1"/>
  <c r="EC12" i="1"/>
  <c r="GW14" i="1"/>
  <c r="AS55" i="8"/>
  <c r="AU55" i="8" s="1"/>
  <c r="AZ56" i="9"/>
  <c r="AL56" i="9"/>
  <c r="EQ58" i="1"/>
  <c r="CO6" i="1"/>
  <c r="CP6" i="1"/>
  <c r="CC5" i="1"/>
  <c r="BZ6" i="1"/>
  <c r="CD6" i="1"/>
  <c r="CO5" i="1"/>
  <c r="ED6" i="1"/>
  <c r="GH5" i="1"/>
  <c r="CD5" i="1"/>
  <c r="GG5" i="1"/>
  <c r="CH5" i="1"/>
  <c r="CL5" i="1"/>
  <c r="GX6" i="1"/>
  <c r="GK6" i="1"/>
  <c r="FM5" i="1"/>
  <c r="EK5" i="1"/>
  <c r="CW5" i="1"/>
  <c r="CC6" i="1"/>
  <c r="FA5" i="1"/>
  <c r="CK5" i="1"/>
  <c r="BZ5" i="1"/>
  <c r="GX5" i="1"/>
  <c r="CG5" i="1"/>
  <c r="GW5" i="1"/>
  <c r="EL5" i="1"/>
  <c r="CP5" i="1"/>
  <c r="GL5" i="1"/>
  <c r="EC6" i="1"/>
  <c r="EG5" i="1"/>
  <c r="FR5" i="1"/>
  <c r="FN5" i="1"/>
  <c r="FT5" i="1"/>
  <c r="DY5" i="1"/>
  <c r="FS5" i="1"/>
  <c r="GG7" i="1"/>
  <c r="FQ5" i="1"/>
  <c r="DZ5" i="1"/>
  <c r="FB5" i="1"/>
  <c r="EG6" i="1"/>
  <c r="EH5" i="1"/>
  <c r="GH7" i="1"/>
  <c r="BY5" i="1"/>
  <c r="GG8" i="1"/>
  <c r="EK6" i="1"/>
  <c r="GW6" i="1"/>
  <c r="ES5" i="1"/>
  <c r="FO5" i="1"/>
  <c r="GP5" i="1"/>
  <c r="FP5" i="1"/>
  <c r="CX5" i="1"/>
  <c r="ED5" i="1"/>
  <c r="GP6" i="1"/>
  <c r="GK5" i="1"/>
  <c r="CG6" i="1"/>
  <c r="DY6" i="1"/>
  <c r="EG7" i="1"/>
  <c r="DZ6" i="1"/>
  <c r="FB6" i="1"/>
  <c r="DU5" i="1"/>
  <c r="GH8" i="1"/>
  <c r="ET5" i="1"/>
  <c r="CW6" i="1"/>
  <c r="GO5" i="1"/>
  <c r="CH7" i="1"/>
  <c r="EC5" i="1"/>
  <c r="DV5" i="1"/>
  <c r="FN6" i="1"/>
  <c r="CK6" i="1"/>
  <c r="CC7" i="1"/>
  <c r="BY7" i="1"/>
  <c r="DY7" i="1"/>
  <c r="CH6" i="1"/>
  <c r="BY6" i="1"/>
  <c r="CX6" i="1"/>
  <c r="ES6" i="1"/>
  <c r="GH6" i="1"/>
  <c r="FA6" i="1"/>
  <c r="CW7" i="1"/>
  <c r="GG6" i="1"/>
  <c r="FT6" i="1"/>
  <c r="FR6" i="1"/>
  <c r="GO6" i="1"/>
  <c r="EL7" i="1"/>
  <c r="CK7" i="1"/>
  <c r="EH6" i="1"/>
  <c r="GL6" i="1"/>
  <c r="FM7" i="1"/>
  <c r="CO7" i="1"/>
  <c r="EL6" i="1"/>
  <c r="CL6" i="1"/>
  <c r="CP7" i="1"/>
  <c r="CD8" i="1"/>
  <c r="CL7" i="1"/>
  <c r="CD7" i="1"/>
  <c r="FR7" i="1"/>
  <c r="DZ7" i="1"/>
  <c r="GK7" i="1"/>
  <c r="GG9" i="1"/>
  <c r="GX7" i="1"/>
  <c r="GW7" i="1"/>
  <c r="ET6" i="1"/>
  <c r="FB7" i="1"/>
  <c r="CG7" i="1"/>
  <c r="GG10" i="1"/>
  <c r="BZ7" i="1"/>
  <c r="GW8" i="1"/>
  <c r="ED7" i="1"/>
  <c r="DV7" i="1"/>
  <c r="GO7" i="1"/>
  <c r="EH7" i="1"/>
  <c r="EL8" i="1"/>
  <c r="DU7" i="1"/>
  <c r="EC7" i="1"/>
  <c r="EK7" i="1"/>
  <c r="CL8" i="1"/>
  <c r="CO8" i="1"/>
  <c r="GH9" i="1"/>
  <c r="FA7" i="1"/>
  <c r="ET7" i="1"/>
  <c r="GW9" i="1"/>
  <c r="BY8" i="1"/>
  <c r="GL7" i="1"/>
  <c r="ES7" i="1"/>
  <c r="GX8" i="1"/>
  <c r="CX7" i="1"/>
  <c r="GP7" i="1"/>
  <c r="DV8" i="1"/>
  <c r="CG8" i="1"/>
  <c r="GK8" i="1"/>
  <c r="DY8" i="1"/>
  <c r="CP8" i="1"/>
  <c r="GP8" i="1"/>
  <c r="DU8" i="1"/>
  <c r="GH10" i="1"/>
  <c r="EK8" i="1"/>
  <c r="DZ8" i="1"/>
  <c r="GL8" i="1"/>
  <c r="GX9" i="1"/>
  <c r="BZ8" i="1"/>
  <c r="FS9" i="1"/>
  <c r="ET8" i="1"/>
  <c r="CX8" i="1"/>
  <c r="CC8" i="1"/>
  <c r="FR8" i="1"/>
  <c r="CK8" i="1"/>
  <c r="EC8" i="1"/>
  <c r="EH8" i="1"/>
  <c r="CC9" i="1"/>
  <c r="CW8" i="1"/>
  <c r="CH8" i="1"/>
  <c r="ED8" i="1"/>
  <c r="CG9" i="1"/>
  <c r="BY9" i="1"/>
  <c r="CK9" i="1"/>
  <c r="GG11" i="1"/>
  <c r="EG8" i="1"/>
  <c r="FQ8" i="1"/>
  <c r="FP8" i="1"/>
  <c r="GO8" i="1"/>
  <c r="CH9" i="1"/>
  <c r="FB8" i="1"/>
  <c r="DU9" i="1"/>
  <c r="FS8" i="1"/>
  <c r="CP9" i="1"/>
  <c r="FN8" i="1"/>
  <c r="BZ9" i="1"/>
  <c r="FO8" i="1"/>
  <c r="FA9" i="1"/>
  <c r="CO9" i="1"/>
  <c r="FA8" i="1"/>
  <c r="GK9" i="1"/>
  <c r="FM8" i="1"/>
  <c r="FM9" i="1"/>
  <c r="FT8" i="1"/>
  <c r="ES8" i="1"/>
  <c r="FO9" i="1"/>
  <c r="CD10" i="1"/>
  <c r="EK9" i="1"/>
  <c r="FP9" i="1"/>
  <c r="FN9" i="1"/>
  <c r="GO9" i="1"/>
  <c r="EC9" i="1"/>
  <c r="EL9" i="1"/>
  <c r="CG10" i="1"/>
  <c r="CO10" i="1"/>
  <c r="CD9" i="1"/>
  <c r="DY9" i="1"/>
  <c r="CW9" i="1"/>
  <c r="CX10" i="1"/>
  <c r="FR9" i="1"/>
  <c r="FQ9" i="1"/>
  <c r="GH11" i="1"/>
  <c r="ED9" i="1"/>
  <c r="CL9" i="1"/>
  <c r="FB9" i="1"/>
  <c r="EG9" i="1"/>
  <c r="ES9" i="1"/>
  <c r="GL9" i="1"/>
  <c r="DV9" i="1"/>
  <c r="BY10" i="1"/>
  <c r="CO11" i="1"/>
  <c r="FA10" i="1"/>
  <c r="EK10" i="1"/>
  <c r="CG11" i="1"/>
  <c r="ET9" i="1"/>
  <c r="CW10" i="1"/>
  <c r="GW11" i="1"/>
  <c r="GP10" i="1"/>
  <c r="CC11" i="1"/>
  <c r="EH9" i="1"/>
  <c r="CK10" i="1"/>
  <c r="FP10" i="1"/>
  <c r="CP11" i="1"/>
  <c r="CC10" i="1"/>
  <c r="GK10" i="1"/>
  <c r="FR10" i="1"/>
  <c r="GX11" i="1"/>
  <c r="DZ9" i="1"/>
  <c r="BZ11" i="1"/>
  <c r="GL10" i="1"/>
  <c r="BZ10" i="1"/>
  <c r="CH10" i="1"/>
  <c r="FO10" i="1"/>
  <c r="EH10" i="1"/>
  <c r="GP9" i="1"/>
  <c r="CP10" i="1"/>
  <c r="EC10" i="1"/>
  <c r="GX10" i="1"/>
  <c r="DU10" i="1"/>
  <c r="GW10" i="1"/>
  <c r="CX9" i="1"/>
  <c r="FS10" i="1"/>
  <c r="CL10" i="1"/>
  <c r="CW11" i="1"/>
  <c r="CK11" i="1"/>
  <c r="DU11" i="1"/>
  <c r="DZ10" i="1"/>
  <c r="EL11" i="1"/>
  <c r="EC11" i="1"/>
  <c r="FM10" i="1"/>
  <c r="ES10" i="1"/>
  <c r="ED10" i="1"/>
  <c r="DV11" i="1"/>
  <c r="CH11" i="1"/>
  <c r="EL10" i="1"/>
  <c r="FQ10" i="1"/>
  <c r="EG10" i="1"/>
  <c r="DY10" i="1"/>
  <c r="CL11" i="1"/>
  <c r="GK11" i="1"/>
  <c r="GO11" i="1"/>
  <c r="GO10" i="1"/>
  <c r="ET10" i="1"/>
  <c r="EH11" i="1"/>
  <c r="FR11" i="1"/>
  <c r="GL11" i="1"/>
  <c r="CD11" i="1"/>
  <c r="CX11" i="1"/>
  <c r="FB10" i="1"/>
  <c r="DV10" i="1"/>
  <c r="EK11" i="1"/>
  <c r="DY11" i="1"/>
  <c r="ET11" i="1"/>
  <c r="FQ11" i="1"/>
  <c r="FT11" i="1"/>
  <c r="FO11" i="1"/>
  <c r="ED11" i="1"/>
  <c r="ES11" i="1"/>
  <c r="FS11" i="1"/>
  <c r="GP11" i="1"/>
  <c r="FB11" i="1"/>
  <c r="DZ11" i="1"/>
  <c r="FM11" i="1"/>
  <c r="EG11" i="1"/>
  <c r="BQ60" i="1"/>
  <c r="CK58" i="1" s="1"/>
  <c r="EO59" i="1"/>
  <c r="EQ59" i="1" s="1"/>
  <c r="BR59" i="1"/>
  <c r="CL57" i="1" s="1"/>
  <c r="DM59" i="1"/>
  <c r="DE59" i="1"/>
  <c r="FK59" i="1" s="1"/>
  <c r="DG58" i="1"/>
  <c r="E66" i="1"/>
  <c r="AO55" i="9"/>
  <c r="AO54" i="9"/>
  <c r="AS55" i="9"/>
  <c r="AS54" i="9"/>
  <c r="CR57" i="6"/>
  <c r="BQ57" i="6"/>
  <c r="CI57" i="6"/>
  <c r="DJ57" i="6"/>
  <c r="DA57" i="6"/>
  <c r="T57" i="6"/>
  <c r="AH57" i="6"/>
  <c r="BZ57" i="6"/>
  <c r="CI58" i="1"/>
  <c r="DU57" i="1"/>
  <c r="CI57" i="1"/>
  <c r="CE65" i="9"/>
  <c r="P65" i="9"/>
  <c r="BR65" i="9"/>
  <c r="O65" i="8"/>
  <c r="X65" i="8"/>
  <c r="Y65" i="4"/>
  <c r="O65" i="4"/>
  <c r="D54" i="11"/>
  <c r="V55" i="13"/>
  <c r="U55" i="13"/>
  <c r="V54" i="13"/>
  <c r="U54" i="13"/>
  <c r="T58" i="6"/>
  <c r="CR58" i="6"/>
  <c r="BQ58" i="6"/>
  <c r="DJ58" i="6"/>
  <c r="BZ58" i="6"/>
  <c r="AH58" i="6"/>
  <c r="DA58" i="6"/>
  <c r="CI58" i="6"/>
  <c r="CS57" i="6"/>
  <c r="BR57" i="6"/>
  <c r="CJ57" i="6"/>
  <c r="DK57" i="6"/>
  <c r="CA57" i="6"/>
  <c r="U57" i="6"/>
  <c r="AI57" i="6"/>
  <c r="DB57" i="6"/>
  <c r="BB55" i="9"/>
  <c r="BD54" i="9"/>
  <c r="BB54" i="9"/>
  <c r="BH54" i="9"/>
  <c r="BE54" i="9"/>
  <c r="BG54" i="9" s="1"/>
  <c r="BI54" i="9"/>
  <c r="BK54" i="9" s="1"/>
  <c r="GB59" i="1"/>
  <c r="BU52" i="8"/>
  <c r="DJ59" i="1"/>
  <c r="DL59" i="1" s="1"/>
  <c r="W66" i="1"/>
  <c r="DB58" i="1"/>
  <c r="DD58" i="1" s="1"/>
  <c r="BP58" i="1"/>
  <c r="BN56" i="8"/>
  <c r="BP56" i="8" s="1"/>
  <c r="BE56" i="8"/>
  <c r="BG56" i="8" s="1"/>
  <c r="AC56" i="8"/>
  <c r="BC56" i="8"/>
  <c r="BV55" i="13"/>
  <c r="BX54" i="13"/>
  <c r="BV54" i="13"/>
  <c r="BU61" i="1"/>
  <c r="BW61" i="1" s="1"/>
  <c r="BV60" i="1"/>
  <c r="CP58" i="1" s="1"/>
  <c r="DI60" i="1"/>
  <c r="BM60" i="1"/>
  <c r="BO60" i="1" s="1"/>
  <c r="BN59" i="1"/>
  <c r="BP59" i="1" s="1"/>
  <c r="DA59" i="1"/>
  <c r="DC59" i="1" s="1"/>
  <c r="BH54" i="8"/>
  <c r="EL56" i="1"/>
  <c r="BC54" i="9"/>
  <c r="GT62" i="1"/>
  <c r="GV62" i="1" s="1"/>
  <c r="GS63" i="1"/>
  <c r="GW60" i="1" s="1"/>
  <c r="AH55" i="13"/>
  <c r="AH54" i="13"/>
  <c r="BR55" i="8"/>
  <c r="BH56" i="6"/>
  <c r="E54" i="11"/>
  <c r="BY54" i="13"/>
  <c r="D55" i="11"/>
  <c r="Q56" i="13"/>
  <c r="GU62" i="1"/>
  <c r="DO58" i="1"/>
  <c r="BX55" i="13"/>
  <c r="AK188" i="23"/>
  <c r="AJ188" i="23"/>
  <c r="AI188" i="23"/>
  <c r="AH188" i="23"/>
  <c r="AG188" i="23"/>
  <c r="M66" i="1"/>
  <c r="I66" i="1"/>
  <c r="L66" i="1"/>
  <c r="H66" i="1"/>
  <c r="T67" i="1"/>
  <c r="G66" i="1"/>
  <c r="S66" i="1"/>
  <c r="N66" i="1"/>
  <c r="P66" i="1"/>
  <c r="T66" i="1"/>
  <c r="O66" i="1"/>
  <c r="BJ5" i="1" l="1" a="1"/>
  <c r="BJ5" i="1" s="1"/>
  <c r="BO5" i="1" a="1"/>
  <c r="BO5" i="1" s="1"/>
  <c r="BI5" i="1" a="1"/>
  <c r="BI5" i="1" s="1"/>
  <c r="BL5" i="1" a="1"/>
  <c r="BL5" i="1" s="1"/>
  <c r="BH5" i="1" a="1"/>
  <c r="BH5" i="1" s="1"/>
  <c r="BG5" i="1" a="1"/>
  <c r="BG5" i="1" s="1"/>
  <c r="BM5" i="1" a="1"/>
  <c r="BM5" i="1" s="1"/>
  <c r="BP5" i="1" a="1"/>
  <c r="BP5" i="1" s="1"/>
  <c r="BK5" i="1" a="1"/>
  <c r="BK5" i="1" s="1"/>
  <c r="BN5" i="1" a="1"/>
  <c r="BN5" i="1" s="1"/>
  <c r="BI14" i="1" a="1"/>
  <c r="BI14" i="1" s="1"/>
  <c r="BP14" i="1" a="1"/>
  <c r="BP14" i="1" s="1"/>
  <c r="BM14" i="1" a="1"/>
  <c r="BM14" i="1" s="1"/>
  <c r="BO14" i="1" a="1"/>
  <c r="BO14" i="1" s="1"/>
  <c r="BJ14" i="1" a="1"/>
  <c r="BJ14" i="1" s="1"/>
  <c r="BG14" i="1" a="1"/>
  <c r="BG14" i="1" s="1"/>
  <c r="BK14" i="1" a="1"/>
  <c r="BK14" i="1" s="1"/>
  <c r="BH14" i="1" a="1"/>
  <c r="BH14" i="1" s="1"/>
  <c r="BN14" i="1" a="1"/>
  <c r="BN14" i="1" s="1"/>
  <c r="BL14" i="1" a="1"/>
  <c r="BL14" i="1" s="1"/>
  <c r="FV65" i="1"/>
  <c r="GD65" i="1" s="1"/>
  <c r="GG62" i="1"/>
  <c r="GI62" i="1" s="1"/>
  <c r="FX64" i="1"/>
  <c r="FU66" i="1"/>
  <c r="GG63" i="1" s="1"/>
  <c r="BK13" i="1" a="1"/>
  <c r="BK13" i="1" s="1"/>
  <c r="BP13" i="1" a="1"/>
  <c r="BP13" i="1" s="1"/>
  <c r="BL13" i="1" a="1"/>
  <c r="BL13" i="1" s="1"/>
  <c r="BG13" i="1" a="1"/>
  <c r="BG13" i="1" s="1"/>
  <c r="BM13" i="1" a="1"/>
  <c r="BM13" i="1" s="1"/>
  <c r="BH13" i="1" a="1"/>
  <c r="BH13" i="1" s="1"/>
  <c r="BN13" i="1" a="1"/>
  <c r="BN13" i="1" s="1"/>
  <c r="BO13" i="1" a="1"/>
  <c r="BO13" i="1" s="1"/>
  <c r="FG59" i="1"/>
  <c r="BZ57" i="1"/>
  <c r="AT57" i="13" s="1"/>
  <c r="AV57" i="13" s="1"/>
  <c r="DR59" i="1"/>
  <c r="DT59" i="1" s="1"/>
  <c r="CT59" i="1"/>
  <c r="DQ60" i="1"/>
  <c r="DS60" i="1" s="1"/>
  <c r="AW58" i="4"/>
  <c r="AB58" i="13"/>
  <c r="AE58" i="13" s="1"/>
  <c r="BK58" i="13"/>
  <c r="BM58" i="13" s="1"/>
  <c r="AS58" i="13"/>
  <c r="AU58" i="13" s="1"/>
  <c r="BE61" i="1"/>
  <c r="BG61" i="1" s="1"/>
  <c r="BF60" i="1"/>
  <c r="BH60" i="1" s="1"/>
  <c r="AL58" i="4"/>
  <c r="AN58" i="4" s="1"/>
  <c r="BH58" i="4"/>
  <c r="BJ58" i="4" s="1"/>
  <c r="EK58" i="1"/>
  <c r="EM58" i="1" s="1"/>
  <c r="CS60" i="1"/>
  <c r="CU60" i="1" s="1"/>
  <c r="CV60" i="1" s="1"/>
  <c r="BG60" i="1"/>
  <c r="BQ57" i="4"/>
  <c r="BF57" i="4"/>
  <c r="BS58" i="4"/>
  <c r="BU58" i="4" s="1"/>
  <c r="AD57" i="13"/>
  <c r="AD56" i="13"/>
  <c r="FM56" i="1"/>
  <c r="FO57" i="1"/>
  <c r="CY57" i="1"/>
  <c r="EM57" i="1"/>
  <c r="AU56" i="4"/>
  <c r="BJ57" i="4"/>
  <c r="AY57" i="4"/>
  <c r="BF56" i="4"/>
  <c r="AE56" i="13"/>
  <c r="BM56" i="13"/>
  <c r="AN57" i="4"/>
  <c r="AE57" i="13"/>
  <c r="BJ56" i="4"/>
  <c r="AU57" i="13"/>
  <c r="Y56" i="9"/>
  <c r="AA56" i="9" s="1"/>
  <c r="BK55" i="6"/>
  <c r="AH56" i="9"/>
  <c r="CI56" i="9" s="1"/>
  <c r="Z57" i="4"/>
  <c r="BU57" i="9"/>
  <c r="BW57" i="9" s="1"/>
  <c r="BS57" i="9"/>
  <c r="Q57" i="9"/>
  <c r="CL57" i="9"/>
  <c r="AG57" i="9"/>
  <c r="AI57" i="9" s="1"/>
  <c r="BB56" i="8"/>
  <c r="BD56" i="8" s="1"/>
  <c r="AB56" i="8"/>
  <c r="AD56" i="8" s="1"/>
  <c r="AF56" i="8"/>
  <c r="AH56" i="8" s="1"/>
  <c r="FS56" i="1"/>
  <c r="AN55" i="9"/>
  <c r="AP55" i="9" s="1"/>
  <c r="BA55" i="9"/>
  <c r="BC55" i="9" s="1"/>
  <c r="FB56" i="1"/>
  <c r="FD56" i="1" s="1"/>
  <c r="GO57" i="1"/>
  <c r="GQ57" i="1" s="1"/>
  <c r="P56" i="13"/>
  <c r="R56" i="13" s="1"/>
  <c r="CR6" i="1"/>
  <c r="AO56" i="8"/>
  <c r="AQ56" i="8" s="1"/>
  <c r="AA57" i="8"/>
  <c r="AC57" i="8" s="1"/>
  <c r="AN57" i="8"/>
  <c r="AP57" i="8" s="1"/>
  <c r="O57" i="13"/>
  <c r="Q57" i="13" s="1"/>
  <c r="Y57" i="8"/>
  <c r="BA57" i="8"/>
  <c r="BC57" i="8" s="1"/>
  <c r="CM56" i="9"/>
  <c r="GP65" i="1"/>
  <c r="AA55" i="6"/>
  <c r="DU57" i="6"/>
  <c r="FQ57" i="1"/>
  <c r="GP56" i="1"/>
  <c r="GR56" i="1" s="1"/>
  <c r="GD56" i="1"/>
  <c r="GF56" i="1" s="1"/>
  <c r="AK55" i="9"/>
  <c r="X65" i="4"/>
  <c r="GO65" i="1" s="1"/>
  <c r="CD65" i="9"/>
  <c r="CL65" i="9" s="1"/>
  <c r="GH66" i="1"/>
  <c r="GJ66" i="1" s="1"/>
  <c r="GX66" i="1"/>
  <c r="GZ66" i="1" s="1"/>
  <c r="BO55" i="8"/>
  <c r="BQ55" i="8" s="1"/>
  <c r="BV56" i="9"/>
  <c r="BX56" i="9" s="1"/>
  <c r="BF55" i="8"/>
  <c r="BH55" i="8" s="1"/>
  <c r="FT56" i="1"/>
  <c r="FQ56" i="1"/>
  <c r="FS57" i="1"/>
  <c r="GW66" i="1"/>
  <c r="GY66" i="1" s="1"/>
  <c r="CP66" i="1"/>
  <c r="CR67" i="1" s="1"/>
  <c r="CI55" i="9"/>
  <c r="CK55" i="9" s="1"/>
  <c r="EX59" i="1"/>
  <c r="EZ59" i="1" s="1"/>
  <c r="AG55" i="13"/>
  <c r="AI55" i="13" s="1"/>
  <c r="N65" i="4"/>
  <c r="N65" i="8"/>
  <c r="AN65" i="8" s="1"/>
  <c r="DT56" i="6"/>
  <c r="DV56" i="6" s="1"/>
  <c r="O65" i="9"/>
  <c r="AG65" i="9" s="1"/>
  <c r="ET56" i="1"/>
  <c r="EV56" i="1" s="1"/>
  <c r="T55" i="13"/>
  <c r="E55" i="11" s="1"/>
  <c r="BU55" i="13"/>
  <c r="BW55" i="13" s="1"/>
  <c r="CE57" i="9"/>
  <c r="CG57" i="9" s="1"/>
  <c r="BR57" i="9"/>
  <c r="BT57" i="9" s="1"/>
  <c r="CJ6" i="1"/>
  <c r="EH56" i="1"/>
  <c r="FP56" i="1" s="1"/>
  <c r="Y57" i="4"/>
  <c r="GD57" i="1" s="1"/>
  <c r="P57" i="9"/>
  <c r="R57" i="9" s="1"/>
  <c r="EA57" i="1"/>
  <c r="EI57" i="1"/>
  <c r="W58" i="8"/>
  <c r="AE58" i="8" s="1"/>
  <c r="AG58" i="8" s="1"/>
  <c r="EW60" i="1"/>
  <c r="EY60" i="1" s="1"/>
  <c r="GR10" i="1"/>
  <c r="CN56" i="1"/>
  <c r="CR10" i="1"/>
  <c r="GZ6" i="1"/>
  <c r="CA10" i="1"/>
  <c r="FD7" i="1"/>
  <c r="EI11" i="1"/>
  <c r="EA8" i="1"/>
  <c r="EM9" i="1"/>
  <c r="CQ6" i="1"/>
  <c r="CR8" i="1"/>
  <c r="CM7" i="1"/>
  <c r="CJ8" i="1"/>
  <c r="GJ8" i="1"/>
  <c r="BS60" i="1"/>
  <c r="CY7" i="1"/>
  <c r="CG59" i="1"/>
  <c r="CI59" i="1" s="1"/>
  <c r="CC66" i="1"/>
  <c r="CE66" i="1" s="1"/>
  <c r="W65" i="8"/>
  <c r="X58" i="4"/>
  <c r="GO58" i="1" s="1"/>
  <c r="DW9" i="1"/>
  <c r="N58" i="4"/>
  <c r="P58" i="4" s="1"/>
  <c r="N58" i="8"/>
  <c r="P58" i="8" s="1"/>
  <c r="GK58" i="1"/>
  <c r="GM58" i="1" s="1"/>
  <c r="CD58" i="9"/>
  <c r="CF58" i="9" s="1"/>
  <c r="O58" i="9"/>
  <c r="Q58" i="9" s="1"/>
  <c r="EI56" i="1"/>
  <c r="BQ58" i="9"/>
  <c r="BS58" i="9" s="1"/>
  <c r="DU58" i="1"/>
  <c r="DW58" i="1" s="1"/>
  <c r="GZ9" i="1"/>
  <c r="ED57" i="1"/>
  <c r="EF57" i="1" s="1"/>
  <c r="FO56" i="1"/>
  <c r="FR56" i="1"/>
  <c r="EU57" i="1"/>
  <c r="FC10" i="1"/>
  <c r="EB8" i="1"/>
  <c r="CK66" i="1"/>
  <c r="FA66" i="1" s="1"/>
  <c r="FI59" i="1"/>
  <c r="DV57" i="1"/>
  <c r="DX57" i="1" s="1"/>
  <c r="EC58" i="1"/>
  <c r="EE58" i="1" s="1"/>
  <c r="EB11" i="1"/>
  <c r="CZ11" i="1"/>
  <c r="EV9" i="1"/>
  <c r="CF57" i="1"/>
  <c r="GL57" i="1"/>
  <c r="GN57" i="1" s="1"/>
  <c r="AF57" i="8"/>
  <c r="Z57" i="8"/>
  <c r="EE11" i="1"/>
  <c r="GI6" i="1"/>
  <c r="CH58" i="1"/>
  <c r="DB58" i="6" s="1"/>
  <c r="DD58" i="6" s="1"/>
  <c r="CO59" i="1"/>
  <c r="EC59" i="1" s="1"/>
  <c r="BY66" i="1"/>
  <c r="EK66" i="1" s="1"/>
  <c r="FC8" i="1"/>
  <c r="CF8" i="1"/>
  <c r="GR6" i="1"/>
  <c r="CE8" i="1"/>
  <c r="FD11" i="1"/>
  <c r="CN9" i="1"/>
  <c r="CB6" i="1"/>
  <c r="EU6" i="1"/>
  <c r="O57" i="4"/>
  <c r="R57" i="4" s="1"/>
  <c r="CW58" i="1"/>
  <c r="CY58" i="1" s="1"/>
  <c r="GN9" i="1"/>
  <c r="EN7" i="1"/>
  <c r="O57" i="8"/>
  <c r="Q57" i="8" s="1"/>
  <c r="GR11" i="1"/>
  <c r="CJ10" i="1"/>
  <c r="GI66" i="1"/>
  <c r="EE6" i="1"/>
  <c r="U56" i="13"/>
  <c r="GY11" i="1"/>
  <c r="CY11" i="1"/>
  <c r="EE10" i="1"/>
  <c r="GJ11" i="1"/>
  <c r="EJ8" i="1"/>
  <c r="GQ6" i="1"/>
  <c r="EJ6" i="1"/>
  <c r="EM6" i="1"/>
  <c r="EV11" i="1"/>
  <c r="DW11" i="1"/>
  <c r="GQ10" i="1"/>
  <c r="GQ8" i="1"/>
  <c r="GN7" i="1"/>
  <c r="EI7" i="1"/>
  <c r="GQ11" i="1"/>
  <c r="GZ11" i="1"/>
  <c r="DX8" i="1"/>
  <c r="GM7" i="1"/>
  <c r="EM10" i="1"/>
  <c r="GM9" i="1"/>
  <c r="CB8" i="1"/>
  <c r="CI10" i="1"/>
  <c r="GI11" i="1"/>
  <c r="EF9" i="1"/>
  <c r="CF6" i="1"/>
  <c r="EN11" i="1"/>
  <c r="CB11" i="1"/>
  <c r="EU10" i="1"/>
  <c r="CY9" i="1"/>
  <c r="CZ8" i="1"/>
  <c r="EV7" i="1"/>
  <c r="EA7" i="1"/>
  <c r="EF7" i="1"/>
  <c r="GN11" i="1"/>
  <c r="EI10" i="1"/>
  <c r="CE10" i="1"/>
  <c r="GY8" i="1"/>
  <c r="FC7" i="1"/>
  <c r="CI7" i="1"/>
  <c r="CZ6" i="1"/>
  <c r="CN8" i="1"/>
  <c r="CA8" i="1"/>
  <c r="DX11" i="1"/>
  <c r="CQ9" i="1"/>
  <c r="GK65" i="1"/>
  <c r="EJ10" i="1"/>
  <c r="EM8" i="1"/>
  <c r="CM6" i="1"/>
  <c r="CN11" i="1"/>
  <c r="CQ11" i="1"/>
  <c r="FD9" i="1"/>
  <c r="EE8" i="1"/>
  <c r="GI9" i="1"/>
  <c r="CD59" i="9"/>
  <c r="BQ59" i="9"/>
  <c r="O59" i="9"/>
  <c r="N59" i="8"/>
  <c r="W59" i="8"/>
  <c r="N59" i="4"/>
  <c r="X59" i="4"/>
  <c r="GK59" i="1"/>
  <c r="CE59" i="1"/>
  <c r="GY60" i="1"/>
  <c r="DT57" i="6"/>
  <c r="DZ57" i="1"/>
  <c r="EB57" i="1" s="1"/>
  <c r="ET57" i="1"/>
  <c r="FB57" i="1"/>
  <c r="CN57" i="1"/>
  <c r="DS58" i="6"/>
  <c r="DU58" i="6" s="1"/>
  <c r="ES58" i="1"/>
  <c r="EU58" i="1" s="1"/>
  <c r="DY58" i="1"/>
  <c r="EA58" i="1" s="1"/>
  <c r="EG58" i="1"/>
  <c r="CM58" i="1"/>
  <c r="FA58" i="1"/>
  <c r="FC58" i="1" s="1"/>
  <c r="CK58" i="6"/>
  <c r="CK57" i="6"/>
  <c r="GY10" i="1"/>
  <c r="CA7" i="1"/>
  <c r="CR7" i="1"/>
  <c r="DJ60" i="1"/>
  <c r="DL60" i="1" s="1"/>
  <c r="GM11" i="1"/>
  <c r="CE9" i="1"/>
  <c r="EV8" i="1"/>
  <c r="CJ7" i="1"/>
  <c r="EN6" i="1"/>
  <c r="CQ7" i="1"/>
  <c r="BS58" i="6"/>
  <c r="BS57" i="6"/>
  <c r="BU62" i="1"/>
  <c r="CO60" i="1" s="1"/>
  <c r="BV61" i="1"/>
  <c r="BX61" i="1" s="1"/>
  <c r="DI61" i="1"/>
  <c r="DK61" i="1" s="1"/>
  <c r="CT58" i="6"/>
  <c r="CT57" i="6"/>
  <c r="CE11" i="1"/>
  <c r="CB10" i="1"/>
  <c r="CZ9" i="1"/>
  <c r="GY6" i="1"/>
  <c r="GJ10" i="1"/>
  <c r="CI6" i="1"/>
  <c r="FL58" i="1"/>
  <c r="Y56" i="6"/>
  <c r="AN56" i="6"/>
  <c r="DX56" i="1"/>
  <c r="D56" i="11"/>
  <c r="GT63" i="1"/>
  <c r="GV63" i="1" s="1"/>
  <c r="GS64" i="1"/>
  <c r="GU64" i="1" s="1"/>
  <c r="EP59" i="1"/>
  <c r="ER59" i="1" s="1"/>
  <c r="DN59" i="1"/>
  <c r="DP59" i="1" s="1"/>
  <c r="DF59" i="1"/>
  <c r="FJ59" i="1" s="1"/>
  <c r="CY10" i="1"/>
  <c r="CF9" i="1"/>
  <c r="GU63" i="1"/>
  <c r="CP12" i="1"/>
  <c r="CP13" i="1"/>
  <c r="CR14" i="1" s="1"/>
  <c r="CM11" i="1"/>
  <c r="EA10" i="1"/>
  <c r="CB9" i="1"/>
  <c r="GY7" i="1"/>
  <c r="DH58" i="1"/>
  <c r="W57" i="6"/>
  <c r="W56" i="6"/>
  <c r="CC13" i="1"/>
  <c r="CE14" i="1" s="1"/>
  <c r="CA55" i="13"/>
  <c r="BZ55" i="13"/>
  <c r="CA54" i="13"/>
  <c r="BZ54" i="13"/>
  <c r="CO12" i="1"/>
  <c r="CO13" i="1"/>
  <c r="CQ14" i="1" s="1"/>
  <c r="BQ61" i="1"/>
  <c r="CK59" i="1" s="1"/>
  <c r="BR60" i="1"/>
  <c r="BT60" i="1" s="1"/>
  <c r="EO60" i="1"/>
  <c r="EQ60" i="1" s="1"/>
  <c r="DM60" i="1"/>
  <c r="DE60" i="1"/>
  <c r="FK60" i="1" s="1"/>
  <c r="CF10" i="1"/>
  <c r="DW10" i="1"/>
  <c r="GZ10" i="1"/>
  <c r="CN7" i="1"/>
  <c r="EM7" i="1"/>
  <c r="BT59" i="1"/>
  <c r="DG59" i="1"/>
  <c r="DD57" i="6"/>
  <c r="DD56" i="6"/>
  <c r="BX56" i="13"/>
  <c r="CA56" i="13" s="1"/>
  <c r="FZ61" i="1"/>
  <c r="BR66" i="9"/>
  <c r="BT66" i="9" s="1"/>
  <c r="P66" i="9"/>
  <c r="CE66" i="9"/>
  <c r="CG66" i="9" s="1"/>
  <c r="O66" i="8"/>
  <c r="Q66" i="8" s="1"/>
  <c r="X66" i="8"/>
  <c r="Z66" i="8" s="1"/>
  <c r="Y66" i="4"/>
  <c r="AB66" i="4" s="1"/>
  <c r="O66" i="4"/>
  <c r="R66" i="4" s="1"/>
  <c r="CF67" i="1"/>
  <c r="CD12" i="1"/>
  <c r="CD13" i="1"/>
  <c r="CF14" i="1" s="1"/>
  <c r="AS56" i="9"/>
  <c r="FC6" i="1"/>
  <c r="FD55" i="1"/>
  <c r="CC57" i="6"/>
  <c r="CC56" i="6"/>
  <c r="BI63" i="1"/>
  <c r="CC60" i="1" s="1"/>
  <c r="BJ62" i="1"/>
  <c r="BL62" i="1" s="1"/>
  <c r="FY62" i="1"/>
  <c r="GA62" i="1" s="1"/>
  <c r="AU58" i="6"/>
  <c r="BD58" i="6"/>
  <c r="AG58" i="6"/>
  <c r="GX59" i="1"/>
  <c r="EN56" i="1"/>
  <c r="CI11" i="1"/>
  <c r="EB9" i="1"/>
  <c r="DW8" i="1"/>
  <c r="CQ8" i="1"/>
  <c r="CA6" i="1"/>
  <c r="CE7" i="1"/>
  <c r="BD56" i="9"/>
  <c r="BH56" i="9"/>
  <c r="CU57" i="6"/>
  <c r="CU56" i="6"/>
  <c r="BK62" i="1"/>
  <c r="CD58" i="1"/>
  <c r="ED58" i="1" s="1"/>
  <c r="BB65" i="8"/>
  <c r="AB65" i="8"/>
  <c r="CZ10" i="1"/>
  <c r="EN10" i="1"/>
  <c r="GQ9" i="1"/>
  <c r="EN9" i="1"/>
  <c r="CY6" i="1"/>
  <c r="EV55" i="1"/>
  <c r="BT57" i="6"/>
  <c r="BT56" i="6"/>
  <c r="BL61" i="1"/>
  <c r="FN55" i="1"/>
  <c r="FP55" i="1"/>
  <c r="EJ55" i="1"/>
  <c r="BI56" i="6"/>
  <c r="AL57" i="6"/>
  <c r="BE56" i="6"/>
  <c r="AV56" i="6"/>
  <c r="AL56" i="6"/>
  <c r="BV65" i="9"/>
  <c r="EV10" i="1"/>
  <c r="EB56" i="1"/>
  <c r="EB55" i="1"/>
  <c r="FR55" i="1"/>
  <c r="FT55" i="1"/>
  <c r="DO59" i="1"/>
  <c r="CL57" i="6"/>
  <c r="CL56" i="6"/>
  <c r="AO65" i="8"/>
  <c r="P65" i="13"/>
  <c r="AH65" i="9"/>
  <c r="AR65" i="9" s="1"/>
  <c r="Y65" i="9"/>
  <c r="EI9" i="1"/>
  <c r="GR9" i="1"/>
  <c r="EJ7" i="1"/>
  <c r="EV6" i="1"/>
  <c r="FD6" i="1"/>
  <c r="DM57" i="6"/>
  <c r="DM56" i="6"/>
  <c r="AT66" i="13"/>
  <c r="BL66" i="13"/>
  <c r="AX66" i="4"/>
  <c r="AC66" i="13"/>
  <c r="BI66" i="4"/>
  <c r="BT66" i="4"/>
  <c r="AM66" i="4"/>
  <c r="CB67" i="1"/>
  <c r="CX66" i="1"/>
  <c r="BZ12" i="1"/>
  <c r="BZ14" i="1"/>
  <c r="BZ13" i="1"/>
  <c r="EM11" i="1"/>
  <c r="CR9" i="1"/>
  <c r="EF8" i="1"/>
  <c r="CM8" i="1"/>
  <c r="GJ9" i="1"/>
  <c r="EB6" i="1"/>
  <c r="GZ7" i="1"/>
  <c r="DV55" i="6"/>
  <c r="CK12" i="1"/>
  <c r="CK13" i="1"/>
  <c r="CM14" i="1" s="1"/>
  <c r="BY12" i="1"/>
  <c r="BY13" i="1"/>
  <c r="CA14" i="1" s="1"/>
  <c r="BY11" i="1"/>
  <c r="CA11" i="1" s="1"/>
  <c r="BX60" i="1"/>
  <c r="DB59" i="1"/>
  <c r="DD59" i="1" s="1"/>
  <c r="CR11" i="1"/>
  <c r="CM10" i="1"/>
  <c r="EA9" i="1"/>
  <c r="GY9" i="1"/>
  <c r="EN8" i="1"/>
  <c r="CN6" i="1"/>
  <c r="BT55" i="8"/>
  <c r="BT54" i="8"/>
  <c r="CZ56" i="1"/>
  <c r="DT66" i="6"/>
  <c r="CN67" i="1"/>
  <c r="DZ66" i="1"/>
  <c r="EH66" i="1"/>
  <c r="CL12" i="1"/>
  <c r="CL13" i="1"/>
  <c r="CN14" i="1" s="1"/>
  <c r="CR58" i="1"/>
  <c r="BF55" i="9"/>
  <c r="BF54" i="9"/>
  <c r="CM65" i="9"/>
  <c r="BG12" i="1" a="1"/>
  <c r="BG12" i="1" s="1"/>
  <c r="BG8" i="1" a="1"/>
  <c r="BG8" i="1" s="1"/>
  <c r="BN12" i="1" a="1"/>
  <c r="BN12" i="1" s="1"/>
  <c r="BH8" i="1" a="1"/>
  <c r="BH8" i="1" s="1"/>
  <c r="BO8" i="1" a="1"/>
  <c r="BO8" i="1" s="1"/>
  <c r="BM12" i="1" a="1"/>
  <c r="BM12" i="1" s="1"/>
  <c r="BP8" i="1" a="1"/>
  <c r="BP8" i="1" s="1"/>
  <c r="BH12" i="1" a="1"/>
  <c r="BH12" i="1" s="1"/>
  <c r="BK8" i="1" a="1"/>
  <c r="BK8" i="1" s="1"/>
  <c r="BO12" i="1" a="1"/>
  <c r="BO12" i="1" s="1"/>
  <c r="BL12" i="1" a="1"/>
  <c r="BL12" i="1" s="1"/>
  <c r="BL8" i="1" a="1"/>
  <c r="BL8" i="1" s="1"/>
  <c r="BP12" i="1" a="1"/>
  <c r="BP12" i="1" s="1"/>
  <c r="BM8" i="1" a="1"/>
  <c r="BM8" i="1" s="1"/>
  <c r="BI8" i="1" a="1"/>
  <c r="BI8" i="1" s="1"/>
  <c r="BN8" i="1" a="1"/>
  <c r="BN8" i="1" s="1"/>
  <c r="BK12" i="1" a="1"/>
  <c r="BK12" i="1" s="1"/>
  <c r="BJ8" i="1" a="1"/>
  <c r="BJ8" i="1" s="1"/>
  <c r="BJ7" i="1" a="1"/>
  <c r="BJ7" i="1" s="1"/>
  <c r="BP7" i="1" a="1"/>
  <c r="BP7" i="1" s="1"/>
  <c r="BO7" i="1" a="1"/>
  <c r="BO7" i="1" s="1"/>
  <c r="BM7" i="1" a="1"/>
  <c r="BM7" i="1" s="1"/>
  <c r="BG7" i="1" a="1"/>
  <c r="BG7" i="1" s="1"/>
  <c r="BH7" i="1" a="1"/>
  <c r="BH7" i="1" s="1"/>
  <c r="BK7" i="1" a="1"/>
  <c r="BK7" i="1" s="1"/>
  <c r="BI7" i="1" a="1"/>
  <c r="BI7" i="1" s="1"/>
  <c r="CF11" i="1"/>
  <c r="GQ7" i="1"/>
  <c r="GI8" i="1"/>
  <c r="EA11" i="1"/>
  <c r="EJ11" i="1"/>
  <c r="CI9" i="1"/>
  <c r="EB7" i="1"/>
  <c r="GH13" i="1"/>
  <c r="GJ14" i="1" s="1"/>
  <c r="BJ55" i="9"/>
  <c r="BJ54" i="9"/>
  <c r="BM61" i="1"/>
  <c r="BO61" i="1" s="1"/>
  <c r="DA60" i="1"/>
  <c r="BN60" i="1"/>
  <c r="DW57" i="1"/>
  <c r="DX10" i="1"/>
  <c r="EU9" i="1"/>
  <c r="DX9" i="1"/>
  <c r="CI8" i="1"/>
  <c r="EA6" i="1"/>
  <c r="GG13" i="1"/>
  <c r="GI14" i="1" s="1"/>
  <c r="AO56" i="9"/>
  <c r="BR56" i="4"/>
  <c r="BV56" i="4"/>
  <c r="AM58" i="6"/>
  <c r="FC57" i="1"/>
  <c r="BR56" i="8"/>
  <c r="FE59" i="1"/>
  <c r="CJ11" i="1"/>
  <c r="GN10" i="1"/>
  <c r="CJ9" i="1"/>
  <c r="GR8" i="1"/>
  <c r="FD8" i="1"/>
  <c r="GI7" i="1"/>
  <c r="EI8" i="1"/>
  <c r="GJ6" i="1"/>
  <c r="GW12" i="1"/>
  <c r="GW13" i="1"/>
  <c r="GY14" i="1" s="1"/>
  <c r="BG56" i="4"/>
  <c r="AV56" i="4"/>
  <c r="BK56" i="4"/>
  <c r="AZ56" i="4"/>
  <c r="X58" i="6"/>
  <c r="CB58" i="6"/>
  <c r="CB57" i="6"/>
  <c r="CY8" i="1"/>
  <c r="GX13" i="1"/>
  <c r="GZ14" i="1" s="1"/>
  <c r="AO56" i="4"/>
  <c r="BB56" i="9"/>
  <c r="BN56" i="13"/>
  <c r="AV57" i="6"/>
  <c r="BI57" i="6"/>
  <c r="BE57" i="6"/>
  <c r="V58" i="6"/>
  <c r="X57" i="6"/>
  <c r="V57" i="6"/>
  <c r="FD10" i="1"/>
  <c r="GM10" i="1"/>
  <c r="EJ9" i="1"/>
  <c r="EU8" i="1"/>
  <c r="GZ8" i="1"/>
  <c r="GJ7" i="1"/>
  <c r="GM6" i="1"/>
  <c r="EI6" i="1"/>
  <c r="CF7" i="1"/>
  <c r="FH58" i="1"/>
  <c r="AV56" i="13"/>
  <c r="FM57" i="1"/>
  <c r="AJ58" i="6"/>
  <c r="AU57" i="6"/>
  <c r="BD57" i="6"/>
  <c r="AG57" i="6"/>
  <c r="AJ57" i="6"/>
  <c r="AM57" i="6"/>
  <c r="DC58" i="6"/>
  <c r="DC57" i="6"/>
  <c r="EF11" i="1"/>
  <c r="EB10" i="1"/>
  <c r="CN10" i="1"/>
  <c r="FC9" i="1"/>
  <c r="EE9" i="1"/>
  <c r="GN8" i="1"/>
  <c r="GI10" i="1"/>
  <c r="EU7" i="1"/>
  <c r="GR7" i="1"/>
  <c r="EE7" i="1"/>
  <c r="CB7" i="1"/>
  <c r="FF58" i="1"/>
  <c r="BB57" i="8"/>
  <c r="DK60" i="1"/>
  <c r="DL58" i="6"/>
  <c r="DL57" i="6"/>
  <c r="EU11" i="1"/>
  <c r="EF10" i="1"/>
  <c r="CQ10" i="1"/>
  <c r="CM9" i="1"/>
  <c r="CA9" i="1"/>
  <c r="GM8" i="1"/>
  <c r="CZ7" i="1"/>
  <c r="EF6" i="1"/>
  <c r="GN6" i="1"/>
  <c r="CE6" i="1"/>
  <c r="AE188" i="23"/>
  <c r="AD188" i="23"/>
  <c r="AR187" i="23"/>
  <c r="AQ187" i="23"/>
  <c r="AP187" i="23"/>
  <c r="AO187" i="23"/>
  <c r="AN187" i="23"/>
  <c r="FX65" i="1" l="1"/>
  <c r="GH62" i="1"/>
  <c r="GJ62" i="1" s="1"/>
  <c r="GI63" i="1"/>
  <c r="FV66" i="1"/>
  <c r="GH63" i="1" s="1"/>
  <c r="GG64" i="1"/>
  <c r="GI65" i="1" s="1"/>
  <c r="FW66" i="1"/>
  <c r="CB57" i="1"/>
  <c r="BT57" i="4"/>
  <c r="BV57" i="4" s="1"/>
  <c r="AD58" i="13"/>
  <c r="EH57" i="1"/>
  <c r="EJ57" i="1" s="1"/>
  <c r="CT60" i="1"/>
  <c r="CX57" i="1"/>
  <c r="CZ57" i="1" s="1"/>
  <c r="AC57" i="13"/>
  <c r="EL57" i="1"/>
  <c r="EN57" i="1" s="1"/>
  <c r="AM57" i="4"/>
  <c r="AO57" i="4" s="1"/>
  <c r="BL57" i="13"/>
  <c r="BN57" i="13" s="1"/>
  <c r="BI57" i="4"/>
  <c r="AZ57" i="4" s="1"/>
  <c r="AX57" i="4"/>
  <c r="BF61" i="1"/>
  <c r="BH61" i="1" s="1"/>
  <c r="BE62" i="1"/>
  <c r="BY60" i="1" s="1"/>
  <c r="EK60" i="1" s="1"/>
  <c r="BQ58" i="4"/>
  <c r="BY59" i="1"/>
  <c r="BS59" i="4" s="1"/>
  <c r="BU59" i="4" s="1"/>
  <c r="CS61" i="1"/>
  <c r="CU61" i="1" s="1"/>
  <c r="CV61" i="1" s="1"/>
  <c r="DQ61" i="1"/>
  <c r="DS61" i="1" s="1"/>
  <c r="BZ58" i="1"/>
  <c r="CB58" i="1" s="1"/>
  <c r="DR60" i="1"/>
  <c r="DT60" i="1" s="1"/>
  <c r="BF58" i="4"/>
  <c r="AU58" i="4"/>
  <c r="AY58" i="4"/>
  <c r="FM58" i="1"/>
  <c r="AR56" i="9"/>
  <c r="AT56" i="9" s="1"/>
  <c r="AN56" i="9"/>
  <c r="AP56" i="9" s="1"/>
  <c r="BA56" i="9"/>
  <c r="BC56" i="9" s="1"/>
  <c r="AK56" i="9"/>
  <c r="BD57" i="8"/>
  <c r="BI55" i="9"/>
  <c r="BK55" i="9" s="1"/>
  <c r="BE55" i="9"/>
  <c r="BG55" i="9" s="1"/>
  <c r="AZ57" i="9"/>
  <c r="BH57" i="9" s="1"/>
  <c r="AQ57" i="9"/>
  <c r="AS57" i="9" s="1"/>
  <c r="S57" i="13"/>
  <c r="D57" i="11" s="1"/>
  <c r="AF57" i="13"/>
  <c r="AH57" i="13" s="1"/>
  <c r="AS56" i="8"/>
  <c r="AU56" i="8" s="1"/>
  <c r="AL57" i="9"/>
  <c r="AO57" i="9" s="1"/>
  <c r="CH57" i="9"/>
  <c r="CJ57" i="9" s="1"/>
  <c r="BO56" i="8"/>
  <c r="BS56" i="8" s="1"/>
  <c r="GQ58" i="1"/>
  <c r="BF56" i="8"/>
  <c r="BH56" i="8" s="1"/>
  <c r="AH57" i="8"/>
  <c r="AR57" i="8"/>
  <c r="AT57" i="8" s="1"/>
  <c r="BA58" i="8"/>
  <c r="BE58" i="8" s="1"/>
  <c r="T56" i="13"/>
  <c r="E56" i="11" s="1"/>
  <c r="AG56" i="13"/>
  <c r="AI56" i="13" s="1"/>
  <c r="BU56" i="13"/>
  <c r="BW56" i="13" s="1"/>
  <c r="Y58" i="8"/>
  <c r="BT57" i="13"/>
  <c r="BX57" i="13" s="1"/>
  <c r="BZ57" i="13" s="1"/>
  <c r="FD57" i="1"/>
  <c r="BN57" i="8"/>
  <c r="BP57" i="8" s="1"/>
  <c r="BY55" i="13"/>
  <c r="CR59" i="6"/>
  <c r="CT59" i="6" s="1"/>
  <c r="CI59" i="6"/>
  <c r="CK59" i="6" s="1"/>
  <c r="GL66" i="1"/>
  <c r="GN67" i="1" s="1"/>
  <c r="GJ67" i="1"/>
  <c r="Y57" i="9"/>
  <c r="AA57" i="9" s="1"/>
  <c r="AH57" i="9"/>
  <c r="AR57" i="9" s="1"/>
  <c r="GC65" i="1"/>
  <c r="BE57" i="8"/>
  <c r="BG57" i="8" s="1"/>
  <c r="CL58" i="9"/>
  <c r="BS55" i="8"/>
  <c r="BU55" i="8" s="1"/>
  <c r="FN56" i="1"/>
  <c r="N66" i="4"/>
  <c r="P66" i="4" s="1"/>
  <c r="X66" i="4"/>
  <c r="GO66" i="1" s="1"/>
  <c r="GO13" i="1" s="1"/>
  <c r="GQ14" i="1" s="1"/>
  <c r="W66" i="8"/>
  <c r="AE66" i="8" s="1"/>
  <c r="AB57" i="4"/>
  <c r="GP57" i="1"/>
  <c r="GR57" i="1" s="1"/>
  <c r="CD66" i="9"/>
  <c r="CF66" i="9" s="1"/>
  <c r="O66" i="9"/>
  <c r="Q66" i="9" s="1"/>
  <c r="BU58" i="9"/>
  <c r="BW58" i="9" s="1"/>
  <c r="X58" i="9"/>
  <c r="Z58" i="9" s="1"/>
  <c r="AG58" i="9"/>
  <c r="AQ58" i="9" s="1"/>
  <c r="BQ66" i="9"/>
  <c r="BS66" i="9" s="1"/>
  <c r="CH65" i="9"/>
  <c r="BU65" i="9"/>
  <c r="CK56" i="9"/>
  <c r="CO55" i="9"/>
  <c r="AB66" i="13"/>
  <c r="BK66" i="13"/>
  <c r="CW66" i="1"/>
  <c r="CW13" i="1" s="1"/>
  <c r="CY14" i="1" s="1"/>
  <c r="BH66" i="4"/>
  <c r="BF66" i="4" s="1"/>
  <c r="EI58" i="1"/>
  <c r="AS66" i="13"/>
  <c r="AW66" i="4"/>
  <c r="BS66" i="4"/>
  <c r="BQ66" i="4" s="1"/>
  <c r="CJ58" i="1"/>
  <c r="GZ67" i="1"/>
  <c r="DV57" i="6"/>
  <c r="FO58" i="1"/>
  <c r="GK66" i="1"/>
  <c r="GK13" i="1" s="1"/>
  <c r="GM14" i="1" s="1"/>
  <c r="EL66" i="1"/>
  <c r="EN67" i="1" s="1"/>
  <c r="FB66" i="1"/>
  <c r="FD67" i="1" s="1"/>
  <c r="CQ59" i="1"/>
  <c r="CO56" i="9"/>
  <c r="O65" i="13"/>
  <c r="S65" i="13" s="1"/>
  <c r="ED66" i="1"/>
  <c r="FR66" i="1" s="1"/>
  <c r="AA65" i="8"/>
  <c r="DU59" i="1"/>
  <c r="DW59" i="1" s="1"/>
  <c r="T59" i="6"/>
  <c r="X59" i="6" s="1"/>
  <c r="AH59" i="6"/>
  <c r="AU59" i="6" s="1"/>
  <c r="AW59" i="6" s="1"/>
  <c r="DJ59" i="6"/>
  <c r="DL59" i="6" s="1"/>
  <c r="BZ59" i="6"/>
  <c r="CB59" i="6" s="1"/>
  <c r="DA59" i="6"/>
  <c r="DC59" i="6" s="1"/>
  <c r="BQ59" i="6"/>
  <c r="BS59" i="6" s="1"/>
  <c r="X65" i="9"/>
  <c r="N66" i="8"/>
  <c r="GP66" i="1"/>
  <c r="GR66" i="1" s="1"/>
  <c r="EJ56" i="1"/>
  <c r="BV57" i="9"/>
  <c r="BX57" i="9" s="1"/>
  <c r="CM57" i="9"/>
  <c r="EV57" i="1"/>
  <c r="AL66" i="4"/>
  <c r="FL59" i="1"/>
  <c r="CF59" i="9"/>
  <c r="AA58" i="8"/>
  <c r="AC58" i="8" s="1"/>
  <c r="O58" i="13"/>
  <c r="Q58" i="13" s="1"/>
  <c r="Z58" i="4"/>
  <c r="P59" i="8"/>
  <c r="GC58" i="1"/>
  <c r="GE58" i="1" s="1"/>
  <c r="AB57" i="8"/>
  <c r="AD57" i="8" s="1"/>
  <c r="P57" i="13"/>
  <c r="BU57" i="13" s="1"/>
  <c r="CS58" i="6"/>
  <c r="CU58" i="6" s="1"/>
  <c r="DK58" i="6"/>
  <c r="DM58" i="6" s="1"/>
  <c r="Z59" i="4"/>
  <c r="U58" i="6"/>
  <c r="W58" i="6" s="1"/>
  <c r="Y59" i="8"/>
  <c r="EG66" i="1"/>
  <c r="FM66" i="1" s="1"/>
  <c r="AQ65" i="9"/>
  <c r="FH59" i="1"/>
  <c r="GM59" i="1"/>
  <c r="BZ56" i="13"/>
  <c r="AN58" i="8"/>
  <c r="AP58" i="8" s="1"/>
  <c r="DY66" i="1"/>
  <c r="DY13" i="1" s="1"/>
  <c r="EA14" i="1" s="1"/>
  <c r="DS66" i="6"/>
  <c r="EC66" i="1"/>
  <c r="BA65" i="8"/>
  <c r="BE65" i="8" s="1"/>
  <c r="AO57" i="8"/>
  <c r="AQ57" i="8" s="1"/>
  <c r="FI60" i="1"/>
  <c r="FF59" i="1"/>
  <c r="FR57" i="1"/>
  <c r="FT57" i="1"/>
  <c r="P59" i="4"/>
  <c r="AE59" i="8"/>
  <c r="AG59" i="8" s="1"/>
  <c r="Q59" i="9"/>
  <c r="BS59" i="9"/>
  <c r="AN57" i="6"/>
  <c r="AP57" i="6" s="1"/>
  <c r="Y57" i="6"/>
  <c r="AA57" i="6" s="1"/>
  <c r="EE59" i="1"/>
  <c r="CJ58" i="6"/>
  <c r="CL58" i="6" s="1"/>
  <c r="AI58" i="6"/>
  <c r="AL58" i="6" s="1"/>
  <c r="CA58" i="6"/>
  <c r="CC58" i="6" s="1"/>
  <c r="FQ58" i="1"/>
  <c r="FS58" i="1"/>
  <c r="BR58" i="6"/>
  <c r="BT58" i="6" s="1"/>
  <c r="CE13" i="1"/>
  <c r="CN13" i="1"/>
  <c r="GW61" i="1"/>
  <c r="GY61" i="1" s="1"/>
  <c r="DH59" i="1"/>
  <c r="CG60" i="1"/>
  <c r="DJ60" i="6" s="1"/>
  <c r="GX60" i="1"/>
  <c r="GZ60" i="1" s="1"/>
  <c r="CB14" i="1"/>
  <c r="CM13" i="1"/>
  <c r="CD59" i="1"/>
  <c r="BR59" i="9" s="1"/>
  <c r="EW61" i="1"/>
  <c r="EY61" i="1" s="1"/>
  <c r="EF58" i="1"/>
  <c r="EC60" i="1"/>
  <c r="EE60" i="1" s="1"/>
  <c r="CQ60" i="1"/>
  <c r="O60" i="9"/>
  <c r="Q60" i="9" s="1"/>
  <c r="BQ60" i="9"/>
  <c r="BS60" i="9" s="1"/>
  <c r="CD60" i="9"/>
  <c r="CF60" i="9" s="1"/>
  <c r="N60" i="8"/>
  <c r="P60" i="8" s="1"/>
  <c r="W60" i="8"/>
  <c r="Y60" i="8" s="1"/>
  <c r="X60" i="4"/>
  <c r="Z60" i="4" s="1"/>
  <c r="N60" i="4"/>
  <c r="P60" i="4" s="1"/>
  <c r="GK60" i="1"/>
  <c r="GM60" i="1" s="1"/>
  <c r="CE60" i="1"/>
  <c r="DS59" i="6"/>
  <c r="DU59" i="6" s="1"/>
  <c r="ES59" i="1"/>
  <c r="EU59" i="1" s="1"/>
  <c r="DY59" i="1"/>
  <c r="FS59" i="1" s="1"/>
  <c r="CM59" i="1"/>
  <c r="FA59" i="1"/>
  <c r="FC59" i="1" s="1"/>
  <c r="AO58" i="6"/>
  <c r="AO57" i="6"/>
  <c r="BU65" i="13"/>
  <c r="AG65" i="13"/>
  <c r="T65" i="13"/>
  <c r="BF65" i="8"/>
  <c r="BO65" i="8"/>
  <c r="DV58" i="1"/>
  <c r="AB12" i="8"/>
  <c r="AB13" i="8"/>
  <c r="AB14" i="8"/>
  <c r="FZ62" i="1"/>
  <c r="GB62" i="1" s="1"/>
  <c r="AB66" i="8"/>
  <c r="AD66" i="8" s="1"/>
  <c r="BB66" i="8"/>
  <c r="BD66" i="8" s="1"/>
  <c r="X13" i="8"/>
  <c r="X10" i="8"/>
  <c r="Z11" i="8" s="1"/>
  <c r="X12" i="8"/>
  <c r="X8" i="8"/>
  <c r="X9" i="8"/>
  <c r="X14" i="8"/>
  <c r="BF58" i="6"/>
  <c r="BH57" i="6"/>
  <c r="BJ58" i="6"/>
  <c r="BJ57" i="6"/>
  <c r="BF57" i="6"/>
  <c r="AS65" i="8"/>
  <c r="BK57" i="6"/>
  <c r="BG57" i="6"/>
  <c r="BK56" i="6"/>
  <c r="BG56" i="6"/>
  <c r="BI64" i="1"/>
  <c r="BK64" i="1" s="1"/>
  <c r="BJ63" i="1"/>
  <c r="BL63" i="1" s="1"/>
  <c r="FY63" i="1"/>
  <c r="GA63" i="1" s="1"/>
  <c r="AO66" i="8"/>
  <c r="AQ66" i="8" s="1"/>
  <c r="P66" i="13"/>
  <c r="R66" i="13" s="1"/>
  <c r="O12" i="8"/>
  <c r="O13" i="8"/>
  <c r="O9" i="8"/>
  <c r="O14" i="8"/>
  <c r="CR13" i="1"/>
  <c r="DB60" i="1"/>
  <c r="DD60" i="1" s="1"/>
  <c r="CA13" i="1"/>
  <c r="BK63" i="1"/>
  <c r="CM66" i="9"/>
  <c r="CE13" i="9"/>
  <c r="CE8" i="9"/>
  <c r="CE12" i="9"/>
  <c r="CE14" i="9"/>
  <c r="N13" i="4"/>
  <c r="N14" i="4"/>
  <c r="EL13" i="1"/>
  <c r="GL14" i="1"/>
  <c r="GL13" i="1"/>
  <c r="X9" i="4"/>
  <c r="X13" i="4"/>
  <c r="X14" i="4"/>
  <c r="ED12" i="1"/>
  <c r="ED13" i="1"/>
  <c r="EF14" i="1" s="1"/>
  <c r="AL13" i="4"/>
  <c r="AL10" i="4"/>
  <c r="AN11" i="4" s="1"/>
  <c r="AL12" i="4"/>
  <c r="AL9" i="4"/>
  <c r="AL14" i="4"/>
  <c r="DN60" i="1"/>
  <c r="EP60" i="1"/>
  <c r="ER60" i="1" s="1"/>
  <c r="DF60" i="1"/>
  <c r="FL60" i="1" s="1"/>
  <c r="FB12" i="1"/>
  <c r="FB14" i="1"/>
  <c r="FB13" i="1"/>
  <c r="GT64" i="1"/>
  <c r="GX61" i="1" s="1"/>
  <c r="GS65" i="1"/>
  <c r="GW62" i="1" s="1"/>
  <c r="FE60" i="1"/>
  <c r="AX57" i="6"/>
  <c r="AX56" i="6"/>
  <c r="AW58" i="6"/>
  <c r="AW57" i="6"/>
  <c r="GJ13" i="1"/>
  <c r="GP12" i="1"/>
  <c r="GP13" i="1"/>
  <c r="GR14" i="1" s="1"/>
  <c r="BM62" i="1"/>
  <c r="BO62" i="1" s="1"/>
  <c r="DA61" i="1"/>
  <c r="BN61" i="1"/>
  <c r="BH9" i="4"/>
  <c r="BH10" i="4"/>
  <c r="BH13" i="4"/>
  <c r="BH14" i="4"/>
  <c r="AH66" i="9"/>
  <c r="CI66" i="9" s="1"/>
  <c r="Y66" i="9"/>
  <c r="AA66" i="9" s="1"/>
  <c r="P8" i="9"/>
  <c r="P13" i="9"/>
  <c r="P14" i="9"/>
  <c r="BQ62" i="1"/>
  <c r="BS62" i="1" s="1"/>
  <c r="DE61" i="1"/>
  <c r="FK61" i="1" s="1"/>
  <c r="EO61" i="1"/>
  <c r="BR61" i="1"/>
  <c r="BT61" i="1" s="1"/>
  <c r="DM61" i="1"/>
  <c r="W13" i="8"/>
  <c r="W9" i="8"/>
  <c r="W14" i="8"/>
  <c r="FG60" i="1"/>
  <c r="BV66" i="9"/>
  <c r="BX66" i="9" s="1"/>
  <c r="BR12" i="9"/>
  <c r="BR13" i="9"/>
  <c r="BR14" i="9"/>
  <c r="BS61" i="1"/>
  <c r="N12" i="8"/>
  <c r="N13" i="8"/>
  <c r="N9" i="8"/>
  <c r="N14" i="8"/>
  <c r="AF66" i="8"/>
  <c r="DG60" i="1"/>
  <c r="AR65" i="8"/>
  <c r="BS13" i="4"/>
  <c r="BS9" i="4"/>
  <c r="BS14" i="4"/>
  <c r="CB13" i="1"/>
  <c r="AZ65" i="9"/>
  <c r="AL65" i="9"/>
  <c r="AB9" i="13"/>
  <c r="AB12" i="13"/>
  <c r="AB13" i="13"/>
  <c r="AB14" i="13"/>
  <c r="BR58" i="9"/>
  <c r="P58" i="9"/>
  <c r="CE58" i="9"/>
  <c r="X58" i="8"/>
  <c r="O58" i="8"/>
  <c r="O58" i="4"/>
  <c r="Y58" i="4"/>
  <c r="GL58" i="1"/>
  <c r="CF58" i="1"/>
  <c r="CI65" i="9"/>
  <c r="AW13" i="4"/>
  <c r="AW6" i="4"/>
  <c r="AW12" i="4"/>
  <c r="AW9" i="4"/>
  <c r="AW10" i="4"/>
  <c r="AW11" i="4"/>
  <c r="AW14" i="4"/>
  <c r="CZ67" i="1"/>
  <c r="CX13" i="1"/>
  <c r="BT56" i="8"/>
  <c r="AS8" i="13"/>
  <c r="AU9" i="13" s="1"/>
  <c r="AS12" i="13"/>
  <c r="AS7" i="13"/>
  <c r="AS13" i="13"/>
  <c r="AS14" i="13"/>
  <c r="CD13" i="9"/>
  <c r="CD7" i="9"/>
  <c r="CD8" i="9"/>
  <c r="CF9" i="9" s="1"/>
  <c r="CD14" i="9"/>
  <c r="CP59" i="1"/>
  <c r="GC59" i="1"/>
  <c r="GO59" i="1"/>
  <c r="GQ59" i="1" s="1"/>
  <c r="BK13" i="13"/>
  <c r="BK8" i="13"/>
  <c r="BK9" i="13"/>
  <c r="BM10" i="13" s="1"/>
  <c r="BK14" i="13"/>
  <c r="F57" i="11"/>
  <c r="Z58" i="6"/>
  <c r="Z57" i="6"/>
  <c r="GY13" i="1"/>
  <c r="AM13" i="4"/>
  <c r="AM14" i="4"/>
  <c r="CQ13" i="1"/>
  <c r="EX60" i="1"/>
  <c r="GI13" i="1"/>
  <c r="BR66" i="4"/>
  <c r="BT13" i="4"/>
  <c r="BT10" i="4"/>
  <c r="BV11" i="4" s="1"/>
  <c r="BT8" i="4"/>
  <c r="BT9" i="4"/>
  <c r="BT14" i="4"/>
  <c r="GZ59" i="1"/>
  <c r="EK14" i="1"/>
  <c r="EK13" i="1"/>
  <c r="O8" i="9"/>
  <c r="O13" i="9"/>
  <c r="O14" i="9"/>
  <c r="EC13" i="1"/>
  <c r="BQ13" i="9"/>
  <c r="BQ7" i="9"/>
  <c r="BQ8" i="9"/>
  <c r="BS9" i="9" s="1"/>
  <c r="BQ14" i="9"/>
  <c r="EG12" i="1"/>
  <c r="EG13" i="1"/>
  <c r="EI14" i="1" s="1"/>
  <c r="AC9" i="13"/>
  <c r="AC12" i="13"/>
  <c r="AC8" i="13"/>
  <c r="AC13" i="13"/>
  <c r="AC10" i="13"/>
  <c r="AE11" i="13" s="1"/>
  <c r="AC14" i="13"/>
  <c r="R66" i="9"/>
  <c r="FA12" i="1"/>
  <c r="FA13" i="1"/>
  <c r="FC14" i="1" s="1"/>
  <c r="FA11" i="1"/>
  <c r="FC11" i="1" s="1"/>
  <c r="BA59" i="8"/>
  <c r="AA59" i="8"/>
  <c r="GF57" i="1"/>
  <c r="AX12" i="4"/>
  <c r="AX13" i="4"/>
  <c r="AX9" i="4"/>
  <c r="AX14" i="4"/>
  <c r="AE13" i="8"/>
  <c r="AE14" i="8"/>
  <c r="AP56" i="6"/>
  <c r="AN59" i="8"/>
  <c r="O59" i="13"/>
  <c r="BL13" i="13"/>
  <c r="BL8" i="13"/>
  <c r="BL9" i="13"/>
  <c r="BN10" i="13" s="1"/>
  <c r="BL14" i="13"/>
  <c r="G56" i="11"/>
  <c r="AA56" i="6"/>
  <c r="DJ61" i="1"/>
  <c r="DL61" i="1" s="1"/>
  <c r="AG59" i="9"/>
  <c r="AQ59" i="9" s="1"/>
  <c r="X59" i="9"/>
  <c r="AV66" i="4"/>
  <c r="BG66" i="4"/>
  <c r="BI13" i="4"/>
  <c r="BI9" i="4"/>
  <c r="BI14" i="4"/>
  <c r="AT13" i="13"/>
  <c r="AT8" i="13"/>
  <c r="AT14" i="13"/>
  <c r="BH58" i="6"/>
  <c r="GZ13" i="1"/>
  <c r="BA65" i="9"/>
  <c r="AN65" i="9"/>
  <c r="BF57" i="8"/>
  <c r="BO57" i="8"/>
  <c r="BJ56" i="9"/>
  <c r="DC60" i="1"/>
  <c r="EB67" i="1"/>
  <c r="DZ12" i="1"/>
  <c r="DZ13" i="1"/>
  <c r="EB14" i="1" s="1"/>
  <c r="CF13" i="1"/>
  <c r="BU63" i="1"/>
  <c r="CO61" i="1" s="1"/>
  <c r="BV62" i="1"/>
  <c r="BX62" i="1" s="1"/>
  <c r="DI62" i="1"/>
  <c r="DK62" i="1" s="1"/>
  <c r="EJ67" i="1"/>
  <c r="EH12" i="1"/>
  <c r="EH13" i="1"/>
  <c r="EJ14" i="1" s="1"/>
  <c r="CL58" i="1"/>
  <c r="BW62" i="1"/>
  <c r="BU59" i="9"/>
  <c r="DS9" i="6"/>
  <c r="DS10" i="6"/>
  <c r="DU11" i="6" s="1"/>
  <c r="DS12" i="6"/>
  <c r="DS13" i="6"/>
  <c r="DS14" i="6"/>
  <c r="CH59" i="1"/>
  <c r="BP60" i="1"/>
  <c r="BF56" i="9"/>
  <c r="DT9" i="6"/>
  <c r="DT12" i="6"/>
  <c r="DT13" i="6"/>
  <c r="DT14" i="6"/>
  <c r="GB61" i="1"/>
  <c r="O13" i="4"/>
  <c r="O9" i="4"/>
  <c r="O14" i="4"/>
  <c r="DO60" i="1"/>
  <c r="F58" i="11"/>
  <c r="Y13" i="4"/>
  <c r="Y12" i="4"/>
  <c r="Y9" i="4"/>
  <c r="Y14" i="4"/>
  <c r="CL59" i="9"/>
  <c r="AK187" i="23"/>
  <c r="AJ187" i="23"/>
  <c r="AI187" i="23"/>
  <c r="AH187" i="23"/>
  <c r="AG187" i="23"/>
  <c r="GJ63" i="1" l="1"/>
  <c r="GH64" i="1"/>
  <c r="GJ64" i="1" s="1"/>
  <c r="GD66" i="1"/>
  <c r="GF66" i="1" s="1"/>
  <c r="GI64" i="1"/>
  <c r="FX66" i="1"/>
  <c r="BR57" i="4"/>
  <c r="CT61" i="1"/>
  <c r="FP57" i="1"/>
  <c r="FN57" i="1"/>
  <c r="AV57" i="4"/>
  <c r="BG57" i="4"/>
  <c r="DR61" i="1"/>
  <c r="DT61" i="1" s="1"/>
  <c r="BZ59" i="1"/>
  <c r="EL59" i="1" s="1"/>
  <c r="BG62" i="1"/>
  <c r="BS60" i="4"/>
  <c r="BU60" i="4" s="1"/>
  <c r="CS62" i="1"/>
  <c r="CU62" i="1" s="1"/>
  <c r="CV62" i="1" s="1"/>
  <c r="BK60" i="13"/>
  <c r="DQ62" i="1"/>
  <c r="DS62" i="1" s="1"/>
  <c r="AB60" i="13"/>
  <c r="BE63" i="1"/>
  <c r="BY61" i="1" s="1"/>
  <c r="AS61" i="13" s="1"/>
  <c r="BF62" i="1"/>
  <c r="BH62" i="1" s="1"/>
  <c r="CW60" i="1"/>
  <c r="AS60" i="13"/>
  <c r="BK57" i="4"/>
  <c r="AL59" i="4"/>
  <c r="AN59" i="4" s="1"/>
  <c r="AL60" i="4"/>
  <c r="AW60" i="4"/>
  <c r="BH60" i="4"/>
  <c r="AU60" i="4" s="1"/>
  <c r="EL58" i="1"/>
  <c r="EN58" i="1" s="1"/>
  <c r="CX58" i="1"/>
  <c r="CZ58" i="1" s="1"/>
  <c r="AM58" i="4"/>
  <c r="AO58" i="4" s="1"/>
  <c r="AX58" i="4"/>
  <c r="BI58" i="4"/>
  <c r="AV58" i="4" s="1"/>
  <c r="BT58" i="4"/>
  <c r="BV58" i="4" s="1"/>
  <c r="BL58" i="13"/>
  <c r="BN58" i="13" s="1"/>
  <c r="AC58" i="13"/>
  <c r="AT58" i="13"/>
  <c r="AV58" i="13" s="1"/>
  <c r="FE61" i="1"/>
  <c r="EG59" i="1"/>
  <c r="EI59" i="1" s="1"/>
  <c r="AW59" i="4"/>
  <c r="CA59" i="1"/>
  <c r="AS59" i="13"/>
  <c r="AU59" i="13" s="1"/>
  <c r="BQ59" i="4"/>
  <c r="CA60" i="1"/>
  <c r="AB59" i="13"/>
  <c r="AD59" i="13" s="1"/>
  <c r="CW59" i="1"/>
  <c r="CY59" i="1" s="1"/>
  <c r="BK59" i="13"/>
  <c r="BM59" i="13" s="1"/>
  <c r="BH59" i="4"/>
  <c r="BJ59" i="4" s="1"/>
  <c r="EK59" i="1"/>
  <c r="EM59" i="1" s="1"/>
  <c r="FF60" i="1"/>
  <c r="BI56" i="9"/>
  <c r="BK56" i="9" s="1"/>
  <c r="BE56" i="9"/>
  <c r="BG56" i="9" s="1"/>
  <c r="BH57" i="8"/>
  <c r="AT57" i="9"/>
  <c r="V57" i="13"/>
  <c r="BQ56" i="8"/>
  <c r="U57" i="13"/>
  <c r="BD57" i="9"/>
  <c r="BF57" i="9" s="1"/>
  <c r="BB57" i="9"/>
  <c r="BQ57" i="8"/>
  <c r="AS58" i="9"/>
  <c r="BC58" i="8"/>
  <c r="BN58" i="8"/>
  <c r="BP58" i="8" s="1"/>
  <c r="BC59" i="8"/>
  <c r="CN57" i="9"/>
  <c r="AK57" i="9"/>
  <c r="BU66" i="9"/>
  <c r="BW66" i="9" s="1"/>
  <c r="BW59" i="9"/>
  <c r="CY13" i="1"/>
  <c r="BV57" i="13"/>
  <c r="GQ66" i="1"/>
  <c r="AZ58" i="9"/>
  <c r="BB58" i="9" s="1"/>
  <c r="BR57" i="8"/>
  <c r="BT57" i="8" s="1"/>
  <c r="S58" i="13"/>
  <c r="V58" i="13" s="1"/>
  <c r="BY56" i="13"/>
  <c r="AF65" i="13"/>
  <c r="AF58" i="13"/>
  <c r="AH58" i="13" s="1"/>
  <c r="CL66" i="9"/>
  <c r="V59" i="6"/>
  <c r="BU56" i="8"/>
  <c r="AU66" i="4"/>
  <c r="X66" i="9"/>
  <c r="Z66" i="9" s="1"/>
  <c r="AG66" i="9"/>
  <c r="AI66" i="9" s="1"/>
  <c r="BA66" i="8"/>
  <c r="BC66" i="8" s="1"/>
  <c r="BT58" i="13"/>
  <c r="BX58" i="13" s="1"/>
  <c r="BZ58" i="13" s="1"/>
  <c r="GN66" i="1"/>
  <c r="Q59" i="13"/>
  <c r="CI57" i="9"/>
  <c r="CK57" i="9" s="1"/>
  <c r="BA57" i="9"/>
  <c r="BE57" i="9" s="1"/>
  <c r="AA66" i="8"/>
  <c r="AC66" i="8" s="1"/>
  <c r="Y66" i="8"/>
  <c r="AM59" i="6"/>
  <c r="AO59" i="6" s="1"/>
  <c r="BD59" i="6"/>
  <c r="BF59" i="6" s="1"/>
  <c r="AJ59" i="6"/>
  <c r="AI58" i="9"/>
  <c r="CH58" i="9"/>
  <c r="CN58" i="9" s="1"/>
  <c r="AN57" i="9"/>
  <c r="AP57" i="9" s="1"/>
  <c r="G57" i="11"/>
  <c r="FO66" i="1"/>
  <c r="BG58" i="8"/>
  <c r="EF67" i="1"/>
  <c r="FT66" i="1"/>
  <c r="GQ13" i="1"/>
  <c r="BN65" i="8"/>
  <c r="BR65" i="8" s="1"/>
  <c r="AL58" i="9"/>
  <c r="AO58" i="9" s="1"/>
  <c r="GR67" i="1"/>
  <c r="BT65" i="13"/>
  <c r="BX65" i="13" s="1"/>
  <c r="Z59" i="9"/>
  <c r="Z66" i="4"/>
  <c r="GC66" i="1"/>
  <c r="GE66" i="1" s="1"/>
  <c r="O66" i="13"/>
  <c r="Q66" i="13" s="1"/>
  <c r="AN66" i="8"/>
  <c r="AP66" i="8" s="1"/>
  <c r="P66" i="8"/>
  <c r="AG59" i="6"/>
  <c r="CR60" i="6"/>
  <c r="CT60" i="6" s="1"/>
  <c r="BZ60" i="6"/>
  <c r="CB60" i="6" s="1"/>
  <c r="FS66" i="1"/>
  <c r="FP66" i="1"/>
  <c r="FQ66" i="1"/>
  <c r="FQ59" i="1"/>
  <c r="EA59" i="1"/>
  <c r="GE59" i="1"/>
  <c r="FN66" i="1"/>
  <c r="T57" i="13"/>
  <c r="E57" i="11" s="1"/>
  <c r="AG57" i="13"/>
  <c r="AI57" i="13" s="1"/>
  <c r="R57" i="13"/>
  <c r="DL60" i="6"/>
  <c r="GM66" i="1"/>
  <c r="EW62" i="1"/>
  <c r="EY62" i="1" s="1"/>
  <c r="GM13" i="1"/>
  <c r="EA13" i="1"/>
  <c r="FI61" i="1"/>
  <c r="T60" i="6"/>
  <c r="X60" i="6" s="1"/>
  <c r="CI60" i="1"/>
  <c r="DA60" i="6"/>
  <c r="DC60" i="6" s="1"/>
  <c r="BQ60" i="6"/>
  <c r="BS60" i="6" s="1"/>
  <c r="DU60" i="1"/>
  <c r="DW60" i="1" s="1"/>
  <c r="GZ61" i="1"/>
  <c r="AS57" i="8"/>
  <c r="AU57" i="8" s="1"/>
  <c r="AR66" i="9"/>
  <c r="AT66" i="9" s="1"/>
  <c r="CA57" i="13"/>
  <c r="AH60" i="6"/>
  <c r="AJ60" i="6" s="1"/>
  <c r="FG61" i="1"/>
  <c r="CI60" i="6"/>
  <c r="CK60" i="6" s="1"/>
  <c r="BE58" i="6"/>
  <c r="BI58" i="6"/>
  <c r="AV58" i="6"/>
  <c r="AX58" i="6" s="1"/>
  <c r="CE59" i="9"/>
  <c r="CM59" i="9" s="1"/>
  <c r="AR58" i="8"/>
  <c r="AT58" i="8" s="1"/>
  <c r="GL59" i="1"/>
  <c r="GN59" i="1" s="1"/>
  <c r="Y59" i="4"/>
  <c r="AB59" i="4" s="1"/>
  <c r="O59" i="4"/>
  <c r="R59" i="4" s="1"/>
  <c r="X59" i="8"/>
  <c r="BB59" i="8" s="1"/>
  <c r="FH60" i="1"/>
  <c r="O59" i="8"/>
  <c r="Q59" i="8" s="1"/>
  <c r="P59" i="9"/>
  <c r="BV59" i="9" s="1"/>
  <c r="CF59" i="1"/>
  <c r="DP60" i="1"/>
  <c r="AK66" i="9"/>
  <c r="EX61" i="1"/>
  <c r="EZ61" i="1" s="1"/>
  <c r="EB13" i="1"/>
  <c r="FJ60" i="1"/>
  <c r="DH60" i="1"/>
  <c r="P13" i="8"/>
  <c r="CP60" i="1"/>
  <c r="CR60" i="1" s="1"/>
  <c r="CL59" i="1"/>
  <c r="DT59" i="6" s="1"/>
  <c r="AD14" i="13"/>
  <c r="AD13" i="13"/>
  <c r="EF13" i="1"/>
  <c r="DU14" i="6"/>
  <c r="CH59" i="9"/>
  <c r="AE13" i="13"/>
  <c r="CK60" i="1"/>
  <c r="ES60" i="1" s="1"/>
  <c r="EU60" i="1" s="1"/>
  <c r="GR13" i="1"/>
  <c r="AB13" i="4"/>
  <c r="AN13" i="4"/>
  <c r="Z13" i="8"/>
  <c r="FC13" i="1"/>
  <c r="DV13" i="6"/>
  <c r="CC61" i="1"/>
  <c r="CE61" i="1" s="1"/>
  <c r="EJ13" i="1"/>
  <c r="GU65" i="1"/>
  <c r="CG13" i="9"/>
  <c r="BT13" i="9"/>
  <c r="GY62" i="1"/>
  <c r="AS59" i="9"/>
  <c r="BM9" i="13"/>
  <c r="BM8" i="13"/>
  <c r="CZ14" i="1"/>
  <c r="CZ13" i="1"/>
  <c r="Y14" i="8"/>
  <c r="Y13" i="8"/>
  <c r="DB61" i="1"/>
  <c r="DD61" i="1" s="1"/>
  <c r="BN14" i="13"/>
  <c r="BN13" i="13"/>
  <c r="BA12" i="8"/>
  <c r="BA13" i="8"/>
  <c r="BA9" i="8"/>
  <c r="BA14" i="8"/>
  <c r="BP61" i="1"/>
  <c r="DU10" i="6"/>
  <c r="DU9" i="6"/>
  <c r="BM14" i="13"/>
  <c r="BM13" i="13"/>
  <c r="CM58" i="9"/>
  <c r="CG58" i="9"/>
  <c r="BK10" i="4"/>
  <c r="AZ10" i="4"/>
  <c r="BK9" i="4"/>
  <c r="AZ9" i="4"/>
  <c r="BE59" i="8"/>
  <c r="BG59" i="8" s="1"/>
  <c r="BN59" i="8"/>
  <c r="AH58" i="9"/>
  <c r="CI58" i="9" s="1"/>
  <c r="Y58" i="9"/>
  <c r="R58" i="9"/>
  <c r="AA13" i="8"/>
  <c r="AA8" i="8"/>
  <c r="AA9" i="8"/>
  <c r="AC10" i="8" s="1"/>
  <c r="AA14" i="8"/>
  <c r="FD14" i="1"/>
  <c r="DC61" i="1"/>
  <c r="AD14" i="8"/>
  <c r="R10" i="4"/>
  <c r="R9" i="4"/>
  <c r="R14" i="4"/>
  <c r="R13" i="4"/>
  <c r="BS8" i="9"/>
  <c r="BS7" i="9"/>
  <c r="BT59" i="9"/>
  <c r="BV58" i="9"/>
  <c r="BT58" i="9"/>
  <c r="BM63" i="1"/>
  <c r="CG62" i="1" s="1"/>
  <c r="BN62" i="1"/>
  <c r="DA62" i="1"/>
  <c r="DC62" i="1" s="1"/>
  <c r="AD13" i="8"/>
  <c r="AV14" i="13"/>
  <c r="AV13" i="13"/>
  <c r="AF12" i="8"/>
  <c r="AF13" i="8"/>
  <c r="AF14" i="8"/>
  <c r="BS14" i="9"/>
  <c r="BS13" i="9"/>
  <c r="FD13" i="1"/>
  <c r="AR8" i="9"/>
  <c r="AR13" i="9"/>
  <c r="AR12" i="9"/>
  <c r="AR14" i="9"/>
  <c r="BG9" i="4"/>
  <c r="BG13" i="4"/>
  <c r="BG14" i="4"/>
  <c r="DV14" i="6"/>
  <c r="AV9" i="4"/>
  <c r="AV13" i="4"/>
  <c r="AV11" i="4"/>
  <c r="AV14" i="4"/>
  <c r="BU8" i="9"/>
  <c r="BU12" i="9"/>
  <c r="BU13" i="9"/>
  <c r="BU14" i="9"/>
  <c r="AF8" i="8"/>
  <c r="AF9" i="8"/>
  <c r="AH10" i="8" s="1"/>
  <c r="EP61" i="1"/>
  <c r="ER61" i="1" s="1"/>
  <c r="DN61" i="1"/>
  <c r="DF61" i="1"/>
  <c r="FJ61" i="1" s="1"/>
  <c r="AN58" i="6"/>
  <c r="Y58" i="6"/>
  <c r="DX58" i="1"/>
  <c r="FO6" i="1"/>
  <c r="FO12" i="1"/>
  <c r="FO7" i="1"/>
  <c r="FO13" i="1"/>
  <c r="AZ14" i="4"/>
  <c r="BK14" i="4"/>
  <c r="AZ13" i="4"/>
  <c r="BK13" i="4"/>
  <c r="EE14" i="1"/>
  <c r="EE13" i="1"/>
  <c r="BV10" i="4"/>
  <c r="EN14" i="1"/>
  <c r="EN13" i="1"/>
  <c r="F59" i="11"/>
  <c r="DV10" i="6"/>
  <c r="DV9" i="6"/>
  <c r="AZ59" i="9"/>
  <c r="AL59" i="9"/>
  <c r="FQ6" i="1"/>
  <c r="FQ12" i="1"/>
  <c r="FQ7" i="1"/>
  <c r="FQ13" i="1"/>
  <c r="BV9" i="4"/>
  <c r="BV8" i="4"/>
  <c r="AO14" i="4"/>
  <c r="AO13" i="4"/>
  <c r="ED59" i="1"/>
  <c r="CR59" i="1"/>
  <c r="AD10" i="13"/>
  <c r="AD9" i="13"/>
  <c r="P10" i="8"/>
  <c r="P9" i="8"/>
  <c r="FN12" i="1"/>
  <c r="FN7" i="1"/>
  <c r="FN13" i="1"/>
  <c r="FN10" i="1"/>
  <c r="FN11" i="1"/>
  <c r="P14" i="8"/>
  <c r="BQ63" i="1"/>
  <c r="BS63" i="1" s="1"/>
  <c r="BR62" i="1"/>
  <c r="BT62" i="1" s="1"/>
  <c r="EO62" i="1"/>
  <c r="DM62" i="1"/>
  <c r="DE62" i="1"/>
  <c r="DG62" i="1" s="1"/>
  <c r="FP6" i="1"/>
  <c r="FP12" i="1"/>
  <c r="FP7" i="1"/>
  <c r="FP13" i="1"/>
  <c r="FP11" i="1"/>
  <c r="BS65" i="8"/>
  <c r="BE65" i="9"/>
  <c r="BI65" i="9"/>
  <c r="DT58" i="6"/>
  <c r="ET58" i="1"/>
  <c r="EH58" i="1"/>
  <c r="DZ58" i="1"/>
  <c r="FB58" i="1"/>
  <c r="CN58" i="1"/>
  <c r="BV14" i="4"/>
  <c r="BV13" i="4"/>
  <c r="CO66" i="9"/>
  <c r="CK66" i="9"/>
  <c r="BT59" i="13"/>
  <c r="AF59" i="13"/>
  <c r="S59" i="13"/>
  <c r="BR12" i="4"/>
  <c r="BR13" i="4"/>
  <c r="BR9" i="4"/>
  <c r="BR11" i="4"/>
  <c r="BR14" i="4"/>
  <c r="O8" i="13"/>
  <c r="O13" i="13"/>
  <c r="O14" i="13"/>
  <c r="BS57" i="8"/>
  <c r="AR59" i="8"/>
  <c r="BU10" i="4"/>
  <c r="BU9" i="4"/>
  <c r="AN13" i="8"/>
  <c r="AN9" i="8"/>
  <c r="AN14" i="8"/>
  <c r="R14" i="9"/>
  <c r="R13" i="9"/>
  <c r="P14" i="4"/>
  <c r="P13" i="4"/>
  <c r="BY65" i="13"/>
  <c r="Z59" i="6"/>
  <c r="CF8" i="9"/>
  <c r="CF7" i="9"/>
  <c r="BU14" i="4"/>
  <c r="BU13" i="4"/>
  <c r="R9" i="9"/>
  <c r="R8" i="9"/>
  <c r="DO61" i="1"/>
  <c r="DG61" i="1"/>
  <c r="FS6" i="1"/>
  <c r="FS12" i="1"/>
  <c r="FS7" i="1"/>
  <c r="FS13" i="1"/>
  <c r="CF14" i="9"/>
  <c r="CF13" i="9"/>
  <c r="BQ13" i="4"/>
  <c r="BQ6" i="4"/>
  <c r="BQ9" i="4"/>
  <c r="BQ10" i="4"/>
  <c r="BQ14" i="4"/>
  <c r="Y8" i="9"/>
  <c r="Y13" i="9"/>
  <c r="Y14" i="9"/>
  <c r="AN10" i="4"/>
  <c r="AN9" i="4"/>
  <c r="GC60" i="1"/>
  <c r="GE60" i="1" s="1"/>
  <c r="GO60" i="1"/>
  <c r="AE14" i="13"/>
  <c r="CH13" i="9"/>
  <c r="CH7" i="9"/>
  <c r="CH14" i="9"/>
  <c r="BT14" i="9"/>
  <c r="BA66" i="9"/>
  <c r="BC66" i="9" s="1"/>
  <c r="AH8" i="9"/>
  <c r="AH13" i="9"/>
  <c r="AH14" i="9"/>
  <c r="AN66" i="9"/>
  <c r="FR12" i="1"/>
  <c r="FR13" i="1"/>
  <c r="Q10" i="8"/>
  <c r="Q9" i="8"/>
  <c r="AE9" i="13"/>
  <c r="AE8" i="13"/>
  <c r="CL8" i="9"/>
  <c r="CN9" i="9" s="1"/>
  <c r="CL13" i="9"/>
  <c r="CL6" i="9"/>
  <c r="CL7" i="9"/>
  <c r="CL12" i="9"/>
  <c r="CL11" i="9"/>
  <c r="CN11" i="9" s="1"/>
  <c r="CL14" i="9"/>
  <c r="FT12" i="1"/>
  <c r="FT7" i="1"/>
  <c r="FT13" i="1"/>
  <c r="FT9" i="1"/>
  <c r="FT10" i="1"/>
  <c r="CG9" i="9"/>
  <c r="CG8" i="9"/>
  <c r="Q14" i="8"/>
  <c r="Z10" i="8"/>
  <c r="AP59" i="8"/>
  <c r="BA60" i="8"/>
  <c r="BC60" i="8" s="1"/>
  <c r="AA60" i="8"/>
  <c r="AC60" i="8" s="1"/>
  <c r="GN58" i="1"/>
  <c r="BV13" i="9"/>
  <c r="BV12" i="9"/>
  <c r="BV7" i="9"/>
  <c r="BV8" i="9"/>
  <c r="BX9" i="9" s="1"/>
  <c r="BV14" i="9"/>
  <c r="AN14" i="4"/>
  <c r="CG14" i="9"/>
  <c r="Q13" i="8"/>
  <c r="Z9" i="8"/>
  <c r="Z8" i="8"/>
  <c r="AN60" i="8"/>
  <c r="AP60" i="8" s="1"/>
  <c r="O60" i="13"/>
  <c r="AE10" i="13"/>
  <c r="Q14" i="9"/>
  <c r="Q13" i="9"/>
  <c r="CM13" i="9"/>
  <c r="CM8" i="9"/>
  <c r="CO9" i="9" s="1"/>
  <c r="CM7" i="9"/>
  <c r="CM10" i="9"/>
  <c r="CM14" i="9"/>
  <c r="BU66" i="13"/>
  <c r="P9" i="13"/>
  <c r="R10" i="13" s="1"/>
  <c r="AG66" i="13"/>
  <c r="AI66" i="13" s="1"/>
  <c r="P12" i="13"/>
  <c r="P8" i="13"/>
  <c r="P13" i="13"/>
  <c r="P14" i="13"/>
  <c r="T66" i="13"/>
  <c r="AC59" i="8"/>
  <c r="AY14" i="4"/>
  <c r="BJ14" i="4"/>
  <c r="AY13" i="4"/>
  <c r="BJ13" i="4"/>
  <c r="Z14" i="4"/>
  <c r="Z13" i="4"/>
  <c r="CI8" i="9"/>
  <c r="CI13" i="9"/>
  <c r="CI14" i="9"/>
  <c r="AS66" i="8"/>
  <c r="AO12" i="8"/>
  <c r="AO13" i="8"/>
  <c r="AO9" i="8"/>
  <c r="AO14" i="8"/>
  <c r="CL60" i="9"/>
  <c r="CQ61" i="1"/>
  <c r="GD58" i="1"/>
  <c r="GP58" i="1"/>
  <c r="AB58" i="4"/>
  <c r="BD65" i="9"/>
  <c r="BH65" i="9"/>
  <c r="DB59" i="6"/>
  <c r="CA59" i="6"/>
  <c r="U59" i="6"/>
  <c r="DK59" i="6"/>
  <c r="BR59" i="6"/>
  <c r="AI59" i="6"/>
  <c r="CS59" i="6"/>
  <c r="CJ59" i="6"/>
  <c r="DV59" i="1"/>
  <c r="CJ59" i="1"/>
  <c r="EI13" i="1"/>
  <c r="X12" i="9"/>
  <c r="X7" i="9"/>
  <c r="X13" i="9"/>
  <c r="X14" i="9"/>
  <c r="EZ60" i="1"/>
  <c r="AU14" i="13"/>
  <c r="AY11" i="4"/>
  <c r="BJ11" i="4"/>
  <c r="Z10" i="4"/>
  <c r="Z9" i="4"/>
  <c r="Z14" i="8"/>
  <c r="BU60" i="9"/>
  <c r="BW60" i="9" s="1"/>
  <c r="AE60" i="8"/>
  <c r="AG9" i="9"/>
  <c r="AG13" i="9"/>
  <c r="AG14" i="9"/>
  <c r="AU8" i="13"/>
  <c r="AU7" i="13"/>
  <c r="R58" i="4"/>
  <c r="BJ10" i="4"/>
  <c r="AY10" i="4"/>
  <c r="BJ9" i="4"/>
  <c r="AY9" i="4"/>
  <c r="BF66" i="8"/>
  <c r="BB8" i="8"/>
  <c r="BO66" i="8"/>
  <c r="BQ66" i="8" s="1"/>
  <c r="BB12" i="8"/>
  <c r="BB13" i="8"/>
  <c r="BB9" i="8"/>
  <c r="BD10" i="8" s="1"/>
  <c r="BB14" i="8"/>
  <c r="EM14" i="1"/>
  <c r="EM13" i="1"/>
  <c r="AU13" i="13"/>
  <c r="AO58" i="8"/>
  <c r="P58" i="13"/>
  <c r="Q58" i="8"/>
  <c r="GV64" i="1"/>
  <c r="BF13" i="4"/>
  <c r="BF6" i="4"/>
  <c r="BF12" i="4"/>
  <c r="BF8" i="4"/>
  <c r="BF9" i="4"/>
  <c r="BF11" i="4"/>
  <c r="BF14" i="4"/>
  <c r="FZ63" i="1"/>
  <c r="GB63" i="1" s="1"/>
  <c r="AB8" i="8"/>
  <c r="AB9" i="8"/>
  <c r="AD10" i="8" s="1"/>
  <c r="BW57" i="13"/>
  <c r="DJ62" i="1"/>
  <c r="AG14" i="8"/>
  <c r="AG13" i="8"/>
  <c r="BB58" i="8"/>
  <c r="AB58" i="8"/>
  <c r="Z58" i="8"/>
  <c r="AF58" i="8"/>
  <c r="AU13" i="4"/>
  <c r="AU12" i="4"/>
  <c r="AU9" i="4"/>
  <c r="AU10" i="4"/>
  <c r="AU11" i="4"/>
  <c r="AU14" i="4"/>
  <c r="EQ61" i="1"/>
  <c r="BI65" i="1"/>
  <c r="CC62" i="1" s="1"/>
  <c r="BJ64" i="1"/>
  <c r="BL64" i="1" s="1"/>
  <c r="FY64" i="1"/>
  <c r="GA64" i="1" s="1"/>
  <c r="Q9" i="9"/>
  <c r="Q8" i="9"/>
  <c r="AB10" i="4"/>
  <c r="AB9" i="4"/>
  <c r="BJ57" i="9"/>
  <c r="DU13" i="6"/>
  <c r="BU64" i="1"/>
  <c r="CO62" i="1" s="1"/>
  <c r="BV63" i="1"/>
  <c r="CP61" i="1" s="1"/>
  <c r="DI63" i="1"/>
  <c r="AB14" i="4"/>
  <c r="BW63" i="1"/>
  <c r="AV9" i="13"/>
  <c r="AV8" i="13"/>
  <c r="BN9" i="13"/>
  <c r="BN8" i="13"/>
  <c r="AI59" i="9"/>
  <c r="FM6" i="1"/>
  <c r="FM12" i="1"/>
  <c r="FM13" i="1"/>
  <c r="Y10" i="8"/>
  <c r="Y9" i="8"/>
  <c r="CG61" i="1"/>
  <c r="GT65" i="1"/>
  <c r="GS66" i="1"/>
  <c r="GW63" i="1" s="1"/>
  <c r="GN14" i="1"/>
  <c r="GN13" i="1"/>
  <c r="CH60" i="1"/>
  <c r="CD60" i="1"/>
  <c r="X60" i="9"/>
  <c r="Z60" i="9" s="1"/>
  <c r="AG60" i="9"/>
  <c r="CH60" i="9" s="1"/>
  <c r="AE187" i="23"/>
  <c r="AD187" i="23"/>
  <c r="AR186" i="23"/>
  <c r="AQ186" i="23"/>
  <c r="AP186" i="23"/>
  <c r="AO186" i="23"/>
  <c r="AN186" i="23"/>
  <c r="GJ65" i="1" l="1"/>
  <c r="CX59" i="1"/>
  <c r="CZ59" i="1" s="1"/>
  <c r="BQ60" i="4"/>
  <c r="AM59" i="4"/>
  <c r="AO59" i="4" s="1"/>
  <c r="CB59" i="1"/>
  <c r="BI59" i="4"/>
  <c r="BK59" i="4" s="1"/>
  <c r="BL59" i="13"/>
  <c r="BN59" i="13" s="1"/>
  <c r="BT59" i="4"/>
  <c r="BV59" i="4" s="1"/>
  <c r="AX59" i="4"/>
  <c r="AC59" i="13"/>
  <c r="DQ63" i="1"/>
  <c r="DS63" i="1" s="1"/>
  <c r="AT59" i="13"/>
  <c r="AV59" i="13" s="1"/>
  <c r="FF61" i="1"/>
  <c r="BF60" i="4"/>
  <c r="FE62" i="1"/>
  <c r="BF63" i="1"/>
  <c r="BH63" i="1" s="1"/>
  <c r="CS63" i="1"/>
  <c r="CU63" i="1" s="1"/>
  <c r="CV63" i="1" s="1"/>
  <c r="AW61" i="4"/>
  <c r="EK61" i="1"/>
  <c r="EM61" i="1" s="1"/>
  <c r="BK58" i="4"/>
  <c r="BG58" i="4"/>
  <c r="AZ58" i="4"/>
  <c r="DR62" i="1"/>
  <c r="DT62" i="1" s="1"/>
  <c r="CT62" i="1"/>
  <c r="BZ60" i="1"/>
  <c r="AX60" i="4" s="1"/>
  <c r="AN60" i="4"/>
  <c r="BR58" i="4"/>
  <c r="EN59" i="1"/>
  <c r="AU61" i="13"/>
  <c r="CA61" i="1"/>
  <c r="BH61" i="4"/>
  <c r="AY61" i="4" s="1"/>
  <c r="AL61" i="4"/>
  <c r="AN61" i="4" s="1"/>
  <c r="BS61" i="4"/>
  <c r="BU61" i="4" s="1"/>
  <c r="BK61" i="13"/>
  <c r="BM61" i="13" s="1"/>
  <c r="AB61" i="13"/>
  <c r="AE61" i="13" s="1"/>
  <c r="BE64" i="1"/>
  <c r="BY62" i="1" s="1"/>
  <c r="CA62" i="1" s="1"/>
  <c r="BG63" i="1"/>
  <c r="AU60" i="13"/>
  <c r="BM60" i="13"/>
  <c r="CY60" i="1"/>
  <c r="AU59" i="4"/>
  <c r="EM60" i="1"/>
  <c r="FM59" i="1"/>
  <c r="AD60" i="13"/>
  <c r="AE60" i="13"/>
  <c r="AE59" i="13"/>
  <c r="AY59" i="4"/>
  <c r="BF59" i="4"/>
  <c r="BJ60" i="4"/>
  <c r="AY60" i="4"/>
  <c r="FO59" i="1"/>
  <c r="BG57" i="9"/>
  <c r="AQ66" i="9"/>
  <c r="AS66" i="9" s="1"/>
  <c r="AZ66" i="9"/>
  <c r="BB66" i="9" s="1"/>
  <c r="BC57" i="9"/>
  <c r="V59" i="13"/>
  <c r="BH58" i="9"/>
  <c r="BJ58" i="9" s="1"/>
  <c r="BD58" i="9"/>
  <c r="BF58" i="9" s="1"/>
  <c r="BR58" i="8"/>
  <c r="BT58" i="8" s="1"/>
  <c r="BP59" i="8"/>
  <c r="BV58" i="13"/>
  <c r="BB59" i="9"/>
  <c r="AL66" i="9"/>
  <c r="AO66" i="9" s="1"/>
  <c r="GP59" i="1"/>
  <c r="GR59" i="1" s="1"/>
  <c r="BH59" i="6"/>
  <c r="D58" i="11"/>
  <c r="BI57" i="9"/>
  <c r="BK57" i="9" s="1"/>
  <c r="U58" i="13"/>
  <c r="CO57" i="9"/>
  <c r="AH59" i="13"/>
  <c r="CH66" i="9"/>
  <c r="CN66" i="9" s="1"/>
  <c r="BN66" i="8"/>
  <c r="BP66" i="8" s="1"/>
  <c r="BE66" i="8"/>
  <c r="BG66" i="8" s="1"/>
  <c r="BJ59" i="6"/>
  <c r="CJ58" i="9"/>
  <c r="AO59" i="9"/>
  <c r="CN59" i="9"/>
  <c r="AF66" i="13"/>
  <c r="AH66" i="13" s="1"/>
  <c r="BT66" i="13"/>
  <c r="BX66" i="13" s="1"/>
  <c r="CA66" i="13" s="1"/>
  <c r="S66" i="13"/>
  <c r="U66" i="13" s="1"/>
  <c r="CG59" i="9"/>
  <c r="AR66" i="8"/>
  <c r="AT66" i="8" s="1"/>
  <c r="GD59" i="1"/>
  <c r="GF59" i="1" s="1"/>
  <c r="Z59" i="8"/>
  <c r="BY57" i="13"/>
  <c r="AM60" i="6"/>
  <c r="AO60" i="6" s="1"/>
  <c r="BD60" i="6"/>
  <c r="BF60" i="6" s="1"/>
  <c r="F60" i="11"/>
  <c r="EH59" i="1"/>
  <c r="FN59" i="1" s="1"/>
  <c r="Z60" i="6"/>
  <c r="V60" i="6"/>
  <c r="CJ59" i="9"/>
  <c r="AG60" i="6"/>
  <c r="AU60" i="6"/>
  <c r="AW60" i="6" s="1"/>
  <c r="FI62" i="1"/>
  <c r="AF59" i="8"/>
  <c r="AH59" i="8" s="1"/>
  <c r="CN59" i="1"/>
  <c r="EX62" i="1"/>
  <c r="EZ62" i="1" s="1"/>
  <c r="FK62" i="1"/>
  <c r="EW63" i="1"/>
  <c r="EY63" i="1" s="1"/>
  <c r="R59" i="9"/>
  <c r="DZ59" i="1"/>
  <c r="FT59" i="1" s="1"/>
  <c r="AB59" i="8"/>
  <c r="AD59" i="8" s="1"/>
  <c r="AO59" i="8"/>
  <c r="AQ59" i="8" s="1"/>
  <c r="O61" i="9"/>
  <c r="Q61" i="9" s="1"/>
  <c r="AR58" i="9"/>
  <c r="AT58" i="9" s="1"/>
  <c r="CM60" i="1"/>
  <c r="P59" i="13"/>
  <c r="R59" i="13" s="1"/>
  <c r="FA60" i="1"/>
  <c r="FC60" i="1" s="1"/>
  <c r="Y59" i="9"/>
  <c r="AA59" i="9" s="1"/>
  <c r="GK61" i="1"/>
  <c r="GM61" i="1" s="1"/>
  <c r="AH59" i="9"/>
  <c r="BA59" i="9" s="1"/>
  <c r="W61" i="8"/>
  <c r="AE61" i="8" s="1"/>
  <c r="AG61" i="8" s="1"/>
  <c r="N61" i="8"/>
  <c r="AN61" i="8" s="1"/>
  <c r="AP61" i="8" s="1"/>
  <c r="BQ61" i="9"/>
  <c r="BS61" i="9" s="1"/>
  <c r="CD61" i="9"/>
  <c r="CF61" i="9" s="1"/>
  <c r="BG58" i="6"/>
  <c r="BK58" i="6"/>
  <c r="CA58" i="13"/>
  <c r="ET59" i="1"/>
  <c r="EV59" i="1" s="1"/>
  <c r="FB59" i="1"/>
  <c r="FD59" i="1" s="1"/>
  <c r="X61" i="4"/>
  <c r="Z61" i="4" s="1"/>
  <c r="N61" i="4"/>
  <c r="P61" i="4" s="1"/>
  <c r="EC61" i="1"/>
  <c r="EE61" i="1" s="1"/>
  <c r="CD61" i="1"/>
  <c r="ED61" i="1" s="1"/>
  <c r="FH61" i="1"/>
  <c r="FL61" i="1"/>
  <c r="DS60" i="6"/>
  <c r="DU60" i="6" s="1"/>
  <c r="R14" i="13"/>
  <c r="DP61" i="1"/>
  <c r="BW13" i="9"/>
  <c r="BW64" i="1"/>
  <c r="DH61" i="1"/>
  <c r="R13" i="13"/>
  <c r="CN13" i="9"/>
  <c r="EG60" i="1"/>
  <c r="EI60" i="1" s="1"/>
  <c r="FG62" i="1"/>
  <c r="Z14" i="9"/>
  <c r="U59" i="13"/>
  <c r="DY60" i="1"/>
  <c r="EA60" i="1" s="1"/>
  <c r="CO58" i="9"/>
  <c r="CK58" i="9"/>
  <c r="BX14" i="9"/>
  <c r="BK65" i="1"/>
  <c r="BX63" i="1"/>
  <c r="AH14" i="8"/>
  <c r="AH13" i="8"/>
  <c r="GU66" i="1"/>
  <c r="BD13" i="8"/>
  <c r="CK61" i="1"/>
  <c r="DY61" i="1" s="1"/>
  <c r="AT14" i="9"/>
  <c r="CW61" i="1"/>
  <c r="CY61" i="1" s="1"/>
  <c r="ED60" i="1"/>
  <c r="EF60" i="1" s="1"/>
  <c r="AQ13" i="8"/>
  <c r="CR62" i="6"/>
  <c r="BQ62" i="6"/>
  <c r="T62" i="6"/>
  <c r="DJ62" i="6"/>
  <c r="DA62" i="6"/>
  <c r="AH62" i="6"/>
  <c r="AM62" i="6" s="1"/>
  <c r="BZ62" i="6"/>
  <c r="CI62" i="6"/>
  <c r="DU62" i="1"/>
  <c r="GY63" i="1"/>
  <c r="EC62" i="1"/>
  <c r="CQ62" i="1"/>
  <c r="CD62" i="9"/>
  <c r="BQ62" i="9"/>
  <c r="O62" i="9"/>
  <c r="W62" i="8"/>
  <c r="AE62" i="8" s="1"/>
  <c r="N62" i="8"/>
  <c r="X62" i="4"/>
  <c r="N62" i="4"/>
  <c r="GK62" i="1"/>
  <c r="CE62" i="1"/>
  <c r="CR61" i="1"/>
  <c r="CN60" i="9"/>
  <c r="CJ60" i="9"/>
  <c r="Z13" i="9"/>
  <c r="DB60" i="6"/>
  <c r="CA60" i="6"/>
  <c r="DK60" i="6"/>
  <c r="DM60" i="6" s="1"/>
  <c r="CJ60" i="6"/>
  <c r="CL60" i="6" s="1"/>
  <c r="AI60" i="6"/>
  <c r="AL60" i="6" s="1"/>
  <c r="BR60" i="6"/>
  <c r="BT60" i="6" s="1"/>
  <c r="U60" i="6"/>
  <c r="W60" i="6" s="1"/>
  <c r="CS60" i="6"/>
  <c r="CU60" i="6" s="1"/>
  <c r="DV60" i="1"/>
  <c r="DX60" i="1" s="1"/>
  <c r="CK9" i="9"/>
  <c r="CK8" i="9"/>
  <c r="CC59" i="6"/>
  <c r="CO14" i="9"/>
  <c r="CO13" i="9"/>
  <c r="S13" i="13"/>
  <c r="S9" i="13"/>
  <c r="S14" i="13"/>
  <c r="AV59" i="6"/>
  <c r="BE59" i="6"/>
  <c r="BI59" i="6"/>
  <c r="AL59" i="6"/>
  <c r="AS13" i="8"/>
  <c r="AS9" i="8"/>
  <c r="AS12" i="8"/>
  <c r="AS14" i="8"/>
  <c r="DD59" i="6"/>
  <c r="AQ60" i="9"/>
  <c r="AT9" i="9"/>
  <c r="AT8" i="9"/>
  <c r="BI66" i="1"/>
  <c r="BK66" i="1" s="1"/>
  <c r="BJ65" i="1"/>
  <c r="CD62" i="1" s="1"/>
  <c r="FY65" i="1"/>
  <c r="AL13" i="9"/>
  <c r="AL12" i="9"/>
  <c r="AL14" i="9"/>
  <c r="BX8" i="9"/>
  <c r="BX7" i="9"/>
  <c r="AN8" i="9"/>
  <c r="AN13" i="9"/>
  <c r="AN14" i="9"/>
  <c r="Q14" i="13"/>
  <c r="Q13" i="13"/>
  <c r="AI60" i="9"/>
  <c r="FZ64" i="1"/>
  <c r="GB64" i="1" s="1"/>
  <c r="GT66" i="1"/>
  <c r="GX64" i="1" s="1"/>
  <c r="GZ65" i="1" s="1"/>
  <c r="GW64" i="1"/>
  <c r="GY65" i="1" s="1"/>
  <c r="BX13" i="9"/>
  <c r="Q9" i="13"/>
  <c r="Q8" i="13"/>
  <c r="BD59" i="9"/>
  <c r="BH59" i="9"/>
  <c r="AK14" i="9"/>
  <c r="AK13" i="9"/>
  <c r="AP10" i="8"/>
  <c r="AP9" i="8"/>
  <c r="AF13" i="13"/>
  <c r="AF8" i="13"/>
  <c r="AF7" i="13"/>
  <c r="AF9" i="13"/>
  <c r="AH10" i="13" s="1"/>
  <c r="AF14" i="13"/>
  <c r="DB62" i="1"/>
  <c r="DD62" i="1" s="1"/>
  <c r="BC10" i="8"/>
  <c r="BC9" i="8"/>
  <c r="AI10" i="9"/>
  <c r="AI9" i="9"/>
  <c r="CN8" i="9"/>
  <c r="AK9" i="9"/>
  <c r="AK8" i="9"/>
  <c r="AP14" i="8"/>
  <c r="AP13" i="8"/>
  <c r="BT13" i="13"/>
  <c r="BT14" i="13"/>
  <c r="EP62" i="1"/>
  <c r="ER62" i="1" s="1"/>
  <c r="DN62" i="1"/>
  <c r="DF62" i="1"/>
  <c r="AH9" i="8"/>
  <c r="AH8" i="8"/>
  <c r="AU66" i="8"/>
  <c r="BM64" i="1"/>
  <c r="CG63" i="1" s="1"/>
  <c r="DA63" i="1"/>
  <c r="DC63" i="1" s="1"/>
  <c r="BN63" i="1"/>
  <c r="BP63" i="1" s="1"/>
  <c r="BC14" i="8"/>
  <c r="AI14" i="9"/>
  <c r="AI13" i="9"/>
  <c r="BU58" i="13"/>
  <c r="AG58" i="13"/>
  <c r="T58" i="13"/>
  <c r="R58" i="13"/>
  <c r="DJ61" i="6"/>
  <c r="CI61" i="6"/>
  <c r="AH61" i="6"/>
  <c r="DA61" i="6"/>
  <c r="BQ61" i="6"/>
  <c r="BZ61" i="6"/>
  <c r="CR61" i="6"/>
  <c r="T61" i="6"/>
  <c r="CI62" i="1"/>
  <c r="DU61" i="1"/>
  <c r="CI61" i="1"/>
  <c r="AS58" i="8"/>
  <c r="AQ58" i="8"/>
  <c r="AZ7" i="9"/>
  <c r="AZ13" i="9"/>
  <c r="AZ14" i="9"/>
  <c r="GR58" i="1"/>
  <c r="CN7" i="9"/>
  <c r="CN6" i="9"/>
  <c r="BA13" i="9"/>
  <c r="BA14" i="9"/>
  <c r="BE66" i="9"/>
  <c r="BG66" i="9" s="1"/>
  <c r="BI66" i="9"/>
  <c r="BK66" i="9" s="1"/>
  <c r="AA14" i="9"/>
  <c r="AA13" i="9"/>
  <c r="AR13" i="8"/>
  <c r="AR9" i="8"/>
  <c r="AR14" i="8"/>
  <c r="FD58" i="1"/>
  <c r="AP66" i="9"/>
  <c r="BO63" i="1"/>
  <c r="BC13" i="8"/>
  <c r="GF58" i="1"/>
  <c r="CN14" i="9"/>
  <c r="AA9" i="9"/>
  <c r="AA8" i="9"/>
  <c r="FR58" i="1"/>
  <c r="FT58" i="1"/>
  <c r="EB58" i="1"/>
  <c r="BQ64" i="1"/>
  <c r="BS64" i="1" s="1"/>
  <c r="BR63" i="1"/>
  <c r="BT63" i="1" s="1"/>
  <c r="DM63" i="1"/>
  <c r="EO63" i="1"/>
  <c r="EQ63" i="1" s="1"/>
  <c r="DE63" i="1"/>
  <c r="DG63" i="1" s="1"/>
  <c r="BE9" i="8"/>
  <c r="BE12" i="8"/>
  <c r="BE7" i="8"/>
  <c r="BE13" i="8"/>
  <c r="BE14" i="8"/>
  <c r="EJ58" i="1"/>
  <c r="BN13" i="8"/>
  <c r="BN9" i="8"/>
  <c r="BN14" i="8"/>
  <c r="Z8" i="9"/>
  <c r="Z7" i="9"/>
  <c r="CJ8" i="9"/>
  <c r="CJ7" i="9"/>
  <c r="EV58" i="1"/>
  <c r="DO62" i="1"/>
  <c r="CJ14" i="9"/>
  <c r="CJ13" i="9"/>
  <c r="BW14" i="9"/>
  <c r="DV59" i="6"/>
  <c r="DV58" i="6"/>
  <c r="EF59" i="1"/>
  <c r="AC9" i="8"/>
  <c r="AC8" i="8"/>
  <c r="BF59" i="8"/>
  <c r="BO59" i="8"/>
  <c r="AH58" i="8"/>
  <c r="BW9" i="9"/>
  <c r="BW8" i="9"/>
  <c r="AC14" i="8"/>
  <c r="AC13" i="8"/>
  <c r="BN60" i="8"/>
  <c r="BE60" i="8"/>
  <c r="AD9" i="8"/>
  <c r="AD8" i="8"/>
  <c r="AG60" i="8"/>
  <c r="DK63" i="1"/>
  <c r="BT60" i="13"/>
  <c r="BV60" i="13" s="1"/>
  <c r="AF60" i="13"/>
  <c r="AH60" i="13" s="1"/>
  <c r="S60" i="13"/>
  <c r="U60" i="13" s="1"/>
  <c r="D59" i="11"/>
  <c r="BX59" i="9"/>
  <c r="BX58" i="9"/>
  <c r="BY66" i="13"/>
  <c r="T13" i="13"/>
  <c r="T9" i="13"/>
  <c r="V10" i="13" s="1"/>
  <c r="T12" i="13"/>
  <c r="T8" i="13"/>
  <c r="T14" i="13"/>
  <c r="R9" i="13"/>
  <c r="R8" i="13"/>
  <c r="BU57" i="8"/>
  <c r="Y59" i="6"/>
  <c r="AA59" i="6" s="1"/>
  <c r="AN59" i="6"/>
  <c r="AP59" i="6" s="1"/>
  <c r="BX59" i="13"/>
  <c r="CA59" i="13" s="1"/>
  <c r="BD59" i="8"/>
  <c r="BF58" i="8"/>
  <c r="BO58" i="8"/>
  <c r="BD58" i="8"/>
  <c r="AR60" i="8"/>
  <c r="AQ8" i="9"/>
  <c r="AS9" i="9" s="1"/>
  <c r="AQ7" i="9"/>
  <c r="AQ13" i="9"/>
  <c r="AQ14" i="9"/>
  <c r="BD14" i="8"/>
  <c r="CJ60" i="1"/>
  <c r="AQ10" i="8"/>
  <c r="AQ9" i="8"/>
  <c r="AG8" i="13"/>
  <c r="AG9" i="13"/>
  <c r="AI10" i="13" s="1"/>
  <c r="AG12" i="13"/>
  <c r="AG13" i="13"/>
  <c r="AG14" i="13"/>
  <c r="AT59" i="8"/>
  <c r="DL62" i="1"/>
  <c r="BV59" i="13"/>
  <c r="Q60" i="13"/>
  <c r="GX62" i="1"/>
  <c r="DJ63" i="1"/>
  <c r="DL63" i="1" s="1"/>
  <c r="BU65" i="1"/>
  <c r="BW65" i="1" s="1"/>
  <c r="BV64" i="1"/>
  <c r="CP62" i="1" s="1"/>
  <c r="CR62" i="1" s="1"/>
  <c r="DI64" i="1"/>
  <c r="AD58" i="8"/>
  <c r="AZ60" i="9"/>
  <c r="AL60" i="9"/>
  <c r="AO60" i="9" s="1"/>
  <c r="CL59" i="6"/>
  <c r="AQ14" i="8"/>
  <c r="GV65" i="1"/>
  <c r="BS66" i="8"/>
  <c r="BU66" i="8" s="1"/>
  <c r="BO12" i="8"/>
  <c r="BO9" i="8"/>
  <c r="BO13" i="8"/>
  <c r="BO14" i="8"/>
  <c r="CU59" i="6"/>
  <c r="BU13" i="13"/>
  <c r="BU9" i="13"/>
  <c r="BW10" i="13" s="1"/>
  <c r="BU12" i="13"/>
  <c r="BU8" i="13"/>
  <c r="BU14" i="13"/>
  <c r="DX59" i="1"/>
  <c r="AA58" i="9"/>
  <c r="CH61" i="1"/>
  <c r="CJ61" i="1" s="1"/>
  <c r="BD9" i="8"/>
  <c r="BD8" i="8"/>
  <c r="G58" i="11"/>
  <c r="AA58" i="6"/>
  <c r="P60" i="9"/>
  <c r="BR60" i="9"/>
  <c r="CE60" i="9"/>
  <c r="O60" i="8"/>
  <c r="X60" i="8"/>
  <c r="Y60" i="4"/>
  <c r="O60" i="4"/>
  <c r="GL60" i="1"/>
  <c r="CF60" i="1"/>
  <c r="BF13" i="8"/>
  <c r="BF9" i="8"/>
  <c r="BF14" i="8"/>
  <c r="BT59" i="6"/>
  <c r="CO11" i="9"/>
  <c r="CO10" i="9"/>
  <c r="BW66" i="13"/>
  <c r="BH66" i="8"/>
  <c r="EQ62" i="1"/>
  <c r="AP58" i="6"/>
  <c r="BA58" i="9"/>
  <c r="AN58" i="9"/>
  <c r="AK58" i="9"/>
  <c r="BP62" i="1"/>
  <c r="DM59" i="6"/>
  <c r="CK14" i="9"/>
  <c r="CK13" i="9"/>
  <c r="CO8" i="9"/>
  <c r="CO7" i="9"/>
  <c r="FN58" i="1"/>
  <c r="GQ60" i="1"/>
  <c r="W59" i="6"/>
  <c r="FP58" i="1"/>
  <c r="CL60" i="1"/>
  <c r="AT13" i="9"/>
  <c r="BR59" i="8"/>
  <c r="AK186" i="23"/>
  <c r="AJ186" i="23"/>
  <c r="AI186" i="23"/>
  <c r="AH186" i="23"/>
  <c r="AG186" i="23"/>
  <c r="BG59" i="4" l="1"/>
  <c r="BR59" i="4"/>
  <c r="AV59" i="4"/>
  <c r="AZ59" i="4"/>
  <c r="DR63" i="1"/>
  <c r="DT63" i="1" s="1"/>
  <c r="BZ61" i="1"/>
  <c r="BI61" i="4" s="1"/>
  <c r="CT63" i="1"/>
  <c r="FG63" i="1"/>
  <c r="BF61" i="4"/>
  <c r="AU61" i="4"/>
  <c r="BF64" i="1"/>
  <c r="BH64" i="1" s="1"/>
  <c r="BE65" i="1"/>
  <c r="BG65" i="1" s="1"/>
  <c r="DQ64" i="1"/>
  <c r="DS64" i="1" s="1"/>
  <c r="BQ61" i="4"/>
  <c r="CB60" i="1"/>
  <c r="BI60" i="4"/>
  <c r="AV60" i="4" s="1"/>
  <c r="BT60" i="4"/>
  <c r="BV60" i="4" s="1"/>
  <c r="CX60" i="1"/>
  <c r="CZ60" i="1" s="1"/>
  <c r="EL60" i="1"/>
  <c r="EN60" i="1" s="1"/>
  <c r="BL60" i="13"/>
  <c r="BN60" i="13" s="1"/>
  <c r="AM60" i="4"/>
  <c r="AO60" i="4" s="1"/>
  <c r="AT60" i="13"/>
  <c r="AV60" i="13" s="1"/>
  <c r="AC60" i="13"/>
  <c r="BK62" i="13"/>
  <c r="BM62" i="13" s="1"/>
  <c r="BS62" i="4"/>
  <c r="BU62" i="4" s="1"/>
  <c r="BH62" i="4"/>
  <c r="BJ62" i="4" s="1"/>
  <c r="AB62" i="13"/>
  <c r="AE62" i="13" s="1"/>
  <c r="CS64" i="1"/>
  <c r="CU64" i="1" s="1"/>
  <c r="CW62" i="1"/>
  <c r="CY62" i="1" s="1"/>
  <c r="EK62" i="1"/>
  <c r="EM62" i="1" s="1"/>
  <c r="AW62" i="4"/>
  <c r="AL62" i="4"/>
  <c r="AN62" i="4" s="1"/>
  <c r="AS62" i="13"/>
  <c r="AU62" i="13" s="1"/>
  <c r="BJ61" i="4"/>
  <c r="BG64" i="1"/>
  <c r="AD61" i="13"/>
  <c r="BH66" i="9"/>
  <c r="BJ66" i="9" s="1"/>
  <c r="BD66" i="9"/>
  <c r="BF66" i="9" s="1"/>
  <c r="BT59" i="8"/>
  <c r="BJ59" i="9"/>
  <c r="BF59" i="9"/>
  <c r="BR66" i="8"/>
  <c r="BT66" i="8" s="1"/>
  <c r="EJ59" i="1"/>
  <c r="FP59" i="1"/>
  <c r="V66" i="13"/>
  <c r="CJ66" i="9"/>
  <c r="AS59" i="8"/>
  <c r="AU59" i="8" s="1"/>
  <c r="X61" i="9"/>
  <c r="Z61" i="9" s="1"/>
  <c r="BV66" i="13"/>
  <c r="CE61" i="9"/>
  <c r="CG61" i="9" s="1"/>
  <c r="BH60" i="6"/>
  <c r="FR59" i="1"/>
  <c r="EB59" i="1"/>
  <c r="CF61" i="1"/>
  <c r="BJ60" i="6"/>
  <c r="AG59" i="13"/>
  <c r="AI59" i="13" s="1"/>
  <c r="T59" i="13"/>
  <c r="BY59" i="13" s="1"/>
  <c r="BU59" i="13"/>
  <c r="BW59" i="13" s="1"/>
  <c r="P61" i="8"/>
  <c r="BR61" i="9"/>
  <c r="O61" i="4"/>
  <c r="R61" i="4" s="1"/>
  <c r="O61" i="8"/>
  <c r="Q61" i="8" s="1"/>
  <c r="P61" i="9"/>
  <c r="Y61" i="9" s="1"/>
  <c r="Y61" i="4"/>
  <c r="AB61" i="4" s="1"/>
  <c r="X61" i="8"/>
  <c r="AF61" i="8" s="1"/>
  <c r="EE62" i="1"/>
  <c r="GO61" i="1"/>
  <c r="GQ61" i="1" s="1"/>
  <c r="GC61" i="1"/>
  <c r="GE61" i="1" s="1"/>
  <c r="AG61" i="9"/>
  <c r="AQ61" i="9" s="1"/>
  <c r="AS61" i="9" s="1"/>
  <c r="GL61" i="1"/>
  <c r="GN61" i="1" s="1"/>
  <c r="P62" i="4"/>
  <c r="AA61" i="8"/>
  <c r="AC61" i="8" s="1"/>
  <c r="Q62" i="9"/>
  <c r="CC63" i="1"/>
  <c r="N63" i="4" s="1"/>
  <c r="P63" i="4" s="1"/>
  <c r="EX63" i="1"/>
  <c r="EZ63" i="1" s="1"/>
  <c r="AN59" i="9"/>
  <c r="AP59" i="9" s="1"/>
  <c r="Y61" i="8"/>
  <c r="BU61" i="9"/>
  <c r="BW61" i="9" s="1"/>
  <c r="GM62" i="1"/>
  <c r="EF61" i="1"/>
  <c r="BS62" i="9"/>
  <c r="DS61" i="6"/>
  <c r="DU61" i="6" s="1"/>
  <c r="O61" i="13"/>
  <c r="Q61" i="13" s="1"/>
  <c r="CF62" i="9"/>
  <c r="CI59" i="9"/>
  <c r="AR59" i="9"/>
  <c r="AT59" i="9" s="1"/>
  <c r="CL61" i="9"/>
  <c r="AK59" i="9"/>
  <c r="BA61" i="8"/>
  <c r="BC61" i="8" s="1"/>
  <c r="P62" i="8"/>
  <c r="CF62" i="1"/>
  <c r="Y62" i="8"/>
  <c r="EG61" i="1"/>
  <c r="EI61" i="1" s="1"/>
  <c r="V60" i="13"/>
  <c r="CO63" i="1"/>
  <c r="CQ63" i="1" s="1"/>
  <c r="AU13" i="8"/>
  <c r="FQ61" i="1"/>
  <c r="FS61" i="1"/>
  <c r="EA61" i="1"/>
  <c r="ES61" i="1"/>
  <c r="EU61" i="1" s="1"/>
  <c r="FO60" i="1"/>
  <c r="FM60" i="1"/>
  <c r="BW13" i="13"/>
  <c r="BZ59" i="13"/>
  <c r="FQ60" i="1"/>
  <c r="FS60" i="1"/>
  <c r="BZ66" i="13"/>
  <c r="CM61" i="1"/>
  <c r="FA61" i="1"/>
  <c r="FC61" i="1" s="1"/>
  <c r="AU14" i="8"/>
  <c r="BW14" i="13"/>
  <c r="AI14" i="13"/>
  <c r="FE63" i="1"/>
  <c r="DO63" i="1"/>
  <c r="V14" i="13"/>
  <c r="FK63" i="1"/>
  <c r="AG62" i="8"/>
  <c r="FI63" i="1"/>
  <c r="EW64" i="1"/>
  <c r="EY64" i="1" s="1"/>
  <c r="GN60" i="1"/>
  <c r="CK62" i="6"/>
  <c r="CK61" i="6"/>
  <c r="CL61" i="1"/>
  <c r="CN61" i="1" s="1"/>
  <c r="DL62" i="6"/>
  <c r="DL61" i="6"/>
  <c r="AU10" i="8"/>
  <c r="AU9" i="8"/>
  <c r="AG62" i="9"/>
  <c r="AQ62" i="9" s="1"/>
  <c r="X62" i="9"/>
  <c r="GD60" i="1"/>
  <c r="GP60" i="1"/>
  <c r="AB60" i="4"/>
  <c r="FF62" i="1"/>
  <c r="E58" i="11"/>
  <c r="BY58" i="13"/>
  <c r="CE62" i="9"/>
  <c r="BR62" i="9"/>
  <c r="P62" i="9"/>
  <c r="X62" i="8"/>
  <c r="AF62" i="8" s="1"/>
  <c r="O62" i="8"/>
  <c r="Y62" i="4"/>
  <c r="O62" i="4"/>
  <c r="GL62" i="1"/>
  <c r="FZ65" i="1"/>
  <c r="BU62" i="9"/>
  <c r="BR60" i="8"/>
  <c r="BT60" i="8" s="1"/>
  <c r="FH62" i="1"/>
  <c r="BH13" i="9"/>
  <c r="BH7" i="9"/>
  <c r="BH8" i="9"/>
  <c r="BJ9" i="9" s="1"/>
  <c r="BH14" i="9"/>
  <c r="AI58" i="13"/>
  <c r="BL65" i="1"/>
  <c r="BJ66" i="1"/>
  <c r="BL66" i="1" s="1"/>
  <c r="CC64" i="1"/>
  <c r="FY66" i="1"/>
  <c r="GA66" i="1" s="1"/>
  <c r="BS58" i="8"/>
  <c r="BQ59" i="8"/>
  <c r="BQ58" i="8"/>
  <c r="BB60" i="8"/>
  <c r="AB60" i="8"/>
  <c r="AF60" i="8"/>
  <c r="Z60" i="8"/>
  <c r="BH59" i="8"/>
  <c r="BH58" i="8"/>
  <c r="BG14" i="8"/>
  <c r="BD13" i="9"/>
  <c r="BD14" i="9"/>
  <c r="BX8" i="13"/>
  <c r="BX12" i="13"/>
  <c r="BX13" i="13"/>
  <c r="BX14" i="13"/>
  <c r="CL62" i="9"/>
  <c r="BD60" i="9"/>
  <c r="BF60" i="9" s="1"/>
  <c r="BH60" i="9"/>
  <c r="BJ60" i="9" s="1"/>
  <c r="BG8" i="8"/>
  <c r="BG7" i="8"/>
  <c r="BW58" i="13"/>
  <c r="BK59" i="6"/>
  <c r="BG59" i="6"/>
  <c r="BG13" i="8"/>
  <c r="BB14" i="9"/>
  <c r="BB13" i="9"/>
  <c r="BV14" i="13"/>
  <c r="BV13" i="13"/>
  <c r="AH8" i="13"/>
  <c r="AH7" i="13"/>
  <c r="AX59" i="6"/>
  <c r="BG10" i="8"/>
  <c r="BG9" i="8"/>
  <c r="BB8" i="9"/>
  <c r="BB7" i="9"/>
  <c r="AH9" i="13"/>
  <c r="BG60" i="8"/>
  <c r="BQ14" i="8"/>
  <c r="Y60" i="9"/>
  <c r="AH60" i="9"/>
  <c r="CI60" i="9" s="1"/>
  <c r="R60" i="9"/>
  <c r="AH14" i="13"/>
  <c r="AH13" i="13"/>
  <c r="DH62" i="1"/>
  <c r="CM60" i="9"/>
  <c r="CG60" i="9"/>
  <c r="AP58" i="9"/>
  <c r="BC59" i="9"/>
  <c r="BE58" i="9"/>
  <c r="BI58" i="9"/>
  <c r="BC58" i="9"/>
  <c r="BQ10" i="8"/>
  <c r="BQ9" i="8"/>
  <c r="BQ13" i="8"/>
  <c r="CK62" i="1"/>
  <c r="D60" i="11"/>
  <c r="BE59" i="9"/>
  <c r="BI59" i="9"/>
  <c r="AU58" i="8"/>
  <c r="AP14" i="9"/>
  <c r="AP13" i="9"/>
  <c r="DP62" i="1"/>
  <c r="BV60" i="9"/>
  <c r="BT60" i="9"/>
  <c r="DT60" i="6"/>
  <c r="ET60" i="1"/>
  <c r="EH60" i="1"/>
  <c r="DZ60" i="1"/>
  <c r="CN60" i="1"/>
  <c r="FB60" i="1"/>
  <c r="AI13" i="13"/>
  <c r="FJ62" i="1"/>
  <c r="AP9" i="9"/>
  <c r="AP8" i="9"/>
  <c r="U10" i="13"/>
  <c r="U9" i="13"/>
  <c r="R60" i="4"/>
  <c r="GZ62" i="1"/>
  <c r="AO60" i="8"/>
  <c r="P60" i="13"/>
  <c r="Q60" i="8"/>
  <c r="BX60" i="13"/>
  <c r="BZ60" i="13" s="1"/>
  <c r="FL62" i="1"/>
  <c r="U14" i="13"/>
  <c r="U13" i="13"/>
  <c r="GY64" i="1"/>
  <c r="BW9" i="13"/>
  <c r="BW8" i="13"/>
  <c r="BP60" i="8"/>
  <c r="BS8" i="8"/>
  <c r="BS12" i="8"/>
  <c r="BS13" i="8"/>
  <c r="BS9" i="8"/>
  <c r="BU10" i="8" s="1"/>
  <c r="BS14" i="8"/>
  <c r="DJ64" i="1"/>
  <c r="DL64" i="1" s="1"/>
  <c r="AI9" i="13"/>
  <c r="AI8" i="13"/>
  <c r="DN63" i="1"/>
  <c r="EP63" i="1"/>
  <c r="ER63" i="1" s="1"/>
  <c r="DF63" i="1"/>
  <c r="DH63" i="1" s="1"/>
  <c r="BU66" i="1"/>
  <c r="CO64" i="1" s="1"/>
  <c r="DI65" i="1"/>
  <c r="DK65" i="1" s="1"/>
  <c r="BV65" i="1"/>
  <c r="BX65" i="1" s="1"/>
  <c r="V9" i="13"/>
  <c r="V8" i="13"/>
  <c r="AT60" i="8"/>
  <c r="T63" i="6"/>
  <c r="V63" i="6" s="1"/>
  <c r="CR63" i="6"/>
  <c r="CT63" i="6" s="1"/>
  <c r="BQ63" i="6"/>
  <c r="BS63" i="6" s="1"/>
  <c r="DA63" i="6"/>
  <c r="DC63" i="6" s="1"/>
  <c r="BZ63" i="6"/>
  <c r="CB63" i="6" s="1"/>
  <c r="DJ63" i="6"/>
  <c r="CI63" i="6"/>
  <c r="CK63" i="6" s="1"/>
  <c r="AH63" i="6"/>
  <c r="GA65" i="1"/>
  <c r="CI63" i="1"/>
  <c r="V13" i="13"/>
  <c r="BQ65" i="1"/>
  <c r="BS65" i="1" s="1"/>
  <c r="DE64" i="1"/>
  <c r="EO64" i="1"/>
  <c r="EQ64" i="1" s="1"/>
  <c r="BR64" i="1"/>
  <c r="BT64" i="1" s="1"/>
  <c r="DM64" i="1"/>
  <c r="AT10" i="8"/>
  <c r="AT9" i="8"/>
  <c r="DW62" i="1"/>
  <c r="DW61" i="1"/>
  <c r="DB63" i="1"/>
  <c r="DD63" i="1" s="1"/>
  <c r="Y60" i="6"/>
  <c r="AA60" i="6" s="1"/>
  <c r="AN60" i="6"/>
  <c r="AP60" i="6" s="1"/>
  <c r="AT14" i="8"/>
  <c r="AT13" i="8"/>
  <c r="AR61" i="8"/>
  <c r="BB60" i="9"/>
  <c r="ED62" i="1"/>
  <c r="EF62" i="1" s="1"/>
  <c r="V62" i="6"/>
  <c r="X61" i="6"/>
  <c r="V61" i="6"/>
  <c r="BM65" i="1"/>
  <c r="BO65" i="1" s="1"/>
  <c r="DA64" i="1"/>
  <c r="DC64" i="1" s="1"/>
  <c r="BN64" i="1"/>
  <c r="GX63" i="1"/>
  <c r="GZ64" i="1" s="1"/>
  <c r="AO13" i="9"/>
  <c r="AS60" i="9"/>
  <c r="GC62" i="1"/>
  <c r="GO62" i="1"/>
  <c r="BD62" i="6"/>
  <c r="AU62" i="6"/>
  <c r="AG62" i="6"/>
  <c r="BY9" i="13"/>
  <c r="BY12" i="13"/>
  <c r="BY8" i="13"/>
  <c r="BY13" i="13"/>
  <c r="BY10" i="13"/>
  <c r="CA11" i="13" s="1"/>
  <c r="BY14" i="13"/>
  <c r="CT62" i="6"/>
  <c r="CT61" i="6"/>
  <c r="BO64" i="1"/>
  <c r="GV66" i="1"/>
  <c r="AO14" i="9"/>
  <c r="CC60" i="6"/>
  <c r="BI8" i="9"/>
  <c r="BI13" i="9"/>
  <c r="BI14" i="9"/>
  <c r="CB62" i="6"/>
  <c r="CB61" i="6"/>
  <c r="DD60" i="6"/>
  <c r="BE8" i="9"/>
  <c r="BE13" i="9"/>
  <c r="BE14" i="9"/>
  <c r="BS62" i="6"/>
  <c r="BS61" i="6"/>
  <c r="BE60" i="6"/>
  <c r="BG60" i="6" s="1"/>
  <c r="BI60" i="6"/>
  <c r="AV60" i="6"/>
  <c r="AX60" i="6" s="1"/>
  <c r="AN62" i="8"/>
  <c r="AP62" i="8" s="1"/>
  <c r="O62" i="13"/>
  <c r="G59" i="11"/>
  <c r="DK64" i="1"/>
  <c r="BH14" i="8"/>
  <c r="BH13" i="8"/>
  <c r="BX64" i="1"/>
  <c r="AS8" i="9"/>
  <c r="AS7" i="9"/>
  <c r="BP14" i="8"/>
  <c r="BP13" i="8"/>
  <c r="DC62" i="6"/>
  <c r="DC61" i="6"/>
  <c r="Z62" i="4"/>
  <c r="AA62" i="8"/>
  <c r="BA62" i="8"/>
  <c r="DK61" i="6"/>
  <c r="CJ61" i="6"/>
  <c r="CL61" i="6" s="1"/>
  <c r="AI61" i="6"/>
  <c r="DB61" i="6"/>
  <c r="BR61" i="6"/>
  <c r="BT61" i="6" s="1"/>
  <c r="U61" i="6"/>
  <c r="W61" i="6" s="1"/>
  <c r="CS61" i="6"/>
  <c r="CU61" i="6" s="1"/>
  <c r="CA61" i="6"/>
  <c r="DV61" i="1"/>
  <c r="DX61" i="1" s="1"/>
  <c r="BH10" i="8"/>
  <c r="BH9" i="8"/>
  <c r="AS14" i="9"/>
  <c r="AS13" i="9"/>
  <c r="BS59" i="8"/>
  <c r="BP10" i="8"/>
  <c r="BP9" i="8"/>
  <c r="BR13" i="8"/>
  <c r="BR9" i="8"/>
  <c r="BR14" i="8"/>
  <c r="BC14" i="9"/>
  <c r="BC13" i="9"/>
  <c r="BD61" i="6"/>
  <c r="AJ62" i="6"/>
  <c r="AU61" i="6"/>
  <c r="AG61" i="6"/>
  <c r="AJ61" i="6"/>
  <c r="AM61" i="6"/>
  <c r="CH62" i="1"/>
  <c r="CJ62" i="1" s="1"/>
  <c r="X62" i="6"/>
  <c r="AE186" i="23"/>
  <c r="AD186" i="23"/>
  <c r="AR185" i="23"/>
  <c r="AQ185" i="23"/>
  <c r="AP185" i="23"/>
  <c r="AO185" i="23"/>
  <c r="AN185" i="23"/>
  <c r="FF63" i="1" l="1"/>
  <c r="EL61" i="1"/>
  <c r="EN61" i="1" s="1"/>
  <c r="CS65" i="1"/>
  <c r="CU65" i="1" s="1"/>
  <c r="AT61" i="13"/>
  <c r="AV61" i="13" s="1"/>
  <c r="CT64" i="1"/>
  <c r="BL61" i="13"/>
  <c r="BN61" i="13" s="1"/>
  <c r="BT61" i="4"/>
  <c r="BR61" i="4" s="1"/>
  <c r="AM61" i="4"/>
  <c r="AO61" i="4" s="1"/>
  <c r="AX61" i="4"/>
  <c r="DQ65" i="1"/>
  <c r="DS65" i="1" s="1"/>
  <c r="AC61" i="13"/>
  <c r="CB61" i="1"/>
  <c r="CX61" i="1"/>
  <c r="CZ61" i="1" s="1"/>
  <c r="DR64" i="1"/>
  <c r="DT64" i="1" s="1"/>
  <c r="BE66" i="1"/>
  <c r="BG66" i="1" s="1"/>
  <c r="BF65" i="1"/>
  <c r="BH65" i="1" s="1"/>
  <c r="BY63" i="1"/>
  <c r="CA63" i="1" s="1"/>
  <c r="BZ62" i="1"/>
  <c r="CX62" i="1" s="1"/>
  <c r="AU62" i="4"/>
  <c r="BF62" i="4"/>
  <c r="BG60" i="4"/>
  <c r="BR60" i="4"/>
  <c r="AZ60" i="4"/>
  <c r="BK60" i="4"/>
  <c r="BQ62" i="4"/>
  <c r="AY62" i="4"/>
  <c r="AD62" i="13"/>
  <c r="CE63" i="1"/>
  <c r="AC62" i="8"/>
  <c r="Z62" i="9"/>
  <c r="DU63" i="1"/>
  <c r="DW63" i="1" s="1"/>
  <c r="GQ62" i="1"/>
  <c r="CG62" i="9"/>
  <c r="CM61" i="9"/>
  <c r="E59" i="11"/>
  <c r="AM63" i="6"/>
  <c r="AO63" i="6" s="1"/>
  <c r="BT62" i="9"/>
  <c r="BT61" i="9"/>
  <c r="BB61" i="8"/>
  <c r="BO61" i="8" s="1"/>
  <c r="AB61" i="8"/>
  <c r="AD61" i="8" s="1"/>
  <c r="R61" i="9"/>
  <c r="BV61" i="9"/>
  <c r="BX61" i="9" s="1"/>
  <c r="GP61" i="1"/>
  <c r="GR61" i="1" s="1"/>
  <c r="GD61" i="1"/>
  <c r="GF61" i="1" s="1"/>
  <c r="R62" i="4"/>
  <c r="R62" i="9"/>
  <c r="Z61" i="8"/>
  <c r="GN62" i="1"/>
  <c r="P61" i="13"/>
  <c r="T61" i="13" s="1"/>
  <c r="AO61" i="8"/>
  <c r="AS61" i="8" s="1"/>
  <c r="X63" i="4"/>
  <c r="Z63" i="4" s="1"/>
  <c r="N63" i="8"/>
  <c r="P63" i="8" s="1"/>
  <c r="O63" i="9"/>
  <c r="Q63" i="9" s="1"/>
  <c r="AB62" i="4"/>
  <c r="AH61" i="9"/>
  <c r="CI61" i="9" s="1"/>
  <c r="CO61" i="9" s="1"/>
  <c r="W63" i="8"/>
  <c r="Y63" i="8" s="1"/>
  <c r="CD63" i="9"/>
  <c r="CF63" i="9" s="1"/>
  <c r="BE61" i="8"/>
  <c r="BG61" i="8" s="1"/>
  <c r="BN61" i="8"/>
  <c r="BP61" i="8" s="1"/>
  <c r="BC62" i="8"/>
  <c r="BQ63" i="9"/>
  <c r="BS63" i="9" s="1"/>
  <c r="GK63" i="1"/>
  <c r="GM63" i="1" s="1"/>
  <c r="BW62" i="9"/>
  <c r="AZ61" i="9"/>
  <c r="BH61" i="9" s="1"/>
  <c r="BJ61" i="9" s="1"/>
  <c r="AI61" i="9"/>
  <c r="CH61" i="9"/>
  <c r="CN61" i="9" s="1"/>
  <c r="AL61" i="9"/>
  <c r="AO61" i="9" s="1"/>
  <c r="EC63" i="1"/>
  <c r="EE63" i="1" s="1"/>
  <c r="CA60" i="13"/>
  <c r="CE64" i="1"/>
  <c r="S61" i="13"/>
  <c r="V61" i="13" s="1"/>
  <c r="AI62" i="9"/>
  <c r="BT61" i="13"/>
  <c r="BV61" i="13" s="1"/>
  <c r="AF61" i="13"/>
  <c r="AH61" i="13" s="1"/>
  <c r="CH62" i="9"/>
  <c r="CK59" i="9"/>
  <c r="CO59" i="9"/>
  <c r="FH63" i="1"/>
  <c r="FL63" i="1"/>
  <c r="FO61" i="1"/>
  <c r="FM61" i="1"/>
  <c r="FJ63" i="1"/>
  <c r="BU14" i="8"/>
  <c r="CK63" i="1"/>
  <c r="ES63" i="1" s="1"/>
  <c r="BZ14" i="13"/>
  <c r="AJ63" i="6"/>
  <c r="BU13" i="8"/>
  <c r="EW65" i="1"/>
  <c r="EY65" i="1" s="1"/>
  <c r="Z62" i="8"/>
  <c r="BA60" i="9"/>
  <c r="AK60" i="9"/>
  <c r="AN60" i="9"/>
  <c r="AA61" i="9"/>
  <c r="AA60" i="9"/>
  <c r="GR60" i="1"/>
  <c r="BT10" i="8"/>
  <c r="BT9" i="8"/>
  <c r="AW62" i="6"/>
  <c r="AW61" i="6"/>
  <c r="DF64" i="1"/>
  <c r="FJ64" i="1" s="1"/>
  <c r="EP64" i="1"/>
  <c r="ER64" i="1" s="1"/>
  <c r="DN64" i="1"/>
  <c r="DP64" i="1" s="1"/>
  <c r="DO64" i="1"/>
  <c r="BK60" i="6"/>
  <c r="AH61" i="8"/>
  <c r="AH60" i="8"/>
  <c r="GF60" i="1"/>
  <c r="BH61" i="6"/>
  <c r="BJ62" i="6"/>
  <c r="BF62" i="6"/>
  <c r="BJ61" i="6"/>
  <c r="BF61" i="6"/>
  <c r="BG14" i="9"/>
  <c r="BG13" i="9"/>
  <c r="AD60" i="8"/>
  <c r="AV61" i="4"/>
  <c r="BG61" i="4"/>
  <c r="AZ61" i="4"/>
  <c r="BK61" i="4"/>
  <c r="BG9" i="9"/>
  <c r="BG8" i="9"/>
  <c r="CP63" i="1"/>
  <c r="DG64" i="1"/>
  <c r="BK59" i="9"/>
  <c r="BK58" i="9"/>
  <c r="BF60" i="8"/>
  <c r="BO60" i="8"/>
  <c r="BD60" i="8"/>
  <c r="AR60" i="9"/>
  <c r="AN61" i="6"/>
  <c r="AP61" i="6" s="1"/>
  <c r="Y61" i="6"/>
  <c r="AA61" i="6" s="1"/>
  <c r="DL63" i="6"/>
  <c r="FE64" i="1"/>
  <c r="BG59" i="9"/>
  <c r="BG58" i="9"/>
  <c r="CD63" i="1"/>
  <c r="BQ66" i="1"/>
  <c r="BS66" i="1" s="1"/>
  <c r="DE65" i="1"/>
  <c r="DG65" i="1" s="1"/>
  <c r="DM65" i="1"/>
  <c r="DO65" i="1" s="1"/>
  <c r="EO65" i="1"/>
  <c r="BR65" i="1"/>
  <c r="EX65" i="1" s="1"/>
  <c r="EX64" i="1"/>
  <c r="FG64" i="1"/>
  <c r="BT14" i="8"/>
  <c r="BT13" i="8"/>
  <c r="BU60" i="13"/>
  <c r="AG60" i="13"/>
  <c r="T60" i="13"/>
  <c r="R60" i="13"/>
  <c r="FD60" i="1"/>
  <c r="CG64" i="1"/>
  <c r="FI64" i="1"/>
  <c r="AS60" i="8"/>
  <c r="AQ60" i="8"/>
  <c r="DB64" i="1"/>
  <c r="FK64" i="1"/>
  <c r="FR60" i="1"/>
  <c r="FT60" i="1"/>
  <c r="EB60" i="1"/>
  <c r="GD62" i="1"/>
  <c r="GP62" i="1"/>
  <c r="EC64" i="1"/>
  <c r="FN60" i="1"/>
  <c r="EJ60" i="1"/>
  <c r="FP60" i="1"/>
  <c r="CK60" i="9"/>
  <c r="CO60" i="9"/>
  <c r="AZ62" i="9"/>
  <c r="AL62" i="9"/>
  <c r="CC61" i="6"/>
  <c r="EV60" i="1"/>
  <c r="BU59" i="8"/>
  <c r="BU58" i="8"/>
  <c r="AO62" i="8"/>
  <c r="P62" i="13"/>
  <c r="BM66" i="1"/>
  <c r="BO66" i="1" s="1"/>
  <c r="DA65" i="1"/>
  <c r="BN65" i="1"/>
  <c r="DJ65" i="1"/>
  <c r="GZ63" i="1"/>
  <c r="AB62" i="8"/>
  <c r="BB62" i="8"/>
  <c r="DD61" i="6"/>
  <c r="DT61" i="6"/>
  <c r="DV61" i="6" s="1"/>
  <c r="DZ61" i="1"/>
  <c r="ET61" i="1"/>
  <c r="EH61" i="1"/>
  <c r="FB61" i="1"/>
  <c r="FD61" i="1" s="1"/>
  <c r="CA14" i="13"/>
  <c r="G60" i="11"/>
  <c r="DV60" i="6"/>
  <c r="O64" i="9"/>
  <c r="BQ64" i="9"/>
  <c r="CD64" i="9"/>
  <c r="W64" i="8"/>
  <c r="AE64" i="8" s="1"/>
  <c r="N64" i="8"/>
  <c r="N64" i="4"/>
  <c r="P65" i="4" s="1"/>
  <c r="X64" i="4"/>
  <c r="CE65" i="1"/>
  <c r="GK64" i="1"/>
  <c r="GM65" i="1" s="1"/>
  <c r="CD64" i="1"/>
  <c r="FZ66" i="1"/>
  <c r="GB67" i="1" s="1"/>
  <c r="AH62" i="9"/>
  <c r="Y62" i="9"/>
  <c r="AA62" i="9" s="1"/>
  <c r="BN62" i="8"/>
  <c r="BE62" i="8"/>
  <c r="CA13" i="13"/>
  <c r="F61" i="11"/>
  <c r="Z62" i="6"/>
  <c r="Z61" i="6"/>
  <c r="BV66" i="1"/>
  <c r="DI66" i="1"/>
  <c r="DK66" i="1" s="1"/>
  <c r="CO65" i="1"/>
  <c r="CQ65" i="1" s="1"/>
  <c r="BU9" i="8"/>
  <c r="BU8" i="8"/>
  <c r="BX60" i="9"/>
  <c r="BZ13" i="13"/>
  <c r="BV62" i="9"/>
  <c r="X63" i="6"/>
  <c r="BT62" i="13"/>
  <c r="AF62" i="13"/>
  <c r="S62" i="13"/>
  <c r="AR62" i="8"/>
  <c r="CA10" i="13"/>
  <c r="CH63" i="1"/>
  <c r="CJ63" i="1" s="1"/>
  <c r="BW66" i="1"/>
  <c r="DS62" i="6"/>
  <c r="ES62" i="1"/>
  <c r="EG62" i="1"/>
  <c r="DY62" i="1"/>
  <c r="CM62" i="1"/>
  <c r="FA62" i="1"/>
  <c r="BZ9" i="13"/>
  <c r="BZ8" i="13"/>
  <c r="Q62" i="8"/>
  <c r="BI61" i="6"/>
  <c r="AV61" i="6"/>
  <c r="BE61" i="6"/>
  <c r="BK61" i="6" s="1"/>
  <c r="Q62" i="13"/>
  <c r="CM62" i="9"/>
  <c r="BP64" i="1"/>
  <c r="AT61" i="8"/>
  <c r="BF14" i="9"/>
  <c r="BF13" i="9"/>
  <c r="CV64" i="1"/>
  <c r="AL61" i="6"/>
  <c r="BK14" i="9"/>
  <c r="BK13" i="9"/>
  <c r="BH62" i="6"/>
  <c r="CL62" i="1"/>
  <c r="BJ8" i="9"/>
  <c r="BJ7" i="9"/>
  <c r="F62" i="11"/>
  <c r="DM61" i="6"/>
  <c r="CA9" i="13"/>
  <c r="CA8" i="13"/>
  <c r="CS62" i="6"/>
  <c r="BR62" i="6"/>
  <c r="DK62" i="6"/>
  <c r="DM62" i="6" s="1"/>
  <c r="CJ62" i="6"/>
  <c r="CL62" i="6" s="1"/>
  <c r="AI62" i="6"/>
  <c r="AL62" i="6" s="1"/>
  <c r="DB62" i="6"/>
  <c r="CA62" i="6"/>
  <c r="U62" i="6"/>
  <c r="DV62" i="1"/>
  <c r="GE62" i="1"/>
  <c r="BK9" i="9"/>
  <c r="BK8" i="9"/>
  <c r="AU63" i="6"/>
  <c r="AW63" i="6" s="1"/>
  <c r="BD63" i="6"/>
  <c r="BF63" i="6" s="1"/>
  <c r="AG63" i="6"/>
  <c r="CQ64" i="1"/>
  <c r="BJ14" i="9"/>
  <c r="BJ13" i="9"/>
  <c r="GB65" i="1"/>
  <c r="AS62" i="9"/>
  <c r="AO62" i="6"/>
  <c r="AO61" i="6"/>
  <c r="DP63" i="1"/>
  <c r="AH62" i="8"/>
  <c r="AK185" i="23"/>
  <c r="AJ185" i="23"/>
  <c r="AI185" i="23"/>
  <c r="AH185" i="23"/>
  <c r="AG185" i="23"/>
  <c r="FP61" i="1" l="1"/>
  <c r="CS66" i="1"/>
  <c r="CU66" i="1" s="1"/>
  <c r="CV67" i="1" s="1"/>
  <c r="BF66" i="1"/>
  <c r="BZ64" i="1" s="1"/>
  <c r="BV61" i="4"/>
  <c r="DQ66" i="1"/>
  <c r="DS66" i="1" s="1"/>
  <c r="BT62" i="4"/>
  <c r="BR62" i="4" s="1"/>
  <c r="AM62" i="4"/>
  <c r="AO62" i="4" s="1"/>
  <c r="BY64" i="1"/>
  <c r="BK64" i="13" s="1"/>
  <c r="AX62" i="4"/>
  <c r="BI62" i="4"/>
  <c r="BG62" i="4" s="1"/>
  <c r="EL62" i="1"/>
  <c r="EN62" i="1" s="1"/>
  <c r="CT65" i="1"/>
  <c r="BZ63" i="1"/>
  <c r="BT63" i="4" s="1"/>
  <c r="DR65" i="1"/>
  <c r="DT65" i="1" s="1"/>
  <c r="BL62" i="13"/>
  <c r="BN62" i="13" s="1"/>
  <c r="BY65" i="1"/>
  <c r="BS65" i="4" s="1"/>
  <c r="AC62" i="13"/>
  <c r="AB63" i="13"/>
  <c r="AD63" i="13" s="1"/>
  <c r="BS63" i="4"/>
  <c r="BU63" i="4" s="1"/>
  <c r="CW63" i="1"/>
  <c r="CY63" i="1" s="1"/>
  <c r="AT62" i="13"/>
  <c r="AV62" i="13" s="1"/>
  <c r="CB62" i="1"/>
  <c r="BK63" i="13"/>
  <c r="BM63" i="13" s="1"/>
  <c r="AS63" i="13"/>
  <c r="AU63" i="13" s="1"/>
  <c r="AL63" i="4"/>
  <c r="AN63" i="4" s="1"/>
  <c r="EK63" i="1"/>
  <c r="EM63" i="1" s="1"/>
  <c r="CZ62" i="1"/>
  <c r="BH63" i="4"/>
  <c r="AU63" i="4" s="1"/>
  <c r="AW63" i="4"/>
  <c r="BD62" i="8"/>
  <c r="BF61" i="8"/>
  <c r="BH61" i="8" s="1"/>
  <c r="BD61" i="8"/>
  <c r="AD62" i="8"/>
  <c r="CK61" i="9"/>
  <c r="P64" i="8"/>
  <c r="R61" i="13"/>
  <c r="AG61" i="13"/>
  <c r="AI61" i="13" s="1"/>
  <c r="AQ62" i="8"/>
  <c r="AQ61" i="8"/>
  <c r="BX62" i="9"/>
  <c r="GF62" i="1"/>
  <c r="BU61" i="13"/>
  <c r="BW61" i="13" s="1"/>
  <c r="R62" i="13"/>
  <c r="GR62" i="1"/>
  <c r="Z64" i="4"/>
  <c r="AN63" i="8"/>
  <c r="AP63" i="8" s="1"/>
  <c r="O63" i="13"/>
  <c r="Q63" i="13" s="1"/>
  <c r="AE63" i="8"/>
  <c r="AG63" i="8" s="1"/>
  <c r="GO63" i="1"/>
  <c r="GQ63" i="1" s="1"/>
  <c r="BS64" i="9"/>
  <c r="BU63" i="9"/>
  <c r="BW63" i="9" s="1"/>
  <c r="Q64" i="9"/>
  <c r="X63" i="9"/>
  <c r="Z63" i="9" s="1"/>
  <c r="AG63" i="9"/>
  <c r="AQ63" i="9" s="1"/>
  <c r="AS63" i="9" s="1"/>
  <c r="AA63" i="8"/>
  <c r="AC63" i="8" s="1"/>
  <c r="BA63" i="8"/>
  <c r="BC63" i="8" s="1"/>
  <c r="BR61" i="8"/>
  <c r="BT61" i="8" s="1"/>
  <c r="AK61" i="9"/>
  <c r="AR61" i="9"/>
  <c r="AT61" i="9" s="1"/>
  <c r="AK62" i="9"/>
  <c r="GC63" i="1"/>
  <c r="GE63" i="1" s="1"/>
  <c r="BG62" i="8"/>
  <c r="BV62" i="13"/>
  <c r="CF64" i="9"/>
  <c r="CL63" i="9"/>
  <c r="BA61" i="9"/>
  <c r="BE61" i="9" s="1"/>
  <c r="BX61" i="13"/>
  <c r="BZ61" i="13" s="1"/>
  <c r="AN61" i="9"/>
  <c r="AP61" i="9" s="1"/>
  <c r="D61" i="11"/>
  <c r="EE64" i="1"/>
  <c r="BD61" i="9"/>
  <c r="BF61" i="9" s="1"/>
  <c r="BB61" i="9"/>
  <c r="CJ62" i="9"/>
  <c r="AH62" i="13"/>
  <c r="U62" i="13"/>
  <c r="CN62" i="9"/>
  <c r="CJ61" i="9"/>
  <c r="DH64" i="1"/>
  <c r="U61" i="13"/>
  <c r="FA63" i="1"/>
  <c r="FC63" i="1" s="1"/>
  <c r="CM63" i="1"/>
  <c r="FL64" i="1"/>
  <c r="DS63" i="6"/>
  <c r="DU63" i="6" s="1"/>
  <c r="EG63" i="1"/>
  <c r="EI63" i="1" s="1"/>
  <c r="DY63" i="1"/>
  <c r="EA63" i="1" s="1"/>
  <c r="FG65" i="1"/>
  <c r="FE65" i="1"/>
  <c r="FF64" i="1"/>
  <c r="FH64" i="1"/>
  <c r="FN61" i="1"/>
  <c r="BJ63" i="6"/>
  <c r="Y64" i="8"/>
  <c r="FI65" i="1"/>
  <c r="FK65" i="1"/>
  <c r="CG65" i="1"/>
  <c r="DA65" i="6" s="1"/>
  <c r="AR62" i="9"/>
  <c r="CK64" i="1"/>
  <c r="FA64" i="1" s="1"/>
  <c r="CI62" i="9"/>
  <c r="CK62" i="9" s="1"/>
  <c r="EW66" i="1"/>
  <c r="EY66" i="1" s="1"/>
  <c r="V62" i="13"/>
  <c r="X64" i="9"/>
  <c r="Z65" i="9" s="1"/>
  <c r="Q65" i="9"/>
  <c r="AG64" i="9"/>
  <c r="AQ64" i="9" s="1"/>
  <c r="AS65" i="9" s="1"/>
  <c r="AU61" i="8"/>
  <c r="AU60" i="8"/>
  <c r="BH60" i="8"/>
  <c r="BD62" i="9"/>
  <c r="BH62" i="9"/>
  <c r="BJ62" i="9" s="1"/>
  <c r="BX67" i="1"/>
  <c r="DJ66" i="1"/>
  <c r="DL66" i="1" s="1"/>
  <c r="CP65" i="1"/>
  <c r="P64" i="9"/>
  <c r="CE64" i="9"/>
  <c r="BR64" i="9"/>
  <c r="O64" i="8"/>
  <c r="X64" i="8"/>
  <c r="O64" i="4"/>
  <c r="R65" i="4" s="1"/>
  <c r="Y64" i="4"/>
  <c r="CF65" i="1"/>
  <c r="GL64" i="1"/>
  <c r="GN65" i="1" s="1"/>
  <c r="BX66" i="1"/>
  <c r="DA64" i="6"/>
  <c r="BZ64" i="6"/>
  <c r="T64" i="6"/>
  <c r="BQ64" i="6"/>
  <c r="DJ64" i="6"/>
  <c r="CI64" i="6"/>
  <c r="AH64" i="6"/>
  <c r="CR64" i="6"/>
  <c r="DU64" i="1"/>
  <c r="CI64" i="1"/>
  <c r="ED63" i="1"/>
  <c r="CR63" i="1"/>
  <c r="DB65" i="1"/>
  <c r="DD65" i="1" s="1"/>
  <c r="AO62" i="9"/>
  <c r="DL65" i="1"/>
  <c r="D62" i="11"/>
  <c r="DT62" i="6"/>
  <c r="DV62" i="6" s="1"/>
  <c r="ET62" i="1"/>
  <c r="EV62" i="1" s="1"/>
  <c r="EH62" i="1"/>
  <c r="EJ62" i="1" s="1"/>
  <c r="DZ62" i="1"/>
  <c r="EB62" i="1" s="1"/>
  <c r="FB62" i="1"/>
  <c r="FD62" i="1" s="1"/>
  <c r="DA66" i="1"/>
  <c r="DC66" i="1" s="1"/>
  <c r="BN66" i="1"/>
  <c r="CG66" i="1"/>
  <c r="AN62" i="6"/>
  <c r="AP62" i="6" s="1"/>
  <c r="Y62" i="6"/>
  <c r="AA62" i="6" s="1"/>
  <c r="BI62" i="6"/>
  <c r="AV62" i="6"/>
  <c r="BE62" i="6"/>
  <c r="BG62" i="6" s="1"/>
  <c r="BG61" i="6"/>
  <c r="BX62" i="13"/>
  <c r="W62" i="6"/>
  <c r="E61" i="11"/>
  <c r="BY61" i="13"/>
  <c r="AP60" i="9"/>
  <c r="EJ61" i="1"/>
  <c r="BE60" i="9"/>
  <c r="BC60" i="9"/>
  <c r="BI60" i="9"/>
  <c r="EZ65" i="1"/>
  <c r="EZ64" i="1"/>
  <c r="FC62" i="1"/>
  <c r="Z65" i="4"/>
  <c r="GC64" i="1"/>
  <c r="GE65" i="1" s="1"/>
  <c r="GO64" i="1"/>
  <c r="GQ65" i="1" s="1"/>
  <c r="FT61" i="1"/>
  <c r="FR61" i="1"/>
  <c r="EB61" i="1"/>
  <c r="AI60" i="13"/>
  <c r="F63" i="11"/>
  <c r="CN62" i="1"/>
  <c r="BU62" i="13"/>
  <c r="AG62" i="13"/>
  <c r="T62" i="13"/>
  <c r="DF65" i="1"/>
  <c r="FL65" i="1" s="1"/>
  <c r="EP65" i="1"/>
  <c r="ER65" i="1" s="1"/>
  <c r="DN65" i="1"/>
  <c r="DP65" i="1" s="1"/>
  <c r="DX62" i="1"/>
  <c r="CL63" i="1"/>
  <c r="FB63" i="1" s="1"/>
  <c r="BR62" i="8"/>
  <c r="AS62" i="8"/>
  <c r="AU62" i="8" s="1"/>
  <c r="CH64" i="1"/>
  <c r="CJ64" i="1" s="1"/>
  <c r="BW60" i="13"/>
  <c r="G61" i="11"/>
  <c r="E60" i="11"/>
  <c r="BY60" i="13"/>
  <c r="EA62" i="1"/>
  <c r="FS62" i="1"/>
  <c r="FQ62" i="1"/>
  <c r="EI62" i="1"/>
  <c r="FO62" i="1"/>
  <c r="FM62" i="1"/>
  <c r="BS61" i="8"/>
  <c r="EU63" i="1"/>
  <c r="EU62" i="1"/>
  <c r="P65" i="8"/>
  <c r="AN64" i="8"/>
  <c r="O64" i="13"/>
  <c r="BF62" i="8"/>
  <c r="BO62" i="8"/>
  <c r="BP65" i="1"/>
  <c r="CC62" i="6"/>
  <c r="Z63" i="6"/>
  <c r="DD64" i="1"/>
  <c r="BP62" i="8"/>
  <c r="BA64" i="8"/>
  <c r="AA64" i="8"/>
  <c r="AC65" i="8" s="1"/>
  <c r="Y65" i="8"/>
  <c r="DC65" i="1"/>
  <c r="BT62" i="6"/>
  <c r="BB62" i="9"/>
  <c r="BT65" i="1"/>
  <c r="BH63" i="6"/>
  <c r="CV65" i="1"/>
  <c r="AX61" i="6"/>
  <c r="DU62" i="6"/>
  <c r="CU62" i="6"/>
  <c r="DE66" i="1"/>
  <c r="FK66" i="1" s="1"/>
  <c r="EO66" i="1"/>
  <c r="EQ66" i="1" s="1"/>
  <c r="DM66" i="1"/>
  <c r="BR66" i="1"/>
  <c r="EX66" i="1" s="1"/>
  <c r="CK65" i="1"/>
  <c r="FA65" i="1" s="1"/>
  <c r="EV61" i="1"/>
  <c r="AT62" i="8"/>
  <c r="AT60" i="9"/>
  <c r="DD62" i="6"/>
  <c r="P64" i="4"/>
  <c r="GB66" i="1"/>
  <c r="U63" i="6"/>
  <c r="W63" i="6" s="1"/>
  <c r="CS63" i="6"/>
  <c r="CU63" i="6" s="1"/>
  <c r="BR63" i="6"/>
  <c r="BT63" i="6" s="1"/>
  <c r="DB63" i="6"/>
  <c r="DD63" i="6" s="1"/>
  <c r="AI63" i="6"/>
  <c r="AL63" i="6" s="1"/>
  <c r="DK63" i="6"/>
  <c r="CA63" i="6"/>
  <c r="CC63" i="6" s="1"/>
  <c r="CJ63" i="6"/>
  <c r="DV63" i="1"/>
  <c r="CF65" i="9"/>
  <c r="CL64" i="9"/>
  <c r="EQ65" i="1"/>
  <c r="BU64" i="9"/>
  <c r="BW65" i="9" s="1"/>
  <c r="BS65" i="9"/>
  <c r="CP64" i="1"/>
  <c r="CR64" i="1" s="1"/>
  <c r="GM64" i="1"/>
  <c r="BQ61" i="8"/>
  <c r="BS60" i="8"/>
  <c r="BQ60" i="8"/>
  <c r="AE65" i="8"/>
  <c r="AG66" i="8" s="1"/>
  <c r="CQ66" i="1"/>
  <c r="EC65" i="1"/>
  <c r="BA62" i="9"/>
  <c r="AN62" i="9"/>
  <c r="BR63" i="9"/>
  <c r="P63" i="9"/>
  <c r="CE63" i="9"/>
  <c r="X63" i="8"/>
  <c r="AF63" i="8" s="1"/>
  <c r="O63" i="8"/>
  <c r="Y63" i="4"/>
  <c r="O63" i="4"/>
  <c r="CF64" i="1"/>
  <c r="GL63" i="1"/>
  <c r="CF63" i="1"/>
  <c r="AE185" i="23"/>
  <c r="AD185" i="23"/>
  <c r="AR184" i="23"/>
  <c r="AQ184" i="23"/>
  <c r="AP184" i="23"/>
  <c r="AO184" i="23"/>
  <c r="AN184" i="23"/>
  <c r="BH66" i="1" l="1"/>
  <c r="CV66" i="1"/>
  <c r="CT66" i="1"/>
  <c r="DR66" i="1"/>
  <c r="DT66" i="1" s="1"/>
  <c r="BZ65" i="1"/>
  <c r="AC65" i="13" s="1"/>
  <c r="AB64" i="13"/>
  <c r="AD64" i="13" s="1"/>
  <c r="BH64" i="4"/>
  <c r="BF64" i="4" s="1"/>
  <c r="EK64" i="1"/>
  <c r="EM64" i="1" s="1"/>
  <c r="CW64" i="1"/>
  <c r="CY64" i="1" s="1"/>
  <c r="CA64" i="1"/>
  <c r="BS64" i="4"/>
  <c r="BQ64" i="4" s="1"/>
  <c r="AW64" i="4"/>
  <c r="AW65" i="4"/>
  <c r="FG66" i="1"/>
  <c r="AB65" i="13"/>
  <c r="AL64" i="4"/>
  <c r="AN64" i="4" s="1"/>
  <c r="AS65" i="13"/>
  <c r="AU66" i="13" s="1"/>
  <c r="EK65" i="1"/>
  <c r="EM66" i="1" s="1"/>
  <c r="AS64" i="13"/>
  <c r="AU64" i="13" s="1"/>
  <c r="AV62" i="4"/>
  <c r="AZ62" i="4"/>
  <c r="BK62" i="4"/>
  <c r="CB63" i="1"/>
  <c r="AX63" i="4"/>
  <c r="AC63" i="13"/>
  <c r="BI63" i="4"/>
  <c r="BK63" i="4" s="1"/>
  <c r="BL63" i="13"/>
  <c r="BN63" i="13" s="1"/>
  <c r="AT63" i="13"/>
  <c r="AV63" i="13" s="1"/>
  <c r="AM63" i="4"/>
  <c r="AO63" i="4" s="1"/>
  <c r="EL63" i="1"/>
  <c r="EN63" i="1" s="1"/>
  <c r="CX63" i="1"/>
  <c r="CZ63" i="1" s="1"/>
  <c r="BK65" i="13"/>
  <c r="BM66" i="13" s="1"/>
  <c r="BV62" i="4"/>
  <c r="CA65" i="1"/>
  <c r="BM64" i="13"/>
  <c r="CW65" i="1"/>
  <c r="CY66" i="1" s="1"/>
  <c r="AL65" i="4"/>
  <c r="AN66" i="4" s="1"/>
  <c r="CA66" i="1"/>
  <c r="BH65" i="4"/>
  <c r="AU65" i="4" s="1"/>
  <c r="AE63" i="13"/>
  <c r="BF63" i="4"/>
  <c r="BJ63" i="4"/>
  <c r="BQ63" i="4"/>
  <c r="AY63" i="4"/>
  <c r="BH62" i="8"/>
  <c r="S63" i="13"/>
  <c r="V63" i="13" s="1"/>
  <c r="AI62" i="13"/>
  <c r="AL63" i="9"/>
  <c r="AO63" i="9" s="1"/>
  <c r="BT62" i="8"/>
  <c r="AR63" i="8"/>
  <c r="AT63" i="8" s="1"/>
  <c r="AF63" i="13"/>
  <c r="AH63" i="13" s="1"/>
  <c r="BT63" i="13"/>
  <c r="BV63" i="13" s="1"/>
  <c r="BI61" i="9"/>
  <c r="BK61" i="9" s="1"/>
  <c r="CA61" i="13"/>
  <c r="AG64" i="8"/>
  <c r="BC64" i="8"/>
  <c r="BE63" i="8"/>
  <c r="BG63" i="8" s="1"/>
  <c r="AZ63" i="9"/>
  <c r="BB63" i="9" s="1"/>
  <c r="AT62" i="9"/>
  <c r="CH63" i="9"/>
  <c r="CJ63" i="9" s="1"/>
  <c r="AI63" i="9"/>
  <c r="BN63" i="8"/>
  <c r="BP63" i="8" s="1"/>
  <c r="BC61" i="9"/>
  <c r="BF62" i="9"/>
  <c r="AP62" i="9"/>
  <c r="CA62" i="13"/>
  <c r="T65" i="6"/>
  <c r="V65" i="6" s="1"/>
  <c r="AH65" i="6"/>
  <c r="AU65" i="6" s="1"/>
  <c r="CI65" i="6"/>
  <c r="CK65" i="6" s="1"/>
  <c r="BQ65" i="6"/>
  <c r="BS65" i="6" s="1"/>
  <c r="Z64" i="9"/>
  <c r="FC64" i="1"/>
  <c r="DJ65" i="6"/>
  <c r="DL65" i="6" s="1"/>
  <c r="CM64" i="1"/>
  <c r="DS64" i="6"/>
  <c r="DU64" i="6" s="1"/>
  <c r="ES64" i="1"/>
  <c r="EU64" i="1" s="1"/>
  <c r="GE64" i="1"/>
  <c r="CR65" i="6"/>
  <c r="CT65" i="6" s="1"/>
  <c r="DU65" i="1"/>
  <c r="DW65" i="1" s="1"/>
  <c r="BZ65" i="6"/>
  <c r="CB65" i="6" s="1"/>
  <c r="CI65" i="1"/>
  <c r="FH65" i="1"/>
  <c r="CI66" i="1"/>
  <c r="DH65" i="1"/>
  <c r="FS63" i="1"/>
  <c r="FQ63" i="1"/>
  <c r="FO63" i="1"/>
  <c r="FM63" i="1"/>
  <c r="BZ62" i="13"/>
  <c r="CH64" i="9"/>
  <c r="CN65" i="9" s="1"/>
  <c r="AI64" i="9"/>
  <c r="EG64" i="1"/>
  <c r="EI64" i="1" s="1"/>
  <c r="CO62" i="9"/>
  <c r="DY64" i="1"/>
  <c r="FQ64" i="1" s="1"/>
  <c r="FF65" i="1"/>
  <c r="AC64" i="8"/>
  <c r="GQ64" i="1"/>
  <c r="BW64" i="9"/>
  <c r="CL64" i="1"/>
  <c r="DZ64" i="1" s="1"/>
  <c r="BT66" i="1"/>
  <c r="FC66" i="1"/>
  <c r="FC65" i="1"/>
  <c r="AH63" i="8"/>
  <c r="EZ67" i="1"/>
  <c r="EZ66" i="1"/>
  <c r="DG66" i="1"/>
  <c r="EF63" i="1"/>
  <c r="BB64" i="8"/>
  <c r="AB64" i="8"/>
  <c r="AD65" i="8" s="1"/>
  <c r="Z65" i="8"/>
  <c r="CN63" i="1"/>
  <c r="Q65" i="8"/>
  <c r="AO64" i="8"/>
  <c r="P64" i="13"/>
  <c r="Y63" i="9"/>
  <c r="AH63" i="9"/>
  <c r="AR63" i="9" s="1"/>
  <c r="R64" i="9"/>
  <c r="R63" i="9"/>
  <c r="BT64" i="9"/>
  <c r="BV63" i="9"/>
  <c r="BT63" i="9"/>
  <c r="AN63" i="6"/>
  <c r="Y63" i="6"/>
  <c r="AA63" i="6" s="1"/>
  <c r="BS62" i="8"/>
  <c r="BU62" i="8" s="1"/>
  <c r="DO66" i="1"/>
  <c r="BV64" i="9"/>
  <c r="BX65" i="9" s="1"/>
  <c r="BT65" i="9"/>
  <c r="FJ65" i="1"/>
  <c r="CG65" i="9"/>
  <c r="CM64" i="9"/>
  <c r="CM65" i="1"/>
  <c r="Y64" i="9"/>
  <c r="AA65" i="9" s="1"/>
  <c r="R65" i="9"/>
  <c r="AH64" i="9"/>
  <c r="CI64" i="9" s="1"/>
  <c r="BT64" i="13"/>
  <c r="Q65" i="13"/>
  <c r="AF64" i="13"/>
  <c r="AH65" i="13" s="1"/>
  <c r="S64" i="13"/>
  <c r="DT63" i="6"/>
  <c r="ET63" i="1"/>
  <c r="EV63" i="1" s="1"/>
  <c r="EH63" i="1"/>
  <c r="EJ63" i="1" s="1"/>
  <c r="DZ63" i="1"/>
  <c r="EB63" i="1" s="1"/>
  <c r="BK60" i="9"/>
  <c r="FE66" i="1"/>
  <c r="DW64" i="1"/>
  <c r="AV63" i="6"/>
  <c r="AX63" i="6" s="1"/>
  <c r="BI63" i="6"/>
  <c r="BE63" i="6"/>
  <c r="BK63" i="6" s="1"/>
  <c r="BG61" i="9"/>
  <c r="BG60" i="9"/>
  <c r="AF65" i="8"/>
  <c r="AH66" i="8" s="1"/>
  <c r="CR66" i="1"/>
  <c r="ED65" i="1"/>
  <c r="AT64" i="13"/>
  <c r="BL64" i="13"/>
  <c r="AM64" i="4"/>
  <c r="AC64" i="13"/>
  <c r="AX64" i="4"/>
  <c r="BT64" i="4"/>
  <c r="BV64" i="4" s="1"/>
  <c r="BI64" i="4"/>
  <c r="CX64" i="1"/>
  <c r="DX63" i="1"/>
  <c r="CT64" i="6"/>
  <c r="DL67" i="1"/>
  <c r="BE62" i="9"/>
  <c r="BG62" i="9" s="1"/>
  <c r="BI62" i="9"/>
  <c r="G62" i="11"/>
  <c r="BD64" i="6"/>
  <c r="AU64" i="6"/>
  <c r="AG64" i="6"/>
  <c r="AJ64" i="6"/>
  <c r="AM64" i="6"/>
  <c r="CK64" i="6"/>
  <c r="AR64" i="8"/>
  <c r="AT65" i="8" s="1"/>
  <c r="AP65" i="8"/>
  <c r="EE66" i="1"/>
  <c r="DL64" i="6"/>
  <c r="BT67" i="1"/>
  <c r="DF66" i="1"/>
  <c r="DH67" i="1" s="1"/>
  <c r="EP66" i="1"/>
  <c r="ER67" i="1" s="1"/>
  <c r="DN66" i="1"/>
  <c r="DP67" i="1" s="1"/>
  <c r="BN7" i="1" a="1"/>
  <c r="BN7" i="1" s="1"/>
  <c r="CL65" i="1"/>
  <c r="BQ62" i="8"/>
  <c r="AP64" i="8"/>
  <c r="Q64" i="13"/>
  <c r="BS64" i="6"/>
  <c r="X64" i="6"/>
  <c r="V64" i="6"/>
  <c r="BC62" i="9"/>
  <c r="CB64" i="6"/>
  <c r="BU61" i="8"/>
  <c r="BU60" i="8"/>
  <c r="AF64" i="8"/>
  <c r="CR65" i="1"/>
  <c r="ED64" i="1"/>
  <c r="EF64" i="1" s="1"/>
  <c r="EL64" i="1"/>
  <c r="F27" i="17"/>
  <c r="L27" i="17" s="1"/>
  <c r="F32" i="17"/>
  <c r="L32" i="17" s="1"/>
  <c r="F28" i="17"/>
  <c r="L28" i="17" s="1"/>
  <c r="GN64" i="1"/>
  <c r="GN63" i="1"/>
  <c r="DC65" i="6"/>
  <c r="DC64" i="6"/>
  <c r="CB64" i="1"/>
  <c r="E62" i="11"/>
  <c r="BY62" i="13"/>
  <c r="DJ66" i="6"/>
  <c r="CI66" i="6"/>
  <c r="AH66" i="6"/>
  <c r="BQ66" i="6"/>
  <c r="DA66" i="6"/>
  <c r="DC66" i="6" s="1"/>
  <c r="BZ66" i="6"/>
  <c r="T66" i="6"/>
  <c r="CR66" i="6"/>
  <c r="DU66" i="1"/>
  <c r="CG12" i="1"/>
  <c r="CG13" i="1"/>
  <c r="CI14" i="1" s="1"/>
  <c r="ES66" i="1"/>
  <c r="ES13" i="1" s="1"/>
  <c r="BK62" i="6"/>
  <c r="BR63" i="4"/>
  <c r="BV63" i="4"/>
  <c r="DS65" i="6"/>
  <c r="DU66" i="6" s="1"/>
  <c r="CM66" i="1"/>
  <c r="EG65" i="1"/>
  <c r="EI66" i="1" s="1"/>
  <c r="DY65" i="1"/>
  <c r="EA66" i="1" s="1"/>
  <c r="ES65" i="1"/>
  <c r="DB64" i="6"/>
  <c r="DD64" i="6" s="1"/>
  <c r="CA64" i="6"/>
  <c r="CC64" i="6" s="1"/>
  <c r="DK64" i="6"/>
  <c r="DM64" i="6" s="1"/>
  <c r="U64" i="6"/>
  <c r="CS64" i="6"/>
  <c r="CU64" i="6" s="1"/>
  <c r="CJ64" i="6"/>
  <c r="CL64" i="6" s="1"/>
  <c r="AI64" i="6"/>
  <c r="AL64" i="6" s="1"/>
  <c r="BR64" i="6"/>
  <c r="DV64" i="1"/>
  <c r="DX64" i="1" s="1"/>
  <c r="R64" i="4"/>
  <c r="R63" i="4"/>
  <c r="BP67" i="1"/>
  <c r="DB66" i="1"/>
  <c r="DD67" i="1" s="1"/>
  <c r="BL7" i="1" a="1"/>
  <c r="BL7" i="1" s="1"/>
  <c r="CH66" i="1"/>
  <c r="AS64" i="9"/>
  <c r="AZ64" i="9"/>
  <c r="AI65" i="9"/>
  <c r="AL64" i="9"/>
  <c r="AO65" i="9" s="1"/>
  <c r="BU66" i="4"/>
  <c r="BQ65" i="4"/>
  <c r="CL63" i="6"/>
  <c r="DM63" i="6"/>
  <c r="CH65" i="1"/>
  <c r="CJ65" i="1" s="1"/>
  <c r="EE65" i="1"/>
  <c r="AB64" i="4"/>
  <c r="GD63" i="1"/>
  <c r="GP63" i="1"/>
  <c r="AB63" i="4"/>
  <c r="Q64" i="8"/>
  <c r="AO63" i="8"/>
  <c r="P63" i="13"/>
  <c r="Q63" i="8"/>
  <c r="FD63" i="1"/>
  <c r="BP66" i="1"/>
  <c r="FI66" i="1"/>
  <c r="BE64" i="8"/>
  <c r="BG65" i="8" s="1"/>
  <c r="BC65" i="8"/>
  <c r="BN64" i="8"/>
  <c r="Z64" i="8"/>
  <c r="BB63" i="8"/>
  <c r="AB63" i="8"/>
  <c r="Z63" i="8"/>
  <c r="FR62" i="1"/>
  <c r="FT62" i="1"/>
  <c r="AX62" i="6"/>
  <c r="AB65" i="4"/>
  <c r="GD64" i="1"/>
  <c r="GF65" i="1" s="1"/>
  <c r="GP64" i="1"/>
  <c r="GR65" i="1" s="1"/>
  <c r="CM63" i="9"/>
  <c r="CG64" i="9"/>
  <c r="CG63" i="9"/>
  <c r="BW62" i="13"/>
  <c r="FN62" i="1"/>
  <c r="FP62" i="1"/>
  <c r="AG65" i="8"/>
  <c r="AK184" i="23"/>
  <c r="AJ184" i="23"/>
  <c r="AI184" i="23"/>
  <c r="AH184" i="23"/>
  <c r="AG184" i="23"/>
  <c r="DU13" i="1" l="1"/>
  <c r="DW13" i="1" s="1"/>
  <c r="DU6" i="1"/>
  <c r="AX65" i="4"/>
  <c r="BT65" i="4"/>
  <c r="BV65" i="4" s="1"/>
  <c r="CB66" i="1"/>
  <c r="EL65" i="1"/>
  <c r="EN65" i="1" s="1"/>
  <c r="AT65" i="13"/>
  <c r="AV66" i="13" s="1"/>
  <c r="DT67" i="1"/>
  <c r="CX65" i="1"/>
  <c r="CZ66" i="1" s="1"/>
  <c r="AM65" i="4"/>
  <c r="AO66" i="4" s="1"/>
  <c r="CB65" i="1"/>
  <c r="BI65" i="4"/>
  <c r="BK65" i="4" s="1"/>
  <c r="BJ64" i="4"/>
  <c r="AD65" i="13"/>
  <c r="BL65" i="13"/>
  <c r="BN66" i="13" s="1"/>
  <c r="AU64" i="4"/>
  <c r="AY64" i="4"/>
  <c r="AE64" i="13"/>
  <c r="BU65" i="4"/>
  <c r="BU64" i="4"/>
  <c r="EM65" i="1"/>
  <c r="AU65" i="13"/>
  <c r="AV63" i="4"/>
  <c r="AE65" i="13"/>
  <c r="AD66" i="13"/>
  <c r="AE66" i="13"/>
  <c r="BN64" i="13"/>
  <c r="BG63" i="4"/>
  <c r="AZ63" i="4"/>
  <c r="AO64" i="4"/>
  <c r="BM65" i="13"/>
  <c r="BJ65" i="4"/>
  <c r="AZ64" i="4"/>
  <c r="AV64" i="13"/>
  <c r="BF65" i="4"/>
  <c r="BJ66" i="4"/>
  <c r="AY65" i="4"/>
  <c r="AY66" i="4"/>
  <c r="AN65" i="4"/>
  <c r="CY65" i="1"/>
  <c r="U63" i="13"/>
  <c r="V64" i="13"/>
  <c r="BB64" i="9"/>
  <c r="BD63" i="9"/>
  <c r="BF63" i="9" s="1"/>
  <c r="D63" i="11"/>
  <c r="X65" i="6"/>
  <c r="Z65" i="6" s="1"/>
  <c r="BH63" i="9"/>
  <c r="BJ63" i="9" s="1"/>
  <c r="CN63" i="9"/>
  <c r="BX63" i="13"/>
  <c r="BZ63" i="13" s="1"/>
  <c r="BR63" i="8"/>
  <c r="BT63" i="8" s="1"/>
  <c r="BS66" i="6"/>
  <c r="DL66" i="6"/>
  <c r="CK66" i="6"/>
  <c r="V66" i="6"/>
  <c r="EU65" i="1"/>
  <c r="AJ66" i="6"/>
  <c r="G5" i="17" s="1"/>
  <c r="W4" i="17" s="1"/>
  <c r="Y4" i="17" s="1"/>
  <c r="AJ65" i="6"/>
  <c r="BD65" i="6"/>
  <c r="BF65" i="6" s="1"/>
  <c r="AG65" i="6"/>
  <c r="AM65" i="6"/>
  <c r="AO65" i="6" s="1"/>
  <c r="FS64" i="1"/>
  <c r="CT66" i="6"/>
  <c r="FM64" i="1"/>
  <c r="CB66" i="6"/>
  <c r="EA64" i="1"/>
  <c r="DT64" i="6"/>
  <c r="DV64" i="6" s="1"/>
  <c r="CN64" i="1"/>
  <c r="CN64" i="9"/>
  <c r="CJ65" i="9"/>
  <c r="AH65" i="8"/>
  <c r="CI63" i="9"/>
  <c r="CO64" i="9" s="1"/>
  <c r="CJ64" i="9"/>
  <c r="FB64" i="1"/>
  <c r="FD64" i="1" s="1"/>
  <c r="FO64" i="1"/>
  <c r="DD66" i="1"/>
  <c r="AR64" i="9"/>
  <c r="AT65" i="9" s="1"/>
  <c r="AH64" i="13"/>
  <c r="AT64" i="8"/>
  <c r="U64" i="13"/>
  <c r="DH66" i="1"/>
  <c r="CN65" i="1"/>
  <c r="ET64" i="1"/>
  <c r="EV64" i="1" s="1"/>
  <c r="FQ65" i="1"/>
  <c r="EH64" i="1"/>
  <c r="EJ64" i="1" s="1"/>
  <c r="CI13" i="1"/>
  <c r="FO65" i="1"/>
  <c r="EB64" i="1"/>
  <c r="FH66" i="1"/>
  <c r="AO64" i="9"/>
  <c r="I22" i="17"/>
  <c r="I5" i="17"/>
  <c r="F64" i="11"/>
  <c r="Z64" i="6"/>
  <c r="BV65" i="13"/>
  <c r="BX64" i="13"/>
  <c r="EI65" i="1"/>
  <c r="BK64" i="4"/>
  <c r="AD64" i="8"/>
  <c r="AD63" i="8"/>
  <c r="DK66" i="6"/>
  <c r="CJ66" i="6"/>
  <c r="AI66" i="6"/>
  <c r="BR66" i="6"/>
  <c r="DB66" i="6"/>
  <c r="U66" i="6"/>
  <c r="CS66" i="6"/>
  <c r="CA66" i="6"/>
  <c r="CJ67" i="1"/>
  <c r="DV66" i="1"/>
  <c r="DV6" i="1" s="1"/>
  <c r="CH12" i="1"/>
  <c r="CH13" i="1"/>
  <c r="CJ14" i="1" s="1"/>
  <c r="ET66" i="1"/>
  <c r="AK65" i="9"/>
  <c r="BA64" i="9"/>
  <c r="AN64" i="9"/>
  <c r="AP65" i="9" s="1"/>
  <c r="BB65" i="9"/>
  <c r="BD64" i="9"/>
  <c r="BF65" i="9" s="1"/>
  <c r="BH64" i="9"/>
  <c r="BJ65" i="9" s="1"/>
  <c r="BD64" i="8"/>
  <c r="BF63" i="8"/>
  <c r="BO63" i="8"/>
  <c r="BD63" i="8"/>
  <c r="DP66" i="1"/>
  <c r="BP65" i="8"/>
  <c r="BR64" i="8"/>
  <c r="BT65" i="8" s="1"/>
  <c r="DT65" i="6"/>
  <c r="DV66" i="6" s="1"/>
  <c r="CN66" i="1"/>
  <c r="EH65" i="1"/>
  <c r="EJ66" i="1" s="1"/>
  <c r="DZ65" i="1"/>
  <c r="EB66" i="1" s="1"/>
  <c r="ET65" i="1"/>
  <c r="FF66" i="1"/>
  <c r="BG63" i="6"/>
  <c r="G63" i="11"/>
  <c r="AV64" i="4"/>
  <c r="BG64" i="4"/>
  <c r="AO64" i="6"/>
  <c r="BR64" i="4"/>
  <c r="GR64" i="1"/>
  <c r="GR63" i="1"/>
  <c r="BX64" i="9"/>
  <c r="BX63" i="9"/>
  <c r="BD65" i="8"/>
  <c r="BF64" i="8"/>
  <c r="BH65" i="8" s="1"/>
  <c r="BO64" i="8"/>
  <c r="CR9" i="6"/>
  <c r="CT10" i="6" s="1"/>
  <c r="CR12" i="6"/>
  <c r="CR8" i="6"/>
  <c r="CR13" i="6"/>
  <c r="CR14" i="6"/>
  <c r="AW65" i="6"/>
  <c r="AW64" i="6"/>
  <c r="BP64" i="8"/>
  <c r="FR63" i="1"/>
  <c r="T9" i="6"/>
  <c r="V10" i="6" s="1"/>
  <c r="T12" i="6"/>
  <c r="T8" i="6"/>
  <c r="T13" i="6"/>
  <c r="T14" i="6"/>
  <c r="X66" i="6"/>
  <c r="BH64" i="6"/>
  <c r="BJ64" i="6"/>
  <c r="BF64" i="6"/>
  <c r="CK65" i="9"/>
  <c r="CO65" i="9"/>
  <c r="FT63" i="1"/>
  <c r="DW66" i="1"/>
  <c r="EU14" i="1"/>
  <c r="EU13" i="1"/>
  <c r="AK64" i="9"/>
  <c r="BA63" i="9"/>
  <c r="AK63" i="9"/>
  <c r="AN63" i="9"/>
  <c r="BZ12" i="6"/>
  <c r="BZ8" i="6"/>
  <c r="BZ9" i="6"/>
  <c r="CB10" i="6" s="1"/>
  <c r="BZ13" i="6"/>
  <c r="BZ14" i="6"/>
  <c r="DA9" i="6"/>
  <c r="DC10" i="6" s="1"/>
  <c r="DA12" i="6"/>
  <c r="DA8" i="6"/>
  <c r="DA13" i="6"/>
  <c r="DA14" i="6"/>
  <c r="EF65" i="1"/>
  <c r="FT64" i="1"/>
  <c r="FR64" i="1"/>
  <c r="BV64" i="13"/>
  <c r="AA64" i="9"/>
  <c r="AA63" i="9"/>
  <c r="GF64" i="1"/>
  <c r="GF63" i="1"/>
  <c r="BU64" i="13"/>
  <c r="BW65" i="13" s="1"/>
  <c r="R65" i="13"/>
  <c r="AG64" i="13"/>
  <c r="AI65" i="13" s="1"/>
  <c r="T64" i="13"/>
  <c r="BQ9" i="6"/>
  <c r="BQ13" i="6"/>
  <c r="BQ14" i="6"/>
  <c r="AU66" i="6"/>
  <c r="AW66" i="6" s="1"/>
  <c r="BD66" i="6"/>
  <c r="AH12" i="6"/>
  <c r="AH8" i="6"/>
  <c r="AH13" i="6"/>
  <c r="AH9" i="6"/>
  <c r="AJ10" i="6" s="1"/>
  <c r="AH14" i="6"/>
  <c r="AM66" i="6"/>
  <c r="AG66" i="6"/>
  <c r="FS65" i="1"/>
  <c r="EF66" i="1"/>
  <c r="DU65" i="6"/>
  <c r="AS64" i="8"/>
  <c r="AU65" i="8" s="1"/>
  <c r="AQ65" i="8"/>
  <c r="AT63" i="9"/>
  <c r="CI13" i="6"/>
  <c r="CI9" i="6"/>
  <c r="CK10" i="6" s="1"/>
  <c r="CI12" i="6"/>
  <c r="CI8" i="6"/>
  <c r="CI14" i="6"/>
  <c r="ER66" i="1"/>
  <c r="FB65" i="1"/>
  <c r="FD66" i="1" s="1"/>
  <c r="BG64" i="8"/>
  <c r="FM65" i="1"/>
  <c r="BT64" i="6"/>
  <c r="FN63" i="1"/>
  <c r="DK65" i="6"/>
  <c r="DM65" i="6" s="1"/>
  <c r="CJ65" i="6"/>
  <c r="AI65" i="6"/>
  <c r="BR65" i="6"/>
  <c r="DB65" i="6"/>
  <c r="U65" i="6"/>
  <c r="CA65" i="6"/>
  <c r="CS65" i="6"/>
  <c r="CJ66" i="1"/>
  <c r="DV65" i="1"/>
  <c r="DX65" i="1" s="1"/>
  <c r="CZ64" i="1"/>
  <c r="EA65" i="1"/>
  <c r="FP63" i="1"/>
  <c r="Y64" i="6"/>
  <c r="AA64" i="6" s="1"/>
  <c r="AN64" i="6"/>
  <c r="AP64" i="6" s="1"/>
  <c r="AV64" i="6"/>
  <c r="AX64" i="6" s="1"/>
  <c r="BE64" i="6"/>
  <c r="BI64" i="6"/>
  <c r="AQ64" i="8"/>
  <c r="AS63" i="8"/>
  <c r="AQ63" i="8"/>
  <c r="W64" i="6"/>
  <c r="EN64" i="1"/>
  <c r="BU63" i="13"/>
  <c r="R64" i="13"/>
  <c r="AG63" i="13"/>
  <c r="T63" i="13"/>
  <c r="R63" i="13"/>
  <c r="EU66" i="1"/>
  <c r="AP63" i="6"/>
  <c r="FJ66" i="1"/>
  <c r="D64" i="11"/>
  <c r="U65" i="13"/>
  <c r="V65" i="13"/>
  <c r="DV63" i="6"/>
  <c r="AH64" i="8"/>
  <c r="DJ9" i="6"/>
  <c r="DJ12" i="6"/>
  <c r="DJ13" i="6"/>
  <c r="DJ14" i="6"/>
  <c r="FL66" i="1"/>
  <c r="BK62" i="9"/>
  <c r="AE184" i="23"/>
  <c r="AD184" i="23"/>
  <c r="DW14" i="1" l="1"/>
  <c r="DW7" i="1"/>
  <c r="DW6" i="1"/>
  <c r="DX7" i="1"/>
  <c r="DX6" i="1"/>
  <c r="BR65" i="4"/>
  <c r="BV66" i="4"/>
  <c r="AV65" i="13"/>
  <c r="AO65" i="4"/>
  <c r="EN66" i="1"/>
  <c r="CZ65" i="1"/>
  <c r="BK66" i="4"/>
  <c r="AV65" i="4"/>
  <c r="AZ66" i="4"/>
  <c r="BG65" i="4"/>
  <c r="BN65" i="13"/>
  <c r="AZ65" i="4"/>
  <c r="F65" i="11"/>
  <c r="Z66" i="6"/>
  <c r="D65" i="11"/>
  <c r="CA63" i="13"/>
  <c r="CA64" i="13"/>
  <c r="BH65" i="6"/>
  <c r="BJ65" i="6"/>
  <c r="AA4" i="17"/>
  <c r="AB4" i="17" s="1"/>
  <c r="EB65" i="1"/>
  <c r="FN64" i="1"/>
  <c r="AO66" i="6"/>
  <c r="BZ64" i="13"/>
  <c r="BJ64" i="9"/>
  <c r="AT64" i="9"/>
  <c r="EV66" i="1"/>
  <c r="CK63" i="9"/>
  <c r="CO63" i="9"/>
  <c r="CK64" i="9"/>
  <c r="CC66" i="6"/>
  <c r="FN65" i="1"/>
  <c r="FP64" i="1"/>
  <c r="BT66" i="6"/>
  <c r="FR65" i="1"/>
  <c r="FT65" i="1"/>
  <c r="FP65" i="1"/>
  <c r="EJ65" i="1"/>
  <c r="CL66" i="6"/>
  <c r="DD66" i="6"/>
  <c r="BT64" i="8"/>
  <c r="EV65" i="1"/>
  <c r="CK13" i="6"/>
  <c r="CB13" i="6"/>
  <c r="CU66" i="6"/>
  <c r="W66" i="6"/>
  <c r="DV65" i="6"/>
  <c r="BF64" i="9"/>
  <c r="CT13" i="6"/>
  <c r="CK14" i="6"/>
  <c r="DC14" i="6"/>
  <c r="BW64" i="13"/>
  <c r="BW63" i="13"/>
  <c r="AL66" i="6"/>
  <c r="BE65" i="6"/>
  <c r="BG65" i="6" s="1"/>
  <c r="BI65" i="6"/>
  <c r="AV65" i="6"/>
  <c r="AX65" i="6" s="1"/>
  <c r="BC64" i="9"/>
  <c r="BE63" i="9"/>
  <c r="BC63" i="9"/>
  <c r="BI63" i="9"/>
  <c r="V14" i="6"/>
  <c r="Z14" i="6"/>
  <c r="CA9" i="6"/>
  <c r="CA12" i="6"/>
  <c r="CA13" i="6"/>
  <c r="CA14" i="6"/>
  <c r="V9" i="6"/>
  <c r="V8" i="6"/>
  <c r="CS9" i="6"/>
  <c r="CS13" i="6"/>
  <c r="CS14" i="6"/>
  <c r="CB9" i="6"/>
  <c r="CB8" i="6"/>
  <c r="DD65" i="6"/>
  <c r="Z13" i="6"/>
  <c r="V13" i="6"/>
  <c r="U9" i="6"/>
  <c r="U13" i="6"/>
  <c r="U14" i="6"/>
  <c r="AU64" i="8"/>
  <c r="AU63" i="8"/>
  <c r="DM66" i="6"/>
  <c r="DL14" i="6"/>
  <c r="DB12" i="6"/>
  <c r="DB9" i="6"/>
  <c r="DB13" i="6"/>
  <c r="DB14" i="6"/>
  <c r="E64" i="11"/>
  <c r="BY64" i="13"/>
  <c r="DL13" i="6"/>
  <c r="AL65" i="6"/>
  <c r="BR9" i="6"/>
  <c r="BR7" i="6"/>
  <c r="BR12" i="6"/>
  <c r="BR13" i="6"/>
  <c r="BR14" i="6"/>
  <c r="DL10" i="6"/>
  <c r="DL9" i="6"/>
  <c r="BI66" i="6"/>
  <c r="BE66" i="6"/>
  <c r="AV66" i="6"/>
  <c r="AI9" i="6"/>
  <c r="AI12" i="6"/>
  <c r="AI13" i="6"/>
  <c r="AI14" i="6"/>
  <c r="CJ9" i="6"/>
  <c r="CJ12" i="6"/>
  <c r="CJ13" i="6"/>
  <c r="CJ14" i="6"/>
  <c r="DK9" i="6"/>
  <c r="DK13" i="6"/>
  <c r="DK14" i="6"/>
  <c r="AM9" i="6"/>
  <c r="AM13" i="6"/>
  <c r="AM14" i="6"/>
  <c r="BS63" i="8"/>
  <c r="BQ64" i="8"/>
  <c r="BQ63" i="8"/>
  <c r="BH64" i="8"/>
  <c r="BH63" i="8"/>
  <c r="DC9" i="6"/>
  <c r="DC8" i="6"/>
  <c r="CT14" i="6"/>
  <c r="DC13" i="6"/>
  <c r="CT9" i="6"/>
  <c r="CT8" i="6"/>
  <c r="AJ14" i="6"/>
  <c r="G64" i="11"/>
  <c r="AJ9" i="6"/>
  <c r="AJ8" i="6"/>
  <c r="AJ13" i="6"/>
  <c r="BT65" i="6"/>
  <c r="CA65" i="13"/>
  <c r="BZ65" i="13"/>
  <c r="CK9" i="6"/>
  <c r="CK8" i="6"/>
  <c r="BH66" i="6"/>
  <c r="BD9" i="6"/>
  <c r="BD13" i="6"/>
  <c r="BD14" i="6"/>
  <c r="BF66" i="6"/>
  <c r="AU9" i="6"/>
  <c r="AU13" i="6"/>
  <c r="AU14" i="6"/>
  <c r="BC65" i="9"/>
  <c r="BE64" i="9"/>
  <c r="BG65" i="9" s="1"/>
  <c r="BI64" i="9"/>
  <c r="BK65" i="9" s="1"/>
  <c r="BJ66" i="6"/>
  <c r="W65" i="6"/>
  <c r="CL65" i="6"/>
  <c r="FD65" i="1"/>
  <c r="Y65" i="6"/>
  <c r="AN65" i="6"/>
  <c r="DX66" i="1"/>
  <c r="BG64" i="6"/>
  <c r="E63" i="11"/>
  <c r="BY63" i="13"/>
  <c r="AI64" i="13"/>
  <c r="AI63" i="13"/>
  <c r="CU65" i="6"/>
  <c r="BS14" i="6"/>
  <c r="BS13" i="6"/>
  <c r="CB14" i="6"/>
  <c r="BQ65" i="8"/>
  <c r="BS64" i="8"/>
  <c r="BU65" i="8" s="1"/>
  <c r="BK64" i="6"/>
  <c r="J5" i="17"/>
  <c r="Q4" i="17" s="1"/>
  <c r="AG9" i="6"/>
  <c r="AG13" i="6"/>
  <c r="AG14" i="6"/>
  <c r="CC65" i="6"/>
  <c r="BS10" i="6"/>
  <c r="BS9" i="6"/>
  <c r="EV67" i="1"/>
  <c r="ET13" i="1"/>
  <c r="CJ13" i="1"/>
  <c r="AP64" i="9"/>
  <c r="AP63" i="9"/>
  <c r="F66" i="11"/>
  <c r="X9" i="6"/>
  <c r="X12" i="6"/>
  <c r="X13" i="6"/>
  <c r="X14" i="6"/>
  <c r="D66" i="11"/>
  <c r="AN66" i="6"/>
  <c r="Y66" i="6"/>
  <c r="DX67" i="1"/>
  <c r="DV13" i="1"/>
  <c r="BK65" i="6" l="1"/>
  <c r="CC14" i="6"/>
  <c r="BF14" i="6"/>
  <c r="BJ14" i="6"/>
  <c r="BJ13" i="6"/>
  <c r="BF13" i="6"/>
  <c r="BT14" i="6"/>
  <c r="BJ10" i="6"/>
  <c r="BF10" i="6"/>
  <c r="BJ9" i="6"/>
  <c r="BF9" i="6"/>
  <c r="BU64" i="8"/>
  <c r="BU63" i="8"/>
  <c r="BT13" i="6"/>
  <c r="CU14" i="6"/>
  <c r="CU13" i="6"/>
  <c r="DX14" i="1"/>
  <c r="DX13" i="1"/>
  <c r="CU10" i="6"/>
  <c r="CU9" i="6"/>
  <c r="AO10" i="6"/>
  <c r="AO9" i="6"/>
  <c r="DM10" i="6"/>
  <c r="DM9" i="6"/>
  <c r="CC13" i="6"/>
  <c r="CC10" i="6"/>
  <c r="CC9" i="6"/>
  <c r="Y9" i="6"/>
  <c r="G66" i="11"/>
  <c r="Y12" i="6"/>
  <c r="Y13" i="6"/>
  <c r="Y14" i="6"/>
  <c r="E66" i="11"/>
  <c r="AN9" i="6"/>
  <c r="AN12" i="6"/>
  <c r="AN13" i="6"/>
  <c r="AN14" i="6"/>
  <c r="AO14" i="6"/>
  <c r="AO13" i="6"/>
  <c r="Z10" i="6"/>
  <c r="Z9" i="6"/>
  <c r="DM14" i="6"/>
  <c r="DM13" i="6"/>
  <c r="D13" i="11"/>
  <c r="D9" i="11"/>
  <c r="D12" i="11"/>
  <c r="D7" i="11"/>
  <c r="D14" i="11"/>
  <c r="BT10" i="6"/>
  <c r="BT9" i="6"/>
  <c r="AA66" i="6"/>
  <c r="G65" i="11"/>
  <c r="E65" i="11"/>
  <c r="CL13" i="6"/>
  <c r="DD10" i="6"/>
  <c r="DD9" i="6"/>
  <c r="AW10" i="6"/>
  <c r="AW9" i="6"/>
  <c r="BH9" i="6"/>
  <c r="BH13" i="6"/>
  <c r="BH11" i="6"/>
  <c r="BH14" i="6"/>
  <c r="CL10" i="6"/>
  <c r="CL9" i="6"/>
  <c r="DD13" i="6"/>
  <c r="BK64" i="9"/>
  <c r="BK63" i="9"/>
  <c r="BG64" i="9"/>
  <c r="BG63" i="9"/>
  <c r="BT8" i="6"/>
  <c r="BT7" i="6"/>
  <c r="EV14" i="1"/>
  <c r="EV13" i="1"/>
  <c r="AA65" i="6"/>
  <c r="AL14" i="6"/>
  <c r="AX66" i="6"/>
  <c r="AL13" i="6"/>
  <c r="CL14" i="6"/>
  <c r="DD14" i="6"/>
  <c r="AL10" i="6"/>
  <c r="AL9" i="6"/>
  <c r="W14" i="6"/>
  <c r="W13" i="6"/>
  <c r="BK66" i="6"/>
  <c r="BG66" i="6"/>
  <c r="F8" i="11"/>
  <c r="F7" i="11"/>
  <c r="F12" i="11"/>
  <c r="F13" i="11"/>
  <c r="F9" i="11"/>
  <c r="F14" i="11"/>
  <c r="AP66" i="6"/>
  <c r="AV9" i="6"/>
  <c r="AV13" i="6"/>
  <c r="AV14" i="6"/>
  <c r="W10" i="6"/>
  <c r="W9" i="6"/>
  <c r="O4" i="17"/>
  <c r="S4" i="17"/>
  <c r="U4" i="17" s="1"/>
  <c r="BE9" i="6"/>
  <c r="BE12" i="6"/>
  <c r="BE13" i="6"/>
  <c r="BE14" i="6"/>
  <c r="AW14" i="6"/>
  <c r="AW13" i="6"/>
  <c r="AP65" i="6"/>
  <c r="BI9" i="6"/>
  <c r="BI12" i="6"/>
  <c r="BI7" i="6"/>
  <c r="BI13" i="6"/>
  <c r="BI14" i="6"/>
  <c r="AA14" i="6" l="1"/>
  <c r="AP13" i="6"/>
  <c r="AX10" i="6"/>
  <c r="AX9" i="6"/>
  <c r="AP10" i="6"/>
  <c r="AP9" i="6"/>
  <c r="AX14" i="6"/>
  <c r="AX13" i="6"/>
  <c r="E7" i="11"/>
  <c r="E13" i="11"/>
  <c r="E8" i="11"/>
  <c r="E9" i="11"/>
  <c r="E12" i="11"/>
  <c r="E14" i="11"/>
  <c r="AP14" i="6"/>
  <c r="BG14" i="6"/>
  <c r="BK14" i="6"/>
  <c r="AA13" i="6"/>
  <c r="G13" i="11"/>
  <c r="G12" i="11"/>
  <c r="G7" i="11"/>
  <c r="G8" i="11"/>
  <c r="G14" i="11"/>
  <c r="BK13" i="6"/>
  <c r="BG13" i="6"/>
  <c r="AA10" i="6"/>
  <c r="AA9" i="6"/>
  <c r="BK10" i="6"/>
  <c r="BG10" i="6"/>
  <c r="BK9" i="6"/>
  <c r="BG9" i="6"/>
  <c r="AL170" i="23" a="1"/>
  <c r="AL170" i="23" l="1"/>
  <c r="AK170" i="23" s="1"/>
  <c r="AI170" i="23" l="1"/>
  <c r="AJ170" i="23"/>
  <c r="AG170" i="23"/>
  <c r="AH170" i="23"/>
  <c r="AL171" i="23"/>
  <c r="AR170" i="23"/>
  <c r="AP170" i="23"/>
  <c r="AO170" i="23"/>
  <c r="AQ170" i="23"/>
  <c r="AN170" i="23"/>
  <c r="AE170" i="23"/>
  <c r="AD170" i="23"/>
  <c r="AM170" i="23"/>
  <c r="AF170" i="23"/>
  <c r="AL172" i="23" l="1"/>
  <c r="AR171" i="23"/>
  <c r="AP171" i="23"/>
  <c r="AO171" i="23"/>
  <c r="AQ171" i="23"/>
  <c r="AN171" i="23"/>
  <c r="AJ171" i="23"/>
  <c r="AG171" i="23"/>
  <c r="AK171" i="23"/>
  <c r="AI171" i="23"/>
  <c r="AH171" i="23"/>
  <c r="AE171" i="23"/>
  <c r="AD171" i="23"/>
  <c r="AL169" i="23"/>
  <c r="AK169" i="23" s="1"/>
  <c r="AM171" i="23"/>
  <c r="AF171" i="23"/>
  <c r="AG169" i="23" l="1"/>
  <c r="AH169" i="23"/>
  <c r="AJ169" i="23"/>
  <c r="AI169" i="23"/>
  <c r="AR169" i="23"/>
  <c r="AQ169" i="23"/>
  <c r="AN169" i="23"/>
  <c r="AO169" i="23"/>
  <c r="AP169" i="23"/>
  <c r="AL173" i="23"/>
  <c r="AR172" i="23"/>
  <c r="AQ172" i="23"/>
  <c r="AO172" i="23"/>
  <c r="AP172" i="23"/>
  <c r="AN172" i="23"/>
  <c r="AJ172" i="23"/>
  <c r="AH172" i="23"/>
  <c r="AK172" i="23"/>
  <c r="AI172" i="23"/>
  <c r="AG172" i="23"/>
  <c r="AE172" i="23"/>
  <c r="AD172" i="23"/>
  <c r="AE169" i="23"/>
  <c r="AD169" i="23"/>
  <c r="AM172" i="23"/>
  <c r="AM169" i="23"/>
  <c r="AF172" i="23"/>
  <c r="AF169" i="23"/>
  <c r="AL174" i="23" l="1"/>
  <c r="AR173" i="23"/>
  <c r="AQ173" i="23"/>
  <c r="AO173" i="23"/>
  <c r="AP173" i="23"/>
  <c r="AN173" i="23"/>
  <c r="AK173" i="23"/>
  <c r="AI173" i="23"/>
  <c r="AH173" i="23"/>
  <c r="AJ173" i="23"/>
  <c r="AG173" i="23"/>
  <c r="AE173" i="23"/>
  <c r="AD173" i="23"/>
  <c r="AL168" i="23"/>
  <c r="AK168" i="23" s="1"/>
  <c r="AF173" i="23"/>
  <c r="AM173" i="23"/>
  <c r="AG168" i="23" l="1"/>
  <c r="AH168" i="23"/>
  <c r="AJ168" i="23"/>
  <c r="AI168" i="23"/>
  <c r="AO168" i="23"/>
  <c r="AN168" i="23"/>
  <c r="AR168" i="23"/>
  <c r="AP168" i="23"/>
  <c r="AQ168" i="23"/>
  <c r="AL175" i="23"/>
  <c r="AR174" i="23"/>
  <c r="AQ174" i="23"/>
  <c r="AO174" i="23"/>
  <c r="AP174" i="23"/>
  <c r="AN174" i="23"/>
  <c r="AK174" i="23"/>
  <c r="AI174" i="23"/>
  <c r="AH174" i="23"/>
  <c r="AJ174" i="23"/>
  <c r="AG174" i="23"/>
  <c r="AE174" i="23"/>
  <c r="AD174" i="23"/>
  <c r="AE168" i="23"/>
  <c r="AD168" i="23"/>
  <c r="AF174" i="23"/>
  <c r="AM168" i="23"/>
  <c r="AM174" i="23"/>
  <c r="AF168" i="23"/>
  <c r="AL176" i="23" l="1"/>
  <c r="AR175" i="23"/>
  <c r="AQ175" i="23"/>
  <c r="AP175" i="23"/>
  <c r="AN175" i="23"/>
  <c r="AO175" i="23"/>
  <c r="AK175" i="23"/>
  <c r="AI175" i="23"/>
  <c r="AH175" i="23"/>
  <c r="AG175" i="23"/>
  <c r="AJ175" i="23"/>
  <c r="AE175" i="23"/>
  <c r="AD175" i="23"/>
  <c r="AL167" i="23"/>
  <c r="AK167" i="23" s="1"/>
  <c r="AM175" i="23"/>
  <c r="AF175" i="23"/>
  <c r="AG167" i="23" l="1"/>
  <c r="AH167" i="23"/>
  <c r="AI167" i="23"/>
  <c r="AJ167" i="23"/>
  <c r="AP167" i="23"/>
  <c r="AN167" i="23"/>
  <c r="AO167" i="23"/>
  <c r="AR167" i="23"/>
  <c r="AQ167" i="23"/>
  <c r="AL177" i="23"/>
  <c r="AR176" i="23"/>
  <c r="AQ176" i="23"/>
  <c r="AO176" i="23"/>
  <c r="AP176" i="23"/>
  <c r="AN176" i="23"/>
  <c r="AK176" i="23"/>
  <c r="AI176" i="23"/>
  <c r="AG176" i="23"/>
  <c r="AJ176" i="23"/>
  <c r="AH176" i="23"/>
  <c r="AE176" i="23"/>
  <c r="AD176" i="23"/>
  <c r="AE167" i="23"/>
  <c r="AD167" i="23"/>
  <c r="AM167" i="23"/>
  <c r="AF176" i="23"/>
  <c r="AM176" i="23"/>
  <c r="AF167" i="23"/>
  <c r="AL178" i="23" l="1"/>
  <c r="AR177" i="23"/>
  <c r="AQ177" i="23"/>
  <c r="AO177" i="23"/>
  <c r="AP177" i="23"/>
  <c r="AN177" i="23"/>
  <c r="AJ177" i="23"/>
  <c r="AI177" i="23"/>
  <c r="AG177" i="23"/>
  <c r="AK177" i="23"/>
  <c r="AH177" i="23"/>
  <c r="AE177" i="23"/>
  <c r="AD177" i="23"/>
  <c r="AL166" i="23"/>
  <c r="AJ166" i="23" s="1"/>
  <c r="AF177" i="23"/>
  <c r="AM177" i="23"/>
  <c r="AG166" i="23" l="1"/>
  <c r="AH166" i="23"/>
  <c r="AI166" i="23"/>
  <c r="AN166" i="23"/>
  <c r="AQ166" i="23"/>
  <c r="AO166" i="23"/>
  <c r="AR166" i="23"/>
  <c r="AP166" i="23"/>
  <c r="AK166" i="23"/>
  <c r="AL179" i="23"/>
  <c r="AR178" i="23"/>
  <c r="AQ178" i="23"/>
  <c r="AO178" i="23"/>
  <c r="AP178" i="23"/>
  <c r="AN178" i="23"/>
  <c r="AK178" i="23"/>
  <c r="AI178" i="23"/>
  <c r="AG178" i="23"/>
  <c r="AJ178" i="23"/>
  <c r="AH178" i="23"/>
  <c r="AE178" i="23"/>
  <c r="AD178" i="23"/>
  <c r="AE166" i="23"/>
  <c r="AD166" i="23"/>
  <c r="AM178" i="23"/>
  <c r="AM166" i="23"/>
  <c r="AF178" i="23"/>
  <c r="AF166" i="23"/>
  <c r="AL180" i="23" l="1"/>
  <c r="AR179" i="23"/>
  <c r="AP179" i="23"/>
  <c r="AO179" i="23"/>
  <c r="AQ179" i="23"/>
  <c r="AN179" i="23"/>
  <c r="AK179" i="23"/>
  <c r="AI179" i="23"/>
  <c r="AH179" i="23"/>
  <c r="AJ179" i="23"/>
  <c r="AG179" i="23"/>
  <c r="AE179" i="23"/>
  <c r="AD179" i="23"/>
  <c r="AL165" i="23"/>
  <c r="AK165" i="23" s="1"/>
  <c r="AM179" i="23"/>
  <c r="AF179" i="23"/>
  <c r="AG165" i="23" l="1"/>
  <c r="AH165" i="23"/>
  <c r="AI165" i="23"/>
  <c r="AJ165" i="23"/>
  <c r="AO165" i="23"/>
  <c r="AN165" i="23"/>
  <c r="AR165" i="23"/>
  <c r="AQ165" i="23"/>
  <c r="AP165" i="23"/>
  <c r="AL181" i="23"/>
  <c r="AR180" i="23"/>
  <c r="AP180" i="23"/>
  <c r="AQ180" i="23"/>
  <c r="AO180" i="23"/>
  <c r="AN180" i="23"/>
  <c r="AK180" i="23"/>
  <c r="AI180" i="23"/>
  <c r="AH180" i="23"/>
  <c r="AJ180" i="23"/>
  <c r="AG180" i="23"/>
  <c r="AE180" i="23"/>
  <c r="AD180" i="23"/>
  <c r="AE165" i="23"/>
  <c r="AD165" i="23"/>
  <c r="AM180" i="23"/>
  <c r="AF180" i="23"/>
  <c r="AM165" i="23"/>
  <c r="AF165" i="23"/>
  <c r="AL182" i="23" l="1"/>
  <c r="AO181" i="23"/>
  <c r="AP181" i="23"/>
  <c r="AN181" i="23"/>
  <c r="AR181" i="23"/>
  <c r="AQ181" i="23"/>
  <c r="AK181" i="23"/>
  <c r="AI181" i="23"/>
  <c r="AG181" i="23"/>
  <c r="AJ181" i="23"/>
  <c r="AH181" i="23"/>
  <c r="AE181" i="23"/>
  <c r="AD181" i="23"/>
  <c r="AL164" i="23"/>
  <c r="AK164" i="23" s="1"/>
  <c r="AM181" i="23"/>
  <c r="AF181" i="23"/>
  <c r="AG164" i="23" l="1"/>
  <c r="AH164" i="23"/>
  <c r="AJ164" i="23"/>
  <c r="AI164" i="23"/>
  <c r="AN164" i="23"/>
  <c r="AP164" i="23"/>
  <c r="AR164" i="23"/>
  <c r="AQ164" i="23"/>
  <c r="AO164" i="23"/>
  <c r="AL183" i="23"/>
  <c r="AN182" i="23"/>
  <c r="AQ182" i="23"/>
  <c r="AP182" i="23"/>
  <c r="AO182" i="23"/>
  <c r="AR182" i="23"/>
  <c r="AJ182" i="23"/>
  <c r="AI182" i="23"/>
  <c r="AK182" i="23"/>
  <c r="AH182" i="23"/>
  <c r="AG182" i="23"/>
  <c r="AE182" i="23"/>
  <c r="AD182" i="23"/>
  <c r="AE164" i="23"/>
  <c r="AD164" i="23"/>
  <c r="AM164" i="23"/>
  <c r="AF164" i="23"/>
  <c r="AM182" i="23"/>
  <c r="AF182" i="23"/>
  <c r="AN183" i="23" l="1"/>
  <c r="AQ183" i="23"/>
  <c r="AP183" i="23"/>
  <c r="AO183" i="23"/>
  <c r="AR183" i="23"/>
  <c r="AK183" i="23"/>
  <c r="AJ183" i="23"/>
  <c r="AG183" i="23"/>
  <c r="AI183" i="23"/>
  <c r="AH183" i="23"/>
  <c r="AE183" i="23"/>
  <c r="AD183" i="23"/>
  <c r="AL163" i="23"/>
  <c r="AK163" i="23" s="1"/>
  <c r="AF183" i="23"/>
  <c r="AM183" i="23"/>
  <c r="AH163" i="23" l="1"/>
  <c r="AI163" i="23"/>
  <c r="AJ163" i="23"/>
  <c r="AG163" i="23"/>
  <c r="AN163" i="23"/>
  <c r="AO163" i="23"/>
  <c r="AR163" i="23"/>
  <c r="AP163" i="23"/>
  <c r="AQ163" i="23"/>
  <c r="AE163" i="23"/>
  <c r="AD163" i="23"/>
  <c r="AL162" i="23"/>
  <c r="AK162" i="23" s="1"/>
  <c r="AF163" i="23"/>
  <c r="AM163" i="23"/>
  <c r="AG162" i="23" l="1"/>
  <c r="AH162" i="23"/>
  <c r="AI162" i="23"/>
  <c r="AJ162" i="23"/>
  <c r="AP162" i="23"/>
  <c r="AN162" i="23"/>
  <c r="AR162" i="23"/>
  <c r="AO162" i="23"/>
  <c r="AQ162" i="23"/>
  <c r="AE162" i="23"/>
  <c r="AD162" i="23"/>
  <c r="AL161" i="23"/>
  <c r="AK161" i="23" s="1"/>
  <c r="AM162" i="23"/>
  <c r="AF162" i="23"/>
  <c r="AG161" i="23" l="1"/>
  <c r="AH161" i="23"/>
  <c r="AI161" i="23"/>
  <c r="AJ161" i="23"/>
  <c r="AQ161" i="23"/>
  <c r="AN161" i="23"/>
  <c r="AP161" i="23"/>
  <c r="AO161" i="23"/>
  <c r="AR161" i="23"/>
  <c r="AE161" i="23"/>
  <c r="AD161" i="23"/>
  <c r="AL160" i="23"/>
  <c r="AK160" i="23" s="1"/>
  <c r="AM161" i="23"/>
  <c r="AF161" i="23"/>
  <c r="AH160" i="23" l="1"/>
  <c r="AJ160" i="23"/>
  <c r="AG160" i="23"/>
  <c r="AI160" i="23"/>
  <c r="AQ160" i="23"/>
  <c r="AP160" i="23"/>
  <c r="AO160" i="23"/>
  <c r="AR160" i="23"/>
  <c r="AN160" i="23"/>
  <c r="AE160" i="23"/>
  <c r="AD160" i="23"/>
  <c r="AL159" i="23"/>
  <c r="AK159" i="23" s="1"/>
  <c r="AF160" i="23"/>
  <c r="AM160" i="23"/>
  <c r="AG159" i="23" l="1"/>
  <c r="AI159" i="23"/>
  <c r="AH159" i="23"/>
  <c r="AJ159" i="23"/>
  <c r="AQ159" i="23"/>
  <c r="AO159" i="23"/>
  <c r="AN159" i="23"/>
  <c r="AR159" i="23"/>
  <c r="AP159" i="23"/>
  <c r="AE159" i="23"/>
  <c r="AD159" i="23"/>
  <c r="AL158" i="23"/>
  <c r="AK158" i="23" s="1"/>
  <c r="AM159" i="23"/>
  <c r="AF159" i="23"/>
  <c r="AH158" i="23" l="1"/>
  <c r="AI158" i="23"/>
  <c r="AG158" i="23"/>
  <c r="AJ158" i="23"/>
  <c r="AP158" i="23"/>
  <c r="AR158" i="23"/>
  <c r="AO158" i="23"/>
  <c r="AQ158" i="23"/>
  <c r="AN158" i="23"/>
  <c r="AE158" i="23"/>
  <c r="AD158" i="23"/>
  <c r="AL157" i="23"/>
  <c r="AK157" i="23" s="1"/>
  <c r="AM158" i="23"/>
  <c r="AF158" i="23"/>
  <c r="AI157" i="23" l="1"/>
  <c r="AG157" i="23"/>
  <c r="AH157" i="23"/>
  <c r="AJ157" i="23"/>
  <c r="AQ157" i="23"/>
  <c r="AO157" i="23"/>
  <c r="AR157" i="23"/>
  <c r="AP157" i="23"/>
  <c r="AN157" i="23"/>
  <c r="AE157" i="23"/>
  <c r="AD157" i="23"/>
  <c r="AL156" i="23"/>
  <c r="AK156" i="23" s="1"/>
  <c r="AM157" i="23"/>
  <c r="AF157" i="23"/>
  <c r="AG156" i="23" l="1"/>
  <c r="AH156" i="23"/>
  <c r="AI156" i="23"/>
  <c r="AJ156" i="23"/>
  <c r="AQ156" i="23"/>
  <c r="AO156" i="23"/>
  <c r="AP156" i="23"/>
  <c r="AR156" i="23"/>
  <c r="AN156" i="23"/>
  <c r="AE156" i="23"/>
  <c r="AD156" i="23"/>
  <c r="AL155" i="23"/>
  <c r="AK155" i="23" s="1"/>
  <c r="AM156" i="23"/>
  <c r="AF156" i="23"/>
  <c r="AG155" i="23" l="1"/>
  <c r="AI155" i="23"/>
  <c r="AH155" i="23"/>
  <c r="AJ155" i="23"/>
  <c r="AR155" i="23"/>
  <c r="AO155" i="23"/>
  <c r="AP155" i="23"/>
  <c r="AQ155" i="23"/>
  <c r="AN155" i="23"/>
  <c r="AE155" i="23"/>
  <c r="AD155" i="23"/>
  <c r="AL154" i="23"/>
  <c r="AK154" i="23" s="1"/>
  <c r="AF155" i="23"/>
  <c r="AM155" i="23"/>
  <c r="AG154" i="23" l="1"/>
  <c r="AH154" i="23"/>
  <c r="AI154" i="23"/>
  <c r="AJ154" i="23"/>
  <c r="AR154" i="23"/>
  <c r="AP154" i="23"/>
  <c r="AO154" i="23"/>
  <c r="AQ154" i="23"/>
  <c r="AN154" i="23"/>
  <c r="AE154" i="23"/>
  <c r="AD154" i="23"/>
  <c r="AL153" i="23"/>
  <c r="AK153" i="23" s="1"/>
  <c r="AM154" i="23"/>
  <c r="AF154" i="23"/>
  <c r="AG153" i="23" l="1"/>
  <c r="AH153" i="23"/>
  <c r="AI153" i="23"/>
  <c r="AJ153" i="23"/>
  <c r="AR153" i="23"/>
  <c r="AO153" i="23"/>
  <c r="AP153" i="23"/>
  <c r="AQ153" i="23"/>
  <c r="AN153" i="23"/>
  <c r="AE153" i="23"/>
  <c r="AD153" i="23"/>
  <c r="AL152" i="23"/>
  <c r="AK152" i="23" s="1"/>
  <c r="AF153" i="23"/>
  <c r="AM153" i="23"/>
  <c r="AH152" i="23" l="1"/>
  <c r="AG152" i="23"/>
  <c r="AI152" i="23"/>
  <c r="AJ152" i="23"/>
  <c r="AR152" i="23"/>
  <c r="AP152" i="23"/>
  <c r="AO152" i="23"/>
  <c r="AQ152" i="23"/>
  <c r="AN152" i="23"/>
  <c r="AE152" i="23"/>
  <c r="AD152" i="23"/>
  <c r="AL151" i="23"/>
  <c r="AJ151" i="23" s="1"/>
  <c r="AF152" i="23"/>
  <c r="AM152" i="23"/>
  <c r="AH151" i="23" l="1"/>
  <c r="AG151" i="23"/>
  <c r="AI151" i="23"/>
  <c r="AK151" i="23"/>
  <c r="AQ151" i="23"/>
  <c r="AP151" i="23"/>
  <c r="AN151" i="23"/>
  <c r="AR151" i="23"/>
  <c r="AO151" i="23"/>
  <c r="AE151" i="23"/>
  <c r="AD151" i="23"/>
  <c r="AL150" i="23"/>
  <c r="AK150" i="23" s="1"/>
  <c r="AM151" i="23"/>
  <c r="AF151" i="23"/>
  <c r="AG150" i="23" l="1"/>
  <c r="AH150" i="23"/>
  <c r="AI150" i="23"/>
  <c r="AJ150" i="23"/>
  <c r="AR150" i="23"/>
  <c r="AP150" i="23"/>
  <c r="AQ150" i="23"/>
  <c r="AN150" i="23"/>
  <c r="AO150" i="23"/>
  <c r="AE150" i="23"/>
  <c r="AD150" i="23"/>
  <c r="AL149" i="23"/>
  <c r="AK149" i="23" s="1"/>
  <c r="AM150" i="23"/>
  <c r="AF150" i="23"/>
  <c r="AG149" i="23" l="1"/>
  <c r="AH149" i="23"/>
  <c r="AJ149" i="23"/>
  <c r="AI149" i="23"/>
  <c r="AP149" i="23"/>
  <c r="AQ149" i="23"/>
  <c r="AO149" i="23"/>
  <c r="AR149" i="23"/>
  <c r="AN149" i="23"/>
  <c r="AE149" i="23"/>
  <c r="AD149" i="23"/>
  <c r="AL148" i="23"/>
  <c r="AK148" i="23" s="1"/>
  <c r="AF149" i="23"/>
  <c r="AM149" i="23"/>
  <c r="AG148" i="23" l="1"/>
  <c r="AH148" i="23"/>
  <c r="AI148" i="23"/>
  <c r="AJ148" i="23"/>
  <c r="AP148" i="23"/>
  <c r="AQ148" i="23"/>
  <c r="AN148" i="23"/>
  <c r="AR148" i="23"/>
  <c r="AO148" i="23"/>
  <c r="AE148" i="23"/>
  <c r="AD148" i="23"/>
  <c r="AL147" i="23"/>
  <c r="AK147" i="23" s="1"/>
  <c r="AF148" i="23"/>
  <c r="AM148" i="23"/>
  <c r="AG147" i="23" l="1"/>
  <c r="AH147" i="23"/>
  <c r="AI147" i="23"/>
  <c r="AJ147" i="23"/>
  <c r="AQ147" i="23"/>
  <c r="AO147" i="23"/>
  <c r="AR147" i="23"/>
  <c r="AP147" i="23"/>
  <c r="AN147" i="23"/>
  <c r="AE147" i="23"/>
  <c r="AD147" i="23"/>
  <c r="AL146" i="23"/>
  <c r="AK146" i="23" s="1"/>
  <c r="AM147" i="23"/>
  <c r="AF147" i="23"/>
  <c r="AG146" i="23" l="1"/>
  <c r="AI146" i="23"/>
  <c r="AH146" i="23"/>
  <c r="AJ146" i="23"/>
  <c r="AP146" i="23"/>
  <c r="AR146" i="23"/>
  <c r="AO146" i="23"/>
  <c r="AQ146" i="23"/>
  <c r="AN146" i="23"/>
  <c r="AE146" i="23"/>
  <c r="AD146" i="23"/>
  <c r="AL145" i="23"/>
  <c r="AK145" i="23" s="1"/>
  <c r="AF146" i="23"/>
  <c r="AM146" i="23"/>
  <c r="AH145" i="23" l="1"/>
  <c r="AG145" i="23"/>
  <c r="AI145" i="23"/>
  <c r="AJ145" i="23"/>
  <c r="AP145" i="23"/>
  <c r="AO145" i="23"/>
  <c r="AQ145" i="23"/>
  <c r="AR145" i="23"/>
  <c r="AN145" i="23"/>
  <c r="AE145" i="23"/>
  <c r="AD145" i="23"/>
  <c r="AL144" i="23"/>
  <c r="AJ144" i="23" s="1"/>
  <c r="AF145" i="23"/>
  <c r="AM145" i="23"/>
  <c r="AG144" i="23" l="1"/>
  <c r="AH144" i="23"/>
  <c r="AI144" i="23"/>
  <c r="AK144" i="23"/>
  <c r="AR144" i="23"/>
  <c r="AP144" i="23"/>
  <c r="AO144" i="23"/>
  <c r="AQ144" i="23"/>
  <c r="AN144" i="23"/>
  <c r="AE144" i="23"/>
  <c r="AD144" i="23"/>
  <c r="AL143" i="23"/>
  <c r="AK143" i="23" s="1"/>
  <c r="AM144" i="23"/>
  <c r="AF144" i="23"/>
  <c r="AG143" i="23" l="1"/>
  <c r="AH143" i="23"/>
  <c r="AI143" i="23"/>
  <c r="AJ143" i="23"/>
  <c r="AN143" i="23"/>
  <c r="AQ143" i="23"/>
  <c r="AP143" i="23"/>
  <c r="AR143" i="23"/>
  <c r="AO143" i="23"/>
  <c r="AE143" i="23"/>
  <c r="AD143" i="23"/>
  <c r="AL142" i="23"/>
  <c r="AK142" i="23" s="1"/>
  <c r="AM143" i="23"/>
  <c r="AF143" i="23"/>
  <c r="AG142" i="23" l="1"/>
  <c r="AH142" i="23"/>
  <c r="AI142" i="23"/>
  <c r="AJ142" i="23"/>
  <c r="AQ142" i="23"/>
  <c r="AN142" i="23"/>
  <c r="AP142" i="23"/>
  <c r="AR142" i="23"/>
  <c r="AO142" i="23"/>
  <c r="AE142" i="23"/>
  <c r="AD142" i="23"/>
  <c r="AL141" i="23"/>
  <c r="AK141" i="23" s="1"/>
  <c r="AF142" i="23"/>
  <c r="AM142" i="23"/>
  <c r="AG141" i="23" l="1"/>
  <c r="AH141" i="23"/>
  <c r="AI141" i="23"/>
  <c r="AJ141" i="23"/>
  <c r="AR141" i="23"/>
  <c r="AO141" i="23"/>
  <c r="AQ141" i="23"/>
  <c r="AP141" i="23"/>
  <c r="AN141" i="23"/>
  <c r="AE141" i="23"/>
  <c r="AD141" i="23"/>
  <c r="AR140" i="23"/>
  <c r="AQ140" i="23"/>
  <c r="AP140" i="23"/>
  <c r="AO140" i="23"/>
  <c r="AN140" i="23"/>
  <c r="AK140" i="23"/>
  <c r="AJ140" i="23"/>
  <c r="AI140" i="23"/>
  <c r="AH140" i="23"/>
  <c r="AG140" i="23"/>
  <c r="AE140" i="23"/>
  <c r="AD140" i="23"/>
  <c r="AR139" i="23"/>
  <c r="AQ139" i="23"/>
  <c r="AP139" i="23"/>
  <c r="AO139" i="23"/>
  <c r="AN139" i="23"/>
  <c r="AK139" i="23"/>
  <c r="AJ139" i="23"/>
  <c r="AI139" i="23"/>
  <c r="AH139" i="23"/>
  <c r="AG139" i="23"/>
  <c r="AE139" i="23"/>
  <c r="AD139" i="23"/>
  <c r="AR138" i="23"/>
  <c r="AQ138" i="23"/>
  <c r="AP138" i="23"/>
  <c r="AO138" i="23"/>
  <c r="AN138" i="23"/>
  <c r="AK138" i="23"/>
  <c r="AJ138" i="23"/>
  <c r="AI138" i="23"/>
  <c r="AH138" i="23"/>
  <c r="AG138" i="23"/>
  <c r="AE138" i="23"/>
  <c r="AD138" i="23"/>
  <c r="AR137" i="23"/>
  <c r="AQ137" i="23"/>
  <c r="AP137" i="23"/>
  <c r="AO137" i="23"/>
  <c r="AN137" i="23"/>
  <c r="AK137" i="23"/>
  <c r="AJ137" i="23"/>
  <c r="AI137" i="23"/>
  <c r="AH137" i="23"/>
  <c r="AG137" i="23"/>
  <c r="AE137" i="23"/>
  <c r="AD137" i="23"/>
  <c r="AR136" i="23"/>
  <c r="AQ136" i="23"/>
  <c r="AP136" i="23"/>
  <c r="AO136" i="23"/>
  <c r="AN136" i="23"/>
  <c r="AK136" i="23"/>
  <c r="AJ136" i="23"/>
  <c r="AI136" i="23"/>
  <c r="AH136" i="23"/>
  <c r="AG136" i="23"/>
  <c r="AE136" i="23"/>
  <c r="AD136" i="23"/>
  <c r="AR135" i="23"/>
  <c r="AQ135" i="23"/>
  <c r="AP135" i="23"/>
  <c r="AO135" i="23"/>
  <c r="AN135" i="23"/>
  <c r="AK135" i="23"/>
  <c r="AJ135" i="23"/>
  <c r="AI135" i="23"/>
  <c r="AH135" i="23"/>
  <c r="AG135" i="23"/>
  <c r="AE135" i="23"/>
  <c r="AD135" i="23"/>
  <c r="AR134" i="23"/>
  <c r="AQ134" i="23"/>
  <c r="AP134" i="23"/>
  <c r="AO134" i="23"/>
  <c r="AN134" i="23"/>
  <c r="AK134" i="23"/>
  <c r="AJ134" i="23"/>
  <c r="AI134" i="23"/>
  <c r="AH134" i="23"/>
  <c r="AG134" i="23"/>
  <c r="AE134" i="23"/>
  <c r="AD134" i="23"/>
  <c r="AR133" i="23"/>
  <c r="AQ133" i="23"/>
  <c r="AP133" i="23"/>
  <c r="AO133" i="23"/>
  <c r="AN133" i="23"/>
  <c r="AK133" i="23"/>
  <c r="AJ133" i="23"/>
  <c r="AI133" i="23"/>
  <c r="AH133" i="23"/>
  <c r="AG133" i="23"/>
  <c r="AE133" i="23"/>
  <c r="AD133" i="23"/>
  <c r="AR132" i="23"/>
  <c r="AQ132" i="23"/>
  <c r="AP132" i="23"/>
  <c r="AO132" i="23"/>
  <c r="AN132" i="23"/>
  <c r="AK132" i="23"/>
  <c r="AJ132" i="23"/>
  <c r="AI132" i="23"/>
  <c r="AH132" i="23"/>
  <c r="AG132" i="23"/>
  <c r="AE132" i="23"/>
  <c r="AD132" i="23"/>
  <c r="AR131" i="23"/>
  <c r="AQ131" i="23"/>
  <c r="AP131" i="23"/>
  <c r="AO131" i="23"/>
  <c r="AN131" i="23"/>
  <c r="AK131" i="23"/>
  <c r="AJ131" i="23"/>
  <c r="AI131" i="23"/>
  <c r="AH131" i="23"/>
  <c r="AG131" i="23"/>
  <c r="AE131" i="23"/>
  <c r="AD131" i="23"/>
  <c r="AR130" i="23"/>
  <c r="AQ130" i="23"/>
  <c r="AP130" i="23"/>
  <c r="AO130" i="23"/>
  <c r="AN130" i="23"/>
  <c r="AK130" i="23"/>
  <c r="AJ130" i="23"/>
  <c r="AI130" i="23"/>
  <c r="AH130" i="23"/>
  <c r="AG130" i="23"/>
  <c r="AE130" i="23"/>
  <c r="AD130" i="23"/>
  <c r="AR129" i="23"/>
  <c r="AQ129" i="23"/>
  <c r="AP129" i="23"/>
  <c r="AO129" i="23"/>
  <c r="AN129" i="23"/>
  <c r="AK129" i="23"/>
  <c r="AJ129" i="23"/>
  <c r="AI129" i="23"/>
  <c r="AH129" i="23"/>
  <c r="AG129" i="23"/>
  <c r="AE129" i="23"/>
  <c r="AD129" i="23"/>
  <c r="AR128" i="23"/>
  <c r="AQ128" i="23"/>
  <c r="AP128" i="23"/>
  <c r="AO128" i="23"/>
  <c r="AN128" i="23"/>
  <c r="AK128" i="23"/>
  <c r="AJ128" i="23"/>
  <c r="AI128" i="23"/>
  <c r="AH128" i="23"/>
  <c r="AG128" i="23"/>
  <c r="AE128" i="23"/>
  <c r="AD128" i="23"/>
  <c r="AR127" i="23"/>
  <c r="AQ127" i="23"/>
  <c r="AP127" i="23"/>
  <c r="AO127" i="23"/>
  <c r="AN127" i="23"/>
  <c r="AK127" i="23"/>
  <c r="AJ127" i="23"/>
  <c r="AI127" i="23"/>
  <c r="AH127" i="23"/>
  <c r="AG127" i="23"/>
  <c r="AE127" i="23"/>
  <c r="AD127" i="23"/>
  <c r="AR126" i="23"/>
  <c r="AQ126" i="23"/>
  <c r="AP126" i="23"/>
  <c r="AO126" i="23"/>
  <c r="AN126" i="23"/>
  <c r="AK126" i="23"/>
  <c r="AJ126" i="23"/>
  <c r="AI126" i="23"/>
  <c r="AH126" i="23"/>
  <c r="AG126" i="23"/>
  <c r="AE126" i="23"/>
  <c r="AD126" i="23"/>
  <c r="AR125" i="23"/>
  <c r="AQ125" i="23"/>
  <c r="AP125" i="23"/>
  <c r="AO125" i="23"/>
  <c r="AN125" i="23"/>
  <c r="AK125" i="23"/>
  <c r="AJ125" i="23"/>
  <c r="AI125" i="23"/>
  <c r="AH125" i="23"/>
  <c r="AG125" i="23"/>
  <c r="AE125" i="23"/>
  <c r="AD125" i="23"/>
  <c r="AR124" i="23"/>
  <c r="AQ124" i="23"/>
  <c r="AP124" i="23"/>
  <c r="AO124" i="23"/>
  <c r="AN124" i="23"/>
  <c r="AK124" i="23"/>
  <c r="AJ124" i="23"/>
  <c r="AI124" i="23"/>
  <c r="AH124" i="23"/>
  <c r="AG124" i="23"/>
  <c r="AE124" i="23"/>
  <c r="AD124" i="23"/>
  <c r="AR123" i="23"/>
  <c r="AQ123" i="23"/>
  <c r="AP123" i="23"/>
  <c r="AO123" i="23"/>
  <c r="AN123" i="23"/>
  <c r="AK123" i="23"/>
  <c r="AJ123" i="23"/>
  <c r="AI123" i="23"/>
  <c r="AH123" i="23"/>
  <c r="AG123" i="23"/>
  <c r="AE123" i="23"/>
  <c r="AD123" i="23"/>
  <c r="AR122" i="23"/>
  <c r="AQ122" i="23"/>
  <c r="AP122" i="23"/>
  <c r="AO122" i="23"/>
  <c r="AN122" i="23"/>
  <c r="AK122" i="23"/>
  <c r="AJ122" i="23"/>
  <c r="AI122" i="23"/>
  <c r="AH122" i="23"/>
  <c r="AG122" i="23"/>
  <c r="AE122" i="23"/>
  <c r="AD122" i="23"/>
  <c r="AR121" i="23"/>
  <c r="AQ121" i="23"/>
  <c r="AP121" i="23"/>
  <c r="AO121" i="23"/>
  <c r="AN121" i="23"/>
  <c r="AK121" i="23"/>
  <c r="AJ121" i="23"/>
  <c r="AI121" i="23"/>
  <c r="AH121" i="23"/>
  <c r="AG121" i="23"/>
  <c r="AE121" i="23"/>
  <c r="AD121" i="23"/>
  <c r="AR120" i="23"/>
  <c r="AQ120" i="23"/>
  <c r="AP120" i="23"/>
  <c r="AO120" i="23"/>
  <c r="AN120" i="23"/>
  <c r="AK120" i="23"/>
  <c r="AJ120" i="23"/>
  <c r="AI120" i="23"/>
  <c r="AH120" i="23"/>
  <c r="AG120" i="23"/>
  <c r="AE120" i="23"/>
  <c r="AD120" i="23"/>
  <c r="AR119" i="23"/>
  <c r="AQ119" i="23"/>
  <c r="AP119" i="23"/>
  <c r="AO119" i="23"/>
  <c r="AN119" i="23"/>
  <c r="AK119" i="23"/>
  <c r="AJ119" i="23"/>
  <c r="AI119" i="23"/>
  <c r="AH119" i="23"/>
  <c r="AG119" i="23"/>
  <c r="AE119" i="23"/>
  <c r="AD119" i="23"/>
  <c r="AR118" i="23"/>
  <c r="AQ118" i="23"/>
  <c r="AP118" i="23"/>
  <c r="AO118" i="23"/>
  <c r="AN118" i="23"/>
  <c r="AK118" i="23"/>
  <c r="AJ118" i="23"/>
  <c r="AI118" i="23"/>
  <c r="AH118" i="23"/>
  <c r="AG118" i="23"/>
  <c r="AE118" i="23"/>
  <c r="AD118" i="23"/>
  <c r="AR117" i="23"/>
  <c r="AQ117" i="23"/>
  <c r="AP117" i="23"/>
  <c r="AO117" i="23"/>
  <c r="AN117" i="23"/>
  <c r="AK117" i="23"/>
  <c r="AJ117" i="23"/>
  <c r="AI117" i="23"/>
  <c r="AH117" i="23"/>
  <c r="AG117" i="23"/>
  <c r="AE117" i="23"/>
  <c r="AD117" i="23"/>
  <c r="AR116" i="23"/>
  <c r="AQ116" i="23"/>
  <c r="AP116" i="23"/>
  <c r="AO116" i="23"/>
  <c r="AN116" i="23"/>
  <c r="AK116" i="23"/>
  <c r="AJ116" i="23"/>
  <c r="AI116" i="23"/>
  <c r="AH116" i="23"/>
  <c r="AG116" i="23"/>
  <c r="AE116" i="23"/>
  <c r="AD116" i="23"/>
  <c r="AR115" i="23"/>
  <c r="AQ115" i="23"/>
  <c r="AP115" i="23"/>
  <c r="AO115" i="23"/>
  <c r="AN115" i="23"/>
  <c r="AK115" i="23"/>
  <c r="AJ115" i="23"/>
  <c r="AI115" i="23"/>
  <c r="AH115" i="23"/>
  <c r="AG115" i="23"/>
  <c r="AE115" i="23"/>
  <c r="AD115" i="23"/>
  <c r="AR114" i="23"/>
  <c r="AQ114" i="23"/>
  <c r="AP114" i="23"/>
  <c r="AO114" i="23"/>
  <c r="AN114" i="23"/>
  <c r="AK114" i="23"/>
  <c r="AJ114" i="23"/>
  <c r="AI114" i="23"/>
  <c r="AH114" i="23"/>
  <c r="AG114" i="23"/>
  <c r="AE114" i="23"/>
  <c r="AD114" i="23"/>
  <c r="AR113" i="23"/>
  <c r="AQ113" i="23"/>
  <c r="AP113" i="23"/>
  <c r="AO113" i="23"/>
  <c r="AN113" i="23"/>
  <c r="AK113" i="23"/>
  <c r="AJ113" i="23"/>
  <c r="AI113" i="23"/>
  <c r="AH113" i="23"/>
  <c r="AG113" i="23"/>
  <c r="AE113" i="23"/>
  <c r="AD113" i="23"/>
  <c r="AR112" i="23"/>
  <c r="AQ112" i="23"/>
  <c r="AP112" i="23"/>
  <c r="AO112" i="23"/>
  <c r="AN112" i="23"/>
  <c r="AK112" i="23"/>
  <c r="AJ112" i="23"/>
  <c r="AI112" i="23"/>
  <c r="AH112" i="23"/>
  <c r="AG112" i="23"/>
  <c r="AE112" i="23"/>
  <c r="AD112" i="23"/>
  <c r="AM141" i="23"/>
  <c r="AL102" i="23" a="1"/>
  <c r="AF141" i="23"/>
  <c r="AL102" i="23" l="1"/>
  <c r="AK102" i="23" s="1"/>
  <c r="AG102" i="23" l="1"/>
  <c r="AI102" i="23"/>
  <c r="AJ102" i="23"/>
  <c r="AH102" i="23"/>
  <c r="AL103" i="23"/>
  <c r="AQ102" i="23"/>
  <c r="AP102" i="23"/>
  <c r="AO102" i="23"/>
  <c r="AN102" i="23"/>
  <c r="AR102" i="23"/>
  <c r="AE102" i="23"/>
  <c r="AD102" i="23"/>
  <c r="AF102" i="23"/>
  <c r="AM102" i="23"/>
  <c r="AL104" i="23" l="1"/>
  <c r="AP103" i="23"/>
  <c r="AO103" i="23"/>
  <c r="AR103" i="23"/>
  <c r="AQ103" i="23"/>
  <c r="AN103" i="23"/>
  <c r="AK103" i="23"/>
  <c r="AH103" i="23"/>
  <c r="AJ103" i="23"/>
  <c r="AI103" i="23"/>
  <c r="AG103" i="23"/>
  <c r="AE103" i="23"/>
  <c r="AD103" i="23"/>
  <c r="AL101" i="23"/>
  <c r="AJ101" i="23" s="1"/>
  <c r="AF103" i="23"/>
  <c r="AM103" i="23"/>
  <c r="AG101" i="23" l="1"/>
  <c r="AR101" i="23"/>
  <c r="AP101" i="23"/>
  <c r="AN101" i="23"/>
  <c r="AO101" i="23"/>
  <c r="AQ101" i="23"/>
  <c r="AI101" i="23"/>
  <c r="AH101" i="23"/>
  <c r="AK101" i="23"/>
  <c r="AL105" i="23"/>
  <c r="AR104" i="23"/>
  <c r="AQ104" i="23"/>
  <c r="AP104" i="23"/>
  <c r="AO104" i="23"/>
  <c r="AN104" i="23"/>
  <c r="AK104" i="23"/>
  <c r="AI104" i="23"/>
  <c r="AH104" i="23"/>
  <c r="AG104" i="23"/>
  <c r="AJ104" i="23"/>
  <c r="AE104" i="23"/>
  <c r="AD104" i="23"/>
  <c r="AE101" i="23"/>
  <c r="AD101" i="23"/>
  <c r="AM104" i="23"/>
  <c r="AF104" i="23"/>
  <c r="AF101" i="23"/>
  <c r="AM101" i="23"/>
  <c r="AL106" i="23" l="1"/>
  <c r="AQ105" i="23"/>
  <c r="AP105" i="23"/>
  <c r="AR105" i="23"/>
  <c r="AN105" i="23"/>
  <c r="AO105" i="23"/>
  <c r="AK105" i="23"/>
  <c r="AJ105" i="23"/>
  <c r="AI105" i="23"/>
  <c r="AG105" i="23"/>
  <c r="AH105" i="23"/>
  <c r="AE105" i="23"/>
  <c r="AD105" i="23"/>
  <c r="AL100" i="23"/>
  <c r="AF105" i="23"/>
  <c r="AM105" i="23"/>
  <c r="AQ100" i="23" l="1"/>
  <c r="AO100" i="23"/>
  <c r="AN100" i="23"/>
  <c r="AP100" i="23"/>
  <c r="AR100" i="23"/>
  <c r="AH100" i="23"/>
  <c r="AI100" i="23"/>
  <c r="AK100" i="23"/>
  <c r="AG100" i="23"/>
  <c r="AJ100" i="23"/>
  <c r="AL107" i="23"/>
  <c r="AO106" i="23"/>
  <c r="AP106" i="23"/>
  <c r="AR106" i="23"/>
  <c r="AQ106" i="23"/>
  <c r="AN106" i="23"/>
  <c r="AK106" i="23"/>
  <c r="AJ106" i="23"/>
  <c r="AI106" i="23"/>
  <c r="AG106" i="23"/>
  <c r="AH106" i="23"/>
  <c r="AE106" i="23"/>
  <c r="AD106" i="23"/>
  <c r="AE100" i="23"/>
  <c r="AD100" i="23"/>
  <c r="AF106" i="23"/>
  <c r="AM106" i="23"/>
  <c r="AM100" i="23"/>
  <c r="AF100" i="23"/>
  <c r="AL108" i="23" l="1"/>
  <c r="AR107" i="23"/>
  <c r="AP107" i="23"/>
  <c r="AN107" i="23"/>
  <c r="AQ107" i="23"/>
  <c r="AO107" i="23"/>
  <c r="AK107" i="23"/>
  <c r="AJ107" i="23"/>
  <c r="AH107" i="23"/>
  <c r="AG107" i="23"/>
  <c r="AI107" i="23"/>
  <c r="AE107" i="23"/>
  <c r="AD107" i="23"/>
  <c r="AL99" i="23"/>
  <c r="AK99" i="23" s="1"/>
  <c r="AF107" i="23"/>
  <c r="AM107" i="23"/>
  <c r="AG99" i="23" l="1"/>
  <c r="AH99" i="23"/>
  <c r="AI99" i="23"/>
  <c r="AJ99" i="23"/>
  <c r="AR99" i="23"/>
  <c r="AP99" i="23"/>
  <c r="AO99" i="23"/>
  <c r="AQ99" i="23"/>
  <c r="AN99" i="23"/>
  <c r="AL109" i="23"/>
  <c r="AR108" i="23"/>
  <c r="AQ108" i="23"/>
  <c r="AO108" i="23"/>
  <c r="AN108" i="23"/>
  <c r="AP108" i="23"/>
  <c r="AK108" i="23"/>
  <c r="AJ108" i="23"/>
  <c r="AI108" i="23"/>
  <c r="AH108" i="23"/>
  <c r="AG108" i="23"/>
  <c r="AE108" i="23"/>
  <c r="AD108" i="23"/>
  <c r="AE99" i="23"/>
  <c r="AD99" i="23"/>
  <c r="AM99" i="23"/>
  <c r="AM108" i="23"/>
  <c r="AF99" i="23"/>
  <c r="AF108" i="23"/>
  <c r="AL110" i="23" l="1"/>
  <c r="AR109" i="23"/>
  <c r="AQ109" i="23"/>
  <c r="AP109" i="23"/>
  <c r="AO109" i="23"/>
  <c r="AN109" i="23"/>
  <c r="AK109" i="23"/>
  <c r="AG109" i="23"/>
  <c r="AJ109" i="23"/>
  <c r="AI109" i="23"/>
  <c r="AH109" i="23"/>
  <c r="AE109" i="23"/>
  <c r="AD109" i="23"/>
  <c r="AL98" i="23"/>
  <c r="AK98" i="23" s="1"/>
  <c r="AF109" i="23"/>
  <c r="AM109" i="23"/>
  <c r="AG98" i="23" l="1"/>
  <c r="AH98" i="23"/>
  <c r="AI98" i="23"/>
  <c r="AJ98" i="23"/>
  <c r="AQ98" i="23"/>
  <c r="AO98" i="23"/>
  <c r="AN98" i="23"/>
  <c r="AR98" i="23"/>
  <c r="AP98" i="23"/>
  <c r="AL111" i="23"/>
  <c r="AQ110" i="23"/>
  <c r="AP110" i="23"/>
  <c r="AN110" i="23"/>
  <c r="AO110" i="23"/>
  <c r="AR110" i="23"/>
  <c r="AK110" i="23"/>
  <c r="AI110" i="23"/>
  <c r="AH110" i="23"/>
  <c r="AG110" i="23"/>
  <c r="AJ110" i="23"/>
  <c r="AE110" i="23"/>
  <c r="AD110" i="23"/>
  <c r="AE98" i="23"/>
  <c r="AD98" i="23"/>
  <c r="AF98" i="23"/>
  <c r="AM98" i="23"/>
  <c r="AM110" i="23"/>
  <c r="AF110" i="23"/>
  <c r="AR111" i="23" l="1"/>
  <c r="AQ111" i="23"/>
  <c r="AP111" i="23"/>
  <c r="AO111" i="23"/>
  <c r="AN111" i="23"/>
  <c r="AK111" i="23"/>
  <c r="AJ111" i="23"/>
  <c r="AI111" i="23"/>
  <c r="AG111" i="23"/>
  <c r="AH111" i="23"/>
  <c r="AE111" i="23"/>
  <c r="AD111" i="23"/>
  <c r="AL97" i="23"/>
  <c r="AK97" i="23" s="1"/>
  <c r="AF111" i="23"/>
  <c r="AM111" i="23"/>
  <c r="AG97" i="23" l="1"/>
  <c r="AH97" i="23"/>
  <c r="AJ97" i="23"/>
  <c r="AI97" i="23"/>
  <c r="AQ97" i="23"/>
  <c r="AP97" i="23"/>
  <c r="AO97" i="23"/>
  <c r="AR97" i="23"/>
  <c r="AN97" i="23"/>
  <c r="AE97" i="23"/>
  <c r="AD97" i="23"/>
  <c r="AL96" i="23"/>
  <c r="AK96" i="23" s="1"/>
  <c r="AM97" i="23"/>
  <c r="AF97" i="23"/>
  <c r="AG96" i="23" l="1"/>
  <c r="AH96" i="23"/>
  <c r="AI96" i="23"/>
  <c r="AJ96" i="23"/>
  <c r="AP96" i="23"/>
  <c r="AR96" i="23"/>
  <c r="AN96" i="23"/>
  <c r="AO96" i="23"/>
  <c r="AQ96" i="23"/>
  <c r="AE96" i="23"/>
  <c r="AD96" i="23"/>
  <c r="AL95" i="23"/>
  <c r="AK95" i="23" s="1"/>
  <c r="AM96" i="23"/>
  <c r="AF96" i="23"/>
  <c r="AG95" i="23" l="1"/>
  <c r="AH95" i="23"/>
  <c r="AI95" i="23"/>
  <c r="AJ95" i="23"/>
  <c r="AR95" i="23"/>
  <c r="AO95" i="23"/>
  <c r="AQ95" i="23"/>
  <c r="AN95" i="23"/>
  <c r="AP95" i="23"/>
  <c r="AE95" i="23"/>
  <c r="AD95" i="23"/>
  <c r="AL94" i="23"/>
  <c r="AK94" i="23" s="1"/>
  <c r="AF95" i="23"/>
  <c r="AM95" i="23"/>
  <c r="AG94" i="23" l="1"/>
  <c r="AH94" i="23"/>
  <c r="AI94" i="23"/>
  <c r="AJ94" i="23"/>
  <c r="AQ94" i="23"/>
  <c r="AO94" i="23"/>
  <c r="AP94" i="23"/>
  <c r="AR94" i="23"/>
  <c r="AN94" i="23"/>
  <c r="AE94" i="23"/>
  <c r="AD94" i="23"/>
  <c r="AL93" i="23"/>
  <c r="AK93" i="23" s="1"/>
  <c r="AF94" i="23"/>
  <c r="AM94" i="23"/>
  <c r="AG93" i="23" l="1"/>
  <c r="AH93" i="23"/>
  <c r="AI93" i="23"/>
  <c r="AJ93" i="23"/>
  <c r="AP93" i="23"/>
  <c r="AO93" i="23"/>
  <c r="AN93" i="23"/>
  <c r="AR93" i="23"/>
  <c r="AQ93" i="23"/>
  <c r="AE93" i="23"/>
  <c r="AD93" i="23"/>
  <c r="AL92" i="23"/>
  <c r="AK92" i="23" s="1"/>
  <c r="AM93" i="23"/>
  <c r="AF93" i="23"/>
  <c r="AH92" i="23" l="1"/>
  <c r="AG92" i="23"/>
  <c r="AI92" i="23"/>
  <c r="AJ92" i="23"/>
  <c r="AP92" i="23"/>
  <c r="AR92" i="23"/>
  <c r="AQ92" i="23"/>
  <c r="AN92" i="23"/>
  <c r="AO92" i="23"/>
  <c r="AE92" i="23"/>
  <c r="AD92" i="23"/>
  <c r="AL91" i="23"/>
  <c r="AK91" i="23" s="1"/>
  <c r="AF92" i="23"/>
  <c r="AM92" i="23"/>
  <c r="AG91" i="23" l="1"/>
  <c r="AH91" i="23"/>
  <c r="AI91" i="23"/>
  <c r="AJ91" i="23"/>
  <c r="AQ91" i="23"/>
  <c r="AN91" i="23"/>
  <c r="AR91" i="23"/>
  <c r="AO91" i="23"/>
  <c r="AP91" i="23"/>
  <c r="AE91" i="23"/>
  <c r="AD91" i="23"/>
  <c r="AL90" i="23"/>
  <c r="AK90" i="23" s="1"/>
  <c r="AM91" i="23"/>
  <c r="AF91" i="23"/>
  <c r="AH90" i="23" l="1"/>
  <c r="AG90" i="23"/>
  <c r="AI90" i="23"/>
  <c r="AJ90" i="23"/>
  <c r="AQ90" i="23"/>
  <c r="AN90" i="23"/>
  <c r="AP90" i="23"/>
  <c r="AO90" i="23"/>
  <c r="AR90" i="23"/>
  <c r="AE90" i="23"/>
  <c r="AD90" i="23"/>
  <c r="AL89" i="23"/>
  <c r="AK89" i="23" s="1"/>
  <c r="AM90" i="23"/>
  <c r="AF90" i="23"/>
  <c r="AG89" i="23" l="1"/>
  <c r="AH89" i="23"/>
  <c r="AI89" i="23"/>
  <c r="AJ89" i="23"/>
  <c r="AQ89" i="23"/>
  <c r="AP89" i="23"/>
  <c r="AR89" i="23"/>
  <c r="AN89" i="23"/>
  <c r="AO89" i="23"/>
  <c r="AE89" i="23"/>
  <c r="AD89" i="23"/>
  <c r="AL88" i="23"/>
  <c r="AK88" i="23" s="1"/>
  <c r="AM89" i="23"/>
  <c r="AF89" i="23"/>
  <c r="AI88" i="23" l="1"/>
  <c r="AJ88" i="23"/>
  <c r="AG88" i="23"/>
  <c r="AH88" i="23"/>
  <c r="AQ88" i="23"/>
  <c r="AP88" i="23"/>
  <c r="AN88" i="23"/>
  <c r="AR88" i="23"/>
  <c r="AO88" i="23"/>
  <c r="AE88" i="23"/>
  <c r="AD88" i="23"/>
  <c r="AL87" i="23"/>
  <c r="AK87" i="23" s="1"/>
  <c r="AF88" i="23"/>
  <c r="AM88" i="23"/>
  <c r="AG87" i="23" l="1"/>
  <c r="AH87" i="23"/>
  <c r="AI87" i="23"/>
  <c r="AJ87" i="23"/>
  <c r="AR87" i="23"/>
  <c r="AO87" i="23"/>
  <c r="AQ87" i="23"/>
  <c r="AN87" i="23"/>
  <c r="AP87" i="23"/>
  <c r="AE87" i="23"/>
  <c r="AD87" i="23"/>
  <c r="AL86" i="23"/>
  <c r="AJ86" i="23" s="1"/>
  <c r="AM87" i="23"/>
  <c r="AF87" i="23"/>
  <c r="AG86" i="23" l="1"/>
  <c r="AH86" i="23"/>
  <c r="AI86" i="23"/>
  <c r="AK86" i="23"/>
  <c r="AR86" i="23"/>
  <c r="AQ86" i="23"/>
  <c r="AP86" i="23"/>
  <c r="AO86" i="23"/>
  <c r="AN86" i="23"/>
  <c r="AE86" i="23"/>
  <c r="AD86" i="23"/>
  <c r="AL85" i="23"/>
  <c r="AJ85" i="23" s="1"/>
  <c r="AM86" i="23"/>
  <c r="AF86" i="23"/>
  <c r="AG85" i="23" l="1"/>
  <c r="AH85" i="23"/>
  <c r="AI85" i="23"/>
  <c r="AK85" i="23"/>
  <c r="AR85" i="23"/>
  <c r="AQ85" i="23"/>
  <c r="AP85" i="23"/>
  <c r="AN85" i="23"/>
  <c r="AO85" i="23"/>
  <c r="AE85" i="23"/>
  <c r="AD85" i="23"/>
  <c r="AL84" i="23"/>
  <c r="AK84" i="23" s="1"/>
  <c r="AF85" i="23"/>
  <c r="AM85" i="23"/>
  <c r="AH84" i="23" l="1"/>
  <c r="AG84" i="23"/>
  <c r="AI84" i="23"/>
  <c r="AJ84" i="23"/>
  <c r="AR84" i="23"/>
  <c r="AQ84" i="23"/>
  <c r="AO84" i="23"/>
  <c r="AN84" i="23"/>
  <c r="AP84" i="23"/>
  <c r="AE84" i="23"/>
  <c r="AD84" i="23"/>
  <c r="AL83" i="23"/>
  <c r="AK83" i="23" s="1"/>
  <c r="AF84" i="23"/>
  <c r="AM84" i="23"/>
  <c r="AG83" i="23" l="1"/>
  <c r="AH83" i="23"/>
  <c r="AI83" i="23"/>
  <c r="AJ83" i="23"/>
  <c r="AR83" i="23"/>
  <c r="AQ83" i="23"/>
  <c r="AO83" i="23"/>
  <c r="AN83" i="23"/>
  <c r="AP83" i="23"/>
  <c r="AE83" i="23"/>
  <c r="AD83" i="23"/>
  <c r="AL82" i="23"/>
  <c r="AK82" i="23" s="1"/>
  <c r="AM83" i="23"/>
  <c r="AF83" i="23"/>
  <c r="AG82" i="23" l="1"/>
  <c r="AH82" i="23"/>
  <c r="AI82" i="23"/>
  <c r="AJ82" i="23"/>
  <c r="AR82" i="23"/>
  <c r="AQ82" i="23"/>
  <c r="AP82" i="23"/>
  <c r="AN82" i="23"/>
  <c r="AO82" i="23"/>
  <c r="AE82" i="23"/>
  <c r="AD82" i="23"/>
  <c r="AL81" i="23"/>
  <c r="AK81" i="23" s="1"/>
  <c r="AM82" i="23"/>
  <c r="AF82" i="23"/>
  <c r="AG81" i="23" l="1"/>
  <c r="AH81" i="23"/>
  <c r="AI81" i="23"/>
  <c r="AJ81" i="23"/>
  <c r="AR81" i="23"/>
  <c r="AQ81" i="23"/>
  <c r="AP81" i="23"/>
  <c r="AO81" i="23"/>
  <c r="AN81" i="23"/>
  <c r="AE81" i="23"/>
  <c r="AD81" i="23"/>
  <c r="AL80" i="23"/>
  <c r="AK80" i="23" s="1"/>
  <c r="AM81" i="23"/>
  <c r="AF81" i="23"/>
  <c r="AG80" i="23" l="1"/>
  <c r="AH80" i="23"/>
  <c r="AJ80" i="23"/>
  <c r="AI80" i="23"/>
  <c r="AR80" i="23"/>
  <c r="AQ80" i="23"/>
  <c r="AP80" i="23"/>
  <c r="AO80" i="23"/>
  <c r="AN80" i="23"/>
  <c r="AE80" i="23"/>
  <c r="AD80" i="23"/>
  <c r="AR79" i="23"/>
  <c r="AQ79" i="23"/>
  <c r="AP79" i="23"/>
  <c r="AO79" i="23"/>
  <c r="AN79" i="23"/>
  <c r="AK79" i="23"/>
  <c r="AJ79" i="23"/>
  <c r="AI79" i="23"/>
  <c r="AH79" i="23"/>
  <c r="AG79" i="23"/>
  <c r="AE79" i="23"/>
  <c r="AD79" i="23"/>
  <c r="AR78" i="23"/>
  <c r="AQ78" i="23"/>
  <c r="AP78" i="23"/>
  <c r="AO78" i="23"/>
  <c r="AN78" i="23"/>
  <c r="AK78" i="23"/>
  <c r="AJ78" i="23"/>
  <c r="AI78" i="23"/>
  <c r="AH78" i="23"/>
  <c r="AG78" i="23"/>
  <c r="AE78" i="23"/>
  <c r="AD78" i="23"/>
  <c r="K78" i="23" a="1"/>
  <c r="K78" i="23" s="1"/>
  <c r="F78" i="23" a="1"/>
  <c r="F78" i="23" s="1"/>
  <c r="E78" i="23" a="1"/>
  <c r="E78" i="23" s="1"/>
  <c r="AR77" i="23"/>
  <c r="AQ77" i="23"/>
  <c r="AP77" i="23"/>
  <c r="AO77" i="23"/>
  <c r="AN77" i="23"/>
  <c r="AK77" i="23"/>
  <c r="AJ77" i="23"/>
  <c r="AI77" i="23"/>
  <c r="AH77" i="23"/>
  <c r="AG77" i="23"/>
  <c r="AE77" i="23"/>
  <c r="AD77" i="23"/>
  <c r="K77" i="23" a="1"/>
  <c r="K77" i="23" s="1"/>
  <c r="F77" i="23" a="1"/>
  <c r="F77" i="23" s="1"/>
  <c r="E77" i="23" a="1"/>
  <c r="E77" i="23" s="1"/>
  <c r="AR76" i="23"/>
  <c r="AQ76" i="23"/>
  <c r="AP76" i="23"/>
  <c r="AO76" i="23"/>
  <c r="AN76" i="23"/>
  <c r="AK76" i="23"/>
  <c r="AJ76" i="23"/>
  <c r="AI76" i="23"/>
  <c r="AH76" i="23"/>
  <c r="AG76" i="23"/>
  <c r="AE76" i="23"/>
  <c r="AD76" i="23"/>
  <c r="K76" i="23"/>
  <c r="F76" i="23"/>
  <c r="E76" i="23"/>
  <c r="AR75" i="23"/>
  <c r="AQ75" i="23"/>
  <c r="AP75" i="23"/>
  <c r="AO75" i="23"/>
  <c r="AN75" i="23"/>
  <c r="AK75" i="23"/>
  <c r="AJ75" i="23"/>
  <c r="AI75" i="23"/>
  <c r="AH75" i="23"/>
  <c r="AG75" i="23"/>
  <c r="AE75" i="23"/>
  <c r="AD75" i="23"/>
  <c r="K75" i="23"/>
  <c r="F75" i="23"/>
  <c r="E75" i="23"/>
  <c r="AM80" i="23"/>
  <c r="AF80" i="23"/>
  <c r="AX74" i="23" l="1"/>
  <c r="AY74" i="23" s="1" a="1"/>
  <c r="AY74" i="23" s="1"/>
  <c r="AR74" i="23"/>
  <c r="AQ74" i="23"/>
  <c r="AP74" i="23"/>
  <c r="AO74" i="23"/>
  <c r="AN74" i="23"/>
  <c r="AK74" i="23"/>
  <c r="AJ74" i="23"/>
  <c r="AI74" i="23"/>
  <c r="AH74" i="23"/>
  <c r="AG74" i="23"/>
  <c r="AE74" i="23"/>
  <c r="AD74" i="23"/>
  <c r="AR73" i="23"/>
  <c r="AQ73" i="23"/>
  <c r="AP73" i="23"/>
  <c r="AO73" i="23"/>
  <c r="AN73" i="23"/>
  <c r="AK73" i="23"/>
  <c r="AJ73" i="23"/>
  <c r="AI73" i="23"/>
  <c r="AH73" i="23"/>
  <c r="AG73" i="23"/>
  <c r="AE73" i="23"/>
  <c r="AD73" i="23"/>
  <c r="AW72" i="23" a="1"/>
  <c r="AW72" i="23" l="1"/>
  <c r="AX72" i="23" s="1"/>
  <c r="AY72" i="23" s="1" a="1"/>
  <c r="AY72" i="23" s="1"/>
  <c r="AR72" i="23"/>
  <c r="AQ72" i="23"/>
  <c r="AP72" i="23"/>
  <c r="AO72" i="23"/>
  <c r="AN72" i="23"/>
  <c r="AK72" i="23"/>
  <c r="AJ72" i="23"/>
  <c r="AI72" i="23"/>
  <c r="AH72" i="23"/>
  <c r="AG72" i="23"/>
  <c r="AE72" i="23"/>
  <c r="AD72" i="23"/>
  <c r="AW71" i="23" a="1"/>
  <c r="AW71" i="23" l="1"/>
  <c r="AX71" i="23" s="1"/>
  <c r="AY71" i="23" s="1" a="1"/>
  <c r="AY71" i="23" s="1"/>
  <c r="AR71" i="23"/>
  <c r="AQ71" i="23"/>
  <c r="AP71" i="23"/>
  <c r="AO71" i="23"/>
  <c r="AN71" i="23"/>
  <c r="AK71" i="23"/>
  <c r="AJ71" i="23"/>
  <c r="AI71" i="23"/>
  <c r="AH71" i="23"/>
  <c r="AG71" i="23"/>
  <c r="AE71" i="23"/>
  <c r="AD71" i="23"/>
  <c r="AR70" i="23"/>
  <c r="AQ70" i="23"/>
  <c r="AP70" i="23"/>
  <c r="AO70" i="23"/>
  <c r="AN70" i="23"/>
  <c r="AK70" i="23"/>
  <c r="AJ70" i="23"/>
  <c r="AI70" i="23"/>
  <c r="AH70" i="23"/>
  <c r="AG70" i="23"/>
  <c r="AE70" i="23"/>
  <c r="AD70" i="23"/>
  <c r="AR69" i="23"/>
  <c r="AQ69" i="23"/>
  <c r="AP69" i="23"/>
  <c r="AO69" i="23"/>
  <c r="AN69" i="23"/>
  <c r="AK69" i="23"/>
  <c r="AJ69" i="23"/>
  <c r="AI69" i="23"/>
  <c r="AH69" i="23"/>
  <c r="AG69" i="23"/>
  <c r="AE69" i="23"/>
  <c r="AD69" i="23"/>
  <c r="K69" i="23"/>
  <c r="J69" i="23"/>
  <c r="I69" i="23"/>
  <c r="AR68" i="23"/>
  <c r="AQ68" i="23"/>
  <c r="AP68" i="23"/>
  <c r="AO68" i="23"/>
  <c r="AN68" i="23"/>
  <c r="AK68" i="23"/>
  <c r="AJ68" i="23"/>
  <c r="AI68" i="23"/>
  <c r="AH68" i="23"/>
  <c r="AG68" i="23"/>
  <c r="AE68" i="23"/>
  <c r="AD68" i="23"/>
  <c r="AR67" i="23"/>
  <c r="AQ67" i="23"/>
  <c r="AP67" i="23"/>
  <c r="AO67" i="23"/>
  <c r="AN67" i="23"/>
  <c r="AK67" i="23"/>
  <c r="AJ67" i="23"/>
  <c r="AI67" i="23"/>
  <c r="AH67" i="23"/>
  <c r="AG67" i="23"/>
  <c r="AE67" i="23"/>
  <c r="AD67" i="23"/>
  <c r="AX66" i="23" a="1"/>
  <c r="AX66" i="23" s="1"/>
  <c r="AZ66" i="23" s="1" a="1"/>
  <c r="AZ66" i="23" s="1"/>
  <c r="AW66" i="23" a="1"/>
  <c r="AW66" i="23" s="1"/>
  <c r="AR66" i="23"/>
  <c r="AQ66" i="23"/>
  <c r="AP66" i="23"/>
  <c r="AO66" i="23"/>
  <c r="AN66" i="23"/>
  <c r="AY66" i="23" l="1" a="1"/>
  <c r="AY66" i="23" s="1"/>
  <c r="BA66" i="23" s="1"/>
  <c r="AK66" i="23"/>
  <c r="AJ66" i="23"/>
  <c r="AI66" i="23"/>
  <c r="AH66" i="23"/>
  <c r="AG66" i="23"/>
  <c r="AE66" i="23"/>
  <c r="AD66" i="23"/>
  <c r="AX65" i="23" a="1"/>
  <c r="AX65" i="23" s="1"/>
  <c r="AZ65" i="23" s="1" a="1"/>
  <c r="AZ65" i="23" s="1"/>
  <c r="AW65" i="23" a="1"/>
  <c r="AW65" i="23" s="1"/>
  <c r="AR65" i="23"/>
  <c r="AQ65" i="23"/>
  <c r="AP65" i="23"/>
  <c r="AO65" i="23"/>
  <c r="AN65" i="23"/>
  <c r="AY65" i="23" l="1" a="1"/>
  <c r="AY65" i="23" s="1"/>
  <c r="BA65" i="23" s="1"/>
  <c r="AK65" i="23"/>
  <c r="AJ65" i="23"/>
  <c r="AI65" i="23"/>
  <c r="AH65" i="23"/>
  <c r="AG65" i="23"/>
  <c r="AE65" i="23"/>
  <c r="AD65" i="23"/>
  <c r="AR64" i="23"/>
  <c r="AQ64" i="23"/>
  <c r="AP64" i="23"/>
  <c r="AO64" i="23"/>
  <c r="AN64" i="23"/>
  <c r="AK64" i="23"/>
  <c r="AJ64" i="23"/>
  <c r="AI64" i="23"/>
  <c r="AH64" i="23"/>
  <c r="AG64" i="23"/>
  <c r="AE64" i="23"/>
  <c r="AD64" i="23"/>
  <c r="AR63" i="23"/>
  <c r="AQ63" i="23"/>
  <c r="AP63" i="23"/>
  <c r="AO63" i="23"/>
  <c r="AN63" i="23"/>
  <c r="AK63" i="23"/>
  <c r="AJ63" i="23"/>
  <c r="AI63" i="23"/>
  <c r="AH63" i="23"/>
  <c r="AG63" i="23"/>
  <c r="AE63" i="23"/>
  <c r="AD63" i="23"/>
  <c r="K63" i="23"/>
  <c r="J63" i="23"/>
  <c r="I63" i="23"/>
  <c r="F63" i="23"/>
  <c r="E63" i="23"/>
  <c r="D63" i="23"/>
  <c r="C63" i="23"/>
  <c r="B63" i="23"/>
  <c r="AX62" i="23" a="1"/>
  <c r="AX62" i="23" s="1"/>
  <c r="AZ62" i="23" s="1" a="1"/>
  <c r="AZ62" i="23" s="1"/>
  <c r="AW62" i="23" a="1"/>
  <c r="AW62" i="23" s="1"/>
  <c r="AR62" i="23"/>
  <c r="AQ62" i="23"/>
  <c r="AP62" i="23"/>
  <c r="AO62" i="23"/>
  <c r="AN62" i="23"/>
  <c r="AY62" i="23" l="1" a="1"/>
  <c r="AY62" i="23" s="1"/>
  <c r="BA62" i="23" s="1"/>
  <c r="AK62" i="23"/>
  <c r="AJ62" i="23"/>
  <c r="AI62" i="23"/>
  <c r="AH62" i="23"/>
  <c r="AG62" i="23"/>
  <c r="AE62" i="23"/>
  <c r="AD62" i="23"/>
  <c r="AX61" i="23" a="1"/>
  <c r="AX61" i="23" s="1"/>
  <c r="AZ61" i="23" s="1" a="1"/>
  <c r="AZ61" i="23" s="1"/>
  <c r="AW61" i="23" a="1"/>
  <c r="AW61" i="23" s="1"/>
  <c r="AR61" i="23"/>
  <c r="AQ61" i="23"/>
  <c r="AP61" i="23"/>
  <c r="AO61" i="23"/>
  <c r="AN61" i="23"/>
  <c r="AY61" i="23" l="1" a="1"/>
  <c r="AY61" i="23" s="1"/>
  <c r="BA61" i="23" s="1"/>
  <c r="AK61" i="23"/>
  <c r="AJ61" i="23"/>
  <c r="AI61" i="23"/>
  <c r="AH61" i="23"/>
  <c r="AG61" i="23"/>
  <c r="AE61" i="23"/>
  <c r="AD61" i="23"/>
  <c r="AR60" i="23"/>
  <c r="AQ60" i="23"/>
  <c r="AP60" i="23"/>
  <c r="AO60" i="23"/>
  <c r="AN60" i="23"/>
  <c r="AK60" i="23"/>
  <c r="AJ60" i="23"/>
  <c r="AI60" i="23"/>
  <c r="AH60" i="23"/>
  <c r="AG60" i="23"/>
  <c r="AE60" i="23"/>
  <c r="AD60" i="23"/>
  <c r="AR59" i="23"/>
  <c r="AQ59" i="23"/>
  <c r="AP59" i="23"/>
  <c r="AO59" i="23"/>
  <c r="AN59" i="23"/>
  <c r="AK59" i="23"/>
  <c r="AJ59" i="23"/>
  <c r="AI59" i="23"/>
  <c r="AH59" i="23"/>
  <c r="AG59" i="23"/>
  <c r="AE59" i="23"/>
  <c r="AD59" i="23"/>
  <c r="K59" i="23" a="1"/>
  <c r="K59" i="23" s="1"/>
  <c r="F59" i="23" a="1"/>
  <c r="F59" i="23" s="1"/>
  <c r="E59" i="23" a="1"/>
  <c r="E59" i="23" s="1"/>
  <c r="AR58" i="23"/>
  <c r="AQ58" i="23"/>
  <c r="AP58" i="23"/>
  <c r="AO58" i="23"/>
  <c r="AN58" i="23"/>
  <c r="AK58" i="23"/>
  <c r="AJ58" i="23"/>
  <c r="AI58" i="23"/>
  <c r="AH58" i="23"/>
  <c r="AG58" i="23"/>
  <c r="AE58" i="23"/>
  <c r="AD58" i="23"/>
  <c r="AR57" i="23"/>
  <c r="AQ57" i="23"/>
  <c r="AP57" i="23"/>
  <c r="AO57" i="23"/>
  <c r="AN57" i="23"/>
  <c r="AK57" i="23"/>
  <c r="AJ57" i="23"/>
  <c r="AI57" i="23"/>
  <c r="AH57" i="23"/>
  <c r="AG57" i="23"/>
  <c r="AE57" i="23"/>
  <c r="AD57" i="23"/>
  <c r="K57" i="23"/>
  <c r="F57" i="23"/>
  <c r="E57" i="23"/>
  <c r="AR56" i="23"/>
  <c r="AQ56" i="23"/>
  <c r="AP56" i="23"/>
  <c r="AO56" i="23"/>
  <c r="AN56" i="23"/>
  <c r="AK56" i="23"/>
  <c r="AJ56" i="23"/>
  <c r="AI56" i="23"/>
  <c r="AH56" i="23"/>
  <c r="AG56" i="23"/>
  <c r="AE56" i="23"/>
  <c r="AD56" i="23"/>
  <c r="K56" i="23"/>
  <c r="F56" i="23"/>
  <c r="E56" i="23"/>
  <c r="AR55" i="23"/>
  <c r="AQ55" i="23"/>
  <c r="AP55" i="23"/>
  <c r="AO55" i="23"/>
  <c r="AN55" i="23"/>
  <c r="AK55" i="23"/>
  <c r="AJ55" i="23"/>
  <c r="AI55" i="23"/>
  <c r="AH55" i="23"/>
  <c r="AG55" i="23"/>
  <c r="AE55" i="23"/>
  <c r="AD55" i="23"/>
  <c r="AX54" i="23" l="1"/>
  <c r="AY54" i="23" s="1" a="1"/>
  <c r="AY54" i="23" s="1"/>
  <c r="AR54" i="23"/>
  <c r="AQ54" i="23"/>
  <c r="AP54" i="23"/>
  <c r="AO54" i="23"/>
  <c r="AN54" i="23"/>
  <c r="AK54" i="23"/>
  <c r="AJ54" i="23"/>
  <c r="AI54" i="23"/>
  <c r="AH54" i="23"/>
  <c r="AG54" i="23"/>
  <c r="AE54" i="23"/>
  <c r="AD54" i="23"/>
  <c r="AR53" i="23"/>
  <c r="AQ53" i="23"/>
  <c r="AP53" i="23"/>
  <c r="AO53" i="23"/>
  <c r="AN53" i="23"/>
  <c r="AK53" i="23"/>
  <c r="AJ53" i="23"/>
  <c r="AI53" i="23"/>
  <c r="AH53" i="23"/>
  <c r="AG53" i="23"/>
  <c r="AE53" i="23"/>
  <c r="AD53" i="23"/>
  <c r="AW52" i="23" a="1"/>
  <c r="AW52" i="23" l="1"/>
  <c r="AX52" i="23" s="1"/>
  <c r="AY52" i="23" s="1" a="1"/>
  <c r="AY52" i="23" s="1"/>
  <c r="AR52" i="23"/>
  <c r="AQ52" i="23"/>
  <c r="AP52" i="23"/>
  <c r="AO52" i="23"/>
  <c r="AN52" i="23"/>
  <c r="AK52" i="23"/>
  <c r="AJ52" i="23"/>
  <c r="AI52" i="23"/>
  <c r="AH52" i="23"/>
  <c r="AG52" i="23"/>
  <c r="AE52" i="23"/>
  <c r="AD52" i="23"/>
  <c r="AW51" i="23" a="1"/>
  <c r="AW51" i="23" l="1"/>
  <c r="AX51" i="23" s="1"/>
  <c r="AY51" i="23" s="1" a="1"/>
  <c r="AY51" i="23" s="1"/>
  <c r="AR51" i="23"/>
  <c r="AQ51" i="23"/>
  <c r="AP51" i="23"/>
  <c r="AO51" i="23"/>
  <c r="AN51" i="23"/>
  <c r="AK51" i="23"/>
  <c r="AJ51" i="23"/>
  <c r="AI51" i="23"/>
  <c r="AH51" i="23"/>
  <c r="AG51" i="23"/>
  <c r="AE51" i="23"/>
  <c r="AD51" i="23"/>
  <c r="AR50" i="23"/>
  <c r="AQ50" i="23"/>
  <c r="AP50" i="23"/>
  <c r="AO50" i="23"/>
  <c r="AN50" i="23"/>
  <c r="AK50" i="23"/>
  <c r="AJ50" i="23"/>
  <c r="AI50" i="23"/>
  <c r="AH50" i="23"/>
  <c r="AG50" i="23"/>
  <c r="AE50" i="23"/>
  <c r="AD50" i="23"/>
  <c r="AR49" i="23"/>
  <c r="AQ49" i="23"/>
  <c r="AP49" i="23"/>
  <c r="AO49" i="23"/>
  <c r="AN49" i="23"/>
  <c r="AK49" i="23"/>
  <c r="AJ49" i="23"/>
  <c r="AI49" i="23"/>
  <c r="AH49" i="23"/>
  <c r="AG49" i="23"/>
  <c r="AE49" i="23"/>
  <c r="AD49" i="23"/>
  <c r="AX46" i="23" a="1"/>
  <c r="AX46" i="23" s="1"/>
  <c r="AZ46" i="23" s="1" a="1"/>
  <c r="AZ46" i="23" s="1"/>
  <c r="AW46" i="23" a="1"/>
  <c r="AW46" i="23" s="1"/>
  <c r="AY46" i="23" l="1" a="1"/>
  <c r="AY46" i="23" s="1"/>
  <c r="BA46" i="23" s="1"/>
  <c r="AX45" i="23" a="1"/>
  <c r="AX45" i="23" s="1"/>
  <c r="AZ45" i="23" s="1" a="1"/>
  <c r="AZ45" i="23" s="1"/>
  <c r="AW45" i="23" a="1"/>
  <c r="AW45" i="23" s="1"/>
  <c r="AY45" i="23" l="1" a="1"/>
  <c r="AY45" i="23" s="1"/>
  <c r="BA45" i="23" s="1"/>
  <c r="AX42" i="23" a="1"/>
  <c r="AX42" i="23" s="1"/>
  <c r="AZ42" i="23" s="1" a="1"/>
  <c r="AZ42" i="23" s="1"/>
  <c r="AW42" i="23" a="1"/>
  <c r="AW42" i="23" s="1"/>
  <c r="AY42" i="23" l="1" a="1"/>
  <c r="AY42" i="23" s="1"/>
  <c r="BA42" i="23" s="1"/>
  <c r="AX41" i="23" a="1"/>
  <c r="AX41" i="23" s="1"/>
  <c r="AZ41" i="23" s="1" a="1"/>
  <c r="AZ41" i="23" s="1"/>
  <c r="AW41" i="23" a="1"/>
  <c r="AW41" i="23" s="1"/>
  <c r="AY41" i="23" l="1" a="1"/>
  <c r="AY41" i="23" s="1"/>
  <c r="BA41" i="23" s="1"/>
  <c r="AX34" i="23" l="1"/>
  <c r="AL34" i="23" a="1"/>
  <c r="AL34" i="23" l="1"/>
  <c r="AK34" i="23" s="1"/>
  <c r="AJ34" i="23" l="1"/>
  <c r="AG34" i="23"/>
  <c r="AH34" i="23"/>
  <c r="AI34" i="23"/>
  <c r="AL35" i="23"/>
  <c r="AQ34" i="23"/>
  <c r="AN34" i="23"/>
  <c r="AR34" i="23"/>
  <c r="AO34" i="23"/>
  <c r="AP34" i="23"/>
  <c r="AE34" i="23"/>
  <c r="AD34" i="23"/>
  <c r="AF34" i="23"/>
  <c r="AM34" i="23"/>
  <c r="AL36" i="23" l="1"/>
  <c r="AR35" i="23"/>
  <c r="AQ35" i="23"/>
  <c r="AO35" i="23"/>
  <c r="AN35" i="23"/>
  <c r="AP35" i="23"/>
  <c r="AJ35" i="23"/>
  <c r="AH35" i="23"/>
  <c r="AK35" i="23"/>
  <c r="AI35" i="23"/>
  <c r="AG35" i="23"/>
  <c r="AE35" i="23"/>
  <c r="AD35" i="23"/>
  <c r="AM35" i="23"/>
  <c r="AF35" i="23"/>
  <c r="AL37" i="23" l="1"/>
  <c r="AR36" i="23"/>
  <c r="AP36" i="23"/>
  <c r="AO36" i="23"/>
  <c r="AN36" i="23"/>
  <c r="AQ36" i="23"/>
  <c r="AK36" i="23"/>
  <c r="AJ36" i="23"/>
  <c r="AH36" i="23"/>
  <c r="AG36" i="23"/>
  <c r="AI36" i="23"/>
  <c r="AE36" i="23"/>
  <c r="AD36" i="23"/>
  <c r="AL33" i="23"/>
  <c r="AJ33" i="23" s="1"/>
  <c r="AF36" i="23"/>
  <c r="AM36" i="23"/>
  <c r="AH33" i="23" l="1"/>
  <c r="AG33" i="23"/>
  <c r="AK33" i="23"/>
  <c r="AI33" i="23"/>
  <c r="AP33" i="23"/>
  <c r="AR33" i="23"/>
  <c r="AO33" i="23"/>
  <c r="AQ33" i="23"/>
  <c r="AN33" i="23"/>
  <c r="AL38" i="23"/>
  <c r="AR37" i="23"/>
  <c r="AQ37" i="23"/>
  <c r="AO37" i="23"/>
  <c r="AN37" i="23"/>
  <c r="AP37" i="23"/>
  <c r="AK37" i="23"/>
  <c r="AI37" i="23"/>
  <c r="AH37" i="23"/>
  <c r="AJ37" i="23"/>
  <c r="AG37" i="23"/>
  <c r="AE37" i="23"/>
  <c r="AD37" i="23"/>
  <c r="AE33" i="23"/>
  <c r="AD33" i="23"/>
  <c r="AF33" i="23"/>
  <c r="AM37" i="23"/>
  <c r="AM33" i="23"/>
  <c r="AF37" i="23"/>
  <c r="AL39" i="23" l="1"/>
  <c r="AR38" i="23"/>
  <c r="AO38" i="23"/>
  <c r="AP38" i="23"/>
  <c r="AN38" i="23"/>
  <c r="AQ38" i="23"/>
  <c r="AK38" i="23"/>
  <c r="AI38" i="23"/>
  <c r="AH38" i="23"/>
  <c r="AJ38" i="23"/>
  <c r="AG38" i="23"/>
  <c r="AE38" i="23"/>
  <c r="AD38" i="23"/>
  <c r="AM38" i="23"/>
  <c r="AW32" i="23" a="1"/>
  <c r="AF38" i="23"/>
  <c r="AW32" i="23" l="1"/>
  <c r="AX32" i="23" s="1"/>
  <c r="AL40" i="23"/>
  <c r="AR39" i="23"/>
  <c r="AP39" i="23"/>
  <c r="AN39" i="23"/>
  <c r="AO39" i="23"/>
  <c r="AQ39" i="23"/>
  <c r="AK39" i="23"/>
  <c r="AI39" i="23"/>
  <c r="AH39" i="23"/>
  <c r="AJ39" i="23"/>
  <c r="AG39" i="23"/>
  <c r="AE39" i="23"/>
  <c r="AD39" i="23"/>
  <c r="AM39" i="23"/>
  <c r="AF39" i="23"/>
  <c r="AL41" i="23" l="1"/>
  <c r="AR40" i="23"/>
  <c r="AQ40" i="23"/>
  <c r="AO40" i="23"/>
  <c r="AN40" i="23"/>
  <c r="AP40" i="23"/>
  <c r="AK40" i="23"/>
  <c r="AI40" i="23"/>
  <c r="AH40" i="23"/>
  <c r="AJ40" i="23"/>
  <c r="AG40" i="23"/>
  <c r="AE40" i="23"/>
  <c r="AD40" i="23"/>
  <c r="AL32" i="23"/>
  <c r="AI32" i="23" s="1"/>
  <c r="AM40" i="23"/>
  <c r="AF40" i="23"/>
  <c r="AG32" i="23" l="1"/>
  <c r="AH32" i="23"/>
  <c r="AR32" i="23"/>
  <c r="AP32" i="23"/>
  <c r="AQ32" i="23"/>
  <c r="AO32" i="23"/>
  <c r="AN32" i="23"/>
  <c r="AJ32" i="23"/>
  <c r="AK32" i="23"/>
  <c r="AL42" i="23"/>
  <c r="AO41" i="23"/>
  <c r="AR41" i="23"/>
  <c r="AQ41" i="23"/>
  <c r="AP41" i="23"/>
  <c r="AN41" i="23"/>
  <c r="AJ41" i="23"/>
  <c r="AG41" i="23"/>
  <c r="AK41" i="23"/>
  <c r="AH41" i="23"/>
  <c r="AI41" i="23"/>
  <c r="AE41" i="23"/>
  <c r="AD41" i="23"/>
  <c r="AE32" i="23"/>
  <c r="AD32" i="23"/>
  <c r="AF41" i="23"/>
  <c r="AF32" i="23"/>
  <c r="AM32" i="23"/>
  <c r="AM41" i="23"/>
  <c r="AL43" i="23" l="1"/>
  <c r="AQ42" i="23"/>
  <c r="AO42" i="23"/>
  <c r="AR42" i="23"/>
  <c r="AN42" i="23"/>
  <c r="AP42" i="23"/>
  <c r="AJ42" i="23"/>
  <c r="AK42" i="23"/>
  <c r="AI42" i="23"/>
  <c r="AG42" i="23"/>
  <c r="AH42" i="23"/>
  <c r="AE42" i="23"/>
  <c r="AD42" i="23"/>
  <c r="AM42" i="23"/>
  <c r="AW31" i="23" a="1"/>
  <c r="AF42" i="23"/>
  <c r="AW31" i="23" l="1"/>
  <c r="AX31" i="23" s="1"/>
  <c r="AL44" i="23"/>
  <c r="AR43" i="23"/>
  <c r="AQ43" i="23"/>
  <c r="AO43" i="23"/>
  <c r="AP43" i="23"/>
  <c r="AN43" i="23"/>
  <c r="AJ43" i="23"/>
  <c r="AG43" i="23"/>
  <c r="AK43" i="23"/>
  <c r="AI43" i="23"/>
  <c r="AH43" i="23"/>
  <c r="AE43" i="23"/>
  <c r="AD43" i="23"/>
  <c r="AF43" i="23"/>
  <c r="AM43" i="23"/>
  <c r="AL45" i="23" l="1"/>
  <c r="AR44" i="23"/>
  <c r="AP44" i="23"/>
  <c r="AN44" i="23"/>
  <c r="AQ44" i="23"/>
  <c r="AO44" i="23"/>
  <c r="AK44" i="23"/>
  <c r="AJ44" i="23"/>
  <c r="AH44" i="23"/>
  <c r="AG44" i="23"/>
  <c r="AI44" i="23"/>
  <c r="AE44" i="23"/>
  <c r="AD44" i="23"/>
  <c r="AL31" i="23"/>
  <c r="AK31" i="23" s="1"/>
  <c r="AM44" i="23"/>
  <c r="AF44" i="23"/>
  <c r="AG31" i="23" l="1"/>
  <c r="AH31" i="23"/>
  <c r="AI31" i="23"/>
  <c r="AJ31" i="23"/>
  <c r="AR31" i="23"/>
  <c r="AQ31" i="23"/>
  <c r="AP31" i="23"/>
  <c r="AO31" i="23"/>
  <c r="AN31" i="23"/>
  <c r="AL46" i="23"/>
  <c r="AR45" i="23"/>
  <c r="AP45" i="23"/>
  <c r="AQ45" i="23"/>
  <c r="AN45" i="23"/>
  <c r="AO45" i="23"/>
  <c r="AH45" i="23"/>
  <c r="AK45" i="23"/>
  <c r="AI45" i="23"/>
  <c r="AJ45" i="23"/>
  <c r="AG45" i="23"/>
  <c r="AE45" i="23"/>
  <c r="AD45" i="23"/>
  <c r="AE31" i="23"/>
  <c r="AD31" i="23"/>
  <c r="AM31" i="23"/>
  <c r="AM45" i="23"/>
  <c r="AF45" i="23"/>
  <c r="AF31" i="23"/>
  <c r="AL47" i="23" l="1"/>
  <c r="AQ46" i="23"/>
  <c r="AP46" i="23"/>
  <c r="AR46" i="23"/>
  <c r="AN46" i="23"/>
  <c r="AO46" i="23"/>
  <c r="AK46" i="23"/>
  <c r="AH46" i="23"/>
  <c r="AG46" i="23"/>
  <c r="AI46" i="23"/>
  <c r="AJ46" i="23"/>
  <c r="AE46" i="23"/>
  <c r="AD46" i="23"/>
  <c r="AM46" i="23"/>
  <c r="AF46" i="23"/>
  <c r="AL48" i="23" l="1"/>
  <c r="AO47" i="23"/>
  <c r="AR47" i="23"/>
  <c r="AQ47" i="23"/>
  <c r="AN47" i="23"/>
  <c r="AP47" i="23"/>
  <c r="AJ47" i="23"/>
  <c r="AH47" i="23"/>
  <c r="AK47" i="23"/>
  <c r="AG47" i="23"/>
  <c r="AI47" i="23"/>
  <c r="AE47" i="23"/>
  <c r="AD47" i="23"/>
  <c r="AL30" i="23"/>
  <c r="AK30" i="23" s="1"/>
  <c r="AM47" i="23"/>
  <c r="AF47" i="23"/>
  <c r="AG30" i="23" l="1"/>
  <c r="AH30" i="23"/>
  <c r="AI30" i="23"/>
  <c r="AJ30" i="23"/>
  <c r="AP30" i="23"/>
  <c r="AR30" i="23"/>
  <c r="AN30" i="23"/>
  <c r="AQ30" i="23"/>
  <c r="AO30" i="23"/>
  <c r="AO48" i="23"/>
  <c r="AR48" i="23"/>
  <c r="AQ48" i="23"/>
  <c r="AP48" i="23"/>
  <c r="AN48" i="23"/>
  <c r="AK48" i="23"/>
  <c r="AI48" i="23"/>
  <c r="AH48" i="23"/>
  <c r="AJ48" i="23"/>
  <c r="AG48" i="23"/>
  <c r="AE48" i="23"/>
  <c r="AD48" i="23"/>
  <c r="AE30" i="23"/>
  <c r="AD30" i="23"/>
  <c r="AL29" i="23"/>
  <c r="AG29" i="23" s="1"/>
  <c r="AM48" i="23"/>
  <c r="AF48" i="23"/>
  <c r="AM30" i="23"/>
  <c r="AF30" i="23"/>
  <c r="AH29" i="23" l="1"/>
  <c r="AK29" i="23"/>
  <c r="AJ29" i="23"/>
  <c r="AI29" i="23"/>
  <c r="AR29" i="23"/>
  <c r="AP29" i="23"/>
  <c r="AN29" i="23"/>
  <c r="AQ29" i="23"/>
  <c r="AO29" i="23"/>
  <c r="AE29" i="23"/>
  <c r="AD29" i="23"/>
  <c r="AL28" i="23"/>
  <c r="AK28" i="23" s="1"/>
  <c r="AF29" i="23"/>
  <c r="AM29" i="23"/>
  <c r="AG28" i="23" l="1"/>
  <c r="AH28" i="23"/>
  <c r="AI28" i="23"/>
  <c r="AJ28" i="23"/>
  <c r="AQ28" i="23"/>
  <c r="AP28" i="23"/>
  <c r="AN28" i="23"/>
  <c r="AO28" i="23"/>
  <c r="AR28" i="23"/>
  <c r="AE28" i="23"/>
  <c r="AD28" i="23"/>
  <c r="AL27" i="23"/>
  <c r="AJ27" i="23" s="1"/>
  <c r="AM28" i="23"/>
  <c r="AF28" i="23"/>
  <c r="AK27" i="23" l="1"/>
  <c r="AG27" i="23"/>
  <c r="AH27" i="23"/>
  <c r="AI27" i="23"/>
  <c r="AO27" i="23"/>
  <c r="AN27" i="23"/>
  <c r="AR27" i="23"/>
  <c r="AP27" i="23"/>
  <c r="AQ27" i="23"/>
  <c r="AE27" i="23"/>
  <c r="AD27" i="23"/>
  <c r="AL26" i="23"/>
  <c r="AK26" i="23" s="1"/>
  <c r="AF27" i="23"/>
  <c r="AM27" i="23"/>
  <c r="AG26" i="23" l="1"/>
  <c r="AH26" i="23"/>
  <c r="AJ26" i="23"/>
  <c r="AI26" i="23"/>
  <c r="AR26" i="23"/>
  <c r="AP26" i="23"/>
  <c r="AO26" i="23"/>
  <c r="AN26" i="23"/>
  <c r="AQ26" i="23"/>
  <c r="AE26" i="23"/>
  <c r="AD26" i="23"/>
  <c r="AL25" i="23"/>
  <c r="AK25" i="23" s="1"/>
  <c r="AM26" i="23"/>
  <c r="AF26" i="23"/>
  <c r="AG25" i="23" l="1"/>
  <c r="AH25" i="23"/>
  <c r="AI25" i="23"/>
  <c r="AJ25" i="23"/>
  <c r="AQ25" i="23"/>
  <c r="AO25" i="23"/>
  <c r="AR25" i="23"/>
  <c r="AN25" i="23"/>
  <c r="AP25" i="23"/>
  <c r="AE25" i="23"/>
  <c r="AD25" i="23"/>
  <c r="AF25" i="23" a="1"/>
  <c r="AM25" i="23"/>
  <c r="AF25" i="23" l="1"/>
  <c r="AL24" i="23"/>
  <c r="AI24" i="23" s="1"/>
  <c r="AJ24" i="23" l="1"/>
  <c r="AH24" i="23"/>
  <c r="AK24" i="23"/>
  <c r="AG24" i="23"/>
  <c r="AQ24" i="23"/>
  <c r="AO24" i="23"/>
  <c r="AR24" i="23"/>
  <c r="AN24" i="23"/>
  <c r="AP24" i="23"/>
  <c r="AE24" i="23"/>
  <c r="AD24" i="23"/>
  <c r="AL23" i="23"/>
  <c r="AK23" i="23" s="1"/>
  <c r="AF24" i="23"/>
  <c r="AM24" i="23"/>
  <c r="AG23" i="23" l="1"/>
  <c r="AH23" i="23"/>
  <c r="AI23" i="23"/>
  <c r="AJ23" i="23"/>
  <c r="AR23" i="23"/>
  <c r="AO23" i="23"/>
  <c r="AN23" i="23"/>
  <c r="AQ23" i="23"/>
  <c r="AP23" i="23"/>
  <c r="AE23" i="23"/>
  <c r="AD23" i="23"/>
  <c r="AL22" i="23"/>
  <c r="AK22" i="23" s="1"/>
  <c r="AM23" i="23"/>
  <c r="AF23" i="23"/>
  <c r="AG22" i="23" l="1"/>
  <c r="AH22" i="23"/>
  <c r="AI22" i="23"/>
  <c r="AJ22" i="23"/>
  <c r="AO22" i="23"/>
  <c r="AN22" i="23"/>
  <c r="AR22" i="23"/>
  <c r="AP22" i="23"/>
  <c r="AQ22" i="23"/>
  <c r="AE22" i="23"/>
  <c r="AD22" i="23"/>
  <c r="AF22" i="23" a="1"/>
  <c r="AM22" i="23"/>
  <c r="AF22" i="23" l="1"/>
  <c r="AL21" i="23"/>
  <c r="AJ21" i="23" s="1"/>
  <c r="AK21" i="23" l="1"/>
  <c r="AG21" i="23"/>
  <c r="AI21" i="23"/>
  <c r="AH21" i="23"/>
  <c r="AO21" i="23"/>
  <c r="AN21" i="23"/>
  <c r="AQ21" i="23"/>
  <c r="AR21" i="23"/>
  <c r="AP21" i="23"/>
  <c r="AE21" i="23"/>
  <c r="AD21" i="23"/>
  <c r="AM21" i="23"/>
  <c r="AF21" i="23"/>
  <c r="AL20" i="23" l="1"/>
  <c r="AK20" i="23" s="1"/>
  <c r="AG20" i="23" l="1"/>
  <c r="AH20" i="23"/>
  <c r="AI20" i="23"/>
  <c r="AJ20" i="23"/>
  <c r="AQ20" i="23"/>
  <c r="AR20" i="23"/>
  <c r="AN20" i="23"/>
  <c r="AO20" i="23"/>
  <c r="AP20" i="23"/>
  <c r="AE20" i="23"/>
  <c r="AD20" i="23"/>
  <c r="AL19" i="23"/>
  <c r="AK19" i="23" s="1"/>
  <c r="AM20" i="23"/>
  <c r="AF20" i="23"/>
  <c r="AG19" i="23" l="1"/>
  <c r="AI19" i="23"/>
  <c r="AH19" i="23"/>
  <c r="AJ19" i="23"/>
  <c r="AR19" i="23"/>
  <c r="AP19" i="23"/>
  <c r="AO19" i="23"/>
  <c r="AQ19" i="23"/>
  <c r="AN19" i="23"/>
  <c r="AE19" i="23"/>
  <c r="AD19" i="23"/>
  <c r="AL18" i="23"/>
  <c r="AK18" i="23" s="1"/>
  <c r="AF19" i="23"/>
  <c r="AM19" i="23"/>
  <c r="AG18" i="23" l="1"/>
  <c r="AH18" i="23"/>
  <c r="AI18" i="23"/>
  <c r="AJ18" i="23"/>
  <c r="AR18" i="23"/>
  <c r="AQ18" i="23"/>
  <c r="AN18" i="23"/>
  <c r="AP18" i="23"/>
  <c r="AO18" i="23"/>
  <c r="AE18" i="23"/>
  <c r="AD18" i="23"/>
  <c r="AL17" i="23"/>
  <c r="AK17" i="23" s="1"/>
  <c r="AM18" i="23"/>
  <c r="AF18" i="23"/>
  <c r="AG17" i="23" l="1"/>
  <c r="AH17" i="23"/>
  <c r="AJ17" i="23"/>
  <c r="AI17" i="23"/>
  <c r="AN17" i="23"/>
  <c r="AQ17" i="23"/>
  <c r="AO17" i="23"/>
  <c r="AP17" i="23"/>
  <c r="AR17" i="23"/>
  <c r="AE17" i="23"/>
  <c r="AD17" i="23"/>
  <c r="AL16" i="23"/>
  <c r="AK16" i="23" s="1"/>
  <c r="AM17" i="23"/>
  <c r="AF17" i="23"/>
  <c r="AH16" i="23" l="1"/>
  <c r="AG16" i="23"/>
  <c r="AI16" i="23"/>
  <c r="AJ16" i="23"/>
  <c r="AR16" i="23"/>
  <c r="AQ16" i="23"/>
  <c r="AO16" i="23"/>
  <c r="AN16" i="23"/>
  <c r="AP16" i="23"/>
  <c r="AE16" i="23"/>
  <c r="AD16" i="23"/>
  <c r="P16" i="23"/>
  <c r="O16" i="23"/>
  <c r="K16" i="23"/>
  <c r="J16" i="23"/>
  <c r="I16" i="23"/>
  <c r="AF16" i="23"/>
  <c r="AM16" i="23"/>
  <c r="Q16" i="23" l="1"/>
  <c r="AL15" i="23"/>
  <c r="AK15" i="23" s="1"/>
  <c r="AI15" i="23" l="1"/>
  <c r="AG15" i="23"/>
  <c r="AH15" i="23"/>
  <c r="AJ15" i="23"/>
  <c r="AP15" i="23"/>
  <c r="AN15" i="23"/>
  <c r="AQ15" i="23"/>
  <c r="AR15" i="23"/>
  <c r="AO15" i="23"/>
  <c r="AE15" i="23"/>
  <c r="AD15" i="23"/>
  <c r="P15" i="23"/>
  <c r="O15" i="23"/>
  <c r="AF15" i="23"/>
  <c r="AM15" i="23"/>
  <c r="O17" i="23" l="1"/>
  <c r="P17" i="23"/>
  <c r="Q15" i="23"/>
  <c r="AL14" i="23"/>
  <c r="AG14" i="23" s="1"/>
  <c r="AI14" i="23" l="1"/>
  <c r="AH14" i="23"/>
  <c r="AJ14" i="23"/>
  <c r="AK14" i="23"/>
  <c r="AR14" i="23"/>
  <c r="AQ14" i="23"/>
  <c r="AO14" i="23"/>
  <c r="AP14" i="23"/>
  <c r="AN14" i="23"/>
  <c r="C47" i="23"/>
  <c r="D47" i="23"/>
  <c r="Q17" i="23"/>
  <c r="D22" i="23"/>
  <c r="C22" i="23"/>
  <c r="AE14" i="23"/>
  <c r="AD14" i="23"/>
  <c r="P14" i="23"/>
  <c r="O14" i="23"/>
  <c r="AF14" i="23"/>
  <c r="AM14" i="23"/>
  <c r="D46" i="23" l="1"/>
  <c r="C46" i="23"/>
  <c r="P18" i="23"/>
  <c r="Q14" i="23"/>
  <c r="D21" i="23"/>
  <c r="C21" i="23"/>
  <c r="O18" i="23"/>
  <c r="AL13" i="23"/>
  <c r="AJ13" i="23" s="1"/>
  <c r="AG13" i="23" l="1"/>
  <c r="AH13" i="23"/>
  <c r="AI13" i="23"/>
  <c r="AK13" i="23"/>
  <c r="AQ13" i="23"/>
  <c r="AN13" i="23"/>
  <c r="AR13" i="23"/>
  <c r="AP13" i="23"/>
  <c r="AO13" i="23"/>
  <c r="C69" i="23"/>
  <c r="D23" i="23"/>
  <c r="C23" i="23"/>
  <c r="C48" i="23"/>
  <c r="D48" i="23"/>
  <c r="Q18" i="23"/>
  <c r="D69" i="23"/>
  <c r="AE13" i="23"/>
  <c r="AD13" i="23"/>
  <c r="AL12" i="23"/>
  <c r="AK12" i="23" s="1"/>
  <c r="AF13" i="23"/>
  <c r="AM13" i="23"/>
  <c r="AG12" i="23" l="1"/>
  <c r="AH12" i="23"/>
  <c r="AI12" i="23"/>
  <c r="AJ12" i="23"/>
  <c r="AP12" i="23"/>
  <c r="AO12" i="23"/>
  <c r="AR12" i="23"/>
  <c r="AN12" i="23"/>
  <c r="AQ12" i="23"/>
  <c r="AE12" i="23"/>
  <c r="AD12" i="23"/>
  <c r="AL11" i="23"/>
  <c r="AK11" i="23" s="1"/>
  <c r="AF12" i="23"/>
  <c r="AM12" i="23"/>
  <c r="AI11" i="23" l="1"/>
  <c r="AG11" i="23"/>
  <c r="AH11" i="23"/>
  <c r="AJ11" i="23"/>
  <c r="AR11" i="23"/>
  <c r="AP11" i="23"/>
  <c r="AO11" i="23"/>
  <c r="AQ11" i="23"/>
  <c r="AN11" i="23"/>
  <c r="AE11" i="23"/>
  <c r="AD11" i="23"/>
  <c r="P11" i="23"/>
  <c r="O11" i="23"/>
  <c r="AF11" i="23"/>
  <c r="AM11" i="23"/>
  <c r="Q11" i="23" l="1"/>
  <c r="AL10" i="23"/>
  <c r="AJ10" i="23" s="1"/>
  <c r="AK10" i="23" l="1"/>
  <c r="AG10" i="23"/>
  <c r="AI10" i="23"/>
  <c r="AH10" i="23"/>
  <c r="AR10" i="23"/>
  <c r="AP10" i="23"/>
  <c r="AO10" i="23"/>
  <c r="AQ10" i="23"/>
  <c r="AN10" i="23"/>
  <c r="AE10" i="23"/>
  <c r="AD10" i="23"/>
  <c r="P10" i="23"/>
  <c r="O10" i="23"/>
  <c r="K10" i="23"/>
  <c r="J10" i="23"/>
  <c r="I10" i="23"/>
  <c r="F10" i="23"/>
  <c r="E10" i="23"/>
  <c r="D10" i="23"/>
  <c r="C10" i="23"/>
  <c r="B10" i="23"/>
  <c r="I17" i="23" a="1"/>
  <c r="D17" i="23" a="1"/>
  <c r="E42" i="23" a="1"/>
  <c r="I42" i="23" a="1"/>
  <c r="D42" i="23" a="1"/>
  <c r="J17" i="23" a="1"/>
  <c r="C17" i="23" a="1"/>
  <c r="K42" i="23" a="1"/>
  <c r="K17" i="23" a="1"/>
  <c r="E17" i="23" a="1"/>
  <c r="B17" i="23" a="1"/>
  <c r="F42" i="23" a="1"/>
  <c r="AM10" i="23"/>
  <c r="F17" i="23" a="1"/>
  <c r="J42" i="23" a="1"/>
  <c r="B42" i="23" a="1"/>
  <c r="C42" i="23" a="1"/>
  <c r="AF10" i="23"/>
  <c r="F17" i="23" l="1"/>
  <c r="B17" i="23"/>
  <c r="E17" i="23"/>
  <c r="K17" i="23"/>
  <c r="C17" i="23"/>
  <c r="J17" i="23"/>
  <c r="D17" i="23"/>
  <c r="I17" i="23"/>
  <c r="Q10" i="23"/>
  <c r="F42" i="23"/>
  <c r="F19" i="23"/>
  <c r="D42" i="23"/>
  <c r="D19" i="23"/>
  <c r="K42" i="23"/>
  <c r="K19" i="23"/>
  <c r="C42" i="23"/>
  <c r="C19" i="23"/>
  <c r="B42" i="23"/>
  <c r="B19" i="23"/>
  <c r="I42" i="23"/>
  <c r="I19" i="23"/>
  <c r="E42" i="23"/>
  <c r="E19" i="23"/>
  <c r="J42" i="23"/>
  <c r="J19" i="23"/>
  <c r="O12" i="23"/>
  <c r="B22" i="23" s="1"/>
  <c r="P12" i="23"/>
  <c r="AL9" i="23"/>
  <c r="AK9" i="23" s="1"/>
  <c r="AI9" i="23" l="1"/>
  <c r="AJ9" i="23"/>
  <c r="Q12" i="23"/>
  <c r="C66" i="23"/>
  <c r="C65" i="23"/>
  <c r="C44" i="23"/>
  <c r="K66" i="23"/>
  <c r="K65" i="23"/>
  <c r="K44" i="23"/>
  <c r="AP9" i="23"/>
  <c r="AR9" i="23"/>
  <c r="AO9" i="23"/>
  <c r="AQ9" i="23"/>
  <c r="AN9" i="23"/>
  <c r="I66" i="23"/>
  <c r="I65" i="23"/>
  <c r="I44" i="23"/>
  <c r="J66" i="23"/>
  <c r="J65" i="23"/>
  <c r="J44" i="23"/>
  <c r="E66" i="23"/>
  <c r="E65" i="23"/>
  <c r="E44" i="23"/>
  <c r="B66" i="23"/>
  <c r="B65" i="23"/>
  <c r="B44" i="23"/>
  <c r="D66" i="23"/>
  <c r="D65" i="23"/>
  <c r="D44" i="23"/>
  <c r="AG9" i="23"/>
  <c r="AH9" i="23"/>
  <c r="F66" i="23"/>
  <c r="F65" i="23"/>
  <c r="F44" i="23"/>
  <c r="AE9" i="23"/>
  <c r="AD9" i="23"/>
  <c r="P9" i="23"/>
  <c r="P13" i="23" s="1"/>
  <c r="O9" i="23"/>
  <c r="K9" i="23"/>
  <c r="J9" i="23"/>
  <c r="I9" i="23"/>
  <c r="F9" i="23"/>
  <c r="E9" i="23"/>
  <c r="D9" i="23"/>
  <c r="C9" i="23"/>
  <c r="B9" i="23"/>
  <c r="B83" i="23" a="1"/>
  <c r="F54" i="23" a="1"/>
  <c r="J81" i="23" a="1"/>
  <c r="C53" i="23" a="1"/>
  <c r="B52" i="23" a="1"/>
  <c r="C11" i="23" a="1"/>
  <c r="C83" i="23" a="1"/>
  <c r="D81" i="23" a="1"/>
  <c r="AF9" i="23"/>
  <c r="D55" i="23" a="1"/>
  <c r="B82" i="23" a="1"/>
  <c r="J83" i="23" a="1"/>
  <c r="D83" i="23" a="1"/>
  <c r="F81" i="23" a="1"/>
  <c r="E52" i="23" a="1"/>
  <c r="D51" i="23" a="1"/>
  <c r="F58" i="23" a="1"/>
  <c r="F55" i="23" a="1"/>
  <c r="E53" i="23" a="1"/>
  <c r="J58" i="23" a="1"/>
  <c r="I54" i="23" a="1"/>
  <c r="F52" i="23" a="1"/>
  <c r="C55" i="23" a="1"/>
  <c r="C51" i="23" a="1"/>
  <c r="I81" i="23" a="1"/>
  <c r="F11" i="23" a="1"/>
  <c r="F51" i="23" a="1"/>
  <c r="E11" i="23" a="1"/>
  <c r="C86" i="23" a="1"/>
  <c r="C52" i="23" a="1"/>
  <c r="K58" i="23" a="1"/>
  <c r="D54" i="23" a="1"/>
  <c r="I55" i="23" a="1"/>
  <c r="F83" i="23" a="1"/>
  <c r="J86" i="23" a="1"/>
  <c r="E41" i="23" a="1"/>
  <c r="B55" i="23" a="1"/>
  <c r="K86" i="23" a="1"/>
  <c r="B81" i="23" a="1"/>
  <c r="D52" i="23" a="1"/>
  <c r="C54" i="23" a="1"/>
  <c r="AM9" i="23"/>
  <c r="B11" i="23" a="1"/>
  <c r="J82" i="23" a="1"/>
  <c r="B53" i="23" a="1"/>
  <c r="D82" i="23" a="1"/>
  <c r="I52" i="23" a="1"/>
  <c r="C41" i="23" a="1"/>
  <c r="D58" i="23" a="1"/>
  <c r="C58" i="23" a="1"/>
  <c r="F82" i="23" a="1"/>
  <c r="D53" i="23" a="1"/>
  <c r="F53" i="23" a="1"/>
  <c r="K82" i="23" a="1"/>
  <c r="C82" i="23" a="1"/>
  <c r="B54" i="23" a="1"/>
  <c r="K54" i="23" a="1"/>
  <c r="D11" i="23" a="1"/>
  <c r="B86" i="23" a="1"/>
  <c r="J55" i="23" a="1"/>
  <c r="D41" i="23" a="1"/>
  <c r="B51" i="23" a="1"/>
  <c r="I86" i="23" a="1"/>
  <c r="B41" i="23" a="1"/>
  <c r="E58" i="23" a="1"/>
  <c r="F86" i="23" a="1"/>
  <c r="E82" i="23" a="1"/>
  <c r="I58" i="23" a="1"/>
  <c r="E51" i="23" a="1"/>
  <c r="B58" i="23" a="1"/>
  <c r="J52" i="23" a="1"/>
  <c r="J54" i="23" a="1"/>
  <c r="E83" i="23" a="1"/>
  <c r="I82" i="23" a="1"/>
  <c r="E86" i="23" a="1"/>
  <c r="E55" i="23" a="1"/>
  <c r="K55" i="23" a="1"/>
  <c r="K83" i="23" a="1"/>
  <c r="E81" i="23" a="1"/>
  <c r="E54" i="23" a="1"/>
  <c r="D86" i="23" a="1"/>
  <c r="K81" i="23" a="1"/>
  <c r="I83" i="23" a="1"/>
  <c r="C81" i="23" a="1"/>
  <c r="F41" i="23" a="1"/>
  <c r="K52" i="23" a="1"/>
  <c r="P52" i="23" l="1"/>
  <c r="P53" i="23"/>
  <c r="C28" i="23"/>
  <c r="C92" i="23" s="1"/>
  <c r="C97" i="23"/>
  <c r="J97" i="23"/>
  <c r="D28" i="23"/>
  <c r="D92" i="23" s="1"/>
  <c r="E28" i="23"/>
  <c r="E92" i="23" s="1"/>
  <c r="E97" i="23"/>
  <c r="K97" i="23"/>
  <c r="P56" i="23"/>
  <c r="B28" i="23"/>
  <c r="B92" i="23" s="1"/>
  <c r="P74" i="23"/>
  <c r="I97" i="23"/>
  <c r="D97" i="23"/>
  <c r="F97" i="23"/>
  <c r="F28" i="23"/>
  <c r="F92" i="23" s="1"/>
  <c r="B97" i="23"/>
  <c r="E81" i="23"/>
  <c r="E82" i="23"/>
  <c r="E83" i="23"/>
  <c r="E86" i="23"/>
  <c r="E58" i="23"/>
  <c r="E55" i="23"/>
  <c r="E54" i="23"/>
  <c r="E53" i="23"/>
  <c r="E52" i="23"/>
  <c r="E51" i="23"/>
  <c r="E41" i="23"/>
  <c r="E43" i="23"/>
  <c r="E18" i="23"/>
  <c r="E11" i="23"/>
  <c r="D81" i="23"/>
  <c r="D82" i="23"/>
  <c r="D83" i="23"/>
  <c r="D86" i="23"/>
  <c r="D58" i="23"/>
  <c r="D55" i="23"/>
  <c r="D54" i="23"/>
  <c r="D53" i="23"/>
  <c r="D52" i="23"/>
  <c r="D51" i="23"/>
  <c r="D41" i="23"/>
  <c r="D43" i="23"/>
  <c r="D18" i="23"/>
  <c r="D11" i="23"/>
  <c r="J81" i="23"/>
  <c r="J82" i="23"/>
  <c r="J83" i="23"/>
  <c r="J86" i="23"/>
  <c r="J58" i="23"/>
  <c r="J55" i="23"/>
  <c r="J54" i="23"/>
  <c r="J52" i="23"/>
  <c r="J43" i="23"/>
  <c r="J18" i="23"/>
  <c r="B81" i="23"/>
  <c r="B82" i="23"/>
  <c r="B83" i="23"/>
  <c r="B86" i="23"/>
  <c r="B58" i="23"/>
  <c r="B55" i="23"/>
  <c r="B54" i="23"/>
  <c r="B53" i="23"/>
  <c r="B52" i="23"/>
  <c r="B51" i="23"/>
  <c r="B41" i="23"/>
  <c r="B43" i="23"/>
  <c r="B18" i="23"/>
  <c r="B11" i="23"/>
  <c r="C81" i="23"/>
  <c r="C82" i="23"/>
  <c r="C83" i="23"/>
  <c r="C86" i="23"/>
  <c r="C58" i="23"/>
  <c r="C55" i="23"/>
  <c r="C54" i="23"/>
  <c r="C53" i="23"/>
  <c r="C52" i="23"/>
  <c r="C51" i="23"/>
  <c r="C41" i="23"/>
  <c r="C43" i="23"/>
  <c r="C18" i="23"/>
  <c r="C11" i="23"/>
  <c r="F81" i="23"/>
  <c r="F82" i="23"/>
  <c r="F83" i="23"/>
  <c r="F86" i="23"/>
  <c r="F58" i="23"/>
  <c r="F55" i="23"/>
  <c r="F54" i="23"/>
  <c r="F53" i="23"/>
  <c r="F52" i="23"/>
  <c r="F51" i="23"/>
  <c r="F41" i="23"/>
  <c r="F43" i="23"/>
  <c r="F18" i="23"/>
  <c r="F11" i="23"/>
  <c r="I81" i="23"/>
  <c r="I82" i="23"/>
  <c r="I83" i="23"/>
  <c r="I86" i="23"/>
  <c r="I58" i="23"/>
  <c r="I55" i="23"/>
  <c r="I54" i="23"/>
  <c r="I52" i="23"/>
  <c r="I43" i="23"/>
  <c r="I18" i="23"/>
  <c r="K81" i="23"/>
  <c r="K82" i="23"/>
  <c r="K83" i="23"/>
  <c r="K86" i="23"/>
  <c r="K58" i="23"/>
  <c r="K55" i="23"/>
  <c r="K54" i="23"/>
  <c r="K52" i="23"/>
  <c r="K43" i="23"/>
  <c r="K18" i="23"/>
  <c r="Q9" i="23"/>
  <c r="B21" i="23"/>
  <c r="O13" i="23"/>
  <c r="B23" i="23" s="1"/>
  <c r="AL8" i="23"/>
  <c r="AK8" i="23" s="1"/>
  <c r="J20" i="23" a="1"/>
  <c r="I20" i="23" a="1"/>
  <c r="K20" i="23" a="1"/>
  <c r="P71" i="23" l="1"/>
  <c r="P51" i="23"/>
  <c r="Q51" i="23"/>
  <c r="O74" i="23"/>
  <c r="C52" i="18" s="1"/>
  <c r="Q74" i="23"/>
  <c r="R74" i="23" s="1"/>
  <c r="D52" i="18" s="1"/>
  <c r="O70" i="23"/>
  <c r="C50" i="18" s="1"/>
  <c r="O71" i="23"/>
  <c r="C51" i="18" s="1"/>
  <c r="AG8" i="23"/>
  <c r="AH8" i="23"/>
  <c r="AI8" i="23"/>
  <c r="AJ8" i="23"/>
  <c r="O51" i="23"/>
  <c r="C41" i="18" s="1"/>
  <c r="O53" i="23"/>
  <c r="C43" i="18" s="1"/>
  <c r="O56" i="23"/>
  <c r="C44" i="18" s="1"/>
  <c r="O52" i="23"/>
  <c r="C42" i="18" s="1"/>
  <c r="Q53" i="23"/>
  <c r="R53" i="23" s="1"/>
  <c r="D43" i="18" s="1"/>
  <c r="Q56" i="23"/>
  <c r="R56" i="23" s="1"/>
  <c r="D44" i="18" s="1"/>
  <c r="Q52" i="23"/>
  <c r="R52" i="23" s="1"/>
  <c r="D42" i="18" s="1"/>
  <c r="S74" i="23"/>
  <c r="S51" i="23"/>
  <c r="B67" i="23"/>
  <c r="J20" i="23"/>
  <c r="I20" i="23"/>
  <c r="K20" i="23"/>
  <c r="I73" i="23"/>
  <c r="J93" i="23"/>
  <c r="J29" i="23"/>
  <c r="I51" i="23"/>
  <c r="I28" i="23"/>
  <c r="I92" i="23" s="1"/>
  <c r="I41" i="23"/>
  <c r="E93" i="23"/>
  <c r="E29" i="23"/>
  <c r="E98" i="23" s="1"/>
  <c r="AN8" i="23"/>
  <c r="AQ8" i="23"/>
  <c r="AR8" i="23"/>
  <c r="AP8" i="23"/>
  <c r="AO8" i="23"/>
  <c r="C67" i="23"/>
  <c r="B93" i="23"/>
  <c r="B29" i="23"/>
  <c r="B98" i="23" s="1"/>
  <c r="E67" i="23"/>
  <c r="D67" i="23"/>
  <c r="J67" i="23"/>
  <c r="Q70" i="23"/>
  <c r="K73" i="23"/>
  <c r="J73" i="23"/>
  <c r="K93" i="23"/>
  <c r="K29" i="23"/>
  <c r="K67" i="23"/>
  <c r="I67" i="23"/>
  <c r="I93" i="23"/>
  <c r="I29" i="23"/>
  <c r="S56" i="23"/>
  <c r="D93" i="23"/>
  <c r="D29" i="23"/>
  <c r="D98" i="23" s="1"/>
  <c r="K51" i="23"/>
  <c r="K28" i="23"/>
  <c r="K92" i="23" s="1"/>
  <c r="K41" i="23"/>
  <c r="Q71" i="23"/>
  <c r="R71" i="23" s="1"/>
  <c r="D51" i="18" s="1"/>
  <c r="J51" i="23"/>
  <c r="J28" i="23"/>
  <c r="J92" i="23" s="1"/>
  <c r="J41" i="23"/>
  <c r="Q69" i="23"/>
  <c r="Q13" i="23"/>
  <c r="C93" i="23"/>
  <c r="C29" i="23"/>
  <c r="C98" i="23" s="1"/>
  <c r="F67" i="23"/>
  <c r="F93" i="23"/>
  <c r="F29" i="23"/>
  <c r="F98" i="23" s="1"/>
  <c r="AE8" i="23"/>
  <c r="AD8" i="23"/>
  <c r="J45" i="23" a="1"/>
  <c r="I35" i="23"/>
  <c r="K45" i="23" a="1"/>
  <c r="K31" i="23"/>
  <c r="I45" i="23" a="1"/>
  <c r="J32" i="23"/>
  <c r="AM8" i="23"/>
  <c r="AF8" i="23"/>
  <c r="B51" i="18" l="1"/>
  <c r="B52" i="18"/>
  <c r="B23" i="18"/>
  <c r="B42" i="18"/>
  <c r="C38" i="18"/>
  <c r="B44" i="18"/>
  <c r="B43" i="18"/>
  <c r="C39" i="18"/>
  <c r="AA58" i="18"/>
  <c r="AC58" i="18" s="1"/>
  <c r="AC65" i="18" s="1"/>
  <c r="Q65" i="18"/>
  <c r="S65" i="18" s="1"/>
  <c r="R51" i="23"/>
  <c r="D41" i="18" s="1"/>
  <c r="B41" i="18" s="1"/>
  <c r="P70" i="23"/>
  <c r="R70" i="23" s="1"/>
  <c r="D50" i="18" s="1"/>
  <c r="B50" i="18" s="1"/>
  <c r="K98" i="23"/>
  <c r="I98" i="23"/>
  <c r="J98" i="23"/>
  <c r="S70" i="23"/>
  <c r="S52" i="23"/>
  <c r="S69" i="23"/>
  <c r="B18" i="18" s="1"/>
  <c r="J45" i="23"/>
  <c r="K45" i="23"/>
  <c r="I45" i="23"/>
  <c r="J64" i="23"/>
  <c r="J91" i="23" s="1"/>
  <c r="K64" i="23"/>
  <c r="K91" i="23" s="1"/>
  <c r="I64" i="23"/>
  <c r="I91" i="23" s="1"/>
  <c r="S75" i="23"/>
  <c r="S57" i="23"/>
  <c r="K72" i="23"/>
  <c r="K53" i="23"/>
  <c r="I72" i="23"/>
  <c r="I53" i="23"/>
  <c r="J72" i="23"/>
  <c r="J53" i="23"/>
  <c r="AL7" i="23"/>
  <c r="AG7" i="23" s="1"/>
  <c r="K33" i="23"/>
  <c r="K34" i="23"/>
  <c r="J35" i="23"/>
  <c r="K87" i="23" a="1"/>
  <c r="I32" i="23"/>
  <c r="I34" i="23"/>
  <c r="J33" i="23"/>
  <c r="J59" i="23" a="1"/>
  <c r="K32" i="23"/>
  <c r="I37" i="23" a="1"/>
  <c r="K37" i="23" a="1"/>
  <c r="K35" i="23"/>
  <c r="J34" i="23"/>
  <c r="J31" i="23"/>
  <c r="J37" i="23" a="1"/>
  <c r="I75" i="23"/>
  <c r="I31" i="23"/>
  <c r="I33" i="23"/>
  <c r="B38" i="18" l="1"/>
  <c r="D38" i="18" s="1"/>
  <c r="B19" i="18"/>
  <c r="S67" i="18"/>
  <c r="T65" i="18"/>
  <c r="T67" i="18" s="1"/>
  <c r="J37" i="23"/>
  <c r="I37" i="23"/>
  <c r="K37" i="23"/>
  <c r="AH7" i="23"/>
  <c r="AI7" i="23"/>
  <c r="AJ7" i="23"/>
  <c r="O69" i="23"/>
  <c r="C49" i="18" s="1"/>
  <c r="K87" i="23"/>
  <c r="J59" i="23"/>
  <c r="S77" i="23"/>
  <c r="AR7" i="23"/>
  <c r="AQ7" i="23"/>
  <c r="AP7" i="23"/>
  <c r="AO7" i="23"/>
  <c r="AN7" i="23"/>
  <c r="K68" i="23"/>
  <c r="P69" i="23"/>
  <c r="R69" i="23" s="1"/>
  <c r="D49" i="18" s="1"/>
  <c r="AK7" i="23"/>
  <c r="I68" i="23"/>
  <c r="I94" i="23" s="1"/>
  <c r="J68" i="23"/>
  <c r="J94" i="23" s="1"/>
  <c r="AE7" i="23"/>
  <c r="AD7" i="23"/>
  <c r="I84" i="23"/>
  <c r="J87" i="23" a="1"/>
  <c r="K85" i="23"/>
  <c r="I87" i="23" a="1"/>
  <c r="J84" i="23"/>
  <c r="J56" i="23"/>
  <c r="J78" i="23" a="1"/>
  <c r="I57" i="23"/>
  <c r="J57" i="23"/>
  <c r="I59" i="23" a="1"/>
  <c r="J85" i="23"/>
  <c r="I85" i="23"/>
  <c r="I56" i="23"/>
  <c r="J76" i="23"/>
  <c r="I76" i="23"/>
  <c r="J75" i="23"/>
  <c r="I78" i="23" a="1"/>
  <c r="K84" i="23"/>
  <c r="AM7" i="23"/>
  <c r="AF7" i="23"/>
  <c r="B8" i="18" l="1"/>
  <c r="M19" i="18" s="1"/>
  <c r="C37" i="18"/>
  <c r="B49" i="18"/>
  <c r="B37" i="18" s="1"/>
  <c r="B31" i="18" s="1"/>
  <c r="P73" i="23"/>
  <c r="J78" i="23"/>
  <c r="J87" i="23"/>
  <c r="Q73" i="23"/>
  <c r="I59" i="23"/>
  <c r="O75" i="23" s="1"/>
  <c r="I78" i="23"/>
  <c r="Q72" i="23"/>
  <c r="I87" i="23"/>
  <c r="O72" i="23"/>
  <c r="O73" i="23"/>
  <c r="P72" i="23"/>
  <c r="I95" i="23"/>
  <c r="I96" i="23"/>
  <c r="I99" i="23" s="1"/>
  <c r="J95" i="23"/>
  <c r="J96" i="23"/>
  <c r="J99" i="23" s="1"/>
  <c r="K94" i="23"/>
  <c r="S71" i="23" s="1"/>
  <c r="K96" i="23"/>
  <c r="K95" i="23"/>
  <c r="AL6" i="23"/>
  <c r="AK6" i="23" s="1"/>
  <c r="J23" i="18" l="1"/>
  <c r="P75" i="23"/>
  <c r="C31" i="18"/>
  <c r="D31" i="18" s="1"/>
  <c r="D37" i="18"/>
  <c r="Q75" i="23"/>
  <c r="R73" i="23"/>
  <c r="R72" i="23"/>
  <c r="AG6" i="23"/>
  <c r="AI6" i="23"/>
  <c r="AH6" i="23"/>
  <c r="AJ6" i="23"/>
  <c r="S72" i="23"/>
  <c r="AR6" i="23"/>
  <c r="AO6" i="23"/>
  <c r="AP6" i="23"/>
  <c r="AQ6" i="23"/>
  <c r="AN6" i="23"/>
  <c r="K99" i="23"/>
  <c r="S76" i="23" s="1"/>
  <c r="AE6" i="23"/>
  <c r="AD6" i="23"/>
  <c r="AF6" i="23"/>
  <c r="AM6" i="23"/>
  <c r="R75" i="23" l="1"/>
  <c r="AL5" i="23"/>
  <c r="AY34" i="23" s="1" a="1"/>
  <c r="AY34" i="23" s="1"/>
  <c r="AJ5" i="23" l="1"/>
  <c r="AG5" i="23"/>
  <c r="AH5" i="23"/>
  <c r="AI5" i="23"/>
  <c r="AK5" i="23"/>
  <c r="AY32" i="23" a="1"/>
  <c r="AY32" i="23" s="1"/>
  <c r="AY31" i="23" a="1"/>
  <c r="AY31" i="23" s="1"/>
  <c r="AR5" i="23"/>
  <c r="AN5" i="23"/>
  <c r="AP5" i="23"/>
  <c r="AQ5" i="23"/>
  <c r="AO5" i="23"/>
  <c r="AE5" i="23"/>
  <c r="AD5" i="23"/>
  <c r="O4" i="23"/>
  <c r="AF5" i="23"/>
  <c r="AM5" i="23"/>
  <c r="AW21" i="23" l="1" a="1"/>
  <c r="AW21" i="23" s="1"/>
  <c r="AY21" i="23" s="1" a="1"/>
  <c r="AY21" i="23" s="1"/>
  <c r="AX21" i="23" a="1"/>
  <c r="AX21" i="23" s="1"/>
  <c r="AZ21" i="23" s="1" a="1"/>
  <c r="AZ21" i="23" s="1"/>
  <c r="P4" i="23"/>
  <c r="G45" i="18" s="1"/>
  <c r="AW22" i="23" a="1"/>
  <c r="AW22" i="23" s="1"/>
  <c r="AX22" i="23" a="1"/>
  <c r="AX22" i="23" s="1"/>
  <c r="AZ22" i="23" s="1" a="1"/>
  <c r="AZ22" i="23" s="1"/>
  <c r="AX26" i="23" a="1"/>
  <c r="AX26" i="23" s="1"/>
  <c r="AZ26" i="23" s="1" a="1"/>
  <c r="AZ26" i="23" s="1"/>
  <c r="AW26" i="23" a="1"/>
  <c r="AW26" i="23" s="1"/>
  <c r="E21" i="23"/>
  <c r="F21" i="23"/>
  <c r="F45" i="23"/>
  <c r="B16" i="23"/>
  <c r="F20" i="23"/>
  <c r="F16" i="23"/>
  <c r="F64" i="23" s="1"/>
  <c r="F91" i="23" s="1"/>
  <c r="B20" i="23"/>
  <c r="B45" i="23"/>
  <c r="C20" i="23"/>
  <c r="C16" i="23"/>
  <c r="E16" i="23"/>
  <c r="E64" i="23" s="1"/>
  <c r="E91" i="23" s="1"/>
  <c r="D16" i="23"/>
  <c r="E45" i="23"/>
  <c r="D45" i="23"/>
  <c r="D20" i="23"/>
  <c r="E20" i="23"/>
  <c r="C45" i="23"/>
  <c r="AX25" i="23" a="1"/>
  <c r="AX25" i="23" s="1"/>
  <c r="AZ25" i="23" s="1" a="1"/>
  <c r="AZ25" i="23" s="1"/>
  <c r="AW25" i="23" a="1"/>
  <c r="AW25" i="23" s="1"/>
  <c r="F34" i="23"/>
  <c r="C56" i="23"/>
  <c r="C31" i="23"/>
  <c r="B59" i="23" a="1"/>
  <c r="E34" i="23"/>
  <c r="D57" i="23"/>
  <c r="D31" i="23"/>
  <c r="E84" i="23"/>
  <c r="B31" i="23"/>
  <c r="F87" i="23" a="1"/>
  <c r="C8" i="18" l="1"/>
  <c r="B39" i="18"/>
  <c r="D39" i="18" s="1"/>
  <c r="BA21" i="23"/>
  <c r="P5" i="23" s="1"/>
  <c r="B46" i="23"/>
  <c r="B69" i="23" s="1"/>
  <c r="F46" i="23"/>
  <c r="F69" i="23" s="1"/>
  <c r="E46" i="23"/>
  <c r="E69" i="23" s="1"/>
  <c r="Q4" i="23"/>
  <c r="H45" i="18" s="1"/>
  <c r="F87" i="23"/>
  <c r="B59" i="23"/>
  <c r="B64" i="23"/>
  <c r="B91" i="23" s="1"/>
  <c r="F68" i="23"/>
  <c r="F94" i="23" s="1"/>
  <c r="C68" i="23"/>
  <c r="C94" i="23" s="1"/>
  <c r="E68" i="23"/>
  <c r="E94" i="23" s="1"/>
  <c r="D64" i="23"/>
  <c r="D91" i="23" s="1"/>
  <c r="AY26" i="23" a="1"/>
  <c r="AY26" i="23" s="1"/>
  <c r="BA26" i="23" s="1"/>
  <c r="O6" i="23" s="1"/>
  <c r="C64" i="23"/>
  <c r="C91" i="23" s="1"/>
  <c r="AY25" i="23" a="1"/>
  <c r="AY25" i="23" s="1"/>
  <c r="BA25" i="23" s="1"/>
  <c r="P6" i="23" s="1"/>
  <c r="D68" i="23"/>
  <c r="D94" i="23" s="1"/>
  <c r="B68" i="23"/>
  <c r="B94" i="23" s="1"/>
  <c r="AY22" i="23" a="1"/>
  <c r="AY22" i="23" s="1"/>
  <c r="BA22" i="23" s="1"/>
  <c r="O5" i="23" s="1"/>
  <c r="D37" i="23" a="1"/>
  <c r="C76" i="23"/>
  <c r="D34" i="23"/>
  <c r="B32" i="23"/>
  <c r="B76" i="23"/>
  <c r="C75" i="23"/>
  <c r="E87" i="23" a="1"/>
  <c r="F84" i="23"/>
  <c r="D59" i="23" a="1"/>
  <c r="C84" i="23"/>
  <c r="C57" i="23"/>
  <c r="D76" i="23"/>
  <c r="B34" i="23"/>
  <c r="C85" i="23"/>
  <c r="E37" i="23" a="1"/>
  <c r="D33" i="23"/>
  <c r="B57" i="23"/>
  <c r="C59" i="23" a="1"/>
  <c r="D35" i="23"/>
  <c r="B37" i="23" a="1"/>
  <c r="E35" i="23"/>
  <c r="B85" i="23"/>
  <c r="B87" i="23" a="1"/>
  <c r="D85" i="23"/>
  <c r="C33" i="23"/>
  <c r="D75" i="23"/>
  <c r="C87" i="23" a="1"/>
  <c r="D32" i="23"/>
  <c r="C78" i="23" a="1"/>
  <c r="D56" i="23"/>
  <c r="F85" i="23"/>
  <c r="C35" i="23"/>
  <c r="F35" i="23"/>
  <c r="D87" i="23" a="1"/>
  <c r="B56" i="23"/>
  <c r="C34" i="23"/>
  <c r="B84" i="23"/>
  <c r="B35" i="23"/>
  <c r="E85" i="23"/>
  <c r="B78" i="23" a="1"/>
  <c r="F37" i="23" a="1"/>
  <c r="D78" i="23" a="1"/>
  <c r="B75" i="23"/>
  <c r="C32" i="23"/>
  <c r="C37" i="23" a="1"/>
  <c r="B33" i="23"/>
  <c r="D84" i="23"/>
  <c r="K28" i="18" l="1"/>
  <c r="B78" i="23"/>
  <c r="F37" i="23"/>
  <c r="O54" i="23"/>
  <c r="C45" i="18" s="1"/>
  <c r="B87" i="23"/>
  <c r="Q55" i="23"/>
  <c r="Q54" i="23"/>
  <c r="D37" i="23"/>
  <c r="C87" i="23"/>
  <c r="C37" i="23"/>
  <c r="E87" i="23"/>
  <c r="D59" i="23"/>
  <c r="D78" i="23"/>
  <c r="C78" i="23"/>
  <c r="D87" i="23"/>
  <c r="E37" i="23"/>
  <c r="B37" i="23"/>
  <c r="O55" i="23"/>
  <c r="C46" i="18" s="1"/>
  <c r="C59" i="23"/>
  <c r="P55" i="23"/>
  <c r="P54" i="23"/>
  <c r="F95" i="23"/>
  <c r="S53" i="23"/>
  <c r="B20" i="18" s="1"/>
  <c r="C96" i="23"/>
  <c r="C99" i="23" s="1"/>
  <c r="C95" i="23"/>
  <c r="B95" i="23"/>
  <c r="D95" i="23"/>
  <c r="B96" i="23"/>
  <c r="B99" i="23" s="1"/>
  <c r="D96" i="23"/>
  <c r="D99" i="23" s="1"/>
  <c r="O8" i="23"/>
  <c r="Q5" i="23"/>
  <c r="O7" i="23"/>
  <c r="P7" i="23"/>
  <c r="G46" i="18" s="1"/>
  <c r="Q6" i="23"/>
  <c r="P8" i="23"/>
  <c r="G47" i="18" s="1"/>
  <c r="E95" i="23"/>
  <c r="S59" i="23"/>
  <c r="B17" i="18" s="1"/>
  <c r="E96" i="23"/>
  <c r="E99" i="23" s="1"/>
  <c r="F96" i="23"/>
  <c r="F99" i="23" s="1"/>
  <c r="B25" i="18" l="1"/>
  <c r="P57" i="23"/>
  <c r="Q57" i="23"/>
  <c r="O57" i="23"/>
  <c r="C47" i="18" s="1"/>
  <c r="R54" i="23"/>
  <c r="D45" i="18" s="1"/>
  <c r="B45" i="18" s="1"/>
  <c r="R55" i="23"/>
  <c r="D46" i="18" s="1"/>
  <c r="B46" i="18" s="1"/>
  <c r="S55" i="23"/>
  <c r="S58" i="23"/>
  <c r="B24" i="18" s="1"/>
  <c r="S73" i="23"/>
  <c r="S54" i="23"/>
  <c r="B21" i="18" s="1"/>
  <c r="F22" i="23"/>
  <c r="E22" i="23"/>
  <c r="E48" i="23"/>
  <c r="B48" i="23"/>
  <c r="F48" i="23"/>
  <c r="Q8" i="23"/>
  <c r="H47" i="18" s="1"/>
  <c r="E47" i="23"/>
  <c r="B47" i="23"/>
  <c r="F47" i="23"/>
  <c r="Q7" i="23"/>
  <c r="H46" i="18" s="1"/>
  <c r="F23" i="23"/>
  <c r="E23" i="23"/>
  <c r="F32" i="23"/>
  <c r="F31" i="23"/>
  <c r="E31" i="23"/>
  <c r="R57" i="23" l="1"/>
  <c r="D47" i="18" s="1"/>
  <c r="B47" i="18" s="1"/>
  <c r="B22" i="18"/>
  <c r="F33" i="23"/>
  <c r="E33" i="23"/>
  <c r="E3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<sst xmlns="http://schemas.openxmlformats.org/spreadsheetml/2006/main" count="7705" uniqueCount="1424">
  <si>
    <t>PNL DASHBOARD - MINDREN/MAHOUDI</t>
  </si>
  <si>
    <t>LIVE ORDERS</t>
  </si>
  <si>
    <t>VWAP CALC</t>
  </si>
  <si>
    <t>Gross profits total</t>
  </si>
  <si>
    <t>Override</t>
  </si>
  <si>
    <t>Broker</t>
  </si>
  <si>
    <t>Side</t>
  </si>
  <si>
    <t>Instrument</t>
  </si>
  <si>
    <t>Tenor</t>
  </si>
  <si>
    <t>Lots</t>
  </si>
  <si>
    <t>Price</t>
  </si>
  <si>
    <t>Live</t>
  </si>
  <si>
    <t>Distance</t>
  </si>
  <si>
    <t>Max Loss</t>
  </si>
  <si>
    <t>Email variables</t>
  </si>
  <si>
    <t>B/D</t>
  </si>
  <si>
    <t>GASOIL</t>
  </si>
  <si>
    <t>HEDGE</t>
  </si>
  <si>
    <t>DFL</t>
  </si>
  <si>
    <t>OPTIONS</t>
  </si>
  <si>
    <t>SPREADS</t>
  </si>
  <si>
    <t>TOTAL</t>
  </si>
  <si>
    <t>SUMMARY</t>
  </si>
  <si>
    <t>MARKET</t>
  </si>
  <si>
    <t>Item</t>
  </si>
  <si>
    <t xml:space="preserve">YtD </t>
  </si>
  <si>
    <t>Daily</t>
  </si>
  <si>
    <t>Index</t>
  </si>
  <si>
    <t>Chg</t>
  </si>
  <si>
    <t>Payout ratio</t>
  </si>
  <si>
    <t>Realised</t>
  </si>
  <si>
    <t>Macro</t>
  </si>
  <si>
    <t>Costs</t>
  </si>
  <si>
    <t>S&amp;P</t>
  </si>
  <si>
    <t>BCOM</t>
  </si>
  <si>
    <t>Total</t>
  </si>
  <si>
    <t>Gold</t>
  </si>
  <si>
    <t>Copper</t>
  </si>
  <si>
    <t>PNL EXPLAIN</t>
  </si>
  <si>
    <t>Flat price</t>
  </si>
  <si>
    <t>Component</t>
  </si>
  <si>
    <t>WTI</t>
  </si>
  <si>
    <t>New</t>
  </si>
  <si>
    <t>Brent</t>
  </si>
  <si>
    <t>Factors</t>
  </si>
  <si>
    <t>Spreads</t>
  </si>
  <si>
    <r>
      <rPr>
        <sz val="11"/>
        <color theme="1"/>
        <rFont val="Aptos Narrow"/>
        <family val="2"/>
      </rPr>
      <t>ϐ</t>
    </r>
    <r>
      <rPr>
        <sz val="11"/>
        <color theme="1"/>
        <rFont val="Aptos Narrow"/>
        <family val="2"/>
        <scheme val="minor"/>
      </rPr>
      <t>1: Flat price</t>
    </r>
  </si>
  <si>
    <t>WTI spr</t>
  </si>
  <si>
    <t>ϐ2: B/D</t>
  </si>
  <si>
    <t>Brent spr</t>
  </si>
  <si>
    <t>ϐ3: GO crx</t>
  </si>
  <si>
    <t>Dtd spr</t>
  </si>
  <si>
    <t>Options</t>
  </si>
  <si>
    <t>Murb spr</t>
  </si>
  <si>
    <t>Delta</t>
  </si>
  <si>
    <t>Dub spr</t>
  </si>
  <si>
    <t>PRODUCTS</t>
  </si>
  <si>
    <t>Gamma</t>
  </si>
  <si>
    <t>GO spr</t>
  </si>
  <si>
    <t>Target</t>
  </si>
  <si>
    <t>Time</t>
  </si>
  <si>
    <t>Vega</t>
  </si>
  <si>
    <t>HO spr</t>
  </si>
  <si>
    <t>ATM</t>
  </si>
  <si>
    <t>RB spr</t>
  </si>
  <si>
    <t>3.5 spr</t>
  </si>
  <si>
    <t>Basis</t>
  </si>
  <si>
    <t>Vanna</t>
  </si>
  <si>
    <t>Volga</t>
  </si>
  <si>
    <t>Arbs</t>
  </si>
  <si>
    <t>Effective beta</t>
  </si>
  <si>
    <t>Theta</t>
  </si>
  <si>
    <t>Br/Dub</t>
  </si>
  <si>
    <t>Unexplained</t>
  </si>
  <si>
    <t>Murb/Dub</t>
  </si>
  <si>
    <t>Other</t>
  </si>
  <si>
    <t>WTI/Br</t>
  </si>
  <si>
    <t>GO E/W</t>
  </si>
  <si>
    <t>RISK METRICS</t>
  </si>
  <si>
    <t>HSFO E/W</t>
  </si>
  <si>
    <t>Metric</t>
  </si>
  <si>
    <t>SoD</t>
  </si>
  <si>
    <t>Cracks</t>
  </si>
  <si>
    <t>Entry</t>
  </si>
  <si>
    <t>StDev 30d (k$)</t>
  </si>
  <si>
    <t>GO/Br</t>
  </si>
  <si>
    <t>CVaR-85 (k$)</t>
  </si>
  <si>
    <t>HO/Br</t>
  </si>
  <si>
    <t>RB/Br</t>
  </si>
  <si>
    <t>ϐ1: Flat price</t>
  </si>
  <si>
    <t>Nap/Br</t>
  </si>
  <si>
    <t>3.5%/Br</t>
  </si>
  <si>
    <t>.5%/Br</t>
  </si>
  <si>
    <t>Delta (lots)</t>
  </si>
  <si>
    <t>Freight</t>
  </si>
  <si>
    <t>Gamma (lots)</t>
  </si>
  <si>
    <t>TD3C</t>
  </si>
  <si>
    <t>Margins</t>
  </si>
  <si>
    <t>321 WTI</t>
  </si>
  <si>
    <t>Cplx NWE</t>
  </si>
  <si>
    <t>Theta (k$/day)</t>
  </si>
  <si>
    <t>Vol</t>
  </si>
  <si>
    <t>Brent ATM</t>
  </si>
  <si>
    <t>Brent RR</t>
  </si>
  <si>
    <t>Speed (lots)</t>
  </si>
  <si>
    <t>Brent Fly</t>
  </si>
  <si>
    <t>NEW TRADES</t>
  </si>
  <si>
    <t>Month</t>
  </si>
  <si>
    <t>OPEN POSITIONS</t>
  </si>
  <si>
    <t>Previous</t>
  </si>
  <si>
    <t>YtD</t>
  </si>
  <si>
    <t>ICE Brent Opt</t>
  </si>
  <si>
    <t>ICE Gasoil Options</t>
  </si>
  <si>
    <t>M6</t>
  </si>
  <si>
    <t>Definition</t>
  </si>
  <si>
    <t>index</t>
  </si>
  <si>
    <t>CO</t>
  </si>
  <si>
    <t>Strat</t>
  </si>
  <si>
    <t>Settle</t>
  </si>
  <si>
    <t>BRN</t>
  </si>
  <si>
    <t>26J</t>
  </si>
  <si>
    <t>PUTS</t>
  </si>
  <si>
    <t>CALLS</t>
  </si>
  <si>
    <t>mth</t>
  </si>
  <si>
    <t>P-Ticker</t>
  </si>
  <si>
    <t>C-Ticker</t>
  </si>
  <si>
    <t>P-Delta Set</t>
  </si>
  <si>
    <t>P-Settle</t>
  </si>
  <si>
    <t>P-Vol Set</t>
  </si>
  <si>
    <t>P-Delta</t>
  </si>
  <si>
    <t>P-Market</t>
  </si>
  <si>
    <t>P-Vol</t>
  </si>
  <si>
    <t>Strike</t>
  </si>
  <si>
    <t>C-Delta Set</t>
  </si>
  <si>
    <t>C-Settle</t>
  </si>
  <si>
    <t>C-Vol Set</t>
  </si>
  <si>
    <t>C-Delta</t>
  </si>
  <si>
    <t>C-Market</t>
  </si>
  <si>
    <t>C-Vol</t>
  </si>
  <si>
    <t>c/p</t>
  </si>
  <si>
    <t>C</t>
  </si>
  <si>
    <t>25d put</t>
  </si>
  <si>
    <t>K</t>
  </si>
  <si>
    <t>25d call</t>
  </si>
  <si>
    <t>Vol RR</t>
  </si>
  <si>
    <t>underlying</t>
  </si>
  <si>
    <t>Vol BF</t>
  </si>
  <si>
    <t>moneyness</t>
  </si>
  <si>
    <t>maturity</t>
  </si>
  <si>
    <t>Parameters</t>
  </si>
  <si>
    <t>lots</t>
  </si>
  <si>
    <t>p</t>
  </si>
  <si>
    <t>f</t>
  </si>
  <si>
    <t>t</t>
  </si>
  <si>
    <t>pt_val</t>
  </si>
  <si>
    <t>vol</t>
  </si>
  <si>
    <t>atm</t>
  </si>
  <si>
    <t>PUT DELTA</t>
  </si>
  <si>
    <t>K1</t>
  </si>
  <si>
    <t>K2</t>
  </si>
  <si>
    <t>V1</t>
  </si>
  <si>
    <t>V2</t>
  </si>
  <si>
    <t>Implied</t>
  </si>
  <si>
    <t>skew</t>
  </si>
  <si>
    <t>wings</t>
  </si>
  <si>
    <t>Old</t>
  </si>
  <si>
    <t>Greeks</t>
  </si>
  <si>
    <t>CALL DELTA</t>
  </si>
  <si>
    <t>delta</t>
  </si>
  <si>
    <t>gamma</t>
  </si>
  <si>
    <t>vega</t>
  </si>
  <si>
    <t>vega atm</t>
  </si>
  <si>
    <t>vega skew</t>
  </si>
  <si>
    <t>vega wings</t>
  </si>
  <si>
    <t>vanna</t>
  </si>
  <si>
    <t>ATM C</t>
  </si>
  <si>
    <t>volga</t>
  </si>
  <si>
    <t>Chg (open)</t>
  </si>
  <si>
    <t>Chg (new)</t>
  </si>
  <si>
    <t>PnL</t>
  </si>
  <si>
    <t>ATM P</t>
  </si>
  <si>
    <t>theta</t>
  </si>
  <si>
    <t>speed</t>
  </si>
  <si>
    <t>Greeks - Open positions</t>
  </si>
  <si>
    <t>Greeks - New trades</t>
  </si>
  <si>
    <t>Greeks - Existing positions</t>
  </si>
  <si>
    <t>pnl</t>
  </si>
  <si>
    <t>&gt; delta</t>
  </si>
  <si>
    <t>&gt; gamma</t>
  </si>
  <si>
    <t>&gt; vega</t>
  </si>
  <si>
    <t>&gt; vanna</t>
  </si>
  <si>
    <t>&gt; volga</t>
  </si>
  <si>
    <t>&gt; theta</t>
  </si>
  <si>
    <t>&gt; speed</t>
  </si>
  <si>
    <t>&gt; unexplained</t>
  </si>
  <si>
    <t>TRADES</t>
  </si>
  <si>
    <t>Product</t>
  </si>
  <si>
    <t>Key</t>
  </si>
  <si>
    <t>Commission</t>
  </si>
  <si>
    <t>2026 costs</t>
  </si>
  <si>
    <t>Day</t>
  </si>
  <si>
    <t>Year</t>
  </si>
  <si>
    <t>Book</t>
  </si>
  <si>
    <t>Trader</t>
  </si>
  <si>
    <t>AEM</t>
  </si>
  <si>
    <t>Brent/Dubai Swap</t>
  </si>
  <si>
    <t>GFI</t>
  </si>
  <si>
    <t>Commissions</t>
  </si>
  <si>
    <t>Dubai Swap</t>
  </si>
  <si>
    <t>MAREX</t>
  </si>
  <si>
    <t>Clearing</t>
  </si>
  <si>
    <t>DFL Swap</t>
  </si>
  <si>
    <t>OB</t>
  </si>
  <si>
    <t>Exchange</t>
  </si>
  <si>
    <t>ATF</t>
  </si>
  <si>
    <t>TP</t>
  </si>
  <si>
    <t>TFS</t>
  </si>
  <si>
    <t>Dated Brent Swap</t>
  </si>
  <si>
    <t>PVM</t>
  </si>
  <si>
    <t>ICE Brent Fut</t>
  </si>
  <si>
    <t>ICE WTI Fut</t>
  </si>
  <si>
    <t>ICE WTI Opt</t>
  </si>
  <si>
    <t>ICE Gasoil Fut</t>
  </si>
  <si>
    <t>ICE</t>
  </si>
  <si>
    <t>FO 380cst Sing Swap</t>
  </si>
  <si>
    <t>NYM WTI Fut</t>
  </si>
  <si>
    <t>ICAP</t>
  </si>
  <si>
    <t>ICE Gasoil/Brent Crx Swap bbl</t>
  </si>
  <si>
    <t>ICE Brent Swap</t>
  </si>
  <si>
    <t>Q6</t>
  </si>
  <si>
    <t>FO 3.5% FOB Rdam/Brent Crx Swap bbl</t>
  </si>
  <si>
    <t>MFO 0.5% FOB Rdam/Brent Crx Swap mt</t>
  </si>
  <si>
    <t>FO 380cst Sing/Brent Crx Swap</t>
  </si>
  <si>
    <t>PNL AND VAR</t>
  </si>
  <si>
    <t>Date</t>
  </si>
  <si>
    <t>days</t>
  </si>
  <si>
    <t>pnl_est</t>
  </si>
  <si>
    <t>pnl_official</t>
  </si>
  <si>
    <t>pnl_ym</t>
  </si>
  <si>
    <t>pnl_am</t>
  </si>
  <si>
    <t>daily_est</t>
  </si>
  <si>
    <t>daily_official</t>
  </si>
  <si>
    <t>std_actual</t>
  </si>
  <si>
    <t>diff</t>
  </si>
  <si>
    <t>split</t>
  </si>
  <si>
    <t>dd_peak</t>
  </si>
  <si>
    <t>dd_zero</t>
  </si>
  <si>
    <t>Swaps</t>
  </si>
  <si>
    <t>WTI-Brent</t>
  </si>
  <si>
    <t>Swap Crx</t>
  </si>
  <si>
    <t>HOGO</t>
  </si>
  <si>
    <t>Gas/Heat</t>
  </si>
  <si>
    <t>Paper Margins</t>
  </si>
  <si>
    <t>IFAD Murban</t>
  </si>
  <si>
    <t>GME Oman</t>
  </si>
  <si>
    <t>Murb-S</t>
  </si>
  <si>
    <t>Murb/Br-S</t>
  </si>
  <si>
    <t>Murb/Dub-S</t>
  </si>
  <si>
    <t>Oman-S</t>
  </si>
  <si>
    <t>CNY</t>
  </si>
  <si>
    <t>USD</t>
  </si>
  <si>
    <t>Murban</t>
  </si>
  <si>
    <t>Basrah Medium</t>
  </si>
  <si>
    <t>Basrah Heavy</t>
  </si>
  <si>
    <t>Tupi</t>
  </si>
  <si>
    <t>Shengli</t>
  </si>
  <si>
    <t>Dubai</t>
  </si>
  <si>
    <t>UZ</t>
  </si>
  <si>
    <t>Oman</t>
  </si>
  <si>
    <t>Expired</t>
  </si>
  <si>
    <t>Priced</t>
  </si>
  <si>
    <t>Settlement date</t>
  </si>
  <si>
    <t>Flat price Bid/Ask</t>
  </si>
  <si>
    <t>TS Bid/Ask</t>
  </si>
  <si>
    <t>Implied spreads</t>
  </si>
  <si>
    <t>Exp date (rolling)</t>
  </si>
  <si>
    <t>Pricing days</t>
  </si>
  <si>
    <t>Pricing days (M1)</t>
  </si>
  <si>
    <t>Weight (M1)</t>
  </si>
  <si>
    <t>Settlements</t>
  </si>
  <si>
    <t>FX</t>
  </si>
  <si>
    <t>Fut</t>
  </si>
  <si>
    <t>Fut Crx</t>
  </si>
  <si>
    <t>INE Shanghai</t>
  </si>
  <si>
    <t>MthCode</t>
  </si>
  <si>
    <t>Yr</t>
  </si>
  <si>
    <t>Qrt</t>
  </si>
  <si>
    <t>CL</t>
  </si>
  <si>
    <t>QS</t>
  </si>
  <si>
    <t>HO</t>
  </si>
  <si>
    <t>XB</t>
  </si>
  <si>
    <t>MUC</t>
  </si>
  <si>
    <t>OQA</t>
  </si>
  <si>
    <t>SCP</t>
  </si>
  <si>
    <t>USDCNY</t>
  </si>
  <si>
    <t>BRT</t>
  </si>
  <si>
    <t>GO</t>
  </si>
  <si>
    <t>RBOB</t>
  </si>
  <si>
    <t>WTI-S</t>
  </si>
  <si>
    <t>BRT-S</t>
  </si>
  <si>
    <t>GO-S</t>
  </si>
  <si>
    <t>HO-S</t>
  </si>
  <si>
    <t>RBOB-S</t>
  </si>
  <si>
    <t>WTI/Br-S</t>
  </si>
  <si>
    <t>HO/WTI</t>
  </si>
  <si>
    <t>RB/WTI</t>
  </si>
  <si>
    <t>GO/Br-S</t>
  </si>
  <si>
    <t>HO/Br-S</t>
  </si>
  <si>
    <t>RB/Br-S</t>
  </si>
  <si>
    <t>HO/WTI-S</t>
  </si>
  <si>
    <t>RB/WTI-S</t>
  </si>
  <si>
    <t>HOGO-S</t>
  </si>
  <si>
    <t>RBHO</t>
  </si>
  <si>
    <t>RBHO-S</t>
  </si>
  <si>
    <t>211/Br</t>
  </si>
  <si>
    <t>321/Br</t>
  </si>
  <si>
    <t>211-S</t>
  </si>
  <si>
    <t>321-S</t>
  </si>
  <si>
    <t>211/Br-S</t>
  </si>
  <si>
    <t>321/Br-S</t>
  </si>
  <si>
    <t>Murb</t>
  </si>
  <si>
    <t>Murb/Br</t>
  </si>
  <si>
    <t>Murb/Dub EFS</t>
  </si>
  <si>
    <t>Crude</t>
  </si>
  <si>
    <t>M1</t>
  </si>
  <si>
    <t>M2</t>
  </si>
  <si>
    <t>M3</t>
  </si>
  <si>
    <t>CFD (M1)</t>
  </si>
  <si>
    <t>Dtd</t>
  </si>
  <si>
    <t>CFD Rolls</t>
  </si>
  <si>
    <t>Start</t>
  </si>
  <si>
    <t>Mid</t>
  </si>
  <si>
    <t>End</t>
  </si>
  <si>
    <t>Dated</t>
  </si>
  <si>
    <t>Midland</t>
  </si>
  <si>
    <t>MEH</t>
  </si>
  <si>
    <t>WCS</t>
  </si>
  <si>
    <t>CFD W1</t>
  </si>
  <si>
    <t>BD</t>
  </si>
  <si>
    <t>Dtd/Dubai</t>
  </si>
  <si>
    <t>MEH/Brent</t>
  </si>
  <si>
    <t>CFD W2</t>
  </si>
  <si>
    <t>CFD W3</t>
  </si>
  <si>
    <t>CFD W4</t>
  </si>
  <si>
    <t>CFD W5</t>
  </si>
  <si>
    <t>CFD W6</t>
  </si>
  <si>
    <t>CFD W7</t>
  </si>
  <si>
    <t>CFD W8</t>
  </si>
  <si>
    <t xml:space="preserve">                                                                                                                                                                                                                  </t>
  </si>
  <si>
    <t>EFP</t>
  </si>
  <si>
    <t>EFS</t>
  </si>
  <si>
    <t>dfl</t>
  </si>
  <si>
    <t>brdub</t>
  </si>
  <si>
    <t>icemidticma</t>
  </si>
  <si>
    <t>icemehticma</t>
  </si>
  <si>
    <t>icewcstitma</t>
  </si>
  <si>
    <t>Mid/WTI (CMA)</t>
  </si>
  <si>
    <t>MEH/WTI (CMA)</t>
  </si>
  <si>
    <t>MEH/WTI (TMA)</t>
  </si>
  <si>
    <t>WCS/WTI (TMA)</t>
  </si>
  <si>
    <t>WCS/Brent</t>
  </si>
  <si>
    <t>C3 ARA</t>
  </si>
  <si>
    <t>C3 MB TET</t>
  </si>
  <si>
    <t>nC4 MB EPC</t>
  </si>
  <si>
    <t>iC4 MB EPC</t>
  </si>
  <si>
    <t>Nat Gasoline MB EPC</t>
  </si>
  <si>
    <t>Prop/Nap</t>
  </si>
  <si>
    <t>Flat</t>
  </si>
  <si>
    <t>Crx</t>
  </si>
  <si>
    <t>Crx/WTI</t>
  </si>
  <si>
    <t>MB TET/ARA</t>
  </si>
  <si>
    <t>C4/C3</t>
  </si>
  <si>
    <t>iC4/nC4</t>
  </si>
  <si>
    <t>C3 FEI</t>
  </si>
  <si>
    <t>propnap</t>
  </si>
  <si>
    <t>c3tet</t>
  </si>
  <si>
    <t>c4ntet</t>
  </si>
  <si>
    <t>ic4ntet</t>
  </si>
  <si>
    <t>ngasntet</t>
  </si>
  <si>
    <t>c3ew</t>
  </si>
  <si>
    <t>C3 E/W</t>
  </si>
  <si>
    <t>Nap NWE</t>
  </si>
  <si>
    <t>EBOB</t>
  </si>
  <si>
    <t>MOPJ</t>
  </si>
  <si>
    <t>Mogas 92</t>
  </si>
  <si>
    <t>Mogas 95</t>
  </si>
  <si>
    <t>Gas/Nap</t>
  </si>
  <si>
    <t>RBOB/EBOB</t>
  </si>
  <si>
    <t>Nap E/W</t>
  </si>
  <si>
    <t>Crx/Br</t>
  </si>
  <si>
    <t>Mogas E/W</t>
  </si>
  <si>
    <t>95/92</t>
  </si>
  <si>
    <t>napbrx</t>
  </si>
  <si>
    <t>ebobbrx</t>
  </si>
  <si>
    <t>napew</t>
  </si>
  <si>
    <t>mg92ebob</t>
  </si>
  <si>
    <t>mg9592</t>
  </si>
  <si>
    <t>Jet NWE</t>
  </si>
  <si>
    <t>Sing GO</t>
  </si>
  <si>
    <t>AG GO</t>
  </si>
  <si>
    <t>Sing Kero</t>
  </si>
  <si>
    <t>10ppm ARA</t>
  </si>
  <si>
    <t>ULSD Med</t>
  </si>
  <si>
    <t>0.1% ARA</t>
  </si>
  <si>
    <t>0.1% NWE</t>
  </si>
  <si>
    <t>0.1% Med</t>
  </si>
  <si>
    <t>USGC ULSD</t>
  </si>
  <si>
    <t>Diffs</t>
  </si>
  <si>
    <t>GO/EW</t>
  </si>
  <si>
    <t>MOPS/MOPAG</t>
  </si>
  <si>
    <t>Regrade</t>
  </si>
  <si>
    <t>jetccndiff</t>
  </si>
  <si>
    <t>goew</t>
  </si>
  <si>
    <t>regrade</t>
  </si>
  <si>
    <t>ulsdaradiff</t>
  </si>
  <si>
    <t>ulsdccndiff</t>
  </si>
  <si>
    <t>ulsdccmdiff</t>
  </si>
  <si>
    <t>go01bfrdiff</t>
  </si>
  <si>
    <t>go01ccndiff</t>
  </si>
  <si>
    <t>go01ccmdiff</t>
  </si>
  <si>
    <t>mopagdiff</t>
  </si>
  <si>
    <t>ulsdgc</t>
  </si>
  <si>
    <t>FO 3.5% ARA</t>
  </si>
  <si>
    <t>FO 1% NWE</t>
  </si>
  <si>
    <t>FO 380cst</t>
  </si>
  <si>
    <t>FO 180cst</t>
  </si>
  <si>
    <t>MFO 0.5% ARA</t>
  </si>
  <si>
    <t>MFO 0.5% Sing</t>
  </si>
  <si>
    <t>HiLo</t>
  </si>
  <si>
    <t>Crx/Dub</t>
  </si>
  <si>
    <t>Hi5 ARA</t>
  </si>
  <si>
    <t>Hi5 Sing</t>
  </si>
  <si>
    <t>MFO 0.5% E/W</t>
  </si>
  <si>
    <t>fo35brx</t>
  </si>
  <si>
    <t>hsfoew</t>
  </si>
  <si>
    <t>hilo</t>
  </si>
  <si>
    <t>visco</t>
  </si>
  <si>
    <t>fo05bfrbrx</t>
  </si>
  <si>
    <t>fo05singbrx</t>
  </si>
  <si>
    <t>Visco</t>
  </si>
  <si>
    <t>TD3C - ME Gulf&gt;China (VLCC)</t>
  </si>
  <si>
    <t>Afra USGC-UKC (incl. ETS)</t>
  </si>
  <si>
    <t>TC5 - AG&gt;Japan (LR1)</t>
  </si>
  <si>
    <t>TC2 - UKC&gt;UKC (MR)</t>
  </si>
  <si>
    <t>TC14 - USGC&gt;UKC (MR)</t>
  </si>
  <si>
    <t>$/mt</t>
  </si>
  <si>
    <t>TC2 - UKC&gt;USGC (MR)</t>
  </si>
  <si>
    <t>td3c</t>
  </si>
  <si>
    <t>afra</t>
  </si>
  <si>
    <t>tc5</t>
  </si>
  <si>
    <t>tc2</t>
  </si>
  <si>
    <t>tc14</t>
  </si>
  <si>
    <t>WS%</t>
  </si>
  <si>
    <t>Europe</t>
  </si>
  <si>
    <t>ERMI</t>
  </si>
  <si>
    <t>Tradeable</t>
  </si>
  <si>
    <t>STOCKS</t>
  </si>
  <si>
    <t>CRUDE STX</t>
  </si>
  <si>
    <t>DOESTCRD Index</t>
  </si>
  <si>
    <t>P1</t>
  </si>
  <si>
    <t>DOESCRU1 Index</t>
  </si>
  <si>
    <t>Commercial</t>
  </si>
  <si>
    <t>DOESCRUD Index</t>
  </si>
  <si>
    <t>P2</t>
  </si>
  <si>
    <t>DOESCRU2 Index</t>
  </si>
  <si>
    <t>Cushing</t>
  </si>
  <si>
    <t>DOESCROK Index</t>
  </si>
  <si>
    <t>P3</t>
  </si>
  <si>
    <t>DOESCRU3 Index</t>
  </si>
  <si>
    <t>SPR</t>
  </si>
  <si>
    <t>DOESSPR Index</t>
  </si>
  <si>
    <t>P4</t>
  </si>
  <si>
    <t>DOESCRU4 Index</t>
  </si>
  <si>
    <t>Gasoline</t>
  </si>
  <si>
    <t>DOESTMGS Index</t>
  </si>
  <si>
    <t>P5</t>
  </si>
  <si>
    <t>DOESCRU5 Index</t>
  </si>
  <si>
    <t>Components</t>
  </si>
  <si>
    <t>DOESBLND Index</t>
  </si>
  <si>
    <t>Finished</t>
  </si>
  <si>
    <t>DOESMOGF Index</t>
  </si>
  <si>
    <t>Stx chg</t>
  </si>
  <si>
    <t>Distillates</t>
  </si>
  <si>
    <t>DOESDIST Index</t>
  </si>
  <si>
    <t>Jet fuel</t>
  </si>
  <si>
    <t>DOESJETK Index</t>
  </si>
  <si>
    <t>GASOLINE STX</t>
  </si>
  <si>
    <t>CRUDE&amp;CLEAN</t>
  </si>
  <si>
    <t>DOESGAS1 Index</t>
  </si>
  <si>
    <t>Others</t>
  </si>
  <si>
    <t>DOESGAS2 Index</t>
  </si>
  <si>
    <t>Resid</t>
  </si>
  <si>
    <t>DOESRESD Index</t>
  </si>
  <si>
    <t>DOESGAS3 Index</t>
  </si>
  <si>
    <t>Propane</t>
  </si>
  <si>
    <t>DOESPPEX Index</t>
  </si>
  <si>
    <t>DOESGAS4 Index</t>
  </si>
  <si>
    <t>Other oils</t>
  </si>
  <si>
    <t>DOESOTHE Index</t>
  </si>
  <si>
    <t>DOESGAS5 Index</t>
  </si>
  <si>
    <t>TOTAL OIL (W/O SPR)</t>
  </si>
  <si>
    <t>DISTILLATES STX</t>
  </si>
  <si>
    <t>CRUDE FLOWS</t>
  </si>
  <si>
    <t>DOESDIS1 Index</t>
  </si>
  <si>
    <t>Production</t>
  </si>
  <si>
    <t>DOETCRUD Index</t>
  </si>
  <si>
    <t>DOESDIS2 Index</t>
  </si>
  <si>
    <t>Adjustment</t>
  </si>
  <si>
    <t>DOESUNCR Index</t>
  </si>
  <si>
    <t>DOESDIS3 Index</t>
  </si>
  <si>
    <t>NGL blending</t>
  </si>
  <si>
    <t>DOETTRCO Index</t>
  </si>
  <si>
    <t>DOESDIS4 Index</t>
  </si>
  <si>
    <t>Imports</t>
  </si>
  <si>
    <t>DOEICESP Index</t>
  </si>
  <si>
    <t>DOESDIS5 Index</t>
  </si>
  <si>
    <t>Exports</t>
  </si>
  <si>
    <t>DOEBCEXP Index</t>
  </si>
  <si>
    <t>Runs</t>
  </si>
  <si>
    <t>DOEPCRIN Index</t>
  </si>
  <si>
    <t>JET FUEL STX</t>
  </si>
  <si>
    <t>DOESJET1 Index</t>
  </si>
  <si>
    <t>GASOLINE COMPONENTS FLOWS</t>
  </si>
  <si>
    <t>DOESJET2 Index</t>
  </si>
  <si>
    <t>Net prod (-exports)</t>
  </si>
  <si>
    <t>DOESJET3 Index</t>
  </si>
  <si>
    <t>DOEIBLND Index</t>
  </si>
  <si>
    <t>DOESJET4 Index</t>
  </si>
  <si>
    <t>Refiners input</t>
  </si>
  <si>
    <t>DOEPBLNC Index</t>
  </si>
  <si>
    <t>DOESJET5 Index</t>
  </si>
  <si>
    <t>FINISHED GASOLINE FLOWS</t>
  </si>
  <si>
    <t>RESID STX</t>
  </si>
  <si>
    <t>DOETMGAS Index</t>
  </si>
  <si>
    <t>DOESRES1 Index</t>
  </si>
  <si>
    <t>DOEIFMOG Index</t>
  </si>
  <si>
    <t>DOESRES2 Index</t>
  </si>
  <si>
    <t>DOEBFMGS Index</t>
  </si>
  <si>
    <t>DOESRES3 Index</t>
  </si>
  <si>
    <t>Product supplied</t>
  </si>
  <si>
    <t>DOEDMGAS Index</t>
  </si>
  <si>
    <t>DOESRES4 Index</t>
  </si>
  <si>
    <t>DOESRES5 Index</t>
  </si>
  <si>
    <t>DISTILLATES FLOWS</t>
  </si>
  <si>
    <t>DOETDIST Index</t>
  </si>
  <si>
    <t>RUNS</t>
  </si>
  <si>
    <t>DOEIDIST Index</t>
  </si>
  <si>
    <t>DOEPCRP1 Index</t>
  </si>
  <si>
    <t>DOEBDIST Index</t>
  </si>
  <si>
    <t>DOEPCRP2 Index</t>
  </si>
  <si>
    <t>DOEDDIST Index</t>
  </si>
  <si>
    <t>DOEPCRP3 Index</t>
  </si>
  <si>
    <t>DOEPCRP4 Index</t>
  </si>
  <si>
    <t>DOEPCRP5 Index</t>
  </si>
  <si>
    <t>JET FUEL FLOWS</t>
  </si>
  <si>
    <t>Runs chg</t>
  </si>
  <si>
    <t>DOETJETK Index</t>
  </si>
  <si>
    <t>DOEIJETK Index</t>
  </si>
  <si>
    <t>UTILISATION (%)</t>
  </si>
  <si>
    <t>DOEBKJET Index</t>
  </si>
  <si>
    <t>DOEPPCP1 Index</t>
  </si>
  <si>
    <t>DOEDJETK Index</t>
  </si>
  <si>
    <t>DOEPPCP2 Index</t>
  </si>
  <si>
    <t>DOEPPCP3 Index</t>
  </si>
  <si>
    <t>DOEPPCP4 Index</t>
  </si>
  <si>
    <t>RESID FLOWS</t>
  </si>
  <si>
    <t>DOEPPCP5 Index</t>
  </si>
  <si>
    <t>DOETRESD Index</t>
  </si>
  <si>
    <t>Util rate</t>
  </si>
  <si>
    <t>DOEPPERC Index</t>
  </si>
  <si>
    <t>DOEIRESD Index</t>
  </si>
  <si>
    <t>DOEBRESI Index</t>
  </si>
  <si>
    <t>DOEDRESD Index</t>
  </si>
  <si>
    <t>COMMITMENT OF TRADERS (COT) - CRUDE OIL AND REFINED PRODUCTS</t>
  </si>
  <si>
    <t>Chg (mb)</t>
  </si>
  <si>
    <t>Long</t>
  </si>
  <si>
    <t>Short</t>
  </si>
  <si>
    <t>Sprd</t>
  </si>
  <si>
    <t>Net</t>
  </si>
  <si>
    <t>TOTAL CRUDE</t>
  </si>
  <si>
    <t>PMP</t>
  </si>
  <si>
    <t>SD</t>
  </si>
  <si>
    <t>Commercials</t>
  </si>
  <si>
    <t>MM</t>
  </si>
  <si>
    <t>OR</t>
  </si>
  <si>
    <t>NR</t>
  </si>
  <si>
    <t>Spec</t>
  </si>
  <si>
    <t>TOTAL PRODUCTS</t>
  </si>
  <si>
    <t>TOTAL OIL</t>
  </si>
  <si>
    <t>Tickers</t>
  </si>
  <si>
    <t>L</t>
  </si>
  <si>
    <t>S</t>
  </si>
  <si>
    <t>D</t>
  </si>
  <si>
    <t>N</t>
  </si>
  <si>
    <t>BRENT (ICE)</t>
  </si>
  <si>
    <t>ICCBBPML Index</t>
  </si>
  <si>
    <t>ICCBBPMS Index</t>
  </si>
  <si>
    <t>ICCBBPMN Index</t>
  </si>
  <si>
    <t>ICCBBSWL Index</t>
  </si>
  <si>
    <t>ICCBBSWS Index</t>
  </si>
  <si>
    <t>ICCBBSWD Index</t>
  </si>
  <si>
    <t>ICCBBSWN Index</t>
  </si>
  <si>
    <t>ICCBBMML Index</t>
  </si>
  <si>
    <t>ICCBBMMS Index</t>
  </si>
  <si>
    <t>ICCBBMMD Index</t>
  </si>
  <si>
    <t>ICCBBMMN Index</t>
  </si>
  <si>
    <t>ICCBBORL Index</t>
  </si>
  <si>
    <t>ICCBBORS Index</t>
  </si>
  <si>
    <t>ICCBBORD Index</t>
  </si>
  <si>
    <t>ICCBBORN Index</t>
  </si>
  <si>
    <t>ICCBBNRL Index</t>
  </si>
  <si>
    <t>ICCBBNRS Index</t>
  </si>
  <si>
    <t>ICCBBNRN Index</t>
  </si>
  <si>
    <t>BRENT (NYM)</t>
  </si>
  <si>
    <t>CBTVEPML Index</t>
  </si>
  <si>
    <t>CBTVEPMS Index</t>
  </si>
  <si>
    <t>CBTVEPMN Index</t>
  </si>
  <si>
    <t>CBTVESWL Index</t>
  </si>
  <si>
    <t>CBTVESWS Index</t>
  </si>
  <si>
    <t>CBTVESWD Index</t>
  </si>
  <si>
    <t>CBTVESWN Index</t>
  </si>
  <si>
    <t>CBTVEMML Index</t>
  </si>
  <si>
    <t>CBTVEMMS Index</t>
  </si>
  <si>
    <t>CBTVEMMD Index</t>
  </si>
  <si>
    <t>CBTVEMMN Index</t>
  </si>
  <si>
    <t>CBTVEORL Index</t>
  </si>
  <si>
    <t>CBTVEORS Index</t>
  </si>
  <si>
    <t>CBTVEORD Index</t>
  </si>
  <si>
    <t>CBTVEORN Index</t>
  </si>
  <si>
    <t>CBTZENRL Index</t>
  </si>
  <si>
    <t>CBTZENRS Index</t>
  </si>
  <si>
    <t>CBTZENRN Index</t>
  </si>
  <si>
    <t>BRENT (ICE + NYM)</t>
  </si>
  <si>
    <t>WTI (NYM)</t>
  </si>
  <si>
    <t>CFCDQPML Index</t>
  </si>
  <si>
    <t>CFCDQPMS Index</t>
  </si>
  <si>
    <t>CFCDQPMN Index</t>
  </si>
  <si>
    <t>CFCDQSWL Index</t>
  </si>
  <si>
    <t>CFCDQSWS Index</t>
  </si>
  <si>
    <t>CFCDQSWD Index</t>
  </si>
  <si>
    <t>CFCDQSWN Index</t>
  </si>
  <si>
    <t>CFCDQMML Index</t>
  </si>
  <si>
    <t>CFCDQMMS Index</t>
  </si>
  <si>
    <t>CFCDQMMD Index</t>
  </si>
  <si>
    <t>CFCDQMMN Index</t>
  </si>
  <si>
    <t>CFCDQORL Index</t>
  </si>
  <si>
    <t>CFCDQORS Index</t>
  </si>
  <si>
    <t>CFCDQORD Index</t>
  </si>
  <si>
    <t>CFCDQORN Index</t>
  </si>
  <si>
    <t>NYMOCNRL Index</t>
  </si>
  <si>
    <t>NYMOCNRS Index</t>
  </si>
  <si>
    <t>NYMOCNRN Index</t>
  </si>
  <si>
    <t>WTI (ICE)</t>
  </si>
  <si>
    <t>CFCDPPML Index</t>
  </si>
  <si>
    <t>CFCDPPMS Index</t>
  </si>
  <si>
    <t>CFCDPPMN Index</t>
  </si>
  <si>
    <t>CFCDPSWL Index</t>
  </si>
  <si>
    <t>CFCDPSWS Index</t>
  </si>
  <si>
    <t>CFCDPSWD Index</t>
  </si>
  <si>
    <t>CFCDPSWN Index</t>
  </si>
  <si>
    <t>CFCDPMML Index</t>
  </si>
  <si>
    <t>CFCDPMMS Index</t>
  </si>
  <si>
    <t>CFCDPMMD Index</t>
  </si>
  <si>
    <t>CFCDPMMN Index</t>
  </si>
  <si>
    <t>CFCDPORL Index</t>
  </si>
  <si>
    <t>CFCDPORS Index</t>
  </si>
  <si>
    <t>CFCDPORD Index</t>
  </si>
  <si>
    <t>CFCDPORN Index</t>
  </si>
  <si>
    <t>EN1CANRL Index</t>
  </si>
  <si>
    <t>EN1CANRS Index</t>
  </si>
  <si>
    <t>EN1CANRN Index</t>
  </si>
  <si>
    <t>WTI (NYM + ICE)</t>
  </si>
  <si>
    <t>Chg (k lots)</t>
  </si>
  <si>
    <t>ICE GO</t>
  </si>
  <si>
    <t>ICCBAPML Index</t>
  </si>
  <si>
    <t>ICCBAPMS Index</t>
  </si>
  <si>
    <t>ICCBAPMN Index</t>
  </si>
  <si>
    <t>ICCBASWL Index</t>
  </si>
  <si>
    <t>ICCBASWS Index</t>
  </si>
  <si>
    <t>ICCBASWD Index</t>
  </si>
  <si>
    <t>ICCBASWN Index</t>
  </si>
  <si>
    <t>ICCBAMML Index</t>
  </si>
  <si>
    <t>ICCBAMMS Index</t>
  </si>
  <si>
    <t>ICCBAMMD Index</t>
  </si>
  <si>
    <t>ICCBAMMN Index</t>
  </si>
  <si>
    <t>ICCBAORL Index</t>
  </si>
  <si>
    <t>ICCBAORS Index</t>
  </si>
  <si>
    <t>ICCBAORD Index</t>
  </si>
  <si>
    <t>ICCBAORN Index</t>
  </si>
  <si>
    <t>ICCBANRL Index</t>
  </si>
  <si>
    <t>ICCBANRS Index</t>
  </si>
  <si>
    <t>ICCBANRN Index</t>
  </si>
  <si>
    <t>NYM HO</t>
  </si>
  <si>
    <t>CFCDNPML Index</t>
  </si>
  <si>
    <t>CFCDNPMS Index</t>
  </si>
  <si>
    <t>CFCDNPMN Index</t>
  </si>
  <si>
    <t>CFCDNSWL Index</t>
  </si>
  <si>
    <t>CFCDNSWS Index</t>
  </si>
  <si>
    <t>CFCDNSWD Index</t>
  </si>
  <si>
    <t>CFCDNSWN Index</t>
  </si>
  <si>
    <t>CFCDNMML Index</t>
  </si>
  <si>
    <t>CFCDNMMS Index</t>
  </si>
  <si>
    <t>CFCDNMMD Index</t>
  </si>
  <si>
    <t>CFCDNMMN Index</t>
  </si>
  <si>
    <t>CFCDNORL Index</t>
  </si>
  <si>
    <t>CFCDNORS Index</t>
  </si>
  <si>
    <t>CFCDNORD Index</t>
  </si>
  <si>
    <t>CFCDNORN Index</t>
  </si>
  <si>
    <t>NYMOHNRL Index</t>
  </si>
  <si>
    <t>NYMOHNRS Index</t>
  </si>
  <si>
    <t>NYMOHNRN Index</t>
  </si>
  <si>
    <t>NYM RBOB</t>
  </si>
  <si>
    <t>CFCDRPML Index</t>
  </si>
  <si>
    <t>CFCDRPMS Index</t>
  </si>
  <si>
    <t>CFCDRPMN Index</t>
  </si>
  <si>
    <t>CFCDRSWL Index</t>
  </si>
  <si>
    <t>CFCDRSWS Index</t>
  </si>
  <si>
    <t>CFCDRSWD Index</t>
  </si>
  <si>
    <t>CFCDRSWN Index</t>
  </si>
  <si>
    <t>CFCDRMML Index</t>
  </si>
  <si>
    <t>CFCDRMMS Index</t>
  </si>
  <si>
    <t>CFCDRMMD Index</t>
  </si>
  <si>
    <t>CFCDRMMN Index</t>
  </si>
  <si>
    <t>CFCDRORL Index</t>
  </si>
  <si>
    <t>CFCDRORS Index</t>
  </si>
  <si>
    <t>CFCDRORD Index</t>
  </si>
  <si>
    <t>CFCDRORN Index</t>
  </si>
  <si>
    <t>NYMOXNRL Index</t>
  </si>
  <si>
    <t>NYMOXNRS Index</t>
  </si>
  <si>
    <t>NYMOXNRN Index</t>
  </si>
  <si>
    <t>WCI</t>
  </si>
  <si>
    <t>MOPAG/MOPS</t>
  </si>
  <si>
    <t>FOB</t>
  </si>
  <si>
    <t>FREIGHT</t>
  </si>
  <si>
    <t>STRUCTURE</t>
  </si>
  <si>
    <t>E/W</t>
  </si>
  <si>
    <t>DIFF</t>
  </si>
  <si>
    <t>WCI&gt;UKC</t>
  </si>
  <si>
    <t>WCI&gt;SING</t>
  </si>
  <si>
    <t>WCI Prem</t>
  </si>
  <si>
    <t>WCI&gt;UK</t>
  </si>
  <si>
    <t>Sing</t>
  </si>
  <si>
    <t>CIF NWE</t>
  </si>
  <si>
    <t>ICE M2</t>
  </si>
  <si>
    <t>ICE M3</t>
  </si>
  <si>
    <t>ICE M4</t>
  </si>
  <si>
    <t>ICE M5</t>
  </si>
  <si>
    <t>MOPS M2</t>
  </si>
  <si>
    <t>Loading</t>
  </si>
  <si>
    <t>$/b</t>
  </si>
  <si>
    <t>$</t>
  </si>
  <si>
    <t>Cargo size</t>
  </si>
  <si>
    <t>bbl</t>
  </si>
  <si>
    <t>WCI-UKC LR2</t>
  </si>
  <si>
    <t>US-NWE</t>
  </si>
  <si>
    <t>USGC</t>
  </si>
  <si>
    <t>USGC&gt;UKC</t>
  </si>
  <si>
    <t>ULSD/HO</t>
  </si>
  <si>
    <t>Premium</t>
  </si>
  <si>
    <t>TC14</t>
  </si>
  <si>
    <t>RVO</t>
  </si>
  <si>
    <t>c/gal</t>
  </si>
  <si>
    <t>AG-ASIA</t>
  </si>
  <si>
    <t>Cash</t>
  </si>
  <si>
    <t>OSPs</t>
  </si>
  <si>
    <t>FUTURES</t>
  </si>
  <si>
    <t>Arab Lt</t>
  </si>
  <si>
    <t>AL</t>
  </si>
  <si>
    <t>IFAD EFS</t>
  </si>
  <si>
    <t>Dub M2</t>
  </si>
  <si>
    <t>Oman Premium</t>
  </si>
  <si>
    <t>Prod</t>
  </si>
  <si>
    <t>PCC</t>
  </si>
  <si>
    <t>Code</t>
  </si>
  <si>
    <t>Strip</t>
  </si>
  <si>
    <t>LongCode</t>
  </si>
  <si>
    <t>BstHitPrc</t>
  </si>
  <si>
    <t>BstLiftPrc</t>
  </si>
  <si>
    <t>LstPrc</t>
  </si>
  <si>
    <t>LstDate</t>
  </si>
  <si>
    <t>LstBlkPrc</t>
  </si>
  <si>
    <t>LstBlkVol</t>
  </si>
  <si>
    <t>LstBlkTime</t>
  </si>
  <si>
    <t>BlkVol</t>
  </si>
  <si>
    <t>LastType</t>
  </si>
  <si>
    <t>LastTime</t>
  </si>
  <si>
    <t>LastPrice</t>
  </si>
  <si>
    <t>TotVol</t>
  </si>
  <si>
    <t>OI</t>
  </si>
  <si>
    <t>Text</t>
  </si>
  <si>
    <t>ICE Theoretical Price</t>
  </si>
  <si>
    <t>Rolling</t>
  </si>
  <si>
    <t>B0</t>
  </si>
  <si>
    <t>M0</t>
  </si>
  <si>
    <t>M4</t>
  </si>
  <si>
    <t>M5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</si>
  <si>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</si>
  <si>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</si>
  <si>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</si>
  <si>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</si>
  <si>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</si>
  <si>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</si>
  <si>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</si>
  <si>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</si>
  <si>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</si>
  <si>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</si>
  <si>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</si>
  <si>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</si>
  <si>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</si>
  <si>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</si>
  <si>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</si>
  <si>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</si>
  <si>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</si>
  <si>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</si>
  <si>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Q0</t>
  </si>
  <si>
    <t>Q1</t>
  </si>
  <si>
    <t>Q2</t>
  </si>
  <si>
    <t>Q3</t>
  </si>
  <si>
    <t>Q4</t>
  </si>
  <si>
    <t>Q5</t>
  </si>
  <si>
    <t>Q7</t>
  </si>
  <si>
    <t>Q8</t>
  </si>
  <si>
    <t>Y0</t>
  </si>
  <si>
    <t>Y1</t>
  </si>
  <si>
    <t>Y2</t>
  </si>
  <si>
    <t>napbrxmt</t>
  </si>
  <si>
    <t>napbrxbbl</t>
  </si>
  <si>
    <t>CALC</t>
  </si>
  <si>
    <t>ebobbrxmt</t>
  </si>
  <si>
    <t>ebobbrxbbl</t>
  </si>
  <si>
    <t>fo35brxmt</t>
  </si>
  <si>
    <t>fo35brxbbl</t>
  </si>
  <si>
    <t>fo05bfrbrxmt</t>
  </si>
  <si>
    <t>fo05bfrbrxbbl</t>
  </si>
  <si>
    <t>Bal Month</t>
  </si>
  <si>
    <t>fo05singbrxmt</t>
  </si>
  <si>
    <t>fo05singbrxbbl</t>
  </si>
  <si>
    <t>gobrxmt</t>
  </si>
  <si>
    <t>gobrxbbl</t>
  </si>
  <si>
    <t>gobrx</t>
  </si>
  <si>
    <t>cfdm1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</si>
  <si>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</si>
  <si>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</si>
  <si>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</si>
  <si>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</si>
  <si>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</si>
  <si>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</si>
  <si>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</si>
  <si>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</si>
  <si>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</si>
  <si>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cfdm2</t>
  </si>
  <si>
    <t>gosing</t>
  </si>
  <si>
    <t>mopag</t>
  </si>
  <si>
    <t>dub</t>
  </si>
  <si>
    <t>DBJ29446</t>
  </si>
  <si>
    <t>BM0</t>
  </si>
  <si>
    <t>DBI1227</t>
  </si>
  <si>
    <t>MM0</t>
  </si>
  <si>
    <t>MM10</t>
  </si>
  <si>
    <t>MM19</t>
  </si>
  <si>
    <t>MM1</t>
  </si>
  <si>
    <t>MM2</t>
  </si>
  <si>
    <t>MM3</t>
  </si>
  <si>
    <t>MM4</t>
  </si>
  <si>
    <t>MM5</t>
  </si>
  <si>
    <t>MM6</t>
  </si>
  <si>
    <t>MM7</t>
  </si>
  <si>
    <t>MM8</t>
  </si>
  <si>
    <t>MM9</t>
  </si>
  <si>
    <t>MM11</t>
  </si>
  <si>
    <t>MM12</t>
  </si>
  <si>
    <t>MM13</t>
  </si>
  <si>
    <t>MM14</t>
  </si>
  <si>
    <t>MM15</t>
  </si>
  <si>
    <t>MM16</t>
  </si>
  <si>
    <t>MM17</t>
  </si>
  <si>
    <t>MM18</t>
  </si>
  <si>
    <t>MM20</t>
  </si>
  <si>
    <t>MM21</t>
  </si>
  <si>
    <t>MM22</t>
  </si>
  <si>
    <t>MM23</t>
  </si>
  <si>
    <t>MM24</t>
  </si>
  <si>
    <t>MM25</t>
  </si>
  <si>
    <t>MM26</t>
  </si>
  <si>
    <t>MM27</t>
  </si>
  <si>
    <t>QQ0</t>
  </si>
  <si>
    <t>QQ1</t>
  </si>
  <si>
    <t>YY0</t>
  </si>
  <si>
    <t>dtd</t>
  </si>
  <si>
    <t>fo380</t>
  </si>
  <si>
    <t>WDF</t>
  </si>
  <si>
    <t>1!</t>
  </si>
  <si>
    <t>2!</t>
  </si>
  <si>
    <t>3!</t>
  </si>
  <si>
    <t>4!</t>
  </si>
  <si>
    <t>5!</t>
  </si>
  <si>
    <t>6!</t>
  </si>
  <si>
    <t>7!</t>
  </si>
  <si>
    <t>8!</t>
  </si>
  <si>
    <t>9!</t>
  </si>
  <si>
    <t>10!</t>
  </si>
  <si>
    <t>11!</t>
  </si>
  <si>
    <t>12!</t>
  </si>
  <si>
    <t>13!</t>
  </si>
  <si>
    <t>14!</t>
  </si>
  <si>
    <t>15!</t>
  </si>
  <si>
    <t>16!</t>
  </si>
  <si>
    <t>17!</t>
  </si>
  <si>
    <t>18!</t>
  </si>
  <si>
    <t>19!</t>
  </si>
  <si>
    <t>20!</t>
  </si>
  <si>
    <t>21!</t>
  </si>
  <si>
    <t>22!</t>
  </si>
  <si>
    <t>23!</t>
  </si>
  <si>
    <t>24!</t>
  </si>
  <si>
    <t>25!</t>
  </si>
  <si>
    <t>26!</t>
  </si>
  <si>
    <t>27!</t>
  </si>
  <si>
    <t>28!</t>
  </si>
  <si>
    <t>29!</t>
  </si>
  <si>
    <t>30!</t>
  </si>
  <si>
    <t>Q1!</t>
  </si>
  <si>
    <t>Q2!</t>
  </si>
  <si>
    <t>Q3!</t>
  </si>
  <si>
    <t>Q4!</t>
  </si>
  <si>
    <t>C2!</t>
  </si>
  <si>
    <t>TDL</t>
  </si>
  <si>
    <t>WNS</t>
  </si>
  <si>
    <t>WMJ</t>
  </si>
  <si>
    <t>WHK</t>
  </si>
  <si>
    <t>fo380brx</t>
  </si>
  <si>
    <t>Mth</t>
  </si>
  <si>
    <t>City</t>
  </si>
  <si>
    <t>Mth exp</t>
  </si>
  <si>
    <t>Settle time</t>
  </si>
  <si>
    <t>Exp time</t>
  </si>
  <si>
    <t>Settled</t>
  </si>
  <si>
    <t>key</t>
  </si>
  <si>
    <t>name</t>
  </si>
  <si>
    <t>xchgCode</t>
  </si>
  <si>
    <t>limit_bid</t>
  </si>
  <si>
    <t>limit_offer</t>
  </si>
  <si>
    <t>limit_spr_bid</t>
  </si>
  <si>
    <t>limit_spr_offer</t>
  </si>
  <si>
    <t>limit_long</t>
  </si>
  <si>
    <t>limit_short</t>
  </si>
  <si>
    <t>multiplier</t>
  </si>
  <si>
    <t>F</t>
  </si>
  <si>
    <t>CHI</t>
  </si>
  <si>
    <t>BOD</t>
  </si>
  <si>
    <t>G</t>
  </si>
  <si>
    <t>NYC</t>
  </si>
  <si>
    <t>brdub_bm</t>
  </si>
  <si>
    <t>Brent/Dubai Swap (Balmo)</t>
  </si>
  <si>
    <t>BOH</t>
  </si>
  <si>
    <t>H</t>
  </si>
  <si>
    <t>LDN</t>
  </si>
  <si>
    <t>bfoetm1</t>
  </si>
  <si>
    <t>Daily BFOET M1 Swap</t>
  </si>
  <si>
    <t>BF1</t>
  </si>
  <si>
    <t>J</t>
  </si>
  <si>
    <t>DUB</t>
  </si>
  <si>
    <t>bfoetm2</t>
  </si>
  <si>
    <t>Daily BFOET M2 Swap</t>
  </si>
  <si>
    <t>BF2</t>
  </si>
  <si>
    <t>SGP</t>
  </si>
  <si>
    <t>bfoetm3</t>
  </si>
  <si>
    <t>Daily BFOET M3 Swap</t>
  </si>
  <si>
    <t>BF3</t>
  </si>
  <si>
    <t>M</t>
  </si>
  <si>
    <t>dtddly</t>
  </si>
  <si>
    <t>Daily Dated Brent Swap</t>
  </si>
  <si>
    <t>DDB</t>
  </si>
  <si>
    <t>dfldly</t>
  </si>
  <si>
    <t>Daily DFL Swap</t>
  </si>
  <si>
    <t>DBL</t>
  </si>
  <si>
    <t>Q</t>
  </si>
  <si>
    <t>PDB</t>
  </si>
  <si>
    <t>U</t>
  </si>
  <si>
    <t>dtd_bm</t>
  </si>
  <si>
    <t>Dated Brent Swap (Balmo)</t>
  </si>
  <si>
    <t>DBQ</t>
  </si>
  <si>
    <t>V</t>
  </si>
  <si>
    <t>UTC</t>
  </si>
  <si>
    <t>DST</t>
  </si>
  <si>
    <t>DST Start</t>
  </si>
  <si>
    <t>DST End</t>
  </si>
  <si>
    <t>dtd_mn</t>
  </si>
  <si>
    <t>Dated Brent Swap (Mini)</t>
  </si>
  <si>
    <t>PDM</t>
  </si>
  <si>
    <t>X</t>
  </si>
  <si>
    <t>dtddub</t>
  </si>
  <si>
    <t>Dated Brent/Dubai Swap</t>
  </si>
  <si>
    <t>PDD</t>
  </si>
  <si>
    <t>Z</t>
  </si>
  <si>
    <t>DBF</t>
  </si>
  <si>
    <t>DBI</t>
  </si>
  <si>
    <t>dub_bm</t>
  </si>
  <si>
    <t>Dubai Swap (Balmo)</t>
  </si>
  <si>
    <t>DBJ</t>
  </si>
  <si>
    <t>dub_mn</t>
  </si>
  <si>
    <t>Dubai Swap (Mini)</t>
  </si>
  <si>
    <t>DBM</t>
  </si>
  <si>
    <t>c2ntet</t>
  </si>
  <si>
    <t>Ethane MB Non-TET Swap</t>
  </si>
  <si>
    <t>ETE</t>
  </si>
  <si>
    <t>fo180</t>
  </si>
  <si>
    <t>FO 180cst Sing Swap</t>
  </si>
  <si>
    <t>SZS</t>
  </si>
  <si>
    <t>fo180_bm</t>
  </si>
  <si>
    <t>FO 180cst Sing Swap (Balmo)</t>
  </si>
  <si>
    <t>SZT</t>
  </si>
  <si>
    <t>hsfoew180</t>
  </si>
  <si>
    <t>FO 180cst Sing/3.5% FOB Rdam Swap</t>
  </si>
  <si>
    <t>SFS</t>
  </si>
  <si>
    <t>CME</t>
  </si>
  <si>
    <t>Platts Crude</t>
  </si>
  <si>
    <t>fo180brx</t>
  </si>
  <si>
    <t>FO 180cst Sing/Brent Crx Swap</t>
  </si>
  <si>
    <t>SBS</t>
  </si>
  <si>
    <t>fo180dubx</t>
  </si>
  <si>
    <t>FO 180cst Sing/Dubai Crx Swap</t>
  </si>
  <si>
    <t>SES</t>
  </si>
  <si>
    <t>fo35bfr_bm</t>
  </si>
  <si>
    <t>FO 3.5% FOB Rdam Swap (Balmo)</t>
  </si>
  <si>
    <t>BAS</t>
  </si>
  <si>
    <t>BOA</t>
  </si>
  <si>
    <t>fo35brxbbl_bm</t>
  </si>
  <si>
    <t>FO 3.5% FOB Rdam/Brent Crx Swap bbl (Balmo)</t>
  </si>
  <si>
    <t>FOO</t>
  </si>
  <si>
    <t>fo35brxbbl_mn</t>
  </si>
  <si>
    <t>FO 3.5% FOB Rdam/Brent Crx Swap bbl (Mini)</t>
  </si>
  <si>
    <t>FOY</t>
  </si>
  <si>
    <t>fo35brxmt_mn</t>
  </si>
  <si>
    <t>FO 3.5% FOB Rdam/Brent Crx Swap mt (Mini)</t>
  </si>
  <si>
    <t>FQY</t>
  </si>
  <si>
    <t>fo35brxmt_mn_bm</t>
  </si>
  <si>
    <t>FO 3.5% FOB Rdam/Brent Crx Swap mt (Mini, Balmo)</t>
  </si>
  <si>
    <t>FQZ</t>
  </si>
  <si>
    <t>SYS</t>
  </si>
  <si>
    <t>fo380_bm</t>
  </si>
  <si>
    <t>FO 380cst Sing Swap (Balmo)</t>
  </si>
  <si>
    <t>SYT</t>
  </si>
  <si>
    <t>FO 380cst Sing/3.5% FOB Rdam Swap</t>
  </si>
  <si>
    <t>SJS</t>
  </si>
  <si>
    <t>hsfoew_bm</t>
  </si>
  <si>
    <t>FO 380cst Sing/3.5% FOB Rdam Swap (Balmo)</t>
  </si>
  <si>
    <t>SKS</t>
  </si>
  <si>
    <t>SPS</t>
  </si>
  <si>
    <t>fo380dubx</t>
  </si>
  <si>
    <t>FO 380cst Sing/Dubai Crx Swap</t>
  </si>
  <si>
    <t>SLS</t>
  </si>
  <si>
    <t>goew_bm</t>
  </si>
  <si>
    <t>Gasoil Sing/ICE Gasoil Swap (Balmo)</t>
  </si>
  <si>
    <t>GSL</t>
  </si>
  <si>
    <t>hsfogc</t>
  </si>
  <si>
    <t>HSFO USGC Swap</t>
  </si>
  <si>
    <t>RBO</t>
  </si>
  <si>
    <t>hsfogc_bm</t>
  </si>
  <si>
    <t>HSFO USGC Swap (Balmo)</t>
  </si>
  <si>
    <t>RBP</t>
  </si>
  <si>
    <t>hsfogcara</t>
  </si>
  <si>
    <t>HSFO USGC/3.5% FOB Rdam Swap</t>
  </si>
  <si>
    <t>GOE</t>
  </si>
  <si>
    <t>hsfogcbrx</t>
  </si>
  <si>
    <t>HSFO USGC/Brent Crx Swap</t>
  </si>
  <si>
    <t>GCS</t>
  </si>
  <si>
    <t>hsfogcbrx_bm</t>
  </si>
  <si>
    <t>HSFO USGC/Brent Crx Swap (Balmo)</t>
  </si>
  <si>
    <t>GCT</t>
  </si>
  <si>
    <t>hsfogctix</t>
  </si>
  <si>
    <t>HSFO USGC/WTI Crx Swap</t>
  </si>
  <si>
    <t>GUF</t>
  </si>
  <si>
    <t>icellstitma</t>
  </si>
  <si>
    <t>ICE Argus LLS/WTI TMA Swap</t>
  </si>
  <si>
    <t>ARL</t>
  </si>
  <si>
    <t>icemarstitma</t>
  </si>
  <si>
    <t>ICE Argus Mars/WTI TMA Swap</t>
  </si>
  <si>
    <t>ARW</t>
  </si>
  <si>
    <t>icemehtitma</t>
  </si>
  <si>
    <t>ICE Argus MEH/WTI TMA Swap</t>
  </si>
  <si>
    <t>ACM</t>
  </si>
  <si>
    <t>icemidcma</t>
  </si>
  <si>
    <t>ICE Argus Midland CMA Swap</t>
  </si>
  <si>
    <t>JFR</t>
  </si>
  <si>
    <t>icebrcso</t>
  </si>
  <si>
    <t>ICE Brent 1-Month CSO</t>
  </si>
  <si>
    <t>BRM</t>
  </si>
  <si>
    <t>icebrf</t>
  </si>
  <si>
    <t>B</t>
  </si>
  <si>
    <t>icebro</t>
  </si>
  <si>
    <t>B_OPT</t>
  </si>
  <si>
    <t>icebrs</t>
  </si>
  <si>
    <t>I</t>
  </si>
  <si>
    <t>icebrs_bm</t>
  </si>
  <si>
    <t>ICE Brent Swap (Balmo)</t>
  </si>
  <si>
    <t>BSQ</t>
  </si>
  <si>
    <t>icebrs_mn</t>
  </si>
  <si>
    <t>ICE Brent Swap (Mini)</t>
  </si>
  <si>
    <t>IMM</t>
  </si>
  <si>
    <t>icegof</t>
  </si>
  <si>
    <t>icegos_bm</t>
  </si>
  <si>
    <t>ICE Gasoil Swap (Balmo)</t>
  </si>
  <si>
    <t>ULV</t>
  </si>
  <si>
    <t>ULD</t>
  </si>
  <si>
    <t>gobrxbbl_bm</t>
  </si>
  <si>
    <t>ICE Gasoil/Brent Crx Swap bbl (Balmo)</t>
  </si>
  <si>
    <t>LVA</t>
  </si>
  <si>
    <t>gobrxbbl_mn</t>
  </si>
  <si>
    <t>ICE Gasoil/Brent Crx Swap bbl (Mini)</t>
  </si>
  <si>
    <t>LVB</t>
  </si>
  <si>
    <t>ICE Gasoil/Brent Crx Swap mt</t>
  </si>
  <si>
    <t>ULC</t>
  </si>
  <si>
    <t>gobrxmt_bm</t>
  </si>
  <si>
    <t>ICE Gasoil/Brent Crx Swap mt (Balmo)</t>
  </si>
  <si>
    <t>UL8</t>
  </si>
  <si>
    <t>icehof</t>
  </si>
  <si>
    <t>ICE Heating Oil Fut</t>
  </si>
  <si>
    <t>O</t>
  </si>
  <si>
    <t>icehos</t>
  </si>
  <si>
    <t>ICE Heating Oil Swap</t>
  </si>
  <si>
    <t>HOF</t>
  </si>
  <si>
    <t>icehos_bm</t>
  </si>
  <si>
    <t>ICE Heating Oil Swap (Balmo)</t>
  </si>
  <si>
    <t>DDF</t>
  </si>
  <si>
    <t>icehos_mn</t>
  </si>
  <si>
    <t>ICE Heating Oil Swap (Mini)</t>
  </si>
  <si>
    <t>HOM</t>
  </si>
  <si>
    <t>icehobrx</t>
  </si>
  <si>
    <t>ICE Heating Oil/Brent Crx Swap</t>
  </si>
  <si>
    <t>HBT</t>
  </si>
  <si>
    <t>icehotix</t>
  </si>
  <si>
    <t>ICE Heating Oil/WTI Crx Swap</t>
  </si>
  <si>
    <t>HBW</t>
  </si>
  <si>
    <t>icemehmid</t>
  </si>
  <si>
    <t>ICE MEH/Midland Swap</t>
  </si>
  <si>
    <t>MSN</t>
  </si>
  <si>
    <t>ICE Midland/WTI CMA Swap</t>
  </si>
  <si>
    <t>MLT</t>
  </si>
  <si>
    <t>icerbf</t>
  </si>
  <si>
    <t>ICE RBOB Fut</t>
  </si>
  <si>
    <t>icerbs</t>
  </si>
  <si>
    <t>ICE RBOB Swap</t>
  </si>
  <si>
    <t>RBS</t>
  </si>
  <si>
    <t>icerbs_bm</t>
  </si>
  <si>
    <t>ICE RBOB Swap (Balmo)</t>
  </si>
  <si>
    <t>RSE</t>
  </si>
  <si>
    <t>icerbs_mn</t>
  </si>
  <si>
    <t>ICE RBOB Swap (Mini)</t>
  </si>
  <si>
    <t>RBM</t>
  </si>
  <si>
    <t>icewcsticma</t>
  </si>
  <si>
    <t>ICE WCS/WTI CMA Swap</t>
  </si>
  <si>
    <t>ARV</t>
  </si>
  <si>
    <t>icetiblt</t>
  </si>
  <si>
    <t>ICE WTI Bullet Swap</t>
  </si>
  <si>
    <t>WTB</t>
  </si>
  <si>
    <t>icetif</t>
  </si>
  <si>
    <t>T</t>
  </si>
  <si>
    <t>icetio</t>
  </si>
  <si>
    <t>T_OPT</t>
  </si>
  <si>
    <t>icetis_bm</t>
  </si>
  <si>
    <t>ICE WTI Swap (Balmo)</t>
  </si>
  <si>
    <t>WBT</t>
  </si>
  <si>
    <t>icetis_mn</t>
  </si>
  <si>
    <t>ICE WTI Swap (Mini)</t>
  </si>
  <si>
    <t>RMM</t>
  </si>
  <si>
    <t>icetibrblt</t>
  </si>
  <si>
    <t>ICE WTI/Brent Bullet Swap</t>
  </si>
  <si>
    <t>TIB</t>
  </si>
  <si>
    <t>icetibrs</t>
  </si>
  <si>
    <t>ICE WTI/Brent Swap</t>
  </si>
  <si>
    <t>BTD</t>
  </si>
  <si>
    <t>icetibrs_bm</t>
  </si>
  <si>
    <t>ICE WTI/Brent Swap (Balmo)</t>
  </si>
  <si>
    <t>BTE</t>
  </si>
  <si>
    <t>lsfonyhfnc</t>
  </si>
  <si>
    <t>LSFO 1% NYH/FOB NWE Swap</t>
  </si>
  <si>
    <t>FOH</t>
  </si>
  <si>
    <t>TEO</t>
  </si>
  <si>
    <t>MFO 0.5% FOB Sing/Brent Crx Swap mt</t>
  </si>
  <si>
    <t>TEN</t>
  </si>
  <si>
    <t>fo05singbrxmt_bm</t>
  </si>
  <si>
    <t>MFO 0.5% FOB Sing/Brent Crx Swap mt (Balmo)</t>
  </si>
  <si>
    <t>MHF</t>
  </si>
  <si>
    <t>fo05gcbrx</t>
  </si>
  <si>
    <t>MFO 0.5% FOB USGC/Brent Crx Swap</t>
  </si>
  <si>
    <t>FOQ</t>
  </si>
  <si>
    <t>mg95brx</t>
  </si>
  <si>
    <t>Mogas 95/Brent Crx Swap</t>
  </si>
  <si>
    <t>SFB</t>
  </si>
  <si>
    <t>nymmehtitma</t>
  </si>
  <si>
    <t>NYM Argus MEH/WTI TMA Swap</t>
  </si>
  <si>
    <t>HTT</t>
  </si>
  <si>
    <t>nymmidticma</t>
  </si>
  <si>
    <t>NYM Argus Midland/WTI CMA Swap</t>
  </si>
  <si>
    <t>FF</t>
  </si>
  <si>
    <t>nymmidtitma</t>
  </si>
  <si>
    <t>NYM Argus Midland/WTI TMA Swap</t>
  </si>
  <si>
    <t>WTT</t>
  </si>
  <si>
    <t>nymbrf</t>
  </si>
  <si>
    <t>NYM Brent Fut</t>
  </si>
  <si>
    <t>BZ</t>
  </si>
  <si>
    <t>nymbrs</t>
  </si>
  <si>
    <t>NYM Brent Swap</t>
  </si>
  <si>
    <t>CY</t>
  </si>
  <si>
    <t>nymhof</t>
  </si>
  <si>
    <t>NYM Heating Oil Fut</t>
  </si>
  <si>
    <t>nymhos</t>
  </si>
  <si>
    <t>NYM Heating Oil Swap</t>
  </si>
  <si>
    <t>MPX</t>
  </si>
  <si>
    <t>nymhos_bm</t>
  </si>
  <si>
    <t>NYM Heating Oil Swap (Balmo)</t>
  </si>
  <si>
    <t>1G</t>
  </si>
  <si>
    <t>hobrx</t>
  </si>
  <si>
    <t>NYM Heating Oil/Brent Crx Swap</t>
  </si>
  <si>
    <t>HOB</t>
  </si>
  <si>
    <t>hotix</t>
  </si>
  <si>
    <t>NYM Heating Oil/WTI Crx Swap</t>
  </si>
  <si>
    <t>HK</t>
  </si>
  <si>
    <t>nymrbf</t>
  </si>
  <si>
    <t>NYM RBOB Fut</t>
  </si>
  <si>
    <t>RB</t>
  </si>
  <si>
    <t>nymrbs</t>
  </si>
  <si>
    <t>NYM RBOB Swap</t>
  </si>
  <si>
    <t>RL</t>
  </si>
  <si>
    <t>nymrbbr</t>
  </si>
  <si>
    <t>NYM RBOB/Brent Crx Swap</t>
  </si>
  <si>
    <t>RBB</t>
  </si>
  <si>
    <t>nymrbtix</t>
  </si>
  <si>
    <t>NYM RBOB/WTI Crx Swap</t>
  </si>
  <si>
    <t>RM</t>
  </si>
  <si>
    <t>nymtiblt</t>
  </si>
  <si>
    <t>NYM WTI Bullet Swap</t>
  </si>
  <si>
    <t>WS</t>
  </si>
  <si>
    <t>nymtif</t>
  </si>
  <si>
    <t>nymtio</t>
  </si>
  <si>
    <t>NYM WTI Opt</t>
  </si>
  <si>
    <t>LO</t>
  </si>
  <si>
    <t>nymtis</t>
  </si>
  <si>
    <t>NYM WTI Swap</t>
  </si>
  <si>
    <t>CS</t>
  </si>
  <si>
    <t>nymtibrblt</t>
  </si>
  <si>
    <t>NYM WTI/Brent Bullet Swap</t>
  </si>
  <si>
    <t>BY</t>
  </si>
  <si>
    <t>nymtibrs</t>
  </si>
  <si>
    <t>NYM WTI/Brent Swap</t>
  </si>
  <si>
    <t>BK</t>
  </si>
  <si>
    <t>vmacmcoh</t>
  </si>
  <si>
    <t>Brent Hrly Vol Carry - Macq</t>
  </si>
  <si>
    <t>VMACMCOH</t>
  </si>
  <si>
    <t>icegocso</t>
  </si>
  <si>
    <t>ICE Gasoil 1-Month CSO</t>
  </si>
  <si>
    <t>UUM</t>
  </si>
  <si>
    <t>murbf</t>
  </si>
  <si>
    <t>IFAD Murban Fut</t>
  </si>
  <si>
    <t>ADM</t>
  </si>
  <si>
    <t>cfddlym1</t>
  </si>
  <si>
    <t>Daily CFD 1st Month</t>
  </si>
  <si>
    <t>BSM</t>
  </si>
  <si>
    <t>cfddlym2</t>
  </si>
  <si>
    <t>Daily CFD 2nd Month</t>
  </si>
  <si>
    <t>BTM</t>
  </si>
  <si>
    <t>cfddlym3</t>
  </si>
  <si>
    <t>Daily CFD 3rd Month</t>
  </si>
  <si>
    <t>BUM</t>
  </si>
  <si>
    <t>Weekly CFD 1st Month</t>
  </si>
  <si>
    <t>CFD</t>
  </si>
  <si>
    <t>cfdmthm1</t>
  </si>
  <si>
    <t>Monthly CFD 1st Month</t>
  </si>
  <si>
    <t>CFL</t>
  </si>
  <si>
    <t>cfdmthm2</t>
  </si>
  <si>
    <t>Monthly CFD 2nd Month</t>
  </si>
  <si>
    <t>CFM</t>
  </si>
  <si>
    <t>dfl_bm</t>
  </si>
  <si>
    <t>DFL Swap (Balmo)</t>
  </si>
  <si>
    <t>DBG</t>
  </si>
  <si>
    <t>icegoo</t>
  </si>
  <si>
    <t>G_OPT</t>
  </si>
  <si>
    <t>Value</t>
  </si>
  <si>
    <t>Current time zone</t>
  </si>
  <si>
    <t>Fut crv liquidity cut-off</t>
  </si>
  <si>
    <t>Bbg latency</t>
  </si>
  <si>
    <t>ICE connection</t>
  </si>
  <si>
    <t>Last ICE settlement</t>
  </si>
  <si>
    <t>Last CME settlement</t>
  </si>
  <si>
    <t>MANAGEMENT BOOK</t>
  </si>
  <si>
    <t>26Q</t>
  </si>
  <si>
    <t>COQ6</t>
  </si>
  <si>
    <t>Estimated Min PnL</t>
  </si>
  <si>
    <t>G Jun26</t>
  </si>
  <si>
    <t>Direct</t>
  </si>
  <si>
    <t>YMINDREN</t>
  </si>
  <si>
    <t>YMindren</t>
  </si>
  <si>
    <t>CL May26</t>
  </si>
  <si>
    <t>BRN Jun26-Jul26 Calendar</t>
  </si>
  <si>
    <t>P</t>
  </si>
  <si>
    <t>BRENT</t>
  </si>
  <si>
    <t>EW</t>
  </si>
  <si>
    <t>Crude greeks</t>
  </si>
  <si>
    <t>Gasoil greeks</t>
  </si>
  <si>
    <t>f ($/mt)</t>
  </si>
  <si>
    <t>Afra</t>
  </si>
  <si>
    <t>td3c_bm</t>
  </si>
  <si>
    <t>afrausgukc</t>
  </si>
  <si>
    <t>afrausgukc_bm</t>
  </si>
  <si>
    <t>td20</t>
  </si>
  <si>
    <t>TD3C MEG-China</t>
  </si>
  <si>
    <t>TD3C MEG-China (Balmo)</t>
  </si>
  <si>
    <t>Afra USGC-UKC (incl. ETS) (Balmo)</t>
  </si>
  <si>
    <t>TD20 WAF-UKC</t>
  </si>
  <si>
    <t>TDM</t>
  </si>
  <si>
    <t>DUR</t>
  </si>
  <si>
    <t>TDC</t>
  </si>
  <si>
    <t>LIVE</t>
  </si>
  <si>
    <t>STRESS</t>
  </si>
  <si>
    <t>PNL</t>
  </si>
  <si>
    <t>Gasoil CS</t>
  </si>
  <si>
    <r>
      <t>Vega ($/</t>
    </r>
    <r>
      <rPr>
        <sz val="11"/>
        <color theme="1"/>
        <rFont val="Aptos Narrow"/>
        <family val="2"/>
      </rPr>
      <t>σ</t>
    </r>
    <r>
      <rPr>
        <sz val="11"/>
        <color theme="1"/>
        <rFont val="Aptos Narrow"/>
        <family val="2"/>
        <scheme val="minor"/>
      </rPr>
      <t>)</t>
    </r>
  </si>
  <si>
    <t>CRUDE</t>
  </si>
  <si>
    <t>Stop</t>
  </si>
  <si>
    <t>lots (SoD)</t>
  </si>
  <si>
    <t>ticker</t>
  </si>
  <si>
    <t>Diff</t>
  </si>
  <si>
    <t>p ($/b)</t>
  </si>
  <si>
    <t>vega (k$/pct)</t>
  </si>
  <si>
    <t>delta (lots)</t>
  </si>
  <si>
    <t>gamma (lots)</t>
  </si>
  <si>
    <t>t (yrs)</t>
  </si>
  <si>
    <t>pt_val ($)</t>
  </si>
  <si>
    <t>vol (pct)</t>
  </si>
  <si>
    <t>atm (pct)</t>
  </si>
  <si>
    <t>skew (pct)</t>
  </si>
  <si>
    <t>wings (pct)</t>
  </si>
  <si>
    <t>p ($/mt)</t>
  </si>
  <si>
    <t>f (%)</t>
  </si>
  <si>
    <t>f ($/b)</t>
  </si>
  <si>
    <t>26U</t>
  </si>
  <si>
    <t>COU6</t>
  </si>
  <si>
    <t>FE</t>
  </si>
  <si>
    <t>MW</t>
  </si>
  <si>
    <t>BE</t>
  </si>
  <si>
    <t>Today</t>
  </si>
  <si>
    <t>Days</t>
  </si>
  <si>
    <t>COQ6 Comdty</t>
  </si>
  <si>
    <t>COU6 Comdty</t>
  </si>
  <si>
    <t>Dates</t>
  </si>
  <si>
    <t>PCAJG00 PL Index</t>
  </si>
  <si>
    <t>PCAAT00 PL Index</t>
  </si>
  <si>
    <t>PCAAS00 PL Index</t>
  </si>
  <si>
    <t>Brent Ldn</t>
  </si>
  <si>
    <t>Brent Sing</t>
  </si>
  <si>
    <t>BCE1 Index</t>
  </si>
  <si>
    <t>BCE2 Index</t>
  </si>
  <si>
    <t>CO1 Comdty</t>
  </si>
  <si>
    <t>U6/Z6</t>
  </si>
  <si>
    <t>COZ6</t>
  </si>
  <si>
    <t>FP MOVE</t>
  </si>
  <si>
    <t>CRX MOVE</t>
  </si>
  <si>
    <t>Total delta (kb)</t>
  </si>
  <si>
    <t>Z6/Z7</t>
  </si>
  <si>
    <t>Z7/Z8</t>
  </si>
  <si>
    <t>ULSD NWE</t>
  </si>
  <si>
    <t>BalMo</t>
  </si>
  <si>
    <t>BalMo/M1</t>
  </si>
  <si>
    <t>Stops</t>
  </si>
  <si>
    <t>Total theta (k$/day)</t>
  </si>
  <si>
    <t>Total greeks</t>
  </si>
  <si>
    <t>Flat price expo (kb)</t>
  </si>
  <si>
    <t>MOPL fp (last)</t>
  </si>
  <si>
    <t>MOPL</t>
  </si>
  <si>
    <t>Frontline</t>
  </si>
  <si>
    <t>Adj days</t>
  </si>
  <si>
    <t>Window strip</t>
  </si>
  <si>
    <t>Daily structure</t>
  </si>
  <si>
    <t>M1/M2</t>
  </si>
  <si>
    <t>Ticker</t>
  </si>
  <si>
    <t>Window date</t>
  </si>
  <si>
    <t>Futures</t>
  </si>
  <si>
    <t>10ppm Swaps</t>
  </si>
  <si>
    <t>MOPL (last)</t>
  </si>
  <si>
    <t>Days in month</t>
  </si>
  <si>
    <t>Last diff implied</t>
  </si>
  <si>
    <t>Mid-Month Calc</t>
  </si>
  <si>
    <t>10ppm</t>
  </si>
  <si>
    <t>N6/Q6/U6</t>
  </si>
  <si>
    <t>d1</t>
  </si>
  <si>
    <t>Flies</t>
  </si>
  <si>
    <t>M6/N6/Q6</t>
  </si>
  <si>
    <t>K6/M6/N6</t>
  </si>
  <si>
    <t>Previous diffs</t>
  </si>
  <si>
    <t>U6</t>
  </si>
  <si>
    <t>Total premium at risk</t>
  </si>
  <si>
    <t>Q6/Z6</t>
  </si>
  <si>
    <t>Br u6/z6</t>
  </si>
  <si>
    <t>QSQ6</t>
  </si>
  <si>
    <t>26V</t>
  </si>
  <si>
    <t>COV6</t>
  </si>
  <si>
    <t>COV6 Comdty</t>
  </si>
  <si>
    <t>N6/U6</t>
  </si>
  <si>
    <t>QSQ6 1,300/1,500c</t>
  </si>
  <si>
    <t>Q4 TD3c</t>
  </si>
  <si>
    <t>Brent fp</t>
  </si>
  <si>
    <t>BID 12.50 ON GO CS</t>
  </si>
  <si>
    <t xml:space="preserve">  </t>
  </si>
  <si>
    <t>FAF</t>
  </si>
  <si>
    <t>Forties</t>
  </si>
  <si>
    <t>Troll</t>
  </si>
  <si>
    <t>Ekofisk</t>
  </si>
  <si>
    <t>Oseberg</t>
  </si>
  <si>
    <t>CFD avg</t>
  </si>
  <si>
    <t>EFP m1</t>
  </si>
  <si>
    <t>DFL print</t>
  </si>
  <si>
    <t>CIF</t>
  </si>
  <si>
    <t>QP M1</t>
  </si>
  <si>
    <t>QP M2</t>
  </si>
  <si>
    <t xml:space="preserve"> </t>
  </si>
  <si>
    <t xml:space="preserve"> .NA.</t>
  </si>
  <si>
    <t>COH6</t>
  </si>
  <si>
    <t>COJ6</t>
  </si>
  <si>
    <t>COK6</t>
  </si>
  <si>
    <t>COM6</t>
  </si>
  <si>
    <t>CON6</t>
  </si>
  <si>
    <t>V6</t>
  </si>
  <si>
    <t>COX6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</si>
</sst>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3" formatCode="_-* #,##0.00_-;\-* #,##0.00_-;_-* &quot;-&quot;??_-;_-@_-"/>
    <numFmt numFmtId="164" formatCode="mmmyy"/>
    <numFmt numFmtId="165" formatCode="[$-F400]h:mm:ss\ AM/PM"/>
    <numFmt numFmtId="166" formatCode="dd\-mmm\ hh:mm:ss"/>
    <numFmt numFmtId="167" formatCode="dd/mmm/yy"/>
    <numFmt numFmtId="168" formatCode="\+0.00;\-0.00;0.00"/>
    <numFmt numFmtId="169" formatCode="s&quot;s&quot;"/>
    <numFmt numFmtId="170" formatCode="0.000000"/>
    <numFmt numFmtId="171" formatCode="mmm"/>
    <numFmt numFmtId="172" formatCode="dd/mmm"/>
    <numFmt numFmtId="173" formatCode="#,##0.0"/>
    <numFmt numFmtId="174" formatCode="\+#,##0_ ;\-#,##0\ "/>
    <numFmt numFmtId="175" formatCode="\+#,##0.0_ ;\-#,##0.0\ "/>
    <numFmt numFmtId="176" formatCode="0.000"/>
    <numFmt numFmtId="177" formatCode="#,##0.0,"/>
    <numFmt numFmtId="178" formatCode="\+#,##0.0,;\-#,##0.0,"/>
    <numFmt numFmtId="179" formatCode="\+#,##0;\-#,##0;#,##0"/>
    <numFmt numFmtId="180" formatCode="\+#,##0;\-#,##0"/>
    <numFmt numFmtId="181" formatCode="0.0"/>
    <numFmt numFmtId="182" formatCode="\+#,##0.0;\-#,##0.0;#,##0.0"/>
    <numFmt numFmtId="183" formatCode="\+#,##0.00;\-#,##0.00;#,##0.00"/>
    <numFmt numFmtId="184" formatCode="dd\-mmm\-yy\,\ hh:mm\ AM/PM"/>
    <numFmt numFmtId="185" formatCode="_-* #,##0_-;\-* #,##0_-;_-* &quot;-&quot;??_-;_-@_-"/>
    <numFmt numFmtId="186" formatCode="0.000000000000000"/>
    <numFmt numFmtId="187" formatCode="\+0.0;\-0.0;0.0"/>
    <numFmt numFmtId="188" formatCode="0.0%"/>
    <numFmt numFmtId="189" formatCode="h:mm:ss;@"/>
    <numFmt numFmtId="190" formatCode="#,##0.0000000000000_ ;\-#,##0.0000000000000\ "/>
    <numFmt numFmtId="191" formatCode="0.00000"/>
    <numFmt numFmtId="192" formatCode="0.00000000000000"/>
    <numFmt numFmtId="193" formatCode="#,##0.000"/>
    <numFmt numFmtId="194" formatCode="dd/mm/yyyy;@"/>
    <numFmt numFmtId="195" formatCode="0.0000"/>
    <numFmt numFmtId="196" formatCode="#,##0_ ;\-#,##0\ "/>
    <numFmt numFmtId="197" formatCode="d\-mmm\-yy"/>
  </numFmts>
  <fonts count="3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rgb="FF00B0F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0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sz val="11"/>
      <color rgb="FFFF9900"/>
      <name val="Aptos Narrow"/>
      <family val="2"/>
      <scheme val="minor"/>
    </font>
    <font>
      <sz val="10"/>
      <color rgb="FFD0D3D4"/>
      <name val="Arial"/>
      <family val="2"/>
    </font>
    <font>
      <sz val="11"/>
      <color rgb="FF0070C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11"/>
      <color rgb="FF005A95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name val="Aptos Narrow"/>
      <family val="2"/>
      <scheme val="minor"/>
    </font>
    <font>
      <sz val="11"/>
      <color rgb="FFCC6600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rgb="FFFF000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rgb="FFFF99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theme="0"/>
      <name val="Aptos Narrow"/>
      <family val="2"/>
      <scheme val="minor"/>
    </font>
    <font>
      <b/>
      <sz val="11"/>
      <color theme="6" tint="0.79998168889431442"/>
      <name val="Aptos Narrow"/>
      <family val="2"/>
      <scheme val="minor"/>
    </font>
    <font>
      <sz val="11"/>
      <color theme="6" tint="0.79998168889431442"/>
      <name val="Aptos Narrow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5F5F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8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12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ck">
        <color rgb="FF000000"/>
      </top>
      <bottom/>
      <diagonal/>
    </border>
    <border>
      <left/>
      <right style="thin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hair">
        <color rgb="FF000000"/>
      </left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thick">
        <color rgb="FF000000"/>
      </right>
      <top/>
      <bottom/>
      <diagonal/>
    </border>
    <border>
      <left style="hair">
        <color rgb="FF000000"/>
      </left>
      <right style="thick">
        <color rgb="FF000000"/>
      </right>
      <top/>
      <bottom style="thin">
        <color rgb="FF000000"/>
      </bottom>
      <diagonal/>
    </border>
    <border>
      <left style="hair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/>
      <top style="medium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23" fillId="0" borderId="0" applyFont="0" applyFill="0" applyBorder="0" applyAlignment="0" applyProtection="0"/>
  </cellStyleXfs>
  <cellXfs count="8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/>
    <xf numFmtId="0" fontId="0" fillId="2" borderId="0" xfId="0" applyFill="1" applyAlignment="1">
      <alignment horizontal="left"/>
    </xf>
    <xf numFmtId="0" fontId="0" fillId="2" borderId="0" xfId="0" applyFill="1"/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right"/>
    </xf>
    <xf numFmtId="2" fontId="0" fillId="2" borderId="0" xfId="0" applyNumberFormat="1" applyFill="1"/>
    <xf numFmtId="14" fontId="0" fillId="0" borderId="0" xfId="0" applyNumberFormat="1" applyAlignment="1">
      <alignment horizontal="left"/>
    </xf>
    <xf numFmtId="14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8" fontId="0" fillId="2" borderId="0" xfId="0" applyNumberFormat="1" applyFill="1"/>
    <xf numFmtId="167" fontId="0" fillId="0" borderId="0" xfId="0" applyNumberFormat="1"/>
    <xf numFmtId="18" fontId="0" fillId="0" borderId="0" xfId="0" applyNumberFormat="1"/>
    <xf numFmtId="2" fontId="0" fillId="0" borderId="0" xfId="0" applyNumberFormat="1" applyAlignment="1">
      <alignment horizontal="right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5" fillId="2" borderId="0" xfId="0" applyNumberFormat="1" applyFont="1" applyFill="1"/>
    <xf numFmtId="0" fontId="5" fillId="2" borderId="0" xfId="0" applyFont="1" applyFill="1"/>
    <xf numFmtId="0" fontId="1" fillId="2" borderId="0" xfId="0" applyFont="1" applyFill="1"/>
    <xf numFmtId="164" fontId="0" fillId="2" borderId="0" xfId="0" applyNumberFormat="1" applyFill="1" applyAlignment="1">
      <alignment horizontal="left"/>
    </xf>
    <xf numFmtId="0" fontId="0" fillId="2" borderId="0" xfId="0" applyFill="1" applyAlignment="1">
      <alignment horizontal="right"/>
    </xf>
    <xf numFmtId="16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5" fillId="2" borderId="0" xfId="0" applyNumberFormat="1" applyFont="1" applyFill="1" applyAlignment="1">
      <alignment horizontal="right"/>
    </xf>
    <xf numFmtId="0" fontId="1" fillId="0" borderId="0" xfId="0" applyFont="1" applyAlignment="1">
      <alignment horizontal="right"/>
    </xf>
    <xf numFmtId="15" fontId="0" fillId="2" borderId="0" xfId="0" applyNumberFormat="1" applyFill="1"/>
    <xf numFmtId="15" fontId="1" fillId="2" borderId="0" xfId="0" applyNumberFormat="1" applyFont="1" applyFill="1"/>
    <xf numFmtId="15" fontId="1" fillId="2" borderId="0" xfId="0" applyNumberFormat="1" applyFont="1" applyFill="1" applyAlignment="1">
      <alignment horizontal="right"/>
    </xf>
    <xf numFmtId="2" fontId="1" fillId="0" borderId="0" xfId="0" applyNumberFormat="1" applyFont="1"/>
    <xf numFmtId="2" fontId="1" fillId="0" borderId="0" xfId="0" applyNumberFormat="1" applyFont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0" xfId="0" applyNumberFormat="1" applyAlignment="1">
      <alignment horizontal="left"/>
    </xf>
    <xf numFmtId="165" fontId="0" fillId="0" borderId="0" xfId="0" applyNumberFormat="1"/>
    <xf numFmtId="165" fontId="1" fillId="0" borderId="0" xfId="0" applyNumberFormat="1" applyFont="1"/>
    <xf numFmtId="4" fontId="1" fillId="0" borderId="0" xfId="0" applyNumberFormat="1" applyFont="1"/>
    <xf numFmtId="4" fontId="0" fillId="0" borderId="0" xfId="0" applyNumberFormat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" fillId="2" borderId="0" xfId="0" applyNumberFormat="1" applyFont="1" applyFill="1" applyAlignment="1">
      <alignment horizontal="left"/>
    </xf>
    <xf numFmtId="2" fontId="1" fillId="2" borderId="0" xfId="0" applyNumberFormat="1" applyFont="1" applyFill="1" applyAlignment="1">
      <alignment horizontal="right"/>
    </xf>
    <xf numFmtId="168" fontId="8" fillId="6" borderId="0" xfId="0" applyNumberFormat="1" applyFont="1" applyFill="1"/>
    <xf numFmtId="2" fontId="10" fillId="6" borderId="0" xfId="0" applyNumberFormat="1" applyFont="1" applyFill="1"/>
    <xf numFmtId="2" fontId="3" fillId="6" borderId="0" xfId="0" applyNumberFormat="1" applyFont="1" applyFill="1"/>
    <xf numFmtId="2" fontId="3" fillId="6" borderId="0" xfId="0" applyNumberFormat="1" applyFont="1" applyFill="1" applyAlignment="1">
      <alignment horizontal="right"/>
    </xf>
    <xf numFmtId="168" fontId="8" fillId="6" borderId="0" xfId="0" applyNumberFormat="1" applyFont="1" applyFill="1" applyAlignment="1">
      <alignment horizontal="right"/>
    </xf>
    <xf numFmtId="0" fontId="3" fillId="6" borderId="0" xfId="0" applyFont="1" applyFill="1"/>
    <xf numFmtId="0" fontId="8" fillId="6" borderId="0" xfId="0" applyFont="1" applyFill="1"/>
    <xf numFmtId="2" fontId="8" fillId="6" borderId="0" xfId="0" applyNumberFormat="1" applyFont="1" applyFill="1"/>
    <xf numFmtId="165" fontId="2" fillId="6" borderId="0" xfId="0" applyNumberFormat="1" applyFont="1" applyFill="1" applyAlignment="1">
      <alignment horizontal="left"/>
    </xf>
    <xf numFmtId="0" fontId="2" fillId="6" borderId="0" xfId="0" applyFont="1" applyFill="1" applyAlignment="1">
      <alignment horizontal="left"/>
    </xf>
    <xf numFmtId="165" fontId="3" fillId="6" borderId="0" xfId="0" applyNumberFormat="1" applyFont="1" applyFill="1" applyAlignment="1">
      <alignment horizontal="left"/>
    </xf>
    <xf numFmtId="0" fontId="3" fillId="6" borderId="0" xfId="0" applyFont="1" applyFill="1" applyAlignment="1">
      <alignment horizontal="left"/>
    </xf>
    <xf numFmtId="164" fontId="2" fillId="6" borderId="0" xfId="0" applyNumberFormat="1" applyFont="1" applyFill="1" applyAlignment="1">
      <alignment horizontal="left"/>
    </xf>
    <xf numFmtId="0" fontId="8" fillId="6" borderId="0" xfId="0" applyFont="1" applyFill="1" applyAlignment="1">
      <alignment horizontal="left"/>
    </xf>
    <xf numFmtId="164" fontId="3" fillId="6" borderId="0" xfId="0" applyNumberFormat="1" applyFont="1" applyFill="1" applyAlignment="1">
      <alignment horizontal="left"/>
    </xf>
    <xf numFmtId="15" fontId="3" fillId="6" borderId="0" xfId="0" applyNumberFormat="1" applyFont="1" applyFill="1"/>
    <xf numFmtId="168" fontId="10" fillId="6" borderId="0" xfId="0" applyNumberFormat="1" applyFont="1" applyFill="1"/>
    <xf numFmtId="168" fontId="3" fillId="6" borderId="0" xfId="0" applyNumberFormat="1" applyFont="1" applyFill="1"/>
    <xf numFmtId="2" fontId="8" fillId="6" borderId="0" xfId="0" applyNumberFormat="1" applyFont="1" applyFill="1" applyAlignment="1">
      <alignment horizontal="right"/>
    </xf>
    <xf numFmtId="0" fontId="3" fillId="6" borderId="0" xfId="0" applyFont="1" applyFill="1" applyAlignment="1">
      <alignment horizontal="right"/>
    </xf>
    <xf numFmtId="0" fontId="10" fillId="6" borderId="0" xfId="0" applyFont="1" applyFill="1"/>
    <xf numFmtId="4" fontId="8" fillId="6" borderId="0" xfId="0" applyNumberFormat="1" applyFont="1" applyFill="1"/>
    <xf numFmtId="4" fontId="3" fillId="6" borderId="0" xfId="0" applyNumberFormat="1" applyFont="1" applyFill="1"/>
    <xf numFmtId="4" fontId="2" fillId="6" borderId="0" xfId="0" applyNumberFormat="1" applyFont="1" applyFill="1" applyAlignment="1">
      <alignment horizontal="right"/>
    </xf>
    <xf numFmtId="164" fontId="2" fillId="6" borderId="0" xfId="0" applyNumberFormat="1" applyFont="1" applyFill="1"/>
    <xf numFmtId="3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/>
    <xf numFmtId="3" fontId="11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165" fontId="11" fillId="0" borderId="0" xfId="0" applyNumberFormat="1" applyFont="1" applyAlignment="1">
      <alignment horizontal="right"/>
    </xf>
    <xf numFmtId="164" fontId="7" fillId="6" borderId="0" xfId="0" applyNumberFormat="1" applyFont="1" applyFill="1"/>
    <xf numFmtId="170" fontId="0" fillId="0" borderId="0" xfId="0" applyNumberFormat="1"/>
    <xf numFmtId="3" fontId="12" fillId="0" borderId="0" xfId="0" applyNumberFormat="1" applyFont="1" applyAlignment="1">
      <alignment horizontal="right"/>
    </xf>
    <xf numFmtId="2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left"/>
    </xf>
    <xf numFmtId="4" fontId="11" fillId="0" borderId="0" xfId="0" applyNumberFormat="1" applyFont="1" applyAlignment="1">
      <alignment horizontal="right"/>
    </xf>
    <xf numFmtId="0" fontId="2" fillId="6" borderId="0" xfId="0" applyFont="1" applyFill="1"/>
    <xf numFmtId="0" fontId="2" fillId="6" borderId="0" xfId="0" applyFont="1" applyFill="1" applyAlignment="1">
      <alignment horizontal="right"/>
    </xf>
    <xf numFmtId="171" fontId="2" fillId="6" borderId="0" xfId="0" applyNumberFormat="1" applyFont="1" applyFill="1"/>
    <xf numFmtId="2" fontId="13" fillId="0" borderId="0" xfId="0" applyNumberFormat="1" applyFont="1"/>
    <xf numFmtId="0" fontId="14" fillId="0" borderId="0" xfId="0" applyFont="1" applyAlignment="1">
      <alignment horizontal="left"/>
    </xf>
    <xf numFmtId="3" fontId="15" fillId="0" borderId="0" xfId="0" applyNumberFormat="1" applyFont="1" applyAlignment="1">
      <alignment horizontal="left"/>
    </xf>
    <xf numFmtId="3" fontId="3" fillId="6" borderId="0" xfId="0" applyNumberFormat="1" applyFont="1" applyFill="1"/>
    <xf numFmtId="16" fontId="3" fillId="6" borderId="0" xfId="0" applyNumberFormat="1" applyFont="1" applyFill="1"/>
    <xf numFmtId="2" fontId="3" fillId="10" borderId="0" xfId="0" applyNumberFormat="1" applyFont="1" applyFill="1" applyAlignment="1">
      <alignment horizontal="right"/>
    </xf>
    <xf numFmtId="14" fontId="3" fillId="6" borderId="0" xfId="0" applyNumberFormat="1" applyFont="1" applyFill="1"/>
    <xf numFmtId="174" fontId="3" fillId="6" borderId="0" xfId="0" applyNumberFormat="1" applyFont="1" applyFill="1"/>
    <xf numFmtId="176" fontId="3" fillId="6" borderId="0" xfId="0" applyNumberFormat="1" applyFont="1" applyFill="1"/>
    <xf numFmtId="2" fontId="15" fillId="2" borderId="0" xfId="0" applyNumberFormat="1" applyFont="1" applyFill="1" applyAlignment="1">
      <alignment horizontal="right"/>
    </xf>
    <xf numFmtId="177" fontId="3" fillId="6" borderId="0" xfId="0" applyNumberFormat="1" applyFont="1" applyFill="1"/>
    <xf numFmtId="0" fontId="0" fillId="6" borderId="0" xfId="0" applyFill="1"/>
    <xf numFmtId="0" fontId="3" fillId="4" borderId="0" xfId="0" applyFont="1" applyFill="1" applyAlignment="1">
      <alignment horizontal="left"/>
    </xf>
    <xf numFmtId="0" fontId="3" fillId="4" borderId="0" xfId="0" applyFont="1" applyFill="1"/>
    <xf numFmtId="4" fontId="2" fillId="6" borderId="0" xfId="0" applyNumberFormat="1" applyFont="1" applyFill="1"/>
    <xf numFmtId="0" fontId="17" fillId="12" borderId="0" xfId="0" applyFont="1" applyFill="1"/>
    <xf numFmtId="0" fontId="15" fillId="12" borderId="0" xfId="0" applyFont="1" applyFill="1"/>
    <xf numFmtId="177" fontId="15" fillId="12" borderId="0" xfId="0" applyNumberFormat="1" applyFont="1" applyFill="1"/>
    <xf numFmtId="178" fontId="15" fillId="12" borderId="0" xfId="0" applyNumberFormat="1" applyFont="1" applyFill="1"/>
    <xf numFmtId="177" fontId="17" fillId="12" borderId="0" xfId="0" applyNumberFormat="1" applyFont="1" applyFill="1" applyAlignment="1">
      <alignment horizontal="right"/>
    </xf>
    <xf numFmtId="15" fontId="2" fillId="8" borderId="1" xfId="0" applyNumberFormat="1" applyFont="1" applyFill="1" applyBorder="1" applyAlignment="1">
      <alignment horizontal="center"/>
    </xf>
    <xf numFmtId="165" fontId="2" fillId="8" borderId="2" xfId="0" applyNumberFormat="1" applyFont="1" applyFill="1" applyBorder="1" applyAlignment="1">
      <alignment horizontal="center"/>
    </xf>
    <xf numFmtId="165" fontId="2" fillId="6" borderId="6" xfId="0" applyNumberFormat="1" applyFont="1" applyFill="1" applyBorder="1" applyAlignment="1">
      <alignment horizontal="left"/>
    </xf>
    <xf numFmtId="2" fontId="3" fillId="6" borderId="17" xfId="0" applyNumberFormat="1" applyFont="1" applyFill="1" applyBorder="1"/>
    <xf numFmtId="2" fontId="3" fillId="6" borderId="22" xfId="0" applyNumberFormat="1" applyFont="1" applyFill="1" applyBorder="1"/>
    <xf numFmtId="168" fontId="8" fillId="6" borderId="23" xfId="0" applyNumberFormat="1" applyFont="1" applyFill="1" applyBorder="1"/>
    <xf numFmtId="2" fontId="3" fillId="6" borderId="24" xfId="0" applyNumberFormat="1" applyFont="1" applyFill="1" applyBorder="1"/>
    <xf numFmtId="165" fontId="2" fillId="6" borderId="1" xfId="0" applyNumberFormat="1" applyFont="1" applyFill="1" applyBorder="1" applyAlignment="1">
      <alignment horizontal="left"/>
    </xf>
    <xf numFmtId="168" fontId="8" fillId="6" borderId="25" xfId="0" applyNumberFormat="1" applyFont="1" applyFill="1" applyBorder="1"/>
    <xf numFmtId="168" fontId="8" fillId="6" borderId="26" xfId="0" applyNumberFormat="1" applyFont="1" applyFill="1" applyBorder="1"/>
    <xf numFmtId="165" fontId="2" fillId="6" borderId="17" xfId="0" applyNumberFormat="1" applyFont="1" applyFill="1" applyBorder="1" applyAlignment="1">
      <alignment horizontal="left"/>
    </xf>
    <xf numFmtId="165" fontId="2" fillId="6" borderId="27" xfId="0" applyNumberFormat="1" applyFont="1" applyFill="1" applyBorder="1" applyAlignment="1">
      <alignment horizontal="left"/>
    </xf>
    <xf numFmtId="165" fontId="2" fillId="6" borderId="10" xfId="0" applyNumberFormat="1" applyFont="1" applyFill="1" applyBorder="1" applyAlignment="1">
      <alignment horizontal="left"/>
    </xf>
    <xf numFmtId="2" fontId="3" fillId="6" borderId="10" xfId="0" applyNumberFormat="1" applyFont="1" applyFill="1" applyBorder="1"/>
    <xf numFmtId="168" fontId="8" fillId="6" borderId="11" xfId="0" applyNumberFormat="1" applyFont="1" applyFill="1" applyBorder="1" applyAlignment="1">
      <alignment horizontal="right"/>
    </xf>
    <xf numFmtId="2" fontId="3" fillId="6" borderId="11" xfId="0" applyNumberFormat="1" applyFont="1" applyFill="1" applyBorder="1"/>
    <xf numFmtId="168" fontId="8" fillId="6" borderId="11" xfId="0" applyNumberFormat="1" applyFont="1" applyFill="1" applyBorder="1"/>
    <xf numFmtId="2" fontId="3" fillId="6" borderId="28" xfId="0" applyNumberFormat="1" applyFont="1" applyFill="1" applyBorder="1"/>
    <xf numFmtId="168" fontId="8" fillId="6" borderId="13" xfId="0" applyNumberFormat="1" applyFont="1" applyFill="1" applyBorder="1"/>
    <xf numFmtId="165" fontId="2" fillId="6" borderId="29" xfId="0" applyNumberFormat="1" applyFont="1" applyFill="1" applyBorder="1" applyAlignment="1">
      <alignment horizontal="left"/>
    </xf>
    <xf numFmtId="168" fontId="8" fillId="6" borderId="30" xfId="0" applyNumberFormat="1" applyFont="1" applyFill="1" applyBorder="1"/>
    <xf numFmtId="0" fontId="2" fillId="6" borderId="17" xfId="0" applyFont="1" applyFill="1" applyBorder="1" applyAlignment="1">
      <alignment horizontal="left"/>
    </xf>
    <xf numFmtId="0" fontId="2" fillId="6" borderId="27" xfId="0" applyFont="1" applyFill="1" applyBorder="1" applyAlignment="1">
      <alignment horizontal="left"/>
    </xf>
    <xf numFmtId="0" fontId="2" fillId="6" borderId="31" xfId="0" applyFont="1" applyFill="1" applyBorder="1" applyAlignment="1">
      <alignment horizontal="left"/>
    </xf>
    <xf numFmtId="2" fontId="3" fillId="6" borderId="31" xfId="0" applyNumberFormat="1" applyFont="1" applyFill="1" applyBorder="1"/>
    <xf numFmtId="168" fontId="8" fillId="6" borderId="32" xfId="0" applyNumberFormat="1" applyFont="1" applyFill="1" applyBorder="1" applyAlignment="1">
      <alignment horizontal="right"/>
    </xf>
    <xf numFmtId="2" fontId="3" fillId="6" borderId="32" xfId="0" applyNumberFormat="1" applyFont="1" applyFill="1" applyBorder="1"/>
    <xf numFmtId="168" fontId="8" fillId="6" borderId="32" xfId="0" applyNumberFormat="1" applyFont="1" applyFill="1" applyBorder="1"/>
    <xf numFmtId="2" fontId="3" fillId="6" borderId="33" xfId="0" applyNumberFormat="1" applyFont="1" applyFill="1" applyBorder="1"/>
    <xf numFmtId="168" fontId="8" fillId="6" borderId="34" xfId="0" applyNumberFormat="1" applyFont="1" applyFill="1" applyBorder="1"/>
    <xf numFmtId="0" fontId="2" fillId="6" borderId="2" xfId="0" applyFont="1" applyFill="1" applyBorder="1" applyAlignment="1">
      <alignment horizontal="left"/>
    </xf>
    <xf numFmtId="168" fontId="8" fillId="6" borderId="35" xfId="0" applyNumberFormat="1" applyFont="1" applyFill="1" applyBorder="1"/>
    <xf numFmtId="0" fontId="2" fillId="6" borderId="17" xfId="0" applyFont="1" applyFill="1" applyBorder="1" applyAlignment="1">
      <alignment horizontal="right"/>
    </xf>
    <xf numFmtId="0" fontId="2" fillId="6" borderId="22" xfId="0" applyFont="1" applyFill="1" applyBorder="1" applyAlignment="1">
      <alignment horizontal="right"/>
    </xf>
    <xf numFmtId="2" fontId="3" fillId="6" borderId="17" xfId="0" applyNumberFormat="1" applyFont="1" applyFill="1" applyBorder="1" applyAlignment="1">
      <alignment horizontal="right"/>
    </xf>
    <xf numFmtId="2" fontId="3" fillId="6" borderId="22" xfId="0" applyNumberFormat="1" applyFont="1" applyFill="1" applyBorder="1" applyAlignment="1">
      <alignment horizontal="right"/>
    </xf>
    <xf numFmtId="2" fontId="10" fillId="6" borderId="32" xfId="0" applyNumberFormat="1" applyFont="1" applyFill="1" applyBorder="1"/>
    <xf numFmtId="2" fontId="3" fillId="6" borderId="31" xfId="0" applyNumberFormat="1" applyFont="1" applyFill="1" applyBorder="1" applyAlignment="1">
      <alignment horizontal="right"/>
    </xf>
    <xf numFmtId="2" fontId="3" fillId="6" borderId="33" xfId="0" applyNumberFormat="1" applyFont="1" applyFill="1" applyBorder="1" applyAlignment="1">
      <alignment horizontal="right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right"/>
    </xf>
    <xf numFmtId="0" fontId="3" fillId="4" borderId="4" xfId="0" applyFont="1" applyFill="1" applyBorder="1" applyAlignment="1">
      <alignment horizontal="right"/>
    </xf>
    <xf numFmtId="0" fontId="3" fillId="4" borderId="5" xfId="0" applyFont="1" applyFill="1" applyBorder="1" applyAlignment="1">
      <alignment horizontal="right"/>
    </xf>
    <xf numFmtId="0" fontId="2" fillId="5" borderId="3" xfId="0" applyFont="1" applyFill="1" applyBorder="1" applyAlignment="1">
      <alignment horizontal="right"/>
    </xf>
    <xf numFmtId="0" fontId="2" fillId="5" borderId="4" xfId="0" applyFont="1" applyFill="1" applyBorder="1" applyAlignment="1">
      <alignment horizontal="right"/>
    </xf>
    <xf numFmtId="0" fontId="2" fillId="5" borderId="5" xfId="0" applyFont="1" applyFill="1" applyBorder="1" applyAlignment="1">
      <alignment horizontal="right"/>
    </xf>
    <xf numFmtId="0" fontId="2" fillId="5" borderId="3" xfId="0" applyFont="1" applyFill="1" applyBorder="1" applyAlignment="1">
      <alignment horizontal="left"/>
    </xf>
    <xf numFmtId="0" fontId="3" fillId="5" borderId="4" xfId="0" applyFont="1" applyFill="1" applyBorder="1"/>
    <xf numFmtId="0" fontId="2" fillId="6" borderId="1" xfId="0" applyFont="1" applyFill="1" applyBorder="1"/>
    <xf numFmtId="16" fontId="2" fillId="6" borderId="17" xfId="0" applyNumberFormat="1" applyFont="1" applyFill="1" applyBorder="1"/>
    <xf numFmtId="16" fontId="2" fillId="6" borderId="23" xfId="0" applyNumberFormat="1" applyFont="1" applyFill="1" applyBorder="1"/>
    <xf numFmtId="2" fontId="3" fillId="10" borderId="17" xfId="0" applyNumberFormat="1" applyFont="1" applyFill="1" applyBorder="1" applyAlignment="1">
      <alignment horizontal="right"/>
    </xf>
    <xf numFmtId="2" fontId="3" fillId="6" borderId="23" xfId="0" applyNumberFormat="1" applyFont="1" applyFill="1" applyBorder="1" applyAlignment="1">
      <alignment horizontal="right"/>
    </xf>
    <xf numFmtId="0" fontId="2" fillId="6" borderId="27" xfId="0" applyFont="1" applyFill="1" applyBorder="1"/>
    <xf numFmtId="2" fontId="3" fillId="6" borderId="37" xfId="0" applyNumberFormat="1" applyFont="1" applyFill="1" applyBorder="1"/>
    <xf numFmtId="0" fontId="10" fillId="6" borderId="26" xfId="0" applyFont="1" applyFill="1" applyBorder="1"/>
    <xf numFmtId="0" fontId="8" fillId="6" borderId="38" xfId="0" applyFont="1" applyFill="1" applyBorder="1"/>
    <xf numFmtId="0" fontId="8" fillId="6" borderId="26" xfId="0" applyFont="1" applyFill="1" applyBorder="1"/>
    <xf numFmtId="0" fontId="8" fillId="6" borderId="39" xfId="0" applyFont="1" applyFill="1" applyBorder="1"/>
    <xf numFmtId="0" fontId="2" fillId="6" borderId="2" xfId="0" applyFont="1" applyFill="1" applyBorder="1"/>
    <xf numFmtId="16" fontId="2" fillId="6" borderId="31" xfId="0" applyNumberFormat="1" applyFont="1" applyFill="1" applyBorder="1"/>
    <xf numFmtId="16" fontId="3" fillId="6" borderId="32" xfId="0" applyNumberFormat="1" applyFont="1" applyFill="1" applyBorder="1"/>
    <xf numFmtId="16" fontId="2" fillId="6" borderId="34" xfId="0" applyNumberFormat="1" applyFont="1" applyFill="1" applyBorder="1"/>
    <xf numFmtId="2" fontId="3" fillId="10" borderId="31" xfId="0" applyNumberFormat="1" applyFont="1" applyFill="1" applyBorder="1" applyAlignment="1">
      <alignment horizontal="right"/>
    </xf>
    <xf numFmtId="2" fontId="3" fillId="10" borderId="32" xfId="0" applyNumberFormat="1" applyFont="1" applyFill="1" applyBorder="1" applyAlignment="1">
      <alignment horizontal="right"/>
    </xf>
    <xf numFmtId="2" fontId="3" fillId="6" borderId="34" xfId="0" applyNumberFormat="1" applyFont="1" applyFill="1" applyBorder="1" applyAlignment="1">
      <alignment horizontal="right"/>
    </xf>
    <xf numFmtId="168" fontId="8" fillId="6" borderId="38" xfId="0" applyNumberFormat="1" applyFont="1" applyFill="1" applyBorder="1"/>
    <xf numFmtId="168" fontId="8" fillId="6" borderId="39" xfId="0" applyNumberFormat="1" applyFont="1" applyFill="1" applyBorder="1"/>
    <xf numFmtId="0" fontId="3" fillId="5" borderId="5" xfId="0" applyFont="1" applyFill="1" applyBorder="1" applyAlignment="1">
      <alignment horizontal="left"/>
    </xf>
    <xf numFmtId="0" fontId="2" fillId="5" borderId="4" xfId="0" applyFont="1" applyFill="1" applyBorder="1" applyAlignment="1">
      <alignment horizontal="left"/>
    </xf>
    <xf numFmtId="0" fontId="3" fillId="6" borderId="6" xfId="0" applyFont="1" applyFill="1" applyBorder="1"/>
    <xf numFmtId="2" fontId="3" fillId="6" borderId="6" xfId="0" applyNumberFormat="1" applyFont="1" applyFill="1" applyBorder="1"/>
    <xf numFmtId="0" fontId="3" fillId="6" borderId="8" xfId="0" applyFont="1" applyFill="1" applyBorder="1"/>
    <xf numFmtId="0" fontId="3" fillId="6" borderId="7" xfId="0" applyFont="1" applyFill="1" applyBorder="1"/>
    <xf numFmtId="0" fontId="3" fillId="6" borderId="17" xfId="0" applyFont="1" applyFill="1" applyBorder="1"/>
    <xf numFmtId="2" fontId="3" fillId="6" borderId="23" xfId="0" applyNumberFormat="1" applyFont="1" applyFill="1" applyBorder="1"/>
    <xf numFmtId="0" fontId="3" fillId="6" borderId="31" xfId="0" applyFont="1" applyFill="1" applyBorder="1"/>
    <xf numFmtId="2" fontId="3" fillId="6" borderId="34" xfId="0" applyNumberFormat="1" applyFont="1" applyFill="1" applyBorder="1"/>
    <xf numFmtId="0" fontId="3" fillId="6" borderId="32" xfId="0" applyFont="1" applyFill="1" applyBorder="1"/>
    <xf numFmtId="2" fontId="10" fillId="6" borderId="26" xfId="0" applyNumberFormat="1" applyFont="1" applyFill="1" applyBorder="1"/>
    <xf numFmtId="2" fontId="3" fillId="6" borderId="24" xfId="0" applyNumberFormat="1" applyFont="1" applyFill="1" applyBorder="1" applyAlignment="1">
      <alignment horizontal="right"/>
    </xf>
    <xf numFmtId="4" fontId="3" fillId="6" borderId="22" xfId="0" applyNumberFormat="1" applyFont="1" applyFill="1" applyBorder="1"/>
    <xf numFmtId="4" fontId="3" fillId="6" borderId="32" xfId="0" applyNumberFormat="1" applyFont="1" applyFill="1" applyBorder="1"/>
    <xf numFmtId="4" fontId="3" fillId="6" borderId="33" xfId="0" applyNumberFormat="1" applyFont="1" applyFill="1" applyBorder="1"/>
    <xf numFmtId="4" fontId="8" fillId="6" borderId="26" xfId="0" applyNumberFormat="1" applyFont="1" applyFill="1" applyBorder="1"/>
    <xf numFmtId="4" fontId="8" fillId="6" borderId="32" xfId="0" applyNumberFormat="1" applyFont="1" applyFill="1" applyBorder="1"/>
    <xf numFmtId="2" fontId="3" fillId="6" borderId="26" xfId="0" applyNumberFormat="1" applyFont="1" applyFill="1" applyBorder="1" applyAlignment="1">
      <alignment horizontal="right"/>
    </xf>
    <xf numFmtId="2" fontId="3" fillId="6" borderId="32" xfId="0" applyNumberFormat="1" applyFont="1" applyFill="1" applyBorder="1" applyAlignment="1">
      <alignment horizontal="right"/>
    </xf>
    <xf numFmtId="2" fontId="3" fillId="6" borderId="26" xfId="0" applyNumberFormat="1" applyFont="1" applyFill="1" applyBorder="1"/>
    <xf numFmtId="2" fontId="8" fillId="6" borderId="26" xfId="0" applyNumberFormat="1" applyFont="1" applyFill="1" applyBorder="1"/>
    <xf numFmtId="2" fontId="8" fillId="6" borderId="11" xfId="0" applyNumberFormat="1" applyFont="1" applyFill="1" applyBorder="1"/>
    <xf numFmtId="2" fontId="8" fillId="6" borderId="32" xfId="0" applyNumberFormat="1" applyFont="1" applyFill="1" applyBorder="1"/>
    <xf numFmtId="177" fontId="17" fillId="12" borderId="51" xfId="0" applyNumberFormat="1" applyFont="1" applyFill="1" applyBorder="1" applyAlignment="1">
      <alignment horizontal="right"/>
    </xf>
    <xf numFmtId="177" fontId="17" fillId="12" borderId="52" xfId="0" applyNumberFormat="1" applyFont="1" applyFill="1" applyBorder="1" applyAlignment="1">
      <alignment horizontal="right"/>
    </xf>
    <xf numFmtId="177" fontId="17" fillId="12" borderId="53" xfId="0" applyNumberFormat="1" applyFont="1" applyFill="1" applyBorder="1" applyAlignment="1">
      <alignment horizontal="right"/>
    </xf>
    <xf numFmtId="0" fontId="15" fillId="12" borderId="54" xfId="0" applyFont="1" applyFill="1" applyBorder="1"/>
    <xf numFmtId="0" fontId="15" fillId="12" borderId="55" xfId="0" applyFont="1" applyFill="1" applyBorder="1"/>
    <xf numFmtId="177" fontId="15" fillId="12" borderId="56" xfId="0" applyNumberFormat="1" applyFont="1" applyFill="1" applyBorder="1"/>
    <xf numFmtId="177" fontId="15" fillId="12" borderId="55" xfId="0" applyNumberFormat="1" applyFont="1" applyFill="1" applyBorder="1"/>
    <xf numFmtId="177" fontId="15" fillId="12" borderId="57" xfId="0" applyNumberFormat="1" applyFont="1" applyFill="1" applyBorder="1"/>
    <xf numFmtId="178" fontId="15" fillId="12" borderId="56" xfId="0" applyNumberFormat="1" applyFont="1" applyFill="1" applyBorder="1"/>
    <xf numFmtId="178" fontId="15" fillId="12" borderId="55" xfId="0" applyNumberFormat="1" applyFont="1" applyFill="1" applyBorder="1"/>
    <xf numFmtId="178" fontId="15" fillId="12" borderId="58" xfId="0" applyNumberFormat="1" applyFont="1" applyFill="1" applyBorder="1"/>
    <xf numFmtId="0" fontId="15" fillId="12" borderId="59" xfId="0" applyFont="1" applyFill="1" applyBorder="1"/>
    <xf numFmtId="177" fontId="15" fillId="12" borderId="22" xfId="0" applyNumberFormat="1" applyFont="1" applyFill="1" applyBorder="1"/>
    <xf numFmtId="177" fontId="15" fillId="12" borderId="25" xfId="0" applyNumberFormat="1" applyFont="1" applyFill="1" applyBorder="1"/>
    <xf numFmtId="178" fontId="15" fillId="12" borderId="22" xfId="0" applyNumberFormat="1" applyFont="1" applyFill="1" applyBorder="1"/>
    <xf numFmtId="178" fontId="15" fillId="12" borderId="60" xfId="0" applyNumberFormat="1" applyFont="1" applyFill="1" applyBorder="1"/>
    <xf numFmtId="0" fontId="17" fillId="12" borderId="11" xfId="0" applyFont="1" applyFill="1" applyBorder="1"/>
    <xf numFmtId="177" fontId="17" fillId="12" borderId="28" xfId="0" applyNumberFormat="1" applyFont="1" applyFill="1" applyBorder="1"/>
    <xf numFmtId="177" fontId="17" fillId="12" borderId="11" xfId="0" applyNumberFormat="1" applyFont="1" applyFill="1" applyBorder="1"/>
    <xf numFmtId="177" fontId="17" fillId="12" borderId="30" xfId="0" applyNumberFormat="1" applyFont="1" applyFill="1" applyBorder="1"/>
    <xf numFmtId="178" fontId="17" fillId="12" borderId="28" xfId="0" applyNumberFormat="1" applyFont="1" applyFill="1" applyBorder="1"/>
    <xf numFmtId="178" fontId="17" fillId="12" borderId="11" xfId="0" applyNumberFormat="1" applyFont="1" applyFill="1" applyBorder="1"/>
    <xf numFmtId="178" fontId="17" fillId="12" borderId="61" xfId="0" applyNumberFormat="1" applyFont="1" applyFill="1" applyBorder="1"/>
    <xf numFmtId="0" fontId="15" fillId="12" borderId="62" xfId="0" applyFont="1" applyFill="1" applyBorder="1"/>
    <xf numFmtId="0" fontId="17" fillId="12" borderId="52" xfId="0" applyFont="1" applyFill="1" applyBorder="1"/>
    <xf numFmtId="0" fontId="15" fillId="12" borderId="52" xfId="0" applyFont="1" applyFill="1" applyBorder="1"/>
    <xf numFmtId="177" fontId="17" fillId="12" borderId="51" xfId="0" applyNumberFormat="1" applyFont="1" applyFill="1" applyBorder="1"/>
    <xf numFmtId="177" fontId="17" fillId="12" borderId="52" xfId="0" applyNumberFormat="1" applyFont="1" applyFill="1" applyBorder="1"/>
    <xf numFmtId="177" fontId="17" fillId="12" borderId="53" xfId="0" applyNumberFormat="1" applyFont="1" applyFill="1" applyBorder="1"/>
    <xf numFmtId="178" fontId="17" fillId="12" borderId="51" xfId="0" applyNumberFormat="1" applyFont="1" applyFill="1" applyBorder="1"/>
    <xf numFmtId="178" fontId="17" fillId="12" borderId="52" xfId="0" applyNumberFormat="1" applyFont="1" applyFill="1" applyBorder="1"/>
    <xf numFmtId="178" fontId="17" fillId="12" borderId="63" xfId="0" applyNumberFormat="1" applyFont="1" applyFill="1" applyBorder="1"/>
    <xf numFmtId="0" fontId="17" fillId="12" borderId="59" xfId="0" applyFont="1" applyFill="1" applyBorder="1"/>
    <xf numFmtId="0" fontId="17" fillId="12" borderId="62" xfId="0" applyFont="1" applyFill="1" applyBorder="1"/>
    <xf numFmtId="0" fontId="17" fillId="12" borderId="54" xfId="0" applyFont="1" applyFill="1" applyBorder="1"/>
    <xf numFmtId="177" fontId="17" fillId="12" borderId="25" xfId="0" applyNumberFormat="1" applyFont="1" applyFill="1" applyBorder="1" applyAlignment="1">
      <alignment horizontal="right"/>
    </xf>
    <xf numFmtId="178" fontId="15" fillId="12" borderId="64" xfId="0" applyNumberFormat="1" applyFont="1" applyFill="1" applyBorder="1"/>
    <xf numFmtId="178" fontId="15" fillId="12" borderId="65" xfId="0" applyNumberFormat="1" applyFont="1" applyFill="1" applyBorder="1"/>
    <xf numFmtId="178" fontId="17" fillId="12" borderId="66" xfId="0" applyNumberFormat="1" applyFont="1" applyFill="1" applyBorder="1"/>
    <xf numFmtId="178" fontId="17" fillId="12" borderId="67" xfId="0" applyNumberFormat="1" applyFont="1" applyFill="1" applyBorder="1"/>
    <xf numFmtId="0" fontId="15" fillId="12" borderId="11" xfId="0" applyFont="1" applyFill="1" applyBorder="1"/>
    <xf numFmtId="0" fontId="1" fillId="0" borderId="69" xfId="0" applyFont="1" applyBorder="1"/>
    <xf numFmtId="0" fontId="1" fillId="0" borderId="69" xfId="0" applyFont="1" applyBorder="1" applyAlignment="1">
      <alignment horizontal="right"/>
    </xf>
    <xf numFmtId="0" fontId="0" fillId="0" borderId="69" xfId="0" applyBorder="1"/>
    <xf numFmtId="166" fontId="4" fillId="0" borderId="69" xfId="0" applyNumberFormat="1" applyFont="1" applyBorder="1" applyAlignment="1">
      <alignment horizontal="right"/>
    </xf>
    <xf numFmtId="0" fontId="1" fillId="2" borderId="70" xfId="0" applyFont="1" applyFill="1" applyBorder="1"/>
    <xf numFmtId="0" fontId="1" fillId="2" borderId="70" xfId="0" applyFont="1" applyFill="1" applyBorder="1" applyAlignment="1">
      <alignment horizontal="right"/>
    </xf>
    <xf numFmtId="0" fontId="0" fillId="2" borderId="1" xfId="0" applyFill="1" applyBorder="1"/>
    <xf numFmtId="0" fontId="0" fillId="3" borderId="1" xfId="0" applyFill="1" applyBorder="1" applyAlignment="1">
      <alignment horizontal="right"/>
    </xf>
    <xf numFmtId="0" fontId="0" fillId="2" borderId="27" xfId="0" applyFill="1" applyBorder="1" applyAlignment="1">
      <alignment horizontal="left"/>
    </xf>
    <xf numFmtId="164" fontId="0" fillId="3" borderId="27" xfId="0" applyNumberFormat="1" applyFill="1" applyBorder="1" applyAlignment="1">
      <alignment horizontal="right"/>
    </xf>
    <xf numFmtId="0" fontId="0" fillId="2" borderId="27" xfId="0" applyFill="1" applyBorder="1"/>
    <xf numFmtId="169" fontId="0" fillId="2" borderId="27" xfId="0" applyNumberFormat="1" applyFill="1" applyBorder="1" applyAlignment="1">
      <alignment horizontal="right"/>
    </xf>
    <xf numFmtId="16" fontId="0" fillId="2" borderId="27" xfId="0" applyNumberFormat="1" applyFill="1" applyBorder="1" applyAlignment="1">
      <alignment horizontal="right"/>
    </xf>
    <xf numFmtId="0" fontId="0" fillId="2" borderId="2" xfId="0" applyFill="1" applyBorder="1"/>
    <xf numFmtId="16" fontId="0" fillId="2" borderId="2" xfId="0" applyNumberFormat="1" applyFill="1" applyBorder="1" applyAlignment="1">
      <alignment horizontal="right"/>
    </xf>
    <xf numFmtId="177" fontId="15" fillId="13" borderId="24" xfId="0" applyNumberFormat="1" applyFont="1" applyFill="1" applyBorder="1"/>
    <xf numFmtId="16" fontId="17" fillId="13" borderId="26" xfId="0" applyNumberFormat="1" applyFont="1" applyFill="1" applyBorder="1"/>
    <xf numFmtId="177" fontId="17" fillId="13" borderId="26" xfId="0" applyNumberFormat="1" applyFont="1" applyFill="1" applyBorder="1"/>
    <xf numFmtId="177" fontId="17" fillId="13" borderId="38" xfId="0" applyNumberFormat="1" applyFont="1" applyFill="1" applyBorder="1"/>
    <xf numFmtId="177" fontId="17" fillId="13" borderId="68" xfId="0" applyNumberFormat="1" applyFont="1" applyFill="1" applyBorder="1" applyAlignment="1">
      <alignment horizontal="right"/>
    </xf>
    <xf numFmtId="3" fontId="15" fillId="12" borderId="0" xfId="0" applyNumberFormat="1" applyFont="1" applyFill="1"/>
    <xf numFmtId="0" fontId="17" fillId="13" borderId="20" xfId="0" applyFont="1" applyFill="1" applyBorder="1"/>
    <xf numFmtId="0" fontId="17" fillId="13" borderId="19" xfId="0" applyFont="1" applyFill="1" applyBorder="1"/>
    <xf numFmtId="3" fontId="17" fillId="13" borderId="19" xfId="0" applyNumberFormat="1" applyFont="1" applyFill="1" applyBorder="1"/>
    <xf numFmtId="174" fontId="17" fillId="13" borderId="41" xfId="0" applyNumberFormat="1" applyFont="1" applyFill="1" applyBorder="1"/>
    <xf numFmtId="4" fontId="3" fillId="6" borderId="0" xfId="0" applyNumberFormat="1" applyFont="1" applyFill="1" applyAlignment="1">
      <alignment horizontal="right"/>
    </xf>
    <xf numFmtId="4" fontId="3" fillId="6" borderId="22" xfId="0" applyNumberFormat="1" applyFont="1" applyFill="1" applyBorder="1" applyAlignment="1">
      <alignment horizontal="right"/>
    </xf>
    <xf numFmtId="4" fontId="3" fillId="6" borderId="33" xfId="0" applyNumberFormat="1" applyFont="1" applyFill="1" applyBorder="1" applyAlignment="1">
      <alignment horizontal="right"/>
    </xf>
    <xf numFmtId="2" fontId="19" fillId="2" borderId="0" xfId="0" applyNumberFormat="1" applyFont="1" applyFill="1" applyAlignment="1">
      <alignment horizontal="right"/>
    </xf>
    <xf numFmtId="2" fontId="3" fillId="6" borderId="72" xfId="0" applyNumberFormat="1" applyFont="1" applyFill="1" applyBorder="1"/>
    <xf numFmtId="2" fontId="3" fillId="6" borderId="73" xfId="0" applyNumberFormat="1" applyFont="1" applyFill="1" applyBorder="1"/>
    <xf numFmtId="2" fontId="3" fillId="6" borderId="74" xfId="0" applyNumberFormat="1" applyFont="1" applyFill="1" applyBorder="1"/>
    <xf numFmtId="4" fontId="3" fillId="6" borderId="73" xfId="0" applyNumberFormat="1" applyFont="1" applyFill="1" applyBorder="1"/>
    <xf numFmtId="4" fontId="3" fillId="6" borderId="74" xfId="0" applyNumberFormat="1" applyFont="1" applyFill="1" applyBorder="1"/>
    <xf numFmtId="0" fontId="15" fillId="13" borderId="0" xfId="0" applyFont="1" applyFill="1"/>
    <xf numFmtId="17" fontId="15" fillId="13" borderId="0" xfId="0" applyNumberFormat="1" applyFont="1" applyFill="1"/>
    <xf numFmtId="0" fontId="15" fillId="13" borderId="0" xfId="0" applyFont="1" applyFill="1" applyAlignment="1">
      <alignment horizontal="right"/>
    </xf>
    <xf numFmtId="17" fontId="15" fillId="13" borderId="75" xfId="0" applyNumberFormat="1" applyFont="1" applyFill="1" applyBorder="1"/>
    <xf numFmtId="2" fontId="15" fillId="13" borderId="75" xfId="0" applyNumberFormat="1" applyFont="1" applyFill="1" applyBorder="1" applyAlignment="1">
      <alignment horizontal="right"/>
    </xf>
    <xf numFmtId="0" fontId="15" fillId="14" borderId="75" xfId="0" applyFont="1" applyFill="1" applyBorder="1" applyAlignment="1">
      <alignment horizontal="right"/>
    </xf>
    <xf numFmtId="2" fontId="15" fillId="14" borderId="75" xfId="0" applyNumberFormat="1" applyFont="1" applyFill="1" applyBorder="1" applyAlignment="1">
      <alignment horizontal="right"/>
    </xf>
    <xf numFmtId="3" fontId="15" fillId="14" borderId="75" xfId="0" applyNumberFormat="1" applyFont="1" applyFill="1" applyBorder="1" applyAlignment="1">
      <alignment horizontal="right"/>
    </xf>
    <xf numFmtId="0" fontId="15" fillId="13" borderId="75" xfId="0" applyFont="1" applyFill="1" applyBorder="1"/>
    <xf numFmtId="0" fontId="15" fillId="13" borderId="75" xfId="0" applyFont="1" applyFill="1" applyBorder="1" applyAlignment="1">
      <alignment horizontal="right"/>
    </xf>
    <xf numFmtId="2" fontId="15" fillId="13" borderId="75" xfId="0" applyNumberFormat="1" applyFont="1" applyFill="1" applyBorder="1"/>
    <xf numFmtId="17" fontId="15" fillId="13" borderId="76" xfId="0" applyNumberFormat="1" applyFont="1" applyFill="1" applyBorder="1"/>
    <xf numFmtId="2" fontId="15" fillId="13" borderId="76" xfId="0" applyNumberFormat="1" applyFont="1" applyFill="1" applyBorder="1" applyAlignment="1">
      <alignment horizontal="right"/>
    </xf>
    <xf numFmtId="0" fontId="15" fillId="14" borderId="76" xfId="0" applyFont="1" applyFill="1" applyBorder="1" applyAlignment="1">
      <alignment horizontal="right"/>
    </xf>
    <xf numFmtId="2" fontId="15" fillId="14" borderId="76" xfId="0" applyNumberFormat="1" applyFont="1" applyFill="1" applyBorder="1" applyAlignment="1">
      <alignment horizontal="right"/>
    </xf>
    <xf numFmtId="3" fontId="15" fillId="14" borderId="76" xfId="0" applyNumberFormat="1" applyFont="1" applyFill="1" applyBorder="1" applyAlignment="1">
      <alignment horizontal="right"/>
    </xf>
    <xf numFmtId="0" fontId="15" fillId="13" borderId="76" xfId="0" applyFont="1" applyFill="1" applyBorder="1"/>
    <xf numFmtId="2" fontId="15" fillId="13" borderId="76" xfId="0" applyNumberFormat="1" applyFont="1" applyFill="1" applyBorder="1"/>
    <xf numFmtId="0" fontId="15" fillId="13" borderId="77" xfId="0" applyFont="1" applyFill="1" applyBorder="1"/>
    <xf numFmtId="0" fontId="17" fillId="13" borderId="77" xfId="0" applyFont="1" applyFill="1" applyBorder="1"/>
    <xf numFmtId="0" fontId="15" fillId="13" borderId="0" xfId="0" applyFont="1" applyFill="1" applyAlignment="1">
      <alignment horizontal="left"/>
    </xf>
    <xf numFmtId="171" fontId="15" fillId="13" borderId="0" xfId="0" applyNumberFormat="1" applyFont="1" applyFill="1" applyAlignment="1">
      <alignment horizontal="left"/>
    </xf>
    <xf numFmtId="0" fontId="15" fillId="13" borderId="77" xfId="0" applyFont="1" applyFill="1" applyBorder="1" applyAlignment="1">
      <alignment horizontal="right"/>
    </xf>
    <xf numFmtId="0" fontId="17" fillId="15" borderId="0" xfId="0" applyFont="1" applyFill="1"/>
    <xf numFmtId="0" fontId="15" fillId="15" borderId="0" xfId="0" applyFont="1" applyFill="1"/>
    <xf numFmtId="3" fontId="15" fillId="14" borderId="0" xfId="0" applyNumberFormat="1" applyFont="1" applyFill="1"/>
    <xf numFmtId="2" fontId="15" fillId="13" borderId="0" xfId="0" applyNumberFormat="1" applyFont="1" applyFill="1"/>
    <xf numFmtId="0" fontId="20" fillId="9" borderId="0" xfId="0" applyFont="1" applyFill="1"/>
    <xf numFmtId="0" fontId="20" fillId="9" borderId="32" xfId="0" applyFont="1" applyFill="1" applyBorder="1"/>
    <xf numFmtId="0" fontId="2" fillId="16" borderId="17" xfId="0" applyFont="1" applyFill="1" applyBorder="1" applyAlignment="1">
      <alignment horizontal="left"/>
    </xf>
    <xf numFmtId="0" fontId="2" fillId="16" borderId="0" xfId="0" applyFont="1" applyFill="1" applyAlignment="1">
      <alignment horizontal="left"/>
    </xf>
    <xf numFmtId="0" fontId="2" fillId="16" borderId="22" xfId="0" applyFont="1" applyFill="1" applyBorder="1" applyAlignment="1">
      <alignment horizontal="left"/>
    </xf>
    <xf numFmtId="0" fontId="2" fillId="16" borderId="23" xfId="0" applyFont="1" applyFill="1" applyBorder="1" applyAlignment="1">
      <alignment horizontal="left"/>
    </xf>
    <xf numFmtId="4" fontId="2" fillId="16" borderId="17" xfId="0" applyNumberFormat="1" applyFont="1" applyFill="1" applyBorder="1" applyAlignment="1">
      <alignment horizontal="left"/>
    </xf>
    <xf numFmtId="4" fontId="2" fillId="16" borderId="0" xfId="0" applyNumberFormat="1" applyFont="1" applyFill="1" applyAlignment="1">
      <alignment horizontal="left"/>
    </xf>
    <xf numFmtId="4" fontId="2" fillId="16" borderId="22" xfId="0" applyNumberFormat="1" applyFont="1" applyFill="1" applyBorder="1" applyAlignment="1">
      <alignment horizontal="left"/>
    </xf>
    <xf numFmtId="4" fontId="2" fillId="16" borderId="23" xfId="0" applyNumberFormat="1" applyFont="1" applyFill="1" applyBorder="1" applyAlignment="1">
      <alignment horizontal="left"/>
    </xf>
    <xf numFmtId="0" fontId="2" fillId="17" borderId="3" xfId="0" applyFont="1" applyFill="1" applyBorder="1"/>
    <xf numFmtId="0" fontId="2" fillId="17" borderId="4" xfId="0" applyFont="1" applyFill="1" applyBorder="1"/>
    <xf numFmtId="0" fontId="6" fillId="17" borderId="4" xfId="0" applyFont="1" applyFill="1" applyBorder="1"/>
    <xf numFmtId="0" fontId="7" fillId="17" borderId="4" xfId="0" applyFont="1" applyFill="1" applyBorder="1"/>
    <xf numFmtId="0" fontId="7" fillId="17" borderId="5" xfId="0" applyFont="1" applyFill="1" applyBorder="1"/>
    <xf numFmtId="4" fontId="2" fillId="17" borderId="3" xfId="0" applyNumberFormat="1" applyFont="1" applyFill="1" applyBorder="1"/>
    <xf numFmtId="4" fontId="7" fillId="17" borderId="4" xfId="0" applyNumberFormat="1" applyFont="1" applyFill="1" applyBorder="1"/>
    <xf numFmtId="4" fontId="6" fillId="17" borderId="4" xfId="0" applyNumberFormat="1" applyFont="1" applyFill="1" applyBorder="1"/>
    <xf numFmtId="4" fontId="2" fillId="17" borderId="4" xfId="0" applyNumberFormat="1" applyFont="1" applyFill="1" applyBorder="1"/>
    <xf numFmtId="4" fontId="7" fillId="17" borderId="5" xfId="0" applyNumberFormat="1" applyFont="1" applyFill="1" applyBorder="1"/>
    <xf numFmtId="0" fontId="2" fillId="17" borderId="5" xfId="0" applyFont="1" applyFill="1" applyBorder="1"/>
    <xf numFmtId="0" fontId="2" fillId="16" borderId="11" xfId="0" applyFont="1" applyFill="1" applyBorder="1" applyAlignment="1">
      <alignment horizontal="right"/>
    </xf>
    <xf numFmtId="0" fontId="2" fillId="16" borderId="36" xfId="0" applyFont="1" applyFill="1" applyBorder="1" applyAlignment="1">
      <alignment horizontal="left"/>
    </xf>
    <xf numFmtId="0" fontId="2" fillId="16" borderId="7" xfId="0" applyFont="1" applyFill="1" applyBorder="1" applyAlignment="1">
      <alignment horizontal="right"/>
    </xf>
    <xf numFmtId="0" fontId="2" fillId="16" borderId="17" xfId="0" applyFont="1" applyFill="1" applyBorder="1"/>
    <xf numFmtId="0" fontId="2" fillId="16" borderId="0" xfId="0" applyFont="1" applyFill="1" applyAlignment="1">
      <alignment horizontal="right"/>
    </xf>
    <xf numFmtId="4" fontId="2" fillId="16" borderId="36" xfId="0" applyNumberFormat="1" applyFont="1" applyFill="1" applyBorder="1" applyAlignment="1">
      <alignment horizontal="left"/>
    </xf>
    <xf numFmtId="0" fontId="2" fillId="16" borderId="13" xfId="0" applyFont="1" applyFill="1" applyBorder="1" applyAlignment="1">
      <alignment horizontal="right"/>
    </xf>
    <xf numFmtId="0" fontId="7" fillId="16" borderId="11" xfId="0" applyFont="1" applyFill="1" applyBorder="1" applyAlignment="1">
      <alignment horizontal="right"/>
    </xf>
    <xf numFmtId="0" fontId="7" fillId="16" borderId="7" xfId="0" applyFont="1" applyFill="1" applyBorder="1" applyAlignment="1">
      <alignment horizontal="right"/>
    </xf>
    <xf numFmtId="0" fontId="2" fillId="16" borderId="9" xfId="0" applyFont="1" applyFill="1" applyBorder="1" applyAlignment="1">
      <alignment horizontal="right"/>
    </xf>
    <xf numFmtId="4" fontId="3" fillId="5" borderId="0" xfId="0" applyNumberFormat="1" applyFont="1" applyFill="1"/>
    <xf numFmtId="0" fontId="3" fillId="17" borderId="4" xfId="0" applyFont="1" applyFill="1" applyBorder="1"/>
    <xf numFmtId="0" fontId="8" fillId="17" borderId="4" xfId="0" applyFont="1" applyFill="1" applyBorder="1"/>
    <xf numFmtId="2" fontId="8" fillId="17" borderId="4" xfId="0" applyNumberFormat="1" applyFont="1" applyFill="1" applyBorder="1"/>
    <xf numFmtId="0" fontId="7" fillId="17" borderId="8" xfId="0" applyFont="1" applyFill="1" applyBorder="1"/>
    <xf numFmtId="0" fontId="2" fillId="16" borderId="10" xfId="0" applyFont="1" applyFill="1" applyBorder="1" applyAlignment="1">
      <alignment horizontal="left"/>
    </xf>
    <xf numFmtId="0" fontId="2" fillId="16" borderId="11" xfId="0" applyFont="1" applyFill="1" applyBorder="1" applyAlignment="1">
      <alignment horizontal="left"/>
    </xf>
    <xf numFmtId="0" fontId="6" fillId="16" borderId="11" xfId="0" applyFont="1" applyFill="1" applyBorder="1" applyAlignment="1">
      <alignment horizontal="left"/>
    </xf>
    <xf numFmtId="0" fontId="7" fillId="16" borderId="30" xfId="0" applyFont="1" applyFill="1" applyBorder="1" applyAlignment="1">
      <alignment horizontal="left"/>
    </xf>
    <xf numFmtId="0" fontId="2" fillId="16" borderId="28" xfId="0" applyFont="1" applyFill="1" applyBorder="1" applyAlignment="1">
      <alignment horizontal="left"/>
    </xf>
    <xf numFmtId="0" fontId="7" fillId="16" borderId="11" xfId="0" applyFont="1" applyFill="1" applyBorder="1" applyAlignment="1">
      <alignment horizontal="left"/>
    </xf>
    <xf numFmtId="0" fontId="2" fillId="16" borderId="12" xfId="0" applyFont="1" applyFill="1" applyBorder="1" applyAlignment="1">
      <alignment horizontal="left"/>
    </xf>
    <xf numFmtId="0" fontId="2" fillId="16" borderId="9" xfId="0" applyFont="1" applyFill="1" applyBorder="1" applyAlignment="1">
      <alignment horizontal="left"/>
    </xf>
    <xf numFmtId="0" fontId="6" fillId="16" borderId="9" xfId="0" applyFont="1" applyFill="1" applyBorder="1" applyAlignment="1">
      <alignment horizontal="left"/>
    </xf>
    <xf numFmtId="0" fontId="6" fillId="16" borderId="16" xfId="0" applyFont="1" applyFill="1" applyBorder="1" applyAlignment="1">
      <alignment horizontal="left"/>
    </xf>
    <xf numFmtId="2" fontId="7" fillId="16" borderId="11" xfId="0" applyNumberFormat="1" applyFont="1" applyFill="1" applyBorder="1" applyAlignment="1">
      <alignment horizontal="left"/>
    </xf>
    <xf numFmtId="0" fontId="7" fillId="16" borderId="21" xfId="0" applyFont="1" applyFill="1" applyBorder="1" applyAlignment="1">
      <alignment horizontal="left"/>
    </xf>
    <xf numFmtId="0" fontId="2" fillId="16" borderId="10" xfId="0" applyFont="1" applyFill="1" applyBorder="1"/>
    <xf numFmtId="0" fontId="2" fillId="16" borderId="13" xfId="0" applyFont="1" applyFill="1" applyBorder="1" applyAlignment="1">
      <alignment horizontal="left"/>
    </xf>
    <xf numFmtId="0" fontId="2" fillId="17" borderId="6" xfId="0" applyFont="1" applyFill="1" applyBorder="1"/>
    <xf numFmtId="0" fontId="2" fillId="17" borderId="7" xfId="0" applyFont="1" applyFill="1" applyBorder="1"/>
    <xf numFmtId="0" fontId="7" fillId="17" borderId="7" xfId="0" applyFont="1" applyFill="1" applyBorder="1"/>
    <xf numFmtId="0" fontId="2" fillId="17" borderId="8" xfId="0" applyFont="1" applyFill="1" applyBorder="1"/>
    <xf numFmtId="0" fontId="2" fillId="16" borderId="18" xfId="0" applyFont="1" applyFill="1" applyBorder="1" applyAlignment="1">
      <alignment horizontal="left"/>
    </xf>
    <xf numFmtId="0" fontId="7" fillId="16" borderId="19" xfId="0" applyFont="1" applyFill="1" applyBorder="1" applyAlignment="1">
      <alignment horizontal="left"/>
    </xf>
    <xf numFmtId="0" fontId="2" fillId="16" borderId="20" xfId="0" applyFont="1" applyFill="1" applyBorder="1" applyAlignment="1">
      <alignment horizontal="left"/>
    </xf>
    <xf numFmtId="0" fontId="2" fillId="16" borderId="21" xfId="0" applyFont="1" applyFill="1" applyBorder="1" applyAlignment="1">
      <alignment horizontal="left"/>
    </xf>
    <xf numFmtId="0" fontId="2" fillId="16" borderId="15" xfId="0" applyFont="1" applyFill="1" applyBorder="1" applyAlignment="1">
      <alignment horizontal="left"/>
    </xf>
    <xf numFmtId="0" fontId="2" fillId="16" borderId="14" xfId="0" applyFont="1" applyFill="1" applyBorder="1"/>
    <xf numFmtId="0" fontId="2" fillId="16" borderId="16" xfId="0" applyFont="1" applyFill="1" applyBorder="1" applyAlignment="1">
      <alignment horizontal="left"/>
    </xf>
    <xf numFmtId="0" fontId="2" fillId="17" borderId="9" xfId="0" applyFont="1" applyFill="1" applyBorder="1"/>
    <xf numFmtId="0" fontId="2" fillId="16" borderId="19" xfId="0" applyFont="1" applyFill="1" applyBorder="1" applyAlignment="1">
      <alignment horizontal="left"/>
    </xf>
    <xf numFmtId="2" fontId="20" fillId="7" borderId="26" xfId="0" applyNumberFormat="1" applyFont="1" applyFill="1" applyBorder="1" applyAlignment="1">
      <alignment horizontal="right"/>
    </xf>
    <xf numFmtId="2" fontId="20" fillId="7" borderId="0" xfId="0" applyNumberFormat="1" applyFont="1" applyFill="1" applyAlignment="1">
      <alignment horizontal="right"/>
    </xf>
    <xf numFmtId="2" fontId="20" fillId="7" borderId="11" xfId="0" applyNumberFormat="1" applyFont="1" applyFill="1" applyBorder="1" applyAlignment="1">
      <alignment horizontal="right"/>
    </xf>
    <xf numFmtId="2" fontId="20" fillId="7" borderId="32" xfId="0" applyNumberFormat="1" applyFont="1" applyFill="1" applyBorder="1" applyAlignment="1">
      <alignment horizontal="right"/>
    </xf>
    <xf numFmtId="0" fontId="7" fillId="16" borderId="0" xfId="0" applyFont="1" applyFill="1" applyAlignment="1">
      <alignment horizontal="right"/>
    </xf>
    <xf numFmtId="0" fontId="7" fillId="16" borderId="9" xfId="0" applyFont="1" applyFill="1" applyBorder="1" applyAlignment="1">
      <alignment horizontal="right"/>
    </xf>
    <xf numFmtId="0" fontId="2" fillId="16" borderId="7" xfId="0" applyFont="1" applyFill="1" applyBorder="1" applyAlignment="1">
      <alignment horizontal="left"/>
    </xf>
    <xf numFmtId="2" fontId="16" fillId="15" borderId="37" xfId="0" applyNumberFormat="1" applyFont="1" applyFill="1" applyBorder="1" applyAlignment="1">
      <alignment horizontal="right"/>
    </xf>
    <xf numFmtId="2" fontId="20" fillId="9" borderId="26" xfId="0" applyNumberFormat="1" applyFont="1" applyFill="1" applyBorder="1" applyAlignment="1">
      <alignment horizontal="right"/>
    </xf>
    <xf numFmtId="2" fontId="20" fillId="9" borderId="0" xfId="0" applyNumberFormat="1" applyFont="1" applyFill="1" applyAlignment="1">
      <alignment horizontal="right"/>
    </xf>
    <xf numFmtId="2" fontId="20" fillId="9" borderId="32" xfId="0" applyNumberFormat="1" applyFont="1" applyFill="1" applyBorder="1" applyAlignment="1">
      <alignment horizontal="right"/>
    </xf>
    <xf numFmtId="2" fontId="20" fillId="9" borderId="11" xfId="0" applyNumberFormat="1" applyFont="1" applyFill="1" applyBorder="1" applyAlignment="1">
      <alignment horizontal="right"/>
    </xf>
    <xf numFmtId="0" fontId="2" fillId="17" borderId="4" xfId="0" applyFont="1" applyFill="1" applyBorder="1" applyAlignment="1">
      <alignment horizontal="right"/>
    </xf>
    <xf numFmtId="4" fontId="2" fillId="17" borderId="4" xfId="0" applyNumberFormat="1" applyFont="1" applyFill="1" applyBorder="1" applyAlignment="1">
      <alignment horizontal="right"/>
    </xf>
    <xf numFmtId="0" fontId="2" fillId="16" borderId="23" xfId="0" applyFont="1" applyFill="1" applyBorder="1" applyAlignment="1">
      <alignment horizontal="right"/>
    </xf>
    <xf numFmtId="4" fontId="2" fillId="16" borderId="71" xfId="0" applyNumberFormat="1" applyFont="1" applyFill="1" applyBorder="1" applyAlignment="1">
      <alignment horizontal="left"/>
    </xf>
    <xf numFmtId="4" fontId="2" fillId="16" borderId="12" xfId="0" applyNumberFormat="1" applyFont="1" applyFill="1" applyBorder="1" applyAlignment="1">
      <alignment horizontal="left"/>
    </xf>
    <xf numFmtId="4" fontId="2" fillId="16" borderId="25" xfId="0" applyNumberFormat="1" applyFont="1" applyFill="1" applyBorder="1" applyAlignment="1">
      <alignment horizontal="left"/>
    </xf>
    <xf numFmtId="2" fontId="2" fillId="17" borderId="4" xfId="0" applyNumberFormat="1" applyFont="1" applyFill="1" applyBorder="1"/>
    <xf numFmtId="2" fontId="2" fillId="16" borderId="7" xfId="0" applyNumberFormat="1" applyFont="1" applyFill="1" applyBorder="1" applyAlignment="1">
      <alignment horizontal="left"/>
    </xf>
    <xf numFmtId="2" fontId="2" fillId="16" borderId="7" xfId="0" applyNumberFormat="1" applyFont="1" applyFill="1" applyBorder="1" applyAlignment="1">
      <alignment horizontal="right"/>
    </xf>
    <xf numFmtId="2" fontId="2" fillId="16" borderId="0" xfId="0" applyNumberFormat="1" applyFont="1" applyFill="1" applyAlignment="1">
      <alignment horizontal="left"/>
    </xf>
    <xf numFmtId="0" fontId="2" fillId="16" borderId="25" xfId="0" applyFont="1" applyFill="1" applyBorder="1" applyAlignment="1">
      <alignment horizontal="left"/>
    </xf>
    <xf numFmtId="0" fontId="2" fillId="16" borderId="30" xfId="0" applyFont="1" applyFill="1" applyBorder="1" applyAlignment="1">
      <alignment horizontal="left"/>
    </xf>
    <xf numFmtId="0" fontId="7" fillId="17" borderId="40" xfId="0" applyFont="1" applyFill="1" applyBorder="1"/>
    <xf numFmtId="168" fontId="3" fillId="6" borderId="32" xfId="0" applyNumberFormat="1" applyFont="1" applyFill="1" applyBorder="1" applyAlignment="1">
      <alignment horizontal="right"/>
    </xf>
    <xf numFmtId="168" fontId="3" fillId="6" borderId="33" xfId="0" applyNumberFormat="1" applyFont="1" applyFill="1" applyBorder="1" applyAlignment="1">
      <alignment horizontal="right"/>
    </xf>
    <xf numFmtId="2" fontId="15" fillId="15" borderId="17" xfId="0" applyNumberFormat="1" applyFont="1" applyFill="1" applyBorder="1"/>
    <xf numFmtId="2" fontId="15" fillId="15" borderId="31" xfId="0" applyNumberFormat="1" applyFont="1" applyFill="1" applyBorder="1"/>
    <xf numFmtId="0" fontId="15" fillId="15" borderId="17" xfId="0" applyFont="1" applyFill="1" applyBorder="1"/>
    <xf numFmtId="0" fontId="15" fillId="15" borderId="31" xfId="0" applyFont="1" applyFill="1" applyBorder="1"/>
    <xf numFmtId="0" fontId="15" fillId="12" borderId="56" xfId="0" applyFont="1" applyFill="1" applyBorder="1"/>
    <xf numFmtId="2" fontId="3" fillId="5" borderId="0" xfId="0" applyNumberFormat="1" applyFont="1" applyFill="1"/>
    <xf numFmtId="2" fontId="21" fillId="15" borderId="37" xfId="0" applyNumberFormat="1" applyFont="1" applyFill="1" applyBorder="1" applyAlignment="1">
      <alignment horizontal="right"/>
    </xf>
    <xf numFmtId="2" fontId="21" fillId="15" borderId="17" xfId="0" applyNumberFormat="1" applyFont="1" applyFill="1" applyBorder="1"/>
    <xf numFmtId="2" fontId="21" fillId="15" borderId="31" xfId="0" applyNumberFormat="1" applyFont="1" applyFill="1" applyBorder="1"/>
    <xf numFmtId="2" fontId="21" fillId="15" borderId="17" xfId="0" applyNumberFormat="1" applyFont="1" applyFill="1" applyBorder="1" applyAlignment="1">
      <alignment horizontal="right"/>
    </xf>
    <xf numFmtId="4" fontId="21" fillId="15" borderId="17" xfId="0" applyNumberFormat="1" applyFont="1" applyFill="1" applyBorder="1"/>
    <xf numFmtId="4" fontId="21" fillId="15" borderId="31" xfId="0" applyNumberFormat="1" applyFont="1" applyFill="1" applyBorder="1"/>
    <xf numFmtId="2" fontId="3" fillId="6" borderId="78" xfId="0" applyNumberFormat="1" applyFont="1" applyFill="1" applyBorder="1"/>
    <xf numFmtId="0" fontId="22" fillId="17" borderId="0" xfId="0" applyFont="1" applyFill="1" applyAlignment="1">
      <alignment horizontal="left"/>
    </xf>
    <xf numFmtId="0" fontId="2" fillId="17" borderId="0" xfId="0" applyFont="1" applyFill="1" applyAlignment="1">
      <alignment horizontal="left"/>
    </xf>
    <xf numFmtId="15" fontId="3" fillId="6" borderId="0" xfId="0" applyNumberFormat="1" applyFont="1" applyFill="1" applyAlignment="1">
      <alignment horizontal="left"/>
    </xf>
    <xf numFmtId="15" fontId="15" fillId="15" borderId="0" xfId="0" applyNumberFormat="1" applyFont="1" applyFill="1" applyAlignment="1">
      <alignment horizontal="left"/>
    </xf>
    <xf numFmtId="0" fontId="3" fillId="4" borderId="83" xfId="0" applyFont="1" applyFill="1" applyBorder="1" applyAlignment="1">
      <alignment horizontal="left"/>
    </xf>
    <xf numFmtId="0" fontId="15" fillId="15" borderId="0" xfId="0" applyFont="1" applyFill="1" applyAlignment="1">
      <alignment horizontal="left"/>
    </xf>
    <xf numFmtId="0" fontId="2" fillId="4" borderId="81" xfId="0" applyFont="1" applyFill="1" applyBorder="1" applyAlignment="1">
      <alignment horizontal="left"/>
    </xf>
    <xf numFmtId="0" fontId="3" fillId="4" borderId="82" xfId="0" applyFont="1" applyFill="1" applyBorder="1" applyAlignment="1">
      <alignment horizontal="left"/>
    </xf>
    <xf numFmtId="0" fontId="22" fillId="17" borderId="0" xfId="0" applyFont="1" applyFill="1" applyAlignment="1">
      <alignment horizontal="right"/>
    </xf>
    <xf numFmtId="0" fontId="15" fillId="12" borderId="0" xfId="0" applyFont="1" applyFill="1" applyAlignment="1">
      <alignment horizontal="right"/>
    </xf>
    <xf numFmtId="0" fontId="17" fillId="12" borderId="0" xfId="0" applyFont="1" applyFill="1" applyAlignment="1">
      <alignment horizontal="right"/>
    </xf>
    <xf numFmtId="2" fontId="22" fillId="17" borderId="0" xfId="0" applyNumberFormat="1" applyFont="1" applyFill="1" applyAlignment="1">
      <alignment horizontal="right"/>
    </xf>
    <xf numFmtId="2" fontId="17" fillId="12" borderId="0" xfId="0" applyNumberFormat="1" applyFont="1" applyFill="1" applyAlignment="1">
      <alignment horizontal="right"/>
    </xf>
    <xf numFmtId="2" fontId="15" fillId="12" borderId="0" xfId="0" applyNumberFormat="1" applyFont="1" applyFill="1" applyAlignment="1">
      <alignment horizontal="right"/>
    </xf>
    <xf numFmtId="0" fontId="3" fillId="12" borderId="0" xfId="0" applyFont="1" applyFill="1"/>
    <xf numFmtId="0" fontId="15" fillId="14" borderId="0" xfId="0" applyFont="1" applyFill="1" applyAlignment="1">
      <alignment horizontal="right"/>
    </xf>
    <xf numFmtId="0" fontId="15" fillId="14" borderId="0" xfId="0" applyFont="1" applyFill="1"/>
    <xf numFmtId="0" fontId="3" fillId="4" borderId="82" xfId="0" applyFont="1" applyFill="1" applyBorder="1" applyAlignment="1">
      <alignment horizontal="right"/>
    </xf>
    <xf numFmtId="3" fontId="15" fillId="15" borderId="0" xfId="0" applyNumberFormat="1" applyFont="1" applyFill="1" applyAlignment="1">
      <alignment horizontal="right"/>
    </xf>
    <xf numFmtId="4" fontId="15" fillId="15" borderId="0" xfId="0" applyNumberFormat="1" applyFont="1" applyFill="1" applyAlignment="1">
      <alignment horizontal="right"/>
    </xf>
    <xf numFmtId="3" fontId="15" fillId="13" borderId="0" xfId="0" applyNumberFormat="1" applyFont="1" applyFill="1" applyAlignment="1">
      <alignment horizontal="right"/>
    </xf>
    <xf numFmtId="3" fontId="3" fillId="6" borderId="0" xfId="0" applyNumberFormat="1" applyFont="1" applyFill="1" applyAlignment="1">
      <alignment horizontal="right"/>
    </xf>
    <xf numFmtId="0" fontId="2" fillId="16" borderId="71" xfId="0" applyFont="1" applyFill="1" applyBorder="1" applyAlignment="1">
      <alignment horizontal="left"/>
    </xf>
    <xf numFmtId="2" fontId="3" fillId="6" borderId="72" xfId="0" applyNumberFormat="1" applyFont="1" applyFill="1" applyBorder="1" applyAlignment="1">
      <alignment horizontal="right"/>
    </xf>
    <xf numFmtId="2" fontId="3" fillId="6" borderId="73" xfId="0" applyNumberFormat="1" applyFont="1" applyFill="1" applyBorder="1" applyAlignment="1">
      <alignment horizontal="right"/>
    </xf>
    <xf numFmtId="2" fontId="3" fillId="6" borderId="74" xfId="0" applyNumberFormat="1" applyFont="1" applyFill="1" applyBorder="1" applyAlignment="1">
      <alignment horizontal="right"/>
    </xf>
    <xf numFmtId="2" fontId="3" fillId="6" borderId="88" xfId="0" applyNumberFormat="1" applyFont="1" applyFill="1" applyBorder="1" applyAlignment="1">
      <alignment horizontal="right"/>
    </xf>
    <xf numFmtId="168" fontId="8" fillId="6" borderId="89" xfId="0" applyNumberFormat="1" applyFont="1" applyFill="1" applyBorder="1"/>
    <xf numFmtId="2" fontId="3" fillId="6" borderId="86" xfId="0" applyNumberFormat="1" applyFont="1" applyFill="1" applyBorder="1" applyAlignment="1">
      <alignment horizontal="right"/>
    </xf>
    <xf numFmtId="168" fontId="8" fillId="6" borderId="87" xfId="0" applyNumberFormat="1" applyFont="1" applyFill="1" applyBorder="1"/>
    <xf numFmtId="2" fontId="3" fillId="6" borderId="90" xfId="0" applyNumberFormat="1" applyFont="1" applyFill="1" applyBorder="1" applyAlignment="1">
      <alignment horizontal="right"/>
    </xf>
    <xf numFmtId="168" fontId="8" fillId="6" borderId="91" xfId="0" applyNumberFormat="1" applyFont="1" applyFill="1" applyBorder="1"/>
    <xf numFmtId="2" fontId="3" fillId="6" borderId="88" xfId="0" applyNumberFormat="1" applyFont="1" applyFill="1" applyBorder="1"/>
    <xf numFmtId="2" fontId="3" fillId="6" borderId="86" xfId="0" applyNumberFormat="1" applyFont="1" applyFill="1" applyBorder="1"/>
    <xf numFmtId="2" fontId="3" fillId="6" borderId="94" xfId="0" applyNumberFormat="1" applyFont="1" applyFill="1" applyBorder="1"/>
    <xf numFmtId="168" fontId="8" fillId="6" borderId="95" xfId="0" applyNumberFormat="1" applyFont="1" applyFill="1" applyBorder="1"/>
    <xf numFmtId="2" fontId="3" fillId="6" borderId="90" xfId="0" applyNumberFormat="1" applyFont="1" applyFill="1" applyBorder="1"/>
    <xf numFmtId="16" fontId="15" fillId="13" borderId="0" xfId="0" applyNumberFormat="1" applyFont="1" applyFill="1" applyAlignment="1">
      <alignment horizontal="left"/>
    </xf>
    <xf numFmtId="0" fontId="2" fillId="18" borderId="0" xfId="0" applyFont="1" applyFill="1"/>
    <xf numFmtId="4" fontId="15" fillId="14" borderId="0" xfId="0" applyNumberFormat="1" applyFont="1" applyFill="1"/>
    <xf numFmtId="0" fontId="2" fillId="4" borderId="96" xfId="0" applyFont="1" applyFill="1" applyBorder="1" applyAlignment="1">
      <alignment horizontal="left"/>
    </xf>
    <xf numFmtId="16" fontId="0" fillId="13" borderId="0" xfId="0" applyNumberFormat="1" applyFill="1" applyAlignment="1">
      <alignment horizontal="left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4" fontId="10" fillId="6" borderId="0" xfId="0" applyNumberFormat="1" applyFont="1" applyFill="1"/>
    <xf numFmtId="3" fontId="3" fillId="4" borderId="97" xfId="0" applyNumberFormat="1" applyFont="1" applyFill="1" applyBorder="1" applyAlignment="1">
      <alignment horizontal="right"/>
    </xf>
    <xf numFmtId="3" fontId="0" fillId="6" borderId="0" xfId="0" applyNumberFormat="1" applyFill="1" applyAlignment="1">
      <alignment horizontal="right"/>
    </xf>
    <xf numFmtId="3" fontId="0" fillId="13" borderId="0" xfId="0" applyNumberFormat="1" applyFill="1" applyAlignment="1">
      <alignment horizontal="right"/>
    </xf>
    <xf numFmtId="1" fontId="3" fillId="6" borderId="0" xfId="0" applyNumberFormat="1" applyFont="1" applyFill="1"/>
    <xf numFmtId="0" fontId="15" fillId="2" borderId="0" xfId="0" applyFont="1" applyFill="1"/>
    <xf numFmtId="168" fontId="15" fillId="2" borderId="0" xfId="0" applyNumberFormat="1" applyFont="1" applyFill="1" applyAlignment="1">
      <alignment horizontal="right"/>
    </xf>
    <xf numFmtId="0" fontId="15" fillId="2" borderId="0" xfId="0" applyFont="1" applyFill="1" applyAlignment="1">
      <alignment horizontal="left"/>
    </xf>
    <xf numFmtId="0" fontId="15" fillId="20" borderId="0" xfId="0" applyFont="1" applyFill="1"/>
    <xf numFmtId="0" fontId="15" fillId="20" borderId="0" xfId="0" applyFont="1" applyFill="1" applyAlignment="1">
      <alignment horizontal="right"/>
    </xf>
    <xf numFmtId="0" fontId="17" fillId="2" borderId="0" xfId="0" applyFont="1" applyFill="1"/>
    <xf numFmtId="37" fontId="3" fillId="6" borderId="0" xfId="0" applyNumberFormat="1" applyFont="1" applyFill="1"/>
    <xf numFmtId="0" fontId="2" fillId="17" borderId="84" xfId="0" applyFont="1" applyFill="1" applyBorder="1"/>
    <xf numFmtId="0" fontId="7" fillId="17" borderId="103" xfId="0" applyFont="1" applyFill="1" applyBorder="1"/>
    <xf numFmtId="0" fontId="2" fillId="17" borderId="103" xfId="0" applyFont="1" applyFill="1" applyBorder="1"/>
    <xf numFmtId="0" fontId="2" fillId="16" borderId="94" xfId="0" applyFont="1" applyFill="1" applyBorder="1" applyAlignment="1">
      <alignment horizontal="left"/>
    </xf>
    <xf numFmtId="0" fontId="2" fillId="6" borderId="86" xfId="0" applyFont="1" applyFill="1" applyBorder="1" applyAlignment="1">
      <alignment horizontal="right"/>
    </xf>
    <xf numFmtId="168" fontId="8" fillId="6" borderId="104" xfId="0" applyNumberFormat="1" applyFont="1" applyFill="1" applyBorder="1"/>
    <xf numFmtId="2" fontId="3" fillId="6" borderId="104" xfId="0" applyNumberFormat="1" applyFont="1" applyFill="1" applyBorder="1"/>
    <xf numFmtId="0" fontId="7" fillId="16" borderId="9" xfId="0" applyFont="1" applyFill="1" applyBorder="1" applyAlignment="1">
      <alignment horizontal="left"/>
    </xf>
    <xf numFmtId="0" fontId="3" fillId="17" borderId="103" xfId="0" applyFont="1" applyFill="1" applyBorder="1"/>
    <xf numFmtId="0" fontId="6" fillId="17" borderId="103" xfId="0" applyFont="1" applyFill="1" applyBorder="1"/>
    <xf numFmtId="0" fontId="6" fillId="17" borderId="85" xfId="0" applyFont="1" applyFill="1" applyBorder="1"/>
    <xf numFmtId="0" fontId="6" fillId="16" borderId="105" xfId="0" applyFont="1" applyFill="1" applyBorder="1" applyAlignment="1">
      <alignment horizontal="left"/>
    </xf>
    <xf numFmtId="168" fontId="8" fillId="6" borderId="104" xfId="0" applyNumberFormat="1" applyFont="1" applyFill="1" applyBorder="1" applyAlignment="1">
      <alignment horizontal="right"/>
    </xf>
    <xf numFmtId="2" fontId="10" fillId="6" borderId="104" xfId="0" applyNumberFormat="1" applyFont="1" applyFill="1" applyBorder="1"/>
    <xf numFmtId="0" fontId="2" fillId="16" borderId="106" xfId="0" applyFont="1" applyFill="1" applyBorder="1" applyAlignment="1">
      <alignment horizontal="left"/>
    </xf>
    <xf numFmtId="2" fontId="3" fillId="6" borderId="107" xfId="0" applyNumberFormat="1" applyFont="1" applyFill="1" applyBorder="1" applyAlignment="1">
      <alignment horizontal="right"/>
    </xf>
    <xf numFmtId="0" fontId="2" fillId="17" borderId="108" xfId="0" applyFont="1" applyFill="1" applyBorder="1"/>
    <xf numFmtId="0" fontId="2" fillId="17" borderId="109" xfId="0" applyFont="1" applyFill="1" applyBorder="1"/>
    <xf numFmtId="0" fontId="7" fillId="17" borderId="109" xfId="0" applyFont="1" applyFill="1" applyBorder="1"/>
    <xf numFmtId="0" fontId="2" fillId="17" borderId="110" xfId="0" applyFont="1" applyFill="1" applyBorder="1"/>
    <xf numFmtId="0" fontId="2" fillId="16" borderId="111" xfId="0" applyFont="1" applyFill="1" applyBorder="1" applyAlignment="1">
      <alignment horizontal="left"/>
    </xf>
    <xf numFmtId="0" fontId="7" fillId="16" borderId="112" xfId="0" applyFont="1" applyFill="1" applyBorder="1" applyAlignment="1">
      <alignment horizontal="left"/>
    </xf>
    <xf numFmtId="2" fontId="3" fillId="6" borderId="107" xfId="0" applyNumberFormat="1" applyFont="1" applyFill="1" applyBorder="1"/>
    <xf numFmtId="0" fontId="17" fillId="12" borderId="100" xfId="0" applyFont="1" applyFill="1" applyBorder="1"/>
    <xf numFmtId="0" fontId="15" fillId="12" borderId="101" xfId="0" applyFont="1" applyFill="1" applyBorder="1"/>
    <xf numFmtId="0" fontId="15" fillId="12" borderId="102" xfId="0" applyFont="1" applyFill="1" applyBorder="1"/>
    <xf numFmtId="0" fontId="15" fillId="12" borderId="73" xfId="0" applyFont="1" applyFill="1" applyBorder="1"/>
    <xf numFmtId="0" fontId="15" fillId="12" borderId="114" xfId="0" applyFont="1" applyFill="1" applyBorder="1"/>
    <xf numFmtId="0" fontId="25" fillId="22" borderId="0" xfId="2" quotePrefix="1" applyFont="1" applyFill="1" applyBorder="1"/>
    <xf numFmtId="0" fontId="15" fillId="22" borderId="0" xfId="0" applyFont="1" applyFill="1"/>
    <xf numFmtId="0" fontId="15" fillId="22" borderId="113" xfId="0" applyFont="1" applyFill="1" applyBorder="1"/>
    <xf numFmtId="0" fontId="15" fillId="22" borderId="0" xfId="0" quotePrefix="1" applyFont="1" applyFill="1"/>
    <xf numFmtId="0" fontId="15" fillId="22" borderId="77" xfId="0" applyFont="1" applyFill="1" applyBorder="1"/>
    <xf numFmtId="0" fontId="15" fillId="22" borderId="115" xfId="0" applyFont="1" applyFill="1" applyBorder="1"/>
    <xf numFmtId="0" fontId="17" fillId="13" borderId="22" xfId="0" applyFont="1" applyFill="1" applyBorder="1"/>
    <xf numFmtId="3" fontId="15" fillId="13" borderId="0" xfId="0" applyNumberFormat="1" applyFont="1" applyFill="1"/>
    <xf numFmtId="174" fontId="15" fillId="13" borderId="25" xfId="0" applyNumberFormat="1" applyFont="1" applyFill="1" applyBorder="1"/>
    <xf numFmtId="0" fontId="17" fillId="13" borderId="28" xfId="0" applyFont="1" applyFill="1" applyBorder="1"/>
    <xf numFmtId="0" fontId="15" fillId="13" borderId="11" xfId="0" applyFont="1" applyFill="1" applyBorder="1"/>
    <xf numFmtId="173" fontId="15" fillId="13" borderId="11" xfId="0" applyNumberFormat="1" applyFont="1" applyFill="1" applyBorder="1"/>
    <xf numFmtId="175" fontId="15" fillId="13" borderId="30" xfId="0" applyNumberFormat="1" applyFont="1" applyFill="1" applyBorder="1"/>
    <xf numFmtId="174" fontId="15" fillId="13" borderId="0" xfId="0" applyNumberFormat="1" applyFont="1" applyFill="1"/>
    <xf numFmtId="0" fontId="17" fillId="13" borderId="45" xfId="0" applyFont="1" applyFill="1" applyBorder="1"/>
    <xf numFmtId="0" fontId="15" fillId="13" borderId="46" xfId="0" applyFont="1" applyFill="1" applyBorder="1"/>
    <xf numFmtId="3" fontId="15" fillId="13" borderId="46" xfId="0" applyNumberFormat="1" applyFont="1" applyFill="1" applyBorder="1"/>
    <xf numFmtId="174" fontId="15" fillId="13" borderId="47" xfId="0" applyNumberFormat="1" applyFont="1" applyFill="1" applyBorder="1"/>
    <xf numFmtId="174" fontId="15" fillId="13" borderId="30" xfId="0" applyNumberFormat="1" applyFont="1" applyFill="1" applyBorder="1"/>
    <xf numFmtId="0" fontId="17" fillId="13" borderId="42" xfId="0" applyFont="1" applyFill="1" applyBorder="1"/>
    <xf numFmtId="0" fontId="17" fillId="13" borderId="43" xfId="0" applyFont="1" applyFill="1" applyBorder="1"/>
    <xf numFmtId="3" fontId="17" fillId="13" borderId="43" xfId="0" applyNumberFormat="1" applyFont="1" applyFill="1" applyBorder="1"/>
    <xf numFmtId="174" fontId="17" fillId="13" borderId="44" xfId="0" applyNumberFormat="1" applyFont="1" applyFill="1" applyBorder="1"/>
    <xf numFmtId="0" fontId="15" fillId="13" borderId="22" xfId="0" applyFont="1" applyFill="1" applyBorder="1" applyAlignment="1">
      <alignment horizontal="left" indent="1"/>
    </xf>
    <xf numFmtId="0" fontId="18" fillId="13" borderId="22" xfId="0" applyFont="1" applyFill="1" applyBorder="1" applyAlignment="1">
      <alignment horizontal="left" indent="2"/>
    </xf>
    <xf numFmtId="0" fontId="18" fillId="13" borderId="0" xfId="0" applyFont="1" applyFill="1"/>
    <xf numFmtId="3" fontId="18" fillId="13" borderId="0" xfId="0" applyNumberFormat="1" applyFont="1" applyFill="1"/>
    <xf numFmtId="174" fontId="18" fillId="13" borderId="25" xfId="0" applyNumberFormat="1" applyFont="1" applyFill="1" applyBorder="1"/>
    <xf numFmtId="0" fontId="15" fillId="13" borderId="28" xfId="0" applyFont="1" applyFill="1" applyBorder="1" applyAlignment="1">
      <alignment horizontal="left" indent="1"/>
    </xf>
    <xf numFmtId="3" fontId="15" fillId="13" borderId="11" xfId="0" applyNumberFormat="1" applyFont="1" applyFill="1" applyBorder="1"/>
    <xf numFmtId="0" fontId="17" fillId="13" borderId="0" xfId="0" applyFont="1" applyFill="1"/>
    <xf numFmtId="3" fontId="17" fillId="13" borderId="0" xfId="0" applyNumberFormat="1" applyFont="1" applyFill="1"/>
    <xf numFmtId="174" fontId="17" fillId="13" borderId="25" xfId="0" applyNumberFormat="1" applyFont="1" applyFill="1" applyBorder="1"/>
    <xf numFmtId="0" fontId="17" fillId="13" borderId="48" xfId="0" applyFont="1" applyFill="1" applyBorder="1"/>
    <xf numFmtId="0" fontId="17" fillId="13" borderId="49" xfId="0" applyFont="1" applyFill="1" applyBorder="1"/>
    <xf numFmtId="3" fontId="17" fillId="13" borderId="49" xfId="0" applyNumberFormat="1" applyFont="1" applyFill="1" applyBorder="1"/>
    <xf numFmtId="174" fontId="17" fillId="13" borderId="50" xfId="0" applyNumberFormat="1" applyFont="1" applyFill="1" applyBorder="1"/>
    <xf numFmtId="0" fontId="17" fillId="13" borderId="46" xfId="0" applyFont="1" applyFill="1" applyBorder="1"/>
    <xf numFmtId="3" fontId="17" fillId="13" borderId="46" xfId="0" applyNumberFormat="1" applyFont="1" applyFill="1" applyBorder="1"/>
    <xf numFmtId="174" fontId="17" fillId="13" borderId="47" xfId="0" applyNumberFormat="1" applyFont="1" applyFill="1" applyBorder="1"/>
    <xf numFmtId="173" fontId="15" fillId="13" borderId="0" xfId="0" applyNumberFormat="1" applyFont="1" applyFill="1"/>
    <xf numFmtId="175" fontId="15" fillId="13" borderId="25" xfId="0" applyNumberFormat="1" applyFont="1" applyFill="1" applyBorder="1"/>
    <xf numFmtId="173" fontId="15" fillId="13" borderId="46" xfId="0" applyNumberFormat="1" applyFont="1" applyFill="1" applyBorder="1"/>
    <xf numFmtId="175" fontId="15" fillId="13" borderId="47" xfId="0" applyNumberFormat="1" applyFont="1" applyFill="1" applyBorder="1"/>
    <xf numFmtId="0" fontId="2" fillId="4" borderId="24" xfId="0" applyFont="1" applyFill="1" applyBorder="1"/>
    <xf numFmtId="0" fontId="3" fillId="4" borderId="26" xfId="0" applyFont="1" applyFill="1" applyBorder="1"/>
    <xf numFmtId="172" fontId="2" fillId="4" borderId="26" xfId="0" applyNumberFormat="1" applyFont="1" applyFill="1" applyBorder="1" applyAlignment="1">
      <alignment horizontal="right"/>
    </xf>
    <xf numFmtId="174" fontId="2" fillId="4" borderId="38" xfId="0" applyNumberFormat="1" applyFont="1" applyFill="1" applyBorder="1" applyAlignment="1">
      <alignment horizontal="right"/>
    </xf>
    <xf numFmtId="0" fontId="2" fillId="4" borderId="20" xfId="0" applyFont="1" applyFill="1" applyBorder="1"/>
    <xf numFmtId="0" fontId="2" fillId="4" borderId="19" xfId="0" applyFont="1" applyFill="1" applyBorder="1"/>
    <xf numFmtId="3" fontId="2" fillId="4" borderId="19" xfId="0" applyNumberFormat="1" applyFont="1" applyFill="1" applyBorder="1"/>
    <xf numFmtId="174" fontId="2" fillId="4" borderId="41" xfId="0" applyNumberFormat="1" applyFont="1" applyFill="1" applyBorder="1"/>
    <xf numFmtId="0" fontId="3" fillId="4" borderId="19" xfId="0" applyFont="1" applyFill="1" applyBorder="1"/>
    <xf numFmtId="172" fontId="3" fillId="4" borderId="19" xfId="0" applyNumberFormat="1" applyFont="1" applyFill="1" applyBorder="1"/>
    <xf numFmtId="174" fontId="3" fillId="4" borderId="41" xfId="0" applyNumberFormat="1" applyFont="1" applyFill="1" applyBorder="1"/>
    <xf numFmtId="0" fontId="17" fillId="14" borderId="0" xfId="0" applyFont="1" applyFill="1"/>
    <xf numFmtId="176" fontId="17" fillId="14" borderId="0" xfId="0" applyNumberFormat="1" applyFont="1" applyFill="1"/>
    <xf numFmtId="37" fontId="15" fillId="12" borderId="0" xfId="0" applyNumberFormat="1" applyFont="1" applyFill="1"/>
    <xf numFmtId="3" fontId="2" fillId="6" borderId="0" xfId="0" applyNumberFormat="1" applyFont="1" applyFill="1"/>
    <xf numFmtId="4" fontId="15" fillId="2" borderId="0" xfId="0" applyNumberFormat="1" applyFont="1" applyFill="1" applyAlignment="1">
      <alignment horizontal="right"/>
    </xf>
    <xf numFmtId="183" fontId="15" fillId="2" borderId="0" xfId="0" applyNumberFormat="1" applyFont="1" applyFill="1" applyAlignment="1">
      <alignment horizontal="right"/>
    </xf>
    <xf numFmtId="2" fontId="0" fillId="13" borderId="0" xfId="0" applyNumberFormat="1" applyFill="1" applyAlignment="1">
      <alignment horizontal="right"/>
    </xf>
    <xf numFmtId="2" fontId="3" fillId="4" borderId="97" xfId="0" applyNumberFormat="1" applyFont="1" applyFill="1" applyBorder="1" applyAlignment="1">
      <alignment horizontal="right"/>
    </xf>
    <xf numFmtId="2" fontId="15" fillId="15" borderId="0" xfId="0" applyNumberFormat="1" applyFont="1" applyFill="1" applyAlignment="1">
      <alignment horizontal="right"/>
    </xf>
    <xf numFmtId="3" fontId="15" fillId="12" borderId="75" xfId="0" applyNumberFormat="1" applyFont="1" applyFill="1" applyBorder="1"/>
    <xf numFmtId="3" fontId="17" fillId="12" borderId="0" xfId="0" applyNumberFormat="1" applyFont="1" applyFill="1"/>
    <xf numFmtId="2" fontId="0" fillId="6" borderId="0" xfId="0" applyNumberFormat="1" applyFill="1"/>
    <xf numFmtId="176" fontId="2" fillId="6" borderId="0" xfId="0" applyNumberFormat="1" applyFont="1" applyFill="1"/>
    <xf numFmtId="37" fontId="17" fillId="12" borderId="0" xfId="0" applyNumberFormat="1" applyFont="1" applyFill="1"/>
    <xf numFmtId="10" fontId="3" fillId="6" borderId="0" xfId="1" applyNumberFormat="1" applyFont="1" applyFill="1"/>
    <xf numFmtId="3" fontId="17" fillId="3" borderId="0" xfId="0" applyNumberFormat="1" applyFont="1" applyFill="1"/>
    <xf numFmtId="179" fontId="3" fillId="6" borderId="0" xfId="0" applyNumberFormat="1" applyFont="1" applyFill="1"/>
    <xf numFmtId="14" fontId="0" fillId="6" borderId="0" xfId="0" applyNumberFormat="1" applyFill="1"/>
    <xf numFmtId="0" fontId="2" fillId="4" borderId="97" xfId="0" applyFont="1" applyFill="1" applyBorder="1" applyAlignment="1">
      <alignment horizontal="left"/>
    </xf>
    <xf numFmtId="3" fontId="15" fillId="13" borderId="75" xfId="0" applyNumberFormat="1" applyFont="1" applyFill="1" applyBorder="1" applyAlignment="1">
      <alignment horizontal="right"/>
    </xf>
    <xf numFmtId="3" fontId="15" fillId="13" borderId="76" xfId="0" applyNumberFormat="1" applyFont="1" applyFill="1" applyBorder="1" applyAlignment="1">
      <alignment horizontal="right"/>
    </xf>
    <xf numFmtId="171" fontId="15" fillId="20" borderId="0" xfId="0" applyNumberFormat="1" applyFont="1" applyFill="1" applyAlignment="1">
      <alignment horizontal="left"/>
    </xf>
    <xf numFmtId="0" fontId="15" fillId="20" borderId="0" xfId="0" applyFont="1" applyFill="1" applyAlignment="1">
      <alignment horizontal="left"/>
    </xf>
    <xf numFmtId="4" fontId="15" fillId="13" borderId="0" xfId="0" applyNumberFormat="1" applyFont="1" applyFill="1"/>
    <xf numFmtId="3" fontId="26" fillId="4" borderId="97" xfId="0" applyNumberFormat="1" applyFont="1" applyFill="1" applyBorder="1" applyAlignment="1">
      <alignment horizontal="right"/>
    </xf>
    <xf numFmtId="3" fontId="26" fillId="15" borderId="0" xfId="0" applyNumberFormat="1" applyFont="1" applyFill="1" applyAlignment="1">
      <alignment horizontal="right"/>
    </xf>
    <xf numFmtId="3" fontId="26" fillId="13" borderId="0" xfId="0" applyNumberFormat="1" applyFont="1" applyFill="1" applyAlignment="1">
      <alignment horizontal="right"/>
    </xf>
    <xf numFmtId="184" fontId="27" fillId="12" borderId="0" xfId="0" applyNumberFormat="1" applyFont="1" applyFill="1" applyAlignment="1">
      <alignment horizontal="left"/>
    </xf>
    <xf numFmtId="0" fontId="28" fillId="6" borderId="0" xfId="0" applyFont="1" applyFill="1"/>
    <xf numFmtId="2" fontId="2" fillId="6" borderId="0" xfId="0" applyNumberFormat="1" applyFont="1" applyFill="1"/>
    <xf numFmtId="9" fontId="3" fillId="6" borderId="0" xfId="0" applyNumberFormat="1" applyFont="1" applyFill="1"/>
    <xf numFmtId="185" fontId="3" fillId="6" borderId="0" xfId="3" applyNumberFormat="1" applyFont="1" applyFill="1"/>
    <xf numFmtId="0" fontId="2" fillId="6" borderId="73" xfId="0" applyFont="1" applyFill="1" applyBorder="1" applyAlignment="1">
      <alignment horizontal="right"/>
    </xf>
    <xf numFmtId="0" fontId="7" fillId="17" borderId="85" xfId="0" applyFont="1" applyFill="1" applyBorder="1"/>
    <xf numFmtId="0" fontId="7" fillId="16" borderId="105" xfId="0" applyFont="1" applyFill="1" applyBorder="1" applyAlignment="1">
      <alignment horizontal="left"/>
    </xf>
    <xf numFmtId="0" fontId="2" fillId="17" borderId="85" xfId="0" applyFont="1" applyFill="1" applyBorder="1"/>
    <xf numFmtId="0" fontId="2" fillId="16" borderId="92" xfId="0" applyFont="1" applyFill="1" applyBorder="1" applyAlignment="1">
      <alignment horizontal="left"/>
    </xf>
    <xf numFmtId="0" fontId="2" fillId="16" borderId="93" xfId="0" applyFont="1" applyFill="1" applyBorder="1" applyAlignment="1">
      <alignment horizontal="right"/>
    </xf>
    <xf numFmtId="0" fontId="2" fillId="16" borderId="86" xfId="0" applyFont="1" applyFill="1" applyBorder="1" applyAlignment="1">
      <alignment horizontal="left"/>
    </xf>
    <xf numFmtId="0" fontId="2" fillId="16" borderId="87" xfId="0" applyFont="1" applyFill="1" applyBorder="1" applyAlignment="1">
      <alignment horizontal="left"/>
    </xf>
    <xf numFmtId="16" fontId="15" fillId="13" borderId="117" xfId="0" applyNumberFormat="1" applyFont="1" applyFill="1" applyBorder="1" applyAlignment="1">
      <alignment horizontal="left"/>
    </xf>
    <xf numFmtId="0" fontId="15" fillId="13" borderId="117" xfId="0" applyFont="1" applyFill="1" applyBorder="1" applyAlignment="1">
      <alignment horizontal="left"/>
    </xf>
    <xf numFmtId="3" fontId="0" fillId="13" borderId="117" xfId="0" applyNumberFormat="1" applyFill="1" applyBorder="1" applyAlignment="1">
      <alignment horizontal="right"/>
    </xf>
    <xf numFmtId="3" fontId="15" fillId="13" borderId="117" xfId="0" applyNumberFormat="1" applyFont="1" applyFill="1" applyBorder="1" applyAlignment="1">
      <alignment horizontal="right"/>
    </xf>
    <xf numFmtId="3" fontId="26" fillId="13" borderId="117" xfId="0" applyNumberFormat="1" applyFont="1" applyFill="1" applyBorder="1" applyAlignment="1">
      <alignment horizontal="right"/>
    </xf>
    <xf numFmtId="2" fontId="0" fillId="13" borderId="117" xfId="0" applyNumberFormat="1" applyFill="1" applyBorder="1" applyAlignment="1">
      <alignment horizontal="right"/>
    </xf>
    <xf numFmtId="2" fontId="19" fillId="15" borderId="37" xfId="0" applyNumberFormat="1" applyFont="1" applyFill="1" applyBorder="1" applyAlignment="1">
      <alignment horizontal="right"/>
    </xf>
    <xf numFmtId="3" fontId="15" fillId="24" borderId="0" xfId="0" applyNumberFormat="1" applyFont="1" applyFill="1" applyAlignment="1">
      <alignment horizontal="right"/>
    </xf>
    <xf numFmtId="3" fontId="15" fillId="24" borderId="117" xfId="0" applyNumberFormat="1" applyFont="1" applyFill="1" applyBorder="1" applyAlignment="1">
      <alignment horizontal="right"/>
    </xf>
    <xf numFmtId="3" fontId="0" fillId="6" borderId="0" xfId="0" applyNumberFormat="1" applyFill="1"/>
    <xf numFmtId="3" fontId="26" fillId="6" borderId="0" xfId="0" applyNumberFormat="1" applyFont="1" applyFill="1"/>
    <xf numFmtId="2" fontId="21" fillId="15" borderId="72" xfId="0" applyNumberFormat="1" applyFont="1" applyFill="1" applyBorder="1" applyAlignment="1">
      <alignment horizontal="right"/>
    </xf>
    <xf numFmtId="2" fontId="21" fillId="15" borderId="73" xfId="0" applyNumberFormat="1" applyFont="1" applyFill="1" applyBorder="1"/>
    <xf numFmtId="2" fontId="21" fillId="15" borderId="74" xfId="0" applyNumberFormat="1" applyFont="1" applyFill="1" applyBorder="1"/>
    <xf numFmtId="0" fontId="0" fillId="25" borderId="0" xfId="0" applyFill="1"/>
    <xf numFmtId="0" fontId="1" fillId="25" borderId="0" xfId="0" applyFont="1" applyFill="1"/>
    <xf numFmtId="0" fontId="0" fillId="25" borderId="0" xfId="0" applyFill="1" applyAlignment="1">
      <alignment horizontal="right"/>
    </xf>
    <xf numFmtId="0" fontId="1" fillId="25" borderId="0" xfId="0" applyFont="1" applyFill="1" applyAlignment="1">
      <alignment horizontal="left"/>
    </xf>
    <xf numFmtId="0" fontId="2" fillId="16" borderId="116" xfId="0" applyFont="1" applyFill="1" applyBorder="1"/>
    <xf numFmtId="0" fontId="1" fillId="25" borderId="116" xfId="0" applyFont="1" applyFill="1" applyBorder="1"/>
    <xf numFmtId="0" fontId="0" fillId="25" borderId="116" xfId="0" applyFill="1" applyBorder="1" applyAlignment="1">
      <alignment horizontal="right"/>
    </xf>
    <xf numFmtId="1" fontId="0" fillId="25" borderId="116" xfId="0" applyNumberFormat="1" applyFill="1" applyBorder="1" applyAlignment="1">
      <alignment horizontal="right"/>
    </xf>
    <xf numFmtId="16" fontId="0" fillId="25" borderId="116" xfId="0" applyNumberFormat="1" applyFill="1" applyBorder="1" applyAlignment="1">
      <alignment horizontal="right"/>
    </xf>
    <xf numFmtId="0" fontId="1" fillId="25" borderId="116" xfId="0" applyFont="1" applyFill="1" applyBorder="1" applyAlignment="1">
      <alignment horizontal="left"/>
    </xf>
    <xf numFmtId="2" fontId="0" fillId="25" borderId="116" xfId="0" applyNumberFormat="1" applyFill="1" applyBorder="1" applyAlignment="1">
      <alignment horizontal="right"/>
    </xf>
    <xf numFmtId="176" fontId="0" fillId="25" borderId="116" xfId="0" applyNumberFormat="1" applyFill="1" applyBorder="1" applyAlignment="1">
      <alignment horizontal="right"/>
    </xf>
    <xf numFmtId="181" fontId="0" fillId="25" borderId="116" xfId="0" applyNumberFormat="1" applyFill="1" applyBorder="1" applyAlignment="1">
      <alignment horizontal="right"/>
    </xf>
    <xf numFmtId="10" fontId="0" fillId="25" borderId="116" xfId="0" applyNumberFormat="1" applyFill="1" applyBorder="1" applyAlignment="1">
      <alignment horizontal="right"/>
    </xf>
    <xf numFmtId="2" fontId="0" fillId="25" borderId="116" xfId="0" applyNumberFormat="1" applyFill="1" applyBorder="1"/>
    <xf numFmtId="0" fontId="0" fillId="25" borderId="79" xfId="0" applyFill="1" applyBorder="1" applyAlignment="1">
      <alignment horizontal="right"/>
    </xf>
    <xf numFmtId="0" fontId="1" fillId="25" borderId="99" xfId="0" applyFont="1" applyFill="1" applyBorder="1"/>
    <xf numFmtId="16" fontId="0" fillId="25" borderId="79" xfId="0" applyNumberFormat="1" applyFill="1" applyBorder="1" applyAlignment="1">
      <alignment horizontal="right"/>
    </xf>
    <xf numFmtId="0" fontId="0" fillId="25" borderId="99" xfId="0" applyFill="1" applyBorder="1"/>
    <xf numFmtId="0" fontId="0" fillId="25" borderId="79" xfId="0" applyFill="1" applyBorder="1"/>
    <xf numFmtId="0" fontId="0" fillId="16" borderId="80" xfId="0" applyFill="1" applyBorder="1" applyAlignment="1">
      <alignment horizontal="right"/>
    </xf>
    <xf numFmtId="0" fontId="2" fillId="16" borderId="99" xfId="0" applyFont="1" applyFill="1" applyBorder="1"/>
    <xf numFmtId="0" fontId="0" fillId="16" borderId="79" xfId="0" applyFill="1" applyBorder="1" applyAlignment="1">
      <alignment horizontal="right"/>
    </xf>
    <xf numFmtId="0" fontId="0" fillId="16" borderId="99" xfId="0" applyFill="1" applyBorder="1" applyAlignment="1">
      <alignment horizontal="right"/>
    </xf>
    <xf numFmtId="0" fontId="1" fillId="14" borderId="99" xfId="0" applyFont="1" applyFill="1" applyBorder="1"/>
    <xf numFmtId="0" fontId="0" fillId="14" borderId="79" xfId="0" applyFill="1" applyBorder="1" applyAlignment="1">
      <alignment horizontal="right"/>
    </xf>
    <xf numFmtId="0" fontId="0" fillId="14" borderId="80" xfId="0" applyFill="1" applyBorder="1" applyAlignment="1">
      <alignment horizontal="right"/>
    </xf>
    <xf numFmtId="3" fontId="0" fillId="25" borderId="116" xfId="0" applyNumberFormat="1" applyFill="1" applyBorder="1" applyAlignment="1">
      <alignment horizontal="right"/>
    </xf>
    <xf numFmtId="1" fontId="0" fillId="25" borderId="0" xfId="0" applyNumberFormat="1" applyFill="1" applyAlignment="1">
      <alignment horizontal="right"/>
    </xf>
    <xf numFmtId="2" fontId="0" fillId="25" borderId="0" xfId="0" applyNumberFormat="1" applyFill="1" applyAlignment="1">
      <alignment horizontal="right"/>
    </xf>
    <xf numFmtId="176" fontId="0" fillId="25" borderId="0" xfId="0" applyNumberFormat="1" applyFill="1" applyAlignment="1">
      <alignment horizontal="right"/>
    </xf>
    <xf numFmtId="3" fontId="0" fillId="25" borderId="0" xfId="0" applyNumberFormat="1" applyFill="1" applyAlignment="1">
      <alignment horizontal="right"/>
    </xf>
    <xf numFmtId="181" fontId="0" fillId="25" borderId="0" xfId="0" applyNumberFormat="1" applyFill="1" applyAlignment="1">
      <alignment horizontal="right"/>
    </xf>
    <xf numFmtId="3" fontId="0" fillId="25" borderId="116" xfId="0" applyNumberFormat="1" applyFill="1" applyBorder="1"/>
    <xf numFmtId="0" fontId="0" fillId="26" borderId="116" xfId="0" applyFill="1" applyBorder="1"/>
    <xf numFmtId="0" fontId="0" fillId="3" borderId="116" xfId="0" applyFill="1" applyBorder="1" applyAlignment="1">
      <alignment horizontal="right"/>
    </xf>
    <xf numFmtId="2" fontId="0" fillId="3" borderId="116" xfId="0" applyNumberFormat="1" applyFill="1" applyBorder="1" applyAlignment="1">
      <alignment horizontal="right"/>
    </xf>
    <xf numFmtId="3" fontId="0" fillId="3" borderId="116" xfId="0" applyNumberFormat="1" applyFill="1" applyBorder="1" applyAlignment="1">
      <alignment horizontal="right"/>
    </xf>
    <xf numFmtId="179" fontId="15" fillId="2" borderId="0" xfId="0" applyNumberFormat="1" applyFont="1" applyFill="1"/>
    <xf numFmtId="0" fontId="17" fillId="20" borderId="0" xfId="0" applyFont="1" applyFill="1"/>
    <xf numFmtId="179" fontId="17" fillId="20" borderId="0" xfId="0" applyNumberFormat="1" applyFont="1" applyFill="1"/>
    <xf numFmtId="37" fontId="15" fillId="2" borderId="0" xfId="0" applyNumberFormat="1" applyFont="1" applyFill="1"/>
    <xf numFmtId="180" fontId="15" fillId="2" borderId="0" xfId="0" applyNumberFormat="1" applyFont="1" applyFill="1"/>
    <xf numFmtId="3" fontId="15" fillId="2" borderId="0" xfId="0" applyNumberFormat="1" applyFont="1" applyFill="1"/>
    <xf numFmtId="3" fontId="15" fillId="2" borderId="0" xfId="0" applyNumberFormat="1" applyFont="1" applyFill="1" applyAlignment="1">
      <alignment horizontal="right"/>
    </xf>
    <xf numFmtId="181" fontId="15" fillId="2" borderId="0" xfId="0" applyNumberFormat="1" applyFont="1" applyFill="1"/>
    <xf numFmtId="181" fontId="15" fillId="2" borderId="0" xfId="0" applyNumberFormat="1" applyFont="1" applyFill="1" applyAlignment="1">
      <alignment horizontal="right"/>
    </xf>
    <xf numFmtId="182" fontId="15" fillId="2" borderId="0" xfId="0" applyNumberFormat="1" applyFont="1" applyFill="1"/>
    <xf numFmtId="2" fontId="15" fillId="2" borderId="0" xfId="0" applyNumberFormat="1" applyFont="1" applyFill="1"/>
    <xf numFmtId="179" fontId="15" fillId="2" borderId="0" xfId="0" applyNumberFormat="1" applyFont="1" applyFill="1" applyAlignment="1">
      <alignment horizontal="right"/>
    </xf>
    <xf numFmtId="17" fontId="15" fillId="2" borderId="0" xfId="0" applyNumberFormat="1" applyFont="1" applyFill="1"/>
    <xf numFmtId="0" fontId="15" fillId="2" borderId="0" xfId="0" quotePrefix="1" applyFont="1" applyFill="1"/>
    <xf numFmtId="15" fontId="15" fillId="2" borderId="0" xfId="0" applyNumberFormat="1" applyFont="1" applyFill="1" applyAlignment="1">
      <alignment horizontal="left"/>
    </xf>
    <xf numFmtId="17" fontId="15" fillId="2" borderId="0" xfId="0" quotePrefix="1" applyNumberFormat="1" applyFont="1" applyFill="1" applyAlignment="1">
      <alignment horizontal="left"/>
    </xf>
    <xf numFmtId="16" fontId="15" fillId="2" borderId="0" xfId="0" applyNumberFormat="1" applyFont="1" applyFill="1" applyAlignment="1">
      <alignment horizontal="left"/>
    </xf>
    <xf numFmtId="17" fontId="15" fillId="2" borderId="0" xfId="0" quotePrefix="1" applyNumberFormat="1" applyFont="1" applyFill="1"/>
    <xf numFmtId="15" fontId="15" fillId="2" borderId="117" xfId="0" applyNumberFormat="1" applyFont="1" applyFill="1" applyBorder="1" applyAlignment="1">
      <alignment horizontal="left"/>
    </xf>
    <xf numFmtId="0" fontId="15" fillId="2" borderId="117" xfId="0" applyFont="1" applyFill="1" applyBorder="1" applyAlignment="1">
      <alignment horizontal="left"/>
    </xf>
    <xf numFmtId="3" fontId="15" fillId="2" borderId="117" xfId="0" applyNumberFormat="1" applyFont="1" applyFill="1" applyBorder="1" applyAlignment="1">
      <alignment horizontal="right"/>
    </xf>
    <xf numFmtId="4" fontId="15" fillId="2" borderId="117" xfId="0" applyNumberFormat="1" applyFont="1" applyFill="1" applyBorder="1" applyAlignment="1">
      <alignment horizontal="right"/>
    </xf>
    <xf numFmtId="179" fontId="15" fillId="2" borderId="0" xfId="0" applyNumberFormat="1" applyFont="1" applyFill="1" applyAlignment="1">
      <alignment horizontal="left"/>
    </xf>
    <xf numFmtId="3" fontId="2" fillId="4" borderId="97" xfId="0" applyNumberFormat="1" applyFont="1" applyFill="1" applyBorder="1" applyAlignment="1">
      <alignment horizontal="right"/>
    </xf>
    <xf numFmtId="3" fontId="17" fillId="15" borderId="0" xfId="0" applyNumberFormat="1" applyFont="1" applyFill="1" applyAlignment="1">
      <alignment horizontal="right"/>
    </xf>
    <xf numFmtId="3" fontId="17" fillId="24" borderId="0" xfId="0" applyNumberFormat="1" applyFont="1" applyFill="1" applyAlignment="1">
      <alignment horizontal="right"/>
    </xf>
    <xf numFmtId="3" fontId="17" fillId="13" borderId="0" xfId="0" applyNumberFormat="1" applyFont="1" applyFill="1" applyAlignment="1">
      <alignment horizontal="right"/>
    </xf>
    <xf numFmtId="3" fontId="1" fillId="24" borderId="0" xfId="0" applyNumberFormat="1" applyFont="1" applyFill="1" applyAlignment="1">
      <alignment horizontal="right"/>
    </xf>
    <xf numFmtId="3" fontId="30" fillId="13" borderId="0" xfId="0" applyNumberFormat="1" applyFont="1" applyFill="1" applyAlignment="1">
      <alignment horizontal="right"/>
    </xf>
    <xf numFmtId="3" fontId="31" fillId="13" borderId="0" xfId="0" applyNumberFormat="1" applyFont="1" applyFill="1" applyAlignment="1">
      <alignment horizontal="right"/>
    </xf>
    <xf numFmtId="3" fontId="1" fillId="24" borderId="117" xfId="0" applyNumberFormat="1" applyFont="1" applyFill="1" applyBorder="1" applyAlignment="1">
      <alignment horizontal="right"/>
    </xf>
    <xf numFmtId="3" fontId="17" fillId="13" borderId="117" xfId="0" applyNumberFormat="1" applyFont="1" applyFill="1" applyBorder="1" applyAlignment="1">
      <alignment horizontal="right"/>
    </xf>
    <xf numFmtId="3" fontId="1" fillId="6" borderId="0" xfId="0" applyNumberFormat="1" applyFont="1" applyFill="1" applyAlignment="1">
      <alignment horizontal="right"/>
    </xf>
    <xf numFmtId="3" fontId="15" fillId="2" borderId="98" xfId="0" applyNumberFormat="1" applyFont="1" applyFill="1" applyBorder="1"/>
    <xf numFmtId="2" fontId="15" fillId="2" borderId="98" xfId="0" applyNumberFormat="1" applyFont="1" applyFill="1" applyBorder="1"/>
    <xf numFmtId="3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2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165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2" fontId="1" fillId="25" borderId="0" xfId="0" applyNumberFormat="1" applyFont="1" applyFill="1"/>
    <xf numFmtId="2" fontId="0" fillId="25" borderId="0" xfId="0" applyNumberFormat="1" applyFill="1"/>
    <xf numFmtId="186" fontId="0" fillId="25" borderId="0" xfId="0" applyNumberFormat="1" applyFill="1"/>
    <xf numFmtId="0" fontId="2" fillId="4" borderId="82" xfId="0" applyFont="1" applyFill="1" applyBorder="1" applyAlignment="1">
      <alignment horizontal="left"/>
    </xf>
    <xf numFmtId="0" fontId="17" fillId="25" borderId="0" xfId="0" applyFont="1" applyFill="1"/>
    <xf numFmtId="0" fontId="17" fillId="25" borderId="0" xfId="0" applyFont="1" applyFill="1" applyAlignment="1">
      <alignment horizontal="right"/>
    </xf>
    <xf numFmtId="2" fontId="17" fillId="25" borderId="0" xfId="0" applyNumberFormat="1" applyFont="1" applyFill="1"/>
    <xf numFmtId="2" fontId="0" fillId="28" borderId="0" xfId="0" applyNumberFormat="1" applyFill="1"/>
    <xf numFmtId="2" fontId="0" fillId="29" borderId="0" xfId="0" applyNumberFormat="1" applyFill="1"/>
    <xf numFmtId="3" fontId="15" fillId="12" borderId="0" xfId="0" applyNumberFormat="1" applyFont="1" applyFill="1" applyAlignment="1">
      <alignment horizontal="right"/>
    </xf>
    <xf numFmtId="0" fontId="32" fillId="25" borderId="0" xfId="0" applyFont="1" applyFill="1" applyAlignment="1">
      <alignment horizontal="right"/>
    </xf>
    <xf numFmtId="2" fontId="1" fillId="25" borderId="0" xfId="0" applyNumberFormat="1" applyFont="1" applyFill="1" applyAlignment="1">
      <alignment horizontal="right"/>
    </xf>
    <xf numFmtId="0" fontId="1" fillId="25" borderId="0" xfId="0" applyFont="1" applyFill="1" applyAlignment="1">
      <alignment horizontal="right"/>
    </xf>
    <xf numFmtId="9" fontId="3" fillId="6" borderId="0" xfId="1" applyFont="1" applyFill="1"/>
    <xf numFmtId="2" fontId="1" fillId="30" borderId="0" xfId="0" applyNumberFormat="1" applyFont="1" applyFill="1"/>
    <xf numFmtId="47" fontId="3" fillId="6" borderId="0" xfId="0" applyNumberFormat="1" applyFont="1" applyFill="1"/>
    <xf numFmtId="2" fontId="3" fillId="14" borderId="0" xfId="0" applyNumberFormat="1" applyFont="1" applyFill="1"/>
    <xf numFmtId="0" fontId="3" fillId="14" borderId="0" xfId="0" applyFont="1" applyFill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right"/>
    </xf>
    <xf numFmtId="0" fontId="0" fillId="25" borderId="104" xfId="0" applyFill="1" applyBorder="1"/>
    <xf numFmtId="2" fontId="0" fillId="28" borderId="104" xfId="0" applyNumberFormat="1" applyFill="1" applyBorder="1"/>
    <xf numFmtId="2" fontId="1" fillId="25" borderId="104" xfId="0" applyNumberFormat="1" applyFont="1" applyFill="1" applyBorder="1"/>
    <xf numFmtId="2" fontId="0" fillId="29" borderId="104" xfId="0" applyNumberFormat="1" applyFill="1" applyBorder="1"/>
    <xf numFmtId="3" fontId="15" fillId="31" borderId="0" xfId="0" applyNumberFormat="1" applyFont="1" applyFill="1" applyAlignment="1">
      <alignment horizontal="right"/>
    </xf>
    <xf numFmtId="187" fontId="3" fillId="6" borderId="0" xfId="0" applyNumberFormat="1" applyFont="1" applyFill="1"/>
    <xf numFmtId="187" fontId="2" fillId="6" borderId="0" xfId="0" applyNumberFormat="1" applyFont="1" applyFill="1"/>
    <xf numFmtId="9" fontId="2" fillId="6" borderId="0" xfId="0" applyNumberFormat="1" applyFont="1" applyFill="1"/>
    <xf numFmtId="188" fontId="3" fillId="6" borderId="0" xfId="1" applyNumberFormat="1" applyFont="1" applyFill="1"/>
    <xf numFmtId="2" fontId="0" fillId="27" borderId="116" xfId="0" applyNumberFormat="1" applyFill="1" applyBorder="1" applyAlignment="1">
      <alignment horizontal="right"/>
    </xf>
    <xf numFmtId="0" fontId="3" fillId="6" borderId="0" xfId="1" applyNumberFormat="1" applyFont="1" applyFill="1"/>
    <xf numFmtId="188" fontId="2" fillId="6" borderId="0" xfId="1" applyNumberFormat="1" applyFont="1" applyFill="1"/>
    <xf numFmtId="2" fontId="3" fillId="6" borderId="0" xfId="1" applyNumberFormat="1" applyFont="1" applyFill="1"/>
    <xf numFmtId="4" fontId="15" fillId="2" borderId="0" xfId="0" applyNumberFormat="1" applyFont="1" applyFill="1" applyAlignment="1">
      <alignment horizontal="left"/>
    </xf>
    <xf numFmtId="2" fontId="1" fillId="29" borderId="0" xfId="0" applyNumberFormat="1" applyFont="1" applyFill="1"/>
    <xf numFmtId="0" fontId="15" fillId="32" borderId="0" xfId="0" applyFont="1" applyFill="1"/>
    <xf numFmtId="0" fontId="15" fillId="32" borderId="0" xfId="0" applyFont="1" applyFill="1" applyAlignment="1">
      <alignment horizontal="right"/>
    </xf>
    <xf numFmtId="37" fontId="15" fillId="13" borderId="0" xfId="0" applyNumberFormat="1" applyFont="1" applyFill="1" applyAlignment="1">
      <alignment horizontal="right"/>
    </xf>
    <xf numFmtId="179" fontId="15" fillId="13" borderId="0" xfId="0" applyNumberFormat="1" applyFont="1" applyFill="1" applyAlignment="1">
      <alignment horizontal="right"/>
    </xf>
    <xf numFmtId="37" fontId="15" fillId="13" borderId="0" xfId="0" applyNumberFormat="1" applyFont="1" applyFill="1"/>
    <xf numFmtId="179" fontId="17" fillId="13" borderId="0" xfId="0" applyNumberFormat="1" applyFont="1" applyFill="1" applyAlignment="1">
      <alignment horizontal="right"/>
    </xf>
    <xf numFmtId="189" fontId="3" fillId="18" borderId="0" xfId="0" applyNumberFormat="1" applyFont="1" applyFill="1"/>
    <xf numFmtId="4" fontId="0" fillId="25" borderId="116" xfId="0" applyNumberFormat="1" applyFill="1" applyBorder="1" applyAlignment="1">
      <alignment horizontal="right"/>
    </xf>
    <xf numFmtId="0" fontId="1" fillId="14" borderId="116" xfId="0" applyFont="1" applyFill="1" applyBorder="1"/>
    <xf numFmtId="0" fontId="2" fillId="6" borderId="0" xfId="1" applyNumberFormat="1" applyFont="1" applyFill="1"/>
    <xf numFmtId="190" fontId="3" fillId="6" borderId="0" xfId="0" applyNumberFormat="1" applyFont="1" applyFill="1"/>
    <xf numFmtId="170" fontId="0" fillId="6" borderId="0" xfId="0" applyNumberFormat="1" applyFill="1"/>
    <xf numFmtId="3" fontId="3" fillId="6" borderId="0" xfId="1" applyNumberFormat="1" applyFont="1" applyFill="1"/>
    <xf numFmtId="4" fontId="0" fillId="25" borderId="0" xfId="0" applyNumberFormat="1" applyFill="1"/>
    <xf numFmtId="176" fontId="0" fillId="25" borderId="0" xfId="0" applyNumberFormat="1" applyFill="1"/>
    <xf numFmtId="181" fontId="15" fillId="20" borderId="0" xfId="0" applyNumberFormat="1" applyFont="1" applyFill="1"/>
    <xf numFmtId="181" fontId="15" fillId="20" borderId="0" xfId="0" applyNumberFormat="1" applyFont="1" applyFill="1" applyAlignment="1">
      <alignment horizontal="right"/>
    </xf>
    <xf numFmtId="182" fontId="15" fillId="20" borderId="0" xfId="0" applyNumberFormat="1" applyFont="1" applyFill="1"/>
    <xf numFmtId="191" fontId="0" fillId="25" borderId="0" xfId="0" applyNumberFormat="1" applyFill="1"/>
    <xf numFmtId="0" fontId="34" fillId="6" borderId="0" xfId="0" applyFont="1" applyFill="1"/>
    <xf numFmtId="192" fontId="3" fillId="6" borderId="0" xfId="0" applyNumberFormat="1" applyFont="1" applyFill="1"/>
    <xf numFmtId="186" fontId="3" fillId="6" borderId="0" xfId="0" applyNumberFormat="1" applyFont="1" applyFill="1"/>
    <xf numFmtId="15" fontId="3" fillId="6" borderId="0" xfId="1" applyNumberFormat="1" applyFont="1" applyFill="1"/>
    <xf numFmtId="2" fontId="0" fillId="26" borderId="116" xfId="0" applyNumberFormat="1" applyFill="1" applyBorder="1" applyAlignment="1">
      <alignment horizontal="right"/>
    </xf>
    <xf numFmtId="179" fontId="15" fillId="12" borderId="0" xfId="0" applyNumberFormat="1" applyFont="1" applyFill="1"/>
    <xf numFmtId="179" fontId="17" fillId="12" borderId="0" xfId="0" applyNumberFormat="1" applyFont="1" applyFill="1" applyAlignment="1">
      <alignment horizontal="right"/>
    </xf>
    <xf numFmtId="179" fontId="2" fillId="6" borderId="0" xfId="0" applyNumberFormat="1" applyFont="1" applyFill="1"/>
    <xf numFmtId="0" fontId="2" fillId="16" borderId="114" xfId="0" applyFont="1" applyFill="1" applyBorder="1"/>
    <xf numFmtId="0" fontId="0" fillId="16" borderId="77" xfId="0" applyFill="1" applyBorder="1" applyAlignment="1">
      <alignment horizontal="right"/>
    </xf>
    <xf numFmtId="0" fontId="0" fillId="16" borderId="115" xfId="0" applyFill="1" applyBorder="1" applyAlignment="1">
      <alignment horizontal="right"/>
    </xf>
    <xf numFmtId="0" fontId="35" fillId="34" borderId="118" xfId="0" applyFont="1" applyFill="1" applyBorder="1"/>
    <xf numFmtId="0" fontId="36" fillId="34" borderId="119" xfId="0" applyFont="1" applyFill="1" applyBorder="1" applyAlignment="1">
      <alignment horizontal="right"/>
    </xf>
    <xf numFmtId="0" fontId="36" fillId="34" borderId="120" xfId="0" applyFont="1" applyFill="1" applyBorder="1" applyAlignment="1">
      <alignment horizontal="right"/>
    </xf>
    <xf numFmtId="0" fontId="35" fillId="35" borderId="118" xfId="0" applyFont="1" applyFill="1" applyBorder="1"/>
    <xf numFmtId="0" fontId="36" fillId="35" borderId="119" xfId="0" applyFont="1" applyFill="1" applyBorder="1" applyAlignment="1">
      <alignment horizontal="right"/>
    </xf>
    <xf numFmtId="0" fontId="36" fillId="35" borderId="120" xfId="0" applyFont="1" applyFill="1" applyBorder="1" applyAlignment="1">
      <alignment horizontal="right"/>
    </xf>
    <xf numFmtId="4" fontId="0" fillId="3" borderId="116" xfId="0" applyNumberFormat="1" applyFill="1" applyBorder="1" applyAlignment="1">
      <alignment horizontal="right"/>
    </xf>
    <xf numFmtId="3" fontId="0" fillId="26" borderId="116" xfId="0" applyNumberFormat="1" applyFill="1" applyBorder="1"/>
    <xf numFmtId="4" fontId="15" fillId="2" borderId="0" xfId="0" applyNumberFormat="1" applyFont="1" applyFill="1"/>
    <xf numFmtId="15" fontId="0" fillId="0" borderId="0" xfId="0" applyNumberFormat="1"/>
    <xf numFmtId="3" fontId="31" fillId="24" borderId="0" xfId="0" applyNumberFormat="1" applyFont="1" applyFill="1" applyAlignment="1">
      <alignment horizontal="right"/>
    </xf>
    <xf numFmtId="14" fontId="2" fillId="6" borderId="0" xfId="0" applyNumberFormat="1" applyFont="1" applyFill="1"/>
    <xf numFmtId="194" fontId="3" fillId="6" borderId="0" xfId="0" applyNumberFormat="1" applyFont="1" applyFill="1" applyAlignment="1">
      <alignment horizontal="right"/>
    </xf>
    <xf numFmtId="2" fontId="3" fillId="35" borderId="0" xfId="0" applyNumberFormat="1" applyFont="1" applyFill="1"/>
    <xf numFmtId="195" fontId="3" fillId="6" borderId="0" xfId="0" applyNumberFormat="1" applyFont="1" applyFill="1"/>
    <xf numFmtId="0" fontId="0" fillId="24" borderId="0" xfId="0" applyFill="1"/>
    <xf numFmtId="2" fontId="3" fillId="6" borderId="0" xfId="0" applyNumberFormat="1" applyFont="1" applyFill="1" applyAlignment="1">
      <alignment horizontal="left"/>
    </xf>
    <xf numFmtId="179" fontId="17" fillId="12" borderId="0" xfId="0" applyNumberFormat="1" applyFont="1" applyFill="1"/>
    <xf numFmtId="2" fontId="15" fillId="12" borderId="0" xfId="0" applyNumberFormat="1" applyFont="1" applyFill="1"/>
    <xf numFmtId="196" fontId="15" fillId="12" borderId="0" xfId="0" applyNumberFormat="1" applyFont="1" applyFill="1"/>
    <xf numFmtId="0" fontId="3" fillId="10" borderId="0" xfId="0" applyFont="1" applyFill="1"/>
    <xf numFmtId="193" fontId="3" fillId="10" borderId="0" xfId="0" applyNumberFormat="1" applyFont="1" applyFill="1"/>
    <xf numFmtId="0" fontId="3" fillId="37" borderId="0" xfId="0" applyFont="1" applyFill="1"/>
    <xf numFmtId="193" fontId="3" fillId="36" borderId="0" xfId="0" applyNumberFormat="1" applyFont="1" applyFill="1"/>
    <xf numFmtId="165" fontId="2" fillId="6" borderId="121" xfId="0" applyNumberFormat="1" applyFont="1" applyFill="1" applyBorder="1" applyAlignment="1">
      <alignment horizontal="left"/>
    </xf>
    <xf numFmtId="165" fontId="2" fillId="6" borderId="86" xfId="0" applyNumberFormat="1" applyFont="1" applyFill="1" applyBorder="1" applyAlignment="1">
      <alignment horizontal="left"/>
    </xf>
    <xf numFmtId="165" fontId="2" fillId="6" borderId="90" xfId="0" applyNumberFormat="1" applyFont="1" applyFill="1" applyBorder="1" applyAlignment="1">
      <alignment horizontal="left"/>
    </xf>
    <xf numFmtId="0" fontId="2" fillId="16" borderId="94" xfId="0" applyFont="1" applyFill="1" applyBorder="1"/>
    <xf numFmtId="0" fontId="2" fillId="16" borderId="95" xfId="0" applyFont="1" applyFill="1" applyBorder="1" applyAlignment="1">
      <alignment horizontal="left"/>
    </xf>
    <xf numFmtId="2" fontId="10" fillId="6" borderId="86" xfId="0" applyNumberFormat="1" applyFont="1" applyFill="1" applyBorder="1"/>
    <xf numFmtId="2" fontId="10" fillId="6" borderId="90" xfId="0" applyNumberFormat="1" applyFont="1" applyFill="1" applyBorder="1"/>
    <xf numFmtId="2" fontId="10" fillId="6" borderId="73" xfId="0" applyNumberFormat="1" applyFont="1" applyFill="1" applyBorder="1"/>
    <xf numFmtId="2" fontId="10" fillId="6" borderId="107" xfId="0" applyNumberFormat="1" applyFont="1" applyFill="1" applyBorder="1"/>
    <xf numFmtId="0" fontId="2" fillId="16" borderId="78" xfId="0" applyFont="1" applyFill="1" applyBorder="1" applyAlignment="1">
      <alignment horizontal="left"/>
    </xf>
    <xf numFmtId="0" fontId="2" fillId="17" borderId="118" xfId="0" applyFont="1" applyFill="1" applyBorder="1"/>
    <xf numFmtId="0" fontId="2" fillId="17" borderId="119" xfId="0" applyFont="1" applyFill="1" applyBorder="1"/>
    <xf numFmtId="0" fontId="2" fillId="17" borderId="120" xfId="0" applyFont="1" applyFill="1" applyBorder="1"/>
    <xf numFmtId="10" fontId="3" fillId="6" borderId="0" xfId="0" applyNumberFormat="1" applyFont="1" applyFill="1"/>
    <xf numFmtId="0" fontId="2" fillId="38" borderId="0" xfId="0" applyFont="1" applyFill="1"/>
    <xf numFmtId="3" fontId="3" fillId="38" borderId="0" xfId="0" applyNumberFormat="1" applyFont="1" applyFill="1"/>
    <xf numFmtId="2" fontId="3" fillId="38" borderId="0" xfId="0" applyNumberFormat="1" applyFont="1" applyFill="1"/>
    <xf numFmtId="2" fontId="2" fillId="6" borderId="0" xfId="0" applyNumberFormat="1" applyFont="1" applyFill="1" applyAlignment="1">
      <alignment horizontal="right"/>
    </xf>
    <xf numFmtId="0" fontId="3" fillId="39" borderId="0" xfId="0" applyFont="1" applyFill="1"/>
    <xf numFmtId="0" fontId="2" fillId="39" borderId="0" xfId="0" applyFont="1" applyFill="1"/>
    <xf numFmtId="2" fontId="3" fillId="40" borderId="0" xfId="0" applyNumberFormat="1" applyFont="1" applyFill="1"/>
    <xf numFmtId="2" fontId="3" fillId="40" borderId="0" xfId="0" applyNumberFormat="1" applyFont="1" applyFill="1" applyAlignment="1">
      <alignment horizontal="right"/>
    </xf>
    <xf numFmtId="15" fontId="3" fillId="40" borderId="0" xfId="0" applyNumberFormat="1" applyFont="1" applyFill="1"/>
    <xf numFmtId="43" fontId="2" fillId="6" borderId="0" xfId="3" applyFont="1" applyFill="1" applyAlignment="1">
      <alignment horizontal="right"/>
    </xf>
    <xf numFmtId="0" fontId="3" fillId="6" borderId="122" xfId="0" applyFont="1" applyFill="1" applyBorder="1"/>
    <xf numFmtId="0" fontId="3" fillId="6" borderId="87" xfId="0" applyFont="1" applyFill="1" applyBorder="1"/>
    <xf numFmtId="0" fontId="3" fillId="6" borderId="91" xfId="0" applyFont="1" applyFill="1" applyBorder="1"/>
    <xf numFmtId="0" fontId="2" fillId="6" borderId="108" xfId="0" applyFont="1" applyFill="1" applyBorder="1"/>
    <xf numFmtId="0" fontId="2" fillId="6" borderId="86" xfId="0" applyFont="1" applyFill="1" applyBorder="1"/>
    <xf numFmtId="0" fontId="2" fillId="6" borderId="90" xfId="0" applyFont="1" applyFill="1" applyBorder="1"/>
    <xf numFmtId="197" fontId="15" fillId="2" borderId="0" xfId="0" applyNumberFormat="1" applyFont="1" applyFill="1" applyAlignment="1">
      <alignment horizontal="left"/>
    </xf>
    <xf numFmtId="183" fontId="3" fillId="6" borderId="0" xfId="0" applyNumberFormat="1" applyFont="1" applyFill="1"/>
    <xf numFmtId="0" fontId="24" fillId="6" borderId="0" xfId="2" applyFill="1" applyAlignment="1">
      <alignment horizontal="right"/>
    </xf>
    <xf numFmtId="0" fontId="15" fillId="3" borderId="0" xfId="0" applyFont="1" applyFill="1"/>
    <xf numFmtId="2" fontId="0" fillId="41" borderId="98" xfId="0" applyNumberFormat="1" applyFill="1" applyBorder="1" applyAlignment="1">
      <alignment horizontal="right"/>
    </xf>
    <xf numFmtId="176" fontId="2" fillId="6" borderId="0" xfId="0" applyNumberFormat="1" applyFont="1" applyFill="1" applyAlignment="1">
      <alignment horizontal="right"/>
    </xf>
    <xf numFmtId="172" fontId="2" fillId="6" borderId="0" xfId="0" applyNumberFormat="1" applyFont="1" applyFill="1"/>
    <xf numFmtId="0" fontId="2" fillId="5" borderId="123" xfId="0" applyFont="1" applyFill="1" applyBorder="1" applyAlignment="1">
      <alignment horizontal="left"/>
    </xf>
    <xf numFmtId="16" fontId="2" fillId="6" borderId="123" xfId="0" applyNumberFormat="1" applyFont="1" applyFill="1" applyBorder="1"/>
    <xf numFmtId="0" fontId="2" fillId="6" borderId="123" xfId="0" applyFont="1" applyFill="1" applyBorder="1"/>
    <xf numFmtId="2" fontId="3" fillId="6" borderId="120" xfId="0" applyNumberFormat="1" applyFont="1" applyFill="1" applyBorder="1"/>
    <xf numFmtId="2" fontId="3" fillId="6" borderId="123" xfId="0" applyNumberFormat="1" applyFont="1" applyFill="1" applyBorder="1"/>
    <xf numFmtId="0" fontId="2" fillId="5" borderId="121" xfId="0" applyFont="1" applyFill="1" applyBorder="1" applyAlignment="1">
      <alignment horizontal="left"/>
    </xf>
    <xf numFmtId="2" fontId="3" fillId="42" borderId="123" xfId="0" applyNumberFormat="1" applyFont="1" applyFill="1" applyBorder="1"/>
    <xf numFmtId="0" fontId="17" fillId="12" borderId="77" xfId="0" applyFont="1" applyFill="1" applyBorder="1"/>
    <xf numFmtId="0" fontId="15" fillId="12" borderId="77" xfId="0" applyFont="1" applyFill="1" applyBorder="1"/>
    <xf numFmtId="0" fontId="17" fillId="12" borderId="75" xfId="0" applyFont="1" applyFill="1" applyBorder="1"/>
    <xf numFmtId="3" fontId="17" fillId="12" borderId="75" xfId="0" applyNumberFormat="1" applyFont="1" applyFill="1" applyBorder="1"/>
    <xf numFmtId="0" fontId="15" fillId="12" borderId="0" xfId="0" applyFont="1" applyFill="1" applyAlignment="1">
      <alignment horizontal="left" indent="1"/>
    </xf>
    <xf numFmtId="0" fontId="15" fillId="12" borderId="75" xfId="0" applyFont="1" applyFill="1" applyBorder="1"/>
    <xf numFmtId="0" fontId="17" fillId="12" borderId="0" xfId="0" applyFont="1" applyFill="1" applyAlignment="1">
      <alignment horizontal="left"/>
    </xf>
    <xf numFmtId="3" fontId="17" fillId="23" borderId="116" xfId="0" applyNumberFormat="1" applyFont="1" applyFill="1" applyBorder="1"/>
    <xf numFmtId="0" fontId="15" fillId="6" borderId="0" xfId="0" applyFont="1" applyFill="1"/>
    <xf numFmtId="197" fontId="15" fillId="31" borderId="0" xfId="0" applyNumberFormat="1" applyFont="1" applyFill="1" applyAlignment="1">
      <alignment horizontal="left"/>
    </xf>
    <xf numFmtId="0" fontId="15" fillId="31" borderId="0" xfId="0" applyFont="1" applyFill="1" applyAlignment="1">
      <alignment horizontal="left"/>
    </xf>
    <xf numFmtId="0" fontId="15" fillId="31" borderId="98" xfId="0" applyFont="1" applyFill="1" applyBorder="1" applyAlignment="1">
      <alignment horizontal="left"/>
    </xf>
    <xf numFmtId="0" fontId="15" fillId="31" borderId="0" xfId="0" applyFont="1" applyFill="1"/>
    <xf numFmtId="3" fontId="15" fillId="31" borderId="0" xfId="0" applyNumberFormat="1" applyFont="1" applyFill="1" applyAlignment="1">
      <alignment horizontal="left"/>
    </xf>
    <xf numFmtId="4" fontId="15" fillId="31" borderId="0" xfId="0" applyNumberFormat="1" applyFont="1" applyFill="1" applyAlignment="1">
      <alignment horizontal="right"/>
    </xf>
    <xf numFmtId="3" fontId="15" fillId="31" borderId="98" xfId="0" applyNumberFormat="1" applyFont="1" applyFill="1" applyBorder="1" applyAlignment="1">
      <alignment horizontal="right"/>
    </xf>
    <xf numFmtId="4" fontId="15" fillId="31" borderId="98" xfId="0" applyNumberFormat="1" applyFont="1" applyFill="1" applyBorder="1" applyAlignment="1">
      <alignment horizontal="right"/>
    </xf>
    <xf numFmtId="14" fontId="3" fillId="10" borderId="0" xfId="0" applyNumberFormat="1" applyFont="1" applyFill="1"/>
    <xf numFmtId="0" fontId="2" fillId="4" borderId="79" xfId="0" applyFont="1" applyFill="1" applyBorder="1" applyAlignment="1">
      <alignment horizontal="left"/>
    </xf>
    <xf numFmtId="0" fontId="2" fillId="33" borderId="79" xfId="0" applyFont="1" applyFill="1" applyBorder="1" applyAlignment="1">
      <alignment horizontal="left"/>
    </xf>
    <xf numFmtId="0" fontId="2" fillId="19" borderId="0" xfId="0" applyFont="1" applyFill="1" applyAlignment="1">
      <alignment horizontal="left"/>
    </xf>
    <xf numFmtId="0" fontId="2" fillId="4" borderId="99" xfId="0" applyFont="1" applyFill="1" applyBorder="1" applyAlignment="1">
      <alignment horizontal="left"/>
    </xf>
    <xf numFmtId="0" fontId="2" fillId="4" borderId="80" xfId="0" applyFont="1" applyFill="1" applyBorder="1" applyAlignment="1">
      <alignment horizontal="left"/>
    </xf>
    <xf numFmtId="0" fontId="2" fillId="21" borderId="100" xfId="0" applyFont="1" applyFill="1" applyBorder="1" applyAlignment="1">
      <alignment horizontal="left"/>
    </xf>
    <xf numFmtId="0" fontId="2" fillId="21" borderId="101" xfId="0" applyFont="1" applyFill="1" applyBorder="1" applyAlignment="1">
      <alignment horizontal="left"/>
    </xf>
    <xf numFmtId="0" fontId="2" fillId="21" borderId="102" xfId="0" applyFont="1" applyFill="1" applyBorder="1" applyAlignment="1">
      <alignment horizontal="left"/>
    </xf>
    <xf numFmtId="0" fontId="2" fillId="11" borderId="0" xfId="0" applyFont="1" applyFill="1" applyAlignment="1">
      <alignment horizontal="center"/>
    </xf>
  </cellXfs>
  <cellStyles count="4">
    <cellStyle name="Comma" xfId="3" builtinId="3"/>
    <cellStyle name="Hyperlink" xfId="2" builtinId="8"/>
    <cellStyle name="Normal" xfId="0" builtinId="0"/>
    <cellStyle name="Percent" xfId="1" builtinId="5"/>
  </cellStyles>
  <dxfs count="2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9" formatCode="\+#,##0;\-#,##0;#,##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9" formatCode="\+#,##0;\-#,##0;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5" formatCode="#,##0;\-#,##0"/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9" formatCode="\+#,##0;\-#,##0;#,##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5" formatCode="#,##0;\-#,##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80" formatCode="\+#,##0;\-#,##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5" formatCode="#,##0;\-#,##0"/>
      <fill>
        <patternFill patternType="solid">
          <fgColor indexed="64"/>
          <bgColor theme="0" tint="-4.9989318521683403E-2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fgColor auto="1"/>
          <bgColor rgb="FF92D050"/>
        </patternFill>
      </fill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mmm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3" formatCode="h:mm\ AM/PM"/>
    </dxf>
    <dxf>
      <numFmt numFmtId="0" formatCode="General"/>
    </dxf>
    <dxf>
      <numFmt numFmtId="23" formatCode="h:mm\ AM/PM"/>
    </dxf>
    <dxf>
      <numFmt numFmtId="23" formatCode="h:mm\ AM/PM"/>
    </dxf>
    <dxf>
      <numFmt numFmtId="167" formatCode="dd/m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0" formatCode="General"/>
    </dxf>
    <dxf>
      <numFmt numFmtId="165" formatCode="[$-F400]h:mm:ss\ AM/PM"/>
      <alignment horizontal="righ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" formatCode="#,##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165" formatCode="[$-F400]h:mm:ss\ AM/PM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65" formatCode="[$-F400]h:mm:ss\ AM/PM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5" formatCode="[$-F400]h:mm:ss\ AM/PM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499984740745262"/>
        <name val="Aptos Narrow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00B050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font>
        <color rgb="FF99FF66"/>
      </font>
      <fill>
        <patternFill patternType="solid">
          <bgColor theme="8" tint="0.24994659260841701"/>
        </patternFill>
      </fill>
    </dxf>
    <dxf>
      <font>
        <color theme="9" tint="0.39994506668294322"/>
      </font>
      <fill>
        <patternFill patternType="solid">
          <bgColor theme="8" tint="0.24994659260841701"/>
        </patternFill>
      </fill>
    </dxf>
    <dxf>
      <numFmt numFmtId="3" formatCode="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CC6600"/>
        <name val="Aptos Narrow"/>
        <family val="2"/>
        <scheme val="minor"/>
      </font>
      <numFmt numFmtId="3" formatCode="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font>
        <color auto="1"/>
      </font>
      <numFmt numFmtId="3" formatCode="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5" tint="0.5999938962981048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5" tint="0.5999938962981048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font>
        <b/>
      </font>
      <numFmt numFmtId="3" formatCode="#,##0"/>
      <fill>
        <patternFill patternType="solid">
          <fgColor indexed="64"/>
          <bgColor theme="5" tint="0.59999389629810485"/>
        </patternFill>
      </fill>
      <alignment horizontal="right" vertical="bottom" textRotation="0" wrapText="0" indent="0" justifyLastLine="0" shrinkToFit="0" readingOrder="0"/>
    </dxf>
    <dxf>
      <numFmt numFmtId="21" formatCode="dd\-mmm"/>
      <fill>
        <patternFill patternType="solid">
          <fgColor indexed="64"/>
          <bgColor theme="7"/>
        </patternFill>
      </fill>
      <alignment horizontal="left" vertical="bottom" textRotation="0" wrapText="0" indent="0" justifyLastLine="0" shrinkToFit="0" readingOrder="0"/>
    </dxf>
    <dxf>
      <numFmt numFmtId="21" formatCode="dd\-mmm"/>
      <fill>
        <patternFill patternType="solid">
          <fgColor indexed="64"/>
          <bgColor theme="7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theme="0"/>
        </top>
      </border>
    </dxf>
    <dxf>
      <fill>
        <patternFill patternType="solid">
          <fgColor indexed="64"/>
          <bgColor theme="7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-9.9978637043366805E-2"/>
        </patternFill>
      </fill>
    </dxf>
    <dxf>
      <numFmt numFmtId="2" formatCode="0.00"/>
      <fill>
        <patternFill patternType="solid">
          <fgColor indexed="64"/>
          <bgColor rgb="FF99FF66"/>
        </patternFill>
      </fill>
    </dxf>
    <dxf>
      <numFmt numFmtId="2" formatCode="0.00"/>
      <fill>
        <patternFill patternType="solid">
          <fgColor indexed="64"/>
          <bgColor rgb="FF99FF66"/>
        </patternFill>
      </fill>
    </dxf>
    <dxf>
      <numFmt numFmtId="2" formatCode="0.00"/>
      <fill>
        <patternFill patternType="solid">
          <fgColor indexed="64"/>
          <bgColor rgb="FF99FF66"/>
        </patternFill>
      </fill>
    </dxf>
    <dxf>
      <numFmt numFmtId="2" formatCode="0.00"/>
      <fill>
        <patternFill patternType="solid">
          <fgColor indexed="64"/>
          <bgColor rgb="FF99FF66"/>
        </patternFill>
      </fill>
    </dxf>
    <dxf>
      <numFmt numFmtId="2" formatCode="0.00"/>
      <fill>
        <patternFill patternType="solid">
          <fgColor indexed="64"/>
          <bgColor rgb="FF99FF6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rgb="FF99FF6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theme="6" tint="0.79998168889431442"/>
        </patternFill>
      </fill>
    </dxf>
    <dxf>
      <numFmt numFmtId="2" formatCode="0.00"/>
      <fill>
        <patternFill patternType="solid">
          <fgColor indexed="64"/>
          <bgColor theme="9" tint="0.59999389629810485"/>
        </patternFill>
      </fill>
    </dxf>
    <dxf>
      <numFmt numFmtId="2" formatCode="0.00"/>
      <fill>
        <patternFill patternType="solid">
          <fgColor indexed="64"/>
          <bgColor theme="9" tint="0.59999389629810485"/>
        </patternFill>
      </fill>
    </dxf>
    <dxf>
      <numFmt numFmtId="2" formatCode="0.00"/>
      <fill>
        <patternFill patternType="solid">
          <fgColor indexed="64"/>
          <bgColor theme="9" tint="0.59999389629810485"/>
        </patternFill>
      </fill>
    </dxf>
    <dxf>
      <numFmt numFmtId="2" formatCode="0.00"/>
      <fill>
        <patternFill patternType="solid">
          <fgColor indexed="64"/>
          <bgColor theme="9" tint="0.59999389629810485"/>
        </patternFill>
      </fill>
    </dxf>
    <dxf>
      <numFmt numFmtId="2" formatCode="0.00"/>
      <fill>
        <patternFill patternType="solid">
          <fgColor indexed="64"/>
          <bgColor theme="9" tint="0.59999389629810485"/>
        </patternFill>
      </fill>
    </dxf>
    <dxf>
      <numFmt numFmtId="2" formatCode="0.00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9" formatCode="\+#,##0;\-#,##0;#,##0"/>
      <fill>
        <patternFill patternType="solid">
          <fgColor indexed="64"/>
          <bgColor theme="7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5" formatCode="#,##0;\-#,##0"/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" formatCode="0.00"/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" formatCode="0.00"/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/>
        </patternFill>
      </fill>
    </dxf>
    <dxf>
      <fill>
        <patternFill patternType="solid">
          <fgColor indexed="64"/>
          <bgColor theme="7"/>
        </patternFill>
      </fill>
    </dxf>
    <dxf>
      <fill>
        <patternFill patternType="solid">
          <fgColor indexed="64"/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9" formatCode="\+#,##0;\-#,##0;#,##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8" formatCode="\+0.00;\-0.00;0.0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" formatCode="0.0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82" formatCode="\+#,##0.0;\-#,##0.0;#,##0.0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81" formatCode="0.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5" formatCode="#,##0;\-#,##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81" formatCode="0.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80" formatCode="\+#,##0;\-#,##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5" formatCode="#,##0;\-#,##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8" tint="0.3499862666707357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9" formatCode="\+#,##0;\-#,##0;#,##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9" formatCode="\+#,##0;\-#,##0;#,##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8" tint="0.3499862666707357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8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8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8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8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8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8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" formatCode="#,##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7" formatCode="d\-mmm\-yy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7" formatCode="d\-mmm\-yy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7" formatCode="d\-mmm\-yy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-9.9978637043366805E-2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CC6600"/>
      <color rgb="FFF2F9EB"/>
      <color rgb="FFFF9900"/>
      <color rgb="FF99FF66"/>
      <color rgb="FF003300"/>
      <color rgb="FFF5F5F1"/>
      <color rgb="FFFFF3F3"/>
      <color rgb="FFFFEBEB"/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srtd">
      <tp t="s">
        <v/>
        <stp/>
        <stp>WNS 23!-IEU</stp>
        <stp>Block Volume</stp>
        <tr r="O1870" s="5"/>
      </tp>
      <tp t="s">
        <v/>
        <stp/>
        <stp>WNS 13!-IEU</stp>
        <stp>Block Volume</stp>
        <tr r="O1860" s="5"/>
      </tp>
      <tp t="s">
        <v/>
        <stp/>
        <stp>WNS Q3!-IEU</stp>
        <stp>Block Volume</stp>
        <tr r="O1880" s="5"/>
      </tp>
      <tp t="s">
        <v/>
        <stp/>
        <stp>TEO U28-IEU</stp>
        <stp>ICE Theoretical Price</stp>
        <tr r="W1021" s="5"/>
      </tp>
      <tp t="s">
        <v/>
        <stp/>
        <stp>ISO H28-IEU</stp>
        <stp>ICE Theoretical Price</stp>
        <tr r="W1471" s="5"/>
      </tp>
      <tp t="s">
        <v/>
        <stp/>
        <stp>ISO J28-IEU</stp>
        <stp>ICE Theoretical Price</stp>
        <tr r="W1472" s="5"/>
      </tp>
      <tp t="s">
        <v/>
        <stp/>
        <stp>ISO K28-IEU</stp>
        <stp>ICE Theoretical Price</stp>
        <tr r="W1473" s="5"/>
      </tp>
      <tp t="s">
        <v/>
        <stp/>
        <stp>TEO Q28-IEU</stp>
        <stp>ICE Theoretical Price</stp>
        <tr r="W1020" s="5"/>
      </tp>
      <tp t="s">
        <v/>
        <stp/>
        <stp>ISO M28-IEU</stp>
        <stp>ICE Theoretical Price</stp>
        <tr r="W1474" s="5"/>
      </tp>
      <tp t="s">
        <v/>
        <stp/>
        <stp>ISO N28-IEU</stp>
        <stp>ICE Theoretical Price</stp>
        <tr r="W1475" s="5"/>
      </tp>
      <tp t="s">
        <v/>
        <stp/>
        <stp>ISO F28-IEU</stp>
        <stp>ICE Theoretical Price</stp>
        <tr r="W1469" s="5"/>
      </tp>
      <tp t="s">
        <v/>
        <stp/>
        <stp>ISO G28-IEU</stp>
        <stp>ICE Theoretical Price</stp>
        <tr r="W1470" s="5"/>
      </tp>
    </main>
    <main first="ice.rtd">
      <tp t="s">
        <v/>
        <stp/>
        <stp>266419M10:LstBlkPrc</stp>
        <tr r="K969" s="5"/>
      </tp>
      <tp t="s">
        <v/>
        <stp/>
        <stp>266419M20:LstBlkPrc</stp>
        <tr r="K979" s="5"/>
      </tp>
    </main>
    <main first="esrtd">
      <tp t="s">
        <v/>
        <stp/>
        <stp>TEO G28-IEU</stp>
        <stp>ICE Theoretical Price</stp>
        <tr r="W1014" s="5"/>
      </tp>
      <tp t="s">
        <v/>
        <stp/>
        <stp>TEO F28-IEU</stp>
        <stp>ICE Theoretical Price</stp>
        <tr r="W1013" s="5"/>
      </tp>
      <tp t="s">
        <v/>
        <stp/>
        <stp>BOA V26-IEU</stp>
        <stp>ICE Theoretical Price</stp>
        <tr r="W808" s="5"/>
      </tp>
      <tp t="s">
        <v/>
        <stp/>
        <stp>BOA U26-IEU</stp>
        <stp>ICE Theoretical Price</stp>
        <tr r="W807" s="5"/>
      </tp>
      <tp t="s">
        <v/>
        <stp/>
        <stp>TEO M28-IEU</stp>
        <stp>ICE Theoretical Price</stp>
        <tr r="W1018" s="5"/>
      </tp>
      <tp t="s">
        <v/>
        <stp/>
        <stp>BOA Z26-IEU</stp>
        <stp>ICE Theoretical Price</stp>
        <tr r="W810" s="5"/>
      </tp>
      <tp t="s">
        <v/>
        <stp/>
        <stp>ISO Q28-IEU</stp>
        <stp>ICE Theoretical Price</stp>
        <tr r="W1476" s="5"/>
      </tp>
      <tp t="s">
        <v/>
        <stp/>
        <stp>BOA X26-IEU</stp>
        <stp>ICE Theoretical Price</stp>
        <tr r="W809" s="5"/>
      </tp>
      <tp t="s">
        <v/>
        <stp/>
        <stp>TEO N28-IEU</stp>
        <stp>ICE Theoretical Price</stp>
        <tr r="W1019" s="5"/>
      </tp>
      <tp t="s">
        <v/>
        <stp/>
        <stp>TEO H28-IEU</stp>
        <stp>ICE Theoretical Price</stp>
        <tr r="W1015" s="5"/>
      </tp>
      <tp t="s">
        <v/>
        <stp/>
        <stp>ISO U28-IEU</stp>
        <stp>ICE Theoretical Price</stp>
        <tr r="W1477" s="5"/>
      </tp>
      <tp t="s">
        <v/>
        <stp/>
        <stp>TEO K28-IEU</stp>
        <stp>ICE Theoretical Price</stp>
        <tr r="W1017" s="5"/>
      </tp>
      <tp t="s">
        <v/>
        <stp/>
        <stp>TEO J28-IEU</stp>
        <stp>ICE Theoretical Price</stp>
        <tr r="W1016" s="5"/>
      </tp>
    </main>
    <main first="ice.rtd">
      <tp t="s">
        <v/>
        <stp/>
        <stp>366531MM3:BstHitPrc</stp>
        <tr r="G1718" s="5"/>
      </tp>
      <tp t="s">
        <v/>
        <stp/>
        <stp>366531MM3:LstBlkPrc</stp>
        <tr r="K1718" s="5"/>
      </tp>
      <tp t="s">
        <v/>
        <stp/>
        <stp>266419M20:BstHitPrc</stp>
        <tr r="G979" s="5"/>
      </tp>
      <tp t="s">
        <v/>
        <stp/>
        <stp>266419M10:BstHitPrc</stp>
        <tr r="G969" s="5"/>
      </tp>
      <tp t="s">
        <v/>
        <stp/>
        <stp>366531MM5:LstBlkVol</stp>
        <tr r="L1720" s="5"/>
      </tp>
    </main>
    <main first="bofaddin.rtdserver">
      <tp t="s">
        <v>#N/A</v>
        <stp/>
        <stp>BDP|10866489740712439379|222</stp>
        <stp>HON9HOQ9 Comdty</stp>
        <stp>BID</stp>
        <stp>Fill=#N/A</stp>
        <tr r="Q54" s="1"/>
      </tp>
    </main>
    <main first="esrtd">
      <tp t="s">
        <v/>
        <stp/>
        <stp>WDF 29!-IEU</stp>
        <stp>Block Volume</stp>
        <tr r="O1806" s="5"/>
      </tp>
      <tp t="s">
        <v/>
        <stp/>
        <stp>WDF 19!-IEU</stp>
        <stp>Block Volume</stp>
        <tr r="O1796" s="5"/>
      </tp>
    </main>
    <main first="bofaddin.rtdserver">
      <tp>
        <v>0.25</v>
        <stp/>
        <stp>BDP|17478348358005444186|222</stp>
        <stp>CLN8CLQ8 Comdty</stp>
        <stp>ASK</stp>
        <stp>Fill=#N/A</stp>
        <tr r="N42" s="1"/>
      </tp>
      <tp>
        <v>2</v>
        <stp/>
        <stp>BDP|12928910573505518078|222</stp>
        <stp>QSZ9QSF0 Comdty</stp>
        <stp>ASK</stp>
        <stp>Fill=#N/A</stp>
        <tr r="P59" s="1"/>
      </tp>
    </main>
    <main first="esrtd">
      <tp t="s">
        <v/>
        <stp/>
        <stp>WHK 25!-IEU</stp>
        <stp>Block Volume</stp>
        <tr r="O1942" s="5"/>
      </tp>
      <tp t="s">
        <v/>
        <stp/>
        <stp>WHK 15!-IEU</stp>
        <stp>Block Volume</stp>
        <tr r="O1932" s="5"/>
      </tp>
      <tp t="s">
        <v/>
        <stp/>
        <stp>WMJ 20!-IEU</stp>
        <stp>Block Volume</stp>
        <tr r="O1902" s="5"/>
      </tp>
      <tp t="s">
        <v/>
        <stp/>
        <stp>WMJ 30!-IEU</stp>
        <stp>Block Volume</stp>
        <tr r="O1912" s="5"/>
      </tp>
      <tp t="s">
        <v/>
        <stp/>
        <stp>WMJ 10!-IEU</stp>
        <stp>Block Volume</stp>
        <tr r="O1892" s="5"/>
      </tp>
    </main>
    <main first="bofaddin.rtdserver">
      <tp t="s">
        <v>#N/A</v>
        <stp/>
        <stp>BDP|12170178043848527297|222</stp>
        <stp>QSN0QSQ0 Comdty</stp>
        <stp>BID</stp>
        <stp>Fill=#N/A</stp>
        <tr r="P66" s="1"/>
      </tp>
    </main>
    <main first="ice.rtd">
      <tp t="s">
        <v/>
        <stp/>
        <stp>266419M16:LstBlkVol</stp>
        <tr r="L975" s="5"/>
      </tp>
    </main>
    <main first="bofaddin.rtdserver">
      <tp>
        <v>15.25</v>
        <stp/>
        <stp>BDP|11651990043905451724|222</stp>
        <stp>QSN7QSQ7 Comdty</stp>
        <stp>ASK</stp>
        <stp>Fill=#N/A</stp>
        <tr r="P30" s="1"/>
      </tp>
      <tp>
        <v>2.67</v>
        <stp/>
        <stp>BDP|13271248251677913669|222</stp>
        <stp>CLZ6CLF7 Comdty</stp>
        <stp>BID</stp>
        <stp>Fill=#N/A</stp>
        <tr r="N23" s="1"/>
      </tp>
    </main>
    <main first="esrtd">
      <tp t="s">
        <v/>
        <stp/>
        <stp>TDL 19!-IEU</stp>
        <stp>Block Volume</stp>
        <tr r="O1831" s="5"/>
      </tp>
      <tp t="s">
        <v/>
        <stp/>
        <stp>TDL 29!-IEU</stp>
        <stp>Block Volume</stp>
        <tr r="O1841" s="5"/>
      </tp>
    </main>
    <main first="bofaddin.rtdserver">
      <tp>
        <v>1.85</v>
        <stp/>
        <stp>BDP|16078917990757221018|222</stp>
        <stp>HON8HOQ8 Comdty</stp>
        <stp>ASK</stp>
        <stp>Fill=#N/A</stp>
        <tr r="Q42" s="1"/>
      </tp>
      <tp>
        <v>3.86</v>
        <stp/>
        <stp>BDP|17876754977373762888|222</stp>
        <stp>HOZ7HOF8 Comdty</stp>
        <stp>ASK</stp>
        <stp>Fill=#N/A</stp>
        <tr r="Q35" s="1"/>
      </tp>
    </main>
    <main first="ice.rtd">
      <tp t="s">
        <v/>
        <stp/>
        <stp>32613992M8:BstLiftPrc</stp>
        <tr r="H1233" s="5"/>
      </tp>
      <tp t="s">
        <v/>
        <stp/>
        <stp>32613992M9:BstLiftPrc</stp>
        <tr r="H1234" s="5"/>
      </tp>
      <tp t="s">
        <v/>
        <stp/>
        <stp>32613992M2:BstLiftPrc</stp>
        <tr r="H1227" s="5"/>
      </tp>
      <tp t="s">
        <v/>
        <stp/>
        <stp>32613992M3:BstLiftPrc</stp>
        <tr r="H1228" s="5"/>
      </tp>
      <tp t="s">
        <v/>
        <stp/>
        <stp>32613992M0:BstLiftPrc</stp>
        <tr r="H1225" s="5"/>
      </tp>
      <tp t="s">
        <v/>
        <stp/>
        <stp>32613992M1:BstLiftPrc</stp>
        <tr r="H1226" s="5"/>
      </tp>
      <tp t="s">
        <v/>
        <stp/>
        <stp>32613992M6:BstLiftPrc</stp>
        <tr r="H1231" s="5"/>
      </tp>
      <tp t="s">
        <v/>
        <stp/>
        <stp>32613992M7:BstLiftPrc</stp>
        <tr r="H1232" s="5"/>
      </tp>
      <tp t="s">
        <v/>
        <stp/>
        <stp>32613992M4:BstLiftPrc</stp>
        <tr r="H1229" s="5"/>
      </tp>
      <tp t="s">
        <v/>
        <stp/>
        <stp>32613992M5:BstLiftPrc</stp>
        <tr r="H1230" s="5"/>
      </tp>
      <tp t="s">
        <v/>
        <stp/>
        <stp>32613992Q8:BstLiftPrc</stp>
        <tr r="H1258" s="5"/>
      </tp>
      <tp t="s">
        <v/>
        <stp/>
        <stp>32613992Q2:BstLiftPrc</stp>
        <tr r="H1252" s="5"/>
      </tp>
      <tp t="s">
        <v/>
        <stp/>
        <stp>32613992Q3:BstLiftPrc</stp>
        <tr r="H1253" s="5"/>
      </tp>
      <tp t="s">
        <v/>
        <stp/>
        <stp>32613992Q0:BstLiftPrc</stp>
        <tr r="H1250" s="5"/>
      </tp>
      <tp t="s">
        <v/>
        <stp/>
        <stp>32613992Q1:BstLiftPrc</stp>
        <tr r="H1251" s="5"/>
      </tp>
      <tp t="s">
        <v/>
        <stp/>
        <stp>32613992Q6:BstLiftPrc</stp>
        <tr r="H1256" s="5"/>
      </tp>
      <tp t="s">
        <v/>
        <stp/>
        <stp>32613992Q7:BstLiftPrc</stp>
        <tr r="H1257" s="5"/>
      </tp>
      <tp t="s">
        <v/>
        <stp/>
        <stp>32613992Q4:BstLiftPrc</stp>
        <tr r="H1254" s="5"/>
      </tp>
      <tp t="s">
        <v/>
        <stp/>
        <stp>32613992Q5:BstLiftPrc</stp>
        <tr r="H1255" s="5"/>
      </tp>
      <tp t="s">
        <v/>
        <stp/>
        <stp>32613992Y2:BstLiftPrc</stp>
        <tr r="H1261" s="5"/>
      </tp>
      <tp t="s">
        <v/>
        <stp/>
        <stp>32613992Y0:BstLiftPrc</stp>
        <tr r="H1259" s="5"/>
      </tp>
      <tp t="s">
        <v/>
        <stp/>
        <stp>32613992Y1:BstLiftPrc</stp>
        <tr r="H1260" s="5"/>
      </tp>
      <tp t="s">
        <v/>
        <stp/>
        <stp>32623993M8:BstLiftPrc</stp>
        <tr r="H1998" s="5"/>
      </tp>
      <tp t="s">
        <v/>
        <stp/>
        <stp>32623993M9:BstLiftPrc</stp>
        <tr r="H1999" s="5"/>
      </tp>
      <tp t="s">
        <v/>
        <stp/>
        <stp>32623993M2:BstLiftPrc</stp>
        <tr r="H1992" s="5"/>
      </tp>
      <tp t="s">
        <v/>
        <stp/>
        <stp>32623993M3:BstLiftPrc</stp>
        <tr r="H1993" s="5"/>
      </tp>
      <tp t="s">
        <v/>
        <stp/>
        <stp>32623993M1:BstLiftPrc</stp>
        <tr r="H1991" s="5"/>
      </tp>
      <tp t="s">
        <v/>
        <stp/>
        <stp>32623993M6:BstLiftPrc</stp>
        <tr r="H1996" s="5"/>
      </tp>
      <tp t="s">
        <v/>
        <stp/>
        <stp>32623993M7:BstLiftPrc</stp>
        <tr r="H1997" s="5"/>
      </tp>
      <tp t="s">
        <v/>
        <stp/>
        <stp>32623993M4:BstLiftPrc</stp>
        <tr r="H1994" s="5"/>
      </tp>
      <tp t="s">
        <v/>
        <stp/>
        <stp>32623993M5:BstLiftPrc</stp>
        <tr r="H1995" s="5"/>
      </tp>
      <tp t="s">
        <v/>
        <stp/>
        <stp>32623993Q8:BstLiftPrc</stp>
        <tr r="H2023" s="5"/>
      </tp>
      <tp t="s">
        <v/>
        <stp/>
        <stp>32623993Q2:BstLiftPrc</stp>
        <tr r="H2017" s="5"/>
      </tp>
      <tp t="s">
        <v/>
        <stp/>
        <stp>32623993Q3:BstLiftPrc</stp>
        <tr r="H2018" s="5"/>
      </tp>
      <tp t="s">
        <v/>
        <stp/>
        <stp>32623993Q0:BstLiftPrc</stp>
        <tr r="H2015" s="5"/>
      </tp>
      <tp t="s">
        <v/>
        <stp/>
        <stp>32623993Q1:BstLiftPrc</stp>
        <tr r="H2016" s="5"/>
      </tp>
      <tp t="s">
        <v/>
        <stp/>
        <stp>32623993Q6:BstLiftPrc</stp>
        <tr r="H2021" s="5"/>
      </tp>
      <tp t="s">
        <v/>
        <stp/>
        <stp>32623993Q7:BstLiftPrc</stp>
        <tr r="H2022" s="5"/>
      </tp>
      <tp t="s">
        <v/>
        <stp/>
        <stp>32623993Q4:BstLiftPrc</stp>
        <tr r="H2019" s="5"/>
      </tp>
      <tp t="s">
        <v/>
        <stp/>
        <stp>32623993Q5:BstLiftPrc</stp>
        <tr r="H2020" s="5"/>
      </tp>
      <tp t="s">
        <v/>
        <stp/>
        <stp>32623993Y0:BstLiftPrc</stp>
        <tr r="H2024" s="5"/>
      </tp>
      <tp t="s">
        <v/>
        <stp/>
        <stp>32623993Y1:BstLiftPrc</stp>
        <tr r="H2025" s="5"/>
      </tp>
      <tp>
        <v>0</v>
        <stp/>
        <stp>57409036M12:Vol</stp>
        <tr r="N243" s="5"/>
      </tp>
      <tp t="s">
        <v>Invalid Market: 57179020M16</v>
        <stp/>
        <stp>57179020M16:Vol</stp>
        <tr r="N1563" s="5"/>
      </tp>
      <tp>
        <v>0</v>
        <stp/>
        <stp>46678127M11:Vol</stp>
        <tr r="N356" s="5"/>
      </tp>
      <tp>
        <v>0</v>
        <stp/>
        <stp>57409036M13:Vol</stp>
        <tr r="N244" s="5"/>
      </tp>
      <tp t="s">
        <v>Invalid Market: 57179020M17</v>
        <stp/>
        <stp>57179020M17:Vol</stp>
        <tr r="N1564" s="5"/>
      </tp>
      <tp>
        <v>0</v>
        <stp/>
        <stp>46678127M10:Vol</stp>
        <tr r="N355" s="5"/>
      </tp>
      <tp>
        <v>0</v>
        <stp/>
        <stp>57409036M10:Vol</stp>
        <tr r="N241" s="5"/>
      </tp>
      <tp>
        <v>0</v>
        <stp/>
        <stp>57179020M14:Vol</stp>
        <tr r="N1561" s="5"/>
      </tp>
      <tp>
        <v>0</v>
        <stp/>
        <stp>46678127M13:Vol</stp>
        <tr r="N358" s="5"/>
      </tp>
      <tp>
        <v>0</v>
        <stp/>
        <stp>57409036M11:Vol</stp>
        <tr r="N242" s="5"/>
      </tp>
      <tp>
        <v>0</v>
        <stp/>
        <stp>57179020M15:Vol</stp>
        <tr r="N1562" s="5"/>
      </tp>
      <tp>
        <v>0</v>
        <stp/>
        <stp>46678127M12:Vol</stp>
        <tr r="N357" s="5"/>
      </tp>
      <tp>
        <v>0</v>
        <stp/>
        <stp>57409036M16:Vol</stp>
        <tr r="N247" s="5"/>
      </tp>
      <tp>
        <v>0</v>
        <stp/>
        <stp>57179020M12:Vol</stp>
        <tr r="N1559" s="5"/>
      </tp>
      <tp>
        <v>0</v>
        <stp/>
        <stp>46678127M15:Vol</stp>
        <tr r="N360" s="5"/>
      </tp>
      <tp>
        <v>0</v>
        <stp/>
        <stp>57409036M17:Vol</stp>
        <tr r="N248" s="5"/>
      </tp>
      <tp>
        <v>0</v>
        <stp/>
        <stp>57179020M13:Vol</stp>
        <tr r="N1560" s="5"/>
      </tp>
      <tp>
        <v>0</v>
        <stp/>
        <stp>46678127M14:Vol</stp>
        <tr r="N359" s="5"/>
      </tp>
      <tp>
        <v>0</v>
        <stp/>
        <stp>57409036M14:Vol</stp>
        <tr r="N245" s="5"/>
      </tp>
      <tp>
        <v>0</v>
        <stp/>
        <stp>57179020M10:Vol</stp>
        <tr r="N1557" s="5"/>
      </tp>
      <tp>
        <v>0</v>
        <stp/>
        <stp>46678127M17:Vol</stp>
        <tr r="N362" s="5"/>
      </tp>
      <tp>
        <v>0</v>
        <stp/>
        <stp>57409036M15:Vol</stp>
        <tr r="N246" s="5"/>
      </tp>
      <tp>
        <v>0</v>
        <stp/>
        <stp>57179020M11:Vol</stp>
        <tr r="N1558" s="5"/>
      </tp>
      <tp>
        <v>0</v>
        <stp/>
        <stp>46678127M16:Vol</stp>
        <tr r="N361" s="5"/>
      </tp>
      <tp>
        <v>0</v>
        <stp/>
        <stp>46678127M19:Vol</stp>
        <tr r="N364" s="5"/>
      </tp>
      <tp>
        <v>0</v>
        <stp/>
        <stp>46678127M18:Vol</stp>
        <tr r="N363" s="5"/>
      </tp>
      <tp>
        <v>0</v>
        <stp/>
        <stp>57409036M18:Vol</stp>
        <tr r="N249" s="5"/>
      </tp>
      <tp>
        <v>0</v>
        <stp/>
        <stp>57409036M19:Vol</stp>
        <tr r="N250" s="5"/>
      </tp>
      <tp t="s">
        <v>Invalid Market: 57179020M18</v>
        <stp/>
        <stp>57179020M18:Vol</stp>
        <tr r="N1565" s="5"/>
      </tp>
      <tp t="s">
        <v>Invalid Market: 57179020M19</v>
        <stp/>
        <stp>57179020M19:Vol</stp>
        <tr r="N1566" s="5"/>
      </tp>
      <tp>
        <v>0</v>
        <stp/>
        <stp>57409036M22:Vol</stp>
        <tr r="N253" s="5"/>
      </tp>
      <tp>
        <v>0</v>
        <stp/>
        <stp>46678127M21:Vol</stp>
        <tr r="N366" s="5"/>
      </tp>
      <tp>
        <v>0</v>
        <stp/>
        <stp>57409036M23:Vol</stp>
        <tr r="N254" s="5"/>
      </tp>
      <tp>
        <v>0</v>
        <stp/>
        <stp>46678127M20:Vol</stp>
        <tr r="N365" s="5"/>
      </tp>
      <tp>
        <v>0</v>
        <stp/>
        <stp>57409036M20:Vol</stp>
        <tr r="N251" s="5"/>
      </tp>
      <tp t="s">
        <v>Invalid Market: 57179020M24</v>
        <stp/>
        <stp>57179020M24:Vol</stp>
        <tr r="N1571" s="5"/>
      </tp>
      <tp>
        <v>0</v>
        <stp/>
        <stp>46678127M23:Vol</stp>
        <tr r="N368" s="5"/>
      </tp>
      <tp>
        <v>0</v>
        <stp/>
        <stp>57409036M21:Vol</stp>
        <tr r="N252" s="5"/>
      </tp>
      <tp>
        <v>0</v>
        <stp/>
        <stp>46678127M22:Vol</stp>
        <tr r="N367" s="5"/>
      </tp>
      <tp t="s">
        <v>Invalid Market: 57179020M22</v>
        <stp/>
        <stp>57179020M22:Vol</stp>
        <tr r="N1569" s="5"/>
      </tp>
      <tp t="s">
        <v>Invalid Market: 57179020M23</v>
        <stp/>
        <stp>57179020M23:Vol</stp>
        <tr r="N1570" s="5"/>
      </tp>
      <tp>
        <v>0</v>
        <stp/>
        <stp>46678127M24:Vol</stp>
        <tr r="N369" s="5"/>
      </tp>
      <tp>
        <v>0</v>
        <stp/>
        <stp>57409036M24:Vol</stp>
        <tr r="N255" s="5"/>
      </tp>
      <tp t="s">
        <v>Invalid Market: 57179020M20</v>
        <stp/>
        <stp>57179020M20:Vol</stp>
        <tr r="N1567" s="5"/>
      </tp>
      <tp t="s">
        <v>Invalid Market: 57179020M21</v>
        <stp/>
        <stp>57179020M21:Vol</stp>
        <tr r="N1568" s="5"/>
      </tp>
      <tp t="s">
        <v/>
        <stp/>
        <stp>3124331018Y0:BstLiftPrc</stp>
        <tr r="H1624" s="5"/>
      </tp>
      <tp t="s">
        <v/>
        <stp/>
        <stp>3124331018Q0:BstLiftPrc</stp>
        <tr r="H1620" s="5"/>
      </tp>
      <tp t="s">
        <v/>
        <stp/>
        <stp>3124331018Q1:BstLiftPrc</stp>
        <tr r="H1621" s="5"/>
      </tp>
      <tp t="s">
        <v/>
        <stp/>
        <stp>3124331018Q2:BstLiftPrc</stp>
        <tr r="H1622" s="5"/>
      </tp>
      <tp t="s">
        <v/>
        <stp/>
        <stp>3124331018Q3:BstLiftPrc</stp>
        <tr r="H1623" s="5"/>
      </tp>
      <tp t="s">
        <v/>
        <stp/>
        <stp>3124331018M8:BstLiftPrc</stp>
        <tr r="H1613" s="5"/>
      </tp>
      <tp t="s">
        <v/>
        <stp/>
        <stp>3124331018M9:BstLiftPrc</stp>
        <tr r="H1614" s="5"/>
      </tp>
      <tp t="s">
        <v/>
        <stp/>
        <stp>3124331018M0:BstLiftPrc</stp>
        <tr r="H1605" s="5"/>
      </tp>
      <tp t="s">
        <v/>
        <stp/>
        <stp>3124331018M1:BstLiftPrc</stp>
        <tr r="H1606" s="5"/>
      </tp>
      <tp t="s">
        <v/>
        <stp/>
        <stp>3124331018M2:BstLiftPrc</stp>
        <tr r="H1607" s="5"/>
      </tp>
      <tp t="s">
        <v/>
        <stp/>
        <stp>3124331018M3:BstLiftPrc</stp>
        <tr r="H1608" s="5"/>
      </tp>
      <tp t="s">
        <v/>
        <stp/>
        <stp>3124331018M4:BstLiftPrc</stp>
        <tr r="H1609" s="5"/>
      </tp>
      <tp t="s">
        <v/>
        <stp/>
        <stp>3124331018M5:BstLiftPrc</stp>
        <tr r="H1610" s="5"/>
      </tp>
      <tp t="s">
        <v/>
        <stp/>
        <stp>3124331018M6:BstLiftPrc</stp>
        <tr r="H1611" s="5"/>
      </tp>
      <tp t="s">
        <v/>
        <stp/>
        <stp>3124331018M7:BstLiftPrc</stp>
        <tr r="H1612" s="5"/>
      </tp>
      <tp t="s">
        <v/>
        <stp/>
        <stp>1961122916B0:BstLiftPrc</stp>
        <tr r="H1626" s="5"/>
      </tp>
      <tp t="s">
        <v/>
        <stp/>
        <stp>2325225613B0:BstLiftPrc</stp>
        <tr r="H631" s="5"/>
      </tp>
      <tp t="s">
        <v/>
        <stp/>
        <stp>3126131030B0:BstLiftPrc</stp>
        <tr r="H1746" s="5"/>
      </tp>
      <tp t="s">
        <v/>
        <stp/>
        <stp>2009523367B0:BstLiftPrc</stp>
        <tr r="H116" s="5"/>
      </tp>
    </main>
    <main first="esrtd">
      <tp t="s">
        <v/>
        <stp/>
        <stp>WNS 22!-IEU</stp>
        <stp>Block Volume</stp>
        <tr r="O1869" s="5"/>
      </tp>
      <tp t="s">
        <v/>
        <stp/>
        <stp>WNS 12!-IEU</stp>
        <stp>Block Volume</stp>
        <tr r="O1859" s="5"/>
      </tp>
      <tp t="s">
        <v/>
        <stp/>
        <stp>WNS C2!-IEU</stp>
        <stp>Block Volume</stp>
        <tr r="O1882" s="5"/>
      </tp>
      <tp t="s">
        <v/>
        <stp/>
        <stp>WNS Q2!-IEU</stp>
        <stp>Block Volume</stp>
        <tr r="O1879" s="5"/>
      </tp>
      <tp t="s">
        <v/>
        <stp/>
        <stp>TEN U28-IEU</stp>
        <stp>ICE Theoretical Price</stp>
        <tr r="W1135" s="5"/>
      </tp>
      <tp t="s">
        <v/>
        <stp/>
        <stp>BOA G27-IEU</stp>
        <stp>ICE Theoretical Price</stp>
        <tr r="W812" s="5"/>
      </tp>
      <tp t="s">
        <v/>
        <stp/>
        <stp>TEN Q28-IEU</stp>
        <stp>ICE Theoretical Price</stp>
        <tr r="W1134" s="5"/>
      </tp>
      <tp t="s">
        <v/>
        <stp/>
        <stp>BOA F27-IEU</stp>
        <stp>ICE Theoretical Price</stp>
        <tr r="W811" s="5"/>
      </tp>
      <tp t="s">
        <v/>
        <stp/>
        <stp>APN F28-IEU</stp>
        <stp>ICE Theoretical Price</stp>
        <tr r="W1241" s="5"/>
      </tp>
      <tp t="s">
        <v/>
        <stp/>
        <stp>APN G28-IEU</stp>
        <stp>ICE Theoretical Price</stp>
        <tr r="W1242" s="5"/>
      </tp>
      <tp t="s">
        <v/>
        <stp/>
        <stp>BOA K27-IEU</stp>
        <stp>ICE Theoretical Price</stp>
        <tr r="W815" s="5"/>
      </tp>
      <tp t="s">
        <v/>
        <stp/>
        <stp>APN H28-IEU</stp>
        <stp>ICE Theoretical Price</stp>
        <tr r="W1243" s="5"/>
      </tp>
      <tp t="s">
        <v/>
        <stp/>
        <stp>BOA J27-IEU</stp>
        <stp>ICE Theoretical Price</stp>
        <tr r="W814" s="5"/>
      </tp>
      <tp t="s">
        <v/>
        <stp/>
        <stp>APN J28-IEU</stp>
        <stp>ICE Theoretical Price</stp>
        <tr r="W1244" s="5"/>
      </tp>
      <tp t="s">
        <v/>
        <stp/>
        <stp>BOA H27-IEU</stp>
        <stp>ICE Theoretical Price</stp>
        <tr r="W813" s="5"/>
      </tp>
      <tp t="s">
        <v/>
        <stp/>
        <stp>APN K28-IEU</stp>
        <stp>ICE Theoretical Price</stp>
        <tr r="W1245" s="5"/>
      </tp>
      <tp t="s">
        <v/>
        <stp/>
        <stp>BOA N27-IEU</stp>
        <stp>ICE Theoretical Price</stp>
        <tr r="W817" s="5"/>
      </tp>
      <tp t="s">
        <v/>
        <stp/>
        <stp>APN M28-IEU</stp>
        <stp>ICE Theoretical Price</stp>
        <tr r="W1246" s="5"/>
      </tp>
      <tp t="s">
        <v/>
        <stp/>
        <stp>BOA M27-IEU</stp>
        <stp>ICE Theoretical Price</stp>
        <tr r="W816" s="5"/>
      </tp>
      <tp t="s">
        <v/>
        <stp/>
        <stp>APN N28-IEU</stp>
        <stp>ICE Theoretical Price</stp>
        <tr r="W1247" s="5"/>
      </tp>
    </main>
    <main first="ice.rtd">
      <tp t="s">
        <v/>
        <stp/>
        <stp>266419M11:LstBlkPrc</stp>
        <tr r="K970" s="5"/>
      </tp>
      <tp t="s">
        <v/>
        <stp/>
        <stp>266419M21:LstBlkPrc</stp>
        <tr r="K980" s="5"/>
      </tp>
    </main>
    <main first="esrtd">
      <tp t="s">
        <v/>
        <stp/>
        <stp>APN Q28-IEU</stp>
        <stp>ICE Theoretical Price</stp>
        <tr r="W1248" s="5"/>
      </tp>
      <tp t="s">
        <v/>
        <stp/>
        <stp>BOA Q27-IEU</stp>
        <stp>ICE Theoretical Price</stp>
        <tr r="W818" s="5"/>
      </tp>
      <tp t="s">
        <v/>
        <stp/>
        <stp>TEN G28-IEU</stp>
        <stp>ICE Theoretical Price</stp>
        <tr r="W1128" s="5"/>
      </tp>
      <tp t="s">
        <v/>
        <stp/>
        <stp>TEN F28-IEU</stp>
        <stp>ICE Theoretical Price</stp>
        <tr r="W1127" s="5"/>
      </tp>
      <tp t="s">
        <v/>
        <stp/>
        <stp>BOA V27-IEU</stp>
        <stp>ICE Theoretical Price</stp>
        <tr r="W820" s="5"/>
      </tp>
      <tp t="s">
        <v/>
        <stp/>
        <stp>APN U28-IEU</stp>
        <stp>ICE Theoretical Price</stp>
        <tr r="W1249" s="5"/>
      </tp>
      <tp t="s">
        <v/>
        <stp/>
        <stp>BOA U27-IEU</stp>
        <stp>ICE Theoretical Price</stp>
        <tr r="W819" s="5"/>
      </tp>
      <tp t="s">
        <v/>
        <stp/>
        <stp>TEN M28-IEU</stp>
        <stp>ICE Theoretical Price</stp>
        <tr r="W1132" s="5"/>
      </tp>
      <tp t="s">
        <v/>
        <stp/>
        <stp>BOA Z27-IEU</stp>
        <stp>ICE Theoretical Price</stp>
        <tr r="W822" s="5"/>
      </tp>
      <tp t="s">
        <v/>
        <stp/>
        <stp>BOA X27-IEU</stp>
        <stp>ICE Theoretical Price</stp>
        <tr r="W821" s="5"/>
      </tp>
      <tp t="s">
        <v/>
        <stp/>
        <stp>TEN N28-IEU</stp>
        <stp>ICE Theoretical Price</stp>
        <tr r="W1133" s="5"/>
      </tp>
      <tp t="s">
        <v/>
        <stp/>
        <stp>TEN H28-IEU</stp>
        <stp>ICE Theoretical Price</stp>
        <tr r="W1129" s="5"/>
      </tp>
      <tp t="s">
        <v/>
        <stp/>
        <stp>TEN K28-IEU</stp>
        <stp>ICE Theoretical Price</stp>
        <tr r="W1131" s="5"/>
      </tp>
      <tp t="s">
        <v/>
        <stp/>
        <stp>TEN J28-IEU</stp>
        <stp>ICE Theoretical Price</stp>
        <tr r="W1130" s="5"/>
      </tp>
    </main>
    <main first="ice.rtd">
      <tp t="s">
        <v/>
        <stp/>
        <stp>366531MM2:BstHitPrc</stp>
        <tr r="G1717" s="5"/>
      </tp>
      <tp t="s">
        <v/>
        <stp/>
        <stp>366531MM2:LstBlkPrc</stp>
        <tr r="K1717" s="5"/>
      </tp>
      <tp t="s">
        <v/>
        <stp/>
        <stp>266419M21:BstHitPrc</stp>
        <tr r="G980" s="5"/>
      </tp>
      <tp t="s">
        <v/>
        <stp/>
        <stp>266419M11:BstHitPrc</stp>
        <tr r="G970" s="5"/>
      </tp>
      <tp t="s">
        <v/>
        <stp/>
        <stp>366531MM4:LstBlkVol</stp>
        <tr r="L1719" s="5"/>
      </tp>
    </main>
    <main first="esrtd">
      <tp t="s">
        <v/>
        <stp/>
        <stp>WDF 28!-IEU</stp>
        <stp>Block Volume</stp>
        <tr r="O1805" s="5"/>
      </tp>
      <tp t="s">
        <v/>
        <stp/>
        <stp>WDF 18!-IEU</stp>
        <stp>Block Volume</stp>
        <tr r="O1795" s="5"/>
      </tp>
      <tp t="s">
        <v/>
        <stp/>
        <stp>WHK 24!-IEU</stp>
        <stp>Block Volume</stp>
        <tr r="O1941" s="5"/>
      </tp>
      <tp t="s">
        <v/>
        <stp/>
        <stp>WHK 14!-IEU</stp>
        <stp>Block Volume</stp>
        <tr r="O1931" s="5"/>
      </tp>
      <tp t="s">
        <v/>
        <stp/>
        <stp>WHK Q4!-IEU</stp>
        <stp>Block Volume</stp>
        <tr r="O1951" s="5"/>
      </tp>
    </main>
    <main first="bofaddin.rtdserver">
      <tp t="s">
        <v>#N/A</v>
        <stp/>
        <stp>BDP|10703552682371889386|222</stp>
        <stp>CLZ9CLF0 Comdty</stp>
        <stp>ASK</stp>
        <stp>Fill=#N/A</stp>
        <tr r="N59" s="1"/>
      </tp>
    </main>
    <main first="esrtd">
      <tp t="s">
        <v/>
        <stp/>
        <stp>WMJ 21!-IEU</stp>
        <stp>Block Volume</stp>
        <tr r="O1903" s="5"/>
      </tp>
      <tp t="s">
        <v/>
        <stp/>
        <stp>WMJ 11!-IEU</stp>
        <stp>Block Volume</stp>
        <tr r="O1893" s="5"/>
      </tp>
      <tp t="s">
        <v/>
        <stp/>
        <stp>WMJ Q1!-IEU</stp>
        <stp>Block Volume</stp>
        <tr r="O1913" s="5"/>
      </tp>
    </main>
    <main first="ice.rtd">
      <tp t="s">
        <v/>
        <stp/>
        <stp>266419M17:LstBlkVol</stp>
        <tr r="L976" s="5"/>
      </tp>
    </main>
    <main first="bofaddin.rtdserver">
      <tp>
        <v>5.65</v>
        <stp/>
        <stp>BDP|13445847107739603257|222</stp>
        <stp>XBN7XBQ7 Comdty</stp>
        <stp>BID</stp>
        <stp>Fill=#N/A</stp>
        <tr r="R30" s="1"/>
      </tp>
    </main>
    <main first="esrtd">
      <tp t="s">
        <v/>
        <stp/>
        <stp>TDL 18!-IEU</stp>
        <stp>Block Volume</stp>
        <tr r="O1830" s="5"/>
      </tp>
      <tp t="s">
        <v/>
        <stp/>
        <stp>TDL 28!-IEU</stp>
        <stp>Block Volume</stp>
        <tr r="O1840" s="5"/>
      </tp>
    </main>
    <main first="bofaddin.rtdserver">
      <tp t="s">
        <v>#N/A Real Time</v>
        <stp/>
        <stp>BDP|9025454032512771457|22</stp>
        <stp>QSQ6C 2000.00 Comdty</stp>
        <stp>DELTA_LAST_RT</stp>
        <tr r="K81" s="23"/>
      </tp>
    </main>
    <main first="ice.rtd">
      <tp>
        <v>0</v>
        <stp/>
        <stp>3124331018M14:OI</stp>
        <tr r="T1619" s="5"/>
      </tp>
      <tp>
        <v>0</v>
        <stp/>
        <stp>3124331018M12:OI</stp>
        <tr r="T1617" s="5"/>
      </tp>
      <tp>
        <v>0</v>
        <stp/>
        <stp>3124331018M13:OI</stp>
        <tr r="T1618" s="5"/>
      </tp>
      <tp>
        <v>0</v>
        <stp/>
        <stp>3124331018M10:OI</stp>
        <tr r="T1615" s="5"/>
      </tp>
      <tp>
        <v>0</v>
        <stp/>
        <stp>3124331018M11:OI</stp>
        <tr r="T1616" s="5"/>
      </tp>
      <tp>
        <v>0</v>
        <stp/>
        <stp>1923422331M11:OI</stp>
        <tr r="T1638" s="5"/>
      </tp>
      <tp>
        <v>0</v>
        <stp/>
        <stp>1923422331M10:OI</stp>
        <tr r="T1637" s="5"/>
      </tp>
      <tp>
        <v>0</v>
        <stp/>
        <stp>1923422331M13:OI</stp>
        <tr r="T1640" s="5"/>
      </tp>
      <tp>
        <v>0</v>
        <stp/>
        <stp>1923422331M12:OI</stp>
        <tr r="T1639" s="5"/>
      </tp>
      <tp>
        <v>0</v>
        <stp/>
        <stp>1923422331M14:OI</stp>
        <tr r="T1641" s="5"/>
      </tp>
    </main>
    <main first="bofaddin.rtdserver">
      <tp>
        <v>815.25</v>
        <stp/>
        <stp>BDP|294345553919723914|222</stp>
        <stp>QSZ8 Comdty</stp>
        <stp>BID</stp>
        <stp>Fill=#N/A</stp>
        <tr r="H46" s="1"/>
      </tp>
      <tp t="s">
        <v>#N/A</v>
        <stp/>
        <stp>BDP|623722329459964833|222</stp>
        <stp>XBX9 Comdty</stp>
        <stp>BID</stp>
        <stp>Fill=#N/A</stp>
        <tr r="J57" s="1"/>
      </tp>
      <tp>
        <v>341.77</v>
        <stp/>
        <stp>BDP|183390408434475788|222</stp>
        <stp>HOU7 Comdty</stp>
        <stp>ASK</stp>
        <stp>Fill=#N/A</stp>
        <tr r="I31" s="1"/>
      </tp>
    </main>
    <main first="ice.rtd">
      <tp>
        <v>46267.42580449074</v>
        <stp/>
        <stp>DBI1227MM26:LstDate</stp>
        <tr r="J1677" s="5"/>
      </tp>
      <tp t="s">
        <v/>
        <stp/>
        <stp>DBI1227MM27:LstDate</stp>
        <tr r="J1678" s="5"/>
      </tp>
      <tp>
        <v>46267.311924155096</v>
        <stp/>
        <stp>DBI1227MM24:LstDate</stp>
        <tr r="J1675" s="5"/>
      </tp>
      <tp>
        <v>46267.308531087961</v>
        <stp/>
        <stp>DBI1227MM25:LstDate</stp>
        <tr r="J1676" s="5"/>
      </tp>
      <tp t="s">
        <v/>
        <stp/>
        <stp>DBI1227MM22:LstDate</stp>
        <tr r="J1673" s="5"/>
      </tp>
      <tp>
        <v>46267.463463136577</v>
        <stp/>
        <stp>DBI1227MM23:LstDate</stp>
        <tr r="J1674" s="5"/>
      </tp>
      <tp t="s">
        <v/>
        <stp/>
        <stp>DBI1227MM20:LstDate</stp>
        <tr r="J1671" s="5"/>
      </tp>
      <tp t="s">
        <v/>
        <stp/>
        <stp>DBI1227MM21:LstDate</stp>
        <tr r="J1672" s="5"/>
      </tp>
    </main>
    <main first="esrtd">
      <tp t="s">
        <v/>
        <stp/>
        <stp>BRN 26UC7000-ICE</stp>
        <stp>OldSettlement</stp>
        <tr r="AN73" s="23"/>
      </tp>
    </main>
    <main first="ice.rtd">
      <tp>
        <v>46267.395714004633</v>
        <stp/>
        <stp>DBI1227MM16:LstDate</stp>
        <tr r="J1667" s="5"/>
      </tp>
      <tp>
        <v>46267.395832488422</v>
        <stp/>
        <stp>DBI1227MM17:LstDate</stp>
        <tr r="J1668" s="5"/>
      </tp>
      <tp t="s">
        <v/>
        <stp/>
        <stp>DBI1227MM14:LstDate</stp>
        <tr r="J1665" s="5"/>
      </tp>
      <tp>
        <v>46267.460517557869</v>
        <stp/>
        <stp>DBI1227MM15:LstDate</stp>
        <tr r="J1666" s="5"/>
      </tp>
      <tp t="s">
        <v/>
        <stp/>
        <stp>DBI1227MM12:LstDate</stp>
        <tr r="J1663" s="5"/>
      </tp>
      <tp t="s">
        <v/>
        <stp/>
        <stp>DBI1227MM13:LstDate</stp>
        <tr r="J1664" s="5"/>
      </tp>
      <tp>
        <v>46267.391964618058</v>
        <stp/>
        <stp>DBI1227MM10:LstDate</stp>
        <tr r="J1649" s="5"/>
        <tr r="J1661" s="5"/>
      </tp>
      <tp t="s">
        <v/>
        <stp/>
        <stp>DBI1227MM11:LstDate</stp>
        <tr r="J1662" s="5"/>
      </tp>
      <tp t="s">
        <v/>
        <stp/>
        <stp>DBI1227MM18:LstDate</stp>
        <tr r="J1669" s="5"/>
      </tp>
      <tp t="s">
        <v/>
        <stp/>
        <stp>DBI1227MM19:LstDate</stp>
        <tr r="J1650" s="5"/>
        <tr r="J1670" s="5"/>
      </tp>
    </main>
    <main first="esrtd">
      <tp t="s">
        <v/>
        <stp/>
        <stp>BRN 26UC8500-ICE</stp>
        <stp>OldSettlement</stp>
        <tr r="AN78" s="23"/>
        <tr r="AN79" s="23"/>
      </tp>
      <tp t="s">
        <v/>
        <stp/>
        <stp>BRN 26UC8400-ICE</stp>
        <stp>OldSettlement</stp>
        <tr r="AN77" s="23"/>
      </tp>
      <tp t="s">
        <v/>
        <stp/>
        <stp>BRN 26UC8300-ICE</stp>
        <stp>OldSettlement</stp>
        <tr r="AN76" s="23"/>
      </tp>
      <tp t="s">
        <v/>
        <stp/>
        <stp>BRN 26UC8200-ICE</stp>
        <stp>OldSettlement</stp>
        <tr r="AN75" s="23"/>
      </tp>
      <tp t="s">
        <v/>
        <stp/>
        <stp>BRN 26UC8100-ICE</stp>
        <stp>OldSettlement</stp>
        <tr r="AN74" s="23"/>
      </tp>
    </main>
    <main first="ice.rtd">
      <tp t="s">
        <v>Invalid Market: 41767893B0</v>
        <stp/>
        <stp>41767893B0:BstLiftPrc</stp>
        <tr r="H479" s="5"/>
      </tp>
      <tp t="s">
        <v/>
        <stp/>
        <stp>41767893M8:BstLiftPrc</stp>
        <tr r="H488" s="5"/>
      </tp>
      <tp t="s">
        <v/>
        <stp/>
        <stp>41767893M9:BstLiftPrc</stp>
        <tr r="H489" s="5"/>
      </tp>
      <tp t="s">
        <v/>
        <stp/>
        <stp>41767893M0:BstLiftPrc</stp>
        <tr r="H480" s="5"/>
      </tp>
      <tp t="s">
        <v/>
        <stp/>
        <stp>41767893M1:BstLiftPrc</stp>
        <tr r="H481" s="5"/>
      </tp>
      <tp t="s">
        <v/>
        <stp/>
        <stp>41767893M2:BstLiftPrc</stp>
        <tr r="H482" s="5"/>
      </tp>
      <tp>
        <v>4.5</v>
        <stp/>
        <stp>41767893M3:BstLiftPrc</stp>
        <tr r="H483" s="5"/>
      </tp>
      <tp t="s">
        <v/>
        <stp/>
        <stp>41767893M4:BstLiftPrc</stp>
        <tr r="H484" s="5"/>
      </tp>
      <tp t="s">
        <v/>
        <stp/>
        <stp>41767893M5:BstLiftPrc</stp>
        <tr r="H485" s="5"/>
      </tp>
      <tp t="s">
        <v/>
        <stp/>
        <stp>41767893M6:BstLiftPrc</stp>
        <tr r="H486" s="5"/>
      </tp>
      <tp t="s">
        <v/>
        <stp/>
        <stp>41767893M7:BstLiftPrc</stp>
        <tr r="H487" s="5"/>
      </tp>
      <tp t="s">
        <v/>
        <stp/>
        <stp>41767893Q8:BstLiftPrc</stp>
        <tr r="H513" s="5"/>
      </tp>
      <tp t="s">
        <v/>
        <stp/>
        <stp>41767893Q0:BstLiftPrc</stp>
        <tr r="H505" s="5"/>
      </tp>
      <tp t="s">
        <v/>
        <stp/>
        <stp>41767893Q1:BstLiftPrc</stp>
        <tr r="H506" s="5"/>
      </tp>
      <tp t="s">
        <v/>
        <stp/>
        <stp>41767893Q2:BstLiftPrc</stp>
        <tr r="H507" s="5"/>
      </tp>
      <tp t="s">
        <v/>
        <stp/>
        <stp>41767893Q3:BstLiftPrc</stp>
        <tr r="H508" s="5"/>
      </tp>
      <tp t="s">
        <v/>
        <stp/>
        <stp>41767893Q4:BstLiftPrc</stp>
        <tr r="H509" s="5"/>
      </tp>
      <tp t="s">
        <v/>
        <stp/>
        <stp>41767893Q5:BstLiftPrc</stp>
        <tr r="H510" s="5"/>
      </tp>
      <tp t="s">
        <v/>
        <stp/>
        <stp>41767893Q6:BstLiftPrc</stp>
        <tr r="H511" s="5"/>
      </tp>
      <tp t="s">
        <v/>
        <stp/>
        <stp>41767893Q7:BstLiftPrc</stp>
        <tr r="H512" s="5"/>
      </tp>
      <tp t="s">
        <v/>
        <stp/>
        <stp>41767893Y0:BstLiftPrc</stp>
        <tr r="H514" s="5"/>
      </tp>
      <tp t="s">
        <v/>
        <stp/>
        <stp>41767893Y1:BstLiftPrc</stp>
        <tr r="H515" s="5"/>
      </tp>
      <tp t="s">
        <v>Invalid Market: 41767893Y2</v>
        <stp/>
        <stp>41767893Y2:BstLiftPrc</stp>
        <tr r="H516" s="5"/>
      </tp>
      <tp t="s">
        <v/>
        <stp/>
        <stp>41787896M8:BstLiftPrc</stp>
        <tr r="H815" s="5"/>
      </tp>
      <tp t="s">
        <v/>
        <stp/>
        <stp>41787896M9:BstLiftPrc</stp>
        <tr r="H816" s="5"/>
      </tp>
      <tp>
        <v>-9.0500000000000007</v>
        <stp/>
        <stp>41787896M0:BstLiftPrc</stp>
        <tr r="H807" s="5"/>
      </tp>
      <tp t="s">
        <v/>
        <stp/>
        <stp>41787896M1:BstLiftPrc</stp>
        <tr r="H808" s="5"/>
      </tp>
      <tp t="s">
        <v/>
        <stp/>
        <stp>41787896M2:BstLiftPrc</stp>
        <tr r="H809" s="5"/>
      </tp>
      <tp t="s">
        <v/>
        <stp/>
        <stp>41787896M3:BstLiftPrc</stp>
        <tr r="H810" s="5"/>
      </tp>
      <tp t="s">
        <v/>
        <stp/>
        <stp>41787896M4:BstLiftPrc</stp>
        <tr r="H811" s="5"/>
      </tp>
      <tp t="s">
        <v/>
        <stp/>
        <stp>41787896M5:BstLiftPrc</stp>
        <tr r="H812" s="5"/>
      </tp>
      <tp t="s">
        <v/>
        <stp/>
        <stp>41787896M6:BstLiftPrc</stp>
        <tr r="H813" s="5"/>
      </tp>
      <tp t="s">
        <v/>
        <stp/>
        <stp>41787896M7:BstLiftPrc</stp>
        <tr r="H814" s="5"/>
      </tp>
      <tp t="s">
        <v/>
        <stp/>
        <stp>41787896Q8:BstLiftPrc</stp>
        <tr r="H840" s="5"/>
      </tp>
      <tp t="s">
        <v/>
        <stp/>
        <stp>41787896Q0:BstLiftPrc</stp>
        <tr r="H832" s="5"/>
      </tp>
      <tp t="s">
        <v/>
        <stp/>
        <stp>41787896Q1:BstLiftPrc</stp>
        <tr r="H833" s="5"/>
      </tp>
      <tp t="s">
        <v/>
        <stp/>
        <stp>41787896Q2:BstLiftPrc</stp>
        <tr r="H834" s="5"/>
      </tp>
      <tp t="s">
        <v/>
        <stp/>
        <stp>41787896Q3:BstLiftPrc</stp>
        <tr r="H835" s="5"/>
      </tp>
      <tp t="s">
        <v/>
        <stp/>
        <stp>41787896Q4:BstLiftPrc</stp>
        <tr r="H836" s="5"/>
      </tp>
      <tp t="s">
        <v/>
        <stp/>
        <stp>41787896Q5:BstLiftPrc</stp>
        <tr r="H837" s="5"/>
      </tp>
      <tp t="s">
        <v/>
        <stp/>
        <stp>41787896Q6:BstLiftPrc</stp>
        <tr r="H838" s="5"/>
      </tp>
      <tp t="s">
        <v/>
        <stp/>
        <stp>41787896Q7:BstLiftPrc</stp>
        <tr r="H839" s="5"/>
      </tp>
      <tp t="s">
        <v/>
        <stp/>
        <stp>41787896Y0:BstLiftPrc</stp>
        <tr r="H841" s="5"/>
      </tp>
      <tp t="s">
        <v/>
        <stp/>
        <stp>41787896Y1:BstLiftPrc</stp>
        <tr r="H842" s="5"/>
      </tp>
      <tp t="s">
        <v/>
        <stp/>
        <stp>41787896Y2:BstLiftPrc</stp>
        <tr r="H843" s="5"/>
      </tp>
      <tp t="s">
        <v/>
        <stp/>
        <stp>30793693M7:BstLiftPrc</stp>
        <tr r="H890" s="5"/>
      </tp>
      <tp t="s">
        <v/>
        <stp/>
        <stp>30793693M6:BstLiftPrc</stp>
        <tr r="H889" s="5"/>
      </tp>
      <tp t="s">
        <v/>
        <stp/>
        <stp>30793693M5:BstLiftPrc</stp>
        <tr r="H888" s="5"/>
      </tp>
      <tp t="s">
        <v/>
        <stp/>
        <stp>30793693M4:BstLiftPrc</stp>
        <tr r="H887" s="5"/>
      </tp>
      <tp t="s">
        <v/>
        <stp/>
        <stp>30793693M3:BstLiftPrc</stp>
        <tr r="H886" s="5"/>
      </tp>
      <tp>
        <v>40</v>
        <stp/>
        <stp>30793693M2:BstLiftPrc</stp>
        <tr r="H885" s="5"/>
      </tp>
      <tp>
        <v>40</v>
        <stp/>
        <stp>30793693M1:BstLiftPrc</stp>
        <tr r="H884" s="5"/>
      </tp>
      <tp t="s">
        <v/>
        <stp/>
        <stp>30793693M0:BstLiftPrc</stp>
        <tr r="H883" s="5"/>
      </tp>
      <tp t="s">
        <v/>
        <stp/>
        <stp>30793693M9:BstLiftPrc</stp>
        <tr r="H892" s="5"/>
      </tp>
      <tp t="s">
        <v/>
        <stp/>
        <stp>30793693M8:BstLiftPrc</stp>
        <tr r="H891" s="5"/>
      </tp>
      <tp t="s">
        <v/>
        <stp/>
        <stp>30793693Q7:BstLiftPrc</stp>
        <tr r="H915" s="5"/>
      </tp>
      <tp t="s">
        <v/>
        <stp/>
        <stp>30793693Q6:BstLiftPrc</stp>
        <tr r="H914" s="5"/>
      </tp>
      <tp t="s">
        <v/>
        <stp/>
        <stp>30793693Q5:BstLiftPrc</stp>
        <tr r="H913" s="5"/>
      </tp>
      <tp t="s">
        <v/>
        <stp/>
        <stp>30793693Q4:BstLiftPrc</stp>
        <tr r="H912" s="5"/>
      </tp>
      <tp t="s">
        <v/>
        <stp/>
        <stp>30793693Q3:BstLiftPrc</stp>
        <tr r="H911" s="5"/>
      </tp>
      <tp t="s">
        <v/>
        <stp/>
        <stp>30793693Q2:BstLiftPrc</stp>
        <tr r="H910" s="5"/>
      </tp>
      <tp>
        <v>30.5</v>
        <stp/>
        <stp>30793693Q1:BstLiftPrc</stp>
        <tr r="H909" s="5"/>
      </tp>
      <tp>
        <v>50</v>
        <stp/>
        <stp>30793693Q0:BstLiftPrc</stp>
        <tr r="H908" s="5"/>
      </tp>
      <tp t="s">
        <v/>
        <stp/>
        <stp>30793693Q8:BstLiftPrc</stp>
        <tr r="H916" s="5"/>
      </tp>
      <tp t="s">
        <v/>
        <stp/>
        <stp>30793693Y2:BstLiftPrc</stp>
        <tr r="H919" s="5"/>
      </tp>
      <tp t="s">
        <v/>
        <stp/>
        <stp>30793693Y1:BstLiftPrc</stp>
        <tr r="H918" s="5"/>
      </tp>
      <tp>
        <v>25</v>
        <stp/>
        <stp>30793693Y0:BstLiftPrc</stp>
        <tr r="H917" s="5"/>
      </tp>
      <tp t="s">
        <v/>
        <stp/>
        <stp>2324225603B0:BstLiftPrc</stp>
        <tr r="Y869" s="5"/>
        <tr r="H920" s="5"/>
      </tp>
      <tp t="s">
        <v/>
        <stp/>
        <stp>2325325614B0:BstLiftPrc</stp>
        <tr r="H517" s="5"/>
      </tp>
    </main>
    <main first="esrtd">
      <tp t="s">
        <v/>
        <stp/>
        <stp>WNS 21!-IEU</stp>
        <stp>Block Volume</stp>
        <tr r="O1868" s="5"/>
      </tp>
      <tp t="s">
        <v/>
        <stp/>
        <stp>WNS 11!-IEU</stp>
        <stp>Block Volume</stp>
        <tr r="O1858" s="5"/>
      </tp>
      <tp t="s">
        <v/>
        <stp/>
        <stp>WNS Q1!-IEU</stp>
        <stp>Block Volume</stp>
        <tr r="O1878" s="5"/>
      </tp>
    </main>
    <main first="ice.rtd">
      <tp t="s">
        <v/>
        <stp/>
        <stp>141587M18:BstHitPrc</stp>
        <tr r="G59" s="5"/>
      </tp>
    </main>
    <main first="esrtd">
      <tp t="s">
        <v/>
        <stp/>
        <stp>NOB N27-IEU</stp>
        <stp>ICE Theoretical Price</stp>
        <tr r="W203" s="5"/>
      </tp>
      <tp t="s">
        <v/>
        <stp/>
        <stp>ULC U26-IEU</stp>
        <stp>ICE Theoretical Price</stp>
        <tr r="W1263" s="5"/>
      </tp>
      <tp t="s">
        <v/>
        <stp/>
        <stp>NBB N27-IEU</stp>
        <stp>ICE Theoretical Price</stp>
        <tr r="W241" s="5"/>
      </tp>
      <tp t="s">
        <v/>
        <stp/>
        <stp>EOB F27-IEU</stp>
        <stp>ICE Theoretical Price</stp>
        <tr r="W311" s="5"/>
      </tp>
      <tp t="s">
        <v/>
        <stp/>
        <stp>NOB M27-IEU</stp>
        <stp>ICE Theoretical Price</stp>
        <tr r="W202" s="5"/>
      </tp>
      <tp t="s">
        <v/>
        <stp/>
        <stp>ULC V26-IEU</stp>
        <stp>ICE Theoretical Price</stp>
        <tr r="W1264" s="5"/>
      </tp>
      <tp t="s">
        <v/>
        <stp/>
        <stp>NBB M27-IEU</stp>
        <stp>ICE Theoretical Price</stp>
        <tr r="W240" s="5"/>
      </tp>
      <tp t="s">
        <v/>
        <stp/>
        <stp>EOB G27-IEU</stp>
        <stp>ICE Theoretical Price</stp>
        <tr r="W312" s="5"/>
      </tp>
      <tp t="s">
        <v/>
        <stp/>
        <stp>BOB G27-IEU</stp>
        <stp>ICE Theoretical Price</stp>
        <tr r="W774" s="5"/>
      </tp>
      <tp t="s">
        <v/>
        <stp/>
        <stp>NOB K27-IEU</stp>
        <stp>ICE Theoretical Price</stp>
        <tr r="W201" s="5"/>
      </tp>
      <tp t="s">
        <v/>
        <stp/>
        <stp>NBB K27-IEU</stp>
        <stp>ICE Theoretical Price</stp>
        <tr r="W239" s="5"/>
      </tp>
      <tp t="s">
        <v/>
        <stp/>
        <stp>BOB F27-IEU</stp>
        <stp>ICE Theoretical Price</stp>
        <tr r="W773" s="5"/>
      </tp>
      <tp t="s">
        <v/>
        <stp/>
        <stp>NOB J27-IEU</stp>
        <stp>ICE Theoretical Price</stp>
        <tr r="W200" s="5"/>
      </tp>
      <tp t="s">
        <v/>
        <stp/>
        <stp>NBB J27-IEU</stp>
        <stp>ICE Theoretical Price</stp>
        <tr r="W238" s="5"/>
      </tp>
      <tp t="s">
        <v/>
        <stp/>
        <stp>AEB F27-IEU</stp>
        <stp>ICE Theoretical Price</stp>
        <tr r="W349" s="5"/>
      </tp>
      <tp t="s">
        <v/>
        <stp/>
        <stp>NOB H27-IEU</stp>
        <stp>ICE Theoretical Price</stp>
        <tr r="W199" s="5"/>
      </tp>
      <tp t="s">
        <v/>
        <stp/>
        <stp>NBB H27-IEU</stp>
        <stp>ICE Theoretical Price</stp>
        <tr r="W237" s="5"/>
      </tp>
      <tp t="s">
        <v/>
        <stp/>
        <stp>AEB G27-IEU</stp>
        <stp>ICE Theoretical Price</stp>
        <tr r="W350" s="5"/>
      </tp>
      <tp t="s">
        <v/>
        <stp/>
        <stp>BOB K27-IEU</stp>
        <stp>ICE Theoretical Price</stp>
        <tr r="W777" s="5"/>
      </tp>
      <tp t="s">
        <v/>
        <stp/>
        <stp>NOB G27-IEU</stp>
        <stp>ICE Theoretical Price</stp>
        <tr r="W198" s="5"/>
      </tp>
      <tp t="s">
        <v/>
        <stp/>
        <stp>NBB G27-IEU</stp>
        <stp>ICE Theoretical Price</stp>
        <tr r="W236" s="5"/>
      </tp>
      <tp t="s">
        <v/>
        <stp/>
        <stp>AEB H27-IEU</stp>
        <stp>ICE Theoretical Price</stp>
        <tr r="W351" s="5"/>
      </tp>
      <tp t="s">
        <v/>
        <stp/>
        <stp>BOB J27-IEU</stp>
        <stp>ICE Theoretical Price</stp>
        <tr r="W776" s="5"/>
      </tp>
      <tp t="s">
        <v/>
        <stp/>
        <stp>EOB M27-IEU</stp>
        <stp>ICE Theoretical Price</stp>
        <tr r="W316" s="5"/>
      </tp>
      <tp t="s">
        <v/>
        <stp/>
        <stp>NOB F27-IEU</stp>
        <stp>ICE Theoretical Price</stp>
        <tr r="W197" s="5"/>
      </tp>
      <tp t="s">
        <v/>
        <stp/>
        <stp>NBB F27-IEU</stp>
        <stp>ICE Theoretical Price</stp>
        <tr r="W235" s="5"/>
      </tp>
      <tp t="s">
        <v/>
        <stp/>
        <stp>EOB N27-IEU</stp>
        <stp>ICE Theoretical Price</stp>
        <tr r="W317" s="5"/>
      </tp>
      <tp t="s">
        <v/>
        <stp/>
        <stp>AEB J27-IEU</stp>
        <stp>ICE Theoretical Price</stp>
        <tr r="W352" s="5"/>
      </tp>
      <tp t="s">
        <v/>
        <stp/>
        <stp>BOB H27-IEU</stp>
        <stp>ICE Theoretical Price</stp>
        <tr r="W775" s="5"/>
      </tp>
      <tp t="s">
        <v/>
        <stp/>
        <stp>AEB K27-IEU</stp>
        <stp>ICE Theoretical Price</stp>
        <tr r="W353" s="5"/>
      </tp>
      <tp t="s">
        <v/>
        <stp/>
        <stp>EOB H27-IEU</stp>
        <stp>ICE Theoretical Price</stp>
        <tr r="W313" s="5"/>
      </tp>
      <tp t="s">
        <v/>
        <stp/>
        <stp>ULC X26-IEU</stp>
        <stp>ICE Theoretical Price</stp>
        <tr r="W1265" s="5"/>
      </tp>
      <tp t="s">
        <v/>
        <stp/>
        <stp>BOB N27-IEU</stp>
        <stp>ICE Theoretical Price</stp>
        <tr r="W779" s="5"/>
      </tp>
      <tp t="s">
        <v/>
        <stp/>
        <stp>AEB M27-IEU</stp>
        <stp>ICE Theoretical Price</stp>
        <tr r="W354" s="5"/>
      </tp>
      <tp t="s">
        <v/>
        <stp/>
        <stp>BOB M27-IEU</stp>
        <stp>ICE Theoretical Price</stp>
        <tr r="W778" s="5"/>
      </tp>
      <tp t="s">
        <v/>
        <stp/>
        <stp>EOB J27-IEU</stp>
        <stp>ICE Theoretical Price</stp>
        <tr r="W314" s="5"/>
      </tp>
      <tp t="s">
        <v/>
        <stp/>
        <stp>ULC Z26-IEU</stp>
        <stp>ICE Theoretical Price</stp>
        <tr r="W1266" s="5"/>
      </tp>
      <tp t="s">
        <v/>
        <stp/>
        <stp>AEB N27-IEU</stp>
        <stp>ICE Theoretical Price</stp>
        <tr r="W355" s="5"/>
      </tp>
      <tp t="s">
        <v/>
        <stp/>
        <stp>EOB K27-IEU</stp>
        <stp>ICE Theoretical Price</stp>
        <tr r="W315" s="5"/>
      </tp>
    </main>
    <main first="ice.rtd">
      <tp t="s">
        <v/>
        <stp/>
        <stp>266419M12:LstBlkPrc</stp>
        <tr r="K971" s="5"/>
      </tp>
      <tp t="s">
        <v/>
        <stp/>
        <stp>266419M22:LstBlkPrc</stp>
        <tr r="K981" s="5"/>
      </tp>
    </main>
    <main first="esrtd">
      <tp t="s">
        <v/>
        <stp/>
        <stp>EOB U27-IEU</stp>
        <stp>ICE Theoretical Price</stp>
        <tr r="W319" s="5"/>
      </tp>
      <tp t="s">
        <v/>
        <stp/>
        <stp>AEB Q27-IEU</stp>
        <stp>ICE Theoretical Price</stp>
        <tr r="W356" s="5"/>
      </tp>
      <tp t="s">
        <v/>
        <stp/>
        <stp>BOB Q27-IEU</stp>
        <stp>ICE Theoretical Price</stp>
        <tr r="W780" s="5"/>
      </tp>
      <tp t="s">
        <v/>
        <stp/>
        <stp>EOB V27-IEU</stp>
        <stp>ICE Theoretical Price</stp>
        <tr r="W320" s="5"/>
      </tp>
      <tp t="s">
        <v/>
        <stp/>
        <stp>BOB V27-IEU</stp>
        <stp>ICE Theoretical Price</stp>
        <tr r="W782" s="5"/>
      </tp>
      <tp t="s">
        <v/>
        <stp/>
        <stp>EOB Q27-IEU</stp>
        <stp>ICE Theoretical Price</stp>
        <tr r="W318" s="5"/>
      </tp>
      <tp t="s">
        <v/>
        <stp/>
        <stp>NOB Z27-IEU</stp>
        <stp>ICE Theoretical Price</stp>
        <tr r="W208" s="5"/>
      </tp>
      <tp t="s">
        <v/>
        <stp/>
        <stp>NBB Z27-IEU</stp>
        <stp>ICE Theoretical Price</stp>
        <tr r="W246" s="5"/>
      </tp>
      <tp t="s">
        <v/>
        <stp/>
        <stp>AEB U27-IEU</stp>
        <stp>ICE Theoretical Price</stp>
        <tr r="W357" s="5"/>
      </tp>
      <tp t="s">
        <v/>
        <stp/>
        <stp>BOB U27-IEU</stp>
        <stp>ICE Theoretical Price</stp>
        <tr r="W781" s="5"/>
      </tp>
      <tp t="s">
        <v/>
        <stp/>
        <stp>AEB V27-IEU</stp>
        <stp>ICE Theoretical Price</stp>
        <tr r="W358" s="5"/>
      </tp>
      <tp t="s">
        <v/>
        <stp/>
        <stp>NOB X27-IEU</stp>
        <stp>ICE Theoretical Price</stp>
        <tr r="W207" s="5"/>
      </tp>
      <tp t="s">
        <v/>
        <stp/>
        <stp>NBB X27-IEU</stp>
        <stp>ICE Theoretical Price</stp>
        <tr r="W245" s="5"/>
      </tp>
      <tp t="s">
        <v/>
        <stp/>
        <stp>AEB X27-IEU</stp>
        <stp>ICE Theoretical Price</stp>
        <tr r="W359" s="5"/>
      </tp>
      <tp t="s">
        <v/>
        <stp/>
        <stp>BOB Z27-IEU</stp>
        <stp>ICE Theoretical Price</stp>
        <tr r="W784" s="5"/>
      </tp>
      <tp t="s">
        <v/>
        <stp/>
        <stp>NOB V27-IEU</stp>
        <stp>ICE Theoretical Price</stp>
        <tr r="W206" s="5"/>
      </tp>
      <tp t="s">
        <v/>
        <stp/>
        <stp>NBB V27-IEU</stp>
        <stp>ICE Theoretical Price</stp>
        <tr r="W244" s="5"/>
      </tp>
      <tp t="s">
        <v/>
        <stp/>
        <stp>NOB U27-IEU</stp>
        <stp>ICE Theoretical Price</stp>
        <tr r="W205" s="5"/>
      </tp>
      <tp t="s">
        <v/>
        <stp/>
        <stp>NBB U27-IEU</stp>
        <stp>ICE Theoretical Price</stp>
        <tr r="W243" s="5"/>
      </tp>
      <tp t="s">
        <v/>
        <stp/>
        <stp>AEB Z27-IEU</stp>
        <stp>ICE Theoretical Price</stp>
        <tr r="W360" s="5"/>
      </tp>
      <tp t="s">
        <v/>
        <stp/>
        <stp>BOB X27-IEU</stp>
        <stp>ICE Theoretical Price</stp>
        <tr r="W783" s="5"/>
      </tp>
      <tp t="s">
        <v/>
        <stp/>
        <stp>EOB X27-IEU</stp>
        <stp>ICE Theoretical Price</stp>
        <tr r="W321" s="5"/>
      </tp>
      <tp t="s">
        <v/>
        <stp/>
        <stp>EOB Z27-IEU</stp>
        <stp>ICE Theoretical Price</stp>
        <tr r="W322" s="5"/>
      </tp>
      <tp t="s">
        <v/>
        <stp/>
        <stp>NOB Q27-IEU</stp>
        <stp>ICE Theoretical Price</stp>
        <tr r="W204" s="5"/>
      </tp>
      <tp t="s">
        <v/>
        <stp/>
        <stp>NBB Q27-IEU</stp>
        <stp>ICE Theoretical Price</stp>
        <tr r="W242" s="5"/>
      </tp>
    </main>
    <main first="ice.rtd">
      <tp>
        <v>0</v>
        <stp/>
        <stp>366531QQ1:BstHitPrc</stp>
        <tr r="G1744" s="5"/>
      </tp>
      <tp t="s">
        <v/>
        <stp/>
        <stp>366531MM1:BstHitPrc</stp>
        <tr r="G1716" s="5"/>
      </tp>
      <tp t="s">
        <v/>
        <stp/>
        <stp>141587M18:LstBlkPrc</stp>
        <tr r="K59" s="5"/>
      </tp>
      <tp t="s">
        <v/>
        <stp/>
        <stp>366531QQ1:LstBlkPrc</stp>
        <tr r="K1744" s="5"/>
      </tp>
      <tp t="s">
        <v/>
        <stp/>
        <stp>366531MM1:LstBlkPrc</stp>
        <tr r="K1716" s="5"/>
      </tp>
      <tp t="s">
        <v/>
        <stp/>
        <stp>266419M22:BstHitPrc</stp>
        <tr r="G981" s="5"/>
      </tp>
      <tp t="s">
        <v/>
        <stp/>
        <stp>266419M12:BstHitPrc</stp>
        <tr r="G971" s="5"/>
      </tp>
      <tp t="s">
        <v/>
        <stp/>
        <stp>366531MM7:LstBlkVol</stp>
        <tr r="L1722" s="5"/>
      </tp>
    </main>
    <main first="bofaddin.rtdserver">
      <tp>
        <v>0.4</v>
        <stp/>
        <stp>BDP|11696175318049610351|222</stp>
        <stp>COZ7COF8 Comdty</stp>
        <stp>ASK</stp>
        <stp>Fill=#N/A</stp>
        <tr r="O35" s="1"/>
      </tp>
      <tp>
        <v>14.06</v>
        <stp/>
        <stp>BDP|11989016122250401930|222</stp>
        <stp>HOZ6HOF7 Comdty</stp>
        <stp>ASK</stp>
        <stp>Fill=#N/A</stp>
        <tr r="Q23" s="1"/>
      </tp>
    </main>
    <main first="esrtd">
      <tp t="s">
        <v/>
        <stp/>
        <stp>WHK 27!-IEU</stp>
        <stp>Block Volume</stp>
        <tr r="O1944" s="5"/>
      </tp>
      <tp t="s">
        <v/>
        <stp/>
        <stp>WHK 17!-IEU</stp>
        <stp>Block Volume</stp>
        <tr r="O1934" s="5"/>
      </tp>
      <tp t="s">
        <v/>
        <stp/>
        <stp>WMJ 22!-IEU</stp>
        <stp>Block Volume</stp>
        <tr r="O1904" s="5"/>
      </tp>
      <tp t="s">
        <v/>
        <stp/>
        <stp>WMJ 12!-IEU</stp>
        <stp>Block Volume</stp>
        <tr r="O1894" s="5"/>
      </tp>
      <tp t="s">
        <v/>
        <stp/>
        <stp>WMJ C2!-IEU</stp>
        <stp>Block Volume</stp>
        <tr r="O1917" s="5"/>
      </tp>
      <tp t="s">
        <v/>
        <stp/>
        <stp>WMJ Q2!-IEU</stp>
        <stp>Block Volume</stp>
        <tr r="O1914" s="5"/>
      </tp>
    </main>
    <main first="ice.rtd">
      <tp t="s">
        <v/>
        <stp/>
        <stp>266419M14:LstBlkVol</stp>
        <tr r="L973" s="5"/>
      </tp>
      <tp t="s">
        <v/>
        <stp/>
        <stp>266419M24:LstBlkVol</stp>
        <tr r="L983" s="5"/>
      </tp>
      <tp t="s">
        <v/>
        <stp/>
        <stp>1517M18:LstBlkVol</stp>
        <tr r="L21" s="5"/>
      </tp>
      <tp t="s">
        <v>SYS</v>
        <stp/>
        <stp>366531MM4:PCC</stp>
        <tr r="B1719" s="5"/>
      </tp>
      <tp t="s">
        <v>SYS</v>
        <stp/>
        <stp>366531MM5:PCC</stp>
        <tr r="B1720" s="5"/>
      </tp>
      <tp t="s">
        <v>SYS</v>
        <stp/>
        <stp>366531MM6:PCC</stp>
        <tr r="B1721" s="5"/>
      </tp>
      <tp t="s">
        <v>SYS</v>
        <stp/>
        <stp>366531MM7:PCC</stp>
        <tr r="B1722" s="5"/>
      </tp>
      <tp t="s">
        <v>SYS</v>
        <stp/>
        <stp>366531MM0:PCC</stp>
        <tr r="B1715" s="5"/>
      </tp>
      <tp t="s">
        <v>SYS</v>
        <stp/>
        <stp>366531MM1:PCC</stp>
        <tr r="B1716" s="5"/>
      </tp>
      <tp t="s">
        <v>SYS</v>
        <stp/>
        <stp>366531MM2:PCC</stp>
        <tr r="B1717" s="5"/>
      </tp>
      <tp t="s">
        <v>SYS</v>
        <stp/>
        <stp>366531MM3:PCC</stp>
        <tr r="B1718" s="5"/>
      </tp>
      <tp t="s">
        <v>SYS</v>
        <stp/>
        <stp>366531MM8:PCC</stp>
        <tr r="B1723" s="5"/>
      </tp>
      <tp t="s">
        <v>SYS</v>
        <stp/>
        <stp>366531MM9:PCC</stp>
        <tr r="B1724" s="5"/>
      </tp>
      <tp t="s">
        <v/>
        <stp/>
        <stp>5162M19:LstBlkPrc</stp>
        <tr r="K788" s="5"/>
      </tp>
      <tp t="s">
        <v/>
        <stp/>
        <stp>5162M19:BstHitPrc</stp>
        <tr r="G788" s="5"/>
      </tp>
      <tp t="s">
        <v>Invalid Market: CALCQ3</v>
        <stp/>
        <stp>CALCQ3:PCC</stp>
        <tr r="B297" s="5"/>
        <tr r="B1101" s="5"/>
        <tr r="B411" s="5"/>
        <tr r="B1215" s="5"/>
        <tr r="B1367" s="5"/>
        <tr r="B873" s="5"/>
      </tp>
      <tp t="s">
        <v>Invalid Market: CALCQ2</v>
        <stp/>
        <stp>CALCQ2:PCC</stp>
        <tr r="B1100" s="5"/>
        <tr r="B1214" s="5"/>
        <tr r="B1366" s="5"/>
        <tr r="B296" s="5"/>
        <tr r="B410" s="5"/>
        <tr r="B872" s="5"/>
      </tp>
      <tp t="s">
        <v>Invalid Market: CALCQ1</v>
        <stp/>
        <stp>CALCQ1:PCC</stp>
        <tr r="B409" s="5"/>
        <tr r="B295" s="5"/>
        <tr r="B1099" s="5"/>
        <tr r="B871" s="5"/>
        <tr r="B1213" s="5"/>
        <tr r="B1365" s="5"/>
      </tp>
      <tp t="s">
        <v>Invalid Market: CALCQ0</v>
        <stp/>
        <stp>CALCQ0:PCC</stp>
        <tr r="B294" s="5"/>
        <tr r="B1098" s="5"/>
        <tr r="B408" s="5"/>
        <tr r="B870" s="5"/>
        <tr r="B1364" s="5"/>
        <tr r="B1212" s="5"/>
      </tp>
      <tp t="s">
        <v>Invalid Market: CALCQ7</v>
        <stp/>
        <stp>CALCQ7:PCC</stp>
        <tr r="B301" s="5"/>
        <tr r="B1105" s="5"/>
        <tr r="B415" s="5"/>
        <tr r="B1219" s="5"/>
        <tr r="B1371" s="5"/>
        <tr r="B877" s="5"/>
      </tp>
      <tp t="s">
        <v>Invalid Market: CALCQ6</v>
        <stp/>
        <stp>CALCQ6:PCC</stp>
        <tr r="B300" s="5"/>
        <tr r="B1104" s="5"/>
        <tr r="B414" s="5"/>
        <tr r="B1218" s="5"/>
        <tr r="B1370" s="5"/>
        <tr r="B876" s="5"/>
      </tp>
      <tp t="s">
        <v>Invalid Market: CALCQ5</v>
        <stp/>
        <stp>CALCQ5:PCC</stp>
        <tr r="B1217" s="5"/>
        <tr r="B1369" s="5"/>
        <tr r="B299" s="5"/>
        <tr r="B1103" s="5"/>
        <tr r="B413" s="5"/>
        <tr r="B875" s="5"/>
      </tp>
      <tp t="s">
        <v>Invalid Market: CALCQ4</v>
        <stp/>
        <stp>CALCQ4:PCC</stp>
        <tr r="B412" s="5"/>
        <tr r="B1102" s="5"/>
        <tr r="B298" s="5"/>
        <tr r="B874" s="5"/>
        <tr r="B1216" s="5"/>
        <tr r="B1368" s="5"/>
      </tp>
      <tp t="s">
        <v>Invalid Market: CALCQ8</v>
        <stp/>
        <stp>CALCQ8:PCC</stp>
        <tr r="B302" s="5"/>
        <tr r="B1106" s="5"/>
        <tr r="B416" s="5"/>
        <tr r="B878" s="5"/>
        <tr r="B1220" s="5"/>
        <tr r="B1372" s="5"/>
      </tp>
      <tp t="s">
        <v>Invalid Market: CALCY2</v>
        <stp/>
        <stp>CALCY2:PCC</stp>
        <tr r="B881" s="5"/>
        <tr r="B305" s="5"/>
        <tr r="B1109" s="5"/>
        <tr r="B419" s="5"/>
        <tr r="B1375" s="5"/>
        <tr r="B1223" s="5"/>
      </tp>
      <tp t="s">
        <v>Invalid Market: CALCY1</v>
        <stp/>
        <stp>CALCY1:PCC</stp>
        <tr r="B304" s="5"/>
        <tr r="B1108" s="5"/>
        <tr r="B418" s="5"/>
        <tr r="B1222" s="5"/>
        <tr r="B1374" s="5"/>
        <tr r="B880" s="5"/>
      </tp>
      <tp t="s">
        <v>Invalid Market: CALCY0</v>
        <stp/>
        <stp>CALCY0:PCC</stp>
        <tr r="B1373" s="5"/>
        <tr r="B1221" s="5"/>
        <tr r="B1107" s="5"/>
        <tr r="B303" s="5"/>
        <tr r="B417" s="5"/>
        <tr r="B879" s="5"/>
      </tp>
      <tp t="s">
        <v>STS</v>
        <stp/>
        <stp>266419M17:PCC</stp>
        <tr r="B976" s="5"/>
      </tp>
      <tp t="s">
        <v>STS</v>
        <stp/>
        <stp>266419M16:PCC</stp>
        <tr r="B975" s="5"/>
      </tp>
      <tp t="s">
        <v>STS</v>
        <stp/>
        <stp>266419M15:PCC</stp>
        <tr r="B974" s="5"/>
      </tp>
      <tp t="s">
        <v>STS</v>
        <stp/>
        <stp>266419M14:PCC</stp>
        <tr r="B973" s="5"/>
      </tp>
      <tp t="s">
        <v>STS</v>
        <stp/>
        <stp>266419M13:PCC</stp>
        <tr r="B972" s="5"/>
      </tp>
      <tp t="s">
        <v>STS</v>
        <stp/>
        <stp>266419M12:PCC</stp>
        <tr r="B971" s="5"/>
      </tp>
      <tp t="s">
        <v>STS</v>
        <stp/>
        <stp>266419M11:PCC</stp>
        <tr r="B970" s="5"/>
      </tp>
      <tp t="s">
        <v>STS</v>
        <stp/>
        <stp>266419M10:PCC</stp>
        <tr r="B969" s="5"/>
      </tp>
      <tp t="s">
        <v>STS</v>
        <stp/>
        <stp>266419M19:PCC</stp>
        <tr r="B978" s="5"/>
      </tp>
      <tp t="s">
        <v>STS</v>
        <stp/>
        <stp>266419M18:PCC</stp>
        <tr r="B977" s="5"/>
      </tp>
      <tp t="s">
        <v>STS</v>
        <stp/>
        <stp>266419M24:PCC</stp>
        <tr r="B983" s="5"/>
      </tp>
      <tp t="s">
        <v>STS</v>
        <stp/>
        <stp>266419M23:PCC</stp>
        <tr r="B982" s="5"/>
      </tp>
      <tp t="s">
        <v>STS</v>
        <stp/>
        <stp>266419M22:PCC</stp>
        <tr r="B981" s="5"/>
      </tp>
      <tp t="s">
        <v>STS</v>
        <stp/>
        <stp>266419M21:PCC</stp>
        <tr r="B980" s="5"/>
      </tp>
      <tp t="s">
        <v>STS</v>
        <stp/>
        <stp>266419M20:PCC</stp>
        <tr r="B979" s="5"/>
      </tp>
      <tp t="s">
        <v>Invalid Market: CALCB0</v>
        <stp/>
        <stp>CALCB0:PCC</stp>
        <tr r="B1072" s="5"/>
        <tr r="B268" s="5"/>
        <tr r="B382" s="5"/>
        <tr r="B1186" s="5"/>
        <tr r="B1338" s="5"/>
        <tr r="B844" s="5"/>
      </tp>
      <tp t="s">
        <v>Invalid Market: CALCM3</v>
        <stp/>
        <stp>CALCM3:PCC</stp>
        <tr r="B1076" s="5"/>
        <tr r="B272" s="5"/>
        <tr r="B386" s="5"/>
        <tr r="B1190" s="5"/>
        <tr r="B1342" s="5"/>
        <tr r="B848" s="5"/>
      </tp>
      <tp t="s">
        <v>Invalid Market: CALCM2</v>
        <stp/>
        <stp>CALCM2:PCC</stp>
        <tr r="B1341" s="5"/>
        <tr r="B1189" s="5"/>
        <tr r="B271" s="5"/>
        <tr r="B1075" s="5"/>
        <tr r="B385" s="5"/>
        <tr r="B847" s="5"/>
      </tp>
      <tp t="s">
        <v>Invalid Market: CALCM1</v>
        <stp/>
        <stp>CALCM1:PCC</stp>
        <tr r="B270" s="5"/>
        <tr r="B1074" s="5"/>
        <tr r="B384" s="5"/>
        <tr r="B846" s="5"/>
        <tr r="B1188" s="5"/>
        <tr r="B1340" s="5"/>
      </tp>
      <tp t="s">
        <v>Invalid Market: CALCM0</v>
        <stp/>
        <stp>CALCM0:PCC</stp>
        <tr r="B269" s="5"/>
        <tr r="B1073" s="5"/>
        <tr r="B383" s="5"/>
        <tr r="B845" s="5"/>
        <tr r="B1187" s="5"/>
        <tr r="B1339" s="5"/>
      </tp>
      <tp t="s">
        <v>Invalid Market: CALCM7</v>
        <stp/>
        <stp>CALCM7:PCC</stp>
        <tr r="B852" s="5"/>
        <tr r="B276" s="5"/>
        <tr r="B1080" s="5"/>
        <tr r="B390" s="5"/>
        <tr r="B1194" s="5"/>
        <tr r="B1346" s="5"/>
      </tp>
      <tp t="s">
        <v>Invalid Market: CALCM6</v>
        <stp/>
        <stp>CALCM6:PCC</stp>
        <tr r="B389" s="5"/>
        <tr r="B851" s="5"/>
        <tr r="B1193" s="5"/>
        <tr r="B1345" s="5"/>
        <tr r="B275" s="5"/>
        <tr r="B1079" s="5"/>
      </tp>
      <tp t="s">
        <v>Invalid Market: CALCM5</v>
        <stp/>
        <stp>CALCM5:PCC</stp>
        <tr r="B1192" s="5"/>
        <tr r="B1344" s="5"/>
        <tr r="B850" s="5"/>
        <tr r="B274" s="5"/>
        <tr r="B1078" s="5"/>
        <tr r="B388" s="5"/>
      </tp>
      <tp t="s">
        <v>Invalid Market: CALCM4</v>
        <stp/>
        <stp>CALCM4:PCC</stp>
        <tr r="B273" s="5"/>
        <tr r="B1077" s="5"/>
        <tr r="B387" s="5"/>
        <tr r="B1191" s="5"/>
        <tr r="B1343" s="5"/>
        <tr r="B849" s="5"/>
      </tp>
      <tp t="s">
        <v>Invalid Market: CALCM9</v>
        <stp/>
        <stp>CALCM9:PCC</stp>
        <tr r="B1196" s="5"/>
        <tr r="B1348" s="5"/>
        <tr r="B854" s="5"/>
        <tr r="B278" s="5"/>
        <tr r="B392" s="5"/>
        <tr r="B1082" s="5"/>
      </tp>
      <tp t="s">
        <v>Invalid Market: CALCM8</v>
        <stp/>
        <stp>CALCM8:PCC</stp>
        <tr r="B853" s="5"/>
        <tr r="B277" s="5"/>
        <tr r="B391" s="5"/>
        <tr r="B1081" s="5"/>
        <tr r="B1195" s="5"/>
        <tr r="B1347" s="5"/>
      </tp>
      <tp t="s">
        <v/>
        <stp/>
        <stp>34404098M5:BstLiftPrc</stp>
        <tr r="H599" s="5"/>
      </tp>
      <tp t="s">
        <v/>
        <stp/>
        <stp>34414099M5:BstLiftPrc</stp>
        <tr r="H84" s="5"/>
      </tp>
      <tp t="s">
        <v/>
        <stp/>
        <stp>34404098M4:BstLiftPrc</stp>
        <tr r="H598" s="5"/>
      </tp>
      <tp t="s">
        <v/>
        <stp/>
        <stp>34414099M4:BstLiftPrc</stp>
        <tr r="H83" s="5"/>
      </tp>
      <tp t="s">
        <v/>
        <stp/>
        <stp>34404098M7:BstLiftPrc</stp>
        <tr r="H601" s="5"/>
      </tp>
      <tp t="s">
        <v/>
        <stp/>
        <stp>34414099M7:BstLiftPrc</stp>
        <tr r="H86" s="5"/>
      </tp>
      <tp t="s">
        <v/>
        <stp/>
        <stp>34404098M6:BstLiftPrc</stp>
        <tr r="H600" s="5"/>
      </tp>
      <tp t="s">
        <v/>
        <stp/>
        <stp>34414099M6:BstLiftPrc</stp>
        <tr r="H85" s="5"/>
      </tp>
      <tp t="s">
        <v/>
        <stp/>
        <stp>34404098M1:BstLiftPrc</stp>
        <tr r="H595" s="5"/>
      </tp>
      <tp>
        <v>88</v>
        <stp/>
        <stp>34414099M1:BstLiftPrc</stp>
        <tr r="H80" s="5"/>
      </tp>
      <tp t="s">
        <v/>
        <stp/>
        <stp>34404098M0:BstLiftPrc</stp>
        <tr r="H594" s="5"/>
      </tp>
      <tp>
        <v>69.5</v>
        <stp/>
        <stp>34414099M0:BstLiftPrc</stp>
        <tr r="H79" s="5"/>
      </tp>
      <tp t="s">
        <v/>
        <stp/>
        <stp>34404098M3:BstLiftPrc</stp>
        <tr r="H597" s="5"/>
      </tp>
      <tp t="s">
        <v/>
        <stp/>
        <stp>34414099M3:BstLiftPrc</stp>
        <tr r="H82" s="5"/>
      </tp>
      <tp t="s">
        <v/>
        <stp/>
        <stp>34404098M2:BstLiftPrc</stp>
        <tr r="H596" s="5"/>
      </tp>
      <tp t="s">
        <v/>
        <stp/>
        <stp>34414099M2:BstLiftPrc</stp>
        <tr r="H81" s="5"/>
      </tp>
      <tp t="s">
        <v/>
        <stp/>
        <stp>34404098M9:BstLiftPrc</stp>
        <tr r="H603" s="5"/>
      </tp>
      <tp t="s">
        <v/>
        <stp/>
        <stp>34414099M9:BstLiftPrc</stp>
        <tr r="H88" s="5"/>
      </tp>
      <tp t="s">
        <v/>
        <stp/>
        <stp>34404098M8:BstLiftPrc</stp>
        <tr r="H602" s="5"/>
      </tp>
      <tp t="s">
        <v/>
        <stp/>
        <stp>34414099M8:BstLiftPrc</stp>
        <tr r="H87" s="5"/>
      </tp>
      <tp t="s">
        <v/>
        <stp/>
        <stp>34404098Q5:BstLiftPrc</stp>
        <tr r="H624" s="5"/>
      </tp>
      <tp t="s">
        <v/>
        <stp/>
        <stp>34414099Q5:BstLiftPrc</stp>
        <tr r="H109" s="5"/>
      </tp>
      <tp t="s">
        <v/>
        <stp/>
        <stp>34404098Q4:BstLiftPrc</stp>
        <tr r="H623" s="5"/>
      </tp>
      <tp>
        <v>130</v>
        <stp/>
        <stp>34414099Q4:BstLiftPrc</stp>
        <tr r="H108" s="5"/>
      </tp>
      <tp t="s">
        <v/>
        <stp/>
        <stp>34404098Q7:BstLiftPrc</stp>
        <tr r="H626" s="5"/>
      </tp>
      <tp t="s">
        <v/>
        <stp/>
        <stp>34414099Q7:BstLiftPrc</stp>
        <tr r="H111" s="5"/>
      </tp>
      <tp t="s">
        <v/>
        <stp/>
        <stp>34404098Q6:BstLiftPrc</stp>
        <tr r="H625" s="5"/>
      </tp>
      <tp t="s">
        <v/>
        <stp/>
        <stp>34414099Q6:BstLiftPrc</stp>
        <tr r="H110" s="5"/>
      </tp>
      <tp t="s">
        <v/>
        <stp/>
        <stp>34404098Q1:BstLiftPrc</stp>
        <tr r="H620" s="5"/>
      </tp>
      <tp t="s">
        <v/>
        <stp/>
        <stp>34414099Q1:BstLiftPrc</stp>
        <tr r="H105" s="5"/>
      </tp>
      <tp t="s">
        <v/>
        <stp/>
        <stp>34404098Q0:BstLiftPrc</stp>
        <tr r="H619" s="5"/>
      </tp>
      <tp t="s">
        <v/>
        <stp/>
        <stp>34414099Q0:BstLiftPrc</stp>
        <tr r="H104" s="5"/>
      </tp>
      <tp t="s">
        <v/>
        <stp/>
        <stp>34404098Q3:BstLiftPrc</stp>
        <tr r="H622" s="5"/>
      </tp>
      <tp>
        <v>130</v>
        <stp/>
        <stp>34414099Q3:BstLiftPrc</stp>
        <tr r="H107" s="5"/>
      </tp>
      <tp t="s">
        <v/>
        <stp/>
        <stp>34404098Q2:BstLiftPrc</stp>
        <tr r="H621" s="5"/>
      </tp>
      <tp t="s">
        <v/>
        <stp/>
        <stp>34414099Q2:BstLiftPrc</stp>
        <tr r="H106" s="5"/>
      </tp>
      <tp t="s">
        <v/>
        <stp/>
        <stp>34404098Q8:BstLiftPrc</stp>
        <tr r="H627" s="5"/>
      </tp>
      <tp t="s">
        <v/>
        <stp/>
        <stp>34414099Q8:BstLiftPrc</stp>
        <tr r="H112" s="5"/>
      </tp>
      <tp t="s">
        <v/>
        <stp/>
        <stp>34404098Y1:BstLiftPrc</stp>
        <tr r="H629" s="5"/>
      </tp>
      <tp t="s">
        <v/>
        <stp/>
        <stp>34414099Y1:BstLiftPrc</stp>
        <tr r="H114" s="5"/>
      </tp>
      <tp t="s">
        <v/>
        <stp/>
        <stp>34404098Y0:BstLiftPrc</stp>
        <tr r="H628" s="5"/>
      </tp>
      <tp t="s">
        <v/>
        <stp/>
        <stp>34414099Y0:BstLiftPrc</stp>
        <tr r="H113" s="5"/>
      </tp>
      <tp t="s">
        <v>Invalid Market: 34404098Y2</v>
        <stp/>
        <stp>34404098Y2:BstLiftPrc</stp>
        <tr r="H630" s="5"/>
      </tp>
      <tp t="s">
        <v/>
        <stp/>
        <stp>34414099Y2:BstLiftPrc</stp>
        <tr r="H115" s="5"/>
      </tp>
      <tp t="s">
        <v/>
        <stp/>
        <stp>2323825599B0:BstLiftPrc</stp>
        <tr r="H306" s="5"/>
      </tp>
      <tp t="s">
        <v/>
        <stp/>
        <stp>2505226937B0:BstLiftPrc</stp>
        <tr r="H768" s="5"/>
      </tp>
      <tp t="s">
        <v/>
        <stp/>
        <stp>2326325624B0:BstLiftPrc</stp>
        <tr r="H806" s="5"/>
      </tp>
      <tp t="s">
        <v/>
        <stp/>
        <stp>2185324625B0:BstLiftPrc</stp>
        <tr r="H78" s="5"/>
      </tp>
    </main>
    <main first="esrtd">
      <tp t="s">
        <v/>
        <stp/>
        <stp>WNS 20!-IEU</stp>
        <stp>Block Volume</stp>
        <tr r="O1867" s="5"/>
      </tp>
      <tp t="s">
        <v/>
        <stp/>
        <stp>WNS 30!-IEU</stp>
        <stp>Block Volume</stp>
        <tr r="O1877" s="5"/>
      </tp>
      <tp t="s">
        <v/>
        <stp/>
        <stp>WNS 10!-IEU</stp>
        <stp>Block Volume</stp>
        <tr r="O1857" s="5"/>
      </tp>
    </main>
    <main first="ice.rtd">
      <tp t="s">
        <v/>
        <stp/>
        <stp>141587M19:BstHitPrc</stp>
        <tr r="G60" s="5"/>
      </tp>
    </main>
    <main first="esrtd">
      <tp t="s">
        <v/>
        <stp/>
        <stp>PRL Q28-IEU</stp>
        <stp>ICE Theoretical Price</stp>
        <tr r="W1400" s="5"/>
      </tp>
      <tp t="s">
        <v/>
        <stp/>
        <stp>ULC U27-IEU</stp>
        <stp>ICE Theoretical Price</stp>
        <tr r="W1275" s="5"/>
      </tp>
      <tp t="s">
        <v/>
        <stp/>
        <stp>ULC V27-IEU</stp>
        <stp>ICE Theoretical Price</stp>
        <tr r="W1276" s="5"/>
      </tp>
      <tp t="s">
        <v/>
        <stp/>
        <stp>PRL U28-IEU</stp>
        <stp>ICE Theoretical Price</stp>
        <tr r="W1401" s="5"/>
      </tp>
      <tp t="s">
        <v/>
        <stp/>
        <stp>ULC Q27-IEU</stp>
        <stp>ICE Theoretical Price</stp>
        <tr r="W1274" s="5"/>
      </tp>
      <tp t="s">
        <v/>
        <stp/>
        <stp>AIL F28-IEU</stp>
        <stp>ICE Theoretical Price</stp>
        <tr r="W1598" s="5"/>
      </tp>
      <tp t="s">
        <v/>
        <stp/>
        <stp>ULC X27-IEU</stp>
        <stp>ICE Theoretical Price</stp>
        <tr r="W1277" s="5"/>
      </tp>
      <tp t="s">
        <v/>
        <stp/>
        <stp>ULC Z27-IEU</stp>
        <stp>ICE Theoretical Price</stp>
        <tr r="W1278" s="5"/>
      </tp>
    </main>
    <main first="ice.rtd">
      <tp t="s">
        <v/>
        <stp/>
        <stp>266419M13:LstBlkPrc</stp>
        <tr r="K972" s="5"/>
      </tp>
      <tp t="s">
        <v/>
        <stp/>
        <stp>266419M23:LstBlkPrc</stp>
        <tr r="K982" s="5"/>
      </tp>
    </main>
    <main first="esrtd">
      <tp t="s">
        <v/>
        <stp/>
        <stp>EOB U26-IEU</stp>
        <stp>ICE Theoretical Price</stp>
        <tr r="W307" s="5"/>
      </tp>
      <tp t="s">
        <v/>
        <stp/>
        <stp>EOB V26-IEU</stp>
        <stp>ICE Theoretical Price</stp>
        <tr r="W308" s="5"/>
      </tp>
      <tp t="s">
        <v/>
        <stp/>
        <stp>ULC F27-IEU</stp>
        <stp>ICE Theoretical Price</stp>
        <tr r="W1267" s="5"/>
      </tp>
      <tp t="s">
        <v/>
        <stp/>
        <stp>ULC G27-IEU</stp>
        <stp>ICE Theoretical Price</stp>
        <tr r="W1268" s="5"/>
      </tp>
      <tp t="s">
        <v/>
        <stp/>
        <stp>BOB V26-IEU</stp>
        <stp>ICE Theoretical Price</stp>
        <tr r="W770" s="5"/>
      </tp>
      <tp t="s">
        <v/>
        <stp/>
        <stp>NOB Z26-IEU</stp>
        <stp>ICE Theoretical Price</stp>
        <tr r="W196" s="5"/>
      </tp>
      <tp t="s">
        <v/>
        <stp/>
        <stp>NBB Z26-IEU</stp>
        <stp>ICE Theoretical Price</stp>
        <tr r="W234" s="5"/>
      </tp>
      <tp t="s">
        <v/>
        <stp/>
        <stp>AEB U26-IEU</stp>
        <stp>ICE Theoretical Price</stp>
        <tr r="W345" s="5"/>
      </tp>
      <tp t="s">
        <v/>
        <stp/>
        <stp>BOB U26-IEU</stp>
        <stp>ICE Theoretical Price</stp>
        <tr r="W769" s="5"/>
      </tp>
      <tp t="s">
        <v/>
        <stp/>
        <stp>AEB V26-IEU</stp>
        <stp>ICE Theoretical Price</stp>
        <tr r="W346" s="5"/>
      </tp>
      <tp t="s">
        <v/>
        <stp/>
        <stp>PRL G28-IEU</stp>
        <stp>ICE Theoretical Price</stp>
        <tr r="W1394" s="5"/>
      </tp>
      <tp t="s">
        <v/>
        <stp/>
        <stp>NOB X26-IEU</stp>
        <stp>ICE Theoretical Price</stp>
        <tr r="W195" s="5"/>
      </tp>
      <tp t="s">
        <v/>
        <stp/>
        <stp>NBB X26-IEU</stp>
        <stp>ICE Theoretical Price</stp>
        <tr r="W233" s="5"/>
      </tp>
      <tp t="s">
        <v/>
        <stp/>
        <stp>PRL F28-IEU</stp>
        <stp>ICE Theoretical Price</stp>
        <tr r="W1393" s="5"/>
      </tp>
      <tp t="s">
        <v/>
        <stp/>
        <stp>AEB X26-IEU</stp>
        <stp>ICE Theoretical Price</stp>
        <tr r="W347" s="5"/>
      </tp>
      <tp t="s">
        <v/>
        <stp/>
        <stp>BOB Z26-IEU</stp>
        <stp>ICE Theoretical Price</stp>
        <tr r="W772" s="5"/>
      </tp>
      <tp t="s">
        <v/>
        <stp/>
        <stp>NOB V26-IEU</stp>
        <stp>ICE Theoretical Price</stp>
        <tr r="W194" s="5"/>
      </tp>
      <tp t="s">
        <v/>
        <stp/>
        <stp>ULC M27-IEU</stp>
        <stp>ICE Theoretical Price</stp>
        <tr r="W1272" s="5"/>
      </tp>
      <tp t="s">
        <v/>
        <stp/>
        <stp>NBB V26-IEU</stp>
        <stp>ICE Theoretical Price</stp>
        <tr r="W232" s="5"/>
      </tp>
      <tp t="s">
        <v/>
        <stp/>
        <stp>PRL H28-IEU</stp>
        <stp>ICE Theoretical Price</stp>
        <tr r="W1395" s="5"/>
      </tp>
      <tp t="s">
        <v/>
        <stp/>
        <stp>NOB U26-IEU</stp>
        <stp>ICE Theoretical Price</stp>
        <tr r="W193" s="5"/>
      </tp>
      <tp t="s">
        <v/>
        <stp/>
        <stp>ULC N27-IEU</stp>
        <stp>ICE Theoretical Price</stp>
        <tr r="W1273" s="5"/>
      </tp>
      <tp t="s">
        <v/>
        <stp/>
        <stp>NBB U26-IEU</stp>
        <stp>ICE Theoretical Price</stp>
        <tr r="W231" s="5"/>
      </tp>
      <tp t="s">
        <v/>
        <stp/>
        <stp>AEB Z26-IEU</stp>
        <stp>ICE Theoretical Price</stp>
        <tr r="W348" s="5"/>
      </tp>
      <tp t="s">
        <v/>
        <stp/>
        <stp>PRL K28-IEU</stp>
        <stp>ICE Theoretical Price</stp>
        <tr r="W1397" s="5"/>
      </tp>
      <tp t="s">
        <v/>
        <stp/>
        <stp>BOB X26-IEU</stp>
        <stp>ICE Theoretical Price</stp>
        <tr r="W771" s="5"/>
      </tp>
      <tp t="s">
        <v/>
        <stp/>
        <stp>PRL J28-IEU</stp>
        <stp>ICE Theoretical Price</stp>
        <tr r="W1396" s="5"/>
      </tp>
      <tp t="s">
        <v/>
        <stp/>
        <stp>EOB X26-IEU</stp>
        <stp>ICE Theoretical Price</stp>
        <tr r="W309" s="5"/>
      </tp>
      <tp t="s">
        <v/>
        <stp/>
        <stp>ULC H27-IEU</stp>
        <stp>ICE Theoretical Price</stp>
        <tr r="W1269" s="5"/>
      </tp>
      <tp t="s">
        <v/>
        <stp/>
        <stp>PRL M28-IEU</stp>
        <stp>ICE Theoretical Price</stp>
        <tr r="W1398" s="5"/>
      </tp>
      <tp t="s">
        <v/>
        <stp/>
        <stp>EOB Z26-IEU</stp>
        <stp>ICE Theoretical Price</stp>
        <tr r="W310" s="5"/>
      </tp>
      <tp t="s">
        <v/>
        <stp/>
        <stp>ULC J27-IEU</stp>
        <stp>ICE Theoretical Price</stp>
        <tr r="W1270" s="5"/>
      </tp>
      <tp t="s">
        <v/>
        <stp/>
        <stp>ULC K27-IEU</stp>
        <stp>ICE Theoretical Price</stp>
        <tr r="W1271" s="5"/>
      </tp>
      <tp t="s">
        <v/>
        <stp/>
        <stp>PRL N28-IEU</stp>
        <stp>ICE Theoretical Price</stp>
        <tr r="W1399" s="5"/>
      </tp>
    </main>
    <main first="ice.rtd">
      <tp>
        <v>0</v>
        <stp/>
        <stp>366531QQ0:BstHitPrc</stp>
        <tr r="G1743" s="5"/>
      </tp>
      <tp t="s">
        <v/>
        <stp/>
        <stp>366531YY0:BstHitPrc</stp>
        <tr r="G1745" s="5"/>
      </tp>
      <tp>
        <v>15.5</v>
        <stp/>
        <stp>366531MM0:BstHitPrc</stp>
        <tr r="G1715" s="5"/>
      </tp>
      <tp t="s">
        <v/>
        <stp/>
        <stp>141587M19:LstBlkPrc</stp>
        <tr r="K60" s="5"/>
      </tp>
      <tp t="s">
        <v/>
        <stp/>
        <stp>366531YY0:LstBlkPrc</stp>
        <tr r="K1745" s="5"/>
      </tp>
      <tp t="s">
        <v/>
        <stp/>
        <stp>366531QQ0:LstBlkPrc</stp>
        <tr r="K1743" s="5"/>
      </tp>
      <tp>
        <v>28.5</v>
        <stp/>
        <stp>366531MM0:LstBlkPrc</stp>
        <tr r="K1715" s="5"/>
      </tp>
      <tp t="s">
        <v/>
        <stp/>
        <stp>266419M23:BstHitPrc</stp>
        <tr r="G982" s="5"/>
      </tp>
      <tp t="s">
        <v/>
        <stp/>
        <stp>266419M13:BstHitPrc</stp>
        <tr r="G972" s="5"/>
      </tp>
      <tp t="s">
        <v/>
        <stp/>
        <stp>366531MM6:LstBlkVol</stp>
        <tr r="L1721" s="5"/>
      </tp>
      <tp>
        <v>0</v>
        <stp/>
        <stp>161913535QQ1:Vol</stp>
        <tr r="N2056" s="5"/>
      </tp>
      <tp>
        <v>0</v>
        <stp/>
        <stp>161913535QQ0:Vol</stp>
        <tr r="N2055" s="5"/>
      </tp>
    </main>
    <main first="esrtd">
      <tp t="s">
        <v/>
        <stp/>
        <stp>WHK 26!-IEU</stp>
        <stp>Block Volume</stp>
        <tr r="O1943" s="5"/>
      </tp>
      <tp t="s">
        <v/>
        <stp/>
        <stp>WHK 16!-IEU</stp>
        <stp>Block Volume</stp>
        <tr r="O1933" s="5"/>
      </tp>
      <tp t="s">
        <v/>
        <stp/>
        <stp>WMJ 23!-IEU</stp>
        <stp>Block Volume</stp>
        <tr r="O1905" s="5"/>
      </tp>
      <tp t="s">
        <v/>
        <stp/>
        <stp>WMJ 13!-IEU</stp>
        <stp>Block Volume</stp>
        <tr r="O1895" s="5"/>
      </tp>
    </main>
    <main first="bofaddin.rtdserver">
      <tp>
        <v>6.5</v>
        <stp/>
        <stp>BDP|16426248117567162447|222</stp>
        <stp>QSN9QSQ9 Comdty</stp>
        <stp>ASK</stp>
        <stp>Fill=#N/A</stp>
        <tr r="P54" s="1"/>
      </tp>
    </main>
    <main first="esrtd">
      <tp t="s">
        <v/>
        <stp/>
        <stp>WMJ Q3!-IEU</stp>
        <stp>Block Volume</stp>
        <tr r="O1915" s="5"/>
      </tp>
    </main>
    <main first="ice.rtd">
      <tp t="s">
        <v/>
        <stp/>
        <stp>266419M15:LstBlkVol</stp>
        <tr r="L974" s="5"/>
      </tp>
    </main>
    <main first="bofaddin.rtdserver">
      <tp>
        <v>142.55779999999999</v>
        <stp/>
        <stp>BDP|14104388732393629495|22</stp>
        <stp>BCOM Index</stp>
        <stp>PRICE_LAST_RT</stp>
        <tr r="G7" s="18"/>
      </tp>
    </main>
    <main first="ice.rtd">
      <tp t="s">
        <v/>
        <stp/>
        <stp>1517M19:LstBlkVol</stp>
        <tr r="L22" s="5"/>
      </tp>
      <tp>
        <v>0</v>
        <stp/>
        <stp>1840020882M16:OI</stp>
        <tr r="T1598" s="5"/>
      </tp>
      <tp>
        <v>0</v>
        <stp/>
        <stp>1840020882M14:OI</stp>
        <tr r="T1596" s="5"/>
      </tp>
      <tp>
        <v>0</v>
        <stp/>
        <stp>1840020882M15:OI</stp>
        <tr r="T1597" s="5"/>
      </tp>
      <tp>
        <v>0</v>
        <stp/>
        <stp>1840020882M12:OI</stp>
        <tr r="T1594" s="5"/>
      </tp>
      <tp>
        <v>0</v>
        <stp/>
        <stp>1840020882M13:OI</stp>
        <tr r="T1595" s="5"/>
      </tp>
      <tp>
        <v>0</v>
        <stp/>
        <stp>1840020882M10:OI</stp>
        <tr r="T1592" s="5"/>
      </tp>
      <tp>
        <v>0</v>
        <stp/>
        <stp>1840020882M11:OI</stp>
        <tr r="T1593" s="5"/>
      </tp>
      <tp t="s">
        <v/>
        <stp/>
        <stp>5162M18:LstBlkPrc</stp>
        <tr r="K787" s="5"/>
      </tp>
      <tp t="s">
        <v/>
        <stp/>
        <stp>5162M18:BstHitPrc</stp>
        <tr r="G787" s="5"/>
      </tp>
    </main>
    <main first="esrtd">
      <tp t="s">
        <v/>
        <stp/>
        <stp>BRN 26UP7000-ICE</stp>
        <stp>OldSetIV</stp>
        <tr r="AH73" s="23"/>
      </tp>
      <tp t="s">
        <v/>
        <stp/>
        <stp>BRN 26UP8400-ICE</stp>
        <stp>OldSetIV</stp>
        <tr r="AH77" s="23"/>
      </tp>
      <tp t="s">
        <v/>
        <stp/>
        <stp>BRN 26UP8500-ICE</stp>
        <stp>OldSetIV</stp>
        <tr r="AH78" s="23"/>
        <tr r="AH79" s="23"/>
      </tp>
      <tp t="s">
        <v/>
        <stp/>
        <stp>BRN 26UP8200-ICE</stp>
        <stp>OldSetIV</stp>
        <tr r="AH75" s="23"/>
      </tp>
      <tp t="s">
        <v/>
        <stp/>
        <stp>BRN 26UP8300-ICE</stp>
        <stp>OldSetIV</stp>
        <tr r="AH76" s="23"/>
      </tp>
      <tp t="s">
        <v/>
        <stp/>
        <stp>BRN 26UP8100-ICE</stp>
        <stp>OldSetIV</stp>
        <tr r="AH74" s="23"/>
      </tp>
    </main>
    <main first="ice.rtd">
      <tp t="s">
        <v/>
        <stp/>
        <stp>17551596T3:BstLiftPrc</stp>
        <tr r="H1540" s="5"/>
      </tp>
      <tp t="s">
        <v/>
        <stp/>
        <stp>17551596T2:BstLiftPrc</stp>
        <tr r="H1539" s="5"/>
      </tp>
      <tp t="s">
        <v/>
        <stp/>
        <stp>17551596T1:BstLiftPrc</stp>
        <tr r="H1538" s="5"/>
      </tp>
      <tp t="s">
        <v/>
        <stp/>
        <stp>17551596T0:BstLiftPrc</stp>
        <tr r="H1537" s="5"/>
      </tp>
      <tp t="s">
        <v/>
        <stp/>
        <stp>17551596T7:BstLiftPrc</stp>
        <tr r="H1544" s="5"/>
      </tp>
      <tp t="s">
        <v/>
        <stp/>
        <stp>17551596T6:BstLiftPrc</stp>
        <tr r="H1543" s="5"/>
      </tp>
      <tp t="s">
        <v/>
        <stp/>
        <stp>17551596T5:BstLiftPrc</stp>
        <tr r="H1542" s="5"/>
      </tp>
      <tp t="s">
        <v/>
        <stp/>
        <stp>17551596T4:BstLiftPrc</stp>
        <tr r="H1541" s="5"/>
      </tp>
      <tp t="s">
        <v/>
        <stp/>
        <stp>17551596T8:BstLiftPrc</stp>
        <tr r="H1546" s="5"/>
        <tr r="H1545" s="5"/>
      </tp>
    </main>
    <main first="esrtd">
      <tp t="s">
        <v/>
        <stp/>
        <stp>BRN 26UC7000-ICE</stp>
        <stp>OldSetIV</stp>
        <tr r="AO73" s="23"/>
      </tp>
      <tp t="s">
        <v/>
        <stp/>
        <stp>BRN 26UC8400-ICE</stp>
        <stp>OldSetIV</stp>
        <tr r="AO77" s="23"/>
      </tp>
      <tp t="s">
        <v/>
        <stp/>
        <stp>BRN 26UC8500-ICE</stp>
        <stp>OldSetIV</stp>
        <tr r="AO78" s="23"/>
        <tr r="AO79" s="23"/>
      </tp>
      <tp t="s">
        <v/>
        <stp/>
        <stp>BRN 26UC8200-ICE</stp>
        <stp>OldSetIV</stp>
        <tr r="AO75" s="23"/>
      </tp>
      <tp t="s">
        <v/>
        <stp/>
        <stp>BRN 26UC8300-ICE</stp>
        <stp>OldSetIV</stp>
        <tr r="AO76" s="23"/>
      </tp>
      <tp t="s">
        <v/>
        <stp/>
        <stp>BRN 26UC8100-ICE</stp>
        <stp>OldSetIV</stp>
        <tr r="AO74" s="23"/>
      </tp>
    </main>
    <main first="ice.rtd">
      <tp t="s">
        <v/>
        <stp/>
        <stp>2755728678Q8:BstLiftPrc</stp>
        <tr r="H1144" s="5"/>
      </tp>
      <tp t="s">
        <v/>
        <stp/>
        <stp>2755728678Q7:BstLiftPrc</stp>
        <tr r="H1143" s="5"/>
      </tp>
      <tp t="s">
        <v/>
        <stp/>
        <stp>2755728678Q6:BstLiftPrc</stp>
        <tr r="H1142" s="5"/>
      </tp>
      <tp t="s">
        <v/>
        <stp/>
        <stp>2755728678Q5:BstLiftPrc</stp>
        <tr r="H1141" s="5"/>
      </tp>
      <tp t="s">
        <v/>
        <stp/>
        <stp>2755728678Q4:BstLiftPrc</stp>
        <tr r="H1140" s="5"/>
      </tp>
      <tp t="s">
        <v/>
        <stp/>
        <stp>2755728678Q3:BstLiftPrc</stp>
        <tr r="H1139" s="5"/>
      </tp>
      <tp t="s">
        <v/>
        <stp/>
        <stp>2755728678Q2:BstLiftPrc</stp>
        <tr r="H1138" s="5"/>
      </tp>
      <tp t="s">
        <v/>
        <stp/>
        <stp>2755728678Q1:BstLiftPrc</stp>
        <tr r="H1137" s="5"/>
      </tp>
      <tp t="s">
        <v/>
        <stp/>
        <stp>2755728678Q0:BstLiftPrc</stp>
        <tr r="H1136" s="5"/>
      </tp>
      <tp t="s">
        <v/>
        <stp/>
        <stp>2755728678Y2:BstLiftPrc</stp>
        <tr r="H1147" s="5"/>
      </tp>
      <tp t="s">
        <v/>
        <stp/>
        <stp>2755728678Y1:BstLiftPrc</stp>
        <tr r="H1146" s="5"/>
      </tp>
      <tp>
        <v>14.75</v>
        <stp/>
        <stp>2755728678Y0:BstLiftPrc</stp>
        <tr r="H1145" s="5"/>
      </tp>
      <tp t="s">
        <v/>
        <stp/>
        <stp>2755728678M9:BstLiftPrc</stp>
        <tr r="H1120" s="5"/>
      </tp>
      <tp t="s">
        <v/>
        <stp/>
        <stp>2755728678M8:BstLiftPrc</stp>
        <tr r="H1119" s="5"/>
      </tp>
      <tp t="s">
        <v/>
        <stp/>
        <stp>2755728678M7:BstLiftPrc</stp>
        <tr r="H1118" s="5"/>
      </tp>
      <tp t="s">
        <v/>
        <stp/>
        <stp>2755728678M6:BstLiftPrc</stp>
        <tr r="H1117" s="5"/>
      </tp>
      <tp t="s">
        <v/>
        <stp/>
        <stp>2755728678M5:BstLiftPrc</stp>
        <tr r="H1116" s="5"/>
      </tp>
      <tp t="s">
        <v/>
        <stp/>
        <stp>2755728678M4:BstLiftPrc</stp>
        <tr r="H1115" s="5"/>
      </tp>
      <tp t="s">
        <v/>
        <stp/>
        <stp>2755728678M3:BstLiftPrc</stp>
        <tr r="H1114" s="5"/>
      </tp>
      <tp t="s">
        <v/>
        <stp/>
        <stp>2755728678M2:BstLiftPrc</stp>
        <tr r="H1113" s="5"/>
      </tp>
      <tp t="s">
        <v/>
        <stp/>
        <stp>2755728678M1:BstLiftPrc</stp>
        <tr r="H1112" s="5"/>
      </tp>
      <tp t="s">
        <v/>
        <stp/>
        <stp>2755728678M0:BstLiftPrc</stp>
        <tr r="H1111" s="5"/>
      </tp>
      <tp t="s">
        <v/>
        <stp/>
        <stp>2183024603B0:BstLiftPrc</stp>
        <tr r="H1625" s="5"/>
      </tp>
      <tp t="s">
        <v/>
        <stp/>
        <stp>2181924592B0:BstLiftPrc</stp>
        <tr r="H1490" s="5"/>
      </tp>
      <tp t="s">
        <v/>
        <stp/>
        <stp>2326225623B0:BstLiftPrc</stp>
        <tr r="H1300" s="5"/>
      </tp>
      <tp t="s">
        <v/>
        <stp/>
        <stp>2325125612B0:BstLiftPrc</stp>
        <tr r="H669" s="5"/>
      </tp>
      <tp t="s">
        <v/>
        <stp/>
        <stp>2185224624B0:BstLiftPrc</stp>
        <tr r="H593" s="5"/>
      </tp>
    </main>
    <main first="bofaddin.rtdserver">
      <tp t="s">
        <v>#N/A</v>
        <stp/>
        <stp>BDP|179684395922222588|222</stp>
        <stp>OQAQ9U9 Comdty</stp>
        <stp>ASK</stp>
        <stp>Fill=#N/A</stp>
        <tr r="T55" s="1"/>
      </tp>
    </main>
    <main first="ice.rtd">
      <tp>
        <v>0</v>
        <stp/>
        <stp>141587M12:Vol</stp>
        <tr r="N53" s="5"/>
      </tp>
      <tp>
        <v>0</v>
        <stp/>
        <stp>141587M13:Vol</stp>
        <tr r="N54" s="5"/>
      </tp>
      <tp>
        <v>0</v>
        <stp/>
        <stp>141587M10:Vol</stp>
        <tr r="N51" s="5"/>
      </tp>
      <tp>
        <v>0</v>
        <stp/>
        <stp>141587M11:Vol</stp>
        <tr r="N52" s="5"/>
      </tp>
      <tp>
        <v>0</v>
        <stp/>
        <stp>141587M16:Vol</stp>
        <tr r="N57" s="5"/>
      </tp>
      <tp>
        <v>0</v>
        <stp/>
        <stp>141587M17:Vol</stp>
        <tr r="N58" s="5"/>
      </tp>
      <tp>
        <v>0</v>
        <stp/>
        <stp>141587M14:Vol</stp>
        <tr r="N55" s="5"/>
      </tp>
      <tp>
        <v>0</v>
        <stp/>
        <stp>141587M15:Vol</stp>
        <tr r="N56" s="5"/>
      </tp>
      <tp>
        <v>0</v>
        <stp/>
        <stp>141587M18:Vol</stp>
        <tr r="N59" s="5"/>
      </tp>
      <tp>
        <v>0</v>
        <stp/>
        <stp>141587M19:Vol</stp>
        <tr r="N60" s="5"/>
      </tp>
      <tp>
        <v>0</v>
        <stp/>
        <stp>141587M22:Vol</stp>
        <tr r="N63" s="5"/>
      </tp>
      <tp>
        <v>0</v>
        <stp/>
        <stp>141587M23:Vol</stp>
        <tr r="N64" s="5"/>
      </tp>
      <tp>
        <v>0</v>
        <stp/>
        <stp>141587M20:Vol</stp>
        <tr r="N61" s="5"/>
      </tp>
      <tp>
        <v>0</v>
        <stp/>
        <stp>141587M21:Vol</stp>
        <tr r="N62" s="5"/>
      </tp>
      <tp>
        <v>0</v>
        <stp/>
        <stp>141587M24:Vol</stp>
        <tr r="N65" s="5"/>
      </tp>
    </main>
    <main first="esrtd">
      <tp t="s">
        <v/>
        <stp/>
        <stp>WNS 27!-IEU</stp>
        <stp>Block Volume</stp>
        <tr r="O1874" s="5"/>
      </tp>
      <tp t="s">
        <v/>
        <stp/>
        <stp>WNS 17!-IEU</stp>
        <stp>Block Volume</stp>
        <tr r="O1864" s="5"/>
      </tp>
    </main>
    <main first="ice.rtd">
      <tp>
        <v>0</v>
        <stp/>
        <stp>366531MM9:Vol</stp>
        <tr r="N1724" s="5"/>
      </tp>
      <tp>
        <v>0</v>
        <stp/>
        <stp>366531MM8:Vol</stp>
        <tr r="N1723" s="5"/>
      </tp>
      <tp>
        <v>0</v>
        <stp/>
        <stp>366531MM3:Vol</stp>
        <tr r="N1718" s="5"/>
      </tp>
      <tp>
        <v>0</v>
        <stp/>
        <stp>366531MM2:Vol</stp>
        <tr r="N1717" s="5"/>
      </tp>
      <tp>
        <v>0</v>
        <stp/>
        <stp>366531MM1:Vol</stp>
        <tr r="N1716" s="5"/>
      </tp>
      <tp>
        <v>0</v>
        <stp/>
        <stp>366531MM0:Vol</stp>
        <tr r="N1715" s="5"/>
      </tp>
      <tp>
        <v>0</v>
        <stp/>
        <stp>366531MM7:Vol</stp>
        <tr r="N1722" s="5"/>
      </tp>
      <tp>
        <v>0</v>
        <stp/>
        <stp>366531MM6:Vol</stp>
        <tr r="N1721" s="5"/>
      </tp>
      <tp>
        <v>0</v>
        <stp/>
        <stp>366531MM5:Vol</stp>
        <tr r="N1720" s="5"/>
      </tp>
      <tp>
        <v>0</v>
        <stp/>
        <stp>366531MM4:Vol</stp>
        <tr r="N1719" s="5"/>
      </tp>
    </main>
    <main first="esrtd">
      <tp t="s">
        <v/>
        <stp/>
        <stp>ULD U27-IEU</stp>
        <stp>ICE Theoretical Price</stp>
        <tr r="W1313" s="5"/>
      </tp>
      <tp t="s">
        <v/>
        <stp/>
        <stp>ULE U26-IEU</stp>
        <stp>ICE Theoretical Price</stp>
        <tr r="W518" s="5"/>
      </tp>
    </main>
    <main first="ice.rtd">
      <tp t="s">
        <v/>
        <stp/>
        <stp>161913535YY0:BstLiftPrc</stp>
        <tr r="H2057" s="5"/>
      </tp>
    </main>
    <main first="esrtd">
      <tp t="s">
        <v/>
        <stp/>
        <stp>ULD V27-IEU</stp>
        <stp>ICE Theoretical Price</stp>
        <tr r="W1314" s="5"/>
      </tp>
      <tp t="s">
        <v/>
        <stp/>
        <stp>ULE V26-IEU</stp>
        <stp>ICE Theoretical Price</stp>
        <tr r="W519" s="5"/>
      </tp>
      <tp t="s">
        <v/>
        <stp/>
        <stp>EGD F27-IEU</stp>
        <stp>ICE Theoretical Price</stp>
        <tr r="W1994" s="5"/>
      </tp>
      <tp t="s">
        <v/>
        <stp/>
        <stp>SMD Q27-IEU</stp>
        <stp>ICE Theoretical Price</stp>
        <tr r="W491" s="5"/>
      </tp>
      <tp t="s">
        <v/>
        <stp/>
        <stp>EGD G27-IEU</stp>
        <stp>ICE Theoretical Price</stp>
        <tr r="W1995" s="5"/>
      </tp>
      <tp t="s">
        <v/>
        <stp/>
        <stp>BOD G27-IEU</stp>
        <stp>ICE Theoretical Price</stp>
        <tr r="W46" s="5"/>
      </tp>
      <tp t="s">
        <v/>
        <stp/>
        <stp>SMD V27-IEU</stp>
        <stp>ICE Theoretical Price</stp>
        <tr r="W493" s="5"/>
      </tp>
      <tp t="s">
        <v/>
        <stp/>
        <stp>BOD F27-IEU</stp>
        <stp>ICE Theoretical Price</stp>
        <tr r="W45" s="5"/>
      </tp>
      <tp t="s">
        <v/>
        <stp/>
        <stp>ULD Q27-IEU</stp>
        <stp>ICE Theoretical Price</stp>
        <tr r="W1312" s="5"/>
      </tp>
      <tp t="s">
        <v/>
        <stp/>
        <stp>SMD U27-IEU</stp>
        <stp>ICE Theoretical Price</stp>
        <tr r="W492" s="5"/>
      </tp>
      <tp t="s">
        <v/>
        <stp/>
        <stp>BOD K27-IEU</stp>
        <stp>ICE Theoretical Price</stp>
        <tr r="W49" s="5"/>
      </tp>
      <tp t="s">
        <v/>
        <stp/>
        <stp>SMD Z27-IEU</stp>
        <stp>ICE Theoretical Price</stp>
        <tr r="W495" s="5"/>
      </tp>
      <tp t="s">
        <v/>
        <stp/>
        <stp>BOD J27-IEU</stp>
        <stp>ICE Theoretical Price</stp>
        <tr r="W48" s="5"/>
      </tp>
      <tp t="s">
        <v/>
        <stp/>
        <stp>EGD M27-IEU</stp>
        <stp>ICE Theoretical Price</stp>
        <tr r="W1999" s="5"/>
      </tp>
      <tp t="s">
        <v/>
        <stp/>
        <stp>SMD X27-IEU</stp>
        <stp>ICE Theoretical Price</stp>
        <tr r="W494" s="5"/>
      </tp>
      <tp t="s">
        <v/>
        <stp/>
        <stp>EGD N27-IEU</stp>
        <stp>ICE Theoretical Price</stp>
        <tr r="W2000" s="5"/>
      </tp>
      <tp t="s">
        <v/>
        <stp/>
        <stp>BOD H27-IEU</stp>
        <stp>ICE Theoretical Price</stp>
        <tr r="W47" s="5"/>
      </tp>
      <tp t="s">
        <v/>
        <stp/>
        <stp>ULD X27-IEU</stp>
        <stp>ICE Theoretical Price</stp>
        <tr r="W1315" s="5"/>
      </tp>
      <tp t="s">
        <v/>
        <stp/>
        <stp>ULE X26-IEU</stp>
        <stp>ICE Theoretical Price</stp>
        <tr r="W520" s="5"/>
      </tp>
      <tp t="s">
        <v/>
        <stp/>
        <stp>EGD H27-IEU</stp>
        <stp>ICE Theoretical Price</stp>
        <tr r="W1996" s="5"/>
      </tp>
      <tp t="s">
        <v/>
        <stp/>
        <stp>BOD N27-IEU</stp>
        <stp>ICE Theoretical Price</stp>
        <tr r="W51" s="5"/>
      </tp>
      <tp t="s">
        <v/>
        <stp/>
        <stp>BOD M27-IEU</stp>
        <stp>ICE Theoretical Price</stp>
        <tr r="W50" s="5"/>
      </tp>
      <tp t="s">
        <v/>
        <stp/>
        <stp>ULD Z27-IEU</stp>
        <stp>ICE Theoretical Price</stp>
        <tr r="W1316" s="5"/>
      </tp>
      <tp t="s">
        <v/>
        <stp/>
        <stp>ULE Z26-IEU</stp>
        <stp>ICE Theoretical Price</stp>
        <tr r="W521" s="5"/>
      </tp>
      <tp t="s">
        <v/>
        <stp/>
        <stp>EGD J27-IEU</stp>
        <stp>ICE Theoretical Price</stp>
        <tr r="W1997" s="5"/>
      </tp>
      <tp t="s">
        <v/>
        <stp/>
        <stp>EGD K27-IEU</stp>
        <stp>ICE Theoretical Price</stp>
        <tr r="W1998" s="5"/>
      </tp>
    </main>
    <main first="ice.rtd">
      <tp t="s">
        <v/>
        <stp/>
        <stp>266419M14:LstBlkPrc</stp>
        <tr r="K973" s="5"/>
      </tp>
      <tp t="s">
        <v/>
        <stp/>
        <stp>266419M24:LstBlkPrc</stp>
        <tr r="K983" s="5"/>
      </tp>
    </main>
    <main first="esrtd">
      <tp t="s">
        <v/>
        <stp/>
        <stp>JOE Z26-IEU</stp>
        <stp>ICE Theoretical Price</stp>
        <tr r="W424" s="5"/>
      </tp>
      <tp t="s">
        <v/>
        <stp/>
        <stp>EGD U27-IEU</stp>
        <stp>ICE Theoretical Price</stp>
        <tr r="W2002" s="5"/>
      </tp>
      <tp t="s">
        <v/>
        <stp/>
        <stp>BOD Q27-IEU</stp>
        <stp>ICE Theoretical Price</stp>
        <tr r="W52" s="5"/>
      </tp>
      <tp t="s">
        <v/>
        <stp/>
        <stp>ULD F27-IEU</stp>
        <stp>ICE Theoretical Price</stp>
        <tr r="W1305" s="5"/>
      </tp>
      <tp t="s">
        <v/>
        <stp/>
        <stp>EGD V27-IEU</stp>
        <stp>ICE Theoretical Price</stp>
        <tr r="W2003" s="5"/>
      </tp>
      <tp t="s">
        <v/>
        <stp/>
        <stp>JOE X26-IEU</stp>
        <stp>ICE Theoretical Price</stp>
        <tr r="W423" s="5"/>
      </tp>
      <tp t="s">
        <v/>
        <stp/>
        <stp>ULD G27-IEU</stp>
        <stp>ICE Theoretical Price</stp>
        <tr r="W1306" s="5"/>
      </tp>
      <tp t="s">
        <v/>
        <stp/>
        <stp>SMD F27-IEU</stp>
        <stp>ICE Theoretical Price</stp>
        <tr r="W484" s="5"/>
      </tp>
      <tp t="s">
        <v/>
        <stp/>
        <stp>BOD V27-IEU</stp>
        <stp>ICE Theoretical Price</stp>
        <tr r="W54" s="5"/>
      </tp>
      <tp t="s">
        <v/>
        <stp/>
        <stp>SMD G27-IEU</stp>
        <stp>ICE Theoretical Price</stp>
        <tr r="W485" s="5"/>
      </tp>
      <tp t="s">
        <v/>
        <stp/>
        <stp>EGD Q27-IEU</stp>
        <stp>ICE Theoretical Price</stp>
        <tr r="W2001" s="5"/>
      </tp>
      <tp t="s">
        <v/>
        <stp/>
        <stp>NGE Z26-IEU</stp>
        <stp>ICE Theoretical Price</stp>
        <tr r="W1494" s="5"/>
      </tp>
      <tp t="s">
        <v/>
        <stp/>
        <stp>BOD U27-IEU</stp>
        <stp>ICE Theoretical Price</stp>
        <tr r="W53" s="5"/>
      </tp>
      <tp t="s">
        <v/>
        <stp/>
        <stp>NGE X26-IEU</stp>
        <stp>ICE Theoretical Price</stp>
        <tr r="W1493" s="5"/>
      </tp>
      <tp t="s">
        <v/>
        <stp/>
        <stp>SMD J27-IEU</stp>
        <stp>ICE Theoretical Price</stp>
        <tr r="W487" s="5"/>
      </tp>
      <tp t="s">
        <v/>
        <stp/>
        <stp>BOD Z27-IEU</stp>
        <stp>ICE Theoretical Price</stp>
        <tr r="W56" s="5"/>
      </tp>
      <tp t="s">
        <v/>
        <stp/>
        <stp>SMD K27-IEU</stp>
        <stp>ICE Theoretical Price</stp>
        <tr r="W488" s="5"/>
      </tp>
      <tp t="s">
        <v/>
        <stp/>
        <stp>ULD M27-IEU</stp>
        <stp>ICE Theoretical Price</stp>
        <tr r="W1310" s="5"/>
      </tp>
      <tp t="s">
        <v/>
        <stp/>
        <stp>NGE V26-IEU</stp>
        <stp>ICE Theoretical Price</stp>
        <tr r="W1492" s="5"/>
      </tp>
      <tp t="s">
        <v/>
        <stp/>
        <stp>SMD H27-IEU</stp>
        <stp>ICE Theoretical Price</stp>
        <tr r="W486" s="5"/>
      </tp>
      <tp t="s">
        <v/>
        <stp/>
        <stp>ULD N27-IEU</stp>
        <stp>ICE Theoretical Price</stp>
        <tr r="W1311" s="5"/>
      </tp>
      <tp t="s">
        <v/>
        <stp/>
        <stp>NGE U26-IEU</stp>
        <stp>ICE Theoretical Price</stp>
        <tr r="W1491" s="5"/>
      </tp>
      <tp t="s">
        <v/>
        <stp/>
        <stp>BOD X27-IEU</stp>
        <stp>ICE Theoretical Price</stp>
        <tr r="W55" s="5"/>
      </tp>
      <tp t="s">
        <v/>
        <stp/>
        <stp>SMD N27-IEU</stp>
        <stp>ICE Theoretical Price</stp>
        <tr r="W490" s="5"/>
      </tp>
      <tp t="s">
        <v/>
        <stp/>
        <stp>ULD H27-IEU</stp>
        <stp>ICE Theoretical Price</stp>
        <tr r="W1307" s="5"/>
      </tp>
      <tp t="s">
        <v/>
        <stp/>
        <stp>EGD X27-IEU</stp>
        <stp>ICE Theoretical Price</stp>
        <tr r="W2004" s="5"/>
      </tp>
      <tp t="s">
        <v/>
        <stp/>
        <stp>JOE V26-IEU</stp>
        <stp>ICE Theoretical Price</stp>
        <tr r="W422" s="5"/>
      </tp>
      <tp t="s">
        <v/>
        <stp/>
        <stp>JOE U26-IEU</stp>
        <stp>ICE Theoretical Price</stp>
        <tr r="W421" s="5"/>
      </tp>
      <tp t="s">
        <v/>
        <stp/>
        <stp>ULD J27-IEU</stp>
        <stp>ICE Theoretical Price</stp>
        <tr r="W1308" s="5"/>
      </tp>
      <tp t="s">
        <v/>
        <stp/>
        <stp>EGD Z27-IEU</stp>
        <stp>ICE Theoretical Price</stp>
        <tr r="W2005" s="5"/>
      </tp>
      <tp t="s">
        <v/>
        <stp/>
        <stp>SMD M27-IEU</stp>
        <stp>ICE Theoretical Price</stp>
        <tr r="W489" s="5"/>
      </tp>
      <tp t="s">
        <v/>
        <stp/>
        <stp>ULD K27-IEU</stp>
        <stp>ICE Theoretical Price</stp>
        <tr r="W1309" s="5"/>
      </tp>
    </main>
    <main first="ice.rtd">
      <tp t="s">
        <v/>
        <stp/>
        <stp>366531MM7:BstHitPrc</stp>
        <tr r="G1722" s="5"/>
      </tp>
      <tp t="s">
        <v/>
        <stp/>
        <stp>161913535QQ0:BstLiftPrc</stp>
        <tr r="H2055" s="5"/>
      </tp>
      <tp t="s">
        <v/>
        <stp/>
        <stp>161913535QQ1:BstLiftPrc</stp>
        <tr r="H2056" s="5"/>
      </tp>
      <tp t="s">
        <v/>
        <stp/>
        <stp>366531MM7:LstBlkPrc</stp>
        <tr r="K1722" s="5"/>
      </tp>
      <tp t="s">
        <v/>
        <stp/>
        <stp>266419M24:BstHitPrc</stp>
        <tr r="G983" s="5"/>
      </tp>
      <tp t="s">
        <v/>
        <stp/>
        <stp>266419M14:BstHitPrc</stp>
        <tr r="G973" s="5"/>
      </tp>
    </main>
    <main first="bofaddin.rtdserver">
      <tp t="s">
        <v>#N/A Invalid Security</v>
        <stp/>
        <stp>BDP|15188361007137721693|222</stp>
        <stp>CLN0CLQ0 Comdty</stp>
        <stp>ASK</stp>
        <stp>Fill=#N/A</stp>
        <tr r="N66" s="1"/>
      </tp>
    </main>
    <main first="ice.rtd">
      <tp t="s">
        <v/>
        <stp/>
        <stp>161913535MM6:BstLiftPrc</stp>
        <tr r="H2033" s="5"/>
      </tp>
      <tp t="s">
        <v/>
        <stp/>
        <stp>161913535MM7:BstLiftPrc</stp>
        <tr r="H2034" s="5"/>
      </tp>
      <tp t="s">
        <v/>
        <stp/>
        <stp>161913535MM4:BstLiftPrc</stp>
        <tr r="H2031" s="5"/>
      </tp>
      <tp t="s">
        <v/>
        <stp/>
        <stp>161913535MM5:BstLiftPrc</stp>
        <tr r="H2032" s="5"/>
      </tp>
      <tp t="s">
        <v/>
        <stp/>
        <stp>161913535MM2:BstLiftPrc</stp>
        <tr r="H2029" s="5"/>
      </tp>
      <tp t="s">
        <v/>
        <stp/>
        <stp>161913535MM3:BstLiftPrc</stp>
        <tr r="H2030" s="5"/>
      </tp>
      <tp>
        <v>6</v>
        <stp/>
        <stp>161913535MM0:BstLiftPrc</stp>
        <tr r="H2027" s="5"/>
      </tp>
      <tp t="s">
        <v/>
        <stp/>
        <stp>161913535MM1:BstLiftPrc</stp>
        <tr r="H2028" s="5"/>
      </tp>
      <tp t="s">
        <v/>
        <stp/>
        <stp>161913535MM8:BstLiftPrc</stp>
        <tr r="H2035" s="5"/>
      </tp>
      <tp t="s">
        <v/>
        <stp/>
        <stp>161913535MM9:BstLiftPrc</stp>
        <tr r="H2036" s="5"/>
      </tp>
      <tp t="s">
        <v/>
        <stp/>
        <stp>366531QQ1:LstBlkVol</stp>
        <tr r="L1744" s="5"/>
      </tp>
      <tp t="s">
        <v/>
        <stp/>
        <stp>366531MM1:LstBlkVol</stp>
        <tr r="L1716" s="5"/>
      </tp>
    </main>
    <main first="bofaddin.rtdserver">
      <tp t="s">
        <v>#N/A</v>
        <stp/>
        <stp>BDP|16048207138869218000|222</stp>
        <stp>HOZ9HOF0 Comdty</stp>
        <stp>ASK</stp>
        <stp>Fill=#N/A</stp>
        <tr r="Q59" s="1"/>
      </tp>
    </main>
    <main first="ice.rtd">
      <tp t="s">
        <v/>
        <stp/>
        <stp>141587M18:LstBlkVol</stp>
        <tr r="L59" s="5"/>
      </tp>
    </main>
    <main first="esrtd">
      <tp t="s">
        <v/>
        <stp/>
        <stp>WHK 21!-IEU</stp>
        <stp>Block Volume</stp>
        <tr r="O1938" s="5"/>
      </tp>
      <tp t="s">
        <v/>
        <stp/>
        <stp>WHK 11!-IEU</stp>
        <stp>Block Volume</stp>
        <tr r="O1928" s="5"/>
      </tp>
      <tp t="s">
        <v/>
        <stp/>
        <stp>WHK Q1!-IEU</stp>
        <stp>Block Volume</stp>
        <tr r="O1948" s="5"/>
      </tp>
      <tp t="s">
        <v/>
        <stp/>
        <stp>WMJ 24!-IEU</stp>
        <stp>Block Volume</stp>
        <tr r="O1906" s="5"/>
      </tp>
      <tp t="s">
        <v/>
        <stp/>
        <stp>WMJ 14!-IEU</stp>
        <stp>Block Volume</stp>
        <tr r="O1896" s="5"/>
      </tp>
      <tp t="s">
        <v/>
        <stp/>
        <stp>WMJ Q4!-IEU</stp>
        <stp>Block Volume</stp>
        <tr r="O1916" s="5"/>
      </tp>
    </main>
    <main first="bofaddin.rtdserver">
      <tp>
        <v>4.83</v>
        <stp/>
        <stp>BDP|10495737517945197367|222</stp>
        <stp>HON7HOQ7 Comdty</stp>
        <stp>ASK</stp>
        <stp>Fill=#N/A</stp>
        <tr r="Q30" s="1"/>
      </tp>
    </main>
    <main first="ice.rtd">
      <tp t="s">
        <v/>
        <stp/>
        <stp>266419M12:LstBlkVol</stp>
        <tr r="L971" s="5"/>
      </tp>
      <tp t="s">
        <v/>
        <stp/>
        <stp>266419M22:LstBlkVol</stp>
        <tr r="L981" s="5"/>
      </tp>
      <tp t="s">
        <v>Invalid Market: 297449133BM0</v>
        <stp/>
        <stp>297449133BM0:BstLiftPrc</stp>
        <tr r="H2026" s="5"/>
      </tp>
    </main>
    <main first="bofaddin.rtdserver">
      <tp>
        <v>1.1000000000000001</v>
        <stp/>
        <stp>BDP|14207354209214933333|222</stp>
        <stp>XBN8XBQ8 Comdty</stp>
        <stp>BID</stp>
        <stp>Fill=#N/A</stp>
        <tr r="R42" s="1"/>
      </tp>
    </main>
    <main first="ice.rtd">
      <tp t="s">
        <v/>
        <stp/>
        <stp>5162M19:LstBlkVol</stp>
        <tr r="L788" s="5"/>
      </tp>
    </main>
    <main first="bofaddin.rtdserver">
      <tp>
        <v>820</v>
        <stp/>
        <stp>BDP|735290151751251248|222</stp>
        <stp>QSU8 Comdty</stp>
        <stp>BID</stp>
        <stp>Fill=#N/A</stp>
        <tr r="H43" s="1"/>
      </tp>
      <tp>
        <v>781</v>
        <stp/>
        <stp>BDP|622249770061283079|222</stp>
        <stp>QSV9 Comdty</stp>
        <stp>BID</stp>
        <stp>Fill=#N/A</stp>
        <tr r="H56" s="1"/>
      </tp>
    </main>
    <main first="ice.rtd">
      <tp t="s">
        <v/>
        <stp/>
        <stp>1517M18:LstBlkPrc</stp>
        <tr r="K21" s="5"/>
      </tp>
      <tp t="s">
        <v/>
        <stp/>
        <stp>1517M18:BstHitPrc</stp>
        <tr r="G21" s="5"/>
      </tp>
      <tp t="s">
        <v>Invalid Market: CALCY0</v>
        <stp/>
        <stp>CALCY0:Vol</stp>
        <tr r="N1221" s="5"/>
        <tr r="N1373" s="5"/>
      </tp>
      <tp t="s">
        <v>Invalid Market: CALCY1</v>
        <stp/>
        <stp>CALCY1:Vol</stp>
        <tr r="N1222" s="5"/>
        <tr r="N1374" s="5"/>
      </tp>
      <tp t="s">
        <v>Invalid Market: CALCY2</v>
        <stp/>
        <stp>CALCY2:Vol</stp>
        <tr r="N1375" s="5"/>
        <tr r="N1223" s="5"/>
      </tp>
      <tp t="s">
        <v>Invalid Market: CALCQ8</v>
        <stp/>
        <stp>CALCQ8:Vol</stp>
        <tr r="N1220" s="5"/>
        <tr r="N1372" s="5"/>
      </tp>
      <tp t="s">
        <v>Invalid Market: CALCQ4</v>
        <stp/>
        <stp>CALCQ4:Vol</stp>
        <tr r="N1216" s="5"/>
        <tr r="N1368" s="5"/>
      </tp>
      <tp t="s">
        <v>Invalid Market: CALCQ5</v>
        <stp/>
        <stp>CALCQ5:Vol</stp>
        <tr r="N1217" s="5"/>
        <tr r="N1369" s="5"/>
      </tp>
      <tp t="s">
        <v>Invalid Market: CALCQ6</v>
        <stp/>
        <stp>CALCQ6:Vol</stp>
        <tr r="N1218" s="5"/>
        <tr r="N1370" s="5"/>
      </tp>
      <tp t="s">
        <v>Invalid Market: CALCQ7</v>
        <stp/>
        <stp>CALCQ7:Vol</stp>
        <tr r="N1219" s="5"/>
        <tr r="N1371" s="5"/>
      </tp>
      <tp t="s">
        <v>Invalid Market: CALCQ0</v>
        <stp/>
        <stp>CALCQ0:Vol</stp>
        <tr r="N1212" s="5"/>
        <tr r="N1364" s="5"/>
      </tp>
      <tp t="s">
        <v>Invalid Market: CALCQ1</v>
        <stp/>
        <stp>CALCQ1:Vol</stp>
        <tr r="N1213" s="5"/>
        <tr r="N1365" s="5"/>
      </tp>
      <tp t="s">
        <v>Invalid Market: CALCQ2</v>
        <stp/>
        <stp>CALCQ2:Vol</stp>
        <tr r="N1214" s="5"/>
        <tr r="N1366" s="5"/>
      </tp>
      <tp t="s">
        <v>Invalid Market: CALCQ3</v>
        <stp/>
        <stp>CALCQ3:Vol</stp>
        <tr r="N1215" s="5"/>
        <tr r="N1367" s="5"/>
      </tp>
      <tp t="s">
        <v/>
        <stp/>
        <stp>2326525626B0:BstLiftPrc</stp>
        <tr r="H420" s="5"/>
      </tp>
      <tp t="s">
        <v>Invalid Market: CALCM8</v>
        <stp/>
        <stp>CALCM8:Vol</stp>
        <tr r="N1195" s="5"/>
        <tr r="N1347" s="5"/>
      </tp>
      <tp t="s">
        <v>Invalid Market: CALCM9</v>
        <stp/>
        <stp>CALCM9:Vol</stp>
        <tr r="N1196" s="5"/>
        <tr r="N1348" s="5"/>
      </tp>
      <tp t="s">
        <v>Invalid Market: CALCM4</v>
        <stp/>
        <stp>CALCM4:Vol</stp>
        <tr r="N1343" s="5"/>
        <tr r="N1191" s="5"/>
      </tp>
      <tp t="s">
        <v>Invalid Market: CALCM5</v>
        <stp/>
        <stp>CALCM5:Vol</stp>
        <tr r="N1192" s="5"/>
        <tr r="N1344" s="5"/>
      </tp>
      <tp t="s">
        <v>Invalid Market: CALCM6</v>
        <stp/>
        <stp>CALCM6:Vol</stp>
        <tr r="N1193" s="5"/>
        <tr r="N1345" s="5"/>
      </tp>
      <tp t="s">
        <v>Invalid Market: CALCM7</v>
        <stp/>
        <stp>CALCM7:Vol</stp>
        <tr r="N1194" s="5"/>
        <tr r="N1346" s="5"/>
      </tp>
      <tp t="s">
        <v>Invalid Market: CALCM0</v>
        <stp/>
        <stp>CALCM0:Vol</stp>
        <tr r="N1187" s="5"/>
        <tr r="N1339" s="5"/>
      </tp>
      <tp t="s">
        <v>Invalid Market: CALCM1</v>
        <stp/>
        <stp>CALCM1:Vol</stp>
        <tr r="N1340" s="5"/>
        <tr r="N1188" s="5"/>
      </tp>
      <tp t="s">
        <v>Invalid Market: CALCM2</v>
        <stp/>
        <stp>CALCM2:Vol</stp>
        <tr r="N1189" s="5"/>
        <tr r="N1341" s="5"/>
      </tp>
      <tp t="s">
        <v>Invalid Market: CALCM3</v>
        <stp/>
        <stp>CALCM3:Vol</stp>
        <tr r="N1190" s="5"/>
        <tr r="N1342" s="5"/>
      </tp>
      <tp t="s">
        <v>Invalid Market: CALCB0</v>
        <stp/>
        <stp>CALCB0:Vol</stp>
        <tr r="N1186" s="5"/>
        <tr r="N1338" s="5"/>
      </tp>
      <tp>
        <v>0</v>
        <stp/>
        <stp>266419M18:Vol</stp>
        <tr r="N977" s="5"/>
      </tp>
      <tp>
        <v>0</v>
        <stp/>
        <stp>266419M19:Vol</stp>
        <tr r="N978" s="5"/>
      </tp>
      <tp>
        <v>0</v>
        <stp/>
        <stp>266419M10:Vol</stp>
        <tr r="N969" s="5"/>
      </tp>
      <tp>
        <v>0</v>
        <stp/>
        <stp>266419M11:Vol</stp>
        <tr r="N970" s="5"/>
      </tp>
      <tp>
        <v>0</v>
        <stp/>
        <stp>266419M12:Vol</stp>
        <tr r="N971" s="5"/>
      </tp>
      <tp>
        <v>0</v>
        <stp/>
        <stp>266419M13:Vol</stp>
        <tr r="N972" s="5"/>
      </tp>
      <tp>
        <v>0</v>
        <stp/>
        <stp>266419M14:Vol</stp>
        <tr r="N973" s="5"/>
      </tp>
      <tp>
        <v>0</v>
        <stp/>
        <stp>266419M15:Vol</stp>
        <tr r="N974" s="5"/>
      </tp>
      <tp>
        <v>0</v>
        <stp/>
        <stp>266419M16:Vol</stp>
        <tr r="N975" s="5"/>
      </tp>
      <tp>
        <v>0</v>
        <stp/>
        <stp>266419M17:Vol</stp>
        <tr r="N976" s="5"/>
      </tp>
      <tp>
        <v>0</v>
        <stp/>
        <stp>266419M20:Vol</stp>
        <tr r="N979" s="5"/>
      </tp>
      <tp>
        <v>0</v>
        <stp/>
        <stp>266419M21:Vol</stp>
        <tr r="N980" s="5"/>
      </tp>
      <tp>
        <v>0</v>
        <stp/>
        <stp>266419M22:Vol</stp>
        <tr r="N981" s="5"/>
      </tp>
      <tp>
        <v>0</v>
        <stp/>
        <stp>266419M23:Vol</stp>
        <tr r="N982" s="5"/>
      </tp>
      <tp>
        <v>0</v>
        <stp/>
        <stp>266419M24:Vol</stp>
        <tr r="N983" s="5"/>
      </tp>
    </main>
    <main first="esrtd">
      <tp t="s">
        <v/>
        <stp/>
        <stp>WNS 26!-IEU</stp>
        <stp>Block Volume</stp>
        <tr r="O1873" s="5"/>
      </tp>
      <tp t="s">
        <v/>
        <stp/>
        <stp>WNS 16!-IEU</stp>
        <stp>Block Volume</stp>
        <tr r="O1863" s="5"/>
      </tp>
      <tp t="s">
        <v/>
        <stp/>
        <stp>JOE K27-IEU</stp>
        <stp>ICE Theoretical Price</stp>
        <tr r="W429" s="5"/>
      </tp>
      <tp t="s">
        <v/>
        <stp/>
        <stp>JOE J27-IEU</stp>
        <stp>ICE Theoretical Price</stp>
        <tr r="W428" s="5"/>
      </tp>
      <tp t="s">
        <v/>
        <stp/>
        <stp>ULD U26-IEU</stp>
        <stp>ICE Theoretical Price</stp>
        <tr r="W1301" s="5"/>
      </tp>
      <tp t="s">
        <v/>
        <stp/>
        <stp>ULE U27-IEU</stp>
        <stp>ICE Theoretical Price</stp>
        <tr r="W530" s="5"/>
      </tp>
      <tp t="s">
        <v/>
        <stp/>
        <stp>ULJ U28-IEU</stp>
        <stp>ICE Theoretical Price</stp>
        <tr r="W103" s="5"/>
      </tp>
      <tp t="s">
        <v/>
        <stp/>
        <stp>NGE N27-IEU</stp>
        <stp>ICE Theoretical Price</stp>
        <tr r="W1501" s="5"/>
      </tp>
      <tp t="s">
        <v/>
        <stp/>
        <stp>ULD V26-IEU</stp>
        <stp>ICE Theoretical Price</stp>
        <tr r="W1302" s="5"/>
      </tp>
      <tp t="s">
        <v/>
        <stp/>
        <stp>ULE V27-IEU</stp>
        <stp>ICE Theoretical Price</stp>
        <tr r="W531" s="5"/>
      </tp>
      <tp t="s">
        <v/>
        <stp/>
        <stp>NGE M27-IEU</stp>
        <stp>ICE Theoretical Price</stp>
        <tr r="W1500" s="5"/>
      </tp>
      <tp t="s">
        <v/>
        <stp/>
        <stp>JOE H27-IEU</stp>
        <stp>ICE Theoretical Price</stp>
        <tr r="W427" s="5"/>
      </tp>
      <tp t="s">
        <v/>
        <stp/>
        <stp>SMD V26-IEU</stp>
        <stp>ICE Theoretical Price</stp>
        <tr r="W481" s="5"/>
      </tp>
      <tp t="s">
        <v/>
        <stp/>
        <stp>NGE K27-IEU</stp>
        <stp>ICE Theoretical Price</stp>
        <tr r="W1499" s="5"/>
      </tp>
      <tp t="s">
        <v/>
        <stp/>
        <stp>JOE N27-IEU</stp>
        <stp>ICE Theoretical Price</stp>
        <tr r="W431" s="5"/>
      </tp>
      <tp t="s">
        <v/>
        <stp/>
        <stp>ULE Q27-IEU</stp>
        <stp>ICE Theoretical Price</stp>
        <tr r="W529" s="5"/>
      </tp>
      <tp t="s">
        <v/>
        <stp/>
        <stp>ULJ Q28-IEU</stp>
        <stp>ICE Theoretical Price</stp>
        <tr r="W102" s="5"/>
      </tp>
      <tp t="s">
        <v/>
        <stp/>
        <stp>NGE J27-IEU</stp>
        <stp>ICE Theoretical Price</stp>
        <tr r="W1498" s="5"/>
      </tp>
      <tp t="s">
        <v/>
        <stp/>
        <stp>JOE M27-IEU</stp>
        <stp>ICE Theoretical Price</stp>
        <tr r="W430" s="5"/>
      </tp>
      <tp t="s">
        <v/>
        <stp/>
        <stp>WNS Q4!-IEU</stp>
        <stp>ICE Theoretical Price</stp>
        <tr r="W1881" s="5"/>
      </tp>
      <tp t="s">
        <v/>
        <stp/>
        <stp>WNS Q3!-IEU</stp>
        <stp>ICE Theoretical Price</stp>
        <tr r="W1880" s="5"/>
      </tp>
      <tp t="s">
        <v/>
        <stp/>
        <stp>WNS Q2!-IEU</stp>
        <stp>ICE Theoretical Price</stp>
        <tr r="W1879" s="5"/>
      </tp>
      <tp t="s">
        <v/>
        <stp/>
        <stp>SMD U26-IEU</stp>
        <stp>ICE Theoretical Price</stp>
        <tr r="W480" s="5"/>
      </tp>
      <tp t="s">
        <v/>
        <stp/>
        <stp>WNS Q1!-IEU</stp>
        <stp>ICE Theoretical Price</stp>
        <tr r="W1878" s="5"/>
      </tp>
      <tp t="s">
        <v/>
        <stp/>
        <stp>NGE H27-IEU</stp>
        <stp>ICE Theoretical Price</stp>
        <tr r="W1497" s="5"/>
      </tp>
      <tp t="s">
        <v/>
        <stp/>
        <stp>SMD Z26-IEU</stp>
        <stp>ICE Theoretical Price</stp>
        <tr r="W483" s="5"/>
      </tp>
      <tp t="s">
        <v/>
        <stp/>
        <stp>NGE G27-IEU</stp>
        <stp>ICE Theoretical Price</stp>
        <tr r="W1496" s="5"/>
      </tp>
      <tp t="s">
        <v/>
        <stp/>
        <stp>NGE F27-IEU</stp>
        <stp>ICE Theoretical Price</stp>
        <tr r="W1495" s="5"/>
      </tp>
      <tp t="s">
        <v/>
        <stp/>
        <stp>SMD X26-IEU</stp>
        <stp>ICE Theoretical Price</stp>
        <tr r="W482" s="5"/>
      </tp>
      <tp t="s">
        <v/>
        <stp/>
        <stp>JOE G27-IEU</stp>
        <stp>ICE Theoretical Price</stp>
        <tr r="W426" s="5"/>
      </tp>
      <tp t="s">
        <v/>
        <stp/>
        <stp>ULD X26-IEU</stp>
        <stp>ICE Theoretical Price</stp>
        <tr r="W1303" s="5"/>
      </tp>
      <tp t="s">
        <v/>
        <stp/>
        <stp>ULE X27-IEU</stp>
        <stp>ICE Theoretical Price</stp>
        <tr r="W532" s="5"/>
      </tp>
      <tp t="s">
        <v/>
        <stp/>
        <stp>JOE F27-IEU</stp>
        <stp>ICE Theoretical Price</stp>
        <tr r="W425" s="5"/>
      </tp>
      <tp t="s">
        <v/>
        <stp/>
        <stp>ULD Z26-IEU</stp>
        <stp>ICE Theoretical Price</stp>
        <tr r="W1304" s="5"/>
      </tp>
      <tp t="s">
        <v/>
        <stp/>
        <stp>ULE Z27-IEU</stp>
        <stp>ICE Theoretical Price</stp>
        <tr r="W533" s="5"/>
      </tp>
    </main>
    <main first="ice.rtd">
      <tp t="s">
        <v/>
        <stp/>
        <stp>266419M15:LstBlkPrc</stp>
        <tr r="K974" s="5"/>
      </tp>
    </main>
    <main first="esrtd">
      <tp t="s">
        <v/>
        <stp/>
        <stp>JOE Z27-IEU</stp>
        <stp>ICE Theoretical Price</stp>
        <tr r="W436" s="5"/>
      </tp>
      <tp t="s">
        <v/>
        <stp/>
        <stp>ULE F27-IEU</stp>
        <stp>ICE Theoretical Price</stp>
        <tr r="W522" s="5"/>
      </tp>
      <tp t="s">
        <v/>
        <stp/>
        <stp>ULJ F28-IEU</stp>
        <stp>ICE Theoretical Price</stp>
        <tr r="W95" s="5"/>
      </tp>
      <tp t="s">
        <v/>
        <stp/>
        <stp>EGD V26-IEU</stp>
        <stp>ICE Theoretical Price</stp>
        <tr r="W1991" s="5"/>
      </tp>
      <tp t="s">
        <v/>
        <stp/>
        <stp>JOE X27-IEU</stp>
        <stp>ICE Theoretical Price</stp>
        <tr r="W435" s="5"/>
      </tp>
      <tp t="s">
        <v/>
        <stp/>
        <stp>ULE G27-IEU</stp>
        <stp>ICE Theoretical Price</stp>
        <tr r="W523" s="5"/>
      </tp>
      <tp t="s">
        <v/>
        <stp/>
        <stp>ULJ G28-IEU</stp>
        <stp>ICE Theoretical Price</stp>
        <tr r="W96" s="5"/>
      </tp>
      <tp t="s">
        <v/>
        <stp/>
        <stp>BOD V26-IEU</stp>
        <stp>ICE Theoretical Price</stp>
        <tr r="W42" s="5"/>
      </tp>
      <tp t="s">
        <v/>
        <stp/>
        <stp>WNS C2!-IEU</stp>
        <stp>ICE Theoretical Price</stp>
        <tr r="W1882" s="5"/>
      </tp>
      <tp t="s">
        <v/>
        <stp/>
        <stp>NGE Z27-IEU</stp>
        <stp>ICE Theoretical Price</stp>
        <tr r="W1506" s="5"/>
      </tp>
      <tp t="s">
        <v/>
        <stp/>
        <stp>BOD U26-IEU</stp>
        <stp>ICE Theoretical Price</stp>
        <tr r="W41" s="5"/>
      </tp>
      <tp t="s">
        <v/>
        <stp/>
        <stp>NGE X27-IEU</stp>
        <stp>ICE Theoretical Price</stp>
        <tr r="W1505" s="5"/>
      </tp>
      <tp t="s">
        <v/>
        <stp/>
        <stp>BOD Z26-IEU</stp>
        <stp>ICE Theoretical Price</stp>
        <tr r="W44" s="5"/>
      </tp>
      <tp t="s">
        <v/>
        <stp/>
        <stp>ULE M27-IEU</stp>
        <stp>ICE Theoretical Price</stp>
        <tr r="W527" s="5"/>
      </tp>
      <tp t="s">
        <v/>
        <stp/>
        <stp>ULJ M28-IEU</stp>
        <stp>ICE Theoretical Price</stp>
        <tr r="W100" s="5"/>
      </tp>
      <tp t="s">
        <v/>
        <stp/>
        <stp>NGE V27-IEU</stp>
        <stp>ICE Theoretical Price</stp>
        <tr r="W1504" s="5"/>
      </tp>
      <tp t="s">
        <v/>
        <stp/>
        <stp>JOE Q27-IEU</stp>
        <stp>ICE Theoretical Price</stp>
        <tr r="W432" s="5"/>
      </tp>
      <tp t="s">
        <v/>
        <stp/>
        <stp>ULE N27-IEU</stp>
        <stp>ICE Theoretical Price</stp>
        <tr r="W528" s="5"/>
      </tp>
      <tp t="s">
        <v/>
        <stp/>
        <stp>ULJ N28-IEU</stp>
        <stp>ICE Theoretical Price</stp>
        <tr r="W101" s="5"/>
      </tp>
      <tp t="s">
        <v/>
        <stp/>
        <stp>NGE U27-IEU</stp>
        <stp>ICE Theoretical Price</stp>
        <tr r="W1503" s="5"/>
      </tp>
      <tp t="s">
        <v/>
        <stp/>
        <stp>BOD X26-IEU</stp>
        <stp>ICE Theoretical Price</stp>
        <tr r="W43" s="5"/>
      </tp>
      <tp t="s">
        <v/>
        <stp/>
        <stp>ULE H27-IEU</stp>
        <stp>ICE Theoretical Price</stp>
        <tr r="W524" s="5"/>
      </tp>
      <tp t="s">
        <v/>
        <stp/>
        <stp>ULJ H28-IEU</stp>
        <stp>ICE Theoretical Price</stp>
        <tr r="W97" s="5"/>
      </tp>
      <tp t="s">
        <v/>
        <stp/>
        <stp>EGD X26-IEU</stp>
        <stp>ICE Theoretical Price</stp>
        <tr r="W1992" s="5"/>
      </tp>
      <tp t="s">
        <v/>
        <stp/>
        <stp>JOE V27-IEU</stp>
        <stp>ICE Theoretical Price</stp>
        <tr r="W434" s="5"/>
      </tp>
      <tp t="s">
        <v/>
        <stp/>
        <stp>JOE U27-IEU</stp>
        <stp>ICE Theoretical Price</stp>
        <tr r="W433" s="5"/>
      </tp>
      <tp t="s">
        <v/>
        <stp/>
        <stp>ULE J27-IEU</stp>
        <stp>ICE Theoretical Price</stp>
        <tr r="W525" s="5"/>
      </tp>
      <tp t="s">
        <v/>
        <stp/>
        <stp>ULJ J28-IEU</stp>
        <stp>ICE Theoretical Price</stp>
        <tr r="W98" s="5"/>
      </tp>
      <tp t="s">
        <v/>
        <stp/>
        <stp>EGD Z26-IEU</stp>
        <stp>ICE Theoretical Price</stp>
        <tr r="W1993" s="5"/>
      </tp>
      <tp t="s">
        <v/>
        <stp/>
        <stp>NGE Q27-IEU</stp>
        <stp>ICE Theoretical Price</stp>
        <tr r="W1502" s="5"/>
      </tp>
      <tp t="s">
        <v/>
        <stp/>
        <stp>ULE K27-IEU</stp>
        <stp>ICE Theoretical Price</stp>
        <tr r="W526" s="5"/>
      </tp>
      <tp t="s">
        <v/>
        <stp/>
        <stp>ULJ K28-IEU</stp>
        <stp>ICE Theoretical Price</stp>
        <tr r="W99" s="5"/>
      </tp>
      <tp t="s">
        <v/>
        <stp/>
        <stp>WNS 27!-IEU</stp>
        <stp>ICE Theoretical Price</stp>
        <tr r="W1874" s="5"/>
      </tp>
      <tp t="s">
        <v/>
        <stp/>
        <stp>WNS 26!-IEU</stp>
        <stp>ICE Theoretical Price</stp>
        <tr r="W1873" s="5"/>
      </tp>
      <tp t="s">
        <v/>
        <stp/>
        <stp>WNS 25!-IEU</stp>
        <stp>ICE Theoretical Price</stp>
        <tr r="W1872" s="5"/>
      </tp>
      <tp t="s">
        <v/>
        <stp/>
        <stp>WNS 24!-IEU</stp>
        <stp>ICE Theoretical Price</stp>
        <tr r="W1871" s="5"/>
      </tp>
      <tp t="s">
        <v/>
        <stp/>
        <stp>WNS 23!-IEU</stp>
        <stp>ICE Theoretical Price</stp>
        <tr r="W1870" s="5"/>
      </tp>
      <tp t="s">
        <v/>
        <stp/>
        <stp>WNS 22!-IEU</stp>
        <stp>ICE Theoretical Price</stp>
        <tr r="W1869" s="5"/>
      </tp>
      <tp t="s">
        <v/>
        <stp/>
        <stp>WNS 21!-IEU</stp>
        <stp>ICE Theoretical Price</stp>
        <tr r="W1868" s="5"/>
      </tp>
      <tp t="s">
        <v/>
        <stp/>
        <stp>WNS 20!-IEU</stp>
        <stp>ICE Theoretical Price</stp>
        <tr r="W1867" s="5"/>
      </tp>
      <tp t="s">
        <v/>
        <stp/>
        <stp>WNS 29!-IEU</stp>
        <stp>ICE Theoretical Price</stp>
        <tr r="W1876" s="5"/>
      </tp>
      <tp t="s">
        <v/>
        <stp/>
        <stp>WNS 28!-IEU</stp>
        <stp>ICE Theoretical Price</stp>
        <tr r="W1875" s="5"/>
      </tp>
      <tp t="s">
        <v/>
        <stp/>
        <stp>WNS 30!-IEU</stp>
        <stp>ICE Theoretical Price</stp>
        <tr r="W1877" s="5"/>
      </tp>
      <tp t="s">
        <v/>
        <stp/>
        <stp>WNS 17!-IEU</stp>
        <stp>ICE Theoretical Price</stp>
        <tr r="W1864" s="5"/>
      </tp>
      <tp t="s">
        <v/>
        <stp/>
        <stp>WNS 16!-IEU</stp>
        <stp>ICE Theoretical Price</stp>
        <tr r="W1863" s="5"/>
      </tp>
      <tp t="s">
        <v/>
        <stp/>
        <stp>WNS 15!-IEU</stp>
        <stp>ICE Theoretical Price</stp>
        <tr r="W1862" s="5"/>
      </tp>
      <tp t="s">
        <v/>
        <stp/>
        <stp>WNS 14!-IEU</stp>
        <stp>ICE Theoretical Price</stp>
        <tr r="W1861" s="5"/>
      </tp>
      <tp t="s">
        <v/>
        <stp/>
        <stp>WNS 13!-IEU</stp>
        <stp>ICE Theoretical Price</stp>
        <tr r="W1860" s="5"/>
      </tp>
      <tp t="s">
        <v/>
        <stp/>
        <stp>WNS 12!-IEU</stp>
        <stp>ICE Theoretical Price</stp>
        <tr r="W1859" s="5"/>
      </tp>
      <tp t="s">
        <v/>
        <stp/>
        <stp>WNS 11!-IEU</stp>
        <stp>ICE Theoretical Price</stp>
        <tr r="W1858" s="5"/>
      </tp>
      <tp t="s">
        <v/>
        <stp/>
        <stp>WNS 10!-IEU</stp>
        <stp>ICE Theoretical Price</stp>
        <tr r="W1857" s="5"/>
      </tp>
      <tp t="s">
        <v/>
        <stp/>
        <stp>WNS 19!-IEU</stp>
        <stp>ICE Theoretical Price</stp>
        <tr r="W1866" s="5"/>
      </tp>
      <tp t="s">
        <v/>
        <stp/>
        <stp>WNS 18!-IEU</stp>
        <stp>ICE Theoretical Price</stp>
        <tr r="W1865" s="5"/>
      </tp>
    </main>
    <main first="ice.rtd">
      <tp t="s">
        <v/>
        <stp/>
        <stp>366531MM6:BstHitPrc</stp>
        <tr r="G1721" s="5"/>
      </tp>
      <tp t="s">
        <v/>
        <stp/>
        <stp>366531MM6:LstBlkPrc</stp>
        <tr r="K1721" s="5"/>
      </tp>
      <tp t="s">
        <v/>
        <stp/>
        <stp>266419M15:BstHitPrc</stp>
        <tr r="G974" s="5"/>
      </tp>
      <tp t="s">
        <v/>
        <stp/>
        <stp>366531QQ0:LstBlkVol</stp>
        <tr r="L1743" s="5"/>
      </tp>
      <tp t="s">
        <v/>
        <stp/>
        <stp>366531YY0:LstBlkVol</stp>
        <tr r="L1745" s="5"/>
      </tp>
      <tp>
        <v>20</v>
        <stp/>
        <stp>366531MM0:LstBlkVol</stp>
        <tr r="L1715" s="5"/>
      </tp>
      <tp t="s">
        <v/>
        <stp/>
        <stp>141587M19:LstBlkVol</stp>
        <tr r="L60" s="5"/>
      </tp>
    </main>
    <main first="bofaddin.rtdserver">
      <tp>
        <v>0.22</v>
        <stp/>
        <stp>BDP|12878066597402231381|222</stp>
        <stp>CLN8CLQ8 Comdty</stp>
        <stp>BID</stp>
        <stp>Fill=#N/A</stp>
        <tr r="N42" s="1"/>
      </tp>
    </main>
    <main first="esrtd">
      <tp t="s">
        <v/>
        <stp/>
        <stp>WHK 20!-IEU</stp>
        <stp>Block Volume</stp>
        <tr r="O1937" s="5"/>
      </tp>
      <tp t="s">
        <v/>
        <stp/>
        <stp>WHK 30!-IEU</stp>
        <stp>Block Volume</stp>
        <tr r="O1947" s="5"/>
      </tp>
      <tp t="s">
        <v/>
        <stp/>
        <stp>WHK 10!-IEU</stp>
        <stp>Block Volume</stp>
        <tr r="O1927" s="5"/>
      </tp>
      <tp t="s">
        <v/>
        <stp/>
        <stp>WMJ 25!-IEU</stp>
        <stp>Block Volume</stp>
        <tr r="O1907" s="5"/>
      </tp>
      <tp t="s">
        <v/>
        <stp/>
        <stp>WMJ 15!-IEU</stp>
        <stp>Block Volume</stp>
        <tr r="O1897" s="5"/>
      </tp>
    </main>
    <main first="ice.rtd">
      <tp t="s">
        <v/>
        <stp/>
        <stp>266419M13:LstBlkVol</stp>
        <tr r="L972" s="5"/>
      </tp>
      <tp t="s">
        <v/>
        <stp/>
        <stp>266419M23:LstBlkVol</stp>
        <tr r="L982" s="5"/>
      </tp>
    </main>
    <main first="bofaddin.rtdserver">
      <tp>
        <v>0.24</v>
        <stp/>
        <stp>BDP|16742315984118227729|222</stp>
        <stp>COZ9COF0 Comdty</stp>
        <stp>ASK</stp>
        <stp>Fill=#N/A</stp>
        <tr r="O59" s="1"/>
      </tp>
    </main>
    <main first="ice.rtd">
      <tp>
        <v>50</v>
        <stp/>
        <stp>1986823075M19:OI</stp>
        <tr r="T136" s="5"/>
      </tp>
      <tp>
        <v>730</v>
        <stp/>
        <stp>1986823075M18:OI</stp>
        <tr r="T135" s="5"/>
      </tp>
      <tp>
        <v>945</v>
        <stp/>
        <stp>1986823075M11:OI</stp>
        <tr r="T128" s="5"/>
      </tp>
      <tp>
        <v>991</v>
        <stp/>
        <stp>1986823075M10:OI</stp>
        <tr r="T127" s="5"/>
      </tp>
      <tp>
        <v>1300</v>
        <stp/>
        <stp>1986823075M13:OI</stp>
        <tr r="T130" s="5"/>
      </tp>
      <tp>
        <v>1002</v>
        <stp/>
        <stp>1986823075M12:OI</stp>
        <tr r="T129" s="5"/>
      </tp>
      <tp>
        <v>1275</v>
        <stp/>
        <stp>1986823075M15:OI</stp>
        <tr r="T132" s="5"/>
      </tp>
      <tp>
        <v>1130</v>
        <stp/>
        <stp>1986823075M14:OI</stp>
        <tr r="T131" s="5"/>
      </tp>
      <tp>
        <v>730</v>
        <stp/>
        <stp>1986823075M17:OI</stp>
        <tr r="T134" s="5"/>
      </tp>
      <tp>
        <v>730</v>
        <stp/>
        <stp>1986823075M16:OI</stp>
        <tr r="T133" s="5"/>
      </tp>
      <tp>
        <v>50</v>
        <stp/>
        <stp>1986823075M21:OI</stp>
        <tr r="T138" s="5"/>
      </tp>
      <tp>
        <v>50</v>
        <stp/>
        <stp>1986823075M20:OI</stp>
        <tr r="T137" s="5"/>
      </tp>
      <tp>
        <v>50</v>
        <stp/>
        <stp>1986823075M23:OI</stp>
        <tr r="T140" s="5"/>
      </tp>
      <tp>
        <v>50</v>
        <stp/>
        <stp>1986823075M22:OI</stp>
        <tr r="T139" s="5"/>
      </tp>
      <tp>
        <v>50</v>
        <stp/>
        <stp>1986823075M24:OI</stp>
        <tr r="T141" s="5"/>
      </tp>
      <tp t="s">
        <v/>
        <stp/>
        <stp>5162M18:LstBlkVol</stp>
        <tr r="L787" s="5"/>
      </tp>
      <tp>
        <v>58</v>
        <stp/>
        <stp>2427126288M24:OI</stp>
        <tr r="T1059" s="5"/>
      </tp>
      <tp>
        <v>58</v>
        <stp/>
        <stp>2427126288M20:OI</stp>
        <tr r="T1055" s="5"/>
      </tp>
      <tp>
        <v>58</v>
        <stp/>
        <stp>2427126288M21:OI</stp>
        <tr r="T1056" s="5"/>
      </tp>
      <tp>
        <v>58</v>
        <stp/>
        <stp>2427126288M22:OI</stp>
        <tr r="T1057" s="5"/>
      </tp>
      <tp>
        <v>58</v>
        <stp/>
        <stp>2427126288M23:OI</stp>
        <tr r="T1058" s="5"/>
      </tp>
      <tp>
        <v>58</v>
        <stp/>
        <stp>2427126288M18:OI</stp>
        <tr r="T1053" s="5"/>
      </tp>
      <tp>
        <v>58</v>
        <stp/>
        <stp>2427126288M19:OI</stp>
        <tr r="T1054" s="5"/>
      </tp>
      <tp>
        <v>398</v>
        <stp/>
        <stp>2427126288M14:OI</stp>
        <tr r="T1049" s="5"/>
      </tp>
      <tp>
        <v>398</v>
        <stp/>
        <stp>2427126288M15:OI</stp>
        <tr r="T1050" s="5"/>
      </tp>
      <tp>
        <v>58</v>
        <stp/>
        <stp>2427126288M16:OI</stp>
        <tr r="T1051" s="5"/>
      </tp>
      <tp>
        <v>58</v>
        <stp/>
        <stp>2427126288M17:OI</stp>
        <tr r="T1052" s="5"/>
      </tp>
      <tp>
        <v>423</v>
        <stp/>
        <stp>2427126288M10:OI</stp>
        <tr r="T1045" s="5"/>
      </tp>
      <tp>
        <v>423</v>
        <stp/>
        <stp>2427126288M11:OI</stp>
        <tr r="T1046" s="5"/>
      </tp>
      <tp>
        <v>423</v>
        <stp/>
        <stp>2427126288M12:OI</stp>
        <tr r="T1047" s="5"/>
      </tp>
      <tp>
        <v>398</v>
        <stp/>
        <stp>2427126288M13:OI</stp>
        <tr r="T1048" s="5"/>
      </tp>
    </main>
    <main first="bofaddin.rtdserver">
      <tp t="s">
        <v>#N/A Invalid Security</v>
        <stp/>
        <stp>BDP|219486725532967518|222</stp>
        <stp>HOQ0 Comdty</stp>
        <stp>BID</stp>
        <stp>Fill=#N/A</stp>
        <tr r="I66" s="1"/>
      </tp>
    </main>
    <main first="ice.rtd">
      <tp t="s">
        <v/>
        <stp/>
        <stp>1517M19:LstBlkPrc</stp>
        <tr r="K22" s="5"/>
      </tp>
      <tp>
        <v>0.34</v>
        <stp/>
        <stp>1517M19:BstHitPrc</stp>
        <tr r="G22" s="5"/>
      </tp>
      <tp t="s">
        <v/>
        <stp/>
        <stp>DBJ29446BM0:LstDate</stp>
        <tr r="J1647" s="5"/>
      </tp>
      <tp t="s">
        <v>GST</v>
        <stp/>
        <stp>161913535QQ0:PCC</stp>
        <tr r="B2055" s="5"/>
      </tp>
      <tp t="s">
        <v>GST</v>
        <stp/>
        <stp>161913535QQ1:PCC</stp>
        <tr r="B2056" s="5"/>
      </tp>
      <tp t="s">
        <v/>
        <stp/>
        <stp>266419M8:LstBlkTime</stp>
        <tr r="M967" s="5"/>
      </tp>
      <tp t="s">
        <v/>
        <stp/>
        <stp>266419M9:LstBlkTime</stp>
        <tr r="M968" s="5"/>
      </tp>
      <tp t="s">
        <v/>
        <stp/>
        <stp>266419M4:LstBlkTime</stp>
        <tr r="M963" s="5"/>
      </tp>
      <tp t="s">
        <v/>
        <stp/>
        <stp>266419M5:LstBlkTime</stp>
        <tr r="M964" s="5"/>
      </tp>
      <tp t="s">
        <v/>
        <stp/>
        <stp>266419M6:LstBlkTime</stp>
        <tr r="M965" s="5"/>
      </tp>
      <tp t="s">
        <v/>
        <stp/>
        <stp>266419M7:LstBlkTime</stp>
        <tr r="M966" s="5"/>
      </tp>
      <tp t="s">
        <v/>
        <stp/>
        <stp>266419M0:LstBlkTime</stp>
        <tr r="M959" s="5"/>
      </tp>
      <tp t="s">
        <v/>
        <stp/>
        <stp>266419M1:LstBlkTime</stp>
        <tr r="M960" s="5"/>
      </tp>
      <tp t="s">
        <v/>
        <stp/>
        <stp>266419M2:LstBlkTime</stp>
        <tr r="M961" s="5"/>
      </tp>
      <tp t="s">
        <v/>
        <stp/>
        <stp>266419M3:LstBlkTime</stp>
        <tr r="M962" s="5"/>
      </tp>
      <tp t="s">
        <v/>
        <stp/>
        <stp>266419Q8:LstBlkTime</stp>
        <tr r="M992" s="5"/>
      </tp>
      <tp t="s">
        <v/>
        <stp/>
        <stp>266419Q4:LstBlkTime</stp>
        <tr r="M988" s="5"/>
      </tp>
      <tp t="s">
        <v/>
        <stp/>
        <stp>266419Q5:LstBlkTime</stp>
        <tr r="M989" s="5"/>
      </tp>
      <tp t="s">
        <v/>
        <stp/>
        <stp>266419Q6:LstBlkTime</stp>
        <tr r="M990" s="5"/>
      </tp>
      <tp t="s">
        <v/>
        <stp/>
        <stp>266419Q7:LstBlkTime</stp>
        <tr r="M991" s="5"/>
      </tp>
      <tp t="s">
        <v/>
        <stp/>
        <stp>266419Q0:LstBlkTime</stp>
        <tr r="M984" s="5"/>
      </tp>
      <tp t="s">
        <v/>
        <stp/>
        <stp>266419Q1:LstBlkTime</stp>
        <tr r="M985" s="5"/>
      </tp>
      <tp t="s">
        <v/>
        <stp/>
        <stp>266419Q2:LstBlkTime</stp>
        <tr r="M986" s="5"/>
      </tp>
      <tp t="s">
        <v/>
        <stp/>
        <stp>266419Q3:LstBlkTime</stp>
        <tr r="M987" s="5"/>
      </tp>
      <tp t="s">
        <v/>
        <stp/>
        <stp>266419Y0:LstBlkTime</stp>
        <tr r="M993" s="5"/>
      </tp>
      <tp t="s">
        <v/>
        <stp/>
        <stp>266419Y1:LstBlkTime</stp>
        <tr r="M994" s="5"/>
      </tp>
      <tp t="s">
        <v/>
        <stp/>
        <stp>266419Y2:LstBlkTime</stp>
        <tr r="M995" s="5"/>
      </tp>
      <tp t="s">
        <v/>
        <stp/>
        <stp>34344092M5:BstLiftPrc</stp>
        <tr r="H1268" s="5"/>
      </tp>
      <tp t="s">
        <v/>
        <stp/>
        <stp>34354093M5:BstLiftPrc</stp>
        <tr r="H1306" s="5"/>
      </tp>
      <tp t="s">
        <v/>
        <stp/>
        <stp>34344092M4:BstLiftPrc</stp>
        <tr r="H1267" s="5"/>
      </tp>
      <tp t="s">
        <v/>
        <stp/>
        <stp>34354093M4:BstLiftPrc</stp>
        <tr r="H1305" s="5"/>
      </tp>
      <tp t="s">
        <v/>
        <stp/>
        <stp>34344092M7:BstLiftPrc</stp>
        <tr r="H1270" s="5"/>
      </tp>
      <tp t="s">
        <v/>
        <stp/>
        <stp>34354093M7:BstLiftPrc</stp>
        <tr r="H1308" s="5"/>
      </tp>
      <tp t="s">
        <v/>
        <stp/>
        <stp>34344092M6:BstLiftPrc</stp>
        <tr r="H1269" s="5"/>
      </tp>
      <tp t="s">
        <v/>
        <stp/>
        <stp>34354093M6:BstLiftPrc</stp>
        <tr r="H1307" s="5"/>
      </tp>
      <tp t="s">
        <v/>
        <stp/>
        <stp>34344092M1:BstLiftPrc</stp>
        <tr r="H1264" s="5"/>
      </tp>
      <tp>
        <v>83.19</v>
        <stp/>
        <stp>34354093M1:BstLiftPrc</stp>
        <tr r="H1302" s="5"/>
      </tp>
      <tp t="s">
        <v/>
        <stp/>
        <stp>34344092M0:BstLiftPrc</stp>
        <tr r="H1263" s="5"/>
      </tp>
      <tp t="s">
        <v/>
        <stp/>
        <stp>34354093M0:BstLiftPrc</stp>
        <tr r="H1301" s="5"/>
      </tp>
      <tp t="s">
        <v/>
        <stp/>
        <stp>34344092M3:BstLiftPrc</stp>
        <tr r="H1266" s="5"/>
      </tp>
      <tp>
        <v>73.23</v>
        <stp/>
        <stp>34354093M3:BstLiftPrc</stp>
        <tr r="H1304" s="5"/>
      </tp>
      <tp t="s">
        <v/>
        <stp/>
        <stp>34344092M2:BstLiftPrc</stp>
        <tr r="H1265" s="5"/>
      </tp>
      <tp>
        <v>78.05</v>
        <stp/>
        <stp>34354093M2:BstLiftPrc</stp>
        <tr r="H1303" s="5"/>
      </tp>
      <tp t="s">
        <v/>
        <stp/>
        <stp>34344092M9:BstLiftPrc</stp>
        <tr r="H1272" s="5"/>
      </tp>
      <tp t="s">
        <v/>
        <stp/>
        <stp>34354093M9:BstLiftPrc</stp>
        <tr r="H1310" s="5"/>
      </tp>
      <tp t="s">
        <v/>
        <stp/>
        <stp>34344092M8:BstLiftPrc</stp>
        <tr r="H1271" s="5"/>
      </tp>
      <tp t="s">
        <v/>
        <stp/>
        <stp>34354093M8:BstLiftPrc</stp>
        <tr r="H1309" s="5"/>
      </tp>
      <tp t="s">
        <v/>
        <stp/>
        <stp>34344092Q5:BstLiftPrc</stp>
        <tr r="H1293" s="5"/>
      </tp>
      <tp>
        <v>44.1</v>
        <stp/>
        <stp>34354093Q5:BstLiftPrc</stp>
        <tr r="H1331" s="5"/>
      </tp>
      <tp t="s">
        <v/>
        <stp/>
        <stp>34344092Q4:BstLiftPrc</stp>
        <tr r="H1292" s="5"/>
      </tp>
      <tp>
        <v>47.79</v>
        <stp/>
        <stp>34354093Q4:BstLiftPrc</stp>
        <tr r="H1330" s="5"/>
      </tp>
      <tp t="s">
        <v/>
        <stp/>
        <stp>34344092Q7:BstLiftPrc</stp>
        <tr r="H1295" s="5"/>
      </tp>
      <tp t="s">
        <v/>
        <stp/>
        <stp>34354093Q7:BstLiftPrc</stp>
        <tr r="H1333" s="5"/>
      </tp>
      <tp t="s">
        <v/>
        <stp/>
        <stp>34344092Q6:BstLiftPrc</stp>
        <tr r="H1294" s="5"/>
      </tp>
      <tp>
        <v>43.85</v>
        <stp/>
        <stp>34354093Q6:BstLiftPrc</stp>
        <tr r="H1332" s="5"/>
      </tp>
      <tp t="s">
        <v/>
        <stp/>
        <stp>34344092Q1:BstLiftPrc</stp>
        <tr r="H1289" s="5"/>
      </tp>
      <tp>
        <v>66.48</v>
        <stp/>
        <stp>34354093Q1:BstLiftPrc</stp>
        <tr r="H1327" s="5"/>
      </tp>
      <tp t="s">
        <v/>
        <stp/>
        <stp>34344092Q0:BstLiftPrc</stp>
        <tr r="H1288" s="5"/>
      </tp>
      <tp>
        <v>78.150000000000006</v>
        <stp/>
        <stp>34354093Q0:BstLiftPrc</stp>
        <tr r="H1326" s="5"/>
      </tp>
      <tp t="s">
        <v/>
        <stp/>
        <stp>34344092Q3:BstLiftPrc</stp>
        <tr r="H1291" s="5"/>
      </tp>
      <tp>
        <v>51.96</v>
        <stp/>
        <stp>34354093Q3:BstLiftPrc</stp>
        <tr r="H1329" s="5"/>
      </tp>
      <tp t="s">
        <v/>
        <stp/>
        <stp>34344092Q2:BstLiftPrc</stp>
        <tr r="H1290" s="5"/>
      </tp>
      <tp>
        <v>57.01</v>
        <stp/>
        <stp>34354093Q2:BstLiftPrc</stp>
        <tr r="H1328" s="5"/>
      </tp>
      <tp t="s">
        <v/>
        <stp/>
        <stp>34344092Q8:BstLiftPrc</stp>
        <tr r="H1296" s="5"/>
      </tp>
      <tp t="s">
        <v/>
        <stp/>
        <stp>34354093Q8:BstLiftPrc</stp>
        <tr r="H1334" s="5"/>
      </tp>
      <tp t="s">
        <v/>
        <stp/>
        <stp>34344092Y1:BstLiftPrc</stp>
        <tr r="H1298" s="5"/>
      </tp>
      <tp>
        <v>39.869999999999997</v>
        <stp/>
        <stp>34354093Y1:BstLiftPrc</stp>
        <tr r="H1336" s="5"/>
      </tp>
      <tp t="s">
        <v/>
        <stp/>
        <stp>34344092Y0:BstLiftPrc</stp>
        <tr r="H1297" s="5"/>
      </tp>
      <tp>
        <v>55.82</v>
        <stp/>
        <stp>34354093Y0:BstLiftPrc</stp>
        <tr r="H1335" s="5"/>
      </tp>
      <tp t="s">
        <v/>
        <stp/>
        <stp>34344092Y2:BstLiftPrc</stp>
        <tr r="H1299" s="5"/>
      </tp>
      <tp t="s">
        <v/>
        <stp/>
        <stp>34354093Y2:BstLiftPrc</stp>
        <tr r="H1337" s="5"/>
      </tp>
      <tp t="s">
        <v>BOD</v>
        <stp/>
        <stp>141587M19:PCC</stp>
        <tr r="B60" s="5"/>
      </tp>
      <tp t="s">
        <v>BOD</v>
        <stp/>
        <stp>141587M18:PCC</stp>
        <tr r="B59" s="5"/>
      </tp>
      <tp t="s">
        <v>BOD</v>
        <stp/>
        <stp>141587M15:PCC</stp>
        <tr r="B56" s="5"/>
      </tp>
      <tp t="s">
        <v>BOD</v>
        <stp/>
        <stp>141587M14:PCC</stp>
        <tr r="B55" s="5"/>
      </tp>
      <tp t="s">
        <v>BOD</v>
        <stp/>
        <stp>141587M17:PCC</stp>
        <tr r="B58" s="5"/>
      </tp>
      <tp t="s">
        <v>BOD</v>
        <stp/>
        <stp>141587M16:PCC</stp>
        <tr r="B57" s="5"/>
      </tp>
      <tp t="s">
        <v>BOD</v>
        <stp/>
        <stp>141587M11:PCC</stp>
        <tr r="B52" s="5"/>
      </tp>
      <tp t="s">
        <v>BOD</v>
        <stp/>
        <stp>141587M10:PCC</stp>
        <tr r="B51" s="5"/>
      </tp>
      <tp t="s">
        <v>BOD</v>
        <stp/>
        <stp>141587M13:PCC</stp>
        <tr r="B54" s="5"/>
      </tp>
      <tp t="s">
        <v>BOD</v>
        <stp/>
        <stp>141587M12:PCC</stp>
        <tr r="B53" s="5"/>
      </tp>
      <tp t="s">
        <v>BOD</v>
        <stp/>
        <stp>141587M24:PCC</stp>
        <tr r="B65" s="5"/>
      </tp>
      <tp t="s">
        <v>BOD</v>
        <stp/>
        <stp>141587M21:PCC</stp>
        <tr r="B62" s="5"/>
      </tp>
      <tp t="s">
        <v>BOD</v>
        <stp/>
        <stp>141587M20:PCC</stp>
        <tr r="B61" s="5"/>
      </tp>
      <tp t="s">
        <v>BOD</v>
        <stp/>
        <stp>141587M23:PCC</stp>
        <tr r="B64" s="5"/>
      </tp>
      <tp t="s">
        <v>BOD</v>
        <stp/>
        <stp>141587M22:PCC</stp>
        <tr r="B63" s="5"/>
      </tp>
      <tp t="s">
        <v/>
        <stp/>
        <stp>34364094M5:BstLiftPrc</stp>
        <tr r="H523" s="5"/>
      </tp>
      <tp t="s">
        <v/>
        <stp/>
        <stp>34374095M5:BstLiftPrc</stp>
        <tr r="H561" s="5"/>
      </tp>
      <tp t="s">
        <v/>
        <stp/>
        <stp>34364094M4:BstLiftPrc</stp>
        <tr r="H522" s="5"/>
      </tp>
      <tp t="s">
        <v/>
        <stp/>
        <stp>34374095M4:BstLiftPrc</stp>
        <tr r="H560" s="5"/>
      </tp>
      <tp t="s">
        <v/>
        <stp/>
        <stp>34364094M7:BstLiftPrc</stp>
        <tr r="H525" s="5"/>
      </tp>
      <tp t="s">
        <v/>
        <stp/>
        <stp>34374095M7:BstLiftPrc</stp>
        <tr r="H563" s="5"/>
      </tp>
      <tp t="s">
        <v/>
        <stp/>
        <stp>34364094M6:BstLiftPrc</stp>
        <tr r="H524" s="5"/>
      </tp>
      <tp t="s">
        <v/>
        <stp/>
        <stp>34374095M6:BstLiftPrc</stp>
        <tr r="H562" s="5"/>
      </tp>
      <tp t="s">
        <v/>
        <stp/>
        <stp>34364094M1:BstLiftPrc</stp>
        <tr r="H519" s="5"/>
      </tp>
      <tp t="s">
        <v/>
        <stp/>
        <stp>34374095M1:BstLiftPrc</stp>
        <tr r="H557" s="5"/>
      </tp>
      <tp t="s">
        <v/>
        <stp/>
        <stp>34364094M0:BstLiftPrc</stp>
        <tr r="H518" s="5"/>
      </tp>
      <tp t="s">
        <v/>
        <stp/>
        <stp>34374095M0:BstLiftPrc</stp>
        <tr r="H556" s="5"/>
      </tp>
      <tp t="s">
        <v/>
        <stp/>
        <stp>34364094M3:BstLiftPrc</stp>
        <tr r="H521" s="5"/>
      </tp>
      <tp t="s">
        <v/>
        <stp/>
        <stp>34374095M3:BstLiftPrc</stp>
        <tr r="H559" s="5"/>
      </tp>
      <tp t="s">
        <v/>
        <stp/>
        <stp>34364094M2:BstLiftPrc</stp>
        <tr r="H520" s="5"/>
      </tp>
      <tp t="s">
        <v/>
        <stp/>
        <stp>34374095M2:BstLiftPrc</stp>
        <tr r="H558" s="5"/>
      </tp>
      <tp t="s">
        <v/>
        <stp/>
        <stp>34364094M9:BstLiftPrc</stp>
        <tr r="H527" s="5"/>
      </tp>
      <tp t="s">
        <v/>
        <stp/>
        <stp>34374095M9:BstLiftPrc</stp>
        <tr r="H565" s="5"/>
      </tp>
      <tp t="s">
        <v/>
        <stp/>
        <stp>34364094M8:BstLiftPrc</stp>
        <tr r="H526" s="5"/>
      </tp>
      <tp t="s">
        <v/>
        <stp/>
        <stp>34374095M8:BstLiftPrc</stp>
        <tr r="H564" s="5"/>
      </tp>
      <tp t="s">
        <v/>
        <stp/>
        <stp>34364094Q5:BstLiftPrc</stp>
        <tr r="H548" s="5"/>
      </tp>
      <tp t="s">
        <v/>
        <stp/>
        <stp>34374095Q5:BstLiftPrc</stp>
        <tr r="H586" s="5"/>
      </tp>
      <tp t="s">
        <v/>
        <stp/>
        <stp>34364094Q4:BstLiftPrc</stp>
        <tr r="H547" s="5"/>
      </tp>
      <tp t="s">
        <v/>
        <stp/>
        <stp>34374095Q4:BstLiftPrc</stp>
        <tr r="H585" s="5"/>
      </tp>
      <tp t="s">
        <v/>
        <stp/>
        <stp>34364094Q7:BstLiftPrc</stp>
        <tr r="H550" s="5"/>
      </tp>
      <tp t="s">
        <v/>
        <stp/>
        <stp>34374095Q7:BstLiftPrc</stp>
        <tr r="H588" s="5"/>
      </tp>
      <tp t="s">
        <v/>
        <stp/>
        <stp>34364094Q6:BstLiftPrc</stp>
        <tr r="H549" s="5"/>
      </tp>
      <tp t="s">
        <v/>
        <stp/>
        <stp>34374095Q6:BstLiftPrc</stp>
        <tr r="H587" s="5"/>
      </tp>
      <tp t="s">
        <v/>
        <stp/>
        <stp>34364094Q1:BstLiftPrc</stp>
        <tr r="H544" s="5"/>
      </tp>
      <tp t="s">
        <v/>
        <stp/>
        <stp>34374095Q1:BstLiftPrc</stp>
        <tr r="H582" s="5"/>
      </tp>
      <tp t="s">
        <v/>
        <stp/>
        <stp>34364094Q0:BstLiftPrc</stp>
        <tr r="H543" s="5"/>
      </tp>
      <tp t="s">
        <v/>
        <stp/>
        <stp>34374095Q0:BstLiftPrc</stp>
        <tr r="H581" s="5"/>
      </tp>
      <tp t="s">
        <v/>
        <stp/>
        <stp>34364094Q3:BstLiftPrc</stp>
        <tr r="H546" s="5"/>
      </tp>
      <tp t="s">
        <v/>
        <stp/>
        <stp>34374095Q3:BstLiftPrc</stp>
        <tr r="H584" s="5"/>
      </tp>
      <tp t="s">
        <v/>
        <stp/>
        <stp>34364094Q2:BstLiftPrc</stp>
        <tr r="H545" s="5"/>
      </tp>
      <tp t="s">
        <v/>
        <stp/>
        <stp>34374095Q2:BstLiftPrc</stp>
        <tr r="H583" s="5"/>
      </tp>
      <tp t="s">
        <v/>
        <stp/>
        <stp>34364094Q8:BstLiftPrc</stp>
        <tr r="H551" s="5"/>
      </tp>
      <tp t="s">
        <v/>
        <stp/>
        <stp>34374095Q8:BstLiftPrc</stp>
        <tr r="H589" s="5"/>
      </tp>
      <tp t="s">
        <v/>
        <stp/>
        <stp>34364094Y1:BstLiftPrc</stp>
        <tr r="H553" s="5"/>
      </tp>
      <tp t="s">
        <v/>
        <stp/>
        <stp>34374095Y1:BstLiftPrc</stp>
        <tr r="H591" s="5"/>
      </tp>
      <tp t="s">
        <v/>
        <stp/>
        <stp>34364094Y0:BstLiftPrc</stp>
        <tr r="H552" s="5"/>
      </tp>
      <tp t="s">
        <v/>
        <stp/>
        <stp>34374095Y0:BstLiftPrc</stp>
        <tr r="H590" s="5"/>
      </tp>
      <tp t="s">
        <v/>
        <stp/>
        <stp>34364094Y2:BstLiftPrc</stp>
        <tr r="H554" s="5"/>
      </tp>
      <tp t="s">
        <v/>
        <stp/>
        <stp>34374095Y2:BstLiftPrc</stp>
        <tr r="H592" s="5"/>
      </tp>
      <tp t="s">
        <v/>
        <stp/>
        <stp>2049123570B0:BstLiftPrc</stp>
        <tr r="H230" s="5"/>
      </tp>
      <tp t="s">
        <v/>
        <stp/>
        <stp>2326425625B0:BstLiftPrc</stp>
        <tr r="H1262" s="5"/>
      </tp>
      <tp t="s">
        <v/>
        <stp/>
        <stp>2324625607B0:BstLiftPrc</stp>
        <tr r="Z250" s="5"/>
        <tr r="H192" s="5"/>
      </tp>
    </main>
    <main first="esrtd">
      <tp t="s">
        <v/>
        <stp/>
        <stp>WNS 25!-IEU</stp>
        <stp>Block Volume</stp>
        <tr r="O1872" s="5"/>
      </tp>
      <tp t="s">
        <v/>
        <stp/>
        <stp>WNS 15!-IEU</stp>
        <stp>Block Volume</stp>
        <tr r="O1862" s="5"/>
      </tp>
      <tp t="s">
        <v/>
        <stp/>
        <stp>ULF U27-IEU</stp>
        <stp>ICE Theoretical Price</stp>
        <tr r="W568" s="5"/>
      </tp>
      <tp t="s">
        <v/>
        <stp/>
        <stp>ULI U28-IEU</stp>
        <stp>ICE Theoretical Price</stp>
        <tr r="W618" s="5"/>
      </tp>
      <tp t="s">
        <v/>
        <stp/>
        <stp>NBI N28-IEU</stp>
        <stp>ICE Theoretical Price</stp>
        <tr r="W1437" s="5"/>
      </tp>
      <tp t="s">
        <v/>
        <stp/>
        <stp>ULF V27-IEU</stp>
        <stp>ICE Theoretical Price</stp>
        <tr r="W569" s="5"/>
      </tp>
      <tp t="s">
        <v/>
        <stp/>
        <stp>DBF G27-IEU</stp>
        <stp>ICE Theoretical Price</stp>
        <tr r="W8" s="5"/>
      </tp>
      <tp t="s">
        <v/>
        <stp/>
        <stp>NBI M28-IEU</stp>
        <stp>ICE Theoretical Price</stp>
        <tr r="W1436" s="5"/>
      </tp>
      <tp t="s">
        <v/>
        <stp/>
        <stp>DBF F27-IEU</stp>
        <stp>ICE Theoretical Price</stp>
        <tr r="W7" s="5"/>
      </tp>
      <tp t="s">
        <v/>
        <stp/>
        <stp>NBI K28-IEU</stp>
        <stp>ICE Theoretical Price</stp>
        <tr r="W1435" s="5"/>
      </tp>
      <tp t="s">
        <v/>
        <stp/>
        <stp>ULF Q27-IEU</stp>
        <stp>ICE Theoretical Price</stp>
        <tr r="W567" s="5"/>
      </tp>
      <tp t="s">
        <v/>
        <stp/>
        <stp>ULI Q28-IEU</stp>
        <stp>ICE Theoretical Price</stp>
        <tr r="W617" s="5"/>
      </tp>
      <tp t="s">
        <v/>
        <stp/>
        <stp>NBI J28-IEU</stp>
        <stp>ICE Theoretical Price</stp>
        <tr r="W1434" s="5"/>
      </tp>
      <tp t="s">
        <v/>
        <stp/>
        <stp>NBI H28-IEU</stp>
        <stp>ICE Theoretical Price</stp>
        <tr r="W1433" s="5"/>
      </tp>
      <tp t="s">
        <v/>
        <stp/>
        <stp>DBF M27-IEU</stp>
        <stp>ICE Theoretical Price</stp>
        <tr r="W12" s="5"/>
      </tp>
      <tp t="s">
        <v/>
        <stp/>
        <stp>NBI G28-IEU</stp>
        <stp>ICE Theoretical Price</stp>
        <tr r="W1432" s="5"/>
      </tp>
      <tp t="s">
        <v/>
        <stp/>
        <stp>NBI F28-IEU</stp>
        <stp>ICE Theoretical Price</stp>
        <tr r="W1431" s="5"/>
      </tp>
      <tp t="s">
        <v/>
        <stp/>
        <stp>DBF N27-IEU</stp>
        <stp>ICE Theoretical Price</stp>
        <tr r="W13" s="5"/>
      </tp>
      <tp t="s">
        <v/>
        <stp/>
        <stp>ULF X27-IEU</stp>
        <stp>ICE Theoretical Price</stp>
        <tr r="W570" s="5"/>
      </tp>
      <tp t="s">
        <v/>
        <stp/>
        <stp>DBF H27-IEU</stp>
        <stp>ICE Theoretical Price</stp>
        <tr r="W9" s="5"/>
      </tp>
      <tp t="s">
        <v/>
        <stp/>
        <stp>ULF Z27-IEU</stp>
        <stp>ICE Theoretical Price</stp>
        <tr r="W571" s="5"/>
      </tp>
      <tp t="s">
        <v/>
        <stp/>
        <stp>DBF K27-IEU</stp>
        <stp>ICE Theoretical Price</stp>
        <tr r="W11" s="5"/>
      </tp>
      <tp t="s">
        <v/>
        <stp/>
        <stp>DBF J27-IEU</stp>
        <stp>ICE Theoretical Price</stp>
        <tr r="W10" s="5"/>
      </tp>
      <tp t="s">
        <v/>
        <stp/>
        <stp>DBF U27-IEU</stp>
        <stp>ICE Theoretical Price</stp>
        <tr r="W15" s="5"/>
      </tp>
    </main>
    <main first="ice.rtd">
      <tp t="s">
        <v/>
        <stp/>
        <stp>266419M16:LstBlkPrc</stp>
        <tr r="K975" s="5"/>
      </tp>
    </main>
    <main first="esrtd">
      <tp t="s">
        <v/>
        <stp/>
        <stp>ULF F27-IEU</stp>
        <stp>ICE Theoretical Price</stp>
        <tr r="W560" s="5"/>
      </tp>
      <tp t="s">
        <v/>
        <stp/>
        <stp>ULI F28-IEU</stp>
        <stp>ICE Theoretical Price</stp>
        <tr r="W610" s="5"/>
      </tp>
      <tp t="s">
        <v/>
        <stp/>
        <stp>ULF G27-IEU</stp>
        <stp>ICE Theoretical Price</stp>
        <tr r="W561" s="5"/>
      </tp>
      <tp t="s">
        <v/>
        <stp/>
        <stp>ULI G28-IEU</stp>
        <stp>ICE Theoretical Price</stp>
        <tr r="W611" s="5"/>
      </tp>
      <tp t="s">
        <v/>
        <stp/>
        <stp>DBF V27-IEU</stp>
        <stp>ICE Theoretical Price</stp>
        <tr r="W16" s="5"/>
      </tp>
      <tp t="s">
        <v/>
        <stp/>
        <stp>DBF Q27-IEU</stp>
        <stp>ICE Theoretical Price</stp>
        <tr r="W14" s="5"/>
      </tp>
      <tp t="s">
        <v/>
        <stp/>
        <stp>ULF M27-IEU</stp>
        <stp>ICE Theoretical Price</stp>
        <tr r="W565" s="5"/>
      </tp>
      <tp t="s">
        <v/>
        <stp/>
        <stp>ULI M28-IEU</stp>
        <stp>ICE Theoretical Price</stp>
        <tr r="W615" s="5"/>
      </tp>
      <tp t="s">
        <v/>
        <stp/>
        <stp>ULF N27-IEU</stp>
        <stp>ICE Theoretical Price</stp>
        <tr r="W566" s="5"/>
      </tp>
      <tp t="s">
        <v/>
        <stp/>
        <stp>ULI N28-IEU</stp>
        <stp>ICE Theoretical Price</stp>
        <tr r="W616" s="5"/>
      </tp>
      <tp t="s">
        <v/>
        <stp/>
        <stp>NBI U28-IEU</stp>
        <stp>ICE Theoretical Price</stp>
        <tr r="W1439" s="5"/>
      </tp>
      <tp t="s">
        <v/>
        <stp/>
        <stp>ULF H27-IEU</stp>
        <stp>ICE Theoretical Price</stp>
        <tr r="W562" s="5"/>
      </tp>
      <tp t="s">
        <v/>
        <stp/>
        <stp>ULI H28-IEU</stp>
        <stp>ICE Theoretical Price</stp>
        <tr r="W612" s="5"/>
      </tp>
      <tp t="s">
        <v/>
        <stp/>
        <stp>DBF X27-IEU</stp>
        <stp>ICE Theoretical Price</stp>
        <tr r="W17" s="5"/>
      </tp>
      <tp t="s">
        <v/>
        <stp/>
        <stp>ULF J27-IEU</stp>
        <stp>ICE Theoretical Price</stp>
        <tr r="W563" s="5"/>
      </tp>
      <tp t="s">
        <v/>
        <stp/>
        <stp>ULI J28-IEU</stp>
        <stp>ICE Theoretical Price</stp>
        <tr r="W613" s="5"/>
      </tp>
      <tp t="s">
        <v/>
        <stp/>
        <stp>NBI Q28-IEU</stp>
        <stp>ICE Theoretical Price</stp>
        <tr r="W1438" s="5"/>
      </tp>
      <tp t="s">
        <v/>
        <stp/>
        <stp>ULF K27-IEU</stp>
        <stp>ICE Theoretical Price</stp>
        <tr r="W564" s="5"/>
      </tp>
      <tp t="s">
        <v/>
        <stp/>
        <stp>ULI K28-IEU</stp>
        <stp>ICE Theoretical Price</stp>
        <tr r="W614" s="5"/>
      </tp>
      <tp t="s">
        <v/>
        <stp/>
        <stp>DBF Z27-IEU</stp>
        <stp>ICE Theoretical Price</stp>
        <tr r="W18" s="5"/>
      </tp>
    </main>
    <main first="ice.rtd">
      <tp t="s">
        <v/>
        <stp/>
        <stp>366531MM5:BstHitPrc</stp>
        <tr r="G1720" s="5"/>
      </tp>
      <tp t="s">
        <v/>
        <stp/>
        <stp>366531MM5:LstBlkPrc</stp>
        <tr r="K1720" s="5"/>
      </tp>
      <tp t="s">
        <v/>
        <stp/>
        <stp>266419M16:BstHitPrc</stp>
        <tr r="G975" s="5"/>
      </tp>
      <tp t="s">
        <v/>
        <stp/>
        <stp>366531MM3:LstBlkVol</stp>
        <tr r="L1718" s="5"/>
      </tp>
    </main>
    <main first="bofaddin.rtdserver">
      <tp>
        <v>0.35</v>
        <stp/>
        <stp>BDP|14847133845176199948|222</stp>
        <stp>CLZ7CLF8 Comdty</stp>
        <stp>BID</stp>
        <stp>Fill=#N/A</stp>
        <tr r="N35" s="1"/>
      </tp>
      <tp>
        <v>0.87</v>
        <stp/>
        <stp>BDP|17796912543988444602|222</stp>
        <stp>XBN9XBQ9 Comdty</stp>
        <stp>BID</stp>
        <stp>Fill=#N/A</stp>
        <tr r="R54" s="1"/>
      </tp>
      <tp>
        <v>5</v>
        <stp/>
        <stp>BDP|10709850109913704411|222</stp>
        <stp>QSZ8QSF9 Comdty</stp>
        <stp>ASK</stp>
        <stp>Fill=#N/A</stp>
        <tr r="P47" s="1"/>
      </tp>
    </main>
    <main first="esrtd">
      <tp t="s">
        <v/>
        <stp/>
        <stp>WHK 23!-IEU</stp>
        <stp>Block Volume</stp>
        <tr r="O1940" s="5"/>
      </tp>
      <tp t="s">
        <v/>
        <stp/>
        <stp>WHK 13!-IEU</stp>
        <stp>Block Volume</stp>
        <tr r="O1930" s="5"/>
      </tp>
      <tp t="s">
        <v/>
        <stp/>
        <stp>WHK Q3!-IEU</stp>
        <stp>Block Volume</stp>
        <tr r="O1950" s="5"/>
      </tp>
      <tp t="s">
        <v/>
        <stp/>
        <stp>WMJ 26!-IEU</stp>
        <stp>Block Volume</stp>
        <tr r="O1908" s="5"/>
      </tp>
      <tp t="s">
        <v/>
        <stp/>
        <stp>WMJ 16!-IEU</stp>
        <stp>Block Volume</stp>
        <tr r="O1898" s="5"/>
      </tp>
    </main>
    <main first="ice.rtd">
      <tp t="s">
        <v/>
        <stp/>
        <stp>266419M10:LstBlkVol</stp>
        <tr r="L969" s="5"/>
      </tp>
      <tp t="s">
        <v/>
        <stp/>
        <stp>266419M20:LstBlkVol</stp>
        <tr r="L979" s="5"/>
      </tp>
    </main>
    <main first="bofaddin.rtdserver">
      <tp t="s">
        <v>#N/A</v>
        <stp/>
        <stp>BDP|15566020247055918630|222</stp>
        <stp>HOZ9HOF0 Comdty</stp>
        <stp>BID</stp>
        <stp>Fill=#N/A</stp>
        <tr r="Q59" s="1"/>
      </tp>
    </main>
    <main first="ice.rtd">
      <tp>
        <v>500</v>
        <stp/>
        <stp>1986923076M18:OI</stp>
        <tr r="T173" s="5"/>
      </tp>
      <tp>
        <v>0</v>
        <stp/>
        <stp>1986923076M19:OI</stp>
        <tr r="T174" s="5"/>
      </tp>
      <tp>
        <v>841</v>
        <stp/>
        <stp>1986923076M10:OI</stp>
        <tr r="T165" s="5"/>
      </tp>
      <tp>
        <v>866</v>
        <stp/>
        <stp>1986923076M11:OI</stp>
        <tr r="T166" s="5"/>
      </tp>
      <tp>
        <v>841</v>
        <stp/>
        <stp>1986923076M12:OI</stp>
        <tr r="T167" s="5"/>
      </tp>
      <tp>
        <v>1631</v>
        <stp/>
        <stp>1986923076M13:OI</stp>
        <tr r="T168" s="5"/>
      </tp>
      <tp>
        <v>1591</v>
        <stp/>
        <stp>1986923076M14:OI</stp>
        <tr r="T169" s="5"/>
      </tp>
      <tp>
        <v>1636</v>
        <stp/>
        <stp>1986923076M15:OI</stp>
        <tr r="T170" s="5"/>
      </tp>
      <tp>
        <v>500</v>
        <stp/>
        <stp>1986923076M16:OI</stp>
        <tr r="T171" s="5"/>
      </tp>
      <tp>
        <v>500</v>
        <stp/>
        <stp>1986923076M17:OI</stp>
        <tr r="T172" s="5"/>
      </tp>
      <tp>
        <v>0</v>
        <stp/>
        <stp>1986923076M20:OI</stp>
        <tr r="T175" s="5"/>
      </tp>
      <tp>
        <v>0</v>
        <stp/>
        <stp>1986923076M21:OI</stp>
        <tr r="T176" s="5"/>
      </tp>
      <tp>
        <v>0</v>
        <stp/>
        <stp>1986923076M22:OI</stp>
        <tr r="T177" s="5"/>
      </tp>
      <tp>
        <v>0</v>
        <stp/>
        <stp>1986923076M23:OI</stp>
        <tr r="T178" s="5"/>
      </tp>
      <tp>
        <v>0</v>
        <stp/>
        <stp>1986923076M24:OI</stp>
        <tr r="T179" s="5"/>
      </tp>
      <tp t="s">
        <v>Invalid Market: 2972825746BM0</v>
        <stp/>
        <stp>2972825746BM0:OI</stp>
        <tr r="T1714" s="5"/>
      </tp>
      <tp>
        <v>55</v>
        <stp/>
        <stp>2755728678M15:OI</stp>
        <tr r="T1126" s="5"/>
      </tp>
      <tp>
        <v>54</v>
        <stp/>
        <stp>2755728678M14:OI</stp>
        <tr r="T1125" s="5"/>
      </tp>
      <tp>
        <v>0</v>
        <stp/>
        <stp>2755728678M17:OI</stp>
        <tr r="T1128" s="5"/>
      </tp>
      <tp>
        <v>0</v>
        <stp/>
        <stp>2755728678M16:OI</stp>
        <tr r="T1127" s="5"/>
      </tp>
      <tp>
        <v>54</v>
        <stp/>
        <stp>2755728678M11:OI</stp>
        <tr r="T1122" s="5"/>
      </tp>
      <tp>
        <v>54</v>
        <stp/>
        <stp>2755728678M10:OI</stp>
        <tr r="T1121" s="5"/>
      </tp>
      <tp>
        <v>54</v>
        <stp/>
        <stp>2755728678M13:OI</stp>
        <tr r="T1124" s="5"/>
      </tp>
      <tp>
        <v>54</v>
        <stp/>
        <stp>2755728678M12:OI</stp>
        <tr r="T1123" s="5"/>
      </tp>
      <tp>
        <v>0</v>
        <stp/>
        <stp>2755728678M19:OI</stp>
        <tr r="T1130" s="5"/>
      </tp>
      <tp>
        <v>0</v>
        <stp/>
        <stp>2755728678M18:OI</stp>
        <tr r="T1129" s="5"/>
      </tp>
      <tp>
        <v>0</v>
        <stp/>
        <stp>2755728678M24:OI</stp>
        <tr r="T1135" s="5"/>
      </tp>
      <tp>
        <v>0</v>
        <stp/>
        <stp>2755728678M21:OI</stp>
        <tr r="T1132" s="5"/>
      </tp>
      <tp>
        <v>0</v>
        <stp/>
        <stp>2755728678M20:OI</stp>
        <tr r="T1131" s="5"/>
      </tp>
      <tp>
        <v>0</v>
        <stp/>
        <stp>2755728678M23:OI</stp>
        <tr r="T1134" s="5"/>
      </tp>
      <tp>
        <v>0</v>
        <stp/>
        <stp>2755728678M22:OI</stp>
        <tr r="T1133" s="5"/>
      </tp>
    </main>
    <main first="bofaddin.rtdserver">
      <tp t="s">
        <v>#N/A</v>
        <stp/>
        <stp>BDP|720074297562204193|222</stp>
        <stp>QSQ0 Comdty</stp>
        <stp>ASK</stp>
        <stp>Fill=#N/A</stp>
        <tr r="H66" s="1"/>
      </tp>
    </main>
    <main first="esrtd">
      <tp t="s">
        <v/>
        <stp/>
        <stp>WNS 30!-IEU</stp>
        <stp>Recent Settlement</stp>
        <tr r="U1877" s="5"/>
      </tp>
      <tp t="s">
        <v/>
        <stp/>
        <stp>WNS 22!-IEU</stp>
        <stp>Recent Settlement</stp>
        <tr r="U1869" s="5"/>
      </tp>
      <tp t="s">
        <v/>
        <stp/>
        <stp>WNS 23!-IEU</stp>
        <stp>Recent Settlement</stp>
        <tr r="U1870" s="5"/>
      </tp>
      <tp t="s">
        <v/>
        <stp/>
        <stp>WNS 20!-IEU</stp>
        <stp>Recent Settlement</stp>
        <tr r="U1867" s="5"/>
      </tp>
      <tp t="s">
        <v/>
        <stp/>
        <stp>WNS 21!-IEU</stp>
        <stp>Recent Settlement</stp>
        <tr r="U1868" s="5"/>
      </tp>
      <tp t="s">
        <v/>
        <stp/>
        <stp>WNS 26!-IEU</stp>
        <stp>Recent Settlement</stp>
        <tr r="U1873" s="5"/>
      </tp>
      <tp t="s">
        <v/>
        <stp/>
        <stp>WNS 27!-IEU</stp>
        <stp>Recent Settlement</stp>
        <tr r="U1874" s="5"/>
      </tp>
      <tp t="s">
        <v/>
        <stp/>
        <stp>WNS 24!-IEU</stp>
        <stp>Recent Settlement</stp>
        <tr r="U1871" s="5"/>
      </tp>
      <tp t="s">
        <v/>
        <stp/>
        <stp>WNS 25!-IEU</stp>
        <stp>Recent Settlement</stp>
        <tr r="U1872" s="5"/>
      </tp>
      <tp t="s">
        <v/>
        <stp/>
        <stp>WNS 28!-IEU</stp>
        <stp>Recent Settlement</stp>
        <tr r="U1875" s="5"/>
      </tp>
      <tp t="s">
        <v/>
        <stp/>
        <stp>WNS 29!-IEU</stp>
        <stp>Recent Settlement</stp>
        <tr r="U1876" s="5"/>
      </tp>
      <tp t="s">
        <v/>
        <stp/>
        <stp>WNS 12!-IEU</stp>
        <stp>Recent Settlement</stp>
        <tr r="U1859" s="5"/>
      </tp>
      <tp t="s">
        <v/>
        <stp/>
        <stp>WNS 13!-IEU</stp>
        <stp>Recent Settlement</stp>
        <tr r="U1860" s="5"/>
      </tp>
      <tp t="s">
        <v/>
        <stp/>
        <stp>WNS 10!-IEU</stp>
        <stp>Recent Settlement</stp>
        <tr r="U1857" s="5"/>
      </tp>
      <tp t="s">
        <v/>
        <stp/>
        <stp>WNS 11!-IEU</stp>
        <stp>Recent Settlement</stp>
        <tr r="U1858" s="5"/>
      </tp>
      <tp t="s">
        <v/>
        <stp/>
        <stp>WNS 16!-IEU</stp>
        <stp>Recent Settlement</stp>
        <tr r="U1863" s="5"/>
      </tp>
      <tp t="s">
        <v/>
        <stp/>
        <stp>WNS 17!-IEU</stp>
        <stp>Recent Settlement</stp>
        <tr r="U1864" s="5"/>
      </tp>
      <tp t="s">
        <v/>
        <stp/>
        <stp>WNS 14!-IEU</stp>
        <stp>Recent Settlement</stp>
        <tr r="U1861" s="5"/>
      </tp>
      <tp t="s">
        <v/>
        <stp/>
        <stp>WNS 15!-IEU</stp>
        <stp>Recent Settlement</stp>
        <tr r="U1862" s="5"/>
      </tp>
      <tp t="s">
        <v/>
        <stp/>
        <stp>WNS 18!-IEU</stp>
        <stp>Recent Settlement</stp>
        <tr r="U1865" s="5"/>
      </tp>
      <tp t="s">
        <v/>
        <stp/>
        <stp>WNS 19!-IEU</stp>
        <stp>Recent Settlement</stp>
        <tr r="U1866" s="5"/>
      </tp>
      <tp t="s">
        <v/>
        <stp/>
        <stp>WNS C2!-IEU</stp>
        <stp>Recent Settlement</stp>
        <tr r="U1882" s="5"/>
      </tp>
      <tp t="s">
        <v/>
        <stp/>
        <stp>WNS Q2!-IEU</stp>
        <stp>Recent Settlement</stp>
        <tr r="U1879" s="5"/>
      </tp>
      <tp t="s">
        <v/>
        <stp/>
        <stp>WNS Q3!-IEU</stp>
        <stp>Recent Settlement</stp>
        <tr r="U1880" s="5"/>
      </tp>
      <tp t="s">
        <v/>
        <stp/>
        <stp>WNS Q1!-IEU</stp>
        <stp>Recent Settlement</stp>
        <tr r="U1878" s="5"/>
      </tp>
      <tp t="s">
        <v/>
        <stp/>
        <stp>WNS Q4!-IEU</stp>
        <stp>Recent Settlement</stp>
        <tr r="U1881" s="5"/>
      </tp>
    </main>
    <main first="ice.rtd">
      <tp t="s">
        <v/>
        <stp/>
        <stp>2326725628B0:BstLiftPrc</stp>
        <tr r="H344" s="5"/>
      </tp>
      <tp t="s">
        <v/>
        <stp/>
        <stp>2325425615B0:BstLiftPrc</stp>
        <tr r="H555" s="5"/>
      </tp>
      <tp t="s">
        <v/>
        <stp/>
        <stp>2180224575B0:BstLiftPrc</stp>
        <tr r="H1224" s="5"/>
      </tp>
      <tp t="s">
        <v>Invalid Market: 57179020M19</v>
        <stp/>
        <stp>57179020M19:PCC</stp>
        <tr r="B1566" s="5"/>
      </tp>
      <tp t="s">
        <v>Invalid Market: 57179020M18</v>
        <stp/>
        <stp>57179020M18:PCC</stp>
        <tr r="B1565" s="5"/>
      </tp>
      <tp t="s">
        <v>NBB</v>
        <stp/>
        <stp>57409036M19:PCC</stp>
        <tr r="B250" s="5"/>
      </tp>
      <tp t="s">
        <v>NBB</v>
        <stp/>
        <stp>57409036M18:PCC</stp>
        <tr r="B249" s="5"/>
      </tp>
      <tp t="s">
        <v>AEB</v>
        <stp/>
        <stp>46678127M18:PCC</stp>
        <tr r="B363" s="5"/>
      </tp>
      <tp t="s">
        <v>AEB</v>
        <stp/>
        <stp>46678127M19:PCC</stp>
        <tr r="B364" s="5"/>
      </tp>
      <tp t="s">
        <v>NBB</v>
        <stp/>
        <stp>57409036M15:PCC</stp>
        <tr r="B246" s="5"/>
      </tp>
      <tp t="s">
        <v>MLT</v>
        <stp/>
        <stp>57179020M11:PCC</stp>
        <tr r="B1558" s="5"/>
      </tp>
      <tp t="s">
        <v>AEB</v>
        <stp/>
        <stp>46678127M16:PCC</stp>
        <tr r="B361" s="5"/>
      </tp>
      <tp t="s">
        <v>NBB</v>
        <stp/>
        <stp>57409036M14:PCC</stp>
        <tr r="B245" s="5"/>
      </tp>
      <tp t="s">
        <v>MLT</v>
        <stp/>
        <stp>57179020M10:PCC</stp>
        <tr r="B1557" s="5"/>
      </tp>
      <tp t="s">
        <v>AEB</v>
        <stp/>
        <stp>46678127M17:PCC</stp>
        <tr r="B362" s="5"/>
      </tp>
      <tp t="s">
        <v>NBB</v>
        <stp/>
        <stp>57409036M17:PCC</stp>
        <tr r="B248" s="5"/>
      </tp>
      <tp t="s">
        <v>MLT</v>
        <stp/>
        <stp>57179020M13:PCC</stp>
        <tr r="B1560" s="5"/>
      </tp>
      <tp t="s">
        <v>AEB</v>
        <stp/>
        <stp>46678127M14:PCC</stp>
        <tr r="B359" s="5"/>
      </tp>
      <tp t="s">
        <v>NBB</v>
        <stp/>
        <stp>57409036M16:PCC</stp>
        <tr r="B247" s="5"/>
      </tp>
      <tp t="s">
        <v>MLT</v>
        <stp/>
        <stp>57179020M12:PCC</stp>
        <tr r="B1559" s="5"/>
      </tp>
      <tp t="s">
        <v>AEB</v>
        <stp/>
        <stp>46678127M15:PCC</stp>
        <tr r="B360" s="5"/>
      </tp>
      <tp t="s">
        <v>NBB</v>
        <stp/>
        <stp>57409036M11:PCC</stp>
        <tr r="B242" s="5"/>
      </tp>
      <tp t="s">
        <v>MLT</v>
        <stp/>
        <stp>57179020M15:PCC</stp>
        <tr r="B1562" s="5"/>
      </tp>
      <tp t="s">
        <v>AEB</v>
        <stp/>
        <stp>46678127M12:PCC</stp>
        <tr r="B357" s="5"/>
      </tp>
      <tp t="s">
        <v>NBB</v>
        <stp/>
        <stp>57409036M10:PCC</stp>
        <tr r="B241" s="5"/>
      </tp>
      <tp t="s">
        <v>MLT</v>
        <stp/>
        <stp>57179020M14:PCC</stp>
        <tr r="B1561" s="5"/>
      </tp>
      <tp t="s">
        <v>AEB</v>
        <stp/>
        <stp>46678127M13:PCC</stp>
        <tr r="B358" s="5"/>
      </tp>
      <tp t="s">
        <v>NBB</v>
        <stp/>
        <stp>57409036M13:PCC</stp>
        <tr r="B244" s="5"/>
      </tp>
      <tp t="s">
        <v>Invalid Market: 57179020M17</v>
        <stp/>
        <stp>57179020M17:PCC</stp>
        <tr r="B1564" s="5"/>
      </tp>
      <tp t="s">
        <v>AEB</v>
        <stp/>
        <stp>46678127M10:PCC</stp>
        <tr r="B355" s="5"/>
      </tp>
      <tp t="s">
        <v>NBB</v>
        <stp/>
        <stp>57409036M12:PCC</stp>
        <tr r="B243" s="5"/>
      </tp>
      <tp t="s">
        <v>Invalid Market: 57179020M16</v>
        <stp/>
        <stp>57179020M16:PCC</stp>
        <tr r="B1563" s="5"/>
      </tp>
      <tp t="s">
        <v>AEB</v>
        <stp/>
        <stp>46678127M11:PCC</stp>
        <tr r="B356" s="5"/>
      </tp>
      <tp t="s">
        <v>Invalid Market: 57179020M21</v>
        <stp/>
        <stp>57179020M21:PCC</stp>
        <tr r="B1568" s="5"/>
      </tp>
      <tp t="s">
        <v>NBB</v>
        <stp/>
        <stp>57409036M24:PCC</stp>
        <tr r="B255" s="5"/>
      </tp>
      <tp t="s">
        <v>Invalid Market: 57179020M20</v>
        <stp/>
        <stp>57179020M20:PCC</stp>
        <tr r="B1567" s="5"/>
      </tp>
      <tp t="s">
        <v>Invalid Market: 57179020M23</v>
        <stp/>
        <stp>57179020M23:PCC</stp>
        <tr r="B1570" s="5"/>
      </tp>
      <tp t="s">
        <v>AEB</v>
        <stp/>
        <stp>46678127M24:PCC</stp>
        <tr r="B369" s="5"/>
      </tp>
      <tp t="s">
        <v>Invalid Market: 57179020M22</v>
        <stp/>
        <stp>57179020M22:PCC</stp>
        <tr r="B1569" s="5"/>
      </tp>
      <tp t="s">
        <v>NBB</v>
        <stp/>
        <stp>57409036M21:PCC</stp>
        <tr r="B252" s="5"/>
      </tp>
      <tp t="s">
        <v>AEB</v>
        <stp/>
        <stp>46678127M22:PCC</stp>
        <tr r="B367" s="5"/>
      </tp>
      <tp t="s">
        <v>NBB</v>
        <stp/>
        <stp>57409036M20:PCC</stp>
        <tr r="B251" s="5"/>
      </tp>
      <tp t="s">
        <v>Invalid Market: 57179020M24</v>
        <stp/>
        <stp>57179020M24:PCC</stp>
        <tr r="B1571" s="5"/>
      </tp>
      <tp t="s">
        <v>AEB</v>
        <stp/>
        <stp>46678127M23:PCC</stp>
        <tr r="B368" s="5"/>
      </tp>
      <tp t="s">
        <v>NBB</v>
        <stp/>
        <stp>57409036M23:PCC</stp>
        <tr r="B254" s="5"/>
      </tp>
      <tp t="s">
        <v>AEB</v>
        <stp/>
        <stp>46678127M20:PCC</stp>
        <tr r="B365" s="5"/>
      </tp>
      <tp t="s">
        <v>NBB</v>
        <stp/>
        <stp>57409036M22:PCC</stp>
        <tr r="B253" s="5"/>
      </tp>
      <tp t="s">
        <v>AEB</v>
        <stp/>
        <stp>46678127M21:PCC</stp>
        <tr r="B366" s="5"/>
      </tp>
    </main>
    <main first="bofaddin.rtdserver">
      <tp t="s">
        <v>#N/A</v>
        <stp/>
        <stp>BDP|295123055237437915|222</stp>
        <stp>OQAU8V8 Comdty</stp>
        <stp>ASK</stp>
        <stp>Fill=#N/A</stp>
        <tr r="T44" s="1"/>
      </tp>
    </main>
    <main first="esrtd">
      <tp t="s">
        <v/>
        <stp/>
        <stp>WNS 24!-IEU</stp>
        <stp>Block Volume</stp>
        <tr r="O1871" s="5"/>
      </tp>
      <tp t="s">
        <v/>
        <stp/>
        <stp>WNS 14!-IEU</stp>
        <stp>Block Volume</stp>
        <tr r="O1861" s="5"/>
      </tp>
      <tp t="s">
        <v/>
        <stp/>
        <stp>WNS Q4!-IEU</stp>
        <stp>Block Volume</stp>
        <tr r="O1881" s="5"/>
      </tp>
      <tp t="s">
        <v/>
        <stp/>
        <stp>ULF U26-IEU</stp>
        <stp>ICE Theoretical Price</stp>
        <tr r="W556" s="5"/>
      </tp>
      <tp t="s">
        <v/>
        <stp/>
        <stp>ULF V26-IEU</stp>
        <stp>ICE Theoretical Price</stp>
        <tr r="W557" s="5"/>
      </tp>
      <tp t="s">
        <v/>
        <stp/>
        <stp>DBF M26-IEU</stp>
        <stp>ICE Theoretical Price</stp>
        <tr r="AA4" s="5"/>
      </tp>
      <tp t="s">
        <v/>
        <stp/>
        <stp>ULF X26-IEU</stp>
        <stp>ICE Theoretical Price</stp>
        <tr r="W558" s="5"/>
      </tp>
      <tp t="s">
        <v/>
        <stp/>
        <stp>ULF Z26-IEU</stp>
        <stp>ICE Theoretical Price</stp>
        <tr r="W559" s="5"/>
      </tp>
      <tp t="s">
        <v/>
        <stp/>
        <stp>DBF U26-IEU</stp>
        <stp>ICE Theoretical Price</stp>
        <tr r="W3" s="5"/>
      </tp>
    </main>
    <main first="ice.rtd">
      <tp t="s">
        <v/>
        <stp/>
        <stp>266419M17:LstBlkPrc</stp>
        <tr r="K976" s="5"/>
      </tp>
    </main>
    <main first="esrtd">
      <tp t="s">
        <v/>
        <stp/>
        <stp>DBF V26-IEU</stp>
        <stp>ICE Theoretical Price</stp>
        <tr r="W4" s="5"/>
      </tp>
      <tp t="s">
        <v/>
        <stp/>
        <stp>DBF X26-IEU</stp>
        <stp>ICE Theoretical Price</stp>
        <tr r="W5" s="5"/>
      </tp>
      <tp t="s">
        <v/>
        <stp/>
        <stp>DBF Z26-IEU</stp>
        <stp>ICE Theoretical Price</stp>
        <tr r="W6" s="5"/>
      </tp>
      <tp t="s">
        <v/>
        <stp/>
        <stp>WMJ Q3!-IEU</stp>
        <stp>Volume</stp>
        <tr r="N1915" s="5"/>
      </tp>
      <tp t="s">
        <v/>
        <stp/>
        <stp>WMJ Q2!-IEU</stp>
        <stp>Volume</stp>
        <tr r="N1914" s="5"/>
      </tp>
      <tp t="s">
        <v/>
        <stp/>
        <stp>WNS Q1!-IEU</stp>
        <stp>Volume</stp>
        <tr r="N1878" s="5"/>
      </tp>
      <tp t="s">
        <v/>
        <stp/>
        <stp>WHK Q4!-IEU</stp>
        <stp>Volume</stp>
        <tr r="N1951" s="5"/>
      </tp>
      <tp t="s">
        <v/>
        <stp/>
        <stp>WMJ Q1!-IEU</stp>
        <stp>Volume</stp>
        <tr r="N1913" s="5"/>
      </tp>
      <tp t="s">
        <v/>
        <stp/>
        <stp>WNS Q2!-IEU</stp>
        <stp>Volume</stp>
        <tr r="N1879" s="5"/>
      </tp>
      <tp t="s">
        <v/>
        <stp/>
        <stp>WNS Q3!-IEU</stp>
        <stp>Volume</stp>
        <tr r="N1880" s="5"/>
      </tp>
      <tp t="s">
        <v/>
        <stp/>
        <stp>WHK Q2!-IEU</stp>
        <stp>Volume</stp>
        <tr r="N1949" s="5"/>
      </tp>
      <tp t="s">
        <v/>
        <stp/>
        <stp>WNS Q4!-IEU</stp>
        <stp>Volume</stp>
        <tr r="N1881" s="5"/>
      </tp>
      <tp t="s">
        <v/>
        <stp/>
        <stp>WHK Q3!-IEU</stp>
        <stp>Volume</stp>
        <tr r="N1950" s="5"/>
      </tp>
      <tp t="s">
        <v/>
        <stp/>
        <stp>WHK Q1!-IEU</stp>
        <stp>Volume</stp>
        <tr r="N1948" s="5"/>
      </tp>
      <tp t="s">
        <v/>
        <stp/>
        <stp>WMJ Q4!-IEU</stp>
        <stp>Volume</stp>
        <tr r="N1916" s="5"/>
      </tp>
      <tp t="s">
        <v/>
        <stp/>
        <stp>WDF Q2!-IEU</stp>
        <stp>Volume</stp>
        <tr r="N1809" s="5"/>
      </tp>
      <tp t="s">
        <v/>
        <stp/>
        <stp>WDF Q3!-IEU</stp>
        <stp>Volume</stp>
        <tr r="N1810" s="5"/>
      </tp>
      <tp t="s">
        <v/>
        <stp/>
        <stp>WDF Q1!-IEU</stp>
        <stp>Volume</stp>
        <tr r="N1808" s="5"/>
      </tp>
      <tp t="s">
        <v/>
        <stp/>
        <stp>WDF Q4!-IEU</stp>
        <stp>Volume</stp>
        <tr r="N1811" s="5"/>
      </tp>
    </main>
    <main first="ice.rtd">
      <tp t="s">
        <v/>
        <stp/>
        <stp>366531MM4:BstHitPrc</stp>
        <tr r="G1719" s="5"/>
      </tp>
    </main>
    <main first="esrtd">
      <tp t="s">
        <v/>
        <stp/>
        <stp>TDL Q2!-IEU</stp>
        <stp>Volume</stp>
        <tr r="N1844" s="5"/>
      </tp>
      <tp t="s">
        <v/>
        <stp/>
        <stp>TDL Q3!-IEU</stp>
        <stp>Volume</stp>
        <tr r="N1845" s="5"/>
      </tp>
      <tp t="s">
        <v/>
        <stp/>
        <stp>TDL Q1!-IEU</stp>
        <stp>Volume</stp>
        <tr r="N1843" s="5"/>
      </tp>
      <tp t="s">
        <v/>
        <stp/>
        <stp>TDL Q4!-IEU</stp>
        <stp>Volume</stp>
        <tr r="N1846" s="5"/>
      </tp>
    </main>
    <main first="ice.rtd">
      <tp t="s">
        <v/>
        <stp/>
        <stp>366531MM4:LstBlkPrc</stp>
        <tr r="K1719" s="5"/>
      </tp>
      <tp t="s">
        <v/>
        <stp/>
        <stp>266419M17:BstHitPrc</stp>
        <tr r="G976" s="5"/>
      </tp>
      <tp t="s">
        <v/>
        <stp/>
        <stp>366531MM2:LstBlkVol</stp>
        <tr r="L1717" s="5"/>
      </tp>
    </main>
    <main first="esrtd">
      <tp t="s">
        <v/>
        <stp/>
        <stp>TDL C2!-IEU</stp>
        <stp>Volume</stp>
        <tr r="N1847" s="5"/>
      </tp>
      <tp t="s">
        <v/>
        <stp/>
        <stp>WMJ C2!-IEU</stp>
        <stp>Volume</stp>
        <tr r="N1917" s="5"/>
      </tp>
      <tp t="s">
        <v/>
        <stp/>
        <stp>WNS C2!-IEU</stp>
        <stp>Volume</stp>
        <tr r="N1882" s="5"/>
      </tp>
      <tp t="s">
        <v/>
        <stp/>
        <stp>WHK C2!-IEU</stp>
        <stp>Volume</stp>
        <tr r="N1952" s="5"/>
      </tp>
      <tp t="s">
        <v/>
        <stp/>
        <stp>WDF C2!-IEU</stp>
        <stp>Volume</stp>
        <tr r="N1812" s="5"/>
      </tp>
      <tp t="s">
        <v/>
        <stp/>
        <stp>WHK 22!-IEU</stp>
        <stp>Block Volume</stp>
        <tr r="O1939" s="5"/>
      </tp>
      <tp t="s">
        <v/>
        <stp/>
        <stp>WHK 12!-IEU</stp>
        <stp>Block Volume</stp>
        <tr r="O1929" s="5"/>
      </tp>
      <tp t="s">
        <v/>
        <stp/>
        <stp>WHK C2!-IEU</stp>
        <stp>Block Volume</stp>
        <tr r="O1952" s="5"/>
      </tp>
      <tp t="s">
        <v/>
        <stp/>
        <stp>WHK Q2!-IEU</stp>
        <stp>Block Volume</stp>
        <tr r="O1949" s="5"/>
      </tp>
      <tp t="s">
        <v/>
        <stp/>
        <stp>WMJ 27!-IEU</stp>
        <stp>Block Volume</stp>
        <tr r="O1909" s="5"/>
      </tp>
      <tp t="s">
        <v/>
        <stp/>
        <stp>WMJ 17!-IEU</stp>
        <stp>Block Volume</stp>
        <tr r="O1899" s="5"/>
      </tp>
    </main>
    <main first="ice.rtd">
      <tp t="s">
        <v/>
        <stp/>
        <stp>266419M11:LstBlkVol</stp>
        <tr r="L970" s="5"/>
      </tp>
      <tp t="s">
        <v/>
        <stp/>
        <stp>266419M21:LstBlkVol</stp>
        <tr r="L980" s="5"/>
      </tp>
    </main>
    <main first="bofaddin.rtdserver">
      <tp>
        <v>1.57</v>
        <stp/>
        <stp>BDP|16461361461310955768|222</stp>
        <stp>XBZ8XBF9 Comdty</stp>
        <stp>ASK</stp>
        <stp>Fill=#N/A</stp>
        <tr r="R47" s="1"/>
      </tp>
      <tp>
        <v>0.3</v>
        <stp/>
        <stp>BDP|16612482654633636530|222</stp>
        <stp>HOZ8HOF9 Comdty</stp>
        <stp>BID</stp>
        <stp>Fill=#N/A</stp>
        <tr r="Q47" s="1"/>
      </tp>
    </main>
    <main first="ice.rtd">
      <tp>
        <v>0</v>
        <stp/>
        <stp>2755828679M18:OI</stp>
        <tr r="T1015" s="5"/>
      </tp>
      <tp>
        <v>0</v>
        <stp/>
        <stp>2755828679M19:OI</stp>
        <tr r="T1016" s="5"/>
      </tp>
      <tp>
        <v>54</v>
        <stp/>
        <stp>2755828679M12:OI</stp>
        <tr r="T1009" s="5"/>
      </tp>
      <tp>
        <v>43</v>
        <stp/>
        <stp>2755828679M13:OI</stp>
        <tr r="T1010" s="5"/>
      </tp>
      <tp>
        <v>54</v>
        <stp/>
        <stp>2755828679M10:OI</stp>
        <tr r="T1007" s="5"/>
      </tp>
      <tp>
        <v>54</v>
        <stp/>
        <stp>2755828679M11:OI</stp>
        <tr r="T1008" s="5"/>
      </tp>
      <tp>
        <v>0</v>
        <stp/>
        <stp>2755828679M16:OI</stp>
        <tr r="T1013" s="5"/>
      </tp>
      <tp>
        <v>0</v>
        <stp/>
        <stp>2755828679M17:OI</stp>
        <tr r="T1014" s="5"/>
      </tp>
      <tp>
        <v>43</v>
        <stp/>
        <stp>2755828679M14:OI</stp>
        <tr r="T1011" s="5"/>
      </tp>
      <tp>
        <v>43</v>
        <stp/>
        <stp>2755828679M15:OI</stp>
        <tr r="T1012" s="5"/>
      </tp>
      <tp>
        <v>0</v>
        <stp/>
        <stp>2755828679M22:OI</stp>
        <tr r="T1019" s="5"/>
      </tp>
      <tp>
        <v>0</v>
        <stp/>
        <stp>2755828679M23:OI</stp>
        <tr r="T1020" s="5"/>
      </tp>
      <tp>
        <v>0</v>
        <stp/>
        <stp>2755828679M20:OI</stp>
        <tr r="T1017" s="5"/>
      </tp>
      <tp>
        <v>0</v>
        <stp/>
        <stp>2755828679M21:OI</stp>
        <tr r="T1018" s="5"/>
      </tp>
      <tp>
        <v>0</v>
        <stp/>
        <stp>2755828679M24:OI</stp>
        <tr r="T1021" s="5"/>
      </tp>
      <tp>
        <v>24.72</v>
        <stp/>
        <stp>161913535MM16:Settle</stp>
        <tr r="U2043" s="5"/>
      </tp>
      <tp>
        <v>28.27000000000001</v>
        <stp/>
        <stp>161913535MM17:Settle</stp>
        <tr r="U2044" s="5"/>
      </tp>
      <tp>
        <v>16.819999999999993</v>
        <stp/>
        <stp>161913535MM14:Settle</stp>
        <tr r="U2041" s="5"/>
      </tp>
      <tp>
        <v>20.72</v>
        <stp/>
        <stp>161913535MM15:Settle</stp>
        <tr r="U2042" s="5"/>
      </tp>
      <tp>
        <v>6.0699999999999932</v>
        <stp/>
        <stp>161913535MM12:Settle</stp>
        <tr r="U2039" s="5"/>
      </tp>
      <tp>
        <v>12.120000000000005</v>
        <stp/>
        <stp>161913535MM13:Settle</stp>
        <tr r="U2040" s="5"/>
      </tp>
      <tp>
        <v>45.728999999999999</v>
        <stp/>
        <stp>161913535MM10:Settle</stp>
        <tr r="U2037" s="5"/>
      </tp>
      <tp>
        <v>58.328999999999994</v>
        <stp/>
        <stp>161913535MM11:Settle</stp>
        <tr r="U2038" s="5"/>
      </tp>
      <tp>
        <v>33.510000000000005</v>
        <stp/>
        <stp>161913535MM18:Settle</stp>
        <tr r="U2045" s="5"/>
      </tp>
      <tp>
        <v>35.410000000000011</v>
        <stp/>
        <stp>161913535MM19:Settle</stp>
        <tr r="U2046" s="5"/>
      </tp>
      <tp>
        <v>22.200000000000017</v>
        <stp/>
        <stp>161913535MM26:Settle</stp>
        <tr r="U2053" s="5"/>
      </tp>
      <tp>
        <v>27.440000000000012</v>
        <stp/>
        <stp>161913535MM27:Settle</stp>
        <tr r="U2054" s="5"/>
      </tp>
      <tp>
        <v>14.650000000000006</v>
        <stp/>
        <stp>161913535MM24:Settle</stp>
        <tr r="U2051" s="5"/>
      </tp>
      <tp>
        <v>18.650000000000006</v>
        <stp/>
        <stp>161913535MM25:Settle</stp>
        <tr r="U2052" s="5"/>
      </tp>
      <tp>
        <v>6.0500000000000114</v>
        <stp/>
        <stp>161913535MM22:Settle</stp>
        <tr r="U2049" s="5"/>
      </tp>
      <tp>
        <v>10.75</v>
        <stp/>
        <stp>161913535MM23:Settle</stp>
        <tr r="U2050" s="5"/>
      </tp>
      <tp>
        <v>38.910000000000011</v>
        <stp/>
        <stp>161913535MM20:Settle</stp>
        <tr r="U2047" s="5"/>
      </tp>
      <tp>
        <v>40.660000000000011</v>
        <stp/>
        <stp>161913535MM21:Settle</stp>
        <tr r="U2048" s="5"/>
      </tp>
      <tp t="s">
        <v/>
        <stp/>
        <stp>1923422331Y0:BstLiftPrc</stp>
        <tr r="H1646" s="5"/>
      </tp>
      <tp t="s">
        <v/>
        <stp/>
        <stp>1923422331Q0:BstLiftPrc</stp>
        <tr r="H1642" s="5"/>
      </tp>
      <tp t="s">
        <v/>
        <stp/>
        <stp>1923422331Q1:BstLiftPrc</stp>
        <tr r="H1643" s="5"/>
      </tp>
      <tp t="s">
        <v/>
        <stp/>
        <stp>1923422331Q2:BstLiftPrc</stp>
        <tr r="H1644" s="5"/>
      </tp>
      <tp t="s">
        <v/>
        <stp/>
        <stp>1923422331Q3:BstLiftPrc</stp>
        <tr r="H1645" s="5"/>
      </tp>
      <tp t="s">
        <v/>
        <stp/>
        <stp>1923422331M8:BstLiftPrc</stp>
        <tr r="H1635" s="5"/>
      </tp>
      <tp t="s">
        <v/>
        <stp/>
        <stp>1923422331M9:BstLiftPrc</stp>
        <tr r="H1636" s="5"/>
      </tp>
      <tp t="s">
        <v/>
        <stp/>
        <stp>1923422331M4:BstLiftPrc</stp>
        <tr r="H1631" s="5"/>
      </tp>
      <tp t="s">
        <v/>
        <stp/>
        <stp>1923422331M5:BstLiftPrc</stp>
        <tr r="H1632" s="5"/>
      </tp>
      <tp t="s">
        <v/>
        <stp/>
        <stp>1923422331M6:BstLiftPrc</stp>
        <tr r="H1633" s="5"/>
      </tp>
      <tp t="s">
        <v/>
        <stp/>
        <stp>1923422331M7:BstLiftPrc</stp>
        <tr r="H1634" s="5"/>
      </tp>
      <tp t="s">
        <v/>
        <stp/>
        <stp>1923422331M0:BstLiftPrc</stp>
        <tr r="H1627" s="5"/>
      </tp>
      <tp t="s">
        <v/>
        <stp/>
        <stp>1923422331M1:BstLiftPrc</stp>
        <tr r="H1628" s="5"/>
      </tp>
      <tp t="s">
        <v/>
        <stp/>
        <stp>1923422331M2:BstLiftPrc</stp>
        <tr r="H1629" s="5"/>
      </tp>
      <tp t="s">
        <v/>
        <stp/>
        <stp>1923422331M3:BstLiftPrc</stp>
        <tr r="H1630" s="5"/>
      </tp>
      <tp t="s">
        <v/>
        <stp/>
        <stp>2185624628B0:BstLiftPrc</stp>
        <tr r="H745" s="5"/>
      </tp>
      <tp t="s">
        <v/>
        <stp/>
        <stp>1987023077B0:BstLiftPrc</stp>
        <tr r="Y159" s="5"/>
        <tr r="H154" s="5"/>
      </tp>
    </main>
    <main first="esrtd">
      <tp t="s">
        <v/>
        <stp/>
        <stp>TDL 30!-IEU</stp>
        <stp>Volume</stp>
        <tr r="N1842" s="5"/>
      </tp>
      <tp t="s">
        <v/>
        <stp/>
        <stp>WHK 16!-IEU</stp>
        <stp>Volume</stp>
        <tr r="N1933" s="5"/>
      </tp>
      <tp t="s">
        <v/>
        <stp/>
        <stp>WMJ 13!-IEU</stp>
        <stp>Volume</stp>
        <tr r="N1895" s="5"/>
      </tp>
      <tp t="s">
        <v/>
        <stp/>
        <stp>WNS 10!-IEU</stp>
        <stp>Volume</stp>
        <tr r="N1857" s="5"/>
      </tp>
      <tp t="s">
        <v/>
        <stp/>
        <stp>WHK 17!-IEU</stp>
        <stp>Volume</stp>
        <tr r="N1934" s="5"/>
      </tp>
      <tp t="s">
        <v/>
        <stp/>
        <stp>WMJ 12!-IEU</stp>
        <stp>Volume</stp>
        <tr r="N1894" s="5"/>
      </tp>
      <tp t="s">
        <v/>
        <stp/>
        <stp>WNS 11!-IEU</stp>
        <stp>Volume</stp>
        <tr r="N1858" s="5"/>
      </tp>
      <tp t="s">
        <v/>
        <stp/>
        <stp>WHK 14!-IEU</stp>
        <stp>Volume</stp>
        <tr r="N1931" s="5"/>
      </tp>
      <tp t="s">
        <v/>
        <stp/>
        <stp>WMJ 11!-IEU</stp>
        <stp>Volume</stp>
        <tr r="N1893" s="5"/>
      </tp>
      <tp t="s">
        <v/>
        <stp/>
        <stp>TDL 28!-IEU</stp>
        <stp>Volume</stp>
        <tr r="N1840" s="5"/>
      </tp>
      <tp t="s">
        <v/>
        <stp/>
        <stp>WDF 18!-IEU</stp>
        <stp>Volume</stp>
        <tr r="N1795" s="5"/>
      </tp>
      <tp t="s">
        <v/>
        <stp/>
        <stp>WNS 12!-IEU</stp>
        <stp>Volume</stp>
        <tr r="N1859" s="5"/>
      </tp>
      <tp t="s">
        <v/>
        <stp/>
        <stp>WHK 15!-IEU</stp>
        <stp>Volume</stp>
        <tr r="N1932" s="5"/>
      </tp>
      <tp t="s">
        <v/>
        <stp/>
        <stp>WMJ 10!-IEU</stp>
        <stp>Volume</stp>
        <tr r="N1892" s="5"/>
      </tp>
      <tp t="s">
        <v/>
        <stp/>
        <stp>TDL 29!-IEU</stp>
        <stp>Volume</stp>
        <tr r="N1841" s="5"/>
      </tp>
      <tp t="s">
        <v/>
        <stp/>
        <stp>WDF 19!-IEU</stp>
        <stp>Volume</stp>
        <tr r="N1796" s="5"/>
      </tp>
      <tp t="s">
        <v/>
        <stp/>
        <stp>WNS 13!-IEU</stp>
        <stp>Volume</stp>
        <tr r="N1860" s="5"/>
      </tp>
      <tp t="s">
        <v/>
        <stp/>
        <stp>WHK 12!-IEU</stp>
        <stp>Volume</stp>
        <tr r="N1929" s="5"/>
      </tp>
      <tp t="s">
        <v/>
        <stp/>
        <stp>WMJ 17!-IEU</stp>
        <stp>Volume</stp>
        <tr r="N1899" s="5"/>
      </tp>
      <tp t="s">
        <v/>
        <stp/>
        <stp>WNS 14!-IEU</stp>
        <stp>Volume</stp>
        <tr r="N1861" s="5"/>
      </tp>
      <tp t="s">
        <v/>
        <stp/>
        <stp>WHK 13!-IEU</stp>
        <stp>Volume</stp>
        <tr r="N1930" s="5"/>
      </tp>
      <tp t="s">
        <v/>
        <stp/>
        <stp>WMJ 16!-IEU</stp>
        <stp>Volume</stp>
        <tr r="N1898" s="5"/>
      </tp>
      <tp t="s">
        <v/>
        <stp/>
        <stp>WNS 15!-IEU</stp>
        <stp>Volume</stp>
        <tr r="N1862" s="5"/>
      </tp>
      <tp t="s">
        <v/>
        <stp/>
        <stp>WHK 10!-IEU</stp>
        <stp>Volume</stp>
        <tr r="N1927" s="5"/>
      </tp>
      <tp t="s">
        <v/>
        <stp/>
        <stp>WMJ 15!-IEU</stp>
        <stp>Volume</stp>
        <tr r="N1897" s="5"/>
      </tp>
      <tp t="s">
        <v/>
        <stp/>
        <stp>WNS 16!-IEU</stp>
        <stp>Volume</stp>
        <tr r="N1863" s="5"/>
      </tp>
      <tp t="s">
        <v/>
        <stp/>
        <stp>WHK 11!-IEU</stp>
        <stp>Volume</stp>
        <tr r="N1928" s="5"/>
      </tp>
      <tp t="s">
        <v/>
        <stp/>
        <stp>WMJ 14!-IEU</stp>
        <stp>Volume</stp>
        <tr r="N1896" s="5"/>
      </tp>
      <tp t="s">
        <v/>
        <stp/>
        <stp>WNS 17!-IEU</stp>
        <stp>Volume</stp>
        <tr r="N1864" s="5"/>
      </tp>
      <tp t="s">
        <v/>
        <stp/>
        <stp>TDL 22!-IEU</stp>
        <stp>Volume</stp>
        <tr r="N1834" s="5"/>
      </tp>
      <tp t="s">
        <v/>
        <stp/>
        <stp>WDF 12!-IEU</stp>
        <stp>Volume</stp>
        <tr r="N1789" s="5"/>
      </tp>
      <tp t="s">
        <v/>
        <stp/>
        <stp>WNS 18!-IEU</stp>
        <stp>Volume</stp>
        <tr r="N1865" s="5"/>
      </tp>
      <tp t="s">
        <v/>
        <stp/>
        <stp>TDL 23!-IEU</stp>
        <stp>Volume</stp>
        <tr r="N1835" s="5"/>
      </tp>
      <tp t="s">
        <v/>
        <stp/>
        <stp>WDF 13!-IEU</stp>
        <stp>Volume</stp>
        <tr r="N1790" s="5"/>
      </tp>
      <tp t="s">
        <v/>
        <stp/>
        <stp>WNS 19!-IEU</stp>
        <stp>Volume</stp>
        <tr r="N1866" s="5"/>
      </tp>
      <tp t="s">
        <v/>
        <stp/>
        <stp>WMJ 19!-IEU</stp>
        <stp>Volume</stp>
        <tr r="N1901" s="5"/>
      </tp>
      <tp t="s">
        <v/>
        <stp/>
        <stp>TDL 20!-IEU</stp>
        <stp>Volume</stp>
        <tr r="N1832" s="5"/>
      </tp>
      <tp t="s">
        <v/>
        <stp/>
        <stp>WDF 10!-IEU</stp>
        <stp>Volume</stp>
        <tr r="N1787" s="5"/>
      </tp>
      <tp t="s">
        <v/>
        <stp/>
        <stp>WMJ 18!-IEU</stp>
        <stp>Volume</stp>
        <tr r="N1900" s="5"/>
      </tp>
      <tp t="s">
        <v/>
        <stp/>
        <stp>TDL 21!-IEU</stp>
        <stp>Volume</stp>
        <tr r="N1833" s="5"/>
      </tp>
      <tp t="s">
        <v/>
        <stp/>
        <stp>WDF 11!-IEU</stp>
        <stp>Volume</stp>
        <tr r="N1788" s="5"/>
      </tp>
      <tp t="s">
        <v/>
        <stp/>
        <stp>TDL 26!-IEU</stp>
        <stp>Volume</stp>
        <tr r="N1838" s="5"/>
      </tp>
      <tp t="s">
        <v/>
        <stp/>
        <stp>WDF 16!-IEU</stp>
        <stp>Volume</stp>
        <tr r="N1793" s="5"/>
      </tp>
      <tp t="s">
        <v/>
        <stp/>
        <stp>TDL 27!-IEU</stp>
        <stp>Volume</stp>
        <tr r="N1839" s="5"/>
      </tp>
      <tp t="s">
        <v/>
        <stp/>
        <stp>WDF 17!-IEU</stp>
        <stp>Volume</stp>
        <tr r="N1794" s="5"/>
      </tp>
      <tp t="s">
        <v/>
        <stp/>
        <stp>WHK 18!-IEU</stp>
        <stp>Volume</stp>
        <tr r="N1935" s="5"/>
      </tp>
      <tp t="s">
        <v/>
        <stp/>
        <stp>TDL 24!-IEU</stp>
        <stp>Volume</stp>
        <tr r="N1836" s="5"/>
      </tp>
      <tp t="s">
        <v/>
        <stp/>
        <stp>WDF 14!-IEU</stp>
        <stp>Volume</stp>
        <tr r="N1791" s="5"/>
      </tp>
      <tp t="s">
        <v/>
        <stp/>
        <stp>WHK 19!-IEU</stp>
        <stp>Volume</stp>
        <tr r="N1936" s="5"/>
      </tp>
      <tp t="s">
        <v/>
        <stp/>
        <stp>TDL 25!-IEU</stp>
        <stp>Volume</stp>
        <tr r="N1837" s="5"/>
      </tp>
      <tp t="s">
        <v/>
        <stp/>
        <stp>WDF 15!-IEU</stp>
        <stp>Volume</stp>
        <tr r="N1792" s="5"/>
      </tp>
      <tp t="s">
        <v/>
        <stp/>
        <stp>WHK 26!-IEU</stp>
        <stp>Volume</stp>
        <tr r="N1943" s="5"/>
      </tp>
      <tp t="s">
        <v/>
        <stp/>
        <stp>WMJ 23!-IEU</stp>
        <stp>Volume</stp>
        <tr r="N1905" s="5"/>
      </tp>
      <tp t="s">
        <v/>
        <stp/>
        <stp>WNS 20!-IEU</stp>
        <stp>Volume</stp>
        <tr r="N1867" s="5"/>
      </tp>
      <tp t="s">
        <v/>
        <stp/>
        <stp>WHK 27!-IEU</stp>
        <stp>Volume</stp>
        <tr r="N1944" s="5"/>
      </tp>
      <tp t="s">
        <v/>
        <stp/>
        <stp>WMJ 22!-IEU</stp>
        <stp>Volume</stp>
        <tr r="N1904" s="5"/>
      </tp>
      <tp t="s">
        <v/>
        <stp/>
        <stp>WNS 21!-IEU</stp>
        <stp>Volume</stp>
        <tr r="N1868" s="5"/>
      </tp>
      <tp t="s">
        <v/>
        <stp/>
        <stp>WHK 24!-IEU</stp>
        <stp>Volume</stp>
        <tr r="N1941" s="5"/>
      </tp>
      <tp t="s">
        <v/>
        <stp/>
        <stp>WMJ 21!-IEU</stp>
        <stp>Volume</stp>
        <tr r="N1903" s="5"/>
      </tp>
      <tp t="s">
        <v/>
        <stp/>
        <stp>TDL 18!-IEU</stp>
        <stp>Volume</stp>
        <tr r="N1830" s="5"/>
      </tp>
      <tp t="s">
        <v/>
        <stp/>
        <stp>WDF 28!-IEU</stp>
        <stp>Volume</stp>
        <tr r="N1805" s="5"/>
      </tp>
      <tp t="s">
        <v/>
        <stp/>
        <stp>WNS 22!-IEU</stp>
        <stp>Volume</stp>
        <tr r="N1869" s="5"/>
      </tp>
      <tp t="s">
        <v/>
        <stp/>
        <stp>WHK 25!-IEU</stp>
        <stp>Volume</stp>
        <tr r="N1942" s="5"/>
      </tp>
      <tp t="s">
        <v/>
        <stp/>
        <stp>WMJ 20!-IEU</stp>
        <stp>Volume</stp>
        <tr r="N1902" s="5"/>
      </tp>
      <tp t="s">
        <v/>
        <stp/>
        <stp>TDL 19!-IEU</stp>
        <stp>Volume</stp>
        <tr r="N1831" s="5"/>
      </tp>
      <tp t="s">
        <v/>
        <stp/>
        <stp>WDF 29!-IEU</stp>
        <stp>Volume</stp>
        <tr r="N1806" s="5"/>
      </tp>
      <tp t="s">
        <v/>
        <stp/>
        <stp>WNS 23!-IEU</stp>
        <stp>Volume</stp>
        <tr r="N1870" s="5"/>
      </tp>
      <tp t="s">
        <v/>
        <stp/>
        <stp>WHK 22!-IEU</stp>
        <stp>Volume</stp>
        <tr r="N1939" s="5"/>
      </tp>
      <tp t="s">
        <v/>
        <stp/>
        <stp>WMJ 27!-IEU</stp>
        <stp>Volume</stp>
        <tr r="N1909" s="5"/>
      </tp>
      <tp t="s">
        <v/>
        <stp/>
        <stp>WNS 24!-IEU</stp>
        <stp>Volume</stp>
        <tr r="N1871" s="5"/>
      </tp>
      <tp t="s">
        <v/>
        <stp/>
        <stp>WHK 23!-IEU</stp>
        <stp>Volume</stp>
        <tr r="N1940" s="5"/>
      </tp>
      <tp t="s">
        <v/>
        <stp/>
        <stp>WMJ 26!-IEU</stp>
        <stp>Volume</stp>
        <tr r="N1908" s="5"/>
      </tp>
      <tp t="s">
        <v/>
        <stp/>
        <stp>WNS 25!-IEU</stp>
        <stp>Volume</stp>
        <tr r="N1872" s="5"/>
      </tp>
      <tp t="s">
        <v/>
        <stp/>
        <stp>WHK 20!-IEU</stp>
        <stp>Volume</stp>
        <tr r="N1937" s="5"/>
      </tp>
      <tp t="s">
        <v/>
        <stp/>
        <stp>WMJ 25!-IEU</stp>
        <stp>Volume</stp>
        <tr r="N1907" s="5"/>
      </tp>
      <tp t="s">
        <v/>
        <stp/>
        <stp>WNS 26!-IEU</stp>
        <stp>Volume</stp>
        <tr r="N1873" s="5"/>
      </tp>
      <tp t="s">
        <v/>
        <stp/>
        <stp>WHK 21!-IEU</stp>
        <stp>Volume</stp>
        <tr r="N1938" s="5"/>
      </tp>
      <tp t="s">
        <v/>
        <stp/>
        <stp>WMJ 24!-IEU</stp>
        <stp>Volume</stp>
        <tr r="N1906" s="5"/>
      </tp>
      <tp t="s">
        <v/>
        <stp/>
        <stp>WNS 27!-IEU</stp>
        <stp>Volume</stp>
        <tr r="N1874" s="5"/>
      </tp>
      <tp t="s">
        <v/>
        <stp/>
        <stp>TDL 12!-IEU</stp>
        <stp>Volume</stp>
        <tr r="N1824" s="5"/>
      </tp>
      <tp t="s">
        <v/>
        <stp/>
        <stp>WDF 22!-IEU</stp>
        <stp>Volume</stp>
        <tr r="N1799" s="5"/>
      </tp>
      <tp t="s">
        <v/>
        <stp/>
        <stp>WNS 28!-IEU</stp>
        <stp>Volume</stp>
        <tr r="N1875" s="5"/>
      </tp>
      <tp t="s">
        <v/>
        <stp/>
        <stp>TDL 13!-IEU</stp>
        <stp>Volume</stp>
        <tr r="N1825" s="5"/>
      </tp>
      <tp t="s">
        <v/>
        <stp/>
        <stp>WDF 23!-IEU</stp>
        <stp>Volume</stp>
        <tr r="N1800" s="5"/>
      </tp>
      <tp t="s">
        <v/>
        <stp/>
        <stp>WNS 29!-IEU</stp>
        <stp>Volume</stp>
        <tr r="N1876" s="5"/>
      </tp>
      <tp t="s">
        <v/>
        <stp/>
        <stp>WMJ 29!-IEU</stp>
        <stp>Volume</stp>
        <tr r="N1911" s="5"/>
      </tp>
      <tp t="s">
        <v/>
        <stp/>
        <stp>TDL 10!-IEU</stp>
        <stp>Volume</stp>
        <tr r="N1822" s="5"/>
      </tp>
      <tp t="s">
        <v/>
        <stp/>
        <stp>WDF 20!-IEU</stp>
        <stp>Volume</stp>
        <tr r="N1797" s="5"/>
      </tp>
      <tp t="s">
        <v/>
        <stp/>
        <stp>WMJ 28!-IEU</stp>
        <stp>Volume</stp>
        <tr r="N1910" s="5"/>
      </tp>
      <tp t="s">
        <v/>
        <stp/>
        <stp>TDL 11!-IEU</stp>
        <stp>Volume</stp>
        <tr r="N1823" s="5"/>
      </tp>
      <tp t="s">
        <v/>
        <stp/>
        <stp>WDF 21!-IEU</stp>
        <stp>Volume</stp>
        <tr r="N1798" s="5"/>
      </tp>
      <tp t="s">
        <v/>
        <stp/>
        <stp>TDL 16!-IEU</stp>
        <stp>Volume</stp>
        <tr r="N1828" s="5"/>
      </tp>
      <tp t="s">
        <v/>
        <stp/>
        <stp>WDF 26!-IEU</stp>
        <stp>Volume</stp>
        <tr r="N1803" s="5"/>
      </tp>
      <tp t="s">
        <v/>
        <stp/>
        <stp>TDL 17!-IEU</stp>
        <stp>Volume</stp>
        <tr r="N1829" s="5"/>
      </tp>
      <tp t="s">
        <v/>
        <stp/>
        <stp>WDF 27!-IEU</stp>
        <stp>Volume</stp>
        <tr r="N1804" s="5"/>
      </tp>
      <tp t="s">
        <v/>
        <stp/>
        <stp>WHK 28!-IEU</stp>
        <stp>Volume</stp>
        <tr r="N1945" s="5"/>
      </tp>
      <tp t="s">
        <v/>
        <stp/>
        <stp>TDL 14!-IEU</stp>
        <stp>Volume</stp>
        <tr r="N1826" s="5"/>
      </tp>
      <tp t="s">
        <v/>
        <stp/>
        <stp>WDF 24!-IEU</stp>
        <stp>Volume</stp>
        <tr r="N1801" s="5"/>
      </tp>
      <tp t="s">
        <v/>
        <stp/>
        <stp>WHK 29!-IEU</stp>
        <stp>Volume</stp>
        <tr r="N1946" s="5"/>
      </tp>
      <tp t="s">
        <v/>
        <stp/>
        <stp>TDL 15!-IEU</stp>
        <stp>Volume</stp>
        <tr r="N1827" s="5"/>
      </tp>
      <tp t="s">
        <v/>
        <stp/>
        <stp>WDF 25!-IEU</stp>
        <stp>Volume</stp>
        <tr r="N1802" s="5"/>
      </tp>
      <tp t="s">
        <v/>
        <stp/>
        <stp>WNS 30!-IEU</stp>
        <stp>Volume</stp>
        <tr r="N1877" s="5"/>
      </tp>
      <tp t="s">
        <v/>
        <stp/>
        <stp>WMJ 30!-IEU</stp>
        <stp>Volume</stp>
        <tr r="N1912" s="5"/>
      </tp>
      <tp t="s">
        <v/>
        <stp/>
        <stp>WHK 30!-IEU</stp>
        <stp>Volume</stp>
        <tr r="N1947" s="5"/>
      </tp>
      <tp t="s">
        <v/>
        <stp/>
        <stp>WDF 30!-IEU</stp>
        <stp>Volume</stp>
        <tr r="N1807" s="5"/>
      </tp>
    </main>
    <main first="ice.rtd">
      <tp>
        <v>-4.25</v>
        <stp/>
        <stp>1581618115Y0:BstLiftPrc</stp>
        <tr r="H478" s="5"/>
      </tp>
      <tp>
        <v>-4.7</v>
        <stp/>
        <stp>1581618115Q0:BstLiftPrc</stp>
        <tr r="H474" s="5"/>
      </tp>
      <tp>
        <v>-3.4</v>
        <stp/>
        <stp>1581618115Q1:BstLiftPrc</stp>
        <tr r="H475" s="5"/>
      </tp>
      <tp>
        <v>-8.8000000000000007</v>
        <stp/>
        <stp>1581618115Q2:BstLiftPrc</stp>
        <tr r="H476" s="5"/>
      </tp>
      <tp>
        <v>-7.5</v>
        <stp/>
        <stp>1581618115Q3:BstLiftPrc</stp>
        <tr r="H477" s="5"/>
      </tp>
      <tp>
        <v>-9.1999999999999993</v>
        <stp/>
        <stp>1581618115M8:BstLiftPrc</stp>
        <tr r="H467" s="5"/>
      </tp>
      <tp>
        <v>-9.0500000000000007</v>
        <stp/>
        <stp>1581618115M9:BstLiftPrc</stp>
        <tr r="H468" s="5"/>
      </tp>
      <tp>
        <v>-3.1</v>
        <stp/>
        <stp>1581618115M4:BstLiftPrc</stp>
        <tr r="H463" s="5"/>
      </tp>
      <tp>
        <v>-3.65</v>
        <stp/>
        <stp>1581618115M5:BstLiftPrc</stp>
        <tr r="H464" s="5"/>
      </tp>
      <tp>
        <v>-4.3499999999999996</v>
        <stp/>
        <stp>1581618115M6:BstLiftPrc</stp>
        <tr r="H465" s="5"/>
      </tp>
      <tp>
        <v>-8.25</v>
        <stp/>
        <stp>1581618115M7:BstLiftPrc</stp>
        <tr r="H466" s="5"/>
      </tp>
      <tp t="s">
        <v/>
        <stp/>
        <stp>1581618115M0:BstLiftPrc</stp>
        <tr r="H459" s="5"/>
      </tp>
      <tp>
        <v>-7.45</v>
        <stp/>
        <stp>1581618115M1:BstLiftPrc</stp>
        <tr r="H460" s="5"/>
      </tp>
      <tp>
        <v>-4.8</v>
        <stp/>
        <stp>1581618115M2:BstLiftPrc</stp>
        <tr r="H461" s="5"/>
      </tp>
      <tp>
        <v>-2.8</v>
        <stp/>
        <stp>1581618115M3:BstLiftPrc</stp>
        <tr r="H462" s="5"/>
      </tp>
      <tp t="s">
        <v>Invalid Market: 1581618115B0</v>
        <stp/>
        <stp>1581618115B0:BstLiftPrc</stp>
        <tr r="H458" s="5"/>
      </tp>
      <tp t="s">
        <v/>
        <stp/>
        <stp>141587M22:BstHitPrc</stp>
        <tr r="G63" s="5"/>
      </tp>
      <tp t="s">
        <v/>
        <stp/>
        <stp>141587M12:BstHitPrc</stp>
        <tr r="G53" s="5"/>
      </tp>
    </main>
    <main first="esrtd">
      <tp t="s">
        <v/>
        <stp/>
        <stp>GOH F27-IEU</stp>
        <stp>ICE Theoretical Price</stp>
        <tr r="W750" s="5"/>
      </tp>
      <tp t="s">
        <v/>
        <stp/>
        <stp>GOH G27-IEU</stp>
        <stp>ICE Theoretical Price</stp>
        <tr r="W751" s="5"/>
      </tp>
      <tp t="s">
        <v/>
        <stp/>
        <stp>ULI U26-IEU</stp>
        <stp>ICE Theoretical Price</stp>
        <tr r="W594" s="5"/>
      </tp>
      <tp t="s">
        <v/>
        <stp/>
        <stp>ULI V26-IEU</stp>
        <stp>ICE Theoretical Price</stp>
        <tr r="W595" s="5"/>
      </tp>
      <tp t="s">
        <v/>
        <stp/>
        <stp>GOH N27-IEU</stp>
        <stp>ICE Theoretical Price</stp>
        <tr r="W756" s="5"/>
      </tp>
      <tp t="s">
        <v/>
        <stp/>
        <stp>GOH M27-IEU</stp>
        <stp>ICE Theoretical Price</stp>
        <tr r="W755" s="5"/>
      </tp>
      <tp t="s">
        <v/>
        <stp/>
        <stp>GOH J27-IEU</stp>
        <stp>ICE Theoretical Price</stp>
        <tr r="W753" s="5"/>
      </tp>
      <tp t="s">
        <v/>
        <stp/>
        <stp>ULI X26-IEU</stp>
        <stp>ICE Theoretical Price</stp>
        <tr r="W596" s="5"/>
      </tp>
      <tp t="s">
        <v/>
        <stp/>
        <stp>GOH K27-IEU</stp>
        <stp>ICE Theoretical Price</stp>
        <tr r="W754" s="5"/>
      </tp>
      <tp t="s">
        <v/>
        <stp/>
        <stp>GOH H27-IEU</stp>
        <stp>ICE Theoretical Price</stp>
        <tr r="W752" s="5"/>
      </tp>
      <tp t="s">
        <v/>
        <stp/>
        <stp>ULI Z26-IEU</stp>
        <stp>ICE Theoretical Price</stp>
        <tr r="W597" s="5"/>
      </tp>
      <tp t="s">
        <v/>
        <stp/>
        <stp>GOH V27-IEU</stp>
        <stp>ICE Theoretical Price</stp>
        <tr r="W759" s="5"/>
      </tp>
    </main>
    <main first="ice.rtd">
      <tp t="s">
        <v/>
        <stp/>
        <stp>266419M18:LstBlkPrc</stp>
        <tr r="K977" s="5"/>
      </tp>
    </main>
    <main first="esrtd">
      <tp t="s">
        <v/>
        <stp/>
        <stp>GOH U27-IEU</stp>
        <stp>ICE Theoretical Price</stp>
        <tr r="W758" s="5"/>
      </tp>
      <tp t="s">
        <v/>
        <stp/>
        <stp>NBI Z26-IEU</stp>
        <stp>ICE Theoretical Price</stp>
        <tr r="W1418" s="5"/>
      </tp>
      <tp t="s">
        <v/>
        <stp/>
        <stp>GOH Q27-IEU</stp>
        <stp>ICE Theoretical Price</stp>
        <tr r="W757" s="5"/>
      </tp>
      <tp t="s">
        <v/>
        <stp/>
        <stp>NBI X26-IEU</stp>
        <stp>ICE Theoretical Price</stp>
        <tr r="W1417" s="5"/>
      </tp>
      <tp t="s">
        <v/>
        <stp/>
        <stp>NBI V26-IEU</stp>
        <stp>ICE Theoretical Price</stp>
        <tr r="W1416" s="5"/>
      </tp>
      <tp t="s">
        <v/>
        <stp/>
        <stp>NBI U26-IEU</stp>
        <stp>ICE Theoretical Price</stp>
        <tr r="W1415" s="5"/>
      </tp>
      <tp t="s">
        <v/>
        <stp/>
        <stp>GOH Z27-IEU</stp>
        <stp>ICE Theoretical Price</stp>
        <tr r="W761" s="5"/>
      </tp>
      <tp t="s">
        <v/>
        <stp/>
        <stp>GOH X27-IEU</stp>
        <stp>ICE Theoretical Price</stp>
        <tr r="W760" s="5"/>
      </tp>
    </main>
    <main first="ice.rtd">
      <tp t="s">
        <v/>
        <stp/>
        <stp>141587M12:LstBlkPrc</stp>
        <tr r="K53" s="5"/>
      </tp>
      <tp t="s">
        <v/>
        <stp/>
        <stp>141587M22:LstBlkPrc</stp>
        <tr r="K63" s="5"/>
      </tp>
      <tp t="s">
        <v/>
        <stp/>
        <stp>266419M18:BstHitPrc</stp>
        <tr r="G977" s="5"/>
      </tp>
    </main>
    <main first="esrtd">
      <tp t="s">
        <v/>
        <stp/>
        <stp>WDF 21!-IEU</stp>
        <stp>Block Volume</stp>
        <tr r="O1798" s="5"/>
      </tp>
      <tp t="s">
        <v/>
        <stp/>
        <stp>WDF 11!-IEU</stp>
        <stp>Block Volume</stp>
        <tr r="O1788" s="5"/>
      </tp>
      <tp t="s">
        <v/>
        <stp/>
        <stp>WDF Q1!-IEU</stp>
        <stp>Block Volume</stp>
        <tr r="O1808" s="5"/>
      </tp>
    </main>
    <main first="ice.rtd">
      <tp t="s">
        <v/>
        <stp/>
        <stp>141587M14:LstBlkVol</stp>
        <tr r="L55" s="5"/>
      </tp>
      <tp t="s">
        <v/>
        <stp/>
        <stp>141587M24:LstBlkVol</stp>
        <tr r="L65" s="5"/>
      </tp>
    </main>
    <main first="esrtd">
      <tp t="s">
        <v/>
        <stp/>
        <stp>WMJ 28!-IEU</stp>
        <stp>Block Volume</stp>
        <tr r="O1910" s="5"/>
      </tp>
      <tp t="s">
        <v/>
        <stp/>
        <stp>WMJ 18!-IEU</stp>
        <stp>Block Volume</stp>
        <tr r="O1900" s="5"/>
      </tp>
    </main>
    <main first="bofaddin.rtdserver">
      <tp>
        <v>0.7</v>
        <stp/>
        <stp>BDP|12230401125116800426|222</stp>
        <stp>CON7COQ7 Comdty</stp>
        <stp>ASK</stp>
        <stp>Fill=#N/A</stp>
        <tr r="O30" s="1"/>
      </tp>
      <tp t="s">
        <v>#N/A Real Time</v>
        <stp/>
        <stp>BDP|14678965554445449465|22</stp>
        <stp>COV6C 130.00 Comdty</stp>
        <stp>MID</stp>
        <tr r="D41" s="23"/>
      </tp>
    </main>
    <main first="esrtd">
      <tp t="s">
        <v/>
        <stp/>
        <stp>TDL 11!-IEU</stp>
        <stp>Block Volume</stp>
        <tr r="O1823" s="5"/>
      </tp>
      <tp t="s">
        <v/>
        <stp/>
        <stp>TDL 21!-IEU</stp>
        <stp>Block Volume</stp>
        <tr r="O1833" s="5"/>
      </tp>
      <tp t="s">
        <v/>
        <stp/>
        <stp>TDL Q1!-IEU</stp>
        <stp>Block Volume</stp>
        <tr r="O1843" s="5"/>
      </tp>
    </main>
    <main first="ice.rtd">
      <tp>
        <v>0</v>
        <stp/>
        <stp>3016030250BM0:OI</stp>
        <tr r="T1682" s="5"/>
      </tp>
      <tp t="s">
        <v/>
        <stp/>
        <stp>1517M12:LstBlkVol</stp>
        <tr r="L15" s="5"/>
      </tp>
      <tp t="s">
        <v/>
        <stp/>
        <stp>1517M22:LstBlkVol</stp>
        <tr r="L25" s="5"/>
      </tp>
      <tp t="s">
        <v/>
        <stp/>
        <stp>5162M15:LstBlkVol</stp>
        <tr r="L784" s="5"/>
      </tp>
    </main>
    <main first="ice.rtd">
      <tp t="s">
        <v/>
        <stp/>
        <stp>5162M13:LstBlkPrc</stp>
        <tr r="K782" s="5"/>
      </tp>
      <tp t="s">
        <v/>
        <stp/>
        <stp>5162M23:LstBlkPrc</stp>
        <tr r="K792" s="5"/>
      </tp>
      <tp t="s">
        <v/>
        <stp/>
        <stp>1517M14:LstBlkPrc</stp>
        <tr r="K17" s="5"/>
      </tp>
      <tp t="s">
        <v/>
        <stp/>
        <stp>1517M24:LstBlkPrc</stp>
        <tr r="K27" s="5"/>
      </tp>
      <tp t="s">
        <v/>
        <stp/>
        <stp>5162M23:BstHitPrc</stp>
        <tr r="G792" s="5"/>
      </tp>
      <tp t="s">
        <v/>
        <stp/>
        <stp>5162M13:BstHitPrc</stp>
        <tr r="G782" s="5"/>
      </tp>
      <tp t="s">
        <v/>
        <stp/>
        <stp>1517M24:BstHitPrc</stp>
        <tr r="G27" s="5"/>
      </tp>
      <tp>
        <v>0.45</v>
        <stp/>
        <stp>1517M14:BstHitPrc</stp>
        <tr r="G17" s="5"/>
      </tp>
      <tp>
        <v>-2.1</v>
        <stp/>
        <stp>57409036M6:BstLiftPrc</stp>
        <tr r="H237" s="5"/>
      </tp>
      <tp>
        <v>-3.01</v>
        <stp/>
        <stp>57409036M7:BstLiftPrc</stp>
        <tr r="H238" s="5"/>
      </tp>
      <tp>
        <v>-1.04</v>
        <stp/>
        <stp>57409036M4:BstLiftPrc</stp>
        <tr r="H235" s="5"/>
      </tp>
      <tp>
        <v>-1.41</v>
        <stp/>
        <stp>57409036M5:BstLiftPrc</stp>
        <tr r="H236" s="5"/>
      </tp>
      <tp>
        <v>-0.56000000000000005</v>
        <stp/>
        <stp>57409036M2:BstLiftPrc</stp>
        <tr r="H233" s="5"/>
      </tp>
      <tp>
        <v>-1.07</v>
        <stp/>
        <stp>57409036M3:BstLiftPrc</stp>
        <tr r="H234" s="5"/>
      </tp>
      <tp t="s">
        <v/>
        <stp/>
        <stp>57409036M0:BstLiftPrc</stp>
        <tr r="H231" s="5"/>
      </tp>
      <tp>
        <v>-0.3</v>
        <stp/>
        <stp>57409036M1:BstLiftPrc</stp>
        <tr r="H232" s="5"/>
      </tp>
      <tp>
        <v>-3.42</v>
        <stp/>
        <stp>57409036M8:BstLiftPrc</stp>
        <tr r="H239" s="5"/>
      </tp>
      <tp>
        <v>-3.79</v>
        <stp/>
        <stp>57409036M9:BstLiftPrc</stp>
        <tr r="H240" s="5"/>
      </tp>
      <tp t="s">
        <v/>
        <stp/>
        <stp>57409036Y2:BstLiftPrc</stp>
        <tr r="H267" s="5"/>
      </tp>
      <tp>
        <v>-3.38</v>
        <stp/>
        <stp>57409036Y0:BstLiftPrc</stp>
        <tr r="H265" s="5"/>
      </tp>
      <tp t="s">
        <v/>
        <stp/>
        <stp>57409036Y1:BstLiftPrc</stp>
        <tr r="H266" s="5"/>
      </tp>
      <tp t="s">
        <v/>
        <stp/>
        <stp>57409036Q6:BstLiftPrc</stp>
        <tr r="H262" s="5"/>
      </tp>
      <tp t="s">
        <v/>
        <stp/>
        <stp>57409036Q7:BstLiftPrc</stp>
        <tr r="H263" s="5"/>
      </tp>
      <tp>
        <v>-4.3899999999999997</v>
        <stp/>
        <stp>57409036Q4:BstLiftPrc</stp>
        <tr r="H260" s="5"/>
      </tp>
      <tp t="s">
        <v/>
        <stp/>
        <stp>57409036Q5:BstLiftPrc</stp>
        <tr r="H261" s="5"/>
      </tp>
      <tp>
        <v>-3.4</v>
        <stp/>
        <stp>57409036Q2:BstLiftPrc</stp>
        <tr r="H258" s="5"/>
      </tp>
      <tp>
        <v>-4.1900000000000004</v>
        <stp/>
        <stp>57409036Q3:BstLiftPrc</stp>
        <tr r="H259" s="5"/>
      </tp>
      <tp>
        <v>-0.65</v>
        <stp/>
        <stp>57409036Q0:BstLiftPrc</stp>
        <tr r="H256" s="5"/>
      </tp>
      <tp>
        <v>-1.51</v>
        <stp/>
        <stp>57409036Q1:BstLiftPrc</stp>
        <tr r="H257" s="5"/>
      </tp>
      <tp t="s">
        <v/>
        <stp/>
        <stp>57409036Q8:BstLiftPrc</stp>
        <tr r="H264" s="5"/>
      </tp>
      <tp t="s">
        <v/>
        <stp/>
        <stp>1840020882Y0:BstLiftPrc</stp>
        <tr r="H1604" s="5"/>
      </tp>
      <tp t="s">
        <v/>
        <stp/>
        <stp>1840020882Q4:BstLiftPrc</stp>
        <tr r="H1603" s="5"/>
      </tp>
      <tp t="s">
        <v/>
        <stp/>
        <stp>1840020882Q0:BstLiftPrc</stp>
        <tr r="H1599" s="5"/>
      </tp>
      <tp t="s">
        <v/>
        <stp/>
        <stp>1840020882Q1:BstLiftPrc</stp>
        <tr r="H1600" s="5"/>
      </tp>
      <tp t="s">
        <v/>
        <stp/>
        <stp>1840020882Q2:BstLiftPrc</stp>
        <tr r="H1601" s="5"/>
      </tp>
      <tp t="s">
        <v/>
        <stp/>
        <stp>1840020882Q3:BstLiftPrc</stp>
        <tr r="H1602" s="5"/>
      </tp>
      <tp t="s">
        <v/>
        <stp/>
        <stp>1840020882M4:BstLiftPrc</stp>
        <tr r="H1586" s="5"/>
      </tp>
      <tp t="s">
        <v/>
        <stp/>
        <stp>1840020882M5:BstLiftPrc</stp>
        <tr r="H1587" s="5"/>
      </tp>
      <tp t="s">
        <v/>
        <stp/>
        <stp>1840020882M6:BstLiftPrc</stp>
        <tr r="H1588" s="5"/>
      </tp>
      <tp t="s">
        <v/>
        <stp/>
        <stp>1840020882M7:BstLiftPrc</stp>
        <tr r="H1589" s="5"/>
      </tp>
      <tp t="s">
        <v/>
        <stp/>
        <stp>1840020882M0:BstLiftPrc</stp>
        <tr r="H1582" s="5"/>
      </tp>
      <tp t="s">
        <v/>
        <stp/>
        <stp>1840020882M1:BstLiftPrc</stp>
        <tr r="H1583" s="5"/>
      </tp>
      <tp t="s">
        <v/>
        <stp/>
        <stp>1840020882M2:BstLiftPrc</stp>
        <tr r="H1584" s="5"/>
      </tp>
      <tp t="s">
        <v/>
        <stp/>
        <stp>1840020882M3:BstLiftPrc</stp>
        <tr r="H1585" s="5"/>
      </tp>
      <tp t="s">
        <v/>
        <stp/>
        <stp>1840020882M8:BstLiftPrc</stp>
        <tr r="H1590" s="5"/>
      </tp>
      <tp t="s">
        <v/>
        <stp/>
        <stp>1840020882M9:BstLiftPrc</stp>
        <tr r="H1591" s="5"/>
      </tp>
      <tp t="s">
        <v/>
        <stp/>
        <stp>2184924621B0:BstLiftPrc</stp>
        <tr r="H707" s="5"/>
      </tp>
      <tp t="s">
        <v/>
        <stp/>
        <stp>141587M23:BstHitPrc</stp>
        <tr r="G64" s="5"/>
      </tp>
      <tp t="s">
        <v/>
        <stp/>
        <stp>141587M13:BstHitPrc</stp>
        <tr r="G54" s="5"/>
      </tp>
    </main>
    <main first="esrtd">
      <tp t="s">
        <v/>
        <stp/>
        <stp>ULF U28-IEU</stp>
        <stp>ICE Theoretical Price</stp>
        <tr r="W580" s="5"/>
      </tp>
      <tp t="s">
        <v/>
        <stp/>
        <stp>ULI U27-IEU</stp>
        <stp>ICE Theoretical Price</stp>
        <tr r="W606" s="5"/>
      </tp>
      <tp t="s">
        <v/>
        <stp/>
        <stp>NBI N27-IEU</stp>
        <stp>ICE Theoretical Price</stp>
        <tr r="W1425" s="5"/>
      </tp>
      <tp t="s">
        <v/>
        <stp/>
        <stp>ULI V27-IEU</stp>
        <stp>ICE Theoretical Price</stp>
        <tr r="W607" s="5"/>
      </tp>
      <tp t="s">
        <v/>
        <stp/>
        <stp>DBF G28-IEU</stp>
        <stp>ICE Theoretical Price</stp>
        <tr r="W20" s="5"/>
      </tp>
      <tp t="s">
        <v/>
        <stp/>
        <stp>NBI M27-IEU</stp>
        <stp>ICE Theoretical Price</stp>
        <tr r="W1424" s="5"/>
      </tp>
      <tp t="s">
        <v/>
        <stp/>
        <stp>DBF F28-IEU</stp>
        <stp>ICE Theoretical Price</stp>
        <tr r="W19" s="5"/>
      </tp>
      <tp t="s">
        <v/>
        <stp/>
        <stp>NBI K27-IEU</stp>
        <stp>ICE Theoretical Price</stp>
        <tr r="W1423" s="5"/>
      </tp>
      <tp t="s">
        <v/>
        <stp/>
        <stp>ULF Q28-IEU</stp>
        <stp>ICE Theoretical Price</stp>
        <tr r="W579" s="5"/>
      </tp>
      <tp t="s">
        <v/>
        <stp/>
        <stp>ULI Q27-IEU</stp>
        <stp>ICE Theoretical Price</stp>
        <tr r="W605" s="5"/>
      </tp>
      <tp t="s">
        <v/>
        <stp/>
        <stp>NBI J27-IEU</stp>
        <stp>ICE Theoretical Price</stp>
        <tr r="W1422" s="5"/>
      </tp>
      <tp t="s">
        <v/>
        <stp/>
        <stp>NBI H27-IEU</stp>
        <stp>ICE Theoretical Price</stp>
        <tr r="W1421" s="5"/>
      </tp>
      <tp t="s">
        <v/>
        <stp/>
        <stp>DBF M28-IEU</stp>
        <stp>ICE Theoretical Price</stp>
        <tr r="W24" s="5"/>
      </tp>
      <tp t="s">
        <v/>
        <stp/>
        <stp>NBI G27-IEU</stp>
        <stp>ICE Theoretical Price</stp>
        <tr r="W1420" s="5"/>
      </tp>
      <tp t="s">
        <v/>
        <stp/>
        <stp>NBI F27-IEU</stp>
        <stp>ICE Theoretical Price</stp>
        <tr r="W1419" s="5"/>
      </tp>
      <tp t="s">
        <v/>
        <stp/>
        <stp>DBF N28-IEU</stp>
        <stp>ICE Theoretical Price</stp>
        <tr r="W25" s="5"/>
      </tp>
      <tp t="s">
        <v/>
        <stp/>
        <stp>ULI X27-IEU</stp>
        <stp>ICE Theoretical Price</stp>
        <tr r="W608" s="5"/>
      </tp>
      <tp t="s">
        <v/>
        <stp/>
        <stp>DBF H28-IEU</stp>
        <stp>ICE Theoretical Price</stp>
        <tr r="W21" s="5"/>
      </tp>
      <tp t="s">
        <v/>
        <stp/>
        <stp>ULI Z27-IEU</stp>
        <stp>ICE Theoretical Price</stp>
        <tr r="W609" s="5"/>
      </tp>
      <tp t="s">
        <v/>
        <stp/>
        <stp>DBF K28-IEU</stp>
        <stp>ICE Theoretical Price</stp>
        <tr r="W23" s="5"/>
      </tp>
      <tp t="s">
        <v/>
        <stp/>
        <stp>DBF J28-IEU</stp>
        <stp>ICE Theoretical Price</stp>
        <tr r="W22" s="5"/>
      </tp>
      <tp t="s">
        <v/>
        <stp/>
        <stp>GOH V26-IEU</stp>
        <stp>ICE Theoretical Price</stp>
        <tr r="W747" s="5"/>
      </tp>
      <tp t="s">
        <v/>
        <stp/>
        <stp>DBF U28-IEU</stp>
        <stp>ICE Theoretical Price</stp>
        <tr r="W27" s="5"/>
      </tp>
    </main>
    <main first="ice.rtd">
      <tp t="s">
        <v/>
        <stp/>
        <stp>266419M19:LstBlkPrc</stp>
        <tr r="K978" s="5"/>
      </tp>
    </main>
    <main first="esrtd">
      <tp t="s">
        <v/>
        <stp/>
        <stp>ULF F28-IEU</stp>
        <stp>ICE Theoretical Price</stp>
        <tr r="W572" s="5"/>
      </tp>
      <tp t="s">
        <v/>
        <stp/>
        <stp>ULI F27-IEU</stp>
        <stp>ICE Theoretical Price</stp>
        <tr r="W598" s="5"/>
      </tp>
      <tp t="s">
        <v/>
        <stp/>
        <stp>GOH U26-IEU</stp>
        <stp>ICE Theoretical Price</stp>
        <tr r="W746" s="5"/>
      </tp>
      <tp t="s">
        <v/>
        <stp/>
        <stp>ULF G28-IEU</stp>
        <stp>ICE Theoretical Price</stp>
        <tr r="W573" s="5"/>
      </tp>
      <tp t="s">
        <v/>
        <stp/>
        <stp>ULI G27-IEU</stp>
        <stp>ICE Theoretical Price</stp>
        <tr r="W599" s="5"/>
      </tp>
      <tp t="s">
        <v/>
        <stp/>
        <stp>DBF Q28-IEU</stp>
        <stp>ICE Theoretical Price</stp>
        <tr r="W26" s="5"/>
      </tp>
      <tp t="s">
        <v/>
        <stp/>
        <stp>NBI Z27-IEU</stp>
        <stp>ICE Theoretical Price</stp>
        <tr r="W1430" s="5"/>
      </tp>
      <tp t="s">
        <v/>
        <stp/>
        <stp>NBI X27-IEU</stp>
        <stp>ICE Theoretical Price</stp>
        <tr r="W1429" s="5"/>
      </tp>
      <tp t="s">
        <v/>
        <stp/>
        <stp>ULF M28-IEU</stp>
        <stp>ICE Theoretical Price</stp>
        <tr r="W577" s="5"/>
      </tp>
      <tp t="s">
        <v/>
        <stp/>
        <stp>ULI M27-IEU</stp>
        <stp>ICE Theoretical Price</stp>
        <tr r="W603" s="5"/>
      </tp>
      <tp t="s">
        <v/>
        <stp/>
        <stp>NBI V27-IEU</stp>
        <stp>ICE Theoretical Price</stp>
        <tr r="W1428" s="5"/>
      </tp>
      <tp t="s">
        <v/>
        <stp/>
        <stp>ULF N28-IEU</stp>
        <stp>ICE Theoretical Price</stp>
        <tr r="W578" s="5"/>
      </tp>
      <tp t="s">
        <v/>
        <stp/>
        <stp>ULI N27-IEU</stp>
        <stp>ICE Theoretical Price</stp>
        <tr r="W604" s="5"/>
      </tp>
      <tp t="s">
        <v/>
        <stp/>
        <stp>NBI U27-IEU</stp>
        <stp>ICE Theoretical Price</stp>
        <tr r="W1427" s="5"/>
      </tp>
      <tp t="s">
        <v/>
        <stp/>
        <stp>GOH Z26-IEU</stp>
        <stp>ICE Theoretical Price</stp>
        <tr r="W749" s="5"/>
      </tp>
      <tp t="s">
        <v/>
        <stp/>
        <stp>ULF H28-IEU</stp>
        <stp>ICE Theoretical Price</stp>
        <tr r="W574" s="5"/>
      </tp>
      <tp t="s">
        <v/>
        <stp/>
        <stp>ULI H27-IEU</stp>
        <stp>ICE Theoretical Price</stp>
        <tr r="W600" s="5"/>
      </tp>
      <tp t="s">
        <v/>
        <stp/>
        <stp>GOH X26-IEU</stp>
        <stp>ICE Theoretical Price</stp>
        <tr r="W748" s="5"/>
      </tp>
      <tp t="s">
        <v/>
        <stp/>
        <stp>ULF J28-IEU</stp>
        <stp>ICE Theoretical Price</stp>
        <tr r="W575" s="5"/>
      </tp>
      <tp t="s">
        <v/>
        <stp/>
        <stp>ULI J27-IEU</stp>
        <stp>ICE Theoretical Price</stp>
        <tr r="W601" s="5"/>
      </tp>
      <tp t="s">
        <v/>
        <stp/>
        <stp>NBI Q27-IEU</stp>
        <stp>ICE Theoretical Price</stp>
        <tr r="W1426" s="5"/>
      </tp>
      <tp t="s">
        <v/>
        <stp/>
        <stp>ULF K28-IEU</stp>
        <stp>ICE Theoretical Price</stp>
        <tr r="W576" s="5"/>
      </tp>
      <tp t="s">
        <v/>
        <stp/>
        <stp>ULI K27-IEU</stp>
        <stp>ICE Theoretical Price</stp>
        <tr r="W602" s="5"/>
      </tp>
    </main>
    <main first="ice.rtd">
      <tp t="s">
        <v/>
        <stp/>
        <stp>141587M13:LstBlkPrc</stp>
        <tr r="K54" s="5"/>
      </tp>
      <tp t="s">
        <v/>
        <stp/>
        <stp>141587M23:LstBlkPrc</stp>
        <tr r="K64" s="5"/>
      </tp>
      <tp t="s">
        <v/>
        <stp/>
        <stp>266419M19:BstHitPrc</stp>
        <tr r="G978" s="5"/>
      </tp>
    </main>
    <main first="esrtd">
      <tp t="s">
        <v/>
        <stp/>
        <stp>WDF 20!-IEU</stp>
        <stp>Block Volume</stp>
        <tr r="O1797" s="5"/>
      </tp>
      <tp t="s">
        <v/>
        <stp/>
        <stp>WDF 30!-IEU</stp>
        <stp>Block Volume</stp>
        <tr r="O1807" s="5"/>
      </tp>
      <tp t="s">
        <v/>
        <stp/>
        <stp>WDF 10!-IEU</stp>
        <stp>Block Volume</stp>
        <tr r="O1787" s="5"/>
      </tp>
    </main>
    <main first="ice.rtd">
      <tp t="s">
        <v/>
        <stp/>
        <stp>141587M15:LstBlkVol</stp>
        <tr r="L56" s="5"/>
      </tp>
    </main>
    <main first="bofaddin.rtdserver">
      <tp>
        <v>4.79</v>
        <stp/>
        <stp>BDP|16166584297281983483|222</stp>
        <stp>HON7HOQ7 Comdty</stp>
        <stp>BID</stp>
        <stp>Fill=#N/A</stp>
        <tr r="Q30" s="1"/>
      </tp>
    </main>
    <main first="esrtd">
      <tp t="s">
        <v/>
        <stp/>
        <stp>WMJ 29!-IEU</stp>
        <stp>Block Volume</stp>
        <tr r="O1911" s="5"/>
      </tp>
      <tp t="s">
        <v/>
        <stp/>
        <stp>WMJ 19!-IEU</stp>
        <stp>Block Volume</stp>
        <tr r="O1901" s="5"/>
      </tp>
    </main>
    <main first="bofaddin.rtdserver">
      <tp>
        <v>2.68</v>
        <stp/>
        <stp>BDP|16996018533621893239|222</stp>
        <stp>CLZ6CLF7 Comdty</stp>
        <stp>ASK</stp>
        <stp>Fill=#N/A</stp>
        <tr r="N23" s="1"/>
      </tp>
      <tp>
        <v>2.75</v>
        <stp/>
        <stp>BDP|17372971508428084962|222</stp>
        <stp>QSZ8QSF9 Comdty</stp>
        <stp>BID</stp>
        <stp>Fill=#N/A</stp>
        <tr r="P47" s="1"/>
      </tp>
    </main>
    <main first="esrtd">
      <tp t="s">
        <v/>
        <stp/>
        <stp>TDL 10!-IEU</stp>
        <stp>Block Volume</stp>
        <tr r="O1822" s="5"/>
      </tp>
      <tp t="s">
        <v/>
        <stp/>
        <stp>TDL 30!-IEU</stp>
        <stp>Block Volume</stp>
        <tr r="O1842" s="5"/>
      </tp>
      <tp t="s">
        <v/>
        <stp/>
        <stp>TDL 20!-IEU</stp>
        <stp>Block Volume</stp>
        <tr r="O1832" s="5"/>
      </tp>
    </main>
    <main first="ice.rtd">
      <tp t="s">
        <v/>
        <stp/>
        <stp>1517M13:LstBlkVol</stp>
        <tr r="L16" s="5"/>
      </tp>
      <tp t="s">
        <v/>
        <stp/>
        <stp>1517M23:LstBlkVol</stp>
        <tr r="L26" s="5"/>
      </tp>
      <tp t="s">
        <v/>
        <stp/>
        <stp>5162M14:LstBlkVol</stp>
        <tr r="L783" s="5"/>
      </tp>
      <tp t="s">
        <v/>
        <stp/>
        <stp>5162M24:LstBlkVol</stp>
        <tr r="L793" s="5"/>
      </tp>
      <tp t="s">
        <v/>
        <stp/>
        <stp>5162M12:LstBlkPrc</stp>
        <tr r="K781" s="5"/>
      </tp>
      <tp t="s">
        <v/>
        <stp/>
        <stp>5162M22:LstBlkPrc</stp>
        <tr r="K791" s="5"/>
      </tp>
      <tp t="s">
        <v/>
        <stp/>
        <stp>1517M15:LstBlkPrc</stp>
        <tr r="K18" s="5"/>
      </tp>
      <tp t="s">
        <v/>
        <stp/>
        <stp>5162M22:BstHitPrc</stp>
        <tr r="G791" s="5"/>
      </tp>
      <tp t="s">
        <v/>
        <stp/>
        <stp>5162M12:BstHitPrc</stp>
        <tr r="G781" s="5"/>
      </tp>
    </main>
    <main first="bofaddin.rtdserver">
      <tp>
        <v>777</v>
        <stp/>
        <stp>BDP|742299102013958971|222</stp>
        <stp>QSX9 Comdty</stp>
        <stp>BID</stp>
        <stp>Fill=#N/A</stp>
        <tr r="H57" s="1"/>
      </tp>
    </main>
    <main first="ice.rtd">
      <tp>
        <v>0.44</v>
        <stp/>
        <stp>1517M15:BstHitPrc</stp>
        <tr r="G18" s="5"/>
      </tp>
    </main>
    <main first="bofaddin.rtdserver">
      <tp t="s">
        <v>#N/A Real Time</v>
        <stp/>
        <stp>BDP|11845887992613705085|22</stp>
        <stp>LMCADS03 Comdty</stp>
        <stp>RT_PX_CHG_NET_1D</stp>
        <tr r="H9" s="18"/>
      </tp>
    </main>
    <main first="ice.rtd">
      <tp>
        <v>30</v>
        <stp/>
        <stp>2323325594B0:BstLiftPrc</stp>
        <tr r="H958" s="5"/>
      </tp>
      <tp t="s">
        <v/>
        <stp/>
        <stp>2044823525Y0:BstLiftPrc</stp>
        <tr r="H1777" s="5"/>
      </tp>
      <tp t="s">
        <v>Invalid Market: 2044823525Q5</v>
        <stp/>
        <stp>2044823525Q5:BstLiftPrc</stp>
        <tr r="H1775" s="5"/>
      </tp>
      <tp t="s">
        <v/>
        <stp/>
        <stp>2044823525Q4:BstLiftPrc</stp>
        <tr r="H1774" s="5"/>
      </tp>
      <tp t="s">
        <v>Invalid Market: 2044823525Q6</v>
        <stp/>
        <stp>2044823525Q6:BstLiftPrc</stp>
        <tr r="H1776" s="5"/>
      </tp>
      <tp t="s">
        <v/>
        <stp/>
        <stp>2044823525Q1:BstLiftPrc</stp>
        <tr r="H1771" s="5"/>
      </tp>
      <tp t="s">
        <v/>
        <stp/>
        <stp>2044823525Q0:BstLiftPrc</stp>
        <tr r="H1770" s="5"/>
      </tp>
      <tp t="s">
        <v/>
        <stp/>
        <stp>2044823525Q3:BstLiftPrc</stp>
        <tr r="H1773" s="5"/>
      </tp>
      <tp t="s">
        <v/>
        <stp/>
        <stp>2044823525Q2:BstLiftPrc</stp>
        <tr r="H1772" s="5"/>
      </tp>
      <tp t="s">
        <v/>
        <stp/>
        <stp>2044823525M9:BstLiftPrc</stp>
        <tr r="H1756" s="5"/>
      </tp>
      <tp t="s">
        <v/>
        <stp/>
        <stp>2044823525M8:BstLiftPrc</stp>
        <tr r="H1755" s="5"/>
      </tp>
      <tp t="s">
        <v/>
        <stp/>
        <stp>2044823525M5:BstLiftPrc</stp>
        <tr r="H1752" s="5"/>
      </tp>
      <tp t="s">
        <v/>
        <stp/>
        <stp>2044823525M4:BstLiftPrc</stp>
        <tr r="H1751" s="5"/>
      </tp>
      <tp t="s">
        <v/>
        <stp/>
        <stp>2044823525M7:BstLiftPrc</stp>
        <tr r="H1754" s="5"/>
      </tp>
      <tp t="s">
        <v/>
        <stp/>
        <stp>2044823525M6:BstLiftPrc</stp>
        <tr r="H1753" s="5"/>
      </tp>
      <tp t="s">
        <v/>
        <stp/>
        <stp>2044823525M1:BstLiftPrc</stp>
        <tr r="H1748" s="5"/>
      </tp>
      <tp t="s">
        <v/>
        <stp/>
        <stp>2044823525M0:BstLiftPrc</stp>
        <tr r="H1747" s="5"/>
      </tp>
      <tp t="s">
        <v/>
        <stp/>
        <stp>2044823525M3:BstLiftPrc</stp>
        <tr r="H1750" s="5"/>
      </tp>
      <tp t="s">
        <v/>
        <stp/>
        <stp>2044823525M2:BstLiftPrc</stp>
        <tr r="H1749" s="5"/>
      </tp>
      <tp t="s">
        <v/>
        <stp/>
        <stp>1517Y0:LstBlkTime</stp>
        <tr r="M37" s="5"/>
      </tp>
      <tp t="s">
        <v/>
        <stp/>
        <stp>1517Y1:LstBlkTime</stp>
        <tr r="M38" s="5"/>
      </tp>
      <tp t="s">
        <v/>
        <stp/>
        <stp>1517Y2:LstBlkTime</stp>
        <tr r="M39" s="5"/>
      </tp>
      <tp t="s">
        <v/>
        <stp/>
        <stp>1517Q4:LstBlkTime</stp>
        <tr r="M32" s="5"/>
      </tp>
      <tp t="s">
        <v/>
        <stp/>
        <stp>1517Q5:LstBlkTime</stp>
        <tr r="M33" s="5"/>
      </tp>
      <tp t="s">
        <v/>
        <stp/>
        <stp>1517Q6:LstBlkTime</stp>
        <tr r="M34" s="5"/>
      </tp>
      <tp t="s">
        <v/>
        <stp/>
        <stp>1517Q7:LstBlkTime</stp>
        <tr r="M35" s="5"/>
      </tp>
      <tp t="s">
        <v>10:52:00</v>
        <stp/>
        <stp>1517Q0:LstBlkTime</stp>
        <tr r="M28" s="5"/>
      </tp>
      <tp t="s">
        <v>10:43:13</v>
        <stp/>
        <stp>1517Q1:LstBlkTime</stp>
        <tr r="M29" s="5"/>
      </tp>
      <tp t="s">
        <v>10:49:41</v>
        <stp/>
        <stp>1517Q2:LstBlkTime</stp>
        <tr r="M30" s="5"/>
      </tp>
      <tp t="s">
        <v/>
        <stp/>
        <stp>1517Q3:LstBlkTime</stp>
        <tr r="M31" s="5"/>
      </tp>
      <tp t="s">
        <v/>
        <stp/>
        <stp>1517Q8:LstBlkTime</stp>
        <tr r="M36" s="5"/>
      </tp>
      <tp t="s">
        <v>10:57:09</v>
        <stp/>
        <stp>1517M4:LstBlkTime</stp>
        <tr r="M7" s="5"/>
      </tp>
      <tp t="s">
        <v>10:57:09</v>
        <stp/>
        <stp>1517M5:LstBlkTime</stp>
        <tr r="M8" s="5"/>
      </tp>
      <tp t="s">
        <v>10:57:09</v>
        <stp/>
        <stp>1517M6:LstBlkTime</stp>
        <tr r="M9" s="5"/>
      </tp>
      <tp t="s">
        <v/>
        <stp/>
        <stp>1517M7:LstBlkTime</stp>
        <tr r="M10" s="5"/>
      </tp>
      <tp t="s">
        <v>10:46:57</v>
        <stp/>
        <stp>1517M0:LstBlkTime</stp>
        <tr r="M3" s="5"/>
      </tp>
      <tp t="s">
        <v>10:59:08</v>
        <stp/>
        <stp>1517M1:LstBlkTime</stp>
        <tr r="M4" s="5"/>
      </tp>
      <tp t="s">
        <v>10:49:21</v>
        <stp/>
        <stp>1517M2:LstBlkTime</stp>
        <tr r="M5" s="5"/>
      </tp>
      <tp t="s">
        <v>10:49:21</v>
        <stp/>
        <stp>1517M3:LstBlkTime</stp>
        <tr r="M6" s="5"/>
      </tp>
      <tp t="s">
        <v/>
        <stp/>
        <stp>1517M8:LstBlkTime</stp>
        <tr r="M11" s="5"/>
      </tp>
      <tp t="s">
        <v/>
        <stp/>
        <stp>1517M9:LstBlkTime</stp>
        <tr r="M12" s="5"/>
      </tp>
    </main>
    <main first="bofaddin.rtdserver">
      <tp t="s">
        <v>#N/A</v>
        <stp/>
        <stp>BDP|675478162836771008|222</stp>
        <stp>MUCU7V7 Comdty</stp>
        <stp>BID</stp>
        <stp>Fill=#N/A</stp>
        <tr r="S32" s="1"/>
      </tp>
      <tp>
        <v>2.96</v>
        <stp/>
        <stp>BDP|9326574688148566|22</stp>
        <stp>CLZ7CLZ8 Comdty</stp>
        <stp>ASK</stp>
        <tr r="B3" s="3"/>
      </tp>
    </main>
    <main first="esrtd">
      <tp t="s">
        <v/>
        <stp/>
        <stp>Invalid Market: 41767893B0 B0-IEU</stp>
        <stp>ICE Theoretical Price</stp>
        <tr r="W479" s="5"/>
      </tp>
    </main>
    <main first="ice.rtd">
      <tp t="s">
        <v>Invalid Market: CALCQ8</v>
        <stp/>
        <stp>CALCQ8:BlkVol</stp>
        <tr r="O1220" s="5"/>
        <tr r="O1372" s="5"/>
      </tp>
      <tp t="s">
        <v>Invalid Market: CALCQ3</v>
        <stp/>
        <stp>CALCQ3:BlkVol</stp>
        <tr r="O1367" s="5"/>
        <tr r="O1215" s="5"/>
      </tp>
      <tp t="s">
        <v>Invalid Market: CALCQ2</v>
        <stp/>
        <stp>CALCQ2:BlkVol</stp>
        <tr r="O1214" s="5"/>
        <tr r="O1366" s="5"/>
      </tp>
      <tp t="s">
        <v>Invalid Market: CALCQ1</v>
        <stp/>
        <stp>CALCQ1:BlkVol</stp>
        <tr r="O1365" s="5"/>
        <tr r="O1213" s="5"/>
      </tp>
      <tp t="s">
        <v>Invalid Market: CALCQ0</v>
        <stp/>
        <stp>CALCQ0:BlkVol</stp>
        <tr r="O1212" s="5"/>
        <tr r="O1364" s="5"/>
      </tp>
      <tp t="s">
        <v>Invalid Market: CALCQ7</v>
        <stp/>
        <stp>CALCQ7:BlkVol</stp>
        <tr r="O1219" s="5"/>
        <tr r="O1371" s="5"/>
      </tp>
      <tp t="s">
        <v>Invalid Market: CALCQ6</v>
        <stp/>
        <stp>CALCQ6:BlkVol</stp>
        <tr r="O1218" s="5"/>
        <tr r="O1370" s="5"/>
      </tp>
      <tp t="s">
        <v>Invalid Market: CALCQ5</v>
        <stp/>
        <stp>CALCQ5:BlkVol</stp>
        <tr r="O1217" s="5"/>
        <tr r="O1369" s="5"/>
      </tp>
      <tp t="s">
        <v>Invalid Market: CALCQ4</v>
        <stp/>
        <stp>CALCQ4:BlkVol</stp>
        <tr r="O1216" s="5"/>
        <tr r="O1368" s="5"/>
      </tp>
      <tp t="s">
        <v>Invalid Market: CALCY2</v>
        <stp/>
        <stp>CALCY2:BlkVol</stp>
        <tr r="O1223" s="5"/>
        <tr r="O1375" s="5"/>
      </tp>
      <tp t="s">
        <v>Invalid Market: CALCY1</v>
        <stp/>
        <stp>CALCY1:BlkVol</stp>
        <tr r="O1374" s="5"/>
        <tr r="O1222" s="5"/>
      </tp>
      <tp t="s">
        <v>Invalid Market: CALCY0</v>
        <stp/>
        <stp>CALCY0:BlkVol</stp>
        <tr r="O1221" s="5"/>
        <tr r="O1373" s="5"/>
      </tp>
      <tp t="s">
        <v>Invalid Market: CALCB0</v>
        <stp/>
        <stp>CALCB0:BlkVol</stp>
        <tr r="O1186" s="5"/>
        <tr r="O1338" s="5"/>
      </tp>
      <tp t="s">
        <v>Invalid Market: CALCM9</v>
        <stp/>
        <stp>CALCM9:BlkVol</stp>
        <tr r="O1196" s="5"/>
        <tr r="O1348" s="5"/>
      </tp>
      <tp t="s">
        <v>Invalid Market: CALCM8</v>
        <stp/>
        <stp>CALCM8:BlkVol</stp>
        <tr r="O1195" s="5"/>
        <tr r="O1347" s="5"/>
      </tp>
      <tp t="s">
        <v>Invalid Market: CALCM3</v>
        <stp/>
        <stp>CALCM3:BlkVol</stp>
        <tr r="O1190" s="5"/>
        <tr r="O1342" s="5"/>
      </tp>
      <tp t="s">
        <v>Invalid Market: CALCM2</v>
        <stp/>
        <stp>CALCM2:BlkVol</stp>
        <tr r="O1189" s="5"/>
        <tr r="O1341" s="5"/>
      </tp>
      <tp t="s">
        <v>Invalid Market: CALCM1</v>
        <stp/>
        <stp>CALCM1:BlkVol</stp>
        <tr r="O1188" s="5"/>
        <tr r="O1340" s="5"/>
      </tp>
      <tp t="s">
        <v>Invalid Market: CALCM0</v>
        <stp/>
        <stp>CALCM0:BlkVol</stp>
        <tr r="O1187" s="5"/>
        <tr r="O1339" s="5"/>
      </tp>
      <tp t="s">
        <v>Invalid Market: CALCM7</v>
        <stp/>
        <stp>CALCM7:BlkVol</stp>
        <tr r="O1194" s="5"/>
        <tr r="O1346" s="5"/>
      </tp>
      <tp t="s">
        <v>Invalid Market: CALCM6</v>
        <stp/>
        <stp>CALCM6:BlkVol</stp>
        <tr r="O1345" s="5"/>
        <tr r="O1193" s="5"/>
      </tp>
      <tp t="s">
        <v>Invalid Market: CALCM5</v>
        <stp/>
        <stp>CALCM5:BlkVol</stp>
        <tr r="O1192" s="5"/>
        <tr r="O1344" s="5"/>
      </tp>
      <tp t="s">
        <v>Invalid Market: CALCM4</v>
        <stp/>
        <stp>CALCM4:BlkVol</stp>
        <tr r="O1191" s="5"/>
        <tr r="O1343" s="5"/>
      </tp>
      <tp t="s">
        <v>BOA</v>
        <stp/>
        <stp>41787896M24:PCC</stp>
        <tr r="B831" s="5"/>
      </tp>
      <tp t="s">
        <v>SMD</v>
        <stp/>
        <stp>41767893M24:PCC</stp>
        <tr r="B504" s="5"/>
      </tp>
      <tp t="s">
        <v>BOA</v>
        <stp/>
        <stp>41787896M20:PCC</stp>
        <tr r="B827" s="5"/>
      </tp>
      <tp t="s">
        <v>SMD</v>
        <stp/>
        <stp>41767893M20:PCC</stp>
        <tr r="B500" s="5"/>
      </tp>
      <tp t="s">
        <v>BOA</v>
        <stp/>
        <stp>41787896M21:PCC</stp>
        <tr r="B828" s="5"/>
      </tp>
      <tp t="s">
        <v>SMD</v>
        <stp/>
        <stp>41767893M21:PCC</stp>
        <tr r="B501" s="5"/>
      </tp>
      <tp t="s">
        <v>BOA</v>
        <stp/>
        <stp>41787896M22:PCC</stp>
        <tr r="B829" s="5"/>
      </tp>
      <tp t="s">
        <v>SMD</v>
        <stp/>
        <stp>41767893M22:PCC</stp>
        <tr r="B502" s="5"/>
      </tp>
      <tp t="s">
        <v>BOA</v>
        <stp/>
        <stp>41787896M23:PCC</stp>
        <tr r="B830" s="5"/>
      </tp>
      <tp t="s">
        <v>SMD</v>
        <stp/>
        <stp>41767893M23:PCC</stp>
        <tr r="B503" s="5"/>
      </tp>
      <tp t="s">
        <v>BOA</v>
        <stp/>
        <stp>41787896M14:PCC</stp>
        <tr r="B821" s="5"/>
      </tp>
      <tp t="s">
        <v>SMD</v>
        <stp/>
        <stp>41767893M14:PCC</stp>
        <tr r="B494" s="5"/>
      </tp>
      <tp t="s">
        <v>BOA</v>
        <stp/>
        <stp>41787896M15:PCC</stp>
        <tr r="B822" s="5"/>
      </tp>
      <tp t="s">
        <v>SMD</v>
        <stp/>
        <stp>41767893M15:PCC</stp>
        <tr r="B495" s="5"/>
      </tp>
      <tp t="s">
        <v>BOA</v>
        <stp/>
        <stp>41787896M16:PCC</stp>
        <tr r="B823" s="5"/>
      </tp>
      <tp t="s">
        <v>SMD</v>
        <stp/>
        <stp>41767893M16:PCC</stp>
        <tr r="B496" s="5"/>
      </tp>
      <tp t="s">
        <v>BOA</v>
        <stp/>
        <stp>41787896M17:PCC</stp>
        <tr r="B824" s="5"/>
      </tp>
      <tp t="s">
        <v>SMD</v>
        <stp/>
        <stp>41767893M17:PCC</stp>
        <tr r="B497" s="5"/>
      </tp>
      <tp t="s">
        <v>BOA</v>
        <stp/>
        <stp>41787896M10:PCC</stp>
        <tr r="B817" s="5"/>
      </tp>
      <tp t="s">
        <v>SMD</v>
        <stp/>
        <stp>41767893M10:PCC</stp>
        <tr r="B490" s="5"/>
      </tp>
      <tp t="s">
        <v>BOA</v>
        <stp/>
        <stp>41787896M11:PCC</stp>
        <tr r="B818" s="5"/>
      </tp>
      <tp t="s">
        <v>SMD</v>
        <stp/>
        <stp>41767893M11:PCC</stp>
        <tr r="B491" s="5"/>
      </tp>
      <tp t="s">
        <v>BOA</v>
        <stp/>
        <stp>41787896M12:PCC</stp>
        <tr r="B819" s="5"/>
      </tp>
      <tp t="s">
        <v>SMD</v>
        <stp/>
        <stp>41767893M12:PCC</stp>
        <tr r="B492" s="5"/>
      </tp>
      <tp t="s">
        <v>BOA</v>
        <stp/>
        <stp>41787896M13:PCC</stp>
        <tr r="B820" s="5"/>
      </tp>
      <tp t="s">
        <v>SMD</v>
        <stp/>
        <stp>41767893M13:PCC</stp>
        <tr r="B493" s="5"/>
      </tp>
      <tp t="s">
        <v>BOA</v>
        <stp/>
        <stp>41787896M18:PCC</stp>
        <tr r="B825" s="5"/>
      </tp>
      <tp t="s">
        <v>SMD</v>
        <stp/>
        <stp>41767893M18:PCC</stp>
        <tr r="B498" s="5"/>
      </tp>
      <tp t="s">
        <v>BOA</v>
        <stp/>
        <stp>41787896M19:PCC</stp>
        <tr r="B826" s="5"/>
      </tp>
      <tp t="s">
        <v>SMD</v>
        <stp/>
        <stp>41767893M19:PCC</stp>
        <tr r="B499" s="5"/>
      </tp>
    </main>
    <main first="esrtd">
      <tp t="s">
        <v/>
        <stp/>
        <stp>WNS 29!-IEU</stp>
        <stp>Block Volume</stp>
        <tr r="O1876" s="5"/>
      </tp>
      <tp t="s">
        <v/>
        <stp/>
        <stp>WNS 19!-IEU</stp>
        <stp>Block Volume</stp>
        <tr r="O1866" s="5"/>
      </tp>
    </main>
    <main first="ice.rtd">
      <tp t="s">
        <v/>
        <stp/>
        <stp>141587M20:BstHitPrc</stp>
        <tr r="G61" s="5"/>
      </tp>
      <tp t="s">
        <v/>
        <stp/>
        <stp>141587M10:BstHitPrc</stp>
        <tr r="G51" s="5"/>
      </tp>
    </main>
    <main first="esrtd">
      <tp t="s">
        <v/>
        <stp/>
        <stp>JOE K28-IEU</stp>
        <stp>ICE Theoretical Price</stp>
        <tr r="W441" s="5"/>
      </tp>
      <tp t="s">
        <v/>
        <stp/>
        <stp>JOE J28-IEU</stp>
        <stp>ICE Theoretical Price</stp>
        <tr r="W440" s="5"/>
      </tp>
      <tp t="s">
        <v/>
        <stp/>
        <stp>ULE U28-IEU</stp>
        <stp>ICE Theoretical Price</stp>
        <tr r="W542" s="5"/>
      </tp>
      <tp t="s">
        <v/>
        <stp/>
        <stp>ULJ U27-IEU</stp>
        <stp>ICE Theoretical Price</stp>
        <tr r="W91" s="5"/>
      </tp>
      <tp t="s">
        <v/>
        <stp/>
        <stp>NGE N28-IEU</stp>
        <stp>ICE Theoretical Price</stp>
        <tr r="W1513" s="5"/>
      </tp>
      <tp t="s">
        <v/>
        <stp/>
        <stp>ULJ V27-IEU</stp>
        <stp>ICE Theoretical Price</stp>
        <tr r="W92" s="5"/>
      </tp>
      <tp t="s">
        <v/>
        <stp/>
        <stp>NGE M28-IEU</stp>
        <stp>ICE Theoretical Price</stp>
        <tr r="W1512" s="5"/>
      </tp>
      <tp t="s">
        <v/>
        <stp/>
        <stp>JOE H28-IEU</stp>
        <stp>ICE Theoretical Price</stp>
        <tr r="W439" s="5"/>
      </tp>
      <tp t="s">
        <v/>
        <stp/>
        <stp>NGE K28-IEU</stp>
        <stp>ICE Theoretical Price</stp>
        <tr r="W1511" s="5"/>
      </tp>
      <tp t="s">
        <v/>
        <stp/>
        <stp>JOE N28-IEU</stp>
        <stp>ICE Theoretical Price</stp>
        <tr r="W443" s="5"/>
      </tp>
      <tp t="s">
        <v/>
        <stp/>
        <stp>ULE Q28-IEU</stp>
        <stp>ICE Theoretical Price</stp>
        <tr r="W541" s="5"/>
      </tp>
      <tp t="s">
        <v/>
        <stp/>
        <stp>ULJ Q27-IEU</stp>
        <stp>ICE Theoretical Price</stp>
        <tr r="W90" s="5"/>
      </tp>
      <tp t="s">
        <v/>
        <stp/>
        <stp>NGE J28-IEU</stp>
        <stp>ICE Theoretical Price</stp>
        <tr r="W1510" s="5"/>
      </tp>
      <tp t="s">
        <v/>
        <stp/>
        <stp>JOE M28-IEU</stp>
        <stp>ICE Theoretical Price</stp>
        <tr r="W442" s="5"/>
      </tp>
      <tp t="s">
        <v/>
        <stp/>
        <stp>NGE H28-IEU</stp>
        <stp>ICE Theoretical Price</stp>
        <tr r="W1509" s="5"/>
      </tp>
      <tp t="s">
        <v/>
        <stp/>
        <stp>NGE G28-IEU</stp>
        <stp>ICE Theoretical Price</stp>
        <tr r="W1508" s="5"/>
      </tp>
      <tp t="s">
        <v/>
        <stp/>
        <stp>NGE F28-IEU</stp>
        <stp>ICE Theoretical Price</stp>
        <tr r="W1507" s="5"/>
      </tp>
      <tp t="s">
        <v/>
        <stp/>
        <stp>JOE G28-IEU</stp>
        <stp>ICE Theoretical Price</stp>
        <tr r="W438" s="5"/>
      </tp>
      <tp t="s">
        <v/>
        <stp/>
        <stp>ULJ X27-IEU</stp>
        <stp>ICE Theoretical Price</stp>
        <tr r="W93" s="5"/>
      </tp>
      <tp t="s">
        <v/>
        <stp/>
        <stp>JOE F28-IEU</stp>
        <stp>ICE Theoretical Price</stp>
        <tr r="W437" s="5"/>
      </tp>
      <tp t="s">
        <v/>
        <stp/>
        <stp>ULJ Z27-IEU</stp>
        <stp>ICE Theoretical Price</stp>
        <tr r="W94" s="5"/>
      </tp>
      <tp t="s">
        <v/>
        <stp/>
        <stp>GDK V26-IEU</stp>
        <stp>ICE Theoretical Price</stp>
        <tr r="W460" s="5"/>
      </tp>
      <tp t="s">
        <v/>
        <stp/>
        <stp>ULE F28-IEU</stp>
        <stp>ICE Theoretical Price</stp>
        <tr r="W534" s="5"/>
      </tp>
      <tp t="s">
        <v/>
        <stp/>
        <stp>ULJ F27-IEU</stp>
        <stp>ICE Theoretical Price</stp>
        <tr r="W83" s="5"/>
      </tp>
      <tp t="s">
        <v/>
        <stp/>
        <stp>ULE G28-IEU</stp>
        <stp>ICE Theoretical Price</stp>
        <tr r="W535" s="5"/>
      </tp>
      <tp t="s">
        <v/>
        <stp/>
        <stp>ULJ G27-IEU</stp>
        <stp>ICE Theoretical Price</stp>
        <tr r="W84" s="5"/>
      </tp>
      <tp t="s">
        <v/>
        <stp/>
        <stp>GDK U26-IEU</stp>
        <stp>ICE Theoretical Price</stp>
        <tr r="W459" s="5"/>
      </tp>
      <tp t="s">
        <v/>
        <stp/>
        <stp>ULE M28-IEU</stp>
        <stp>ICE Theoretical Price</stp>
        <tr r="W539" s="5"/>
      </tp>
      <tp t="s">
        <v/>
        <stp/>
        <stp>ULJ M27-IEU</stp>
        <stp>ICE Theoretical Price</stp>
        <tr r="W88" s="5"/>
      </tp>
      <tp t="s">
        <v/>
        <stp/>
        <stp>JOE Q28-IEU</stp>
        <stp>ICE Theoretical Price</stp>
        <tr r="W444" s="5"/>
      </tp>
      <tp t="s">
        <v/>
        <stp/>
        <stp>ULE N28-IEU</stp>
        <stp>ICE Theoretical Price</stp>
        <tr r="W540" s="5"/>
      </tp>
      <tp t="s">
        <v/>
        <stp/>
        <stp>ULJ N27-IEU</stp>
        <stp>ICE Theoretical Price</stp>
        <tr r="W89" s="5"/>
      </tp>
      <tp t="s">
        <v/>
        <stp/>
        <stp>NGE U28-IEU</stp>
        <stp>ICE Theoretical Price</stp>
        <tr r="W1515" s="5"/>
      </tp>
      <tp t="s">
        <v/>
        <stp/>
        <stp>ULE H28-IEU</stp>
        <stp>ICE Theoretical Price</stp>
        <tr r="W536" s="5"/>
      </tp>
      <tp t="s">
        <v/>
        <stp/>
        <stp>ULJ H27-IEU</stp>
        <stp>ICE Theoretical Price</stp>
        <tr r="W85" s="5"/>
      </tp>
      <tp t="s">
        <v/>
        <stp/>
        <stp>GDK Z26-IEU</stp>
        <stp>ICE Theoretical Price</stp>
        <tr r="W462" s="5"/>
      </tp>
      <tp t="s">
        <v/>
        <stp/>
        <stp>JOE U28-IEU</stp>
        <stp>ICE Theoretical Price</stp>
        <tr r="W445" s="5"/>
      </tp>
      <tp t="s">
        <v/>
        <stp/>
        <stp>ULE J28-IEU</stp>
        <stp>ICE Theoretical Price</stp>
        <tr r="W537" s="5"/>
      </tp>
      <tp t="s">
        <v/>
        <stp/>
        <stp>ULJ J27-IEU</stp>
        <stp>ICE Theoretical Price</stp>
        <tr r="W86" s="5"/>
      </tp>
      <tp t="s">
        <v/>
        <stp/>
        <stp>NGE Q28-IEU</stp>
        <stp>ICE Theoretical Price</stp>
        <tr r="W1514" s="5"/>
      </tp>
      <tp t="s">
        <v/>
        <stp/>
        <stp>GDK X26-IEU</stp>
        <stp>ICE Theoretical Price</stp>
        <tr r="W461" s="5"/>
      </tp>
      <tp t="s">
        <v/>
        <stp/>
        <stp>ULE K28-IEU</stp>
        <stp>ICE Theoretical Price</stp>
        <tr r="W538" s="5"/>
      </tp>
      <tp t="s">
        <v/>
        <stp/>
        <stp>ULJ K27-IEU</stp>
        <stp>ICE Theoretical Price</stp>
        <tr r="W87" s="5"/>
      </tp>
    </main>
    <main first="bofaddin.rtdserver">
      <tp t="s">
        <v>#N/A Real Time</v>
        <stp/>
        <stp>BDP|5284906115771118985|22</stp>
        <stp>QSQ6C 2000.00 Comdty</stp>
        <stp>VEGA_LAST_RT</stp>
        <tr r="K74" s="23"/>
        <tr r="K83" s="23"/>
        <tr r="K55" s="23"/>
      </tp>
    </main>
    <main first="ice.rtd">
      <tp t="s">
        <v/>
        <stp/>
        <stp>366531MM9:BstHitPrc</stp>
        <tr r="G1724" s="5"/>
      </tp>
      <tp>
        <v>3.39</v>
        <stp/>
        <stp>141587M10:LstBlkPrc</stp>
        <tr r="K51" s="5"/>
      </tp>
      <tp t="s">
        <v/>
        <stp/>
        <stp>141587M20:LstBlkPrc</stp>
        <tr r="K61" s="5"/>
      </tp>
      <tp t="s">
        <v>PDB</v>
        <stp/>
        <stp>15061297MM3:PCC</stp>
        <tr r="B1686" s="5"/>
      </tp>
      <tp t="s">
        <v>PDB</v>
        <stp/>
        <stp>15061297MM2:PCC</stp>
        <tr r="B1685" s="5"/>
      </tp>
      <tp t="s">
        <v>PDB</v>
        <stp/>
        <stp>15061297MM1:PCC</stp>
        <tr r="B1684" s="5"/>
      </tp>
      <tp t="s">
        <v>PDB</v>
        <stp/>
        <stp>15061297MM0:PCC</stp>
        <tr r="B1683" s="5"/>
      </tp>
      <tp t="s">
        <v>PDB</v>
        <stp/>
        <stp>15061297MM7:PCC</stp>
        <tr r="B1690" s="5"/>
      </tp>
      <tp t="s">
        <v>PDB</v>
        <stp/>
        <stp>15061297MM6:PCC</stp>
        <tr r="B1689" s="5"/>
      </tp>
      <tp t="s">
        <v>PDB</v>
        <stp/>
        <stp>15061297MM5:PCC</stp>
        <tr r="B1688" s="5"/>
      </tp>
      <tp t="s">
        <v>PDB</v>
        <stp/>
        <stp>15061297MM4:PCC</stp>
        <tr r="B1687" s="5"/>
      </tp>
      <tp t="s">
        <v>PDB</v>
        <stp/>
        <stp>15061297MM9:PCC</stp>
        <tr r="B1692" s="5"/>
      </tp>
      <tp t="s">
        <v>PDB</v>
        <stp/>
        <stp>15061297MM8:PCC</stp>
        <tr r="B1691" s="5"/>
      </tp>
      <tp t="s">
        <v/>
        <stp/>
        <stp>366531MM9:LstBlkPrc</stp>
        <tr r="K1724" s="5"/>
      </tp>
    </main>
    <main first="bofaddin.rtdserver">
      <tp>
        <v>0.26</v>
        <stp/>
        <stp>BDP|11420085234184172716|222</stp>
        <stp>CON8COQ8 Comdty</stp>
        <stp>ASK</stp>
        <stp>Fill=#N/A</stp>
        <tr r="O42" s="1"/>
      </tp>
    </main>
    <main first="esrtd">
      <tp t="s">
        <v/>
        <stp/>
        <stp>WDF 23!-IEU</stp>
        <stp>Block Volume</stp>
        <tr r="O1800" s="5"/>
      </tp>
      <tp t="s">
        <v/>
        <stp/>
        <stp>WDF 13!-IEU</stp>
        <stp>Block Volume</stp>
        <tr r="O1790" s="5"/>
      </tp>
      <tp t="s">
        <v/>
        <stp/>
        <stp>WDF Q3!-IEU</stp>
        <stp>Block Volume</stp>
        <tr r="O1810" s="5"/>
      </tp>
    </main>
    <main first="ice.rtd">
      <tp t="s">
        <v/>
        <stp/>
        <stp>141587M16:LstBlkVol</stp>
        <tr r="L57" s="5"/>
      </tp>
    </main>
    <main first="bofaddin.rtdserver">
      <tp>
        <v>0.36</v>
        <stp/>
        <stp>BDP|14923692964460195109|222</stp>
        <stp>CLZ7CLF8 Comdty</stp>
        <stp>ASK</stp>
        <stp>Fill=#N/A</stp>
        <tr r="N35" s="1"/>
      </tp>
      <tp>
        <v>7.25</v>
        <stp/>
        <stp>BDP|17991103937267069339|222</stp>
        <stp>QSN8QSQ8 Comdty</stp>
        <stp>ASK</stp>
        <stp>Fill=#N/A</stp>
        <tr r="P42" s="1"/>
      </tp>
    </main>
    <main first="esrtd">
      <tp t="s">
        <v/>
        <stp/>
        <stp>TDL 13!-IEU</stp>
        <stp>Block Volume</stp>
        <tr r="O1825" s="5"/>
      </tp>
      <tp t="s">
        <v/>
        <stp/>
        <stp>TDL 23!-IEU</stp>
        <stp>Block Volume</stp>
        <tr r="O1835" s="5"/>
      </tp>
      <tp t="s">
        <v/>
        <stp/>
        <stp>TDL Q3!-IEU</stp>
        <stp>Block Volume</stp>
        <tr r="O1845" s="5"/>
      </tp>
    </main>
    <main first="ice.rtd">
      <tp t="s">
        <v/>
        <stp/>
        <stp>1517M10:LstBlkVol</stp>
        <tr r="L13" s="5"/>
      </tp>
      <tp t="s">
        <v/>
        <stp/>
        <stp>1517M20:LstBlkVol</stp>
        <tr r="L23" s="5"/>
      </tp>
      <tp>
        <v>412</v>
        <stp/>
        <stp>1581618115M11:OI</stp>
        <tr r="T470" s="5"/>
      </tp>
      <tp>
        <v>412</v>
        <stp/>
        <stp>1581618115M10:OI</stp>
        <tr r="T469" s="5"/>
      </tp>
      <tp>
        <v>386</v>
        <stp/>
        <stp>1581618115M13:OI</stp>
        <tr r="T472" s="5"/>
      </tp>
      <tp>
        <v>672</v>
        <stp/>
        <stp>1581618115M12:OI</stp>
        <tr r="T471" s="5"/>
      </tp>
      <tp>
        <v>386</v>
        <stp/>
        <stp>1581618115M14:OI</stp>
        <tr r="T473" s="5"/>
      </tp>
    </main>
    <main first="ice.rtd">
      <tp t="s">
        <v/>
        <stp/>
        <stp>5162M17:LstBlkVol</stp>
        <tr r="L786" s="5"/>
      </tp>
      <tp>
        <v>20</v>
        <stp/>
        <stp>2427026287M24:OI</stp>
        <tr r="T1173" s="5"/>
      </tp>
      <tp>
        <v>20</v>
        <stp/>
        <stp>2427026287M21:OI</stp>
        <tr r="T1170" s="5"/>
      </tp>
      <tp>
        <v>20</v>
        <stp/>
        <stp>2427026287M20:OI</stp>
        <tr r="T1169" s="5"/>
      </tp>
      <tp>
        <v>20</v>
        <stp/>
        <stp>2427026287M23:OI</stp>
        <tr r="T1172" s="5"/>
      </tp>
      <tp>
        <v>20</v>
        <stp/>
        <stp>2427026287M22:OI</stp>
        <tr r="T1171" s="5"/>
      </tp>
      <tp>
        <v>20</v>
        <stp/>
        <stp>2427026287M19:OI</stp>
        <tr r="T1168" s="5"/>
      </tp>
      <tp>
        <v>20</v>
        <stp/>
        <stp>2427026287M18:OI</stp>
        <tr r="T1167" s="5"/>
      </tp>
      <tp>
        <v>311</v>
        <stp/>
        <stp>2427026287M15:OI</stp>
        <tr r="T1164" s="5"/>
      </tp>
      <tp>
        <v>311</v>
        <stp/>
        <stp>2427026287M14:OI</stp>
        <tr r="T1163" s="5"/>
      </tp>
      <tp>
        <v>20</v>
        <stp/>
        <stp>2427026287M17:OI</stp>
        <tr r="T1166" s="5"/>
      </tp>
      <tp>
        <v>20</v>
        <stp/>
        <stp>2427026287M16:OI</stp>
        <tr r="T1165" s="5"/>
      </tp>
      <tp>
        <v>312</v>
        <stp/>
        <stp>2427026287M11:OI</stp>
        <tr r="T1160" s="5"/>
      </tp>
      <tp>
        <v>312</v>
        <stp/>
        <stp>2427026287M10:OI</stp>
        <tr r="T1159" s="5"/>
      </tp>
      <tp>
        <v>311</v>
        <stp/>
        <stp>2427026287M13:OI</stp>
        <tr r="T1162" s="5"/>
      </tp>
      <tp>
        <v>312</v>
        <stp/>
        <stp>2427026287M12:OI</stp>
        <tr r="T1161" s="5"/>
      </tp>
      <tp t="s">
        <v/>
        <stp/>
        <stp>5162M11:LstBlkPrc</stp>
        <tr r="K780" s="5"/>
      </tp>
      <tp t="s">
        <v/>
        <stp/>
        <stp>5162M21:LstBlkPrc</stp>
        <tr r="K790" s="5"/>
      </tp>
      <tp t="s">
        <v/>
        <stp/>
        <stp>1517M16:LstBlkPrc</stp>
        <tr r="K19" s="5"/>
      </tp>
      <tp t="s">
        <v/>
        <stp/>
        <stp>5162M21:BstHitPrc</stp>
        <tr r="G790" s="5"/>
      </tp>
      <tp t="s">
        <v/>
        <stp/>
        <stp>5162M11:BstHitPrc</stp>
        <tr r="G780" s="5"/>
      </tp>
      <tp t="s">
        <v/>
        <stp/>
        <stp>1517M16:BstHitPrc</stp>
        <tr r="G19" s="5"/>
      </tp>
      <tp t="s">
        <v/>
        <stp/>
        <stp>2325825619B0:BstLiftPrc</stp>
        <tr r="H40" s="5"/>
      </tp>
      <tp t="s">
        <v/>
        <stp/>
        <stp>2888029697B0:BstLiftPrc</stp>
        <tr r="H996" s="5"/>
      </tp>
      <tp t="s">
        <v/>
        <stp/>
        <stp>2427126288Y1:BstLiftPrc</stp>
        <tr r="H1070" s="5"/>
      </tp>
      <tp t="s">
        <v/>
        <stp/>
        <stp>2427126288Y0:BstLiftPrc</stp>
        <tr r="H1069" s="5"/>
      </tp>
      <tp t="s">
        <v/>
        <stp/>
        <stp>2427126288Y2:BstLiftPrc</stp>
        <tr r="H1071" s="5"/>
      </tp>
      <tp t="s">
        <v/>
        <stp/>
        <stp>2427126288Q8:BstLiftPrc</stp>
        <tr r="H1068" s="5"/>
      </tp>
      <tp t="s">
        <v/>
        <stp/>
        <stp>2427126288Q1:BstLiftPrc</stp>
        <tr r="H1061" s="5"/>
      </tp>
      <tp t="s">
        <v/>
        <stp/>
        <stp>2427126288Q0:BstLiftPrc</stp>
        <tr r="H1060" s="5"/>
      </tp>
      <tp t="s">
        <v/>
        <stp/>
        <stp>2427126288Q3:BstLiftPrc</stp>
        <tr r="H1063" s="5"/>
      </tp>
      <tp t="s">
        <v/>
        <stp/>
        <stp>2427126288Q2:BstLiftPrc</stp>
        <tr r="H1062" s="5"/>
      </tp>
      <tp t="s">
        <v/>
        <stp/>
        <stp>2427126288Q5:BstLiftPrc</stp>
        <tr r="H1065" s="5"/>
      </tp>
      <tp t="s">
        <v/>
        <stp/>
        <stp>2427126288Q4:BstLiftPrc</stp>
        <tr r="H1064" s="5"/>
      </tp>
      <tp t="s">
        <v/>
        <stp/>
        <stp>2427126288Q7:BstLiftPrc</stp>
        <tr r="H1067" s="5"/>
      </tp>
      <tp t="s">
        <v/>
        <stp/>
        <stp>2427126288Q6:BstLiftPrc</stp>
        <tr r="H1066" s="5"/>
      </tp>
      <tp t="s">
        <v/>
        <stp/>
        <stp>2427126288M9:BstLiftPrc</stp>
        <tr r="H1044" s="5"/>
      </tp>
      <tp t="s">
        <v/>
        <stp/>
        <stp>2427126288M8:BstLiftPrc</stp>
        <tr r="H1043" s="5"/>
      </tp>
      <tp>
        <v>5.8</v>
        <stp/>
        <stp>2427126288M1:BstLiftPrc</stp>
        <tr r="H1036" s="5"/>
      </tp>
      <tp t="s">
        <v/>
        <stp/>
        <stp>2427126288M0:BstLiftPrc</stp>
        <tr r="H1035" s="5"/>
      </tp>
      <tp t="s">
        <v/>
        <stp/>
        <stp>2427126288M3:BstLiftPrc</stp>
        <tr r="H1038" s="5"/>
      </tp>
      <tp t="s">
        <v/>
        <stp/>
        <stp>2427126288M2:BstLiftPrc</stp>
        <tr r="H1037" s="5"/>
      </tp>
      <tp t="s">
        <v/>
        <stp/>
        <stp>2427126288M5:BstLiftPrc</stp>
        <tr r="H1040" s="5"/>
      </tp>
      <tp t="s">
        <v/>
        <stp/>
        <stp>2427126288M4:BstLiftPrc</stp>
        <tr r="H1039" s="5"/>
      </tp>
      <tp t="s">
        <v/>
        <stp/>
        <stp>2427126288M7:BstLiftPrc</stp>
        <tr r="H1042" s="5"/>
      </tp>
      <tp t="s">
        <v/>
        <stp/>
        <stp>2427126288M6:BstLiftPrc</stp>
        <tr r="H1041" s="5"/>
      </tp>
      <tp>
        <v>46267.459382951391</v>
        <stp/>
        <stp>5162M1:LstDate</stp>
        <tr r="J770" s="5"/>
      </tp>
      <tp t="s">
        <v/>
        <stp/>
        <stp>5162M0:LstDate</stp>
        <tr r="J769" s="5"/>
      </tp>
      <tp t="s">
        <v/>
        <stp/>
        <stp>5162M3:LstDate</stp>
        <tr r="J772" s="5"/>
      </tp>
      <tp t="s">
        <v/>
        <stp/>
        <stp>5162M2:LstDate</stp>
        <tr r="J771" s="5"/>
      </tp>
      <tp t="s">
        <v/>
        <stp/>
        <stp>5162M5:LstDate</stp>
        <tr r="J774" s="5"/>
      </tp>
      <tp t="s">
        <v/>
        <stp/>
        <stp>5162M4:LstDate</stp>
        <tr r="J773" s="5"/>
      </tp>
      <tp t="s">
        <v/>
        <stp/>
        <stp>5162M7:LstDate</stp>
        <tr r="J776" s="5"/>
      </tp>
      <tp t="s">
        <v/>
        <stp/>
        <stp>5162M6:LstDate</stp>
        <tr r="J775" s="5"/>
      </tp>
      <tp t="s">
        <v/>
        <stp/>
        <stp>5162M9:LstDate</stp>
        <tr r="J778" s="5"/>
      </tp>
      <tp t="s">
        <v/>
        <stp/>
        <stp>5162M8:LstDate</stp>
        <tr r="J777" s="5"/>
      </tp>
    </main>
    <main first="bofaddin.rtdserver">
      <tp t="s">
        <v>#N/A</v>
        <stp/>
        <stp>BDP|100534829249158256|222</stp>
        <stp>OQAX8Z8 Comdty</stp>
        <stp>BID</stp>
        <stp>Fill=#N/A</stp>
        <tr r="T46" s="1"/>
      </tp>
    </main>
    <main first="ice.rtd">
      <tp t="s">
        <v>NBI</v>
        <stp/>
        <stp>16331513M18:PCC</stp>
        <tr r="B1433" s="5"/>
      </tp>
      <tp t="s">
        <v>ISO</v>
        <stp/>
        <stp>16341514M18:PCC</stp>
        <tr r="B1471" s="5"/>
      </tp>
      <tp t="s">
        <v>NGE</v>
        <stp/>
        <stp>16351515M18:PCC</stp>
        <tr r="B1509" s="5"/>
      </tp>
      <tp t="s">
        <v>NBI</v>
        <stp/>
        <stp>16331513M19:PCC</stp>
        <tr r="B1434" s="5"/>
      </tp>
      <tp t="s">
        <v>ISO</v>
        <stp/>
        <stp>16341514M19:PCC</stp>
        <tr r="B1472" s="5"/>
      </tp>
      <tp t="s">
        <v>NGE</v>
        <stp/>
        <stp>16351515M19:PCC</stp>
        <tr r="B1510" s="5"/>
      </tp>
      <tp t="s">
        <v>NBI</v>
        <stp/>
        <stp>16331513M10:PCC</stp>
        <tr r="B1425" s="5"/>
      </tp>
      <tp t="s">
        <v>ISO</v>
        <stp/>
        <stp>16341514M10:PCC</stp>
        <tr r="B1463" s="5"/>
      </tp>
      <tp t="s">
        <v>NGE</v>
        <stp/>
        <stp>16351515M10:PCC</stp>
        <tr r="B1501" s="5"/>
      </tp>
      <tp t="s">
        <v>NBI</v>
        <stp/>
        <stp>16331513M11:PCC</stp>
        <tr r="B1426" s="5"/>
      </tp>
      <tp t="s">
        <v>ISO</v>
        <stp/>
        <stp>16341514M11:PCC</stp>
        <tr r="B1464" s="5"/>
      </tp>
      <tp t="s">
        <v>NGE</v>
        <stp/>
        <stp>16351515M11:PCC</stp>
        <tr r="B1502" s="5"/>
      </tp>
      <tp t="s">
        <v>NBI</v>
        <stp/>
        <stp>16331513M12:PCC</stp>
        <tr r="B1427" s="5"/>
      </tp>
      <tp t="s">
        <v>ISO</v>
        <stp/>
        <stp>16341514M12:PCC</stp>
        <tr r="B1465" s="5"/>
      </tp>
      <tp t="s">
        <v>NGE</v>
        <stp/>
        <stp>16351515M12:PCC</stp>
        <tr r="B1503" s="5"/>
      </tp>
      <tp t="s">
        <v>NBI</v>
        <stp/>
        <stp>16331513M13:PCC</stp>
        <tr r="B1428" s="5"/>
      </tp>
      <tp t="s">
        <v>ISO</v>
        <stp/>
        <stp>16341514M13:PCC</stp>
        <tr r="B1466" s="5"/>
      </tp>
      <tp t="s">
        <v>NGE</v>
        <stp/>
        <stp>16351515M13:PCC</stp>
        <tr r="B1504" s="5"/>
      </tp>
      <tp t="s">
        <v>NBI</v>
        <stp/>
        <stp>16331513M14:PCC</stp>
        <tr r="B1429" s="5"/>
      </tp>
      <tp t="s">
        <v>ISO</v>
        <stp/>
        <stp>16341514M14:PCC</stp>
        <tr r="B1467" s="5"/>
      </tp>
      <tp t="s">
        <v>NGE</v>
        <stp/>
        <stp>16351515M14:PCC</stp>
        <tr r="B1505" s="5"/>
      </tp>
      <tp t="s">
        <v>NBI</v>
        <stp/>
        <stp>16331513M15:PCC</stp>
        <tr r="B1430" s="5"/>
      </tp>
      <tp t="s">
        <v>ISO</v>
        <stp/>
        <stp>16341514M15:PCC</stp>
        <tr r="B1468" s="5"/>
      </tp>
      <tp t="s">
        <v>NGE</v>
        <stp/>
        <stp>16351515M15:PCC</stp>
        <tr r="B1506" s="5"/>
      </tp>
      <tp t="s">
        <v>NBI</v>
        <stp/>
        <stp>16331513M16:PCC</stp>
        <tr r="B1431" s="5"/>
      </tp>
      <tp t="s">
        <v>ISO</v>
        <stp/>
        <stp>16341514M16:PCC</stp>
        <tr r="B1469" s="5"/>
      </tp>
      <tp t="s">
        <v>NGE</v>
        <stp/>
        <stp>16351515M16:PCC</stp>
        <tr r="B1507" s="5"/>
      </tp>
      <tp t="s">
        <v>NBI</v>
        <stp/>
        <stp>16331513M17:PCC</stp>
        <tr r="B1432" s="5"/>
      </tp>
      <tp t="s">
        <v>ISO</v>
        <stp/>
        <stp>16341514M17:PCC</stp>
        <tr r="B1470" s="5"/>
      </tp>
      <tp t="s">
        <v>NGE</v>
        <stp/>
        <stp>16351515M17:PCC</stp>
        <tr r="B1508" s="5"/>
      </tp>
      <tp t="s">
        <v>NBI</v>
        <stp/>
        <stp>16331513M20:PCC</stp>
        <tr r="B1435" s="5"/>
      </tp>
      <tp t="s">
        <v>ISO</v>
        <stp/>
        <stp>16341514M20:PCC</stp>
        <tr r="B1473" s="5"/>
      </tp>
      <tp t="s">
        <v>NGE</v>
        <stp/>
        <stp>16351515M20:PCC</stp>
        <tr r="B1511" s="5"/>
      </tp>
      <tp t="s">
        <v>NBI</v>
        <stp/>
        <stp>16331513M21:PCC</stp>
        <tr r="B1436" s="5"/>
      </tp>
      <tp t="s">
        <v>ISO</v>
        <stp/>
        <stp>16341514M21:PCC</stp>
        <tr r="B1474" s="5"/>
      </tp>
      <tp t="s">
        <v>NGE</v>
        <stp/>
        <stp>16351515M21:PCC</stp>
        <tr r="B1512" s="5"/>
      </tp>
      <tp t="s">
        <v>NBI</v>
        <stp/>
        <stp>16331513M22:PCC</stp>
        <tr r="B1437" s="5"/>
      </tp>
      <tp t="s">
        <v>ISO</v>
        <stp/>
        <stp>16341514M22:PCC</stp>
        <tr r="B1475" s="5"/>
      </tp>
      <tp t="s">
        <v>NGE</v>
        <stp/>
        <stp>16351515M22:PCC</stp>
        <tr r="B1513" s="5"/>
      </tp>
      <tp t="s">
        <v>NBI</v>
        <stp/>
        <stp>16331513M23:PCC</stp>
        <tr r="B1438" s="5"/>
      </tp>
      <tp t="s">
        <v>ISO</v>
        <stp/>
        <stp>16341514M23:PCC</stp>
        <tr r="B1476" s="5"/>
      </tp>
      <tp t="s">
        <v>NGE</v>
        <stp/>
        <stp>16351515M23:PCC</stp>
        <tr r="B1514" s="5"/>
      </tp>
      <tp t="s">
        <v>NBI</v>
        <stp/>
        <stp>16331513M24:PCC</stp>
        <tr r="B1439" s="5"/>
      </tp>
      <tp t="s">
        <v>ISO</v>
        <stp/>
        <stp>16341514M24:PCC</stp>
        <tr r="B1477" s="5"/>
      </tp>
      <tp t="s">
        <v>NGE</v>
        <stp/>
        <stp>16351515M24:PCC</stp>
        <tr r="B1515" s="5"/>
      </tp>
      <tp t="s">
        <v/>
        <stp/>
        <stp>5162Q1:LstDate</stp>
        <tr r="J795" s="5"/>
      </tp>
      <tp t="s">
        <v/>
        <stp/>
        <stp>5162Q0:LstDate</stp>
        <tr r="J794" s="5"/>
      </tp>
      <tp t="s">
        <v/>
        <stp/>
        <stp>5162Q3:LstDate</stp>
        <tr r="J797" s="5"/>
      </tp>
      <tp t="s">
        <v/>
        <stp/>
        <stp>5162Q2:LstDate</stp>
        <tr r="J796" s="5"/>
      </tp>
      <tp t="s">
        <v/>
        <stp/>
        <stp>5162Q5:LstDate</stp>
        <tr r="J799" s="5"/>
      </tp>
      <tp t="s">
        <v/>
        <stp/>
        <stp>5162Q4:LstDate</stp>
        <tr r="J798" s="5"/>
      </tp>
      <tp t="s">
        <v/>
        <stp/>
        <stp>5162Q7:LstDate</stp>
        <tr r="J801" s="5"/>
      </tp>
      <tp t="s">
        <v/>
        <stp/>
        <stp>5162Q6:LstDate</stp>
        <tr r="J800" s="5"/>
      </tp>
      <tp t="s">
        <v/>
        <stp/>
        <stp>5162Q8:LstDate</stp>
        <tr r="J802" s="5"/>
      </tp>
      <tp t="s">
        <v>SJS</v>
        <stp/>
        <stp>30793693M14:PCC</stp>
        <tr r="B897" s="5"/>
      </tp>
      <tp t="s">
        <v>SJS</v>
        <stp/>
        <stp>30793693M15:PCC</stp>
        <tr r="B898" s="5"/>
      </tp>
      <tp t="s">
        <v>SJS</v>
        <stp/>
        <stp>30793693M16:PCC</stp>
        <tr r="B899" s="5"/>
      </tp>
      <tp t="s">
        <v>PRL</v>
        <stp/>
        <stp>15091310M19:PCC</stp>
        <tr r="B1396" s="5"/>
      </tp>
      <tp t="s">
        <v>SPS</v>
        <stp/>
        <stp>30813691M19:PCC</stp>
        <tr r="B1972" s="5"/>
      </tp>
      <tp t="s">
        <v>SJS</v>
        <stp/>
        <stp>30793693M17:PCC</stp>
        <tr r="B900" s="5"/>
      </tp>
      <tp t="s">
        <v>PRL</v>
        <stp/>
        <stp>15091310M18:PCC</stp>
        <tr r="B1395" s="5"/>
      </tp>
      <tp t="s">
        <v>SPS</v>
        <stp/>
        <stp>30813691M18:PCC</stp>
        <tr r="B1971" s="5"/>
      </tp>
      <tp t="s">
        <v>SJS</v>
        <stp/>
        <stp>30793693M10:PCC</stp>
        <tr r="B893" s="5"/>
      </tp>
      <tp t="s">
        <v>SJS</v>
        <stp/>
        <stp>30793693M11:PCC</stp>
        <tr r="B894" s="5"/>
      </tp>
      <tp t="s">
        <v>SJS</v>
        <stp/>
        <stp>30793693M12:PCC</stp>
        <tr r="B895" s="5"/>
      </tp>
      <tp t="s">
        <v>SJS</v>
        <stp/>
        <stp>30793693M13:PCC</stp>
        <tr r="B896" s="5"/>
      </tp>
      <tp t="s">
        <v>PRL</v>
        <stp/>
        <stp>15091310M13:PCC</stp>
        <tr r="B1390" s="5"/>
      </tp>
      <tp t="s">
        <v>SPS</v>
        <stp/>
        <stp>30813691M13:PCC</stp>
        <tr r="B1966" s="5"/>
      </tp>
      <tp t="s">
        <v>PRL</v>
        <stp/>
        <stp>15091310M12:PCC</stp>
        <tr r="B1389" s="5"/>
      </tp>
      <tp t="s">
        <v>SPS</v>
        <stp/>
        <stp>30813691M12:PCC</stp>
        <tr r="B1965" s="5"/>
      </tp>
      <tp t="s">
        <v>PRL</v>
        <stp/>
        <stp>15091310M11:PCC</stp>
        <tr r="B1388" s="5"/>
      </tp>
      <tp t="s">
        <v>SPS</v>
        <stp/>
        <stp>30813691M11:PCC</stp>
        <tr r="B1964" s="5"/>
      </tp>
      <tp t="s">
        <v>PRL</v>
        <stp/>
        <stp>15091310M10:PCC</stp>
        <tr r="B1387" s="5"/>
      </tp>
      <tp t="s">
        <v>SPS</v>
        <stp/>
        <stp>30813691M10:PCC</stp>
        <tr r="B1963" s="5"/>
      </tp>
      <tp t="s">
        <v>SJS</v>
        <stp/>
        <stp>30793693M18:PCC</stp>
        <tr r="B901" s="5"/>
      </tp>
      <tp t="s">
        <v>PRL</v>
        <stp/>
        <stp>15091310M17:PCC</stp>
        <tr r="B1394" s="5"/>
      </tp>
      <tp t="s">
        <v>SPS</v>
        <stp/>
        <stp>30813691M17:PCC</stp>
        <tr r="B1970" s="5"/>
      </tp>
      <tp t="s">
        <v>SJS</v>
        <stp/>
        <stp>30793693M19:PCC</stp>
        <tr r="B902" s="5"/>
      </tp>
      <tp t="s">
        <v>PRL</v>
        <stp/>
        <stp>15091310M16:PCC</stp>
        <tr r="B1393" s="5"/>
      </tp>
      <tp t="s">
        <v>SPS</v>
        <stp/>
        <stp>30813691M16:PCC</stp>
        <tr r="B1969" s="5"/>
      </tp>
      <tp t="s">
        <v>PRL</v>
        <stp/>
        <stp>15091310M15:PCC</stp>
        <tr r="B1392" s="5"/>
      </tp>
      <tp t="s">
        <v>SPS</v>
        <stp/>
        <stp>30813691M15:PCC</stp>
        <tr r="B1968" s="5"/>
      </tp>
      <tp t="s">
        <v>PRL</v>
        <stp/>
        <stp>15091310M14:PCC</stp>
        <tr r="B1391" s="5"/>
      </tp>
      <tp t="s">
        <v>SPS</v>
        <stp/>
        <stp>30813691M14:PCC</stp>
        <tr r="B1967" s="5"/>
      </tp>
      <tp t="s">
        <v>SJS</v>
        <stp/>
        <stp>30793693M24:PCC</stp>
        <tr r="B907" s="5"/>
      </tp>
      <tp t="s">
        <v>SJS</v>
        <stp/>
        <stp>30793693M20:PCC</stp>
        <tr r="B903" s="5"/>
      </tp>
      <tp t="s">
        <v>SJS</v>
        <stp/>
        <stp>30793693M21:PCC</stp>
        <tr r="B904" s="5"/>
      </tp>
      <tp t="s">
        <v>SJS</v>
        <stp/>
        <stp>30793693M22:PCC</stp>
        <tr r="B905" s="5"/>
      </tp>
      <tp t="s">
        <v>SJS</v>
        <stp/>
        <stp>30793693M23:PCC</stp>
        <tr r="B906" s="5"/>
      </tp>
      <tp t="s">
        <v>PRL</v>
        <stp/>
        <stp>15091310M23:PCC</stp>
        <tr r="B1400" s="5"/>
      </tp>
      <tp t="s">
        <v>SPS</v>
        <stp/>
        <stp>30813691M23:PCC</stp>
        <tr r="B1976" s="5"/>
      </tp>
      <tp t="s">
        <v>PRL</v>
        <stp/>
        <stp>15091310M22:PCC</stp>
        <tr r="B1399" s="5"/>
      </tp>
      <tp t="s">
        <v>SPS</v>
        <stp/>
        <stp>30813691M22:PCC</stp>
        <tr r="B1975" s="5"/>
      </tp>
      <tp t="s">
        <v>PRL</v>
        <stp/>
        <stp>15091310M21:PCC</stp>
        <tr r="B1398" s="5"/>
      </tp>
      <tp t="s">
        <v>SPS</v>
        <stp/>
        <stp>30813691M21:PCC</stp>
        <tr r="B1974" s="5"/>
      </tp>
      <tp t="s">
        <v>PRL</v>
        <stp/>
        <stp>15091310M20:PCC</stp>
        <tr r="B1397" s="5"/>
      </tp>
      <tp t="s">
        <v>SPS</v>
        <stp/>
        <stp>30813691M20:PCC</stp>
        <tr r="B1973" s="5"/>
      </tp>
      <tp t="s">
        <v>PRL</v>
        <stp/>
        <stp>15091310M24:PCC</stp>
        <tr r="B1401" s="5"/>
      </tp>
      <tp t="s">
        <v>SPS</v>
        <stp/>
        <stp>30813691M24:PCC</stp>
        <tr r="B1977" s="5"/>
      </tp>
      <tp t="s">
        <v>APN</v>
        <stp/>
        <stp>32613992M15:PCC</stp>
        <tr r="B1240" s="5"/>
      </tp>
      <tp t="s">
        <v>EGD</v>
        <stp/>
        <stp>32623993M15:PCC</stp>
        <tr r="B2005" s="5"/>
      </tp>
      <tp t="s">
        <v>APN</v>
        <stp/>
        <stp>32613992M14:PCC</stp>
        <tr r="B1239" s="5"/>
      </tp>
      <tp t="s">
        <v>EGD</v>
        <stp/>
        <stp>32623993M14:PCC</stp>
        <tr r="B2004" s="5"/>
      </tp>
      <tp t="s">
        <v>APN</v>
        <stp/>
        <stp>32613992M17:PCC</stp>
        <tr r="B1242" s="5"/>
      </tp>
      <tp t="s">
        <v>EGD</v>
        <stp/>
        <stp>32623993M17:PCC</stp>
        <tr r="B2007" s="5"/>
      </tp>
      <tp t="s">
        <v>APN</v>
        <stp/>
        <stp>32613992M16:PCC</stp>
        <tr r="B1241" s="5"/>
      </tp>
      <tp t="s">
        <v>EGD</v>
        <stp/>
        <stp>32623993M16:PCC</stp>
        <tr r="B2006" s="5"/>
      </tp>
      <tp t="s">
        <v>APN</v>
        <stp/>
        <stp>32613992M11:PCC</stp>
        <tr r="B1236" s="5"/>
      </tp>
      <tp t="s">
        <v>EGD</v>
        <stp/>
        <stp>32623993M11:PCC</stp>
        <tr r="B2001" s="5"/>
      </tp>
      <tp t="s">
        <v>APN</v>
        <stp/>
        <stp>32613992M10:PCC</stp>
        <tr r="B1235" s="5"/>
      </tp>
      <tp t="s">
        <v>EGD</v>
        <stp/>
        <stp>32623993M10:PCC</stp>
        <tr r="B2000" s="5"/>
      </tp>
      <tp t="s">
        <v>APN</v>
        <stp/>
        <stp>32613992M13:PCC</stp>
        <tr r="B1238" s="5"/>
      </tp>
      <tp t="s">
        <v>EGD</v>
        <stp/>
        <stp>32623993M13:PCC</stp>
        <tr r="B2003" s="5"/>
      </tp>
      <tp t="s">
        <v>APN</v>
        <stp/>
        <stp>32613992M12:PCC</stp>
        <tr r="B1237" s="5"/>
      </tp>
      <tp t="s">
        <v>EGD</v>
        <stp/>
        <stp>32623993M12:PCC</stp>
        <tr r="B2002" s="5"/>
      </tp>
      <tp t="s">
        <v>APN</v>
        <stp/>
        <stp>32613992M19:PCC</stp>
        <tr r="B1244" s="5"/>
      </tp>
      <tp t="s">
        <v>EGD</v>
        <stp/>
        <stp>32623993M19:PCC</stp>
        <tr r="B2009" s="5"/>
      </tp>
      <tp t="s">
        <v>APN</v>
        <stp/>
        <stp>32613992M18:PCC</stp>
        <tr r="B1243" s="5"/>
      </tp>
      <tp t="s">
        <v>EGD</v>
        <stp/>
        <stp>32623993M18:PCC</stp>
        <tr r="B2008" s="5"/>
      </tp>
      <tp>
        <v>0</v>
        <stp/>
        <stp>266M23:Vol</stp>
        <tr r="N944" s="5"/>
      </tp>
      <tp>
        <v>0</v>
        <stp/>
        <stp>266M22:Vol</stp>
        <tr r="N943" s="5"/>
      </tp>
      <tp>
        <v>0</v>
        <stp/>
        <stp>266M21:Vol</stp>
        <tr r="N942" s="5"/>
      </tp>
      <tp>
        <v>0</v>
        <stp/>
        <stp>266M20:Vol</stp>
        <tr r="N941" s="5"/>
      </tp>
      <tp>
        <v>0</v>
        <stp/>
        <stp>266M24:Vol</stp>
        <tr r="N945" s="5"/>
      </tp>
      <tp t="s">
        <v>APN</v>
        <stp/>
        <stp>32613992M24:PCC</stp>
        <tr r="B1249" s="5"/>
      </tp>
      <tp t="s">
        <v>EGD</v>
        <stp/>
        <stp>32623993M24:PCC</stp>
        <tr r="B2014" s="5"/>
      </tp>
      <tp t="s">
        <v>APN</v>
        <stp/>
        <stp>32613992M21:PCC</stp>
        <tr r="B1246" s="5"/>
      </tp>
      <tp t="s">
        <v>EGD</v>
        <stp/>
        <stp>32623993M21:PCC</stp>
        <tr r="B2011" s="5"/>
      </tp>
      <tp t="s">
        <v>APN</v>
        <stp/>
        <stp>32613992M20:PCC</stp>
        <tr r="B1245" s="5"/>
      </tp>
      <tp t="s">
        <v>EGD</v>
        <stp/>
        <stp>32623993M20:PCC</stp>
        <tr r="B2010" s="5"/>
      </tp>
      <tp t="s">
        <v>APN</v>
        <stp/>
        <stp>32613992M23:PCC</stp>
        <tr r="B1248" s="5"/>
      </tp>
      <tp t="s">
        <v>EGD</v>
        <stp/>
        <stp>32623993M23:PCC</stp>
        <tr r="B2013" s="5"/>
      </tp>
      <tp t="s">
        <v>APN</v>
        <stp/>
        <stp>32613992M22:PCC</stp>
        <tr r="B1247" s="5"/>
      </tp>
      <tp t="s">
        <v>EGD</v>
        <stp/>
        <stp>32623993M22:PCC</stp>
        <tr r="B2012" s="5"/>
      </tp>
      <tp>
        <v>0</v>
        <stp/>
        <stp>266M19:Vol</stp>
        <tr r="N940" s="5"/>
      </tp>
      <tp>
        <v>0</v>
        <stp/>
        <stp>266M18:Vol</stp>
        <tr r="N939" s="5"/>
      </tp>
      <tp>
        <v>0</v>
        <stp/>
        <stp>266M13:Vol</stp>
        <tr r="N934" s="5"/>
      </tp>
      <tp>
        <v>0</v>
        <stp/>
        <stp>266M12:Vol</stp>
        <tr r="N933" s="5"/>
      </tp>
      <tp>
        <v>0</v>
        <stp/>
        <stp>266M11:Vol</stp>
        <tr r="N932" s="5"/>
      </tp>
      <tp>
        <v>0</v>
        <stp/>
        <stp>266M10:Vol</stp>
        <tr r="N931" s="5"/>
      </tp>
      <tp>
        <v>0</v>
        <stp/>
        <stp>266M17:Vol</stp>
        <tr r="N938" s="5"/>
      </tp>
      <tp>
        <v>0</v>
        <stp/>
        <stp>266M16:Vol</stp>
        <tr r="N937" s="5"/>
      </tp>
      <tp>
        <v>0</v>
        <stp/>
        <stp>266M15:Vol</stp>
        <tr r="N936" s="5"/>
      </tp>
      <tp>
        <v>0</v>
        <stp/>
        <stp>266M14:Vol</stp>
        <tr r="N935" s="5"/>
      </tp>
      <tp t="s">
        <v/>
        <stp/>
        <stp>5162Y1:LstDate</stp>
        <tr r="J804" s="5"/>
      </tp>
      <tp t="s">
        <v/>
        <stp/>
        <stp>5162Y0:LstDate</stp>
        <tr r="J803" s="5"/>
      </tp>
      <tp t="s">
        <v/>
        <stp/>
        <stp>5162Y2:LstDate</stp>
        <tr r="J805" s="5"/>
      </tp>
      <tp t="s">
        <v>NOB</v>
        <stp/>
        <stp>18851683M18:PCC</stp>
        <tr r="B211" s="5"/>
      </tp>
      <tp t="s">
        <v>EOB</v>
        <stp/>
        <stp>18901687M19:PCC</stp>
        <tr r="B326" s="5"/>
      </tp>
      <tp t="s">
        <v>JOE</v>
        <stp/>
        <stp>18871685M18:PCC</stp>
        <tr r="B439" s="5"/>
      </tp>
      <tp t="s">
        <v>NOB</v>
        <stp/>
        <stp>18851683M19:PCC</stp>
        <tr r="B212" s="5"/>
      </tp>
      <tp t="s">
        <v>EOB</v>
        <stp/>
        <stp>18901687M18:PCC</stp>
        <tr r="B325" s="5"/>
      </tp>
      <tp t="s">
        <v>JOE</v>
        <stp/>
        <stp>18871685M19:PCC</stp>
        <tr r="B440" s="5"/>
      </tp>
      <tp t="s">
        <v>NOB</v>
        <stp/>
        <stp>18851683M12:PCC</stp>
        <tr r="B205" s="5"/>
      </tp>
      <tp t="s">
        <v>EOB</v>
        <stp/>
        <stp>18901687M13:PCC</stp>
        <tr r="B320" s="5"/>
      </tp>
      <tp t="s">
        <v>JOE</v>
        <stp/>
        <stp>18871685M12:PCC</stp>
        <tr r="B433" s="5"/>
      </tp>
      <tp t="s">
        <v>NOB</v>
        <stp/>
        <stp>18851683M13:PCC</stp>
        <tr r="B206" s="5"/>
      </tp>
      <tp t="s">
        <v>EOB</v>
        <stp/>
        <stp>18901687M12:PCC</stp>
        <tr r="B319" s="5"/>
      </tp>
      <tp t="s">
        <v>JOE</v>
        <stp/>
        <stp>18871685M13:PCC</stp>
        <tr r="B434" s="5"/>
      </tp>
      <tp t="s">
        <v>NOB</v>
        <stp/>
        <stp>18851683M10:PCC</stp>
        <tr r="B203" s="5"/>
      </tp>
      <tp t="s">
        <v>EOB</v>
        <stp/>
        <stp>18901687M11:PCC</stp>
        <tr r="B318" s="5"/>
      </tp>
      <tp t="s">
        <v>JOE</v>
        <stp/>
        <stp>18871685M10:PCC</stp>
        <tr r="B431" s="5"/>
      </tp>
      <tp t="s">
        <v>NOB</v>
        <stp/>
        <stp>18851683M11:PCC</stp>
        <tr r="B204" s="5"/>
      </tp>
      <tp t="s">
        <v>EOB</v>
        <stp/>
        <stp>18901687M10:PCC</stp>
        <tr r="B317" s="5"/>
      </tp>
      <tp t="s">
        <v>JOE</v>
        <stp/>
        <stp>18871685M11:PCC</stp>
        <tr r="B432" s="5"/>
      </tp>
      <tp t="s">
        <v>NOB</v>
        <stp/>
        <stp>18851683M16:PCC</stp>
        <tr r="B209" s="5"/>
      </tp>
      <tp t="s">
        <v>EOB</v>
        <stp/>
        <stp>18901687M17:PCC</stp>
        <tr r="B324" s="5"/>
      </tp>
      <tp t="s">
        <v>JOE</v>
        <stp/>
        <stp>18871685M16:PCC</stp>
        <tr r="B437" s="5"/>
      </tp>
      <tp t="s">
        <v>NOB</v>
        <stp/>
        <stp>18851683M17:PCC</stp>
        <tr r="B210" s="5"/>
      </tp>
      <tp t="s">
        <v>EOB</v>
        <stp/>
        <stp>18901687M16:PCC</stp>
        <tr r="B323" s="5"/>
      </tp>
      <tp t="s">
        <v>JOE</v>
        <stp/>
        <stp>18871685M17:PCC</stp>
        <tr r="B438" s="5"/>
      </tp>
      <tp t="s">
        <v>NOB</v>
        <stp/>
        <stp>18851683M14:PCC</stp>
        <tr r="B207" s="5"/>
      </tp>
      <tp t="s">
        <v>EOB</v>
        <stp/>
        <stp>18901687M15:PCC</stp>
        <tr r="B322" s="5"/>
      </tp>
      <tp t="s">
        <v>JOE</v>
        <stp/>
        <stp>18871685M14:PCC</stp>
        <tr r="B435" s="5"/>
      </tp>
      <tp t="s">
        <v>NOB</v>
        <stp/>
        <stp>18851683M15:PCC</stp>
        <tr r="B208" s="5"/>
      </tp>
      <tp t="s">
        <v>EOB</v>
        <stp/>
        <stp>18901687M14:PCC</stp>
        <tr r="B321" s="5"/>
      </tp>
      <tp t="s">
        <v>JOE</v>
        <stp/>
        <stp>18871685M15:PCC</stp>
        <tr r="B436" s="5"/>
      </tp>
      <tp t="s">
        <v>NOB</v>
        <stp/>
        <stp>18851683M22:PCC</stp>
        <tr r="B215" s="5"/>
      </tp>
      <tp t="s">
        <v>EOB</v>
        <stp/>
        <stp>18901687M23:PCC</stp>
        <tr r="B330" s="5"/>
      </tp>
      <tp t="s">
        <v>JOE</v>
        <stp/>
        <stp>18871685M22:PCC</stp>
        <tr r="B443" s="5"/>
      </tp>
      <tp t="s">
        <v>NOB</v>
        <stp/>
        <stp>18851683M23:PCC</stp>
        <tr r="B216" s="5"/>
      </tp>
      <tp t="s">
        <v>EOB</v>
        <stp/>
        <stp>18901687M22:PCC</stp>
        <tr r="B329" s="5"/>
      </tp>
      <tp t="s">
        <v>JOE</v>
        <stp/>
        <stp>18871685M23:PCC</stp>
        <tr r="B444" s="5"/>
      </tp>
      <tp t="s">
        <v>NOB</v>
        <stp/>
        <stp>18851683M20:PCC</stp>
        <tr r="B213" s="5"/>
      </tp>
      <tp t="s">
        <v>EOB</v>
        <stp/>
        <stp>18901687M21:PCC</stp>
        <tr r="B328" s="5"/>
      </tp>
      <tp t="s">
        <v>JOE</v>
        <stp/>
        <stp>18871685M20:PCC</stp>
        <tr r="B441" s="5"/>
      </tp>
      <tp t="s">
        <v>NOB</v>
        <stp/>
        <stp>18851683M21:PCC</stp>
        <tr r="B214" s="5"/>
      </tp>
      <tp t="s">
        <v>EOB</v>
        <stp/>
        <stp>18901687M20:PCC</stp>
        <tr r="B327" s="5"/>
      </tp>
      <tp t="s">
        <v>JOE</v>
        <stp/>
        <stp>18871685M21:PCC</stp>
        <tr r="B442" s="5"/>
      </tp>
      <tp t="s">
        <v>NOB</v>
        <stp/>
        <stp>18851683M24:PCC</stp>
        <tr r="B217" s="5"/>
      </tp>
      <tp t="s">
        <v>JOE</v>
        <stp/>
        <stp>18871685M24:PCC</stp>
        <tr r="B445" s="5"/>
      </tp>
      <tp t="s">
        <v>EOB</v>
        <stp/>
        <stp>18901687M24:PCC</stp>
        <tr r="B331" s="5"/>
      </tp>
    </main>
    <main first="esrtd">
      <tp t="s">
        <v/>
        <stp/>
        <stp>Invalid Market: B0 B0-IEU</stp>
        <stp>ICE Theoretical Price</stp>
        <tr r="W1034" s="5"/>
        <tr r="W1148" s="5"/>
      </tp>
      <tp t="s">
        <v/>
        <stp/>
        <stp>WNS 28!-IEU</stp>
        <stp>Block Volume</stp>
        <tr r="O1875" s="5"/>
      </tp>
      <tp t="s">
        <v/>
        <stp/>
        <stp>WNS 18!-IEU</stp>
        <stp>Block Volume</stp>
        <tr r="O1865" s="5"/>
      </tp>
    </main>
    <main first="ice.rtd">
      <tp t="s">
        <v/>
        <stp/>
        <stp>141587M21:BstHitPrc</stp>
        <tr r="G62" s="5"/>
      </tp>
      <tp t="s">
        <v/>
        <stp/>
        <stp>141587M11:BstHitPrc</stp>
        <tr r="G52" s="5"/>
      </tp>
    </main>
    <main first="esrtd">
      <tp t="s">
        <v/>
        <stp/>
        <stp>GDK F27-IEU</stp>
        <stp>ICE Theoretical Price</stp>
        <tr r="W463" s="5"/>
      </tp>
      <tp t="s">
        <v/>
        <stp/>
        <stp>ULD U28-IEU</stp>
        <stp>ICE Theoretical Price</stp>
        <tr r="W1325" s="5"/>
      </tp>
      <tp t="s">
        <v/>
        <stp/>
        <stp>ULJ U26-IEU</stp>
        <stp>ICE Theoretical Price</stp>
        <tr r="W79" s="5"/>
      </tp>
      <tp t="s">
        <v/>
        <stp/>
        <stp>GDK G27-IEU</stp>
        <stp>ICE Theoretical Price</stp>
        <tr r="W464" s="5"/>
      </tp>
      <tp t="s">
        <v/>
        <stp/>
        <stp>ULJ V26-IEU</stp>
        <stp>ICE Theoretical Price</stp>
        <tr r="W80" s="5"/>
      </tp>
      <tp t="s">
        <v/>
        <stp/>
        <stp>EGD F28-IEU</stp>
        <stp>ICE Theoretical Price</stp>
        <tr r="W2006" s="5"/>
      </tp>
      <tp t="s">
        <v/>
        <stp/>
        <stp>SMD Q28-IEU</stp>
        <stp>ICE Theoretical Price</stp>
        <tr r="W503" s="5"/>
      </tp>
      <tp t="s">
        <v/>
        <stp/>
        <stp>EGD G28-IEU</stp>
        <stp>ICE Theoretical Price</stp>
        <tr r="W2007" s="5"/>
      </tp>
      <tp t="s">
        <v/>
        <stp/>
        <stp>BOD G28-IEU</stp>
        <stp>ICE Theoretical Price</stp>
        <tr r="W58" s="5"/>
      </tp>
      <tp t="s">
        <v/>
        <stp/>
        <stp>BOD F28-IEU</stp>
        <stp>ICE Theoretical Price</stp>
        <tr r="W57" s="5"/>
      </tp>
      <tp t="s">
        <v/>
        <stp/>
        <stp>ULD Q28-IEU</stp>
        <stp>ICE Theoretical Price</stp>
        <tr r="W1324" s="5"/>
      </tp>
      <tp t="s">
        <v/>
        <stp/>
        <stp>SMD U28-IEU</stp>
        <stp>ICE Theoretical Price</stp>
        <tr r="W504" s="5"/>
      </tp>
      <tp t="s">
        <v/>
        <stp/>
        <stp>BOD K28-IEU</stp>
        <stp>ICE Theoretical Price</stp>
        <tr r="W61" s="5"/>
      </tp>
      <tp t="s">
        <v/>
        <stp/>
        <stp>GDK N27-IEU</stp>
        <stp>ICE Theoretical Price</stp>
        <tr r="W469" s="5"/>
      </tp>
      <tp t="s">
        <v/>
        <stp/>
        <stp>BOD J28-IEU</stp>
        <stp>ICE Theoretical Price</stp>
        <tr r="W60" s="5"/>
      </tp>
      <tp t="s">
        <v/>
        <stp/>
        <stp>EGD M28-IEU</stp>
        <stp>ICE Theoretical Price</stp>
        <tr r="W2011" s="5"/>
      </tp>
      <tp t="s">
        <v/>
        <stp/>
        <stp>EGD N28-IEU</stp>
        <stp>ICE Theoretical Price</stp>
        <tr r="W2012" s="5"/>
      </tp>
      <tp t="s">
        <v/>
        <stp/>
        <stp>BOD H28-IEU</stp>
        <stp>ICE Theoretical Price</stp>
        <tr r="W59" s="5"/>
      </tp>
      <tp t="s">
        <v/>
        <stp/>
        <stp>GDK M27-IEU</stp>
        <stp>ICE Theoretical Price</stp>
        <tr r="W468" s="5"/>
      </tp>
      <tp t="s">
        <v/>
        <stp/>
        <stp>ULJ X26-IEU</stp>
        <stp>ICE Theoretical Price</stp>
        <tr r="W81" s="5"/>
      </tp>
      <tp t="s">
        <v/>
        <stp/>
        <stp>EGD H28-IEU</stp>
        <stp>ICE Theoretical Price</stp>
        <tr r="W2008" s="5"/>
      </tp>
      <tp t="s">
        <v/>
        <stp/>
        <stp>GDK J27-IEU</stp>
        <stp>ICE Theoretical Price</stp>
        <tr r="W466" s="5"/>
      </tp>
      <tp t="s">
        <v/>
        <stp/>
        <stp>BOD N28-IEU</stp>
        <stp>ICE Theoretical Price</stp>
        <tr r="W63" s="5"/>
      </tp>
      <tp t="s">
        <v/>
        <stp/>
        <stp>GDK K27-IEU</stp>
        <stp>ICE Theoretical Price</stp>
        <tr r="W467" s="5"/>
      </tp>
      <tp t="s">
        <v/>
        <stp/>
        <stp>BOD M28-IEU</stp>
        <stp>ICE Theoretical Price</stp>
        <tr r="W62" s="5"/>
      </tp>
      <tp t="s">
        <v/>
        <stp/>
        <stp>ULJ Z26-IEU</stp>
        <stp>ICE Theoretical Price</stp>
        <tr r="W82" s="5"/>
      </tp>
      <tp t="s">
        <v/>
        <stp/>
        <stp>EGD J28-IEU</stp>
        <stp>ICE Theoretical Price</stp>
        <tr r="W2009" s="5"/>
      </tp>
      <tp t="s">
        <v/>
        <stp/>
        <stp>GDK H27-IEU</stp>
        <stp>ICE Theoretical Price</stp>
        <tr r="W465" s="5"/>
      </tp>
      <tp t="s">
        <v/>
        <stp/>
        <stp>EGD K28-IEU</stp>
        <stp>ICE Theoretical Price</stp>
        <tr r="W2010" s="5"/>
      </tp>
      <tp t="s">
        <v/>
        <stp/>
        <stp>GDK V27-IEU</stp>
        <stp>ICE Theoretical Price</stp>
        <tr r="W472" s="5"/>
      </tp>
      <tp t="s">
        <v/>
        <stp/>
        <stp>EGD U28-IEU</stp>
        <stp>ICE Theoretical Price</stp>
        <tr r="W2014" s="5"/>
      </tp>
      <tp t="s">
        <v/>
        <stp/>
        <stp>BOD Q28-IEU</stp>
        <stp>ICE Theoretical Price</stp>
        <tr r="W64" s="5"/>
      </tp>
      <tp t="s">
        <v/>
        <stp/>
        <stp>ULD F28-IEU</stp>
        <stp>ICE Theoretical Price</stp>
        <tr r="W1317" s="5"/>
      </tp>
      <tp t="s">
        <v/>
        <stp/>
        <stp>ULD G28-IEU</stp>
        <stp>ICE Theoretical Price</stp>
        <tr r="W1318" s="5"/>
      </tp>
      <tp t="s">
        <v/>
        <stp/>
        <stp>GDK U27-IEU</stp>
        <stp>ICE Theoretical Price</stp>
        <tr r="W471" s="5"/>
      </tp>
      <tp t="s">
        <v/>
        <stp/>
        <stp>SMD F28-IEU</stp>
        <stp>ICE Theoretical Price</stp>
        <tr r="W496" s="5"/>
      </tp>
      <tp t="s">
        <v/>
        <stp/>
        <stp>SMD G28-IEU</stp>
        <stp>ICE Theoretical Price</stp>
        <tr r="W497" s="5"/>
      </tp>
      <tp t="s">
        <v/>
        <stp/>
        <stp>EGD Q28-IEU</stp>
        <stp>ICE Theoretical Price</stp>
        <tr r="W2013" s="5"/>
      </tp>
      <tp t="s">
        <v/>
        <stp/>
        <stp>BOD U28-IEU</stp>
        <stp>ICE Theoretical Price</stp>
        <tr r="W65" s="5"/>
      </tp>
      <tp t="s">
        <v/>
        <stp/>
        <stp>GDK Q27-IEU</stp>
        <stp>ICE Theoretical Price</stp>
        <tr r="W470" s="5"/>
      </tp>
      <tp t="s">
        <v/>
        <stp/>
        <stp>SMD J28-IEU</stp>
        <stp>ICE Theoretical Price</stp>
        <tr r="W499" s="5"/>
      </tp>
      <tp t="s">
        <v/>
        <stp/>
        <stp>SMD K28-IEU</stp>
        <stp>ICE Theoretical Price</stp>
        <tr r="W500" s="5"/>
      </tp>
      <tp t="s">
        <v/>
        <stp/>
        <stp>ULD M28-IEU</stp>
        <stp>ICE Theoretical Price</stp>
        <tr r="W1322" s="5"/>
      </tp>
      <tp t="s">
        <v/>
        <stp/>
        <stp>SMD H28-IEU</stp>
        <stp>ICE Theoretical Price</stp>
        <tr r="W498" s="5"/>
      </tp>
      <tp t="s">
        <v/>
        <stp/>
        <stp>ULD N28-IEU</stp>
        <stp>ICE Theoretical Price</stp>
        <tr r="W1323" s="5"/>
      </tp>
      <tp t="s">
        <v/>
        <stp/>
        <stp>SMD N28-IEU</stp>
        <stp>ICE Theoretical Price</stp>
        <tr r="W502" s="5"/>
      </tp>
      <tp t="s">
        <v/>
        <stp/>
        <stp>ULD H28-IEU</stp>
        <stp>ICE Theoretical Price</stp>
        <tr r="W1319" s="5"/>
      </tp>
      <tp t="s">
        <v/>
        <stp/>
        <stp>ULD J28-IEU</stp>
        <stp>ICE Theoretical Price</stp>
        <tr r="W1320" s="5"/>
      </tp>
      <tp t="s">
        <v/>
        <stp/>
        <stp>GDK X27-IEU</stp>
        <stp>ICE Theoretical Price</stp>
        <tr r="W473" s="5"/>
      </tp>
      <tp t="s">
        <v/>
        <stp/>
        <stp>SMD M28-IEU</stp>
        <stp>ICE Theoretical Price</stp>
        <tr r="W501" s="5"/>
      </tp>
      <tp t="s">
        <v/>
        <stp/>
        <stp>ULD K28-IEU</stp>
        <stp>ICE Theoretical Price</stp>
        <tr r="W1321" s="5"/>
      </tp>
    </main>
    <main first="ice.rtd">
      <tp t="s">
        <v/>
        <stp/>
        <stp>366531MM8:BstHitPrc</stp>
        <tr r="G1723" s="5"/>
      </tp>
      <tp t="s">
        <v/>
        <stp/>
        <stp>141587M11:LstBlkPrc</stp>
        <tr r="K52" s="5"/>
      </tp>
      <tp t="s">
        <v/>
        <stp/>
        <stp>141587M21:LstBlkPrc</stp>
        <tr r="K62" s="5"/>
      </tp>
      <tp t="s">
        <v/>
        <stp/>
        <stp>366531MM8:LstBlkPrc</stp>
        <tr r="K1723" s="5"/>
      </tp>
    </main>
    <main first="bofaddin.rtdserver">
      <tp>
        <v>0.39</v>
        <stp/>
        <stp>BDP|13284494941419318873|222</stp>
        <stp>COZ7COF8 Comdty</stp>
        <stp>BID</stp>
        <stp>Fill=#N/A</stp>
        <tr r="O35" s="1"/>
      </tp>
    </main>
    <main first="esrtd">
      <tp t="s">
        <v/>
        <stp/>
        <stp>WDF 22!-IEU</stp>
        <stp>Block Volume</stp>
        <tr r="O1799" s="5"/>
      </tp>
      <tp t="s">
        <v/>
        <stp/>
        <stp>WDF 12!-IEU</stp>
        <stp>Block Volume</stp>
        <tr r="O1789" s="5"/>
      </tp>
      <tp t="s">
        <v/>
        <stp/>
        <stp>WDF C2!-IEU</stp>
        <stp>Block Volume</stp>
        <tr r="O1812" s="5"/>
      </tp>
      <tp t="s">
        <v/>
        <stp/>
        <stp>WDF Q2!-IEU</stp>
        <stp>Block Volume</stp>
        <tr r="O1809" s="5"/>
      </tp>
    </main>
    <main first="bofaddin.rtdserver">
      <tp>
        <v>0.63</v>
        <stp/>
        <stp>BDP|12901813461894843866|222</stp>
        <stp>CLN7CLQ7 Comdty</stp>
        <stp>BID</stp>
        <stp>Fill=#N/A</stp>
        <tr r="N30" s="1"/>
      </tp>
    </main>
    <main first="ice.rtd">
      <tp t="s">
        <v/>
        <stp/>
        <stp>141587M17:LstBlkVol</stp>
        <tr r="L58" s="5"/>
      </tp>
    </main>
    <main first="bofaddin.rtdserver">
      <tp>
        <v>0.77</v>
        <stp/>
        <stp>BDP|16500393953829648306|222</stp>
        <stp>HON8HOQ8 Comdty</stp>
        <stp>BID</stp>
        <stp>Fill=#N/A</stp>
        <tr r="Q42" s="1"/>
      </tp>
      <tp>
        <v>-1.5</v>
        <stp/>
        <stp>BDP|13818571581573772898|222</stp>
        <stp>QSZ9QSF0 Comdty</stp>
        <stp>BID</stp>
        <stp>Fill=#N/A</stp>
        <tr r="P59" s="1"/>
      </tp>
    </main>
    <main first="ice.rtd">
      <tp>
        <v>0</v>
        <stp/>
        <stp>161913535YY0:Vol</stp>
        <tr r="N2057" s="5"/>
      </tp>
    </main>
    <main first="esrtd">
      <tp t="s">
        <v/>
        <stp/>
        <stp>TDL 12!-IEU</stp>
        <stp>Block Volume</stp>
        <tr r="O1824" s="5"/>
      </tp>
      <tp t="s">
        <v/>
        <stp/>
        <stp>TDL 22!-IEU</stp>
        <stp>Block Volume</stp>
        <tr r="O1834" s="5"/>
      </tp>
      <tp t="s">
        <v/>
        <stp/>
        <stp>TDL C2!-IEU</stp>
        <stp>Block Volume</stp>
        <tr r="O1847" s="5"/>
      </tp>
      <tp t="s">
        <v/>
        <stp/>
        <stp>TDL Q2!-IEU</stp>
        <stp>Block Volume</stp>
        <tr r="O1844" s="5"/>
      </tp>
    </main>
    <main first="ice.rtd">
      <tp t="s">
        <v/>
        <stp/>
        <stp>1517M11:LstBlkVol</stp>
        <tr r="L14" s="5"/>
      </tp>
      <tp t="s">
        <v/>
        <stp/>
        <stp>1517M21:LstBlkVol</stp>
        <tr r="L24" s="5"/>
      </tp>
      <tp t="s">
        <v/>
        <stp/>
        <stp>5162M16:LstBlkVol</stp>
        <tr r="L785" s="5"/>
      </tp>
      <tp t="s">
        <v/>
        <stp/>
        <stp>5162M10:LstBlkPrc</stp>
        <tr r="K779" s="5"/>
      </tp>
      <tp t="s">
        <v/>
        <stp/>
        <stp>5162M20:LstBlkPrc</stp>
        <tr r="K789" s="5"/>
      </tp>
      <tp t="s">
        <v/>
        <stp/>
        <stp>1517M17:LstBlkPrc</stp>
        <tr r="K20" s="5"/>
      </tp>
      <tp t="s">
        <v/>
        <stp/>
        <stp>5162M20:BstHitPrc</stp>
        <tr r="G789" s="5"/>
      </tp>
      <tp>
        <v>-8.48</v>
        <stp/>
        <stp>5162M10:BstHitPrc</stp>
        <tr r="G779" s="5"/>
      </tp>
      <tp t="s">
        <v/>
        <stp/>
        <stp>1517M17:BstHitPrc</stp>
        <tr r="G20" s="5"/>
      </tp>
      <tp>
        <v>21.3</v>
        <stp/>
        <stp>46678127M6:BstLiftPrc</stp>
        <tr r="H351" s="5"/>
      </tp>
      <tp>
        <v>25.6</v>
        <stp/>
        <stp>46678127M7:BstLiftPrc</stp>
        <tr r="H352" s="5"/>
      </tp>
      <tp>
        <v>19.75</v>
        <stp/>
        <stp>46678127M4:BstLiftPrc</stp>
        <tr r="H349" s="5"/>
      </tp>
      <tp>
        <v>20.45</v>
        <stp/>
        <stp>46678127M5:BstLiftPrc</stp>
        <tr r="H350" s="5"/>
      </tp>
      <tp>
        <v>24.6</v>
        <stp/>
        <stp>46678127M2:BstLiftPrc</stp>
        <tr r="H347" s="5"/>
      </tp>
      <tp>
        <v>20.25</v>
        <stp/>
        <stp>46678127M3:BstLiftPrc</stp>
        <tr r="H348" s="5"/>
      </tp>
      <tp t="s">
        <v/>
        <stp/>
        <stp>46678127M0:BstLiftPrc</stp>
        <tr r="H345" s="5"/>
      </tp>
      <tp>
        <v>31.4</v>
        <stp/>
        <stp>46678127M1:BstLiftPrc</stp>
        <tr r="H346" s="5"/>
      </tp>
      <tp>
        <v>25.35</v>
        <stp/>
        <stp>46678127M8:BstLiftPrc</stp>
        <tr r="H353" s="5"/>
      </tp>
      <tp>
        <v>24.5</v>
        <stp/>
        <stp>46678127M9:BstLiftPrc</stp>
        <tr r="H354" s="5"/>
      </tp>
      <tp t="s">
        <v>Invalid Market: 46678127Y2</v>
        <stp/>
        <stp>46678127Y2:BstLiftPrc</stp>
        <tr r="H381" s="5"/>
      </tp>
      <tp>
        <v>21.1</v>
        <stp/>
        <stp>46678127Y0:BstLiftPrc</stp>
        <tr r="H379" s="5"/>
      </tp>
      <tp t="s">
        <v/>
        <stp/>
        <stp>46678127Y1:BstLiftPrc</stp>
        <tr r="H380" s="5"/>
      </tp>
      <tp t="s">
        <v/>
        <stp/>
        <stp>46678127Q6:BstLiftPrc</stp>
        <tr r="H376" s="5"/>
      </tp>
      <tp t="s">
        <v/>
        <stp/>
        <stp>46678127Q7:BstLiftPrc</stp>
        <tr r="H377" s="5"/>
      </tp>
      <tp>
        <v>13.25</v>
        <stp/>
        <stp>46678127Q4:BstLiftPrc</stp>
        <tr r="H374" s="5"/>
      </tp>
      <tp t="s">
        <v/>
        <stp/>
        <stp>46678127Q5:BstLiftPrc</stp>
        <tr r="H375" s="5"/>
      </tp>
      <tp>
        <v>25.45</v>
        <stp/>
        <stp>46678127Q2:BstLiftPrc</stp>
        <tr r="H372" s="5"/>
      </tp>
      <tp>
        <v>21.9</v>
        <stp/>
        <stp>46678127Q3:BstLiftPrc</stp>
        <tr r="H373" s="5"/>
      </tp>
      <tp>
        <v>25.55</v>
        <stp/>
        <stp>46678127Q0:BstLiftPrc</stp>
        <tr r="H370" s="5"/>
      </tp>
      <tp>
        <v>20.8</v>
        <stp/>
        <stp>46678127Q1:BstLiftPrc</stp>
        <tr r="H371" s="5"/>
      </tp>
      <tp t="s">
        <v/>
        <stp/>
        <stp>46678127Q8:BstLiftPrc</stp>
        <tr r="H378" s="5"/>
      </tp>
      <tp>
        <v>0</v>
        <stp/>
        <stp>35534143M24:Vol</stp>
        <tr r="N732" s="5"/>
      </tp>
      <tp>
        <v>0</v>
        <stp/>
        <stp>35544144M24:Vol</stp>
        <tr r="N656" s="5"/>
      </tp>
      <tp>
        <v>0</v>
        <stp/>
        <stp>35554145M24:Vol</stp>
        <tr r="N694" s="5"/>
      </tp>
      <tp>
        <v>0</v>
        <stp/>
        <stp>35534143M20:Vol</stp>
        <tr r="N728" s="5"/>
      </tp>
      <tp>
        <v>0</v>
        <stp/>
        <stp>35544144M20:Vol</stp>
        <tr r="N652" s="5"/>
      </tp>
      <tp>
        <v>0</v>
        <stp/>
        <stp>35554145M20:Vol</stp>
        <tr r="N690" s="5"/>
      </tp>
      <tp>
        <v>0</v>
        <stp/>
        <stp>35534143M21:Vol</stp>
        <tr r="N729" s="5"/>
      </tp>
      <tp>
        <v>0</v>
        <stp/>
        <stp>35544144M21:Vol</stp>
        <tr r="N653" s="5"/>
      </tp>
      <tp>
        <v>0</v>
        <stp/>
        <stp>35554145M21:Vol</stp>
        <tr r="N691" s="5"/>
      </tp>
      <tp>
        <v>0</v>
        <stp/>
        <stp>35534143M22:Vol</stp>
        <tr r="N730" s="5"/>
      </tp>
      <tp>
        <v>0</v>
        <stp/>
        <stp>35544144M22:Vol</stp>
        <tr r="N654" s="5"/>
      </tp>
      <tp>
        <v>0</v>
        <stp/>
        <stp>35554145M22:Vol</stp>
        <tr r="N692" s="5"/>
      </tp>
      <tp>
        <v>0</v>
        <stp/>
        <stp>35534143M23:Vol</stp>
        <tr r="N731" s="5"/>
      </tp>
      <tp>
        <v>0</v>
        <stp/>
        <stp>35544144M23:Vol</stp>
        <tr r="N655" s="5"/>
      </tp>
      <tp>
        <v>0</v>
        <stp/>
        <stp>35554145M23:Vol</stp>
        <tr r="N693" s="5"/>
      </tp>
      <tp>
        <v>0</v>
        <stp/>
        <stp>34404098M20:Vol</stp>
        <tr r="N614" s="5"/>
      </tp>
      <tp>
        <v>0</v>
        <stp/>
        <stp>34414099M20:Vol</stp>
        <tr r="N99" s="5"/>
      </tp>
      <tp>
        <v>0</v>
        <stp/>
        <stp>34404098M21:Vol</stp>
        <tr r="N615" s="5"/>
      </tp>
      <tp>
        <v>0</v>
        <stp/>
        <stp>34414099M21:Vol</stp>
        <tr r="N100" s="5"/>
      </tp>
      <tp>
        <v>0</v>
        <stp/>
        <stp>34404098M22:Vol</stp>
        <tr r="N616" s="5"/>
      </tp>
      <tp>
        <v>0</v>
        <stp/>
        <stp>34414099M22:Vol</stp>
        <tr r="N101" s="5"/>
      </tp>
      <tp>
        <v>0</v>
        <stp/>
        <stp>34404098M23:Vol</stp>
        <tr r="N617" s="5"/>
      </tp>
      <tp>
        <v>0</v>
        <stp/>
        <stp>34414099M23:Vol</stp>
        <tr r="N102" s="5"/>
      </tp>
      <tp>
        <v>0</v>
        <stp/>
        <stp>34344092M24:Vol</stp>
        <tr r="N1287" s="5"/>
      </tp>
      <tp>
        <v>2</v>
        <stp/>
        <stp>34354093M24:Vol</stp>
        <tr r="N1325" s="5"/>
      </tp>
      <tp>
        <v>0</v>
        <stp/>
        <stp>34364094M24:Vol</stp>
        <tr r="N542" s="5"/>
      </tp>
      <tp>
        <v>0</v>
        <stp/>
        <stp>34374095M24:Vol</stp>
        <tr r="N580" s="5"/>
      </tp>
      <tp>
        <v>0</v>
        <stp/>
        <stp>34404098M24:Vol</stp>
        <tr r="N618" s="5"/>
      </tp>
      <tp>
        <v>0</v>
        <stp/>
        <stp>34414099M24:Vol</stp>
        <tr r="N103" s="5"/>
      </tp>
      <tp>
        <v>0</v>
        <stp/>
        <stp>34344092M23:Vol</stp>
        <tr r="N1286" s="5"/>
      </tp>
      <tp>
        <v>2</v>
        <stp/>
        <stp>34354093M23:Vol</stp>
        <tr r="N1324" s="5"/>
      </tp>
      <tp>
        <v>0</v>
        <stp/>
        <stp>34364094M23:Vol</stp>
        <tr r="N541" s="5"/>
      </tp>
      <tp>
        <v>0</v>
        <stp/>
        <stp>34374095M23:Vol</stp>
        <tr r="N579" s="5"/>
      </tp>
      <tp>
        <v>0</v>
        <stp/>
        <stp>34344092M22:Vol</stp>
        <tr r="N1285" s="5"/>
      </tp>
      <tp>
        <v>2</v>
        <stp/>
        <stp>34354093M22:Vol</stp>
        <tr r="N1323" s="5"/>
      </tp>
      <tp>
        <v>0</v>
        <stp/>
        <stp>34364094M22:Vol</stp>
        <tr r="N540" s="5"/>
      </tp>
      <tp>
        <v>0</v>
        <stp/>
        <stp>34374095M22:Vol</stp>
        <tr r="N578" s="5"/>
      </tp>
      <tp>
        <v>0</v>
        <stp/>
        <stp>34344092M21:Vol</stp>
        <tr r="N1284" s="5"/>
      </tp>
      <tp>
        <v>2</v>
        <stp/>
        <stp>34354093M21:Vol</stp>
        <tr r="N1322" s="5"/>
      </tp>
      <tp>
        <v>0</v>
        <stp/>
        <stp>34364094M21:Vol</stp>
        <tr r="N539" s="5"/>
      </tp>
      <tp>
        <v>0</v>
        <stp/>
        <stp>34374095M21:Vol</stp>
        <tr r="N577" s="5"/>
      </tp>
      <tp>
        <v>0</v>
        <stp/>
        <stp>34344092M20:Vol</stp>
        <tr r="N1283" s="5"/>
      </tp>
      <tp>
        <v>2</v>
        <stp/>
        <stp>34354093M20:Vol</stp>
        <tr r="N1321" s="5"/>
      </tp>
      <tp>
        <v>0</v>
        <stp/>
        <stp>34364094M20:Vol</stp>
        <tr r="N538" s="5"/>
      </tp>
      <tp>
        <v>0</v>
        <stp/>
        <stp>34374095M20:Vol</stp>
        <tr r="N576" s="5"/>
      </tp>
      <tp>
        <v>0</v>
        <stp/>
        <stp>34404098M18:Vol</stp>
        <tr r="N612" s="5"/>
      </tp>
      <tp>
        <v>0</v>
        <stp/>
        <stp>34414099M18:Vol</stp>
        <tr r="N97" s="5"/>
      </tp>
      <tp>
        <v>0</v>
        <stp/>
        <stp>35534143M14:Vol</stp>
        <tr r="N722" s="5"/>
      </tp>
      <tp>
        <v>0</v>
        <stp/>
        <stp>35544144M14:Vol</stp>
        <tr r="N646" s="5"/>
      </tp>
      <tp>
        <v>0</v>
        <stp/>
        <stp>35554145M14:Vol</stp>
        <tr r="N684" s="5"/>
      </tp>
      <tp>
        <v>0</v>
        <stp/>
        <stp>34404098M19:Vol</stp>
        <tr r="N613" s="5"/>
      </tp>
      <tp>
        <v>0</v>
        <stp/>
        <stp>34414099M19:Vol</stp>
        <tr r="N98" s="5"/>
      </tp>
      <tp>
        <v>0</v>
        <stp/>
        <stp>35534143M15:Vol</stp>
        <tr r="N723" s="5"/>
      </tp>
      <tp>
        <v>0</v>
        <stp/>
        <stp>35544144M15:Vol</stp>
        <tr r="N647" s="5"/>
      </tp>
      <tp>
        <v>0</v>
        <stp/>
        <stp>35554145M15:Vol</stp>
        <tr r="N685" s="5"/>
      </tp>
      <tp>
        <v>0</v>
        <stp/>
        <stp>35534143M16:Vol</stp>
        <tr r="N724" s="5"/>
      </tp>
      <tp>
        <v>0</v>
        <stp/>
        <stp>35544144M16:Vol</stp>
        <tr r="N648" s="5"/>
      </tp>
      <tp>
        <v>0</v>
        <stp/>
        <stp>35554145M16:Vol</stp>
        <tr r="N686" s="5"/>
      </tp>
      <tp>
        <v>0</v>
        <stp/>
        <stp>35534143M17:Vol</stp>
        <tr r="N725" s="5"/>
      </tp>
      <tp>
        <v>0</v>
        <stp/>
        <stp>35544144M17:Vol</stp>
        <tr r="N649" s="5"/>
      </tp>
      <tp>
        <v>0</v>
        <stp/>
        <stp>35554145M17:Vol</stp>
        <tr r="N687" s="5"/>
      </tp>
      <tp>
        <v>0</v>
        <stp/>
        <stp>35534143M10:Vol</stp>
        <tr r="N718" s="5"/>
      </tp>
      <tp>
        <v>0</v>
        <stp/>
        <stp>35544144M10:Vol</stp>
        <tr r="N642" s="5"/>
      </tp>
      <tp>
        <v>0</v>
        <stp/>
        <stp>35554145M10:Vol</stp>
        <tr r="N680" s="5"/>
      </tp>
      <tp>
        <v>0</v>
        <stp/>
        <stp>35534143M11:Vol</stp>
        <tr r="N719" s="5"/>
      </tp>
      <tp>
        <v>0</v>
        <stp/>
        <stp>35544144M11:Vol</stp>
        <tr r="N643" s="5"/>
      </tp>
      <tp>
        <v>0</v>
        <stp/>
        <stp>35554145M11:Vol</stp>
        <tr r="N681" s="5"/>
      </tp>
      <tp>
        <v>0</v>
        <stp/>
        <stp>34344092M19:Vol</stp>
        <tr r="N1282" s="5"/>
      </tp>
      <tp>
        <v>2</v>
        <stp/>
        <stp>34354093M19:Vol</stp>
        <tr r="N1320" s="5"/>
      </tp>
      <tp>
        <v>0</v>
        <stp/>
        <stp>34364094M19:Vol</stp>
        <tr r="N537" s="5"/>
      </tp>
      <tp>
        <v>0</v>
        <stp/>
        <stp>34374095M19:Vol</stp>
        <tr r="N575" s="5"/>
      </tp>
      <tp>
        <v>0</v>
        <stp/>
        <stp>35534143M12:Vol</stp>
        <tr r="N720" s="5"/>
      </tp>
      <tp>
        <v>0</v>
        <stp/>
        <stp>35544144M12:Vol</stp>
        <tr r="N644" s="5"/>
      </tp>
      <tp>
        <v>0</v>
        <stp/>
        <stp>35554145M12:Vol</stp>
        <tr r="N682" s="5"/>
      </tp>
      <tp>
        <v>0</v>
        <stp/>
        <stp>34344092M18:Vol</stp>
        <tr r="N1281" s="5"/>
      </tp>
      <tp>
        <v>2</v>
        <stp/>
        <stp>34354093M18:Vol</stp>
        <tr r="N1319" s="5"/>
      </tp>
      <tp>
        <v>0</v>
        <stp/>
        <stp>34364094M18:Vol</stp>
        <tr r="N536" s="5"/>
      </tp>
      <tp>
        <v>0</v>
        <stp/>
        <stp>34374095M18:Vol</stp>
        <tr r="N574" s="5"/>
      </tp>
      <tp>
        <v>0</v>
        <stp/>
        <stp>35534143M13:Vol</stp>
        <tr r="N721" s="5"/>
      </tp>
      <tp>
        <v>0</v>
        <stp/>
        <stp>35544144M13:Vol</stp>
        <tr r="N645" s="5"/>
      </tp>
      <tp>
        <v>0</v>
        <stp/>
        <stp>35554145M13:Vol</stp>
        <tr r="N683" s="5"/>
      </tp>
      <tp>
        <v>0</v>
        <stp/>
        <stp>34404098M10:Vol</stp>
        <tr r="N604" s="5"/>
      </tp>
      <tp>
        <v>0</v>
        <stp/>
        <stp>34414099M10:Vol</stp>
        <tr r="N89" s="5"/>
      </tp>
      <tp>
        <v>0</v>
        <stp/>
        <stp>34344092M17:Vol</stp>
        <tr r="N1280" s="5"/>
      </tp>
      <tp>
        <v>2</v>
        <stp/>
        <stp>34354093M17:Vol</stp>
        <tr r="N1318" s="5"/>
      </tp>
      <tp>
        <v>0</v>
        <stp/>
        <stp>34364094M17:Vol</stp>
        <tr r="N535" s="5"/>
      </tp>
      <tp>
        <v>0</v>
        <stp/>
        <stp>34374095M17:Vol</stp>
        <tr r="N573" s="5"/>
      </tp>
      <tp>
        <v>0</v>
        <stp/>
        <stp>34404098M11:Vol</stp>
        <tr r="N605" s="5"/>
      </tp>
      <tp>
        <v>0</v>
        <stp/>
        <stp>34414099M11:Vol</stp>
        <tr r="N90" s="5"/>
      </tp>
      <tp>
        <v>0</v>
        <stp/>
        <stp>34344092M16:Vol</stp>
        <tr r="N1279" s="5"/>
      </tp>
      <tp>
        <v>2</v>
        <stp/>
        <stp>34354093M16:Vol</stp>
        <tr r="N1317" s="5"/>
      </tp>
      <tp>
        <v>0</v>
        <stp/>
        <stp>34364094M16:Vol</stp>
        <tr r="N534" s="5"/>
      </tp>
      <tp>
        <v>0</v>
        <stp/>
        <stp>34374095M16:Vol</stp>
        <tr r="N572" s="5"/>
      </tp>
      <tp>
        <v>0</v>
        <stp/>
        <stp>34404098M12:Vol</stp>
        <tr r="N606" s="5"/>
      </tp>
      <tp>
        <v>0</v>
        <stp/>
        <stp>34414099M12:Vol</stp>
        <tr r="N91" s="5"/>
      </tp>
      <tp>
        <v>0</v>
        <stp/>
        <stp>34344092M15:Vol</stp>
        <tr r="N1278" s="5"/>
      </tp>
      <tp>
        <v>12</v>
        <stp/>
        <stp>34354093M15:Vol</stp>
        <tr r="N1316" s="5"/>
      </tp>
      <tp>
        <v>0</v>
        <stp/>
        <stp>34364094M15:Vol</stp>
        <tr r="N533" s="5"/>
      </tp>
      <tp>
        <v>0</v>
        <stp/>
        <stp>34374095M15:Vol</stp>
        <tr r="N571" s="5"/>
      </tp>
      <tp>
        <v>0</v>
        <stp/>
        <stp>34404098M13:Vol</stp>
        <tr r="N607" s="5"/>
      </tp>
      <tp>
        <v>0</v>
        <stp/>
        <stp>34414099M13:Vol</stp>
        <tr r="N92" s="5"/>
      </tp>
      <tp>
        <v>0</v>
        <stp/>
        <stp>34344092M14:Vol</stp>
        <tr r="N1277" s="5"/>
      </tp>
      <tp>
        <v>12</v>
        <stp/>
        <stp>34354093M14:Vol</stp>
        <tr r="N1315" s="5"/>
      </tp>
      <tp>
        <v>0</v>
        <stp/>
        <stp>34364094M14:Vol</stp>
        <tr r="N532" s="5"/>
      </tp>
      <tp>
        <v>0</v>
        <stp/>
        <stp>34374095M14:Vol</stp>
        <tr r="N570" s="5"/>
      </tp>
      <tp>
        <v>0</v>
        <stp/>
        <stp>34404098M14:Vol</stp>
        <tr r="N608" s="5"/>
      </tp>
      <tp>
        <v>0</v>
        <stp/>
        <stp>34414099M14:Vol</stp>
        <tr r="N93" s="5"/>
      </tp>
      <tp>
        <v>0</v>
        <stp/>
        <stp>34344092M13:Vol</stp>
        <tr r="N1276" s="5"/>
      </tp>
      <tp>
        <v>12</v>
        <stp/>
        <stp>34354093M13:Vol</stp>
        <tr r="N1314" s="5"/>
      </tp>
      <tp>
        <v>0</v>
        <stp/>
        <stp>34364094M13:Vol</stp>
        <tr r="N531" s="5"/>
      </tp>
      <tp>
        <v>0</v>
        <stp/>
        <stp>34374095M13:Vol</stp>
        <tr r="N569" s="5"/>
      </tp>
      <tp>
        <v>0</v>
        <stp/>
        <stp>35534143M18:Vol</stp>
        <tr r="N726" s="5"/>
      </tp>
      <tp>
        <v>0</v>
        <stp/>
        <stp>35544144M18:Vol</stp>
        <tr r="N650" s="5"/>
      </tp>
      <tp>
        <v>0</v>
        <stp/>
        <stp>35554145M18:Vol</stp>
        <tr r="N688" s="5"/>
      </tp>
      <tp>
        <v>0</v>
        <stp/>
        <stp>34404098M15:Vol</stp>
        <tr r="N609" s="5"/>
      </tp>
      <tp>
        <v>0</v>
        <stp/>
        <stp>34414099M15:Vol</stp>
        <tr r="N94" s="5"/>
      </tp>
      <tp>
        <v>0</v>
        <stp/>
        <stp>34344092M12:Vol</stp>
        <tr r="N1275" s="5"/>
      </tp>
      <tp>
        <v>12</v>
        <stp/>
        <stp>34354093M12:Vol</stp>
        <tr r="N1313" s="5"/>
      </tp>
      <tp>
        <v>0</v>
        <stp/>
        <stp>34364094M12:Vol</stp>
        <tr r="N530" s="5"/>
      </tp>
      <tp>
        <v>0</v>
        <stp/>
        <stp>34374095M12:Vol</stp>
        <tr r="N568" s="5"/>
      </tp>
      <tp>
        <v>0</v>
        <stp/>
        <stp>35534143M19:Vol</stp>
        <tr r="N727" s="5"/>
      </tp>
      <tp>
        <v>0</v>
        <stp/>
        <stp>35544144M19:Vol</stp>
        <tr r="N651" s="5"/>
      </tp>
      <tp>
        <v>0</v>
        <stp/>
        <stp>35554145M19:Vol</stp>
        <tr r="N689" s="5"/>
      </tp>
      <tp>
        <v>0</v>
        <stp/>
        <stp>34404098M16:Vol</stp>
        <tr r="N610" s="5"/>
      </tp>
      <tp>
        <v>0</v>
        <stp/>
        <stp>34414099M16:Vol</stp>
        <tr r="N95" s="5"/>
      </tp>
      <tp>
        <v>0</v>
        <stp/>
        <stp>34344092M11:Vol</stp>
        <tr r="N1274" s="5"/>
      </tp>
      <tp>
        <v>12</v>
        <stp/>
        <stp>34354093M11:Vol</stp>
        <tr r="N1312" s="5"/>
      </tp>
      <tp>
        <v>0</v>
        <stp/>
        <stp>34364094M11:Vol</stp>
        <tr r="N529" s="5"/>
      </tp>
      <tp>
        <v>0</v>
        <stp/>
        <stp>34374095M11:Vol</stp>
        <tr r="N567" s="5"/>
      </tp>
      <tp>
        <v>0</v>
        <stp/>
        <stp>34404098M17:Vol</stp>
        <tr r="N611" s="5"/>
      </tp>
      <tp>
        <v>0</v>
        <stp/>
        <stp>34414099M17:Vol</stp>
        <tr r="N96" s="5"/>
      </tp>
      <tp>
        <v>0</v>
        <stp/>
        <stp>34344092M10:Vol</stp>
        <tr r="N1273" s="5"/>
      </tp>
      <tp>
        <v>12</v>
        <stp/>
        <stp>34354093M10:Vol</stp>
        <tr r="N1311" s="5"/>
      </tp>
      <tp>
        <v>0</v>
        <stp/>
        <stp>34364094M10:Vol</stp>
        <tr r="N528" s="5"/>
      </tp>
      <tp>
        <v>0</v>
        <stp/>
        <stp>34374095M10:Vol</stp>
        <tr r="N566" s="5"/>
      </tp>
    </main>
    <main first="esrtd">
      <tp t="s">
        <v/>
        <stp/>
        <stp>BRN 26UP8100-ICE</stp>
        <stp>Delta</stp>
        <tr r="AI74" s="23"/>
      </tp>
      <tp t="s">
        <v/>
        <stp/>
        <stp>BRN 26UP8300-ICE</stp>
        <stp>Delta</stp>
        <tr r="AI76" s="23"/>
      </tp>
      <tp t="s">
        <v/>
        <stp/>
        <stp>BRN 26UP8200-ICE</stp>
        <stp>Delta</stp>
        <tr r="AI75" s="23"/>
      </tp>
      <tp t="s">
        <v/>
        <stp/>
        <stp>BRN 26UP8500-ICE</stp>
        <stp>Delta</stp>
        <tr r="AI78" s="23"/>
        <tr r="AI79" s="23"/>
      </tp>
      <tp t="s">
        <v/>
        <stp/>
        <stp>BRN 26UP8400-ICE</stp>
        <stp>Delta</stp>
        <tr r="AI77" s="23"/>
      </tp>
    </main>
    <main first="ice.rtd">
      <tp t="s">
        <v/>
        <stp/>
        <stp>2181024583B0:BstLiftPrc</stp>
        <tr r="H1990" s="5"/>
      </tp>
      <tp t="s">
        <v/>
        <stp/>
        <stp>2427026287Y1:BstLiftPrc</stp>
        <tr r="H1184" s="5"/>
      </tp>
      <tp t="s">
        <v/>
        <stp/>
        <stp>2427026287Y0:BstLiftPrc</stp>
        <tr r="H1183" s="5"/>
      </tp>
      <tp t="s">
        <v/>
        <stp/>
        <stp>2427026287Y2:BstLiftPrc</stp>
        <tr r="H1185" s="5"/>
      </tp>
      <tp t="s">
        <v/>
        <stp/>
        <stp>2427026287Q8:BstLiftPrc</stp>
        <tr r="H1182" s="5"/>
      </tp>
      <tp t="s">
        <v/>
        <stp/>
        <stp>2427026287Q1:BstLiftPrc</stp>
        <tr r="H1175" s="5"/>
      </tp>
      <tp t="s">
        <v/>
        <stp/>
        <stp>2427026287Q0:BstLiftPrc</stp>
        <tr r="H1174" s="5"/>
      </tp>
      <tp t="s">
        <v/>
        <stp/>
        <stp>2427026287Q3:BstLiftPrc</stp>
        <tr r="H1177" s="5"/>
      </tp>
      <tp t="s">
        <v/>
        <stp/>
        <stp>2427026287Q2:BstLiftPrc</stp>
        <tr r="H1176" s="5"/>
      </tp>
      <tp t="s">
        <v/>
        <stp/>
        <stp>2427026287Q5:BstLiftPrc</stp>
        <tr r="H1179" s="5"/>
      </tp>
      <tp t="s">
        <v/>
        <stp/>
        <stp>2427026287Q4:BstLiftPrc</stp>
        <tr r="H1178" s="5"/>
      </tp>
      <tp t="s">
        <v/>
        <stp/>
        <stp>2427026287Q7:BstLiftPrc</stp>
        <tr r="H1181" s="5"/>
      </tp>
      <tp t="s">
        <v/>
        <stp/>
        <stp>2427026287Q6:BstLiftPrc</stp>
        <tr r="H1180" s="5"/>
      </tp>
      <tp t="s">
        <v/>
        <stp/>
        <stp>2427026287M9:BstLiftPrc</stp>
        <tr r="H1158" s="5"/>
      </tp>
      <tp t="s">
        <v/>
        <stp/>
        <stp>2427026287M8:BstLiftPrc</stp>
        <tr r="H1157" s="5"/>
      </tp>
      <tp>
        <v>19.399999999999999</v>
        <stp/>
        <stp>2427026287M1:BstLiftPrc</stp>
        <tr r="H1150" s="5"/>
      </tp>
      <tp t="s">
        <v/>
        <stp/>
        <stp>2427026287M0:BstLiftPrc</stp>
        <tr r="H1149" s="5"/>
      </tp>
      <tp t="s">
        <v/>
        <stp/>
        <stp>2427026287M3:BstLiftPrc</stp>
        <tr r="H1152" s="5"/>
      </tp>
      <tp>
        <v>17.2</v>
        <stp/>
        <stp>2427026287M2:BstLiftPrc</stp>
        <tr r="H1151" s="5"/>
      </tp>
      <tp t="s">
        <v/>
        <stp/>
        <stp>2427026287M5:BstLiftPrc</stp>
        <tr r="H1154" s="5"/>
      </tp>
      <tp t="s">
        <v/>
        <stp/>
        <stp>2427026287M4:BstLiftPrc</stp>
        <tr r="H1153" s="5"/>
      </tp>
      <tp t="s">
        <v/>
        <stp/>
        <stp>2427026287M7:BstLiftPrc</stp>
        <tr r="H1156" s="5"/>
      </tp>
      <tp t="s">
        <v/>
        <stp/>
        <stp>2427026287M6:BstLiftPrc</stp>
        <tr r="H1155" s="5"/>
      </tp>
      <tp t="s">
        <v/>
        <stp/>
        <stp>2324925610B0:BstLiftPrc</stp>
        <tr r="H882" s="5"/>
      </tp>
      <tp t="s">
        <v/>
        <stp/>
        <stp>2888129698B0:BstLiftPrc</stp>
        <tr r="H1110" s="5"/>
      </tp>
    </main>
    <main first="esrtd">
      <tp t="s">
        <v/>
        <stp/>
        <stp>BRN 26UP7000-ICE</stp>
        <stp>Delta</stp>
        <tr r="AI73" s="23"/>
      </tp>
    </main>
    <main first="ice.rtd">
      <tp t="s">
        <v>GOH</v>
        <stp/>
        <stp>29243602M10:PCC</stp>
        <tr r="B756" s="5"/>
      </tp>
      <tp t="s">
        <v>GOH</v>
        <stp/>
        <stp>29243602M11:PCC</stp>
        <tr r="B757" s="5"/>
      </tp>
      <tp t="s">
        <v>GOH</v>
        <stp/>
        <stp>29243602M12:PCC</stp>
        <tr r="B758" s="5"/>
      </tp>
      <tp t="s">
        <v>GOH</v>
        <stp/>
        <stp>29243602M13:PCC</stp>
        <tr r="B759" s="5"/>
      </tp>
      <tp t="s">
        <v>GOH</v>
        <stp/>
        <stp>29243602M14:PCC</stp>
        <tr r="B760" s="5"/>
      </tp>
      <tp t="s">
        <v>GOH</v>
        <stp/>
        <stp>29243602M15:PCC</stp>
        <tr r="B761" s="5"/>
      </tp>
      <tp t="s">
        <v/>
        <stp/>
        <stp>141587M16:BstHitPrc</stp>
        <tr r="G57" s="5"/>
      </tp>
    </main>
    <main first="esrtd">
      <tp t="s">
        <v/>
        <stp/>
        <stp>PRL Q27-IEU</stp>
        <stp>ICE Theoretical Price</stp>
        <tr r="W1388" s="5"/>
      </tp>
      <tp t="s">
        <v/>
        <stp/>
        <stp>ULC U28-IEU</stp>
        <stp>ICE Theoretical Price</stp>
        <tr r="W1287" s="5"/>
      </tp>
      <tp t="s">
        <v/>
        <stp/>
        <stp>PRL U27-IEU</stp>
        <stp>ICE Theoretical Price</stp>
        <tr r="W1389" s="5"/>
      </tp>
      <tp t="s">
        <v/>
        <stp/>
        <stp>ULC Q28-IEU</stp>
        <stp>ICE Theoretical Price</stp>
        <tr r="W1286" s="5"/>
      </tp>
      <tp t="s">
        <v/>
        <stp/>
        <stp>AIL F27-IEU</stp>
        <stp>ICE Theoretical Price</stp>
        <tr r="W1586" s="5"/>
      </tp>
      <tp t="s">
        <v/>
        <stp/>
        <stp>AIL G27-IEU</stp>
        <stp>ICE Theoretical Price</stp>
        <tr r="W1587" s="5"/>
      </tp>
      <tp t="s">
        <v/>
        <stp/>
        <stp>PRL V27-IEU</stp>
        <stp>ICE Theoretical Price</stp>
        <tr r="W1390" s="5"/>
      </tp>
      <tp t="s">
        <v/>
        <stp/>
        <stp>AIL H27-IEU</stp>
        <stp>ICE Theoretical Price</stp>
        <tr r="W1588" s="5"/>
      </tp>
      <tp t="s">
        <v/>
        <stp/>
        <stp>PRL X27-IEU</stp>
        <stp>ICE Theoretical Price</stp>
        <tr r="W1391" s="5"/>
      </tp>
      <tp t="s">
        <v/>
        <stp/>
        <stp>AIL J27-IEU</stp>
        <stp>ICE Theoretical Price</stp>
        <tr r="W1589" s="5"/>
      </tp>
      <tp t="s">
        <v/>
        <stp/>
        <stp>AIL K27-IEU</stp>
        <stp>ICE Theoretical Price</stp>
        <tr r="W1590" s="5"/>
      </tp>
      <tp t="s">
        <v/>
        <stp/>
        <stp>PRL Z27-IEU</stp>
        <stp>ICE Theoretical Price</stp>
        <tr r="W1392" s="5"/>
      </tp>
      <tp t="s">
        <v/>
        <stp/>
        <stp>AIL M27-IEU</stp>
        <stp>ICE Theoretical Price</stp>
        <tr r="W1591" s="5"/>
      </tp>
      <tp t="s">
        <v/>
        <stp/>
        <stp>AIL N27-IEU</stp>
        <stp>ICE Theoretical Price</stp>
        <tr r="W1592" s="5"/>
      </tp>
      <tp t="s">
        <v/>
        <stp/>
        <stp>AIL Q27-IEU</stp>
        <stp>ICE Theoretical Price</stp>
        <tr r="W1593" s="5"/>
      </tp>
      <tp t="s">
        <v/>
        <stp/>
        <stp>ULC F28-IEU</stp>
        <stp>ICE Theoretical Price</stp>
        <tr r="W1279" s="5"/>
      </tp>
      <tp t="s">
        <v/>
        <stp/>
        <stp>ULC G28-IEU</stp>
        <stp>ICE Theoretical Price</stp>
        <tr r="W1280" s="5"/>
      </tp>
      <tp t="s">
        <v/>
        <stp/>
        <stp>AIL U27-IEU</stp>
        <stp>ICE Theoretical Price</stp>
        <tr r="W1594" s="5"/>
      </tp>
      <tp t="s">
        <v/>
        <stp/>
        <stp>AIL V27-IEU</stp>
        <stp>ICE Theoretical Price</stp>
        <tr r="W1595" s="5"/>
      </tp>
      <tp t="s">
        <v/>
        <stp/>
        <stp>PRL G27-IEU</stp>
        <stp>ICE Theoretical Price</stp>
        <tr r="W1382" s="5"/>
      </tp>
      <tp t="s">
        <v/>
        <stp/>
        <stp>PRL F27-IEU</stp>
        <stp>ICE Theoretical Price</stp>
        <tr r="W1381" s="5"/>
      </tp>
      <tp t="s">
        <v/>
        <stp/>
        <stp>AIL X27-IEU</stp>
        <stp>ICE Theoretical Price</stp>
        <tr r="W1596" s="5"/>
      </tp>
      <tp t="s">
        <v/>
        <stp/>
        <stp>ULC M28-IEU</stp>
        <stp>ICE Theoretical Price</stp>
        <tr r="W1284" s="5"/>
      </tp>
      <tp t="s">
        <v/>
        <stp/>
        <stp>PRL H27-IEU</stp>
        <stp>ICE Theoretical Price</stp>
        <tr r="W1383" s="5"/>
      </tp>
      <tp t="s">
        <v/>
        <stp/>
        <stp>AIL Z27-IEU</stp>
        <stp>ICE Theoretical Price</stp>
        <tr r="W1597" s="5"/>
      </tp>
      <tp t="s">
        <v/>
        <stp/>
        <stp>ULC N28-IEU</stp>
        <stp>ICE Theoretical Price</stp>
        <tr r="W1285" s="5"/>
      </tp>
      <tp t="s">
        <v/>
        <stp/>
        <stp>PRL K27-IEU</stp>
        <stp>ICE Theoretical Price</stp>
        <tr r="W1385" s="5"/>
      </tp>
      <tp t="s">
        <v/>
        <stp/>
        <stp>PRL J27-IEU</stp>
        <stp>ICE Theoretical Price</stp>
        <tr r="W1384" s="5"/>
      </tp>
      <tp t="s">
        <v/>
        <stp/>
        <stp>ULC H28-IEU</stp>
        <stp>ICE Theoretical Price</stp>
        <tr r="W1281" s="5"/>
      </tp>
      <tp t="s">
        <v/>
        <stp/>
        <stp>PRL M27-IEU</stp>
        <stp>ICE Theoretical Price</stp>
        <tr r="W1386" s="5"/>
      </tp>
      <tp t="s">
        <v/>
        <stp/>
        <stp>ULC J28-IEU</stp>
        <stp>ICE Theoretical Price</stp>
        <tr r="W1282" s="5"/>
      </tp>
      <tp t="s">
        <v/>
        <stp/>
        <stp>ULC K28-IEU</stp>
        <stp>ICE Theoretical Price</stp>
        <tr r="W1283" s="5"/>
      </tp>
      <tp t="s">
        <v/>
        <stp/>
        <stp>PRL N27-IEU</stp>
        <stp>ICE Theoretical Price</stp>
        <tr r="W1387" s="5"/>
      </tp>
    </main>
    <main first="ice.rtd">
      <tp t="s">
        <v/>
        <stp/>
        <stp>141587M16:LstBlkPrc</stp>
        <tr r="K57" s="5"/>
      </tp>
    </main>
    <main first="ice.rtd">
      <tp t="s">
        <v/>
        <stp/>
        <stp>366531MM9:LstBlkVol</stp>
        <tr r="L1724" s="5"/>
      </tp>
    </main>
    <main first="bofaddin.rtdserver">
      <tp t="s">
        <v>#N/A</v>
        <stp/>
        <stp>BDP|11928657737625575875|222</stp>
        <stp>CLN9CLQ9 Comdty</stp>
        <stp>ASK</stp>
        <stp>Fill=#N/A</stp>
        <tr r="N54" s="1"/>
      </tp>
    </main>
    <main first="esrtd">
      <tp t="s">
        <v/>
        <stp/>
        <stp>WDF 25!-IEU</stp>
        <stp>Block Volume</stp>
        <tr r="O1802" s="5"/>
      </tp>
      <tp t="s">
        <v/>
        <stp/>
        <stp>WDF 15!-IEU</stp>
        <stp>Block Volume</stp>
        <tr r="O1792" s="5"/>
      </tp>
    </main>
    <main first="ice.rtd">
      <tp>
        <v>35</v>
        <stp/>
        <stp>141587M10:LstBlkVol</stp>
        <tr r="L51" s="5"/>
      </tp>
      <tp t="s">
        <v/>
        <stp/>
        <stp>141587M20:LstBlkVol</stp>
        <tr r="L61" s="5"/>
      </tp>
    </main>
    <main first="esrtd">
      <tp t="s">
        <v/>
        <stp/>
        <stp>WHK 29!-IEU</stp>
        <stp>Block Volume</stp>
        <tr r="O1946" s="5"/>
      </tp>
      <tp t="s">
        <v/>
        <stp/>
        <stp>WHK 19!-IEU</stp>
        <stp>Block Volume</stp>
        <tr r="O1936" s="5"/>
      </tp>
    </main>
    <main first="bofaddin.rtdserver">
      <tp>
        <v>0.23</v>
        <stp/>
        <stp>BDP|14824133115659970661|222</stp>
        <stp>CON9COQ9 Comdty</stp>
        <stp>ASK</stp>
        <stp>Fill=#N/A</stp>
        <tr r="O54" s="1"/>
      </tp>
    </main>
    <main first="esrtd">
      <tp t="s">
        <v/>
        <stp/>
        <stp>TDL 15!-IEU</stp>
        <stp>Block Volume</stp>
        <tr r="O1827" s="5"/>
      </tp>
      <tp t="s">
        <v/>
        <stp/>
        <stp>TDL 25!-IEU</stp>
        <stp>Block Volume</stp>
        <tr r="O1837" s="5"/>
      </tp>
    </main>
    <main first="bofaddin.rtdserver">
      <tp t="s">
        <v>#N/A</v>
        <stp/>
        <stp>BDP|16426871140293142098|222</stp>
        <stp>CLZ9CLF0 Comdty</stp>
        <stp>BID</stp>
        <stp>Fill=#N/A</stp>
        <tr r="N59" s="1"/>
      </tp>
    </main>
    <main first="ice.rtd">
      <tp>
        <v>0</v>
        <stp/>
        <stp>15061297MM8:Vol</stp>
        <tr r="N1691" s="5"/>
      </tp>
      <tp>
        <v>0</v>
        <stp/>
        <stp>15061297MM9:Vol</stp>
        <tr r="N1692" s="5"/>
      </tp>
      <tp>
        <v>0</v>
        <stp/>
        <stp>15061297MM4:Vol</stp>
        <tr r="N1687" s="5"/>
      </tp>
      <tp>
        <v>0</v>
        <stp/>
        <stp>15061297MM5:Vol</stp>
        <tr r="N1688" s="5"/>
      </tp>
      <tp>
        <v>0</v>
        <stp/>
        <stp>15061297MM6:Vol</stp>
        <tr r="N1689" s="5"/>
      </tp>
      <tp>
        <v>0</v>
        <stp/>
        <stp>15061297MM7:Vol</stp>
        <tr r="N1690" s="5"/>
      </tp>
      <tp>
        <v>0</v>
        <stp/>
        <stp>15061297MM0:Vol</stp>
        <tr r="N1683" s="5"/>
      </tp>
      <tp>
        <v>0</v>
        <stp/>
        <stp>15061297MM1:Vol</stp>
        <tr r="N1684" s="5"/>
      </tp>
      <tp>
        <v>0</v>
        <stp/>
        <stp>15061297MM2:Vol</stp>
        <tr r="N1685" s="5"/>
      </tp>
      <tp>
        <v>0</v>
        <stp/>
        <stp>15061297MM3:Vol</stp>
        <tr r="N1686" s="5"/>
      </tp>
      <tp t="s">
        <v/>
        <stp/>
        <stp>1517M16:LstBlkVol</stp>
        <tr r="L19" s="5"/>
      </tp>
      <tp t="s">
        <v>Invalid Market: 2044823525M22</v>
        <stp/>
        <stp>2044823525M22:OI</stp>
        <tr r="T1769" s="5"/>
      </tp>
      <tp t="s">
        <v>Invalid Market: 2044823525M21</v>
        <stp/>
        <stp>2044823525M21:OI</stp>
        <tr r="T1768" s="5"/>
      </tp>
      <tp t="s">
        <v>Invalid Market: 2044823525M20</v>
        <stp/>
        <stp>2044823525M20:OI</stp>
        <tr r="T1767" s="5"/>
      </tp>
      <tp t="s">
        <v>Invalid Market: 2044823525M19</v>
        <stp/>
        <stp>2044823525M19:OI</stp>
        <tr r="T1766" s="5"/>
      </tp>
      <tp t="s">
        <v>Invalid Market: 2044823525M18</v>
        <stp/>
        <stp>2044823525M18:OI</stp>
        <tr r="T1765" s="5"/>
      </tp>
      <tp t="s">
        <v>Invalid Market: 2044823525M17</v>
        <stp/>
        <stp>2044823525M17:OI</stp>
        <tr r="T1764" s="5"/>
      </tp>
      <tp t="s">
        <v>Invalid Market: 2044823525M16</v>
        <stp/>
        <stp>2044823525M16:OI</stp>
        <tr r="T1763" s="5"/>
      </tp>
      <tp t="s">
        <v>Invalid Market: 2044823525M15</v>
        <stp/>
        <stp>2044823525M15:OI</stp>
        <tr r="T1762" s="5"/>
      </tp>
      <tp>
        <v>1030</v>
        <stp/>
        <stp>2044823525M14:OI</stp>
        <tr r="T1761" s="5"/>
      </tp>
      <tp>
        <v>1030</v>
        <stp/>
        <stp>2044823525M13:OI</stp>
        <tr r="T1760" s="5"/>
      </tp>
      <tp>
        <v>1030</v>
        <stp/>
        <stp>2044823525M12:OI</stp>
        <tr r="T1759" s="5"/>
      </tp>
      <tp>
        <v>1230</v>
        <stp/>
        <stp>2044823525M11:OI</stp>
        <tr r="T1758" s="5"/>
      </tp>
      <tp>
        <v>1230</v>
        <stp/>
        <stp>2044823525M10:OI</stp>
        <tr r="T1757" s="5"/>
      </tp>
      <tp t="s">
        <v/>
        <stp/>
        <stp>5162M11:LstBlkVol</stp>
        <tr r="L780" s="5"/>
      </tp>
      <tp t="s">
        <v/>
        <stp/>
        <stp>5162M21:LstBlkVol</stp>
        <tr r="L790" s="5"/>
      </tp>
      <tp t="s">
        <v/>
        <stp/>
        <stp>5162M17:LstBlkPrc</stp>
        <tr r="K786" s="5"/>
      </tp>
      <tp t="s">
        <v/>
        <stp/>
        <stp>1517M10:LstBlkPrc</stp>
        <tr r="K13" s="5"/>
      </tp>
      <tp t="s">
        <v/>
        <stp/>
        <stp>1517M20:LstBlkPrc</stp>
        <tr r="K23" s="5"/>
      </tp>
      <tp t="s">
        <v/>
        <stp/>
        <stp>5162M17:BstHitPrc</stp>
        <tr r="G786" s="5"/>
      </tp>
    </main>
    <main first="bofaddin.rtdserver">
      <tp t="s">
        <v>#N/A Real Time</v>
        <stp/>
        <stp>BDP|7200000048829572550|22</stp>
        <stp>QSQ6C 2000.00 Comdty</stp>
        <stp>GAMMA_LAST_RT</stp>
        <tr r="K52" s="23"/>
        <tr r="K54" s="23"/>
        <tr r="K82" s="23"/>
      </tp>
    </main>
    <main first="ice.rtd">
      <tp t="s">
        <v/>
        <stp/>
        <stp>1517M20:BstHitPrc</stp>
        <tr r="G23" s="5"/>
      </tp>
      <tp t="s">
        <v/>
        <stp/>
        <stp>1517M10:BstHitPrc</stp>
        <tr r="G13" s="5"/>
      </tp>
      <tp t="s">
        <v/>
        <stp/>
        <stp>57179020M6:BstLiftPrc</stp>
        <tr r="H1553" s="5"/>
      </tp>
      <tp t="s">
        <v/>
        <stp/>
        <stp>57179020M7:BstLiftPrc</stp>
        <tr r="H1554" s="5"/>
      </tp>
      <tp t="s">
        <v/>
        <stp/>
        <stp>57179020M4:BstLiftPrc</stp>
        <tr r="H1551" s="5"/>
      </tp>
      <tp t="s">
        <v/>
        <stp/>
        <stp>57179020M5:BstLiftPrc</stp>
        <tr r="H1552" s="5"/>
      </tp>
      <tp t="s">
        <v/>
        <stp/>
        <stp>57179020M2:BstLiftPrc</stp>
        <tr r="H1549" s="5"/>
      </tp>
      <tp t="s">
        <v/>
        <stp/>
        <stp>57179020M3:BstLiftPrc</stp>
        <tr r="H1550" s="5"/>
      </tp>
      <tp t="s">
        <v/>
        <stp/>
        <stp>57179020M0:BstLiftPrc</stp>
        <tr r="H1547" s="5"/>
      </tp>
      <tp t="s">
        <v/>
        <stp/>
        <stp>57179020M1:BstLiftPrc</stp>
        <tr r="H1548" s="5"/>
      </tp>
      <tp t="s">
        <v/>
        <stp/>
        <stp>57179020M8:BstLiftPrc</stp>
        <tr r="H1555" s="5"/>
      </tp>
      <tp t="s">
        <v/>
        <stp/>
        <stp>57179020M9:BstLiftPrc</stp>
        <tr r="H1556" s="5"/>
      </tp>
      <tp t="s">
        <v/>
        <stp/>
        <stp>57179020Y0:BstLiftPrc</stp>
        <tr r="H1580" s="5"/>
      </tp>
      <tp t="s">
        <v>Invalid Market: 57179020Y1</v>
        <stp/>
        <stp>57179020Y1:BstLiftPrc</stp>
        <tr r="H1581" s="5"/>
      </tp>
      <tp t="s">
        <v>Invalid Market: 57179020Q6</v>
        <stp/>
        <stp>57179020Q6:BstLiftPrc</stp>
        <tr r="H1578" s="5"/>
      </tp>
      <tp t="s">
        <v>Invalid Market: 57179020Q7</v>
        <stp/>
        <stp>57179020Q7:BstLiftPrc</stp>
        <tr r="H1579" s="5"/>
      </tp>
      <tp t="s">
        <v/>
        <stp/>
        <stp>57179020Q4:BstLiftPrc</stp>
        <tr r="H1576" s="5"/>
      </tp>
      <tp t="s">
        <v>Invalid Market: 57179020Q5</v>
        <stp/>
        <stp>57179020Q5:BstLiftPrc</stp>
        <tr r="H1577" s="5"/>
      </tp>
      <tp t="s">
        <v/>
        <stp/>
        <stp>57179020Q2:BstLiftPrc</stp>
        <tr r="H1574" s="5"/>
      </tp>
      <tp t="s">
        <v/>
        <stp/>
        <stp>57179020Q3:BstLiftPrc</stp>
        <tr r="H1575" s="5"/>
      </tp>
      <tp t="s">
        <v/>
        <stp/>
        <stp>57179020Q0:BstLiftPrc</stp>
        <tr r="H1572" s="5"/>
      </tp>
      <tp t="s">
        <v/>
        <stp/>
        <stp>57179020Q1:BstLiftPrc</stp>
        <tr r="H1573" s="5"/>
      </tp>
      <tp>
        <v>0</v>
        <stp/>
        <stp>18851683M15:Vol</stp>
        <tr r="N208" s="5"/>
      </tp>
      <tp>
        <v>0</v>
        <stp/>
        <stp>18901687M14:Vol</stp>
        <tr r="N321" s="5"/>
      </tp>
      <tp>
        <v>0</v>
        <stp/>
        <stp>18871685M15:Vol</stp>
        <tr r="N436" s="5"/>
      </tp>
      <tp>
        <v>0</v>
        <stp/>
        <stp>18851683M14:Vol</stp>
        <tr r="N207" s="5"/>
      </tp>
      <tp>
        <v>0</v>
        <stp/>
        <stp>18901687M15:Vol</stp>
        <tr r="N322" s="5"/>
      </tp>
      <tp>
        <v>0</v>
        <stp/>
        <stp>18871685M14:Vol</stp>
        <tr r="N435" s="5"/>
      </tp>
      <tp>
        <v>0</v>
        <stp/>
        <stp>18851683M17:Vol</stp>
        <tr r="N210" s="5"/>
      </tp>
      <tp>
        <v>0</v>
        <stp/>
        <stp>18901687M16:Vol</stp>
        <tr r="N323" s="5"/>
      </tp>
      <tp>
        <v>0</v>
        <stp/>
        <stp>18871685M17:Vol</stp>
        <tr r="N438" s="5"/>
      </tp>
      <tp>
        <v>0</v>
        <stp/>
        <stp>18851683M16:Vol</stp>
        <tr r="N209" s="5"/>
      </tp>
      <tp>
        <v>0</v>
        <stp/>
        <stp>18901687M17:Vol</stp>
        <tr r="N324" s="5"/>
      </tp>
      <tp>
        <v>0</v>
        <stp/>
        <stp>18871685M16:Vol</stp>
        <tr r="N437" s="5"/>
      </tp>
      <tp>
        <v>0</v>
        <stp/>
        <stp>18851683M11:Vol</stp>
        <tr r="N204" s="5"/>
      </tp>
      <tp>
        <v>0</v>
        <stp/>
        <stp>18901687M10:Vol</stp>
        <tr r="N317" s="5"/>
      </tp>
      <tp>
        <v>0</v>
        <stp/>
        <stp>18871685M11:Vol</stp>
        <tr r="N432" s="5"/>
      </tp>
      <tp>
        <v>0</v>
        <stp/>
        <stp>18851683M10:Vol</stp>
        <tr r="N203" s="5"/>
      </tp>
      <tp>
        <v>0</v>
        <stp/>
        <stp>18901687M11:Vol</stp>
        <tr r="N318" s="5"/>
      </tp>
      <tp>
        <v>0</v>
        <stp/>
        <stp>18871685M10:Vol</stp>
        <tr r="N431" s="5"/>
      </tp>
      <tp>
        <v>0</v>
        <stp/>
        <stp>18851683M13:Vol</stp>
        <tr r="N206" s="5"/>
      </tp>
      <tp>
        <v>0</v>
        <stp/>
        <stp>18901687M12:Vol</stp>
        <tr r="N319" s="5"/>
      </tp>
      <tp>
        <v>0</v>
        <stp/>
        <stp>18871685M13:Vol</stp>
        <tr r="N434" s="5"/>
      </tp>
      <tp>
        <v>0</v>
        <stp/>
        <stp>18851683M12:Vol</stp>
        <tr r="N205" s="5"/>
      </tp>
      <tp>
        <v>0</v>
        <stp/>
        <stp>18901687M13:Vol</stp>
        <tr r="N320" s="5"/>
      </tp>
      <tp>
        <v>0</v>
        <stp/>
        <stp>18871685M12:Vol</stp>
        <tr r="N433" s="5"/>
      </tp>
      <tp>
        <v>0</v>
        <stp/>
        <stp>18851683M19:Vol</stp>
        <tr r="N212" s="5"/>
      </tp>
      <tp>
        <v>0</v>
        <stp/>
        <stp>18901687M18:Vol</stp>
        <tr r="N325" s="5"/>
      </tp>
      <tp>
        <v>0</v>
        <stp/>
        <stp>18871685M19:Vol</stp>
        <tr r="N440" s="5"/>
      </tp>
      <tp>
        <v>0</v>
        <stp/>
        <stp>18851683M18:Vol</stp>
        <tr r="N211" s="5"/>
      </tp>
      <tp>
        <v>0</v>
        <stp/>
        <stp>18901687M19:Vol</stp>
        <tr r="N326" s="5"/>
      </tp>
      <tp>
        <v>0</v>
        <stp/>
        <stp>18871685M18:Vol</stp>
        <tr r="N439" s="5"/>
      </tp>
      <tp>
        <v>0</v>
        <stp/>
        <stp>18901687M24:Vol</stp>
        <tr r="N331" s="5"/>
      </tp>
      <tp>
        <v>0</v>
        <stp/>
        <stp>18851683M24:Vol</stp>
        <tr r="N217" s="5"/>
      </tp>
      <tp>
        <v>0</v>
        <stp/>
        <stp>18871685M24:Vol</stp>
        <tr r="N445" s="5"/>
      </tp>
      <tp>
        <v>0</v>
        <stp/>
        <stp>18851683M21:Vol</stp>
        <tr r="N214" s="5"/>
      </tp>
      <tp>
        <v>0</v>
        <stp/>
        <stp>18901687M20:Vol</stp>
        <tr r="N327" s="5"/>
      </tp>
      <tp>
        <v>0</v>
        <stp/>
        <stp>18871685M21:Vol</stp>
        <tr r="N442" s="5"/>
      </tp>
      <tp>
        <v>0</v>
        <stp/>
        <stp>18851683M20:Vol</stp>
        <tr r="N213" s="5"/>
      </tp>
      <tp>
        <v>0</v>
        <stp/>
        <stp>18901687M21:Vol</stp>
        <tr r="N328" s="5"/>
      </tp>
      <tp>
        <v>0</v>
        <stp/>
        <stp>18871685M20:Vol</stp>
        <tr r="N441" s="5"/>
      </tp>
      <tp>
        <v>0</v>
        <stp/>
        <stp>18851683M23:Vol</stp>
        <tr r="N216" s="5"/>
      </tp>
      <tp>
        <v>0</v>
        <stp/>
        <stp>18901687M22:Vol</stp>
        <tr r="N329" s="5"/>
      </tp>
      <tp>
        <v>0</v>
        <stp/>
        <stp>18871685M23:Vol</stp>
        <tr r="N444" s="5"/>
      </tp>
      <tp>
        <v>0</v>
        <stp/>
        <stp>18851683M22:Vol</stp>
        <tr r="N215" s="5"/>
      </tp>
      <tp>
        <v>0</v>
        <stp/>
        <stp>18901687M23:Vol</stp>
        <tr r="N330" s="5"/>
      </tp>
      <tp>
        <v>0</v>
        <stp/>
        <stp>18871685M22:Vol</stp>
        <tr r="N443" s="5"/>
      </tp>
      <tp t="s">
        <v>FOS</v>
        <stp/>
        <stp>266M24:PCC</stp>
        <tr r="B945" s="5"/>
      </tp>
      <tp t="s">
        <v>FOS</v>
        <stp/>
        <stp>266M20:PCC</stp>
        <tr r="B941" s="5"/>
      </tp>
      <tp t="s">
        <v>FOS</v>
        <stp/>
        <stp>266M21:PCC</stp>
        <tr r="B942" s="5"/>
      </tp>
      <tp t="s">
        <v>FOS</v>
        <stp/>
        <stp>266M22:PCC</stp>
        <tr r="B943" s="5"/>
      </tp>
      <tp t="s">
        <v>FOS</v>
        <stp/>
        <stp>266M23:PCC</stp>
        <tr r="B944" s="5"/>
      </tp>
      <tp>
        <v>0</v>
        <stp/>
        <stp>32613992M18:Vol</stp>
        <tr r="N1243" s="5"/>
      </tp>
      <tp>
        <v>0</v>
        <stp/>
        <stp>32623993M18:Vol</stp>
        <tr r="N2008" s="5"/>
      </tp>
      <tp>
        <v>0</v>
        <stp/>
        <stp>32613992M19:Vol</stp>
        <tr r="N1244" s="5"/>
      </tp>
      <tp>
        <v>0</v>
        <stp/>
        <stp>32623993M19:Vol</stp>
        <tr r="N2009" s="5"/>
      </tp>
      <tp>
        <v>0</v>
        <stp/>
        <stp>32613992M12:Vol</stp>
        <tr r="N1237" s="5"/>
      </tp>
      <tp>
        <v>0</v>
        <stp/>
        <stp>32623993M12:Vol</stp>
        <tr r="N2002" s="5"/>
      </tp>
      <tp>
        <v>0</v>
        <stp/>
        <stp>32613992M13:Vol</stp>
        <tr r="N1238" s="5"/>
      </tp>
      <tp>
        <v>0</v>
        <stp/>
        <stp>32623993M13:Vol</stp>
        <tr r="N2003" s="5"/>
      </tp>
      <tp>
        <v>0</v>
        <stp/>
        <stp>32613992M10:Vol</stp>
        <tr r="N1235" s="5"/>
      </tp>
      <tp>
        <v>0</v>
        <stp/>
        <stp>32623993M10:Vol</stp>
        <tr r="N2000" s="5"/>
      </tp>
      <tp>
        <v>0</v>
        <stp/>
        <stp>32613992M11:Vol</stp>
        <tr r="N1236" s="5"/>
      </tp>
      <tp>
        <v>0</v>
        <stp/>
        <stp>32623993M11:Vol</stp>
        <tr r="N2001" s="5"/>
      </tp>
      <tp>
        <v>0</v>
        <stp/>
        <stp>32613992M16:Vol</stp>
        <tr r="N1241" s="5"/>
      </tp>
      <tp>
        <v>0</v>
        <stp/>
        <stp>32623993M16:Vol</stp>
        <tr r="N2006" s="5"/>
      </tp>
      <tp>
        <v>0</v>
        <stp/>
        <stp>32613992M17:Vol</stp>
        <tr r="N1242" s="5"/>
      </tp>
      <tp>
        <v>0</v>
        <stp/>
        <stp>32623993M17:Vol</stp>
        <tr r="N2007" s="5"/>
      </tp>
      <tp>
        <v>0</v>
        <stp/>
        <stp>32613992M14:Vol</stp>
        <tr r="N1239" s="5"/>
      </tp>
      <tp>
        <v>0</v>
        <stp/>
        <stp>32623993M14:Vol</stp>
        <tr r="N2004" s="5"/>
      </tp>
      <tp>
        <v>0</v>
        <stp/>
        <stp>32613992M15:Vol</stp>
        <tr r="N1240" s="5"/>
      </tp>
      <tp>
        <v>0</v>
        <stp/>
        <stp>32623993M15:Vol</stp>
        <tr r="N2005" s="5"/>
      </tp>
      <tp t="s">
        <v>FOS</v>
        <stp/>
        <stp>266M14:PCC</stp>
        <tr r="B935" s="5"/>
      </tp>
      <tp t="s">
        <v>FOS</v>
        <stp/>
        <stp>266M15:PCC</stp>
        <tr r="B936" s="5"/>
      </tp>
      <tp t="s">
        <v>FOS</v>
        <stp/>
        <stp>266M16:PCC</stp>
        <tr r="B937" s="5"/>
      </tp>
      <tp t="s">
        <v>FOS</v>
        <stp/>
        <stp>266M17:PCC</stp>
        <tr r="B938" s="5"/>
      </tp>
      <tp t="s">
        <v>FOS</v>
        <stp/>
        <stp>266M10:PCC</stp>
        <tr r="B931" s="5"/>
      </tp>
      <tp t="s">
        <v>FOS</v>
        <stp/>
        <stp>266M11:PCC</stp>
        <tr r="B932" s="5"/>
      </tp>
      <tp t="s">
        <v>FOS</v>
        <stp/>
        <stp>266M12:PCC</stp>
        <tr r="B933" s="5"/>
      </tp>
      <tp t="s">
        <v>FOS</v>
        <stp/>
        <stp>266M13:PCC</stp>
        <tr r="B934" s="5"/>
      </tp>
      <tp t="s">
        <v>FOS</v>
        <stp/>
        <stp>266M18:PCC</stp>
        <tr r="B939" s="5"/>
      </tp>
      <tp t="s">
        <v>FOS</v>
        <stp/>
        <stp>266M19:PCC</stp>
        <tr r="B940" s="5"/>
      </tp>
      <tp>
        <v>0</v>
        <stp/>
        <stp>32613992M22:Vol</stp>
        <tr r="N1247" s="5"/>
      </tp>
      <tp>
        <v>0</v>
        <stp/>
        <stp>32623993M22:Vol</stp>
        <tr r="N2012" s="5"/>
      </tp>
      <tp>
        <v>0</v>
        <stp/>
        <stp>32613992M23:Vol</stp>
        <tr r="N1248" s="5"/>
      </tp>
      <tp>
        <v>0</v>
        <stp/>
        <stp>32623993M23:Vol</stp>
        <tr r="N2013" s="5"/>
      </tp>
      <tp>
        <v>0</v>
        <stp/>
        <stp>32613992M20:Vol</stp>
        <tr r="N1245" s="5"/>
      </tp>
      <tp>
        <v>0</v>
        <stp/>
        <stp>32623993M20:Vol</stp>
        <tr r="N2010" s="5"/>
      </tp>
      <tp>
        <v>0</v>
        <stp/>
        <stp>32613992M21:Vol</stp>
        <tr r="N1246" s="5"/>
      </tp>
      <tp>
        <v>0</v>
        <stp/>
        <stp>32623993M21:Vol</stp>
        <tr r="N2011" s="5"/>
      </tp>
      <tp>
        <v>0</v>
        <stp/>
        <stp>32613992M24:Vol</stp>
        <tr r="N1249" s="5"/>
      </tp>
      <tp>
        <v>0</v>
        <stp/>
        <stp>32623993M24:Vol</stp>
        <tr r="N2014" s="5"/>
      </tp>
      <tp>
        <v>0</v>
        <stp/>
        <stp>15091310M14:Vol</stp>
        <tr r="N1391" s="5"/>
      </tp>
      <tp>
        <v>0</v>
        <stp/>
        <stp>30813691M14:Vol</stp>
        <tr r="N1967" s="5"/>
      </tp>
      <tp>
        <v>0</v>
        <stp/>
        <stp>15091310M15:Vol</stp>
        <tr r="N1392" s="5"/>
      </tp>
      <tp>
        <v>0</v>
        <stp/>
        <stp>30813691M15:Vol</stp>
        <tr r="N1968" s="5"/>
      </tp>
      <tp>
        <v>0</v>
        <stp/>
        <stp>30793693M19:Vol</stp>
        <tr r="N902" s="5"/>
      </tp>
      <tp>
        <v>0</v>
        <stp/>
        <stp>15091310M16:Vol</stp>
        <tr r="N1393" s="5"/>
      </tp>
      <tp>
        <v>0</v>
        <stp/>
        <stp>30813691M16:Vol</stp>
        <tr r="N1969" s="5"/>
      </tp>
      <tp>
        <v>0</v>
        <stp/>
        <stp>30793693M18:Vol</stp>
        <tr r="N901" s="5"/>
      </tp>
      <tp>
        <v>0</v>
        <stp/>
        <stp>15091310M17:Vol</stp>
        <tr r="N1394" s="5"/>
      </tp>
      <tp>
        <v>0</v>
        <stp/>
        <stp>30813691M17:Vol</stp>
        <tr r="N1970" s="5"/>
      </tp>
      <tp>
        <v>0</v>
        <stp/>
        <stp>15091310M10:Vol</stp>
        <tr r="N1387" s="5"/>
      </tp>
      <tp>
        <v>0</v>
        <stp/>
        <stp>30813691M10:Vol</stp>
        <tr r="N1963" s="5"/>
      </tp>
      <tp>
        <v>0</v>
        <stp/>
        <stp>15091310M11:Vol</stp>
        <tr r="N1388" s="5"/>
      </tp>
      <tp>
        <v>0</v>
        <stp/>
        <stp>30813691M11:Vol</stp>
        <tr r="N1964" s="5"/>
      </tp>
      <tp>
        <v>0</v>
        <stp/>
        <stp>15091310M12:Vol</stp>
        <tr r="N1389" s="5"/>
      </tp>
      <tp>
        <v>0</v>
        <stp/>
        <stp>30813691M12:Vol</stp>
        <tr r="N1965" s="5"/>
      </tp>
      <tp>
        <v>0</v>
        <stp/>
        <stp>15091310M13:Vol</stp>
        <tr r="N1390" s="5"/>
      </tp>
      <tp>
        <v>0</v>
        <stp/>
        <stp>30813691M13:Vol</stp>
        <tr r="N1966" s="5"/>
      </tp>
      <tp>
        <v>0</v>
        <stp/>
        <stp>30793693M13:Vol</stp>
        <tr r="N896" s="5"/>
      </tp>
      <tp>
        <v>0</v>
        <stp/>
        <stp>30793693M12:Vol</stp>
        <tr r="N895" s="5"/>
      </tp>
      <tp>
        <v>0</v>
        <stp/>
        <stp>30793693M11:Vol</stp>
        <tr r="N894" s="5"/>
      </tp>
      <tp>
        <v>0</v>
        <stp/>
        <stp>30793693M10:Vol</stp>
        <tr r="N893" s="5"/>
      </tp>
      <tp>
        <v>0</v>
        <stp/>
        <stp>30793693M17:Vol</stp>
        <tr r="N900" s="5"/>
      </tp>
      <tp>
        <v>0</v>
        <stp/>
        <stp>15091310M18:Vol</stp>
        <tr r="N1395" s="5"/>
      </tp>
      <tp>
        <v>0</v>
        <stp/>
        <stp>30813691M18:Vol</stp>
        <tr r="N1971" s="5"/>
      </tp>
      <tp>
        <v>0</v>
        <stp/>
        <stp>30793693M16:Vol</stp>
        <tr r="N899" s="5"/>
      </tp>
      <tp>
        <v>0</v>
        <stp/>
        <stp>15091310M19:Vol</stp>
        <tr r="N1396" s="5"/>
      </tp>
      <tp>
        <v>0</v>
        <stp/>
        <stp>30813691M19:Vol</stp>
        <tr r="N1972" s="5"/>
      </tp>
      <tp>
        <v>0</v>
        <stp/>
        <stp>30793693M15:Vol</stp>
        <tr r="N898" s="5"/>
      </tp>
      <tp>
        <v>0</v>
        <stp/>
        <stp>30793693M14:Vol</stp>
        <tr r="N897" s="5"/>
      </tp>
      <tp>
        <v>0</v>
        <stp/>
        <stp>15091310M24:Vol</stp>
        <tr r="N1401" s="5"/>
      </tp>
      <tp>
        <v>0</v>
        <stp/>
        <stp>30813691M24:Vol</stp>
        <tr r="N1977" s="5"/>
      </tp>
      <tp>
        <v>0</v>
        <stp/>
        <stp>15091310M20:Vol</stp>
        <tr r="N1397" s="5"/>
      </tp>
      <tp>
        <v>0</v>
        <stp/>
        <stp>30813691M20:Vol</stp>
        <tr r="N1973" s="5"/>
      </tp>
      <tp>
        <v>0</v>
        <stp/>
        <stp>15091310M21:Vol</stp>
        <tr r="N1398" s="5"/>
      </tp>
      <tp>
        <v>0</v>
        <stp/>
        <stp>30813691M21:Vol</stp>
        <tr r="N1974" s="5"/>
      </tp>
      <tp>
        <v>0</v>
        <stp/>
        <stp>15091310M22:Vol</stp>
        <tr r="N1399" s="5"/>
      </tp>
      <tp>
        <v>0</v>
        <stp/>
        <stp>30813691M22:Vol</stp>
        <tr r="N1975" s="5"/>
      </tp>
      <tp>
        <v>0</v>
        <stp/>
        <stp>15091310M23:Vol</stp>
        <tr r="N1400" s="5"/>
      </tp>
      <tp>
        <v>0</v>
        <stp/>
        <stp>30813691M23:Vol</stp>
        <tr r="N1976" s="5"/>
      </tp>
      <tp>
        <v>0</v>
        <stp/>
        <stp>30793693M23:Vol</stp>
        <tr r="N906" s="5"/>
      </tp>
      <tp>
        <v>0</v>
        <stp/>
        <stp>30793693M22:Vol</stp>
        <tr r="N905" s="5"/>
      </tp>
      <tp>
        <v>0</v>
        <stp/>
        <stp>30793693M21:Vol</stp>
        <tr r="N904" s="5"/>
      </tp>
      <tp>
        <v>0</v>
        <stp/>
        <stp>30793693M20:Vol</stp>
        <tr r="N903" s="5"/>
      </tp>
      <tp>
        <v>0</v>
        <stp/>
        <stp>30793693M24:Vol</stp>
        <tr r="N907" s="5"/>
      </tp>
      <tp>
        <v>0</v>
        <stp/>
        <stp>16331513M17:Vol</stp>
        <tr r="N1432" s="5"/>
      </tp>
      <tp>
        <v>0</v>
        <stp/>
        <stp>16341514M17:Vol</stp>
        <tr r="N1470" s="5"/>
      </tp>
      <tp>
        <v>0</v>
        <stp/>
        <stp>16351515M17:Vol</stp>
        <tr r="N1508" s="5"/>
      </tp>
      <tp>
        <v>0</v>
        <stp/>
        <stp>16331513M16:Vol</stp>
        <tr r="N1431" s="5"/>
      </tp>
      <tp>
        <v>0</v>
        <stp/>
        <stp>16341514M16:Vol</stp>
        <tr r="N1469" s="5"/>
      </tp>
      <tp>
        <v>0</v>
        <stp/>
        <stp>16351515M16:Vol</stp>
        <tr r="N1507" s="5"/>
      </tp>
      <tp>
        <v>0</v>
        <stp/>
        <stp>16331513M15:Vol</stp>
        <tr r="N1430" s="5"/>
      </tp>
      <tp>
        <v>0</v>
        <stp/>
        <stp>16341514M15:Vol</stp>
        <tr r="N1468" s="5"/>
      </tp>
      <tp>
        <v>0</v>
        <stp/>
        <stp>16351515M15:Vol</stp>
        <tr r="N1506" s="5"/>
      </tp>
      <tp>
        <v>0</v>
        <stp/>
        <stp>16331513M14:Vol</stp>
        <tr r="N1429" s="5"/>
      </tp>
      <tp>
        <v>0</v>
        <stp/>
        <stp>16341514M14:Vol</stp>
        <tr r="N1467" s="5"/>
      </tp>
      <tp>
        <v>0</v>
        <stp/>
        <stp>16351515M14:Vol</stp>
        <tr r="N1505" s="5"/>
      </tp>
      <tp>
        <v>0</v>
        <stp/>
        <stp>16331513M13:Vol</stp>
        <tr r="N1428" s="5"/>
      </tp>
      <tp>
        <v>0</v>
        <stp/>
        <stp>16341514M13:Vol</stp>
        <tr r="N1466" s="5"/>
      </tp>
      <tp>
        <v>0</v>
        <stp/>
        <stp>16351515M13:Vol</stp>
        <tr r="N1504" s="5"/>
      </tp>
      <tp>
        <v>0</v>
        <stp/>
        <stp>16331513M12:Vol</stp>
        <tr r="N1427" s="5"/>
      </tp>
      <tp>
        <v>0</v>
        <stp/>
        <stp>16341514M12:Vol</stp>
        <tr r="N1465" s="5"/>
      </tp>
      <tp>
        <v>0</v>
        <stp/>
        <stp>16351515M12:Vol</stp>
        <tr r="N1503" s="5"/>
      </tp>
      <tp>
        <v>0</v>
        <stp/>
        <stp>16331513M11:Vol</stp>
        <tr r="N1426" s="5"/>
      </tp>
      <tp>
        <v>0</v>
        <stp/>
        <stp>16341514M11:Vol</stp>
        <tr r="N1464" s="5"/>
      </tp>
      <tp>
        <v>0</v>
        <stp/>
        <stp>16351515M11:Vol</stp>
        <tr r="N1502" s="5"/>
      </tp>
      <tp>
        <v>0</v>
        <stp/>
        <stp>16331513M10:Vol</stp>
        <tr r="N1425" s="5"/>
      </tp>
      <tp>
        <v>0</v>
        <stp/>
        <stp>16341514M10:Vol</stp>
        <tr r="N1463" s="5"/>
      </tp>
      <tp>
        <v>0</v>
        <stp/>
        <stp>16351515M10:Vol</stp>
        <tr r="N1501" s="5"/>
      </tp>
      <tp>
        <v>0</v>
        <stp/>
        <stp>16331513M19:Vol</stp>
        <tr r="N1434" s="5"/>
      </tp>
      <tp>
        <v>0</v>
        <stp/>
        <stp>16341514M19:Vol</stp>
        <tr r="N1472" s="5"/>
      </tp>
      <tp>
        <v>0</v>
        <stp/>
        <stp>16351515M19:Vol</stp>
        <tr r="N1510" s="5"/>
      </tp>
      <tp>
        <v>0</v>
        <stp/>
        <stp>16331513M18:Vol</stp>
        <tr r="N1433" s="5"/>
      </tp>
      <tp>
        <v>0</v>
        <stp/>
        <stp>16341514M18:Vol</stp>
        <tr r="N1471" s="5"/>
      </tp>
      <tp>
        <v>0</v>
        <stp/>
        <stp>16351515M18:Vol</stp>
        <tr r="N1509" s="5"/>
      </tp>
      <tp>
        <v>0</v>
        <stp/>
        <stp>16331513M24:Vol</stp>
        <tr r="N1439" s="5"/>
      </tp>
      <tp>
        <v>0</v>
        <stp/>
        <stp>16341514M24:Vol</stp>
        <tr r="N1477" s="5"/>
      </tp>
      <tp>
        <v>0</v>
        <stp/>
        <stp>16351515M24:Vol</stp>
        <tr r="N1515" s="5"/>
      </tp>
      <tp>
        <v>0</v>
        <stp/>
        <stp>16331513M23:Vol</stp>
        <tr r="N1438" s="5"/>
      </tp>
      <tp>
        <v>0</v>
        <stp/>
        <stp>16341514M23:Vol</stp>
        <tr r="N1476" s="5"/>
      </tp>
      <tp>
        <v>0</v>
        <stp/>
        <stp>16351515M23:Vol</stp>
        <tr r="N1514" s="5"/>
      </tp>
      <tp>
        <v>0</v>
        <stp/>
        <stp>16331513M22:Vol</stp>
        <tr r="N1437" s="5"/>
      </tp>
      <tp>
        <v>0</v>
        <stp/>
        <stp>16341514M22:Vol</stp>
        <tr r="N1475" s="5"/>
      </tp>
      <tp>
        <v>0</v>
        <stp/>
        <stp>16351515M22:Vol</stp>
        <tr r="N1513" s="5"/>
      </tp>
      <tp>
        <v>0</v>
        <stp/>
        <stp>16331513M21:Vol</stp>
        <tr r="N1436" s="5"/>
      </tp>
      <tp>
        <v>0</v>
        <stp/>
        <stp>16341514M21:Vol</stp>
        <tr r="N1474" s="5"/>
      </tp>
      <tp>
        <v>0</v>
        <stp/>
        <stp>16351515M21:Vol</stp>
        <tr r="N1512" s="5"/>
      </tp>
      <tp>
        <v>0</v>
        <stp/>
        <stp>16331513M20:Vol</stp>
        <tr r="N1435" s="5"/>
      </tp>
      <tp>
        <v>0</v>
        <stp/>
        <stp>16341514M20:Vol</stp>
        <tr r="N1473" s="5"/>
      </tp>
      <tp>
        <v>0</v>
        <stp/>
        <stp>16351515M20:Vol</stp>
        <tr r="N1511" s="5"/>
      </tp>
      <tp t="s">
        <v/>
        <stp/>
        <stp>2322725588B0:BstLiftPrc</stp>
        <tr r="H2" s="5"/>
      </tp>
      <tp t="s">
        <v/>
        <stp/>
        <stp>2755828679Q8:BstLiftPrc</stp>
        <tr r="H1030" s="5"/>
      </tp>
      <tp t="s">
        <v/>
        <stp/>
        <stp>2755828679Q7:BstLiftPrc</stp>
        <tr r="H1029" s="5"/>
      </tp>
      <tp t="s">
        <v/>
        <stp/>
        <stp>2755828679Q6:BstLiftPrc</stp>
        <tr r="H1028" s="5"/>
      </tp>
      <tp t="s">
        <v/>
        <stp/>
        <stp>2755828679Q5:BstLiftPrc</stp>
        <tr r="H1027" s="5"/>
      </tp>
      <tp t="s">
        <v/>
        <stp/>
        <stp>2755828679Q4:BstLiftPrc</stp>
        <tr r="H1026" s="5"/>
      </tp>
      <tp t="s">
        <v/>
        <stp/>
        <stp>2755828679Q3:BstLiftPrc</stp>
        <tr r="H1025" s="5"/>
      </tp>
      <tp t="s">
        <v/>
        <stp/>
        <stp>2755828679Q2:BstLiftPrc</stp>
        <tr r="H1024" s="5"/>
      </tp>
      <tp t="s">
        <v/>
        <stp/>
        <stp>2755828679Q1:BstLiftPrc</stp>
        <tr r="H1023" s="5"/>
      </tp>
      <tp t="s">
        <v/>
        <stp/>
        <stp>2755828679Q0:BstLiftPrc</stp>
        <tr r="H1022" s="5"/>
      </tp>
      <tp t="s">
        <v/>
        <stp/>
        <stp>2755828679Y2:BstLiftPrc</stp>
        <tr r="H1033" s="5"/>
      </tp>
      <tp t="s">
        <v/>
        <stp/>
        <stp>2755828679Y1:BstLiftPrc</stp>
        <tr r="H1032" s="5"/>
      </tp>
      <tp t="s">
        <v/>
        <stp/>
        <stp>2755828679Y0:BstLiftPrc</stp>
        <tr r="H1031" s="5"/>
      </tp>
      <tp t="s">
        <v/>
        <stp/>
        <stp>2755828679M9:BstLiftPrc</stp>
        <tr r="H1006" s="5"/>
      </tp>
      <tp t="s">
        <v/>
        <stp/>
        <stp>2755828679M8:BstLiftPrc</stp>
        <tr r="H1005" s="5"/>
      </tp>
      <tp t="s">
        <v/>
        <stp/>
        <stp>2755828679M7:BstLiftPrc</stp>
        <tr r="H1004" s="5"/>
      </tp>
      <tp t="s">
        <v/>
        <stp/>
        <stp>2755828679M6:BstLiftPrc</stp>
        <tr r="H1003" s="5"/>
      </tp>
      <tp t="s">
        <v/>
        <stp/>
        <stp>2755828679M5:BstLiftPrc</stp>
        <tr r="H1002" s="5"/>
      </tp>
      <tp t="s">
        <v/>
        <stp/>
        <stp>2755828679M4:BstLiftPrc</stp>
        <tr r="H1001" s="5"/>
      </tp>
      <tp t="s">
        <v/>
        <stp/>
        <stp>2755828679M3:BstLiftPrc</stp>
        <tr r="H1000" s="5"/>
      </tp>
      <tp t="s">
        <v/>
        <stp/>
        <stp>2755828679M2:BstLiftPrc</stp>
        <tr r="H999" s="5"/>
      </tp>
      <tp t="s">
        <v/>
        <stp/>
        <stp>2755828679M1:BstLiftPrc</stp>
        <tr r="Y1004" s="5"/>
        <tr r="H998" s="5"/>
      </tp>
      <tp t="s">
        <v/>
        <stp/>
        <stp>2755828679M0:BstLiftPrc</stp>
        <tr r="H997" s="5"/>
      </tp>
    </main>
    <main first="ice.rtd">
      <tp t="s">
        <v/>
        <stp/>
        <stp>141587M17:BstHitPrc</stp>
        <tr r="G58" s="5"/>
      </tp>
    </main>
    <main first="esrtd">
      <tp t="s">
        <v/>
        <stp/>
        <stp>NOB N28-IEU</stp>
        <stp>ICE Theoretical Price</stp>
        <tr r="W215" s="5"/>
      </tp>
      <tp t="s">
        <v/>
        <stp/>
        <stp>NBB N28-IEU</stp>
        <stp>ICE Theoretical Price</stp>
        <tr r="W253" s="5"/>
      </tp>
      <tp t="s">
        <v/>
        <stp/>
        <stp>EOB F28-IEU</stp>
        <stp>ICE Theoretical Price</stp>
        <tr r="W323" s="5"/>
      </tp>
      <tp t="s">
        <v/>
        <stp/>
        <stp>NOB M28-IEU</stp>
        <stp>ICE Theoretical Price</stp>
        <tr r="W214" s="5"/>
      </tp>
      <tp t="s">
        <v/>
        <stp/>
        <stp>NBB M28-IEU</stp>
        <stp>ICE Theoretical Price</stp>
        <tr r="W252" s="5"/>
      </tp>
      <tp t="s">
        <v/>
        <stp/>
        <stp>EOB G28-IEU</stp>
        <stp>ICE Theoretical Price</stp>
        <tr r="W324" s="5"/>
      </tp>
      <tp t="s">
        <v/>
        <stp/>
        <stp>BOB G28-IEU</stp>
        <stp>ICE Theoretical Price</stp>
        <tr r="W786" s="5"/>
      </tp>
      <tp t="s">
        <v/>
        <stp/>
        <stp>NOB K28-IEU</stp>
        <stp>ICE Theoretical Price</stp>
        <tr r="W213" s="5"/>
      </tp>
      <tp t="s">
        <v/>
        <stp/>
        <stp>NBB K28-IEU</stp>
        <stp>ICE Theoretical Price</stp>
        <tr r="W251" s="5"/>
      </tp>
      <tp t="s">
        <v/>
        <stp/>
        <stp>PRL U26-IEU</stp>
        <stp>ICE Theoretical Price</stp>
        <tr r="W1377" s="5"/>
      </tp>
      <tp t="s">
        <v/>
        <stp/>
        <stp>BOB F28-IEU</stp>
        <stp>ICE Theoretical Price</stp>
        <tr r="W785" s="5"/>
      </tp>
      <tp t="s">
        <v/>
        <stp/>
        <stp>NOB J28-IEU</stp>
        <stp>ICE Theoretical Price</stp>
        <tr r="W212" s="5"/>
      </tp>
      <tp t="s">
        <v/>
        <stp/>
        <stp>NBB J28-IEU</stp>
        <stp>ICE Theoretical Price</stp>
        <tr r="W250" s="5"/>
      </tp>
      <tp t="s">
        <v/>
        <stp/>
        <stp>AEB F28-IEU</stp>
        <stp>ICE Theoretical Price</stp>
        <tr r="W361" s="5"/>
      </tp>
      <tp t="s">
        <v/>
        <stp/>
        <stp>NOB H28-IEU</stp>
        <stp>ICE Theoretical Price</stp>
        <tr r="W211" s="5"/>
      </tp>
      <tp t="s">
        <v/>
        <stp/>
        <stp>NBB H28-IEU</stp>
        <stp>ICE Theoretical Price</stp>
        <tr r="W249" s="5"/>
      </tp>
      <tp t="s">
        <v/>
        <stp/>
        <stp>AEB G28-IEU</stp>
        <stp>ICE Theoretical Price</stp>
        <tr r="W362" s="5"/>
      </tp>
      <tp t="s">
        <v/>
        <stp/>
        <stp>PRL V26-IEU</stp>
        <stp>ICE Theoretical Price</stp>
        <tr r="W1378" s="5"/>
      </tp>
      <tp t="s">
        <v/>
        <stp/>
        <stp>BOB K28-IEU</stp>
        <stp>ICE Theoretical Price</stp>
        <tr r="W789" s="5"/>
      </tp>
      <tp t="s">
        <v/>
        <stp/>
        <stp>NOB G28-IEU</stp>
        <stp>ICE Theoretical Price</stp>
        <tr r="W210" s="5"/>
      </tp>
      <tp t="s">
        <v/>
        <stp/>
        <stp>NBB G28-IEU</stp>
        <stp>ICE Theoretical Price</stp>
        <tr r="W248" s="5"/>
      </tp>
      <tp t="s">
        <v/>
        <stp/>
        <stp>AEB H28-IEU</stp>
        <stp>ICE Theoretical Price</stp>
        <tr r="W363" s="5"/>
      </tp>
      <tp t="s">
        <v/>
        <stp/>
        <stp>BOB J28-IEU</stp>
        <stp>ICE Theoretical Price</stp>
        <tr r="W788" s="5"/>
      </tp>
      <tp t="s">
        <v/>
        <stp/>
        <stp>EOB M28-IEU</stp>
        <stp>ICE Theoretical Price</stp>
        <tr r="W328" s="5"/>
      </tp>
      <tp t="s">
        <v/>
        <stp/>
        <stp>NOB F28-IEU</stp>
        <stp>ICE Theoretical Price</stp>
        <tr r="W209" s="5"/>
      </tp>
      <tp t="s">
        <v/>
        <stp/>
        <stp>NBB F28-IEU</stp>
        <stp>ICE Theoretical Price</stp>
        <tr r="W247" s="5"/>
      </tp>
      <tp t="s">
        <v/>
        <stp/>
        <stp>PRL X26-IEU</stp>
        <stp>ICE Theoretical Price</stp>
        <tr r="W1379" s="5"/>
      </tp>
      <tp t="s">
        <v/>
        <stp/>
        <stp>EOB N28-IEU</stp>
        <stp>ICE Theoretical Price</stp>
        <tr r="W329" s="5"/>
      </tp>
      <tp t="s">
        <v/>
        <stp/>
        <stp>AEB J28-IEU</stp>
        <stp>ICE Theoretical Price</stp>
        <tr r="W364" s="5"/>
      </tp>
      <tp t="s">
        <v/>
        <stp/>
        <stp>BOB H28-IEU</stp>
        <stp>ICE Theoretical Price</stp>
        <tr r="W787" s="5"/>
      </tp>
      <tp t="s">
        <v/>
        <stp/>
        <stp>AEB K28-IEU</stp>
        <stp>ICE Theoretical Price</stp>
        <tr r="W365" s="5"/>
      </tp>
      <tp t="s">
        <v/>
        <stp/>
        <stp>PRL Z26-IEU</stp>
        <stp>ICE Theoretical Price</stp>
        <tr r="W1380" s="5"/>
      </tp>
      <tp t="s">
        <v/>
        <stp/>
        <stp>EOB H28-IEU</stp>
        <stp>ICE Theoretical Price</stp>
        <tr r="W325" s="5"/>
      </tp>
      <tp t="s">
        <v/>
        <stp/>
        <stp>BOB N28-IEU</stp>
        <stp>ICE Theoretical Price</stp>
        <tr r="W791" s="5"/>
      </tp>
      <tp t="s">
        <v/>
        <stp/>
        <stp>AEB M28-IEU</stp>
        <stp>ICE Theoretical Price</stp>
        <tr r="W366" s="5"/>
      </tp>
      <tp t="s">
        <v/>
        <stp/>
        <stp>BOB M28-IEU</stp>
        <stp>ICE Theoretical Price</stp>
        <tr r="W790" s="5"/>
      </tp>
      <tp t="s">
        <v/>
        <stp/>
        <stp>EOB J28-IEU</stp>
        <stp>ICE Theoretical Price</stp>
        <tr r="W326" s="5"/>
      </tp>
      <tp t="s">
        <v/>
        <stp/>
        <stp>AEB N28-IEU</stp>
        <stp>ICE Theoretical Price</stp>
        <tr r="W367" s="5"/>
      </tp>
      <tp t="s">
        <v/>
        <stp/>
        <stp>EOB K28-IEU</stp>
        <stp>ICE Theoretical Price</stp>
        <tr r="W327" s="5"/>
      </tp>
      <tp t="s">
        <v/>
        <stp/>
        <stp>EOB U28-IEU</stp>
        <stp>ICE Theoretical Price</stp>
        <tr r="W331" s="5"/>
      </tp>
      <tp t="s">
        <v/>
        <stp/>
        <stp>AEB Q28-IEU</stp>
        <stp>ICE Theoretical Price</stp>
        <tr r="W368" s="5"/>
      </tp>
      <tp t="s">
        <v/>
        <stp/>
        <stp>BOB Q28-IEU</stp>
        <stp>ICE Theoretical Price</stp>
        <tr r="W792" s="5"/>
      </tp>
      <tp t="s">
        <v/>
        <stp/>
        <stp>AIL U26-IEU</stp>
        <stp>ICE Theoretical Price</stp>
        <tr r="W1582" s="5"/>
      </tp>
      <tp t="s">
        <v/>
        <stp/>
        <stp>EOB Q28-IEU</stp>
        <stp>ICE Theoretical Price</stp>
        <tr r="W330" s="5"/>
      </tp>
      <tp t="s">
        <v/>
        <stp/>
        <stp>AEB U28-IEU</stp>
        <stp>ICE Theoretical Price</stp>
        <tr r="W369" s="5"/>
      </tp>
      <tp t="s">
        <v/>
        <stp/>
        <stp>AIL V26-IEU</stp>
        <stp>ICE Theoretical Price</stp>
        <tr r="W1583" s="5"/>
      </tp>
      <tp t="s">
        <v/>
        <stp/>
        <stp>BOB U28-IEU</stp>
        <stp>ICE Theoretical Price</stp>
        <tr r="W793" s="5"/>
      </tp>
      <tp t="s">
        <v/>
        <stp/>
        <stp>AIL X26-IEU</stp>
        <stp>ICE Theoretical Price</stp>
        <tr r="W1584" s="5"/>
      </tp>
      <tp t="s">
        <v/>
        <stp/>
        <stp>AIL Z26-IEU</stp>
        <stp>ICE Theoretical Price</stp>
        <tr r="W1585" s="5"/>
      </tp>
      <tp t="s">
        <v/>
        <stp/>
        <stp>NOB U28-IEU</stp>
        <stp>ICE Theoretical Price</stp>
        <tr r="W217" s="5"/>
      </tp>
      <tp t="s">
        <v/>
        <stp/>
        <stp>NBB U28-IEU</stp>
        <stp>ICE Theoretical Price</stp>
        <tr r="W255" s="5"/>
      </tp>
      <tp t="s">
        <v/>
        <stp/>
        <stp>NOB Q28-IEU</stp>
        <stp>ICE Theoretical Price</stp>
        <tr r="W216" s="5"/>
      </tp>
      <tp t="s">
        <v/>
        <stp/>
        <stp>NBB Q28-IEU</stp>
        <stp>ICE Theoretical Price</stp>
        <tr r="W254" s="5"/>
      </tp>
    </main>
    <main first="ice.rtd">
      <tp t="s">
        <v/>
        <stp/>
        <stp>141587M17:LstBlkPrc</stp>
        <tr r="K58" s="5"/>
      </tp>
      <tp t="s">
        <v/>
        <stp/>
        <stp>366531MM8:LstBlkVol</stp>
        <tr r="L1723" s="5"/>
      </tp>
    </main>
    <main first="esrtd">
      <tp t="s">
        <v/>
        <stp/>
        <stp>WDF 24!-IEU</stp>
        <stp>Block Volume</stp>
        <tr r="O1801" s="5"/>
      </tp>
      <tp t="s">
        <v/>
        <stp/>
        <stp>WDF 14!-IEU</stp>
        <stp>Block Volume</stp>
        <tr r="O1791" s="5"/>
      </tp>
      <tp t="s">
        <v/>
        <stp/>
        <stp>WDF Q4!-IEU</stp>
        <stp>Block Volume</stp>
        <tr r="O1811" s="5"/>
      </tp>
    </main>
    <main first="ice.rtd">
      <tp t="s">
        <v/>
        <stp/>
        <stp>141587M11:LstBlkVol</stp>
        <tr r="L52" s="5"/>
      </tp>
      <tp t="s">
        <v/>
        <stp/>
        <stp>141587M21:LstBlkVol</stp>
        <tr r="L62" s="5"/>
      </tp>
    </main>
    <main first="bofaddin.rtdserver">
      <tp t="s">
        <v>#N/A</v>
        <stp/>
        <stp>BDP|18305557981294809765|222</stp>
        <stp>XBN9XBQ9 Comdty</stp>
        <stp>ASK</stp>
        <stp>Fill=#N/A</stp>
        <tr r="R54" s="1"/>
      </tp>
    </main>
    <main first="esrtd">
      <tp t="s">
        <v/>
        <stp/>
        <stp>WHK 28!-IEU</stp>
        <stp>Block Volume</stp>
        <tr r="O1945" s="5"/>
      </tp>
      <tp t="s">
        <v/>
        <stp/>
        <stp>WHK 18!-IEU</stp>
        <stp>Block Volume</stp>
        <tr r="O1935" s="5"/>
      </tp>
      <tp t="s">
        <v/>
        <stp/>
        <stp>TDL 14!-IEU</stp>
        <stp>Block Volume</stp>
        <tr r="O1826" s="5"/>
      </tp>
      <tp t="s">
        <v/>
        <stp/>
        <stp>TDL 24!-IEU</stp>
        <stp>Block Volume</stp>
        <tr r="O1836" s="5"/>
      </tp>
      <tp t="s">
        <v/>
        <stp/>
        <stp>TDL Q4!-IEU</stp>
        <stp>Block Volume</stp>
        <tr r="O1846" s="5"/>
      </tp>
    </main>
    <main first="ice.rtd">
      <tp t="s">
        <v/>
        <stp/>
        <stp>1517M17:LstBlkVol</stp>
        <tr r="L20" s="5"/>
      </tp>
      <tp t="s">
        <v/>
        <stp/>
        <stp>5162M10:LstBlkVol</stp>
        <tr r="L779" s="5"/>
      </tp>
      <tp t="s">
        <v/>
        <stp/>
        <stp>5162M20:LstBlkVol</stp>
        <tr r="L789" s="5"/>
      </tp>
      <tp t="s">
        <v/>
        <stp/>
        <stp>5162M16:LstBlkPrc</stp>
        <tr r="K785" s="5"/>
      </tp>
      <tp t="s">
        <v/>
        <stp/>
        <stp>1517M11:LstBlkPrc</stp>
        <tr r="K14" s="5"/>
      </tp>
      <tp t="s">
        <v/>
        <stp/>
        <stp>1517M21:LstBlkPrc</stp>
        <tr r="K24" s="5"/>
      </tp>
      <tp t="s">
        <v>GST</v>
        <stp/>
        <stp>161913535YY0:PCC</stp>
        <tr r="B2057" s="5"/>
      </tp>
      <tp t="s">
        <v/>
        <stp/>
        <stp>5162M16:BstHitPrc</stp>
        <tr r="G785" s="5"/>
      </tp>
      <tp t="s">
        <v/>
        <stp/>
        <stp>1517M21:BstHitPrc</stp>
        <tr r="G24" s="5"/>
      </tp>
      <tp t="s">
        <v/>
        <stp/>
        <stp>1517M11:BstHitPrc</stp>
        <tr r="G14" s="5"/>
      </tp>
    </main>
    <main first="bofaddin.rtdserver">
      <tp t="s">
        <v>#N/A Real Time</v>
        <stp/>
        <stp>BDP|4796979165921361304|22</stp>
        <stp>QSQ6C 1500.00 Comdty</stp>
        <stp>GAMMA_LAST_RT</stp>
        <tr r="J54" s="23"/>
        <tr r="J52" s="23"/>
        <tr r="J82" s="23"/>
      </tp>
    </main>
    <main first="ice.rtd">
      <tp>
        <v>0</v>
        <stp/>
        <stp>266Y1:OI</stp>
        <tr r="T956" s="5"/>
      </tp>
      <tp>
        <v>0</v>
        <stp/>
        <stp>266Y0:OI</stp>
        <tr r="T955" s="5"/>
      </tp>
      <tp>
        <v>0</v>
        <stp/>
        <stp>266Y2:OI</stp>
        <tr r="T957" s="5"/>
      </tp>
      <tp>
        <v>0</v>
        <stp/>
        <stp>266Q5:OI</stp>
        <tr r="T951" s="5"/>
      </tp>
      <tp>
        <v>0</v>
        <stp/>
        <stp>266Q4:OI</stp>
        <tr r="T950" s="5"/>
      </tp>
      <tp>
        <v>0</v>
        <stp/>
        <stp>266Q7:OI</stp>
        <tr r="T953" s="5"/>
      </tp>
      <tp>
        <v>0</v>
        <stp/>
        <stp>266Q6:OI</stp>
        <tr r="T952" s="5"/>
      </tp>
      <tp>
        <v>0</v>
        <stp/>
        <stp>266Q1:OI</stp>
        <tr r="T947" s="5"/>
      </tp>
      <tp>
        <v>0</v>
        <stp/>
        <stp>266Q0:OI</stp>
        <tr r="T946" s="5"/>
      </tp>
      <tp>
        <v>0</v>
        <stp/>
        <stp>266Q3:OI</stp>
        <tr r="T949" s="5"/>
      </tp>
      <tp>
        <v>0</v>
        <stp/>
        <stp>266Q2:OI</stp>
        <tr r="T948" s="5"/>
      </tp>
      <tp>
        <v>0</v>
        <stp/>
        <stp>266Q8:OI</stp>
        <tr r="T954" s="5"/>
      </tp>
      <tp>
        <v>16</v>
        <stp/>
        <stp>266M5:OI</stp>
        <tr r="T926" s="5"/>
      </tp>
      <tp>
        <v>16</v>
        <stp/>
        <stp>266M4:OI</stp>
        <tr r="T925" s="5"/>
      </tp>
      <tp>
        <v>6</v>
        <stp/>
        <stp>266M7:OI</stp>
        <tr r="T928" s="5"/>
      </tp>
      <tp>
        <v>16</v>
        <stp/>
        <stp>266M6:OI</stp>
        <tr r="T927" s="5"/>
      </tp>
      <tp>
        <v>56</v>
        <stp/>
        <stp>266M1:OI</stp>
        <tr r="T922" s="5"/>
      </tp>
      <tp>
        <v>137</v>
        <stp/>
        <stp>266M0:OI</stp>
        <tr r="T921" s="5"/>
      </tp>
      <tp>
        <v>57</v>
        <stp/>
        <stp>266M3:OI</stp>
        <tr r="T924" s="5"/>
      </tp>
      <tp>
        <v>52</v>
        <stp/>
        <stp>266M2:OI</stp>
        <tr r="T923" s="5"/>
      </tp>
      <tp>
        <v>6</v>
        <stp/>
        <stp>266M9:OI</stp>
        <tr r="T930" s="5"/>
      </tp>
      <tp>
        <v>6</v>
        <stp/>
        <stp>266M8:OI</stp>
        <tr r="T929" s="5"/>
      </tp>
      <tp>
        <v>0</v>
        <stp/>
        <stp>29243602M15:Vol</stp>
        <tr r="N761" s="5"/>
      </tp>
      <tp>
        <v>0</v>
        <stp/>
        <stp>29243602M14:Vol</stp>
        <tr r="N760" s="5"/>
      </tp>
      <tp>
        <v>0</v>
        <stp/>
        <stp>29243602M13:Vol</stp>
        <tr r="N759" s="5"/>
      </tp>
      <tp>
        <v>0</v>
        <stp/>
        <stp>29243602M12:Vol</stp>
        <tr r="N758" s="5"/>
      </tp>
      <tp>
        <v>0</v>
        <stp/>
        <stp>29243602M11:Vol</stp>
        <tr r="N757" s="5"/>
      </tp>
      <tp>
        <v>0</v>
        <stp/>
        <stp>29243602M10:Vol</stp>
        <tr r="N756" s="5"/>
      </tp>
      <tp t="s">
        <v/>
        <stp/>
        <stp>29243602M8:BstLiftPrc</stp>
        <tr r="H754" s="5"/>
      </tp>
      <tp t="s">
        <v/>
        <stp/>
        <stp>29243602M9:BstLiftPrc</stp>
        <tr r="H755" s="5"/>
      </tp>
      <tp t="s">
        <v/>
        <stp/>
        <stp>29243602M6:BstLiftPrc</stp>
        <tr r="H752" s="5"/>
      </tp>
      <tp t="s">
        <v/>
        <stp/>
        <stp>29243602M7:BstLiftPrc</stp>
        <tr r="H753" s="5"/>
      </tp>
      <tp t="s">
        <v/>
        <stp/>
        <stp>29243602M4:BstLiftPrc</stp>
        <tr r="H750" s="5"/>
      </tp>
      <tp t="s">
        <v/>
        <stp/>
        <stp>29243602M5:BstLiftPrc</stp>
        <tr r="H751" s="5"/>
      </tp>
      <tp t="s">
        <v/>
        <stp/>
        <stp>29243602M2:BstLiftPrc</stp>
        <tr r="H748" s="5"/>
      </tp>
      <tp t="s">
        <v/>
        <stp/>
        <stp>29243602M3:BstLiftPrc</stp>
        <tr r="H749" s="5"/>
      </tp>
      <tp t="s">
        <v/>
        <stp/>
        <stp>29243602M0:BstLiftPrc</stp>
        <tr r="H746" s="5"/>
      </tp>
      <tp t="s">
        <v/>
        <stp/>
        <stp>29243602M1:BstLiftPrc</stp>
        <tr r="H747" s="5"/>
      </tp>
      <tp t="s">
        <v/>
        <stp/>
        <stp>29243602Q4:BstLiftPrc</stp>
        <tr r="H766" s="5"/>
      </tp>
      <tp t="s">
        <v/>
        <stp/>
        <stp>29243602Q2:BstLiftPrc</stp>
        <tr r="H764" s="5"/>
      </tp>
      <tp t="s">
        <v/>
        <stp/>
        <stp>29243602Q3:BstLiftPrc</stp>
        <tr r="H765" s="5"/>
      </tp>
      <tp t="s">
        <v/>
        <stp/>
        <stp>29243602Q0:BstLiftPrc</stp>
        <tr r="H762" s="5"/>
      </tp>
      <tp t="s">
        <v/>
        <stp/>
        <stp>29243602Q1:BstLiftPrc</stp>
        <tr r="H763" s="5"/>
      </tp>
      <tp t="s">
        <v/>
        <stp/>
        <stp>29243602Y0:BstLiftPrc</stp>
        <tr r="H767" s="5"/>
      </tp>
      <tp t="s">
        <v/>
        <stp/>
        <stp>16331513M2:BstLiftPrc</stp>
        <tr r="H1417" s="5"/>
      </tp>
      <tp t="s">
        <v/>
        <stp/>
        <stp>16341514M2:BstLiftPrc</stp>
        <tr r="H1455" s="5"/>
      </tp>
      <tp t="s">
        <v/>
        <stp/>
        <stp>16351515M2:BstLiftPrc</stp>
        <tr r="H1493" s="5"/>
      </tp>
      <tp t="s">
        <v/>
        <stp/>
        <stp>16331513M3:BstLiftPrc</stp>
        <tr r="H1418" s="5"/>
      </tp>
      <tp t="s">
        <v/>
        <stp/>
        <stp>16341514M3:BstLiftPrc</stp>
        <tr r="H1456" s="5"/>
      </tp>
      <tp t="s">
        <v/>
        <stp/>
        <stp>16351515M3:BstLiftPrc</stp>
        <tr r="H1494" s="5"/>
      </tp>
      <tp t="s">
        <v/>
        <stp/>
        <stp>16331513M0:BstLiftPrc</stp>
        <tr r="H1415" s="5"/>
      </tp>
      <tp t="s">
        <v/>
        <stp/>
        <stp>16341514M0:BstLiftPrc</stp>
        <tr r="H1453" s="5"/>
      </tp>
      <tp t="s">
        <v/>
        <stp/>
        <stp>16351515M0:BstLiftPrc</stp>
        <tr r="H1491" s="5"/>
      </tp>
      <tp t="s">
        <v/>
        <stp/>
        <stp>16331513M1:BstLiftPrc</stp>
        <tr r="H1416" s="5"/>
      </tp>
      <tp t="s">
        <v/>
        <stp/>
        <stp>16341514M1:BstLiftPrc</stp>
        <tr r="H1454" s="5"/>
      </tp>
      <tp t="s">
        <v/>
        <stp/>
        <stp>16351515M1:BstLiftPrc</stp>
        <tr r="H1492" s="5"/>
      </tp>
      <tp t="s">
        <v/>
        <stp/>
        <stp>16331513M6:BstLiftPrc</stp>
        <tr r="H1421" s="5"/>
      </tp>
      <tp t="s">
        <v/>
        <stp/>
        <stp>16341514M6:BstLiftPrc</stp>
        <tr r="H1459" s="5"/>
      </tp>
      <tp t="s">
        <v/>
        <stp/>
        <stp>16351515M6:BstLiftPrc</stp>
        <tr r="H1497" s="5"/>
      </tp>
      <tp t="s">
        <v/>
        <stp/>
        <stp>16331513M7:BstLiftPrc</stp>
        <tr r="H1422" s="5"/>
      </tp>
      <tp t="s">
        <v/>
        <stp/>
        <stp>16341514M7:BstLiftPrc</stp>
        <tr r="H1460" s="5"/>
      </tp>
      <tp t="s">
        <v/>
        <stp/>
        <stp>16351515M7:BstLiftPrc</stp>
        <tr r="H1498" s="5"/>
      </tp>
      <tp t="s">
        <v/>
        <stp/>
        <stp>16331513M4:BstLiftPrc</stp>
        <tr r="H1419" s="5"/>
      </tp>
      <tp t="s">
        <v/>
        <stp/>
        <stp>16341514M4:BstLiftPrc</stp>
        <tr r="H1457" s="5"/>
      </tp>
      <tp t="s">
        <v/>
        <stp/>
        <stp>16351515M4:BstLiftPrc</stp>
        <tr r="H1495" s="5"/>
      </tp>
      <tp t="s">
        <v/>
        <stp/>
        <stp>16331513M5:BstLiftPrc</stp>
        <tr r="H1420" s="5"/>
      </tp>
      <tp t="s">
        <v/>
        <stp/>
        <stp>16341514M5:BstLiftPrc</stp>
        <tr r="H1458" s="5"/>
      </tp>
      <tp t="s">
        <v/>
        <stp/>
        <stp>16351515M5:BstLiftPrc</stp>
        <tr r="H1496" s="5"/>
      </tp>
      <tp t="s">
        <v/>
        <stp/>
        <stp>16331513M8:BstLiftPrc</stp>
        <tr r="H1423" s="5"/>
      </tp>
      <tp t="s">
        <v/>
        <stp/>
        <stp>16341514M8:BstLiftPrc</stp>
        <tr r="H1461" s="5"/>
      </tp>
      <tp t="s">
        <v/>
        <stp/>
        <stp>16351515M8:BstLiftPrc</stp>
        <tr r="H1499" s="5"/>
      </tp>
      <tp t="s">
        <v/>
        <stp/>
        <stp>16331513M9:BstLiftPrc</stp>
        <tr r="H1424" s="5"/>
      </tp>
      <tp t="s">
        <v/>
        <stp/>
        <stp>16341514M9:BstLiftPrc</stp>
        <tr r="H1462" s="5"/>
      </tp>
      <tp t="s">
        <v/>
        <stp/>
        <stp>16351515M9:BstLiftPrc</stp>
        <tr r="H1500" s="5"/>
      </tp>
      <tp t="s">
        <v/>
        <stp/>
        <stp>16331513Q2:BstLiftPrc</stp>
        <tr r="H1442" s="5"/>
      </tp>
      <tp t="s">
        <v/>
        <stp/>
        <stp>16341514Q2:BstLiftPrc</stp>
        <tr r="H1480" s="5"/>
      </tp>
      <tp t="s">
        <v/>
        <stp/>
        <stp>16351515Q2:BstLiftPrc</stp>
        <tr r="H1518" s="5"/>
      </tp>
      <tp t="s">
        <v/>
        <stp/>
        <stp>16331513Q3:BstLiftPrc</stp>
        <tr r="H1443" s="5"/>
      </tp>
      <tp t="s">
        <v/>
        <stp/>
        <stp>16341514Q3:BstLiftPrc</stp>
        <tr r="H1481" s="5"/>
      </tp>
      <tp t="s">
        <v/>
        <stp/>
        <stp>16351515Q3:BstLiftPrc</stp>
        <tr r="H1519" s="5"/>
      </tp>
      <tp t="s">
        <v/>
        <stp/>
        <stp>16331513Q0:BstLiftPrc</stp>
        <tr r="H1440" s="5"/>
      </tp>
      <tp t="s">
        <v/>
        <stp/>
        <stp>16341514Q0:BstLiftPrc</stp>
        <tr r="H1478" s="5"/>
      </tp>
      <tp t="s">
        <v/>
        <stp/>
        <stp>16351515Q0:BstLiftPrc</stp>
        <tr r="H1516" s="5"/>
      </tp>
      <tp t="s">
        <v/>
        <stp/>
        <stp>16331513Q1:BstLiftPrc</stp>
        <tr r="H1441" s="5"/>
      </tp>
      <tp t="s">
        <v/>
        <stp/>
        <stp>16341514Q1:BstLiftPrc</stp>
        <tr r="H1479" s="5"/>
      </tp>
      <tp t="s">
        <v/>
        <stp/>
        <stp>16351515Q1:BstLiftPrc</stp>
        <tr r="H1517" s="5"/>
      </tp>
      <tp t="s">
        <v/>
        <stp/>
        <stp>16331513Q6:BstLiftPrc</stp>
        <tr r="H1446" s="5"/>
      </tp>
      <tp t="s">
        <v/>
        <stp/>
        <stp>16341514Q6:BstLiftPrc</stp>
        <tr r="H1484" s="5"/>
      </tp>
      <tp t="s">
        <v/>
        <stp/>
        <stp>16351515Q6:BstLiftPrc</stp>
        <tr r="H1522" s="5"/>
      </tp>
      <tp t="s">
        <v/>
        <stp/>
        <stp>16331513Q7:BstLiftPrc</stp>
        <tr r="H1447" s="5"/>
      </tp>
      <tp t="s">
        <v/>
        <stp/>
        <stp>16341514Q7:BstLiftPrc</stp>
        <tr r="H1485" s="5"/>
      </tp>
      <tp t="s">
        <v/>
        <stp/>
        <stp>16351515Q7:BstLiftPrc</stp>
        <tr r="H1523" s="5"/>
      </tp>
      <tp t="s">
        <v/>
        <stp/>
        <stp>16331513Q4:BstLiftPrc</stp>
        <tr r="H1444" s="5"/>
      </tp>
      <tp t="s">
        <v/>
        <stp/>
        <stp>16341514Q4:BstLiftPrc</stp>
        <tr r="H1482" s="5"/>
      </tp>
      <tp t="s">
        <v/>
        <stp/>
        <stp>16351515Q4:BstLiftPrc</stp>
        <tr r="H1520" s="5"/>
      </tp>
      <tp t="s">
        <v/>
        <stp/>
        <stp>16331513Q5:BstLiftPrc</stp>
        <tr r="H1445" s="5"/>
      </tp>
      <tp t="s">
        <v/>
        <stp/>
        <stp>16341514Q5:BstLiftPrc</stp>
        <tr r="H1483" s="5"/>
      </tp>
      <tp t="s">
        <v/>
        <stp/>
        <stp>16351515Q5:BstLiftPrc</stp>
        <tr r="H1521" s="5"/>
      </tp>
      <tp t="s">
        <v/>
        <stp/>
        <stp>16331513Q8:BstLiftPrc</stp>
        <tr r="H1448" s="5"/>
      </tp>
      <tp t="s">
        <v/>
        <stp/>
        <stp>16341514Q8:BstLiftPrc</stp>
        <tr r="H1486" s="5"/>
      </tp>
      <tp t="s">
        <v/>
        <stp/>
        <stp>16351515Q8:BstLiftPrc</stp>
        <tr r="H1524" s="5"/>
      </tp>
      <tp t="s">
        <v/>
        <stp/>
        <stp>16331513Y2:BstLiftPrc</stp>
        <tr r="H1451" s="5"/>
      </tp>
      <tp t="s">
        <v/>
        <stp/>
        <stp>16341514Y2:BstLiftPrc</stp>
        <tr r="H1489" s="5"/>
      </tp>
      <tp t="s">
        <v/>
        <stp/>
        <stp>16351515Y2:BstLiftPrc</stp>
        <tr r="H1527" s="5"/>
      </tp>
      <tp t="s">
        <v/>
        <stp/>
        <stp>16331513Y0:BstLiftPrc</stp>
        <tr r="H1449" s="5"/>
      </tp>
      <tp t="s">
        <v/>
        <stp/>
        <stp>16341514Y0:BstLiftPrc</stp>
        <tr r="H1487" s="5"/>
      </tp>
      <tp t="s">
        <v/>
        <stp/>
        <stp>16351515Y0:BstLiftPrc</stp>
        <tr r="H1525" s="5"/>
      </tp>
      <tp t="s">
        <v/>
        <stp/>
        <stp>16331513Y1:BstLiftPrc</stp>
        <tr r="H1450" s="5"/>
      </tp>
      <tp t="s">
        <v/>
        <stp/>
        <stp>16341514Y1:BstLiftPrc</stp>
        <tr r="H1488" s="5"/>
      </tp>
      <tp t="s">
        <v/>
        <stp/>
        <stp>16351515Y1:BstLiftPrc</stp>
        <tr r="H1526" s="5"/>
      </tp>
      <tp t="s">
        <v/>
        <stp/>
        <stp>2181724590B0:BstLiftPrc</stp>
        <tr r="H1414" s="5"/>
      </tp>
      <tp t="s">
        <v>ULC</v>
        <stp/>
        <stp>34344092M20:PCC</stp>
        <tr r="B1283" s="5"/>
      </tp>
      <tp t="s">
        <v>ULD</v>
        <stp/>
        <stp>34354093M20:PCC</stp>
        <tr r="B1321" s="5"/>
      </tp>
      <tp t="s">
        <v>ULE</v>
        <stp/>
        <stp>34364094M20:PCC</stp>
        <tr r="B538" s="5"/>
      </tp>
      <tp t="s">
        <v>ULF</v>
        <stp/>
        <stp>34374095M20:PCC</stp>
        <tr r="B576" s="5"/>
      </tp>
      <tp t="s">
        <v>ULC</v>
        <stp/>
        <stp>34344092M21:PCC</stp>
        <tr r="B1284" s="5"/>
      </tp>
      <tp t="s">
        <v>ULD</v>
        <stp/>
        <stp>34354093M21:PCC</stp>
        <tr r="B1322" s="5"/>
      </tp>
      <tp t="s">
        <v>ULE</v>
        <stp/>
        <stp>34364094M21:PCC</stp>
        <tr r="B539" s="5"/>
      </tp>
      <tp t="s">
        <v>ULF</v>
        <stp/>
        <stp>34374095M21:PCC</stp>
        <tr r="B577" s="5"/>
      </tp>
      <tp t="s">
        <v>ULC</v>
        <stp/>
        <stp>34344092M22:PCC</stp>
        <tr r="B1285" s="5"/>
      </tp>
      <tp t="s">
        <v>ULD</v>
        <stp/>
        <stp>34354093M22:PCC</stp>
        <tr r="B1323" s="5"/>
      </tp>
      <tp t="s">
        <v>ULE</v>
        <stp/>
        <stp>34364094M22:PCC</stp>
        <tr r="B540" s="5"/>
      </tp>
      <tp t="s">
        <v>ULF</v>
        <stp/>
        <stp>34374095M22:PCC</stp>
        <tr r="B578" s="5"/>
      </tp>
      <tp t="s">
        <v>ULI</v>
        <stp/>
        <stp>34404098M24:PCC</stp>
        <tr r="B618" s="5"/>
      </tp>
      <tp t="s">
        <v>ULJ</v>
        <stp/>
        <stp>34414099M24:PCC</stp>
        <tr r="B103" s="5"/>
      </tp>
      <tp t="s">
        <v>ULC</v>
        <stp/>
        <stp>34344092M23:PCC</stp>
        <tr r="B1286" s="5"/>
      </tp>
      <tp t="s">
        <v>ULD</v>
        <stp/>
        <stp>34354093M23:PCC</stp>
        <tr r="B1324" s="5"/>
      </tp>
      <tp t="s">
        <v>ULE</v>
        <stp/>
        <stp>34364094M23:PCC</stp>
        <tr r="B541" s="5"/>
      </tp>
      <tp t="s">
        <v>ULF</v>
        <stp/>
        <stp>34374095M23:PCC</stp>
        <tr r="B579" s="5"/>
      </tp>
      <tp t="s">
        <v>ULI</v>
        <stp/>
        <stp>34404098M23:PCC</stp>
        <tr r="B617" s="5"/>
      </tp>
      <tp t="s">
        <v>ULJ</v>
        <stp/>
        <stp>34414099M23:PCC</stp>
        <tr r="B102" s="5"/>
      </tp>
      <tp t="s">
        <v>ULC</v>
        <stp/>
        <stp>34344092M24:PCC</stp>
        <tr r="B1287" s="5"/>
      </tp>
      <tp t="s">
        <v>ULD</v>
        <stp/>
        <stp>34354093M24:PCC</stp>
        <tr r="B1325" s="5"/>
      </tp>
      <tp t="s">
        <v>ULE</v>
        <stp/>
        <stp>34364094M24:PCC</stp>
        <tr r="B542" s="5"/>
      </tp>
      <tp t="s">
        <v>ULF</v>
        <stp/>
        <stp>34374095M24:PCC</stp>
        <tr r="B580" s="5"/>
      </tp>
      <tp t="s">
        <v>ULI</v>
        <stp/>
        <stp>34404098M22:PCC</stp>
        <tr r="B616" s="5"/>
      </tp>
      <tp t="s">
        <v>ULJ</v>
        <stp/>
        <stp>34414099M22:PCC</stp>
        <tr r="B101" s="5"/>
      </tp>
      <tp t="s">
        <v>ULI</v>
        <stp/>
        <stp>34404098M21:PCC</stp>
        <tr r="B615" s="5"/>
      </tp>
      <tp t="s">
        <v>ULJ</v>
        <stp/>
        <stp>34414099M21:PCC</stp>
        <tr r="B100" s="5"/>
      </tp>
      <tp t="s">
        <v>ULI</v>
        <stp/>
        <stp>34404098M20:PCC</stp>
        <tr r="B614" s="5"/>
      </tp>
      <tp t="s">
        <v>ULJ</v>
        <stp/>
        <stp>34414099M20:PCC</stp>
        <tr r="B99" s="5"/>
      </tp>
      <tp t="s">
        <v>ULQ</v>
        <stp/>
        <stp>35534143M23:PCC</stp>
        <tr r="B731" s="5"/>
      </tp>
      <tp t="s">
        <v>ULR</v>
        <stp/>
        <stp>35544144M23:PCC</stp>
        <tr r="B655" s="5"/>
      </tp>
      <tp t="s">
        <v>ULT</v>
        <stp/>
        <stp>35554145M23:PCC</stp>
        <tr r="B693" s="5"/>
      </tp>
      <tp t="s">
        <v>ULQ</v>
        <stp/>
        <stp>35534143M22:PCC</stp>
        <tr r="B730" s="5"/>
      </tp>
      <tp t="s">
        <v>ULR</v>
        <stp/>
        <stp>35544144M22:PCC</stp>
        <tr r="B654" s="5"/>
      </tp>
      <tp t="s">
        <v>ULT</v>
        <stp/>
        <stp>35554145M22:PCC</stp>
        <tr r="B692" s="5"/>
      </tp>
      <tp t="s">
        <v>ULQ</v>
        <stp/>
        <stp>35534143M21:PCC</stp>
        <tr r="B729" s="5"/>
      </tp>
      <tp t="s">
        <v>ULR</v>
        <stp/>
        <stp>35544144M21:PCC</stp>
        <tr r="B653" s="5"/>
      </tp>
      <tp t="s">
        <v>ULT</v>
        <stp/>
        <stp>35554145M21:PCC</stp>
        <tr r="B691" s="5"/>
      </tp>
      <tp t="s">
        <v>ULQ</v>
        <stp/>
        <stp>35534143M20:PCC</stp>
        <tr r="B728" s="5"/>
      </tp>
      <tp t="s">
        <v>ULR</v>
        <stp/>
        <stp>35544144M20:PCC</stp>
        <tr r="B652" s="5"/>
      </tp>
      <tp t="s">
        <v>ULT</v>
        <stp/>
        <stp>35554145M20:PCC</stp>
        <tr r="B690" s="5"/>
      </tp>
      <tp t="s">
        <v>ULQ</v>
        <stp/>
        <stp>35534143M24:PCC</stp>
        <tr r="B732" s="5"/>
      </tp>
      <tp t="s">
        <v>ULR</v>
        <stp/>
        <stp>35544144M24:PCC</stp>
        <tr r="B656" s="5"/>
      </tp>
      <tp t="s">
        <v>ULT</v>
        <stp/>
        <stp>35554145M24:PCC</stp>
        <tr r="B694" s="5"/>
      </tp>
      <tp t="s">
        <v>ULI</v>
        <stp/>
        <stp>34404098M17:PCC</stp>
        <tr r="B611" s="5"/>
      </tp>
      <tp t="s">
        <v>ULJ</v>
        <stp/>
        <stp>34414099M17:PCC</stp>
        <tr r="B96" s="5"/>
      </tp>
      <tp t="s">
        <v>ULC</v>
        <stp/>
        <stp>34344092M10:PCC</stp>
        <tr r="B1273" s="5"/>
      </tp>
      <tp t="s">
        <v>ULD</v>
        <stp/>
        <stp>34354093M10:PCC</stp>
        <tr r="B1311" s="5"/>
      </tp>
      <tp t="s">
        <v>ULE</v>
        <stp/>
        <stp>34364094M10:PCC</stp>
        <tr r="B528" s="5"/>
      </tp>
      <tp t="s">
        <v>ULF</v>
        <stp/>
        <stp>34374095M10:PCC</stp>
        <tr r="B566" s="5"/>
      </tp>
      <tp t="s">
        <v>ULI</v>
        <stp/>
        <stp>34404098M16:PCC</stp>
        <tr r="B610" s="5"/>
      </tp>
      <tp t="s">
        <v>ULJ</v>
        <stp/>
        <stp>34414099M16:PCC</stp>
        <tr r="B95" s="5"/>
      </tp>
      <tp t="s">
        <v>ULC</v>
        <stp/>
        <stp>34344092M11:PCC</stp>
        <tr r="B1274" s="5"/>
      </tp>
      <tp t="s">
        <v>ULD</v>
        <stp/>
        <stp>34354093M11:PCC</stp>
        <tr r="B1312" s="5"/>
      </tp>
      <tp t="s">
        <v>ULE</v>
        <stp/>
        <stp>34364094M11:PCC</stp>
        <tr r="B529" s="5"/>
      </tp>
      <tp t="s">
        <v>ULF</v>
        <stp/>
        <stp>34374095M11:PCC</stp>
        <tr r="B567" s="5"/>
      </tp>
      <tp t="s">
        <v>ULI</v>
        <stp/>
        <stp>34404098M15:PCC</stp>
        <tr r="B609" s="5"/>
      </tp>
      <tp t="s">
        <v>ULJ</v>
        <stp/>
        <stp>34414099M15:PCC</stp>
        <tr r="B94" s="5"/>
      </tp>
      <tp t="s">
        <v>ULC</v>
        <stp/>
        <stp>34344092M12:PCC</stp>
        <tr r="B1275" s="5"/>
      </tp>
      <tp t="s">
        <v>ULD</v>
        <stp/>
        <stp>34354093M12:PCC</stp>
        <tr r="B1313" s="5"/>
      </tp>
      <tp t="s">
        <v>ULE</v>
        <stp/>
        <stp>34364094M12:PCC</stp>
        <tr r="B530" s="5"/>
      </tp>
      <tp t="s">
        <v>ULF</v>
        <stp/>
        <stp>34374095M12:PCC</stp>
        <tr r="B568" s="5"/>
      </tp>
      <tp t="s">
        <v>ULQ</v>
        <stp/>
        <stp>35534143M19:PCC</stp>
        <tr r="B727" s="5"/>
      </tp>
      <tp t="s">
        <v>ULR</v>
        <stp/>
        <stp>35544144M19:PCC</stp>
        <tr r="B651" s="5"/>
      </tp>
      <tp t="s">
        <v>ULT</v>
        <stp/>
        <stp>35554145M19:PCC</stp>
        <tr r="B689" s="5"/>
      </tp>
      <tp t="s">
        <v>ULI</v>
        <stp/>
        <stp>34404098M14:PCC</stp>
        <tr r="B608" s="5"/>
      </tp>
      <tp t="s">
        <v>ULJ</v>
        <stp/>
        <stp>34414099M14:PCC</stp>
        <tr r="B93" s="5"/>
      </tp>
      <tp t="s">
        <v>ULC</v>
        <stp/>
        <stp>34344092M13:PCC</stp>
        <tr r="B1276" s="5"/>
      </tp>
      <tp t="s">
        <v>ULD</v>
        <stp/>
        <stp>34354093M13:PCC</stp>
        <tr r="B1314" s="5"/>
      </tp>
      <tp t="s">
        <v>ULE</v>
        <stp/>
        <stp>34364094M13:PCC</stp>
        <tr r="B531" s="5"/>
      </tp>
      <tp t="s">
        <v>ULF</v>
        <stp/>
        <stp>34374095M13:PCC</stp>
        <tr r="B569" s="5"/>
      </tp>
      <tp t="s">
        <v>ULQ</v>
        <stp/>
        <stp>35534143M18:PCC</stp>
        <tr r="B726" s="5"/>
      </tp>
      <tp t="s">
        <v>ULR</v>
        <stp/>
        <stp>35544144M18:PCC</stp>
        <tr r="B650" s="5"/>
      </tp>
      <tp t="s">
        <v>ULT</v>
        <stp/>
        <stp>35554145M18:PCC</stp>
        <tr r="B688" s="5"/>
      </tp>
      <tp t="s">
        <v>ULI</v>
        <stp/>
        <stp>34404098M13:PCC</stp>
        <tr r="B607" s="5"/>
      </tp>
      <tp t="s">
        <v>ULJ</v>
        <stp/>
        <stp>34414099M13:PCC</stp>
        <tr r="B92" s="5"/>
      </tp>
      <tp t="s">
        <v>ULC</v>
        <stp/>
        <stp>34344092M14:PCC</stp>
        <tr r="B1277" s="5"/>
      </tp>
      <tp t="s">
        <v>ULD</v>
        <stp/>
        <stp>34354093M14:PCC</stp>
        <tr r="B1315" s="5"/>
      </tp>
      <tp t="s">
        <v>ULE</v>
        <stp/>
        <stp>34364094M14:PCC</stp>
        <tr r="B532" s="5"/>
      </tp>
      <tp t="s">
        <v>ULF</v>
        <stp/>
        <stp>34374095M14:PCC</stp>
        <tr r="B570" s="5"/>
      </tp>
      <tp t="s">
        <v>ULI</v>
        <stp/>
        <stp>34404098M12:PCC</stp>
        <tr r="B606" s="5"/>
      </tp>
      <tp t="s">
        <v>ULJ</v>
        <stp/>
        <stp>34414099M12:PCC</stp>
        <tr r="B91" s="5"/>
      </tp>
      <tp t="s">
        <v>ULC</v>
        <stp/>
        <stp>34344092M15:PCC</stp>
        <tr r="B1278" s="5"/>
      </tp>
      <tp t="s">
        <v>ULD</v>
        <stp/>
        <stp>34354093M15:PCC</stp>
        <tr r="B1316" s="5"/>
      </tp>
      <tp t="s">
        <v>ULE</v>
        <stp/>
        <stp>34364094M15:PCC</stp>
        <tr r="B533" s="5"/>
      </tp>
      <tp t="s">
        <v>ULF</v>
        <stp/>
        <stp>34374095M15:PCC</stp>
        <tr r="B571" s="5"/>
      </tp>
      <tp t="s">
        <v>ULI</v>
        <stp/>
        <stp>34404098M11:PCC</stp>
        <tr r="B605" s="5"/>
      </tp>
      <tp t="s">
        <v>ULJ</v>
        <stp/>
        <stp>34414099M11:PCC</stp>
        <tr r="B90" s="5"/>
      </tp>
      <tp t="s">
        <v>ULC</v>
        <stp/>
        <stp>34344092M16:PCC</stp>
        <tr r="B1279" s="5"/>
      </tp>
      <tp t="s">
        <v>ULD</v>
        <stp/>
        <stp>34354093M16:PCC</stp>
        <tr r="B1317" s="5"/>
      </tp>
      <tp t="s">
        <v>ULE</v>
        <stp/>
        <stp>34364094M16:PCC</stp>
        <tr r="B534" s="5"/>
      </tp>
      <tp t="s">
        <v>ULF</v>
        <stp/>
        <stp>34374095M16:PCC</stp>
        <tr r="B572" s="5"/>
      </tp>
      <tp t="s">
        <v>ULI</v>
        <stp/>
        <stp>34404098M10:PCC</stp>
        <tr r="B604" s="5"/>
      </tp>
      <tp t="s">
        <v>ULJ</v>
        <stp/>
        <stp>34414099M10:PCC</stp>
        <tr r="B89" s="5"/>
      </tp>
      <tp t="s">
        <v>ULC</v>
        <stp/>
        <stp>34344092M17:PCC</stp>
        <tr r="B1280" s="5"/>
      </tp>
      <tp t="s">
        <v>ULD</v>
        <stp/>
        <stp>34354093M17:PCC</stp>
        <tr r="B1318" s="5"/>
      </tp>
      <tp t="s">
        <v>ULE</v>
        <stp/>
        <stp>34364094M17:PCC</stp>
        <tr r="B535" s="5"/>
      </tp>
      <tp t="s">
        <v>ULF</v>
        <stp/>
        <stp>34374095M17:PCC</stp>
        <tr r="B573" s="5"/>
      </tp>
      <tp t="s">
        <v>ULC</v>
        <stp/>
        <stp>34344092M18:PCC</stp>
        <tr r="B1281" s="5"/>
      </tp>
      <tp t="s">
        <v>ULD</v>
        <stp/>
        <stp>34354093M18:PCC</stp>
        <tr r="B1319" s="5"/>
      </tp>
      <tp t="s">
        <v>ULE</v>
        <stp/>
        <stp>34364094M18:PCC</stp>
        <tr r="B536" s="5"/>
      </tp>
      <tp t="s">
        <v>ULF</v>
        <stp/>
        <stp>34374095M18:PCC</stp>
        <tr r="B574" s="5"/>
      </tp>
      <tp t="s">
        <v>ULQ</v>
        <stp/>
        <stp>35534143M13:PCC</stp>
        <tr r="B721" s="5"/>
      </tp>
      <tp t="s">
        <v>ULR</v>
        <stp/>
        <stp>35544144M13:PCC</stp>
        <tr r="B645" s="5"/>
      </tp>
      <tp t="s">
        <v>ULT</v>
        <stp/>
        <stp>35554145M13:PCC</stp>
        <tr r="B683" s="5"/>
      </tp>
      <tp t="s">
        <v>ULC</v>
        <stp/>
        <stp>34344092M19:PCC</stp>
        <tr r="B1282" s="5"/>
      </tp>
      <tp t="s">
        <v>ULD</v>
        <stp/>
        <stp>34354093M19:PCC</stp>
        <tr r="B1320" s="5"/>
      </tp>
      <tp t="s">
        <v>ULE</v>
        <stp/>
        <stp>34364094M19:PCC</stp>
        <tr r="B537" s="5"/>
      </tp>
      <tp t="s">
        <v>ULF</v>
        <stp/>
        <stp>34374095M19:PCC</stp>
        <tr r="B575" s="5"/>
      </tp>
      <tp t="s">
        <v>ULQ</v>
        <stp/>
        <stp>35534143M12:PCC</stp>
        <tr r="B720" s="5"/>
      </tp>
      <tp t="s">
        <v>ULR</v>
        <stp/>
        <stp>35544144M12:PCC</stp>
        <tr r="B644" s="5"/>
      </tp>
      <tp t="s">
        <v>ULT</v>
        <stp/>
        <stp>35554145M12:PCC</stp>
        <tr r="B682" s="5"/>
      </tp>
      <tp t="s">
        <v>ULQ</v>
        <stp/>
        <stp>35534143M11:PCC</stp>
        <tr r="B719" s="5"/>
      </tp>
      <tp t="s">
        <v>ULR</v>
        <stp/>
        <stp>35544144M11:PCC</stp>
        <tr r="B643" s="5"/>
      </tp>
      <tp t="s">
        <v>ULT</v>
        <stp/>
        <stp>35554145M11:PCC</stp>
        <tr r="B681" s="5"/>
      </tp>
      <tp t="s">
        <v>ULQ</v>
        <stp/>
        <stp>35534143M10:PCC</stp>
        <tr r="B718" s="5"/>
      </tp>
      <tp t="s">
        <v>ULR</v>
        <stp/>
        <stp>35544144M10:PCC</stp>
        <tr r="B642" s="5"/>
      </tp>
      <tp t="s">
        <v>ULT</v>
        <stp/>
        <stp>35554145M10:PCC</stp>
        <tr r="B680" s="5"/>
      </tp>
      <tp t="s">
        <v>ULQ</v>
        <stp/>
        <stp>35534143M17:PCC</stp>
        <tr r="B725" s="5"/>
      </tp>
      <tp t="s">
        <v>ULR</v>
        <stp/>
        <stp>35544144M17:PCC</stp>
        <tr r="B649" s="5"/>
      </tp>
      <tp t="s">
        <v>ULT</v>
        <stp/>
        <stp>35554145M17:PCC</stp>
        <tr r="B687" s="5"/>
      </tp>
      <tp t="s">
        <v>ULQ</v>
        <stp/>
        <stp>35534143M16:PCC</stp>
        <tr r="B724" s="5"/>
      </tp>
      <tp t="s">
        <v>ULR</v>
        <stp/>
        <stp>35544144M16:PCC</stp>
        <tr r="B648" s="5"/>
      </tp>
      <tp t="s">
        <v>ULT</v>
        <stp/>
        <stp>35554145M16:PCC</stp>
        <tr r="B686" s="5"/>
      </tp>
      <tp t="s">
        <v>ULI</v>
        <stp/>
        <stp>34404098M19:PCC</stp>
        <tr r="B613" s="5"/>
      </tp>
      <tp t="s">
        <v>ULJ</v>
        <stp/>
        <stp>34414099M19:PCC</stp>
        <tr r="B98" s="5"/>
      </tp>
      <tp t="s">
        <v>ULQ</v>
        <stp/>
        <stp>35534143M15:PCC</stp>
        <tr r="B723" s="5"/>
      </tp>
      <tp t="s">
        <v>ULR</v>
        <stp/>
        <stp>35544144M15:PCC</stp>
        <tr r="B647" s="5"/>
      </tp>
      <tp t="s">
        <v>ULT</v>
        <stp/>
        <stp>35554145M15:PCC</stp>
        <tr r="B685" s="5"/>
      </tp>
      <tp t="s">
        <v>ULI</v>
        <stp/>
        <stp>34404098M18:PCC</stp>
        <tr r="B612" s="5"/>
      </tp>
      <tp t="s">
        <v>ULJ</v>
        <stp/>
        <stp>34414099M18:PCC</stp>
        <tr r="B97" s="5"/>
      </tp>
      <tp t="s">
        <v>ULQ</v>
        <stp/>
        <stp>35534143M14:PCC</stp>
        <tr r="B722" s="5"/>
      </tp>
      <tp t="s">
        <v>ULR</v>
        <stp/>
        <stp>35544144M14:PCC</stp>
        <tr r="B646" s="5"/>
      </tp>
      <tp t="s">
        <v>ULT</v>
        <stp/>
        <stp>35554145M14:PCC</stp>
        <tr r="B684" s="5"/>
      </tp>
    </main>
    <main first="ice.rtd">
      <tp t="s">
        <v/>
        <stp/>
        <stp>141587M24:BstHitPrc</stp>
        <tr r="G65" s="5"/>
      </tp>
      <tp t="s">
        <v/>
        <stp/>
        <stp>141587M14:BstHitPrc</stp>
        <tr r="G55" s="5"/>
      </tp>
    </main>
    <main first="esrtd">
      <tp t="s">
        <v/>
        <stp/>
        <stp>TEN U27-IEU</stp>
        <stp>ICE Theoretical Price</stp>
        <tr r="W1123" s="5"/>
      </tp>
      <tp t="s">
        <v/>
        <stp/>
        <stp>TEO U26-IEU</stp>
        <stp>ICE Theoretical Price</stp>
        <tr r="W997" s="5"/>
      </tp>
      <tp t="s">
        <v/>
        <stp/>
        <stp>TEN V27-IEU</stp>
        <stp>ICE Theoretical Price</stp>
        <tr r="W1124" s="5"/>
      </tp>
      <tp t="s">
        <v/>
        <stp/>
        <stp>TEO V26-IEU</stp>
        <stp>ICE Theoretical Price</stp>
        <tr r="W998" s="5"/>
      </tp>
      <tp t="s">
        <v/>
        <stp/>
        <stp>BOA G28-IEU</stp>
        <stp>ICE Theoretical Price</stp>
        <tr r="W824" s="5"/>
      </tp>
      <tp t="s">
        <v/>
        <stp/>
        <stp>TEN Q27-IEU</stp>
        <stp>ICE Theoretical Price</stp>
        <tr r="W1122" s="5"/>
      </tp>
      <tp t="s">
        <v/>
        <stp/>
        <stp>BOA F28-IEU</stp>
        <stp>ICE Theoretical Price</stp>
        <tr r="W823" s="5"/>
      </tp>
      <tp t="s">
        <v/>
        <stp/>
        <stp>APN F27-IEU</stp>
        <stp>ICE Theoretical Price</stp>
        <tr r="W1229" s="5"/>
      </tp>
      <tp t="s">
        <v/>
        <stp/>
        <stp>APN G27-IEU</stp>
        <stp>ICE Theoretical Price</stp>
        <tr r="W1230" s="5"/>
      </tp>
      <tp t="s">
        <v/>
        <stp/>
        <stp>BOA K28-IEU</stp>
        <stp>ICE Theoretical Price</stp>
        <tr r="W827" s="5"/>
      </tp>
      <tp t="s">
        <v/>
        <stp/>
        <stp>APN H27-IEU</stp>
        <stp>ICE Theoretical Price</stp>
        <tr r="W1231" s="5"/>
      </tp>
      <tp t="s">
        <v/>
        <stp/>
        <stp>BOA J28-IEU</stp>
        <stp>ICE Theoretical Price</stp>
        <tr r="W826" s="5"/>
      </tp>
      <tp t="s">
        <v/>
        <stp/>
        <stp>APN J27-IEU</stp>
        <stp>ICE Theoretical Price</stp>
        <tr r="W1232" s="5"/>
      </tp>
      <tp t="s">
        <v/>
        <stp/>
        <stp>BOA H28-IEU</stp>
        <stp>ICE Theoretical Price</stp>
        <tr r="W825" s="5"/>
      </tp>
      <tp t="s">
        <v/>
        <stp/>
        <stp>APN K27-IEU</stp>
        <stp>ICE Theoretical Price</stp>
        <tr r="W1233" s="5"/>
      </tp>
      <tp t="s">
        <v/>
        <stp/>
        <stp>BOA N28-IEU</stp>
        <stp>ICE Theoretical Price</stp>
        <tr r="W829" s="5"/>
      </tp>
      <tp t="s">
        <v/>
        <stp/>
        <stp>TEN X27-IEU</stp>
        <stp>ICE Theoretical Price</stp>
        <tr r="W1125" s="5"/>
      </tp>
      <tp t="s">
        <v/>
        <stp/>
        <stp>TEO X26-IEU</stp>
        <stp>ICE Theoretical Price</stp>
        <tr r="W999" s="5"/>
      </tp>
      <tp t="s">
        <v/>
        <stp/>
        <stp>APN M27-IEU</stp>
        <stp>ICE Theoretical Price</stp>
        <tr r="W1234" s="5"/>
      </tp>
      <tp t="s">
        <v/>
        <stp/>
        <stp>BOA M28-IEU</stp>
        <stp>ICE Theoretical Price</stp>
        <tr r="W828" s="5"/>
      </tp>
      <tp t="s">
        <v/>
        <stp/>
        <stp>APN N27-IEU</stp>
        <stp>ICE Theoretical Price</stp>
        <tr r="W1235" s="5"/>
      </tp>
      <tp t="s">
        <v/>
        <stp/>
        <stp>TEN Z27-IEU</stp>
        <stp>ICE Theoretical Price</stp>
        <tr r="W1126" s="5"/>
      </tp>
      <tp t="s">
        <v/>
        <stp/>
        <stp>TEO Z26-IEU</stp>
        <stp>ICE Theoretical Price</stp>
        <tr r="W1000" s="5"/>
      </tp>
      <tp t="s">
        <v/>
        <stp/>
        <stp>ISO X26-IEU</stp>
        <stp>ICE Theoretical Price</stp>
        <tr r="W1455" s="5"/>
      </tp>
      <tp t="s">
        <v/>
        <stp/>
        <stp>APN Q27-IEU</stp>
        <stp>ICE Theoretical Price</stp>
        <tr r="W1236" s="5"/>
      </tp>
      <tp t="s">
        <v/>
        <stp/>
        <stp>BOA Q28-IEU</stp>
        <stp>ICE Theoretical Price</stp>
        <tr r="W830" s="5"/>
      </tp>
      <tp t="s">
        <v/>
        <stp/>
        <stp>TEN G27-IEU</stp>
        <stp>ICE Theoretical Price</stp>
        <tr r="W1116" s="5"/>
      </tp>
      <tp t="s">
        <v/>
        <stp/>
        <stp>ISO Z26-IEU</stp>
        <stp>ICE Theoretical Price</stp>
        <tr r="W1456" s="5"/>
      </tp>
      <tp t="s">
        <v/>
        <stp/>
        <stp>TEN F27-IEU</stp>
        <stp>ICE Theoretical Price</stp>
        <tr r="W1115" s="5"/>
      </tp>
      <tp t="s">
        <v/>
        <stp/>
        <stp>APN U27-IEU</stp>
        <stp>ICE Theoretical Price</stp>
        <tr r="W1237" s="5"/>
      </tp>
      <tp t="s">
        <v/>
        <stp/>
        <stp>BOA U28-IEU</stp>
        <stp>ICE Theoretical Price</stp>
        <tr r="W831" s="5"/>
      </tp>
      <tp t="s">
        <v/>
        <stp/>
        <stp>APN V27-IEU</stp>
        <stp>ICE Theoretical Price</stp>
        <tr r="W1238" s="5"/>
      </tp>
      <tp t="s">
        <v/>
        <stp/>
        <stp>TEN M27-IEU</stp>
        <stp>ICE Theoretical Price</stp>
        <tr r="W1120" s="5"/>
      </tp>
      <tp t="s">
        <v/>
        <stp/>
        <stp>APN X27-IEU</stp>
        <stp>ICE Theoretical Price</stp>
        <tr r="W1239" s="5"/>
      </tp>
      <tp t="s">
        <v/>
        <stp/>
        <stp>APN Z27-IEU</stp>
        <stp>ICE Theoretical Price</stp>
        <tr r="W1240" s="5"/>
      </tp>
      <tp t="s">
        <v/>
        <stp/>
        <stp>TEN N27-IEU</stp>
        <stp>ICE Theoretical Price</stp>
        <tr r="W1121" s="5"/>
      </tp>
      <tp t="s">
        <v/>
        <stp/>
        <stp>TEN H27-IEU</stp>
        <stp>ICE Theoretical Price</stp>
        <tr r="W1117" s="5"/>
      </tp>
      <tp t="s">
        <v/>
        <stp/>
        <stp>ISO U26-IEU</stp>
        <stp>ICE Theoretical Price</stp>
        <tr r="W1453" s="5"/>
      </tp>
      <tp t="s">
        <v/>
        <stp/>
        <stp>TEN K27-IEU</stp>
        <stp>ICE Theoretical Price</stp>
        <tr r="W1119" s="5"/>
      </tp>
      <tp t="s">
        <v/>
        <stp/>
        <stp>ISO V26-IEU</stp>
        <stp>ICE Theoretical Price</stp>
        <tr r="W1454" s="5"/>
      </tp>
      <tp t="s">
        <v/>
        <stp/>
        <stp>TEN J27-IEU</stp>
        <stp>ICE Theoretical Price</stp>
        <tr r="W1118" s="5"/>
      </tp>
    </main>
    <main first="ice.rtd">
      <tp t="s">
        <v/>
        <stp/>
        <stp>141587M14:LstBlkPrc</stp>
        <tr r="K55" s="5"/>
      </tp>
      <tp t="s">
        <v/>
        <stp/>
        <stp>141587M24:LstBlkPrc</stp>
        <tr r="K65" s="5"/>
      </tp>
      <tp t="s">
        <v/>
        <stp/>
        <stp>266M17:LstBlkTime</stp>
        <tr r="M938" s="5"/>
      </tp>
      <tp t="s">
        <v/>
        <stp/>
        <stp>266M16:LstBlkTime</stp>
        <tr r="M937" s="5"/>
      </tp>
      <tp t="s">
        <v/>
        <stp/>
        <stp>266M15:LstBlkTime</stp>
        <tr r="M936" s="5"/>
      </tp>
      <tp t="s">
        <v/>
        <stp/>
        <stp>266M14:LstBlkTime</stp>
        <tr r="M935" s="5"/>
      </tp>
      <tp t="s">
        <v/>
        <stp/>
        <stp>266M13:LstBlkTime</stp>
        <tr r="M934" s="5"/>
      </tp>
      <tp t="s">
        <v/>
        <stp/>
        <stp>266M12:LstBlkTime</stp>
        <tr r="M933" s="5"/>
      </tp>
      <tp t="s">
        <v/>
        <stp/>
        <stp>266M11:LstBlkTime</stp>
        <tr r="M932" s="5"/>
      </tp>
      <tp t="s">
        <v/>
        <stp/>
        <stp>266M10:LstBlkTime</stp>
        <tr r="M931" s="5"/>
      </tp>
      <tp t="s">
        <v/>
        <stp/>
        <stp>266M19:LstBlkTime</stp>
        <tr r="M940" s="5"/>
      </tp>
      <tp t="s">
        <v/>
        <stp/>
        <stp>266M18:LstBlkTime</stp>
        <tr r="M939" s="5"/>
      </tp>
      <tp t="s">
        <v/>
        <stp/>
        <stp>266M24:LstBlkTime</stp>
        <tr r="M945" s="5"/>
      </tp>
      <tp t="s">
        <v/>
        <stp/>
        <stp>266M23:LstBlkTime</stp>
        <tr r="M944" s="5"/>
      </tp>
      <tp t="s">
        <v/>
        <stp/>
        <stp>266M22:LstBlkTime</stp>
        <tr r="M943" s="5"/>
      </tp>
      <tp t="s">
        <v/>
        <stp/>
        <stp>266M21:LstBlkTime</stp>
        <tr r="M942" s="5"/>
      </tp>
      <tp t="s">
        <v/>
        <stp/>
        <stp>266M20:LstBlkTime</stp>
        <tr r="M941" s="5"/>
      </tp>
    </main>
    <main first="bofaddin.rtdserver">
      <tp>
        <v>1.18</v>
        <stp/>
        <stp>BDP|11721073174387367754|222</stp>
        <stp>HOZ8HOF9 Comdty</stp>
        <stp>ASK</stp>
        <stp>Fill=#N/A</stp>
        <tr r="Q47" s="1"/>
      </tp>
    </main>
    <main first="esrtd">
      <tp t="s">
        <v/>
        <stp/>
        <stp>WDF 27!-IEU</stp>
        <stp>Block Volume</stp>
        <tr r="O1804" s="5"/>
      </tp>
      <tp t="s">
        <v/>
        <stp/>
        <stp>WDF 17!-IEU</stp>
        <stp>Block Volume</stp>
        <tr r="O1794" s="5"/>
      </tp>
    </main>
    <main first="bofaddin.rtdserver">
      <tp>
        <v>0.01</v>
        <stp/>
        <stp>BDP|16992818978911255401|222</stp>
        <stp>CON9COQ9 Comdty</stp>
        <stp>BID</stp>
        <stp>Fill=#N/A</stp>
        <tr r="O54" s="1"/>
      </tp>
    </main>
    <main first="ice.rtd">
      <tp t="s">
        <v/>
        <stp/>
        <stp>141587M12:LstBlkVol</stp>
        <tr r="L53" s="5"/>
      </tp>
      <tp t="s">
        <v/>
        <stp/>
        <stp>141587M22:LstBlkVol</stp>
        <tr r="L63" s="5"/>
      </tp>
    </main>
    <main first="bofaddin.rtdserver">
      <tp>
        <v>2.92</v>
        <stp/>
        <stp>BDP|10928356229762761586|222</stp>
        <stp>XBN8XBQ8 Comdty</stp>
        <stp>ASK</stp>
        <stp>Fill=#N/A</stp>
        <tr r="R42" s="1"/>
      </tp>
    </main>
    <main first="ice.rtd">
      <tp t="s">
        <v/>
        <stp/>
        <stp>266419M18:LstBlkVol</stp>
        <tr r="L977" s="5"/>
      </tp>
    </main>
    <main first="bofaddin.rtdserver">
      <tp>
        <v>-0.18</v>
        <stp/>
        <stp>BDP|16931349733581837953|222</stp>
        <stp>COZ9COF0 Comdty</stp>
        <stp>BID</stp>
        <stp>Fill=#N/A</stp>
        <tr r="O59" s="1"/>
      </tp>
      <tp>
        <v>2.89</v>
        <stp/>
        <stp>BDP|16545503900834876467|222</stp>
        <stp>XBZ7XBF8 Comdty</stp>
        <stp>BID</stp>
        <stp>Fill=#N/A</stp>
        <tr r="R35" s="1"/>
      </tp>
    </main>
    <main first="esrtd">
      <tp t="s">
        <v/>
        <stp/>
        <stp>TDL 17!-IEU</stp>
        <stp>Block Volume</stp>
        <tr r="O1829" s="5"/>
      </tp>
      <tp t="s">
        <v/>
        <stp/>
        <stp>TDL 27!-IEU</stp>
        <stp>Block Volume</stp>
        <tr r="O1839" s="5"/>
      </tp>
    </main>
    <main first="ice.rtd">
      <tp t="s">
        <v/>
        <stp/>
        <stp>1517M14:LstBlkVol</stp>
        <tr r="L17" s="5"/>
      </tp>
      <tp t="s">
        <v/>
        <stp/>
        <stp>1517M24:LstBlkVol</stp>
        <tr r="L27" s="5"/>
      </tp>
      <tp t="s">
        <v/>
        <stp/>
        <stp>5162M13:LstBlkVol</stp>
        <tr r="L782" s="5"/>
      </tp>
      <tp t="s">
        <v/>
        <stp/>
        <stp>5162M23:LstBlkVol</stp>
        <tr r="L792" s="5"/>
      </tp>
      <tp t="s">
        <v/>
        <stp/>
        <stp>5162M15:LstBlkPrc</stp>
        <tr r="K784" s="5"/>
      </tp>
    </main>
    <main first="bofaddin.rtdserver">
      <tp t="s">
        <v>#N/A Invalid Security</v>
        <stp/>
        <stp>BDP|740193419954596046|222</stp>
        <stp>CLX8 Comdty</stp>
        <stp>ASK</stp>
        <stp>Fill=#N/A</stp>
        <tr r="F45" s="1"/>
      </tp>
    </main>
    <main first="ice.rtd">
      <tp t="s">
        <v/>
        <stp/>
        <stp>1517M12:LstBlkPrc</stp>
        <tr r="K15" s="5"/>
      </tp>
      <tp t="s">
        <v/>
        <stp/>
        <stp>1517M22:LstBlkPrc</stp>
        <tr r="K25" s="5"/>
      </tp>
      <tp t="s">
        <v/>
        <stp/>
        <stp>5162M15:BstHitPrc</stp>
        <tr r="G784" s="5"/>
      </tp>
    </main>
    <main first="bofaddin.rtdserver">
      <tp>
        <v>1422.25</v>
        <stp/>
        <stp>BDP|392676879244108811|222</stp>
        <stp>QSU6 Comdty</stp>
        <stp>ASK</stp>
        <stp>Fill=#N/A</stp>
        <tr r="H19" s="1"/>
      </tp>
    </main>
    <main first="ice.rtd">
      <tp t="s">
        <v/>
        <stp/>
        <stp>1517M22:BstHitPrc</stp>
        <tr r="G25" s="5"/>
      </tp>
      <tp t="s">
        <v/>
        <stp/>
        <stp>1517M12:BstHitPrc</stp>
        <tr r="G15" s="5"/>
      </tp>
      <tp>
        <v>24.5</v>
        <stp/>
        <stp>18901687M9:BstLiftPrc</stp>
        <tr r="H316" s="5"/>
      </tp>
      <tp>
        <v>25.35</v>
        <stp/>
        <stp>18901687M8:BstLiftPrc</stp>
        <tr r="H315" s="5"/>
      </tp>
      <tp>
        <v>25.6</v>
        <stp/>
        <stp>18901687M7:BstLiftPrc</stp>
        <tr r="H314" s="5"/>
      </tp>
      <tp>
        <v>21.3</v>
        <stp/>
        <stp>18901687M6:BstLiftPrc</stp>
        <tr r="H313" s="5"/>
      </tp>
      <tp>
        <v>20.45</v>
        <stp/>
        <stp>18901687M5:BstLiftPrc</stp>
        <tr r="H312" s="5"/>
      </tp>
      <tp>
        <v>19.75</v>
        <stp/>
        <stp>18901687M4:BstLiftPrc</stp>
        <tr r="H311" s="5"/>
      </tp>
      <tp>
        <v>20.100000000000001</v>
        <stp/>
        <stp>18901687M3:BstLiftPrc</stp>
        <tr r="H310" s="5"/>
      </tp>
      <tp>
        <v>24.45</v>
        <stp/>
        <stp>18901687M2:BstLiftPrc</stp>
        <tr r="H309" s="5"/>
      </tp>
      <tp>
        <v>31.25</v>
        <stp/>
        <stp>18901687M1:BstLiftPrc</stp>
        <tr r="H308" s="5"/>
      </tp>
      <tp t="s">
        <v/>
        <stp/>
        <stp>18901687M0:BstLiftPrc</stp>
        <tr r="H307" s="5"/>
      </tp>
      <tp t="s">
        <v/>
        <stp/>
        <stp>18901687Q8:BstLiftPrc</stp>
        <tr r="H340" s="5"/>
      </tp>
      <tp t="s">
        <v/>
        <stp/>
        <stp>18901687Q7:BstLiftPrc</stp>
        <tr r="H339" s="5"/>
      </tp>
      <tp t="s">
        <v/>
        <stp/>
        <stp>18901687Q6:BstLiftPrc</stp>
        <tr r="H338" s="5"/>
      </tp>
      <tp t="s">
        <v/>
        <stp/>
        <stp>18901687Q5:BstLiftPrc</stp>
        <tr r="H337" s="5"/>
      </tp>
      <tp>
        <v>14.9</v>
        <stp/>
        <stp>18901687Q4:BstLiftPrc</stp>
        <tr r="H336" s="5"/>
      </tp>
      <tp>
        <v>23.55</v>
        <stp/>
        <stp>18901687Q3:BstLiftPrc</stp>
        <tr r="H335" s="5"/>
      </tp>
      <tp>
        <v>27.1</v>
        <stp/>
        <stp>18901687Q2:BstLiftPrc</stp>
        <tr r="H334" s="5"/>
      </tp>
      <tp>
        <v>22.45</v>
        <stp/>
        <stp>18901687Q1:BstLiftPrc</stp>
        <tr r="H333" s="5"/>
      </tp>
      <tp>
        <v>27.05</v>
        <stp/>
        <stp>18901687Q0:BstLiftPrc</stp>
        <tr r="H332" s="5"/>
      </tp>
      <tp t="s">
        <v>Invalid Market: 18901687Y2</v>
        <stp/>
        <stp>18901687Y2:BstLiftPrc</stp>
        <tr r="H343" s="5"/>
      </tp>
      <tp t="s">
        <v/>
        <stp/>
        <stp>18901687Y1:BstLiftPrc</stp>
        <tr r="H342" s="5"/>
      </tp>
      <tp>
        <v>22.9</v>
        <stp/>
        <stp>18901687Y0:BstLiftPrc</stp>
        <tr r="H341" s="5"/>
      </tp>
      <tp t="s">
        <v/>
        <stp/>
        <stp>35534143M5:BstLiftPrc</stp>
        <tr r="H713" s="5"/>
      </tp>
      <tp t="s">
        <v/>
        <stp/>
        <stp>35544144M5:BstLiftPrc</stp>
        <tr r="H637" s="5"/>
      </tp>
      <tp t="s">
        <v/>
        <stp/>
        <stp>35554145M5:BstLiftPrc</stp>
        <tr r="H675" s="5"/>
      </tp>
      <tp t="s">
        <v/>
        <stp/>
        <stp>35534143M4:BstLiftPrc</stp>
        <tr r="H712" s="5"/>
      </tp>
      <tp t="s">
        <v/>
        <stp/>
        <stp>35544144M4:BstLiftPrc</stp>
        <tr r="H636" s="5"/>
      </tp>
      <tp t="s">
        <v/>
        <stp/>
        <stp>35554145M4:BstLiftPrc</stp>
        <tr r="H674" s="5"/>
      </tp>
      <tp t="s">
        <v/>
        <stp/>
        <stp>35534143M7:BstLiftPrc</stp>
        <tr r="H715" s="5"/>
      </tp>
      <tp t="s">
        <v/>
        <stp/>
        <stp>35544144M7:BstLiftPrc</stp>
        <tr r="H639" s="5"/>
      </tp>
      <tp t="s">
        <v/>
        <stp/>
        <stp>35554145M7:BstLiftPrc</stp>
        <tr r="H677" s="5"/>
      </tp>
      <tp t="s">
        <v/>
        <stp/>
        <stp>35534143M6:BstLiftPrc</stp>
        <tr r="H714" s="5"/>
      </tp>
      <tp t="s">
        <v/>
        <stp/>
        <stp>35544144M6:BstLiftPrc</stp>
        <tr r="H638" s="5"/>
      </tp>
      <tp t="s">
        <v/>
        <stp/>
        <stp>35554145M6:BstLiftPrc</stp>
        <tr r="H676" s="5"/>
      </tp>
      <tp t="s">
        <v/>
        <stp/>
        <stp>35534143M1:BstLiftPrc</stp>
        <tr r="H709" s="5"/>
      </tp>
      <tp t="s">
        <v/>
        <stp/>
        <stp>35544144M1:BstLiftPrc</stp>
        <tr r="H633" s="5"/>
      </tp>
      <tp t="s">
        <v/>
        <stp/>
        <stp>35554145M1:BstLiftPrc</stp>
        <tr r="Y677" s="5"/>
        <tr r="H671" s="5"/>
      </tp>
      <tp t="s">
        <v/>
        <stp/>
        <stp>35534143M0:BstLiftPrc</stp>
        <tr r="H708" s="5"/>
      </tp>
      <tp t="s">
        <v/>
        <stp/>
        <stp>35544144M0:BstLiftPrc</stp>
        <tr r="H632" s="5"/>
      </tp>
      <tp t="s">
        <v/>
        <stp/>
        <stp>35554145M0:BstLiftPrc</stp>
        <tr r="H670" s="5"/>
      </tp>
      <tp t="s">
        <v/>
        <stp/>
        <stp>35534143M3:BstLiftPrc</stp>
        <tr r="H711" s="5"/>
      </tp>
      <tp t="s">
        <v/>
        <stp/>
        <stp>35544144M3:BstLiftPrc</stp>
        <tr r="H635" s="5"/>
      </tp>
      <tp t="s">
        <v/>
        <stp/>
        <stp>35554145M3:BstLiftPrc</stp>
        <tr r="H673" s="5"/>
      </tp>
      <tp t="s">
        <v/>
        <stp/>
        <stp>35534143M2:BstLiftPrc</stp>
        <tr r="H710" s="5"/>
      </tp>
      <tp t="s">
        <v/>
        <stp/>
        <stp>35544144M2:BstLiftPrc</stp>
        <tr r="H634" s="5"/>
      </tp>
      <tp t="s">
        <v/>
        <stp/>
        <stp>35554145M2:BstLiftPrc</stp>
        <tr r="H672" s="5"/>
      </tp>
      <tp t="s">
        <v/>
        <stp/>
        <stp>35534143M9:BstLiftPrc</stp>
        <tr r="H717" s="5"/>
      </tp>
      <tp t="s">
        <v/>
        <stp/>
        <stp>35544144M9:BstLiftPrc</stp>
        <tr r="H641" s="5"/>
      </tp>
      <tp t="s">
        <v/>
        <stp/>
        <stp>35554145M9:BstLiftPrc</stp>
        <tr r="H679" s="5"/>
      </tp>
      <tp t="s">
        <v/>
        <stp/>
        <stp>35534143M8:BstLiftPrc</stp>
        <tr r="H716" s="5"/>
      </tp>
      <tp t="s">
        <v/>
        <stp/>
        <stp>35544144M8:BstLiftPrc</stp>
        <tr r="H640" s="5"/>
      </tp>
      <tp t="s">
        <v/>
        <stp/>
        <stp>35554145M8:BstLiftPrc</stp>
        <tr r="H678" s="5"/>
      </tp>
      <tp t="s">
        <v/>
        <stp/>
        <stp>30813691M7:BstLiftPrc</stp>
        <tr r="H1960" s="5"/>
      </tp>
      <tp t="s">
        <v/>
        <stp/>
        <stp>30813691M6:BstLiftPrc</stp>
        <tr r="H1959" s="5"/>
      </tp>
      <tp t="s">
        <v/>
        <stp/>
        <stp>30813691M5:BstLiftPrc</stp>
        <tr r="H1958" s="5"/>
      </tp>
      <tp t="s">
        <v/>
        <stp/>
        <stp>30813691M4:BstLiftPrc</stp>
        <tr r="H1957" s="5"/>
      </tp>
      <tp t="s">
        <v/>
        <stp/>
        <stp>30813691M3:BstLiftPrc</stp>
        <tr r="H1956" s="5"/>
      </tp>
      <tp t="s">
        <v/>
        <stp/>
        <stp>30813691M2:BstLiftPrc</stp>
        <tr r="H1955" s="5"/>
      </tp>
      <tp>
        <v>-5.75</v>
        <stp/>
        <stp>30813691M1:BstLiftPrc</stp>
        <tr r="H1954" s="5"/>
      </tp>
      <tp t="s">
        <v/>
        <stp/>
        <stp>30813691M0:BstLiftPrc</stp>
        <tr r="H1953" s="5"/>
      </tp>
      <tp t="s">
        <v/>
        <stp/>
        <stp>30813691M9:BstLiftPrc</stp>
        <tr r="H1962" s="5"/>
      </tp>
      <tp t="s">
        <v/>
        <stp/>
        <stp>30813691M8:BstLiftPrc</stp>
        <tr r="H1961" s="5"/>
      </tp>
      <tp t="s">
        <v/>
        <stp/>
        <stp>30813691Q7:BstLiftPrc</stp>
        <tr r="H1985" s="5"/>
      </tp>
      <tp t="s">
        <v/>
        <stp/>
        <stp>30813691Q6:BstLiftPrc</stp>
        <tr r="H1984" s="5"/>
      </tp>
      <tp t="s">
        <v/>
        <stp/>
        <stp>30813691Q5:BstLiftPrc</stp>
        <tr r="H1983" s="5"/>
      </tp>
      <tp t="s">
        <v/>
        <stp/>
        <stp>30813691Q4:BstLiftPrc</stp>
        <tr r="H1982" s="5"/>
      </tp>
      <tp t="s">
        <v/>
        <stp/>
        <stp>30813691Q3:BstLiftPrc</stp>
        <tr r="H1981" s="5"/>
      </tp>
      <tp>
        <v>-3.5</v>
        <stp/>
        <stp>30813691Q2:BstLiftPrc</stp>
        <tr r="H1980" s="5"/>
      </tp>
      <tp t="s">
        <v/>
        <stp/>
        <stp>30813691Q1:BstLiftPrc</stp>
        <tr r="H1979" s="5"/>
      </tp>
      <tp>
        <v>-3.88</v>
        <stp/>
        <stp>30813691Q0:BstLiftPrc</stp>
        <tr r="H1978" s="5"/>
      </tp>
      <tp t="s">
        <v/>
        <stp/>
        <stp>30813691Q8:BstLiftPrc</stp>
        <tr r="H1986" s="5"/>
      </tp>
      <tp t="s">
        <v/>
        <stp/>
        <stp>35534143Q5:BstLiftPrc</stp>
        <tr r="H738" s="5"/>
      </tp>
      <tp t="s">
        <v/>
        <stp/>
        <stp>35544144Q5:BstLiftPrc</stp>
        <tr r="H662" s="5"/>
      </tp>
      <tp t="s">
        <v/>
        <stp/>
        <stp>35554145Q5:BstLiftPrc</stp>
        <tr r="H700" s="5"/>
      </tp>
      <tp t="s">
        <v/>
        <stp/>
        <stp>35534143Q4:BstLiftPrc</stp>
        <tr r="H737" s="5"/>
      </tp>
      <tp t="s">
        <v/>
        <stp/>
        <stp>35544144Q4:BstLiftPrc</stp>
        <tr r="H661" s="5"/>
      </tp>
      <tp t="s">
        <v/>
        <stp/>
        <stp>35554145Q4:BstLiftPrc</stp>
        <tr r="H699" s="5"/>
      </tp>
      <tp t="s">
        <v/>
        <stp/>
        <stp>35534143Q7:BstLiftPrc</stp>
        <tr r="H740" s="5"/>
      </tp>
      <tp t="s">
        <v/>
        <stp/>
        <stp>35544144Q7:BstLiftPrc</stp>
        <tr r="H664" s="5"/>
      </tp>
      <tp t="s">
        <v/>
        <stp/>
        <stp>35554145Q7:BstLiftPrc</stp>
        <tr r="H702" s="5"/>
      </tp>
      <tp t="s">
        <v/>
        <stp/>
        <stp>35534143Q6:BstLiftPrc</stp>
        <tr r="H739" s="5"/>
      </tp>
      <tp t="s">
        <v/>
        <stp/>
        <stp>35544144Q6:BstLiftPrc</stp>
        <tr r="H663" s="5"/>
      </tp>
      <tp t="s">
        <v/>
        <stp/>
        <stp>35554145Q6:BstLiftPrc</stp>
        <tr r="H701" s="5"/>
      </tp>
      <tp t="s">
        <v/>
        <stp/>
        <stp>35534143Q1:BstLiftPrc</stp>
        <tr r="H734" s="5"/>
      </tp>
      <tp t="s">
        <v/>
        <stp/>
        <stp>35544144Q1:BstLiftPrc</stp>
        <tr r="H658" s="5"/>
      </tp>
      <tp t="s">
        <v/>
        <stp/>
        <stp>35554145Q1:BstLiftPrc</stp>
        <tr r="H696" s="5"/>
      </tp>
      <tp t="s">
        <v/>
        <stp/>
        <stp>35534143Q0:BstLiftPrc</stp>
        <tr r="H733" s="5"/>
      </tp>
      <tp>
        <v>-34</v>
        <stp/>
        <stp>35544144Q0:BstLiftPrc</stp>
        <tr r="H657" s="5"/>
      </tp>
      <tp t="s">
        <v/>
        <stp/>
        <stp>35554145Q0:BstLiftPrc</stp>
        <tr r="H695" s="5"/>
      </tp>
      <tp t="s">
        <v/>
        <stp/>
        <stp>35534143Q3:BstLiftPrc</stp>
        <tr r="H736" s="5"/>
      </tp>
      <tp t="s">
        <v/>
        <stp/>
        <stp>35544144Q3:BstLiftPrc</stp>
        <tr r="H660" s="5"/>
      </tp>
      <tp t="s">
        <v/>
        <stp/>
        <stp>35554145Q3:BstLiftPrc</stp>
        <tr r="H698" s="5"/>
      </tp>
      <tp t="s">
        <v/>
        <stp/>
        <stp>35534143Q2:BstLiftPrc</stp>
        <tr r="H735" s="5"/>
      </tp>
      <tp t="s">
        <v/>
        <stp/>
        <stp>35544144Q2:BstLiftPrc</stp>
        <tr r="H659" s="5"/>
      </tp>
      <tp t="s">
        <v/>
        <stp/>
        <stp>35554145Q2:BstLiftPrc</stp>
        <tr r="H697" s="5"/>
      </tp>
      <tp t="s">
        <v/>
        <stp/>
        <stp>35534143Q8:BstLiftPrc</stp>
        <tr r="H741" s="5"/>
      </tp>
      <tp t="s">
        <v/>
        <stp/>
        <stp>35544144Q8:BstLiftPrc</stp>
        <tr r="H665" s="5"/>
      </tp>
      <tp t="s">
        <v/>
        <stp/>
        <stp>35554145Q8:BstLiftPrc</stp>
        <tr r="H703" s="5"/>
      </tp>
      <tp t="s">
        <v/>
        <stp/>
        <stp>30813691Y2:BstLiftPrc</stp>
        <tr r="H1989" s="5"/>
      </tp>
      <tp t="s">
        <v/>
        <stp/>
        <stp>30813691Y1:BstLiftPrc</stp>
        <tr r="H1988" s="5"/>
      </tp>
      <tp t="s">
        <v/>
        <stp/>
        <stp>30813691Y0:BstLiftPrc</stp>
        <tr r="H1987" s="5"/>
      </tp>
      <tp t="s">
        <v/>
        <stp/>
        <stp>35534143Y1:BstLiftPrc</stp>
        <tr r="H743" s="5"/>
      </tp>
      <tp t="s">
        <v/>
        <stp/>
        <stp>35544144Y1:BstLiftPrc</stp>
        <tr r="H667" s="5"/>
      </tp>
      <tp t="s">
        <v/>
        <stp/>
        <stp>35554145Y1:BstLiftPrc</stp>
        <tr r="H705" s="5"/>
      </tp>
      <tp t="s">
        <v/>
        <stp/>
        <stp>35534143Y0:BstLiftPrc</stp>
        <tr r="H742" s="5"/>
      </tp>
      <tp t="s">
        <v/>
        <stp/>
        <stp>35544144Y0:BstLiftPrc</stp>
        <tr r="H666" s="5"/>
      </tp>
      <tp t="s">
        <v/>
        <stp/>
        <stp>35554145Y0:BstLiftPrc</stp>
        <tr r="H704" s="5"/>
      </tp>
      <tp t="s">
        <v/>
        <stp/>
        <stp>35534143Y2:BstLiftPrc</stp>
        <tr r="H744" s="5"/>
      </tp>
      <tp t="s">
        <v/>
        <stp/>
        <stp>35544144Y2:BstLiftPrc</stp>
        <tr r="H668" s="5"/>
      </tp>
      <tp t="s">
        <v/>
        <stp/>
        <stp>35554145Y2:BstLiftPrc</stp>
        <tr r="H706" s="5"/>
      </tp>
      <tp t="s">
        <v/>
        <stp/>
        <stp>15091310M7:BstLiftPrc</stp>
        <tr r="H1384" s="5"/>
      </tp>
      <tp t="s">
        <v/>
        <stp/>
        <stp>15091310M6:BstLiftPrc</stp>
        <tr r="H1383" s="5"/>
      </tp>
      <tp t="s">
        <v/>
        <stp/>
        <stp>15091310M5:BstLiftPrc</stp>
        <tr r="H1382" s="5"/>
      </tp>
      <tp t="s">
        <v/>
        <stp/>
        <stp>15091310M4:BstLiftPrc</stp>
        <tr r="H1381" s="5"/>
      </tp>
      <tp t="s">
        <v/>
        <stp/>
        <stp>15091310M3:BstLiftPrc</stp>
        <tr r="H1380" s="5"/>
      </tp>
      <tp t="s">
        <v/>
        <stp/>
        <stp>15091310M2:BstLiftPrc</stp>
        <tr r="H1379" s="5"/>
      </tp>
      <tp t="s">
        <v/>
        <stp/>
        <stp>15091310M1:BstLiftPrc</stp>
        <tr r="H1378" s="5"/>
      </tp>
      <tp t="s">
        <v/>
        <stp/>
        <stp>15091310M0:BstLiftPrc</stp>
        <tr r="H1377" s="5"/>
      </tp>
      <tp t="s">
        <v/>
        <stp/>
        <stp>15091310M9:BstLiftPrc</stp>
        <tr r="H1386" s="5"/>
      </tp>
      <tp t="s">
        <v/>
        <stp/>
        <stp>15091310M8:BstLiftPrc</stp>
        <tr r="H1385" s="5"/>
      </tp>
      <tp t="s">
        <v/>
        <stp/>
        <stp>15091310Q7:BstLiftPrc</stp>
        <tr r="H1409" s="5"/>
      </tp>
      <tp t="s">
        <v/>
        <stp/>
        <stp>15091310Q6:BstLiftPrc</stp>
        <tr r="H1408" s="5"/>
      </tp>
      <tp t="s">
        <v/>
        <stp/>
        <stp>15091310Q5:BstLiftPrc</stp>
        <tr r="H1407" s="5"/>
      </tp>
      <tp t="s">
        <v/>
        <stp/>
        <stp>15091310Q4:BstLiftPrc</stp>
        <tr r="H1406" s="5"/>
      </tp>
      <tp t="s">
        <v/>
        <stp/>
        <stp>15091310Q3:BstLiftPrc</stp>
        <tr r="H1405" s="5"/>
      </tp>
      <tp t="s">
        <v/>
        <stp/>
        <stp>15091310Q2:BstLiftPrc</stp>
        <tr r="H1404" s="5"/>
      </tp>
      <tp t="s">
        <v/>
        <stp/>
        <stp>15091310Q1:BstLiftPrc</stp>
        <tr r="H1403" s="5"/>
      </tp>
      <tp t="s">
        <v/>
        <stp/>
        <stp>15091310Q0:BstLiftPrc</stp>
        <tr r="H1402" s="5"/>
      </tp>
      <tp t="s">
        <v/>
        <stp/>
        <stp>15091310Q8:BstLiftPrc</stp>
        <tr r="H1410" s="5"/>
      </tp>
      <tp t="s">
        <v/>
        <stp/>
        <stp>15091310Y2:BstLiftPrc</stp>
        <tr r="H1413" s="5"/>
      </tp>
      <tp t="s">
        <v/>
        <stp/>
        <stp>15091310Y1:BstLiftPrc</stp>
        <tr r="H1412" s="5"/>
      </tp>
      <tp t="s">
        <v/>
        <stp/>
        <stp>15091310Y0:BstLiftPrc</stp>
        <tr r="H1411" s="5"/>
      </tp>
      <tp t="s">
        <v/>
        <stp/>
        <stp>2181524588B0:BstLiftPrc</stp>
        <tr r="H1452" s="5"/>
      </tp>
      <tp t="s">
        <v/>
        <stp/>
        <stp>1986923076Q8:BstLiftPrc</stp>
        <tr r="H188" s="5"/>
      </tp>
      <tp>
        <v>2</v>
        <stp/>
        <stp>1986923076Q2:BstLiftPrc</stp>
        <tr r="H182" s="5"/>
      </tp>
      <tp>
        <v>3.95</v>
        <stp/>
        <stp>1986923076Q3:BstLiftPrc</stp>
        <tr r="H183" s="5"/>
      </tp>
      <tp>
        <v>2.4</v>
        <stp/>
        <stp>1986923076Q0:BstLiftPrc</stp>
        <tr r="H180" s="5"/>
      </tp>
      <tp>
        <v>3</v>
        <stp/>
        <stp>1986923076Q1:BstLiftPrc</stp>
        <tr r="H181" s="5"/>
      </tp>
      <tp t="s">
        <v/>
        <stp/>
        <stp>1986923076Q6:BstLiftPrc</stp>
        <tr r="H186" s="5"/>
      </tp>
      <tp t="s">
        <v/>
        <stp/>
        <stp>1986923076Q7:BstLiftPrc</stp>
        <tr r="H187" s="5"/>
      </tp>
      <tp>
        <v>3.95</v>
        <stp/>
        <stp>1986923076Q4:BstLiftPrc</stp>
        <tr r="H184" s="5"/>
      </tp>
      <tp t="s">
        <v/>
        <stp/>
        <stp>1986923076Q5:BstLiftPrc</stp>
        <tr r="H185" s="5"/>
      </tp>
      <tp t="s">
        <v/>
        <stp/>
        <stp>1986923076Y2:BstLiftPrc</stp>
        <tr r="H191" s="5"/>
      </tp>
      <tp t="s">
        <v/>
        <stp/>
        <stp>1986923076Y0:BstLiftPrc</stp>
        <tr r="H189" s="5"/>
      </tp>
      <tp t="s">
        <v/>
        <stp/>
        <stp>1986923076Y1:BstLiftPrc</stp>
        <tr r="H190" s="5"/>
      </tp>
      <tp t="s">
        <v/>
        <stp/>
        <stp>1986923076M8:BstLiftPrc</stp>
        <tr r="H163" s="5"/>
      </tp>
      <tp t="s">
        <v/>
        <stp/>
        <stp>1986923076M9:BstLiftPrc</stp>
        <tr r="H164" s="5"/>
      </tp>
      <tp>
        <v>1.65</v>
        <stp/>
        <stp>1986923076M2:BstLiftPrc</stp>
        <tr r="H157" s="5"/>
      </tp>
      <tp>
        <v>3</v>
        <stp/>
        <stp>1986923076M3:BstLiftPrc</stp>
        <tr r="H158" s="5"/>
      </tp>
      <tp t="s">
        <v/>
        <stp/>
        <stp>1986923076M0:BstLiftPrc</stp>
        <tr r="H155" s="5"/>
      </tp>
      <tp>
        <v>-1.6</v>
        <stp/>
        <stp>1986923076M1:BstLiftPrc</stp>
        <tr r="H156" s="5"/>
      </tp>
      <tp t="s">
        <v/>
        <stp/>
        <stp>1986923076M6:BstLiftPrc</stp>
        <tr r="H161" s="5"/>
      </tp>
      <tp t="s">
        <v/>
        <stp/>
        <stp>1986923076M7:BstLiftPrc</stp>
        <tr r="H162" s="5"/>
      </tp>
      <tp t="s">
        <v/>
        <stp/>
        <stp>1986923076M4:BstLiftPrc</stp>
        <tr r="H159" s="5"/>
      </tp>
      <tp t="s">
        <v/>
        <stp/>
        <stp>1986923076M5:BstLiftPrc</stp>
        <tr r="H160" s="5"/>
      </tp>
      <tp t="s">
        <v/>
        <stp/>
        <stp>5162Y0:LstBlkTime</stp>
        <tr r="M803" s="5"/>
      </tp>
      <tp t="s">
        <v/>
        <stp/>
        <stp>5162Y1:LstBlkTime</stp>
        <tr r="M804" s="5"/>
      </tp>
      <tp t="s">
        <v/>
        <stp/>
        <stp>5162Y2:LstBlkTime</stp>
        <tr r="M805" s="5"/>
      </tp>
      <tp t="s">
        <v/>
        <stp/>
        <stp>5162Q0:LstBlkTime</stp>
        <tr r="M794" s="5"/>
      </tp>
      <tp t="s">
        <v/>
        <stp/>
        <stp>5162Q1:LstBlkTime</stp>
        <tr r="M795" s="5"/>
      </tp>
      <tp t="s">
        <v/>
        <stp/>
        <stp>5162Q2:LstBlkTime</stp>
        <tr r="M796" s="5"/>
      </tp>
      <tp t="s">
        <v/>
        <stp/>
        <stp>5162Q3:LstBlkTime</stp>
        <tr r="M797" s="5"/>
      </tp>
      <tp t="s">
        <v/>
        <stp/>
        <stp>5162Q4:LstBlkTime</stp>
        <tr r="M798" s="5"/>
      </tp>
      <tp t="s">
        <v/>
        <stp/>
        <stp>5162Q5:LstBlkTime</stp>
        <tr r="M799" s="5"/>
      </tp>
      <tp t="s">
        <v/>
        <stp/>
        <stp>5162Q6:LstBlkTime</stp>
        <tr r="M800" s="5"/>
      </tp>
      <tp t="s">
        <v/>
        <stp/>
        <stp>5162Q7:LstBlkTime</stp>
        <tr r="M801" s="5"/>
      </tp>
      <tp t="s">
        <v/>
        <stp/>
        <stp>5162Q8:LstBlkTime</stp>
        <tr r="M802" s="5"/>
      </tp>
      <tp t="s">
        <v/>
        <stp/>
        <stp>5162M0:LstBlkTime</stp>
        <tr r="M769" s="5"/>
      </tp>
      <tp t="s">
        <v>10:00:21</v>
        <stp/>
        <stp>5162M1:LstBlkTime</stp>
        <tr r="M770" s="5"/>
      </tp>
      <tp t="s">
        <v/>
        <stp/>
        <stp>5162M2:LstBlkTime</stp>
        <tr r="M771" s="5"/>
      </tp>
      <tp t="s">
        <v/>
        <stp/>
        <stp>5162M3:LstBlkTime</stp>
        <tr r="M772" s="5"/>
      </tp>
      <tp t="s">
        <v/>
        <stp/>
        <stp>5162M4:LstBlkTime</stp>
        <tr r="M773" s="5"/>
      </tp>
      <tp t="s">
        <v/>
        <stp/>
        <stp>5162M5:LstBlkTime</stp>
        <tr r="M774" s="5"/>
      </tp>
      <tp t="s">
        <v/>
        <stp/>
        <stp>5162M6:LstBlkTime</stp>
        <tr r="M775" s="5"/>
      </tp>
      <tp t="s">
        <v/>
        <stp/>
        <stp>5162M7:LstBlkTime</stp>
        <tr r="M776" s="5"/>
      </tp>
      <tp t="s">
        <v/>
        <stp/>
        <stp>5162M8:LstBlkTime</stp>
        <tr r="M777" s="5"/>
      </tp>
      <tp t="s">
        <v/>
        <stp/>
        <stp>5162M9:LstBlkTime</stp>
        <tr r="M778" s="5"/>
      </tp>
      <tp t="s">
        <v/>
        <stp/>
        <stp>141587M15:BstHitPrc</stp>
        <tr r="G56" s="5"/>
      </tp>
    </main>
    <main first="esrtd">
      <tp t="s">
        <v/>
        <stp/>
        <stp>TEN U26-IEU</stp>
        <stp>ICE Theoretical Price</stp>
        <tr r="W1111" s="5"/>
      </tp>
      <tp t="s">
        <v/>
        <stp/>
        <stp>TEO U27-IEU</stp>
        <stp>ICE Theoretical Price</stp>
        <tr r="W1009" s="5"/>
      </tp>
      <tp t="s">
        <v/>
        <stp/>
        <stp>ISO H27-IEU</stp>
        <stp>ICE Theoretical Price</stp>
        <tr r="W1459" s="5"/>
      </tp>
      <tp t="s">
        <v/>
        <stp/>
        <stp>ISO J27-IEU</stp>
        <stp>ICE Theoretical Price</stp>
        <tr r="W1460" s="5"/>
      </tp>
      <tp t="s">
        <v/>
        <stp/>
        <stp>TEN V26-IEU</stp>
        <stp>ICE Theoretical Price</stp>
        <tr r="W1112" s="5"/>
      </tp>
      <tp t="s">
        <v/>
        <stp/>
        <stp>TEO V27-IEU</stp>
        <stp>ICE Theoretical Price</stp>
        <tr r="W1010" s="5"/>
      </tp>
      <tp t="s">
        <v/>
        <stp/>
        <stp>ISO K27-IEU</stp>
        <stp>ICE Theoretical Price</stp>
        <tr r="W1461" s="5"/>
      </tp>
      <tp t="s">
        <v/>
        <stp/>
        <stp>TEO Q27-IEU</stp>
        <stp>ICE Theoretical Price</stp>
        <tr r="W1008" s="5"/>
      </tp>
      <tp t="s">
        <v/>
        <stp/>
        <stp>ISO M27-IEU</stp>
        <stp>ICE Theoretical Price</stp>
        <tr r="W1462" s="5"/>
      </tp>
      <tp t="s">
        <v/>
        <stp/>
        <stp>ISO N27-IEU</stp>
        <stp>ICE Theoretical Price</stp>
        <tr r="W1463" s="5"/>
      </tp>
      <tp t="s">
        <v/>
        <stp/>
        <stp>TEN X26-IEU</stp>
        <stp>ICE Theoretical Price</stp>
        <tr r="W1113" s="5"/>
      </tp>
      <tp t="s">
        <v/>
        <stp/>
        <stp>TEO X27-IEU</stp>
        <stp>ICE Theoretical Price</stp>
        <tr r="W1011" s="5"/>
      </tp>
      <tp t="s">
        <v/>
        <stp/>
        <stp>ISO F27-IEU</stp>
        <stp>ICE Theoretical Price</stp>
        <tr r="W1457" s="5"/>
      </tp>
      <tp t="s">
        <v/>
        <stp/>
        <stp>TEN Z26-IEU</stp>
        <stp>ICE Theoretical Price</stp>
        <tr r="W1114" s="5"/>
      </tp>
      <tp t="s">
        <v/>
        <stp/>
        <stp>TEO Z27-IEU</stp>
        <stp>ICE Theoretical Price</stp>
        <tr r="W1012" s="5"/>
      </tp>
      <tp t="s">
        <v/>
        <stp/>
        <stp>ISO G27-IEU</stp>
        <stp>ICE Theoretical Price</stp>
        <tr r="W1458" s="5"/>
      </tp>
      <tp t="s">
        <v/>
        <stp/>
        <stp>ISO X27-IEU</stp>
        <stp>ICE Theoretical Price</stp>
        <tr r="W1467" s="5"/>
      </tp>
      <tp t="s">
        <v/>
        <stp/>
        <stp>TEO G27-IEU</stp>
        <stp>ICE Theoretical Price</stp>
        <tr r="W1002" s="5"/>
      </tp>
      <tp t="s">
        <v/>
        <stp/>
        <stp>ISO Z27-IEU</stp>
        <stp>ICE Theoretical Price</stp>
        <tr r="W1468" s="5"/>
      </tp>
      <tp t="s">
        <v/>
        <stp/>
        <stp>TEO F27-IEU</stp>
        <stp>ICE Theoretical Price</stp>
        <tr r="W1001" s="5"/>
      </tp>
      <tp t="s">
        <v/>
        <stp/>
        <stp>APN U26-IEU</stp>
        <stp>ICE Theoretical Price</stp>
        <tr r="W1225" s="5"/>
      </tp>
      <tp t="s">
        <v/>
        <stp/>
        <stp>APN V26-IEU</stp>
        <stp>ICE Theoretical Price</stp>
        <tr r="W1226" s="5"/>
      </tp>
      <tp t="s">
        <v/>
        <stp/>
        <stp>TEO M27-IEU</stp>
        <stp>ICE Theoretical Price</stp>
        <tr r="W1006" s="5"/>
      </tp>
      <tp t="s">
        <v/>
        <stp/>
        <stp>APN X26-IEU</stp>
        <stp>ICE Theoretical Price</stp>
        <tr r="W1227" s="5"/>
      </tp>
      <tp t="s">
        <v/>
        <stp/>
        <stp>ISO Q27-IEU</stp>
        <stp>ICE Theoretical Price</stp>
        <tr r="W1464" s="5"/>
      </tp>
      <tp t="s">
        <v/>
        <stp/>
        <stp>APN Z26-IEU</stp>
        <stp>ICE Theoretical Price</stp>
        <tr r="W1228" s="5"/>
      </tp>
      <tp t="s">
        <v/>
        <stp/>
        <stp>TEO N27-IEU</stp>
        <stp>ICE Theoretical Price</stp>
        <tr r="W1007" s="5"/>
      </tp>
      <tp t="s">
        <v/>
        <stp/>
        <stp>TEO H27-IEU</stp>
        <stp>ICE Theoretical Price</stp>
        <tr r="W1003" s="5"/>
      </tp>
      <tp t="s">
        <v/>
        <stp/>
        <stp>ISO U27-IEU</stp>
        <stp>ICE Theoretical Price</stp>
        <tr r="W1465" s="5"/>
      </tp>
      <tp t="s">
        <v/>
        <stp/>
        <stp>TEO K27-IEU</stp>
        <stp>ICE Theoretical Price</stp>
        <tr r="W1005" s="5"/>
      </tp>
      <tp t="s">
        <v/>
        <stp/>
        <stp>ISO V27-IEU</stp>
        <stp>ICE Theoretical Price</stp>
        <tr r="W1466" s="5"/>
      </tp>
      <tp t="s">
        <v/>
        <stp/>
        <stp>TEO J27-IEU</stp>
        <stp>ICE Theoretical Price</stp>
        <tr r="W1004" s="5"/>
      </tp>
    </main>
    <main first="ice.rtd">
      <tp t="s">
        <v/>
        <stp/>
        <stp>141587M15:LstBlkPrc</stp>
        <tr r="K56" s="5"/>
      </tp>
    </main>
    <main first="bofaddin.rtdserver">
      <tp>
        <v>7</v>
        <stp/>
        <stp>BDP|16118798680714656046|222</stp>
        <stp>QSN8QSQ8 Comdty</stp>
        <stp>BID</stp>
        <stp>Fill=#N/A</stp>
        <tr r="P42" s="1"/>
      </tp>
    </main>
    <main first="esrtd">
      <tp t="s">
        <v/>
        <stp/>
        <stp>WDF 26!-IEU</stp>
        <stp>Block Volume</stp>
        <tr r="O1803" s="5"/>
      </tp>
      <tp t="s">
        <v/>
        <stp/>
        <stp>WDF 16!-IEU</stp>
        <stp>Block Volume</stp>
        <tr r="O1793" s="5"/>
      </tp>
    </main>
    <main first="ice.rtd">
      <tp t="s">
        <v/>
        <stp/>
        <stp>141587M13:LstBlkVol</stp>
        <tr r="L54" s="5"/>
      </tp>
      <tp t="s">
        <v/>
        <stp/>
        <stp>141587M23:LstBlkVol</stp>
        <tr r="L64" s="5"/>
      </tp>
      <tp t="s">
        <v/>
        <stp/>
        <stp>266419M19:LstBlkVol</stp>
        <tr r="L978" s="5"/>
      </tp>
    </main>
    <main first="esrtd">
      <tp t="s">
        <v/>
        <stp/>
        <stp>TDL 16!-IEU</stp>
        <stp>Block Volume</stp>
        <tr r="O1828" s="5"/>
      </tp>
      <tp t="s">
        <v/>
        <stp/>
        <stp>TDL 26!-IEU</stp>
        <stp>Block Volume</stp>
        <tr r="O1838" s="5"/>
      </tp>
    </main>
    <main first="bofaddin.rtdserver">
      <tp t="s">
        <v>#N/A Real Time</v>
        <stp/>
        <stp>BDP|5676030577974762280|22</stp>
        <stp>QSQ6C 1500.00 Comdty</stp>
        <stp>DELTA_LAST_RT</stp>
        <tr r="J81" s="23"/>
      </tp>
    </main>
    <main first="ice.rtd">
      <tp t="s">
        <v/>
        <stp/>
        <stp>1517M15:LstBlkVol</stp>
        <tr r="L18" s="5"/>
      </tp>
      <tp t="s">
        <v/>
        <stp/>
        <stp>5162M12:LstBlkVol</stp>
        <tr r="L781" s="5"/>
      </tp>
      <tp t="s">
        <v/>
        <stp/>
        <stp>5162M22:LstBlkVol</stp>
        <tr r="L791" s="5"/>
      </tp>
      <tp t="s">
        <v/>
        <stp/>
        <stp>5162M14:LstBlkPrc</stp>
        <tr r="K783" s="5"/>
      </tp>
      <tp t="s">
        <v/>
        <stp/>
        <stp>5162M24:LstBlkPrc</stp>
        <tr r="K793" s="5"/>
      </tp>
      <tp t="s">
        <v/>
        <stp/>
        <stp>1517M13:LstBlkPrc</stp>
        <tr r="K16" s="5"/>
      </tp>
      <tp t="s">
        <v/>
        <stp/>
        <stp>1517M23:LstBlkPrc</stp>
        <tr r="K26" s="5"/>
      </tp>
      <tp t="s">
        <v/>
        <stp/>
        <stp>5162M24:BstHitPrc</stp>
        <tr r="G793" s="5"/>
      </tp>
      <tp t="s">
        <v/>
        <stp/>
        <stp>5162M14:BstHitPrc</stp>
        <tr r="G783" s="5"/>
      </tp>
    </main>
    <main first="bofaddin.rtdserver">
      <tp t="s">
        <v>#N/A Invalid Security</v>
        <stp/>
        <stp>BDP|418453217002845170|222</stp>
        <stp>CLQ9 Comdty</stp>
        <stp>BID</stp>
        <stp>Fill=#N/A</stp>
        <tr r="F54" s="1"/>
      </tp>
    </main>
    <main first="ice.rtd">
      <tp t="s">
        <v/>
        <stp/>
        <stp>1517M23:BstHitPrc</stp>
        <tr r="G26" s="5"/>
      </tp>
      <tp t="s">
        <v/>
        <stp/>
        <stp>1517M13:BstHitPrc</stp>
        <tr r="G16" s="5"/>
      </tp>
      <tp t="s">
        <v>Invalid Market: B0</v>
        <stp/>
        <stp>B0:BstLiftPrc</stp>
        <tr r="H1148" s="5"/>
        <tr r="H1034" s="5"/>
      </tp>
      <tp t="s">
        <v>09:42:56</v>
        <stp/>
        <stp>141587M9:LstBlkTime</stp>
        <tr r="M50" s="5"/>
      </tp>
      <tp t="s">
        <v>09:42:56</v>
        <stp/>
        <stp>141587M8:LstBlkTime</stp>
        <tr r="M49" s="5"/>
      </tp>
      <tp t="s">
        <v>10:06:10</v>
        <stp/>
        <stp>141587M5:LstBlkTime</stp>
        <tr r="M46" s="5"/>
      </tp>
      <tp t="s">
        <v>10:32:19</v>
        <stp/>
        <stp>141587M4:LstBlkTime</stp>
        <tr r="M45" s="5"/>
      </tp>
      <tp t="s">
        <v/>
        <stp/>
        <stp>141587M7:LstBlkTime</stp>
        <tr r="M48" s="5"/>
      </tp>
      <tp t="s">
        <v/>
        <stp/>
        <stp>141587M6:LstBlkTime</stp>
        <tr r="M47" s="5"/>
      </tp>
      <tp t="s">
        <v>10:34:52</v>
        <stp/>
        <stp>141587M1:LstBlkTime</stp>
        <tr r="M42" s="5"/>
      </tp>
      <tp t="s">
        <v/>
        <stp/>
        <stp>141587M0:LstBlkTime</stp>
        <tr r="M41" s="5"/>
      </tp>
      <tp t="s">
        <v>10:32:55</v>
        <stp/>
        <stp>141587M3:LstBlkTime</stp>
        <tr r="M44" s="5"/>
      </tp>
      <tp t="s">
        <v>10:55:52</v>
        <stp/>
        <stp>141587M2:LstBlkTime</stp>
        <tr r="M43" s="5"/>
      </tp>
      <tp t="s">
        <v/>
        <stp/>
        <stp>141587Q8:LstBlkTime</stp>
        <tr r="M74" s="5"/>
      </tp>
      <tp t="s">
        <v/>
        <stp/>
        <stp>141587Q5:LstBlkTime</stp>
        <tr r="M71" s="5"/>
      </tp>
      <tp t="s">
        <v/>
        <stp/>
        <stp>141587Q4:LstBlkTime</stp>
        <tr r="M70" s="5"/>
      </tp>
      <tp t="s">
        <v/>
        <stp/>
        <stp>141587Q7:LstBlkTime</stp>
        <tr r="M73" s="5"/>
      </tp>
      <tp t="s">
        <v/>
        <stp/>
        <stp>141587Q6:LstBlkTime</stp>
        <tr r="M72" s="5"/>
      </tp>
      <tp t="s">
        <v>10:56:14</v>
        <stp/>
        <stp>141587Q1:LstBlkTime</stp>
        <tr r="M67" s="5"/>
      </tp>
      <tp t="s">
        <v/>
        <stp/>
        <stp>141587Q0:LstBlkTime</stp>
        <tr r="M66" s="5"/>
      </tp>
      <tp t="s">
        <v/>
        <stp/>
        <stp>141587Q3:LstBlkTime</stp>
        <tr r="M69" s="5"/>
      </tp>
      <tp t="s">
        <v/>
        <stp/>
        <stp>141587Q2:LstBlkTime</stp>
        <tr r="M68" s="5"/>
      </tp>
      <tp t="s">
        <v/>
        <stp/>
        <stp>141587Y1:LstBlkTime</stp>
        <tr r="M76" s="5"/>
      </tp>
      <tp t="s">
        <v/>
        <stp/>
        <stp>141587Y0:LstBlkTime</stp>
        <tr r="M75" s="5"/>
      </tp>
      <tp t="s">
        <v/>
        <stp/>
        <stp>141587Y2:LstBlkTime</stp>
        <tr r="M77" s="5"/>
      </tp>
      <tp>
        <v>-3.79</v>
        <stp/>
        <stp>18851683M9:BstLiftPrc</stp>
        <tr r="H202" s="5"/>
      </tp>
      <tp>
        <v>-3.42</v>
        <stp/>
        <stp>18851683M8:BstLiftPrc</stp>
        <tr r="H201" s="5"/>
      </tp>
      <tp>
        <v>-3.01</v>
        <stp/>
        <stp>18851683M7:BstLiftPrc</stp>
        <tr r="H200" s="5"/>
      </tp>
      <tp>
        <v>-2.1</v>
        <stp/>
        <stp>18851683M6:BstLiftPrc</stp>
        <tr r="H199" s="5"/>
      </tp>
      <tp>
        <v>-1.41</v>
        <stp/>
        <stp>18851683M5:BstLiftPrc</stp>
        <tr r="H198" s="5"/>
      </tp>
      <tp>
        <v>-1.04</v>
        <stp/>
        <stp>18851683M4:BstLiftPrc</stp>
        <tr r="H197" s="5"/>
      </tp>
      <tp>
        <v>-1.07</v>
        <stp/>
        <stp>18851683M3:BstLiftPrc</stp>
        <tr r="H196" s="5"/>
      </tp>
      <tp>
        <v>-0.56000000000000005</v>
        <stp/>
        <stp>18851683M2:BstLiftPrc</stp>
        <tr r="H195" s="5"/>
      </tp>
      <tp>
        <v>-0.3</v>
        <stp/>
        <stp>18851683M1:BstLiftPrc</stp>
        <tr r="H194" s="5"/>
        <tr r="AA171" s="5"/>
      </tp>
      <tp t="s">
        <v/>
        <stp/>
        <stp>18851683M0:BstLiftPrc</stp>
        <tr r="H193" s="5"/>
      </tp>
      <tp t="s">
        <v/>
        <stp/>
        <stp>18851683Q8:BstLiftPrc</stp>
        <tr r="H226" s="5"/>
      </tp>
      <tp t="s">
        <v/>
        <stp/>
        <stp>18851683Q7:BstLiftPrc</stp>
        <tr r="H225" s="5"/>
      </tp>
      <tp t="s">
        <v/>
        <stp/>
        <stp>18851683Q6:BstLiftPrc</stp>
        <tr r="H224" s="5"/>
      </tp>
      <tp t="s">
        <v/>
        <stp/>
        <stp>18851683Q5:BstLiftPrc</stp>
        <tr r="H223" s="5"/>
      </tp>
      <tp>
        <v>-4.3899999999999997</v>
        <stp/>
        <stp>18851683Q4:BstLiftPrc</stp>
        <tr r="H222" s="5"/>
      </tp>
      <tp>
        <v>-4.1900000000000004</v>
        <stp/>
        <stp>18851683Q3:BstLiftPrc</stp>
        <tr r="H221" s="5"/>
      </tp>
      <tp>
        <v>-3.4</v>
        <stp/>
        <stp>18851683Q2:BstLiftPrc</stp>
        <tr r="H220" s="5"/>
      </tp>
      <tp>
        <v>-1.51</v>
        <stp/>
        <stp>18851683Q1:BstLiftPrc</stp>
        <tr r="H219" s="5"/>
      </tp>
      <tp>
        <v>-0.65</v>
        <stp/>
        <stp>18851683Q0:BstLiftPrc</stp>
        <tr r="H218" s="5"/>
      </tp>
      <tp t="s">
        <v/>
        <stp/>
        <stp>18851683Y2:BstLiftPrc</stp>
        <tr r="H229" s="5"/>
      </tp>
      <tp t="s">
        <v/>
        <stp/>
        <stp>18851683Y1:BstLiftPrc</stp>
        <tr r="H228" s="5"/>
      </tp>
      <tp>
        <v>-3.38</v>
        <stp/>
        <stp>18851683Y0:BstLiftPrc</stp>
        <tr r="H227" s="5"/>
      </tp>
      <tp t="s">
        <v/>
        <stp/>
        <stp>15141311T7:BstLiftPrc</stp>
        <tr r="H1535" s="5"/>
      </tp>
      <tp t="s">
        <v/>
        <stp/>
        <stp>15141311T6:BstLiftPrc</stp>
        <tr r="H1534" s="5"/>
      </tp>
      <tp t="s">
        <v/>
        <stp/>
        <stp>15141311T5:BstLiftPrc</stp>
        <tr r="H1533" s="5"/>
      </tp>
      <tp t="s">
        <v/>
        <stp/>
        <stp>15141311T4:BstLiftPrc</stp>
        <tr r="H1532" s="5"/>
      </tp>
      <tp t="s">
        <v/>
        <stp/>
        <stp>15141311T3:BstLiftPrc</stp>
        <tr r="H1531" s="5"/>
      </tp>
      <tp t="s">
        <v/>
        <stp/>
        <stp>15141311T2:BstLiftPrc</stp>
        <tr r="H1530" s="5"/>
      </tp>
      <tp t="s">
        <v/>
        <stp/>
        <stp>15141311T1:BstLiftPrc</stp>
        <tr r="H1529" s="5"/>
      </tp>
      <tp t="s">
        <v/>
        <stp/>
        <stp>15141311T0:BstLiftPrc</stp>
        <tr r="H1528" s="5"/>
      </tp>
      <tp t="s">
        <v/>
        <stp/>
        <stp>15141311T8:BstLiftPrc</stp>
        <tr r="H1536" s="5"/>
      </tp>
      <tp>
        <v>54</v>
        <stp/>
        <stp>18871685M9:BstLiftPrc</stp>
        <tr r="H430" s="5"/>
      </tp>
      <tp>
        <v>55.75</v>
        <stp/>
        <stp>18871685M8:BstLiftPrc</stp>
        <tr r="H429" s="5"/>
      </tp>
      <tp>
        <v>58</v>
        <stp/>
        <stp>18871685M7:BstLiftPrc</stp>
        <tr r="H428" s="5"/>
      </tp>
      <tp>
        <v>61.5</v>
        <stp/>
        <stp>18871685M6:BstLiftPrc</stp>
        <tr r="H427" s="5"/>
      </tp>
      <tp>
        <v>65</v>
        <stp/>
        <stp>18871685M5:BstLiftPrc</stp>
        <tr r="H426" s="5"/>
      </tp>
      <tp>
        <v>68.5</v>
        <stp/>
        <stp>18871685M4:BstLiftPrc</stp>
        <tr r="H425" s="5"/>
      </tp>
      <tp>
        <v>97.75</v>
        <stp/>
        <stp>18871685M3:BstLiftPrc</stp>
        <tr r="H424" s="5"/>
      </tp>
      <tp>
        <v>111</v>
        <stp/>
        <stp>18871685M2:BstLiftPrc</stp>
        <tr r="H423" s="5"/>
      </tp>
      <tp>
        <v>111.5</v>
        <stp/>
        <stp>18871685M1:BstLiftPrc</stp>
        <tr r="H422" s="5"/>
      </tp>
      <tp t="s">
        <v/>
        <stp/>
        <stp>18871685M0:BstLiftPrc</stp>
        <tr r="H421" s="5"/>
      </tp>
      <tp t="s">
        <v/>
        <stp/>
        <stp>18871685Q8:BstLiftPrc</stp>
        <tr r="H454" s="5"/>
      </tp>
      <tp t="s">
        <v/>
        <stp/>
        <stp>18871685Q7:BstLiftPrc</stp>
        <tr r="H453" s="5"/>
      </tp>
      <tp t="s">
        <v/>
        <stp/>
        <stp>18871685Q6:BstLiftPrc</stp>
        <tr r="H452" s="5"/>
      </tp>
      <tp t="s">
        <v/>
        <stp/>
        <stp>18871685Q5:BstLiftPrc</stp>
        <tr r="H451" s="5"/>
      </tp>
      <tp>
        <v>46.75</v>
        <stp/>
        <stp>18871685Q4:BstLiftPrc</stp>
        <tr r="H450" s="5"/>
      </tp>
      <tp>
        <v>50.75</v>
        <stp/>
        <stp>18871685Q3:BstLiftPrc</stp>
        <tr r="H449" s="5"/>
      </tp>
      <tp>
        <v>56</v>
        <stp/>
        <stp>18871685Q2:BstLiftPrc</stp>
        <tr r="H448" s="5"/>
      </tp>
      <tp>
        <v>65</v>
        <stp/>
        <stp>18871685Q1:BstLiftPrc</stp>
        <tr r="H447" s="5"/>
      </tp>
      <tp>
        <v>98.75</v>
        <stp/>
        <stp>18871685Q0:BstLiftPrc</stp>
        <tr r="H446" s="5"/>
      </tp>
      <tp t="s">
        <v>Invalid Market: 18871685Y2</v>
        <stp/>
        <stp>18871685Y2:BstLiftPrc</stp>
        <tr r="H457" s="5"/>
      </tp>
      <tp t="s">
        <v/>
        <stp/>
        <stp>18871685Y1:BstLiftPrc</stp>
        <tr r="H456" s="5"/>
      </tp>
      <tp>
        <v>54.5</v>
        <stp/>
        <stp>18871685Y0:BstLiftPrc</stp>
        <tr r="H455" s="5"/>
      </tp>
      <tp>
        <v>0</v>
        <stp/>
        <stp>41787896M23:Vol</stp>
        <tr r="N830" s="5"/>
      </tp>
      <tp>
        <v>0</v>
        <stp/>
        <stp>41767893M23:Vol</stp>
        <tr r="N503" s="5"/>
      </tp>
      <tp>
        <v>0</v>
        <stp/>
        <stp>41787896M22:Vol</stp>
        <tr r="N829" s="5"/>
      </tp>
      <tp>
        <v>0</v>
        <stp/>
        <stp>41767893M22:Vol</stp>
        <tr r="N502" s="5"/>
      </tp>
      <tp>
        <v>0</v>
        <stp/>
        <stp>41787896M21:Vol</stp>
        <tr r="N828" s="5"/>
      </tp>
      <tp>
        <v>0</v>
        <stp/>
        <stp>41767893M21:Vol</stp>
        <tr r="N501" s="5"/>
      </tp>
      <tp>
        <v>0</v>
        <stp/>
        <stp>41787896M20:Vol</stp>
        <tr r="N827" s="5"/>
      </tp>
      <tp>
        <v>0</v>
        <stp/>
        <stp>41767893M20:Vol</stp>
        <tr r="N500" s="5"/>
      </tp>
      <tp>
        <v>0</v>
        <stp/>
        <stp>41787896M24:Vol</stp>
        <tr r="N831" s="5"/>
      </tp>
      <tp>
        <v>0</v>
        <stp/>
        <stp>41767893M24:Vol</stp>
        <tr r="N504" s="5"/>
      </tp>
      <tp>
        <v>0</v>
        <stp/>
        <stp>41787896M19:Vol</stp>
        <tr r="N826" s="5"/>
      </tp>
      <tp>
        <v>0</v>
        <stp/>
        <stp>41767893M19:Vol</stp>
        <tr r="N499" s="5"/>
      </tp>
      <tp>
        <v>0</v>
        <stp/>
        <stp>41787896M18:Vol</stp>
        <tr r="N825" s="5"/>
      </tp>
      <tp>
        <v>0</v>
        <stp/>
        <stp>41767893M18:Vol</stp>
        <tr r="N498" s="5"/>
      </tp>
      <tp>
        <v>0</v>
        <stp/>
        <stp>41787896M13:Vol</stp>
        <tr r="N820" s="5"/>
      </tp>
      <tp>
        <v>0</v>
        <stp/>
        <stp>41767893M13:Vol</stp>
        <tr r="N493" s="5"/>
      </tp>
      <tp>
        <v>0</v>
        <stp/>
        <stp>41787896M12:Vol</stp>
        <tr r="N819" s="5"/>
      </tp>
      <tp>
        <v>0</v>
        <stp/>
        <stp>41767893M12:Vol</stp>
        <tr r="N492" s="5"/>
      </tp>
      <tp>
        <v>0</v>
        <stp/>
        <stp>41787896M11:Vol</stp>
        <tr r="N818" s="5"/>
      </tp>
      <tp>
        <v>0</v>
        <stp/>
        <stp>41767893M11:Vol</stp>
        <tr r="N491" s="5"/>
      </tp>
      <tp>
        <v>0</v>
        <stp/>
        <stp>41787896M10:Vol</stp>
        <tr r="N817" s="5"/>
      </tp>
      <tp>
        <v>0</v>
        <stp/>
        <stp>41767893M10:Vol</stp>
        <tr r="N490" s="5"/>
      </tp>
      <tp>
        <v>0</v>
        <stp/>
        <stp>41787896M17:Vol</stp>
        <tr r="N824" s="5"/>
      </tp>
      <tp>
        <v>0</v>
        <stp/>
        <stp>41767893M17:Vol</stp>
        <tr r="N497" s="5"/>
      </tp>
      <tp>
        <v>0</v>
        <stp/>
        <stp>41787896M16:Vol</stp>
        <tr r="N823" s="5"/>
      </tp>
      <tp>
        <v>0</v>
        <stp/>
        <stp>41767893M16:Vol</stp>
        <tr r="N496" s="5"/>
      </tp>
      <tp>
        <v>0</v>
        <stp/>
        <stp>41787896M15:Vol</stp>
        <tr r="N822" s="5"/>
      </tp>
      <tp>
        <v>0</v>
        <stp/>
        <stp>41767893M15:Vol</stp>
        <tr r="N495" s="5"/>
      </tp>
      <tp>
        <v>0</v>
        <stp/>
        <stp>41787896M14:Vol</stp>
        <tr r="N821" s="5"/>
      </tp>
      <tp>
        <v>0</v>
        <stp/>
        <stp>41767893M14:Vol</stp>
        <tr r="N494" s="5"/>
      </tp>
      <tp t="s">
        <v/>
        <stp/>
        <stp>2182524598B0:BstLiftPrc</stp>
        <tr r="H1376" s="5"/>
      </tp>
      <tp t="s">
        <v/>
        <stp/>
        <stp>1986823075Q8:BstLiftPrc</stp>
        <tr r="H150" s="5"/>
      </tp>
      <tp t="s">
        <v/>
        <stp/>
        <stp>1986823075Q2:BstLiftPrc</stp>
        <tr r="H144" s="5"/>
      </tp>
      <tp t="s">
        <v/>
        <stp/>
        <stp>1986823075Q3:BstLiftPrc</stp>
        <tr r="H145" s="5"/>
      </tp>
      <tp>
        <v>-80.25</v>
        <stp/>
        <stp>1986823075Q0:BstLiftPrc</stp>
        <tr r="H142" s="5"/>
      </tp>
      <tp t="s">
        <v/>
        <stp/>
        <stp>1986823075Q1:BstLiftPrc</stp>
        <tr r="H143" s="5"/>
      </tp>
      <tp t="s">
        <v/>
        <stp/>
        <stp>1986823075Q6:BstLiftPrc</stp>
        <tr r="H148" s="5"/>
      </tp>
      <tp t="s">
        <v/>
        <stp/>
        <stp>1986823075Q7:BstLiftPrc</stp>
        <tr r="H149" s="5"/>
      </tp>
      <tp t="s">
        <v/>
        <stp/>
        <stp>1986823075Q4:BstLiftPrc</stp>
        <tr r="H146" s="5"/>
      </tp>
      <tp t="s">
        <v/>
        <stp/>
        <stp>1986823075Q5:BstLiftPrc</stp>
        <tr r="H147" s="5"/>
      </tp>
      <tp t="s">
        <v/>
        <stp/>
        <stp>1986823075Y2:BstLiftPrc</stp>
        <tr r="H153" s="5"/>
      </tp>
      <tp t="s">
        <v/>
        <stp/>
        <stp>1986823075Y0:BstLiftPrc</stp>
        <tr r="H151" s="5"/>
      </tp>
      <tp t="s">
        <v/>
        <stp/>
        <stp>1986823075Y1:BstLiftPrc</stp>
        <tr r="H152" s="5"/>
      </tp>
      <tp t="s">
        <v/>
        <stp/>
        <stp>1986823075M8:BstLiftPrc</stp>
        <tr r="H125" s="5"/>
      </tp>
      <tp t="s">
        <v/>
        <stp/>
        <stp>1986823075M9:BstLiftPrc</stp>
        <tr r="H126" s="5"/>
      </tp>
      <tp>
        <v>-87</v>
        <stp/>
        <stp>1986823075M2:BstLiftPrc</stp>
        <tr r="H119" s="5"/>
      </tp>
      <tp>
        <v>-72</v>
        <stp/>
        <stp>1986823075M3:BstLiftPrc</stp>
        <tr r="H120" s="5"/>
      </tp>
      <tp>
        <v>-88.5</v>
        <stp/>
        <stp>1986823075M0:BstLiftPrc</stp>
        <tr r="H117" s="5"/>
      </tp>
      <tp>
        <v>-104.5</v>
        <stp/>
        <stp>1986823075M1:BstLiftPrc</stp>
        <tr r="H118" s="5"/>
      </tp>
      <tp t="s">
        <v/>
        <stp/>
        <stp>1986823075M6:BstLiftPrc</stp>
        <tr r="H123" s="5"/>
      </tp>
      <tp t="s">
        <v/>
        <stp/>
        <stp>1986823075M7:BstLiftPrc</stp>
        <tr r="H124" s="5"/>
      </tp>
      <tp>
        <v>-61.5</v>
        <stp/>
        <stp>1986823075M4:BstLiftPrc</stp>
        <tr r="H121" s="5"/>
      </tp>
      <tp t="s">
        <v/>
        <stp/>
        <stp>1986823075M5:BstLiftPrc</stp>
        <tr r="H122" s="5"/>
      </tp>
      <tp t="s">
        <v>Invalid Market: CALCB0</v>
        <stp/>
        <stp>CALCB0:LstPrc</stp>
        <tr r="I1186" s="5"/>
        <tr r="I1338" s="5"/>
      </tp>
      <tp t="s">
        <v>Invalid Market: CALCM4</v>
        <stp/>
        <stp>CALCM4:LstPrc</stp>
        <tr r="I1191" s="5"/>
        <tr r="I1343" s="5"/>
      </tp>
      <tp t="s">
        <v>Invalid Market: CALCM5</v>
        <stp/>
        <stp>CALCM5:LstPrc</stp>
        <tr r="I1344" s="5"/>
        <tr r="I1192" s="5"/>
      </tp>
      <tp t="s">
        <v>Invalid Market: CALCM6</v>
        <stp/>
        <stp>CALCM6:LstPrc</stp>
        <tr r="I1193" s="5"/>
        <tr r="I1345" s="5"/>
      </tp>
      <tp t="s">
        <v>Invalid Market: CALCM7</v>
        <stp/>
        <stp>CALCM7:LstPrc</stp>
        <tr r="I1194" s="5"/>
        <tr r="I1346" s="5"/>
      </tp>
      <tp t="s">
        <v>Invalid Market: CALCM0</v>
        <stp/>
        <stp>CALCM0:LstPrc</stp>
        <tr r="I1187" s="5"/>
        <tr r="I1339" s="5"/>
      </tp>
      <tp t="s">
        <v>Invalid Market: CALCM1</v>
        <stp/>
        <stp>CALCM1:LstPrc</stp>
        <tr r="I1188" s="5"/>
        <tr r="I1340" s="5"/>
      </tp>
      <tp t="s">
        <v>Invalid Market: CALCM2</v>
        <stp/>
        <stp>CALCM2:LstPrc</stp>
        <tr r="I1189" s="5"/>
        <tr r="I1341" s="5"/>
      </tp>
      <tp t="s">
        <v>Invalid Market: CALCM3</v>
        <stp/>
        <stp>CALCM3:LstPrc</stp>
        <tr r="I1190" s="5"/>
        <tr r="I1342" s="5"/>
      </tp>
      <tp t="s">
        <v>Invalid Market: CALCM8</v>
        <stp/>
        <stp>CALCM8:LstPrc</stp>
        <tr r="I1195" s="5"/>
        <tr r="I1347" s="5"/>
      </tp>
      <tp t="s">
        <v>Invalid Market: CALCM9</v>
        <stp/>
        <stp>CALCM9:LstPrc</stp>
        <tr r="I1196" s="5"/>
        <tr r="I1348" s="5"/>
      </tp>
      <tp t="s">
        <v>Invalid Market: CALCQ4</v>
        <stp/>
        <stp>CALCQ4:LstPrc</stp>
        <tr r="I1216" s="5"/>
        <tr r="I1368" s="5"/>
      </tp>
      <tp t="s">
        <v>Invalid Market: CALCQ5</v>
        <stp/>
        <stp>CALCQ5:LstPrc</stp>
        <tr r="I1369" s="5"/>
        <tr r="I1217" s="5"/>
      </tp>
      <tp t="s">
        <v>Invalid Market: CALCQ6</v>
        <stp/>
        <stp>CALCQ6:LstPrc</stp>
        <tr r="I1218" s="5"/>
        <tr r="I1370" s="5"/>
      </tp>
      <tp t="s">
        <v>Invalid Market: CALCQ7</v>
        <stp/>
        <stp>CALCQ7:LstPrc</stp>
        <tr r="I1219" s="5"/>
        <tr r="I1371" s="5"/>
      </tp>
      <tp t="s">
        <v>Invalid Market: CALCQ0</v>
        <stp/>
        <stp>CALCQ0:LstPrc</stp>
        <tr r="I1212" s="5"/>
        <tr r="I1364" s="5"/>
      </tp>
      <tp t="s">
        <v>Invalid Market: CALCQ1</v>
        <stp/>
        <stp>CALCQ1:LstPrc</stp>
        <tr r="I1213" s="5"/>
        <tr r="I1365" s="5"/>
      </tp>
      <tp t="s">
        <v>Invalid Market: CALCQ2</v>
        <stp/>
        <stp>CALCQ2:LstPrc</stp>
        <tr r="I1214" s="5"/>
        <tr r="I1366" s="5"/>
      </tp>
      <tp t="s">
        <v>Invalid Market: CALCQ3</v>
        <stp/>
        <stp>CALCQ3:LstPrc</stp>
        <tr r="I1215" s="5"/>
        <tr r="I1367" s="5"/>
      </tp>
      <tp t="s">
        <v>Invalid Market: CALCQ8</v>
        <stp/>
        <stp>CALCQ8:LstPrc</stp>
        <tr r="I1372" s="5"/>
        <tr r="I1220" s="5"/>
      </tp>
      <tp t="s">
        <v>Invalid Market: CALCY0</v>
        <stp/>
        <stp>CALCY0:LstPrc</stp>
        <tr r="I1221" s="5"/>
        <tr r="I1373" s="5"/>
      </tp>
      <tp t="s">
        <v>Invalid Market: CALCY1</v>
        <stp/>
        <stp>CALCY1:LstPrc</stp>
        <tr r="I1222" s="5"/>
        <tr r="I1374" s="5"/>
      </tp>
      <tp t="s">
        <v>Invalid Market: CALCY2</v>
        <stp/>
        <stp>CALCY2:LstPrc</stp>
        <tr r="I1223" s="5"/>
        <tr r="I1375" s="5"/>
      </tp>
      <tp t="s">
        <v/>
        <stp/>
        <stp>1517M5:LstDate</stp>
        <tr r="J8" s="5"/>
      </tp>
      <tp>
        <v>46267.465047881946</v>
        <stp/>
        <stp>1517M4:LstDate</stp>
        <tr r="J7" s="5"/>
      </tp>
      <tp>
        <v>46267.382329699074</v>
        <stp/>
        <stp>1517M7:LstDate</stp>
        <tr r="J10" s="5"/>
      </tp>
      <tp t="s">
        <v/>
        <stp/>
        <stp>1517M6:LstDate</stp>
        <tr r="J9" s="5"/>
      </tp>
      <tp>
        <v>46267.45809291667</v>
        <stp/>
        <stp>1517M1:LstDate</stp>
        <tr r="J4" s="5"/>
      </tp>
      <tp>
        <v>46267.426637291668</v>
        <stp/>
        <stp>1517M0:LstDate</stp>
        <tr r="J3" s="5"/>
      </tp>
      <tp>
        <v>46267.465047881946</v>
        <stp/>
        <stp>1517M3:LstDate</stp>
        <tr r="J6" s="5"/>
      </tp>
      <tp>
        <v>46267.458352175927</v>
        <stp/>
        <stp>1517M2:LstDate</stp>
        <tr r="J5" s="5"/>
      </tp>
      <tp t="s">
        <v/>
        <stp/>
        <stp>1517M9:LstDate</stp>
        <tr r="J12" s="5"/>
      </tp>
      <tp>
        <v>46267.382329699074</v>
        <stp/>
        <stp>1517M8:LstDate</stp>
        <tr r="J11" s="5"/>
      </tp>
      <tp t="s">
        <v/>
        <stp/>
        <stp>1517Q5:LstDate</stp>
        <tr r="J33" s="5"/>
      </tp>
      <tp>
        <v>46267.430857222222</v>
        <stp/>
        <stp>1517Q4:LstDate</stp>
        <tr r="J32" s="5"/>
      </tp>
      <tp>
        <v>46267.422811539349</v>
        <stp/>
        <stp>1517Q7:LstDate</stp>
        <tr r="J35" s="5"/>
      </tp>
      <tp>
        <v>46267.422811539349</v>
        <stp/>
        <stp>1517Q6:LstDate</stp>
        <tr r="J34" s="5"/>
      </tp>
      <tp t="s">
        <v/>
        <stp/>
        <stp>1517Q1:LstDate</stp>
        <tr r="J29" s="5"/>
      </tp>
      <tp t="s">
        <v/>
        <stp/>
        <stp>1517Q0:LstDate</stp>
        <tr r="J28" s="5"/>
      </tp>
      <tp t="s">
        <v/>
        <stp/>
        <stp>1517Q3:LstDate</stp>
        <tr r="J31" s="5"/>
      </tp>
      <tp t="s">
        <v/>
        <stp/>
        <stp>1517Q2:LstDate</stp>
        <tr r="J30" s="5"/>
      </tp>
      <tp>
        <v>46267.422035034724</v>
        <stp/>
        <stp>1517Q8:LstDate</stp>
        <tr r="J36" s="5"/>
      </tp>
      <tp t="s">
        <v/>
        <stp/>
        <stp>1517Y1:LstDate</stp>
        <tr r="J38" s="5"/>
      </tp>
      <tp t="s">
        <v/>
        <stp/>
        <stp>1517Y0:LstDate</stp>
        <tr r="J37" s="5"/>
      </tp>
      <tp t="s">
        <v/>
        <stp/>
        <stp>1517Y2:LstDate</stp>
        <tr r="J39" s="5"/>
      </tp>
    </main>
    <main first="esrtd">
      <tp t="s">
        <v/>
        <stp/>
        <stp>ULQ U26-IEU</stp>
        <stp>ICE Theoretical Price</stp>
        <tr r="W708" s="5"/>
      </tp>
      <tp t="s">
        <v/>
        <stp/>
        <stp>ULQ V26-IEU</stp>
        <stp>ICE Theoretical Price</stp>
        <tr r="W709" s="5"/>
      </tp>
      <tp t="s">
        <v/>
        <stp/>
        <stp>BAP G27-IEU</stp>
        <stp>ICE Theoretical Price</stp>
        <tr r="W122" s="5"/>
      </tp>
      <tp t="s">
        <v/>
        <stp/>
        <stp>BAP F27-IEU</stp>
        <stp>ICE Theoretical Price</stp>
        <tr r="W121" s="5"/>
      </tp>
      <tp t="s">
        <v/>
        <stp/>
        <stp>WDF Q4!-IEU</stp>
        <stp>ICE Theoretical Price</stp>
        <tr r="W1811" s="5"/>
      </tp>
      <tp t="s">
        <v/>
        <stp/>
        <stp>WDF Q1!-IEU</stp>
        <stp>ICE Theoretical Price</stp>
        <tr r="W1808" s="5"/>
      </tp>
      <tp t="s">
        <v/>
        <stp/>
        <stp>WDF Q3!-IEU</stp>
        <stp>ICE Theoretical Price</stp>
        <tr r="W1810" s="5"/>
      </tp>
      <tp t="s">
        <v/>
        <stp/>
        <stp>WDF Q2!-IEU</stp>
        <stp>ICE Theoretical Price</stp>
        <tr r="W1809" s="5"/>
      </tp>
      <tp t="s">
        <v/>
        <stp/>
        <stp>BAP K27-IEU</stp>
        <stp>ICE Theoretical Price</stp>
        <tr r="W125" s="5"/>
      </tp>
      <tp t="s">
        <v/>
        <stp/>
        <stp>BAP J27-IEU</stp>
        <stp>ICE Theoretical Price</stp>
        <tr r="W124" s="5"/>
      </tp>
      <tp t="s">
        <v/>
        <stp/>
        <stp>BAP H27-IEU</stp>
        <stp>ICE Theoretical Price</stp>
        <tr r="W123" s="5"/>
      </tp>
      <tp t="s">
        <v/>
        <stp/>
        <stp>ULQ X26-IEU</stp>
        <stp>ICE Theoretical Price</stp>
        <tr r="W710" s="5"/>
      </tp>
      <tp t="s">
        <v/>
        <stp/>
        <stp>BAP N27-IEU</stp>
        <stp>ICE Theoretical Price</stp>
        <tr r="W127" s="5"/>
      </tp>
      <tp t="s">
        <v/>
        <stp/>
        <stp>ULQ Z26-IEU</stp>
        <stp>ICE Theoretical Price</stp>
        <tr r="W711" s="5"/>
      </tp>
      <tp t="s">
        <v/>
        <stp/>
        <stp>BAP M27-IEU</stp>
        <stp>ICE Theoretical Price</stp>
        <tr r="W126" s="5"/>
      </tp>
      <tp t="s">
        <v/>
        <stp/>
        <stp>GCQ V26-IEU</stp>
        <stp>ICE Theoretical Price</stp>
        <tr r="W1628" s="5"/>
      </tp>
      <tp t="s">
        <v/>
        <stp/>
        <stp>BAP Q27-IEU</stp>
        <stp>ICE Theoretical Price</stp>
        <tr r="W128" s="5"/>
      </tp>
      <tp t="s">
        <v/>
        <stp/>
        <stp>GCQ U26-IEU</stp>
        <stp>ICE Theoretical Price</stp>
        <tr r="W1627" s="5"/>
      </tp>
      <tp t="s">
        <v/>
        <stp/>
        <stp>BAP V27-IEU</stp>
        <stp>ICE Theoretical Price</stp>
        <tr r="W130" s="5"/>
      </tp>
      <tp t="s">
        <v/>
        <stp/>
        <stp>BAQ V26-IEU</stp>
        <stp>ICE Theoretical Price</stp>
        <tr r="W156" s="5"/>
      </tp>
      <tp t="s">
        <v/>
        <stp/>
        <stp>WDF C2!-IEU</stp>
        <stp>ICE Theoretical Price</stp>
        <tr r="W1812" s="5"/>
      </tp>
      <tp t="s">
        <v/>
        <stp/>
        <stp>BAP U27-IEU</stp>
        <stp>ICE Theoretical Price</stp>
        <tr r="W129" s="5"/>
      </tp>
      <tp t="s">
        <v/>
        <stp/>
        <stp>BAQ U26-IEU</stp>
        <stp>ICE Theoretical Price</stp>
        <tr r="W155" s="5"/>
      </tp>
      <tp t="s">
        <v/>
        <stp/>
        <stp>BAP Z27-IEU</stp>
        <stp>ICE Theoretical Price</stp>
        <tr r="W132" s="5"/>
      </tp>
      <tp t="s">
        <v/>
        <stp/>
        <stp>BAQ Z26-IEU</stp>
        <stp>ICE Theoretical Price</stp>
        <tr r="W158" s="5"/>
      </tp>
      <tp t="s">
        <v/>
        <stp/>
        <stp>BAP X27-IEU</stp>
        <stp>ICE Theoretical Price</stp>
        <tr r="W131" s="5"/>
      </tp>
      <tp t="s">
        <v/>
        <stp/>
        <stp>BAQ X26-IEU</stp>
        <stp>ICE Theoretical Price</stp>
        <tr r="W157" s="5"/>
      </tp>
      <tp t="s">
        <v/>
        <stp/>
        <stp>GCQ Z26-IEU</stp>
        <stp>ICE Theoretical Price</stp>
        <tr r="W1630" s="5"/>
      </tp>
      <tp t="s">
        <v/>
        <stp/>
        <stp>GCQ X26-IEU</stp>
        <stp>ICE Theoretical Price</stp>
        <tr r="W1629" s="5"/>
      </tp>
      <tp t="s">
        <v/>
        <stp/>
        <stp>WDF 29!-IEU</stp>
        <stp>ICE Theoretical Price</stp>
        <tr r="W1806" s="5"/>
      </tp>
      <tp t="s">
        <v/>
        <stp/>
        <stp>WDF 28!-IEU</stp>
        <stp>ICE Theoretical Price</stp>
        <tr r="W1805" s="5"/>
      </tp>
      <tp t="s">
        <v/>
        <stp/>
        <stp>WDF 25!-IEU</stp>
        <stp>ICE Theoretical Price</stp>
        <tr r="W1802" s="5"/>
      </tp>
      <tp t="s">
        <v/>
        <stp/>
        <stp>WDF 24!-IEU</stp>
        <stp>ICE Theoretical Price</stp>
        <tr r="W1801" s="5"/>
      </tp>
      <tp t="s">
        <v/>
        <stp/>
        <stp>WDF 27!-IEU</stp>
        <stp>ICE Theoretical Price</stp>
        <tr r="W1804" s="5"/>
      </tp>
      <tp t="s">
        <v/>
        <stp/>
        <stp>WDF 26!-IEU</stp>
        <stp>ICE Theoretical Price</stp>
        <tr r="W1803" s="5"/>
      </tp>
      <tp t="s">
        <v/>
        <stp/>
        <stp>WDF 21!-IEU</stp>
        <stp>ICE Theoretical Price</stp>
        <tr r="W1798" s="5"/>
      </tp>
      <tp t="s">
        <v/>
        <stp/>
        <stp>WDF 20!-IEU</stp>
        <stp>ICE Theoretical Price</stp>
        <tr r="W1797" s="5"/>
      </tp>
      <tp t="s">
        <v/>
        <stp/>
        <stp>WDF 23!-IEU</stp>
        <stp>ICE Theoretical Price</stp>
        <tr r="W1800" s="5"/>
      </tp>
      <tp t="s">
        <v/>
        <stp/>
        <stp>WDF 22!-IEU</stp>
        <stp>ICE Theoretical Price</stp>
        <tr r="W1799" s="5"/>
      </tp>
      <tp t="s">
        <v/>
        <stp/>
        <stp>WDF 30!-IEU</stp>
        <stp>ICE Theoretical Price</stp>
        <tr r="W1807" s="5"/>
      </tp>
      <tp t="s">
        <v/>
        <stp/>
        <stp>WDF 19!-IEU</stp>
        <stp>ICE Theoretical Price</stp>
        <tr r="W1796" s="5"/>
      </tp>
      <tp t="s">
        <v/>
        <stp/>
        <stp>WDF 18!-IEU</stp>
        <stp>ICE Theoretical Price</stp>
        <tr r="W1795" s="5"/>
      </tp>
      <tp t="s">
        <v/>
        <stp/>
        <stp>WDF 15!-IEU</stp>
        <stp>ICE Theoretical Price</stp>
        <tr r="W1792" s="5"/>
      </tp>
      <tp t="s">
        <v/>
        <stp/>
        <stp>WDF 14!-IEU</stp>
        <stp>ICE Theoretical Price</stp>
        <tr r="W1791" s="5"/>
      </tp>
      <tp t="s">
        <v/>
        <stp/>
        <stp>WDF 17!-IEU</stp>
        <stp>ICE Theoretical Price</stp>
        <tr r="W1794" s="5"/>
      </tp>
      <tp t="s">
        <v/>
        <stp/>
        <stp>WDF 16!-IEU</stp>
        <stp>ICE Theoretical Price</stp>
        <tr r="W1793" s="5"/>
      </tp>
      <tp t="s">
        <v/>
        <stp/>
        <stp>WDF 11!-IEU</stp>
        <stp>ICE Theoretical Price</stp>
        <tr r="W1788" s="5"/>
      </tp>
      <tp t="s">
        <v/>
        <stp/>
        <stp>WDF 10!-IEU</stp>
        <stp>ICE Theoretical Price</stp>
        <tr r="W1787" s="5"/>
      </tp>
      <tp t="s">
        <v/>
        <stp/>
        <stp>WDF 13!-IEU</stp>
        <stp>ICE Theoretical Price</stp>
        <tr r="W1790" s="5"/>
      </tp>
      <tp t="s">
        <v/>
        <stp/>
        <stp>WDF 12!-IEU</stp>
        <stp>ICE Theoretical Price</stp>
        <tr r="W1789" s="5"/>
      </tp>
    </main>
    <main first="bofaddin.rtdserver">
      <tp>
        <v>42.25</v>
        <stp/>
        <stp>BDP|4937693795832780489|22</stp>
        <stp>QSZ8QSZ9 Comdty</stp>
        <stp>BID</stp>
        <tr r="D4" s="3"/>
      </tp>
      <tp>
        <v>12.38</v>
        <stp/>
        <stp>BDP|11098914997803679021|222</stp>
        <stp>HOF7HOG7 Comdty</stp>
        <stp>ASK</stp>
        <stp>Fill=#N/A</stp>
        <tr r="Q24" s="1"/>
      </tp>
      <tp>
        <v>1.35</v>
        <stp/>
        <stp>BDP|15262555539793050101|222</stp>
        <stp>HOX8HOZ8 Comdty</stp>
        <stp>ASK</stp>
        <stp>Fill=#N/A</stp>
        <tr r="Q46" s="1"/>
      </tp>
      <tp>
        <v>3.9</v>
        <stp/>
        <stp>BDP|14255171176623708801|222</stp>
        <stp>HOF8HOG8 Comdty</stp>
        <stp>ASK</stp>
        <stp>Fill=#N/A</stp>
        <tr r="Q36" s="1"/>
      </tp>
      <tp>
        <v>0.45</v>
        <stp/>
        <stp>BDP|14526296948199609229|222</stp>
        <stp>COV7COX7 Comdty</stp>
        <stp>ASK</stp>
        <stp>Fill=#N/A</stp>
        <tr r="O33" s="1"/>
      </tp>
    </main>
    <main first="ice.rtd">
      <tp>
        <v>0</v>
        <stp/>
        <stp>366531YY0:Vol</stp>
        <tr r="N1745" s="5"/>
      </tp>
    </main>
    <main first="bofaddin.rtdserver">
      <tp t="s">
        <v>#N/A Invalid Security</v>
        <stp/>
        <stp>BDP|10894431596217830537|222</stp>
        <stp>XBM0XBN0 Comdty</stp>
        <stp>BID</stp>
        <stp>Fill=#N/A</stp>
        <tr r="R65" s="1"/>
      </tp>
      <tp>
        <v>0.17</v>
        <stp/>
        <stp>BDP|14428397342884492282|222</stp>
        <stp>COQ9COU9 Comdty</stp>
        <stp>ASK</stp>
        <stp>Fill=#N/A</stp>
        <tr r="O55" s="1"/>
      </tp>
    </main>
    <main first="ice.rtd">
      <tp t="s">
        <v/>
        <stp/>
        <stp>57179020M2:LstBlkPrc</stp>
        <tr r="K1549" s="5"/>
      </tp>
      <tp t="s">
        <v/>
        <stp/>
        <stp>57179020Q2:LstBlkPrc</stp>
        <tr r="K1574" s="5"/>
      </tp>
      <tp t="s">
        <v/>
        <stp/>
        <stp>16331513M6:LstBlkPrc</stp>
        <tr r="K1421" s="5"/>
      </tp>
      <tp t="s">
        <v/>
        <stp/>
        <stp>16341514M6:LstBlkPrc</stp>
        <tr r="K1459" s="5"/>
      </tp>
      <tp t="s">
        <v/>
        <stp/>
        <stp>16351515M6:LstBlkPrc</stp>
        <tr r="K1497" s="5"/>
      </tp>
      <tp t="s">
        <v/>
        <stp/>
        <stp>16331513Q6:LstBlkPrc</stp>
        <tr r="K1446" s="5"/>
      </tp>
      <tp t="s">
        <v/>
        <stp/>
        <stp>16341514Q6:LstBlkPrc</stp>
        <tr r="K1484" s="5"/>
      </tp>
      <tp t="s">
        <v/>
        <stp/>
        <stp>16351515Q6:LstBlkPrc</stp>
        <tr r="K1522" s="5"/>
      </tp>
      <tp t="s">
        <v/>
        <stp/>
        <stp>1923422331M9:BstHitPrc</stp>
        <tr r="G1636" s="5"/>
      </tp>
      <tp>
        <v>-10.25</v>
        <stp/>
        <stp>1581618115M9:BstHitPrc</stp>
        <tr r="G468" s="5"/>
      </tp>
      <tp t="s">
        <v/>
        <stp/>
        <stp>161913535MM3:BstHitPrc</stp>
        <tr r="G2030" s="5"/>
      </tp>
      <tp t="s">
        <v/>
        <stp/>
        <stp>15091310M3:LstBlkPrc</stp>
        <tr r="K1380" s="5"/>
      </tp>
      <tp t="s">
        <v/>
        <stp/>
        <stp>15091310Q3:LstBlkPrc</stp>
        <tr r="K1405" s="5"/>
      </tp>
      <tp>
        <v>-4.5</v>
        <stp/>
        <stp>30813691M3:LstBlkPrc</stp>
        <tr r="K1956" s="5"/>
      </tp>
      <tp>
        <v>12</v>
        <stp/>
        <stp>35534143M1:LstBlkPrc</stp>
        <tr r="K709" s="5"/>
      </tp>
      <tp t="s">
        <v/>
        <stp/>
        <stp>35544144M1:LstBlkPrc</stp>
        <tr r="K633" s="5"/>
      </tp>
      <tp t="s">
        <v/>
        <stp/>
        <stp>35554145M1:LstBlkPrc</stp>
        <tr r="K671" s="5"/>
      </tp>
      <tp t="s">
        <v/>
        <stp/>
        <stp>35534143Y1:LstBlkPrc</stp>
        <tr r="K743" s="5"/>
      </tp>
      <tp t="s">
        <v/>
        <stp/>
        <stp>35544144Y1:LstBlkPrc</stp>
        <tr r="K667" s="5"/>
      </tp>
      <tp t="s">
        <v/>
        <stp/>
        <stp>35554145Y1:LstBlkPrc</stp>
        <tr r="K705" s="5"/>
      </tp>
      <tp t="s">
        <v/>
        <stp/>
        <stp>35534143Q1:LstBlkPrc</stp>
        <tr r="K734" s="5"/>
      </tp>
      <tp t="s">
        <v/>
        <stp/>
        <stp>35544144Q1:LstBlkPrc</stp>
        <tr r="K658" s="5"/>
      </tp>
      <tp t="s">
        <v/>
        <stp/>
        <stp>35554145Q1:LstBlkPrc</stp>
        <tr r="K696" s="5"/>
      </tp>
      <tp t="s">
        <v/>
        <stp/>
        <stp>30813691Q3:LstBlkPrc</stp>
        <tr r="K1981" s="5"/>
      </tp>
      <tp t="s">
        <v/>
        <stp/>
        <stp>34344092Q1:BstHitPrc</stp>
        <tr r="G1289" s="5"/>
      </tp>
      <tp>
        <v>66.16</v>
        <stp/>
        <stp>34354093Q1:BstHitPrc</stp>
        <tr r="G1327" s="5"/>
      </tp>
      <tp t="s">
        <v/>
        <stp/>
        <stp>34344092Y1:BstHitPrc</stp>
        <tr r="G1298" s="5"/>
      </tp>
      <tp>
        <v>15.92</v>
        <stp/>
        <stp>34354093Y1:BstHitPrc</stp>
        <tr r="G1336" s="5"/>
      </tp>
      <tp t="s">
        <v/>
        <stp/>
        <stp>34344092M1:BstHitPrc</stp>
        <tr r="G1264" s="5"/>
      </tp>
      <tp>
        <v>82.94</v>
        <stp/>
        <stp>34354093M1:BstHitPrc</stp>
        <tr r="G1302" s="5"/>
      </tp>
      <tp t="s">
        <v/>
        <stp/>
        <stp>34364094Q1:BstHitPrc</stp>
        <tr r="G544" s="5"/>
      </tp>
      <tp t="s">
        <v/>
        <stp/>
        <stp>34374095Q1:BstHitPrc</stp>
        <tr r="G582" s="5"/>
      </tp>
      <tp t="s">
        <v/>
        <stp/>
        <stp>34364094Y1:BstHitPrc</stp>
        <tr r="G553" s="5"/>
      </tp>
      <tp t="s">
        <v/>
        <stp/>
        <stp>34374095Y1:BstHitPrc</stp>
        <tr r="G591" s="5"/>
      </tp>
      <tp t="s">
        <v/>
        <stp/>
        <stp>34364094M1:BstHitPrc</stp>
        <tr r="G519" s="5"/>
      </tp>
      <tp t="s">
        <v/>
        <stp/>
        <stp>34374095M1:BstHitPrc</stp>
        <tr r="G557" s="5"/>
      </tp>
      <tp t="s">
        <v/>
        <stp/>
        <stp>15141311T3:LstBlkPrc</stp>
        <tr r="K1531" s="5"/>
      </tp>
      <tp t="s">
        <v/>
        <stp/>
        <stp>57409036M2:LstBlkPrc</stp>
        <tr r="K233" s="5"/>
      </tp>
      <tp>
        <v>-7.05</v>
        <stp/>
        <stp>57409036Q2:LstBlkPrc</stp>
        <tr r="K258" s="5"/>
      </tp>
      <tp t="s">
        <v/>
        <stp/>
        <stp>57409036Y2:LstBlkPrc</stp>
        <tr r="K267" s="5"/>
      </tp>
      <tp t="s">
        <v/>
        <stp/>
        <stp>34404098Q1:BstHitPrc</stp>
        <tr r="G620" s="5"/>
      </tp>
      <tp t="s">
        <v/>
        <stp/>
        <stp>34414099Q1:BstHitPrc</stp>
        <tr r="G105" s="5"/>
      </tp>
      <tp t="s">
        <v/>
        <stp/>
        <stp>34404098Y1:BstHitPrc</stp>
        <tr r="G629" s="5"/>
      </tp>
      <tp t="s">
        <v/>
        <stp/>
        <stp>34414099Y1:BstHitPrc</stp>
        <tr r="G114" s="5"/>
      </tp>
      <tp t="s">
        <v/>
        <stp/>
        <stp>34404098M1:BstHitPrc</stp>
        <tr r="G595" s="5"/>
      </tp>
      <tp>
        <v>76.5</v>
        <stp/>
        <stp>34414099M1:BstHitPrc</stp>
        <tr r="G80" s="5"/>
      </tp>
      <tp t="s">
        <v/>
        <stp/>
        <stp>1840020882Q1:LstBlkPrc</stp>
        <tr r="K1600" s="5"/>
      </tp>
      <tp t="s">
        <v/>
        <stp/>
        <stp>1840020882M1:LstBlkPrc</stp>
        <tr r="K1583" s="5"/>
      </tp>
      <tp t="s">
        <v>Nov26/Dec26</v>
        <stp/>
        <stp>DBI1227MM15:Strip</stp>
        <tr r="E1666" s="5"/>
      </tp>
      <tp t="s">
        <v>Dec26/Mar27</v>
        <stp/>
        <stp>DBI1227MM25:Strip</stp>
        <tr r="E1676" s="5"/>
      </tp>
      <tp t="s">
        <v/>
        <stp/>
        <stp>17551596T7:BstHitPrc</stp>
        <tr r="G1544" s="5"/>
      </tp>
      <tp t="s">
        <v/>
        <stp/>
        <stp>2044823525M8:LstBlkPrc</stp>
        <tr r="K1755" s="5"/>
      </tp>
      <tp>
        <v>24.05</v>
        <stp/>
        <stp>46678127M2:LstBlkPrc</stp>
        <tr r="K347" s="5"/>
      </tp>
      <tp>
        <v>24.4</v>
        <stp/>
        <stp>46678127Q2:LstBlkPrc</stp>
        <tr r="K372" s="5"/>
      </tp>
      <tp t="s">
        <v>Invalid Market: 46678127Y2</v>
        <stp/>
        <stp>46678127Y2:LstBlkPrc</stp>
        <tr r="K381" s="5"/>
      </tp>
      <tp t="s">
        <v/>
        <stp/>
        <stp>30793693Q3:BstHitPrc</stp>
        <tr r="G911" s="5"/>
      </tp>
      <tp t="s">
        <v/>
        <stp/>
        <stp>30793693M3:BstHitPrc</stp>
        <tr r="G886" s="5"/>
      </tp>
      <tp t="s">
        <v/>
        <stp/>
        <stp>161913535MM3:LstBlkPrc</stp>
        <tr r="K2030" s="5"/>
      </tp>
      <tp t="s">
        <v/>
        <stp/>
        <stp>30813691Q3:BstHitPrc</stp>
        <tr r="G1981" s="5"/>
      </tp>
      <tp t="s">
        <v/>
        <stp/>
        <stp>35534143Q1:BstHitPrc</stp>
        <tr r="G734" s="5"/>
      </tp>
      <tp t="s">
        <v/>
        <stp/>
        <stp>35544144Q1:BstHitPrc</stp>
        <tr r="G658" s="5"/>
      </tp>
      <tp t="s">
        <v/>
        <stp/>
        <stp>35554145Q1:BstHitPrc</stp>
        <tr r="G696" s="5"/>
      </tp>
      <tp t="s">
        <v/>
        <stp/>
        <stp>35534143Y1:BstHitPrc</stp>
        <tr r="G743" s="5"/>
      </tp>
      <tp t="s">
        <v/>
        <stp/>
        <stp>35544144Y1:BstHitPrc</stp>
        <tr r="G667" s="5"/>
      </tp>
      <tp t="s">
        <v/>
        <stp/>
        <stp>35554145Y1:BstHitPrc</stp>
        <tr r="G705" s="5"/>
      </tp>
      <tp t="s">
        <v/>
        <stp/>
        <stp>35534143M1:BstHitPrc</stp>
        <tr r="G709" s="5"/>
      </tp>
      <tp t="s">
        <v/>
        <stp/>
        <stp>35544144M1:BstHitPrc</stp>
        <tr r="G633" s="5"/>
      </tp>
      <tp t="s">
        <v/>
        <stp/>
        <stp>35554145M1:BstHitPrc</stp>
        <tr r="G671" s="5"/>
      </tp>
      <tp t="s">
        <v/>
        <stp/>
        <stp>30813691M3:BstHitPrc</stp>
        <tr r="G1956" s="5"/>
      </tp>
      <tp t="s">
        <v/>
        <stp/>
        <stp>15091310Q3:BstHitPrc</stp>
        <tr r="G1405" s="5"/>
      </tp>
      <tp t="s">
        <v/>
        <stp/>
        <stp>15091310M3:BstHitPrc</stp>
        <tr r="G1380" s="5"/>
      </tp>
      <tp t="s">
        <v/>
        <stp/>
        <stp>15141311T3:BstHitPrc</stp>
        <tr r="G1531" s="5"/>
      </tp>
      <tp t="s">
        <v/>
        <stp/>
        <stp>34344092M1:LstBlkPrc</stp>
        <tr r="K1264" s="5"/>
      </tp>
      <tp>
        <v>83</v>
        <stp/>
        <stp>34354093M1:LstBlkPrc</stp>
        <tr r="K1302" s="5"/>
      </tp>
      <tp t="s">
        <v/>
        <stp/>
        <stp>34344092Y1:LstBlkPrc</stp>
        <tr r="K1298" s="5"/>
      </tp>
      <tp>
        <v>39.5</v>
        <stp/>
        <stp>34354093Y1:LstBlkPrc</stp>
        <tr r="K1336" s="5"/>
      </tp>
      <tp t="s">
        <v/>
        <stp/>
        <stp>34344092Q1:LstBlkPrc</stp>
        <tr r="K1289" s="5"/>
      </tp>
      <tp>
        <v>66.45</v>
        <stp/>
        <stp>34354093Q1:LstBlkPrc</stp>
        <tr r="K1327" s="5"/>
      </tp>
      <tp>
        <v>30.75</v>
        <stp/>
        <stp>34364094M1:LstBlkPrc</stp>
        <tr r="K519" s="5"/>
      </tp>
      <tp>
        <v>41.75</v>
        <stp/>
        <stp>34374095M1:LstBlkPrc</stp>
        <tr r="K557" s="5"/>
      </tp>
      <tp t="s">
        <v/>
        <stp/>
        <stp>34364094Y1:LstBlkPrc</stp>
        <tr r="K553" s="5"/>
      </tp>
      <tp t="s">
        <v/>
        <stp/>
        <stp>34374095Y1:LstBlkPrc</stp>
        <tr r="K591" s="5"/>
      </tp>
      <tp t="s">
        <v/>
        <stp/>
        <stp>34364094Q1:LstBlkPrc</stp>
        <tr r="K544" s="5"/>
      </tp>
      <tp t="s">
        <v/>
        <stp/>
        <stp>34374095Q1:LstBlkPrc</stp>
        <tr r="K582" s="5"/>
      </tp>
      <tp t="s">
        <v/>
        <stp/>
        <stp>57179020Q2:BstHitPrc</stp>
        <tr r="G1574" s="5"/>
      </tp>
      <tp t="s">
        <v/>
        <stp/>
        <stp>57179020M2:BstHitPrc</stp>
        <tr r="G1549" s="5"/>
      </tp>
      <tp t="s">
        <v/>
        <stp/>
        <stp>16331513Q6:BstHitPrc</stp>
        <tr r="G1446" s="5"/>
      </tp>
      <tp t="s">
        <v/>
        <stp/>
        <stp>16341514Q6:BstHitPrc</stp>
        <tr r="G1484" s="5"/>
      </tp>
      <tp t="s">
        <v/>
        <stp/>
        <stp>16351515Q6:BstHitPrc</stp>
        <tr r="G1522" s="5"/>
      </tp>
      <tp t="s">
        <v/>
        <stp/>
        <stp>16331513M6:BstHitPrc</stp>
        <tr r="G1421" s="5"/>
      </tp>
      <tp t="s">
        <v/>
        <stp/>
        <stp>16341514M6:BstHitPrc</stp>
        <tr r="G1459" s="5"/>
      </tp>
      <tp t="s">
        <v/>
        <stp/>
        <stp>16351515M6:BstHitPrc</stp>
        <tr r="G1497" s="5"/>
      </tp>
      <tp t="s">
        <v/>
        <stp/>
        <stp>1581618115M9:LstBlkPrc</stp>
        <tr r="K468" s="5"/>
      </tp>
      <tp t="s">
        <v/>
        <stp/>
        <stp>1923422331M9:LstBlkPrc</stp>
        <tr r="K1636" s="5"/>
      </tp>
      <tp>
        <v>32.25</v>
        <stp/>
        <stp>30793693M3:LstBlkPrc</stp>
        <tr r="K886" s="5"/>
      </tp>
      <tp t="s">
        <v/>
        <stp/>
        <stp>30793693Q3:LstBlkPrc</stp>
        <tr r="K911" s="5"/>
      </tp>
      <tp t="s">
        <v>Invalid Market: 46678127Y2</v>
        <stp/>
        <stp>46678127Y2:BstHitPrc</stp>
        <tr r="G381" s="5"/>
      </tp>
      <tp>
        <v>23.65</v>
        <stp/>
        <stp>46678127Q2:BstHitPrc</stp>
        <tr r="G372" s="5"/>
      </tp>
      <tp>
        <v>23.4</v>
        <stp/>
        <stp>46678127M2:BstHitPrc</stp>
        <tr r="G347" s="5"/>
      </tp>
      <tp t="s">
        <v/>
        <stp/>
        <stp>57409036Y2:BstHitPrc</stp>
        <tr r="G267" s="5"/>
      </tp>
      <tp>
        <v>-10.6</v>
        <stp/>
        <stp>57409036Q2:BstHitPrc</stp>
        <tr r="G258" s="5"/>
      </tp>
      <tp>
        <v>-7.76</v>
        <stp/>
        <stp>57409036M2:BstHitPrc</stp>
        <tr r="G233" s="5"/>
      </tp>
      <tp t="s">
        <v/>
        <stp/>
        <stp>34404098M1:LstBlkPrc</stp>
        <tr r="K595" s="5"/>
      </tp>
      <tp>
        <v>87</v>
        <stp/>
        <stp>34414099M1:LstBlkPrc</stp>
        <tr r="K80" s="5"/>
      </tp>
      <tp t="s">
        <v/>
        <stp/>
        <stp>34404098Y1:LstBlkPrc</stp>
        <tr r="K629" s="5"/>
      </tp>
      <tp t="s">
        <v/>
        <stp/>
        <stp>34414099Y1:LstBlkPrc</stp>
        <tr r="K114" s="5"/>
      </tp>
      <tp t="s">
        <v/>
        <stp/>
        <stp>34404098Q1:LstBlkPrc</stp>
        <tr r="K620" s="5"/>
      </tp>
      <tp t="s">
        <v/>
        <stp/>
        <stp>34414099Q1:LstBlkPrc</stp>
        <tr r="K105" s="5"/>
      </tp>
      <tp t="s">
        <v/>
        <stp/>
        <stp>1840020882M1:BstHitPrc</stp>
        <tr r="G1583" s="5"/>
      </tp>
      <tp t="s">
        <v/>
        <stp/>
        <stp>1840020882Q1:BstHitPrc</stp>
        <tr r="G1600" s="5"/>
      </tp>
      <tp t="s">
        <v/>
        <stp/>
        <stp>17551596T7:LstBlkPrc</stp>
        <tr r="K1544" s="5"/>
      </tp>
      <tp t="s">
        <v/>
        <stp/>
        <stp>2044823525M8:BstHitPrc</stp>
        <tr r="G1755" s="5"/>
      </tp>
      <tp t="s">
        <v/>
        <stp/>
        <stp>30793693M5:LstBlkVol</stp>
        <tr r="L888" s="5"/>
      </tp>
      <tp t="s">
        <v/>
        <stp/>
        <stp>30793693Q5:LstBlkVol</stp>
        <tr r="L913" s="5"/>
      </tp>
      <tp t="s">
        <v/>
        <stp/>
        <stp>32613992M8:LstBlkVol</stp>
        <tr r="L1233" s="5"/>
      </tp>
      <tp t="s">
        <v/>
        <stp/>
        <stp>32613992Q8:LstBlkVol</stp>
        <tr r="L1258" s="5"/>
      </tp>
      <tp>
        <v>10</v>
        <stp/>
        <stp>32623993M8:LstBlkVol</stp>
        <tr r="L1998" s="5"/>
      </tp>
      <tp t="s">
        <v/>
        <stp/>
        <stp>32623993Q8:LstBlkVol</stp>
        <tr r="L2023" s="5"/>
      </tp>
      <tp t="s">
        <v/>
        <stp/>
        <stp>17551596T1:LstBlkVol</stp>
        <tr r="L1538" s="5"/>
      </tp>
      <tp t="s">
        <v/>
        <stp/>
        <stp>34404098M7:LstBlkVol</stp>
        <tr r="L601" s="5"/>
      </tp>
      <tp t="s">
        <v/>
        <stp/>
        <stp>34414099M7:LstBlkVol</stp>
        <tr r="L86" s="5"/>
      </tp>
      <tp t="s">
        <v/>
        <stp/>
        <stp>34404098Q7:LstBlkVol</stp>
        <tr r="L626" s="5"/>
      </tp>
      <tp t="s">
        <v/>
        <stp/>
        <stp>34414099Q7:LstBlkVol</stp>
        <tr r="L111" s="5"/>
      </tp>
      <tp t="s">
        <v/>
        <stp/>
        <stp>34364094M7:LstBlkVol</stp>
        <tr r="L525" s="5"/>
      </tp>
      <tp t="s">
        <v/>
        <stp/>
        <stp>34374095M7:LstBlkVol</stp>
        <tr r="L563" s="5"/>
      </tp>
      <tp t="s">
        <v/>
        <stp/>
        <stp>34364094Q7:LstBlkVol</stp>
        <tr r="L550" s="5"/>
      </tp>
      <tp t="s">
        <v/>
        <stp/>
        <stp>34374095Q7:LstBlkVol</stp>
        <tr r="L588" s="5"/>
      </tp>
      <tp t="s">
        <v/>
        <stp/>
        <stp>34344092M7:LstBlkVol</stp>
        <tr r="L1270" s="5"/>
      </tp>
      <tp t="s">
        <v/>
        <stp/>
        <stp>34354093M7:LstBlkVol</stp>
        <tr r="L1308" s="5"/>
      </tp>
      <tp t="s">
        <v/>
        <stp/>
        <stp>34344092Q7:LstBlkVol</stp>
        <tr r="L1295" s="5"/>
      </tp>
      <tp t="s">
        <v/>
        <stp/>
        <stp>34354093Q7:LstBlkVol</stp>
        <tr r="L1333" s="5"/>
      </tp>
      <tp t="s">
        <v/>
        <stp/>
        <stp>161913535MM5:LstBlkVol</stp>
        <tr r="L2032" s="5"/>
      </tp>
      <tp>
        <v>0</v>
        <stp/>
        <stp>15061297QQ0:Vol</stp>
        <tr r="N1711" s="5"/>
      </tp>
      <tp>
        <v>0</v>
        <stp/>
        <stp>15061297QQ1:Vol</stp>
        <tr r="N1712" s="5"/>
      </tp>
      <tp t="s">
        <v/>
        <stp/>
        <stp>57409036M4:LstBlkVol</stp>
        <tr r="L235" s="5"/>
      </tp>
      <tp>
        <v>39</v>
        <stp/>
        <stp>57409036Q4:LstBlkVol</stp>
        <tr r="L260" s="5"/>
      </tp>
    </main>
    <main first="esrtd">
      <tp t="s">
        <v/>
        <stp/>
        <stp>BRN 26UC25000-ICE</stp>
        <stp>Market</stp>
        <tr r="AQ125" s="23"/>
      </tp>
      <tp t="s">
        <v/>
        <stp/>
        <stp>BRN 26UP25000-ICE</stp>
        <stp>Market</stp>
        <tr r="AJ125" s="23"/>
      </tp>
    </main>
    <main first="ice.rtd">
      <tp t="s">
        <v/>
        <stp/>
        <stp>1840020882M7:LstBlkVol</stp>
        <tr r="L1589" s="5"/>
      </tp>
      <tp>
        <v>25</v>
        <stp/>
        <stp>46678127M4:LstBlkVol</stp>
        <tr r="L349" s="5"/>
      </tp>
      <tp t="s">
        <v/>
        <stp/>
        <stp>46678127Q4:LstBlkVol</stp>
        <tr r="L374" s="5"/>
      </tp>
      <tp t="s">
        <v>Invalid Market: 2044823525M19</v>
        <stp/>
        <stp>2044823525M19:BstLiftPrc</stp>
        <tr r="H1766" s="5"/>
      </tp>
      <tp t="s">
        <v>Invalid Market: 2044823525M18</v>
        <stp/>
        <stp>2044823525M18:BstLiftPrc</stp>
        <tr r="H1765" s="5"/>
      </tp>
      <tp t="s">
        <v>Invalid Market: 2044823525M17</v>
        <stp/>
        <stp>2044823525M17:BstLiftPrc</stp>
        <tr r="H1764" s="5"/>
      </tp>
      <tp t="s">
        <v>Invalid Market: 2044823525M16</v>
        <stp/>
        <stp>2044823525M16:BstLiftPrc</stp>
        <tr r="H1763" s="5"/>
      </tp>
      <tp t="s">
        <v>Invalid Market: 2044823525M15</v>
        <stp/>
        <stp>2044823525M15:BstLiftPrc</stp>
        <tr r="H1762" s="5"/>
      </tp>
      <tp t="s">
        <v/>
        <stp/>
        <stp>2044823525M14:BstLiftPrc</stp>
        <tr r="H1761" s="5"/>
      </tp>
      <tp t="s">
        <v/>
        <stp/>
        <stp>2044823525M13:BstLiftPrc</stp>
        <tr r="H1760" s="5"/>
      </tp>
      <tp t="s">
        <v/>
        <stp/>
        <stp>2044823525M12:BstLiftPrc</stp>
        <tr r="H1759" s="5"/>
      </tp>
      <tp t="s">
        <v/>
        <stp/>
        <stp>2044823525M11:BstLiftPrc</stp>
        <tr r="H1758" s="5"/>
      </tp>
      <tp t="s">
        <v/>
        <stp/>
        <stp>2044823525M10:BstLiftPrc</stp>
        <tr r="H1757" s="5"/>
      </tp>
      <tp t="s">
        <v>Invalid Market: 2044823525M22</v>
        <stp/>
        <stp>2044823525M22:BstLiftPrc</stp>
        <tr r="H1769" s="5"/>
      </tp>
      <tp t="s">
        <v>Invalid Market: 2044823525M21</v>
        <stp/>
        <stp>2044823525M21:BstLiftPrc</stp>
        <tr r="H1768" s="5"/>
      </tp>
      <tp t="s">
        <v>Invalid Market: 2044823525M20</v>
        <stp/>
        <stp>2044823525M20:BstLiftPrc</stp>
        <tr r="H1767" s="5"/>
      </tp>
    </main>
    <main first="esrtd">
      <tp t="s">
        <v/>
        <stp/>
        <stp>BRN 26VC25000-ICE</stp>
        <stp>Market</stp>
        <tr r="AQ200" s="23"/>
      </tp>
      <tp t="s">
        <v/>
        <stp/>
        <stp>BRN 26VC15000-ICE</stp>
        <stp>Market</stp>
        <tr r="AQ196" s="23"/>
      </tp>
      <tp t="s">
        <v/>
        <stp/>
        <stp>BRN 26VP25000-ICE</stp>
        <stp>Market</stp>
        <tr r="AJ200" s="23"/>
      </tp>
      <tp t="s">
        <v/>
        <stp/>
        <stp>BRN 26VP15000-ICE</stp>
        <stp>Market</stp>
        <tr r="AJ196" s="23"/>
      </tp>
    </main>
    <main first="ice.rtd">
      <tp t="s">
        <v/>
        <stp/>
        <stp>16331513M0:LstBlkVol</stp>
        <tr r="L1415" s="5"/>
      </tp>
      <tp t="s">
        <v/>
        <stp/>
        <stp>16341514M0:LstBlkVol</stp>
        <tr r="L1453" s="5"/>
      </tp>
      <tp t="s">
        <v/>
        <stp/>
        <stp>16351515M0:LstBlkVol</stp>
        <tr r="L1491" s="5"/>
      </tp>
      <tp t="s">
        <v/>
        <stp/>
        <stp>16331513Y0:LstBlkVol</stp>
        <tr r="L1449" s="5"/>
      </tp>
      <tp t="s">
        <v/>
        <stp/>
        <stp>16341514Y0:LstBlkVol</stp>
        <tr r="L1487" s="5"/>
      </tp>
      <tp t="s">
        <v/>
        <stp/>
        <stp>16351515Y0:LstBlkVol</stp>
        <tr r="L1525" s="5"/>
      </tp>
      <tp t="s">
        <v/>
        <stp/>
        <stp>16331513Q0:LstBlkVol</stp>
        <tr r="L1440" s="5"/>
      </tp>
      <tp t="s">
        <v/>
        <stp/>
        <stp>16341514Q0:LstBlkVol</stp>
        <tr r="L1478" s="5"/>
      </tp>
      <tp t="s">
        <v/>
        <stp/>
        <stp>16351515Q0:LstBlkVol</stp>
        <tr r="L1516" s="5"/>
      </tp>
      <tp t="s">
        <v/>
        <stp/>
        <stp>57179020M4:LstBlkVol</stp>
        <tr r="L1551" s="5"/>
      </tp>
      <tp t="s">
        <v/>
        <stp/>
        <stp>57179020Q4:LstBlkVol</stp>
        <tr r="L1576" s="5"/>
      </tp>
    </main>
    <main first="esrtd">
      <tp t="s">
        <v/>
        <stp/>
        <stp>BRN 26QC25000-ICE</stp>
        <stp>Market</stp>
        <tr r="AQ55" s="23"/>
      </tp>
      <tp t="s">
        <v/>
        <stp/>
        <stp>BRN 26QC15000-ICE</stp>
        <stp>Market</stp>
        <tr r="AQ50" s="23"/>
      </tp>
      <tp t="s">
        <v/>
        <stp/>
        <stp>BRN 26QP25000-ICE</stp>
        <stp>Market</stp>
        <tr r="AJ55" s="23"/>
      </tp>
      <tp t="s">
        <v/>
        <stp/>
        <stp>BRN 26QP15000-ICE</stp>
        <stp>Market</stp>
        <tr r="AJ50" s="23"/>
      </tp>
    </main>
    <main first="ice.rtd">
      <tp t="s">
        <v/>
        <stp/>
        <stp>15141311T5:LstBlkVol</stp>
        <tr r="L1533" s="5"/>
      </tp>
      <tp t="s">
        <v/>
        <stp/>
        <stp>1986823075M9:LstBlkVol</stp>
        <tr r="L126" s="5"/>
      </tp>
      <tp t="s">
        <v/>
        <stp/>
        <stp>30813691M5:LstBlkVol</stp>
        <tr r="L1958" s="5"/>
      </tp>
      <tp t="s">
        <v/>
        <stp/>
        <stp>35534143M7:LstBlkVol</stp>
        <tr r="L715" s="5"/>
      </tp>
      <tp t="s">
        <v/>
        <stp/>
        <stp>35544144M7:LstBlkVol</stp>
        <tr r="L639" s="5"/>
      </tp>
      <tp t="s">
        <v/>
        <stp/>
        <stp>35554145M7:LstBlkVol</stp>
        <tr r="L677" s="5"/>
      </tp>
      <tp t="s">
        <v/>
        <stp/>
        <stp>35534143Q7:LstBlkVol</stp>
        <tr r="L740" s="5"/>
      </tp>
      <tp t="s">
        <v/>
        <stp/>
        <stp>35544144Q7:LstBlkVol</stp>
        <tr r="L664" s="5"/>
      </tp>
      <tp t="s">
        <v/>
        <stp/>
        <stp>35554145Q7:LstBlkVol</stp>
        <tr r="L702" s="5"/>
      </tp>
      <tp t="s">
        <v/>
        <stp/>
        <stp>30813691Q5:LstBlkVol</stp>
        <tr r="L1983" s="5"/>
      </tp>
      <tp t="s">
        <v/>
        <stp/>
        <stp>15091310M5:LstBlkVol</stp>
        <tr r="L1382" s="5"/>
      </tp>
      <tp t="s">
        <v/>
        <stp/>
        <stp>15091310Q5:LstBlkVol</stp>
        <tr r="L1407" s="5"/>
      </tp>
      <tp t="s">
        <v/>
        <stp/>
        <stp>1986923076M9:LstBlkVol</stp>
        <tr r="L164" s="5"/>
      </tp>
      <tp t="s">
        <v/>
        <stp/>
        <stp>366531MM24:LstBlkVol</stp>
        <tr r="L1739" s="5"/>
      </tp>
      <tp t="s">
        <v/>
        <stp/>
        <stp>366531MM14:LstBlkVol</stp>
        <tr r="L1729" s="5"/>
      </tp>
      <tp t="s">
        <v/>
        <stp/>
        <stp>15061297MM18:LstBlkPrc</stp>
        <tr r="K1701" s="5"/>
      </tp>
      <tp t="s">
        <v/>
        <stp/>
        <stp>366531MM12:BstHitPrc</stp>
        <tr r="G1727" s="5"/>
      </tp>
      <tp t="s">
        <v/>
        <stp/>
        <stp>366531MM22:BstHitPrc</stp>
        <tr r="G1737" s="5"/>
      </tp>
      <tp t="s">
        <v/>
        <stp/>
        <stp>366531MM22:LstBlkPrc</stp>
        <tr r="K1737" s="5"/>
      </tp>
      <tp t="s">
        <v/>
        <stp/>
        <stp>366531MM12:LstBlkPrc</stp>
        <tr r="K1727" s="5"/>
      </tp>
      <tp>
        <v>2.88</v>
        <stp/>
        <stp>15061297MM18:BstHitPrc</stp>
        <tr r="G1701" s="5"/>
      </tp>
      <tp t="s">
        <v>Invalid Market: 57179020Q6</v>
        <stp/>
        <stp>57179020Q6:OI</stp>
        <tr r="T1578" s="5"/>
      </tp>
      <tp t="s">
        <v>Invalid Market: 57179020Q7</v>
        <stp/>
        <stp>57179020Q7:OI</stp>
        <tr r="T1579" s="5"/>
      </tp>
      <tp>
        <v>0</v>
        <stp/>
        <stp>57179020Q4:OI</stp>
        <tr r="T1576" s="5"/>
      </tp>
      <tp t="s">
        <v>Invalid Market: 57179020Q5</v>
        <stp/>
        <stp>57179020Q5:OI</stp>
        <tr r="T1577" s="5"/>
      </tp>
      <tp>
        <v>0</v>
        <stp/>
        <stp>57179020Q2:OI</stp>
        <tr r="T1574" s="5"/>
      </tp>
      <tp>
        <v>0</v>
        <stp/>
        <stp>57179020Q3:OI</stp>
        <tr r="T1575" s="5"/>
      </tp>
      <tp>
        <v>0</v>
        <stp/>
        <stp>57179020Q0:OI</stp>
        <tr r="T1572" s="5"/>
      </tp>
      <tp>
        <v>0</v>
        <stp/>
        <stp>57179020Q1:OI</stp>
        <tr r="T1573" s="5"/>
      </tp>
      <tp>
        <v>0</v>
        <stp/>
        <stp>57179020Y0:OI</stp>
        <tr r="T1580" s="5"/>
      </tp>
      <tp t="s">
        <v>Invalid Market: 57179020Y1</v>
        <stp/>
        <stp>57179020Y1:OI</stp>
        <tr r="T1581" s="5"/>
      </tp>
      <tp>
        <v>0</v>
        <stp/>
        <stp>57179020M6:OI</stp>
        <tr r="T1553" s="5"/>
      </tp>
      <tp>
        <v>0</v>
        <stp/>
        <stp>57179020M7:OI</stp>
        <tr r="T1554" s="5"/>
      </tp>
      <tp>
        <v>0</v>
        <stp/>
        <stp>57179020M4:OI</stp>
        <tr r="T1551" s="5"/>
      </tp>
      <tp>
        <v>0</v>
        <stp/>
        <stp>57179020M5:OI</stp>
        <tr r="T1552" s="5"/>
      </tp>
      <tp>
        <v>0</v>
        <stp/>
        <stp>57179020M2:OI</stp>
        <tr r="T1549" s="5"/>
      </tp>
      <tp>
        <v>0</v>
        <stp/>
        <stp>57179020M3:OI</stp>
        <tr r="T1550" s="5"/>
      </tp>
      <tp>
        <v>0</v>
        <stp/>
        <stp>57179020M0:OI</stp>
        <tr r="T1547" s="5"/>
      </tp>
      <tp>
        <v>0</v>
        <stp/>
        <stp>57179020M1:OI</stp>
        <tr r="T1548" s="5"/>
      </tp>
      <tp>
        <v>0</v>
        <stp/>
        <stp>57179020M8:OI</stp>
        <tr r="T1555" s="5"/>
      </tp>
      <tp>
        <v>0</v>
        <stp/>
        <stp>57179020M9:OI</stp>
        <tr r="T1556" s="5"/>
      </tp>
    </main>
    <main first="bofaddin.rtdserver">
      <tp t="s">
        <v>#N/A Requesting Data...2854962779</v>
        <stp/>
        <stp>BDP|10461660849679617150</stp>
        <tr r="AM198" s="23"/>
      </tp>
      <tp t="s">
        <v>#N/A Requesting Data...1902293885</v>
        <stp/>
        <stp>BDP|18157359532520956200</stp>
        <tr r="D27" s="23"/>
        <tr r="D73" s="23"/>
      </tp>
    </main>
    <main first="ice.rtd">
      <tp t="s">
        <v/>
        <stp/>
        <stp>1987023077B0:LstDate</stp>
        <tr r="J154" s="5"/>
      </tp>
    </main>
    <main first="ice.rtd">
      <tp t="s">
        <v/>
        <stp/>
        <stp>2755828679M9:LstDate</stp>
        <tr r="J1006" s="5"/>
      </tp>
      <tp t="s">
        <v/>
        <stp/>
        <stp>2755828679M8:LstDate</stp>
        <tr r="J1005" s="5"/>
      </tp>
      <tp t="s">
        <v/>
        <stp/>
        <stp>2755828679M5:LstDate</stp>
        <tr r="J1002" s="5"/>
      </tp>
      <tp t="s">
        <v/>
        <stp/>
        <stp>2755828679M4:LstDate</stp>
        <tr r="J1001" s="5"/>
      </tp>
      <tp t="s">
        <v/>
        <stp/>
        <stp>2755828679M7:LstDate</stp>
        <tr r="J1004" s="5"/>
      </tp>
      <tp t="s">
        <v/>
        <stp/>
        <stp>2755828679M6:LstDate</stp>
        <tr r="J1003" s="5"/>
      </tp>
      <tp t="s">
        <v/>
        <stp/>
        <stp>2755828679M1:LstDate</stp>
        <tr r="J998" s="5"/>
      </tp>
      <tp t="s">
        <v/>
        <stp/>
        <stp>2755828679M0:LstDate</stp>
        <tr r="J997" s="5"/>
      </tp>
      <tp t="s">
        <v/>
        <stp/>
        <stp>2755828679M3:LstDate</stp>
        <tr r="J1000" s="5"/>
      </tp>
      <tp t="s">
        <v/>
        <stp/>
        <stp>2755828679M2:LstDate</stp>
        <tr r="J999" s="5"/>
      </tp>
    </main>
    <main first="bofaddin.rtdserver">
      <tp t="s">
        <v>#N/A N/A</v>
        <stp/>
        <stp>BDH|10498121660695700802</stp>
        <tr r="AV63" s="1"/>
      </tp>
      <tp t="s">
        <v>#N/A N/A</v>
        <stp/>
        <stp>BDH|14375837610391565641</stp>
        <tr r="L39" s="16"/>
      </tp>
      <tp t="s">
        <v>#N/A N/A</v>
        <stp/>
        <stp>BDH|17050981159805754466</stp>
        <tr r="AY38" s="1"/>
      </tp>
    </main>
    <main first="ice.rtd">
      <tp>
        <v>47</v>
        <stp/>
        <stp>2755828679M7:OI</stp>
        <tr r="T1004" s="5"/>
      </tp>
      <tp>
        <v>147</v>
        <stp/>
        <stp>2755828679M6:OI</stp>
        <tr r="T1003" s="5"/>
      </tp>
      <tp>
        <v>147</v>
        <stp/>
        <stp>2755828679M5:OI</stp>
        <tr r="T1002" s="5"/>
      </tp>
      <tp>
        <v>152</v>
        <stp/>
        <stp>2755828679M4:OI</stp>
        <tr r="T1001" s="5"/>
      </tp>
      <tp>
        <v>455</v>
        <stp/>
        <stp>2755828679M3:OI</stp>
        <tr r="T1000" s="5"/>
      </tp>
      <tp>
        <v>354</v>
        <stp/>
        <stp>2755828679M2:OI</stp>
        <tr r="T999" s="5"/>
      </tp>
      <tp>
        <v>325</v>
        <stp/>
        <stp>2755828679M1:OI</stp>
        <tr r="T998" s="5"/>
      </tp>
      <tp>
        <v>735</v>
        <stp/>
        <stp>2755828679M0:OI</stp>
        <tr r="T997" s="5"/>
      </tp>
      <tp>
        <v>47</v>
        <stp/>
        <stp>2755828679M9:OI</stp>
        <tr r="T1006" s="5"/>
      </tp>
      <tp>
        <v>47</v>
        <stp/>
        <stp>2755828679M8:OI</stp>
        <tr r="T1005" s="5"/>
      </tp>
      <tp t="s">
        <v/>
        <stp/>
        <stp>2755828679Q8:LstDate</stp>
        <tr r="J1030" s="5"/>
      </tp>
      <tp t="s">
        <v/>
        <stp/>
        <stp>2755828679Q5:LstDate</stp>
        <tr r="J1027" s="5"/>
      </tp>
      <tp t="s">
        <v/>
        <stp/>
        <stp>2755828679Q4:LstDate</stp>
        <tr r="J1026" s="5"/>
      </tp>
      <tp t="s">
        <v/>
        <stp/>
        <stp>2755828679Q7:LstDate</stp>
        <tr r="J1029" s="5"/>
      </tp>
      <tp t="s">
        <v/>
        <stp/>
        <stp>2755828679Q6:LstDate</stp>
        <tr r="J1028" s="5"/>
      </tp>
      <tp t="s">
        <v/>
        <stp/>
        <stp>2755828679Q1:LstDate</stp>
        <tr r="J1023" s="5"/>
      </tp>
      <tp t="s">
        <v/>
        <stp/>
        <stp>2755828679Q0:LstDate</stp>
        <tr r="J1022" s="5"/>
      </tp>
      <tp t="s">
        <v/>
        <stp/>
        <stp>2755828679Q3:LstDate</stp>
        <tr r="J1025" s="5"/>
      </tp>
      <tp t="s">
        <v/>
        <stp/>
        <stp>2755828679Q2:LstDate</stp>
        <tr r="J1024" s="5"/>
      </tp>
      <tp>
        <v>0</v>
        <stp/>
        <stp>2755828679Y2:OI</stp>
        <tr r="T1033" s="5"/>
      </tp>
      <tp>
        <v>0</v>
        <stp/>
        <stp>2755828679Y1:OI</stp>
        <tr r="T1032" s="5"/>
      </tp>
      <tp>
        <v>0</v>
        <stp/>
        <stp>2755828679Y0:OI</stp>
        <tr r="T1031" s="5"/>
      </tp>
      <tp>
        <v>0</v>
        <stp/>
        <stp>2755828679Q7:OI</stp>
        <tr r="T1029" s="5"/>
      </tp>
      <tp>
        <v>0</v>
        <stp/>
        <stp>2755828679Q6:OI</stp>
        <tr r="T1028" s="5"/>
      </tp>
      <tp>
        <v>0</v>
        <stp/>
        <stp>2755828679Q5:OI</stp>
        <tr r="T1027" s="5"/>
      </tp>
      <tp>
        <v>0</v>
        <stp/>
        <stp>2755828679Q4:OI</stp>
        <tr r="T1026" s="5"/>
      </tp>
      <tp>
        <v>0</v>
        <stp/>
        <stp>2755828679Q3:OI</stp>
        <tr r="T1025" s="5"/>
      </tp>
      <tp>
        <v>0</v>
        <stp/>
        <stp>2755828679Q2:OI</stp>
        <tr r="T1024" s="5"/>
      </tp>
      <tp>
        <v>0</v>
        <stp/>
        <stp>2755828679Q1:OI</stp>
        <tr r="T1023" s="5"/>
      </tp>
      <tp>
        <v>0</v>
        <stp/>
        <stp>2755828679Q0:OI</stp>
        <tr r="T1022" s="5"/>
      </tp>
      <tp>
        <v>0</v>
        <stp/>
        <stp>2755828679Q8:OI</stp>
        <tr r="T1030" s="5"/>
      </tp>
    </main>
    <main first="bofaddin.rtdserver">
      <tp t="s">
        <v>#N/A N/A</v>
        <stp/>
        <stp>BDH|15618779734562456922</stp>
        <tr r="BB61" s="1"/>
      </tp>
      <tp t="s">
        <v>#N/A N/A</v>
        <stp/>
        <stp>BDH|13985998027833370176</stp>
        <tr r="AW65" s="1"/>
      </tp>
      <tp t="s">
        <v>#N/A N/A</v>
        <stp/>
        <stp>BDH|11583564761760572849</stp>
        <tr r="J88" s="16"/>
      </tp>
      <tp t="s">
        <v>#N/A N/A</v>
        <stp/>
        <stp>BDH|14154653108060657884</stp>
        <tr r="BC24" s="1"/>
      </tp>
      <tp t="s">
        <v>#N/A N/A</v>
        <stp/>
        <stp>BDH|11778869992909727363</stp>
        <tr r="N94" s="16"/>
      </tp>
      <tp t="s">
        <v>#N/A N/A</v>
        <stp/>
        <stp>BDH|14625565561878361571</stp>
        <tr r="J93" s="16"/>
      </tp>
      <tp t="s">
        <v>#N/A N/A</v>
        <stp/>
        <stp>BDH|15933873409617558076</stp>
        <tr r="N43" s="16"/>
      </tp>
      <tp t="s">
        <v>#N/A N/A</v>
        <stp/>
        <stp>BDH|11184833376965008100</stp>
        <tr r="BB26" s="1"/>
      </tp>
      <tp t="s">
        <v>#N/A N/A</v>
        <stp/>
        <stp>BDH|13863214496194844608</stp>
        <tr r="BB53" s="1"/>
      </tp>
      <tp t="s">
        <v>#N/A N/A</v>
        <stp/>
        <stp>BDH|13369621296754740274</stp>
        <tr r="AW54" s="1"/>
      </tp>
    </main>
    <main first="ice.rtd">
      <tp>
        <v>0</v>
        <stp/>
        <stp>2322725588B0:OI</stp>
        <tr r="T2" s="5"/>
      </tp>
    </main>
    <main first="bofaddin.rtdserver">
      <tp t="s">
        <v>#N/A N/A</v>
        <stp/>
        <stp>BDH|11147317846519676569</stp>
        <tr r="G62" s="16"/>
      </tp>
      <tp t="s">
        <v>#N/A N/A</v>
        <stp/>
        <stp>BDH|14024004847032723861</stp>
        <tr r="I86" s="16"/>
      </tp>
      <tp t="s">
        <v>#N/A N/A</v>
        <stp/>
        <stp>BDH|10112392913090708852</stp>
        <tr r="AV47" s="1"/>
      </tp>
      <tp t="s">
        <v>#N/A N/A</v>
        <stp/>
        <stp>BDH|15210014937874403885</stp>
        <tr r="I51" s="14"/>
      </tp>
      <tp t="s">
        <v>#N/A N/A</v>
        <stp/>
        <stp>BDH|13516995355341992488</stp>
        <tr r="BB63" s="1"/>
      </tp>
    </main>
    <main first="ice.rtd">
      <tp t="s">
        <v/>
        <stp/>
        <stp>2755828679Y1:LstDate</stp>
        <tr r="J1032" s="5"/>
      </tp>
      <tp t="s">
        <v/>
        <stp/>
        <stp>2755828679Y0:LstDate</stp>
        <tr r="J1031" s="5"/>
      </tp>
      <tp t="s">
        <v/>
        <stp/>
        <stp>2755828679Y2:LstDate</stp>
        <tr r="J1033" s="5"/>
      </tp>
    </main>
    <main first="bofaddin.rtdserver">
      <tp t="s">
        <v>#N/A N/A</v>
        <stp/>
        <stp>BDH|12809735287664048378</stp>
        <tr r="C58" s="14"/>
      </tp>
      <tp t="s">
        <v>#N/A N/A</v>
        <stp/>
        <stp>BDH|17283114573478928327</stp>
        <tr r="AV50" s="1"/>
      </tp>
      <tp t="s">
        <v>#N/A N/A</v>
        <stp/>
        <stp>BDH|15474193396906237133</stp>
        <tr r="BC56" s="1"/>
        <tr r="BC56" s="1"/>
      </tp>
      <tp t="s">
        <v>#N/A N/A</v>
        <stp/>
        <stp>BDH|13713918055062104789</stp>
        <tr r="BC22" s="1"/>
      </tp>
      <tp t="s">
        <v>#N/A N/A</v>
        <stp/>
        <stp>BDH|12021694201696276869</stp>
        <tr r="K41" s="16"/>
      </tp>
      <tp t="b">
        <v>0</v>
        <stp/>
        <stp>BDH|11877008033069163152</stp>
        <tr r="K17" s="23"/>
        <tr r="J17" s="23"/>
        <tr r="I17" s="23"/>
      </tp>
      <tp t="s">
        <v>#N/A N/A</v>
        <stp/>
        <stp>BDH|11397975409902768050</stp>
        <tr r="D49" s="14"/>
      </tp>
      <tp t="s">
        <v>#N/A N/A</v>
        <stp/>
        <stp>BDH|17723930948417711744</stp>
        <tr r="N79" s="16"/>
      </tp>
      <tp t="s">
        <v>#N/A N/A</v>
        <stp/>
        <stp>BDH|18277056638032174310</stp>
        <tr r="AV28" s="1"/>
      </tp>
      <tp t="s">
        <v>#N/A N/A</v>
        <stp/>
        <stp>BDH|11636977329860122078</stp>
        <tr r="AY64" s="1"/>
      </tp>
    </main>
    <main first="esrtd">
      <tp t="s">
        <v/>
        <stp/>
        <stp>GCQ F27-IEU</stp>
        <stp>ICE Theoretical Price</stp>
        <tr r="W1631" s="5"/>
      </tp>
      <tp t="s">
        <v/>
        <stp/>
        <stp>ULQ U27-IEU</stp>
        <stp>ICE Theoretical Price</stp>
        <tr r="W720" s="5"/>
      </tp>
      <tp t="s">
        <v/>
        <stp/>
        <stp>GCQ G27-IEU</stp>
        <stp>ICE Theoretical Price</stp>
        <tr r="W1632" s="5"/>
      </tp>
      <tp t="s">
        <v/>
        <stp/>
        <stp>ULQ V27-IEU</stp>
        <stp>ICE Theoretical Price</stp>
        <tr r="W721" s="5"/>
      </tp>
      <tp t="s">
        <v/>
        <stp/>
        <stp>BAQ G27-IEU</stp>
        <stp>ICE Theoretical Price</stp>
        <tr r="W160" s="5"/>
      </tp>
      <tp t="s">
        <v/>
        <stp/>
        <stp>ULQ Q27-IEU</stp>
        <stp>ICE Theoretical Price</stp>
        <tr r="W719" s="5"/>
      </tp>
      <tp t="s">
        <v/>
        <stp/>
        <stp>BAQ F27-IEU</stp>
        <stp>ICE Theoretical Price</stp>
        <tr r="W159" s="5"/>
      </tp>
      <tp t="s">
        <v/>
        <stp/>
        <stp>GCQ N27-IEU</stp>
        <stp>ICE Theoretical Price</stp>
        <tr r="W1637" s="5"/>
      </tp>
      <tp t="s">
        <v/>
        <stp/>
        <stp>BAQ K27-IEU</stp>
        <stp>ICE Theoretical Price</stp>
        <tr r="W163" s="5"/>
      </tp>
      <tp t="s">
        <v/>
        <stp/>
        <stp>BAQ J27-IEU</stp>
        <stp>ICE Theoretical Price</stp>
        <tr r="W162" s="5"/>
      </tp>
      <tp t="s">
        <v/>
        <stp/>
        <stp>GCQ M27-IEU</stp>
        <stp>ICE Theoretical Price</stp>
        <tr r="W1636" s="5"/>
      </tp>
      <tp t="s">
        <v/>
        <stp/>
        <stp>BAQ H27-IEU</stp>
        <stp>ICE Theoretical Price</stp>
        <tr r="W161" s="5"/>
      </tp>
      <tp t="s">
        <v/>
        <stp/>
        <stp>ULQ X27-IEU</stp>
        <stp>ICE Theoretical Price</stp>
        <tr r="W722" s="5"/>
      </tp>
      <tp t="s">
        <v/>
        <stp/>
        <stp>GCQ J27-IEU</stp>
        <stp>ICE Theoretical Price</stp>
        <tr r="W1634" s="5"/>
      </tp>
      <tp t="s">
        <v/>
        <stp/>
        <stp>GCQ K27-IEU</stp>
        <stp>ICE Theoretical Price</stp>
        <tr r="W1635" s="5"/>
      </tp>
      <tp t="s">
        <v/>
        <stp/>
        <stp>BAQ N27-IEU</stp>
        <stp>ICE Theoretical Price</stp>
        <tr r="W165" s="5"/>
      </tp>
      <tp t="s">
        <v/>
        <stp/>
        <stp>ULQ Z27-IEU</stp>
        <stp>ICE Theoretical Price</stp>
        <tr r="W723" s="5"/>
      </tp>
      <tp t="s">
        <v/>
        <stp/>
        <stp>GCQ H27-IEU</stp>
        <stp>ICE Theoretical Price</stp>
        <tr r="W1633" s="5"/>
      </tp>
      <tp t="s">
        <v/>
        <stp/>
        <stp>BAQ M27-IEU</stp>
        <stp>ICE Theoretical Price</stp>
        <tr r="W164" s="5"/>
      </tp>
      <tp t="s">
        <v/>
        <stp/>
        <stp>GCQ V27-IEU</stp>
        <stp>ICE Theoretical Price</stp>
        <tr r="W1640" s="5"/>
      </tp>
      <tp t="s">
        <v/>
        <stp/>
        <stp>ULQ F27-IEU</stp>
        <stp>ICE Theoretical Price</stp>
        <tr r="W712" s="5"/>
      </tp>
      <tp t="s">
        <v/>
        <stp/>
        <stp>BAQ Q27-IEU</stp>
        <stp>ICE Theoretical Price</stp>
        <tr r="W166" s="5"/>
      </tp>
      <tp t="s">
        <v/>
        <stp/>
        <stp>ULQ G27-IEU</stp>
        <stp>ICE Theoretical Price</stp>
        <tr r="W713" s="5"/>
      </tp>
      <tp t="s">
        <v/>
        <stp/>
        <stp>GCQ U27-IEU</stp>
        <stp>ICE Theoretical Price</stp>
        <tr r="W1639" s="5"/>
      </tp>
      <tp t="s">
        <v/>
        <stp/>
        <stp>BAP V26-IEU</stp>
        <stp>ICE Theoretical Price</stp>
        <tr r="W118" s="5"/>
      </tp>
      <tp t="s">
        <v/>
        <stp/>
        <stp>BAQ V27-IEU</stp>
        <stp>ICE Theoretical Price</stp>
        <tr r="W168" s="5"/>
      </tp>
      <tp t="s">
        <v/>
        <stp/>
        <stp>BAP U26-IEU</stp>
        <stp>ICE Theoretical Price</stp>
        <tr r="W117" s="5"/>
      </tp>
      <tp t="s">
        <v/>
        <stp/>
        <stp>BAQ U27-IEU</stp>
        <stp>ICE Theoretical Price</stp>
        <tr r="W167" s="5"/>
      </tp>
      <tp t="s">
        <v/>
        <stp/>
        <stp>GCQ Q27-IEU</stp>
        <stp>ICE Theoretical Price</stp>
        <tr r="W1638" s="5"/>
      </tp>
      <tp t="s">
        <v/>
        <stp/>
        <stp>ULQ M27-IEU</stp>
        <stp>ICE Theoretical Price</stp>
        <tr r="W717" s="5"/>
      </tp>
      <tp t="s">
        <v/>
        <stp/>
        <stp>BAP Z26-IEU</stp>
        <stp>ICE Theoretical Price</stp>
        <tr r="W120" s="5"/>
      </tp>
      <tp t="s">
        <v/>
        <stp/>
        <stp>BAQ Z27-IEU</stp>
        <stp>ICE Theoretical Price</stp>
        <tr r="W170" s="5"/>
      </tp>
      <tp t="s">
        <v/>
        <stp/>
        <stp>ULQ N27-IEU</stp>
        <stp>ICE Theoretical Price</stp>
        <tr r="W718" s="5"/>
      </tp>
      <tp t="s">
        <v/>
        <stp/>
        <stp>BAP X26-IEU</stp>
        <stp>ICE Theoretical Price</stp>
        <tr r="W119" s="5"/>
      </tp>
      <tp t="s">
        <v/>
        <stp/>
        <stp>BAQ X27-IEU</stp>
        <stp>ICE Theoretical Price</stp>
        <tr r="W169" s="5"/>
      </tp>
      <tp t="s">
        <v/>
        <stp/>
        <stp>ULQ H27-IEU</stp>
        <stp>ICE Theoretical Price</stp>
        <tr r="W714" s="5"/>
      </tp>
      <tp t="s">
        <v/>
        <stp/>
        <stp>ULQ J27-IEU</stp>
        <stp>ICE Theoretical Price</stp>
        <tr r="W715" s="5"/>
      </tp>
      <tp t="s">
        <v/>
        <stp/>
        <stp>GCQ X27-IEU</stp>
        <stp>ICE Theoretical Price</stp>
        <tr r="W1641" s="5"/>
      </tp>
      <tp t="s">
        <v/>
        <stp/>
        <stp>ULQ K27-IEU</stp>
        <stp>ICE Theoretical Price</stp>
        <tr r="W716" s="5"/>
      </tp>
    </main>
    <main first="bofaddin.rtdserver">
      <tp>
        <v>0.54</v>
        <stp/>
        <stp>BDP|17690538966683209070|222</stp>
        <stp>CLQ7CLU7 Comdty</stp>
        <stp>ASK</stp>
        <stp>Fill=#N/A</stp>
        <tr r="N31" s="1"/>
      </tp>
      <tp t="s">
        <v>#N/A</v>
        <stp/>
        <stp>BDP|13619676459821157286|222</stp>
        <stp>XBG9XBH9 Comdty</stp>
        <stp>ASK</stp>
        <stp>Fill=#N/A</stp>
        <tr r="R49" s="1"/>
      </tp>
      <tp>
        <v>297.75</v>
        <stp/>
        <stp>BDP|4184028727606062829|22</stp>
        <stp>QSZ6QSZ7 Comdty</stp>
        <stp>ASK</stp>
        <tr r="D2" s="3"/>
      </tp>
      <tp>
        <v>1.52</v>
        <stp/>
        <stp>BDP|13013171141877258013|222</stp>
        <stp>COH7COJ7 Comdty</stp>
        <stp>BID</stp>
        <stp>Fill=#N/A</stp>
        <tr r="O26" s="1"/>
      </tp>
      <tp>
        <v>0.14000000000000001</v>
        <stp/>
        <stp>BDP|14303241212969785713|222</stp>
        <stp>COG9COH9 Comdty</stp>
        <stp>BID</stp>
        <stp>Fill=#N/A</stp>
        <tr r="O49" s="1"/>
      </tp>
      <tp>
        <v>0.23</v>
        <stp/>
        <stp>BDP|14357476936055468464|222</stp>
        <stp>COX8COZ8 Comdty</stp>
        <stp>ASK</stp>
        <stp>Fill=#N/A</stp>
        <tr r="O46" s="1"/>
      </tp>
      <tp t="s">
        <v>#N/A</v>
        <stp/>
        <stp>BDP|14690871172986459939|222</stp>
        <stp>HOF9HOG9 Comdty</stp>
        <stp>BID</stp>
        <stp>Fill=#N/A</stp>
        <tr r="Q48" s="1"/>
      </tp>
      <tp>
        <v>11.5</v>
        <stp/>
        <stp>BDP|17471662508660652556|222</stp>
        <stp>QSU7QSV7 Comdty</stp>
        <stp>ASK</stp>
        <stp>Fill=#N/A</stp>
        <tr r="P32" s="1"/>
      </tp>
      <tp t="s">
        <v>#N/A</v>
        <stp/>
        <stp>BDP|11583343262646402601|222</stp>
        <stp>CLG0CLH0 Comdty</stp>
        <stp>ASK</stp>
        <stp>Fill=#N/A</stp>
        <tr r="N61" s="1"/>
      </tp>
      <tp>
        <v>1.3</v>
        <stp/>
        <stp>BDP|6045845284178451987|22</stp>
        <stp>COZ9COZ0 Comdty</stp>
        <stp>ASK</stp>
        <tr r="C5" s="3"/>
      </tp>
    </main>
    <main first="ice.rtd">
      <tp t="s">
        <v/>
        <stp/>
        <stp>57179020M3:LstBlkPrc</stp>
        <tr r="K1550" s="5"/>
      </tp>
      <tp t="s">
        <v/>
        <stp/>
        <stp>57179020Q3:LstBlkPrc</stp>
        <tr r="K1575" s="5"/>
      </tp>
      <tp t="s">
        <v/>
        <stp/>
        <stp>16331513M7:LstBlkPrc</stp>
        <tr r="K1422" s="5"/>
      </tp>
      <tp t="s">
        <v/>
        <stp/>
        <stp>16341514M7:LstBlkPrc</stp>
        <tr r="K1460" s="5"/>
      </tp>
      <tp t="s">
        <v/>
        <stp/>
        <stp>16351515M7:LstBlkPrc</stp>
        <tr r="K1498" s="5"/>
      </tp>
      <tp t="s">
        <v/>
        <stp/>
        <stp>16331513Q7:LstBlkPrc</stp>
        <tr r="K1447" s="5"/>
      </tp>
      <tp t="s">
        <v/>
        <stp/>
        <stp>16341514Q7:LstBlkPrc</stp>
        <tr r="K1485" s="5"/>
      </tp>
      <tp t="s">
        <v/>
        <stp/>
        <stp>16351515Q7:LstBlkPrc</stp>
        <tr r="K1523" s="5"/>
      </tp>
      <tp t="s">
        <v/>
        <stp/>
        <stp>1923422331M8:BstHitPrc</stp>
        <tr r="G1635" s="5"/>
      </tp>
      <tp>
        <v>-10.4</v>
        <stp/>
        <stp>1581618115M8:BstHitPrc</stp>
        <tr r="G467" s="5"/>
      </tp>
      <tp t="s">
        <v/>
        <stp/>
        <stp>161913535MM2:BstHitPrc</stp>
        <tr r="G2029" s="5"/>
      </tp>
      <tp t="s">
        <v/>
        <stp/>
        <stp>15091310M2:LstBlkPrc</stp>
        <tr r="K1379" s="5"/>
      </tp>
      <tp t="s">
        <v/>
        <stp/>
        <stp>15091310Y2:LstBlkPrc</stp>
        <tr r="K1413" s="5"/>
      </tp>
      <tp t="s">
        <v/>
        <stp/>
        <stp>15091310Q2:LstBlkPrc</stp>
        <tr r="K1404" s="5"/>
      </tp>
      <tp t="s">
        <v/>
        <stp/>
        <stp>30813691M2:LstBlkPrc</stp>
        <tr r="K1955" s="5"/>
      </tp>
      <tp t="s">
        <v/>
        <stp/>
        <stp>35534143M0:LstBlkPrc</stp>
        <tr r="K708" s="5"/>
      </tp>
      <tp t="s">
        <v/>
        <stp/>
        <stp>35544144M0:LstBlkPrc</stp>
        <tr r="K632" s="5"/>
      </tp>
      <tp t="s">
        <v/>
        <stp/>
        <stp>35554145M0:LstBlkPrc</stp>
        <tr r="K670" s="5"/>
      </tp>
      <tp t="s">
        <v/>
        <stp/>
        <stp>35534143Y0:LstBlkPrc</stp>
        <tr r="K742" s="5"/>
      </tp>
      <tp t="s">
        <v/>
        <stp/>
        <stp>35544144Y0:LstBlkPrc</stp>
        <tr r="K666" s="5"/>
      </tp>
      <tp t="s">
        <v/>
        <stp/>
        <stp>35554145Y0:LstBlkPrc</stp>
        <tr r="K704" s="5"/>
      </tp>
      <tp t="s">
        <v/>
        <stp/>
        <stp>30813691Y2:LstBlkPrc</stp>
        <tr r="K1989" s="5"/>
      </tp>
      <tp t="s">
        <v/>
        <stp/>
        <stp>35534143Q0:LstBlkPrc</stp>
        <tr r="K733" s="5"/>
      </tp>
      <tp t="s">
        <v/>
        <stp/>
        <stp>35544144Q0:LstBlkPrc</stp>
        <tr r="K657" s="5"/>
      </tp>
      <tp t="s">
        <v/>
        <stp/>
        <stp>35554145Q0:LstBlkPrc</stp>
        <tr r="K695" s="5"/>
      </tp>
      <tp t="s">
        <v/>
        <stp/>
        <stp>30813691Q2:LstBlkPrc</stp>
        <tr r="K1980" s="5"/>
      </tp>
      <tp t="s">
        <v/>
        <stp/>
        <stp>34344092Q0:BstHitPrc</stp>
        <tr r="G1288" s="5"/>
      </tp>
      <tp>
        <v>77.87</v>
        <stp/>
        <stp>34354093Q0:BstHitPrc</stp>
        <tr r="G1326" s="5"/>
      </tp>
      <tp t="s">
        <v/>
        <stp/>
        <stp>34344092Y0:BstHitPrc</stp>
        <tr r="G1297" s="5"/>
      </tp>
      <tp>
        <v>55.51</v>
        <stp/>
        <stp>34354093Y0:BstHitPrc</stp>
        <tr r="G1335" s="5"/>
      </tp>
      <tp t="s">
        <v/>
        <stp/>
        <stp>34344092M0:BstHitPrc</stp>
        <tr r="G1263" s="5"/>
      </tp>
      <tp>
        <v>84.5</v>
        <stp/>
        <stp>34354093M0:BstHitPrc</stp>
        <tr r="G1301" s="5"/>
      </tp>
      <tp t="s">
        <v/>
        <stp/>
        <stp>34364094Q0:BstHitPrc</stp>
        <tr r="G543" s="5"/>
      </tp>
      <tp t="s">
        <v/>
        <stp/>
        <stp>34374095Q0:BstHitPrc</stp>
        <tr r="G581" s="5"/>
      </tp>
      <tp t="s">
        <v/>
        <stp/>
        <stp>34364094Y0:BstHitPrc</stp>
        <tr r="G552" s="5"/>
      </tp>
      <tp t="s">
        <v/>
        <stp/>
        <stp>34374095Y0:BstHitPrc</stp>
        <tr r="G590" s="5"/>
      </tp>
      <tp t="s">
        <v/>
        <stp/>
        <stp>34364094M0:BstHitPrc</stp>
        <tr r="G518" s="5"/>
      </tp>
      <tp>
        <v>30</v>
        <stp/>
        <stp>34374095M0:BstHitPrc</stp>
        <tr r="G556" s="5"/>
      </tp>
      <tp t="s">
        <v/>
        <stp/>
        <stp>15141311T2:LstBlkPrc</stp>
        <tr r="K1530" s="5"/>
      </tp>
      <tp>
        <v>-4.7</v>
        <stp/>
        <stp>57409036M3:LstBlkPrc</stp>
        <tr r="K234" s="5"/>
      </tp>
      <tp>
        <v>-7.85</v>
        <stp/>
        <stp>57409036Q3:LstBlkPrc</stp>
        <tr r="K259" s="5"/>
      </tp>
      <tp t="s">
        <v/>
        <stp/>
        <stp>34404098Q0:BstHitPrc</stp>
        <tr r="G619" s="5"/>
      </tp>
      <tp t="s">
        <v/>
        <stp/>
        <stp>34414099Q0:BstHitPrc</stp>
        <tr r="G104" s="5"/>
      </tp>
      <tp t="s">
        <v/>
        <stp/>
        <stp>34404098Y0:BstHitPrc</stp>
        <tr r="G628" s="5"/>
      </tp>
      <tp t="s">
        <v/>
        <stp/>
        <stp>34414099Y0:BstHitPrc</stp>
        <tr r="G113" s="5"/>
      </tp>
      <tp t="s">
        <v/>
        <stp/>
        <stp>34404098M0:BstHitPrc</stp>
        <tr r="G594" s="5"/>
      </tp>
      <tp>
        <v>58</v>
        <stp/>
        <stp>34414099M0:BstHitPrc</stp>
        <tr r="G79" s="5"/>
      </tp>
      <tp t="s">
        <v/>
        <stp/>
        <stp>1840020882Q0:LstBlkPrc</stp>
        <tr r="K1599" s="5"/>
      </tp>
      <tp t="s">
        <v/>
        <stp/>
        <stp>1840020882Y0:LstBlkPrc</stp>
        <tr r="K1604" s="5"/>
      </tp>
      <tp t="s">
        <v/>
        <stp/>
        <stp>1840020882M0:LstBlkPrc</stp>
        <tr r="K1582" s="5"/>
      </tp>
      <tp t="s">
        <v>Oct26/Jul27</v>
        <stp/>
        <stp>DBI1227MM14:Strip</stp>
        <tr r="E1665" s="5"/>
      </tp>
      <tp t="s">
        <v>Dec26/Feb27</v>
        <stp/>
        <stp>DBI1227MM24:Strip</stp>
        <tr r="E1675" s="5"/>
      </tp>
      <tp t="s">
        <v/>
        <stp/>
        <stp>17551596T6:BstHitPrc</stp>
        <tr r="G1543" s="5"/>
      </tp>
      <tp t="s">
        <v/>
        <stp/>
        <stp>2044823525M9:LstBlkPrc</stp>
        <tr r="K1756" s="5"/>
      </tp>
      <tp t="s">
        <v/>
        <stp/>
        <stp>1961122916B0:BstHitPrc</stp>
        <tr r="G1626" s="5"/>
      </tp>
      <tp t="s">
        <v/>
        <stp/>
        <stp>46678127M3:LstBlkPrc</stp>
        <tr r="K348" s="5"/>
      </tp>
      <tp>
        <v>21</v>
        <stp/>
        <stp>46678127Q3:LstBlkPrc</stp>
        <tr r="K373" s="5"/>
      </tp>
      <tp>
        <v>15.25</v>
        <stp/>
        <stp>30793693Q2:BstHitPrc</stp>
        <tr r="G910" s="5"/>
      </tp>
      <tp t="s">
        <v/>
        <stp/>
        <stp>30793693Y2:BstHitPrc</stp>
        <tr r="G919" s="5"/>
      </tp>
      <tp t="s">
        <v/>
        <stp/>
        <stp>30793693M2:BstHitPrc</stp>
        <tr r="G885" s="5"/>
      </tp>
      <tp t="s">
        <v/>
        <stp/>
        <stp>161913535MM2:LstBlkPrc</stp>
        <tr r="K2029" s="5"/>
      </tp>
      <tp t="s">
        <v/>
        <stp/>
        <stp>30813691Q2:BstHitPrc</stp>
        <tr r="G1980" s="5"/>
      </tp>
      <tp t="s">
        <v/>
        <stp/>
        <stp>35534143Q0:BstHitPrc</stp>
        <tr r="G733" s="5"/>
      </tp>
      <tp t="s">
        <v/>
        <stp/>
        <stp>35544144Q0:BstHitPrc</stp>
        <tr r="G657" s="5"/>
      </tp>
      <tp t="s">
        <v/>
        <stp/>
        <stp>35554145Q0:BstHitPrc</stp>
        <tr r="G695" s="5"/>
      </tp>
      <tp t="s">
        <v/>
        <stp/>
        <stp>30813691Y2:BstHitPrc</stp>
        <tr r="G1989" s="5"/>
      </tp>
      <tp t="s">
        <v/>
        <stp/>
        <stp>35534143Y0:BstHitPrc</stp>
        <tr r="G742" s="5"/>
      </tp>
      <tp t="s">
        <v/>
        <stp/>
        <stp>35544144Y0:BstHitPrc</stp>
        <tr r="G666" s="5"/>
      </tp>
      <tp t="s">
        <v/>
        <stp/>
        <stp>35554145Y0:BstHitPrc</stp>
        <tr r="G704" s="5"/>
      </tp>
      <tp t="s">
        <v/>
        <stp/>
        <stp>35534143M0:BstHitPrc</stp>
        <tr r="G708" s="5"/>
      </tp>
      <tp t="s">
        <v/>
        <stp/>
        <stp>35544144M0:BstHitPrc</stp>
        <tr r="G632" s="5"/>
      </tp>
      <tp t="s">
        <v/>
        <stp/>
        <stp>35554145M0:BstHitPrc</stp>
        <tr r="G670" s="5"/>
      </tp>
      <tp>
        <v>-5.8</v>
        <stp/>
        <stp>30813691M2:BstHitPrc</stp>
        <tr r="G1955" s="5"/>
      </tp>
      <tp t="s">
        <v/>
        <stp/>
        <stp>15091310Q2:BstHitPrc</stp>
        <tr r="G1404" s="5"/>
      </tp>
      <tp t="s">
        <v/>
        <stp/>
        <stp>15091310Y2:BstHitPrc</stp>
        <tr r="G1413" s="5"/>
      </tp>
      <tp t="s">
        <v/>
        <stp/>
        <stp>15091310M2:BstHitPrc</stp>
        <tr r="G1379" s="5"/>
      </tp>
      <tp t="s">
        <v/>
        <stp/>
        <stp>15141311T2:BstHitPrc</stp>
        <tr r="G1530" s="5"/>
      </tp>
      <tp t="s">
        <v/>
        <stp/>
        <stp>34344092M0:LstBlkPrc</stp>
        <tr r="K1263" s="5"/>
      </tp>
      <tp t="s">
        <v/>
        <stp/>
        <stp>34354093M0:LstBlkPrc</stp>
        <tr r="K1301" s="5"/>
      </tp>
      <tp t="s">
        <v/>
        <stp/>
        <stp>34344092Y0:LstBlkPrc</stp>
        <tr r="K1297" s="5"/>
      </tp>
      <tp>
        <v>55.4</v>
        <stp/>
        <stp>34354093Y0:LstBlkPrc</stp>
        <tr r="K1335" s="5"/>
      </tp>
      <tp t="s">
        <v/>
        <stp/>
        <stp>34344092Q0:LstBlkPrc</stp>
        <tr r="K1288" s="5"/>
      </tp>
      <tp>
        <v>78.150000000000006</v>
        <stp/>
        <stp>34354093Q0:LstBlkPrc</stp>
        <tr r="K1326" s="5"/>
      </tp>
      <tp t="s">
        <v/>
        <stp/>
        <stp>34364094M0:LstBlkPrc</stp>
        <tr r="K518" s="5"/>
      </tp>
      <tp t="s">
        <v/>
        <stp/>
        <stp>34374095M0:LstBlkPrc</stp>
        <tr r="K556" s="5"/>
      </tp>
      <tp t="s">
        <v/>
        <stp/>
        <stp>34364094Y0:LstBlkPrc</stp>
        <tr r="K552" s="5"/>
      </tp>
      <tp t="s">
        <v/>
        <stp/>
        <stp>34374095Y0:LstBlkPrc</stp>
        <tr r="K590" s="5"/>
      </tp>
      <tp t="s">
        <v/>
        <stp/>
        <stp>34364094Q0:LstBlkPrc</stp>
        <tr r="K543" s="5"/>
      </tp>
      <tp t="s">
        <v/>
        <stp/>
        <stp>34374095Q0:LstBlkPrc</stp>
        <tr r="K581" s="5"/>
      </tp>
      <tp t="s">
        <v/>
        <stp/>
        <stp>57179020Q3:BstHitPrc</stp>
        <tr r="G1575" s="5"/>
      </tp>
      <tp t="s">
        <v/>
        <stp/>
        <stp>57179020M3:BstHitPrc</stp>
        <tr r="G1550" s="5"/>
      </tp>
      <tp t="s">
        <v/>
        <stp/>
        <stp>16331513Q7:BstHitPrc</stp>
        <tr r="G1447" s="5"/>
      </tp>
      <tp t="s">
        <v/>
        <stp/>
        <stp>16341514Q7:BstHitPrc</stp>
        <tr r="G1485" s="5"/>
      </tp>
      <tp t="s">
        <v/>
        <stp/>
        <stp>16351515Q7:BstHitPrc</stp>
        <tr r="G1523" s="5"/>
      </tp>
      <tp t="s">
        <v/>
        <stp/>
        <stp>16331513M7:BstHitPrc</stp>
        <tr r="G1422" s="5"/>
      </tp>
      <tp t="s">
        <v/>
        <stp/>
        <stp>16341514M7:BstHitPrc</stp>
        <tr r="G1460" s="5"/>
      </tp>
      <tp t="s">
        <v/>
        <stp/>
        <stp>16351515M7:BstHitPrc</stp>
        <tr r="G1498" s="5"/>
      </tp>
      <tp t="s">
        <v/>
        <stp/>
        <stp>1581618115M8:LstBlkPrc</stp>
        <tr r="K467" s="5"/>
      </tp>
      <tp t="s">
        <v/>
        <stp/>
        <stp>1923422331M8:LstBlkPrc</stp>
        <tr r="K1635" s="5"/>
      </tp>
      <tp t="s">
        <v/>
        <stp/>
        <stp>1961122916B0:LstBlkPrc</stp>
        <tr r="K1626" s="5"/>
      </tp>
      <tp>
        <v>35</v>
        <stp/>
        <stp>30793693M2:LstBlkPrc</stp>
        <tr r="K885" s="5"/>
      </tp>
      <tp t="s">
        <v/>
        <stp/>
        <stp>30793693Y2:LstBlkPrc</stp>
        <tr r="K919" s="5"/>
      </tp>
      <tp t="s">
        <v/>
        <stp/>
        <stp>30793693Q2:LstBlkPrc</stp>
        <tr r="K910" s="5"/>
      </tp>
      <tp>
        <v>20.100000000000001</v>
        <stp/>
        <stp>46678127Q3:BstHitPrc</stp>
        <tr r="G373" s="5"/>
      </tp>
      <tp>
        <v>19.05</v>
        <stp/>
        <stp>46678127M3:BstHitPrc</stp>
        <tr r="G348" s="5"/>
      </tp>
      <tp>
        <v>-11.38</v>
        <stp/>
        <stp>57409036Q3:BstHitPrc</stp>
        <tr r="G259" s="5"/>
      </tp>
      <tp>
        <v>-8.27</v>
        <stp/>
        <stp>57409036M3:BstHitPrc</stp>
        <tr r="G234" s="5"/>
      </tp>
      <tp>
        <v>45</v>
        <stp/>
        <stp>34404098M0:LstBlkPrc</stp>
        <tr r="K594" s="5"/>
      </tp>
      <tp t="s">
        <v/>
        <stp/>
        <stp>34414099M0:LstBlkPrc</stp>
        <tr r="K79" s="5"/>
      </tp>
      <tp t="s">
        <v/>
        <stp/>
        <stp>34404098Y0:LstBlkPrc</stp>
        <tr r="K628" s="5"/>
      </tp>
      <tp t="s">
        <v/>
        <stp/>
        <stp>34414099Y0:LstBlkPrc</stp>
        <tr r="K113" s="5"/>
      </tp>
      <tp t="s">
        <v/>
        <stp/>
        <stp>34404098Q0:LstBlkPrc</stp>
        <tr r="K619" s="5"/>
      </tp>
      <tp t="s">
        <v/>
        <stp/>
        <stp>34414099Q0:LstBlkPrc</stp>
        <tr r="K104" s="5"/>
      </tp>
      <tp t="s">
        <v/>
        <stp/>
        <stp>1840020882M0:BstHitPrc</stp>
        <tr r="G1582" s="5"/>
      </tp>
      <tp t="s">
        <v/>
        <stp/>
        <stp>1840020882Y0:BstHitPrc</stp>
        <tr r="G1604" s="5"/>
      </tp>
      <tp t="s">
        <v/>
        <stp/>
        <stp>1840020882Q0:BstHitPrc</stp>
        <tr r="G1599" s="5"/>
      </tp>
      <tp t="s">
        <v/>
        <stp/>
        <stp>17551596T6:LstBlkPrc</stp>
        <tr r="K1543" s="5"/>
      </tp>
      <tp t="s">
        <v/>
        <stp/>
        <stp>2044823525M9:BstHitPrc</stp>
        <tr r="G1756" s="5"/>
      </tp>
      <tp t="s">
        <v/>
        <stp/>
        <stp>30793693M4:LstBlkVol</stp>
        <tr r="L887" s="5"/>
      </tp>
      <tp t="s">
        <v/>
        <stp/>
        <stp>30793693Q4:LstBlkVol</stp>
        <tr r="L912" s="5"/>
      </tp>
    </main>
    <main first="bofaddin.rtdserver">
      <tp t="s">
        <v>#N/A Invalid Security</v>
        <stp/>
        <stp>BDP|876076675288133971|222</stp>
        <stp>CLH0 Comdty</stp>
        <stp>BID</stp>
        <stp>Fill=#N/A</stp>
        <tr r="F61" s="1"/>
      </tp>
    </main>
    <main first="ice.rtd">
      <tp t="s">
        <v/>
        <stp/>
        <stp>32613992M9:LstBlkVol</stp>
        <tr r="L1234" s="5"/>
      </tp>
      <tp>
        <v>10</v>
        <stp/>
        <stp>32623993M9:LstBlkVol</stp>
        <tr r="L1999" s="5"/>
      </tp>
      <tp t="s">
        <v/>
        <stp/>
        <stp>17551596T0:LstBlkVol</stp>
        <tr r="L1537" s="5"/>
      </tp>
      <tp t="s">
        <v/>
        <stp/>
        <stp>34404098M6:LstBlkVol</stp>
        <tr r="L600" s="5"/>
      </tp>
      <tp t="s">
        <v/>
        <stp/>
        <stp>34414099M6:LstBlkVol</stp>
        <tr r="L85" s="5"/>
      </tp>
      <tp t="s">
        <v/>
        <stp/>
        <stp>34404098Q6:LstBlkVol</stp>
        <tr r="L625" s="5"/>
      </tp>
      <tp t="s">
        <v/>
        <stp/>
        <stp>34414099Q6:LstBlkVol</stp>
        <tr r="L110" s="5"/>
      </tp>
      <tp t="s">
        <v/>
        <stp/>
        <stp>34364094M6:LstBlkVol</stp>
        <tr r="L524" s="5"/>
      </tp>
      <tp t="s">
        <v/>
        <stp/>
        <stp>34374095M6:LstBlkVol</stp>
        <tr r="L562" s="5"/>
      </tp>
      <tp t="s">
        <v/>
        <stp/>
        <stp>34364094Q6:LstBlkVol</stp>
        <tr r="L549" s="5"/>
      </tp>
      <tp t="s">
        <v/>
        <stp/>
        <stp>34374095Q6:LstBlkVol</stp>
        <tr r="L587" s="5"/>
      </tp>
      <tp t="s">
        <v/>
        <stp/>
        <stp>34344092M6:LstBlkVol</stp>
        <tr r="L1269" s="5"/>
      </tp>
      <tp t="s">
        <v/>
        <stp/>
        <stp>34354093M6:LstBlkVol</stp>
        <tr r="L1307" s="5"/>
      </tp>
      <tp t="s">
        <v/>
        <stp/>
        <stp>34344092Q6:LstBlkVol</stp>
        <tr r="L1294" s="5"/>
      </tp>
      <tp t="s">
        <v/>
        <stp/>
        <stp>34354093Q6:LstBlkVol</stp>
        <tr r="L1332" s="5"/>
      </tp>
      <tp t="s">
        <v/>
        <stp/>
        <stp>161913535MM4:LstBlkVol</stp>
        <tr r="L2031" s="5"/>
      </tp>
      <tp t="s">
        <v/>
        <stp/>
        <stp>57409036M5:LstBlkVol</stp>
        <tr r="L236" s="5"/>
      </tp>
      <tp t="s">
        <v/>
        <stp/>
        <stp>57409036Q5:LstBlkVol</stp>
        <tr r="L261" s="5"/>
      </tp>
    </main>
    <main first="esrtd">
      <tp t="s">
        <v/>
        <stp/>
        <stp>BRN 26UC14000-ICE</stp>
        <stp>Market</stp>
        <tr r="AQ121" s="23"/>
      </tp>
      <tp t="s">
        <v/>
        <stp/>
        <stp>BRN 26UP14000-ICE</stp>
        <stp>Market</stp>
        <tr r="AJ121" s="23"/>
      </tp>
    </main>
    <main first="ice.rtd">
      <tp t="s">
        <v/>
        <stp/>
        <stp>1840020882M6:LstBlkVol</stp>
        <tr r="L1588" s="5"/>
      </tp>
      <tp t="s">
        <v/>
        <stp/>
        <stp>46678127M5:LstBlkVol</stp>
        <tr r="L350" s="5"/>
      </tp>
      <tp t="s">
        <v/>
        <stp/>
        <stp>46678127Q5:LstBlkVol</stp>
        <tr r="L375" s="5"/>
      </tp>
    </main>
    <main first="esrtd">
      <tp t="s">
        <v/>
        <stp/>
        <stp>BRN 26VC14000-ICE</stp>
        <stp>Market</stp>
        <tr r="AQ194" s="23"/>
      </tp>
      <tp t="s">
        <v/>
        <stp/>
        <stp>BRN 26VP14000-ICE</stp>
        <stp>Market</stp>
        <tr r="AJ194" s="23"/>
      </tp>
    </main>
    <main first="ice.rtd">
      <tp t="s">
        <v/>
        <stp/>
        <stp>2888129698B0:LstBlkVol</stp>
        <tr r="L1110" s="5"/>
      </tp>
      <tp t="s">
        <v/>
        <stp/>
        <stp>2888029697B0:LstBlkVol</stp>
        <tr r="L996" s="5"/>
      </tp>
      <tp t="s">
        <v/>
        <stp/>
        <stp>16331513M1:LstBlkVol</stp>
        <tr r="L1416" s="5"/>
      </tp>
      <tp t="s">
        <v/>
        <stp/>
        <stp>16341514M1:LstBlkVol</stp>
        <tr r="L1454" s="5"/>
      </tp>
      <tp t="s">
        <v/>
        <stp/>
        <stp>16351515M1:LstBlkVol</stp>
        <tr r="L1492" s="5"/>
      </tp>
      <tp t="s">
        <v/>
        <stp/>
        <stp>16331513Y1:LstBlkVol</stp>
        <tr r="L1450" s="5"/>
      </tp>
      <tp t="s">
        <v/>
        <stp/>
        <stp>16341514Y1:LstBlkVol</stp>
        <tr r="L1488" s="5"/>
      </tp>
      <tp t="s">
        <v/>
        <stp/>
        <stp>16351515Y1:LstBlkVol</stp>
        <tr r="L1526" s="5"/>
      </tp>
      <tp t="s">
        <v/>
        <stp/>
        <stp>16331513Q1:LstBlkVol</stp>
        <tr r="L1441" s="5"/>
      </tp>
      <tp t="s">
        <v/>
        <stp/>
        <stp>16341514Q1:LstBlkVol</stp>
        <tr r="L1479" s="5"/>
      </tp>
      <tp t="s">
        <v/>
        <stp/>
        <stp>16351515Q1:LstBlkVol</stp>
        <tr r="L1517" s="5"/>
      </tp>
      <tp t="s">
        <v/>
        <stp/>
        <stp>57179020M5:LstBlkVol</stp>
        <tr r="L1552" s="5"/>
      </tp>
      <tp t="s">
        <v>Invalid Market: 57179020Q5</v>
        <stp/>
        <stp>57179020Q5:LstBlkVol</stp>
        <tr r="L1577" s="5"/>
      </tp>
      <tp t="s">
        <v/>
        <stp/>
        <stp>15141311T4:LstBlkVol</stp>
        <tr r="L1532" s="5"/>
      </tp>
      <tp t="s">
        <v/>
        <stp/>
        <stp>1986823075Q8:LstBlkVol</stp>
        <tr r="L150" s="5"/>
      </tp>
      <tp t="s">
        <v/>
        <stp/>
        <stp>1986823075M8:LstBlkVol</stp>
        <tr r="L125" s="5"/>
      </tp>
      <tp t="s">
        <v/>
        <stp/>
        <stp>30813691M4:LstBlkVol</stp>
        <tr r="L1957" s="5"/>
      </tp>
      <tp t="s">
        <v/>
        <stp/>
        <stp>35534143M6:LstBlkVol</stp>
        <tr r="L714" s="5"/>
      </tp>
      <tp t="s">
        <v/>
        <stp/>
        <stp>35544144M6:LstBlkVol</stp>
        <tr r="L638" s="5"/>
      </tp>
      <tp t="s">
        <v/>
        <stp/>
        <stp>35554145M6:LstBlkVol</stp>
        <tr r="L676" s="5"/>
      </tp>
      <tp t="s">
        <v/>
        <stp/>
        <stp>35534143Q6:LstBlkVol</stp>
        <tr r="L739" s="5"/>
      </tp>
      <tp t="s">
        <v/>
        <stp/>
        <stp>35544144Q6:LstBlkVol</stp>
        <tr r="L663" s="5"/>
      </tp>
      <tp t="s">
        <v/>
        <stp/>
        <stp>35554145Q6:LstBlkVol</stp>
        <tr r="L701" s="5"/>
      </tp>
      <tp t="s">
        <v/>
        <stp/>
        <stp>30813691Q4:LstBlkVol</stp>
        <tr r="L1982" s="5"/>
      </tp>
      <tp t="s">
        <v/>
        <stp/>
        <stp>15091310M4:LstBlkVol</stp>
        <tr r="L1381" s="5"/>
      </tp>
      <tp t="s">
        <v/>
        <stp/>
        <stp>15091310Q4:LstBlkVol</stp>
        <tr r="L1406" s="5"/>
      </tp>
    </main>
    <main first="esrtd">
      <tp t="s">
        <v/>
        <stp/>
        <stp>BRN 26VC14500-ICE</stp>
        <stp>Market</stp>
        <tr r="AQ195" s="23"/>
      </tp>
    </main>
    <main first="ice.rtd">
      <tp t="s">
        <v/>
        <stp/>
        <stp>1986923076Q8:LstBlkVol</stp>
        <tr r="L188" s="5"/>
      </tp>
      <tp t="s">
        <v/>
        <stp/>
        <stp>1986923076M8:LstBlkVol</stp>
        <tr r="L163" s="5"/>
      </tp>
    </main>
    <main first="esrtd">
      <tp t="s">
        <v/>
        <stp/>
        <stp>BRN 26VP14500-ICE</stp>
        <stp>Market</stp>
        <tr r="AJ195" s="23"/>
      </tp>
    </main>
    <main first="ice.rtd">
      <tp t="s">
        <v/>
        <stp/>
        <stp>366531MM25:LstBlkVol</stp>
        <tr r="L1740" s="5"/>
      </tp>
      <tp t="s">
        <v/>
        <stp/>
        <stp>366531MM15:LstBlkVol</stp>
        <tr r="L1730" s="5"/>
      </tp>
      <tp t="s">
        <v/>
        <stp/>
        <stp>266Y1:BstLiftPrc</stp>
        <tr r="H956" s="5"/>
      </tp>
      <tp t="s">
        <v/>
        <stp/>
        <stp>266Y0:BstLiftPrc</stp>
        <tr r="H955" s="5"/>
      </tp>
      <tp t="s">
        <v/>
        <stp/>
        <stp>266Y2:BstLiftPrc</stp>
        <tr r="H957" s="5"/>
      </tp>
      <tp t="s">
        <v/>
        <stp/>
        <stp>266Q5:BstLiftPrc</stp>
        <tr r="H951" s="5"/>
      </tp>
      <tp t="s">
        <v/>
        <stp/>
        <stp>266Q4:BstLiftPrc</stp>
        <tr r="H950" s="5"/>
      </tp>
      <tp t="s">
        <v/>
        <stp/>
        <stp>266Q7:BstLiftPrc</stp>
        <tr r="H953" s="5"/>
      </tp>
      <tp t="s">
        <v/>
        <stp/>
        <stp>266Q6:BstLiftPrc</stp>
        <tr r="H952" s="5"/>
      </tp>
      <tp t="s">
        <v/>
        <stp/>
        <stp>266Q1:BstLiftPrc</stp>
        <tr r="H947" s="5"/>
      </tp>
      <tp t="s">
        <v/>
        <stp/>
        <stp>266Q0:BstLiftPrc</stp>
        <tr r="H946" s="5"/>
      </tp>
      <tp t="s">
        <v/>
        <stp/>
        <stp>266Q3:BstLiftPrc</stp>
        <tr r="H949" s="5"/>
      </tp>
      <tp t="s">
        <v/>
        <stp/>
        <stp>266Q2:BstLiftPrc</stp>
        <tr r="H948" s="5"/>
      </tp>
      <tp t="s">
        <v/>
        <stp/>
        <stp>266Q8:BstLiftPrc</stp>
        <tr r="H954" s="5"/>
      </tp>
      <tp t="s">
        <v/>
        <stp/>
        <stp>266M5:BstLiftPrc</stp>
        <tr r="H926" s="5"/>
      </tp>
      <tp t="s">
        <v/>
        <stp/>
        <stp>266M4:BstLiftPrc</stp>
        <tr r="H925" s="5"/>
      </tp>
      <tp t="s">
        <v/>
        <stp/>
        <stp>266M7:BstLiftPrc</stp>
        <tr r="H928" s="5"/>
      </tp>
      <tp t="s">
        <v/>
        <stp/>
        <stp>266M6:BstLiftPrc</stp>
        <tr r="H927" s="5"/>
      </tp>
      <tp t="s">
        <v/>
        <stp/>
        <stp>266M1:BstLiftPrc</stp>
        <tr r="H922" s="5"/>
      </tp>
      <tp t="s">
        <v/>
        <stp/>
        <stp>266M0:BstLiftPrc</stp>
        <tr r="H921" s="5"/>
      </tp>
      <tp t="s">
        <v/>
        <stp/>
        <stp>266M3:BstLiftPrc</stp>
        <tr r="H924" s="5"/>
      </tp>
      <tp t="s">
        <v/>
        <stp/>
        <stp>266M2:BstLiftPrc</stp>
        <tr r="H923" s="5"/>
      </tp>
      <tp t="s">
        <v/>
        <stp/>
        <stp>266M9:BstLiftPrc</stp>
        <tr r="H930" s="5"/>
      </tp>
      <tp t="s">
        <v/>
        <stp/>
        <stp>266M8:BstLiftPrc</stp>
        <tr r="H929" s="5"/>
      </tp>
      <tp t="s">
        <v/>
        <stp/>
        <stp>15061297MM19:LstBlkPrc</stp>
        <tr r="K1702" s="5"/>
      </tp>
      <tp t="s">
        <v/>
        <stp/>
        <stp>366531MM13:BstHitPrc</stp>
        <tr r="G1728" s="5"/>
      </tp>
      <tp t="s">
        <v/>
        <stp/>
        <stp>366531MM23:BstHitPrc</stp>
        <tr r="G1738" s="5"/>
      </tp>
      <tp t="s">
        <v/>
        <stp/>
        <stp>366531MM23:LstBlkPrc</stp>
        <tr r="K1738" s="5"/>
      </tp>
      <tp t="s">
        <v/>
        <stp/>
        <stp>366531MM13:LstBlkPrc</stp>
        <tr r="K1728" s="5"/>
      </tp>
      <tp>
        <v>0</v>
        <stp/>
        <stp>16331513Y2:OI</stp>
        <tr r="T1451" s="5"/>
      </tp>
      <tp>
        <v>0</v>
        <stp/>
        <stp>16341514Y2:OI</stp>
        <tr r="T1489" s="5"/>
      </tp>
      <tp>
        <v>0</v>
        <stp/>
        <stp>16351515Y2:OI</stp>
        <tr r="T1527" s="5"/>
      </tp>
      <tp>
        <v>0</v>
        <stp/>
        <stp>16331513Y0:OI</stp>
        <tr r="T1449" s="5"/>
      </tp>
      <tp>
        <v>0</v>
        <stp/>
        <stp>16341514Y0:OI</stp>
        <tr r="T1487" s="5"/>
      </tp>
      <tp>
        <v>0</v>
        <stp/>
        <stp>16351515Y0:OI</stp>
        <tr r="T1525" s="5"/>
      </tp>
      <tp>
        <v>0</v>
        <stp/>
        <stp>16331513Y1:OI</stp>
        <tr r="T1450" s="5"/>
      </tp>
      <tp>
        <v>0</v>
        <stp/>
        <stp>16341514Y1:OI</stp>
        <tr r="T1488" s="5"/>
      </tp>
      <tp>
        <v>0</v>
        <stp/>
        <stp>16351515Y1:OI</stp>
        <tr r="T1526" s="5"/>
      </tp>
      <tp>
        <v>0</v>
        <stp/>
        <stp>16331513Q2:OI</stp>
        <tr r="T1442" s="5"/>
      </tp>
      <tp>
        <v>0</v>
        <stp/>
        <stp>16341514Q2:OI</stp>
        <tr r="T1480" s="5"/>
      </tp>
      <tp>
        <v>0</v>
        <stp/>
        <stp>16351515Q2:OI</stp>
        <tr r="T1518" s="5"/>
      </tp>
      <tp>
        <v>0</v>
        <stp/>
        <stp>16331513Q3:OI</stp>
        <tr r="T1443" s="5"/>
      </tp>
      <tp>
        <v>0</v>
        <stp/>
        <stp>16341514Q3:OI</stp>
        <tr r="T1481" s="5"/>
      </tp>
      <tp>
        <v>0</v>
        <stp/>
        <stp>16351515Q3:OI</stp>
        <tr r="T1519" s="5"/>
      </tp>
      <tp>
        <v>0</v>
        <stp/>
        <stp>16331513Q0:OI</stp>
        <tr r="T1440" s="5"/>
      </tp>
      <tp>
        <v>0</v>
        <stp/>
        <stp>16341514Q0:OI</stp>
        <tr r="T1478" s="5"/>
      </tp>
      <tp>
        <v>0</v>
        <stp/>
        <stp>16351515Q0:OI</stp>
        <tr r="T1516" s="5"/>
      </tp>
      <tp>
        <v>0</v>
        <stp/>
        <stp>16331513Q1:OI</stp>
        <tr r="T1441" s="5"/>
      </tp>
      <tp>
        <v>0</v>
        <stp/>
        <stp>16341514Q1:OI</stp>
        <tr r="T1479" s="5"/>
      </tp>
      <tp>
        <v>0</v>
        <stp/>
        <stp>16351515Q1:OI</stp>
        <tr r="T1517" s="5"/>
      </tp>
      <tp>
        <v>0</v>
        <stp/>
        <stp>16331513Q6:OI</stp>
        <tr r="T1446" s="5"/>
      </tp>
      <tp>
        <v>0</v>
        <stp/>
        <stp>16341514Q6:OI</stp>
        <tr r="T1484" s="5"/>
      </tp>
      <tp>
        <v>0</v>
        <stp/>
        <stp>16351515Q6:OI</stp>
        <tr r="T1522" s="5"/>
      </tp>
      <tp>
        <v>0</v>
        <stp/>
        <stp>16331513Q7:OI</stp>
        <tr r="T1447" s="5"/>
      </tp>
      <tp>
        <v>0</v>
        <stp/>
        <stp>16341514Q7:OI</stp>
        <tr r="T1485" s="5"/>
      </tp>
      <tp>
        <v>0</v>
        <stp/>
        <stp>16351515Q7:OI</stp>
        <tr r="T1523" s="5"/>
      </tp>
      <tp>
        <v>0</v>
        <stp/>
        <stp>16331513Q4:OI</stp>
        <tr r="T1444" s="5"/>
      </tp>
      <tp>
        <v>0</v>
        <stp/>
        <stp>16341514Q4:OI</stp>
        <tr r="T1482" s="5"/>
      </tp>
      <tp>
        <v>0</v>
        <stp/>
        <stp>16351515Q4:OI</stp>
        <tr r="T1520" s="5"/>
      </tp>
      <tp>
        <v>0</v>
        <stp/>
        <stp>16331513Q5:OI</stp>
        <tr r="T1445" s="5"/>
      </tp>
      <tp>
        <v>0</v>
        <stp/>
        <stp>16341514Q5:OI</stp>
        <tr r="T1483" s="5"/>
      </tp>
      <tp>
        <v>0</v>
        <stp/>
        <stp>16351515Q5:OI</stp>
        <tr r="T1521" s="5"/>
      </tp>
      <tp>
        <v>0</v>
        <stp/>
        <stp>16331513Q8:OI</stp>
        <tr r="T1448" s="5"/>
      </tp>
      <tp>
        <v>0</v>
        <stp/>
        <stp>16341514Q8:OI</stp>
        <tr r="T1486" s="5"/>
      </tp>
      <tp>
        <v>0</v>
        <stp/>
        <stp>16351515Q8:OI</stp>
        <tr r="T1524" s="5"/>
      </tp>
      <tp>
        <v>4945</v>
        <stp/>
        <stp>16331513M2:OI</stp>
        <tr r="T1417" s="5"/>
      </tp>
      <tp>
        <v>593</v>
        <stp/>
        <stp>16341514M2:OI</stp>
        <tr r="T1455" s="5"/>
      </tp>
      <tp>
        <v>1636</v>
        <stp/>
        <stp>16351515M2:OI</stp>
        <tr r="T1493" s="5"/>
      </tp>
      <tp>
        <v>6085</v>
        <stp/>
        <stp>16331513M3:OI</stp>
        <tr r="T1418" s="5"/>
      </tp>
      <tp>
        <v>607</v>
        <stp/>
        <stp>16341514M3:OI</stp>
        <tr r="T1456" s="5"/>
      </tp>
      <tp>
        <v>2448</v>
        <stp/>
        <stp>16351515M3:OI</stp>
        <tr r="T1494" s="5"/>
      </tp>
      <tp>
        <v>10190</v>
        <stp/>
        <stp>16331513M0:OI</stp>
        <tr r="T1415" s="5"/>
      </tp>
      <tp>
        <v>1048</v>
        <stp/>
        <stp>16341514M0:OI</stp>
        <tr r="T1453" s="5"/>
      </tp>
      <tp>
        <v>3278</v>
        <stp/>
        <stp>16351515M0:OI</stp>
        <tr r="T1491" s="5"/>
      </tp>
      <tp>
        <v>10834</v>
        <stp/>
        <stp>16331513M1:OI</stp>
        <tr r="T1416" s="5"/>
      </tp>
      <tp>
        <v>593</v>
        <stp/>
        <stp>16341514M1:OI</stp>
        <tr r="T1454" s="5"/>
      </tp>
      <tp>
        <v>1442</v>
        <stp/>
        <stp>16351515M1:OI</stp>
        <tr r="T1492" s="5"/>
      </tp>
      <tp>
        <v>3182</v>
        <stp/>
        <stp>16331513M6:OI</stp>
        <tr r="T1421" s="5"/>
      </tp>
      <tp>
        <v>370</v>
        <stp/>
        <stp>16341514M6:OI</stp>
        <tr r="T1459" s="5"/>
      </tp>
      <tp>
        <v>785</v>
        <stp/>
        <stp>16351515M6:OI</stp>
        <tr r="T1497" s="5"/>
      </tp>
      <tp>
        <v>1597</v>
        <stp/>
        <stp>16331513M7:OI</stp>
        <tr r="T1422" s="5"/>
      </tp>
      <tp>
        <v>330</v>
        <stp/>
        <stp>16341514M7:OI</stp>
        <tr r="T1460" s="5"/>
      </tp>
      <tp>
        <v>435</v>
        <stp/>
        <stp>16351515M7:OI</stp>
        <tr r="T1498" s="5"/>
      </tp>
      <tp>
        <v>4171</v>
        <stp/>
        <stp>16331513M4:OI</stp>
        <tr r="T1419" s="5"/>
      </tp>
      <tp>
        <v>370</v>
        <stp/>
        <stp>16341514M4:OI</stp>
        <tr r="T1457" s="5"/>
      </tp>
      <tp>
        <v>1263</v>
        <stp/>
        <stp>16351515M4:OI</stp>
        <tr r="T1495" s="5"/>
      </tp>
      <tp>
        <v>3045</v>
        <stp/>
        <stp>16331513M5:OI</stp>
        <tr r="T1420" s="5"/>
      </tp>
      <tp>
        <v>370</v>
        <stp/>
        <stp>16341514M5:OI</stp>
        <tr r="T1458" s="5"/>
      </tp>
      <tp>
        <v>755</v>
        <stp/>
        <stp>16351515M5:OI</stp>
        <tr r="T1496" s="5"/>
      </tp>
      <tp>
        <v>1409</v>
        <stp/>
        <stp>16331513M8:OI</stp>
        <tr r="T1423" s="5"/>
      </tp>
      <tp>
        <v>330</v>
        <stp/>
        <stp>16341514M8:OI</stp>
        <tr r="T1461" s="5"/>
      </tp>
      <tp>
        <v>404</v>
        <stp/>
        <stp>16351515M8:OI</stp>
        <tr r="T1499" s="5"/>
      </tp>
      <tp>
        <v>1357</v>
        <stp/>
        <stp>16331513M9:OI</stp>
        <tr r="T1424" s="5"/>
      </tp>
      <tp>
        <v>330</v>
        <stp/>
        <stp>16341514M9:OI</stp>
        <tr r="T1462" s="5"/>
      </tp>
      <tp>
        <v>296</v>
        <stp/>
        <stp>16351515M9:OI</stp>
        <tr r="T1500" s="5"/>
      </tp>
      <tp t="s">
        <v/>
        <stp/>
        <stp>15061297MM19:BstHitPrc</stp>
        <tr r="G1702" s="5"/>
      </tp>
      <tp>
        <v>0</v>
        <stp/>
        <stp>29243602Y0:OI</stp>
        <tr r="T767" s="5"/>
      </tp>
      <tp>
        <v>0</v>
        <stp/>
        <stp>29243602Q4:OI</stp>
        <tr r="T766" s="5"/>
      </tp>
      <tp>
        <v>0</v>
        <stp/>
        <stp>29243602Q2:OI</stp>
        <tr r="T764" s="5"/>
      </tp>
      <tp>
        <v>0</v>
        <stp/>
        <stp>29243602Q3:OI</stp>
        <tr r="T765" s="5"/>
      </tp>
      <tp>
        <v>0</v>
        <stp/>
        <stp>29243602Q0:OI</stp>
        <tr r="T762" s="5"/>
      </tp>
      <tp>
        <v>0</v>
        <stp/>
        <stp>29243602Q1:OI</stp>
        <tr r="T763" s="5"/>
      </tp>
      <tp>
        <v>0</v>
        <stp/>
        <stp>29243602M8:OI</stp>
        <tr r="T754" s="5"/>
      </tp>
      <tp>
        <v>0</v>
        <stp/>
        <stp>29243602M9:OI</stp>
        <tr r="T755" s="5"/>
      </tp>
      <tp>
        <v>0</v>
        <stp/>
        <stp>29243602M6:OI</stp>
        <tr r="T752" s="5"/>
      </tp>
      <tp>
        <v>0</v>
        <stp/>
        <stp>29243602M7:OI</stp>
        <tr r="T753" s="5"/>
      </tp>
      <tp>
        <v>0</v>
        <stp/>
        <stp>29243602M4:OI</stp>
        <tr r="T750" s="5"/>
      </tp>
      <tp>
        <v>0</v>
        <stp/>
        <stp>29243602M5:OI</stp>
        <tr r="T751" s="5"/>
      </tp>
      <tp>
        <v>0</v>
        <stp/>
        <stp>29243602M2:OI</stp>
        <tr r="T748" s="5"/>
      </tp>
      <tp>
        <v>0</v>
        <stp/>
        <stp>29243602M3:OI</stp>
        <tr r="T749" s="5"/>
      </tp>
      <tp>
        <v>0</v>
        <stp/>
        <stp>29243602M0:OI</stp>
        <tr r="T746" s="5"/>
      </tp>
      <tp>
        <v>0</v>
        <stp/>
        <stp>29243602M1:OI</stp>
        <tr r="T747" s="5"/>
      </tp>
    </main>
    <main first="bofaddin.rtdserver">
      <tp t="s">
        <v>#N/A Requesting Data...4019742734</v>
        <stp/>
        <stp>BDP|15594383153330606808</stp>
        <tr r="AF125" s="23"/>
      </tp>
      <tp t="s">
        <v>#N/A Requesting Data...3389769371</v>
        <stp/>
        <stp>BDP|18073683228040938749</stp>
        <tr r="AF55" s="23"/>
      </tp>
      <tp t="s">
        <v>#N/A Requesting Data...2653623523</v>
        <stp/>
        <stp>BDP|12133457762428943306</stp>
        <tr r="AM185" s="23"/>
      </tp>
      <tp t="s">
        <v>#N/A Requesting Data...3695970258</v>
        <stp/>
        <stp>BDP|18021023105793187088</stp>
        <tr r="B12" s="23"/>
      </tp>
    </main>
    <main first="ice.rtd">
      <tp t="s">
        <v/>
        <stp/>
        <stp>1986923076M8:LstDate</stp>
        <tr r="J163" s="5"/>
      </tp>
      <tp t="s">
        <v/>
        <stp/>
        <stp>1986923076M9:LstDate</stp>
        <tr r="J164" s="5"/>
      </tp>
      <tp t="s">
        <v/>
        <stp/>
        <stp>1961122916B0:LstDate</stp>
        <tr r="J1626" s="5"/>
      </tp>
      <tp>
        <v>46267.42626925926</v>
        <stp/>
        <stp>1986923076M0:LstDate</stp>
        <tr r="J155" s="5"/>
      </tp>
      <tp>
        <v>46267.460331574075</v>
        <stp/>
        <stp>1986923076M1:LstDate</stp>
        <tr r="J156" s="5"/>
      </tp>
      <tp>
        <v>46267.392813865743</v>
        <stp/>
        <stp>1986923076M2:LstDate</stp>
        <tr r="J157" s="5"/>
      </tp>
      <tp>
        <v>46267.45270804398</v>
        <stp/>
        <stp>1986923076M3:LstDate</stp>
        <tr r="J158" s="5"/>
      </tp>
      <tp t="s">
        <v/>
        <stp/>
        <stp>1986923076M4:LstDate</stp>
        <tr r="J159" s="5"/>
      </tp>
      <tp t="s">
        <v/>
        <stp/>
        <stp>1986923076M5:LstDate</stp>
        <tr r="J160" s="5"/>
      </tp>
      <tp t="s">
        <v/>
        <stp/>
        <stp>1986923076M6:LstDate</stp>
        <tr r="J161" s="5"/>
      </tp>
      <tp t="s">
        <v/>
        <stp/>
        <stp>1986923076M7:LstDate</stp>
        <tr r="J162" s="5"/>
      </tp>
      <tp t="s">
        <v/>
        <stp/>
        <stp>2888029697B0:LstDate</stp>
        <tr r="J996" s="5"/>
      </tp>
    </main>
    <main first="bofaddin.rtdserver">
      <tp t="s">
        <v>#N/A Requesting Data...3979074845</v>
        <stp/>
        <stp>BDP|12059959801298967891</stp>
        <tr r="AF76" s="23"/>
      </tp>
    </main>
    <main first="ice.rtd">
      <tp t="s">
        <v/>
        <stp/>
        <stp>2755728678M9:LstDate</stp>
        <tr r="J1120" s="5"/>
      </tp>
      <tp t="s">
        <v/>
        <stp/>
        <stp>2755728678M8:LstDate</stp>
        <tr r="J1119" s="5"/>
      </tp>
      <tp t="s">
        <v/>
        <stp/>
        <stp>2755728678M5:LstDate</stp>
        <tr r="J1116" s="5"/>
      </tp>
      <tp t="s">
        <v/>
        <stp/>
        <stp>2755728678M4:LstDate</stp>
        <tr r="J1115" s="5"/>
      </tp>
      <tp t="s">
        <v/>
        <stp/>
        <stp>2755728678M7:LstDate</stp>
        <tr r="J1118" s="5"/>
      </tp>
      <tp t="s">
        <v/>
        <stp/>
        <stp>2755728678M6:LstDate</stp>
        <tr r="J1117" s="5"/>
      </tp>
      <tp t="s">
        <v/>
        <stp/>
        <stp>2755728678M1:LstDate</stp>
        <tr r="J1112" s="5"/>
      </tp>
      <tp t="s">
        <v/>
        <stp/>
        <stp>2755728678M0:LstDate</stp>
        <tr r="J1111" s="5"/>
      </tp>
      <tp t="s">
        <v/>
        <stp/>
        <stp>2755728678M3:LstDate</stp>
        <tr r="J1114" s="5"/>
      </tp>
      <tp t="s">
        <v/>
        <stp/>
        <stp>2755728678M2:LstDate</stp>
        <tr r="J1113" s="5"/>
      </tp>
    </main>
    <main first="bofaddin.rtdserver">
      <tp t="s">
        <v>#N/A N/A</v>
        <stp/>
        <stp>BDH|16126436367427794831</stp>
        <tr r="AV46" s="1"/>
      </tp>
    </main>
    <main first="ice.rtd">
      <tp t="s">
        <v/>
        <stp/>
        <stp>2755728678Q8:LstDate</stp>
        <tr r="J1144" s="5"/>
      </tp>
      <tp t="s">
        <v/>
        <stp/>
        <stp>2755728678Q5:LstDate</stp>
        <tr r="J1141" s="5"/>
      </tp>
      <tp t="s">
        <v/>
        <stp/>
        <stp>2755728678Q4:LstDate</stp>
        <tr r="J1140" s="5"/>
      </tp>
      <tp t="s">
        <v/>
        <stp/>
        <stp>2755728678Q7:LstDate</stp>
        <tr r="J1143" s="5"/>
      </tp>
      <tp t="s">
        <v/>
        <stp/>
        <stp>2755728678Q6:LstDate</stp>
        <tr r="J1142" s="5"/>
      </tp>
      <tp t="s">
        <v/>
        <stp/>
        <stp>2755728678Q1:LstDate</stp>
        <tr r="J1137" s="5"/>
      </tp>
      <tp t="s">
        <v/>
        <stp/>
        <stp>2755728678Q0:LstDate</stp>
        <tr r="J1136" s="5"/>
      </tp>
      <tp t="s">
        <v/>
        <stp/>
        <stp>2755728678Q3:LstDate</stp>
        <tr r="J1139" s="5"/>
      </tp>
      <tp t="s">
        <v/>
        <stp/>
        <stp>2755728678Q2:LstDate</stp>
        <tr r="J1138" s="5"/>
      </tp>
    </main>
    <main first="bofaddin.rtdserver">
      <tp t="s">
        <v>#N/A N/A</v>
        <stp/>
        <stp>BDH|14353777740435770901</stp>
        <tr r="I43" s="14"/>
      </tp>
      <tp t="s">
        <v>#N/A N/A</v>
        <stp/>
        <stp>BDH|11179721516724244842</stp>
        <tr r="I11" s="14"/>
      </tp>
    </main>
    <main first="ice.rtd">
      <tp t="s">
        <v/>
        <stp/>
        <stp>1986923076Q8:LstDate</stp>
        <tr r="J188" s="5"/>
      </tp>
      <tp t="s">
        <v/>
        <stp/>
        <stp>1986923076Q0:LstDate</stp>
        <tr r="J180" s="5"/>
      </tp>
      <tp t="s">
        <v/>
        <stp/>
        <stp>1986923076Q1:LstDate</stp>
        <tr r="J181" s="5"/>
      </tp>
      <tp t="s">
        <v/>
        <stp/>
        <stp>1986923076Q2:LstDate</stp>
        <tr r="J182" s="5"/>
      </tp>
      <tp t="s">
        <v/>
        <stp/>
        <stp>1986923076Q3:LstDate</stp>
        <tr r="J183" s="5"/>
      </tp>
      <tp t="s">
        <v/>
        <stp/>
        <stp>1986923076Q4:LstDate</stp>
        <tr r="J184" s="5"/>
      </tp>
      <tp t="s">
        <v/>
        <stp/>
        <stp>1986923076Q5:LstDate</stp>
        <tr r="J185" s="5"/>
      </tp>
      <tp t="s">
        <v/>
        <stp/>
        <stp>1986923076Q6:LstDate</stp>
        <tr r="J186" s="5"/>
      </tp>
      <tp t="s">
        <v/>
        <stp/>
        <stp>1986923076Q7:LstDate</stp>
        <tr r="J187" s="5"/>
      </tp>
    </main>
    <main first="bofaddin.rtdserver">
      <tp t="s">
        <v>#N/A N/A</v>
        <stp/>
        <stp>BDH|13390741601356134920</stp>
        <tr r="M35" s="16"/>
      </tp>
      <tp t="s">
        <v>#N/A N/A</v>
        <stp/>
        <stp>BDH|10078349481596781674</stp>
        <tr r="AW40" s="1"/>
      </tp>
      <tp t="s">
        <v>#N/A N/A</v>
        <stp/>
        <stp>BDH|17103964720791666650</stp>
        <tr r="I53" s="16"/>
      </tp>
      <tp t="s">
        <v>#N/A N/A</v>
        <stp/>
        <stp>BDH|13037046380471008139</stp>
        <tr r="AX65" s="1"/>
      </tp>
      <tp t="s">
        <v>#N/A N/A</v>
        <stp/>
        <stp>BDH|10574863403347084470</stp>
        <tr r="AX33" s="1"/>
      </tp>
      <tp t="s">
        <v>#N/A N/A</v>
        <stp/>
        <stp>BDH|12593292683594169773</stp>
        <tr r="BB19" s="1"/>
        <tr r="BB19" s="1"/>
      </tp>
      <tp t="s">
        <v>#N/A N/A</v>
        <stp/>
        <stp>BDH|12540208337411936920</stp>
        <tr r="L41" s="16"/>
      </tp>
      <tp t="s">
        <v>#N/A N/A</v>
        <stp/>
        <stp>BDH|16243282282046554145</stp>
        <tr r="L43" s="16"/>
      </tp>
      <tp t="s">
        <v>#N/A N/A</v>
        <stp/>
        <stp>BDH|16421087471203030941</stp>
        <tr r="AW52" s="1"/>
      </tp>
      <tp t="s">
        <v>#N/A N/A</v>
        <stp/>
        <stp>BDH|16937259629909548485</stp>
        <tr r="K86" s="16"/>
      </tp>
      <tp t="s">
        <v>#N/A N/A</v>
        <stp/>
        <stp>BDH|15296609498433534276</stp>
        <tr r="AX45" s="1"/>
      </tp>
      <tp t="s">
        <v>#N/A N/A</v>
        <stp/>
        <stp>BDH|10279545307349966700</stp>
        <tr r="AX40" s="1"/>
      </tp>
    </main>
    <main first="ice.rtd">
      <tp t="s">
        <v/>
        <stp/>
        <stp>2755728678Y1:LstDate</stp>
        <tr r="J1146" s="5"/>
      </tp>
      <tp t="s">
        <v/>
        <stp/>
        <stp>2755728678Y0:LstDate</stp>
        <tr r="J1145" s="5"/>
      </tp>
      <tp t="s">
        <v/>
        <stp/>
        <stp>2755728678Y2:LstDate</stp>
        <tr r="J1147" s="5"/>
      </tp>
    </main>
    <main first="bofaddin.rtdserver">
      <tp t="s">
        <v>#N/A N/A</v>
        <stp/>
        <stp>BDH|11944350665418213709</stp>
        <tr r="AZ49" s="1"/>
      </tp>
      <tp t="s">
        <v>#N/A N/A</v>
        <stp/>
        <stp>BDH|14298020748898326310</stp>
        <tr r="AX54" s="1"/>
      </tp>
    </main>
    <main first="ice.rtd">
      <tp t="s">
        <v/>
        <stp/>
        <stp>1986923076Y0:LstDate</stp>
        <tr r="J189" s="5"/>
      </tp>
      <tp t="s">
        <v/>
        <stp/>
        <stp>1986923076Y1:LstDate</stp>
        <tr r="J190" s="5"/>
      </tp>
      <tp t="s">
        <v/>
        <stp/>
        <stp>1986923076Y2:LstDate</stp>
        <tr r="J191" s="5"/>
      </tp>
    </main>
    <main first="bofaddin.rtdserver">
      <tp t="s">
        <v>#N/A N/A</v>
        <stp/>
        <stp>BDH|15329591235528519074</stp>
        <tr r="AW50" s="1"/>
      </tp>
    </main>
    <main first="ice.rtd">
      <tp>
        <v>0</v>
        <stp/>
        <stp>2181724590B0:OI</stp>
        <tr r="T1414" s="5"/>
      </tp>
    </main>
    <main first="bofaddin.rtdserver">
      <tp t="s">
        <v>#N/A N/A</v>
        <stp/>
        <stp>BDH|16208988923673384568</stp>
        <tr r="AX42" s="1"/>
      </tp>
      <tp t="s">
        <v>#N/A N/A</v>
        <stp/>
        <stp>BDH|16894602424921305835</stp>
        <tr r="AY55" s="1"/>
      </tp>
      <tp t="s">
        <v>#N/A N/A</v>
        <stp/>
        <stp>BDH|10232406792285437381</stp>
        <tr r="D21" s="14"/>
      </tp>
      <tp t="s">
        <v>#N/A N/A</v>
        <stp/>
        <stp>BDH|13546321088756435574</stp>
        <tr r="BC61" s="1"/>
        <tr r="BC61" s="1"/>
      </tp>
      <tp t="s">
        <v>#N/A N/A</v>
        <stp/>
        <stp>BDH|15653697954548295577</stp>
        <tr r="L91" s="16"/>
      </tp>
      <tp t="s">
        <v>#N/A N/A</v>
        <stp/>
        <stp>BDH|12115605175439848127</stp>
        <tr r="BA31" s="1"/>
        <tr r="BA31" s="1"/>
      </tp>
      <tp t="s">
        <v>#N/A N/A</v>
        <stp/>
        <stp>BDH|13266525098310303451</stp>
        <tr r="AZ58" s="1"/>
      </tp>
      <tp t="s">
        <v>#N/A N/A</v>
        <stp/>
        <stp>BDH|10725165086213109183</stp>
        <tr r="C5" s="14"/>
        <tr r="I7" s="14"/>
      </tp>
      <tp>
        <v>1.94</v>
        <stp/>
        <stp>BDP|6636592800590706100|22</stp>
        <stp>COZ8COZ9 Comdty</stp>
        <stp>BID</stp>
        <tr r="C4" s="3"/>
      </tp>
    </main>
    <main first="esrtd">
      <tp t="s">
        <v/>
        <stp/>
        <stp>ULR U27-IEU</stp>
        <stp>ICE Theoretical Price</stp>
        <tr r="W644" s="5"/>
      </tp>
      <tp t="s">
        <v/>
        <stp/>
        <stp>MFR M27-IEU</stp>
        <stp>ICE Theoretical Price</stp>
        <tr r="W1044" s="5"/>
      </tp>
      <tp t="s">
        <v/>
        <stp/>
        <stp>ULR V27-IEU</stp>
        <stp>ICE Theoretical Price</stp>
        <tr r="W645" s="5"/>
      </tp>
      <tp t="s">
        <v/>
        <stp/>
        <stp>MFR N27-IEU</stp>
        <stp>ICE Theoretical Price</stp>
        <tr r="W1045" s="5"/>
      </tp>
      <tp t="s">
        <v/>
        <stp/>
        <stp>SJS V26-IEU</stp>
        <stp>ICE Theoretical Price</stp>
        <tr r="W884" s="5"/>
      </tp>
      <tp t="s">
        <v/>
        <stp/>
        <stp>MFR H27-IEU</stp>
        <stp>ICE Theoretical Price</stp>
        <tr r="W1041" s="5"/>
      </tp>
      <tp t="s">
        <v/>
        <stp/>
        <stp>SPS V26-IEU</stp>
        <stp>ICE Theoretical Price</stp>
        <tr r="W1954" s="5"/>
      </tp>
      <tp t="s">
        <v/>
        <stp/>
        <stp>STS V26-IEU</stp>
        <stp>ICE Theoretical Price</stp>
        <tr r="W960" s="5"/>
      </tp>
      <tp t="s">
        <v/>
        <stp/>
        <stp>ULR Q27-IEU</stp>
        <stp>ICE Theoretical Price</stp>
        <tr r="W643" s="5"/>
      </tp>
      <tp t="s">
        <v/>
        <stp/>
        <stp>MFR J27-IEU</stp>
        <stp>ICE Theoretical Price</stp>
        <tr r="W1042" s="5"/>
      </tp>
      <tp t="s">
        <v/>
        <stp/>
        <stp>SJS U26-IEU</stp>
        <stp>ICE Theoretical Price</stp>
        <tr r="W883" s="5"/>
      </tp>
      <tp t="s">
        <v/>
        <stp/>
        <stp>MFR K27-IEU</stp>
        <stp>ICE Theoretical Price</stp>
        <tr r="W1043" s="5"/>
      </tp>
      <tp t="s">
        <v/>
        <stp/>
        <stp>SPS U26-IEU</stp>
        <stp>ICE Theoretical Price</stp>
        <tr r="W1953" s="5"/>
      </tp>
      <tp t="s">
        <v/>
        <stp/>
        <stp>STS U26-IEU</stp>
        <stp>ICE Theoretical Price</stp>
        <tr r="W959" s="5"/>
      </tp>
      <tp t="s">
        <v/>
        <stp/>
        <stp>SJS Z26-IEU</stp>
        <stp>ICE Theoretical Price</stp>
        <tr r="W886" s="5"/>
      </tp>
      <tp t="s">
        <v/>
        <stp/>
        <stp>SPS Z26-IEU</stp>
        <stp>ICE Theoretical Price</stp>
        <tr r="W1956" s="5"/>
      </tp>
      <tp t="s">
        <v/>
        <stp/>
        <stp>STS Z26-IEU</stp>
        <stp>ICE Theoretical Price</stp>
        <tr r="W962" s="5"/>
      </tp>
      <tp t="s">
        <v/>
        <stp/>
        <stp>SJS X26-IEU</stp>
        <stp>ICE Theoretical Price</stp>
        <tr r="W885" s="5"/>
      </tp>
      <tp t="s">
        <v/>
        <stp/>
        <stp>MFR F27-IEU</stp>
        <stp>ICE Theoretical Price</stp>
        <tr r="W1039" s="5"/>
      </tp>
      <tp t="s">
        <v/>
        <stp/>
        <stp>SPS X26-IEU</stp>
        <stp>ICE Theoretical Price</stp>
        <tr r="W1955" s="5"/>
      </tp>
      <tp t="s">
        <v/>
        <stp/>
        <stp>STS X26-IEU</stp>
        <stp>ICE Theoretical Price</stp>
        <tr r="W961" s="5"/>
      </tp>
      <tp t="s">
        <v/>
        <stp/>
        <stp>MFR G27-IEU</stp>
        <stp>ICE Theoretical Price</stp>
        <tr r="W1040" s="5"/>
      </tp>
      <tp t="s">
        <v/>
        <stp/>
        <stp>ULR X27-IEU</stp>
        <stp>ICE Theoretical Price</stp>
        <tr r="W646" s="5"/>
      </tp>
      <tp t="s">
        <v/>
        <stp/>
        <stp>ULR Z27-IEU</stp>
        <stp>ICE Theoretical Price</stp>
        <tr r="W647" s="5"/>
      </tp>
      <tp t="s">
        <v/>
        <stp/>
        <stp>FOS V26-IEU</stp>
        <stp>ICE Theoretical Price</stp>
        <tr r="W922" s="5"/>
      </tp>
      <tp t="s">
        <v/>
        <stp/>
        <stp>FOS U26-IEU</stp>
        <stp>ICE Theoretical Price</stp>
        <tr r="W921" s="5"/>
      </tp>
      <tp t="s">
        <v/>
        <stp/>
        <stp>ULR F27-IEU</stp>
        <stp>ICE Theoretical Price</stp>
        <tr r="W636" s="5"/>
      </tp>
      <tp t="s">
        <v/>
        <stp/>
        <stp>ULR G27-IEU</stp>
        <stp>ICE Theoretical Price</stp>
        <tr r="W637" s="5"/>
      </tp>
      <tp t="s">
        <v/>
        <stp/>
        <stp>MFR X27-IEU</stp>
        <stp>ICE Theoretical Price</stp>
        <tr r="W1049" s="5"/>
      </tp>
      <tp t="s">
        <v/>
        <stp/>
        <stp>MFR Z27-IEU</stp>
        <stp>ICE Theoretical Price</stp>
        <tr r="W1050" s="5"/>
      </tp>
      <tp t="s">
        <v/>
        <stp/>
        <stp>ULR M27-IEU</stp>
        <stp>ICE Theoretical Price</stp>
        <tr r="W641" s="5"/>
      </tp>
      <tp t="s">
        <v/>
        <stp/>
        <stp>MFR U27-IEU</stp>
        <stp>ICE Theoretical Price</stp>
        <tr r="W1047" s="5"/>
      </tp>
      <tp t="s">
        <v/>
        <stp/>
        <stp>ULR N27-IEU</stp>
        <stp>ICE Theoretical Price</stp>
        <tr r="W642" s="5"/>
      </tp>
      <tp t="s">
        <v/>
        <stp/>
        <stp>MFR V27-IEU</stp>
        <stp>ICE Theoretical Price</stp>
        <tr r="W1048" s="5"/>
      </tp>
      <tp t="s">
        <v/>
        <stp/>
        <stp>ULR H27-IEU</stp>
        <stp>ICE Theoretical Price</stp>
        <tr r="W638" s="5"/>
      </tp>
      <tp t="s">
        <v/>
        <stp/>
        <stp>FOS Z26-IEU</stp>
        <stp>ICE Theoretical Price</stp>
        <tr r="W924" s="5"/>
      </tp>
      <tp t="s">
        <v/>
        <stp/>
        <stp>MFR Q27-IEU</stp>
        <stp>ICE Theoretical Price</stp>
        <tr r="W1046" s="5"/>
      </tp>
      <tp t="s">
        <v/>
        <stp/>
        <stp>ULR J27-IEU</stp>
        <stp>ICE Theoretical Price</stp>
        <tr r="W639" s="5"/>
      </tp>
      <tp t="s">
        <v/>
        <stp/>
        <stp>FOS X26-IEU</stp>
        <stp>ICE Theoretical Price</stp>
        <tr r="W923" s="5"/>
      </tp>
      <tp t="s">
        <v/>
        <stp/>
        <stp>ULR K27-IEU</stp>
        <stp>ICE Theoretical Price</stp>
        <tr r="W640" s="5"/>
      </tp>
    </main>
    <main first="bofaddin.rtdserver">
      <tp t="s">
        <v>#N/A Invalid Security</v>
        <stp/>
        <stp>BDP|10612052585091965747|222</stp>
        <stp>CLH0CLJ0 Comdty</stp>
        <stp>ASK</stp>
        <stp>Fill=#N/A</stp>
        <tr r="N62" s="1"/>
      </tp>
      <tp t="s">
        <v>#N/A</v>
        <stp/>
        <stp>BDP|16063715478793746731|222</stp>
        <stp>QSF0QSG0 Comdty</stp>
        <stp>ASK</stp>
        <stp>Fill=#N/A</stp>
        <tr r="P60" s="1"/>
      </tp>
      <tp>
        <v>15</v>
        <stp/>
        <stp>BDP|7161467497857962542|22</stp>
        <stp>QSZ9QSZ0 Comdty</stp>
        <stp>ASK</stp>
        <tr r="D5" s="3"/>
      </tp>
      <tp>
        <v>1.53</v>
        <stp/>
        <stp>BDP|15836041846214756899|222</stp>
        <stp>HOM8HON8 Comdty</stp>
        <stp>BID</stp>
        <stp>Fill=#N/A</stp>
        <tr r="Q41" s="1"/>
      </tp>
      <tp>
        <v>0.3</v>
        <stp/>
        <stp>BDP|13916025904814510660|222</stp>
        <stp>HOX8HOZ8 Comdty</stp>
        <stp>BID</stp>
        <stp>Fill=#N/A</stp>
        <tr r="Q46" s="1"/>
      </tp>
      <tp>
        <v>0.3</v>
        <stp/>
        <stp>BDP|13784412341817108620|222</stp>
        <stp>COH8COJ8 Comdty</stp>
        <stp>ASK</stp>
        <stp>Fill=#N/A</stp>
        <tr r="O38" s="1"/>
      </tp>
    </main>
    <main first="ice.rtd">
      <tp t="s">
        <v/>
        <stp/>
        <stp>41787896M17:LstBlkTime</stp>
        <tr r="M824" s="5"/>
      </tp>
      <tp t="s">
        <v/>
        <stp/>
        <stp>41787896M16:LstBlkTime</stp>
        <tr r="M823" s="5"/>
      </tp>
      <tp t="s">
        <v/>
        <stp/>
        <stp>41787896M15:LstBlkTime</stp>
        <tr r="M822" s="5"/>
      </tp>
      <tp t="s">
        <v/>
        <stp/>
        <stp>41787896M14:LstBlkTime</stp>
        <tr r="M821" s="5"/>
      </tp>
      <tp t="s">
        <v/>
        <stp/>
        <stp>41787896M13:LstBlkTime</stp>
        <tr r="M820" s="5"/>
      </tp>
      <tp t="s">
        <v/>
        <stp/>
        <stp>41787896M12:LstBlkTime</stp>
        <tr r="M819" s="5"/>
      </tp>
      <tp t="s">
        <v/>
        <stp/>
        <stp>41787896M11:LstBlkTime</stp>
        <tr r="M818" s="5"/>
      </tp>
      <tp t="s">
        <v/>
        <stp/>
        <stp>41787896M10:LstBlkTime</stp>
        <tr r="M817" s="5"/>
      </tp>
      <tp t="s">
        <v/>
        <stp/>
        <stp>41787896M19:LstBlkTime</stp>
        <tr r="M826" s="5"/>
      </tp>
      <tp t="s">
        <v/>
        <stp/>
        <stp>41787896M18:LstBlkTime</stp>
        <tr r="M825" s="5"/>
      </tp>
      <tp t="s">
        <v/>
        <stp/>
        <stp>41787896M24:LstBlkTime</stp>
        <tr r="M831" s="5"/>
      </tp>
      <tp t="s">
        <v/>
        <stp/>
        <stp>41787896M23:LstBlkTime</stp>
        <tr r="M830" s="5"/>
      </tp>
      <tp t="s">
        <v/>
        <stp/>
        <stp>41787896M22:LstBlkTime</stp>
        <tr r="M829" s="5"/>
      </tp>
      <tp t="s">
        <v/>
        <stp/>
        <stp>41787896M21:LstBlkTime</stp>
        <tr r="M828" s="5"/>
      </tp>
      <tp t="s">
        <v/>
        <stp/>
        <stp>41787896M20:LstBlkTime</stp>
        <tr r="M827" s="5"/>
      </tp>
    </main>
    <main first="bofaddin.rtdserver">
      <tp t="s">
        <v>#N/A Invalid Security</v>
        <stp/>
        <stp>BDP|17718304702364985470|222</stp>
        <stp>XBF0XBG0 Comdty</stp>
        <stp>BID</stp>
        <stp>Fill=#N/A</stp>
        <tr r="R60" s="1"/>
      </tp>
      <tp>
        <v>-0.49</v>
        <stp/>
        <stp>BDP|17418865677233791502|222</stp>
        <stp>HOX9HOZ9 Comdty</stp>
        <stp>BID</stp>
        <stp>Fill=#N/A</stp>
        <tr r="Q58" s="1"/>
      </tp>
      <tp>
        <v>0.6</v>
        <stp/>
        <stp>BDP|14624649120289051007|222</stp>
        <stp>COQ7COU7 Comdty</stp>
        <stp>BID</stp>
        <stp>Fill=#N/A</stp>
        <tr r="O31" s="1"/>
      </tp>
      <tp t="s">
        <v>#N/A Invalid Security</v>
        <stp/>
        <stp>BDP|11787385792986984772|222</stp>
        <stp>XBJ0XBK0 Comdty</stp>
        <stp>BID</stp>
        <stp>Fill=#N/A</stp>
        <tr r="R63" s="1"/>
      </tp>
      <tp>
        <v>0.23</v>
        <stp/>
        <stp>BDP|14881766030799474180|222</stp>
        <stp>COV8COX8 Comdty</stp>
        <stp>ASK</stp>
        <stp>Fill=#N/A</stp>
        <tr r="O45" s="1"/>
      </tp>
      <tp>
        <v>6.5</v>
        <stp/>
        <stp>BDP|14194046478770544571|222</stp>
        <stp>QSX8QSZ8 Comdty</stp>
        <stp>BID</stp>
        <stp>Fill=#N/A</stp>
        <tr r="P46" s="1"/>
      </tp>
      <tp t="s">
        <v>#N/A Invalid Security</v>
        <stp/>
        <stp>BDP|11893358748365683255|222</stp>
        <stp>XBG0XBH0 Comdty</stp>
        <stp>ASK</stp>
        <stp>Fill=#N/A</stp>
        <tr r="R61" s="1"/>
      </tp>
      <tp>
        <v>0.28999999999999998</v>
        <stp/>
        <stp>BDP|14202512076226046469|222</stp>
        <stp>COH8COJ8 Comdty</stp>
        <stp>BID</stp>
        <stp>Fill=#N/A</stp>
        <tr r="O38" s="1"/>
      </tp>
      <tp>
        <v>0.19</v>
        <stp/>
        <stp>BDP|14289719103697367013|222</stp>
        <stp>CLH9CLJ9 Comdty</stp>
        <stp>ASK</stp>
        <stp>Fill=#N/A</stp>
        <tr r="N50" s="1"/>
      </tp>
      <tp>
        <v>-0.2</v>
        <stp/>
        <stp>BDP|12411098367145001691|222</stp>
        <stp>HOK9HOM9 Comdty</stp>
        <stp>BID</stp>
        <stp>Fill=#N/A</stp>
        <tr r="Q52" s="1"/>
      </tp>
      <tp>
        <v>2.89</v>
        <stp/>
        <stp>BDP|15084441371807373684|222</stp>
        <stp>CLX6CLZ6 Comdty</stp>
        <stp>ASK</stp>
        <stp>Fill=#N/A</stp>
        <tr r="N22" s="1"/>
      </tp>
      <tp>
        <v>36.25</v>
        <stp/>
        <stp>BDP|11396229690244651369|222</stp>
        <stp>QSF7QSG7 Comdty</stp>
        <stp>BID</stp>
        <stp>Fill=#N/A</stp>
        <tr r="P24" s="1"/>
      </tp>
    </main>
    <main first="ice.rtd">
      <tp t="s">
        <v/>
        <stp/>
        <stp>57179020M0:LstBlkPrc</stp>
        <tr r="K1547" s="5"/>
      </tp>
      <tp t="s">
        <v/>
        <stp/>
        <stp>57179020Q0:LstBlkPrc</stp>
        <tr r="K1572" s="5"/>
      </tp>
      <tp t="s">
        <v/>
        <stp/>
        <stp>57179020Y0:LstBlkPrc</stp>
        <tr r="K1580" s="5"/>
      </tp>
      <tp t="s">
        <v/>
        <stp/>
        <stp>2755828679Q8:LstBlkPrc</stp>
        <tr r="K1030" s="5"/>
      </tp>
      <tp t="s">
        <v/>
        <stp/>
        <stp>2755828679M8:LstBlkPrc</stp>
        <tr r="K1005" s="5"/>
      </tp>
      <tp t="s">
        <v/>
        <stp/>
        <stp>29243602M8:LstBlkPrc</stp>
        <tr r="K754" s="5"/>
      </tp>
      <tp t="s">
        <v/>
        <stp/>
        <stp>16331513M4:LstBlkPrc</stp>
        <tr r="K1419" s="5"/>
      </tp>
      <tp t="s">
        <v/>
        <stp/>
        <stp>16341514M4:LstBlkPrc</stp>
        <tr r="K1457" s="5"/>
      </tp>
      <tp t="s">
        <v/>
        <stp/>
        <stp>16351515M4:LstBlkPrc</stp>
        <tr r="K1495" s="5"/>
      </tp>
      <tp t="s">
        <v/>
        <stp/>
        <stp>16331513Q4:LstBlkPrc</stp>
        <tr r="K1444" s="5"/>
      </tp>
      <tp t="s">
        <v/>
        <stp/>
        <stp>16341514Q4:LstBlkPrc</stp>
        <tr r="K1482" s="5"/>
      </tp>
      <tp t="s">
        <v/>
        <stp/>
        <stp>16351515Q4:LstBlkPrc</stp>
        <tr r="K1520" s="5"/>
      </tp>
      <tp t="s">
        <v/>
        <stp/>
        <stp>161913535MM1:BstHitPrc</stp>
        <tr r="G2028" s="5"/>
      </tp>
      <tp t="s">
        <v/>
        <stp/>
        <stp>161913535QQ1:BstHitPrc</stp>
        <tr r="G2056" s="5"/>
      </tp>
      <tp>
        <v>0.76</v>
        <stp/>
        <stp>15091310M1:LstBlkPrc</stp>
        <tr r="K1378" s="5"/>
      </tp>
      <tp t="s">
        <v/>
        <stp/>
        <stp>15091310Y1:LstBlkPrc</stp>
        <tr r="K1412" s="5"/>
      </tp>
      <tp>
        <v>0.76</v>
        <stp/>
        <stp>15091310Q1:LstBlkPrc</stp>
        <tr r="K1403" s="5"/>
      </tp>
      <tp t="s">
        <v/>
        <stp/>
        <stp>18901687M9:LstBlkPrc</stp>
        <tr r="K316" s="5"/>
      </tp>
      <tp>
        <v>-5.85</v>
        <stp/>
        <stp>30813691M1:LstBlkPrc</stp>
        <tr r="K1954" s="5"/>
      </tp>
      <tp t="s">
        <v/>
        <stp/>
        <stp>35534143M3:LstBlkPrc</stp>
        <tr r="K711" s="5"/>
      </tp>
      <tp t="s">
        <v/>
        <stp/>
        <stp>35544144M3:LstBlkPrc</stp>
        <tr r="K635" s="5"/>
      </tp>
      <tp t="s">
        <v/>
        <stp/>
        <stp>35554145M3:LstBlkPrc</stp>
        <tr r="K673" s="5"/>
      </tp>
      <tp t="s">
        <v/>
        <stp/>
        <stp>30813691Y1:LstBlkPrc</stp>
        <tr r="K1988" s="5"/>
      </tp>
      <tp t="s">
        <v/>
        <stp/>
        <stp>35534143Q3:LstBlkPrc</stp>
        <tr r="K736" s="5"/>
      </tp>
      <tp t="s">
        <v/>
        <stp/>
        <stp>35544144Q3:LstBlkPrc</stp>
        <tr r="K660" s="5"/>
      </tp>
      <tp t="s">
        <v/>
        <stp/>
        <stp>35554145Q3:LstBlkPrc</stp>
        <tr r="K698" s="5"/>
      </tp>
      <tp t="s">
        <v/>
        <stp/>
        <stp>30813691Q1:LstBlkPrc</stp>
        <tr r="K1979" s="5"/>
      </tp>
      <tp t="s">
        <v/>
        <stp/>
        <stp>34344092Q3:BstHitPrc</stp>
        <tr r="G1291" s="5"/>
      </tp>
      <tp>
        <v>51.68</v>
        <stp/>
        <stp>34354093Q3:BstHitPrc</stp>
        <tr r="G1329" s="5"/>
      </tp>
      <tp t="s">
        <v/>
        <stp/>
        <stp>34344092M3:BstHitPrc</stp>
        <tr r="G1266" s="5"/>
      </tp>
      <tp>
        <v>72.94</v>
        <stp/>
        <stp>34354093M3:BstHitPrc</stp>
        <tr r="G1304" s="5"/>
      </tp>
      <tp t="s">
        <v/>
        <stp/>
        <stp>34364094Q3:BstHitPrc</stp>
        <tr r="G546" s="5"/>
      </tp>
      <tp t="s">
        <v/>
        <stp/>
        <stp>34374095Q3:BstHitPrc</stp>
        <tr r="G584" s="5"/>
      </tp>
      <tp t="s">
        <v/>
        <stp/>
        <stp>34364094M3:BstHitPrc</stp>
        <tr r="G521" s="5"/>
      </tp>
      <tp t="s">
        <v/>
        <stp/>
        <stp>34374095M3:BstHitPrc</stp>
        <tr r="G559" s="5"/>
      </tp>
      <tp t="s">
        <v/>
        <stp/>
        <stp>15141311T1:LstBlkPrc</stp>
        <tr r="K1529" s="5"/>
      </tp>
      <tp t="s">
        <v/>
        <stp/>
        <stp>18851683M9:LstBlkPrc</stp>
        <tr r="K202" s="5"/>
      </tp>
      <tp t="s">
        <v/>
        <stp/>
        <stp>18871685M9:LstBlkPrc</stp>
        <tr r="K430" s="5"/>
      </tp>
      <tp t="s">
        <v/>
        <stp/>
        <stp>57409036M0:LstBlkPrc</stp>
        <tr r="K231" s="5"/>
      </tp>
      <tp>
        <v>-4.25</v>
        <stp/>
        <stp>57409036Q0:LstBlkPrc</stp>
        <tr r="K256" s="5"/>
      </tp>
      <tp>
        <v>-7.05</v>
        <stp/>
        <stp>57409036Y0:LstBlkPrc</stp>
        <tr r="K265" s="5"/>
      </tp>
      <tp t="s">
        <v/>
        <stp/>
        <stp>34404098Q3:BstHitPrc</stp>
        <tr r="G622" s="5"/>
      </tp>
      <tp t="s">
        <v/>
        <stp/>
        <stp>34414099Q3:BstHitPrc</stp>
        <tr r="G107" s="5"/>
      </tp>
      <tp t="s">
        <v/>
        <stp/>
        <stp>34404098M3:BstHitPrc</stp>
        <tr r="G597" s="5"/>
      </tp>
      <tp>
        <v>103</v>
        <stp/>
        <stp>34414099M3:BstHitPrc</stp>
        <tr r="G82" s="5"/>
      </tp>
      <tp t="s">
        <v/>
        <stp/>
        <stp>1840020882Q3:LstBlkPrc</stp>
        <tr r="K1602" s="5"/>
      </tp>
      <tp t="s">
        <v/>
        <stp/>
        <stp>1840020882M3:LstBlkPrc</stp>
        <tr r="K1585" s="5"/>
      </tp>
      <tp t="s">
        <v>Nov26/Feb27</v>
        <stp/>
        <stp>DBI1227MM17:Strip</stp>
        <tr r="E1668" s="5"/>
      </tp>
      <tp t="s">
        <v>Dec26/Jun27</v>
        <stp/>
        <stp>DBI1227MM27:Strip</stp>
        <tr r="E1678" s="5"/>
      </tp>
      <tp t="s">
        <v/>
        <stp/>
        <stp>17551596T5:BstHitPrc</stp>
        <tr r="G1542" s="5"/>
      </tp>
      <tp t="s">
        <v/>
        <stp/>
        <stp>2755728678M8:BstHitPrc</stp>
        <tr r="G1119" s="5"/>
      </tp>
      <tp t="s">
        <v/>
        <stp/>
        <stp>2755728678Q8:BstHitPrc</stp>
        <tr r="G1144" s="5"/>
      </tp>
      <tp t="s">
        <v/>
        <stp/>
        <stp>46678127M0:LstBlkPrc</stp>
        <tr r="K345" s="5"/>
      </tp>
      <tp>
        <v>24.8</v>
        <stp/>
        <stp>46678127Q0:LstBlkPrc</stp>
        <tr r="K370" s="5"/>
      </tp>
      <tp t="s">
        <v/>
        <stp/>
        <stp>46678127Y0:LstBlkPrc</stp>
        <tr r="K379" s="5"/>
      </tp>
      <tp>
        <v>10.25</v>
        <stp/>
        <stp>30793693Q1:BstHitPrc</stp>
        <tr r="G909" s="5"/>
      </tp>
      <tp t="s">
        <v/>
        <stp/>
        <stp>30793693Y1:BstHitPrc</stp>
        <tr r="G918" s="5"/>
      </tp>
      <tp>
        <v>36.5</v>
        <stp/>
        <stp>30793693M1:BstHitPrc</stp>
        <tr r="G884" s="5"/>
      </tp>
      <tp t="s">
        <v/>
        <stp/>
        <stp>161913535MM1:LstBlkPrc</stp>
        <tr r="K2028" s="5"/>
      </tp>
      <tp t="s">
        <v/>
        <stp/>
        <stp>161913535QQ1:LstBlkPrc</stp>
        <tr r="K2056" s="5"/>
      </tp>
      <tp>
        <v>23.3</v>
        <stp/>
        <stp>18901687M9:BstHitPrc</stp>
        <tr r="G316" s="5"/>
      </tp>
      <tp t="s">
        <v/>
        <stp/>
        <stp>30813691Q1:BstHitPrc</stp>
        <tr r="G1979" s="5"/>
      </tp>
      <tp t="s">
        <v/>
        <stp/>
        <stp>35534143Q3:BstHitPrc</stp>
        <tr r="G736" s="5"/>
      </tp>
      <tp t="s">
        <v/>
        <stp/>
        <stp>35544144Q3:BstHitPrc</stp>
        <tr r="G660" s="5"/>
      </tp>
      <tp t="s">
        <v/>
        <stp/>
        <stp>35554145Q3:BstHitPrc</stp>
        <tr r="G698" s="5"/>
      </tp>
      <tp t="s">
        <v/>
        <stp/>
        <stp>30813691Y1:BstHitPrc</stp>
        <tr r="G1988" s="5"/>
      </tp>
      <tp t="s">
        <v/>
        <stp/>
        <stp>35534143M3:BstHitPrc</stp>
        <tr r="G711" s="5"/>
      </tp>
      <tp t="s">
        <v/>
        <stp/>
        <stp>35544144M3:BstHitPrc</stp>
        <tr r="G635" s="5"/>
      </tp>
      <tp t="s">
        <v/>
        <stp/>
        <stp>35554145M3:BstHitPrc</stp>
        <tr r="G673" s="5"/>
      </tp>
      <tp>
        <v>-6</v>
        <stp/>
        <stp>30813691M1:BstHitPrc</stp>
        <tr r="G1954" s="5"/>
      </tp>
      <tp t="s">
        <v/>
        <stp/>
        <stp>15091310Q1:BstHitPrc</stp>
        <tr r="G1403" s="5"/>
      </tp>
      <tp t="s">
        <v/>
        <stp/>
        <stp>15091310Y1:BstHitPrc</stp>
        <tr r="G1412" s="5"/>
      </tp>
      <tp t="s">
        <v/>
        <stp/>
        <stp>15091310M1:BstHitPrc</stp>
        <tr r="G1378" s="5"/>
      </tp>
      <tp>
        <v>-10.99</v>
        <stp/>
        <stp>18851683M9:BstHitPrc</stp>
        <tr r="G202" s="5"/>
      </tp>
      <tp t="s">
        <v/>
        <stp/>
        <stp>15141311T1:BstHitPrc</stp>
        <tr r="G1529" s="5"/>
      </tp>
      <tp>
        <v>6</v>
        <stp/>
        <stp>18871685M9:BstHitPrc</stp>
        <tr r="G430" s="5"/>
      </tp>
      <tp t="s">
        <v/>
        <stp/>
        <stp>34344092M3:LstBlkPrc</stp>
        <tr r="K1266" s="5"/>
      </tp>
      <tp t="s">
        <v/>
        <stp/>
        <stp>34354093M3:LstBlkPrc</stp>
        <tr r="K1304" s="5"/>
      </tp>
      <tp t="s">
        <v/>
        <stp/>
        <stp>34344092Q3:LstBlkPrc</stp>
        <tr r="K1291" s="5"/>
      </tp>
      <tp t="s">
        <v/>
        <stp/>
        <stp>34354093Q3:LstBlkPrc</stp>
        <tr r="K1329" s="5"/>
      </tp>
      <tp>
        <v>25</v>
        <stp/>
        <stp>34364094M3:LstBlkPrc</stp>
        <tr r="K521" s="5"/>
      </tp>
      <tp>
        <v>33.75</v>
        <stp/>
        <stp>34374095M3:LstBlkPrc</stp>
        <tr r="K559" s="5"/>
      </tp>
      <tp t="s">
        <v/>
        <stp/>
        <stp>34364094Q3:LstBlkPrc</stp>
        <tr r="K546" s="5"/>
      </tp>
      <tp t="s">
        <v/>
        <stp/>
        <stp>34374095Q3:LstBlkPrc</stp>
        <tr r="K584" s="5"/>
      </tp>
      <tp t="s">
        <v/>
        <stp/>
        <stp>57179020Y0:BstHitPrc</stp>
        <tr r="G1580" s="5"/>
      </tp>
      <tp t="s">
        <v/>
        <stp/>
        <stp>57179020Q0:BstHitPrc</stp>
        <tr r="G1572" s="5"/>
      </tp>
      <tp t="s">
        <v/>
        <stp/>
        <stp>57179020M0:BstHitPrc</stp>
        <tr r="G1547" s="5"/>
      </tp>
      <tp t="s">
        <v/>
        <stp/>
        <stp>2755828679M8:BstHitPrc</stp>
        <tr r="G1005" s="5"/>
      </tp>
      <tp t="s">
        <v/>
        <stp/>
        <stp>2755828679Q8:BstHitPrc</stp>
        <tr r="G1030" s="5"/>
      </tp>
      <tp t="s">
        <v/>
        <stp/>
        <stp>29243602M8:BstHitPrc</stp>
        <tr r="G754" s="5"/>
      </tp>
      <tp t="s">
        <v/>
        <stp/>
        <stp>16331513Q4:BstHitPrc</stp>
        <tr r="G1444" s="5"/>
      </tp>
      <tp t="s">
        <v/>
        <stp/>
        <stp>16341514Q4:BstHitPrc</stp>
        <tr r="G1482" s="5"/>
      </tp>
      <tp t="s">
        <v/>
        <stp/>
        <stp>16351515Q4:BstHitPrc</stp>
        <tr r="G1520" s="5"/>
      </tp>
      <tp t="s">
        <v/>
        <stp/>
        <stp>16331513M4:BstHitPrc</stp>
        <tr r="G1419" s="5"/>
      </tp>
      <tp t="s">
        <v/>
        <stp/>
        <stp>16341514M4:BstHitPrc</stp>
        <tr r="G1457" s="5"/>
      </tp>
      <tp t="s">
        <v/>
        <stp/>
        <stp>16351515M4:BstHitPrc</stp>
        <tr r="G1495" s="5"/>
      </tp>
      <tp t="s">
        <v/>
        <stp/>
        <stp>30793693M1:LstBlkPrc</stp>
        <tr r="K884" s="5"/>
      </tp>
      <tp t="s">
        <v/>
        <stp/>
        <stp>30793693Y1:LstBlkPrc</stp>
        <tr r="K918" s="5"/>
      </tp>
      <tp t="s">
        <v/>
        <stp/>
        <stp>30793693Q1:LstBlkPrc</stp>
        <tr r="K909" s="5"/>
      </tp>
      <tp>
        <v>17.8</v>
        <stp/>
        <stp>46678127Y0:BstHitPrc</stp>
        <tr r="G379" s="5"/>
      </tp>
      <tp>
        <v>24.05</v>
        <stp/>
        <stp>46678127Q0:BstHitPrc</stp>
        <tr r="G370" s="5"/>
      </tp>
      <tp t="s">
        <v/>
        <stp/>
        <stp>46678127M0:BstHitPrc</stp>
        <tr r="G345" s="5"/>
      </tp>
      <tp>
        <v>-10.57</v>
        <stp/>
        <stp>57409036Y0:BstHitPrc</stp>
        <tr r="G265" s="5"/>
      </tp>
      <tp>
        <v>-7.84</v>
        <stp/>
        <stp>57409036Q0:BstHitPrc</stp>
        <tr r="G256" s="5"/>
      </tp>
      <tp t="s">
        <v/>
        <stp/>
        <stp>57409036M0:BstHitPrc</stp>
        <tr r="G231" s="5"/>
      </tp>
      <tp t="s">
        <v/>
        <stp/>
        <stp>34404098M3:LstBlkPrc</stp>
        <tr r="K597" s="5"/>
      </tp>
      <tp>
        <v>111</v>
        <stp/>
        <stp>34414099M3:LstBlkPrc</stp>
        <tr r="K82" s="5"/>
      </tp>
      <tp t="s">
        <v/>
        <stp/>
        <stp>34404098Q3:LstBlkPrc</stp>
        <tr r="K622" s="5"/>
      </tp>
      <tp t="s">
        <v/>
        <stp/>
        <stp>34414099Q3:LstBlkPrc</stp>
        <tr r="K107" s="5"/>
      </tp>
      <tp t="s">
        <v/>
        <stp/>
        <stp>1840020882M3:BstHitPrc</stp>
        <tr r="G1585" s="5"/>
      </tp>
      <tp t="s">
        <v/>
        <stp/>
        <stp>1840020882Q3:BstHitPrc</stp>
        <tr r="G1602" s="5"/>
      </tp>
      <tp t="s">
        <v/>
        <stp/>
        <stp>17551596T5:LstBlkPrc</stp>
        <tr r="K1542" s="5"/>
      </tp>
      <tp t="s">
        <v/>
        <stp/>
        <stp>2755728678Q8:LstBlkPrc</stp>
        <tr r="K1144" s="5"/>
      </tp>
      <tp t="s">
        <v/>
        <stp/>
        <stp>2755728678M8:LstBlkPrc</stp>
        <tr r="K1119" s="5"/>
      </tp>
      <tp t="s">
        <v/>
        <stp/>
        <stp>41767893M8:LstBlkVol</stp>
        <tr r="L488" s="5"/>
      </tp>
      <tp t="s">
        <v/>
        <stp/>
        <stp>41767893Q8:LstBlkVol</stp>
        <tr r="L513" s="5"/>
      </tp>
      <tp t="s">
        <v/>
        <stp/>
        <stp>30793693M7:LstBlkVol</stp>
        <tr r="L890" s="5"/>
      </tp>
      <tp t="s">
        <v/>
        <stp/>
        <stp>30793693Q7:LstBlkVol</stp>
        <tr r="L915" s="5"/>
      </tp>
      <tp t="s">
        <v/>
        <stp/>
        <stp>41787896M8:LstBlkVol</stp>
        <tr r="L815" s="5"/>
      </tp>
      <tp t="s">
        <v/>
        <stp/>
        <stp>41787896Q8:LstBlkVol</stp>
        <tr r="L840" s="5"/>
      </tp>
      <tp t="s">
        <v/>
        <stp/>
        <stp>3124331018M9:LstBlkVol</stp>
        <tr r="L1614" s="5"/>
      </tp>
      <tp t="s">
        <v/>
        <stp/>
        <stp>17551596T3:LstBlkVol</stp>
        <tr r="L1540" s="5"/>
      </tp>
      <tp t="s">
        <v/>
        <stp/>
        <stp>34404098M5:LstBlkVol</stp>
        <tr r="L599" s="5"/>
      </tp>
      <tp t="s">
        <v/>
        <stp/>
        <stp>34414099M5:LstBlkVol</stp>
        <tr r="L84" s="5"/>
      </tp>
      <tp t="s">
        <v/>
        <stp/>
        <stp>34404098Q5:LstBlkVol</stp>
        <tr r="L624" s="5"/>
      </tp>
      <tp t="s">
        <v/>
        <stp/>
        <stp>34414099Q5:LstBlkVol</stp>
        <tr r="L109" s="5"/>
      </tp>
      <tp t="s">
        <v/>
        <stp/>
        <stp>34364094M5:LstBlkVol</stp>
        <tr r="L523" s="5"/>
      </tp>
      <tp t="s">
        <v/>
        <stp/>
        <stp>34374095M5:LstBlkVol</stp>
        <tr r="L561" s="5"/>
      </tp>
      <tp t="s">
        <v/>
        <stp/>
        <stp>34364094Q5:LstBlkVol</stp>
        <tr r="L548" s="5"/>
      </tp>
      <tp t="s">
        <v/>
        <stp/>
        <stp>34374095Q5:LstBlkVol</stp>
        <tr r="L586" s="5"/>
      </tp>
      <tp t="s">
        <v/>
        <stp/>
        <stp>34344092M5:LstBlkVol</stp>
        <tr r="L1268" s="5"/>
      </tp>
      <tp t="s">
        <v/>
        <stp/>
        <stp>34354093M5:LstBlkVol</stp>
        <tr r="L1306" s="5"/>
      </tp>
      <tp t="s">
        <v/>
        <stp/>
        <stp>34344092Q5:LstBlkVol</stp>
        <tr r="L1293" s="5"/>
      </tp>
      <tp t="s">
        <v/>
        <stp/>
        <stp>34354093Q5:LstBlkVol</stp>
        <tr r="L1331" s="5"/>
      </tp>
      <tp t="s">
        <v/>
        <stp/>
        <stp>161913535MM7:LstBlkVol</stp>
        <tr r="L2034" s="5"/>
      </tp>
      <tp>
        <v>55</v>
        <stp/>
        <stp>57409036M6:LstBlkVol</stp>
        <tr r="L237" s="5"/>
      </tp>
      <tp t="s">
        <v/>
        <stp/>
        <stp>57409036Q6:LstBlkVol</stp>
        <tr r="L262" s="5"/>
      </tp>
      <tp t="s">
        <v/>
        <stp/>
        <stp>1840020882M5:LstBlkVol</stp>
        <tr r="L1587" s="5"/>
      </tp>
      <tp t="s">
        <v/>
        <stp/>
        <stp>46678127M6:LstBlkVol</stp>
        <tr r="L351" s="5"/>
      </tp>
      <tp t="s">
        <v/>
        <stp/>
        <stp>46678127Q6:LstBlkVol</stp>
        <tr r="L376" s="5"/>
      </tp>
      <tp t="s">
        <v/>
        <stp/>
        <stp>2427026287Q8:LstBlkVol</stp>
        <tr r="L1182" s="5"/>
      </tp>
      <tp t="s">
        <v/>
        <stp/>
        <stp>2427026287M8:LstBlkVol</stp>
        <tr r="L1157" s="5"/>
      </tp>
      <tp t="s">
        <v/>
        <stp/>
        <stp>2427126288Q8:LstBlkVol</stp>
        <tr r="L1068" s="5"/>
      </tp>
      <tp t="s">
        <v/>
        <stp/>
        <stp>2427126288M8:LstBlkVol</stp>
        <tr r="L1043" s="5"/>
      </tp>
      <tp t="s">
        <v/>
        <stp/>
        <stp>16331513M2:LstBlkVol</stp>
        <tr r="L1417" s="5"/>
      </tp>
      <tp t="s">
        <v/>
        <stp/>
        <stp>16341514M2:LstBlkVol</stp>
        <tr r="L1455" s="5"/>
      </tp>
      <tp t="s">
        <v/>
        <stp/>
        <stp>16351515M2:LstBlkVol</stp>
        <tr r="L1493" s="5"/>
      </tp>
      <tp t="s">
        <v/>
        <stp/>
        <stp>16331513Y2:LstBlkVol</stp>
        <tr r="L1451" s="5"/>
      </tp>
      <tp t="s">
        <v/>
        <stp/>
        <stp>16341514Y2:LstBlkVol</stp>
        <tr r="L1489" s="5"/>
      </tp>
      <tp t="s">
        <v/>
        <stp/>
        <stp>16351515Y2:LstBlkVol</stp>
        <tr r="L1527" s="5"/>
      </tp>
      <tp t="s">
        <v/>
        <stp/>
        <stp>16331513Q2:LstBlkVol</stp>
        <tr r="L1442" s="5"/>
      </tp>
      <tp t="s">
        <v/>
        <stp/>
        <stp>16341514Q2:LstBlkVol</stp>
        <tr r="L1480" s="5"/>
      </tp>
      <tp t="s">
        <v/>
        <stp/>
        <stp>16351515Q2:LstBlkVol</stp>
        <tr r="L1518" s="5"/>
      </tp>
      <tp t="s">
        <v/>
        <stp/>
        <stp>57179020M6:LstBlkVol</stp>
        <tr r="L1553" s="5"/>
      </tp>
      <tp t="s">
        <v>Invalid Market: 57179020Q6</v>
        <stp/>
        <stp>57179020Q6:LstBlkVol</stp>
        <tr r="L1578" s="5"/>
      </tp>
    </main>
    <main first="esrtd">
      <tp t="s">
        <v/>
        <stp/>
        <stp>BRN 26QC17000-ICE</stp>
        <stp>Market</stp>
        <tr r="AQ52" s="23"/>
      </tp>
      <tp t="s">
        <v/>
        <stp/>
        <stp>BRN 26QP17000-ICE</stp>
        <stp>Market</stp>
        <tr r="AJ52" s="23"/>
      </tp>
    </main>
    <main first="ice.rtd">
      <tp t="s">
        <v/>
        <stp/>
        <stp>15141311T7:LstBlkVol</stp>
        <tr r="L1535" s="5"/>
      </tp>
      <tp t="s">
        <v/>
        <stp/>
        <stp>30813691M7:LstBlkVol</stp>
        <tr r="L1960" s="5"/>
      </tp>
      <tp t="s">
        <v/>
        <stp/>
        <stp>35534143M5:LstBlkVol</stp>
        <tr r="L713" s="5"/>
      </tp>
      <tp t="s">
        <v/>
        <stp/>
        <stp>35544144M5:LstBlkVol</stp>
        <tr r="L637" s="5"/>
      </tp>
      <tp t="s">
        <v/>
        <stp/>
        <stp>35554145M5:LstBlkVol</stp>
        <tr r="L675" s="5"/>
      </tp>
      <tp t="s">
        <v/>
        <stp/>
        <stp>35534143Q5:LstBlkVol</stp>
        <tr r="L738" s="5"/>
      </tp>
      <tp t="s">
        <v/>
        <stp/>
        <stp>35544144Q5:LstBlkVol</stp>
        <tr r="L662" s="5"/>
      </tp>
      <tp t="s">
        <v/>
        <stp/>
        <stp>35554145Q5:LstBlkVol</stp>
        <tr r="L700" s="5"/>
      </tp>
      <tp t="s">
        <v/>
        <stp/>
        <stp>30813691Q7:LstBlkVol</stp>
        <tr r="L1985" s="5"/>
      </tp>
      <tp t="s">
        <v/>
        <stp/>
        <stp>15091310M7:LstBlkVol</stp>
        <tr r="L1384" s="5"/>
      </tp>
      <tp t="s">
        <v/>
        <stp/>
        <stp>15091310Q7:LstBlkVol</stp>
        <tr r="L1409" s="5"/>
      </tp>
      <tp t="s">
        <v/>
        <stp/>
        <stp>366531MM26:LstBlkVol</stp>
        <tr r="L1741" s="5"/>
      </tp>
      <tp t="s">
        <v/>
        <stp/>
        <stp>366531MM16:LstBlkVol</stp>
        <tr r="L1731" s="5"/>
      </tp>
    </main>
    <main first="esrtd">
      <tp t="s">
        <v/>
        <stp/>
        <stp>BRN 26UP7000-ICE</stp>
        <stp>OldSettlement</stp>
        <tr r="AG73" s="23"/>
      </tp>
      <tp t="s">
        <v/>
        <stp/>
        <stp>BRN 26UP8500-ICE</stp>
        <stp>OldSettlement</stp>
        <tr r="AG79" s="23"/>
        <tr r="AG78" s="23"/>
      </tp>
      <tp t="s">
        <v/>
        <stp/>
        <stp>BRN 26UP8400-ICE</stp>
        <stp>OldSettlement</stp>
        <tr r="AG77" s="23"/>
      </tp>
      <tp t="s">
        <v/>
        <stp/>
        <stp>BRN 26UP8300-ICE</stp>
        <stp>OldSettlement</stp>
        <tr r="AG76" s="23"/>
      </tp>
      <tp t="s">
        <v/>
        <stp/>
        <stp>BRN 26UP8200-ICE</stp>
        <stp>OldSettlement</stp>
        <tr r="AG75" s="23"/>
      </tp>
      <tp t="s">
        <v/>
        <stp/>
        <stp>BRN 26UP8100-ICE</stp>
        <stp>OldSettlement</stp>
        <tr r="AG74" s="23"/>
      </tp>
    </main>
    <main first="ice.rtd">
      <tp>
        <v>0</v>
        <stp/>
        <stp>15091310Y2:OI</stp>
        <tr r="T1413" s="5"/>
      </tp>
      <tp>
        <v>0</v>
        <stp/>
        <stp>15091310Y1:OI</stp>
        <tr r="T1412" s="5"/>
      </tp>
      <tp>
        <v>0</v>
        <stp/>
        <stp>15091310Y0:OI</stp>
        <tr r="T1411" s="5"/>
      </tp>
      <tp>
        <v>0</v>
        <stp/>
        <stp>15091310Q7:OI</stp>
        <tr r="T1409" s="5"/>
      </tp>
      <tp>
        <v>0</v>
        <stp/>
        <stp>15091310Q6:OI</stp>
        <tr r="T1408" s="5"/>
      </tp>
      <tp>
        <v>0</v>
        <stp/>
        <stp>15091310Q5:OI</stp>
        <tr r="T1407" s="5"/>
      </tp>
      <tp>
        <v>0</v>
        <stp/>
        <stp>15091310Q4:OI</stp>
        <tr r="T1406" s="5"/>
      </tp>
      <tp>
        <v>0</v>
        <stp/>
        <stp>15091310Q3:OI</stp>
        <tr r="T1405" s="5"/>
      </tp>
      <tp>
        <v>0</v>
        <stp/>
        <stp>15091310Q2:OI</stp>
        <tr r="T1404" s="5"/>
      </tp>
      <tp>
        <v>0</v>
        <stp/>
        <stp>15091310Q1:OI</stp>
        <tr r="T1403" s="5"/>
      </tp>
      <tp>
        <v>0</v>
        <stp/>
        <stp>15091310Q0:OI</stp>
        <tr r="T1402" s="5"/>
      </tp>
      <tp>
        <v>0</v>
        <stp/>
        <stp>15091310Q8:OI</stp>
        <tr r="T1410" s="5"/>
      </tp>
      <tp>
        <v>6088</v>
        <stp/>
        <stp>15091310M7:OI</stp>
        <tr r="T1384" s="5"/>
      </tp>
      <tp>
        <v>8853</v>
        <stp/>
        <stp>15091310M6:OI</stp>
        <tr r="T1383" s="5"/>
      </tp>
      <tp>
        <v>9747</v>
        <stp/>
        <stp>15091310M5:OI</stp>
        <tr r="T1382" s="5"/>
      </tp>
      <tp>
        <v>11020</v>
        <stp/>
        <stp>15091310M4:OI</stp>
        <tr r="T1381" s="5"/>
      </tp>
      <tp>
        <v>16483</v>
        <stp/>
        <stp>15091310M3:OI</stp>
        <tr r="T1380" s="5"/>
      </tp>
      <tp>
        <v>14948</v>
        <stp/>
        <stp>15091310M2:OI</stp>
        <tr r="T1379" s="5"/>
      </tp>
      <tp>
        <v>17757</v>
        <stp/>
        <stp>15091310M1:OI</stp>
        <tr r="T1378" s="5"/>
      </tp>
      <tp>
        <v>21072</v>
        <stp/>
        <stp>15091310M0:OI</stp>
        <tr r="T1377" s="5"/>
      </tp>
      <tp>
        <v>5435</v>
        <stp/>
        <stp>15091310M9:OI</stp>
        <tr r="T1386" s="5"/>
      </tp>
      <tp>
        <v>5854</v>
        <stp/>
        <stp>15091310M8:OI</stp>
        <tr r="T1385" s="5"/>
      </tp>
      <tp>
        <v>14.5</v>
        <stp/>
        <stp>366531MM10:BstHitPrc</stp>
        <tr r="G1725" s="5"/>
      </tp>
      <tp t="s">
        <v/>
        <stp/>
        <stp>366531MM20:BstHitPrc</stp>
        <tr r="G1735" s="5"/>
      </tp>
      <tp t="s">
        <v/>
        <stp/>
        <stp>366531MM20:LstBlkPrc</stp>
        <tr r="K1735" s="5"/>
      </tp>
      <tp>
        <v>15.25</v>
        <stp/>
        <stp>366531MM10:LstBlkPrc</stp>
        <tr r="K1725" s="5"/>
      </tp>
      <tp>
        <v>0</v>
        <stp/>
        <stp>35534143Y1:OI</stp>
        <tr r="T743" s="5"/>
      </tp>
      <tp>
        <v>0</v>
        <stp/>
        <stp>35544144Y1:OI</stp>
        <tr r="T667" s="5"/>
      </tp>
      <tp>
        <v>0</v>
        <stp/>
        <stp>35554145Y1:OI</stp>
        <tr r="T705" s="5"/>
      </tp>
      <tp>
        <v>0</v>
        <stp/>
        <stp>35534143Y0:OI</stp>
        <tr r="T742" s="5"/>
      </tp>
      <tp>
        <v>0</v>
        <stp/>
        <stp>35544144Y0:OI</stp>
        <tr r="T666" s="5"/>
      </tp>
      <tp>
        <v>0</v>
        <stp/>
        <stp>35554145Y0:OI</stp>
        <tr r="T704" s="5"/>
      </tp>
      <tp>
        <v>0</v>
        <stp/>
        <stp>35534143Y2:OI</stp>
        <tr r="T744" s="5"/>
      </tp>
      <tp>
        <v>0</v>
        <stp/>
        <stp>35544144Y2:OI</stp>
        <tr r="T668" s="5"/>
      </tp>
      <tp>
        <v>0</v>
        <stp/>
        <stp>35554145Y2:OI</stp>
        <tr r="T706" s="5"/>
      </tp>
      <tp>
        <v>0</v>
        <stp/>
        <stp>30813691Y2:OI</stp>
        <tr r="T1989" s="5"/>
      </tp>
      <tp>
        <v>0</v>
        <stp/>
        <stp>30813691Y1:OI</stp>
        <tr r="T1988" s="5"/>
      </tp>
      <tp>
        <v>0</v>
        <stp/>
        <stp>30813691Y0:OI</stp>
        <tr r="T1987" s="5"/>
      </tp>
      <tp>
        <v>0</v>
        <stp/>
        <stp>35534143Q5:OI</stp>
        <tr r="T738" s="5"/>
      </tp>
      <tp>
        <v>0</v>
        <stp/>
        <stp>35544144Q5:OI</stp>
        <tr r="T662" s="5"/>
      </tp>
      <tp>
        <v>0</v>
        <stp/>
        <stp>35554145Q5:OI</stp>
        <tr r="T700" s="5"/>
      </tp>
      <tp>
        <v>0</v>
        <stp/>
        <stp>35534143Q4:OI</stp>
        <tr r="T737" s="5"/>
      </tp>
      <tp>
        <v>0</v>
        <stp/>
        <stp>35544144Q4:OI</stp>
        <tr r="T661" s="5"/>
      </tp>
      <tp>
        <v>0</v>
        <stp/>
        <stp>35554145Q4:OI</stp>
        <tr r="T699" s="5"/>
      </tp>
      <tp>
        <v>0</v>
        <stp/>
        <stp>35534143Q7:OI</stp>
        <tr r="T740" s="5"/>
      </tp>
      <tp>
        <v>0</v>
        <stp/>
        <stp>35544144Q7:OI</stp>
        <tr r="T664" s="5"/>
      </tp>
      <tp>
        <v>0</v>
        <stp/>
        <stp>35554145Q7:OI</stp>
        <tr r="T702" s="5"/>
      </tp>
      <tp>
        <v>0</v>
        <stp/>
        <stp>35534143Q6:OI</stp>
        <tr r="T739" s="5"/>
      </tp>
      <tp>
        <v>0</v>
        <stp/>
        <stp>35544144Q6:OI</stp>
        <tr r="T663" s="5"/>
      </tp>
      <tp>
        <v>0</v>
        <stp/>
        <stp>35554145Q6:OI</stp>
        <tr r="T701" s="5"/>
      </tp>
      <tp>
        <v>0</v>
        <stp/>
        <stp>35534143Q1:OI</stp>
        <tr r="T734" s="5"/>
      </tp>
      <tp>
        <v>0</v>
        <stp/>
        <stp>35544144Q1:OI</stp>
        <tr r="T658" s="5"/>
      </tp>
      <tp>
        <v>0</v>
        <stp/>
        <stp>35554145Q1:OI</stp>
        <tr r="T696" s="5"/>
      </tp>
      <tp>
        <v>0</v>
        <stp/>
        <stp>35534143Q0:OI</stp>
        <tr r="T733" s="5"/>
      </tp>
      <tp>
        <v>0</v>
        <stp/>
        <stp>35544144Q0:OI</stp>
        <tr r="T657" s="5"/>
      </tp>
      <tp>
        <v>0</v>
        <stp/>
        <stp>35554145Q0:OI</stp>
        <tr r="T695" s="5"/>
      </tp>
      <tp>
        <v>0</v>
        <stp/>
        <stp>35534143Q3:OI</stp>
        <tr r="T736" s="5"/>
      </tp>
      <tp>
        <v>0</v>
        <stp/>
        <stp>35544144Q3:OI</stp>
        <tr r="T660" s="5"/>
      </tp>
      <tp>
        <v>0</v>
        <stp/>
        <stp>35554145Q3:OI</stp>
        <tr r="T698" s="5"/>
      </tp>
      <tp>
        <v>0</v>
        <stp/>
        <stp>35534143Q2:OI</stp>
        <tr r="T735" s="5"/>
      </tp>
      <tp>
        <v>0</v>
        <stp/>
        <stp>35544144Q2:OI</stp>
        <tr r="T659" s="5"/>
      </tp>
      <tp>
        <v>0</v>
        <stp/>
        <stp>35554145Q2:OI</stp>
        <tr r="T697" s="5"/>
      </tp>
      <tp>
        <v>0</v>
        <stp/>
        <stp>35534143Q8:OI</stp>
        <tr r="T741" s="5"/>
      </tp>
      <tp>
        <v>0</v>
        <stp/>
        <stp>35544144Q8:OI</stp>
        <tr r="T665" s="5"/>
      </tp>
      <tp>
        <v>0</v>
        <stp/>
        <stp>35554145Q8:OI</stp>
        <tr r="T703" s="5"/>
      </tp>
      <tp>
        <v>0</v>
        <stp/>
        <stp>30813691Q7:OI</stp>
        <tr r="T1985" s="5"/>
      </tp>
      <tp>
        <v>0</v>
        <stp/>
        <stp>30813691Q6:OI</stp>
        <tr r="T1984" s="5"/>
      </tp>
      <tp>
        <v>0</v>
        <stp/>
        <stp>30813691Q5:OI</stp>
        <tr r="T1983" s="5"/>
      </tp>
      <tp>
        <v>0</v>
        <stp/>
        <stp>30813691Q4:OI</stp>
        <tr r="T1982" s="5"/>
      </tp>
      <tp>
        <v>0</v>
        <stp/>
        <stp>30813691Q3:OI</stp>
        <tr r="T1981" s="5"/>
      </tp>
      <tp>
        <v>0</v>
        <stp/>
        <stp>30813691Q2:OI</stp>
        <tr r="T1980" s="5"/>
      </tp>
      <tp>
        <v>0</v>
        <stp/>
        <stp>30813691Q1:OI</stp>
        <tr r="T1979" s="5"/>
      </tp>
      <tp>
        <v>0</v>
        <stp/>
        <stp>30813691Q0:OI</stp>
        <tr r="T1978" s="5"/>
      </tp>
      <tp>
        <v>0</v>
        <stp/>
        <stp>30813691Q8:OI</stp>
        <tr r="T1986" s="5"/>
      </tp>
      <tp>
        <v>50</v>
        <stp/>
        <stp>30813691M7:OI</stp>
        <tr r="T1960" s="5"/>
      </tp>
      <tp>
        <v>39</v>
        <stp/>
        <stp>30813691M6:OI</stp>
        <tr r="T1959" s="5"/>
      </tp>
      <tp>
        <v>48</v>
        <stp/>
        <stp>30813691M5:OI</stp>
        <tr r="T1958" s="5"/>
      </tp>
      <tp>
        <v>44</v>
        <stp/>
        <stp>30813691M4:OI</stp>
        <tr r="T1957" s="5"/>
      </tp>
      <tp>
        <v>332</v>
        <stp/>
        <stp>30813691M3:OI</stp>
        <tr r="T1956" s="5"/>
      </tp>
      <tp>
        <v>431</v>
        <stp/>
        <stp>30813691M2:OI</stp>
        <tr r="T1955" s="5"/>
      </tp>
      <tp>
        <v>1182</v>
        <stp/>
        <stp>30813691M1:OI</stp>
        <tr r="T1954" s="5"/>
      </tp>
      <tp>
        <v>2362</v>
        <stp/>
        <stp>30813691M0:OI</stp>
        <tr r="T1953" s="5"/>
      </tp>
      <tp>
        <v>50</v>
        <stp/>
        <stp>30813691M9:OI</stp>
        <tr r="T1962" s="5"/>
      </tp>
      <tp>
        <v>50</v>
        <stp/>
        <stp>30813691M8:OI</stp>
        <tr r="T1961" s="5"/>
      </tp>
      <tp>
        <v>12</v>
        <stp/>
        <stp>35534143M5:OI</stp>
        <tr r="T713" s="5"/>
      </tp>
      <tp>
        <v>15</v>
        <stp/>
        <stp>35544144M5:OI</stp>
        <tr r="T637" s="5"/>
      </tp>
      <tp>
        <v>2</v>
        <stp/>
        <stp>35554145M5:OI</stp>
        <tr r="T675" s="5"/>
      </tp>
      <tp>
        <v>12</v>
        <stp/>
        <stp>35534143M4:OI</stp>
        <tr r="T712" s="5"/>
      </tp>
      <tp>
        <v>15</v>
        <stp/>
        <stp>35544144M4:OI</stp>
        <tr r="T636" s="5"/>
      </tp>
      <tp>
        <v>2</v>
        <stp/>
        <stp>35554145M4:OI</stp>
        <tr r="T674" s="5"/>
      </tp>
      <tp>
        <v>12</v>
        <stp/>
        <stp>35534143M7:OI</stp>
        <tr r="T715" s="5"/>
      </tp>
      <tp>
        <v>14</v>
        <stp/>
        <stp>35544144M7:OI</stp>
        <tr r="T639" s="5"/>
      </tp>
      <tp>
        <v>1</v>
        <stp/>
        <stp>35554145M7:OI</stp>
        <tr r="T677" s="5"/>
      </tp>
      <tp>
        <v>12</v>
        <stp/>
        <stp>35534143M6:OI</stp>
        <tr r="T714" s="5"/>
      </tp>
      <tp>
        <v>15</v>
        <stp/>
        <stp>35544144M6:OI</stp>
        <tr r="T638" s="5"/>
      </tp>
      <tp>
        <v>2</v>
        <stp/>
        <stp>35554145M6:OI</stp>
        <tr r="T676" s="5"/>
      </tp>
      <tp>
        <v>87</v>
        <stp/>
        <stp>35534143M1:OI</stp>
        <tr r="T709" s="5"/>
      </tp>
      <tp>
        <v>45</v>
        <stp/>
        <stp>35544144M1:OI</stp>
        <tr r="T633" s="5"/>
      </tp>
      <tp>
        <v>16</v>
        <stp/>
        <stp>35554145M1:OI</stp>
        <tr r="T671" s="5"/>
      </tp>
      <tp>
        <v>150</v>
        <stp/>
        <stp>35534143M0:OI</stp>
        <tr r="T708" s="5"/>
      </tp>
      <tp>
        <v>46</v>
        <stp/>
        <stp>35544144M0:OI</stp>
        <tr r="T632" s="5"/>
      </tp>
      <tp>
        <v>12</v>
        <stp/>
        <stp>35554145M0:OI</stp>
        <tr r="T670" s="5"/>
      </tp>
      <tp>
        <v>60</v>
        <stp/>
        <stp>35534143M3:OI</stp>
        <tr r="T711" s="5"/>
      </tp>
      <tp>
        <v>40</v>
        <stp/>
        <stp>35544144M3:OI</stp>
        <tr r="T635" s="5"/>
      </tp>
      <tp>
        <v>16</v>
        <stp/>
        <stp>35554145M3:OI</stp>
        <tr r="T673" s="5"/>
      </tp>
      <tp>
        <v>92</v>
        <stp/>
        <stp>35534143M2:OI</stp>
        <tr r="T710" s="5"/>
      </tp>
      <tp>
        <v>40</v>
        <stp/>
        <stp>35544144M2:OI</stp>
        <tr r="T634" s="5"/>
      </tp>
      <tp>
        <v>16</v>
        <stp/>
        <stp>35554145M2:OI</stp>
        <tr r="T672" s="5"/>
      </tp>
      <tp>
        <v>12</v>
        <stp/>
        <stp>35534143M9:OI</stp>
        <tr r="T717" s="5"/>
      </tp>
      <tp>
        <v>14</v>
        <stp/>
        <stp>35544144M9:OI</stp>
        <tr r="T641" s="5"/>
      </tp>
      <tp>
        <v>1</v>
        <stp/>
        <stp>35554145M9:OI</stp>
        <tr r="T679" s="5"/>
      </tp>
      <tp>
        <v>12</v>
        <stp/>
        <stp>35534143M8:OI</stp>
        <tr r="T716" s="5"/>
      </tp>
      <tp>
        <v>14</v>
        <stp/>
        <stp>35544144M8:OI</stp>
        <tr r="T640" s="5"/>
      </tp>
      <tp>
        <v>1</v>
        <stp/>
        <stp>35554145M8:OI</stp>
        <tr r="T678" s="5"/>
      </tp>
      <tp t="s">
        <v>Invalid Market: 18901687Y2</v>
        <stp/>
        <stp>18901687Y2:OI</stp>
        <tr r="T343" s="5"/>
      </tp>
      <tp>
        <v>0</v>
        <stp/>
        <stp>18901687Y1:OI</stp>
        <tr r="T342" s="5"/>
      </tp>
      <tp>
        <v>0</v>
        <stp/>
        <stp>18901687Y0:OI</stp>
        <tr r="T341" s="5"/>
      </tp>
      <tp>
        <v>0</v>
        <stp/>
        <stp>18901687Q8:OI</stp>
        <tr r="T340" s="5"/>
      </tp>
      <tp>
        <v>0</v>
        <stp/>
        <stp>18901687Q7:OI</stp>
        <tr r="T339" s="5"/>
      </tp>
      <tp>
        <v>0</v>
        <stp/>
        <stp>18901687Q6:OI</stp>
        <tr r="T338" s="5"/>
      </tp>
      <tp>
        <v>0</v>
        <stp/>
        <stp>18901687Q5:OI</stp>
        <tr r="T337" s="5"/>
      </tp>
      <tp>
        <v>0</v>
        <stp/>
        <stp>18901687Q4:OI</stp>
        <tr r="T336" s="5"/>
      </tp>
      <tp>
        <v>0</v>
        <stp/>
        <stp>18901687Q3:OI</stp>
        <tr r="T335" s="5"/>
      </tp>
      <tp>
        <v>0</v>
        <stp/>
        <stp>18901687Q2:OI</stp>
        <tr r="T334" s="5"/>
      </tp>
      <tp>
        <v>0</v>
        <stp/>
        <stp>18901687Q1:OI</stp>
        <tr r="T333" s="5"/>
      </tp>
      <tp>
        <v>0</v>
        <stp/>
        <stp>18901687Q0:OI</stp>
        <tr r="T332" s="5"/>
      </tp>
      <tp>
        <v>47</v>
        <stp/>
        <stp>18901687M9:OI</stp>
        <tr r="T316" s="5"/>
      </tp>
      <tp>
        <v>40</v>
        <stp/>
        <stp>18901687M8:OI</stp>
        <tr r="T315" s="5"/>
      </tp>
      <tp>
        <v>52</v>
        <stp/>
        <stp>18901687M7:OI</stp>
        <tr r="T314" s="5"/>
      </tp>
      <tp>
        <v>50</v>
        <stp/>
        <stp>18901687M6:OI</stp>
        <tr r="T313" s="5"/>
      </tp>
      <tp>
        <v>55</v>
        <stp/>
        <stp>18901687M5:OI</stp>
        <tr r="T312" s="5"/>
      </tp>
      <tp>
        <v>64</v>
        <stp/>
        <stp>18901687M4:OI</stp>
        <tr r="T311" s="5"/>
      </tp>
      <tp>
        <v>265</v>
        <stp/>
        <stp>18901687M3:OI</stp>
        <tr r="T310" s="5"/>
      </tp>
      <tp>
        <v>167</v>
        <stp/>
        <stp>18901687M2:OI</stp>
        <tr r="T309" s="5"/>
      </tp>
      <tp>
        <v>193</v>
        <stp/>
        <stp>18901687M1:OI</stp>
        <tr r="T308" s="5"/>
      </tp>
      <tp>
        <v>650</v>
        <stp/>
        <stp>18901687M0:OI</stp>
        <tr r="T307" s="5"/>
      </tp>
      <tp t="s">
        <v/>
        <stp/>
        <stp>2427126288M9:LstDate</stp>
        <tr r="J1044" s="5"/>
      </tp>
      <tp t="s">
        <v/>
        <stp/>
        <stp>2427126288M8:LstDate</stp>
        <tr r="J1043" s="5"/>
      </tp>
      <tp t="s">
        <v/>
        <stp/>
        <stp>2427126288M3:LstDate</stp>
        <tr r="J1038" s="5"/>
      </tp>
      <tp t="s">
        <v/>
        <stp/>
        <stp>2427126288M2:LstDate</stp>
        <tr r="J1037" s="5"/>
      </tp>
      <tp>
        <v>46267.439968460647</v>
        <stp/>
        <stp>2427126288M1:LstDate</stp>
        <tr r="J1036" s="5"/>
      </tp>
      <tp t="s">
        <v/>
        <stp/>
        <stp>2427126288M0:LstDate</stp>
        <tr r="J1035" s="5"/>
      </tp>
      <tp t="s">
        <v/>
        <stp/>
        <stp>2427126288M7:LstDate</stp>
        <tr r="J1042" s="5"/>
      </tp>
      <tp t="s">
        <v/>
        <stp/>
        <stp>2427126288M6:LstDate</stp>
        <tr r="J1041" s="5"/>
      </tp>
      <tp t="s">
        <v/>
        <stp/>
        <stp>2427126288M5:LstDate</stp>
        <tr r="J1040" s="5"/>
      </tp>
      <tp t="s">
        <v/>
        <stp/>
        <stp>2427126288M4:LstDate</stp>
        <tr r="J1039" s="5"/>
      </tp>
      <tp t="s">
        <v/>
        <stp/>
        <stp>1986823075M8:LstDate</stp>
        <tr r="J125" s="5"/>
      </tp>
      <tp t="s">
        <v/>
        <stp/>
        <stp>1986823075M9:LstDate</stp>
        <tr r="J126" s="5"/>
      </tp>
      <tp t="s">
        <v/>
        <stp/>
        <stp>1986823075M0:LstDate</stp>
        <tr r="J117" s="5"/>
      </tp>
      <tp>
        <v>46267.421704340275</v>
        <stp/>
        <stp>1986823075M1:LstDate</stp>
        <tr r="J118" s="5"/>
      </tp>
      <tp>
        <v>46267.337533460646</v>
        <stp/>
        <stp>1986823075M2:LstDate</stp>
        <tr r="J119" s="5"/>
      </tp>
      <tp t="s">
        <v/>
        <stp/>
        <stp>1986823075M3:LstDate</stp>
        <tr r="J120" s="5"/>
      </tp>
      <tp t="s">
        <v/>
        <stp/>
        <stp>1986823075M4:LstDate</stp>
        <tr r="J121" s="5"/>
      </tp>
      <tp t="s">
        <v/>
        <stp/>
        <stp>1986823075M5:LstDate</stp>
        <tr r="J122" s="5"/>
      </tp>
      <tp t="s">
        <v/>
        <stp/>
        <stp>1986823075M6:LstDate</stp>
        <tr r="J123" s="5"/>
      </tp>
      <tp t="s">
        <v/>
        <stp/>
        <stp>1986823075M7:LstDate</stp>
        <tr r="J124" s="5"/>
      </tp>
    </main>
    <main first="bofaddin.rtdserver">
      <tp t="s">
        <v>#N/A N/A</v>
        <stp/>
        <stp>BDH|13904194138821972817</stp>
        <tr r="J86" s="16"/>
      </tp>
      <tp t="s">
        <v>#N/A N/A</v>
        <stp/>
        <stp>BDH|10235527734018034644</stp>
        <tr r="BB51" s="1"/>
      </tp>
      <tp t="s">
        <v>#N/A N/A</v>
        <stp/>
        <stp>BDH|12321461064180012812</stp>
        <tr r="I28" s="14"/>
      </tp>
      <tp t="s">
        <v>#N/A N/A</v>
        <stp/>
        <stp>BDH|12190330581899625853</stp>
        <tr r="AW56" s="1"/>
      </tp>
    </main>
    <main first="ice.rtd">
      <tp>
        <v>8996</v>
        <stp/>
        <stp>1986923076M2:OI</stp>
        <tr r="T157" s="5"/>
      </tp>
      <tp>
        <v>9809</v>
        <stp/>
        <stp>1986923076M3:OI</stp>
        <tr r="T158" s="5"/>
      </tp>
      <tp>
        <v>14469</v>
        <stp/>
        <stp>1986923076M0:OI</stp>
        <tr r="T155" s="5"/>
      </tp>
      <tp>
        <v>9059</v>
        <stp/>
        <stp>1986923076M1:OI</stp>
        <tr r="T156" s="5"/>
      </tp>
      <tp>
        <v>3720</v>
        <stp/>
        <stp>1986923076M6:OI</stp>
        <tr r="T161" s="5"/>
      </tp>
      <tp>
        <v>2376</v>
        <stp/>
        <stp>1986923076M7:OI</stp>
        <tr r="T162" s="5"/>
      </tp>
      <tp>
        <v>5099</v>
        <stp/>
        <stp>1986923076M4:OI</stp>
        <tr r="T159" s="5"/>
      </tp>
      <tp>
        <v>3929</v>
        <stp/>
        <stp>1986923076M5:OI</stp>
        <tr r="T160" s="5"/>
      </tp>
      <tp>
        <v>2306</v>
        <stp/>
        <stp>1986923076M8:OI</stp>
        <tr r="T163" s="5"/>
      </tp>
      <tp>
        <v>2361</v>
        <stp/>
        <stp>1986923076M9:OI</stp>
        <tr r="T164" s="5"/>
      </tp>
      <tp t="s">
        <v/>
        <stp/>
        <stp>2427126288Y2:LstDate</stp>
        <tr r="J1071" s="5"/>
      </tp>
      <tp t="s">
        <v/>
        <stp/>
        <stp>2427126288Y1:LstDate</stp>
        <tr r="J1070" s="5"/>
      </tp>
      <tp t="s">
        <v/>
        <stp/>
        <stp>2427126288Y0:LstDate</stp>
        <tr r="J1069" s="5"/>
      </tp>
      <tp>
        <v>0</v>
        <stp/>
        <stp>1986923076Y2:OI</stp>
        <tr r="T191" s="5"/>
      </tp>
      <tp>
        <v>0</v>
        <stp/>
        <stp>1986923076Y0:OI</stp>
        <tr r="T189" s="5"/>
      </tp>
      <tp>
        <v>0</v>
        <stp/>
        <stp>1986923076Y1:OI</stp>
        <tr r="T190" s="5"/>
      </tp>
      <tp>
        <v>0</v>
        <stp/>
        <stp>1986923076Q2:OI</stp>
        <tr r="T182" s="5"/>
      </tp>
      <tp>
        <v>0</v>
        <stp/>
        <stp>1986923076Q3:OI</stp>
        <tr r="T183" s="5"/>
      </tp>
      <tp>
        <v>0</v>
        <stp/>
        <stp>1986923076Q0:OI</stp>
        <tr r="T180" s="5"/>
      </tp>
      <tp>
        <v>0</v>
        <stp/>
        <stp>1986923076Q1:OI</stp>
        <tr r="T181" s="5"/>
      </tp>
      <tp>
        <v>0</v>
        <stp/>
        <stp>1986923076Q6:OI</stp>
        <tr r="T186" s="5"/>
      </tp>
      <tp>
        <v>0</v>
        <stp/>
        <stp>1986923076Q7:OI</stp>
        <tr r="T187" s="5"/>
      </tp>
      <tp>
        <v>0</v>
        <stp/>
        <stp>1986923076Q4:OI</stp>
        <tr r="T184" s="5"/>
      </tp>
      <tp>
        <v>0</v>
        <stp/>
        <stp>1986923076Q5:OI</stp>
        <tr r="T185" s="5"/>
      </tp>
      <tp>
        <v>0</v>
        <stp/>
        <stp>1986923076Q8:OI</stp>
        <tr r="T188" s="5"/>
      </tp>
    </main>
    <main first="bofaddin.rtdserver">
      <tp t="s">
        <v>#N/A N/A</v>
        <stp/>
        <stp>BDH|12697701614435834980</stp>
        <tr r="AV43" s="1"/>
      </tp>
    </main>
    <main first="ice.rtd">
      <tp t="s">
        <v/>
        <stp/>
        <stp>1986823075Q8:LstDate</stp>
        <tr r="J150" s="5"/>
      </tp>
      <tp t="s">
        <v/>
        <stp/>
        <stp>1986823075Q0:LstDate</stp>
        <tr r="J142" s="5"/>
      </tp>
      <tp t="s">
        <v/>
        <stp/>
        <stp>1986823075Q1:LstDate</stp>
        <tr r="J143" s="5"/>
      </tp>
      <tp t="s">
        <v/>
        <stp/>
        <stp>1986823075Q2:LstDate</stp>
        <tr r="J144" s="5"/>
      </tp>
      <tp t="s">
        <v/>
        <stp/>
        <stp>1986823075Q3:LstDate</stp>
        <tr r="J145" s="5"/>
      </tp>
      <tp t="s">
        <v/>
        <stp/>
        <stp>1986823075Q4:LstDate</stp>
        <tr r="J146" s="5"/>
      </tp>
      <tp t="s">
        <v/>
        <stp/>
        <stp>1986823075Q5:LstDate</stp>
        <tr r="J147" s="5"/>
      </tp>
      <tp t="s">
        <v/>
        <stp/>
        <stp>1986823075Q6:LstDate</stp>
        <tr r="J148" s="5"/>
      </tp>
      <tp t="s">
        <v/>
        <stp/>
        <stp>1986823075Q7:LstDate</stp>
        <tr r="J149" s="5"/>
      </tp>
    </main>
    <main first="bofaddin.rtdserver">
      <tp t="s">
        <v>#N/A N/A</v>
        <stp/>
        <stp>BDH|15651223279969026185</stp>
        <tr r="AY53" s="1"/>
      </tp>
      <tp t="s">
        <v>#N/A N/A</v>
        <stp/>
        <stp>BDH|18123646762622499266</stp>
        <tr r="AW21" s="1"/>
      </tp>
      <tp t="s">
        <v>#N/A N/A</v>
        <stp/>
        <stp>BDH|10821990302487657601</stp>
        <tr r="K59" s="16"/>
      </tp>
      <tp t="s">
        <v>#N/A N/A</v>
        <stp/>
        <stp>BDH|17738023266791266840</stp>
        <tr r="N60" s="16"/>
      </tp>
    </main>
    <main first="ice.rtd">
      <tp>
        <v>0</v>
        <stp/>
        <stp>2181524588B0:OI</stp>
        <tr r="T1452" s="5"/>
      </tp>
    </main>
    <main first="bofaddin.rtdserver">
      <tp t="s">
        <v>#N/A N/A</v>
        <stp/>
        <stp>BDH|16870220868499356364</stp>
        <tr r="BB66" s="1"/>
      </tp>
      <tp t="s">
        <v>#N/A N/A</v>
        <stp/>
        <stp>BDH|16022032335405181815</stp>
        <tr r="AZ40" s="1"/>
      </tp>
      <tp t="s">
        <v>#N/A N/A</v>
        <stp/>
        <stp>BDH|18318077850341522478</stp>
        <tr r="AW32" s="1"/>
      </tp>
      <tp t="s">
        <v>#N/A N/A</v>
        <stp/>
        <stp>BDH|11087215296577274538</stp>
        <tr r="BA26" s="1"/>
        <tr r="BA26" s="1"/>
      </tp>
      <tp t="s">
        <v>#N/A N/A</v>
        <stp/>
        <stp>BDH|15895726883383145113</stp>
        <tr r="J52" s="14"/>
      </tp>
      <tp t="s">
        <v>#N/A N/A</v>
        <stp/>
        <stp>BDH|12473404468981664935</stp>
        <tr r="M32" s="16"/>
      </tp>
      <tp t="s">
        <v>#N/A N/A</v>
        <stp/>
        <stp>BDH|17710040067851477890</stp>
        <tr r="AW31" s="1"/>
      </tp>
      <tp t="s">
        <v>#N/A N/A</v>
        <stp/>
        <stp>BDH|13987667221356472929</stp>
        <tr r="J80" s="16"/>
      </tp>
      <tp t="b">
        <v>0</v>
        <stp/>
        <stp>BDH|15839279732139017562</stp>
        <tr r="R22" s="25"/>
        <tr r="R22" s="25"/>
      </tp>
      <tp t="s">
        <v>#N/A N/A</v>
        <stp/>
        <stp>BDH|10578942369446564164</stp>
        <tr r="BC27" s="1"/>
      </tp>
      <tp t="s">
        <v>#N/A N/A</v>
        <stp/>
        <stp>BDH|11289471519484398845</stp>
        <tr r="I13" s="14"/>
      </tp>
      <tp t="s">
        <v>#N/A N/A</v>
        <stp/>
        <stp>BDH|16977727857455092979</stp>
        <tr r="BC20" s="1"/>
      </tp>
    </main>
    <main first="ice.rtd">
      <tp t="s">
        <v/>
        <stp/>
        <stp>2427126288Q8:LstDate</stp>
        <tr r="J1068" s="5"/>
      </tp>
      <tp t="s">
        <v/>
        <stp/>
        <stp>2427126288Q3:LstDate</stp>
        <tr r="J1063" s="5"/>
      </tp>
      <tp t="s">
        <v/>
        <stp/>
        <stp>2427126288Q2:LstDate</stp>
        <tr r="J1062" s="5"/>
      </tp>
      <tp t="s">
        <v/>
        <stp/>
        <stp>2427126288Q1:LstDate</stp>
        <tr r="J1061" s="5"/>
      </tp>
      <tp t="s">
        <v/>
        <stp/>
        <stp>2427126288Q0:LstDate</stp>
        <tr r="J1060" s="5"/>
      </tp>
      <tp t="s">
        <v/>
        <stp/>
        <stp>2427126288Q7:LstDate</stp>
        <tr r="J1067" s="5"/>
      </tp>
      <tp t="s">
        <v/>
        <stp/>
        <stp>2427126288Q6:LstDate</stp>
        <tr r="J1066" s="5"/>
      </tp>
      <tp t="s">
        <v/>
        <stp/>
        <stp>2427126288Q5:LstDate</stp>
        <tr r="J1065" s="5"/>
      </tp>
      <tp t="s">
        <v/>
        <stp/>
        <stp>2427126288Q4:LstDate</stp>
        <tr r="J1064" s="5"/>
      </tp>
    </main>
    <main first="ice.rtd">
      <tp t="s">
        <v/>
        <stp/>
        <stp>1986823075Y0:LstDate</stp>
        <tr r="J151" s="5"/>
      </tp>
      <tp t="s">
        <v/>
        <stp/>
        <stp>1986823075Y1:LstDate</stp>
        <tr r="J152" s="5"/>
      </tp>
      <tp t="s">
        <v/>
        <stp/>
        <stp>1986823075Y2:LstDate</stp>
        <tr r="J153" s="5"/>
      </tp>
    </main>
    <main first="bofaddin.rtdserver">
      <tp t="s">
        <v>#N/A N/A</v>
        <stp/>
        <stp>BDH|11114475888870268500</stp>
        <tr r="AV27" s="1"/>
      </tp>
      <tp t="s">
        <v>#N/A N/A</v>
        <stp/>
        <stp>BDH|10892819998019814051</stp>
        <tr r="L95" s="16"/>
      </tp>
      <tp t="s">
        <v>#N/A N/A</v>
        <stp/>
        <stp>BDH|15298884908212638788</stp>
        <tr r="M53" s="16"/>
      </tp>
      <tp t="s">
        <v>#N/A N/A</v>
        <stp/>
        <stp>BDH|10864771993144080232</stp>
        <tr r="K87" s="16"/>
      </tp>
      <tp t="s">
        <v>#N/A N/A</v>
        <stp/>
        <stp>BDH|10846593390293615786</stp>
        <tr r="AZ25" s="1"/>
      </tp>
      <tp t="s">
        <v>#N/A N/A</v>
        <stp/>
        <stp>BDH|11561107757495926846</stp>
        <tr r="D56" s="14"/>
      </tp>
      <tp t="s">
        <v>#N/A N/A</v>
        <stp/>
        <stp>BDH|17425090691764705251</stp>
        <tr r="L31" s="16"/>
      </tp>
    </main>
    <main first="esrtd">
      <tp t="s">
        <v/>
        <stp/>
        <stp>FOS G27-IEU</stp>
        <stp>ICE Theoretical Price</stp>
        <tr r="W926" s="5"/>
      </tp>
      <tp t="s">
        <v/>
        <stp/>
        <stp>FOS F27-IEU</stp>
        <stp>ICE Theoretical Price</stp>
        <tr r="W925" s="5"/>
      </tp>
      <tp t="s">
        <v/>
        <stp/>
        <stp>ULR U26-IEU</stp>
        <stp>ICE Theoretical Price</stp>
        <tr r="W632" s="5"/>
      </tp>
      <tp t="s">
        <v/>
        <stp/>
        <stp>ULR V26-IEU</stp>
        <stp>ICE Theoretical Price</stp>
        <tr r="W633" s="5"/>
      </tp>
      <tp t="s">
        <v/>
        <stp/>
        <stp>SJS Q27-IEU</stp>
        <stp>ICE Theoretical Price</stp>
        <tr r="W894" s="5"/>
      </tp>
      <tp t="s">
        <v/>
        <stp/>
        <stp>SPS Q27-IEU</stp>
        <stp>ICE Theoretical Price</stp>
        <tr r="W1964" s="5"/>
      </tp>
      <tp t="s">
        <v/>
        <stp/>
        <stp>STS Q27-IEU</stp>
        <stp>ICE Theoretical Price</stp>
        <tr r="W970" s="5"/>
      </tp>
      <tp t="s">
        <v/>
        <stp/>
        <stp>SJS V27-IEU</stp>
        <stp>ICE Theoretical Price</stp>
        <tr r="W896" s="5"/>
      </tp>
      <tp t="s">
        <v/>
        <stp/>
        <stp>SPS V27-IEU</stp>
        <stp>ICE Theoretical Price</stp>
        <tr r="W1966" s="5"/>
      </tp>
      <tp t="s">
        <v/>
        <stp/>
        <stp>STS V27-IEU</stp>
        <stp>ICE Theoretical Price</stp>
        <tr r="W972" s="5"/>
      </tp>
      <tp t="s">
        <v/>
        <stp/>
        <stp>SJS U27-IEU</stp>
        <stp>ICE Theoretical Price</stp>
        <tr r="W895" s="5"/>
      </tp>
      <tp t="s">
        <v/>
        <stp/>
        <stp>SPS U27-IEU</stp>
        <stp>ICE Theoretical Price</stp>
        <tr r="W1965" s="5"/>
      </tp>
      <tp t="s">
        <v/>
        <stp/>
        <stp>STS U27-IEU</stp>
        <stp>ICE Theoretical Price</stp>
        <tr r="W971" s="5"/>
      </tp>
      <tp t="s">
        <v/>
        <stp/>
        <stp>SJS Z27-IEU</stp>
        <stp>ICE Theoretical Price</stp>
        <tr r="W898" s="5"/>
      </tp>
      <tp t="s">
        <v/>
        <stp/>
        <stp>SPS Z27-IEU</stp>
        <stp>ICE Theoretical Price</stp>
        <tr r="W1968" s="5"/>
      </tp>
      <tp t="s">
        <v/>
        <stp/>
        <stp>STS Z27-IEU</stp>
        <stp>ICE Theoretical Price</stp>
        <tr r="W974" s="5"/>
      </tp>
      <tp t="s">
        <v/>
        <stp/>
        <stp>FOS N27-IEU</stp>
        <stp>ICE Theoretical Price</stp>
        <tr r="W931" s="5"/>
      </tp>
      <tp t="s">
        <v/>
        <stp/>
        <stp>SJS X27-IEU</stp>
        <stp>ICE Theoretical Price</stp>
        <tr r="W897" s="5"/>
      </tp>
      <tp t="s">
        <v/>
        <stp/>
        <stp>FOS M27-IEU</stp>
        <stp>ICE Theoretical Price</stp>
        <tr r="W930" s="5"/>
      </tp>
      <tp t="s">
        <v/>
        <stp/>
        <stp>SPS X27-IEU</stp>
        <stp>ICE Theoretical Price</stp>
        <tr r="W1967" s="5"/>
      </tp>
      <tp t="s">
        <v/>
        <stp/>
        <stp>STS X27-IEU</stp>
        <stp>ICE Theoretical Price</stp>
        <tr r="W973" s="5"/>
      </tp>
      <tp t="s">
        <v/>
        <stp/>
        <stp>FOS K27-IEU</stp>
        <stp>ICE Theoretical Price</stp>
        <tr r="W929" s="5"/>
      </tp>
      <tp t="s">
        <v/>
        <stp/>
        <stp>ULR X26-IEU</stp>
        <stp>ICE Theoretical Price</stp>
        <tr r="W634" s="5"/>
      </tp>
      <tp t="s">
        <v/>
        <stp/>
        <stp>FOS J27-IEU</stp>
        <stp>ICE Theoretical Price</stp>
        <tr r="W928" s="5"/>
      </tp>
      <tp t="s">
        <v/>
        <stp/>
        <stp>ULR Z26-IEU</stp>
        <stp>ICE Theoretical Price</stp>
        <tr r="W635" s="5"/>
      </tp>
      <tp t="s">
        <v/>
        <stp/>
        <stp>FOS H27-IEU</stp>
        <stp>ICE Theoretical Price</stp>
        <tr r="W927" s="5"/>
      </tp>
      <tp t="s">
        <v/>
        <stp/>
        <stp>FOS V27-IEU</stp>
        <stp>ICE Theoretical Price</stp>
        <tr r="W934" s="5"/>
      </tp>
      <tp t="s">
        <v/>
        <stp/>
        <stp>FOS U27-IEU</stp>
        <stp>ICE Theoretical Price</stp>
        <tr r="W933" s="5"/>
      </tp>
      <tp t="s">
        <v/>
        <stp/>
        <stp>SJS F27-IEU</stp>
        <stp>ICE Theoretical Price</stp>
        <tr r="W887" s="5"/>
      </tp>
      <tp t="s">
        <v/>
        <stp/>
        <stp>MFR X26-IEU</stp>
        <stp>ICE Theoretical Price</stp>
        <tr r="W1037" s="5"/>
      </tp>
      <tp t="s">
        <v/>
        <stp/>
        <stp>SPS F27-IEU</stp>
        <stp>ICE Theoretical Price</stp>
        <tr r="W1957" s="5"/>
      </tp>
      <tp t="s">
        <v/>
        <stp/>
        <stp>STS F27-IEU</stp>
        <stp>ICE Theoretical Price</stp>
        <tr r="W963" s="5"/>
      </tp>
      <tp t="s">
        <v/>
        <stp/>
        <stp>SJS G27-IEU</stp>
        <stp>ICE Theoretical Price</stp>
        <tr r="W888" s="5"/>
      </tp>
      <tp t="s">
        <v/>
        <stp/>
        <stp>SPS G27-IEU</stp>
        <stp>ICE Theoretical Price</stp>
        <tr r="W1958" s="5"/>
      </tp>
      <tp t="s">
        <v/>
        <stp/>
        <stp>STS G27-IEU</stp>
        <stp>ICE Theoretical Price</stp>
        <tr r="W964" s="5"/>
      </tp>
      <tp t="s">
        <v/>
        <stp/>
        <stp>FOS Q27-IEU</stp>
        <stp>ICE Theoretical Price</stp>
        <tr r="W932" s="5"/>
      </tp>
      <tp t="s">
        <v/>
        <stp/>
        <stp>MFR Z26-IEU</stp>
        <stp>ICE Theoretical Price</stp>
        <tr r="W1038" s="5"/>
      </tp>
      <tp t="s">
        <v/>
        <stp/>
        <stp>SJS J27-IEU</stp>
        <stp>ICE Theoretical Price</stp>
        <tr r="W890" s="5"/>
      </tp>
      <tp t="s">
        <v/>
        <stp/>
        <stp>SPS J27-IEU</stp>
        <stp>ICE Theoretical Price</stp>
        <tr r="W1960" s="5"/>
      </tp>
      <tp t="s">
        <v/>
        <stp/>
        <stp>STS J27-IEU</stp>
        <stp>ICE Theoretical Price</stp>
        <tr r="W966" s="5"/>
      </tp>
      <tp t="s">
        <v/>
        <stp/>
        <stp>SJS K27-IEU</stp>
        <stp>ICE Theoretical Price</stp>
        <tr r="W891" s="5"/>
      </tp>
      <tp t="s">
        <v/>
        <stp/>
        <stp>MFR U26-IEU</stp>
        <stp>ICE Theoretical Price</stp>
        <tr r="W1035" s="5"/>
      </tp>
      <tp t="s">
        <v/>
        <stp/>
        <stp>SPS K27-IEU</stp>
        <stp>ICE Theoretical Price</stp>
        <tr r="W1961" s="5"/>
      </tp>
      <tp t="s">
        <v/>
        <stp/>
        <stp>STS K27-IEU</stp>
        <stp>ICE Theoretical Price</stp>
        <tr r="W967" s="5"/>
      </tp>
      <tp t="s">
        <v/>
        <stp/>
        <stp>SJS H27-IEU</stp>
        <stp>ICE Theoretical Price</stp>
        <tr r="W889" s="5"/>
      </tp>
      <tp t="s">
        <v/>
        <stp/>
        <stp>MFR V26-IEU</stp>
        <stp>ICE Theoretical Price</stp>
        <tr r="W1036" s="5"/>
      </tp>
      <tp t="s">
        <v/>
        <stp/>
        <stp>SPS H27-IEU</stp>
        <stp>ICE Theoretical Price</stp>
        <tr r="W1959" s="5"/>
      </tp>
      <tp t="s">
        <v/>
        <stp/>
        <stp>STS H27-IEU</stp>
        <stp>ICE Theoretical Price</stp>
        <tr r="W965" s="5"/>
      </tp>
      <tp t="s">
        <v/>
        <stp/>
        <stp>SJS N27-IEU</stp>
        <stp>ICE Theoretical Price</stp>
        <tr r="W893" s="5"/>
      </tp>
      <tp t="s">
        <v/>
        <stp/>
        <stp>SPS N27-IEU</stp>
        <stp>ICE Theoretical Price</stp>
        <tr r="W1963" s="5"/>
      </tp>
      <tp t="s">
        <v/>
        <stp/>
        <stp>STS N27-IEU</stp>
        <stp>ICE Theoretical Price</stp>
        <tr r="W969" s="5"/>
      </tp>
      <tp t="s">
        <v/>
        <stp/>
        <stp>FOS Z27-IEU</stp>
        <stp>ICE Theoretical Price</stp>
        <tr r="W936" s="5"/>
      </tp>
      <tp t="s">
        <v/>
        <stp/>
        <stp>SJS M27-IEU</stp>
        <stp>ICE Theoretical Price</stp>
        <tr r="W892" s="5"/>
      </tp>
      <tp t="s">
        <v/>
        <stp/>
        <stp>FOS X27-IEU</stp>
        <stp>ICE Theoretical Price</stp>
        <tr r="W935" s="5"/>
      </tp>
      <tp t="s">
        <v/>
        <stp/>
        <stp>SPS M27-IEU</stp>
        <stp>ICE Theoretical Price</stp>
        <tr r="W1962" s="5"/>
      </tp>
      <tp t="s">
        <v/>
        <stp/>
        <stp>STS M27-IEU</stp>
        <stp>ICE Theoretical Price</stp>
        <tr r="W968" s="5"/>
      </tp>
    </main>
    <main first="bofaddin.rtdserver">
      <tp>
        <v>1.1599999999999999</v>
        <stp/>
        <stp>BDP|11645471011997145998|222</stp>
        <stp>CLJ7CLK7 Comdty</stp>
        <stp>ASK</stp>
        <stp>Fill=#N/A</stp>
        <tr r="N27" s="1"/>
      </tp>
      <tp>
        <v>35.75</v>
        <stp/>
        <stp>BDP|16220509992432376926|222</stp>
        <stp>QSG7QSH7 Comdty</stp>
        <stp>ASK</stp>
        <stp>Fill=#N/A</stp>
        <tr r="P25" s="1"/>
      </tp>
      <tp>
        <v>0.24</v>
        <stp/>
        <stp>BDP|13827783876363535051|222</stp>
        <stp>CLJ8CLK8 Comdty</stp>
        <stp>ASK</stp>
        <stp>Fill=#N/A</stp>
        <tr r="N39" s="1"/>
      </tp>
      <tp>
        <v>2.0499999999999998</v>
        <stp/>
        <stp>BDP|14032828335388674525|222</stp>
        <stp>XBQ8XBU8 Comdty</stp>
        <stp>BID</stp>
        <stp>Fill=#N/A</stp>
        <tr r="R43" s="1"/>
      </tp>
    </main>
    <main first="ice.rtd">
      <tp t="s">
        <v/>
        <stp/>
        <stp>141587M24:LstBlkTime</stp>
        <tr r="M65" s="5"/>
      </tp>
      <tp t="s">
        <v/>
        <stp/>
        <stp>141587M22:LstBlkTime</stp>
        <tr r="M63" s="5"/>
      </tp>
      <tp t="s">
        <v/>
        <stp/>
        <stp>141587M23:LstBlkTime</stp>
        <tr r="M64" s="5"/>
      </tp>
      <tp t="s">
        <v/>
        <stp/>
        <stp>141587M20:LstBlkTime</stp>
        <tr r="M61" s="5"/>
      </tp>
      <tp t="s">
        <v/>
        <stp/>
        <stp>141587M21:LstBlkTime</stp>
        <tr r="M62" s="5"/>
      </tp>
      <tp t="s">
        <v/>
        <stp/>
        <stp>141587M18:LstBlkTime</stp>
        <tr r="M59" s="5"/>
      </tp>
      <tp t="s">
        <v/>
        <stp/>
        <stp>141587M19:LstBlkTime</stp>
        <tr r="M60" s="5"/>
      </tp>
      <tp t="s">
        <v/>
        <stp/>
        <stp>141587M16:LstBlkTime</stp>
        <tr r="M57" s="5"/>
      </tp>
      <tp t="s">
        <v/>
        <stp/>
        <stp>141587M17:LstBlkTime</stp>
        <tr r="M58" s="5"/>
      </tp>
      <tp t="s">
        <v/>
        <stp/>
        <stp>141587M14:LstBlkTime</stp>
        <tr r="M55" s="5"/>
      </tp>
      <tp t="s">
        <v/>
        <stp/>
        <stp>141587M15:LstBlkTime</stp>
        <tr r="M56" s="5"/>
      </tp>
      <tp t="s">
        <v/>
        <stp/>
        <stp>141587M12:LstBlkTime</stp>
        <tr r="M53" s="5"/>
      </tp>
      <tp t="s">
        <v/>
        <stp/>
        <stp>141587M13:LstBlkTime</stp>
        <tr r="M54" s="5"/>
      </tp>
      <tp t="s">
        <v>09:42:56</v>
        <stp/>
        <stp>141587M10:LstBlkTime</stp>
        <tr r="M51" s="5"/>
      </tp>
      <tp t="s">
        <v/>
        <stp/>
        <stp>141587M11:LstBlkTime</stp>
        <tr r="M52" s="5"/>
      </tp>
    </main>
    <main first="bofaddin.rtdserver">
      <tp t="s">
        <v>#N/A N/A</v>
        <stp/>
        <stp>BDP|2984605060418046938|22</stp>
        <stp>XBZ7XBZ8 Comdty</stp>
        <stp>ASK</stp>
        <tr r="F3" s="3"/>
      </tp>
      <tp>
        <v>1.23</v>
        <stp/>
        <stp>BDP|16797635613560517568|222</stp>
        <stp>COJ7COK7 Comdty</stp>
        <stp>ASK</stp>
        <stp>Fill=#N/A</stp>
        <tr r="O27" s="1"/>
      </tp>
      <tp>
        <v>0.23</v>
        <stp/>
        <stp>BDP|11897366623620853043|222</stp>
        <stp>COV9COX9 Comdty</stp>
        <stp>ASK</stp>
        <stp>Fill=#N/A</stp>
        <tr r="O57" s="1"/>
      </tp>
      <tp>
        <v>3.15</v>
        <stp/>
        <stp>BDP|18152169117270255714|222</stp>
        <stp>XBF7XBG7 Comdty</stp>
        <stp>BID</stp>
        <stp>Fill=#N/A</stp>
        <tr r="R24" s="1"/>
      </tp>
      <tp>
        <v>43.5</v>
        <stp/>
        <stp>BDP|1834227116103386021|22</stp>
        <stp>QSZ8QSZ9 Comdty</stp>
        <stp>ASK</stp>
        <tr r="D4" s="3"/>
      </tp>
      <tp>
        <v>-2.1800000000000002</v>
        <stp/>
        <stp>BDP|14465456223023093869|222</stp>
        <stp>HOV8HOX8 Comdty</stp>
        <stp>BID</stp>
        <stp>Fill=#N/A</stp>
        <tr r="Q45" s="1"/>
      </tp>
      <tp>
        <v>2.11</v>
        <stp/>
        <stp>BDP|9878604947425650832|22</stp>
        <stp>CLZ8CLZ9 Comdty</stp>
        <stp>ASK</stp>
        <tr r="B4" s="3"/>
      </tp>
      <tp>
        <v>0.22</v>
        <stp/>
        <stp>BDP|14084723242152797413|222</stp>
        <stp>COV8COX8 Comdty</stp>
        <stp>BID</stp>
        <stp>Fill=#N/A</stp>
        <tr r="O45" s="1"/>
      </tp>
      <tp>
        <v>18.440000000000001</v>
        <stp/>
        <stp>BDP|12439858725527738720|222</stp>
        <stp>XBU7XBV7 Comdty</stp>
        <stp>BID</stp>
        <stp>Fill=#N/A</stp>
        <tr r="R32" s="1"/>
      </tp>
      <tp t="s">
        <v>#N/A</v>
        <stp/>
        <stp>BDP|12726270629761993693|222</stp>
        <stp>QSF0QSG0 Comdty</stp>
        <stp>BID</stp>
        <stp>Fill=#N/A</stp>
        <tr r="P60" s="1"/>
      </tp>
      <tp>
        <v>5.48</v>
        <stp/>
        <stp>BDP|15099713905036596576|222</stp>
        <stp>XBQ8XBU8 Comdty</stp>
        <stp>ASK</stp>
        <stp>Fill=#N/A</stp>
        <tr r="R43" s="1"/>
      </tp>
      <tp t="s">
        <v>#N/A</v>
        <stp/>
        <stp>BDP|13483241213942140323|222</stp>
        <stp>XBK9XBM9 Comdty</stp>
        <stp>ASK</stp>
        <stp>Fill=#N/A</stp>
        <tr r="R52" s="1"/>
      </tp>
      <tp>
        <v>13.55</v>
        <stp/>
        <stp>BDP|3764027469235340582|22</stp>
        <stp>CLZ6CLZ7 Comdty</stp>
        <stp>ASK</stp>
        <tr r="B2" s="3"/>
      </tp>
    </main>
    <main first="ice.rtd">
      <tp t="s">
        <v/>
        <stp/>
        <stp>57179020M1:LstBlkPrc</stp>
        <tr r="K1548" s="5"/>
      </tp>
      <tp t="s">
        <v/>
        <stp/>
        <stp>57179020Q1:LstBlkPrc</stp>
        <tr r="K1573" s="5"/>
      </tp>
      <tp t="s">
        <v>Invalid Market: 57179020Y1</v>
        <stp/>
        <stp>57179020Y1:LstBlkPrc</stp>
        <tr r="K1581" s="5"/>
      </tp>
      <tp t="s">
        <v/>
        <stp/>
        <stp>2755828679M9:LstBlkPrc</stp>
        <tr r="K1006" s="5"/>
      </tp>
      <tp t="s">
        <v/>
        <stp/>
        <stp>29243602M9:LstBlkPrc</stp>
        <tr r="K755" s="5"/>
      </tp>
      <tp t="s">
        <v/>
        <stp/>
        <stp>16331513M5:LstBlkPrc</stp>
        <tr r="K1420" s="5"/>
      </tp>
      <tp t="s">
        <v/>
        <stp/>
        <stp>16341514M5:LstBlkPrc</stp>
        <tr r="K1458" s="5"/>
      </tp>
      <tp t="s">
        <v/>
        <stp/>
        <stp>16351515M5:LstBlkPrc</stp>
        <tr r="K1496" s="5"/>
      </tp>
      <tp t="s">
        <v/>
        <stp/>
        <stp>16331513Q5:LstBlkPrc</stp>
        <tr r="K1445" s="5"/>
      </tp>
      <tp t="s">
        <v/>
        <stp/>
        <stp>16341514Q5:LstBlkPrc</stp>
        <tr r="K1483" s="5"/>
      </tp>
      <tp t="s">
        <v/>
        <stp/>
        <stp>16351515Q5:LstBlkPrc</stp>
        <tr r="K1521" s="5"/>
      </tp>
      <tp t="s">
        <v>Invalid Market: 297449133BM0</v>
        <stp/>
        <stp>297449133BM0:PCC</stp>
        <tr r="B2026" s="5"/>
      </tp>
      <tp t="s">
        <v/>
        <stp/>
        <stp>161913535MM0:BstHitPrc</stp>
        <tr r="G2027" s="5"/>
      </tp>
      <tp t="s">
        <v/>
        <stp/>
        <stp>161913535YY0:BstHitPrc</stp>
        <tr r="G2057" s="5"/>
      </tp>
      <tp t="s">
        <v/>
        <stp/>
        <stp>161913535QQ0:BstHitPrc</stp>
        <tr r="G2055" s="5"/>
      </tp>
      <tp t="s">
        <v/>
        <stp/>
        <stp>15091310M0:LstBlkPrc</stp>
        <tr r="K1377" s="5"/>
      </tp>
      <tp t="s">
        <v/>
        <stp/>
        <stp>15091310Y0:LstBlkPrc</stp>
        <tr r="K1411" s="5"/>
      </tp>
      <tp>
        <v>0.77</v>
        <stp/>
        <stp>15091310Q0:LstBlkPrc</stp>
        <tr r="K1402" s="5"/>
      </tp>
      <tp t="s">
        <v/>
        <stp/>
        <stp>18901687M8:LstBlkPrc</stp>
        <tr r="K315" s="5"/>
      </tp>
      <tp t="s">
        <v/>
        <stp/>
        <stp>18901687Q8:LstBlkPrc</stp>
        <tr r="K340" s="5"/>
      </tp>
      <tp t="s">
        <v/>
        <stp/>
        <stp>30813691M0:LstBlkPrc</stp>
        <tr r="K1953" s="5"/>
      </tp>
      <tp t="s">
        <v/>
        <stp/>
        <stp>35534143M2:LstBlkPrc</stp>
        <tr r="K710" s="5"/>
      </tp>
      <tp t="s">
        <v/>
        <stp/>
        <stp>35544144M2:LstBlkPrc</stp>
        <tr r="K634" s="5"/>
      </tp>
      <tp t="s">
        <v/>
        <stp/>
        <stp>35554145M2:LstBlkPrc</stp>
        <tr r="K672" s="5"/>
      </tp>
      <tp t="s">
        <v/>
        <stp/>
        <stp>35534143Y2:LstBlkPrc</stp>
        <tr r="K744" s="5"/>
      </tp>
      <tp t="s">
        <v/>
        <stp/>
        <stp>35544144Y2:LstBlkPrc</stp>
        <tr r="K668" s="5"/>
      </tp>
      <tp t="s">
        <v/>
        <stp/>
        <stp>35554145Y2:LstBlkPrc</stp>
        <tr r="K706" s="5"/>
      </tp>
      <tp t="s">
        <v/>
        <stp/>
        <stp>30813691Y0:LstBlkPrc</stp>
        <tr r="K1987" s="5"/>
      </tp>
      <tp t="s">
        <v/>
        <stp/>
        <stp>35534143Q2:LstBlkPrc</stp>
        <tr r="K735" s="5"/>
      </tp>
      <tp t="s">
        <v/>
        <stp/>
        <stp>35544144Q2:LstBlkPrc</stp>
        <tr r="K659" s="5"/>
      </tp>
      <tp t="s">
        <v/>
        <stp/>
        <stp>35554145Q2:LstBlkPrc</stp>
        <tr r="K697" s="5"/>
      </tp>
      <tp>
        <v>-5</v>
        <stp/>
        <stp>30813691Q0:LstBlkPrc</stp>
        <tr r="K1978" s="5"/>
      </tp>
      <tp t="s">
        <v/>
        <stp/>
        <stp>34344092Q2:BstHitPrc</stp>
        <tr r="G1290" s="5"/>
      </tp>
      <tp>
        <v>56.81</v>
        <stp/>
        <stp>34354093Q2:BstHitPrc</stp>
        <tr r="G1328" s="5"/>
      </tp>
      <tp t="s">
        <v/>
        <stp/>
        <stp>34344092Y2:BstHitPrc</stp>
        <tr r="G1299" s="5"/>
      </tp>
      <tp t="s">
        <v/>
        <stp/>
        <stp>34354093Y2:BstHitPrc</stp>
        <tr r="G1337" s="5"/>
      </tp>
      <tp t="s">
        <v/>
        <stp/>
        <stp>34344092M2:BstHitPrc</stp>
        <tr r="G1265" s="5"/>
      </tp>
      <tp>
        <v>77.8</v>
        <stp/>
        <stp>34354093M2:BstHitPrc</stp>
        <tr r="G1303" s="5"/>
      </tp>
      <tp t="s">
        <v/>
        <stp/>
        <stp>34364094Q2:BstHitPrc</stp>
        <tr r="G545" s="5"/>
      </tp>
      <tp t="s">
        <v/>
        <stp/>
        <stp>34374095Q2:BstHitPrc</stp>
        <tr r="G583" s="5"/>
      </tp>
      <tp t="s">
        <v/>
        <stp/>
        <stp>34364094Y2:BstHitPrc</stp>
        <tr r="G554" s="5"/>
      </tp>
      <tp t="s">
        <v/>
        <stp/>
        <stp>34374095Y2:BstHitPrc</stp>
        <tr r="G592" s="5"/>
      </tp>
      <tp t="s">
        <v/>
        <stp/>
        <stp>34364094M2:BstHitPrc</stp>
        <tr r="G520" s="5"/>
      </tp>
      <tp t="s">
        <v/>
        <stp/>
        <stp>34374095M2:BstHitPrc</stp>
        <tr r="G558" s="5"/>
      </tp>
      <tp t="s">
        <v/>
        <stp/>
        <stp>15141311T0:LstBlkPrc</stp>
        <tr r="K1528" s="5"/>
      </tp>
      <tp t="s">
        <v/>
        <stp/>
        <stp>18851683M8:LstBlkPrc</stp>
        <tr r="K201" s="5"/>
      </tp>
      <tp t="s">
        <v/>
        <stp/>
        <stp>18851683Q8:LstBlkPrc</stp>
        <tr r="K226" s="5"/>
      </tp>
      <tp t="s">
        <v/>
        <stp/>
        <stp>18871685M8:LstBlkPrc</stp>
        <tr r="K429" s="5"/>
      </tp>
      <tp t="s">
        <v/>
        <stp/>
        <stp>18871685Q8:LstBlkPrc</stp>
        <tr r="K454" s="5"/>
      </tp>
      <tp>
        <v>-3.9</v>
        <stp/>
        <stp>57409036M1:LstBlkPrc</stp>
        <tr r="K232" s="5"/>
      </tp>
      <tp>
        <v>-5.0999999999999996</v>
        <stp/>
        <stp>57409036Q1:LstBlkPrc</stp>
        <tr r="K257" s="5"/>
      </tp>
      <tp>
        <v>-8.8000000000000007</v>
        <stp/>
        <stp>57409036Y1:LstBlkPrc</stp>
        <tr r="K266" s="5"/>
      </tp>
      <tp t="s">
        <v/>
        <stp/>
        <stp>34404098Q2:BstHitPrc</stp>
        <tr r="G621" s="5"/>
      </tp>
      <tp t="s">
        <v/>
        <stp/>
        <stp>34414099Q2:BstHitPrc</stp>
        <tr r="G106" s="5"/>
      </tp>
      <tp t="s">
        <v>Invalid Market: 34404098Y2</v>
        <stp/>
        <stp>34404098Y2:BstHitPrc</stp>
        <tr r="G630" s="5"/>
      </tp>
      <tp t="s">
        <v/>
        <stp/>
        <stp>34414099Y2:BstHitPrc</stp>
        <tr r="G115" s="5"/>
      </tp>
      <tp t="s">
        <v/>
        <stp/>
        <stp>34404098M2:BstHitPrc</stp>
        <tr r="G596" s="5"/>
      </tp>
      <tp>
        <v>82</v>
        <stp/>
        <stp>34414099M2:BstHitPrc</stp>
        <tr r="G81" s="5"/>
      </tp>
      <tp t="s">
        <v/>
        <stp/>
        <stp>1840020882Q2:LstBlkPrc</stp>
        <tr r="K1601" s="5"/>
      </tp>
      <tp t="s">
        <v/>
        <stp/>
        <stp>1840020882M2:LstBlkPrc</stp>
        <tr r="K1584" s="5"/>
      </tp>
      <tp t="s">
        <v>Nov26/Jan27</v>
        <stp/>
        <stp>DBI1227MM16:Strip</stp>
        <tr r="E1667" s="5"/>
      </tp>
      <tp t="s">
        <v>Dec26/Apr27</v>
        <stp/>
        <stp>DBI1227MM26:Strip</stp>
        <tr r="E1677" s="5"/>
      </tp>
      <tp t="s">
        <v/>
        <stp/>
        <stp>17551596T4:BstHitPrc</stp>
        <tr r="G1541" s="5"/>
      </tp>
      <tp t="s">
        <v/>
        <stp/>
        <stp>2755728678M9:BstHitPrc</stp>
        <tr r="G1120" s="5"/>
      </tp>
      <tp>
        <v>-141</v>
        <stp/>
        <stp>2009523367B0:BstHitPrc</stp>
        <tr r="G116" s="5"/>
      </tp>
      <tp>
        <v>30.8</v>
        <stp/>
        <stp>46678127M1:LstBlkPrc</stp>
        <tr r="K346" s="5"/>
      </tp>
      <tp>
        <v>19.850000000000001</v>
        <stp/>
        <stp>46678127Q1:LstBlkPrc</stp>
        <tr r="K371" s="5"/>
      </tp>
      <tp t="s">
        <v/>
        <stp/>
        <stp>46678127Y1:LstBlkPrc</stp>
        <tr r="K380" s="5"/>
      </tp>
      <tp>
        <v>7.75</v>
        <stp/>
        <stp>30793693Q0:BstHitPrc</stp>
        <tr r="G908" s="5"/>
      </tp>
      <tp>
        <v>16</v>
        <stp/>
        <stp>30793693Y0:BstHitPrc</stp>
        <tr r="G917" s="5"/>
      </tp>
      <tp t="s">
        <v/>
        <stp/>
        <stp>30793693M0:BstHitPrc</stp>
        <tr r="G883" s="5"/>
      </tp>
      <tp t="s">
        <v/>
        <stp/>
        <stp>161913535MM0:LstBlkPrc</stp>
        <tr r="K2027" s="5"/>
      </tp>
      <tp t="s">
        <v/>
        <stp/>
        <stp>161913535QQ0:LstBlkPrc</stp>
        <tr r="K2055" s="5"/>
      </tp>
      <tp t="s">
        <v/>
        <stp/>
        <stp>161913535YY0:LstBlkPrc</stp>
        <tr r="K2057" s="5"/>
      </tp>
      <tp t="s">
        <v/>
        <stp/>
        <stp>18901687Q8:BstHitPrc</stp>
        <tr r="G340" s="5"/>
      </tp>
      <tp>
        <v>24.15</v>
        <stp/>
        <stp>18901687M8:BstHitPrc</stp>
        <tr r="G315" s="5"/>
      </tp>
      <tp t="s">
        <v/>
        <stp/>
        <stp>30813691Q0:BstHitPrc</stp>
        <tr r="G1978" s="5"/>
      </tp>
      <tp t="s">
        <v/>
        <stp/>
        <stp>35534143Q2:BstHitPrc</stp>
        <tr r="G735" s="5"/>
      </tp>
      <tp t="s">
        <v/>
        <stp/>
        <stp>35544144Q2:BstHitPrc</stp>
        <tr r="G659" s="5"/>
      </tp>
      <tp t="s">
        <v/>
        <stp/>
        <stp>35554145Q2:BstHitPrc</stp>
        <tr r="G697" s="5"/>
      </tp>
      <tp t="s">
        <v/>
        <stp/>
        <stp>30813691Y0:BstHitPrc</stp>
        <tr r="G1987" s="5"/>
      </tp>
      <tp t="s">
        <v/>
        <stp/>
        <stp>35534143Y2:BstHitPrc</stp>
        <tr r="G744" s="5"/>
      </tp>
      <tp t="s">
        <v/>
        <stp/>
        <stp>35544144Y2:BstHitPrc</stp>
        <tr r="G668" s="5"/>
      </tp>
      <tp t="s">
        <v/>
        <stp/>
        <stp>35554145Y2:BstHitPrc</stp>
        <tr r="G706" s="5"/>
      </tp>
      <tp t="s">
        <v/>
        <stp/>
        <stp>35534143M2:BstHitPrc</stp>
        <tr r="G710" s="5"/>
      </tp>
      <tp t="s">
        <v/>
        <stp/>
        <stp>35544144M2:BstHitPrc</stp>
        <tr r="G634" s="5"/>
      </tp>
      <tp t="s">
        <v/>
        <stp/>
        <stp>35554145M2:BstHitPrc</stp>
        <tr r="G672" s="5"/>
      </tp>
      <tp t="s">
        <v/>
        <stp/>
        <stp>30813691M0:BstHitPrc</stp>
        <tr r="G1953" s="5"/>
      </tp>
      <tp t="s">
        <v/>
        <stp/>
        <stp>15091310Q0:BstHitPrc</stp>
        <tr r="G1402" s="5"/>
      </tp>
      <tp t="s">
        <v/>
        <stp/>
        <stp>15091310Y0:BstHitPrc</stp>
        <tr r="G1411" s="5"/>
      </tp>
      <tp t="s">
        <v/>
        <stp/>
        <stp>15091310M0:BstHitPrc</stp>
        <tr r="G1377" s="5"/>
      </tp>
      <tp t="s">
        <v/>
        <stp/>
        <stp>18851683Q8:BstHitPrc</stp>
        <tr r="G226" s="5"/>
      </tp>
      <tp>
        <v>-10.61</v>
        <stp/>
        <stp>18851683M8:BstHitPrc</stp>
        <tr r="G201" s="5"/>
      </tp>
      <tp t="s">
        <v/>
        <stp/>
        <stp>15141311T0:BstHitPrc</stp>
        <tr r="G1528" s="5"/>
      </tp>
      <tp t="s">
        <v/>
        <stp/>
        <stp>18871685Q8:BstHitPrc</stp>
        <tr r="G454" s="5"/>
      </tp>
      <tp>
        <v>7.75</v>
        <stp/>
        <stp>18871685M8:BstHitPrc</stp>
        <tr r="G429" s="5"/>
      </tp>
      <tp t="s">
        <v/>
        <stp/>
        <stp>34344092M2:LstBlkPrc</stp>
        <tr r="K1265" s="5"/>
      </tp>
      <tp t="s">
        <v/>
        <stp/>
        <stp>34354093M2:LstBlkPrc</stp>
        <tr r="K1303" s="5"/>
      </tp>
      <tp t="s">
        <v/>
        <stp/>
        <stp>34344092Y2:LstBlkPrc</stp>
        <tr r="K1299" s="5"/>
      </tp>
      <tp t="s">
        <v/>
        <stp/>
        <stp>34354093Y2:LstBlkPrc</stp>
        <tr r="K1337" s="5"/>
      </tp>
      <tp t="s">
        <v/>
        <stp/>
        <stp>34344092Q2:LstBlkPrc</stp>
        <tr r="K1290" s="5"/>
      </tp>
      <tp>
        <v>57</v>
        <stp/>
        <stp>34354093Q2:LstBlkPrc</stp>
        <tr r="K1328" s="5"/>
      </tp>
      <tp t="s">
        <v/>
        <stp/>
        <stp>34364094M2:LstBlkPrc</stp>
        <tr r="K520" s="5"/>
      </tp>
      <tp>
        <v>39</v>
        <stp/>
        <stp>34374095M2:LstBlkPrc</stp>
        <tr r="K558" s="5"/>
      </tp>
      <tp t="s">
        <v/>
        <stp/>
        <stp>34364094Y2:LstBlkPrc</stp>
        <tr r="K554" s="5"/>
      </tp>
      <tp t="s">
        <v/>
        <stp/>
        <stp>34374095Y2:LstBlkPrc</stp>
        <tr r="K592" s="5"/>
      </tp>
      <tp t="s">
        <v/>
        <stp/>
        <stp>34364094Q2:LstBlkPrc</stp>
        <tr r="K545" s="5"/>
      </tp>
      <tp t="s">
        <v/>
        <stp/>
        <stp>34374095Q2:LstBlkPrc</stp>
        <tr r="K583" s="5"/>
      </tp>
      <tp t="s">
        <v>Invalid Market: 57179020Y1</v>
        <stp/>
        <stp>57179020Y1:BstHitPrc</stp>
        <tr r="G1581" s="5"/>
      </tp>
      <tp t="s">
        <v/>
        <stp/>
        <stp>57179020Q1:BstHitPrc</stp>
        <tr r="G1573" s="5"/>
      </tp>
      <tp t="s">
        <v/>
        <stp/>
        <stp>57179020M1:BstHitPrc</stp>
        <tr r="G1548" s="5"/>
      </tp>
      <tp t="s">
        <v/>
        <stp/>
        <stp>2755828679M9:BstHitPrc</stp>
        <tr r="G1006" s="5"/>
      </tp>
      <tp t="s">
        <v/>
        <stp/>
        <stp>29243602M9:BstHitPrc</stp>
        <tr r="G755" s="5"/>
      </tp>
      <tp t="s">
        <v/>
        <stp/>
        <stp>16331513Q5:BstHitPrc</stp>
        <tr r="G1445" s="5"/>
      </tp>
      <tp t="s">
        <v/>
        <stp/>
        <stp>16341514Q5:BstHitPrc</stp>
        <tr r="G1483" s="5"/>
      </tp>
      <tp t="s">
        <v/>
        <stp/>
        <stp>16351515Q5:BstHitPrc</stp>
        <tr r="G1521" s="5"/>
      </tp>
      <tp t="s">
        <v/>
        <stp/>
        <stp>16331513M5:BstHitPrc</stp>
        <tr r="G1420" s="5"/>
      </tp>
      <tp t="s">
        <v/>
        <stp/>
        <stp>16341514M5:BstHitPrc</stp>
        <tr r="G1458" s="5"/>
      </tp>
      <tp t="s">
        <v/>
        <stp/>
        <stp>16351515M5:BstHitPrc</stp>
        <tr r="G1496" s="5"/>
      </tp>
      <tp>
        <v>-139</v>
        <stp/>
        <stp>2009523367B0:LstBlkPrc</stp>
        <tr r="K116" s="5"/>
      </tp>
      <tp t="s">
        <v/>
        <stp/>
        <stp>30793693M0:LstBlkPrc</stp>
        <tr r="K883" s="5"/>
      </tp>
      <tp t="s">
        <v/>
        <stp/>
        <stp>30793693Y0:LstBlkPrc</stp>
        <tr r="K917" s="5"/>
      </tp>
      <tp t="s">
        <v/>
        <stp/>
        <stp>30793693Q0:LstBlkPrc</stp>
        <tr r="K908" s="5"/>
      </tp>
      <tp>
        <v>7.5</v>
        <stp/>
        <stp>46678127Y1:BstHitPrc</stp>
        <tr r="G380" s="5"/>
      </tp>
      <tp>
        <v>19</v>
        <stp/>
        <stp>46678127Q1:BstHitPrc</stp>
        <tr r="G371" s="5"/>
      </tp>
      <tp>
        <v>30.2</v>
        <stp/>
        <stp>46678127M1:BstHitPrc</stp>
        <tr r="G346" s="5"/>
      </tp>
      <tp t="s">
        <v/>
        <stp/>
        <stp>57409036Y1:BstHitPrc</stp>
        <tr r="G266" s="5"/>
      </tp>
      <tp>
        <v>-8.7100000000000009</v>
        <stp/>
        <stp>57409036Q1:BstHitPrc</stp>
        <tr r="G257" s="5"/>
      </tp>
      <tp>
        <v>-7.5</v>
        <stp/>
        <stp>57409036M1:BstHitPrc</stp>
        <tr r="G232" s="5"/>
      </tp>
      <tp t="s">
        <v/>
        <stp/>
        <stp>34404098M2:LstBlkPrc</stp>
        <tr r="K596" s="5"/>
      </tp>
      <tp t="s">
        <v/>
        <stp/>
        <stp>34414099M2:LstBlkPrc</stp>
        <tr r="K81" s="5"/>
      </tp>
      <tp t="s">
        <v>Invalid Market: 34404098Y2</v>
        <stp/>
        <stp>34404098Y2:LstBlkPrc</stp>
        <tr r="K630" s="5"/>
      </tp>
      <tp t="s">
        <v/>
        <stp/>
        <stp>34414099Y2:LstBlkPrc</stp>
        <tr r="K115" s="5"/>
      </tp>
      <tp t="s">
        <v/>
        <stp/>
        <stp>34404098Q2:LstBlkPrc</stp>
        <tr r="K621" s="5"/>
      </tp>
      <tp t="s">
        <v/>
        <stp/>
        <stp>34414099Q2:LstBlkPrc</stp>
        <tr r="K106" s="5"/>
      </tp>
      <tp t="s">
        <v/>
        <stp/>
        <stp>1840020882M2:BstHitPrc</stp>
        <tr r="G1584" s="5"/>
      </tp>
      <tp t="s">
        <v/>
        <stp/>
        <stp>1840020882Q2:BstHitPrc</stp>
        <tr r="G1601" s="5"/>
      </tp>
      <tp t="s">
        <v/>
        <stp/>
        <stp>17551596T4:LstBlkPrc</stp>
        <tr r="K1541" s="5"/>
      </tp>
      <tp t="s">
        <v/>
        <stp/>
        <stp>2755728678M9:LstBlkPrc</stp>
        <tr r="K1120" s="5"/>
      </tp>
      <tp t="s">
        <v/>
        <stp/>
        <stp>41767893M9:LstBlkVol</stp>
        <tr r="L489" s="5"/>
      </tp>
      <tp t="s">
        <v/>
        <stp/>
        <stp>30793693M6:LstBlkVol</stp>
        <tr r="L889" s="5"/>
      </tp>
      <tp t="s">
        <v/>
        <stp/>
        <stp>30793693Q6:LstBlkVol</stp>
        <tr r="L914" s="5"/>
      </tp>
      <tp t="s">
        <v/>
        <stp/>
        <stp>41787896M9:LstBlkVol</stp>
        <tr r="L816" s="5"/>
      </tp>
      <tp t="s">
        <v/>
        <stp/>
        <stp>3124331018M8:LstBlkVol</stp>
        <tr r="L1613" s="5"/>
      </tp>
      <tp t="s">
        <v/>
        <stp/>
        <stp>17551596T2:LstBlkVol</stp>
        <tr r="L1539" s="5"/>
      </tp>
      <tp t="s">
        <v/>
        <stp/>
        <stp>34404098M4:LstBlkVol</stp>
        <tr r="L598" s="5"/>
      </tp>
      <tp t="s">
        <v/>
        <stp/>
        <stp>34414099M4:LstBlkVol</stp>
        <tr r="L83" s="5"/>
      </tp>
      <tp t="s">
        <v/>
        <stp/>
        <stp>34404098Q4:LstBlkVol</stp>
        <tr r="L623" s="5"/>
      </tp>
      <tp t="s">
        <v/>
        <stp/>
        <stp>34414099Q4:LstBlkVol</stp>
        <tr r="L108" s="5"/>
      </tp>
      <tp t="s">
        <v/>
        <stp/>
        <stp>2505226937B0:LstBlkVol</stp>
        <tr r="L768" s="5"/>
      </tp>
      <tp t="s">
        <v/>
        <stp/>
        <stp>34364094M4:LstBlkVol</stp>
        <tr r="L522" s="5"/>
      </tp>
      <tp t="s">
        <v/>
        <stp/>
        <stp>34374095M4:LstBlkVol</stp>
        <tr r="L560" s="5"/>
      </tp>
      <tp t="s">
        <v/>
        <stp/>
        <stp>34364094Q4:LstBlkVol</stp>
        <tr r="L547" s="5"/>
      </tp>
      <tp t="s">
        <v/>
        <stp/>
        <stp>34374095Q4:LstBlkVol</stp>
        <tr r="L585" s="5"/>
      </tp>
      <tp t="s">
        <v/>
        <stp/>
        <stp>34344092M4:LstBlkVol</stp>
        <tr r="L1267" s="5"/>
      </tp>
      <tp t="s">
        <v/>
        <stp/>
        <stp>34354093M4:LstBlkVol</stp>
        <tr r="L1305" s="5"/>
      </tp>
      <tp t="s">
        <v/>
        <stp/>
        <stp>34344092Q4:LstBlkVol</stp>
        <tr r="L1292" s="5"/>
      </tp>
      <tp t="s">
        <v/>
        <stp/>
        <stp>34354093Q4:LstBlkVol</stp>
        <tr r="L1330" s="5"/>
      </tp>
      <tp t="s">
        <v/>
        <stp/>
        <stp>2049123570B0:LstBlkVol</stp>
        <tr r="L230" s="5"/>
      </tp>
      <tp t="s">
        <v/>
        <stp/>
        <stp>161913535MM6:LstBlkVol</stp>
        <tr r="L2033" s="5"/>
      </tp>
      <tp>
        <v>55</v>
        <stp/>
        <stp>57409036M7:LstBlkVol</stp>
        <tr r="L238" s="5"/>
      </tp>
      <tp t="s">
        <v/>
        <stp/>
        <stp>57409036Q7:LstBlkVol</stp>
        <tr r="L263" s="5"/>
      </tp>
    </main>
    <main first="esrtd">
      <tp t="s">
        <v/>
        <stp/>
        <stp>BRN 26UC16000-ICE</stp>
        <stp>Market</stp>
        <tr r="AQ122" s="23"/>
      </tp>
      <tp t="s">
        <v/>
        <stp/>
        <stp>BRN 26UP16000-ICE</stp>
        <stp>Market</stp>
        <tr r="AJ122" s="23"/>
      </tp>
    </main>
    <main first="ice.rtd">
      <tp t="s">
        <v/>
        <stp/>
        <stp>1840020882Q4:LstBlkVol</stp>
        <tr r="L1603" s="5"/>
      </tp>
      <tp t="s">
        <v/>
        <stp/>
        <stp>1840020882M4:LstBlkVol</stp>
        <tr r="L1586" s="5"/>
      </tp>
      <tp>
        <v>25</v>
        <stp/>
        <stp>46678127M7:LstBlkVol</stp>
        <tr r="L352" s="5"/>
      </tp>
      <tp t="s">
        <v/>
        <stp/>
        <stp>46678127Q7:LstBlkVol</stp>
        <tr r="L377" s="5"/>
      </tp>
    </main>
    <main first="esrtd">
      <tp t="s">
        <v/>
        <stp/>
        <stp>BRN 26VC16000-ICE</stp>
        <stp>Market</stp>
        <tr r="AQ197" s="23"/>
      </tp>
      <tp t="s">
        <v/>
        <stp/>
        <stp>BRN 26VP16000-ICE</stp>
        <stp>Market</stp>
        <tr r="AJ197" s="23"/>
      </tp>
    </main>
    <main first="ice.rtd">
      <tp t="s">
        <v/>
        <stp/>
        <stp>2427026287M9:LstBlkVol</stp>
        <tr r="L1158" s="5"/>
      </tp>
      <tp t="s">
        <v/>
        <stp/>
        <stp>2427126288M9:LstBlkVol</stp>
        <tr r="L1044" s="5"/>
      </tp>
      <tp t="s">
        <v/>
        <stp/>
        <stp>16331513M3:LstBlkVol</stp>
        <tr r="L1418" s="5"/>
      </tp>
      <tp t="s">
        <v/>
        <stp/>
        <stp>16341514M3:LstBlkVol</stp>
        <tr r="L1456" s="5"/>
      </tp>
      <tp t="s">
        <v/>
        <stp/>
        <stp>16351515M3:LstBlkVol</stp>
        <tr r="L1494" s="5"/>
      </tp>
      <tp t="s">
        <v/>
        <stp/>
        <stp>16331513Q3:LstBlkVol</stp>
        <tr r="L1443" s="5"/>
      </tp>
      <tp t="s">
        <v/>
        <stp/>
        <stp>16341514Q3:LstBlkVol</stp>
        <tr r="L1481" s="5"/>
      </tp>
      <tp t="s">
        <v/>
        <stp/>
        <stp>16351515Q3:LstBlkVol</stp>
        <tr r="L1519" s="5"/>
      </tp>
      <tp t="s">
        <v/>
        <stp/>
        <stp>57179020M7:LstBlkVol</stp>
        <tr r="L1554" s="5"/>
      </tp>
      <tp t="s">
        <v>Invalid Market: 57179020Q7</v>
        <stp/>
        <stp>57179020Q7:LstBlkVol</stp>
        <tr r="L1579" s="5"/>
      </tp>
    </main>
    <main first="esrtd">
      <tp t="s">
        <v/>
        <stp/>
        <stp>BRN 26QC16000-ICE</stp>
        <stp>Market</stp>
        <tr r="AQ51" s="23"/>
      </tp>
      <tp t="s">
        <v/>
        <stp/>
        <stp>BRN 26QP16000-ICE</stp>
        <stp>Market</stp>
        <tr r="AJ51" s="23"/>
      </tp>
    </main>
    <main first="ice.rtd">
      <tp t="s">
        <v/>
        <stp/>
        <stp>15141311T6:LstBlkVol</stp>
        <tr r="L1534" s="5"/>
      </tp>
      <tp t="s">
        <v>Invalid Market: B0</v>
        <stp/>
        <stp>B0:LstBlkVol</stp>
        <tr r="L1034" s="5"/>
        <tr r="L1148" s="5"/>
      </tp>
      <tp t="s">
        <v/>
        <stp/>
        <stp>30813691M6:LstBlkVol</stp>
        <tr r="L1959" s="5"/>
      </tp>
      <tp t="s">
        <v/>
        <stp/>
        <stp>35534143M4:LstBlkVol</stp>
        <tr r="L712" s="5"/>
      </tp>
      <tp t="s">
        <v/>
        <stp/>
        <stp>35544144M4:LstBlkVol</stp>
        <tr r="L636" s="5"/>
      </tp>
      <tp t="s">
        <v/>
        <stp/>
        <stp>35554145M4:LstBlkVol</stp>
        <tr r="L674" s="5"/>
      </tp>
      <tp t="s">
        <v/>
        <stp/>
        <stp>35534143Q4:LstBlkVol</stp>
        <tr r="L737" s="5"/>
      </tp>
      <tp t="s">
        <v/>
        <stp/>
        <stp>35544144Q4:LstBlkVol</stp>
        <tr r="L661" s="5"/>
      </tp>
      <tp t="s">
        <v/>
        <stp/>
        <stp>35554145Q4:LstBlkVol</stp>
        <tr r="L699" s="5"/>
      </tp>
      <tp t="s">
        <v/>
        <stp/>
        <stp>30813691Q6:LstBlkVol</stp>
        <tr r="L1984" s="5"/>
      </tp>
      <tp t="s">
        <v/>
        <stp/>
        <stp>15091310M6:LstBlkVol</stp>
        <tr r="L1383" s="5"/>
      </tp>
      <tp t="s">
        <v/>
        <stp/>
        <stp>15091310Q6:LstBlkVol</stp>
        <tr r="L1408" s="5"/>
      </tp>
      <tp t="s">
        <v/>
        <stp/>
        <stp>366531MM27:LstBlkVol</stp>
        <tr r="L1742" s="5"/>
      </tp>
      <tp>
        <v>20</v>
        <stp/>
        <stp>366531MM17:LstBlkVol</stp>
        <tr r="L1732" s="5"/>
      </tp>
    </main>
    <main first="bofaddin.rtdserver">
      <tp t="s">
        <v>#N/A Real Time</v>
        <stp/>
        <stp>BDP|17725597334255094127|22</stp>
        <stp>COV6C 110.00 Comdty</stp>
        <stp>THETA_MID_RT</stp>
        <tr r="C77" s="23"/>
        <tr r="C58" s="23"/>
        <tr r="C86" s="23"/>
      </tp>
    </main>
    <main first="esrtd">
      <tp t="s">
        <v/>
        <stp/>
        <stp>WDF 30!-IEU</stp>
        <stp>Recent Settlement</stp>
        <tr r="U1807" s="5"/>
      </tp>
      <tp t="s">
        <v/>
        <stp/>
        <stp>WDF 28!-IEU</stp>
        <stp>Recent Settlement</stp>
        <tr r="U1805" s="5"/>
      </tp>
      <tp t="s">
        <v/>
        <stp/>
        <stp>WDF 29!-IEU</stp>
        <stp>Recent Settlement</stp>
        <tr r="U1806" s="5"/>
      </tp>
      <tp t="s">
        <v/>
        <stp/>
        <stp>WDF 20!-IEU</stp>
        <stp>Recent Settlement</stp>
        <tr r="U1797" s="5"/>
      </tp>
      <tp t="s">
        <v/>
        <stp/>
        <stp>WDF 21!-IEU</stp>
        <stp>Recent Settlement</stp>
        <tr r="U1798" s="5"/>
      </tp>
      <tp t="s">
        <v/>
        <stp/>
        <stp>WDF 22!-IEU</stp>
        <stp>Recent Settlement</stp>
        <tr r="U1799" s="5"/>
      </tp>
      <tp t="s">
        <v/>
        <stp/>
        <stp>WDF 23!-IEU</stp>
        <stp>Recent Settlement</stp>
        <tr r="U1800" s="5"/>
      </tp>
      <tp t="s">
        <v/>
        <stp/>
        <stp>WDF 24!-IEU</stp>
        <stp>Recent Settlement</stp>
        <tr r="U1801" s="5"/>
      </tp>
      <tp t="s">
        <v/>
        <stp/>
        <stp>WDF 25!-IEU</stp>
        <stp>Recent Settlement</stp>
        <tr r="U1802" s="5"/>
      </tp>
      <tp t="s">
        <v/>
        <stp/>
        <stp>WDF 26!-IEU</stp>
        <stp>Recent Settlement</stp>
        <tr r="U1803" s="5"/>
      </tp>
      <tp t="s">
        <v/>
        <stp/>
        <stp>WDF 27!-IEU</stp>
        <stp>Recent Settlement</stp>
        <tr r="U1804" s="5"/>
      </tp>
      <tp t="s">
        <v/>
        <stp/>
        <stp>WDF 18!-IEU</stp>
        <stp>Recent Settlement</stp>
        <tr r="U1795" s="5"/>
      </tp>
      <tp t="s">
        <v/>
        <stp/>
        <stp>WDF 19!-IEU</stp>
        <stp>Recent Settlement</stp>
        <tr r="U1796" s="5"/>
      </tp>
      <tp t="s">
        <v/>
        <stp/>
        <stp>WDF 10!-IEU</stp>
        <stp>Recent Settlement</stp>
        <tr r="U1787" s="5"/>
      </tp>
      <tp t="s">
        <v/>
        <stp/>
        <stp>WDF 11!-IEU</stp>
        <stp>Recent Settlement</stp>
        <tr r="U1788" s="5"/>
      </tp>
      <tp t="s">
        <v/>
        <stp/>
        <stp>WDF 12!-IEU</stp>
        <stp>Recent Settlement</stp>
        <tr r="U1789" s="5"/>
      </tp>
      <tp t="s">
        <v/>
        <stp/>
        <stp>WDF 13!-IEU</stp>
        <stp>Recent Settlement</stp>
        <tr r="U1790" s="5"/>
      </tp>
      <tp t="s">
        <v/>
        <stp/>
        <stp>WDF 14!-IEU</stp>
        <stp>Recent Settlement</stp>
        <tr r="U1791" s="5"/>
      </tp>
      <tp t="s">
        <v/>
        <stp/>
        <stp>WDF 15!-IEU</stp>
        <stp>Recent Settlement</stp>
        <tr r="U1792" s="5"/>
      </tp>
      <tp t="s">
        <v/>
        <stp/>
        <stp>WDF 16!-IEU</stp>
        <stp>Recent Settlement</stp>
        <tr r="U1793" s="5"/>
      </tp>
      <tp t="s">
        <v/>
        <stp/>
        <stp>WDF 17!-IEU</stp>
        <stp>Recent Settlement</stp>
        <tr r="U1794" s="5"/>
      </tp>
    </main>
    <main first="ice.rtd">
      <tp t="s">
        <v>Invalid Market: B0</v>
        <stp/>
        <stp>B0:OI</stp>
        <tr r="T1148" s="5"/>
        <tr r="T1034" s="5"/>
      </tp>
    </main>
    <main first="esrtd">
      <tp t="s">
        <v/>
        <stp/>
        <stp>WDF C2!-IEU</stp>
        <stp>Recent Settlement</stp>
        <tr r="U1812" s="5"/>
      </tp>
      <tp t="s">
        <v/>
        <stp/>
        <stp>WDF Q1!-IEU</stp>
        <stp>Recent Settlement</stp>
        <tr r="U1808" s="5"/>
      </tp>
      <tp t="s">
        <v/>
        <stp/>
        <stp>WDF Q2!-IEU</stp>
        <stp>Recent Settlement</stp>
        <tr r="U1809" s="5"/>
      </tp>
      <tp t="s">
        <v/>
        <stp/>
        <stp>WDF Q3!-IEU</stp>
        <stp>Recent Settlement</stp>
        <tr r="U1810" s="5"/>
      </tp>
      <tp t="s">
        <v/>
        <stp/>
        <stp>WDF Q4!-IEU</stp>
        <stp>Recent Settlement</stp>
        <tr r="U1811" s="5"/>
      </tp>
    </main>
    <main first="ice.rtd">
      <tp t="s">
        <v/>
        <stp/>
        <stp>366531MM11:BstHitPrc</stp>
        <tr r="G1726" s="5"/>
      </tp>
      <tp t="s">
        <v/>
        <stp/>
        <stp>366531MM21:BstHitPrc</stp>
        <tr r="G1736" s="5"/>
      </tp>
      <tp t="s">
        <v/>
        <stp/>
        <stp>366531MM21:LstBlkPrc</stp>
        <tr r="K1736" s="5"/>
      </tp>
      <tp>
        <v>27.25</v>
        <stp/>
        <stp>366531MM11:LstBlkPrc</stp>
        <tr r="K1726" s="5"/>
      </tp>
      <tp t="s">
        <v>Invalid Market: 18871685Y2</v>
        <stp/>
        <stp>18871685Y2:OI</stp>
        <tr r="T457" s="5"/>
      </tp>
      <tp>
        <v>0</v>
        <stp/>
        <stp>18871685Y1:OI</stp>
        <tr r="T456" s="5"/>
      </tp>
      <tp>
        <v>0</v>
        <stp/>
        <stp>18871685Y0:OI</stp>
        <tr r="T455" s="5"/>
      </tp>
      <tp>
        <v>0</v>
        <stp/>
        <stp>18871685Q8:OI</stp>
        <tr r="T454" s="5"/>
      </tp>
      <tp>
        <v>0</v>
        <stp/>
        <stp>18871685Q7:OI</stp>
        <tr r="T453" s="5"/>
      </tp>
      <tp>
        <v>0</v>
        <stp/>
        <stp>18871685Q6:OI</stp>
        <tr r="T452" s="5"/>
      </tp>
      <tp>
        <v>0</v>
        <stp/>
        <stp>18871685Q5:OI</stp>
        <tr r="T451" s="5"/>
      </tp>
      <tp>
        <v>0</v>
        <stp/>
        <stp>18871685Q4:OI</stp>
        <tr r="T450" s="5"/>
      </tp>
      <tp>
        <v>0</v>
        <stp/>
        <stp>18871685Q3:OI</stp>
        <tr r="T449" s="5"/>
      </tp>
      <tp>
        <v>0</v>
        <stp/>
        <stp>18871685Q2:OI</stp>
        <tr r="T448" s="5"/>
      </tp>
      <tp>
        <v>0</v>
        <stp/>
        <stp>18871685Q1:OI</stp>
        <tr r="T447" s="5"/>
      </tp>
      <tp>
        <v>0</v>
        <stp/>
        <stp>18871685Q0:OI</stp>
        <tr r="T446" s="5"/>
      </tp>
      <tp>
        <v>405</v>
        <stp/>
        <stp>18871685M9:OI</stp>
        <tr r="T430" s="5"/>
      </tp>
      <tp>
        <v>285</v>
        <stp/>
        <stp>18871685M8:OI</stp>
        <tr r="T429" s="5"/>
      </tp>
      <tp>
        <v>306</v>
        <stp/>
        <stp>18871685M7:OI</stp>
        <tr r="T428" s="5"/>
      </tp>
      <tp>
        <v>747</v>
        <stp/>
        <stp>18871685M6:OI</stp>
        <tr r="T427" s="5"/>
      </tp>
      <tp>
        <v>738</v>
        <stp/>
        <stp>18871685M5:OI</stp>
        <tr r="T426" s="5"/>
      </tp>
      <tp>
        <v>853</v>
        <stp/>
        <stp>18871685M4:OI</stp>
        <tr r="T425" s="5"/>
      </tp>
      <tp>
        <v>1066</v>
        <stp/>
        <stp>18871685M3:OI</stp>
        <tr r="T424" s="5"/>
      </tp>
      <tp>
        <v>1011</v>
        <stp/>
        <stp>18871685M2:OI</stp>
        <tr r="T423" s="5"/>
      </tp>
      <tp>
        <v>1268</v>
        <stp/>
        <stp>18871685M1:OI</stp>
        <tr r="T422" s="5"/>
      </tp>
      <tp>
        <v>2015</v>
        <stp/>
        <stp>18871685M0:OI</stp>
        <tr r="T421" s="5"/>
      </tp>
      <tp>
        <v>0</v>
        <stp/>
        <stp>15141311T7:OI</stp>
        <tr r="T1535" s="5"/>
      </tp>
      <tp>
        <v>0</v>
        <stp/>
        <stp>15141311T6:OI</stp>
        <tr r="T1534" s="5"/>
      </tp>
      <tp>
        <v>0</v>
        <stp/>
        <stp>15141311T5:OI</stp>
        <tr r="T1533" s="5"/>
      </tp>
      <tp>
        <v>0</v>
        <stp/>
        <stp>15141311T4:OI</stp>
        <tr r="T1532" s="5"/>
      </tp>
      <tp>
        <v>0</v>
        <stp/>
        <stp>15141311T3:OI</stp>
        <tr r="T1531" s="5"/>
      </tp>
      <tp>
        <v>0</v>
        <stp/>
        <stp>15141311T2:OI</stp>
        <tr r="T1530" s="5"/>
      </tp>
      <tp>
        <v>0</v>
        <stp/>
        <stp>15141311T1:OI</stp>
        <tr r="T1529" s="5"/>
      </tp>
      <tp>
        <v>0</v>
        <stp/>
        <stp>15141311T0:OI</stp>
        <tr r="T1528" s="5"/>
      </tp>
      <tp>
        <v>0</v>
        <stp/>
        <stp>15141311T8:OI</stp>
        <tr r="T1536" s="5"/>
      </tp>
      <tp>
        <v>0</v>
        <stp/>
        <stp>18851683Y2:OI</stp>
        <tr r="T229" s="5"/>
      </tp>
      <tp>
        <v>0</v>
        <stp/>
        <stp>18851683Y1:OI</stp>
        <tr r="T228" s="5"/>
      </tp>
      <tp>
        <v>0</v>
        <stp/>
        <stp>18851683Y0:OI</stp>
        <tr r="T227" s="5"/>
      </tp>
      <tp>
        <v>0</v>
        <stp/>
        <stp>18851683Q8:OI</stp>
        <tr r="T226" s="5"/>
      </tp>
      <tp>
        <v>0</v>
        <stp/>
        <stp>18851683Q7:OI</stp>
        <tr r="T225" s="5"/>
      </tp>
      <tp>
        <v>0</v>
        <stp/>
        <stp>18851683Q6:OI</stp>
        <tr r="T224" s="5"/>
      </tp>
      <tp>
        <v>0</v>
        <stp/>
        <stp>18851683Q5:OI</stp>
        <tr r="T223" s="5"/>
      </tp>
      <tp>
        <v>0</v>
        <stp/>
        <stp>18851683Q4:OI</stp>
        <tr r="T222" s="5"/>
      </tp>
      <tp>
        <v>0</v>
        <stp/>
        <stp>18851683Q3:OI</stp>
        <tr r="T221" s="5"/>
      </tp>
      <tp>
        <v>0</v>
        <stp/>
        <stp>18851683Q2:OI</stp>
        <tr r="T220" s="5"/>
      </tp>
      <tp>
        <v>0</v>
        <stp/>
        <stp>18851683Q1:OI</stp>
        <tr r="T219" s="5"/>
      </tp>
      <tp>
        <v>0</v>
        <stp/>
        <stp>18851683Q0:OI</stp>
        <tr r="T218" s="5"/>
      </tp>
      <tp>
        <v>154</v>
        <stp/>
        <stp>18851683M9:OI</stp>
        <tr r="T202" s="5"/>
      </tp>
      <tp>
        <v>139</v>
        <stp/>
        <stp>18851683M8:OI</stp>
        <tr r="T201" s="5"/>
      </tp>
      <tp>
        <v>139</v>
        <stp/>
        <stp>18851683M7:OI</stp>
        <tr r="T200" s="5"/>
      </tp>
      <tp>
        <v>341</v>
        <stp/>
        <stp>18851683M6:OI</stp>
        <tr r="T199" s="5"/>
      </tp>
      <tp>
        <v>328</v>
        <stp/>
        <stp>18851683M5:OI</stp>
        <tr r="T198" s="5"/>
      </tp>
      <tp>
        <v>330</v>
        <stp/>
        <stp>18851683M4:OI</stp>
        <tr r="T197" s="5"/>
      </tp>
      <tp>
        <v>339</v>
        <stp/>
        <stp>18851683M3:OI</stp>
        <tr r="T196" s="5"/>
      </tp>
      <tp>
        <v>389</v>
        <stp/>
        <stp>18851683M2:OI</stp>
        <tr r="T195" s="5"/>
      </tp>
      <tp>
        <v>522</v>
        <stp/>
        <stp>18851683M1:OI</stp>
        <tr r="T194" s="5"/>
      </tp>
      <tp>
        <v>703</v>
        <stp/>
        <stp>18851683M0:OI</stp>
        <tr r="T193" s="5"/>
      </tp>
    </main>
    <main first="bofaddin.rtdserver">
      <tp t="s">
        <v>#N/A Requesting Data...3630197330</v>
        <stp/>
        <stp>BDP|17167554664488141528</stp>
        <tr r="AM192" s="23"/>
      </tp>
      <tp t="s">
        <v>#N/A Requesting Data...3061920748</v>
        <stp/>
        <stp>BDP|15298903267620270344</stp>
        <tr r="I11" s="23"/>
      </tp>
      <tp t="s">
        <v>#N/A Requesting Data...3347089696</v>
        <stp/>
        <stp>BDP|14324320040282755818</stp>
        <tr r="AZ16" s="1"/>
      </tp>
      <tp t="s">
        <v>#N/A Requesting Data...2837919339</v>
        <stp/>
        <stp>BDP|12099586099180097778</stp>
        <tr r="AM188" s="23"/>
      </tp>
    </main>
    <main first="ice.rtd">
      <tp>
        <v>13731</v>
        <stp/>
        <stp>1986823075M2:OI</stp>
        <tr r="T119" s="5"/>
      </tp>
      <tp>
        <v>14887</v>
        <stp/>
        <stp>1986823075M3:OI</stp>
        <tr r="T120" s="5"/>
      </tp>
      <tp>
        <v>38576</v>
        <stp/>
        <stp>1986823075M0:OI</stp>
        <tr r="T117" s="5"/>
      </tp>
      <tp>
        <v>15670</v>
        <stp/>
        <stp>1986823075M1:OI</stp>
        <tr r="T118" s="5"/>
      </tp>
      <tp>
        <v>3997</v>
        <stp/>
        <stp>1986823075M6:OI</stp>
        <tr r="T123" s="5"/>
      </tp>
      <tp>
        <v>2681</v>
        <stp/>
        <stp>1986823075M7:OI</stp>
        <tr r="T124" s="5"/>
      </tp>
      <tp>
        <v>6739</v>
        <stp/>
        <stp>1986823075M4:OI</stp>
        <tr r="T121" s="5"/>
      </tp>
      <tp>
        <v>4495</v>
        <stp/>
        <stp>1986823075M5:OI</stp>
        <tr r="T122" s="5"/>
      </tp>
      <tp>
        <v>2283</v>
        <stp/>
        <stp>1986823075M8:OI</stp>
        <tr r="T125" s="5"/>
      </tp>
      <tp>
        <v>2463</v>
        <stp/>
        <stp>1986823075M9:OI</stp>
        <tr r="T126" s="5"/>
      </tp>
      <tp>
        <v>0</v>
        <stp/>
        <stp>1986823075Y2:OI</stp>
        <tr r="T153" s="5"/>
      </tp>
      <tp>
        <v>0</v>
        <stp/>
        <stp>1986823075Y0:OI</stp>
        <tr r="T151" s="5"/>
      </tp>
      <tp>
        <v>0</v>
        <stp/>
        <stp>1986823075Y1:OI</stp>
        <tr r="T152" s="5"/>
      </tp>
      <tp>
        <v>0</v>
        <stp/>
        <stp>1986823075Q2:OI</stp>
        <tr r="T144" s="5"/>
      </tp>
      <tp>
        <v>0</v>
        <stp/>
        <stp>1986823075Q3:OI</stp>
        <tr r="T145" s="5"/>
      </tp>
      <tp>
        <v>0</v>
        <stp/>
        <stp>1986823075Q0:OI</stp>
        <tr r="T142" s="5"/>
      </tp>
      <tp>
        <v>0</v>
        <stp/>
        <stp>1986823075Q1:OI</stp>
        <tr r="T143" s="5"/>
      </tp>
      <tp>
        <v>0</v>
        <stp/>
        <stp>1986823075Q6:OI</stp>
        <tr r="T148" s="5"/>
      </tp>
      <tp>
        <v>0</v>
        <stp/>
        <stp>1986823075Q7:OI</stp>
        <tr r="T149" s="5"/>
      </tp>
      <tp>
        <v>0</v>
        <stp/>
        <stp>1986823075Q4:OI</stp>
        <tr r="T146" s="5"/>
      </tp>
      <tp>
        <v>0</v>
        <stp/>
        <stp>1986823075Q5:OI</stp>
        <tr r="T147" s="5"/>
      </tp>
      <tp>
        <v>0</v>
        <stp/>
        <stp>1986823075Q8:OI</stp>
        <tr r="T150" s="5"/>
      </tp>
    </main>
    <main first="bofaddin.rtdserver">
      <tp t="s">
        <v>#N/A N/A</v>
        <stp/>
        <stp>BDH|10679504057578506153</stp>
        <tr r="L15" s="25"/>
      </tp>
      <tp t="s">
        <v>#N/A N/A</v>
        <stp/>
        <stp>BDH|18285066381821336868</stp>
        <tr r="AV59" s="1"/>
      </tp>
      <tp t="s">
        <v>#N/A N/A</v>
        <stp/>
        <stp>BDH|16367277490205567120</stp>
        <tr r="J38" s="16"/>
      </tp>
      <tp t="s">
        <v>#N/A N/A</v>
        <stp/>
        <stp>BDH|10974769637699329494</stp>
        <tr r="BB29" s="1"/>
      </tp>
    </main>
    <main first="ice.rtd">
      <tp>
        <v>0</v>
        <stp/>
        <stp>2182524598B0:OI</stp>
        <tr r="T1376" s="5"/>
      </tp>
    </main>
    <main first="bofaddin.rtdserver">
      <tp t="s">
        <v>#N/A N/A</v>
        <stp/>
        <stp>BDH|16423956983479343752</stp>
        <tr r="AY60" s="1"/>
      </tp>
      <tp t="s">
        <v>#N/A N/A</v>
        <stp/>
        <stp>BDH|15843185797155156104</stp>
        <tr r="K36" s="16"/>
      </tp>
      <tp t="s">
        <v>#N/A N/A</v>
        <stp/>
        <stp>BDH|14734909051286883780</stp>
        <tr r="J15" s="14"/>
      </tp>
      <tp t="s">
        <v>#N/A N/A</v>
        <stp/>
        <stp>BDH|10486801233554629685</stp>
        <tr r="G55" s="16"/>
      </tp>
      <tp t="s">
        <v>#N/A N/A</v>
        <stp/>
        <stp>BDH|11010808415313881249</stp>
        <tr r="H62" s="16"/>
      </tp>
      <tp t="s">
        <v>#N/A N/A</v>
        <stp/>
        <stp>BDH|12513801859567687111</stp>
        <tr r="N32" s="16"/>
      </tp>
      <tp t="s">
        <v>#N/A N/A</v>
        <stp/>
        <stp>BDH|15869084818578679553</stp>
        <tr r="H57" s="16"/>
      </tp>
      <tp t="s">
        <v>#N/A N/A</v>
        <stp/>
        <stp>BDH|13593755329267788855</stp>
        <tr r="K94" s="16"/>
      </tp>
      <tp t="s">
        <v>#N/A N/A</v>
        <stp/>
        <stp>BDH|12947930388353102997</stp>
        <tr r="H31" s="16"/>
      </tp>
      <tp t="s">
        <v>#N/A N/A</v>
        <stp/>
        <stp>BDH|10426811419512602278</stp>
        <tr r="I63" s="16"/>
      </tp>
      <tp t="s">
        <v>#N/A N/A</v>
        <stp/>
        <stp>BDH|14105160956341904842</stp>
        <tr r="J47" s="14"/>
      </tp>
      <tp t="s">
        <v>#N/A N/A</v>
        <stp/>
        <stp>BDH|13224194745679205606</stp>
        <tr r="BB58" s="1"/>
      </tp>
      <tp t="s">
        <v>#N/A N/A</v>
        <stp/>
        <stp>BDH|13636181334178752025</stp>
        <tr r="BA37" s="1"/>
        <tr r="BA37" s="1"/>
      </tp>
      <tp t="s">
        <v>#N/A N/A</v>
        <stp/>
        <stp>BDH|17624935099747785953</stp>
        <tr r="L83" s="16"/>
      </tp>
      <tp t="s">
        <v>#N/A</v>
        <stp/>
        <stp>BDP|398222727568265662|222</stp>
        <stp>OQAM8N8 Comdty</stp>
        <stp>BID</stp>
        <stp>Fill=#N/A</stp>
        <tr r="T41" s="1"/>
      </tp>
      <tp t="s">
        <v>#N/A N/A</v>
        <stp/>
        <stp>BDH|14210503587987993720</stp>
        <tr r="AV62" s="1"/>
      </tp>
      <tp t="s">
        <v>#N/A N/A</v>
        <stp/>
        <stp>BDH|15441919854300838078</stp>
        <tr r="AV23" s="1"/>
      </tp>
    </main>
    <main first="esrtd">
      <tp t="s">
        <v/>
        <stp/>
        <stp>CFS BM0-IEU</stp>
        <stp>ICE Theoretical Price</stp>
        <tr r="W1682" s="5"/>
      </tp>
      <tp t="s">
        <v/>
        <stp/>
        <stp>MLT M27-IEU</stp>
        <stp>ICE Theoretical Price</stp>
        <tr r="W1556" s="5"/>
      </tp>
      <tp t="s">
        <v/>
        <stp/>
        <stp>ULT U27-IEU</stp>
        <stp>ICE Theoretical Price</stp>
        <tr r="W682" s="5"/>
      </tp>
      <tp t="s">
        <v/>
        <stp/>
        <stp>MFT M27-IEU</stp>
        <stp>ICE Theoretical Price</stp>
        <tr r="W1158" s="5"/>
      </tp>
      <tp t="s">
        <v/>
        <stp/>
        <stp>MLT N27-IEU</stp>
        <stp>ICE Theoretical Price</stp>
        <tr r="W1557" s="5"/>
      </tp>
      <tp t="s">
        <v/>
        <stp/>
        <stp>ULT V27-IEU</stp>
        <stp>ICE Theoretical Price</stp>
        <tr r="W683" s="5"/>
      </tp>
      <tp t="s">
        <v/>
        <stp/>
        <stp>MFT N27-IEU</stp>
        <stp>ICE Theoretical Price</stp>
        <tr r="W1159" s="5"/>
      </tp>
      <tp t="s">
        <v/>
        <stp/>
        <stp>MLT H27-IEU</stp>
        <stp>ICE Theoretical Price</stp>
        <tr r="W1553" s="5"/>
      </tp>
      <tp t="s">
        <v/>
        <stp/>
        <stp>MFT H27-IEU</stp>
        <stp>ICE Theoretical Price</stp>
        <tr r="W1155" s="5"/>
      </tp>
      <tp t="s">
        <v/>
        <stp/>
        <stp>ULT Q27-IEU</stp>
        <stp>ICE Theoretical Price</stp>
        <tr r="W681" s="5"/>
      </tp>
      <tp t="s">
        <v/>
        <stp/>
        <stp>MLT J27-IEU</stp>
        <stp>ICE Theoretical Price</stp>
        <tr r="W1554" s="5"/>
      </tp>
      <tp t="s">
        <v/>
        <stp/>
        <stp>MFT J27-IEU</stp>
        <stp>ICE Theoretical Price</stp>
        <tr r="W1156" s="5"/>
      </tp>
      <tp t="s">
        <v/>
        <stp/>
        <stp>MLT K27-IEU</stp>
        <stp>ICE Theoretical Price</stp>
        <tr r="W1555" s="5"/>
      </tp>
      <tp t="s">
        <v/>
        <stp/>
        <stp>MFT K27-IEU</stp>
        <stp>ICE Theoretical Price</stp>
        <tr r="W1157" s="5"/>
      </tp>
      <tp t="s">
        <v/>
        <stp/>
        <stp>MLT F27-IEU</stp>
        <stp>ICE Theoretical Price</stp>
        <tr r="W1551" s="5"/>
      </tp>
      <tp t="s">
        <v/>
        <stp/>
        <stp>MFT F27-IEU</stp>
        <stp>ICE Theoretical Price</stp>
        <tr r="W1153" s="5"/>
      </tp>
      <tp t="s">
        <v/>
        <stp/>
        <stp>MLT G27-IEU</stp>
        <stp>ICE Theoretical Price</stp>
        <tr r="W1552" s="5"/>
      </tp>
      <tp t="s">
        <v/>
        <stp/>
        <stp>MFT G27-IEU</stp>
        <stp>ICE Theoretical Price</stp>
        <tr r="W1154" s="5"/>
      </tp>
      <tp t="s">
        <v/>
        <stp/>
        <stp>ULT X27-IEU</stp>
        <stp>ICE Theoretical Price</stp>
        <tr r="W684" s="5"/>
      </tp>
      <tp t="s">
        <v/>
        <stp/>
        <stp>ULT Z27-IEU</stp>
        <stp>ICE Theoretical Price</stp>
        <tr r="W685" s="5"/>
      </tp>
      <tp t="s">
        <v/>
        <stp/>
        <stp>ULT F27-IEU</stp>
        <stp>ICE Theoretical Price</stp>
        <tr r="W674" s="5"/>
      </tp>
      <tp t="s">
        <v/>
        <stp/>
        <stp>ULT G27-IEU</stp>
        <stp>ICE Theoretical Price</stp>
        <tr r="W675" s="5"/>
      </tp>
      <tp t="s">
        <v/>
        <stp/>
        <stp>MLT X27-IEU</stp>
        <stp>ICE Theoretical Price</stp>
        <tr r="W1561" s="5"/>
      </tp>
      <tp t="s">
        <v/>
        <stp/>
        <stp>MFT X27-IEU</stp>
        <stp>ICE Theoretical Price</stp>
        <tr r="W1163" s="5"/>
      </tp>
      <tp t="s">
        <v/>
        <stp/>
        <stp>MLT Z27-IEU</stp>
        <stp>ICE Theoretical Price</stp>
        <tr r="W1562" s="5"/>
      </tp>
      <tp t="s">
        <v/>
        <stp/>
        <stp>MFT Z27-IEU</stp>
        <stp>ICE Theoretical Price</stp>
        <tr r="W1164" s="5"/>
      </tp>
      <tp t="s">
        <v/>
        <stp/>
        <stp>MLT U27-IEU</stp>
        <stp>ICE Theoretical Price</stp>
        <tr r="W1559" s="5"/>
      </tp>
      <tp t="s">
        <v/>
        <stp/>
        <stp>ULT M27-IEU</stp>
        <stp>ICE Theoretical Price</stp>
        <tr r="W679" s="5"/>
      </tp>
      <tp t="s">
        <v/>
        <stp/>
        <stp>MFT U27-IEU</stp>
        <stp>ICE Theoretical Price</stp>
        <tr r="W1161" s="5"/>
      </tp>
      <tp t="s">
        <v/>
        <stp/>
        <stp>MLT V27-IEU</stp>
        <stp>ICE Theoretical Price</stp>
        <tr r="W1560" s="5"/>
      </tp>
      <tp t="s">
        <v/>
        <stp/>
        <stp>ULT N27-IEU</stp>
        <stp>ICE Theoretical Price</stp>
        <tr r="W680" s="5"/>
      </tp>
      <tp t="s">
        <v/>
        <stp/>
        <stp>MFT V27-IEU</stp>
        <stp>ICE Theoretical Price</stp>
        <tr r="W1162" s="5"/>
      </tp>
      <tp t="s">
        <v/>
        <stp/>
        <stp>ULT H27-IEU</stp>
        <stp>ICE Theoretical Price</stp>
        <tr r="W676" s="5"/>
      </tp>
      <tp t="s">
        <v/>
        <stp/>
        <stp>MLT Q27-IEU</stp>
        <stp>ICE Theoretical Price</stp>
        <tr r="W1558" s="5"/>
      </tp>
      <tp t="s">
        <v/>
        <stp/>
        <stp>MFT Q27-IEU</stp>
        <stp>ICE Theoretical Price</stp>
        <tr r="W1160" s="5"/>
      </tp>
      <tp t="s">
        <v/>
        <stp/>
        <stp>ULT J27-IEU</stp>
        <stp>ICE Theoretical Price</stp>
        <tr r="W677" s="5"/>
      </tp>
      <tp t="s">
        <v/>
        <stp/>
        <stp>ULT K27-IEU</stp>
        <stp>ICE Theoretical Price</stp>
        <tr r="W678" s="5"/>
      </tp>
    </main>
    <main first="bofaddin.rtdserver">
      <tp>
        <v>297</v>
        <stp/>
        <stp>BDP|6113504282810127403|22</stp>
        <stp>QSZ6QSZ7 Comdty</stp>
        <stp>BID</stp>
        <tr r="D2" s="3"/>
      </tp>
      <tp>
        <v>13.25</v>
        <stp/>
        <stp>BDP|16094982976977760639|222</stp>
        <stp>QSQ7QSU7 Comdty</stp>
        <stp>BID</stp>
        <stp>Fill=#N/A</stp>
        <tr r="P31" s="1"/>
      </tp>
    </main>
    <main first="ice.rtd">
      <tp t="s">
        <v/>
        <stp/>
        <stp>34404098M14:LstBlkTime</stp>
        <tr r="M608" s="5"/>
      </tp>
      <tp t="s">
        <v/>
        <stp/>
        <stp>34414099M14:LstBlkTime</stp>
        <tr r="M93" s="5"/>
      </tp>
      <tp t="s">
        <v/>
        <stp/>
        <stp>34404098M15:LstBlkTime</stp>
        <tr r="M609" s="5"/>
      </tp>
      <tp t="s">
        <v/>
        <stp/>
        <stp>34414099M15:LstBlkTime</stp>
        <tr r="M94" s="5"/>
      </tp>
      <tp t="s">
        <v/>
        <stp/>
        <stp>34404098M16:LstBlkTime</stp>
        <tr r="M610" s="5"/>
      </tp>
      <tp t="s">
        <v/>
        <stp/>
        <stp>34414099M16:LstBlkTime</stp>
        <tr r="M95" s="5"/>
      </tp>
      <tp t="s">
        <v/>
        <stp/>
        <stp>34404098M17:LstBlkTime</stp>
        <tr r="M611" s="5"/>
      </tp>
      <tp t="s">
        <v/>
        <stp/>
        <stp>34414099M17:LstBlkTime</stp>
        <tr r="M96" s="5"/>
      </tp>
      <tp t="s">
        <v/>
        <stp/>
        <stp>34404098M10:LstBlkTime</stp>
        <tr r="M604" s="5"/>
      </tp>
      <tp t="s">
        <v/>
        <stp/>
        <stp>34414099M10:LstBlkTime</stp>
        <tr r="M89" s="5"/>
      </tp>
      <tp t="s">
        <v/>
        <stp/>
        <stp>34404098M11:LstBlkTime</stp>
        <tr r="M605" s="5"/>
      </tp>
      <tp t="s">
        <v/>
        <stp/>
        <stp>34414099M11:LstBlkTime</stp>
        <tr r="M90" s="5"/>
      </tp>
      <tp t="s">
        <v/>
        <stp/>
        <stp>34404098M12:LstBlkTime</stp>
        <tr r="M606" s="5"/>
      </tp>
      <tp t="s">
        <v/>
        <stp/>
        <stp>34414099M12:LstBlkTime</stp>
        <tr r="M91" s="5"/>
      </tp>
      <tp t="s">
        <v/>
        <stp/>
        <stp>34404098M13:LstBlkTime</stp>
        <tr r="M607" s="5"/>
      </tp>
      <tp t="s">
        <v/>
        <stp/>
        <stp>34414099M13:LstBlkTime</stp>
        <tr r="M92" s="5"/>
      </tp>
      <tp t="s">
        <v/>
        <stp/>
        <stp>34404098M18:LstBlkTime</stp>
        <tr r="M612" s="5"/>
      </tp>
      <tp t="s">
        <v/>
        <stp/>
        <stp>34414099M18:LstBlkTime</stp>
        <tr r="M97" s="5"/>
      </tp>
      <tp t="s">
        <v/>
        <stp/>
        <stp>34404098M19:LstBlkTime</stp>
        <tr r="M613" s="5"/>
      </tp>
      <tp t="s">
        <v/>
        <stp/>
        <stp>34414099M19:LstBlkTime</stp>
        <tr r="M98" s="5"/>
      </tp>
      <tp t="s">
        <v/>
        <stp/>
        <stp>34404098M24:LstBlkTime</stp>
        <tr r="M618" s="5"/>
      </tp>
      <tp t="s">
        <v/>
        <stp/>
        <stp>34414099M24:LstBlkTime</stp>
        <tr r="M103" s="5"/>
      </tp>
      <tp t="s">
        <v/>
        <stp/>
        <stp>34404098M20:LstBlkTime</stp>
        <tr r="M614" s="5"/>
      </tp>
      <tp t="s">
        <v/>
        <stp/>
        <stp>34414099M20:LstBlkTime</stp>
        <tr r="M99" s="5"/>
      </tp>
      <tp t="s">
        <v/>
        <stp/>
        <stp>34404098M21:LstBlkTime</stp>
        <tr r="M615" s="5"/>
      </tp>
      <tp t="s">
        <v/>
        <stp/>
        <stp>34414099M21:LstBlkTime</stp>
        <tr r="M100" s="5"/>
      </tp>
      <tp t="s">
        <v/>
        <stp/>
        <stp>34404098M22:LstBlkTime</stp>
        <tr r="M616" s="5"/>
      </tp>
      <tp t="s">
        <v/>
        <stp/>
        <stp>34414099M22:LstBlkTime</stp>
        <tr r="M101" s="5"/>
      </tp>
      <tp t="s">
        <v/>
        <stp/>
        <stp>34404098M23:LstBlkTime</stp>
        <tr r="M617" s="5"/>
      </tp>
      <tp t="s">
        <v/>
        <stp/>
        <stp>34414099M23:LstBlkTime</stp>
        <tr r="M102" s="5"/>
      </tp>
    </main>
    <main first="bofaddin.rtdserver">
      <tp>
        <v>6.1</v>
        <stp/>
        <stp>BDP|13471747740488420273|222</stp>
        <stp>HOM7HON7 Comdty</stp>
        <stp>ASK</stp>
        <stp>Fill=#N/A</stp>
        <tr r="Q29" s="1"/>
      </tp>
      <tp>
        <v>6.5</v>
        <stp/>
        <stp>BDP|15534963860427710431|222</stp>
        <stp>QSX9QSZ9 Comdty</stp>
        <stp>ASK</stp>
        <stp>Fill=#N/A</stp>
        <tr r="P58" s="1"/>
      </tp>
      <tp>
        <v>0.41</v>
        <stp/>
        <stp>BDP|14779665309143941393|222</stp>
        <stp>COX7COZ7 Comdty</stp>
        <stp>ASK</stp>
        <stp>Fill=#N/A</stp>
        <tr r="O34" s="1"/>
      </tp>
      <tp>
        <v>17.28</v>
        <stp/>
        <stp>BDP|16603373429432029662|222</stp>
        <stp>HOV6HOX6 Comdty</stp>
        <stp>BID</stp>
        <stp>Fill=#N/A</stp>
        <tr r="Q21" s="1"/>
      </tp>
      <tp>
        <v>0.99</v>
        <stp/>
        <stp>BDP|15474262372746601602|222</stp>
        <stp>COK7COM7 Comdty</stp>
        <stp>ASK</stp>
        <stp>Fill=#N/A</stp>
        <tr r="O28" s="1"/>
      </tp>
      <tp>
        <v>0.76</v>
        <stp/>
        <stp>BDP|11602071296250707746|222</stp>
        <stp>HOU8HOV8 Comdty</stp>
        <stp>ASK</stp>
        <stp>Fill=#N/A</stp>
        <tr r="Q44" s="1"/>
      </tp>
      <tp>
        <v>15</v>
        <stp/>
        <stp>BDP|13743939651316166340|222</stp>
        <stp>QSV7QSX7 Comdty</stp>
        <stp>ASK</stp>
        <stp>Fill=#N/A</stp>
        <tr r="P33" s="1"/>
      </tp>
      <tp t="s">
        <v>#N/A</v>
        <stp/>
        <stp>BDP|16185199657463146371|222</stp>
        <stp>HOK9HOM9 Comdty</stp>
        <stp>ASK</stp>
        <stp>Fill=#N/A</stp>
        <tr r="Q52" s="1"/>
      </tp>
      <tp>
        <v>9.2100000000000009</v>
        <stp/>
        <stp>BDP|14436859396072921548|222</stp>
        <stp>HOK7HOM7 Comdty</stp>
        <stp>ASK</stp>
        <stp>Fill=#N/A</stp>
        <tr r="Q28" s="1"/>
      </tp>
      <tp t="s">
        <v>#N/A</v>
        <stp/>
        <stp>BDP|15554534686637787367|222</stp>
        <stp>HOJ9HOK9 Comdty</stp>
        <stp>BID</stp>
        <stp>Fill=#N/A</stp>
        <tr r="Q51" s="1"/>
      </tp>
      <tp>
        <v>0.21</v>
        <stp/>
        <stp>BDP|15351735664058114076|222</stp>
        <stp>COF9COG9 Comdty</stp>
        <stp>ASK</stp>
        <stp>Fill=#N/A</stp>
        <tr r="O48" s="1"/>
      </tp>
      <tp t="s">
        <v>#N/A Invalid Security</v>
        <stp/>
        <stp>BDP|15907875103627913655|222</stp>
        <stp>HOF0HOG0 Comdty</stp>
        <stp>ASK</stp>
        <stp>Fill=#N/A</stp>
        <tr r="Q60" s="1"/>
      </tp>
      <tp>
        <v>1.95</v>
        <stp/>
        <stp>BDP|4542424535176314229|22</stp>
        <stp>COZ8COZ9 Comdty</stp>
        <stp>ASK</stp>
        <tr r="C4" s="3"/>
      </tp>
      <tp>
        <v>10.5</v>
        <stp/>
        <stp>BDP|13767564652738656449|222</stp>
        <stp>QSG8QSH8 Comdty</stp>
        <stp>ASK</stp>
        <stp>Fill=#N/A</stp>
        <tr r="P37" s="1"/>
      </tp>
      <tp t="s">
        <v>#N/A</v>
        <stp/>
        <stp>BDP|10912628943767638628|222</stp>
        <stp>XBM9XBN9 Comdty</stp>
        <stp>ASK</stp>
        <stp>Fill=#N/A</stp>
        <tr r="R53" s="1"/>
      </tp>
    </main>
    <main first="ice.rtd">
      <tp t="s">
        <v/>
        <stp/>
        <stp>57179020M6:LstBlkPrc</stp>
        <tr r="K1553" s="5"/>
      </tp>
      <tp t="s">
        <v>Invalid Market: 57179020Q6</v>
        <stp/>
        <stp>57179020Q6:LstBlkPrc</stp>
        <tr r="K1578" s="5"/>
      </tp>
      <tp t="s">
        <v/>
        <stp/>
        <stp>16331513M2:LstBlkPrc</stp>
        <tr r="K1417" s="5"/>
      </tp>
      <tp t="s">
        <v/>
        <stp/>
        <stp>16341514M2:LstBlkPrc</stp>
        <tr r="K1455" s="5"/>
      </tp>
      <tp t="s">
        <v/>
        <stp/>
        <stp>16351515M2:LstBlkPrc</stp>
        <tr r="K1493" s="5"/>
      </tp>
      <tp t="s">
        <v/>
        <stp/>
        <stp>16331513Y2:LstBlkPrc</stp>
        <tr r="K1451" s="5"/>
      </tp>
      <tp t="s">
        <v/>
        <stp/>
        <stp>16341514Y2:LstBlkPrc</stp>
        <tr r="K1489" s="5"/>
      </tp>
      <tp t="s">
        <v/>
        <stp/>
        <stp>16351515Y2:LstBlkPrc</stp>
        <tr r="K1527" s="5"/>
      </tp>
      <tp t="s">
        <v/>
        <stp/>
        <stp>16331513Q2:LstBlkPrc</stp>
        <tr r="K1442" s="5"/>
      </tp>
      <tp t="s">
        <v/>
        <stp/>
        <stp>16341514Q2:LstBlkPrc</stp>
        <tr r="K1480" s="5"/>
      </tp>
      <tp t="s">
        <v/>
        <stp/>
        <stp>16351515Q2:LstBlkPrc</stp>
        <tr r="K1518" s="5"/>
      </tp>
      <tp t="s">
        <v/>
        <stp/>
        <stp>161913535MM7:BstHitPrc</stp>
        <tr r="G2034" s="5"/>
      </tp>
      <tp t="s">
        <v/>
        <stp/>
        <stp>15091310M7:LstBlkPrc</stp>
        <tr r="K1384" s="5"/>
      </tp>
      <tp t="s">
        <v/>
        <stp/>
        <stp>15091310Q7:LstBlkPrc</stp>
        <tr r="K1409" s="5"/>
      </tp>
      <tp t="s">
        <v/>
        <stp/>
        <stp>30813691M7:LstBlkPrc</stp>
        <tr r="K1960" s="5"/>
      </tp>
      <tp t="s">
        <v/>
        <stp/>
        <stp>35534143M5:LstBlkPrc</stp>
        <tr r="K713" s="5"/>
      </tp>
      <tp t="s">
        <v/>
        <stp/>
        <stp>35544144M5:LstBlkPrc</stp>
        <tr r="K637" s="5"/>
      </tp>
      <tp t="s">
        <v/>
        <stp/>
        <stp>35554145M5:LstBlkPrc</stp>
        <tr r="K675" s="5"/>
      </tp>
      <tp t="s">
        <v/>
        <stp/>
        <stp>35534143Q5:LstBlkPrc</stp>
        <tr r="K738" s="5"/>
      </tp>
      <tp t="s">
        <v/>
        <stp/>
        <stp>35544144Q5:LstBlkPrc</stp>
        <tr r="K662" s="5"/>
      </tp>
      <tp t="s">
        <v/>
        <stp/>
        <stp>35554145Q5:LstBlkPrc</stp>
        <tr r="K700" s="5"/>
      </tp>
      <tp t="s">
        <v/>
        <stp/>
        <stp>30813691Q7:LstBlkPrc</stp>
        <tr r="K1985" s="5"/>
      </tp>
      <tp t="s">
        <v/>
        <stp/>
        <stp>34344092Q5:BstHitPrc</stp>
        <tr r="G1293" s="5"/>
      </tp>
      <tp>
        <v>43.5</v>
        <stp/>
        <stp>34354093Q5:BstHitPrc</stp>
        <tr r="G1331" s="5"/>
      </tp>
      <tp t="s">
        <v/>
        <stp/>
        <stp>34344092M5:BstHitPrc</stp>
        <tr r="G1268" s="5"/>
      </tp>
      <tp t="s">
        <v/>
        <stp/>
        <stp>34354093M5:BstHitPrc</stp>
        <tr r="G1306" s="5"/>
      </tp>
      <tp t="s">
        <v/>
        <stp/>
        <stp>34364094Q5:BstHitPrc</stp>
        <tr r="G548" s="5"/>
      </tp>
      <tp t="s">
        <v/>
        <stp/>
        <stp>34374095Q5:BstHitPrc</stp>
        <tr r="G586" s="5"/>
      </tp>
      <tp t="s">
        <v/>
        <stp/>
        <stp>34364094M5:BstHitPrc</stp>
        <tr r="G523" s="5"/>
      </tp>
      <tp t="s">
        <v/>
        <stp/>
        <stp>34374095M5:BstHitPrc</stp>
        <tr r="G561" s="5"/>
      </tp>
      <tp t="s">
        <v/>
        <stp/>
        <stp>15141311T7:LstBlkPrc</stp>
        <tr r="K1535" s="5"/>
      </tp>
      <tp>
        <v>-5.5</v>
        <stp/>
        <stp>57409036M6:LstBlkPrc</stp>
        <tr r="K237" s="5"/>
      </tp>
      <tp t="s">
        <v/>
        <stp/>
        <stp>57409036Q6:LstBlkPrc</stp>
        <tr r="K262" s="5"/>
      </tp>
      <tp t="s">
        <v/>
        <stp/>
        <stp>34404098Q5:BstHitPrc</stp>
        <tr r="G624" s="5"/>
      </tp>
      <tp t="s">
        <v/>
        <stp/>
        <stp>34414099Q5:BstHitPrc</stp>
        <tr r="G109" s="5"/>
      </tp>
      <tp t="s">
        <v/>
        <stp/>
        <stp>34404098M5:BstHitPrc</stp>
        <tr r="G599" s="5"/>
      </tp>
      <tp t="s">
        <v/>
        <stp/>
        <stp>34414099M5:BstHitPrc</stp>
        <tr r="G84" s="5"/>
      </tp>
      <tp t="s">
        <v/>
        <stp/>
        <stp>1840020882M5:LstBlkPrc</stp>
        <tr r="K1587" s="5"/>
      </tp>
      <tp t="s">
        <v>Oct26/Feb27</v>
        <stp/>
        <stp>DBI1227MM11:Strip</stp>
        <tr r="E1662" s="5"/>
      </tp>
      <tp t="s">
        <v>Nov26/Oct27</v>
        <stp/>
        <stp>DBI1227MM21:Strip</stp>
        <tr r="E1672" s="5"/>
      </tp>
      <tp t="s">
        <v/>
        <stp/>
        <stp>17551596T3:BstHitPrc</stp>
        <tr r="G1540" s="5"/>
      </tp>
      <tp t="s">
        <v/>
        <stp/>
        <stp>3124331018M9:BstHitPrc</stp>
        <tr r="G1614" s="5"/>
      </tp>
      <tp t="s">
        <v/>
        <stp/>
        <stp>2427126288Q8:LstBlkPrc</stp>
        <tr r="K1068" s="5"/>
      </tp>
      <tp t="s">
        <v/>
        <stp/>
        <stp>2427126288M8:LstBlkPrc</stp>
        <tr r="K1043" s="5"/>
      </tp>
      <tp t="s">
        <v/>
        <stp/>
        <stp>41767893Q8:BstHitPrc</stp>
        <tr r="G513" s="5"/>
      </tp>
      <tp t="s">
        <v/>
        <stp/>
        <stp>41767893M8:BstHitPrc</stp>
        <tr r="G488" s="5"/>
      </tp>
      <tp t="s">
        <v/>
        <stp/>
        <stp>41787896Q8:BstHitPrc</stp>
        <tr r="G840" s="5"/>
      </tp>
      <tp t="s">
        <v/>
        <stp/>
        <stp>41787896M8:BstHitPrc</stp>
        <tr r="G815" s="5"/>
      </tp>
      <tp t="s">
        <v/>
        <stp/>
        <stp>46678127M6:LstBlkPrc</stp>
        <tr r="K351" s="5"/>
      </tp>
      <tp t="s">
        <v/>
        <stp/>
        <stp>46678127Q6:LstBlkPrc</stp>
        <tr r="K376" s="5"/>
      </tp>
      <tp t="s">
        <v/>
        <stp/>
        <stp>30793693Q7:BstHitPrc</stp>
        <tr r="G915" s="5"/>
      </tp>
      <tp t="s">
        <v/>
        <stp/>
        <stp>30793693M7:BstHitPrc</stp>
        <tr r="G890" s="5"/>
      </tp>
      <tp t="s">
        <v/>
        <stp/>
        <stp>2427026287Q8:LstBlkPrc</stp>
        <tr r="K1182" s="5"/>
      </tp>
      <tp t="s">
        <v/>
        <stp/>
        <stp>2427026287M8:LstBlkPrc</stp>
        <tr r="K1157" s="5"/>
      </tp>
      <tp t="s">
        <v/>
        <stp/>
        <stp>161913535MM7:LstBlkPrc</stp>
        <tr r="K2034" s="5"/>
      </tp>
      <tp t="s">
        <v/>
        <stp/>
        <stp>30813691Q7:BstHitPrc</stp>
        <tr r="G1985" s="5"/>
      </tp>
      <tp t="s">
        <v/>
        <stp/>
        <stp>35534143Q5:BstHitPrc</stp>
        <tr r="G738" s="5"/>
      </tp>
      <tp t="s">
        <v/>
        <stp/>
        <stp>35544144Q5:BstHitPrc</stp>
        <tr r="G662" s="5"/>
      </tp>
      <tp t="s">
        <v/>
        <stp/>
        <stp>35554145Q5:BstHitPrc</stp>
        <tr r="G700" s="5"/>
      </tp>
      <tp t="s">
        <v/>
        <stp/>
        <stp>35534143M5:BstHitPrc</stp>
        <tr r="G713" s="5"/>
      </tp>
      <tp t="s">
        <v/>
        <stp/>
        <stp>35544144M5:BstHitPrc</stp>
        <tr r="G637" s="5"/>
      </tp>
      <tp t="s">
        <v/>
        <stp/>
        <stp>35554145M5:BstHitPrc</stp>
        <tr r="G675" s="5"/>
      </tp>
      <tp t="s">
        <v/>
        <stp/>
        <stp>30813691M7:BstHitPrc</stp>
        <tr r="G1960" s="5"/>
      </tp>
      <tp t="s">
        <v/>
        <stp/>
        <stp>15091310Q7:BstHitPrc</stp>
        <tr r="G1409" s="5"/>
      </tp>
      <tp t="s">
        <v/>
        <stp/>
        <stp>15091310M7:BstHitPrc</stp>
        <tr r="G1384" s="5"/>
      </tp>
      <tp t="s">
        <v/>
        <stp/>
        <stp>15141311T7:BstHitPrc</stp>
        <tr r="G1535" s="5"/>
      </tp>
      <tp t="s">
        <v/>
        <stp/>
        <stp>34344092M5:LstBlkPrc</stp>
        <tr r="K1268" s="5"/>
      </tp>
      <tp t="s">
        <v/>
        <stp/>
        <stp>34354093M5:LstBlkPrc</stp>
        <tr r="K1306" s="5"/>
      </tp>
      <tp t="s">
        <v/>
        <stp/>
        <stp>34344092Q5:LstBlkPrc</stp>
        <tr r="K1293" s="5"/>
      </tp>
      <tp t="s">
        <v/>
        <stp/>
        <stp>34354093Q5:LstBlkPrc</stp>
        <tr r="K1331" s="5"/>
      </tp>
      <tp t="s">
        <v/>
        <stp/>
        <stp>34364094M5:LstBlkPrc</stp>
        <tr r="K523" s="5"/>
      </tp>
      <tp t="s">
        <v/>
        <stp/>
        <stp>34374095M5:LstBlkPrc</stp>
        <tr r="K561" s="5"/>
      </tp>
      <tp t="s">
        <v/>
        <stp/>
        <stp>34364094Q5:LstBlkPrc</stp>
        <tr r="K548" s="5"/>
      </tp>
      <tp t="s">
        <v/>
        <stp/>
        <stp>34374095Q5:LstBlkPrc</stp>
        <tr r="K586" s="5"/>
      </tp>
      <tp t="s">
        <v>Invalid Market: 57179020Q6</v>
        <stp/>
        <stp>57179020Q6:BstHitPrc</stp>
        <tr r="G1578" s="5"/>
      </tp>
      <tp t="s">
        <v/>
        <stp/>
        <stp>57179020M6:BstHitPrc</stp>
        <tr r="G1553" s="5"/>
      </tp>
      <tp t="s">
        <v/>
        <stp/>
        <stp>16331513Q2:BstHitPrc</stp>
        <tr r="G1442" s="5"/>
      </tp>
      <tp t="s">
        <v/>
        <stp/>
        <stp>16341514Q2:BstHitPrc</stp>
        <tr r="G1480" s="5"/>
      </tp>
      <tp t="s">
        <v/>
        <stp/>
        <stp>16351515Q2:BstHitPrc</stp>
        <tr r="G1518" s="5"/>
      </tp>
      <tp t="s">
        <v/>
        <stp/>
        <stp>16331513Y2:BstHitPrc</stp>
        <tr r="G1451" s="5"/>
      </tp>
      <tp t="s">
        <v/>
        <stp/>
        <stp>16341514Y2:BstHitPrc</stp>
        <tr r="G1489" s="5"/>
      </tp>
      <tp t="s">
        <v/>
        <stp/>
        <stp>16351515Y2:BstHitPrc</stp>
        <tr r="G1527" s="5"/>
      </tp>
      <tp t="s">
        <v/>
        <stp/>
        <stp>16331513M2:BstHitPrc</stp>
        <tr r="G1417" s="5"/>
      </tp>
      <tp t="s">
        <v/>
        <stp/>
        <stp>16341514M2:BstHitPrc</stp>
        <tr r="G1455" s="5"/>
      </tp>
      <tp t="s">
        <v/>
        <stp/>
        <stp>16351515M2:BstHitPrc</stp>
        <tr r="G1493" s="5"/>
      </tp>
      <tp t="s">
        <v/>
        <stp/>
        <stp>2427126288M8:BstHitPrc</stp>
        <tr r="G1043" s="5"/>
      </tp>
      <tp t="s">
        <v/>
        <stp/>
        <stp>2427126288Q8:BstHitPrc</stp>
        <tr r="G1068" s="5"/>
      </tp>
      <tp t="s">
        <v/>
        <stp/>
        <stp>3124331018M9:LstBlkPrc</stp>
        <tr r="K1614" s="5"/>
      </tp>
      <tp t="s">
        <v/>
        <stp/>
        <stp>41787896M8:LstBlkPrc</stp>
        <tr r="K815" s="5"/>
      </tp>
      <tp t="s">
        <v/>
        <stp/>
        <stp>41787896Q8:LstBlkPrc</stp>
        <tr r="K840" s="5"/>
      </tp>
      <tp t="s">
        <v/>
        <stp/>
        <stp>30793693M7:LstBlkPrc</stp>
        <tr r="K890" s="5"/>
      </tp>
      <tp t="s">
        <v/>
        <stp/>
        <stp>30793693Q7:LstBlkPrc</stp>
        <tr r="K915" s="5"/>
      </tp>
      <tp t="s">
        <v/>
        <stp/>
        <stp>46678127Q6:BstHitPrc</stp>
        <tr r="G376" s="5"/>
      </tp>
      <tp>
        <v>20.100000000000001</v>
        <stp/>
        <stp>46678127M6:BstHitPrc</stp>
        <tr r="G351" s="5"/>
      </tp>
      <tp t="s">
        <v/>
        <stp/>
        <stp>41767893M8:LstBlkPrc</stp>
        <tr r="K488" s="5"/>
      </tp>
      <tp t="s">
        <v/>
        <stp/>
        <stp>41767893Q8:LstBlkPrc</stp>
        <tr r="K513" s="5"/>
      </tp>
      <tp t="s">
        <v/>
        <stp/>
        <stp>2427026287M8:BstHitPrc</stp>
        <tr r="G1157" s="5"/>
      </tp>
      <tp t="s">
        <v/>
        <stp/>
        <stp>2427026287Q8:BstHitPrc</stp>
        <tr r="G1182" s="5"/>
      </tp>
      <tp t="s">
        <v/>
        <stp/>
        <stp>57409036Q6:BstHitPrc</stp>
        <tr r="G262" s="5"/>
      </tp>
      <tp>
        <v>-9.2899999999999991</v>
        <stp/>
        <stp>57409036M6:BstHitPrc</stp>
        <tr r="G237" s="5"/>
      </tp>
      <tp t="s">
        <v/>
        <stp/>
        <stp>34404098M5:LstBlkPrc</stp>
        <tr r="K599" s="5"/>
      </tp>
      <tp t="s">
        <v/>
        <stp/>
        <stp>34414099M5:LstBlkPrc</stp>
        <tr r="K84" s="5"/>
      </tp>
      <tp t="s">
        <v/>
        <stp/>
        <stp>34404098Q5:LstBlkPrc</stp>
        <tr r="K624" s="5"/>
      </tp>
      <tp t="s">
        <v/>
        <stp/>
        <stp>34414099Q5:LstBlkPrc</stp>
        <tr r="K109" s="5"/>
      </tp>
      <tp t="s">
        <v/>
        <stp/>
        <stp>1840020882M5:BstHitPrc</stp>
        <tr r="G1587" s="5"/>
      </tp>
      <tp t="s">
        <v/>
        <stp/>
        <stp>17551596T3:LstBlkPrc</stp>
        <tr r="K1540" s="5"/>
      </tp>
      <tp t="s">
        <v/>
        <stp/>
        <stp>30793693M1:LstBlkVol</stp>
        <tr r="L884" s="5"/>
      </tp>
      <tp t="s">
        <v/>
        <stp/>
        <stp>30793693Y1:LstBlkVol</stp>
        <tr r="L918" s="5"/>
      </tp>
      <tp t="s">
        <v/>
        <stp/>
        <stp>30793693Q1:LstBlkVol</stp>
        <tr r="L909" s="5"/>
      </tp>
      <tp t="s">
        <v/>
        <stp/>
        <stp>17551596T5:LstBlkVol</stp>
        <tr r="L1542" s="5"/>
      </tp>
      <tp t="s">
        <v/>
        <stp/>
        <stp>2755728678Q8:LstBlkVol</stp>
        <tr r="L1144" s="5"/>
      </tp>
      <tp t="s">
        <v/>
        <stp/>
        <stp>2755728678M8:LstBlkVol</stp>
        <tr r="L1119" s="5"/>
      </tp>
      <tp t="s">
        <v/>
        <stp/>
        <stp>3016030250BM0:BstLiftPrc</stp>
        <tr r="H1682" s="5"/>
      </tp>
      <tp t="s">
        <v/>
        <stp/>
        <stp>34404098M3:LstBlkVol</stp>
        <tr r="L597" s="5"/>
      </tp>
      <tp>
        <v>1</v>
        <stp/>
        <stp>34414099M3:LstBlkVol</stp>
        <tr r="L82" s="5"/>
      </tp>
      <tp t="s">
        <v/>
        <stp/>
        <stp>34404098Q3:LstBlkVol</stp>
        <tr r="L622" s="5"/>
      </tp>
      <tp t="s">
        <v/>
        <stp/>
        <stp>34414099Q3:LstBlkVol</stp>
        <tr r="L107" s="5"/>
      </tp>
      <tp>
        <v>10</v>
        <stp/>
        <stp>34364094M3:LstBlkVol</stp>
        <tr r="L521" s="5"/>
      </tp>
      <tp>
        <v>10</v>
        <stp/>
        <stp>34374095M3:LstBlkVol</stp>
        <tr r="L559" s="5"/>
      </tp>
      <tp t="s">
        <v/>
        <stp/>
        <stp>34364094Q3:LstBlkVol</stp>
        <tr r="L546" s="5"/>
      </tp>
      <tp t="s">
        <v/>
        <stp/>
        <stp>34374095Q3:LstBlkVol</stp>
        <tr r="L584" s="5"/>
      </tp>
      <tp t="s">
        <v/>
        <stp/>
        <stp>34344092M3:LstBlkVol</stp>
        <tr r="L1266" s="5"/>
      </tp>
      <tp t="s">
        <v/>
        <stp/>
        <stp>34354093M3:LstBlkVol</stp>
        <tr r="L1304" s="5"/>
      </tp>
      <tp t="s">
        <v/>
        <stp/>
        <stp>34344092Q3:LstBlkVol</stp>
        <tr r="L1291" s="5"/>
      </tp>
      <tp t="s">
        <v/>
        <stp/>
        <stp>34354093Q3:LstBlkVol</stp>
        <tr r="L1329" s="5"/>
      </tp>
      <tp t="s">
        <v/>
        <stp/>
        <stp>161913535MM1:LstBlkVol</stp>
        <tr r="L2028" s="5"/>
      </tp>
      <tp t="s">
        <v/>
        <stp/>
        <stp>161913535QQ1:LstBlkVol</stp>
        <tr r="L2056" s="5"/>
      </tp>
    </main>
    <main first="bofaddin.rtdserver">
      <tp t="s">
        <v>#N/A Invalid Security</v>
        <stp/>
        <stp>BDP|570070543791249935|222</stp>
        <stp>COM9 Comdty</stp>
        <stp>BID</stp>
        <stp>Fill=#N/A</stp>
        <tr r="G52" s="1"/>
      </tp>
    </main>
    <main first="ice.rtd">
      <tp t="s">
        <v/>
        <stp/>
        <stp>57409036M0:LstBlkVol</stp>
        <tr r="L231" s="5"/>
      </tp>
      <tp>
        <v>25</v>
        <stp/>
        <stp>57409036Q0:LstBlkVol</stp>
        <tr r="L256" s="5"/>
      </tp>
      <tp>
        <v>4</v>
        <stp/>
        <stp>57409036Y0:LstBlkVol</stp>
        <tr r="L265" s="5"/>
      </tp>
    </main>
    <main first="esrtd">
      <tp t="s">
        <v/>
        <stp/>
        <stp>BRN 26UC11000-ICE</stp>
        <stp>Market</stp>
        <tr r="AQ114" s="23"/>
      </tp>
      <tp t="s">
        <v/>
        <stp/>
        <stp>BRN 26VC11300-ICE</stp>
        <stp>Market</stp>
        <tr r="AQ187" s="23"/>
      </tp>
      <tp t="s">
        <v/>
        <stp/>
        <stp>BRN 26UP11000-ICE</stp>
        <stp>Market</stp>
        <tr r="AJ114" s="23"/>
      </tp>
      <tp t="s">
        <v/>
        <stp/>
        <stp>BRN 26VP11300-ICE</stp>
        <stp>Market</stp>
        <tr r="AJ187" s="23"/>
      </tp>
    </main>
    <main first="ice.rtd">
      <tp t="s">
        <v/>
        <stp/>
        <stp>1840020882Q3:LstBlkVol</stp>
        <tr r="L1602" s="5"/>
      </tp>
      <tp t="s">
        <v/>
        <stp/>
        <stp>1840020882M3:LstBlkVol</stp>
        <tr r="L1585" s="5"/>
      </tp>
      <tp t="s">
        <v/>
        <stp/>
        <stp>46678127M0:LstBlkVol</stp>
        <tr r="L345" s="5"/>
      </tp>
      <tp>
        <v>60</v>
        <stp/>
        <stp>46678127Q0:LstBlkVol</stp>
        <tr r="L370" s="5"/>
      </tp>
      <tp t="s">
        <v/>
        <stp/>
        <stp>46678127Y0:LstBlkVol</stp>
        <tr r="L379" s="5"/>
      </tp>
    </main>
    <main first="esrtd">
      <tp t="s">
        <v/>
        <stp/>
        <stp>BRN 26UC11300-ICE</stp>
        <stp>Market</stp>
        <tr r="AQ116" s="23"/>
      </tp>
      <tp t="s">
        <v/>
        <stp/>
        <stp>BRN 26VC11000-ICE</stp>
        <stp>Market</stp>
        <tr r="AQ186" s="23"/>
      </tp>
      <tp t="s">
        <v/>
        <stp/>
        <stp>BRN 26UP11300-ICE</stp>
        <stp>Market</stp>
        <tr r="AJ116" s="23"/>
      </tp>
      <tp t="s">
        <v/>
        <stp/>
        <stp>BRN 26VP11000-ICE</stp>
        <stp>Market</stp>
        <tr r="AJ186" s="23"/>
      </tp>
      <tp t="s">
        <v/>
        <stp/>
        <stp>BRN 26UC11200-ICE</stp>
        <stp>Market</stp>
        <tr r="AQ115" s="23"/>
      </tp>
      <tp t="s">
        <v/>
        <stp/>
        <stp>BRN 26UP11200-ICE</stp>
        <stp>Market</stp>
        <tr r="AJ115" s="23"/>
      </tp>
    </main>
    <main first="ice.rtd">
      <tp t="s">
        <v/>
        <stp/>
        <stp>16331513M4:LstBlkVol</stp>
        <tr r="L1419" s="5"/>
      </tp>
      <tp t="s">
        <v/>
        <stp/>
        <stp>16341514M4:LstBlkVol</stp>
        <tr r="L1457" s="5"/>
      </tp>
      <tp t="s">
        <v/>
        <stp/>
        <stp>16351515M4:LstBlkVol</stp>
        <tr r="L1495" s="5"/>
      </tp>
      <tp t="s">
        <v/>
        <stp/>
        <stp>16331513Q4:LstBlkVol</stp>
        <tr r="L1444" s="5"/>
      </tp>
      <tp t="s">
        <v/>
        <stp/>
        <stp>16341514Q4:LstBlkVol</stp>
        <tr r="L1482" s="5"/>
      </tp>
      <tp t="s">
        <v/>
        <stp/>
        <stp>16351515Q4:LstBlkVol</stp>
        <tr r="L1520" s="5"/>
      </tp>
      <tp t="s">
        <v/>
        <stp/>
        <stp>29243602M8:LstBlkVol</stp>
        <tr r="L754" s="5"/>
      </tp>
    </main>
    <main first="esrtd">
      <tp t="s">
        <v/>
        <stp/>
        <stp>BRN 26UC11500-ICE</stp>
        <stp>Market</stp>
        <tr r="AQ117" s="23"/>
      </tp>
      <tp t="s">
        <v/>
        <stp/>
        <stp>BRN 26UP11500-ICE</stp>
        <stp>Market</stp>
        <tr r="AJ117" s="23"/>
      </tp>
    </main>
    <main first="ice.rtd">
      <tp t="s">
        <v/>
        <stp/>
        <stp>57179020M0:LstBlkVol</stp>
        <tr r="L1547" s="5"/>
      </tp>
      <tp t="s">
        <v/>
        <stp/>
        <stp>57179020Q0:LstBlkVol</stp>
        <tr r="L1572" s="5"/>
      </tp>
      <tp t="s">
        <v/>
        <stp/>
        <stp>57179020Y0:LstBlkVol</stp>
        <tr r="L1580" s="5"/>
      </tp>
      <tp t="s">
        <v/>
        <stp/>
        <stp>2755828679Q8:LstBlkVol</stp>
        <tr r="L1030" s="5"/>
      </tp>
      <tp t="s">
        <v/>
        <stp/>
        <stp>2755828679M8:LstBlkVol</stp>
        <tr r="L1005" s="5"/>
      </tp>
    </main>
    <main first="bofaddin.rtdserver">
      <tp>
        <v>82.59</v>
        <stp/>
        <stp>BDP|572972067461177730|222</stp>
        <stp>COJ7 Comdty</stp>
        <stp>BID</stp>
        <stp>Fill=#N/A</stp>
        <tr r="G26" s="1"/>
      </tp>
    </main>
    <main first="ice.rtd">
      <tp t="s">
        <v/>
        <stp/>
        <stp>18871685M9:LstBlkVol</stp>
        <tr r="L430" s="5"/>
      </tp>
      <tp t="s">
        <v/>
        <stp/>
        <stp>18851683M9:LstBlkVol</stp>
        <tr r="L202" s="5"/>
      </tp>
      <tp t="s">
        <v/>
        <stp/>
        <stp>15141311T1:LstBlkVol</stp>
        <tr r="L1529" s="5"/>
      </tp>
      <tp>
        <v>5</v>
        <stp/>
        <stp>30813691M1:LstBlkVol</stp>
        <tr r="L1954" s="5"/>
      </tp>
      <tp t="s">
        <v/>
        <stp/>
        <stp>35534143M3:LstBlkVol</stp>
        <tr r="L711" s="5"/>
      </tp>
      <tp t="s">
        <v/>
        <stp/>
        <stp>35544144M3:LstBlkVol</stp>
        <tr r="L635" s="5"/>
      </tp>
      <tp t="s">
        <v/>
        <stp/>
        <stp>35554145M3:LstBlkVol</stp>
        <tr r="L673" s="5"/>
      </tp>
      <tp t="s">
        <v/>
        <stp/>
        <stp>30813691Y1:LstBlkVol</stp>
        <tr r="L1988" s="5"/>
      </tp>
      <tp t="s">
        <v/>
        <stp/>
        <stp>35534143Q3:LstBlkVol</stp>
        <tr r="L736" s="5"/>
      </tp>
      <tp t="s">
        <v/>
        <stp/>
        <stp>35544144Q3:LstBlkVol</stp>
        <tr r="L660" s="5"/>
      </tp>
      <tp t="s">
        <v/>
        <stp/>
        <stp>35554145Q3:LstBlkVol</stp>
        <tr r="L698" s="5"/>
      </tp>
      <tp t="s">
        <v/>
        <stp/>
        <stp>30813691Q1:LstBlkVol</stp>
        <tr r="L1979" s="5"/>
      </tp>
      <tp t="s">
        <v/>
        <stp/>
        <stp>18901687M9:LstBlkVol</stp>
        <tr r="L316" s="5"/>
      </tp>
      <tp>
        <v>25</v>
        <stp/>
        <stp>15091310M1:LstBlkVol</stp>
        <tr r="L1378" s="5"/>
      </tp>
      <tp t="s">
        <v/>
        <stp/>
        <stp>15091310Y1:LstBlkVol</stp>
        <tr r="L1412" s="5"/>
      </tp>
      <tp>
        <v>125</v>
        <stp/>
        <stp>15091310Q1:LstBlkVol</stp>
        <tr r="L1403" s="5"/>
      </tp>
    </main>
    <main first="esrtd">
      <tp t="s">
        <v/>
        <stp/>
        <stp>BRN 26VC11500-ICE</stp>
        <stp>Market</stp>
        <tr r="AQ188" s="23"/>
      </tp>
      <tp t="s">
        <v/>
        <stp/>
        <stp>BRN 26VP11500-ICE</stp>
        <stp>Market</stp>
        <tr r="AJ188" s="23"/>
      </tp>
    </main>
    <main first="ice.rtd">
      <tp t="s">
        <v/>
        <stp/>
        <stp>366531MM20:LstBlkVol</stp>
        <tr r="L1735" s="5"/>
      </tp>
      <tp>
        <v>20</v>
        <stp/>
        <stp>366531MM10:LstBlkVol</stp>
        <tr r="L1725" s="5"/>
      </tp>
    </main>
    <main first="bofaddin.rtdserver">
      <tp t="s">
        <v>#N/A Real Time</v>
        <stp/>
        <stp>BDP|14382598721540176856|22</stp>
        <stp>COV6C 110.00 Comdty</stp>
        <stp>GAMMA_MID_RT</stp>
        <tr r="C73" s="23"/>
        <tr r="C82" s="23"/>
        <tr r="C54" s="23"/>
        <tr r="C52" s="23"/>
      </tp>
    </main>
    <main first="ice.rtd">
      <tp t="s">
        <v/>
        <stp/>
        <stp>366531MM16:BstHitPrc</stp>
        <tr r="G1731" s="5"/>
      </tp>
      <tp>
        <v>17.25</v>
        <stp/>
        <stp>366531MM26:BstHitPrc</stp>
        <tr r="G1741" s="5"/>
      </tp>
      <tp t="s">
        <v/>
        <stp/>
        <stp>366531MM26:LstBlkPrc</stp>
        <tr r="K1741" s="5"/>
      </tp>
      <tp t="s">
        <v/>
        <stp/>
        <stp>366531MM16:LstBlkPrc</stp>
        <tr r="K1731" s="5"/>
      </tp>
      <tp>
        <v>0</v>
        <stp/>
        <stp>57409036Q6:OI</stp>
        <tr r="T262" s="5"/>
      </tp>
      <tp>
        <v>0</v>
        <stp/>
        <stp>57409036Q7:OI</stp>
        <tr r="T263" s="5"/>
      </tp>
      <tp>
        <v>0</v>
        <stp/>
        <stp>57409036Q4:OI</stp>
        <tr r="T260" s="5"/>
      </tp>
      <tp>
        <v>0</v>
        <stp/>
        <stp>57409036Q5:OI</stp>
        <tr r="T261" s="5"/>
      </tp>
      <tp>
        <v>0</v>
        <stp/>
        <stp>57409036Q2:OI</stp>
        <tr r="T258" s="5"/>
      </tp>
      <tp>
        <v>0</v>
        <stp/>
        <stp>57409036Q3:OI</stp>
        <tr r="T259" s="5"/>
      </tp>
      <tp>
        <v>0</v>
        <stp/>
        <stp>57409036Q0:OI</stp>
        <tr r="T256" s="5"/>
      </tp>
      <tp>
        <v>0</v>
        <stp/>
        <stp>57409036Q1:OI</stp>
        <tr r="T257" s="5"/>
      </tp>
      <tp>
        <v>0</v>
        <stp/>
        <stp>57409036Q8:OI</stp>
        <tr r="T264" s="5"/>
      </tp>
      <tp>
        <v>0</v>
        <stp/>
        <stp>57409036Y2:OI</stp>
        <tr r="T267" s="5"/>
      </tp>
      <tp>
        <v>0</v>
        <stp/>
        <stp>57409036Y0:OI</stp>
        <tr r="T265" s="5"/>
      </tp>
      <tp>
        <v>0</v>
        <stp/>
        <stp>57409036Y1:OI</stp>
        <tr r="T266" s="5"/>
      </tp>
      <tp>
        <v>7423</v>
        <stp/>
        <stp>57409036M6:OI</stp>
        <tr r="T237" s="5"/>
      </tp>
      <tp>
        <v>2391</v>
        <stp/>
        <stp>57409036M7:OI</stp>
        <tr r="T238" s="5"/>
      </tp>
      <tp>
        <v>7540</v>
        <stp/>
        <stp>57409036M4:OI</stp>
        <tr r="T235" s="5"/>
      </tp>
      <tp>
        <v>8208</v>
        <stp/>
        <stp>57409036M5:OI</stp>
        <tr r="T236" s="5"/>
      </tp>
      <tp>
        <v>8557</v>
        <stp/>
        <stp>57409036M2:OI</stp>
        <tr r="T233" s="5"/>
      </tp>
      <tp>
        <v>9552</v>
        <stp/>
        <stp>57409036M3:OI</stp>
        <tr r="T234" s="5"/>
      </tp>
      <tp>
        <v>13945</v>
        <stp/>
        <stp>57409036M0:OI</stp>
        <tr r="T231" s="5"/>
      </tp>
      <tp>
        <v>9958</v>
        <stp/>
        <stp>57409036M1:OI</stp>
        <tr r="T232" s="5"/>
      </tp>
      <tp>
        <v>2492</v>
        <stp/>
        <stp>57409036M8:OI</stp>
        <tr r="T239" s="5"/>
      </tp>
      <tp>
        <v>2732</v>
        <stp/>
        <stp>57409036M9:OI</stp>
        <tr r="T240" s="5"/>
      </tp>
    </main>
    <main first="bofaddin.rtdserver">
      <tp t="s">
        <v>#N/A Requesting Data...1990636513</v>
        <stp/>
        <stp>BDP|14380038709428104272</stp>
        <tr r="AF124" s="23"/>
      </tp>
    </main>
    <main first="ice.rtd">
      <tp t="s">
        <v/>
        <stp/>
        <stp>1840020882M6:LstDate</stp>
        <tr r="J1588" s="5"/>
      </tp>
      <tp t="s">
        <v/>
        <stp/>
        <stp>1840020882M7:LstDate</stp>
        <tr r="J1589" s="5"/>
      </tp>
      <tp t="s">
        <v/>
        <stp/>
        <stp>1840020882M4:LstDate</stp>
        <tr r="J1586" s="5"/>
      </tp>
      <tp t="s">
        <v/>
        <stp/>
        <stp>1840020882M5:LstDate</stp>
        <tr r="J1587" s="5"/>
      </tp>
      <tp t="s">
        <v/>
        <stp/>
        <stp>1840020882M2:LstDate</stp>
        <tr r="J1584" s="5"/>
      </tp>
      <tp t="s">
        <v/>
        <stp/>
        <stp>1840020882M3:LstDate</stp>
        <tr r="J1585" s="5"/>
      </tp>
      <tp t="s">
        <v/>
        <stp/>
        <stp>1840020882M0:LstDate</stp>
        <tr r="J1582" s="5"/>
      </tp>
      <tp t="s">
        <v/>
        <stp/>
        <stp>1840020882M1:LstDate</stp>
        <tr r="J1583" s="5"/>
      </tp>
      <tp t="s">
        <v/>
        <stp/>
        <stp>1840020882M8:LstDate</stp>
        <tr r="J1590" s="5"/>
      </tp>
      <tp t="s">
        <v/>
        <stp/>
        <stp>1840020882M9:LstDate</stp>
        <tr r="J1591" s="5"/>
      </tp>
    </main>
    <main first="bofaddin.rtdserver">
      <tp t="s">
        <v>#N/A Requesting Data...3713726835</v>
        <stp/>
        <stp>BDP|12909932372541125393</stp>
        <tr r="AM126" s="23"/>
        <tr r="AM127" s="23"/>
        <tr r="AM128" s="23"/>
        <tr r="AM129" s="23"/>
        <tr r="AM130" s="23"/>
        <tr r="AM131" s="23"/>
        <tr r="AM132" s="23"/>
        <tr r="AM133" s="23"/>
        <tr r="AM134" s="23"/>
        <tr r="AM135" s="23"/>
        <tr r="AM136" s="23"/>
        <tr r="AM137" s="23"/>
        <tr r="AM138" s="23"/>
        <tr r="AM139" s="23"/>
        <tr r="AM140" s="23"/>
      </tp>
    </main>
    <main first="ice.rtd">
      <tp t="s">
        <v/>
        <stp/>
        <stp>2323825599B0:LstDate</stp>
        <tr r="J306" s="5"/>
      </tp>
      <tp t="s">
        <v/>
        <stp/>
        <stp>2325825619B0:LstDate</stp>
        <tr r="J40" s="5"/>
      </tp>
    </main>
    <main first="bofaddin.rtdserver">
      <tp t="s">
        <v>#N/A Requesting Data...4057865833</v>
        <stp/>
        <stp>BDP|12694014776833086868</stp>
        <tr r="AF53" s="23"/>
      </tp>
      <tp t="s">
        <v>#N/A N/A</v>
        <stp/>
        <stp>BDH|13006119390015084009</stp>
        <tr r="AW42" s="1"/>
      </tp>
      <tp t="s">
        <v>#N/A N/A</v>
        <stp/>
        <stp>BDH|11831387958220913903</stp>
        <tr r="H88" s="16"/>
      </tp>
      <tp t="b">
        <v>0</v>
        <stp/>
        <stp>BDH|14339089893542857104</stp>
        <tr r="I3" s="24"/>
      </tp>
      <tp t="s">
        <v>#N/A N/A</v>
        <stp/>
        <stp>BDH|12774852541014602457</stp>
        <tr r="BB55" s="1"/>
      </tp>
      <tp t="s">
        <v>#N/A N/A</v>
        <stp/>
        <stp>BDH|15337245197561789149</stp>
        <tr r="BC52" s="1"/>
      </tp>
      <tp t="s">
        <v>#N/A N/A</v>
        <stp/>
        <stp>BDH|15407284325308355392</stp>
        <tr r="BA25" s="1"/>
      </tp>
    </main>
    <main first="ice.rtd">
      <tp t="s">
        <v/>
        <stp/>
        <stp>1840020882Y0:LstDate</stp>
        <tr r="J1604" s="5"/>
      </tp>
    </main>
    <main first="bofaddin.rtdserver">
      <tp t="b">
        <v>0</v>
        <stp/>
        <stp>BDH|18271307120010111719</stp>
        <tr r="P21" s="25"/>
        <tr r="P21" s="25"/>
      </tp>
    </main>
    <main first="ice.rtd">
      <tp>
        <v>8.6419999999999959</v>
        <stp/>
        <stp>15061297MM19:Settle</stp>
        <tr r="U1702" s="5"/>
      </tp>
      <tp>
        <v>2.8440000000000083</v>
        <stp/>
        <stp>15061297MM18:Settle</stp>
        <tr r="U1701" s="5"/>
      </tp>
      <tp>
        <v>16.628</v>
        <stp/>
        <stp>15061297MM15:Settle</stp>
        <tr r="U1698" s="5"/>
      </tp>
      <tp>
        <v>15.492999999999995</v>
        <stp/>
        <stp>15061297MM14:Settle</stp>
        <tr r="U1697" s="5"/>
      </tp>
      <tp>
        <v>20.078999999999994</v>
        <stp/>
        <stp>15061297MM17:Settle</stp>
        <tr r="U1700" s="5"/>
      </tp>
      <tp>
        <v>17.147999999999996</v>
        <stp/>
        <stp>15061297MM16:Settle</stp>
        <tr r="U1699" s="5"/>
      </tp>
      <tp>
        <v>10.268000000000001</v>
        <stp/>
        <stp>15061297MM11:Settle</stp>
        <tr r="U1694" s="5"/>
      </tp>
      <tp>
        <v>8.242999999999995</v>
        <stp/>
        <stp>15061297MM10:Settle</stp>
        <tr r="U1693" s="5"/>
      </tp>
      <tp>
        <v>14.756</v>
        <stp/>
        <stp>15061297MM13:Settle</stp>
        <tr r="U1696" s="5"/>
      </tp>
      <tp>
        <v>11.74499999999999</v>
        <stp/>
        <stp>15061297MM12:Settle</stp>
        <tr r="U1695" s="5"/>
      </tp>
      <tp>
        <v>5.7979999999999876</v>
        <stp/>
        <stp>15061297MM25:Settle</stp>
        <tr r="U1708" s="5"/>
      </tp>
      <tp>
        <v>4.320999999999998</v>
        <stp/>
        <stp>15061297MM24:Settle</stp>
        <tr r="U1707" s="5"/>
      </tp>
      <tp>
        <v>12.062999999999988</v>
        <stp/>
        <stp>15061297MM27:Settle</stp>
        <tr r="U1710" s="5"/>
      </tp>
      <tp>
        <v>8.8089999999999975</v>
        <stp/>
        <stp>15061297MM26:Settle</stp>
        <tr r="U1709" s="5"/>
      </tp>
      <tp>
        <v>10.872</v>
        <stp/>
        <stp>15061297MM21:Settle</stp>
        <tr r="U1704" s="5"/>
      </tp>
      <tp>
        <v>9.9030000000000058</v>
        <stp/>
        <stp>15061297MM20:Settle</stp>
        <tr r="U1703" s="5"/>
      </tp>
      <tp>
        <v>2.2959999999999923</v>
        <stp/>
        <stp>15061297MM23:Settle</stp>
        <tr r="U1706" s="5"/>
      </tp>
      <tp>
        <v>14.483000000000004</v>
        <stp/>
        <stp>15061297MM22:Settle</stp>
        <tr r="U1705" s="5"/>
      </tp>
    </main>
    <main first="bofaddin.rtdserver">
      <tp t="s">
        <v>#N/A N/A</v>
        <stp/>
        <stp>BDH|17922593020409740720</stp>
        <tr r="AX39" s="1"/>
      </tp>
      <tp t="s">
        <v>#N/A N/A</v>
        <stp/>
        <stp>BDH|12104193172493967974</stp>
        <tr r="J90" s="16"/>
      </tp>
    </main>
    <main first="ice.rtd">
      <tp>
        <v>0</v>
        <stp/>
        <stp>1840020882M8:OI</stp>
        <tr r="T1590" s="5"/>
      </tp>
      <tp>
        <v>0</v>
        <stp/>
        <stp>1840020882M9:OI</stp>
        <tr r="T1591" s="5"/>
      </tp>
      <tp>
        <v>0</v>
        <stp/>
        <stp>1840020882M4:OI</stp>
        <tr r="T1586" s="5"/>
      </tp>
      <tp>
        <v>0</v>
        <stp/>
        <stp>1840020882M5:OI</stp>
        <tr r="T1587" s="5"/>
      </tp>
      <tp>
        <v>0</v>
        <stp/>
        <stp>1840020882M6:OI</stp>
        <tr r="T1588" s="5"/>
      </tp>
      <tp>
        <v>0</v>
        <stp/>
        <stp>1840020882M7:OI</stp>
        <tr r="T1589" s="5"/>
      </tp>
      <tp>
        <v>0</v>
        <stp/>
        <stp>1840020882M0:OI</stp>
        <tr r="T1582" s="5"/>
      </tp>
      <tp>
        <v>0</v>
        <stp/>
        <stp>1840020882M1:OI</stp>
        <tr r="T1583" s="5"/>
      </tp>
      <tp>
        <v>0</v>
        <stp/>
        <stp>1840020882M2:OI</stp>
        <tr r="T1584" s="5"/>
      </tp>
      <tp>
        <v>0</v>
        <stp/>
        <stp>1840020882M3:OI</stp>
        <tr r="T1585" s="5"/>
      </tp>
      <tp>
        <v>0</v>
        <stp/>
        <stp>1840020882Q4:OI</stp>
        <tr r="T1603" s="5"/>
      </tp>
      <tp>
        <v>0</v>
        <stp/>
        <stp>1840020882Q0:OI</stp>
        <tr r="T1599" s="5"/>
      </tp>
      <tp>
        <v>0</v>
        <stp/>
        <stp>1840020882Q1:OI</stp>
        <tr r="T1600" s="5"/>
      </tp>
      <tp>
        <v>0</v>
        <stp/>
        <stp>1840020882Q2:OI</stp>
        <tr r="T1601" s="5"/>
      </tp>
      <tp>
        <v>0</v>
        <stp/>
        <stp>1840020882Q3:OI</stp>
        <tr r="T1602" s="5"/>
      </tp>
      <tp>
        <v>0</v>
        <stp/>
        <stp>1840020882Y0:OI</stp>
        <tr r="T1604" s="5"/>
      </tp>
    </main>
    <main first="bofaddin.rtdserver">
      <tp t="s">
        <v>#N/A N/A</v>
        <stp/>
        <stp>BDH|16760097334948950351</stp>
        <tr r="AX43" s="1"/>
      </tp>
      <tp t="s">
        <v>#N/A N/A</v>
        <stp/>
        <stp>BDH|15853345426642588876</stp>
        <tr r="BC64" s="1"/>
        <tr r="BC64" s="1"/>
      </tp>
      <tp t="s">
        <v>#N/A N/A</v>
        <stp/>
        <stp>BDH|12537492782648333854</stp>
        <tr r="AV44" s="1"/>
      </tp>
      <tp t="s">
        <v>#N/A N/A</v>
        <stp/>
        <stp>BDH|11274763705168954006</stp>
        <tr r="I38" s="14"/>
      </tp>
      <tp t="s">
        <v>#N/A N/A</v>
        <stp/>
        <stp>BDH|16975446000729242543</stp>
        <tr r="BA36" s="1"/>
        <tr r="BA36" s="1"/>
      </tp>
    </main>
    <main first="ice.rtd">
      <tp t="s">
        <v/>
        <stp/>
        <stp>1840020882Q4:LstDate</stp>
        <tr r="J1603" s="5"/>
      </tp>
      <tp t="s">
        <v/>
        <stp/>
        <stp>1840020882Q2:LstDate</stp>
        <tr r="J1601" s="5"/>
      </tp>
      <tp t="s">
        <v/>
        <stp/>
        <stp>1840020882Q3:LstDate</stp>
        <tr r="J1602" s="5"/>
      </tp>
      <tp t="s">
        <v/>
        <stp/>
        <stp>1840020882Q0:LstDate</stp>
        <tr r="J1599" s="5"/>
      </tp>
      <tp t="s">
        <v/>
        <stp/>
        <stp>1840020882Q1:LstDate</stp>
        <tr r="J1600" s="5"/>
      </tp>
    </main>
    <main first="bofaddin.rtdserver">
      <tp t="s">
        <v>#N/A N/A</v>
        <stp/>
        <stp>BDH|14667783245548881192</stp>
        <tr r="AX31" s="1"/>
      </tp>
      <tp t="s">
        <v>#N/A N/A</v>
        <stp/>
        <stp>BDH|16104129473516246881</stp>
        <tr r="AW28" s="1"/>
      </tp>
    </main>
    <main first="ice.rtd">
      <tp>
        <v>0</v>
        <stp/>
        <stp>2184924621B0:OI</stp>
        <tr r="T707" s="5"/>
      </tp>
    </main>
    <main first="bofaddin.rtdserver">
      <tp t="s">
        <v>#N/A N/A</v>
        <stp/>
        <stp>BDH|17434483881261195432</stp>
        <tr r="L42" s="16"/>
      </tp>
      <tp t="s">
        <v>#N/A N/A</v>
        <stp/>
        <stp>BDH|17679393290237106417</stp>
        <tr r="D58" s="14"/>
      </tp>
      <tp t="s">
        <v>#N/A N/A</v>
        <stp/>
        <stp>BDH|13823537785760317023</stp>
        <tr r="AY50" s="1"/>
      </tp>
      <tp t="s">
        <v>#N/A N/A</v>
        <stp/>
        <stp>BDH|15617201461679917610</stp>
        <tr r="AV48" s="1"/>
      </tp>
      <tp t="s">
        <v>#N/A N/A</v>
        <stp/>
        <stp>BDH|17886182000928795090</stp>
        <tr r="AV33" s="1"/>
      </tp>
      <tp t="s">
        <v>#N/A N/A</v>
        <stp/>
        <stp>BDH|18429961123279661498</stp>
        <tr r="AY35" s="1"/>
      </tp>
    </main>
    <main first="esrtd">
      <tp t="s">
        <v/>
        <stp/>
        <stp>ULT U26-IEU</stp>
        <stp>ICE Theoretical Price</stp>
        <tr r="W670" s="5"/>
      </tp>
      <tp t="s">
        <v/>
        <stp/>
        <stp>ULT V26-IEU</stp>
        <stp>ICE Theoretical Price</stp>
        <tr r="W671" s="5"/>
      </tp>
      <tp t="s">
        <v/>
        <stp/>
        <stp>ULT X26-IEU</stp>
        <stp>ICE Theoretical Price</stp>
        <tr r="W672" s="5"/>
      </tp>
      <tp t="s">
        <v/>
        <stp/>
        <stp>ULT Z26-IEU</stp>
        <stp>ICE Theoretical Price</stp>
        <tr r="W673" s="5"/>
      </tp>
      <tp t="s">
        <v/>
        <stp/>
        <stp>MLT X26-IEU</stp>
        <stp>ICE Theoretical Price</stp>
        <tr r="W1549" s="5"/>
      </tp>
      <tp t="s">
        <v/>
        <stp/>
        <stp>MFT X26-IEU</stp>
        <stp>ICE Theoretical Price</stp>
        <tr r="W1151" s="5"/>
      </tp>
      <tp t="s">
        <v/>
        <stp/>
        <stp>MLT Z26-IEU</stp>
        <stp>ICE Theoretical Price</stp>
        <tr r="W1550" s="5"/>
      </tp>
      <tp t="s">
        <v/>
        <stp/>
        <stp>MFT Z26-IEU</stp>
        <stp>ICE Theoretical Price</stp>
        <tr r="W1152" s="5"/>
      </tp>
      <tp t="s">
        <v/>
        <stp/>
        <stp>MLT U26-IEU</stp>
        <stp>ICE Theoretical Price</stp>
        <tr r="W1547" s="5"/>
      </tp>
      <tp t="s">
        <v/>
        <stp/>
        <stp>MFT U26-IEU</stp>
        <stp>ICE Theoretical Price</stp>
        <tr r="W1149" s="5"/>
      </tp>
      <tp t="s">
        <v/>
        <stp/>
        <stp>MLT V26-IEU</stp>
        <stp>ICE Theoretical Price</stp>
        <tr r="W1548" s="5"/>
      </tp>
      <tp t="s">
        <v/>
        <stp/>
        <stp>MFT V26-IEU</stp>
        <stp>ICE Theoretical Price</stp>
        <tr r="W1150" s="5"/>
      </tp>
    </main>
    <main first="bofaddin.rtdserver">
      <tp>
        <v>3.34</v>
        <stp/>
        <stp>BDP|1004933114560945229|22</stp>
        <stp>COZ7COZ8 Comdty</stp>
        <stp>BID</stp>
        <tr r="C3" s="3"/>
      </tp>
    </main>
    <main first="ice.rtd">
      <tp t="s">
        <v>Invalid Market: 297449133BM0</v>
        <stp/>
        <stp>297449133BM0:Vol</stp>
        <tr r="N2026" s="5"/>
      </tp>
    </main>
    <main first="bofaddin.rtdserver">
      <tp>
        <v>0.2</v>
        <stp/>
        <stp>BDP|16341509204690114713|222</stp>
        <stp>CLF9CLG9 Comdty</stp>
        <stp>BID</stp>
        <stp>Fill=#N/A</stp>
        <tr r="N48" s="1"/>
      </tp>
      <tp>
        <v>0.37</v>
        <stp/>
        <stp>BDP|16129917767917090863|222</stp>
        <stp>CLV7CLX7 Comdty</stp>
        <stp>BID</stp>
        <stp>Fill=#N/A</stp>
        <tr r="N33" s="1"/>
      </tp>
      <tp>
        <v>15.56</v>
        <stp/>
        <stp>BDP|17630298682321328700|222</stp>
        <stp>XBX6XBZ6 Comdty</stp>
        <stp>BID</stp>
        <stp>Fill=#N/A</stp>
        <tr r="R22" s="1"/>
      </tp>
    </main>
    <main first="ice.rtd">
      <tp t="s">
        <v/>
        <stp/>
        <stp>15091310M20:LstBlkTime</stp>
        <tr r="M1397" s="5"/>
      </tp>
      <tp t="s">
        <v/>
        <stp/>
        <stp>15091310M21:LstBlkTime</stp>
        <tr r="M1398" s="5"/>
      </tp>
      <tp t="s">
        <v/>
        <stp/>
        <stp>15091310M22:LstBlkTime</stp>
        <tr r="M1399" s="5"/>
      </tp>
      <tp t="s">
        <v/>
        <stp/>
        <stp>15091310M23:LstBlkTime</stp>
        <tr r="M1400" s="5"/>
      </tp>
      <tp t="s">
        <v/>
        <stp/>
        <stp>15091310M24:LstBlkTime</stp>
        <tr r="M1401" s="5"/>
      </tp>
      <tp t="s">
        <v/>
        <stp/>
        <stp>15091310M18:LstBlkTime</stp>
        <tr r="M1395" s="5"/>
      </tp>
      <tp t="s">
        <v/>
        <stp/>
        <stp>15091310M19:LstBlkTime</stp>
        <tr r="M1396" s="5"/>
      </tp>
      <tp t="s">
        <v/>
        <stp/>
        <stp>15091310M10:LstBlkTime</stp>
        <tr r="M1387" s="5"/>
      </tp>
      <tp t="s">
        <v/>
        <stp/>
        <stp>15091310M11:LstBlkTime</stp>
        <tr r="M1388" s="5"/>
      </tp>
      <tp t="s">
        <v/>
        <stp/>
        <stp>15091310M12:LstBlkTime</stp>
        <tr r="M1389" s="5"/>
      </tp>
      <tp t="s">
        <v/>
        <stp/>
        <stp>15091310M13:LstBlkTime</stp>
        <tr r="M1390" s="5"/>
      </tp>
      <tp t="s">
        <v/>
        <stp/>
        <stp>15091310M14:LstBlkTime</stp>
        <tr r="M1391" s="5"/>
      </tp>
      <tp t="s">
        <v/>
        <stp/>
        <stp>15091310M15:LstBlkTime</stp>
        <tr r="M1392" s="5"/>
      </tp>
      <tp t="s">
        <v/>
        <stp/>
        <stp>15091310M16:LstBlkTime</stp>
        <tr r="M1393" s="5"/>
      </tp>
      <tp t="s">
        <v/>
        <stp/>
        <stp>15091310M17:LstBlkTime</stp>
        <tr r="M1394" s="5"/>
      </tp>
    </main>
    <main first="bofaddin.rtdserver">
      <tp>
        <v>4.66</v>
        <stp/>
        <stp>BDP|13082596129805891778|222</stp>
        <stp>HOG8HOH8 Comdty</stp>
        <stp>BID</stp>
        <stp>Fill=#N/A</stp>
        <tr r="Q37" s="1"/>
      </tp>
      <tp>
        <v>0.27</v>
        <stp/>
        <stp>BDP|16993334590753780668|222</stp>
        <stp>CLH8CLJ8 Comdty</stp>
        <stp>BID</stp>
        <stp>Fill=#N/A</stp>
        <tr r="N38" s="1"/>
      </tp>
      <tp>
        <v>0.27</v>
        <stp/>
        <stp>BDP|14336570183861996793|222</stp>
        <stp>COK8COM8 Comdty</stp>
        <stp>ASK</stp>
        <stp>Fill=#N/A</stp>
        <tr r="O40" s="1"/>
      </tp>
      <tp t="s">
        <v>#N/A Invalid Security</v>
        <stp/>
        <stp>BDP|14671588752756246672|222</stp>
        <stp>XBK0XBM0 Comdty</stp>
        <stp>BID</stp>
        <stp>Fill=#N/A</stp>
        <tr r="R64" s="1"/>
      </tp>
      <tp>
        <v>0.5</v>
        <stp/>
        <stp>BDP|10881845940181085508|222</stp>
        <stp>HOQ8HOU8 Comdty</stp>
        <stp>BID</stp>
        <stp>Fill=#N/A</stp>
        <tr r="Q43" s="1"/>
      </tp>
      <tp t="s">
        <v>#N/A</v>
        <stp/>
        <stp>BDP|17642363344613545991|222</stp>
        <stp>HOM9HON9 Comdty</stp>
        <stp>ASK</stp>
        <stp>Fill=#N/A</stp>
        <tr r="Q53" s="1"/>
      </tp>
    </main>
    <main first="ice.rtd">
      <tp t="s">
        <v/>
        <stp/>
        <stp>57179020M7:LstBlkPrc</stp>
        <tr r="K1554" s="5"/>
      </tp>
      <tp t="s">
        <v>Invalid Market: 57179020Q7</v>
        <stp/>
        <stp>57179020Q7:LstBlkPrc</stp>
        <tr r="K1579" s="5"/>
      </tp>
      <tp t="s">
        <v/>
        <stp/>
        <stp>16331513M3:LstBlkPrc</stp>
        <tr r="K1418" s="5"/>
      </tp>
      <tp t="s">
        <v/>
        <stp/>
        <stp>16341514M3:LstBlkPrc</stp>
        <tr r="K1456" s="5"/>
      </tp>
      <tp t="s">
        <v/>
        <stp/>
        <stp>16351515M3:LstBlkPrc</stp>
        <tr r="K1494" s="5"/>
      </tp>
      <tp t="s">
        <v/>
        <stp/>
        <stp>16331513Q3:LstBlkPrc</stp>
        <tr r="K1443" s="5"/>
      </tp>
      <tp t="s">
        <v/>
        <stp/>
        <stp>16341514Q3:LstBlkPrc</stp>
        <tr r="K1481" s="5"/>
      </tp>
      <tp t="s">
        <v/>
        <stp/>
        <stp>16351515Q3:LstBlkPrc</stp>
        <tr r="K1519" s="5"/>
      </tp>
      <tp t="s">
        <v/>
        <stp/>
        <stp>161913535MM6:BstHitPrc</stp>
        <tr r="G2033" s="5"/>
      </tp>
      <tp t="s">
        <v/>
        <stp/>
        <stp>15091310M6:LstBlkPrc</stp>
        <tr r="K1383" s="5"/>
      </tp>
      <tp t="s">
        <v/>
        <stp/>
        <stp>15091310Q6:LstBlkPrc</stp>
        <tr r="K1408" s="5"/>
      </tp>
      <tp t="s">
        <v/>
        <stp/>
        <stp>30813691M6:LstBlkPrc</stp>
        <tr r="K1959" s="5"/>
      </tp>
      <tp t="s">
        <v/>
        <stp/>
        <stp>35534143M4:LstBlkPrc</stp>
        <tr r="K712" s="5"/>
      </tp>
      <tp t="s">
        <v/>
        <stp/>
        <stp>35544144M4:LstBlkPrc</stp>
        <tr r="K636" s="5"/>
      </tp>
      <tp t="s">
        <v/>
        <stp/>
        <stp>35554145M4:LstBlkPrc</stp>
        <tr r="K674" s="5"/>
      </tp>
      <tp t="s">
        <v/>
        <stp/>
        <stp>35534143Q4:LstBlkPrc</stp>
        <tr r="K737" s="5"/>
      </tp>
      <tp t="s">
        <v/>
        <stp/>
        <stp>35544144Q4:LstBlkPrc</stp>
        <tr r="K661" s="5"/>
      </tp>
      <tp t="s">
        <v/>
        <stp/>
        <stp>35554145Q4:LstBlkPrc</stp>
        <tr r="K699" s="5"/>
      </tp>
      <tp t="s">
        <v/>
        <stp/>
        <stp>30813691Q6:LstBlkPrc</stp>
        <tr r="K1984" s="5"/>
      </tp>
      <tp t="s">
        <v/>
        <stp/>
        <stp>34344092Q4:BstHitPrc</stp>
        <tr r="G1292" s="5"/>
      </tp>
      <tp>
        <v>47.37</v>
        <stp/>
        <stp>34354093Q4:BstHitPrc</stp>
        <tr r="G1330" s="5"/>
      </tp>
      <tp t="s">
        <v/>
        <stp/>
        <stp>34344092M4:BstHitPrc</stp>
        <tr r="G1267" s="5"/>
      </tp>
      <tp t="s">
        <v/>
        <stp/>
        <stp>34354093M4:BstHitPrc</stp>
        <tr r="G1305" s="5"/>
      </tp>
      <tp t="s">
        <v/>
        <stp/>
        <stp>34364094Q4:BstHitPrc</stp>
        <tr r="G547" s="5"/>
      </tp>
      <tp t="s">
        <v/>
        <stp/>
        <stp>34374095Q4:BstHitPrc</stp>
        <tr r="G585" s="5"/>
      </tp>
      <tp t="s">
        <v/>
        <stp/>
        <stp>34364094M4:BstHitPrc</stp>
        <tr r="G522" s="5"/>
      </tp>
      <tp t="s">
        <v/>
        <stp/>
        <stp>34374095M4:BstHitPrc</stp>
        <tr r="G560" s="5"/>
      </tp>
      <tp t="s">
        <v/>
        <stp/>
        <stp>15141311T6:LstBlkPrc</stp>
        <tr r="K1534" s="5"/>
      </tp>
      <tp t="s">
        <v>Invalid Market: B0</v>
        <stp/>
        <stp>B0:LstBlkPrc</stp>
        <tr r="K1148" s="5"/>
        <tr r="K1034" s="5"/>
      </tp>
      <tp t="s">
        <v/>
        <stp/>
        <stp>2049123570B0:BstHitPrc</stp>
        <tr r="G230" s="5"/>
      </tp>
      <tp>
        <v>-6.4</v>
        <stp/>
        <stp>57409036M7:LstBlkPrc</stp>
        <tr r="K238" s="5"/>
      </tp>
      <tp t="s">
        <v/>
        <stp/>
        <stp>57409036Q7:LstBlkPrc</stp>
        <tr r="K263" s="5"/>
      </tp>
      <tp t="s">
        <v/>
        <stp/>
        <stp>34404098Q4:BstHitPrc</stp>
        <tr r="G623" s="5"/>
      </tp>
      <tp t="s">
        <v/>
        <stp/>
        <stp>34414099Q4:BstHitPrc</stp>
        <tr r="G108" s="5"/>
      </tp>
      <tp t="s">
        <v/>
        <stp/>
        <stp>34404098M4:BstHitPrc</stp>
        <tr r="G598" s="5"/>
      </tp>
      <tp t="s">
        <v/>
        <stp/>
        <stp>34414099M4:BstHitPrc</stp>
        <tr r="G83" s="5"/>
      </tp>
      <tp t="s">
        <v/>
        <stp/>
        <stp>2505226937B0:BstHitPrc</stp>
        <tr r="G768" s="5"/>
      </tp>
      <tp t="s">
        <v/>
        <stp/>
        <stp>1840020882Q4:LstBlkPrc</stp>
        <tr r="K1603" s="5"/>
      </tp>
      <tp t="s">
        <v/>
        <stp/>
        <stp>1840020882M4:LstBlkPrc</stp>
        <tr r="K1586" s="5"/>
      </tp>
      <tp t="s">
        <v>Oct26/Jan27</v>
        <stp/>
        <stp>DBI1227MM10:Strip</stp>
        <tr r="E1649" s="5"/>
        <tr r="E1661" s="5"/>
      </tp>
      <tp t="s">
        <v>Nov26/Jun27</v>
        <stp/>
        <stp>DBI1227MM20:Strip</stp>
        <tr r="E1671" s="5"/>
      </tp>
      <tp t="s">
        <v/>
        <stp/>
        <stp>17551596T2:BstHitPrc</stp>
        <tr r="G1539" s="5"/>
      </tp>
      <tp t="s">
        <v/>
        <stp/>
        <stp>3124331018M8:BstHitPrc</stp>
        <tr r="G1613" s="5"/>
      </tp>
      <tp t="s">
        <v/>
        <stp/>
        <stp>2427126288M9:LstBlkPrc</stp>
        <tr r="K1044" s="5"/>
      </tp>
      <tp t="s">
        <v/>
        <stp/>
        <stp>41767893M9:BstHitPrc</stp>
        <tr r="G489" s="5"/>
      </tp>
      <tp t="s">
        <v/>
        <stp/>
        <stp>41787896M9:BstHitPrc</stp>
        <tr r="G816" s="5"/>
      </tp>
      <tp>
        <v>24.7</v>
        <stp/>
        <stp>46678127M7:LstBlkPrc</stp>
        <tr r="K352" s="5"/>
      </tp>
      <tp t="s">
        <v/>
        <stp/>
        <stp>46678127Q7:LstBlkPrc</stp>
        <tr r="K377" s="5"/>
      </tp>
      <tp t="s">
        <v/>
        <stp/>
        <stp>30793693Q6:BstHitPrc</stp>
        <tr r="G914" s="5"/>
      </tp>
      <tp t="s">
        <v/>
        <stp/>
        <stp>30793693M6:BstHitPrc</stp>
        <tr r="G889" s="5"/>
      </tp>
      <tp t="s">
        <v/>
        <stp/>
        <stp>2427026287M9:LstBlkPrc</stp>
        <tr r="K1158" s="5"/>
      </tp>
      <tp t="s">
        <v/>
        <stp/>
        <stp>161913535MM6:LstBlkPrc</stp>
        <tr r="K2033" s="5"/>
      </tp>
      <tp t="s">
        <v/>
        <stp/>
        <stp>30813691Q6:BstHitPrc</stp>
        <tr r="G1984" s="5"/>
      </tp>
      <tp t="s">
        <v/>
        <stp/>
        <stp>35534143Q4:BstHitPrc</stp>
        <tr r="G737" s="5"/>
      </tp>
      <tp t="s">
        <v/>
        <stp/>
        <stp>35544144Q4:BstHitPrc</stp>
        <tr r="G661" s="5"/>
      </tp>
      <tp t="s">
        <v/>
        <stp/>
        <stp>35554145Q4:BstHitPrc</stp>
        <tr r="G699" s="5"/>
      </tp>
      <tp t="s">
        <v/>
        <stp/>
        <stp>35534143M4:BstHitPrc</stp>
        <tr r="G712" s="5"/>
      </tp>
      <tp t="s">
        <v/>
        <stp/>
        <stp>35544144M4:BstHitPrc</stp>
        <tr r="G636" s="5"/>
      </tp>
      <tp t="s">
        <v/>
        <stp/>
        <stp>35554145M4:BstHitPrc</stp>
        <tr r="G674" s="5"/>
      </tp>
      <tp t="s">
        <v/>
        <stp/>
        <stp>30813691M6:BstHitPrc</stp>
        <tr r="G1959" s="5"/>
      </tp>
      <tp t="s">
        <v/>
        <stp/>
        <stp>15091310Q6:BstHitPrc</stp>
        <tr r="G1408" s="5"/>
      </tp>
      <tp t="s">
        <v/>
        <stp/>
        <stp>15091310M6:BstHitPrc</stp>
        <tr r="G1383" s="5"/>
      </tp>
      <tp t="s">
        <v/>
        <stp/>
        <stp>15141311T6:BstHitPrc</stp>
        <tr r="G1534" s="5"/>
      </tp>
      <tp t="s">
        <v/>
        <stp/>
        <stp>34344092M4:LstBlkPrc</stp>
        <tr r="K1267" s="5"/>
      </tp>
      <tp t="s">
        <v/>
        <stp/>
        <stp>34354093M4:LstBlkPrc</stp>
        <tr r="K1305" s="5"/>
      </tp>
      <tp t="s">
        <v/>
        <stp/>
        <stp>34344092Q4:LstBlkPrc</stp>
        <tr r="K1292" s="5"/>
      </tp>
      <tp t="s">
        <v/>
        <stp/>
        <stp>34354093Q4:LstBlkPrc</stp>
        <tr r="K1330" s="5"/>
      </tp>
      <tp t="s">
        <v/>
        <stp/>
        <stp>34364094M4:LstBlkPrc</stp>
        <tr r="K522" s="5"/>
      </tp>
      <tp t="s">
        <v/>
        <stp/>
        <stp>34374095M4:LstBlkPrc</stp>
        <tr r="K560" s="5"/>
      </tp>
      <tp t="s">
        <v/>
        <stp/>
        <stp>34364094Q4:LstBlkPrc</stp>
        <tr r="K547" s="5"/>
      </tp>
      <tp t="s">
        <v/>
        <stp/>
        <stp>34374095Q4:LstBlkPrc</stp>
        <tr r="K585" s="5"/>
      </tp>
      <tp t="s">
        <v>Invalid Market: B0</v>
        <stp/>
        <stp>B0:BstHitPrc</stp>
        <tr r="G1034" s="5"/>
        <tr r="G1148" s="5"/>
      </tp>
      <tp t="s">
        <v/>
        <stp/>
        <stp>2049123570B0:LstBlkPrc</stp>
        <tr r="K230" s="5"/>
      </tp>
      <tp t="s">
        <v>Invalid Market: 57179020Q7</v>
        <stp/>
        <stp>57179020Q7:BstHitPrc</stp>
        <tr r="G1579" s="5"/>
      </tp>
      <tp t="s">
        <v/>
        <stp/>
        <stp>57179020M7:BstHitPrc</stp>
        <tr r="G1554" s="5"/>
      </tp>
      <tp t="s">
        <v/>
        <stp/>
        <stp>16331513Q3:BstHitPrc</stp>
        <tr r="G1443" s="5"/>
      </tp>
      <tp t="s">
        <v/>
        <stp/>
        <stp>16341514Q3:BstHitPrc</stp>
        <tr r="G1481" s="5"/>
      </tp>
      <tp t="s">
        <v/>
        <stp/>
        <stp>16351515Q3:BstHitPrc</stp>
        <tr r="G1519" s="5"/>
      </tp>
      <tp t="s">
        <v/>
        <stp/>
        <stp>16331513M3:BstHitPrc</stp>
        <tr r="G1418" s="5"/>
      </tp>
      <tp t="s">
        <v/>
        <stp/>
        <stp>16341514M3:BstHitPrc</stp>
        <tr r="G1456" s="5"/>
      </tp>
      <tp t="s">
        <v/>
        <stp/>
        <stp>16351515M3:BstHitPrc</stp>
        <tr r="G1494" s="5"/>
      </tp>
      <tp t="s">
        <v/>
        <stp/>
        <stp>2427126288M9:BstHitPrc</stp>
        <tr r="G1044" s="5"/>
      </tp>
      <tp t="s">
        <v/>
        <stp/>
        <stp>3124331018M8:LstBlkPrc</stp>
        <tr r="K1613" s="5"/>
      </tp>
      <tp t="s">
        <v/>
        <stp/>
        <stp>41787896M9:LstBlkPrc</stp>
        <tr r="K816" s="5"/>
      </tp>
      <tp t="s">
        <v/>
        <stp/>
        <stp>30793693M6:LstBlkPrc</stp>
        <tr r="K889" s="5"/>
      </tp>
      <tp t="s">
        <v/>
        <stp/>
        <stp>30793693Q6:LstBlkPrc</stp>
        <tr r="K914" s="5"/>
      </tp>
      <tp t="s">
        <v/>
        <stp/>
        <stp>46678127Q7:BstHitPrc</stp>
        <tr r="G377" s="5"/>
      </tp>
      <tp>
        <v>24.4</v>
        <stp/>
        <stp>46678127M7:BstHitPrc</stp>
        <tr r="G352" s="5"/>
      </tp>
      <tp t="s">
        <v/>
        <stp/>
        <stp>41767893M9:LstBlkPrc</stp>
        <tr r="K489" s="5"/>
      </tp>
      <tp t="s">
        <v/>
        <stp/>
        <stp>2427026287M9:BstHitPrc</stp>
        <tr r="G1158" s="5"/>
      </tp>
      <tp t="s">
        <v/>
        <stp/>
        <stp>57409036Q7:BstHitPrc</stp>
        <tr r="G263" s="5"/>
      </tp>
      <tp>
        <v>-10.199999999999999</v>
        <stp/>
        <stp>57409036M7:BstHitPrc</stp>
        <tr r="G238" s="5"/>
      </tp>
      <tp t="s">
        <v/>
        <stp/>
        <stp>34404098M4:LstBlkPrc</stp>
        <tr r="K598" s="5"/>
      </tp>
      <tp t="s">
        <v/>
        <stp/>
        <stp>34414099M4:LstBlkPrc</stp>
        <tr r="K83" s="5"/>
      </tp>
      <tp t="s">
        <v/>
        <stp/>
        <stp>34404098Q4:LstBlkPrc</stp>
        <tr r="K623" s="5"/>
      </tp>
      <tp t="s">
        <v/>
        <stp/>
        <stp>34414099Q4:LstBlkPrc</stp>
        <tr r="K108" s="5"/>
      </tp>
      <tp t="s">
        <v/>
        <stp/>
        <stp>1840020882M4:BstHitPrc</stp>
        <tr r="G1586" s="5"/>
      </tp>
      <tp t="s">
        <v/>
        <stp/>
        <stp>1840020882Q4:BstHitPrc</stp>
        <tr r="G1603" s="5"/>
      </tp>
      <tp t="s">
        <v/>
        <stp/>
        <stp>2505226937B0:LstBlkPrc</stp>
        <tr r="K768" s="5"/>
      </tp>
      <tp t="s">
        <v/>
        <stp/>
        <stp>17551596T2:LstBlkPrc</stp>
        <tr r="K1539" s="5"/>
      </tp>
      <tp t="s">
        <v/>
        <stp/>
        <stp>30793693M0:LstBlkVol</stp>
        <tr r="L883" s="5"/>
      </tp>
      <tp t="s">
        <v/>
        <stp/>
        <stp>30793693Y0:LstBlkVol</stp>
        <tr r="L917" s="5"/>
      </tp>
      <tp t="s">
        <v/>
        <stp/>
        <stp>30793693Q0:LstBlkVol</stp>
        <tr r="L908" s="5"/>
      </tp>
    </main>
    <main first="esrtd">
      <tp t="s">
        <v/>
        <stp/>
        <stp>BRN 26UC10900-ICE</stp>
        <stp>Market</stp>
        <tr r="AQ113" s="23"/>
      </tp>
      <tp t="s">
        <v/>
        <stp/>
        <stp>BRN 26UP10900-ICE</stp>
        <stp>Market</stp>
        <tr r="AJ113" s="23"/>
      </tp>
    </main>
    <main first="ice.rtd">
      <tp>
        <v>25</v>
        <stp/>
        <stp>2009523367B0:LstBlkVol</stp>
        <tr r="L116" s="5"/>
      </tp>
      <tp t="s">
        <v/>
        <stp/>
        <stp>17551596T4:LstBlkVol</stp>
        <tr r="L1541" s="5"/>
      </tp>
      <tp t="s">
        <v/>
        <stp/>
        <stp>2755728678M9:LstBlkVol</stp>
        <tr r="L1120" s="5"/>
      </tp>
      <tp t="s">
        <v/>
        <stp/>
        <stp>34404098M2:LstBlkVol</stp>
        <tr r="L596" s="5"/>
      </tp>
      <tp t="s">
        <v/>
        <stp/>
        <stp>34414099M2:LstBlkVol</stp>
        <tr r="L81" s="5"/>
      </tp>
      <tp t="s">
        <v>Invalid Market: 34404098Y2</v>
        <stp/>
        <stp>34404098Y2:LstBlkVol</stp>
        <tr r="L630" s="5"/>
      </tp>
      <tp t="s">
        <v/>
        <stp/>
        <stp>34414099Y2:LstBlkVol</stp>
        <tr r="L115" s="5"/>
      </tp>
      <tp t="s">
        <v/>
        <stp/>
        <stp>34404098Q2:LstBlkVol</stp>
        <tr r="L621" s="5"/>
      </tp>
      <tp t="s">
        <v/>
        <stp/>
        <stp>34414099Q2:LstBlkVol</stp>
        <tr r="L106" s="5"/>
      </tp>
      <tp t="s">
        <v/>
        <stp/>
        <stp>34364094M2:LstBlkVol</stp>
        <tr r="L520" s="5"/>
      </tp>
      <tp>
        <v>5</v>
        <stp/>
        <stp>34374095M2:LstBlkVol</stp>
        <tr r="L558" s="5"/>
      </tp>
      <tp t="s">
        <v/>
        <stp/>
        <stp>34364094Y2:LstBlkVol</stp>
        <tr r="L554" s="5"/>
      </tp>
      <tp t="s">
        <v/>
        <stp/>
        <stp>34374095Y2:LstBlkVol</stp>
        <tr r="L592" s="5"/>
      </tp>
      <tp t="s">
        <v/>
        <stp/>
        <stp>34364094Q2:LstBlkVol</stp>
        <tr r="L545" s="5"/>
      </tp>
      <tp t="s">
        <v/>
        <stp/>
        <stp>34374095Q2:LstBlkVol</stp>
        <tr r="L583" s="5"/>
      </tp>
      <tp t="s">
        <v/>
        <stp/>
        <stp>34344092M2:LstBlkVol</stp>
        <tr r="L1265" s="5"/>
      </tp>
      <tp t="s">
        <v/>
        <stp/>
        <stp>34354093M2:LstBlkVol</stp>
        <tr r="L1303" s="5"/>
      </tp>
      <tp t="s">
        <v/>
        <stp/>
        <stp>34344092Y2:LstBlkVol</stp>
        <tr r="L1299" s="5"/>
      </tp>
      <tp t="s">
        <v/>
        <stp/>
        <stp>34354093Y2:LstBlkVol</stp>
        <tr r="L1337" s="5"/>
      </tp>
      <tp t="s">
        <v/>
        <stp/>
        <stp>34344092Q2:LstBlkVol</stp>
        <tr r="L1290" s="5"/>
      </tp>
      <tp>
        <v>25</v>
        <stp/>
        <stp>34354093Q2:LstBlkVol</stp>
        <tr r="L1328" s="5"/>
      </tp>
      <tp t="s">
        <v/>
        <stp/>
        <stp>161913535MM0:LstBlkVol</stp>
        <tr r="L2027" s="5"/>
      </tp>
      <tp t="s">
        <v/>
        <stp/>
        <stp>161913535YY0:LstBlkVol</stp>
        <tr r="L2057" s="5"/>
      </tp>
      <tp t="s">
        <v/>
        <stp/>
        <stp>161913535QQ0:LstBlkVol</stp>
        <tr r="L2055" s="5"/>
      </tp>
    </main>
    <main first="bofaddin.rtdserver">
      <tp>
        <v>232.98</v>
        <stp/>
        <stp>BDP|713575051936904609|222</stp>
        <stp>XBF8 Comdty</stp>
        <stp>ASK</stp>
        <stp>Fill=#N/A</stp>
        <tr r="J35" s="1"/>
      </tp>
    </main>
    <main first="ice.rtd">
      <tp>
        <v>50</v>
        <stp/>
        <stp>57409036M1:LstBlkVol</stp>
        <tr r="L232" s="5"/>
      </tp>
      <tp>
        <v>20</v>
        <stp/>
        <stp>57409036Q1:LstBlkVol</stp>
        <tr r="L257" s="5"/>
      </tp>
      <tp>
        <v>10</v>
        <stp/>
        <stp>57409036Y1:LstBlkVol</stp>
        <tr r="L266" s="5"/>
      </tp>
    </main>
    <main first="esrtd">
      <tp t="s">
        <v/>
        <stp/>
        <stp>BRN 26UC20000-ICE</stp>
        <stp>Market</stp>
        <tr r="AQ124" s="23"/>
      </tp>
      <tp t="s">
        <v/>
        <stp/>
        <stp>BRN 26UC30000-ICE</stp>
        <stp>Market</stp>
        <tr r="AQ131" s="23"/>
        <tr r="AQ139" s="23"/>
        <tr r="AQ128" s="23"/>
        <tr r="AQ126" s="23"/>
        <tr r="AQ134" s="23"/>
        <tr r="AQ136" s="23"/>
        <tr r="AQ129" s="23"/>
        <tr r="AQ137" s="23"/>
        <tr r="AQ132" s="23"/>
        <tr r="AQ140" s="23"/>
        <tr r="AQ135" s="23"/>
        <tr r="AQ130" s="23"/>
        <tr r="AQ138" s="23"/>
        <tr r="AQ127" s="23"/>
        <tr r="AQ133" s="23"/>
      </tp>
      <tp t="s">
        <v/>
        <stp/>
        <stp>BRN 26UC10000-ICE</stp>
        <stp>Market</stp>
        <tr r="AQ112" s="23"/>
      </tp>
      <tp t="s">
        <v/>
        <stp/>
        <stp>BRN 26UP20000-ICE</stp>
        <stp>Market</stp>
        <tr r="AJ124" s="23"/>
      </tp>
      <tp t="s">
        <v/>
        <stp/>
        <stp>BRN 26UP30000-ICE</stp>
        <stp>Market</stp>
        <tr r="AJ139" s="23"/>
        <tr r="AJ126" s="23"/>
        <tr r="AJ134" s="23"/>
        <tr r="AJ129" s="23"/>
        <tr r="AJ137" s="23"/>
        <tr r="AJ132" s="23"/>
        <tr r="AJ140" s="23"/>
        <tr r="AJ127" s="23"/>
        <tr r="AJ135" s="23"/>
        <tr r="AJ130" s="23"/>
        <tr r="AJ138" s="23"/>
        <tr r="AJ133" s="23"/>
        <tr r="AJ131" s="23"/>
        <tr r="AJ128" s="23"/>
        <tr r="AJ136" s="23"/>
      </tp>
      <tp t="s">
        <v/>
        <stp/>
        <stp>BRN 26UP10000-ICE</stp>
        <stp>Market</stp>
        <tr r="AJ112" s="23"/>
      </tp>
    </main>
    <main first="ice.rtd">
      <tp t="s">
        <v/>
        <stp/>
        <stp>1840020882Q2:LstBlkVol</stp>
        <tr r="L1601" s="5"/>
      </tp>
      <tp t="s">
        <v/>
        <stp/>
        <stp>1840020882M2:LstBlkVol</stp>
        <tr r="L1584" s="5"/>
      </tp>
      <tp>
        <v>50</v>
        <stp/>
        <stp>46678127M1:LstBlkVol</stp>
        <tr r="L346" s="5"/>
      </tp>
      <tp>
        <v>10</v>
        <stp/>
        <stp>46678127Q1:LstBlkVol</stp>
        <tr r="L371" s="5"/>
      </tp>
      <tp t="s">
        <v/>
        <stp/>
        <stp>46678127Y1:LstBlkVol</stp>
        <tr r="L380" s="5"/>
      </tp>
    </main>
    <main first="esrtd">
      <tp t="s">
        <v/>
        <stp/>
        <stp>BRN 26VC20000-ICE</stp>
        <stp>Market</stp>
        <tr r="AQ199" s="23"/>
      </tp>
      <tp t="s">
        <v/>
        <stp/>
        <stp>BRN 26VC30000-ICE</stp>
        <stp>Market</stp>
        <tr r="AQ203" s="23"/>
        <tr r="AQ208" s="23"/>
        <tr r="AQ202" s="23"/>
        <tr r="AQ207" s="23"/>
        <tr r="AQ204" s="23"/>
        <tr r="AQ206" s="23"/>
        <tr r="AQ205" s="23"/>
        <tr r="AQ201" s="23"/>
      </tp>
      <tp t="s">
        <v/>
        <stp/>
        <stp>BRN 26VP20000-ICE</stp>
        <stp>Market</stp>
        <tr r="AJ199" s="23"/>
      </tp>
      <tp t="s">
        <v/>
        <stp/>
        <stp>BRN 26VP30000-ICE</stp>
        <stp>Market</stp>
        <tr r="AJ202" s="23"/>
        <tr r="AJ206" s="23"/>
        <tr r="AJ207" s="23"/>
        <tr r="AJ201" s="23"/>
        <tr r="AJ205" s="23"/>
        <tr r="AJ204" s="23"/>
        <tr r="AJ203" s="23"/>
        <tr r="AJ208" s="23"/>
      </tp>
    </main>
    <main first="ice.rtd">
      <tp t="s">
        <v/>
        <stp/>
        <stp>16331513M5:LstBlkVol</stp>
        <tr r="L1420" s="5"/>
      </tp>
      <tp t="s">
        <v/>
        <stp/>
        <stp>16341514M5:LstBlkVol</stp>
        <tr r="L1458" s="5"/>
      </tp>
      <tp t="s">
        <v/>
        <stp/>
        <stp>16351515M5:LstBlkVol</stp>
        <tr r="L1496" s="5"/>
      </tp>
      <tp t="s">
        <v/>
        <stp/>
        <stp>16331513Q5:LstBlkVol</stp>
        <tr r="L1445" s="5"/>
      </tp>
      <tp t="s">
        <v/>
        <stp/>
        <stp>16341514Q5:LstBlkVol</stp>
        <tr r="L1483" s="5"/>
      </tp>
      <tp t="s">
        <v/>
        <stp/>
        <stp>16351515Q5:LstBlkVol</stp>
        <tr r="L1521" s="5"/>
      </tp>
      <tp t="s">
        <v/>
        <stp/>
        <stp>29243602M9:LstBlkVol</stp>
        <tr r="L755" s="5"/>
      </tp>
      <tp t="s">
        <v/>
        <stp/>
        <stp>57179020M1:LstBlkVol</stp>
        <tr r="L1548" s="5"/>
      </tp>
      <tp t="s">
        <v/>
        <stp/>
        <stp>57179020Q1:LstBlkVol</stp>
        <tr r="L1573" s="5"/>
      </tp>
      <tp t="s">
        <v>Invalid Market: 57179020Y1</v>
        <stp/>
        <stp>57179020Y1:LstBlkVol</stp>
        <tr r="L1581" s="5"/>
      </tp>
    </main>
    <main first="esrtd">
      <tp t="s">
        <v/>
        <stp/>
        <stp>BRN 26VC10750-ICE</stp>
        <stp>Market</stp>
        <tr r="AQ185" s="23"/>
      </tp>
      <tp t="s">
        <v/>
        <stp/>
        <stp>BRN 26QC20000-ICE</stp>
        <stp>Market</stp>
        <tr r="AQ54" s="23"/>
      </tp>
      <tp t="s">
        <v/>
        <stp/>
        <stp>BRN 26QC30000-ICE</stp>
        <stp>Market</stp>
        <tr r="AQ57" s="23"/>
        <tr r="AQ67" s="23"/>
        <tr r="AQ60" s="23"/>
        <tr r="AQ63" s="23"/>
        <tr r="AQ62" s="23"/>
        <tr r="AQ68" s="23"/>
        <tr r="AQ56" s="23"/>
        <tr r="AQ59" s="23"/>
        <tr r="AQ61" s="23"/>
        <tr r="AQ65" s="23"/>
        <tr r="AQ71" s="23"/>
        <tr r="AQ72" s="23"/>
        <tr r="AQ64" s="23"/>
        <tr r="AQ69" s="23"/>
        <tr r="AQ58" s="23"/>
        <tr r="AQ70" s="23"/>
        <tr r="AQ66" s="23"/>
      </tp>
      <tp t="s">
        <v/>
        <stp/>
        <stp>BRN 26VP10750-ICE</stp>
        <stp>Market</stp>
        <tr r="AJ185" s="23"/>
      </tp>
    </main>
    <main first="ice.rtd">
      <tp t="s">
        <v/>
        <stp/>
        <stp>2755828679M9:LstBlkVol</stp>
        <tr r="L1006" s="5"/>
      </tp>
    </main>
    <main first="esrtd">
      <tp t="s">
        <v/>
        <stp/>
        <stp>BRN 26QP20000-ICE</stp>
        <stp>Market</stp>
        <tr r="AJ54" s="23"/>
      </tp>
      <tp t="s">
        <v/>
        <stp/>
        <stp>BRN 26QP30000-ICE</stp>
        <stp>Market</stp>
        <tr r="AJ57" s="23"/>
        <tr r="AJ63" s="23"/>
        <tr r="AJ67" s="23"/>
        <tr r="AJ71" s="23"/>
        <tr r="AJ59" s="23"/>
        <tr r="AJ68" s="23"/>
        <tr r="AJ56" s="23"/>
        <tr r="AJ61" s="23"/>
        <tr r="AJ60" s="23"/>
        <tr r="AJ69" s="23"/>
        <tr r="AJ72" s="23"/>
        <tr r="AJ58" s="23"/>
        <tr r="AJ62" s="23"/>
        <tr r="AJ64" s="23"/>
        <tr r="AJ65" s="23"/>
        <tr r="AJ66" s="23"/>
        <tr r="AJ70" s="23"/>
      </tp>
    </main>
    <main first="ice.rtd">
      <tp t="s">
        <v/>
        <stp/>
        <stp>18871685M8:LstBlkVol</stp>
        <tr r="L429" s="5"/>
      </tp>
      <tp t="s">
        <v/>
        <stp/>
        <stp>18871685Q8:LstBlkVol</stp>
        <tr r="L454" s="5"/>
      </tp>
      <tp t="s">
        <v/>
        <stp/>
        <stp>18851683M8:LstBlkVol</stp>
        <tr r="L201" s="5"/>
      </tp>
      <tp t="s">
        <v/>
        <stp/>
        <stp>18851683Q8:LstBlkVol</stp>
        <tr r="L226" s="5"/>
      </tp>
      <tp t="s">
        <v/>
        <stp/>
        <stp>15141311T0:LstBlkVol</stp>
        <tr r="L1528" s="5"/>
      </tp>
      <tp t="s">
        <v/>
        <stp/>
        <stp>30813691M0:LstBlkVol</stp>
        <tr r="L1953" s="5"/>
      </tp>
      <tp t="s">
        <v/>
        <stp/>
        <stp>35534143M2:LstBlkVol</stp>
        <tr r="L710" s="5"/>
      </tp>
      <tp t="s">
        <v/>
        <stp/>
        <stp>35544144M2:LstBlkVol</stp>
        <tr r="L634" s="5"/>
      </tp>
      <tp t="s">
        <v/>
        <stp/>
        <stp>35554145M2:LstBlkVol</stp>
        <tr r="L672" s="5"/>
      </tp>
      <tp t="s">
        <v/>
        <stp/>
        <stp>35534143Y2:LstBlkVol</stp>
        <tr r="L744" s="5"/>
      </tp>
      <tp t="s">
        <v/>
        <stp/>
        <stp>35544144Y2:LstBlkVol</stp>
        <tr r="L668" s="5"/>
      </tp>
      <tp t="s">
        <v/>
        <stp/>
        <stp>35554145Y2:LstBlkVol</stp>
        <tr r="L706" s="5"/>
      </tp>
      <tp t="s">
        <v/>
        <stp/>
        <stp>30813691Y0:LstBlkVol</stp>
        <tr r="L1987" s="5"/>
      </tp>
      <tp t="s">
        <v/>
        <stp/>
        <stp>35534143Q2:LstBlkVol</stp>
        <tr r="L735" s="5"/>
      </tp>
      <tp t="s">
        <v/>
        <stp/>
        <stp>35544144Q2:LstBlkVol</stp>
        <tr r="L659" s="5"/>
      </tp>
      <tp t="s">
        <v/>
        <stp/>
        <stp>35554145Q2:LstBlkVol</stp>
        <tr r="L697" s="5"/>
      </tp>
      <tp>
        <v>2</v>
        <stp/>
        <stp>30813691Q0:LstBlkVol</stp>
        <tr r="L1978" s="5"/>
      </tp>
      <tp t="s">
        <v/>
        <stp/>
        <stp>18901687M8:LstBlkVol</stp>
        <tr r="L315" s="5"/>
      </tp>
      <tp t="s">
        <v/>
        <stp/>
        <stp>18901687Q8:LstBlkVol</stp>
        <tr r="L340" s="5"/>
      </tp>
      <tp t="s">
        <v/>
        <stp/>
        <stp>15091310M0:LstBlkVol</stp>
        <tr r="L1377" s="5"/>
      </tp>
      <tp t="s">
        <v/>
        <stp/>
        <stp>15091310Y0:LstBlkVol</stp>
        <tr r="L1411" s="5"/>
      </tp>
      <tp>
        <v>12</v>
        <stp/>
        <stp>15091310Q0:LstBlkVol</stp>
        <tr r="L1402" s="5"/>
      </tp>
    </main>
    <main first="esrtd">
      <tp t="s">
        <v/>
        <stp/>
        <stp>BRN 26VC10500-ICE</stp>
        <stp>Market</stp>
        <tr r="AQ184" s="23"/>
      </tp>
      <tp t="s">
        <v/>
        <stp/>
        <stp>BRN 26VP10500-ICE</stp>
        <stp>Market</stp>
        <tr r="AJ184" s="23"/>
      </tp>
    </main>
    <main first="ice.rtd">
      <tp t="s">
        <v/>
        <stp/>
        <stp>366531MM21:LstBlkVol</stp>
        <tr r="L1736" s="5"/>
      </tp>
      <tp>
        <v>10</v>
        <stp/>
        <stp>366531MM11:LstBlkVol</stp>
        <tr r="L1726" s="5"/>
      </tp>
      <tp>
        <v>11.5</v>
        <stp/>
        <stp>366531MM17:BstHitPrc</stp>
        <tr r="G1732" s="5"/>
      </tp>
      <tp t="s">
        <v/>
        <stp/>
        <stp>366531MM27:BstHitPrc</stp>
        <tr r="G1742" s="5"/>
      </tp>
      <tp t="s">
        <v/>
        <stp/>
        <stp>366531MM27:LstBlkPrc</stp>
        <tr r="K1742" s="5"/>
      </tp>
      <tp>
        <v>12</v>
        <stp/>
        <stp>366531MM17:LstBlkPrc</stp>
        <tr r="K1732" s="5"/>
      </tp>
      <tp t="s">
        <v>Bal Month/Oct26</v>
        <stp/>
        <stp>DBJ29446BM0:Strip</stp>
        <tr r="E1647" s="5"/>
      </tp>
    </main>
    <main first="bofaddin.rtdserver">
      <tp t="s">
        <v>#N/A Requesting Data...835521662</v>
        <stp/>
        <stp>BDP|16961773423849668538</stp>
        <tr r="AF52" s="23"/>
      </tp>
      <tp t="s">
        <v>#N/A Requesting Data...2890628868</v>
        <stp/>
        <stp>BDP|13014786521208145106</stp>
        <tr r="AM199" s="23"/>
      </tp>
      <tp t="s">
        <v>#N/A Requesting Data...1005994075</v>
        <stp/>
        <stp>BDP|11439346361058956331</stp>
        <tr r="I27" s="23"/>
      </tp>
      <tp t="s">
        <v>#N/A Requesting Data...2998151151</v>
        <stp/>
        <stp>BDP|15857184969269457436</stp>
        <tr r="B30" s="23"/>
        <tr r="B74" s="23"/>
      </tp>
      <tp t="s">
        <v>#N/A Requesting Data...1363387135</v>
        <stp/>
        <stp>BDP|17459756185332462517</stp>
        <tr r="F12" s="23"/>
      </tp>
      <tp t="s">
        <v>#N/A Requesting Data...3377175327</v>
        <stp/>
        <stp>BDP|13763722460299718433</stp>
        <tr r="AM187" s="23"/>
      </tp>
      <tp t="s">
        <v>#N/A Requesting Data...2412094461</v>
        <stp/>
        <stp>BDP|11076910750064510642</stp>
        <tr r="AM76" s="23"/>
      </tp>
    </main>
    <main first="ice.rtd">
      <tp>
        <v>46267.426669976849</v>
        <stp/>
        <stp>2322725588B0:LstDate</stp>
        <tr r="J2" s="5"/>
      </tp>
      <tp t="s">
        <v/>
        <stp/>
        <stp>2326725628B0:LstDate</stp>
        <tr r="J344" s="5"/>
      </tp>
    </main>
    <main first="bofaddin.rtdserver">
      <tp t="s">
        <v>#N/A Requesting Data...2595616576</v>
        <stp/>
        <stp>BDP|16688800113180621067</stp>
        <tr r="J11" s="23"/>
      </tp>
      <tp t="s">
        <v>#N/A Requesting Data...1837310919</v>
        <stp/>
        <stp>BDP|15647718617915489933</stp>
        <tr r="AW74" s="23"/>
      </tp>
      <tp t="b">
        <v>0</v>
        <stp/>
        <stp>BDH|14338171008473856958</stp>
        <tr r="O20" s="25"/>
        <tr r="O20" s="25"/>
      </tp>
      <tp t="s">
        <v>#N/A N/A</v>
        <stp/>
        <stp>BDH|15432401680036099048</stp>
        <tr r="BC32" s="1"/>
        <tr r="BC32" s="1"/>
      </tp>
      <tp t="s">
        <v>#N/A N/A</v>
        <stp/>
        <stp>BDH|14243880963714384182</stp>
        <tr r="AY34" s="1"/>
      </tp>
      <tp t="b">
        <v>0</v>
        <stp/>
        <stp>BDH|17302697492586989148</stp>
        <tr r="O21" s="25"/>
        <tr r="O21" s="25"/>
      </tp>
      <tp t="s">
        <v>#N/A N/A</v>
        <stp/>
        <stp>BDH|18302528438254992548</stp>
        <tr r="AW44" s="1"/>
      </tp>
      <tp t="s">
        <v>#N/A N/A</v>
        <stp/>
        <stp>BDH|18287341845940353077</stp>
        <tr r="AZ28" s="1"/>
      </tp>
      <tp t="s">
        <v>#N/A N/A</v>
        <stp/>
        <stp>BDH|11888188131715162968</stp>
        <tr r="AZ35" s="1"/>
      </tp>
      <tp t="s">
        <v>#N/A N/A</v>
        <stp/>
        <stp>BDH|12374317985730028618</stp>
        <tr r="C37" s="14"/>
      </tp>
      <tp t="s">
        <v>#N/A N/A</v>
        <stp/>
        <stp>BDH|13351547283561889057</stp>
        <tr r="J41" s="16"/>
      </tp>
      <tp t="s">
        <v>#N/A N/A</v>
        <stp/>
        <stp>BDH|15119424489321332708</stp>
        <tr r="I36" s="14"/>
      </tp>
    </main>
    <main first="ice.rtd">
      <tp>
        <v>6205</v>
        <stp/>
        <stp>2044823525M5:OI</stp>
        <tr r="T1752" s="5"/>
      </tp>
      <tp>
        <v>6205</v>
        <stp/>
        <stp>2044823525M4:OI</stp>
        <tr r="T1751" s="5"/>
      </tp>
      <tp>
        <v>2620</v>
        <stp/>
        <stp>2044823525M7:OI</stp>
        <tr r="T1754" s="5"/>
      </tp>
      <tp>
        <v>2620</v>
        <stp/>
        <stp>2044823525M6:OI</stp>
        <tr r="T1753" s="5"/>
      </tp>
      <tp>
        <v>7465</v>
        <stp/>
        <stp>2044823525M1:OI</stp>
        <tr r="T1748" s="5"/>
      </tp>
      <tp>
        <v>13135</v>
        <stp/>
        <stp>2044823525M0:OI</stp>
        <tr r="T1747" s="5"/>
      </tp>
      <tp>
        <v>6155</v>
        <stp/>
        <stp>2044823525M3:OI</stp>
        <tr r="T1750" s="5"/>
      </tp>
      <tp>
        <v>7503</v>
        <stp/>
        <stp>2044823525M2:OI</stp>
        <tr r="T1749" s="5"/>
      </tp>
      <tp>
        <v>1230</v>
        <stp/>
        <stp>2044823525M9:OI</stp>
        <tr r="T1756" s="5"/>
      </tp>
      <tp>
        <v>2620</v>
        <stp/>
        <stp>2044823525M8:OI</stp>
        <tr r="T1755" s="5"/>
      </tp>
      <tp t="s">
        <v>Invalid Market: 2044823525Q5</v>
        <stp/>
        <stp>2044823525Q5:OI</stp>
        <tr r="T1775" s="5"/>
      </tp>
      <tp>
        <v>0</v>
        <stp/>
        <stp>2044823525Q4:OI</stp>
        <tr r="T1774" s="5"/>
      </tp>
      <tp t="s">
        <v>Invalid Market: 2044823525Q6</v>
        <stp/>
        <stp>2044823525Q6:OI</stp>
        <tr r="T1776" s="5"/>
      </tp>
      <tp>
        <v>0</v>
        <stp/>
        <stp>2044823525Q1:OI</stp>
        <tr r="T1771" s="5"/>
      </tp>
      <tp>
        <v>0</v>
        <stp/>
        <stp>2044823525Q0:OI</stp>
        <tr r="T1770" s="5"/>
      </tp>
      <tp>
        <v>0</v>
        <stp/>
        <stp>2044823525Q3:OI</stp>
        <tr r="T1773" s="5"/>
      </tp>
      <tp>
        <v>0</v>
        <stp/>
        <stp>2044823525Q2:OI</stp>
        <tr r="T1772" s="5"/>
      </tp>
      <tp>
        <v>0</v>
        <stp/>
        <stp>2044823525Y0:OI</stp>
        <tr r="T1777" s="5"/>
      </tp>
    </main>
    <main first="bofaddin.rtdserver">
      <tp t="s">
        <v>#N/A N/A</v>
        <stp/>
        <stp>BDH|17336473244529015180</stp>
        <tr r="N55" s="16"/>
      </tp>
      <tp t="s">
        <v>#N/A N/A</v>
        <stp/>
        <stp>BDH|14198886939875999525</stp>
        <tr r="BB54" s="1"/>
      </tp>
      <tp t="s">
        <v>#N/A</v>
        <stp/>
        <stp>BDP|895025677943178690|222</stp>
        <stp>MUCJ7K7 Comdty</stp>
        <stp>BID</stp>
        <stp>Fill=#N/A</stp>
        <tr r="S27" s="1"/>
      </tp>
      <tp t="s">
        <v>#N/A N/A</v>
        <stp/>
        <stp>BDH|16085801614665932561</stp>
        <tr r="AW39" s="1"/>
      </tp>
    </main>
    <main first="ice.rtd">
      <tp>
        <v>0</v>
        <stp/>
        <stp>2323325594B0:OI</stp>
        <tr r="T958" s="5"/>
      </tp>
    </main>
    <main first="bofaddin.rtdserver">
      <tp t="s">
        <v>#N/A N/A</v>
        <stp/>
        <stp>BDH|15700800157080944737</stp>
        <tr r="AZ23" s="1"/>
      </tp>
      <tp t="s">
        <v>#N/A N/A</v>
        <stp/>
        <stp>BDH|13155699243489510736</stp>
        <tr r="AY65" s="1"/>
      </tp>
      <tp t="s">
        <v>#N/A N/A</v>
        <stp/>
        <stp>BDH|12193086457959583160</stp>
        <tr r="M56" s="16"/>
      </tp>
      <tp t="s">
        <v>#N/A N/A</v>
        <stp/>
        <stp>BDH|11211893510995306240</stp>
        <tr r="AZ55" s="1"/>
      </tp>
      <tp t="s">
        <v>#N/A N/A</v>
        <stp/>
        <stp>BDH|12417751032849866044</stp>
        <tr r="G41" s="16"/>
      </tp>
      <tp t="s">
        <v>#N/A N/A</v>
        <stp/>
        <stp>BDH|15007231919478124145</stp>
        <tr r="AV32" s="1"/>
      </tp>
      <tp t="s">
        <v>#N/A N/A</v>
        <stp/>
        <stp>BDH|17243120771078754680</stp>
        <tr r="BA23" s="1"/>
      </tp>
    </main>
    <main first="esrtd">
      <tp t="s">
        <v/>
        <stp/>
        <stp>ARV F27-IEU</stp>
        <stp>ICE Theoretical Price</stp>
        <tr r="W1750" s="5"/>
      </tp>
      <tp t="s">
        <v/>
        <stp/>
        <stp>ARV G27-IEU</stp>
        <stp>ICE Theoretical Price</stp>
        <tr r="W1751" s="5"/>
      </tp>
      <tp t="s">
        <v/>
        <stp/>
        <stp>ARV H27-IEU</stp>
        <stp>ICE Theoretical Price</stp>
        <tr r="W1752" s="5"/>
      </tp>
      <tp t="s">
        <v/>
        <stp/>
        <stp>ARV J27-IEU</stp>
        <stp>ICE Theoretical Price</stp>
        <tr r="W1753" s="5"/>
      </tp>
      <tp t="s">
        <v/>
        <stp/>
        <stp>ARV K27-IEU</stp>
        <stp>ICE Theoretical Price</stp>
        <tr r="W1754" s="5"/>
      </tp>
      <tp t="s">
        <v/>
        <stp/>
        <stp>ARV M27-IEU</stp>
        <stp>ICE Theoretical Price</stp>
        <tr r="W1755" s="5"/>
      </tp>
      <tp t="s">
        <v/>
        <stp/>
        <stp>ARV N27-IEU</stp>
        <stp>ICE Theoretical Price</stp>
        <tr r="W1756" s="5"/>
      </tp>
      <tp t="s">
        <v/>
        <stp/>
        <stp>ARV Q27-IEU</stp>
        <stp>ICE Theoretical Price</stp>
        <tr r="W1757" s="5"/>
      </tp>
      <tp t="s">
        <v/>
        <stp/>
        <stp>ARV U27-IEU</stp>
        <stp>ICE Theoretical Price</stp>
        <tr r="W1758" s="5"/>
      </tp>
      <tp t="s">
        <v/>
        <stp/>
        <stp>ARV V27-IEU</stp>
        <stp>ICE Theoretical Price</stp>
        <tr r="W1759" s="5"/>
      </tp>
      <tp t="s">
        <v/>
        <stp/>
        <stp>ARV X27-IEU</stp>
        <stp>ICE Theoretical Price</stp>
        <tr r="W1760" s="5"/>
      </tp>
      <tp t="s">
        <v/>
        <stp/>
        <stp>ARV Z27-IEU</stp>
        <stp>ICE Theoretical Price</stp>
        <tr r="W1761" s="5"/>
      </tp>
    </main>
    <main first="bofaddin.rtdserver">
      <tp>
        <v>2.1</v>
        <stp/>
        <stp>BDP|5826523298648195530|22</stp>
        <stp>CLZ8CLZ9 Comdty</stp>
        <stp>BID</stp>
        <tr r="B4" s="3"/>
      </tp>
      <tp t="s">
        <v>#N/A N/A</v>
        <stp/>
        <stp>BDP|9605867328429301018|22</stp>
        <stp>XBZ8XBZ9 Comdty</stp>
        <stp>BID</stp>
        <tr r="F4" s="3"/>
      </tp>
      <tp>
        <v>73.75</v>
        <stp/>
        <stp>BDP|13754619967617856057|222</stp>
        <stp>QSU6QSV6 Comdty</stp>
        <stp>BID</stp>
        <stp>Fill=#N/A</stp>
        <tr r="P20" s="1"/>
      </tp>
      <tp>
        <v>0.12</v>
        <stp/>
        <stp>BDP|13403988959475177390|222</stp>
        <stp>COG0COH0 Comdty</stp>
        <stp>ASK</stp>
        <stp>Fill=#N/A</stp>
        <tr r="O61" s="1"/>
      </tp>
      <tp t="s">
        <v>#N/A Invalid Security</v>
        <stp/>
        <stp>BDP|12485332186370488005|222</stp>
        <stp>HOG0HOH0 Comdty</stp>
        <stp>BID</stp>
        <stp>Fill=#N/A</stp>
        <tr r="Q61" s="1"/>
      </tp>
      <tp>
        <v>3.36</v>
        <stp/>
        <stp>BDP|11421114973636555807|222</stp>
        <stp>HOK8HOM8 Comdty</stp>
        <stp>ASK</stp>
        <stp>Fill=#N/A</stp>
        <tr r="Q40" s="1"/>
      </tp>
    </main>
    <main first="ice.rtd">
      <tp t="s">
        <v>PDB</v>
        <stp/>
        <stp>15061297QQ1:PCC</stp>
        <tr r="B1712" s="5"/>
      </tp>
      <tp t="s">
        <v>PDB</v>
        <stp/>
        <stp>15061297QQ0:PCC</stp>
        <tr r="B1711" s="5"/>
      </tp>
    </main>
    <main first="bofaddin.rtdserver">
      <tp>
        <v>0.17</v>
        <stp/>
        <stp>BDP|10133442922865360959|222</stp>
        <stp>CLX8CLZ8 Comdty</stp>
        <stp>ASK</stp>
        <stp>Fill=#N/A</stp>
        <tr r="N46" s="1"/>
      </tp>
      <tp>
        <v>13.24</v>
        <stp/>
        <stp>BDP|10070340989707225489|222</stp>
        <stp>HOG7HOH7 Comdty</stp>
        <stp>ASK</stp>
        <stp>Fill=#N/A</stp>
        <tr r="Q25" s="1"/>
      </tp>
    </main>
    <main first="ice.rtd">
      <tp t="s">
        <v/>
        <stp/>
        <stp>30793693M24:LstBlkTime</stp>
        <tr r="M907" s="5"/>
      </tp>
      <tp t="s">
        <v/>
        <stp/>
        <stp>30793693M23:LstBlkTime</stp>
        <tr r="M906" s="5"/>
      </tp>
      <tp t="s">
        <v/>
        <stp/>
        <stp>30793693M22:LstBlkTime</stp>
        <tr r="M905" s="5"/>
      </tp>
      <tp t="s">
        <v/>
        <stp/>
        <stp>30793693M21:LstBlkTime</stp>
        <tr r="M904" s="5"/>
      </tp>
      <tp t="s">
        <v/>
        <stp/>
        <stp>30793693M20:LstBlkTime</stp>
        <tr r="M903" s="5"/>
      </tp>
      <tp t="s">
        <v/>
        <stp/>
        <stp>30793693M17:LstBlkTime</stp>
        <tr r="M900" s="5"/>
      </tp>
      <tp t="s">
        <v/>
        <stp/>
        <stp>30793693M16:LstBlkTime</stp>
        <tr r="M899" s="5"/>
      </tp>
      <tp t="s">
        <v/>
        <stp/>
        <stp>30793693M15:LstBlkTime</stp>
        <tr r="M898" s="5"/>
      </tp>
      <tp t="s">
        <v/>
        <stp/>
        <stp>30793693M14:LstBlkTime</stp>
        <tr r="M897" s="5"/>
      </tp>
      <tp t="s">
        <v/>
        <stp/>
        <stp>30793693M13:LstBlkTime</stp>
        <tr r="M896" s="5"/>
      </tp>
      <tp t="s">
        <v/>
        <stp/>
        <stp>30793693M12:LstBlkTime</stp>
        <tr r="M895" s="5"/>
      </tp>
      <tp t="s">
        <v/>
        <stp/>
        <stp>30793693M11:LstBlkTime</stp>
        <tr r="M894" s="5"/>
      </tp>
      <tp t="s">
        <v/>
        <stp/>
        <stp>30793693M10:LstBlkTime</stp>
        <tr r="M893" s="5"/>
      </tp>
      <tp t="s">
        <v/>
        <stp/>
        <stp>30793693M19:LstBlkTime</stp>
        <tr r="M902" s="5"/>
      </tp>
      <tp t="s">
        <v/>
        <stp/>
        <stp>30793693M18:LstBlkTime</stp>
        <tr r="M901" s="5"/>
      </tp>
    </main>
    <main first="bofaddin.rtdserver">
      <tp t="s">
        <v>#N/A</v>
        <stp/>
        <stp>BDP|16489203753083054656|222</stp>
        <stp>HOM9HON9 Comdty</stp>
        <stp>BID</stp>
        <stp>Fill=#N/A</stp>
        <tr r="Q53" s="1"/>
      </tp>
      <tp>
        <v>0.82</v>
        <stp/>
        <stp>BDP|16776817416772157285|222</stp>
        <stp>COM7CON7 Comdty</stp>
        <stp>ASK</stp>
        <stp>Fill=#N/A</stp>
        <tr r="O29" s="1"/>
      </tp>
      <tp>
        <v>0.9</v>
        <stp/>
        <stp>BDP|14635935462540067638|222</stp>
        <stp>CLK7CLM7 Comdty</stp>
        <stp>BID</stp>
        <stp>Fill=#N/A</stp>
        <tr r="N28" s="1"/>
      </tp>
      <tp>
        <v>1.93</v>
        <stp/>
        <stp>BDP|16317616720473511776|222</stp>
        <stp>COG7COH7 Comdty</stp>
        <stp>BID</stp>
        <stp>Fill=#N/A</stp>
        <tr r="O25" s="1"/>
      </tp>
      <tp>
        <v>16.48</v>
        <stp/>
        <stp>BDP|12631207839696225067|222</stp>
        <stp>XBU8XBV8 Comdty</stp>
        <stp>ASK</stp>
        <stp>Fill=#N/A</stp>
        <tr r="R44" s="1"/>
      </tp>
    </main>
    <main first="ice.rtd">
      <tp t="s">
        <v/>
        <stp/>
        <stp>57179020M4:LstBlkPrc</stp>
        <tr r="K1551" s="5"/>
      </tp>
      <tp t="s">
        <v/>
        <stp/>
        <stp>57179020Q4:LstBlkPrc</stp>
        <tr r="K1576" s="5"/>
      </tp>
      <tp t="s">
        <v/>
        <stp/>
        <stp>16331513M0:LstBlkPrc</stp>
        <tr r="K1415" s="5"/>
      </tp>
      <tp t="s">
        <v/>
        <stp/>
        <stp>16341514M0:LstBlkPrc</stp>
        <tr r="K1453" s="5"/>
      </tp>
      <tp t="s">
        <v/>
        <stp/>
        <stp>16351515M0:LstBlkPrc</stp>
        <tr r="K1491" s="5"/>
      </tp>
      <tp t="s">
        <v/>
        <stp/>
        <stp>16331513Y0:LstBlkPrc</stp>
        <tr r="K1449" s="5"/>
      </tp>
      <tp t="s">
        <v/>
        <stp/>
        <stp>16341514Y0:LstBlkPrc</stp>
        <tr r="K1487" s="5"/>
      </tp>
      <tp t="s">
        <v/>
        <stp/>
        <stp>16351515Y0:LstBlkPrc</stp>
        <tr r="K1525" s="5"/>
      </tp>
      <tp t="s">
        <v/>
        <stp/>
        <stp>16331513Q0:LstBlkPrc</stp>
        <tr r="K1440" s="5"/>
      </tp>
      <tp t="s">
        <v/>
        <stp/>
        <stp>16341514Q0:LstBlkPrc</stp>
        <tr r="K1478" s="5"/>
      </tp>
      <tp t="s">
        <v/>
        <stp/>
        <stp>16351515Q0:LstBlkPrc</stp>
        <tr r="K1516" s="5"/>
      </tp>
      <tp t="s">
        <v/>
        <stp/>
        <stp>161913535MM5:BstHitPrc</stp>
        <tr r="G2032" s="5"/>
      </tp>
      <tp t="s">
        <v/>
        <stp/>
        <stp>15091310M5:LstBlkPrc</stp>
        <tr r="K1382" s="5"/>
      </tp>
      <tp t="s">
        <v/>
        <stp/>
        <stp>15091310Q5:LstBlkPrc</stp>
        <tr r="K1407" s="5"/>
      </tp>
      <tp t="s">
        <v/>
        <stp/>
        <stp>30813691M5:LstBlkPrc</stp>
        <tr r="K1958" s="5"/>
      </tp>
      <tp t="s">
        <v/>
        <stp/>
        <stp>35534143M7:LstBlkPrc</stp>
        <tr r="K715" s="5"/>
      </tp>
      <tp t="s">
        <v/>
        <stp/>
        <stp>35544144M7:LstBlkPrc</stp>
        <tr r="K639" s="5"/>
      </tp>
      <tp t="s">
        <v/>
        <stp/>
        <stp>35554145M7:LstBlkPrc</stp>
        <tr r="K677" s="5"/>
      </tp>
      <tp t="s">
        <v/>
        <stp/>
        <stp>35534143Q7:LstBlkPrc</stp>
        <tr r="K740" s="5"/>
      </tp>
      <tp t="s">
        <v/>
        <stp/>
        <stp>35544144Q7:LstBlkPrc</stp>
        <tr r="K664" s="5"/>
      </tp>
      <tp t="s">
        <v/>
        <stp/>
        <stp>35554145Q7:LstBlkPrc</stp>
        <tr r="K702" s="5"/>
      </tp>
      <tp t="s">
        <v/>
        <stp/>
        <stp>30813691Q5:LstBlkPrc</stp>
        <tr r="K1983" s="5"/>
      </tp>
      <tp t="s">
        <v/>
        <stp/>
        <stp>1986923076M9:LstBlkPrc</stp>
        <tr r="K164" s="5"/>
      </tp>
      <tp t="s">
        <v/>
        <stp/>
        <stp>34344092Q7:BstHitPrc</stp>
        <tr r="G1295" s="5"/>
      </tp>
      <tp t="s">
        <v/>
        <stp/>
        <stp>34354093Q7:BstHitPrc</stp>
        <tr r="G1333" s="5"/>
      </tp>
      <tp t="s">
        <v/>
        <stp/>
        <stp>34344092M7:BstHitPrc</stp>
        <tr r="G1270" s="5"/>
      </tp>
      <tp t="s">
        <v/>
        <stp/>
        <stp>34354093M7:BstHitPrc</stp>
        <tr r="G1308" s="5"/>
      </tp>
      <tp t="s">
        <v/>
        <stp/>
        <stp>34364094Q7:BstHitPrc</stp>
        <tr r="G550" s="5"/>
      </tp>
      <tp t="s">
        <v/>
        <stp/>
        <stp>34374095Q7:BstHitPrc</stp>
        <tr r="G588" s="5"/>
      </tp>
      <tp t="s">
        <v/>
        <stp/>
        <stp>34364094M7:BstHitPrc</stp>
        <tr r="G525" s="5"/>
      </tp>
      <tp t="s">
        <v/>
        <stp/>
        <stp>34374095M7:BstHitPrc</stp>
        <tr r="G563" s="5"/>
      </tp>
      <tp t="s">
        <v/>
        <stp/>
        <stp>15141311T5:LstBlkPrc</stp>
        <tr r="K1533" s="5"/>
      </tp>
      <tp t="s">
        <v/>
        <stp/>
        <stp>1986823075M9:LstBlkPrc</stp>
        <tr r="K126" s="5"/>
      </tp>
      <tp t="s">
        <v/>
        <stp/>
        <stp>57409036M4:LstBlkPrc</stp>
        <tr r="K235" s="5"/>
      </tp>
      <tp>
        <v>-8.07</v>
        <stp/>
        <stp>57409036Q4:LstBlkPrc</stp>
        <tr r="K260" s="5"/>
      </tp>
      <tp t="s">
        <v/>
        <stp/>
        <stp>34404098Q7:BstHitPrc</stp>
        <tr r="G626" s="5"/>
      </tp>
      <tp t="s">
        <v/>
        <stp/>
        <stp>34414099Q7:BstHitPrc</stp>
        <tr r="G111" s="5"/>
      </tp>
      <tp t="s">
        <v/>
        <stp/>
        <stp>34404098M7:BstHitPrc</stp>
        <tr r="G601" s="5"/>
      </tp>
      <tp t="s">
        <v/>
        <stp/>
        <stp>34414099M7:BstHitPrc</stp>
        <tr r="G86" s="5"/>
      </tp>
      <tp t="s">
        <v/>
        <stp/>
        <stp>1840020882M7:LstBlkPrc</stp>
        <tr r="K1589" s="5"/>
      </tp>
      <tp t="s">
        <v>Oct26/Apr27</v>
        <stp/>
        <stp>DBI1227MM13:Strip</stp>
        <tr r="E1664" s="5"/>
      </tp>
      <tp t="s">
        <v>Dec26/Jan27</v>
        <stp/>
        <stp>DBI1227MM23:Strip</stp>
        <tr r="E1674" s="5"/>
      </tp>
      <tp t="s">
        <v/>
        <stp/>
        <stp>17551596T1:BstHitPrc</stp>
        <tr r="G1538" s="5"/>
      </tp>
      <tp t="s">
        <v/>
        <stp/>
        <stp>32613992Q8:BstHitPrc</stp>
        <tr r="G1258" s="5"/>
      </tp>
      <tp t="s">
        <v/>
        <stp/>
        <stp>32613992M8:BstHitPrc</stp>
        <tr r="G1233" s="5"/>
      </tp>
      <tp t="s">
        <v/>
        <stp/>
        <stp>32623993Q8:BstHitPrc</stp>
        <tr r="G2023" s="5"/>
      </tp>
      <tp t="s">
        <v/>
        <stp/>
        <stp>32623993M8:BstHitPrc</stp>
        <tr r="G1998" s="5"/>
      </tp>
      <tp>
        <v>18.899999999999999</v>
        <stp/>
        <stp>46678127M4:LstBlkPrc</stp>
        <tr r="K349" s="5"/>
      </tp>
      <tp t="s">
        <v/>
        <stp/>
        <stp>46678127Q4:LstBlkPrc</stp>
        <tr r="K374" s="5"/>
      </tp>
      <tp t="s">
        <v/>
        <stp/>
        <stp>30793693Q5:BstHitPrc</stp>
        <tr r="G913" s="5"/>
      </tp>
      <tp t="s">
        <v/>
        <stp/>
        <stp>30793693M5:BstHitPrc</stp>
        <tr r="G888" s="5"/>
      </tp>
      <tp t="s">
        <v/>
        <stp/>
        <stp>161913535MM5:LstBlkPrc</stp>
        <tr r="K2032" s="5"/>
      </tp>
      <tp t="s">
        <v/>
        <stp/>
        <stp>30813691Q5:BstHitPrc</stp>
        <tr r="G1983" s="5"/>
      </tp>
      <tp t="s">
        <v/>
        <stp/>
        <stp>35534143Q7:BstHitPrc</stp>
        <tr r="G740" s="5"/>
      </tp>
      <tp t="s">
        <v/>
        <stp/>
        <stp>35544144Q7:BstHitPrc</stp>
        <tr r="G664" s="5"/>
      </tp>
      <tp t="s">
        <v/>
        <stp/>
        <stp>35554145Q7:BstHitPrc</stp>
        <tr r="G702" s="5"/>
      </tp>
      <tp t="s">
        <v/>
        <stp/>
        <stp>35534143M7:BstHitPrc</stp>
        <tr r="G715" s="5"/>
      </tp>
      <tp t="s">
        <v/>
        <stp/>
        <stp>35544144M7:BstHitPrc</stp>
        <tr r="G639" s="5"/>
      </tp>
      <tp t="s">
        <v/>
        <stp/>
        <stp>35554145M7:BstHitPrc</stp>
        <tr r="G677" s="5"/>
      </tp>
      <tp t="s">
        <v/>
        <stp/>
        <stp>30813691M5:BstHitPrc</stp>
        <tr r="G1958" s="5"/>
      </tp>
      <tp t="s">
        <v/>
        <stp/>
        <stp>15091310Q5:BstHitPrc</stp>
        <tr r="G1407" s="5"/>
      </tp>
      <tp t="s">
        <v/>
        <stp/>
        <stp>15091310M5:BstHitPrc</stp>
        <tr r="G1382" s="5"/>
      </tp>
      <tp t="s">
        <v/>
        <stp/>
        <stp>1986923076M9:BstHitPrc</stp>
        <tr r="G164" s="5"/>
      </tp>
      <tp t="s">
        <v/>
        <stp/>
        <stp>15141311T5:BstHitPrc</stp>
        <tr r="G1533" s="5"/>
      </tp>
      <tp t="s">
        <v/>
        <stp/>
        <stp>34344092M7:LstBlkPrc</stp>
        <tr r="K1270" s="5"/>
      </tp>
      <tp t="s">
        <v/>
        <stp/>
        <stp>34354093M7:LstBlkPrc</stp>
        <tr r="K1308" s="5"/>
      </tp>
      <tp t="s">
        <v/>
        <stp/>
        <stp>34344092Q7:LstBlkPrc</stp>
        <tr r="K1295" s="5"/>
      </tp>
      <tp t="s">
        <v/>
        <stp/>
        <stp>34354093Q7:LstBlkPrc</stp>
        <tr r="K1333" s="5"/>
      </tp>
      <tp t="s">
        <v/>
        <stp/>
        <stp>34364094M7:LstBlkPrc</stp>
        <tr r="K525" s="5"/>
      </tp>
      <tp t="s">
        <v/>
        <stp/>
        <stp>34374095M7:LstBlkPrc</stp>
        <tr r="K563" s="5"/>
      </tp>
      <tp t="s">
        <v/>
        <stp/>
        <stp>34364094Q7:LstBlkPrc</stp>
        <tr r="K550" s="5"/>
      </tp>
      <tp t="s">
        <v/>
        <stp/>
        <stp>34374095Q7:LstBlkPrc</stp>
        <tr r="K588" s="5"/>
      </tp>
      <tp t="s">
        <v/>
        <stp/>
        <stp>1986823075M9:BstHitPrc</stp>
        <tr r="G126" s="5"/>
      </tp>
      <tp t="s">
        <v/>
        <stp/>
        <stp>57179020Q4:BstHitPrc</stp>
        <tr r="G1576" s="5"/>
      </tp>
      <tp t="s">
        <v/>
        <stp/>
        <stp>57179020M4:BstHitPrc</stp>
        <tr r="G1551" s="5"/>
      </tp>
      <tp t="s">
        <v/>
        <stp/>
        <stp>16331513Q0:BstHitPrc</stp>
        <tr r="G1440" s="5"/>
      </tp>
      <tp t="s">
        <v/>
        <stp/>
        <stp>16341514Q0:BstHitPrc</stp>
        <tr r="G1478" s="5"/>
      </tp>
      <tp t="s">
        <v/>
        <stp/>
        <stp>16351515Q0:BstHitPrc</stp>
        <tr r="G1516" s="5"/>
      </tp>
      <tp t="s">
        <v/>
        <stp/>
        <stp>16331513Y0:BstHitPrc</stp>
        <tr r="G1449" s="5"/>
      </tp>
      <tp t="s">
        <v/>
        <stp/>
        <stp>16341514Y0:BstHitPrc</stp>
        <tr r="G1487" s="5"/>
      </tp>
      <tp t="s">
        <v/>
        <stp/>
        <stp>16351515Y0:BstHitPrc</stp>
        <tr r="G1525" s="5"/>
      </tp>
      <tp t="s">
        <v/>
        <stp/>
        <stp>16331513M0:BstHitPrc</stp>
        <tr r="G1415" s="5"/>
      </tp>
      <tp t="s">
        <v/>
        <stp/>
        <stp>16341514M0:BstHitPrc</stp>
        <tr r="G1453" s="5"/>
      </tp>
      <tp t="s">
        <v/>
        <stp/>
        <stp>16351515M0:BstHitPrc</stp>
        <tr r="G1491" s="5"/>
      </tp>
      <tp>
        <v>100.5</v>
        <stp/>
        <stp>32623993M8:LstBlkPrc</stp>
        <tr r="K1998" s="5"/>
      </tp>
      <tp t="s">
        <v/>
        <stp/>
        <stp>32623993Q8:LstBlkPrc</stp>
        <tr r="K2023" s="5"/>
      </tp>
      <tp t="s">
        <v/>
        <stp/>
        <stp>32613992M8:LstBlkPrc</stp>
        <tr r="K1233" s="5"/>
      </tp>
      <tp t="s">
        <v/>
        <stp/>
        <stp>32613992Q8:LstBlkPrc</stp>
        <tr r="K1258" s="5"/>
      </tp>
      <tp t="s">
        <v/>
        <stp/>
        <stp>30793693M5:LstBlkPrc</stp>
        <tr r="K888" s="5"/>
      </tp>
      <tp t="s">
        <v/>
        <stp/>
        <stp>30793693Q5:LstBlkPrc</stp>
        <tr r="K913" s="5"/>
      </tp>
      <tp>
        <v>11.45</v>
        <stp/>
        <stp>46678127Q4:BstHitPrc</stp>
        <tr r="G374" s="5"/>
      </tp>
      <tp>
        <v>18.55</v>
        <stp/>
        <stp>46678127M4:BstHitPrc</stp>
        <tr r="G349" s="5"/>
      </tp>
      <tp>
        <v>-11.58</v>
        <stp/>
        <stp>57409036Q4:BstHitPrc</stp>
        <tr r="G260" s="5"/>
      </tp>
      <tp>
        <v>-8.23</v>
        <stp/>
        <stp>57409036M4:BstHitPrc</stp>
        <tr r="G235" s="5"/>
      </tp>
      <tp t="s">
        <v/>
        <stp/>
        <stp>34404098M7:LstBlkPrc</stp>
        <tr r="K601" s="5"/>
      </tp>
      <tp t="s">
        <v/>
        <stp/>
        <stp>34414099M7:LstBlkPrc</stp>
        <tr r="K86" s="5"/>
      </tp>
      <tp t="s">
        <v/>
        <stp/>
        <stp>34404098Q7:LstBlkPrc</stp>
        <tr r="K626" s="5"/>
      </tp>
      <tp t="s">
        <v/>
        <stp/>
        <stp>34414099Q7:LstBlkPrc</stp>
        <tr r="K111" s="5"/>
      </tp>
      <tp t="s">
        <v/>
        <stp/>
        <stp>1840020882M7:BstHitPrc</stp>
        <tr r="G1589" s="5"/>
      </tp>
      <tp t="s">
        <v/>
        <stp/>
        <stp>17551596T1:LstBlkPrc</stp>
        <tr r="K1538" s="5"/>
      </tp>
      <tp>
        <v>5</v>
        <stp/>
        <stp>30793693M3:LstBlkVol</stp>
        <tr r="L886" s="5"/>
      </tp>
      <tp t="s">
        <v/>
        <stp/>
        <stp>30793693Q3:LstBlkVol</stp>
        <tr r="L911" s="5"/>
      </tp>
    </main>
    <main first="bofaddin.rtdserver">
      <tp t="s">
        <v>#N/A Invalid Security</v>
        <stp/>
        <stp>BDP|858496121990538333|222</stp>
        <stp>HOK0 Comdty</stp>
        <stp>ASK</stp>
        <stp>Fill=#N/A</stp>
        <tr r="I63" s="1"/>
      </tp>
      <tp>
        <v>304.68</v>
        <stp/>
        <stp>BDP|138784815602750248|222</stp>
        <stp>HOM8 Comdty</stp>
        <stp>ASK</stp>
        <stp>Fill=#N/A</stp>
        <tr r="I40" s="1"/>
      </tp>
    </main>
    <main first="ice.rtd">
      <tp t="s">
        <v/>
        <stp/>
        <stp>17551596T7:LstBlkVol</stp>
        <tr r="L1544" s="5"/>
      </tp>
      <tp t="s">
        <v/>
        <stp/>
        <stp>34404098M1:LstBlkVol</stp>
        <tr r="L595" s="5"/>
      </tp>
      <tp>
        <v>5</v>
        <stp/>
        <stp>34414099M1:LstBlkVol</stp>
        <tr r="L80" s="5"/>
      </tp>
      <tp t="s">
        <v/>
        <stp/>
        <stp>34404098Y1:LstBlkVol</stp>
        <tr r="L629" s="5"/>
      </tp>
      <tp t="s">
        <v/>
        <stp/>
        <stp>34414099Y1:LstBlkVol</stp>
        <tr r="L114" s="5"/>
      </tp>
      <tp t="s">
        <v/>
        <stp/>
        <stp>34404098Q1:LstBlkVol</stp>
        <tr r="L620" s="5"/>
      </tp>
      <tp t="s">
        <v/>
        <stp/>
        <stp>34414099Q1:LstBlkVol</stp>
        <tr r="L105" s="5"/>
      </tp>
      <tp>
        <v>5</v>
        <stp/>
        <stp>34364094M1:LstBlkVol</stp>
        <tr r="L519" s="5"/>
      </tp>
      <tp>
        <v>5</v>
        <stp/>
        <stp>34374095M1:LstBlkVol</stp>
        <tr r="L557" s="5"/>
      </tp>
      <tp t="s">
        <v/>
        <stp/>
        <stp>34364094Y1:LstBlkVol</stp>
        <tr r="L553" s="5"/>
      </tp>
      <tp t="s">
        <v/>
        <stp/>
        <stp>34374095Y1:LstBlkVol</stp>
        <tr r="L591" s="5"/>
      </tp>
      <tp t="s">
        <v/>
        <stp/>
        <stp>34364094Q1:LstBlkVol</stp>
        <tr r="L544" s="5"/>
      </tp>
      <tp t="s">
        <v/>
        <stp/>
        <stp>34374095Q1:LstBlkVol</stp>
        <tr r="L582" s="5"/>
      </tp>
      <tp t="s">
        <v/>
        <stp/>
        <stp>34344092M1:LstBlkVol</stp>
        <tr r="L1264" s="5"/>
      </tp>
      <tp>
        <v>40</v>
        <stp/>
        <stp>34354093M1:LstBlkVol</stp>
        <tr r="L1302" s="5"/>
      </tp>
      <tp t="s">
        <v/>
        <stp/>
        <stp>34344092Y1:LstBlkVol</stp>
        <tr r="L1298" s="5"/>
      </tp>
      <tp>
        <v>1</v>
        <stp/>
        <stp>34354093Y1:LstBlkVol</stp>
        <tr r="L1336" s="5"/>
      </tp>
      <tp t="s">
        <v/>
        <stp/>
        <stp>34344092Q1:LstBlkVol</stp>
        <tr r="L1289" s="5"/>
      </tp>
      <tp>
        <v>50</v>
        <stp/>
        <stp>34354093Q1:LstBlkVol</stp>
        <tr r="L1327" s="5"/>
      </tp>
      <tp t="s">
        <v/>
        <stp/>
        <stp>161913535MM3:LstBlkVol</stp>
        <tr r="L2030" s="5"/>
      </tp>
      <tp t="s">
        <v/>
        <stp/>
        <stp>1923422331M9:LstBlkVol</stp>
        <tr r="L1636" s="5"/>
      </tp>
      <tp t="s">
        <v/>
        <stp/>
        <stp>1581618115M9:LstBlkVol</stp>
        <tr r="L468" s="5"/>
      </tp>
      <tp t="s">
        <v/>
        <stp/>
        <stp>2044823525M8:LstBlkVol</stp>
        <tr r="L1755" s="5"/>
      </tp>
      <tp t="s">
        <v/>
        <stp/>
        <stp>2427026287M19:BstLiftPrc</stp>
        <tr r="H1168" s="5"/>
      </tp>
      <tp t="s">
        <v/>
        <stp/>
        <stp>2427026287M18:BstLiftPrc</stp>
        <tr r="H1167" s="5"/>
      </tp>
      <tp t="s">
        <v/>
        <stp/>
        <stp>2427026287M15:BstLiftPrc</stp>
        <tr r="H1164" s="5"/>
      </tp>
      <tp t="s">
        <v/>
        <stp/>
        <stp>2427026287M14:BstLiftPrc</stp>
        <tr r="H1163" s="5"/>
      </tp>
      <tp t="s">
        <v/>
        <stp/>
        <stp>2427026287M17:BstLiftPrc</stp>
        <tr r="H1166" s="5"/>
      </tp>
      <tp t="s">
        <v/>
        <stp/>
        <stp>2427026287M16:BstLiftPrc</stp>
        <tr r="H1165" s="5"/>
      </tp>
      <tp t="s">
        <v/>
        <stp/>
        <stp>2427026287M11:BstLiftPrc</stp>
        <tr r="H1160" s="5"/>
      </tp>
      <tp t="s">
        <v/>
        <stp/>
        <stp>2427026287M10:BstLiftPrc</stp>
        <tr r="H1159" s="5"/>
      </tp>
      <tp t="s">
        <v/>
        <stp/>
        <stp>2427026287M13:BstLiftPrc</stp>
        <tr r="H1162" s="5"/>
      </tp>
      <tp t="s">
        <v/>
        <stp/>
        <stp>2427026287M12:BstLiftPrc</stp>
        <tr r="H1161" s="5"/>
      </tp>
      <tp t="s">
        <v/>
        <stp/>
        <stp>2427026287M24:BstLiftPrc</stp>
        <tr r="H1173" s="5"/>
      </tp>
      <tp t="s">
        <v/>
        <stp/>
        <stp>2427026287M21:BstLiftPrc</stp>
        <tr r="H1170" s="5"/>
      </tp>
      <tp t="s">
        <v/>
        <stp/>
        <stp>2427026287M20:BstLiftPrc</stp>
        <tr r="H1169" s="5"/>
      </tp>
      <tp t="s">
        <v/>
        <stp/>
        <stp>2427026287M23:BstLiftPrc</stp>
        <tr r="H1172" s="5"/>
      </tp>
      <tp t="s">
        <v/>
        <stp/>
        <stp>2427026287M22:BstLiftPrc</stp>
        <tr r="H1171" s="5"/>
      </tp>
      <tp t="s">
        <v/>
        <stp/>
        <stp>57409036M2:LstBlkVol</stp>
        <tr r="L233" s="5"/>
      </tp>
      <tp>
        <v>65</v>
        <stp/>
        <stp>57409036Q2:LstBlkVol</stp>
        <tr r="L258" s="5"/>
      </tp>
      <tp t="s">
        <v/>
        <stp/>
        <stp>57409036Y2:LstBlkVol</stp>
        <tr r="L267" s="5"/>
      </tp>
      <tp t="s">
        <v>SYS</v>
        <stp/>
        <stp>366531YY0:PCC</stp>
        <tr r="B1745" s="5"/>
      </tp>
    </main>
    <main first="esrtd">
      <tp t="s">
        <v/>
        <stp/>
        <stp>BRN 26UC13000-ICE</stp>
        <stp>Market</stp>
        <tr r="AQ120" s="23"/>
      </tp>
      <tp t="s">
        <v/>
        <stp/>
        <stp>BRN 26UP13000-ICE</stp>
        <stp>Market</stp>
        <tr r="AJ120" s="23"/>
      </tp>
    </main>
    <main first="ice.rtd">
      <tp t="s">
        <v/>
        <stp/>
        <stp>1840020882Q1:LstBlkVol</stp>
        <tr r="L1600" s="5"/>
      </tp>
      <tp t="s">
        <v/>
        <stp/>
        <stp>1840020882M1:LstBlkVol</stp>
        <tr r="L1583" s="5"/>
      </tp>
      <tp>
        <v>50</v>
        <stp/>
        <stp>46678127M2:LstBlkVol</stp>
        <tr r="L347" s="5"/>
      </tp>
      <tp>
        <v>25</v>
        <stp/>
        <stp>46678127Q2:LstBlkVol</stp>
        <tr r="L372" s="5"/>
      </tp>
      <tp t="s">
        <v>Invalid Market: 46678127Y2</v>
        <stp/>
        <stp>46678127Y2:LstBlkVol</stp>
        <tr r="L381" s="5"/>
      </tp>
    </main>
    <main first="esrtd">
      <tp t="s">
        <v/>
        <stp/>
        <stp>BRN 26VC13000-ICE</stp>
        <stp>Market</stp>
        <tr r="AQ191" s="23"/>
      </tp>
      <tp t="s">
        <v/>
        <stp/>
        <stp>BRN 26VP13000-ICE</stp>
        <stp>Market</stp>
        <tr r="AJ191" s="23"/>
      </tp>
      <tp t="s">
        <v/>
        <stp/>
        <stp>BRN 26VC13100-ICE</stp>
        <stp>Market</stp>
        <tr r="AQ192" s="23"/>
      </tp>
      <tp t="s">
        <v/>
        <stp/>
        <stp>BRN 26VP13100-ICE</stp>
        <stp>Market</stp>
        <tr r="AJ192" s="23"/>
      </tp>
    </main>
    <main first="ice.rtd">
      <tp t="s">
        <v/>
        <stp/>
        <stp>16331513M6:LstBlkVol</stp>
        <tr r="L1421" s="5"/>
      </tp>
      <tp t="s">
        <v/>
        <stp/>
        <stp>16341514M6:LstBlkVol</stp>
        <tr r="L1459" s="5"/>
      </tp>
      <tp t="s">
        <v/>
        <stp/>
        <stp>16351515M6:LstBlkVol</stp>
        <tr r="L1497" s="5"/>
      </tp>
      <tp t="s">
        <v/>
        <stp/>
        <stp>16331513Q6:LstBlkVol</stp>
        <tr r="L1446" s="5"/>
      </tp>
      <tp t="s">
        <v/>
        <stp/>
        <stp>16341514Q6:LstBlkVol</stp>
        <tr r="L1484" s="5"/>
      </tp>
      <tp t="s">
        <v/>
        <stp/>
        <stp>16351515Q6:LstBlkVol</stp>
        <tr r="L1522" s="5"/>
      </tp>
      <tp>
        <v>-7.95</v>
        <stp/>
        <stp>1581618115M11:BstLiftPrc</stp>
        <tr r="H470" s="5"/>
      </tp>
      <tp>
        <v>-8.5500000000000007</v>
        <stp/>
        <stp>1581618115M10:BstLiftPrc</stp>
        <tr r="H469" s="5"/>
      </tp>
      <tp>
        <v>-3.1</v>
        <stp/>
        <stp>1581618115M13:BstLiftPrc</stp>
        <tr r="H472" s="5"/>
      </tp>
      <tp>
        <v>-6.9</v>
        <stp/>
        <stp>1581618115M12:BstLiftPrc</stp>
        <tr r="H471" s="5"/>
      </tp>
      <tp>
        <v>-0.75</v>
        <stp/>
        <stp>1581618115M14:BstLiftPrc</stp>
        <tr r="H473" s="5"/>
      </tp>
      <tp t="s">
        <v/>
        <stp/>
        <stp>57179020M2:LstBlkVol</stp>
        <tr r="L1549" s="5"/>
      </tp>
      <tp t="s">
        <v/>
        <stp/>
        <stp>57179020Q2:LstBlkVol</stp>
        <tr r="L1574" s="5"/>
      </tp>
    </main>
    <main first="esrtd">
      <tp t="s">
        <v/>
        <stp/>
        <stp>BRN 26QC13000-ICE</stp>
        <stp>Market</stp>
        <tr r="AQ49" s="23"/>
      </tp>
      <tp t="s">
        <v/>
        <stp/>
        <stp>BRN 26QP13000-ICE</stp>
        <stp>Market</stp>
        <tr r="AJ49" s="23"/>
      </tp>
    </main>
    <main first="ice.rtd">
      <tp t="s">
        <v/>
        <stp/>
        <stp>15141311T3:LstBlkVol</stp>
        <tr r="L1531" s="5"/>
      </tp>
      <tp>
        <v>5</v>
        <stp/>
        <stp>30813691M3:LstBlkVol</stp>
        <tr r="L1956" s="5"/>
      </tp>
      <tp>
        <v>4</v>
        <stp/>
        <stp>35534143M1:LstBlkVol</stp>
        <tr r="L709" s="5"/>
      </tp>
      <tp t="s">
        <v/>
        <stp/>
        <stp>35544144M1:LstBlkVol</stp>
        <tr r="L633" s="5"/>
      </tp>
      <tp t="s">
        <v/>
        <stp/>
        <stp>35554145M1:LstBlkVol</stp>
        <tr r="L671" s="5"/>
      </tp>
      <tp t="s">
        <v/>
        <stp/>
        <stp>35534143Y1:LstBlkVol</stp>
        <tr r="L743" s="5"/>
      </tp>
      <tp t="s">
        <v/>
        <stp/>
        <stp>35544144Y1:LstBlkVol</stp>
        <tr r="L667" s="5"/>
      </tp>
      <tp t="s">
        <v/>
        <stp/>
        <stp>35554145Y1:LstBlkVol</stp>
        <tr r="L705" s="5"/>
      </tp>
      <tp t="s">
        <v/>
        <stp/>
        <stp>35534143Q1:LstBlkVol</stp>
        <tr r="L734" s="5"/>
      </tp>
      <tp t="s">
        <v/>
        <stp/>
        <stp>35544144Q1:LstBlkVol</stp>
        <tr r="L658" s="5"/>
      </tp>
      <tp t="s">
        <v/>
        <stp/>
        <stp>35554145Q1:LstBlkVol</stp>
        <tr r="L696" s="5"/>
      </tp>
      <tp t="s">
        <v/>
        <stp/>
        <stp>30813691Q3:LstBlkVol</stp>
        <tr r="L1981" s="5"/>
      </tp>
      <tp t="s">
        <v/>
        <stp/>
        <stp>15091310M3:LstBlkVol</stp>
        <tr r="L1380" s="5"/>
      </tp>
      <tp t="s">
        <v/>
        <stp/>
        <stp>15091310Q3:LstBlkVol</stp>
        <tr r="L1405" s="5"/>
      </tp>
    </main>
    <main first="esrtd">
      <tp t="s">
        <v/>
        <stp/>
        <stp>BRN 26VC13500-ICE</stp>
        <stp>Market</stp>
        <tr r="AQ193" s="23"/>
      </tp>
      <tp t="s">
        <v/>
        <stp/>
        <stp>BRN 26VP13500-ICE</stp>
        <stp>Market</stp>
        <tr r="AJ193" s="23"/>
      </tp>
    </main>
    <main first="ice.rtd">
      <tp t="s">
        <v/>
        <stp/>
        <stp>366531MM22:LstBlkVol</stp>
        <tr r="L1737" s="5"/>
      </tp>
      <tp t="s">
        <v/>
        <stp/>
        <stp>366531MM12:LstBlkVol</stp>
        <tr r="L1727" s="5"/>
      </tp>
      <tp t="s">
        <v/>
        <stp/>
        <stp>15061297MM18:LstBlkVol</stp>
        <tr r="L1701" s="5"/>
      </tp>
      <tp t="s">
        <v/>
        <stp/>
        <stp>366531MM14:BstHitPrc</stp>
        <tr r="G1729" s="5"/>
      </tp>
      <tp>
        <v>9.5</v>
        <stp/>
        <stp>366531MM24:BstHitPrc</stp>
        <tr r="G1739" s="5"/>
      </tp>
      <tp t="s">
        <v/>
        <stp/>
        <stp>366531MM24:LstBlkPrc</stp>
        <tr r="K1739" s="5"/>
      </tp>
      <tp t="s">
        <v/>
        <stp/>
        <stp>366531MM14:LstBlkPrc</stp>
        <tr r="K1729" s="5"/>
      </tp>
      <tp t="s">
        <v/>
        <stp/>
        <stp>3124331018M8:LstDate</stp>
        <tr r="J1613" s="5"/>
      </tp>
      <tp t="s">
        <v/>
        <stp/>
        <stp>3124331018M9:LstDate</stp>
        <tr r="J1614" s="5"/>
      </tp>
      <tp t="s">
        <v/>
        <stp/>
        <stp>3124331018M2:LstDate</stp>
        <tr r="J1607" s="5"/>
      </tp>
      <tp t="s">
        <v/>
        <stp/>
        <stp>3124331018M3:LstDate</stp>
        <tr r="J1608" s="5"/>
      </tp>
      <tp t="s">
        <v/>
        <stp/>
        <stp>3124331018M0:LstDate</stp>
        <tr r="J1605" s="5"/>
      </tp>
      <tp t="s">
        <v/>
        <stp/>
        <stp>3124331018M1:LstDate</stp>
        <tr r="J1606" s="5"/>
      </tp>
      <tp t="s">
        <v/>
        <stp/>
        <stp>3124331018M6:LstDate</stp>
        <tr r="J1611" s="5"/>
      </tp>
      <tp t="s">
        <v/>
        <stp/>
        <stp>3124331018M7:LstDate</stp>
        <tr r="J1612" s="5"/>
      </tp>
      <tp t="s">
        <v/>
        <stp/>
        <stp>3124331018M4:LstDate</stp>
        <tr r="J1609" s="5"/>
      </tp>
      <tp t="s">
        <v/>
        <stp/>
        <stp>3124331018M5:LstDate</stp>
        <tr r="J1610" s="5"/>
      </tp>
      <tp t="s">
        <v/>
        <stp/>
        <stp>1923422331M8:LstDate</stp>
        <tr r="J1635" s="5"/>
      </tp>
      <tp t="s">
        <v/>
        <stp/>
        <stp>1923422331M9:LstDate</stp>
        <tr r="J1636" s="5"/>
      </tp>
      <tp t="s">
        <v/>
        <stp/>
        <stp>1923422331M6:LstDate</stp>
        <tr r="J1633" s="5"/>
      </tp>
      <tp t="s">
        <v/>
        <stp/>
        <stp>1923422331M7:LstDate</stp>
        <tr r="J1634" s="5"/>
      </tp>
      <tp t="s">
        <v/>
        <stp/>
        <stp>1923422331M4:LstDate</stp>
        <tr r="J1631" s="5"/>
      </tp>
      <tp t="s">
        <v/>
        <stp/>
        <stp>1923422331M5:LstDate</stp>
        <tr r="J1632" s="5"/>
      </tp>
      <tp t="s">
        <v/>
        <stp/>
        <stp>1923422331M2:LstDate</stp>
        <tr r="J1629" s="5"/>
      </tp>
      <tp t="s">
        <v/>
        <stp/>
        <stp>1923422331M3:LstDate</stp>
        <tr r="J1630" s="5"/>
      </tp>
      <tp t="s">
        <v/>
        <stp/>
        <stp>1923422331M0:LstDate</stp>
        <tr r="J1627" s="5"/>
      </tp>
      <tp t="s">
        <v/>
        <stp/>
        <stp>1923422331M1:LstDate</stp>
        <tr r="J1628" s="5"/>
      </tp>
    </main>
    <main first="bofaddin.rtdserver">
      <tp t="s">
        <v>#N/A Requesting Data...4185802016</v>
        <stp/>
        <stp>BDP|17282656797946544295</stp>
        <tr r="AM195" s="23"/>
      </tp>
      <tp t="s">
        <v>#N/A Requesting Data...3119475765</v>
        <stp/>
        <stp>BDP|11283454282401057075</stp>
        <tr r="AF119" s="23"/>
      </tp>
    </main>
    <main first="ice.rtd">
      <tp>
        <v>2756</v>
        <stp/>
        <stp>2427126288M1:OI</stp>
        <tr r="T1036" s="5"/>
      </tp>
      <tp>
        <v>6212</v>
        <stp/>
        <stp>2427126288M0:OI</stp>
        <tr r="T1035" s="5"/>
      </tp>
      <tp>
        <v>2447</v>
        <stp/>
        <stp>2427126288M3:OI</stp>
        <tr r="T1038" s="5"/>
      </tp>
      <tp>
        <v>1848</v>
        <stp/>
        <stp>2427126288M2:OI</stp>
        <tr r="T1037" s="5"/>
      </tp>
      <tp>
        <v>473</v>
        <stp/>
        <stp>2427126288M5:OI</stp>
        <tr r="T1040" s="5"/>
      </tp>
      <tp>
        <v>488</v>
        <stp/>
        <stp>2427126288M4:OI</stp>
        <tr r="T1039" s="5"/>
      </tp>
      <tp>
        <v>418</v>
        <stp/>
        <stp>2427126288M7:OI</stp>
        <tr r="T1042" s="5"/>
      </tp>
      <tp>
        <v>475</v>
        <stp/>
        <stp>2427126288M6:OI</stp>
        <tr r="T1041" s="5"/>
      </tp>
      <tp>
        <v>418</v>
        <stp/>
        <stp>2427126288M9:OI</stp>
        <tr r="T1044" s="5"/>
      </tp>
      <tp>
        <v>418</v>
        <stp/>
        <stp>2427126288M8:OI</stp>
        <tr r="T1043" s="5"/>
      </tp>
      <tp>
        <v>0</v>
        <stp/>
        <stp>2427126288Q1:OI</stp>
        <tr r="T1061" s="5"/>
      </tp>
      <tp>
        <v>0</v>
        <stp/>
        <stp>2427126288Q0:OI</stp>
        <tr r="T1060" s="5"/>
      </tp>
      <tp>
        <v>0</v>
        <stp/>
        <stp>2427126288Q3:OI</stp>
        <tr r="T1063" s="5"/>
      </tp>
      <tp>
        <v>0</v>
        <stp/>
        <stp>2427126288Q2:OI</stp>
        <tr r="T1062" s="5"/>
      </tp>
      <tp>
        <v>0</v>
        <stp/>
        <stp>2427126288Q5:OI</stp>
        <tr r="T1065" s="5"/>
      </tp>
      <tp>
        <v>0</v>
        <stp/>
        <stp>2427126288Q4:OI</stp>
        <tr r="T1064" s="5"/>
      </tp>
      <tp>
        <v>0</v>
        <stp/>
        <stp>2427126288Q7:OI</stp>
        <tr r="T1067" s="5"/>
      </tp>
      <tp>
        <v>0</v>
        <stp/>
        <stp>2427126288Q6:OI</stp>
        <tr r="T1066" s="5"/>
      </tp>
      <tp>
        <v>0</v>
        <stp/>
        <stp>2427126288Q8:OI</stp>
        <tr r="T1068" s="5"/>
      </tp>
      <tp>
        <v>0</v>
        <stp/>
        <stp>2427126288Y1:OI</stp>
        <tr r="T1070" s="5"/>
      </tp>
      <tp>
        <v>0</v>
        <stp/>
        <stp>2427126288Y0:OI</stp>
        <tr r="T1069" s="5"/>
      </tp>
      <tp>
        <v>0</v>
        <stp/>
        <stp>2427126288Y2:OI</stp>
        <tr r="T1071" s="5"/>
      </tp>
    </main>
    <main first="bofaddin.rtdserver">
      <tp t="s">
        <v>#N/A N/A</v>
        <stp/>
        <stp>BDH|18141187412547853328</stp>
        <tr r="H32" s="16"/>
      </tp>
      <tp t="s">
        <v>#N/A N/A</v>
        <stp/>
        <stp>BDH|12186844751410162346</stp>
        <tr r="BB43" s="1"/>
      </tp>
      <tp t="s">
        <v>#N/A N/A</v>
        <stp/>
        <stp>BDH|15052286277714913871</stp>
        <tr r="AX55" s="1"/>
      </tp>
      <tp t="s">
        <v>#N/A N/A</v>
        <stp/>
        <stp>BDH|17256881669747258215</stp>
        <tr r="AZ47" s="1"/>
      </tp>
      <tp t="s">
        <v>#N/A N/A</v>
        <stp/>
        <stp>BDH|14615425870659520212</stp>
        <tr r="D4" s="14"/>
      </tp>
      <tp t="s">
        <v>#N/A N/A</v>
        <stp/>
        <stp>BDH|10212458691165125442</stp>
        <tr r="G81" s="16"/>
      </tp>
    </main>
    <main first="ice.rtd">
      <tp>
        <v>0</v>
        <stp/>
        <stp>2888029697B0:OI</stp>
        <tr r="T996" s="5"/>
      </tp>
    </main>
    <main first="bofaddin.rtdserver">
      <tp t="s">
        <v>#N/A N/A</v>
        <stp/>
        <stp>BDH|17959078099712525003</stp>
        <tr r="G36" s="16"/>
      </tp>
      <tp t="s">
        <v>#N/A N/A</v>
        <stp/>
        <stp>BDH|15695604194494225222</stp>
        <tr r="J37" s="14"/>
      </tp>
    </main>
    <main first="ice.rtd">
      <tp t="s">
        <v/>
        <stp/>
        <stp>3124331018Y0:LstDate</stp>
        <tr r="J1624" s="5"/>
      </tp>
    </main>
    <main first="bofaddin.rtdserver">
      <tp t="s">
        <v>#N/A N/A</v>
        <stp/>
        <stp>BDH|11956103492872923776</stp>
        <tr r="BB20" s="1"/>
        <tr r="BB20" s="1"/>
      </tp>
      <tp t="b">
        <v>0</v>
        <stp/>
        <stp>BDH|16419587628744677975</stp>
        <tr r="N19" s="25"/>
        <tr r="N19" s="25"/>
      </tp>
      <tp t="s">
        <v>#N/A N/A</v>
        <stp/>
        <stp>BDH|12217235066858661249</stp>
        <tr r="I84" s="16"/>
      </tp>
      <tp t="s">
        <v>#N/A N/A</v>
        <stp/>
        <stp>BDH|11657426794530076057</stp>
        <tr r="AV38" s="1"/>
      </tp>
      <tp>
        <v>6.7222999999999997</v>
        <stp/>
        <stp>BDP|17275486800474166218|22</stp>
        <stp>USDCNY Curncy</stp>
        <stp>MID</stp>
        <tr r="BD19" s="1"/>
      </tp>
    </main>
    <main first="ice.rtd">
      <tp>
        <v>0</v>
        <stp/>
        <stp>2325825619B0:OI</stp>
        <tr r="T40" s="5"/>
      </tp>
    </main>
    <main first="bofaddin.rtdserver">
      <tp t="s">
        <v>#N/A N/A</v>
        <stp/>
        <stp>BDH|12105163864800778939</stp>
        <tr r="G59" s="16"/>
      </tp>
    </main>
    <main first="ice.rtd">
      <tp t="s">
        <v/>
        <stp/>
        <stp>1923422331Y0:LstDate</stp>
        <tr r="J1646" s="5"/>
      </tp>
    </main>
    <main first="bofaddin.rtdserver">
      <tp t="s">
        <v>#N/A N/A</v>
        <stp/>
        <stp>BDH|17034009051546077874</stp>
        <tr r="AV42" s="1"/>
      </tp>
      <tp t="s">
        <v>#N/A N/A</v>
        <stp/>
        <stp>BDH|12504978861192204394</stp>
        <tr r="AX41" s="1"/>
      </tp>
      <tp t="s">
        <v>#N/A N/A</v>
        <stp/>
        <stp>BDH|10869983764460900364</stp>
        <tr r="AX58" s="1"/>
      </tp>
      <tp t="s">
        <v>#N/A N/A</v>
        <stp/>
        <stp>BDH|16120997526499598817</stp>
        <tr r="BA41" s="1"/>
        <tr r="BA41" s="1"/>
      </tp>
      <tp t="s">
        <v>#N/A N/A</v>
        <stp/>
        <stp>BDH|11289681998404081681</stp>
        <tr r="J54" s="14"/>
      </tp>
    </main>
    <main first="ice.rtd">
      <tp t="s">
        <v/>
        <stp/>
        <stp>3124331018Q2:LstDate</stp>
        <tr r="J1622" s="5"/>
      </tp>
      <tp t="s">
        <v/>
        <stp/>
        <stp>3124331018Q3:LstDate</stp>
        <tr r="J1623" s="5"/>
      </tp>
      <tp t="s">
        <v/>
        <stp/>
        <stp>3124331018Q0:LstDate</stp>
        <tr r="J1620" s="5"/>
      </tp>
      <tp t="s">
        <v/>
        <stp/>
        <stp>3124331018Q1:LstDate</stp>
        <tr r="J1621" s="5"/>
      </tp>
    </main>
    <main first="bofaddin.rtdserver">
      <tp t="s">
        <v>#N/A N/A</v>
        <stp/>
        <stp>BDH|14647135790106188681</stp>
        <tr r="J30" s="14"/>
      </tp>
      <tp t="s">
        <v>#N/A N/A</v>
        <stp/>
        <stp>BDH|12612964723326708387</stp>
        <tr r="K93" s="16"/>
      </tp>
      <tp t="s">
        <v>#N/A N/A</v>
        <stp/>
        <stp>BDH|12142816439425192049</stp>
        <tr r="N88" s="16"/>
      </tp>
      <tp t="s">
        <v>#N/A N/A</v>
        <stp/>
        <stp>BDH|15906817300180521111</stp>
        <tr r="H43" s="16"/>
      </tp>
      <tp t="s">
        <v>#N/A N/A</v>
        <stp/>
        <stp>BDH|14525240774739077497</stp>
        <tr r="J95" s="16"/>
      </tp>
    </main>
    <main first="ice.rtd">
      <tp t="s">
        <v/>
        <stp/>
        <stp>1923422331Q2:LstDate</stp>
        <tr r="J1644" s="5"/>
      </tp>
      <tp t="s">
        <v/>
        <stp/>
        <stp>1923422331Q3:LstDate</stp>
        <tr r="J1645" s="5"/>
      </tp>
      <tp t="s">
        <v/>
        <stp/>
        <stp>1923422331Q0:LstDate</stp>
        <tr r="J1642" s="5"/>
      </tp>
      <tp t="s">
        <v/>
        <stp/>
        <stp>1923422331Q1:LstDate</stp>
        <tr r="J1643" s="5"/>
      </tp>
    </main>
    <main first="bofaddin.rtdserver">
      <tp t="s">
        <v>#N/A N/A</v>
        <stp/>
        <stp>BDH|12877181190877690184</stp>
        <tr r="AY29" s="1"/>
      </tp>
      <tp t="s">
        <v>#N/A N/A</v>
        <stp/>
        <stp>BDH|12320130742079829242</stp>
        <tr r="N83" s="16"/>
      </tp>
      <tp t="s">
        <v>#N/A N/A</v>
        <stp/>
        <stp>BDH|16156493986336321032</stp>
        <tr r="I35" s="14"/>
      </tp>
      <tp>
        <v>8.5</v>
        <stp/>
        <stp>BDP|5251469507795909470|22</stp>
        <stp>QSZ9QSZ0 Comdty</stp>
        <stp>BID</stp>
        <tr r="D5" s="3"/>
      </tp>
    </main>
    <main first="ice.rtd">
      <tp t="s">
        <v/>
        <stp/>
        <stp>366531QQ1:LstBlkTime</stp>
        <tr r="M1744" s="5"/>
      </tp>
      <tp t="s">
        <v/>
        <stp/>
        <stp>366531QQ0:LstBlkTime</stp>
        <tr r="M1743" s="5"/>
      </tp>
    </main>
    <main first="esrtd">
      <tp t="s">
        <v/>
        <stp/>
        <stp>ARV V26-IEU</stp>
        <stp>ICE Theoretical Price</stp>
        <tr r="W1747" s="5"/>
      </tp>
      <tp t="s">
        <v/>
        <stp/>
        <stp>ARV X26-IEU</stp>
        <stp>ICE Theoretical Price</stp>
        <tr r="W1748" s="5"/>
      </tp>
      <tp t="s">
        <v/>
        <stp/>
        <stp>ARV Z26-IEU</stp>
        <stp>ICE Theoretical Price</stp>
        <tr r="W1749" s="5"/>
      </tp>
    </main>
    <main first="ice.rtd">
      <tp t="s">
        <v/>
        <stp/>
        <stp>366531YY0:LstBlkTime</stp>
        <tr r="M1745" s="5"/>
      </tp>
    </main>
    <main first="bofaddin.rtdserver">
      <tp>
        <v>0.2</v>
        <stp/>
        <stp>BDP|16346713859726787540|222</stp>
        <stp>COX8COZ8 Comdty</stp>
        <stp>BID</stp>
        <stp>Fill=#N/A</stp>
        <tr r="O46" s="1"/>
      </tp>
      <tp t="s">
        <v>#N/A</v>
        <stp/>
        <stp>BDP|11343104972452827180|222</stp>
        <stp>CLU9CLV9 Comdty</stp>
        <stp>ASK</stp>
        <stp>Fill=#N/A</stp>
        <tr r="N56" s="1"/>
      </tp>
      <tp>
        <v>0.26</v>
        <stp/>
        <stp>BDP|17108260474648891924|222</stp>
        <stp>COJ8COK8 Comdty</stp>
        <stp>BID</stp>
        <stp>Fill=#N/A</stp>
        <tr r="O39" s="1"/>
      </tp>
      <tp>
        <v>4.75</v>
        <stp/>
        <stp>BDP|15577594670414569830|222</stp>
        <stp>QSQ9QSU9 Comdty</stp>
        <stp>ASK</stp>
        <stp>Fill=#N/A</stp>
        <tr r="P55" s="1"/>
      </tp>
      <tp t="s">
        <v>#N/A</v>
        <stp/>
        <stp>BDP|13840463997779121277|222</stp>
        <stp>HOG9HOH9 Comdty</stp>
        <stp>BID</stp>
        <stp>Fill=#N/A</stp>
        <tr r="Q49" s="1"/>
      </tp>
      <tp>
        <v>2.5</v>
        <stp/>
        <stp>BDP|14390126222290074281|222</stp>
        <stp>COF7COG7 Comdty</stp>
        <stp>BID</stp>
        <stp>Fill=#N/A</stp>
        <tr r="O24" s="1"/>
      </tp>
      <tp t="s">
        <v>#N/A Real Time</v>
        <stp/>
        <stp>BDP|9189919591764839857|22</stp>
        <stp>LMCADS03 Comdty</stp>
        <stp>MID</stp>
        <tr r="G9" s="18"/>
      </tp>
      <tp>
        <v>0.11</v>
        <stp/>
        <stp>BDP|12336209728350355738|222</stp>
        <stp>COV9COX9 Comdty</stp>
        <stp>BID</stp>
        <stp>Fill=#N/A</stp>
        <tr r="O57" s="1"/>
      </tp>
    </main>
    <main first="ice.rtd">
      <tp t="s">
        <v/>
        <stp/>
        <stp>366531MM7:LstBlkTime</stp>
        <tr r="M1722" s="5"/>
      </tp>
      <tp t="s">
        <v/>
        <stp/>
        <stp>366531MM6:LstBlkTime</stp>
        <tr r="M1721" s="5"/>
      </tp>
      <tp t="s">
        <v/>
        <stp/>
        <stp>366531MM5:LstBlkTime</stp>
        <tr r="M1720" s="5"/>
      </tp>
      <tp t="s">
        <v/>
        <stp/>
        <stp>366531MM4:LstBlkTime</stp>
        <tr r="M1719" s="5"/>
      </tp>
      <tp t="s">
        <v/>
        <stp/>
        <stp>366531MM3:LstBlkTime</stp>
        <tr r="M1718" s="5"/>
      </tp>
      <tp t="s">
        <v/>
        <stp/>
        <stp>366531MM2:LstBlkTime</stp>
        <tr r="M1717" s="5"/>
      </tp>
      <tp t="s">
        <v/>
        <stp/>
        <stp>366531MM1:LstBlkTime</stp>
        <tr r="M1716" s="5"/>
      </tp>
      <tp t="s">
        <v>09:28:19</v>
        <stp/>
        <stp>366531MM0:LstBlkTime</stp>
        <tr r="M1715" s="5"/>
      </tp>
      <tp t="s">
        <v/>
        <stp/>
        <stp>366531MM9:LstBlkTime</stp>
        <tr r="M1724" s="5"/>
      </tp>
      <tp t="s">
        <v/>
        <stp/>
        <stp>366531MM8:LstBlkTime</stp>
        <tr r="M1723" s="5"/>
      </tp>
      <tp t="s">
        <v/>
        <stp/>
        <stp>57179020M5:LstBlkPrc</stp>
        <tr r="K1552" s="5"/>
      </tp>
      <tp t="s">
        <v>Invalid Market: 57179020Q5</v>
        <stp/>
        <stp>57179020Q5:LstBlkPrc</stp>
        <tr r="K1577" s="5"/>
      </tp>
      <tp t="s">
        <v/>
        <stp/>
        <stp>16331513M1:LstBlkPrc</stp>
        <tr r="K1416" s="5"/>
      </tp>
      <tp t="s">
        <v/>
        <stp/>
        <stp>16341514M1:LstBlkPrc</stp>
        <tr r="K1454" s="5"/>
      </tp>
      <tp t="s">
        <v/>
        <stp/>
        <stp>16351515M1:LstBlkPrc</stp>
        <tr r="K1492" s="5"/>
      </tp>
      <tp t="s">
        <v/>
        <stp/>
        <stp>16331513Y1:LstBlkPrc</stp>
        <tr r="K1450" s="5"/>
      </tp>
      <tp t="s">
        <v/>
        <stp/>
        <stp>16341514Y1:LstBlkPrc</stp>
        <tr r="K1488" s="5"/>
      </tp>
      <tp t="s">
        <v/>
        <stp/>
        <stp>16351515Y1:LstBlkPrc</stp>
        <tr r="K1526" s="5"/>
      </tp>
      <tp t="s">
        <v/>
        <stp/>
        <stp>16331513Q1:LstBlkPrc</stp>
        <tr r="K1441" s="5"/>
      </tp>
      <tp t="s">
        <v/>
        <stp/>
        <stp>16341514Q1:LstBlkPrc</stp>
        <tr r="K1479" s="5"/>
      </tp>
      <tp t="s">
        <v/>
        <stp/>
        <stp>16351515Q1:LstBlkPrc</stp>
        <tr r="K1517" s="5"/>
      </tp>
      <tp t="s">
        <v/>
        <stp/>
        <stp>161913535MM4:BstHitPrc</stp>
        <tr r="G2031" s="5"/>
      </tp>
      <tp t="s">
        <v/>
        <stp/>
        <stp>15091310M4:LstBlkPrc</stp>
        <tr r="K1381" s="5"/>
      </tp>
      <tp t="s">
        <v/>
        <stp/>
        <stp>15091310Q4:LstBlkPrc</stp>
        <tr r="K1406" s="5"/>
      </tp>
      <tp t="s">
        <v/>
        <stp/>
        <stp>30813691M4:LstBlkPrc</stp>
        <tr r="K1957" s="5"/>
      </tp>
      <tp t="s">
        <v/>
        <stp/>
        <stp>35534143M6:LstBlkPrc</stp>
        <tr r="K714" s="5"/>
      </tp>
      <tp t="s">
        <v/>
        <stp/>
        <stp>35544144M6:LstBlkPrc</stp>
        <tr r="K638" s="5"/>
      </tp>
      <tp t="s">
        <v/>
        <stp/>
        <stp>35554145M6:LstBlkPrc</stp>
        <tr r="K676" s="5"/>
      </tp>
      <tp t="s">
        <v/>
        <stp/>
        <stp>35534143Q6:LstBlkPrc</stp>
        <tr r="K739" s="5"/>
      </tp>
      <tp t="s">
        <v/>
        <stp/>
        <stp>35544144Q6:LstBlkPrc</stp>
        <tr r="K663" s="5"/>
      </tp>
      <tp t="s">
        <v/>
        <stp/>
        <stp>35554145Q6:LstBlkPrc</stp>
        <tr r="K701" s="5"/>
      </tp>
      <tp t="s">
        <v/>
        <stp/>
        <stp>30813691Q4:LstBlkPrc</stp>
        <tr r="K1982" s="5"/>
      </tp>
      <tp t="s">
        <v/>
        <stp/>
        <stp>1986923076Q8:LstBlkPrc</stp>
        <tr r="K188" s="5"/>
      </tp>
      <tp t="s">
        <v/>
        <stp/>
        <stp>1986923076M8:LstBlkPrc</stp>
        <tr r="K163" s="5"/>
      </tp>
      <tp t="s">
        <v/>
        <stp/>
        <stp>34344092Q6:BstHitPrc</stp>
        <tr r="G1294" s="5"/>
      </tp>
      <tp t="s">
        <v/>
        <stp/>
        <stp>34354093Q6:BstHitPrc</stp>
        <tr r="G1332" s="5"/>
      </tp>
      <tp t="s">
        <v/>
        <stp/>
        <stp>34344092M6:BstHitPrc</stp>
        <tr r="G1269" s="5"/>
      </tp>
      <tp t="s">
        <v/>
        <stp/>
        <stp>34354093M6:BstHitPrc</stp>
        <tr r="G1307" s="5"/>
      </tp>
      <tp t="s">
        <v/>
        <stp/>
        <stp>34364094Q6:BstHitPrc</stp>
        <tr r="G549" s="5"/>
      </tp>
      <tp t="s">
        <v/>
        <stp/>
        <stp>34374095Q6:BstHitPrc</stp>
        <tr r="G587" s="5"/>
      </tp>
      <tp t="s">
        <v/>
        <stp/>
        <stp>34364094M6:BstHitPrc</stp>
        <tr r="G524" s="5"/>
      </tp>
      <tp t="s">
        <v/>
        <stp/>
        <stp>34374095M6:BstHitPrc</stp>
        <tr r="G562" s="5"/>
      </tp>
      <tp t="s">
        <v/>
        <stp/>
        <stp>15141311T4:LstBlkPrc</stp>
        <tr r="K1532" s="5"/>
      </tp>
      <tp t="s">
        <v/>
        <stp/>
        <stp>1986823075Q8:LstBlkPrc</stp>
        <tr r="K150" s="5"/>
      </tp>
      <tp t="s">
        <v/>
        <stp/>
        <stp>1986823075M8:LstBlkPrc</stp>
        <tr r="K125" s="5"/>
      </tp>
      <tp t="s">
        <v/>
        <stp/>
        <stp>57409036M5:LstBlkPrc</stp>
        <tr r="K236" s="5"/>
      </tp>
      <tp t="s">
        <v/>
        <stp/>
        <stp>57409036Q5:LstBlkPrc</stp>
        <tr r="K261" s="5"/>
      </tp>
      <tp t="s">
        <v/>
        <stp/>
        <stp>34404098Q6:BstHitPrc</stp>
        <tr r="G625" s="5"/>
      </tp>
      <tp t="s">
        <v/>
        <stp/>
        <stp>34414099Q6:BstHitPrc</stp>
        <tr r="G110" s="5"/>
      </tp>
      <tp t="s">
        <v/>
        <stp/>
        <stp>34404098M6:BstHitPrc</stp>
        <tr r="G600" s="5"/>
      </tp>
      <tp t="s">
        <v/>
        <stp/>
        <stp>34414099M6:BstHitPrc</stp>
        <tr r="G85" s="5"/>
      </tp>
      <tp t="s">
        <v/>
        <stp/>
        <stp>1840020882M6:LstBlkPrc</stp>
        <tr r="K1588" s="5"/>
      </tp>
      <tp t="s">
        <v>Oct26/Mar27</v>
        <stp/>
        <stp>DBI1227MM12:Strip</stp>
        <tr r="E1663" s="5"/>
      </tp>
      <tp t="s">
        <v>Nov26/Nov27</v>
        <stp/>
        <stp>DBI1227MM22:Strip</stp>
        <tr r="E1673" s="5"/>
      </tp>
      <tp t="s">
        <v/>
        <stp/>
        <stp>17551596T0:BstHitPrc</stp>
        <tr r="G1537" s="5"/>
      </tp>
      <tp t="s">
        <v/>
        <stp/>
        <stp>32613992M9:BstHitPrc</stp>
        <tr r="G1234" s="5"/>
      </tp>
      <tp t="s">
        <v/>
        <stp/>
        <stp>32623993M9:BstHitPrc</stp>
        <tr r="G1999" s="5"/>
      </tp>
      <tp t="s">
        <v/>
        <stp/>
        <stp>2888029697B0:LstBlkPrc</stp>
        <tr r="K996" s="5"/>
      </tp>
      <tp t="s">
        <v/>
        <stp/>
        <stp>46678127M5:LstBlkPrc</stp>
        <tr r="K350" s="5"/>
      </tp>
      <tp t="s">
        <v/>
        <stp/>
        <stp>46678127Q5:LstBlkPrc</stp>
        <tr r="K375" s="5"/>
      </tp>
      <tp t="s">
        <v/>
        <stp/>
        <stp>30793693Q4:BstHitPrc</stp>
        <tr r="G912" s="5"/>
      </tp>
      <tp>
        <v>15.25</v>
        <stp/>
        <stp>30793693M4:BstHitPrc</stp>
        <tr r="G887" s="5"/>
      </tp>
      <tp t="s">
        <v/>
        <stp/>
        <stp>2888129698B0:LstBlkPrc</stp>
        <tr r="K1110" s="5"/>
      </tp>
      <tp t="s">
        <v/>
        <stp/>
        <stp>161913535MM4:LstBlkPrc</stp>
        <tr r="K2031" s="5"/>
      </tp>
      <tp t="s">
        <v/>
        <stp/>
        <stp>30813691Q4:BstHitPrc</stp>
        <tr r="G1982" s="5"/>
      </tp>
      <tp t="s">
        <v/>
        <stp/>
        <stp>35534143Q6:BstHitPrc</stp>
        <tr r="G739" s="5"/>
      </tp>
      <tp t="s">
        <v/>
        <stp/>
        <stp>35544144Q6:BstHitPrc</stp>
        <tr r="G663" s="5"/>
      </tp>
      <tp t="s">
        <v/>
        <stp/>
        <stp>35554145Q6:BstHitPrc</stp>
        <tr r="G701" s="5"/>
      </tp>
      <tp t="s">
        <v/>
        <stp/>
        <stp>35534143M6:BstHitPrc</stp>
        <tr r="G714" s="5"/>
      </tp>
      <tp t="s">
        <v/>
        <stp/>
        <stp>35544144M6:BstHitPrc</stp>
        <tr r="G638" s="5"/>
      </tp>
      <tp t="s">
        <v/>
        <stp/>
        <stp>35554145M6:BstHitPrc</stp>
        <tr r="G676" s="5"/>
      </tp>
      <tp t="s">
        <v/>
        <stp/>
        <stp>30813691M4:BstHitPrc</stp>
        <tr r="G1957" s="5"/>
      </tp>
      <tp t="s">
        <v/>
        <stp/>
        <stp>15091310Q4:BstHitPrc</stp>
        <tr r="G1406" s="5"/>
      </tp>
      <tp t="s">
        <v/>
        <stp/>
        <stp>15091310M4:BstHitPrc</stp>
        <tr r="G1381" s="5"/>
      </tp>
      <tp t="s">
        <v/>
        <stp/>
        <stp>1986923076M8:BstHitPrc</stp>
        <tr r="G163" s="5"/>
      </tp>
      <tp t="s">
        <v/>
        <stp/>
        <stp>1986923076Q8:BstHitPrc</stp>
        <tr r="G188" s="5"/>
      </tp>
      <tp t="s">
        <v/>
        <stp/>
        <stp>15141311T4:BstHitPrc</stp>
        <tr r="G1532" s="5"/>
      </tp>
      <tp t="s">
        <v/>
        <stp/>
        <stp>34344092M6:LstBlkPrc</stp>
        <tr r="K1269" s="5"/>
      </tp>
      <tp t="s">
        <v/>
        <stp/>
        <stp>34354093M6:LstBlkPrc</stp>
        <tr r="K1307" s="5"/>
      </tp>
      <tp t="s">
        <v/>
        <stp/>
        <stp>34344092Q6:LstBlkPrc</stp>
        <tr r="K1294" s="5"/>
      </tp>
      <tp t="s">
        <v/>
        <stp/>
        <stp>34354093Q6:LstBlkPrc</stp>
        <tr r="K1332" s="5"/>
      </tp>
      <tp t="s">
        <v/>
        <stp/>
        <stp>34364094M6:LstBlkPrc</stp>
        <tr r="K524" s="5"/>
      </tp>
      <tp t="s">
        <v/>
        <stp/>
        <stp>34374095M6:LstBlkPrc</stp>
        <tr r="K562" s="5"/>
      </tp>
      <tp t="s">
        <v/>
        <stp/>
        <stp>34364094Q6:LstBlkPrc</stp>
        <tr r="K549" s="5"/>
      </tp>
      <tp t="s">
        <v/>
        <stp/>
        <stp>34374095Q6:LstBlkPrc</stp>
        <tr r="K587" s="5"/>
      </tp>
      <tp t="s">
        <v/>
        <stp/>
        <stp>1986823075M8:BstHitPrc</stp>
        <tr r="G125" s="5"/>
      </tp>
      <tp t="s">
        <v/>
        <stp/>
        <stp>1986823075Q8:BstHitPrc</stp>
        <tr r="G150" s="5"/>
      </tp>
      <tp t="s">
        <v>Invalid Market: 57179020Q5</v>
        <stp/>
        <stp>57179020Q5:BstHitPrc</stp>
        <tr r="G1577" s="5"/>
      </tp>
      <tp t="s">
        <v/>
        <stp/>
        <stp>57179020M5:BstHitPrc</stp>
        <tr r="G1552" s="5"/>
      </tp>
      <tp t="s">
        <v/>
        <stp/>
        <stp>16331513Q1:BstHitPrc</stp>
        <tr r="G1441" s="5"/>
      </tp>
      <tp t="s">
        <v/>
        <stp/>
        <stp>16341514Q1:BstHitPrc</stp>
        <tr r="G1479" s="5"/>
      </tp>
      <tp t="s">
        <v/>
        <stp/>
        <stp>16351515Q1:BstHitPrc</stp>
        <tr r="G1517" s="5"/>
      </tp>
      <tp t="s">
        <v/>
        <stp/>
        <stp>16331513Y1:BstHitPrc</stp>
        <tr r="G1450" s="5"/>
      </tp>
      <tp t="s">
        <v/>
        <stp/>
        <stp>16341514Y1:BstHitPrc</stp>
        <tr r="G1488" s="5"/>
      </tp>
      <tp t="s">
        <v/>
        <stp/>
        <stp>16351515Y1:BstHitPrc</stp>
        <tr r="G1526" s="5"/>
      </tp>
      <tp t="s">
        <v/>
        <stp/>
        <stp>16331513M1:BstHitPrc</stp>
        <tr r="G1416" s="5"/>
      </tp>
      <tp t="s">
        <v/>
        <stp/>
        <stp>16341514M1:BstHitPrc</stp>
        <tr r="G1454" s="5"/>
      </tp>
      <tp t="s">
        <v/>
        <stp/>
        <stp>16351515M1:BstHitPrc</stp>
        <tr r="G1492" s="5"/>
      </tp>
      <tp>
        <v>92</v>
        <stp/>
        <stp>32623993M9:LstBlkPrc</stp>
        <tr r="K1999" s="5"/>
      </tp>
      <tp t="s">
        <v/>
        <stp/>
        <stp>32613992M9:LstBlkPrc</stp>
        <tr r="K1234" s="5"/>
      </tp>
      <tp t="s">
        <v/>
        <stp/>
        <stp>2888029697B0:BstHitPrc</stp>
        <tr r="G996" s="5"/>
      </tp>
      <tp t="s">
        <v/>
        <stp/>
        <stp>30793693M4:LstBlkPrc</stp>
        <tr r="K887" s="5"/>
      </tp>
      <tp t="s">
        <v/>
        <stp/>
        <stp>30793693Q4:LstBlkPrc</stp>
        <tr r="K912" s="5"/>
      </tp>
      <tp t="s">
        <v/>
        <stp/>
        <stp>46678127Q5:BstHitPrc</stp>
        <tr r="G375" s="5"/>
      </tp>
      <tp>
        <v>19.25</v>
        <stp/>
        <stp>46678127M5:BstHitPrc</stp>
        <tr r="G350" s="5"/>
      </tp>
      <tp t="s">
        <v/>
        <stp/>
        <stp>2888129698B0:BstHitPrc</stp>
        <tr r="G1110" s="5"/>
      </tp>
      <tp t="s">
        <v/>
        <stp/>
        <stp>57409036Q5:BstHitPrc</stp>
        <tr r="G261" s="5"/>
      </tp>
      <tp>
        <v>-8.6</v>
        <stp/>
        <stp>57409036M5:BstHitPrc</stp>
        <tr r="G236" s="5"/>
      </tp>
      <tp t="s">
        <v/>
        <stp/>
        <stp>34404098M6:LstBlkPrc</stp>
        <tr r="K600" s="5"/>
      </tp>
      <tp t="s">
        <v/>
        <stp/>
        <stp>34414099M6:LstBlkPrc</stp>
        <tr r="K85" s="5"/>
      </tp>
      <tp t="s">
        <v/>
        <stp/>
        <stp>34404098Q6:LstBlkPrc</stp>
        <tr r="K625" s="5"/>
      </tp>
      <tp t="s">
        <v/>
        <stp/>
        <stp>34414099Q6:LstBlkPrc</stp>
        <tr r="K110" s="5"/>
      </tp>
      <tp t="s">
        <v/>
        <stp/>
        <stp>1840020882M6:BstHitPrc</stp>
        <tr r="G1588" s="5"/>
      </tp>
      <tp t="s">
        <v/>
        <stp/>
        <stp>17551596T0:LstBlkPrc</stp>
        <tr r="K1537" s="5"/>
      </tp>
      <tp>
        <v>5</v>
        <stp/>
        <stp>30793693M2:LstBlkVol</stp>
        <tr r="L885" s="5"/>
      </tp>
      <tp t="s">
        <v/>
        <stp/>
        <stp>30793693Y2:LstBlkVol</stp>
        <tr r="L919" s="5"/>
      </tp>
      <tp t="s">
        <v/>
        <stp/>
        <stp>30793693Q2:LstBlkVol</stp>
        <tr r="L910" s="5"/>
      </tp>
      <tp t="s">
        <v/>
        <stp/>
        <stp>1961122916B0:LstBlkVol</stp>
        <tr r="L1626" s="5"/>
      </tp>
      <tp t="s">
        <v/>
        <stp/>
        <stp>17551596T6:LstBlkVol</stp>
        <tr r="L1543" s="5"/>
      </tp>
      <tp>
        <v>5</v>
        <stp/>
        <stp>34404098M0:LstBlkVol</stp>
        <tr r="L594" s="5"/>
      </tp>
      <tp t="s">
        <v/>
        <stp/>
        <stp>34414099M0:LstBlkVol</stp>
        <tr r="L79" s="5"/>
      </tp>
      <tp t="s">
        <v/>
        <stp/>
        <stp>34404098Y0:LstBlkVol</stp>
        <tr r="L628" s="5"/>
      </tp>
      <tp t="s">
        <v/>
        <stp/>
        <stp>34414099Y0:LstBlkVol</stp>
        <tr r="L113" s="5"/>
      </tp>
      <tp t="s">
        <v/>
        <stp/>
        <stp>34404098Q0:LstBlkVol</stp>
        <tr r="L619" s="5"/>
      </tp>
      <tp t="s">
        <v/>
        <stp/>
        <stp>34414099Q0:LstBlkVol</stp>
        <tr r="L104" s="5"/>
      </tp>
      <tp t="s">
        <v/>
        <stp/>
        <stp>34364094M0:LstBlkVol</stp>
        <tr r="L518" s="5"/>
      </tp>
      <tp t="s">
        <v/>
        <stp/>
        <stp>34374095M0:LstBlkVol</stp>
        <tr r="L556" s="5"/>
      </tp>
      <tp t="s">
        <v/>
        <stp/>
        <stp>34364094Y0:LstBlkVol</stp>
        <tr r="L552" s="5"/>
      </tp>
      <tp t="s">
        <v/>
        <stp/>
        <stp>34374095Y0:LstBlkVol</stp>
        <tr r="L590" s="5"/>
      </tp>
      <tp t="s">
        <v/>
        <stp/>
        <stp>34364094Q0:LstBlkVol</stp>
        <tr r="L543" s="5"/>
      </tp>
      <tp t="s">
        <v/>
        <stp/>
        <stp>34374095Q0:LstBlkVol</stp>
        <tr r="L581" s="5"/>
      </tp>
      <tp t="s">
        <v/>
        <stp/>
        <stp>34344092M0:LstBlkVol</stp>
        <tr r="L1263" s="5"/>
      </tp>
      <tp t="s">
        <v/>
        <stp/>
        <stp>34354093M0:LstBlkVol</stp>
        <tr r="L1301" s="5"/>
      </tp>
      <tp t="s">
        <v/>
        <stp/>
        <stp>34344092Y0:LstBlkVol</stp>
        <tr r="L1297" s="5"/>
      </tp>
      <tp>
        <v>5</v>
        <stp/>
        <stp>34354093Y0:LstBlkVol</stp>
        <tr r="L1335" s="5"/>
      </tp>
      <tp t="s">
        <v/>
        <stp/>
        <stp>34344092Q0:LstBlkVol</stp>
        <tr r="L1288" s="5"/>
      </tp>
      <tp>
        <v>25</v>
        <stp/>
        <stp>34354093Q0:LstBlkVol</stp>
        <tr r="L1326" s="5"/>
      </tp>
      <tp t="s">
        <v/>
        <stp/>
        <stp>161913535MM2:LstBlkVol</stp>
        <tr r="L2029" s="5"/>
      </tp>
      <tp t="s">
        <v/>
        <stp/>
        <stp>1923422331M8:LstBlkVol</stp>
        <tr r="L1635" s="5"/>
      </tp>
      <tp t="s">
        <v/>
        <stp/>
        <stp>1581618115M8:LstBlkVol</stp>
        <tr r="L467" s="5"/>
      </tp>
      <tp t="s">
        <v/>
        <stp/>
        <stp>2044823525M9:LstBlkVol</stp>
        <tr r="L1756" s="5"/>
      </tp>
      <tp>
        <v>75</v>
        <stp/>
        <stp>57409036M3:LstBlkVol</stp>
        <tr r="L234" s="5"/>
      </tp>
      <tp>
        <v>65</v>
        <stp/>
        <stp>57409036Q3:LstBlkVol</stp>
        <tr r="L259" s="5"/>
      </tp>
    </main>
    <main first="esrtd">
      <tp t="s">
        <v/>
        <stp/>
        <stp>BRN 26UC12000-ICE</stp>
        <stp>Market</stp>
        <tr r="AQ118" s="23"/>
      </tp>
      <tp t="s">
        <v/>
        <stp/>
        <stp>BRN 26UP12000-ICE</stp>
        <stp>Market</stp>
        <tr r="AJ118" s="23"/>
      </tp>
    </main>
    <main first="ice.rtd">
      <tp t="s">
        <v/>
        <stp/>
        <stp>1840020882Q0:LstBlkVol</stp>
        <tr r="L1599" s="5"/>
      </tp>
      <tp t="s">
        <v/>
        <stp/>
        <stp>1840020882Y0:LstBlkVol</stp>
        <tr r="L1604" s="5"/>
      </tp>
      <tp t="s">
        <v/>
        <stp/>
        <stp>1840020882M0:LstBlkVol</stp>
        <tr r="L1582" s="5"/>
      </tp>
      <tp t="s">
        <v/>
        <stp/>
        <stp>46678127M3:LstBlkVol</stp>
        <tr r="L348" s="5"/>
      </tp>
      <tp>
        <v>50</v>
        <stp/>
        <stp>46678127Q3:LstBlkVol</stp>
        <tr r="L373" s="5"/>
      </tp>
    </main>
    <main first="esrtd">
      <tp t="s">
        <v/>
        <stp/>
        <stp>BRN 26VC12000-ICE</stp>
        <stp>Market</stp>
        <tr r="AQ189" s="23"/>
      </tp>
      <tp t="s">
        <v/>
        <stp/>
        <stp>BRN 26VP12000-ICE</stp>
        <stp>Market</stp>
        <tr r="AJ189" s="23"/>
      </tp>
    </main>
    <main first="ice.rtd">
      <tp t="s">
        <v/>
        <stp/>
        <stp>16331513M7:LstBlkVol</stp>
        <tr r="L1422" s="5"/>
      </tp>
      <tp t="s">
        <v/>
        <stp/>
        <stp>16341514M7:LstBlkVol</stp>
        <tr r="L1460" s="5"/>
      </tp>
      <tp t="s">
        <v/>
        <stp/>
        <stp>16351515M7:LstBlkVol</stp>
        <tr r="L1498" s="5"/>
      </tp>
      <tp t="s">
        <v/>
        <stp/>
        <stp>16331513Q7:LstBlkVol</stp>
        <tr r="L1447" s="5"/>
      </tp>
      <tp t="s">
        <v/>
        <stp/>
        <stp>16341514Q7:LstBlkVol</stp>
        <tr r="L1485" s="5"/>
      </tp>
      <tp t="s">
        <v/>
        <stp/>
        <stp>16351515Q7:LstBlkVol</stp>
        <tr r="L1523" s="5"/>
      </tp>
    </main>
    <main first="esrtd">
      <tp t="s">
        <v/>
        <stp/>
        <stp>BRN 26UC12500-ICE</stp>
        <stp>Market</stp>
        <tr r="AQ119" s="23"/>
      </tp>
      <tp t="s">
        <v/>
        <stp/>
        <stp>BRN 26UP12500-ICE</stp>
        <stp>Market</stp>
        <tr r="AJ119" s="23"/>
      </tp>
    </main>
    <main first="ice.rtd">
      <tp t="s">
        <v/>
        <stp/>
        <stp>57179020M3:LstBlkVol</stp>
        <tr r="L1550" s="5"/>
      </tp>
      <tp t="s">
        <v/>
        <stp/>
        <stp>57179020Q3:LstBlkVol</stp>
        <tr r="L1575" s="5"/>
      </tp>
    </main>
    <main first="bofaddin.rtdserver">
      <tp t="s">
        <v>#N/A Invalid Security</v>
        <stp/>
        <stp>BDP|180776517329593700|222</stp>
        <stp>HOK0 Comdty</stp>
        <stp>BID</stp>
        <stp>Fill=#N/A</stp>
        <tr r="I63" s="1"/>
      </tp>
    </main>
    <main first="ice.rtd">
      <tp t="s">
        <v/>
        <stp/>
        <stp>15141311T2:LstBlkVol</stp>
        <tr r="L1530" s="5"/>
      </tp>
      <tp t="s">
        <v/>
        <stp/>
        <stp>30813691M2:LstBlkVol</stp>
        <tr r="L1955" s="5"/>
      </tp>
      <tp t="s">
        <v/>
        <stp/>
        <stp>35534143M0:LstBlkVol</stp>
        <tr r="L708" s="5"/>
      </tp>
      <tp t="s">
        <v/>
        <stp/>
        <stp>35544144M0:LstBlkVol</stp>
        <tr r="L632" s="5"/>
      </tp>
      <tp t="s">
        <v/>
        <stp/>
        <stp>35554145M0:LstBlkVol</stp>
        <tr r="L670" s="5"/>
      </tp>
      <tp t="s">
        <v/>
        <stp/>
        <stp>35534143Y0:LstBlkVol</stp>
        <tr r="L742" s="5"/>
      </tp>
      <tp t="s">
        <v/>
        <stp/>
        <stp>35544144Y0:LstBlkVol</stp>
        <tr r="L666" s="5"/>
      </tp>
      <tp t="s">
        <v/>
        <stp/>
        <stp>35554145Y0:LstBlkVol</stp>
        <tr r="L704" s="5"/>
      </tp>
      <tp t="s">
        <v/>
        <stp/>
        <stp>30813691Y2:LstBlkVol</stp>
        <tr r="L1989" s="5"/>
      </tp>
      <tp t="s">
        <v/>
        <stp/>
        <stp>35534143Q0:LstBlkVol</stp>
        <tr r="L733" s="5"/>
      </tp>
      <tp t="s">
        <v/>
        <stp/>
        <stp>35544144Q0:LstBlkVol</stp>
        <tr r="L657" s="5"/>
      </tp>
      <tp t="s">
        <v/>
        <stp/>
        <stp>35554145Q0:LstBlkVol</stp>
        <tr r="L695" s="5"/>
      </tp>
      <tp t="s">
        <v/>
        <stp/>
        <stp>30813691Q2:LstBlkVol</stp>
        <tr r="L1980" s="5"/>
      </tp>
      <tp t="s">
        <v/>
        <stp/>
        <stp>15091310M2:LstBlkVol</stp>
        <tr r="L1379" s="5"/>
      </tp>
      <tp t="s">
        <v/>
        <stp/>
        <stp>15091310Y2:LstBlkVol</stp>
        <tr r="L1413" s="5"/>
      </tp>
      <tp t="s">
        <v/>
        <stp/>
        <stp>15091310Q2:LstBlkVol</stp>
        <tr r="L1404" s="5"/>
      </tp>
    </main>
    <main first="esrtd">
      <tp t="s">
        <v/>
        <stp/>
        <stp>BRN 26VC12500-ICE</stp>
        <stp>Market</stp>
        <tr r="AQ190" s="23"/>
      </tp>
      <tp t="s">
        <v/>
        <stp/>
        <stp>BRN 26VP12500-ICE</stp>
        <stp>Market</stp>
        <tr r="AJ190" s="23"/>
      </tp>
    </main>
    <main first="ice.rtd">
      <tp t="s">
        <v/>
        <stp/>
        <stp>366531MM23:LstBlkVol</stp>
        <tr r="L1738" s="5"/>
      </tp>
      <tp t="s">
        <v/>
        <stp/>
        <stp>366531MM13:LstBlkVol</stp>
        <tr r="L1728" s="5"/>
      </tp>
      <tp t="s">
        <v/>
        <stp/>
        <stp>15061297MM19:LstBlkVol</stp>
        <tr r="L1702" s="5"/>
      </tp>
      <tp t="s">
        <v/>
        <stp/>
        <stp>366531MM15:BstHitPrc</stp>
        <tr r="G1730" s="5"/>
      </tp>
      <tp t="s">
        <v/>
        <stp/>
        <stp>366531MM25:BstHitPrc</stp>
        <tr r="G1740" s="5"/>
      </tp>
      <tp t="s">
        <v/>
        <stp/>
        <stp>366531MM25:LstBlkPrc</stp>
        <tr r="K1740" s="5"/>
      </tp>
      <tp t="s">
        <v/>
        <stp/>
        <stp>366531MM15:LstBlkPrc</stp>
        <tr r="K1730" s="5"/>
      </tp>
      <tp>
        <v>0</v>
        <stp/>
        <stp>46678127Q6:OI</stp>
        <tr r="T376" s="5"/>
      </tp>
      <tp>
        <v>0</v>
        <stp/>
        <stp>46678127Q7:OI</stp>
        <tr r="T377" s="5"/>
      </tp>
      <tp>
        <v>0</v>
        <stp/>
        <stp>46678127Q4:OI</stp>
        <tr r="T374" s="5"/>
      </tp>
      <tp>
        <v>0</v>
        <stp/>
        <stp>46678127Q5:OI</stp>
        <tr r="T375" s="5"/>
      </tp>
      <tp>
        <v>0</v>
        <stp/>
        <stp>46678127Q2:OI</stp>
        <tr r="T372" s="5"/>
      </tp>
      <tp>
        <v>0</v>
        <stp/>
        <stp>46678127Q3:OI</stp>
        <tr r="T373" s="5"/>
      </tp>
      <tp>
        <v>0</v>
        <stp/>
        <stp>46678127Q0:OI</stp>
        <tr r="T370" s="5"/>
      </tp>
      <tp>
        <v>0</v>
        <stp/>
        <stp>46678127Q1:OI</stp>
        <tr r="T371" s="5"/>
      </tp>
      <tp>
        <v>0</v>
        <stp/>
        <stp>46678127Q8:OI</stp>
        <tr r="T378" s="5"/>
      </tp>
      <tp t="s">
        <v>Invalid Market: 46678127Y2</v>
        <stp/>
        <stp>46678127Y2:OI</stp>
        <tr r="T381" s="5"/>
      </tp>
      <tp>
        <v>0</v>
        <stp/>
        <stp>46678127Y0:OI</stp>
        <tr r="T379" s="5"/>
      </tp>
      <tp>
        <v>0</v>
        <stp/>
        <stp>46678127Y1:OI</stp>
        <tr r="T380" s="5"/>
      </tp>
      <tp>
        <v>5277</v>
        <stp/>
        <stp>46678127M6:OI</stp>
        <tr r="T351" s="5"/>
      </tp>
      <tp>
        <v>3043</v>
        <stp/>
        <stp>46678127M7:OI</stp>
        <tr r="T352" s="5"/>
      </tp>
      <tp>
        <v>4842</v>
        <stp/>
        <stp>46678127M4:OI</stp>
        <tr r="T349" s="5"/>
      </tp>
      <tp>
        <v>5055</v>
        <stp/>
        <stp>46678127M5:OI</stp>
        <tr r="T350" s="5"/>
      </tp>
      <tp>
        <v>8824</v>
        <stp/>
        <stp>46678127M2:OI</stp>
        <tr r="T347" s="5"/>
      </tp>
      <tp>
        <v>11310</v>
        <stp/>
        <stp>46678127M3:OI</stp>
        <tr r="T348" s="5"/>
      </tp>
      <tp>
        <v>23370</v>
        <stp/>
        <stp>46678127M0:OI</stp>
        <tr r="T345" s="5"/>
      </tp>
      <tp>
        <v>11579</v>
        <stp/>
        <stp>46678127M1:OI</stp>
        <tr r="T346" s="5"/>
      </tp>
      <tp>
        <v>3452</v>
        <stp/>
        <stp>46678127M8:OI</stp>
        <tr r="T353" s="5"/>
      </tp>
      <tp>
        <v>4082</v>
        <stp/>
        <stp>46678127M9:OI</stp>
        <tr r="T354" s="5"/>
      </tp>
      <tp t="s">
        <v/>
        <stp/>
        <stp>2182524598B0:LstDate</stp>
        <tr r="J1376" s="5"/>
      </tp>
      <tp t="s">
        <v/>
        <stp/>
        <stp>2181524588B0:LstDate</stp>
        <tr r="J1452" s="5"/>
      </tp>
      <tp t="s">
        <v/>
        <stp/>
        <stp>2185624628B0:LstDate</stp>
        <tr r="J745" s="5"/>
      </tp>
    </main>
    <main first="bofaddin.rtdserver">
      <tp t="s">
        <v>#N/A Requesting Data...3806364441</v>
        <stp/>
        <stp>BDP|17435922039236999673</stp>
        <tr r="AF194" s="23"/>
      </tp>
      <tp t="s">
        <v>#N/A Requesting Data...1456903821</v>
        <stp/>
        <stp>BDP|11839983144008710963</stp>
        <tr r="D1" s="14"/>
      </tp>
      <tp t="s">
        <v>#N/A N/A</v>
        <stp/>
        <stp>BDH|15001052180335698529</stp>
        <tr r="AZ32" s="1"/>
      </tp>
      <tp t="s">
        <v>#N/A N/A</v>
        <stp/>
        <stp>BDH|14614737364989235101</stp>
        <tr r="AV19" s="1"/>
      </tp>
      <tp t="s">
        <v>#N/A N/A</v>
        <stp/>
        <stp>BDH|15259716792400538671</stp>
        <tr r="AY19" s="1"/>
      </tp>
      <tp t="s">
        <v>#N/A N/A</v>
        <stp/>
        <stp>BDH|14238455484325048061</stp>
        <tr r="BC28" s="1"/>
      </tp>
      <tp t="s">
        <v>#N/A N/A</v>
        <stp/>
        <stp>BDH|15194807127237161533</stp>
        <tr r="K34" s="16"/>
      </tp>
      <tp t="s">
        <v>#N/A N/A</v>
        <stp/>
        <stp>BDH|17120160877248363444</stp>
        <tr r="I21" s="14"/>
      </tp>
      <tp t="s">
        <v>#N/A N/A</v>
        <stp/>
        <stp>BDH|16890854258711350708</stp>
        <tr r="AV63" s="1"/>
      </tp>
      <tp t="s">
        <v>#N/A N/A</v>
        <stp/>
        <stp>BDH|18172995790622165723</stp>
        <tr r="BC37" s="1"/>
      </tp>
      <tp t="s">
        <v>#N/A N/A</v>
        <stp/>
        <stp>BDH|15829459011978397552</stp>
        <tr r="H53" s="16"/>
      </tp>
      <tp t="s">
        <v>#N/A N/A</v>
        <stp/>
        <stp>BDH|13382883617606439120</stp>
        <tr r="K63" s="16"/>
      </tp>
    </main>
    <main first="ice.rtd">
      <tp>
        <v>0</v>
        <stp/>
        <stp>2888129698B0:OI</stp>
        <tr r="T1110" s="5"/>
      </tp>
    </main>
    <main first="bofaddin.rtdserver">
      <tp t="s">
        <v>#N/A N/A</v>
        <stp/>
        <stp>BDH|12929786680166421688</stp>
        <tr r="N95" s="16"/>
      </tp>
      <tp t="s">
        <v>#N/A N/A</v>
        <stp/>
        <stp>BDH|17691333785421454082</stp>
        <tr r="AY47" s="1"/>
      </tp>
    </main>
    <main first="ice.rtd">
      <tp>
        <v>0</v>
        <stp/>
        <stp>2181024583B0:OI</stp>
        <tr r="T1990" s="5"/>
      </tp>
    </main>
    <main first="bofaddin.rtdserver">
      <tp t="s">
        <v>#N/A N/A</v>
        <stp/>
        <stp>BDH|16088189311322048965</stp>
        <tr r="L94" s="16"/>
      </tp>
      <tp t="s">
        <v>#N/A N/A</v>
        <stp/>
        <stp>BDH|17936917889308872361</stp>
        <tr r="J32" s="16"/>
      </tp>
    </main>
    <main first="ice.rtd">
      <tp>
        <v>0</v>
        <stp/>
        <stp>2324925610B0:OI</stp>
        <tr r="T882" s="5"/>
      </tp>
      <tp>
        <v>9695</v>
        <stp/>
        <stp>2427026287M1:OI</stp>
        <tr r="T1150" s="5"/>
      </tp>
      <tp>
        <v>9093</v>
        <stp/>
        <stp>2427026287M0:OI</stp>
        <tr r="T1149" s="5"/>
      </tp>
      <tp>
        <v>3691</v>
        <stp/>
        <stp>2427026287M3:OI</stp>
        <tr r="T1152" s="5"/>
      </tp>
      <tp>
        <v>4319</v>
        <stp/>
        <stp>2427026287M2:OI</stp>
        <tr r="T1151" s="5"/>
      </tp>
      <tp>
        <v>746</v>
        <stp/>
        <stp>2427026287M5:OI</stp>
        <tr r="T1154" s="5"/>
      </tp>
      <tp>
        <v>776</v>
        <stp/>
        <stp>2427026287M4:OI</stp>
        <tr r="T1153" s="5"/>
      </tp>
      <tp>
        <v>608</v>
        <stp/>
        <stp>2427026287M7:OI</stp>
        <tr r="T1156" s="5"/>
      </tp>
      <tp>
        <v>741</v>
        <stp/>
        <stp>2427026287M6:OI</stp>
        <tr r="T1155" s="5"/>
      </tp>
      <tp>
        <v>610</v>
        <stp/>
        <stp>2427026287M9:OI</stp>
        <tr r="T1158" s="5"/>
      </tp>
      <tp>
        <v>606</v>
        <stp/>
        <stp>2427026287M8:OI</stp>
        <tr r="T1157" s="5"/>
      </tp>
      <tp>
        <v>0</v>
        <stp/>
        <stp>2427026287Q1:OI</stp>
        <tr r="T1175" s="5"/>
      </tp>
      <tp>
        <v>0</v>
        <stp/>
        <stp>2427026287Q0:OI</stp>
        <tr r="T1174" s="5"/>
      </tp>
      <tp>
        <v>0</v>
        <stp/>
        <stp>2427026287Q3:OI</stp>
        <tr r="T1177" s="5"/>
      </tp>
      <tp>
        <v>0</v>
        <stp/>
        <stp>2427026287Q2:OI</stp>
        <tr r="T1176" s="5"/>
      </tp>
      <tp>
        <v>0</v>
        <stp/>
        <stp>2427026287Q5:OI</stp>
        <tr r="T1179" s="5"/>
      </tp>
      <tp>
        <v>0</v>
        <stp/>
        <stp>2427026287Q4:OI</stp>
        <tr r="T1178" s="5"/>
      </tp>
      <tp>
        <v>0</v>
        <stp/>
        <stp>2427026287Q7:OI</stp>
        <tr r="T1181" s="5"/>
      </tp>
      <tp>
        <v>0</v>
        <stp/>
        <stp>2427026287Q6:OI</stp>
        <tr r="T1180" s="5"/>
      </tp>
      <tp>
        <v>0</v>
        <stp/>
        <stp>2427026287Q8:OI</stp>
        <tr r="T1182" s="5"/>
      </tp>
      <tp>
        <v>0</v>
        <stp/>
        <stp>2427026287Y1:OI</stp>
        <tr r="T1184" s="5"/>
      </tp>
      <tp>
        <v>0</v>
        <stp/>
        <stp>2427026287Y0:OI</stp>
        <tr r="T1183" s="5"/>
      </tp>
      <tp>
        <v>0</v>
        <stp/>
        <stp>2427026287Y2:OI</stp>
        <tr r="T1185" s="5"/>
      </tp>
    </main>
    <main first="bofaddin.rtdserver">
      <tp t="s">
        <v>#N/A</v>
        <stp/>
        <stp>BDP|538286419081115251|222</stp>
        <stp>OQAF7G7 Comdty</stp>
        <stp>ASK</stp>
        <stp>Fill=#N/A</stp>
        <tr r="T24" s="1"/>
      </tp>
      <tp t="s">
        <v>#N/A N/A</v>
        <stp/>
        <stp>BDH|17129020867629305596</stp>
        <tr r="C51" s="14"/>
      </tp>
      <tp>
        <v>1.95</v>
        <stp/>
        <stp>BDP|2480073069436118137|22</stp>
        <stp>CLZ9CLZ0 Comdty</stp>
        <stp>BID</stp>
        <tr r="B5" s="3"/>
      </tp>
    </main>
    <main first="esrtd">
      <tp t="s">
        <v/>
        <stp/>
        <stp>GDX F27-IEU</stp>
        <stp>ICE Theoretical Price</stp>
        <tr r="W1609" s="5"/>
      </tp>
      <tp t="s">
        <v/>
        <stp/>
        <stp>GDX G27-IEU</stp>
        <stp>ICE Theoretical Price</stp>
        <tr r="W1610" s="5"/>
      </tp>
      <tp t="s">
        <v/>
        <stp/>
        <stp>GDX N27-IEU</stp>
        <stp>ICE Theoretical Price</stp>
        <tr r="W1615" s="5"/>
      </tp>
      <tp t="s">
        <v/>
        <stp/>
        <stp>GDX M27-IEU</stp>
        <stp>ICE Theoretical Price</stp>
        <tr r="W1614" s="5"/>
      </tp>
      <tp t="s">
        <v/>
        <stp/>
        <stp>GDX J27-IEU</stp>
        <stp>ICE Theoretical Price</stp>
        <tr r="W1612" s="5"/>
      </tp>
      <tp t="s">
        <v/>
        <stp/>
        <stp>GDX K27-IEU</stp>
        <stp>ICE Theoretical Price</stp>
        <tr r="W1613" s="5"/>
      </tp>
      <tp t="s">
        <v/>
        <stp/>
        <stp>GDX H27-IEU</stp>
        <stp>ICE Theoretical Price</stp>
        <tr r="W1611" s="5"/>
      </tp>
      <tp t="s">
        <v/>
        <stp/>
        <stp>GDX V27-IEU</stp>
        <stp>ICE Theoretical Price</stp>
        <tr r="W1618" s="5"/>
      </tp>
      <tp t="s">
        <v/>
        <stp/>
        <stp>GDX U27-IEU</stp>
        <stp>ICE Theoretical Price</stp>
        <tr r="W1617" s="5"/>
      </tp>
      <tp t="s">
        <v/>
        <stp/>
        <stp>GDX Q27-IEU</stp>
        <stp>ICE Theoretical Price</stp>
        <tr r="W1616" s="5"/>
      </tp>
      <tp t="s">
        <v/>
        <stp/>
        <stp>GDX X27-IEU</stp>
        <stp>ICE Theoretical Price</stp>
        <tr r="W1619" s="5"/>
      </tp>
    </main>
    <main first="ice.rtd">
      <tp>
        <v>0</v>
        <stp/>
        <stp>161913535MM8:OI</stp>
        <tr r="T2035" s="5"/>
      </tp>
      <tp>
        <v>0</v>
        <stp/>
        <stp>161913535MM9:OI</stp>
        <tr r="T2036" s="5"/>
      </tp>
      <tp>
        <v>0</v>
        <stp/>
        <stp>161913535MM6:OI</stp>
        <tr r="T2033" s="5"/>
      </tp>
      <tp>
        <v>0</v>
        <stp/>
        <stp>161913535MM7:OI</stp>
        <tr r="T2034" s="5"/>
      </tp>
      <tp>
        <v>0</v>
        <stp/>
        <stp>161913535MM4:OI</stp>
        <tr r="T2031" s="5"/>
      </tp>
      <tp>
        <v>0</v>
        <stp/>
        <stp>161913535MM5:OI</stp>
        <tr r="T2032" s="5"/>
      </tp>
      <tp>
        <v>0</v>
        <stp/>
        <stp>161913535MM2:OI</stp>
        <tr r="T2029" s="5"/>
      </tp>
      <tp>
        <v>0</v>
        <stp/>
        <stp>161913535MM3:OI</stp>
        <tr r="T2030" s="5"/>
      </tp>
      <tp>
        <v>0</v>
        <stp/>
        <stp>161913535MM0:OI</stp>
        <tr r="T2027" s="5"/>
      </tp>
      <tp>
        <v>0</v>
        <stp/>
        <stp>161913535MM1:OI</stp>
        <tr r="T2028" s="5"/>
      </tp>
      <tp t="s">
        <v>Invalid Market: 297449133BM0</v>
        <stp/>
        <stp>297449133BM0:OI</stp>
        <tr r="T2026" s="5"/>
      </tp>
    </main>
    <main first="bofaddin.rtdserver">
      <tp t="s">
        <v>#N/A</v>
        <stp/>
        <stp>BDP|15050207495193457468|222</stp>
        <stp>HOQ9HOU9 Comdty</stp>
        <stp>ASK</stp>
        <stp>Fill=#N/A</stp>
        <tr r="Q55" s="1"/>
      </tp>
      <tp>
        <v>19.34</v>
        <stp/>
        <stp>BDP|15458226171111450240|222</stp>
        <stp>HOX6HOZ6 Comdty</stp>
        <stp>BID</stp>
        <stp>Fill=#N/A</stp>
        <tr r="Q22" s="1"/>
      </tp>
    </main>
    <main first="ice.rtd">
      <tp>
        <v>0</v>
        <stp/>
        <stp>161913535YY0:OI</stp>
        <tr r="T2057" s="5"/>
      </tp>
    </main>
    <main first="bofaddin.rtdserver">
      <tp>
        <v>11.24</v>
        <stp/>
        <stp>BDP|15945512992754615334|222</stp>
        <stp>HOJ7HOK7 Comdty</stp>
        <stp>BID</stp>
        <stp>Fill=#N/A</stp>
        <tr r="Q27" s="1"/>
      </tp>
      <tp>
        <v>0.25</v>
        <stp/>
        <stp>BDP|14496246050761332402|222</stp>
        <stp>CLM8CLN8 Comdty</stp>
        <stp>ASK</stp>
        <stp>Fill=#N/A</stp>
        <tr r="N41" s="1"/>
      </tp>
      <tp>
        <v>-0.04</v>
        <stp/>
        <stp>BDP|17493104194956165997|222</stp>
        <stp>XBG7XBH7 Comdty</stp>
        <stp>ASK</stp>
        <stp>Fill=#N/A</stp>
        <tr r="R25" s="1"/>
      </tp>
      <tp>
        <v>0.26</v>
        <stp/>
        <stp>BDP|13868494913000251789|222</stp>
        <stp>COQ8COU8 Comdty</stp>
        <stp>ASK</stp>
        <stp>Fill=#N/A</stp>
        <tr r="O43" s="1"/>
      </tp>
    </main>
    <main first="ice.rtd">
      <tp>
        <v>0</v>
        <stp/>
        <stp>161913535QQ0:OI</stp>
        <tr r="T2055" s="5"/>
      </tp>
      <tp>
        <v>0</v>
        <stp/>
        <stp>161913535QQ1:OI</stp>
        <tr r="T2056" s="5"/>
      </tp>
    </main>
    <main first="bofaddin.rtdserver">
      <tp>
        <v>3.48</v>
        <stp/>
        <stp>BDP|16535619035646220726|222</stp>
        <stp>COX6COZ6 Comdty</stp>
        <stp>ASK</stp>
        <stp>Fill=#N/A</stp>
        <tr r="O22" s="1"/>
      </tp>
      <tp>
        <v>4.3499999999999996</v>
        <stp/>
        <stp>BDP|14041687518348676043|222</stp>
        <stp>HOV7HOX7 Comdty</stp>
        <stp>ASK</stp>
        <stp>Fill=#N/A</stp>
        <tr r="Q33" s="1"/>
      </tp>
      <tp>
        <v>0.47</v>
        <stp/>
        <stp>BDP|18032864014107995096|222</stp>
        <stp>CLU7CLV7 Comdty</stp>
        <stp>ASK</stp>
        <stp>Fill=#N/A</stp>
        <tr r="N32" s="1"/>
      </tp>
      <tp t="s">
        <v>#N/A</v>
        <stp/>
        <stp>BDP|17660419372464792983|222</stp>
        <stp>HOQ9HOU9 Comdty</stp>
        <stp>BID</stp>
        <stp>Fill=#N/A</stp>
        <tr r="Q55" s="1"/>
      </tp>
    </main>
    <main first="ice.rtd">
      <tp>
        <v>0</v>
        <stp/>
        <stp>366531QQ1:Vol</stp>
        <tr r="N1744" s="5"/>
      </tp>
      <tp>
        <v>0</v>
        <stp/>
        <stp>366531QQ0:Vol</stp>
        <tr r="N1743" s="5"/>
      </tp>
    </main>
    <main first="bofaddin.rtdserver">
      <tp t="s">
        <v>#N/A Invalid Security</v>
        <stp/>
        <stp>BDP|15943155321515595799|222</stp>
        <stp>HOF0HOG0 Comdty</stp>
        <stp>BID</stp>
        <stp>Fill=#N/A</stp>
        <tr r="Q60" s="1"/>
      </tp>
      <tp>
        <v>4.72</v>
        <stp/>
        <stp>BDP|14313255072516897400|222</stp>
        <stp>HOX7HOZ7 Comdty</stp>
        <stp>ASK</stp>
        <stp>Fill=#N/A</stp>
        <tr r="Q34" s="1"/>
      </tp>
      <tp>
        <v>0.31</v>
        <stp/>
        <stp>BDP|13835942155817970124|222</stp>
        <stp>COG8COH8 Comdty</stp>
        <stp>BID</stp>
        <stp>Fill=#N/A</stp>
        <tr r="O37" s="1"/>
      </tp>
    </main>
    <main first="ice.rtd">
      <tp t="s">
        <v/>
        <stp/>
        <stp>2755828679Y2:LstBlkPrc</stp>
        <tr r="K1033" s="5"/>
      </tp>
      <tp t="s">
        <v/>
        <stp/>
        <stp>2755828679Q2:LstBlkPrc</stp>
        <tr r="K1024" s="5"/>
      </tp>
      <tp t="s">
        <v/>
        <stp/>
        <stp>2755828679M2:LstBlkPrc</stp>
        <tr r="K999" s="5"/>
      </tp>
      <tp t="s">
        <v/>
        <stp/>
        <stp>29243602M2:LstBlkPrc</stp>
        <tr r="K748" s="5"/>
      </tp>
      <tp t="s">
        <v/>
        <stp/>
        <stp>29243602Q2:LstBlkPrc</stp>
        <tr r="K764" s="5"/>
      </tp>
      <tp t="s">
        <v/>
        <stp/>
        <stp>1923422331M1:BstHitPrc</stp>
        <tr r="G1628" s="5"/>
      </tp>
      <tp t="s">
        <v/>
        <stp/>
        <stp>1923422331Q1:BstHitPrc</stp>
        <tr r="G1643" s="5"/>
      </tp>
      <tp>
        <v>-8.35</v>
        <stp/>
        <stp>1581618115M1:BstHitPrc</stp>
        <tr r="G460" s="5"/>
      </tp>
      <tp>
        <v>-5.2</v>
        <stp/>
        <stp>1581618115Q1:BstHitPrc</stp>
        <tr r="G475" s="5"/>
      </tp>
      <tp t="s">
        <v/>
        <stp/>
        <stp>18901687M3:LstBlkPrc</stp>
        <tr r="K310" s="5"/>
      </tp>
      <tp t="s">
        <v/>
        <stp/>
        <stp>18901687Q3:LstBlkPrc</stp>
        <tr r="K335" s="5"/>
      </tp>
      <tp t="s">
        <v/>
        <stp/>
        <stp>35534143M9:LstBlkPrc</stp>
        <tr r="K717" s="5"/>
      </tp>
      <tp t="s">
        <v/>
        <stp/>
        <stp>35544144M9:LstBlkPrc</stp>
        <tr r="K641" s="5"/>
      </tp>
      <tp t="s">
        <v/>
        <stp/>
        <stp>35554145M9:LstBlkPrc</stp>
        <tr r="K679" s="5"/>
      </tp>
      <tp t="s">
        <v/>
        <stp/>
        <stp>1986923076Q7:LstBlkPrc</stp>
        <tr r="K187" s="5"/>
      </tp>
      <tp t="s">
        <v/>
        <stp/>
        <stp>1986923076M7:LstBlkPrc</stp>
        <tr r="K162" s="5"/>
      </tp>
      <tp t="s">
        <v/>
        <stp/>
        <stp>34344092M9:BstHitPrc</stp>
        <tr r="G1272" s="5"/>
      </tp>
      <tp t="s">
        <v/>
        <stp/>
        <stp>34354093M9:BstHitPrc</stp>
        <tr r="G1310" s="5"/>
      </tp>
      <tp t="s">
        <v/>
        <stp/>
        <stp>34364094M9:BstHitPrc</stp>
        <tr r="G527" s="5"/>
      </tp>
      <tp t="s">
        <v/>
        <stp/>
        <stp>34374095M9:BstHitPrc</stp>
        <tr r="G565" s="5"/>
      </tp>
      <tp t="s">
        <v/>
        <stp/>
        <stp>18851683M3:LstBlkPrc</stp>
        <tr r="K196" s="5"/>
      </tp>
      <tp t="s">
        <v/>
        <stp/>
        <stp>18851683Q3:LstBlkPrc</stp>
        <tr r="K221" s="5"/>
      </tp>
      <tp t="s">
        <v/>
        <stp/>
        <stp>18871685M3:LstBlkPrc</stp>
        <tr r="K424" s="5"/>
      </tp>
      <tp>
        <v>26.25</v>
        <stp/>
        <stp>18871685Q3:LstBlkPrc</stp>
        <tr r="K449" s="5"/>
      </tp>
      <tp t="s">
        <v/>
        <stp/>
        <stp>1986823075Q7:LstBlkPrc</stp>
        <tr r="K149" s="5"/>
      </tp>
      <tp>
        <v>-48.5</v>
        <stp/>
        <stp>1986823075M7:LstBlkPrc</stp>
        <tr r="K124" s="5"/>
      </tp>
      <tp t="s">
        <v/>
        <stp/>
        <stp>34404098M9:BstHitPrc</stp>
        <tr r="G603" s="5"/>
      </tp>
      <tp>
        <v>92</v>
        <stp/>
        <stp>34414099M9:BstHitPrc</stp>
        <tr r="G88" s="5"/>
      </tp>
      <tp t="s">
        <v/>
        <stp/>
        <stp>1840020882M9:LstBlkPrc</stp>
        <tr r="K1591" s="5"/>
      </tp>
      <tp t="s">
        <v/>
        <stp/>
        <stp>2755728678M2:BstHitPrc</stp>
        <tr r="G1113" s="5"/>
      </tp>
      <tp t="s">
        <v/>
        <stp/>
        <stp>2755728678Q2:BstHitPrc</stp>
        <tr r="G1138" s="5"/>
      </tp>
      <tp t="s">
        <v/>
        <stp/>
        <stp>2755728678Y2:BstHitPrc</stp>
        <tr r="G1147" s="5"/>
      </tp>
      <tp t="s">
        <v/>
        <stp/>
        <stp>2044823525Q0:LstBlkPrc</stp>
        <tr r="K1770" s="5"/>
      </tp>
      <tp t="s">
        <v/>
        <stp/>
        <stp>2044823525Y0:LstBlkPrc</stp>
        <tr r="K1777" s="5"/>
      </tp>
      <tp t="s">
        <v/>
        <stp/>
        <stp>2044823525M0:LstBlkPrc</stp>
        <tr r="K1747" s="5"/>
      </tp>
      <tp t="s">
        <v/>
        <stp/>
        <stp>32613992Q6:BstHitPrc</stp>
        <tr r="G1256" s="5"/>
      </tp>
      <tp t="s">
        <v/>
        <stp/>
        <stp>32613992M6:BstHitPrc</stp>
        <tr r="G1231" s="5"/>
      </tp>
      <tp t="s">
        <v/>
        <stp/>
        <stp>32623993Q6:BstHitPrc</stp>
        <tr r="G2021" s="5"/>
      </tp>
      <tp t="s">
        <v/>
        <stp/>
        <stp>32623993M6:BstHitPrc</stp>
        <tr r="G1996" s="5"/>
      </tp>
      <tp t="s">
        <v/>
        <stp/>
        <stp>3124331018M5:BstHitPrc</stp>
        <tr r="G1610" s="5"/>
      </tp>
      <tp t="s">
        <v/>
        <stp/>
        <stp>2427126288Q4:LstBlkPrc</stp>
        <tr r="K1064" s="5"/>
      </tp>
      <tp t="s">
        <v/>
        <stp/>
        <stp>2427126288M4:LstBlkPrc</stp>
        <tr r="K1039" s="5"/>
      </tp>
      <tp t="s">
        <v/>
        <stp/>
        <stp>41767893Q4:BstHitPrc</stp>
        <tr r="G509" s="5"/>
      </tp>
      <tp t="s">
        <v/>
        <stp/>
        <stp>41767893M4:BstHitPrc</stp>
        <tr r="G484" s="5"/>
      </tp>
      <tp t="s">
        <v/>
        <stp/>
        <stp>41787896Q4:BstHitPrc</stp>
        <tr r="G836" s="5"/>
      </tp>
      <tp t="s">
        <v/>
        <stp/>
        <stp>41787896M4:BstHitPrc</stp>
        <tr r="G811" s="5"/>
      </tp>
      <tp t="s">
        <v/>
        <stp/>
        <stp>2427026287Q4:LstBlkPrc</stp>
        <tr r="K1178" s="5"/>
      </tp>
      <tp t="s">
        <v/>
        <stp/>
        <stp>2427026287M4:LstBlkPrc</stp>
        <tr r="K1153" s="5"/>
      </tp>
      <tp>
        <v>18.45</v>
        <stp/>
        <stp>18901687Q3:BstHitPrc</stp>
        <tr r="G335" s="5"/>
      </tp>
      <tp>
        <v>19.2</v>
        <stp/>
        <stp>18901687M3:BstHitPrc</stp>
        <tr r="G310" s="5"/>
      </tp>
      <tp t="s">
        <v/>
        <stp/>
        <stp>35534143M9:BstHitPrc</stp>
        <tr r="G717" s="5"/>
      </tp>
      <tp t="s">
        <v/>
        <stp/>
        <stp>35544144M9:BstHitPrc</stp>
        <tr r="G641" s="5"/>
      </tp>
      <tp t="s">
        <v/>
        <stp/>
        <stp>35554145M9:BstHitPrc</stp>
        <tr r="G679" s="5"/>
      </tp>
      <tp t="s">
        <v/>
        <stp/>
        <stp>1986923076M7:BstHitPrc</stp>
        <tr r="G162" s="5"/>
      </tp>
      <tp t="s">
        <v/>
        <stp/>
        <stp>1986923076Q7:BstHitPrc</stp>
        <tr r="G187" s="5"/>
      </tp>
      <tp>
        <v>-11.38</v>
        <stp/>
        <stp>18851683Q3:BstHitPrc</stp>
        <tr r="G221" s="5"/>
      </tp>
      <tp>
        <v>-8.27</v>
        <stp/>
        <stp>18851683M3:BstHitPrc</stp>
        <tr r="G196" s="5"/>
      </tp>
      <tp>
        <v>2.75</v>
        <stp/>
        <stp>18871685Q3:BstHitPrc</stp>
        <tr r="G449" s="5"/>
      </tp>
      <tp>
        <v>1.75</v>
        <stp/>
        <stp>18871685M3:BstHitPrc</stp>
        <tr r="G424" s="5"/>
      </tp>
      <tp t="s">
        <v/>
        <stp/>
        <stp>34344092M9:LstBlkPrc</stp>
        <tr r="K1272" s="5"/>
      </tp>
      <tp t="s">
        <v/>
        <stp/>
        <stp>34354093M9:LstBlkPrc</stp>
        <tr r="K1310" s="5"/>
      </tp>
      <tp t="s">
        <v/>
        <stp/>
        <stp>34364094M9:LstBlkPrc</stp>
        <tr r="K527" s="5"/>
      </tp>
      <tp t="s">
        <v/>
        <stp/>
        <stp>34374095M9:LstBlkPrc</stp>
        <tr r="K565" s="5"/>
      </tp>
      <tp t="s">
        <v/>
        <stp/>
        <stp>1986823075M7:BstHitPrc</stp>
        <tr r="G124" s="5"/>
      </tp>
      <tp t="s">
        <v/>
        <stp/>
        <stp>1986823075Q7:BstHitPrc</stp>
        <tr r="G149" s="5"/>
      </tp>
      <tp t="s">
        <v/>
        <stp/>
        <stp>2755828679M2:BstHitPrc</stp>
        <tr r="G999" s="5"/>
      </tp>
      <tp t="s">
        <v/>
        <stp/>
        <stp>2755828679Q2:BstHitPrc</stp>
        <tr r="G1024" s="5"/>
      </tp>
      <tp t="s">
        <v/>
        <stp/>
        <stp>2755828679Y2:BstHitPrc</stp>
        <tr r="G1033" s="5"/>
      </tp>
      <tp t="s">
        <v/>
        <stp/>
        <stp>29243602Q2:BstHitPrc</stp>
        <tr r="G764" s="5"/>
      </tp>
      <tp t="s">
        <v/>
        <stp/>
        <stp>29243602M2:BstHitPrc</stp>
        <tr r="G748" s="5"/>
      </tp>
      <tp t="s">
        <v/>
        <stp/>
        <stp>1581618115Q1:LstBlkPrc</stp>
        <tr r="K475" s="5"/>
      </tp>
      <tp>
        <v>-8.5</v>
        <stp/>
        <stp>1581618115M1:LstBlkPrc</stp>
        <tr r="K460" s="5"/>
      </tp>
      <tp t="s">
        <v/>
        <stp/>
        <stp>1923422331Q1:LstBlkPrc</stp>
        <tr r="K1643" s="5"/>
      </tp>
      <tp t="s">
        <v/>
        <stp/>
        <stp>1923422331M1:LstBlkPrc</stp>
        <tr r="K1628" s="5"/>
      </tp>
      <tp t="s">
        <v/>
        <stp/>
        <stp>32623993M6:LstBlkPrc</stp>
        <tr r="K1996" s="5"/>
      </tp>
      <tp t="s">
        <v/>
        <stp/>
        <stp>32623993Q6:LstBlkPrc</stp>
        <tr r="K2021" s="5"/>
      </tp>
      <tp t="s">
        <v/>
        <stp/>
        <stp>32613992M6:LstBlkPrc</stp>
        <tr r="K1231" s="5"/>
      </tp>
      <tp t="s">
        <v/>
        <stp/>
        <stp>32613992Q6:LstBlkPrc</stp>
        <tr r="K1256" s="5"/>
      </tp>
      <tp t="s">
        <v/>
        <stp/>
        <stp>2427126288M4:BstHitPrc</stp>
        <tr r="G1039" s="5"/>
      </tp>
      <tp t="s">
        <v/>
        <stp/>
        <stp>2427126288Q4:BstHitPrc</stp>
        <tr r="G1064" s="5"/>
      </tp>
      <tp t="s">
        <v/>
        <stp/>
        <stp>3124331018M5:LstBlkPrc</stp>
        <tr r="K1610" s="5"/>
      </tp>
      <tp t="s">
        <v/>
        <stp/>
        <stp>41787896M4:LstBlkPrc</stp>
        <tr r="K811" s="5"/>
      </tp>
      <tp t="s">
        <v/>
        <stp/>
        <stp>41787896Q4:LstBlkPrc</stp>
        <tr r="K836" s="5"/>
      </tp>
      <tp t="s">
        <v/>
        <stp/>
        <stp>41767893M4:LstBlkPrc</stp>
        <tr r="K484" s="5"/>
      </tp>
      <tp t="s">
        <v/>
        <stp/>
        <stp>41767893Q4:LstBlkPrc</stp>
        <tr r="K509" s="5"/>
      </tp>
      <tp t="s">
        <v/>
        <stp/>
        <stp>2427026287M4:BstHitPrc</stp>
        <tr r="G1153" s="5"/>
      </tp>
      <tp t="s">
        <v/>
        <stp/>
        <stp>2427026287Q4:BstHitPrc</stp>
        <tr r="G1178" s="5"/>
      </tp>
      <tp t="s">
        <v/>
        <stp/>
        <stp>34404098M9:LstBlkPrc</stp>
        <tr r="K603" s="5"/>
      </tp>
      <tp t="s">
        <v/>
        <stp/>
        <stp>34414099M9:LstBlkPrc</stp>
        <tr r="K88" s="5"/>
      </tp>
      <tp t="s">
        <v/>
        <stp/>
        <stp>1840020882M9:BstHitPrc</stp>
        <tr r="G1591" s="5"/>
      </tp>
      <tp t="s">
        <v/>
        <stp/>
        <stp>2044823525M0:BstHitPrc</stp>
        <tr r="G1747" s="5"/>
      </tp>
      <tp t="s">
        <v/>
        <stp/>
        <stp>2044823525Y0:BstHitPrc</stp>
        <tr r="G1777" s="5"/>
      </tp>
      <tp t="s">
        <v/>
        <stp/>
        <stp>2044823525Q0:BstHitPrc</stp>
        <tr r="G1770" s="5"/>
      </tp>
      <tp t="s">
        <v/>
        <stp/>
        <stp>2755728678Y2:LstBlkPrc</stp>
        <tr r="K1147" s="5"/>
      </tp>
      <tp t="s">
        <v/>
        <stp/>
        <stp>2755728678Q2:LstBlkPrc</stp>
        <tr r="K1138" s="5"/>
      </tp>
      <tp t="s">
        <v/>
        <stp/>
        <stp>2755728678M2:LstBlkPrc</stp>
        <tr r="K1113" s="5"/>
      </tp>
      <tp>
        <v>25</v>
        <stp/>
        <stp>41767893M2:LstBlkVol</stp>
        <tr r="L482" s="5"/>
      </tp>
      <tp t="s">
        <v>Invalid Market: 41767893Y2</v>
        <stp/>
        <stp>41767893Y2:LstBlkVol</stp>
        <tr r="L516" s="5"/>
      </tp>
      <tp t="s">
        <v/>
        <stp/>
        <stp>41767893Q2:LstBlkVol</stp>
        <tr r="L507" s="5"/>
      </tp>
      <tp>
        <v>10</v>
        <stp/>
        <stp>41787896M2:LstBlkVol</stp>
        <tr r="L809" s="5"/>
      </tp>
      <tp t="s">
        <v/>
        <stp/>
        <stp>41787896Y2:LstBlkVol</stp>
        <tr r="L843" s="5"/>
      </tp>
      <tp t="s">
        <v/>
        <stp/>
        <stp>41787896Q2:LstBlkVol</stp>
        <tr r="L834" s="5"/>
      </tp>
      <tp>
        <v>0</v>
        <stp/>
        <stp>15061297YY0:Vol</stp>
        <tr r="N1713" s="5"/>
      </tp>
      <tp t="s">
        <v/>
        <stp/>
        <stp>32613992M0:LstBlkVol</stp>
        <tr r="L1225" s="5"/>
      </tp>
      <tp t="s">
        <v/>
        <stp/>
        <stp>32613992Y0:LstBlkVol</stp>
        <tr r="L1259" s="5"/>
      </tp>
      <tp t="s">
        <v/>
        <stp/>
        <stp>32613992Q0:LstBlkVol</stp>
        <tr r="L1250" s="5"/>
      </tp>
      <tp>
        <v>1</v>
        <stp/>
        <stp>32623993Y0:LstBlkVol</stp>
        <tr r="L2024" s="5"/>
      </tp>
      <tp t="s">
        <v/>
        <stp/>
        <stp>32623993Q0:LstBlkVol</stp>
        <tr r="L2015" s="5"/>
      </tp>
      <tp t="s">
        <v/>
        <stp/>
        <stp>3124331018Q3:LstBlkVol</stp>
        <tr r="L1623" s="5"/>
      </tp>
      <tp t="s">
        <v/>
        <stp/>
        <stp>3124331018M3:LstBlkVol</stp>
        <tr r="L1608" s="5"/>
      </tp>
      <tp t="s">
        <v/>
        <stp/>
        <stp>1517M20:BstLiftPrc</stp>
        <tr r="H23" s="5"/>
      </tp>
      <tp t="s">
        <v/>
        <stp/>
        <stp>1517M21:BstLiftPrc</stp>
        <tr r="H24" s="5"/>
      </tp>
      <tp t="s">
        <v/>
        <stp/>
        <stp>1517M22:BstLiftPrc</stp>
        <tr r="H25" s="5"/>
      </tp>
      <tp t="s">
        <v/>
        <stp/>
        <stp>1517M23:BstLiftPrc</stp>
        <tr r="H26" s="5"/>
      </tp>
      <tp t="s">
        <v/>
        <stp/>
        <stp>1517M24:BstLiftPrc</stp>
        <tr r="H27" s="5"/>
      </tp>
      <tp t="s">
        <v/>
        <stp/>
        <stp>2755728678Q4:LstBlkVol</stp>
        <tr r="L1140" s="5"/>
      </tp>
      <tp t="s">
        <v/>
        <stp/>
        <stp>2755728678M4:LstBlkVol</stp>
        <tr r="L1115" s="5"/>
      </tp>
      <tp t="s">
        <v/>
        <stp/>
        <stp>1517M18:BstLiftPrc</stp>
        <tr r="H21" s="5"/>
      </tp>
      <tp t="s">
        <v/>
        <stp/>
        <stp>1517M19:BstLiftPrc</stp>
        <tr r="H22" s="5"/>
      </tp>
      <tp t="s">
        <v/>
        <stp/>
        <stp>1517M10:BstLiftPrc</stp>
        <tr r="H13" s="5"/>
      </tp>
      <tp t="s">
        <v/>
        <stp/>
        <stp>1517M11:BstLiftPrc</stp>
        <tr r="H14" s="5"/>
      </tp>
      <tp t="s">
        <v/>
        <stp/>
        <stp>1517M12:BstLiftPrc</stp>
        <tr r="H15" s="5"/>
      </tp>
      <tp t="s">
        <v/>
        <stp/>
        <stp>1517M13:BstLiftPrc</stp>
        <tr r="H16" s="5"/>
      </tp>
      <tp t="s">
        <v/>
        <stp/>
        <stp>1517M14:BstLiftPrc</stp>
        <tr r="H17" s="5"/>
      </tp>
      <tp t="s">
        <v/>
        <stp/>
        <stp>1517M15:BstLiftPrc</stp>
        <tr r="H18" s="5"/>
      </tp>
      <tp t="s">
        <v/>
        <stp/>
        <stp>1517M16:BstLiftPrc</stp>
        <tr r="H19" s="5"/>
      </tp>
      <tp t="s">
        <v/>
        <stp/>
        <stp>1517M17:BstLiftPrc</stp>
        <tr r="H20" s="5"/>
      </tp>
      <tp t="s">
        <v>Invalid Market: 297449133BM0</v>
        <stp/>
        <stp>297449133BM0:LstBlkVol</stp>
        <tr r="L2026" s="5"/>
      </tp>
      <tp>
        <v>25</v>
        <stp/>
        <stp>1987023077B0:LstBlkVol</stp>
        <tr r="L154" s="5"/>
      </tp>
      <tp t="s">
        <v/>
        <stp/>
        <stp>1923422331M7:LstBlkVol</stp>
        <tr r="L1634" s="5"/>
      </tp>
      <tp t="s">
        <v/>
        <stp/>
        <stp>1581618115M7:LstBlkVol</stp>
        <tr r="L466" s="5"/>
      </tp>
      <tp t="s">
        <v>Invalid Market: 2044823525Q6</v>
        <stp/>
        <stp>2044823525Q6:LstBlkVol</stp>
        <tr r="L1776" s="5"/>
      </tp>
      <tp t="s">
        <v/>
        <stp/>
        <stp>2044823525M6:LstBlkVol</stp>
        <tr r="L1753" s="5"/>
      </tp>
      <tp t="s">
        <v/>
        <stp/>
        <stp>2427026287Q2:LstBlkVol</stp>
        <tr r="L1176" s="5"/>
      </tp>
      <tp t="s">
        <v/>
        <stp/>
        <stp>2427026287Y2:LstBlkVol</stp>
        <tr r="L1185" s="5"/>
      </tp>
      <tp t="s">
        <v/>
        <stp/>
        <stp>2427026287M2:LstBlkVol</stp>
        <tr r="L1151" s="5"/>
      </tp>
      <tp t="s">
        <v/>
        <stp/>
        <stp>2427126288Q2:LstBlkVol</stp>
        <tr r="L1062" s="5"/>
      </tp>
      <tp t="s">
        <v/>
        <stp/>
        <stp>2427126288Y2:LstBlkVol</stp>
        <tr r="L1071" s="5"/>
      </tp>
      <tp t="s">
        <v/>
        <stp/>
        <stp>2427126288M2:LstBlkVol</stp>
        <tr r="L1037" s="5"/>
      </tp>
      <tp t="s">
        <v/>
        <stp/>
        <stp>16331513M8:LstBlkVol</stp>
        <tr r="L1423" s="5"/>
      </tp>
      <tp t="s">
        <v/>
        <stp/>
        <stp>16341514M8:LstBlkVol</stp>
        <tr r="L1461" s="5"/>
      </tp>
      <tp t="s">
        <v/>
        <stp/>
        <stp>16351515M8:LstBlkVol</stp>
        <tr r="L1499" s="5"/>
      </tp>
      <tp t="s">
        <v/>
        <stp/>
        <stp>16331513Q8:LstBlkVol</stp>
        <tr r="L1448" s="5"/>
      </tp>
      <tp t="s">
        <v/>
        <stp/>
        <stp>16341514Q8:LstBlkVol</stp>
        <tr r="L1486" s="5"/>
      </tp>
      <tp t="s">
        <v/>
        <stp/>
        <stp>16351515Q8:LstBlkVol</stp>
        <tr r="L1524" s="5"/>
      </tp>
      <tp t="s">
        <v/>
        <stp/>
        <stp>29243602M4:LstBlkVol</stp>
        <tr r="L750" s="5"/>
      </tp>
      <tp t="s">
        <v/>
        <stp/>
        <stp>29243602Q4:LstBlkVol</stp>
        <tr r="L766" s="5"/>
      </tp>
      <tp t="s">
        <v/>
        <stp/>
        <stp>2755828679Q4:LstBlkVol</stp>
        <tr r="L1026" s="5"/>
      </tp>
      <tp t="s">
        <v/>
        <stp/>
        <stp>2755828679M4:LstBlkVol</stp>
        <tr r="L1001" s="5"/>
      </tp>
      <tp>
        <v>20</v>
        <stp/>
        <stp>2322725588B0:LstBlkVol</stp>
        <tr r="L2" s="5"/>
      </tp>
      <tp t="s">
        <v/>
        <stp/>
        <stp>18871685M5:LstBlkVol</stp>
        <tr r="L426" s="5"/>
      </tp>
      <tp t="s">
        <v/>
        <stp/>
        <stp>18871685Q5:LstBlkVol</stp>
        <tr r="L451" s="5"/>
      </tp>
      <tp t="s">
        <v/>
        <stp/>
        <stp>18851683M5:LstBlkVol</stp>
        <tr r="L198" s="5"/>
      </tp>
      <tp t="s">
        <v/>
        <stp/>
        <stp>18851683Q5:LstBlkVol</stp>
        <tr r="L223" s="5"/>
      </tp>
      <tp t="s">
        <v/>
        <stp/>
        <stp>1986823075Y1:LstBlkVol</stp>
        <tr r="L152" s="5"/>
      </tp>
      <tp t="s">
        <v/>
        <stp/>
        <stp>1986823075Q1:LstBlkVol</stp>
        <tr r="L143" s="5"/>
      </tp>
      <tp>
        <v>50</v>
        <stp/>
        <stp>1986823075M1:LstBlkVol</stp>
        <tr r="L118" s="5"/>
      </tp>
      <tp t="s">
        <v/>
        <stp/>
        <stp>2182524598B0:LstBlkVol</stp>
        <tr r="L1376" s="5"/>
      </tp>
      <tp t="s">
        <v/>
        <stp/>
        <stp>18901687M5:LstBlkVol</stp>
        <tr r="L312" s="5"/>
      </tp>
      <tp t="s">
        <v/>
        <stp/>
        <stp>18901687Q5:LstBlkVol</stp>
        <tr r="L337" s="5"/>
      </tp>
      <tp t="s">
        <v/>
        <stp/>
        <stp>1986923076Y1:LstBlkVol</stp>
        <tr r="L190" s="5"/>
      </tp>
      <tp t="s">
        <v/>
        <stp/>
        <stp>1986923076Q1:LstBlkVol</stp>
        <tr r="L181" s="5"/>
      </tp>
      <tp>
        <v>25</v>
        <stp/>
        <stp>1986923076M1:LstBlkVol</stp>
        <tr r="L156" s="5"/>
      </tp>
      <tp t="s">
        <v/>
        <stp/>
        <stp>15061297MM16:LstBlkVol</stp>
        <tr r="L1699" s="5"/>
      </tp>
      <tp t="s">
        <v/>
        <stp/>
        <stp>15061297MM26:LstBlkVol</stp>
        <tr r="L1709" s="5"/>
      </tp>
      <tp t="s">
        <v/>
        <stp/>
        <stp>15061297MM10:LstBlkPrc</stp>
        <tr r="K1693" s="5"/>
      </tp>
      <tp t="s">
        <v/>
        <stp/>
        <stp>15061297MM20:LstBlkPrc</stp>
        <tr r="K1703" s="5"/>
      </tp>
      <tp t="s">
        <v/>
        <stp/>
        <stp>15061297MM20:BstHitPrc</stp>
        <tr r="G1703" s="5"/>
      </tp>
      <tp t="s">
        <v/>
        <stp/>
        <stp>15061297MM10:BstHitPrc</stp>
        <tr r="G1693" s="5"/>
      </tp>
    </main>
    <main first="bofaddin.rtdserver">
      <tp t="s">
        <v>#N/A Requesting Data...4245409486</v>
        <stp/>
        <stp>BDP|12980460043813286346</stp>
        <tr r="AM125" s="23"/>
      </tp>
    </main>
    <main first="esrtd">
      <tp t="s">
        <v/>
        <stp/>
        <stp>BRN 26UC8100-ICE</stp>
        <stp>Delta</stp>
        <tr r="AP74" s="23"/>
      </tp>
      <tp t="s">
        <v/>
        <stp/>
        <stp>BRN 26UC8300-ICE</stp>
        <stp>Delta</stp>
        <tr r="AP76" s="23"/>
      </tp>
      <tp t="s">
        <v/>
        <stp/>
        <stp>BRN 26UC8200-ICE</stp>
        <stp>Delta</stp>
        <tr r="AP75" s="23"/>
      </tp>
      <tp t="s">
        <v/>
        <stp/>
        <stp>BRN 26UC8500-ICE</stp>
        <stp>Delta</stp>
        <tr r="AP79" s="23"/>
        <tr r="AP78" s="23"/>
      </tp>
      <tp t="s">
        <v/>
        <stp/>
        <stp>BRN 26UC8400-ICE</stp>
        <stp>Delta</stp>
        <tr r="AP77" s="23"/>
      </tp>
    </main>
    <main first="ice.rtd">
      <tp t="s">
        <v>09:29:47</v>
        <stp/>
        <stp>DBJ29446BM0:LstBlkTime</stp>
        <tr r="M1647" s="5"/>
      </tp>
    </main>
    <main first="esrtd">
      <tp t="s">
        <v/>
        <stp/>
        <stp>BRN 26UC7000-ICE</stp>
        <stp>Delta</stp>
        <tr r="AP73" s="23"/>
      </tp>
    </main>
    <main first="bofaddin.rtdserver">
      <tp t="s">
        <v>#N/A Requesting Data...2792335400</v>
        <stp/>
        <stp>BDP|13588744219825347288</stp>
        <tr r="AM191" s="23"/>
        <tr r="D26" s="23"/>
        <tr r="D72" s="23"/>
      </tp>
    </main>
    <main first="ice.rtd">
      <tp t="s">
        <v/>
        <stp/>
        <stp>2325425615B0:LstDate</stp>
        <tr r="J555" s="5"/>
      </tp>
      <tp t="s">
        <v/>
        <stp/>
        <stp>2326425625B0:LstDate</stp>
        <tr r="J1262" s="5"/>
      </tp>
    </main>
    <main first="bofaddin.rtdserver">
      <tp t="s">
        <v>#N/A Requesting Data...2125435659</v>
        <stp/>
        <stp>BDP|15050149178368817905</stp>
        <tr r="AF195" s="23"/>
      </tp>
      <tp t="s">
        <v>#N/A Requesting Data...2969591229</v>
        <stp/>
        <stp>BDP|13536659850147409522</stp>
        <tr r="O23" s="17"/>
      </tp>
      <tp t="s">
        <v>#N/A N/A</v>
        <stp/>
        <stp>BDH|12683855637209340260</stp>
        <tr r="D3" s="14"/>
      </tp>
      <tp t="s">
        <v>#N/A N/A</v>
        <stp/>
        <stp>BDH|13941373480633606999</stp>
        <tr r="J62" s="16"/>
      </tp>
      <tp t="s">
        <v>#N/A N/A</v>
        <stp/>
        <stp>BDH|17954137321037936129</stp>
        <tr r="AX21" s="1"/>
      </tp>
      <tp t="s">
        <v>#N/A N/A</v>
        <stp/>
        <stp>BDH|12996630184359734797</stp>
        <tr r="K60" s="16"/>
      </tp>
      <tp t="s">
        <v>#N/A N/A</v>
        <stp/>
        <stp>BDH|10949410069666160607</stp>
        <tr r="M42" s="16"/>
      </tp>
      <tp t="s">
        <v>#N/A N/A</v>
        <stp/>
        <stp>BDH|13279089509778395939</stp>
        <tr r="J84" s="16"/>
      </tp>
      <tp t="s">
        <v>#N/A N/A</v>
        <stp/>
        <stp>BDH|10066635044090437009</stp>
        <tr r="BC57" s="1"/>
        <tr r="BC57" s="1"/>
      </tp>
      <tp t="s">
        <v>#N/A N/A</v>
        <stp/>
        <stp>BDH|15666725146170081415</stp>
        <tr r="BB25" s="1"/>
      </tp>
      <tp t="s">
        <v>#N/A N/A</v>
        <stp/>
        <stp>BDH|13580528107582231602</stp>
        <tr r="AV36" s="1"/>
      </tp>
      <tp t="s">
        <v>#N/A N/A</v>
        <stp/>
        <stp>BDH|18335658945350544834</stp>
        <tr r="AX56" s="1"/>
      </tp>
      <tp t="s">
        <v>#N/A N/A</v>
        <stp/>
        <stp>BDH|12760735382989425678</stp>
        <tr r="I29" s="14"/>
      </tp>
      <tp t="s">
        <v>#N/A N/A</v>
        <stp/>
        <stp>BDH|14154315517744226017</stp>
        <tr r="AZ38" s="1"/>
      </tp>
      <tp t="s">
        <v>#N/A N/A</v>
        <stp/>
        <stp>BDH|13776093335741624390</stp>
        <tr r="BB24" s="1"/>
      </tp>
      <tp t="s">
        <v>#N/A N/A</v>
        <stp/>
        <stp>BDH|12137422646567700762</stp>
        <tr r="I52" s="14"/>
      </tp>
      <tp t="s">
        <v>#N/A N/A</v>
        <stp/>
        <stp>BDH|11650618820581687655</stp>
        <tr r="AV60" s="1"/>
      </tp>
      <tp t="s">
        <v>#N/A N/A</v>
        <stp/>
        <stp>BDH|10009544257506230467</stp>
        <tr r="AZ65" s="1"/>
      </tp>
      <tp t="s">
        <v>#N/A N/A</v>
        <stp/>
        <stp>BDH|13149078841177164204</stp>
        <tr r="N59" s="16"/>
      </tp>
      <tp t="s">
        <v>#N/A N/A</v>
        <stp/>
        <stp>BDH|15374990238609972421</stp>
        <tr r="D31" s="14"/>
      </tp>
    </main>
    <main first="ice.rtd">
      <tp>
        <v>0</v>
        <stp/>
        <stp>2326525626B0:OI</stp>
        <tr r="T420" s="5"/>
      </tp>
    </main>
    <main first="bofaddin.rtdserver">
      <tp t="s">
        <v>#N/A N/A</v>
        <stp/>
        <stp>BDH|17319296901202607556</stp>
        <tr r="AV57" s="1"/>
      </tp>
      <tp t="s">
        <v>#N/A N/A</v>
        <stp/>
        <stp>BDH|14469237579502076159</stp>
        <tr r="L62" s="16"/>
      </tp>
      <tp t="s">
        <v>#N/A N/A</v>
        <stp/>
        <stp>BDH|11556407577984863412</stp>
        <tr r="K77" s="16"/>
      </tp>
      <tp t="s">
        <v>#N/A N/A</v>
        <stp/>
        <stp>BDH|17854035737024421232</stp>
        <tr r="H95" s="16"/>
      </tp>
      <tp t="s">
        <v>#N/A N/A</v>
        <stp/>
        <stp>BDH|11144022835797848750</stp>
        <tr r="J63" s="16"/>
      </tp>
      <tp t="s">
        <v>#N/A N/A</v>
        <stp/>
        <stp>BDH|14037529805166286588</stp>
        <tr r="AV35" s="1"/>
      </tp>
      <tp t="b">
        <v>0</v>
        <stp/>
        <stp>BDH|15539622520483371094</stp>
        <tr r="O23" s="25"/>
        <tr r="O23" s="25"/>
      </tp>
      <tp t="s">
        <v>#N/A N/A</v>
        <stp/>
        <stp>BDH|11068994481394235653</stp>
        <tr r="BC31" s="1"/>
      </tp>
      <tp t="s">
        <v>#N/A N/A</v>
        <stp/>
        <stp>BDH|14202010222211745592</stp>
        <tr r="AV65" s="1"/>
      </tp>
      <tp t="s">
        <v>#N/A N/A</v>
        <stp/>
        <stp>BDH|13896832941559155452</stp>
        <tr r="BC30" s="1"/>
      </tp>
      <tp t="s">
        <v>#N/A N/A</v>
        <stp/>
        <stp>BDH|16489766848192302571</stp>
        <tr r="L36" s="16"/>
      </tp>
      <tp t="s">
        <v>#N/A N/A</v>
        <stp/>
        <stp>BDH|12638835651114859923</stp>
        <tr r="I6" s="14"/>
      </tp>
      <tp t="s">
        <v>#N/A N/A</v>
        <stp/>
        <stp>BDH|16552931239377357924</stp>
        <tr r="AV44" s="1"/>
      </tp>
    </main>
    <main first="ice.rtd">
      <tp>
        <v>0</v>
        <stp/>
        <stp>DBI1227MM18:BlkVol</stp>
        <tr r="O1669" s="5"/>
      </tp>
      <tp>
        <v>0</v>
        <stp/>
        <stp>DBI1227MM19:BlkVol</stp>
        <tr r="O1650" s="5"/>
        <tr r="O1670" s="5"/>
      </tp>
      <tp>
        <v>0</v>
        <stp/>
        <stp>DBI1227MM14:BlkVol</stp>
        <tr r="O1665" s="5"/>
      </tp>
      <tp>
        <v>475</v>
        <stp/>
        <stp>DBI1227MM15:BlkVol</stp>
        <tr r="O1666" s="5"/>
      </tp>
      <tp>
        <v>0</v>
        <stp/>
        <stp>DBI1227MM16:BlkVol</stp>
        <tr r="O1667" s="5"/>
      </tp>
      <tp>
        <v>0</v>
        <stp/>
        <stp>DBI1227MM17:BlkVol</stp>
        <tr r="O1668" s="5"/>
      </tp>
      <tp>
        <v>0</v>
        <stp/>
        <stp>DBI1227MM10:BlkVol</stp>
        <tr r="O1661" s="5"/>
        <tr r="O1649" s="5"/>
      </tp>
      <tp>
        <v>0</v>
        <stp/>
        <stp>DBI1227MM11:BlkVol</stp>
        <tr r="O1662" s="5"/>
      </tp>
      <tp>
        <v>0</v>
        <stp/>
        <stp>DBI1227MM12:BlkVol</stp>
        <tr r="O1663" s="5"/>
      </tp>
      <tp>
        <v>0</v>
        <stp/>
        <stp>DBI1227MM13:BlkVol</stp>
        <tr r="O1664" s="5"/>
      </tp>
      <tp>
        <v>0</v>
        <stp/>
        <stp>DBI1227MM24:BlkVol</stp>
        <tr r="O1675" s="5"/>
      </tp>
      <tp>
        <v>0</v>
        <stp/>
        <stp>DBI1227MM25:BlkVol</stp>
        <tr r="O1676" s="5"/>
      </tp>
      <tp>
        <v>0</v>
        <stp/>
        <stp>DBI1227MM26:BlkVol</stp>
        <tr r="O1677" s="5"/>
      </tp>
      <tp>
        <v>0</v>
        <stp/>
        <stp>DBI1227MM27:BlkVol</stp>
        <tr r="O1678" s="5"/>
      </tp>
      <tp>
        <v>0</v>
        <stp/>
        <stp>DBI1227MM20:BlkVol</stp>
        <tr r="O1671" s="5"/>
      </tp>
      <tp>
        <v>0</v>
        <stp/>
        <stp>DBI1227MM21:BlkVol</stp>
        <tr r="O1672" s="5"/>
      </tp>
      <tp>
        <v>0</v>
        <stp/>
        <stp>DBI1227MM22:BlkVol</stp>
        <tr r="O1673" s="5"/>
      </tp>
      <tp>
        <v>240</v>
        <stp/>
        <stp>DBI1227MM23:BlkVol</stp>
        <tr r="O1674" s="5"/>
      </tp>
    </main>
    <main first="esrtd">
      <tp t="s">
        <v/>
        <stp/>
        <stp>GDX V26-IEU</stp>
        <stp>ICE Theoretical Price</stp>
        <tr r="W1606" s="5"/>
      </tp>
      <tp t="s">
        <v/>
        <stp/>
        <stp>GDX U26-IEU</stp>
        <stp>ICE Theoretical Price</stp>
        <tr r="W1605" s="5"/>
      </tp>
      <tp t="s">
        <v/>
        <stp/>
        <stp>GDX Z26-IEU</stp>
        <stp>ICE Theoretical Price</stp>
        <tr r="W1608" s="5"/>
      </tp>
      <tp t="s">
        <v/>
        <stp/>
        <stp>GDX X26-IEU</stp>
        <stp>ICE Theoretical Price</stp>
        <tr r="W1607" s="5"/>
      </tp>
    </main>
    <main first="bofaddin.rtdserver">
      <tp>
        <v>8</v>
        <stp/>
        <stp>BDP|14395903345489164731|222</stp>
        <stp>QSX8QSZ8 Comdty</stp>
        <stp>ASK</stp>
        <stp>Fill=#N/A</stp>
        <tr r="P46" s="1"/>
      </tp>
      <tp>
        <v>4.87</v>
        <stp/>
        <stp>BDP|13359154632479202031|222</stp>
        <stp>HOG8HOH8 Comdty</stp>
        <stp>ASK</stp>
        <stp>Fill=#N/A</stp>
        <tr r="Q37" s="1"/>
      </tp>
      <tp>
        <v>69.75</v>
        <stp/>
        <stp>BDP|15332978002803899990|222</stp>
        <stp>QSV6QSX6 Comdty</stp>
        <stp>BID</stp>
        <stp>Fill=#N/A</stp>
        <tr r="P21" s="1"/>
      </tp>
      <tp>
        <v>7</v>
        <stp/>
        <stp>BDP|17650020215890412298|222</stp>
        <stp>QSG9QSH9 Comdty</stp>
        <stp>ASK</stp>
        <stp>Fill=#N/A</stp>
        <tr r="P49" s="1"/>
      </tp>
      <tp>
        <v>-0.19</v>
        <stp/>
        <stp>BDP|12136838968732905698|222</stp>
        <stp>XBG8XBH8 Comdty</stp>
        <stp>ASK</stp>
        <stp>Fill=#N/A</stp>
        <tr r="R37" s="1"/>
      </tp>
      <tp t="s">
        <v>#N/A</v>
        <stp/>
        <stp>BDP|17799099630289819534|222</stp>
        <stp>QSM0QSN0 Comdty</stp>
        <stp>BID</stp>
        <stp>Fill=#N/A</stp>
        <tr r="P65" s="1"/>
      </tp>
    </main>
    <main first="ice.rtd">
      <tp t="s">
        <v/>
        <stp/>
        <stp>41767893M17:LstBlkTime</stp>
        <tr r="M497" s="5"/>
      </tp>
      <tp t="s">
        <v/>
        <stp/>
        <stp>41767893M16:LstBlkTime</stp>
        <tr r="M496" s="5"/>
      </tp>
      <tp t="s">
        <v/>
        <stp/>
        <stp>41767893M15:LstBlkTime</stp>
        <tr r="M495" s="5"/>
      </tp>
      <tp t="s">
        <v/>
        <stp/>
        <stp>41767893M14:LstBlkTime</stp>
        <tr r="M494" s="5"/>
      </tp>
      <tp t="s">
        <v/>
        <stp/>
        <stp>41767893M13:LstBlkTime</stp>
        <tr r="M493" s="5"/>
      </tp>
      <tp t="s">
        <v/>
        <stp/>
        <stp>41767893M12:LstBlkTime</stp>
        <tr r="M492" s="5"/>
      </tp>
      <tp t="s">
        <v/>
        <stp/>
        <stp>41767893M11:LstBlkTime</stp>
        <tr r="M491" s="5"/>
      </tp>
      <tp t="s">
        <v/>
        <stp/>
        <stp>41767893M10:LstBlkTime</stp>
        <tr r="M490" s="5"/>
      </tp>
      <tp t="s">
        <v/>
        <stp/>
        <stp>41767893M19:LstBlkTime</stp>
        <tr r="M499" s="5"/>
      </tp>
      <tp t="s">
        <v/>
        <stp/>
        <stp>41767893M18:LstBlkTime</stp>
        <tr r="M498" s="5"/>
      </tp>
      <tp t="s">
        <v/>
        <stp/>
        <stp>41767893M24:LstBlkTime</stp>
        <tr r="M504" s="5"/>
      </tp>
      <tp t="s">
        <v/>
        <stp/>
        <stp>41767893M23:LstBlkTime</stp>
        <tr r="M503" s="5"/>
      </tp>
      <tp t="s">
        <v/>
        <stp/>
        <stp>41767893M22:LstBlkTime</stp>
        <tr r="M502" s="5"/>
      </tp>
      <tp t="s">
        <v/>
        <stp/>
        <stp>41767893M21:LstBlkTime</stp>
        <tr r="M501" s="5"/>
      </tp>
      <tp t="s">
        <v/>
        <stp/>
        <stp>41767893M20:LstBlkTime</stp>
        <tr r="M500" s="5"/>
      </tp>
    </main>
    <main first="bofaddin.rtdserver">
      <tp>
        <v>62.25</v>
        <stp/>
        <stp>BDP|15361682718496162210|222</stp>
        <stp>QSX6QSZ6 Comdty</stp>
        <stp>BID</stp>
        <stp>Fill=#N/A</stp>
        <tr r="P22" s="1"/>
      </tp>
      <tp>
        <v>17.27</v>
        <stp/>
        <stp>BDP|16382344166924163166|222</stp>
        <stp>XBV6XBX6 Comdty</stp>
        <stp>ASK</stp>
        <stp>Fill=#N/A</stp>
        <tr r="R21" s="1"/>
      </tp>
      <tp>
        <v>4.5</v>
        <stp/>
        <stp>BDP|14694074643926953059|222</stp>
        <stp>QSU8QSV8 Comdty</stp>
        <stp>ASK</stp>
        <stp>Fill=#N/A</stp>
        <tr r="P44" s="1"/>
      </tp>
      <tp>
        <v>16.25</v>
        <stp/>
        <stp>BDP|12187713169057103602|222</stp>
        <stp>QSX7QSZ7 Comdty</stp>
        <stp>ASK</stp>
        <stp>Fill=#N/A</stp>
        <tr r="P34" s="1"/>
      </tp>
      <tp>
        <v>7.25</v>
        <stp/>
        <stp>BDP|14298084317344229275|222</stp>
        <stp>QSH9QSJ9 Comdty</stp>
        <stp>ASK</stp>
        <stp>Fill=#N/A</stp>
        <tr r="P50" s="1"/>
      </tp>
      <tp>
        <v>5</v>
        <stp/>
        <stp>BDP|15206952298461905423|222</stp>
        <stp>QSV9QSX9 Comdty</stp>
        <stp>ASK</stp>
        <stp>Fill=#N/A</stp>
        <tr r="P57" s="1"/>
      </tp>
      <tp>
        <v>6.56</v>
        <stp/>
        <stp>BDP|16458552928351073869|222</stp>
        <stp>XBV7XBX7 Comdty</stp>
        <stp>BID</stp>
        <stp>Fill=#N/A</stp>
        <tr r="R33" s="1"/>
      </tp>
    </main>
    <main first="ice.rtd">
      <tp>
        <v>32</v>
        <stp/>
        <stp>5162M19:OI</stp>
        <tr r="T788" s="5"/>
      </tp>
      <tp>
        <v>31</v>
        <stp/>
        <stp>5162M18:OI</stp>
        <tr r="T787" s="5"/>
      </tp>
      <tp>
        <v>31</v>
        <stp/>
        <stp>5162M17:OI</stp>
        <tr r="T786" s="5"/>
      </tp>
      <tp>
        <v>31</v>
        <stp/>
        <stp>5162M16:OI</stp>
        <tr r="T785" s="5"/>
      </tp>
      <tp>
        <v>135</v>
        <stp/>
        <stp>5162M15:OI</stp>
        <tr r="T784" s="5"/>
      </tp>
      <tp>
        <v>119</v>
        <stp/>
        <stp>5162M14:OI</stp>
        <tr r="T783" s="5"/>
      </tp>
      <tp>
        <v>119</v>
        <stp/>
        <stp>5162M13:OI</stp>
        <tr r="T782" s="5"/>
      </tp>
      <tp>
        <v>105</v>
        <stp/>
        <stp>5162M12:OI</stp>
        <tr r="T781" s="5"/>
      </tp>
      <tp>
        <v>105</v>
        <stp/>
        <stp>5162M11:OI</stp>
        <tr r="T780" s="5"/>
      </tp>
      <tp>
        <v>105</v>
        <stp/>
        <stp>5162M10:OI</stp>
        <tr r="T779" s="5"/>
      </tp>
      <tp>
        <v>32</v>
        <stp/>
        <stp>5162M24:OI</stp>
        <tr r="T793" s="5"/>
      </tp>
      <tp>
        <v>32</v>
        <stp/>
        <stp>5162M23:OI</stp>
        <tr r="T792" s="5"/>
      </tp>
      <tp>
        <v>32</v>
        <stp/>
        <stp>5162M22:OI</stp>
        <tr r="T791" s="5"/>
      </tp>
      <tp>
        <v>32</v>
        <stp/>
        <stp>5162M21:OI</stp>
        <tr r="T790" s="5"/>
      </tp>
      <tp>
        <v>32</v>
        <stp/>
        <stp>5162M20:OI</stp>
        <tr r="T789" s="5"/>
      </tp>
      <tp t="s">
        <v/>
        <stp/>
        <stp>2326725628B0:BstHitPrc</stp>
        <tr r="G344" s="5"/>
      </tp>
      <tp t="s">
        <v/>
        <stp/>
        <stp>2755828679Q3:LstBlkPrc</stp>
        <tr r="K1025" s="5"/>
      </tp>
      <tp>
        <v>6.15</v>
        <stp/>
        <stp>2755828679M3:LstBlkPrc</stp>
        <tr r="K1000" s="5"/>
      </tp>
      <tp t="s">
        <v/>
        <stp/>
        <stp>29243602M3:LstBlkPrc</stp>
        <tr r="K749" s="5"/>
      </tp>
      <tp t="s">
        <v/>
        <stp/>
        <stp>29243602Q3:LstBlkPrc</stp>
        <tr r="K765" s="5"/>
      </tp>
      <tp t="s">
        <v/>
        <stp/>
        <stp>1923422331M0:BstHitPrc</stp>
        <tr r="G1627" s="5"/>
      </tp>
      <tp t="s">
        <v/>
        <stp/>
        <stp>1923422331Y0:BstHitPrc</stp>
        <tr r="G1646" s="5"/>
      </tp>
      <tp t="s">
        <v/>
        <stp/>
        <stp>1923422331Q0:BstHitPrc</stp>
        <tr r="G1642" s="5"/>
      </tp>
      <tp t="s">
        <v/>
        <stp/>
        <stp>1581618115M0:BstHitPrc</stp>
        <tr r="G459" s="5"/>
      </tp>
      <tp t="s">
        <v>Invalid Market: 1581618115B0</v>
        <stp/>
        <stp>1581618115B0:BstHitPrc</stp>
        <tr r="G458" s="5"/>
      </tp>
      <tp>
        <v>-8.15</v>
        <stp/>
        <stp>1581618115Y0:BstHitPrc</stp>
        <tr r="G478" s="5"/>
      </tp>
      <tp>
        <v>-6.2</v>
        <stp/>
        <stp>1581618115Q0:BstHitPrc</stp>
        <tr r="G474" s="5"/>
      </tp>
      <tp t="s">
        <v/>
        <stp/>
        <stp>18901687M2:LstBlkPrc</stp>
        <tr r="K309" s="5"/>
      </tp>
      <tp t="s">
        <v>Invalid Market: 18901687Y2</v>
        <stp/>
        <stp>18901687Y2:LstBlkPrc</stp>
        <tr r="K343" s="5"/>
      </tp>
      <tp t="s">
        <v/>
        <stp/>
        <stp>18901687Q2:LstBlkPrc</stp>
        <tr r="K334" s="5"/>
      </tp>
      <tp t="s">
        <v/>
        <stp/>
        <stp>35534143M8:LstBlkPrc</stp>
        <tr r="K716" s="5"/>
      </tp>
      <tp t="s">
        <v/>
        <stp/>
        <stp>35544144M8:LstBlkPrc</stp>
        <tr r="K640" s="5"/>
      </tp>
      <tp t="s">
        <v/>
        <stp/>
        <stp>35554145M8:LstBlkPrc</stp>
        <tr r="K678" s="5"/>
      </tp>
      <tp t="s">
        <v/>
        <stp/>
        <stp>35534143Q8:LstBlkPrc</stp>
        <tr r="K741" s="5"/>
      </tp>
      <tp t="s">
        <v/>
        <stp/>
        <stp>35544144Q8:LstBlkPrc</stp>
        <tr r="K665" s="5"/>
      </tp>
      <tp t="s">
        <v/>
        <stp/>
        <stp>35554145Q8:LstBlkPrc</stp>
        <tr r="K703" s="5"/>
      </tp>
      <tp t="s">
        <v/>
        <stp/>
        <stp>2326525626B0:BstHitPrc</stp>
        <tr r="G420" s="5"/>
      </tp>
      <tp t="s">
        <v/>
        <stp/>
        <stp>1986923076Q6:LstBlkPrc</stp>
        <tr r="K186" s="5"/>
      </tp>
      <tp t="s">
        <v/>
        <stp/>
        <stp>1986923076M6:LstBlkPrc</stp>
        <tr r="K161" s="5"/>
      </tp>
      <tp t="s">
        <v/>
        <stp/>
        <stp>34344092Q8:BstHitPrc</stp>
        <tr r="G1296" s="5"/>
      </tp>
      <tp t="s">
        <v/>
        <stp/>
        <stp>34354093Q8:BstHitPrc</stp>
        <tr r="G1334" s="5"/>
      </tp>
      <tp t="s">
        <v/>
        <stp/>
        <stp>34344092M8:BstHitPrc</stp>
        <tr r="G1271" s="5"/>
      </tp>
      <tp t="s">
        <v/>
        <stp/>
        <stp>34354093M8:BstHitPrc</stp>
        <tr r="G1309" s="5"/>
      </tp>
      <tp t="s">
        <v/>
        <stp/>
        <stp>34364094Q8:BstHitPrc</stp>
        <tr r="G551" s="5"/>
      </tp>
      <tp t="s">
        <v/>
        <stp/>
        <stp>34374095Q8:BstHitPrc</stp>
        <tr r="G589" s="5"/>
      </tp>
      <tp t="s">
        <v/>
        <stp/>
        <stp>34364094M8:BstHitPrc</stp>
        <tr r="G526" s="5"/>
      </tp>
      <tp t="s">
        <v/>
        <stp/>
        <stp>34374095M8:BstHitPrc</stp>
        <tr r="G564" s="5"/>
      </tp>
      <tp t="s">
        <v/>
        <stp/>
        <stp>18851683M2:LstBlkPrc</stp>
        <tr r="K195" s="5"/>
      </tp>
      <tp t="s">
        <v/>
        <stp/>
        <stp>18851683Y2:LstBlkPrc</stp>
        <tr r="K229" s="5"/>
      </tp>
      <tp t="s">
        <v/>
        <stp/>
        <stp>18851683Q2:LstBlkPrc</stp>
        <tr r="K220" s="5"/>
      </tp>
      <tp>
        <v>51.5</v>
        <stp/>
        <stp>18871685M2:LstBlkPrc</stp>
        <tr r="K423" s="5"/>
      </tp>
      <tp t="s">
        <v>Invalid Market: 18871685Y2</v>
        <stp/>
        <stp>18871685Y2:LstBlkPrc</stp>
        <tr r="K457" s="5"/>
      </tp>
      <tp>
        <v>31.5</v>
        <stp/>
        <stp>18871685Q2:LstBlkPrc</stp>
        <tr r="K448" s="5"/>
      </tp>
      <tp t="s">
        <v>GST</v>
        <stp/>
        <stp>161913535MM2:PCC</stp>
        <tr r="B2029" s="5"/>
      </tp>
      <tp t="s">
        <v>GST</v>
        <stp/>
        <stp>161913535MM3:PCC</stp>
        <tr r="B2030" s="5"/>
      </tp>
      <tp t="s">
        <v>GST</v>
        <stp/>
        <stp>161913535MM0:PCC</stp>
        <tr r="B2027" s="5"/>
      </tp>
      <tp t="s">
        <v>GST</v>
        <stp/>
        <stp>161913535MM1:PCC</stp>
        <tr r="B2028" s="5"/>
      </tp>
      <tp t="s">
        <v>GST</v>
        <stp/>
        <stp>161913535MM6:PCC</stp>
        <tr r="B2033" s="5"/>
      </tp>
      <tp t="s">
        <v>GST</v>
        <stp/>
        <stp>161913535MM7:PCC</stp>
        <tr r="B2034" s="5"/>
      </tp>
      <tp t="s">
        <v>GST</v>
        <stp/>
        <stp>161913535MM4:PCC</stp>
        <tr r="B2031" s="5"/>
      </tp>
      <tp t="s">
        <v>GST</v>
        <stp/>
        <stp>161913535MM5:PCC</stp>
        <tr r="B2032" s="5"/>
      </tp>
      <tp t="s">
        <v>GST</v>
        <stp/>
        <stp>161913535MM8:PCC</stp>
        <tr r="B2035" s="5"/>
      </tp>
      <tp t="s">
        <v>GST</v>
        <stp/>
        <stp>161913535MM9:PCC</stp>
        <tr r="B2036" s="5"/>
      </tp>
      <tp t="s">
        <v/>
        <stp/>
        <stp>1986823075Q6:LstBlkPrc</stp>
        <tr r="K148" s="5"/>
      </tp>
      <tp t="s">
        <v/>
        <stp/>
        <stp>1986823075M6:LstBlkPrc</stp>
        <tr r="K123" s="5"/>
      </tp>
      <tp t="s">
        <v/>
        <stp/>
        <stp>2326425625B0:BstHitPrc</stp>
        <tr r="G1262" s="5"/>
      </tp>
      <tp t="s">
        <v/>
        <stp/>
        <stp>34404098Q8:BstHitPrc</stp>
        <tr r="G627" s="5"/>
      </tp>
      <tp t="s">
        <v/>
        <stp/>
        <stp>34414099Q8:BstHitPrc</stp>
        <tr r="G112" s="5"/>
      </tp>
      <tp t="s">
        <v/>
        <stp/>
        <stp>34404098M8:BstHitPrc</stp>
        <tr r="G602" s="5"/>
      </tp>
      <tp>
        <v>93</v>
        <stp/>
        <stp>34414099M8:BstHitPrc</stp>
        <tr r="G87" s="5"/>
      </tp>
      <tp t="s">
        <v/>
        <stp/>
        <stp>1840020882M8:LstBlkPrc</stp>
        <tr r="K1590" s="5"/>
      </tp>
      <tp t="s">
        <v/>
        <stp/>
        <stp>2326325624B0:BstHitPrc</stp>
        <tr r="G806" s="5"/>
      </tp>
      <tp t="s">
        <v/>
        <stp/>
        <stp>2755728678M3:BstHitPrc</stp>
        <tr r="G1114" s="5"/>
      </tp>
      <tp t="s">
        <v/>
        <stp/>
        <stp>2755728678Q3:BstHitPrc</stp>
        <tr r="G1139" s="5"/>
      </tp>
      <tp t="s">
        <v/>
        <stp/>
        <stp>2044823525Q1:LstBlkPrc</stp>
        <tr r="K1771" s="5"/>
      </tp>
      <tp t="s">
        <v/>
        <stp/>
        <stp>2044823525M1:LstBlkPrc</stp>
        <tr r="K1748" s="5"/>
      </tp>
      <tp t="s">
        <v/>
        <stp/>
        <stp>2326225623B0:BstHitPrc</stp>
        <tr r="G1300" s="5"/>
      </tp>
      <tp t="s">
        <v/>
        <stp/>
        <stp>32613992Q7:BstHitPrc</stp>
        <tr r="G1257" s="5"/>
      </tp>
      <tp t="s">
        <v/>
        <stp/>
        <stp>32613992M7:BstHitPrc</stp>
        <tr r="G1232" s="5"/>
      </tp>
      <tp t="s">
        <v/>
        <stp/>
        <stp>32623993Q7:BstHitPrc</stp>
        <tr r="G2022" s="5"/>
      </tp>
      <tp t="s">
        <v/>
        <stp/>
        <stp>32623993M7:BstHitPrc</stp>
        <tr r="G1997" s="5"/>
      </tp>
      <tp t="s">
        <v/>
        <stp/>
        <stp>3124331018M4:BstHitPrc</stp>
        <tr r="G1609" s="5"/>
      </tp>
      <tp t="s">
        <v/>
        <stp/>
        <stp>2427126288Q5:LstBlkPrc</stp>
        <tr r="K1065" s="5"/>
      </tp>
      <tp t="s">
        <v/>
        <stp/>
        <stp>2427126288M5:LstBlkPrc</stp>
        <tr r="K1040" s="5"/>
      </tp>
      <tp t="s">
        <v/>
        <stp/>
        <stp>41767893Q5:BstHitPrc</stp>
        <tr r="G510" s="5"/>
      </tp>
      <tp t="s">
        <v/>
        <stp/>
        <stp>41767893M5:BstHitPrc</stp>
        <tr r="G485" s="5"/>
      </tp>
      <tp t="s">
        <v/>
        <stp/>
        <stp>41787896Q5:BstHitPrc</stp>
        <tr r="G837" s="5"/>
      </tp>
      <tp t="s">
        <v/>
        <stp/>
        <stp>41787896M5:BstHitPrc</stp>
        <tr r="G812" s="5"/>
      </tp>
      <tp t="s">
        <v/>
        <stp/>
        <stp>2427026287Q5:LstBlkPrc</stp>
        <tr r="K1179" s="5"/>
      </tp>
      <tp t="s">
        <v/>
        <stp/>
        <stp>2427026287M5:LstBlkPrc</stp>
        <tr r="K1154" s="5"/>
      </tp>
      <tp>
        <v>22</v>
        <stp/>
        <stp>18901687Q2:BstHitPrc</stp>
        <tr r="G334" s="5"/>
      </tp>
      <tp t="s">
        <v>Invalid Market: 18901687Y2</v>
        <stp/>
        <stp>18901687Y2:BstHitPrc</stp>
        <tr r="G343" s="5"/>
      </tp>
      <tp>
        <v>23.55</v>
        <stp/>
        <stp>18901687M2:BstHitPrc</stp>
        <tr r="G309" s="5"/>
      </tp>
      <tp t="s">
        <v/>
        <stp/>
        <stp>35534143Q8:BstHitPrc</stp>
        <tr r="G741" s="5"/>
      </tp>
      <tp t="s">
        <v/>
        <stp/>
        <stp>35544144Q8:BstHitPrc</stp>
        <tr r="G665" s="5"/>
      </tp>
      <tp t="s">
        <v/>
        <stp/>
        <stp>35554145Q8:BstHitPrc</stp>
        <tr r="G703" s="5"/>
      </tp>
      <tp t="s">
        <v/>
        <stp/>
        <stp>35534143M8:BstHitPrc</stp>
        <tr r="G716" s="5"/>
      </tp>
      <tp t="s">
        <v/>
        <stp/>
        <stp>35544144M8:BstHitPrc</stp>
        <tr r="G640" s="5"/>
      </tp>
      <tp t="s">
        <v/>
        <stp/>
        <stp>35554145M8:BstHitPrc</stp>
        <tr r="G678" s="5"/>
      </tp>
      <tp t="s">
        <v/>
        <stp/>
        <stp>1986923076M6:BstHitPrc</stp>
        <tr r="G161" s="5"/>
      </tp>
      <tp t="s">
        <v/>
        <stp/>
        <stp>1986923076Q6:BstHitPrc</stp>
        <tr r="G186" s="5"/>
      </tp>
      <tp>
        <v>52</v>
        <stp/>
        <stp>2326525626B0:LstBlkPrc</stp>
        <tr r="K420" s="5"/>
      </tp>
      <tp>
        <v>-8.85</v>
        <stp/>
        <stp>18851683Q2:BstHitPrc</stp>
        <tr r="G220" s="5"/>
      </tp>
      <tp t="s">
        <v/>
        <stp/>
        <stp>18851683Y2:BstHitPrc</stp>
        <tr r="G229" s="5"/>
      </tp>
      <tp>
        <v>-7.76</v>
        <stp/>
        <stp>18851683M2:BstHitPrc</stp>
        <tr r="G195" s="5"/>
      </tp>
      <tp>
        <v>8</v>
        <stp/>
        <stp>18871685Q2:BstHitPrc</stp>
        <tr r="G448" s="5"/>
      </tp>
      <tp t="s">
        <v>Invalid Market: 18871685Y2</v>
        <stp/>
        <stp>18871685Y2:BstHitPrc</stp>
        <tr r="G457" s="5"/>
      </tp>
      <tp>
        <v>-9</v>
        <stp/>
        <stp>18871685M2:BstHitPrc</stp>
        <tr r="G423" s="5"/>
      </tp>
      <tp t="s">
        <v/>
        <stp/>
        <stp>34344092M8:LstBlkPrc</stp>
        <tr r="K1271" s="5"/>
      </tp>
      <tp t="s">
        <v/>
        <stp/>
        <stp>34354093M8:LstBlkPrc</stp>
        <tr r="K1309" s="5"/>
      </tp>
      <tp t="s">
        <v/>
        <stp/>
        <stp>34344092Q8:LstBlkPrc</stp>
        <tr r="K1296" s="5"/>
      </tp>
      <tp t="s">
        <v/>
        <stp/>
        <stp>34354093Q8:LstBlkPrc</stp>
        <tr r="K1334" s="5"/>
      </tp>
      <tp t="s">
        <v/>
        <stp/>
        <stp>34364094M8:LstBlkPrc</stp>
        <tr r="K526" s="5"/>
      </tp>
      <tp t="s">
        <v/>
        <stp/>
        <stp>34374095M8:LstBlkPrc</stp>
        <tr r="K564" s="5"/>
      </tp>
      <tp t="s">
        <v/>
        <stp/>
        <stp>34364094Q8:LstBlkPrc</stp>
        <tr r="K551" s="5"/>
      </tp>
      <tp t="s">
        <v/>
        <stp/>
        <stp>34374095Q8:LstBlkPrc</stp>
        <tr r="K589" s="5"/>
      </tp>
      <tp t="s">
        <v/>
        <stp/>
        <stp>2326425625B0:LstBlkPrc</stp>
        <tr r="K1262" s="5"/>
      </tp>
      <tp t="s">
        <v/>
        <stp/>
        <stp>1986823075M6:BstHitPrc</stp>
        <tr r="G123" s="5"/>
      </tp>
      <tp t="s">
        <v/>
        <stp/>
        <stp>1986823075Q6:BstHitPrc</stp>
        <tr r="G148" s="5"/>
      </tp>
      <tp t="s">
        <v/>
        <stp/>
        <stp>2755828679M3:BstHitPrc</stp>
        <tr r="G1000" s="5"/>
      </tp>
      <tp t="s">
        <v/>
        <stp/>
        <stp>2755828679Q3:BstHitPrc</stp>
        <tr r="G1025" s="5"/>
      </tp>
      <tp t="s">
        <v/>
        <stp/>
        <stp>2326725628B0:LstBlkPrc</stp>
        <tr r="K344" s="5"/>
      </tp>
      <tp t="s">
        <v/>
        <stp/>
        <stp>29243602Q3:BstHitPrc</stp>
        <tr r="G765" s="5"/>
      </tp>
      <tp t="s">
        <v/>
        <stp/>
        <stp>29243602M3:BstHitPrc</stp>
        <tr r="G749" s="5"/>
      </tp>
      <tp t="s">
        <v/>
        <stp/>
        <stp>1581618115Q0:LstBlkPrc</stp>
        <tr r="K474" s="5"/>
      </tp>
      <tp t="s">
        <v/>
        <stp/>
        <stp>1581618115Y0:LstBlkPrc</stp>
        <tr r="K478" s="5"/>
      </tp>
      <tp t="s">
        <v>Invalid Market: 1581618115B0</v>
        <stp/>
        <stp>1581618115B0:LstBlkPrc</stp>
        <tr r="K458" s="5"/>
      </tp>
      <tp t="s">
        <v/>
        <stp/>
        <stp>1581618115M0:LstBlkPrc</stp>
        <tr r="K459" s="5"/>
      </tp>
      <tp t="s">
        <v/>
        <stp/>
        <stp>1923422331Q0:LstBlkPrc</stp>
        <tr r="K1642" s="5"/>
      </tp>
      <tp t="s">
        <v/>
        <stp/>
        <stp>1923422331Y0:LstBlkPrc</stp>
        <tr r="K1646" s="5"/>
      </tp>
      <tp t="s">
        <v/>
        <stp/>
        <stp>1923422331M0:LstBlkPrc</stp>
        <tr r="K1627" s="5"/>
      </tp>
      <tp t="s">
        <v/>
        <stp/>
        <stp>32623993M7:LstBlkPrc</stp>
        <tr r="K1997" s="5"/>
      </tp>
      <tp t="s">
        <v/>
        <stp/>
        <stp>32623993Q7:LstBlkPrc</stp>
        <tr r="K2022" s="5"/>
      </tp>
      <tp t="s">
        <v/>
        <stp/>
        <stp>32613992M7:LstBlkPrc</stp>
        <tr r="K1232" s="5"/>
      </tp>
      <tp t="s">
        <v/>
        <stp/>
        <stp>32613992Q7:LstBlkPrc</stp>
        <tr r="K1257" s="5"/>
      </tp>
      <tp t="s">
        <v/>
        <stp/>
        <stp>2427126288M5:BstHitPrc</stp>
        <tr r="G1040" s="5"/>
      </tp>
      <tp t="s">
        <v/>
        <stp/>
        <stp>2427126288Q5:BstHitPrc</stp>
        <tr r="G1065" s="5"/>
      </tp>
      <tp t="s">
        <v/>
        <stp/>
        <stp>3124331018M4:LstBlkPrc</stp>
        <tr r="K1609" s="5"/>
      </tp>
      <tp t="s">
        <v/>
        <stp/>
        <stp>41787896M5:LstBlkPrc</stp>
        <tr r="K812" s="5"/>
      </tp>
      <tp t="s">
        <v/>
        <stp/>
        <stp>41787896Q5:LstBlkPrc</stp>
        <tr r="K837" s="5"/>
      </tp>
      <tp t="s">
        <v/>
        <stp/>
        <stp>41767893M5:LstBlkPrc</stp>
        <tr r="K485" s="5"/>
      </tp>
      <tp t="s">
        <v/>
        <stp/>
        <stp>41767893Q5:LstBlkPrc</stp>
        <tr r="K510" s="5"/>
      </tp>
      <tp t="s">
        <v/>
        <stp/>
        <stp>2427026287M5:BstHitPrc</stp>
        <tr r="G1154" s="5"/>
      </tp>
      <tp t="s">
        <v/>
        <stp/>
        <stp>2427026287Q5:BstHitPrc</stp>
        <tr r="G1179" s="5"/>
      </tp>
      <tp t="s">
        <v/>
        <stp/>
        <stp>34404098M8:LstBlkPrc</stp>
        <tr r="K602" s="5"/>
      </tp>
      <tp t="s">
        <v/>
        <stp/>
        <stp>34414099M8:LstBlkPrc</stp>
        <tr r="K87" s="5"/>
      </tp>
      <tp t="s">
        <v/>
        <stp/>
        <stp>34404098Q8:LstBlkPrc</stp>
        <tr r="K627" s="5"/>
      </tp>
      <tp t="s">
        <v/>
        <stp/>
        <stp>34414099Q8:LstBlkPrc</stp>
        <tr r="K112" s="5"/>
      </tp>
      <tp t="s">
        <v/>
        <stp/>
        <stp>1840020882M8:BstHitPrc</stp>
        <tr r="G1590" s="5"/>
      </tp>
      <tp t="s">
        <v/>
        <stp/>
        <stp>2326325624B0:LstBlkPrc</stp>
        <tr r="K806" s="5"/>
      </tp>
      <tp>
        <v>88.75</v>
        <stp/>
        <stp>2326225623B0:LstBlkPrc</stp>
        <tr r="K1300" s="5"/>
      </tp>
      <tp t="s">
        <v/>
        <stp/>
        <stp>2044823525M1:BstHitPrc</stp>
        <tr r="G1748" s="5"/>
      </tp>
      <tp t="s">
        <v/>
        <stp/>
        <stp>2044823525Q1:BstHitPrc</stp>
        <tr r="G1771" s="5"/>
      </tp>
      <tp t="s">
        <v/>
        <stp/>
        <stp>2755728678Q3:LstBlkPrc</stp>
        <tr r="K1139" s="5"/>
      </tp>
      <tp t="s">
        <v/>
        <stp/>
        <stp>2755728678M3:LstBlkPrc</stp>
        <tr r="K1114" s="5"/>
      </tp>
      <tp>
        <v>25</v>
        <stp/>
        <stp>41767893M3:LstBlkVol</stp>
        <tr r="L483" s="5"/>
      </tp>
      <tp t="s">
        <v/>
        <stp/>
        <stp>41767893Q3:LstBlkVol</stp>
        <tr r="L508" s="5"/>
      </tp>
      <tp t="s">
        <v/>
        <stp/>
        <stp>41787896M3:LstBlkVol</stp>
        <tr r="L810" s="5"/>
      </tp>
      <tp t="s">
        <v/>
        <stp/>
        <stp>41787896Q3:LstBlkVol</stp>
        <tr r="L835" s="5"/>
      </tp>
      <tp t="s">
        <v/>
        <stp/>
        <stp>32613992M1:LstBlkVol</stp>
        <tr r="L1226" s="5"/>
      </tp>
      <tp t="s">
        <v/>
        <stp/>
        <stp>32613992Y1:LstBlkVol</stp>
        <tr r="L1260" s="5"/>
      </tp>
      <tp t="s">
        <v/>
        <stp/>
        <stp>32613992Q1:LstBlkVol</stp>
        <tr r="L1251" s="5"/>
      </tp>
      <tp>
        <v>3</v>
        <stp/>
        <stp>32623993M1:LstBlkVol</stp>
        <tr r="L1991" s="5"/>
      </tp>
      <tp t="s">
        <v/>
        <stp/>
        <stp>32623993Y1:LstBlkVol</stp>
        <tr r="L2025" s="5"/>
      </tp>
      <tp t="s">
        <v/>
        <stp/>
        <stp>32623993Q1:LstBlkVol</stp>
        <tr r="L2016" s="5"/>
      </tp>
      <tp t="s">
        <v/>
        <stp/>
        <stp>3124331018Q2:LstBlkVol</stp>
        <tr r="L1622" s="5"/>
      </tp>
      <tp t="s">
        <v/>
        <stp/>
        <stp>3124331018M2:LstBlkVol</stp>
        <tr r="L1607" s="5"/>
      </tp>
      <tp t="s">
        <v/>
        <stp/>
        <stp>3126131030B0:LstBlkVol</stp>
        <tr r="L1746" s="5"/>
      </tp>
      <tp t="s">
        <v/>
        <stp/>
        <stp>17551596T8:LstBlkVol</stp>
        <tr r="L1546" s="5"/>
        <tr r="L1545" s="5"/>
      </tp>
      <tp t="s">
        <v/>
        <stp/>
        <stp>2755728678Q5:LstBlkVol</stp>
        <tr r="L1141" s="5"/>
      </tp>
      <tp t="s">
        <v/>
        <stp/>
        <stp>2755728678M5:LstBlkVol</stp>
        <tr r="L1116" s="5"/>
      </tp>
      <tp t="s">
        <v/>
        <stp/>
        <stp>2323825599B0:LstBlkVol</stp>
        <tr r="L306" s="5"/>
      </tp>
      <tp t="s">
        <v/>
        <stp/>
        <stp>1986823075M21:BstLiftPrc</stp>
        <tr r="H138" s="5"/>
      </tp>
      <tp t="s">
        <v/>
        <stp/>
        <stp>1986823075M20:BstLiftPrc</stp>
        <tr r="H137" s="5"/>
      </tp>
      <tp t="s">
        <v/>
        <stp/>
        <stp>1986823075M23:BstLiftPrc</stp>
        <tr r="H140" s="5"/>
      </tp>
      <tp t="s">
        <v/>
        <stp/>
        <stp>1986823075M22:BstLiftPrc</stp>
        <tr r="H139" s="5"/>
      </tp>
      <tp t="s">
        <v/>
        <stp/>
        <stp>1986823075M24:BstLiftPrc</stp>
        <tr r="H141" s="5"/>
      </tp>
      <tp t="s">
        <v/>
        <stp/>
        <stp>1986823075M19:BstLiftPrc</stp>
        <tr r="H136" s="5"/>
      </tp>
      <tp t="s">
        <v/>
        <stp/>
        <stp>1986823075M18:BstLiftPrc</stp>
        <tr r="H135" s="5"/>
      </tp>
      <tp t="s">
        <v/>
        <stp/>
        <stp>1986823075M11:BstLiftPrc</stp>
        <tr r="H128" s="5"/>
      </tp>
      <tp t="s">
        <v/>
        <stp/>
        <stp>1986823075M10:BstLiftPrc</stp>
        <tr r="H127" s="5"/>
      </tp>
      <tp t="s">
        <v/>
        <stp/>
        <stp>1986823075M13:BstLiftPrc</stp>
        <tr r="H130" s="5"/>
      </tp>
      <tp t="s">
        <v/>
        <stp/>
        <stp>1986823075M12:BstLiftPrc</stp>
        <tr r="H129" s="5"/>
      </tp>
      <tp t="s">
        <v/>
        <stp/>
        <stp>1986823075M15:BstLiftPrc</stp>
        <tr r="H132" s="5"/>
      </tp>
      <tp t="s">
        <v/>
        <stp/>
        <stp>1986823075M14:BstLiftPrc</stp>
        <tr r="H131" s="5"/>
      </tp>
      <tp t="s">
        <v/>
        <stp/>
        <stp>1986823075M17:BstLiftPrc</stp>
        <tr r="H134" s="5"/>
      </tp>
      <tp t="s">
        <v/>
        <stp/>
        <stp>1986823075M16:BstLiftPrc</stp>
        <tr r="H133" s="5"/>
      </tp>
      <tp t="s">
        <v/>
        <stp/>
        <stp>1923422331M6:LstBlkVol</stp>
        <tr r="L1633" s="5"/>
      </tp>
      <tp t="s">
        <v/>
        <stp/>
        <stp>1581618115M6:LstBlkVol</stp>
        <tr r="L465" s="5"/>
      </tp>
      <tp>
        <v>30</v>
        <stp/>
        <stp>2323325594B0:LstBlkVol</stp>
        <tr r="L958" s="5"/>
      </tp>
      <tp t="s">
        <v/>
        <stp/>
        <stp>2044823525M7:LstBlkVol</stp>
        <tr r="L1754" s="5"/>
      </tp>
      <tp t="s">
        <v/>
        <stp/>
        <stp>2427126288M18:BstLiftPrc</stp>
        <tr r="H1053" s="5"/>
      </tp>
      <tp t="s">
        <v/>
        <stp/>
        <stp>2427126288M19:BstLiftPrc</stp>
        <tr r="H1054" s="5"/>
      </tp>
      <tp t="s">
        <v/>
        <stp/>
        <stp>2427126288M14:BstLiftPrc</stp>
        <tr r="H1049" s="5"/>
      </tp>
      <tp t="s">
        <v/>
        <stp/>
        <stp>2427126288M15:BstLiftPrc</stp>
        <tr r="H1050" s="5"/>
      </tp>
      <tp t="s">
        <v/>
        <stp/>
        <stp>2427126288M16:BstLiftPrc</stp>
        <tr r="H1051" s="5"/>
      </tp>
      <tp t="s">
        <v/>
        <stp/>
        <stp>2427126288M17:BstLiftPrc</stp>
        <tr r="H1052" s="5"/>
      </tp>
      <tp t="s">
        <v/>
        <stp/>
        <stp>2427126288M10:BstLiftPrc</stp>
        <tr r="H1045" s="5"/>
      </tp>
      <tp t="s">
        <v/>
        <stp/>
        <stp>2427126288M11:BstLiftPrc</stp>
        <tr r="H1046" s="5"/>
      </tp>
      <tp t="s">
        <v/>
        <stp/>
        <stp>2427126288M12:BstLiftPrc</stp>
        <tr r="H1047" s="5"/>
      </tp>
      <tp t="s">
        <v/>
        <stp/>
        <stp>2427126288M13:BstLiftPrc</stp>
        <tr r="H1048" s="5"/>
      </tp>
      <tp t="s">
        <v/>
        <stp/>
        <stp>2427126288M24:BstLiftPrc</stp>
        <tr r="H1059" s="5"/>
      </tp>
      <tp t="s">
        <v/>
        <stp/>
        <stp>2427126288M20:BstLiftPrc</stp>
        <tr r="H1055" s="5"/>
      </tp>
      <tp t="s">
        <v/>
        <stp/>
        <stp>2427126288M21:BstLiftPrc</stp>
        <tr r="H1056" s="5"/>
      </tp>
      <tp t="s">
        <v/>
        <stp/>
        <stp>2427126288M22:BstLiftPrc</stp>
        <tr r="H1057" s="5"/>
      </tp>
      <tp t="s">
        <v/>
        <stp/>
        <stp>2427126288M23:BstLiftPrc</stp>
        <tr r="H1058" s="5"/>
      </tp>
      <tp t="s">
        <v/>
        <stp/>
        <stp>2427026287Q3:LstBlkVol</stp>
        <tr r="L1177" s="5"/>
      </tp>
      <tp t="s">
        <v/>
        <stp/>
        <stp>2427026287M3:LstBlkVol</stp>
        <tr r="L1152" s="5"/>
      </tp>
      <tp t="s">
        <v/>
        <stp/>
        <stp>2427126288Q3:LstBlkVol</stp>
        <tr r="L1063" s="5"/>
      </tp>
      <tp>
        <v>18</v>
        <stp/>
        <stp>2427126288M3:LstBlkVol</stp>
        <tr r="L1038" s="5"/>
      </tp>
      <tp t="s">
        <v/>
        <stp/>
        <stp>16331513M9:LstBlkVol</stp>
        <tr r="L1424" s="5"/>
      </tp>
      <tp t="s">
        <v/>
        <stp/>
        <stp>16341514M9:LstBlkVol</stp>
        <tr r="L1462" s="5"/>
      </tp>
      <tp t="s">
        <v/>
        <stp/>
        <stp>16351515M9:LstBlkVol</stp>
        <tr r="L1500" s="5"/>
      </tp>
      <tp t="s">
        <v/>
        <stp/>
        <stp>29243602M5:LstBlkVol</stp>
        <tr r="L751" s="5"/>
      </tp>
    </main>
    <main first="bofaddin.rtdserver">
      <tp>
        <v>320.95999999999998</v>
        <stp/>
        <stp>BDP|967525047496211661|222</stp>
        <stp>HOF8 Comdty</stp>
        <stp>BID</stp>
        <stp>Fill=#N/A</stp>
        <tr r="I35" s="1"/>
      </tp>
    </main>
    <main first="ice.rtd">
      <tp t="s">
        <v/>
        <stp/>
        <stp>2755828679Q5:LstBlkVol</stp>
        <tr r="L1027" s="5"/>
      </tp>
      <tp t="s">
        <v/>
        <stp/>
        <stp>2755828679M5:LstBlkVol</stp>
        <tr r="L1002" s="5"/>
      </tp>
    </main>
    <main first="bofaddin.rtdserver">
      <tp>
        <v>81.37</v>
        <stp/>
        <stp>BDP|160231792065842179|222</stp>
        <stp>COK7 Comdty</stp>
        <stp>BID</stp>
        <stp>Fill=#N/A</stp>
        <tr r="G27" s="1"/>
      </tp>
      <tp t="s">
        <v>#N/A Invalid Security</v>
        <stp/>
        <stp>BDP|864812308759656961|222</stp>
        <stp>COF0 Comdty</stp>
        <stp>BID</stp>
        <stp>Fill=#N/A</stp>
        <tr r="G59" s="1"/>
      </tp>
    </main>
    <main first="ice.rtd">
      <tp t="s">
        <v/>
        <stp/>
        <stp>18871685M4:LstBlkVol</stp>
        <tr r="L425" s="5"/>
      </tp>
      <tp t="s">
        <v/>
        <stp/>
        <stp>18871685Q4:LstBlkVol</stp>
        <tr r="L450" s="5"/>
      </tp>
      <tp t="s">
        <v/>
        <stp/>
        <stp>18851683M4:LstBlkVol</stp>
        <tr r="L197" s="5"/>
      </tp>
      <tp t="s">
        <v/>
        <stp/>
        <stp>18851683Q4:LstBlkVol</stp>
        <tr r="L222" s="5"/>
      </tp>
      <tp>
        <v>15</v>
        <stp/>
        <stp>1986823075Y0:LstBlkVol</stp>
        <tr r="L151" s="5"/>
      </tp>
      <tp>
        <v>22</v>
        <stp/>
        <stp>1986823075Q0:LstBlkVol</stp>
        <tr r="L142" s="5"/>
      </tp>
      <tp t="s">
        <v/>
        <stp/>
        <stp>1986823075M0:LstBlkVol</stp>
        <tr r="L117" s="5"/>
      </tp>
      <tp t="s">
        <v/>
        <stp/>
        <stp>18901687M4:LstBlkVol</stp>
        <tr r="L311" s="5"/>
      </tp>
      <tp t="s">
        <v/>
        <stp/>
        <stp>18901687Q4:LstBlkVol</stp>
        <tr r="L336" s="5"/>
      </tp>
      <tp t="s">
        <v/>
        <stp/>
        <stp>1986923076Y0:LstBlkVol</stp>
        <tr r="L189" s="5"/>
      </tp>
      <tp t="s">
        <v/>
        <stp/>
        <stp>1986923076Q0:LstBlkVol</stp>
        <tr r="L180" s="5"/>
      </tp>
      <tp t="s">
        <v/>
        <stp/>
        <stp>1986923076M0:LstBlkVol</stp>
        <tr r="L155" s="5"/>
      </tp>
      <tp>
        <v>21.069000000000003</v>
        <stp/>
        <stp>DBI1227MM5:Settle</stp>
        <tr r="U1656" s="5"/>
      </tp>
      <tp>
        <v>19.989000000000004</v>
        <stp/>
        <stp>DBI1227MM4:Settle</stp>
        <tr r="U1655" s="5"/>
      </tp>
      <tp>
        <v>22.675000000000011</v>
        <stp/>
        <stp>DBI1227MM7:Settle</stp>
        <tr r="U1658" s="5"/>
      </tp>
      <tp>
        <v>21.954000000000008</v>
        <stp/>
        <stp>DBI1227MM6:Settle</stp>
        <tr r="U1657" s="5"/>
      </tp>
      <tp>
        <v>13.856000000000009</v>
        <stp/>
        <stp>DBI1227MM1:Settle</stp>
        <tr r="U1652" s="5"/>
      </tp>
      <tp>
        <v>9.4920000000000044</v>
        <stp/>
        <stp>DBI1227MM0:Settle</stp>
        <tr r="U1651" s="5"/>
        <tr r="U1648" s="5"/>
      </tp>
      <tp>
        <v>18.599000000000004</v>
        <stp/>
        <stp>DBI1227MM3:Settle</stp>
        <tr r="U1654" s="5"/>
      </tp>
      <tp>
        <v>16.670000000000002</v>
        <stp/>
        <stp>DBI1227MM2:Settle</stp>
        <tr r="U1653" s="5"/>
      </tp>
      <tp>
        <v>7.1779999999999973</v>
        <stp/>
        <stp>DBI1227MM9:Settle</stp>
        <tr r="U1660" s="5"/>
      </tp>
      <tp>
        <v>4.3640000000000043</v>
        <stp/>
        <stp>DBI1227MM8:Settle</stp>
        <tr r="U1659" s="5"/>
      </tp>
      <tp t="s">
        <v/>
        <stp/>
        <stp>15061297MM17:LstBlkVol</stp>
        <tr r="L1700" s="5"/>
      </tp>
      <tp t="s">
        <v/>
        <stp/>
        <stp>15061297MM27:LstBlkVol</stp>
        <tr r="L1710" s="5"/>
      </tp>
      <tp t="s">
        <v/>
        <stp/>
        <stp>15061297MM11:LstBlkPrc</stp>
        <tr r="K1694" s="5"/>
      </tp>
      <tp t="s">
        <v/>
        <stp/>
        <stp>15061297MM21:LstBlkPrc</stp>
        <tr r="K1704" s="5"/>
      </tp>
    </main>
    <main first="esrtd">
      <tp t="s">
        <v/>
        <stp/>
        <stp>TDL 18!-IEU</stp>
        <stp>Recent Settlement</stp>
        <tr r="U1830" s="5"/>
      </tp>
      <tp t="s">
        <v/>
        <stp/>
        <stp>TDL 19!-IEU</stp>
        <stp>Recent Settlement</stp>
        <tr r="U1831" s="5"/>
      </tp>
      <tp t="s">
        <v/>
        <stp/>
        <stp>TDL 10!-IEU</stp>
        <stp>Recent Settlement</stp>
        <tr r="U1822" s="5"/>
      </tp>
      <tp t="s">
        <v/>
        <stp/>
        <stp>TDL 11!-IEU</stp>
        <stp>Recent Settlement</stp>
        <tr r="U1823" s="5"/>
      </tp>
      <tp t="s">
        <v/>
        <stp/>
        <stp>TDL 12!-IEU</stp>
        <stp>Recent Settlement</stp>
        <tr r="U1824" s="5"/>
      </tp>
      <tp t="s">
        <v/>
        <stp/>
        <stp>TDL 13!-IEU</stp>
        <stp>Recent Settlement</stp>
        <tr r="U1825" s="5"/>
      </tp>
      <tp t="s">
        <v/>
        <stp/>
        <stp>TDL 14!-IEU</stp>
        <stp>Recent Settlement</stp>
        <tr r="U1826" s="5"/>
      </tp>
      <tp t="s">
        <v/>
        <stp/>
        <stp>TDL 15!-IEU</stp>
        <stp>Recent Settlement</stp>
        <tr r="U1827" s="5"/>
      </tp>
      <tp t="s">
        <v/>
        <stp/>
        <stp>TDL 16!-IEU</stp>
        <stp>Recent Settlement</stp>
        <tr r="U1828" s="5"/>
      </tp>
      <tp t="s">
        <v/>
        <stp/>
        <stp>TDL 17!-IEU</stp>
        <stp>Recent Settlement</stp>
        <tr r="U1829" s="5"/>
      </tp>
      <tp t="s">
        <v/>
        <stp/>
        <stp>TDL 28!-IEU</stp>
        <stp>Recent Settlement</stp>
        <tr r="U1840" s="5"/>
      </tp>
      <tp t="s">
        <v/>
        <stp/>
        <stp>TDL 29!-IEU</stp>
        <stp>Recent Settlement</stp>
        <tr r="U1841" s="5"/>
      </tp>
      <tp t="s">
        <v/>
        <stp/>
        <stp>TDL 20!-IEU</stp>
        <stp>Recent Settlement</stp>
        <tr r="U1832" s="5"/>
      </tp>
      <tp t="s">
        <v/>
        <stp/>
        <stp>TDL 21!-IEU</stp>
        <stp>Recent Settlement</stp>
        <tr r="U1833" s="5"/>
      </tp>
      <tp t="s">
        <v/>
        <stp/>
        <stp>TDL 22!-IEU</stp>
        <stp>Recent Settlement</stp>
        <tr r="U1834" s="5"/>
      </tp>
      <tp t="s">
        <v/>
        <stp/>
        <stp>TDL 23!-IEU</stp>
        <stp>Recent Settlement</stp>
        <tr r="U1835" s="5"/>
      </tp>
      <tp t="s">
        <v/>
        <stp/>
        <stp>TDL 24!-IEU</stp>
        <stp>Recent Settlement</stp>
        <tr r="U1836" s="5"/>
      </tp>
      <tp t="s">
        <v/>
        <stp/>
        <stp>TDL 25!-IEU</stp>
        <stp>Recent Settlement</stp>
        <tr r="U1837" s="5"/>
      </tp>
      <tp t="s">
        <v/>
        <stp/>
        <stp>TDL 26!-IEU</stp>
        <stp>Recent Settlement</stp>
        <tr r="U1838" s="5"/>
      </tp>
      <tp t="s">
        <v/>
        <stp/>
        <stp>TDL 27!-IEU</stp>
        <stp>Recent Settlement</stp>
        <tr r="U1839" s="5"/>
      </tp>
      <tp t="s">
        <v/>
        <stp/>
        <stp>TDL 30!-IEU</stp>
        <stp>Recent Settlement</stp>
        <tr r="U1842" s="5"/>
      </tp>
      <tp t="s">
        <v/>
        <stp/>
        <stp>TDL C2!-IEU</stp>
        <stp>Recent Settlement</stp>
        <tr r="U1847" s="5"/>
      </tp>
      <tp t="s">
        <v/>
        <stp/>
        <stp>TDL Q1!-IEU</stp>
        <stp>Recent Settlement</stp>
        <tr r="U1843" s="5"/>
      </tp>
      <tp t="s">
        <v/>
        <stp/>
        <stp>TDL Q2!-IEU</stp>
        <stp>Recent Settlement</stp>
        <tr r="U1844" s="5"/>
      </tp>
      <tp t="s">
        <v/>
        <stp/>
        <stp>TDL Q3!-IEU</stp>
        <stp>Recent Settlement</stp>
        <tr r="U1845" s="5"/>
      </tp>
      <tp t="s">
        <v/>
        <stp/>
        <stp>TDL Q4!-IEU</stp>
        <stp>Recent Settlement</stp>
        <tr r="U1846" s="5"/>
      </tp>
    </main>
    <main first="ice.rtd">
      <tp>
        <v>2.7489999999999952</v>
        <stp/>
        <stp>DBI1227QQ1:Settle</stp>
        <tr r="U1680" s="5"/>
      </tp>
      <tp>
        <v>6.5470000000000113</v>
        <stp/>
        <stp>DBI1227QQ0:Settle</stp>
        <tr r="U1679" s="5"/>
      </tp>
      <tp t="s">
        <v/>
        <stp/>
        <stp>15061297MM21:BstHitPrc</stp>
        <tr r="G1704" s="5"/>
      </tp>
      <tp t="s">
        <v/>
        <stp/>
        <stp>15061297MM11:BstHitPrc</stp>
        <tr r="G1694" s="5"/>
      </tp>
      <tp>
        <v>0</v>
        <stp/>
        <stp>34364094Y1:OI</stp>
        <tr r="T553" s="5"/>
      </tp>
      <tp>
        <v>0</v>
        <stp/>
        <stp>34374095Y1:OI</stp>
        <tr r="T591" s="5"/>
      </tp>
      <tp>
        <v>0</v>
        <stp/>
        <stp>34364094Y0:OI</stp>
        <tr r="T552" s="5"/>
      </tp>
      <tp>
        <v>0</v>
        <stp/>
        <stp>34374095Y0:OI</stp>
        <tr r="T590" s="5"/>
      </tp>
      <tp>
        <v>0</v>
        <stp/>
        <stp>34364094Y2:OI</stp>
        <tr r="T554" s="5"/>
      </tp>
      <tp>
        <v>0</v>
        <stp/>
        <stp>34374095Y2:OI</stp>
        <tr r="T592" s="5"/>
      </tp>
      <tp>
        <v>0</v>
        <stp/>
        <stp>34364094Q5:OI</stp>
        <tr r="T548" s="5"/>
      </tp>
      <tp>
        <v>0</v>
        <stp/>
        <stp>34374095Q5:OI</stp>
        <tr r="T586" s="5"/>
      </tp>
      <tp>
        <v>0</v>
        <stp/>
        <stp>34364094Q4:OI</stp>
        <tr r="T547" s="5"/>
      </tp>
      <tp>
        <v>0</v>
        <stp/>
        <stp>34374095Q4:OI</stp>
        <tr r="T585" s="5"/>
      </tp>
      <tp>
        <v>0</v>
        <stp/>
        <stp>34364094Q7:OI</stp>
        <tr r="T550" s="5"/>
      </tp>
      <tp>
        <v>0</v>
        <stp/>
        <stp>34374095Q7:OI</stp>
        <tr r="T588" s="5"/>
      </tp>
      <tp>
        <v>0</v>
        <stp/>
        <stp>34364094Q6:OI</stp>
        <tr r="T549" s="5"/>
      </tp>
      <tp>
        <v>0</v>
        <stp/>
        <stp>34374095Q6:OI</stp>
        <tr r="T587" s="5"/>
      </tp>
      <tp>
        <v>0</v>
        <stp/>
        <stp>34364094Q1:OI</stp>
        <tr r="T544" s="5"/>
      </tp>
      <tp>
        <v>0</v>
        <stp/>
        <stp>34374095Q1:OI</stp>
        <tr r="T582" s="5"/>
      </tp>
      <tp>
        <v>0</v>
        <stp/>
        <stp>34364094Q0:OI</stp>
        <tr r="T543" s="5"/>
      </tp>
      <tp>
        <v>0</v>
        <stp/>
        <stp>34374095Q0:OI</stp>
        <tr r="T581" s="5"/>
      </tp>
      <tp>
        <v>0</v>
        <stp/>
        <stp>34364094Q3:OI</stp>
        <tr r="T546" s="5"/>
      </tp>
      <tp>
        <v>0</v>
        <stp/>
        <stp>34374095Q3:OI</stp>
        <tr r="T584" s="5"/>
      </tp>
      <tp>
        <v>0</v>
        <stp/>
        <stp>34364094Q2:OI</stp>
        <tr r="T545" s="5"/>
      </tp>
      <tp>
        <v>0</v>
        <stp/>
        <stp>34374095Q2:OI</stp>
        <tr r="T583" s="5"/>
      </tp>
      <tp>
        <v>0</v>
        <stp/>
        <stp>34364094Q8:OI</stp>
        <tr r="T551" s="5"/>
      </tp>
      <tp>
        <v>0</v>
        <stp/>
        <stp>34374095Q8:OI</stp>
        <tr r="T589" s="5"/>
      </tp>
      <tp>
        <v>101</v>
        <stp/>
        <stp>34364094M5:OI</stp>
        <tr r="T523" s="5"/>
      </tp>
      <tp>
        <v>199</v>
        <stp/>
        <stp>34374095M5:OI</stp>
        <tr r="T561" s="5"/>
      </tp>
      <tp>
        <v>99</v>
        <stp/>
        <stp>34364094M4:OI</stp>
        <tr r="T522" s="5"/>
      </tp>
      <tp>
        <v>201</v>
        <stp/>
        <stp>34374095M4:OI</stp>
        <tr r="T560" s="5"/>
      </tp>
      <tp>
        <v>33</v>
        <stp/>
        <stp>34364094M7:OI</stp>
        <tr r="T525" s="5"/>
      </tp>
      <tp>
        <v>93</v>
        <stp/>
        <stp>34374095M7:OI</stp>
        <tr r="T563" s="5"/>
      </tp>
      <tp>
        <v>99</v>
        <stp/>
        <stp>34364094M6:OI</stp>
        <tr r="T524" s="5"/>
      </tp>
      <tp>
        <v>195</v>
        <stp/>
        <stp>34374095M6:OI</stp>
        <tr r="T562" s="5"/>
      </tp>
      <tp>
        <v>378</v>
        <stp/>
        <stp>34364094M1:OI</stp>
        <tr r="T519" s="5"/>
      </tp>
      <tp>
        <v>739</v>
        <stp/>
        <stp>34374095M1:OI</stp>
        <tr r="T557" s="5"/>
      </tp>
      <tp>
        <v>408</v>
        <stp/>
        <stp>34364094M0:OI</stp>
        <tr r="T518" s="5"/>
      </tp>
      <tp>
        <v>1570</v>
        <stp/>
        <stp>34374095M0:OI</stp>
        <tr r="T556" s="5"/>
      </tp>
      <tp>
        <v>359</v>
        <stp/>
        <stp>34364094M3:OI</stp>
        <tr r="T521" s="5"/>
      </tp>
      <tp>
        <v>719</v>
        <stp/>
        <stp>34374095M3:OI</stp>
        <tr r="T559" s="5"/>
      </tp>
      <tp>
        <v>288</v>
        <stp/>
        <stp>34364094M2:OI</stp>
        <tr r="T520" s="5"/>
      </tp>
      <tp>
        <v>671</v>
        <stp/>
        <stp>34374095M2:OI</stp>
        <tr r="T558" s="5"/>
      </tp>
      <tp>
        <v>33</v>
        <stp/>
        <stp>34364094M9:OI</stp>
        <tr r="T527" s="5"/>
      </tp>
      <tp>
        <v>94</v>
        <stp/>
        <stp>34374095M9:OI</stp>
        <tr r="T565" s="5"/>
      </tp>
      <tp>
        <v>33</v>
        <stp/>
        <stp>34364094M8:OI</stp>
        <tr r="T526" s="5"/>
      </tp>
      <tp>
        <v>94</v>
        <stp/>
        <stp>34374095M8:OI</stp>
        <tr r="T564" s="5"/>
      </tp>
      <tp>
        <v>4.1269999999999953</v>
        <stp/>
        <stp>DBI1227YY0:Settle</stp>
        <tr r="U1681" s="5"/>
      </tp>
      <tp>
        <v>0</v>
        <stp/>
        <stp>34344092Y1:OI</stp>
        <tr r="T1298" s="5"/>
      </tp>
      <tp>
        <v>0</v>
        <stp/>
        <stp>34354093Y1:OI</stp>
        <tr r="T1336" s="5"/>
      </tp>
      <tp>
        <v>0</v>
        <stp/>
        <stp>34344092Y0:OI</stp>
        <tr r="T1297" s="5"/>
      </tp>
      <tp>
        <v>0</v>
        <stp/>
        <stp>34354093Y0:OI</stp>
        <tr r="T1335" s="5"/>
      </tp>
      <tp>
        <v>0</v>
        <stp/>
        <stp>34344092Y2:OI</stp>
        <tr r="T1299" s="5"/>
      </tp>
      <tp>
        <v>0</v>
        <stp/>
        <stp>34354093Y2:OI</stp>
        <tr r="T1337" s="5"/>
      </tp>
      <tp>
        <v>0</v>
        <stp/>
        <stp>34344092Q5:OI</stp>
        <tr r="T1293" s="5"/>
      </tp>
      <tp>
        <v>0</v>
        <stp/>
        <stp>34354093Q5:OI</stp>
        <tr r="T1331" s="5"/>
      </tp>
      <tp>
        <v>0</v>
        <stp/>
        <stp>34344092Q4:OI</stp>
        <tr r="T1292" s="5"/>
      </tp>
      <tp>
        <v>0</v>
        <stp/>
        <stp>34354093Q4:OI</stp>
        <tr r="T1330" s="5"/>
      </tp>
      <tp>
        <v>0</v>
        <stp/>
        <stp>34344092Q7:OI</stp>
        <tr r="T1295" s="5"/>
      </tp>
      <tp>
        <v>0</v>
        <stp/>
        <stp>34354093Q7:OI</stp>
        <tr r="T1333" s="5"/>
      </tp>
      <tp>
        <v>0</v>
        <stp/>
        <stp>34344092Q6:OI</stp>
        <tr r="T1294" s="5"/>
      </tp>
      <tp>
        <v>0</v>
        <stp/>
        <stp>34354093Q6:OI</stp>
        <tr r="T1332" s="5"/>
      </tp>
      <tp>
        <v>0</v>
        <stp/>
        <stp>34344092Q1:OI</stp>
        <tr r="T1289" s="5"/>
      </tp>
      <tp>
        <v>0</v>
        <stp/>
        <stp>34354093Q1:OI</stp>
        <tr r="T1327" s="5"/>
      </tp>
      <tp>
        <v>0</v>
        <stp/>
        <stp>34344092Q0:OI</stp>
        <tr r="T1288" s="5"/>
      </tp>
      <tp>
        <v>0</v>
        <stp/>
        <stp>34354093Q0:OI</stp>
        <tr r="T1326" s="5"/>
      </tp>
      <tp>
        <v>0</v>
        <stp/>
        <stp>34344092Q3:OI</stp>
        <tr r="T1291" s="5"/>
      </tp>
      <tp>
        <v>0</v>
        <stp/>
        <stp>34354093Q3:OI</stp>
        <tr r="T1329" s="5"/>
      </tp>
      <tp>
        <v>0</v>
        <stp/>
        <stp>34344092Q2:OI</stp>
        <tr r="T1290" s="5"/>
      </tp>
      <tp>
        <v>0</v>
        <stp/>
        <stp>34354093Q2:OI</stp>
        <tr r="T1328" s="5"/>
      </tp>
      <tp>
        <v>0</v>
        <stp/>
        <stp>34344092Q8:OI</stp>
        <tr r="T1296" s="5"/>
      </tp>
      <tp>
        <v>0</v>
        <stp/>
        <stp>34354093Q8:OI</stp>
        <tr r="T1334" s="5"/>
      </tp>
      <tp>
        <v>40</v>
        <stp/>
        <stp>34344092M5:OI</stp>
        <tr r="T1268" s="5"/>
      </tp>
      <tp>
        <v>11492</v>
        <stp/>
        <stp>34354093M5:OI</stp>
        <tr r="T1306" s="5"/>
      </tp>
      <tp>
        <v>40</v>
        <stp/>
        <stp>34344092M4:OI</stp>
        <tr r="T1267" s="5"/>
      </tp>
      <tp>
        <v>11913</v>
        <stp/>
        <stp>34354093M4:OI</stp>
        <tr r="T1305" s="5"/>
      </tp>
      <tp>
        <v>8</v>
        <stp/>
        <stp>34344092M7:OI</stp>
        <tr r="T1270" s="5"/>
      </tp>
      <tp>
        <v>7862</v>
        <stp/>
        <stp>34354093M7:OI</stp>
        <tr r="T1308" s="5"/>
      </tp>
      <tp>
        <v>40</v>
        <stp/>
        <stp>34344092M6:OI</stp>
        <tr r="T1269" s="5"/>
      </tp>
      <tp>
        <v>11623</v>
        <stp/>
        <stp>34354093M6:OI</stp>
        <tr r="T1307" s="5"/>
      </tp>
      <tp>
        <v>81</v>
        <stp/>
        <stp>34344092M1:OI</stp>
        <tr r="T1264" s="5"/>
      </tp>
      <tp>
        <v>28439</v>
        <stp/>
        <stp>34354093M1:OI</stp>
        <tr r="T1302" s="5"/>
      </tp>
      <tp>
        <v>153</v>
        <stp/>
        <stp>34344092M0:OI</stp>
        <tr r="T1263" s="5"/>
      </tp>
      <tp>
        <v>47044</v>
        <stp/>
        <stp>34354093M0:OI</stp>
        <tr r="T1301" s="5"/>
      </tp>
      <tp>
        <v>90</v>
        <stp/>
        <stp>34344092M3:OI</stp>
        <tr r="T1266" s="5"/>
      </tp>
      <tp>
        <v>26737</v>
        <stp/>
        <stp>34354093M3:OI</stp>
        <tr r="T1304" s="5"/>
      </tp>
      <tp>
        <v>85</v>
        <stp/>
        <stp>34344092M2:OI</stp>
        <tr r="T1265" s="5"/>
      </tp>
      <tp>
        <v>28076</v>
        <stp/>
        <stp>34354093M2:OI</stp>
        <tr r="T1303" s="5"/>
      </tp>
      <tp>
        <v>8</v>
        <stp/>
        <stp>34344092M9:OI</stp>
        <tr r="T1272" s="5"/>
      </tp>
      <tp>
        <v>7995</v>
        <stp/>
        <stp>34354093M9:OI</stp>
        <tr r="T1310" s="5"/>
      </tp>
      <tp>
        <v>8</v>
        <stp/>
        <stp>34344092M8:OI</stp>
        <tr r="T1271" s="5"/>
      </tp>
      <tp>
        <v>8183</v>
        <stp/>
        <stp>34354093M8:OI</stp>
        <tr r="T1309" s="5"/>
      </tp>
    </main>
    <main first="bofaddin.rtdserver">
      <tp t="s">
        <v>#N/A Requesting Data...2881738917</v>
        <stp/>
        <stp>BDP|14074472793772471897</stp>
        <tr r="K36" s="23"/>
      </tp>
      <tp t="s">
        <v>#N/A Requesting Data...2791490033</v>
        <stp/>
        <stp>BDP|14279835288166047163</stp>
        <tr r="AF116" s="23"/>
      </tp>
    </main>
    <main first="ice.rtd">
      <tp t="s">
        <v/>
        <stp/>
        <stp>2323325594B0:LstDate</stp>
        <tr r="J958" s="5"/>
      </tp>
      <tp t="s">
        <v/>
        <stp/>
        <stp>2325325614B0:LstDate</stp>
        <tr r="J517" s="5"/>
      </tp>
      <tp t="s">
        <v/>
        <stp/>
        <stp>2326325624B0:LstDate</stp>
        <tr r="J806" s="5"/>
      </tp>
    </main>
    <main first="bofaddin.rtdserver">
      <tp t="s">
        <v>#N/A Requesting Data...2759891716</v>
        <stp/>
        <stp>BDP|12297714752337290471</stp>
        <tr r="F30" s="23"/>
        <tr r="F74" s="23"/>
      </tp>
    </main>
    <main first="ice.rtd">
      <tp>
        <v>46267.373116122682</v>
        <stp/>
        <stp>2009523367B0:LstDate</stp>
        <tr r="J116" s="5"/>
      </tp>
    </main>
    <main first="bofaddin.rtdserver">
      <tp t="s">
        <v>#N/A N/A</v>
        <stp/>
        <stp>BDH|15841722624933826070</stp>
        <tr r="AY44" s="1"/>
      </tp>
      <tp t="s">
        <v>#N/A N/A</v>
        <stp/>
        <stp>BDH|17035522891268658055</stp>
        <tr r="BA58" s="1"/>
        <tr r="BA58" s="1"/>
      </tp>
      <tp t="s">
        <v>#N/A N/A</v>
        <stp/>
        <stp>BDH|17276768354741525767</stp>
        <tr r="AY61" s="1"/>
      </tp>
      <tp t="s">
        <v>#N/A N/A</v>
        <stp/>
        <stp>BDH|10445723452675025473</stp>
        <tr r="M87" s="16"/>
      </tp>
      <tp t="s">
        <v>#N/A N/A</v>
        <stp/>
        <stp>BDH|17104869890506786321</stp>
        <tr r="C56" s="14"/>
      </tp>
      <tp t="s">
        <v>#N/A N/A</v>
        <stp/>
        <stp>BDH|14606570108105938749</stp>
        <tr r="BC41" s="1"/>
        <tr r="BC41" s="1"/>
      </tp>
      <tp t="s">
        <v>#N/A N/A</v>
        <stp/>
        <stp>BDH|13534843993352691301</stp>
        <tr r="BB37" s="1"/>
      </tp>
      <tp t="s">
        <v>#N/A N/A</v>
        <stp/>
        <stp>BDH|13258488445676994626</stp>
        <tr r="J91" s="16"/>
      </tp>
      <tp t="s">
        <v>#N/A N/A</v>
        <stp/>
        <stp>BDH|11350878665624088862</stp>
        <tr r="G84" s="16"/>
      </tp>
      <tp t="s">
        <v>#N/A N/A</v>
        <stp/>
        <stp>BDH|14322721217513967286</stp>
        <tr r="AW58" s="1"/>
      </tp>
      <tp t="s">
        <v>#N/A N/A</v>
        <stp/>
        <stp>BDH|16781842593963299749</stp>
        <tr r="AV46" s="1"/>
      </tp>
      <tp t="s">
        <v>#N/A N/A</v>
        <stp/>
        <stp>BDH|16586698857296963040</stp>
        <tr r="D36" s="14"/>
      </tp>
    </main>
    <main first="ice.rtd">
      <tp>
        <v>0</v>
        <stp/>
        <stp>2324625607B0:OI</stp>
        <tr r="T192" s="5"/>
      </tp>
    </main>
    <main first="bofaddin.rtdserver">
      <tp t="s">
        <v>#N/A N/A</v>
        <stp/>
        <stp>BDH|12159465121872816567</stp>
        <tr r="AW22" s="1"/>
      </tp>
    </main>
    <main first="ice.rtd">
      <tp>
        <v>0</v>
        <stp/>
        <stp>2326425625B0:OI</stp>
        <tr r="T1262" s="5"/>
      </tp>
    </main>
    <main first="bofaddin.rtdserver">
      <tp t="s">
        <v>#N/A N/A</v>
        <stp/>
        <stp>BDH|13700458998074305928</stp>
        <tr r="K90" s="16"/>
      </tp>
      <tp t="s">
        <v>#N/A N/A</v>
        <stp/>
        <stp>BDH|10711293276134399215</stp>
        <tr r="N63" s="16"/>
      </tp>
      <tp t="s">
        <v>#N/A N/A</v>
        <stp/>
        <stp>BDH|10565454176106891644</stp>
        <tr r="BB22" s="1"/>
      </tp>
      <tp t="s">
        <v>#N/A N/A</v>
        <stp/>
        <stp>BDH|17358124948209443876</stp>
        <tr r="O14" s="25"/>
      </tp>
      <tp t="s">
        <v>#N/A N/A</v>
        <stp/>
        <stp>BDH|17860543871045512324</stp>
        <tr r="AV55" s="1"/>
      </tp>
    </main>
    <main first="ice.rtd">
      <tp>
        <v>0</v>
        <stp/>
        <stp>2049123570B0:OI</stp>
        <tr r="T230" s="5"/>
      </tp>
    </main>
    <main first="bofaddin.rtdserver">
      <tp t="s">
        <v>#N/A N/A</v>
        <stp/>
        <stp>BDH|10518992954568413717</stp>
        <tr r="BB46" s="1"/>
      </tp>
      <tp t="s">
        <v>#N/A N/A</v>
        <stp/>
        <stp>BDH|17016076601542296681</stp>
        <tr r="C20" s="14"/>
      </tp>
      <tp t="s">
        <v>#N/A N/A</v>
        <stp/>
        <stp>BDH|18270441953152158885</stp>
        <tr r="N64" s="16"/>
      </tp>
      <tp t="s">
        <v>#N/A N/A</v>
        <stp/>
        <stp>BDH|16537474935510140299</stp>
        <tr r="H77" s="16"/>
      </tp>
      <tp t="s">
        <v>#N/A N/A</v>
        <stp/>
        <stp>BDH|14906469114427585511</stp>
        <tr r="M91" s="16"/>
      </tp>
      <tp t="s">
        <v>#N/A N/A</v>
        <stp/>
        <stp>BDH|17887942497104121049</stp>
        <tr r="AV57" s="1"/>
      </tp>
      <tp t="s">
        <v>#N/A N/A</v>
        <stp/>
        <stp>BDH|16046137064785191788</stp>
        <tr r="AZ21" s="1"/>
      </tp>
    </main>
    <main first="esrtd">
      <tp t="s">
        <v/>
        <stp/>
        <stp>TDL Q4!-IEU</stp>
        <stp>ICE Theoretical Price</stp>
        <tr r="W1846" s="5"/>
      </tp>
      <tp t="s">
        <v/>
        <stp/>
        <stp>TDL Q1!-IEU</stp>
        <stp>ICE Theoretical Price</stp>
        <tr r="W1843" s="5"/>
      </tp>
      <tp t="s">
        <v/>
        <stp/>
        <stp>TDL Q3!-IEU</stp>
        <stp>ICE Theoretical Price</stp>
        <tr r="W1845" s="5"/>
      </tp>
      <tp t="s">
        <v/>
        <stp/>
        <stp>TDL Q2!-IEU</stp>
        <stp>ICE Theoretical Price</stp>
        <tr r="W1844" s="5"/>
      </tp>
      <tp t="s">
        <v/>
        <stp/>
        <stp>TDL C2!-IEU</stp>
        <stp>ICE Theoretical Price</stp>
        <tr r="W1847" s="5"/>
      </tp>
      <tp t="s">
        <v/>
        <stp/>
        <stp>TDL 19!-IEU</stp>
        <stp>ICE Theoretical Price</stp>
        <tr r="W1831" s="5"/>
      </tp>
      <tp t="s">
        <v/>
        <stp/>
        <stp>TDL 18!-IEU</stp>
        <stp>ICE Theoretical Price</stp>
        <tr r="W1830" s="5"/>
      </tp>
      <tp t="s">
        <v/>
        <stp/>
        <stp>TDL 15!-IEU</stp>
        <stp>ICE Theoretical Price</stp>
        <tr r="W1827" s="5"/>
      </tp>
      <tp t="s">
        <v/>
        <stp/>
        <stp>TDL 14!-IEU</stp>
        <stp>ICE Theoretical Price</stp>
        <tr r="W1826" s="5"/>
      </tp>
      <tp t="s">
        <v/>
        <stp/>
        <stp>TDL 17!-IEU</stp>
        <stp>ICE Theoretical Price</stp>
        <tr r="W1829" s="5"/>
      </tp>
      <tp t="s">
        <v/>
        <stp/>
        <stp>TDL 16!-IEU</stp>
        <stp>ICE Theoretical Price</stp>
        <tr r="W1828" s="5"/>
      </tp>
      <tp t="s">
        <v/>
        <stp/>
        <stp>TDL 11!-IEU</stp>
        <stp>ICE Theoretical Price</stp>
        <tr r="W1823" s="5"/>
      </tp>
      <tp t="s">
        <v/>
        <stp/>
        <stp>TDL 10!-IEU</stp>
        <stp>ICE Theoretical Price</stp>
        <tr r="W1822" s="5"/>
      </tp>
      <tp t="s">
        <v/>
        <stp/>
        <stp>TDL 13!-IEU</stp>
        <stp>ICE Theoretical Price</stp>
        <tr r="W1825" s="5"/>
      </tp>
      <tp t="s">
        <v/>
        <stp/>
        <stp>TDL 12!-IEU</stp>
        <stp>ICE Theoretical Price</stp>
        <tr r="W1824" s="5"/>
      </tp>
      <tp t="s">
        <v/>
        <stp/>
        <stp>TDL 30!-IEU</stp>
        <stp>ICE Theoretical Price</stp>
        <tr r="W1842" s="5"/>
      </tp>
      <tp t="s">
        <v/>
        <stp/>
        <stp>TDL 29!-IEU</stp>
        <stp>ICE Theoretical Price</stp>
        <tr r="W1841" s="5"/>
      </tp>
      <tp t="s">
        <v/>
        <stp/>
        <stp>TDL 28!-IEU</stp>
        <stp>ICE Theoretical Price</stp>
        <tr r="W1840" s="5"/>
      </tp>
      <tp t="s">
        <v/>
        <stp/>
        <stp>TDL 25!-IEU</stp>
        <stp>ICE Theoretical Price</stp>
        <tr r="W1837" s="5"/>
      </tp>
      <tp t="s">
        <v/>
        <stp/>
        <stp>TDL 24!-IEU</stp>
        <stp>ICE Theoretical Price</stp>
        <tr r="W1836" s="5"/>
      </tp>
      <tp t="s">
        <v/>
        <stp/>
        <stp>TDL 27!-IEU</stp>
        <stp>ICE Theoretical Price</stp>
        <tr r="W1839" s="5"/>
      </tp>
      <tp t="s">
        <v/>
        <stp/>
        <stp>TDL 26!-IEU</stp>
        <stp>ICE Theoretical Price</stp>
        <tr r="W1838" s="5"/>
      </tp>
      <tp t="s">
        <v/>
        <stp/>
        <stp>TDL 21!-IEU</stp>
        <stp>ICE Theoretical Price</stp>
        <tr r="W1833" s="5"/>
      </tp>
      <tp t="s">
        <v/>
        <stp/>
        <stp>TDL 20!-IEU</stp>
        <stp>ICE Theoretical Price</stp>
        <tr r="W1832" s="5"/>
      </tp>
      <tp t="s">
        <v/>
        <stp/>
        <stp>TDL 23!-IEU</stp>
        <stp>ICE Theoretical Price</stp>
        <tr r="W1835" s="5"/>
      </tp>
      <tp t="s">
        <v/>
        <stp/>
        <stp>TDL 22!-IEU</stp>
        <stp>ICE Theoretical Price</stp>
        <tr r="W1834" s="5"/>
      </tp>
    </main>
    <main first="bofaddin.rtdserver">
      <tp t="s">
        <v>#N/A</v>
        <stp/>
        <stp>BDP|15463299667670218610|222</stp>
        <stp>QSG0QSH0 Comdty</stp>
        <stp>BID</stp>
        <stp>Fill=#N/A</stp>
        <tr r="P61" s="1"/>
      </tp>
      <tp>
        <v>35.5</v>
        <stp/>
        <stp>BDP|15727329603032678824|222</stp>
        <stp>QSG7QSH7 Comdty</stp>
        <stp>BID</stp>
        <stp>Fill=#N/A</stp>
        <tr r="P25" s="1"/>
      </tp>
    </main>
    <main first="ice.rtd">
      <tp t="s">
        <v/>
        <stp/>
        <stp>34344092M13:LstBlkTime</stp>
        <tr r="M1276" s="5"/>
      </tp>
      <tp t="s">
        <v/>
        <stp/>
        <stp>34354093M13:LstBlkTime</stp>
        <tr r="M1314" s="5"/>
      </tp>
      <tp t="s">
        <v/>
        <stp/>
        <stp>34344092M12:LstBlkTime</stp>
        <tr r="M1275" s="5"/>
      </tp>
      <tp t="s">
        <v/>
        <stp/>
        <stp>34354093M12:LstBlkTime</stp>
        <tr r="M1313" s="5"/>
      </tp>
      <tp t="s">
        <v/>
        <stp/>
        <stp>34344092M11:LstBlkTime</stp>
        <tr r="M1274" s="5"/>
      </tp>
      <tp t="s">
        <v/>
        <stp/>
        <stp>34354093M11:LstBlkTime</stp>
        <tr r="M1312" s="5"/>
      </tp>
      <tp t="s">
        <v/>
        <stp/>
        <stp>34344092M10:LstBlkTime</stp>
        <tr r="M1273" s="5"/>
      </tp>
      <tp t="s">
        <v/>
        <stp/>
        <stp>34354093M10:LstBlkTime</stp>
        <tr r="M1311" s="5"/>
      </tp>
      <tp t="s">
        <v/>
        <stp/>
        <stp>34344092M17:LstBlkTime</stp>
        <tr r="M1280" s="5"/>
      </tp>
      <tp t="s">
        <v/>
        <stp/>
        <stp>34354093M17:LstBlkTime</stp>
        <tr r="M1318" s="5"/>
      </tp>
      <tp t="s">
        <v/>
        <stp/>
        <stp>34344092M16:LstBlkTime</stp>
        <tr r="M1279" s="5"/>
      </tp>
      <tp t="s">
        <v/>
        <stp/>
        <stp>34354093M16:LstBlkTime</stp>
        <tr r="M1317" s="5"/>
      </tp>
      <tp t="s">
        <v/>
        <stp/>
        <stp>34344092M15:LstBlkTime</stp>
        <tr r="M1278" s="5"/>
      </tp>
      <tp t="s">
        <v/>
        <stp/>
        <stp>34354093M15:LstBlkTime</stp>
        <tr r="M1316" s="5"/>
      </tp>
      <tp t="s">
        <v/>
        <stp/>
        <stp>34344092M14:LstBlkTime</stp>
        <tr r="M1277" s="5"/>
      </tp>
      <tp t="s">
        <v/>
        <stp/>
        <stp>34354093M14:LstBlkTime</stp>
        <tr r="M1315" s="5"/>
      </tp>
      <tp t="s">
        <v/>
        <stp/>
        <stp>34344092M19:LstBlkTime</stp>
        <tr r="M1282" s="5"/>
      </tp>
      <tp t="s">
        <v/>
        <stp/>
        <stp>34354093M19:LstBlkTime</stp>
        <tr r="M1320" s="5"/>
      </tp>
      <tp t="s">
        <v/>
        <stp/>
        <stp>34344092M18:LstBlkTime</stp>
        <tr r="M1281" s="5"/>
      </tp>
      <tp t="s">
        <v/>
        <stp/>
        <stp>34354093M18:LstBlkTime</stp>
        <tr r="M1319" s="5"/>
      </tp>
      <tp t="s">
        <v/>
        <stp/>
        <stp>34344092M23:LstBlkTime</stp>
        <tr r="M1286" s="5"/>
      </tp>
      <tp t="s">
        <v/>
        <stp/>
        <stp>34354093M23:LstBlkTime</stp>
        <tr r="M1324" s="5"/>
      </tp>
      <tp t="s">
        <v/>
        <stp/>
        <stp>34344092M22:LstBlkTime</stp>
        <tr r="M1285" s="5"/>
      </tp>
      <tp t="s">
        <v/>
        <stp/>
        <stp>34354093M22:LstBlkTime</stp>
        <tr r="M1323" s="5"/>
      </tp>
      <tp t="s">
        <v/>
        <stp/>
        <stp>34344092M21:LstBlkTime</stp>
        <tr r="M1284" s="5"/>
      </tp>
      <tp t="s">
        <v/>
        <stp/>
        <stp>34354093M21:LstBlkTime</stp>
        <tr r="M1322" s="5"/>
      </tp>
      <tp t="s">
        <v/>
        <stp/>
        <stp>34344092M20:LstBlkTime</stp>
        <tr r="M1283" s="5"/>
      </tp>
      <tp t="s">
        <v/>
        <stp/>
        <stp>34354093M20:LstBlkTime</stp>
        <tr r="M1321" s="5"/>
      </tp>
      <tp t="s">
        <v/>
        <stp/>
        <stp>34344092M24:LstBlkTime</stp>
        <tr r="M1287" s="5"/>
      </tp>
      <tp t="s">
        <v/>
        <stp/>
        <stp>34354093M24:LstBlkTime</stp>
        <tr r="M1325" s="5"/>
      </tp>
      <tp t="s">
        <v/>
        <stp/>
        <stp>29243602M13:LstBlkTime</stp>
        <tr r="M759" s="5"/>
      </tp>
      <tp t="s">
        <v/>
        <stp/>
        <stp>29243602M12:LstBlkTime</stp>
        <tr r="M758" s="5"/>
      </tp>
      <tp t="s">
        <v/>
        <stp/>
        <stp>29243602M11:LstBlkTime</stp>
        <tr r="M757" s="5"/>
      </tp>
      <tp t="s">
        <v/>
        <stp/>
        <stp>29243602M10:LstBlkTime</stp>
        <tr r="M756" s="5"/>
      </tp>
      <tp t="s">
        <v/>
        <stp/>
        <stp>29243602M15:LstBlkTime</stp>
        <tr r="M761" s="5"/>
      </tp>
      <tp t="s">
        <v/>
        <stp/>
        <stp>29243602M14:LstBlkTime</stp>
        <tr r="M760" s="5"/>
      </tp>
      <tp t="s">
        <v/>
        <stp/>
        <stp>18851683M21:LstBlkTime</stp>
        <tr r="M214" s="5"/>
      </tp>
      <tp t="s">
        <v/>
        <stp/>
        <stp>18851683M20:LstBlkTime</stp>
        <tr r="M213" s="5"/>
      </tp>
      <tp t="s">
        <v/>
        <stp/>
        <stp>18851683M23:LstBlkTime</stp>
        <tr r="M216" s="5"/>
      </tp>
      <tp t="s">
        <v/>
        <stp/>
        <stp>18851683M22:LstBlkTime</stp>
        <tr r="M215" s="5"/>
      </tp>
      <tp t="s">
        <v/>
        <stp/>
        <stp>18851683M24:LstBlkTime</stp>
        <tr r="M217" s="5"/>
      </tp>
      <tp t="s">
        <v/>
        <stp/>
        <stp>18851683M19:LstBlkTime</stp>
        <tr r="M212" s="5"/>
      </tp>
      <tp t="s">
        <v/>
        <stp/>
        <stp>18851683M18:LstBlkTime</stp>
        <tr r="M211" s="5"/>
      </tp>
      <tp t="s">
        <v/>
        <stp/>
        <stp>18851683M11:LstBlkTime</stp>
        <tr r="M204" s="5"/>
      </tp>
      <tp t="s">
        <v/>
        <stp/>
        <stp>18851683M10:LstBlkTime</stp>
        <tr r="M203" s="5"/>
      </tp>
      <tp t="s">
        <v/>
        <stp/>
        <stp>18851683M13:LstBlkTime</stp>
        <tr r="M206" s="5"/>
      </tp>
      <tp t="s">
        <v/>
        <stp/>
        <stp>18851683M12:LstBlkTime</stp>
        <tr r="M205" s="5"/>
      </tp>
      <tp t="s">
        <v/>
        <stp/>
        <stp>18851683M15:LstBlkTime</stp>
        <tr r="M208" s="5"/>
      </tp>
      <tp t="s">
        <v/>
        <stp/>
        <stp>18851683M14:LstBlkTime</stp>
        <tr r="M207" s="5"/>
      </tp>
      <tp t="s">
        <v/>
        <stp/>
        <stp>18851683M17:LstBlkTime</stp>
        <tr r="M210" s="5"/>
      </tp>
      <tp t="s">
        <v/>
        <stp/>
        <stp>18851683M16:LstBlkTime</stp>
        <tr r="M209" s="5"/>
      </tp>
    </main>
    <main first="bofaddin.rtdserver">
      <tp>
        <v>0.21</v>
        <stp/>
        <stp>BDP|14768251125328428017|222</stp>
        <stp>CLK8CLM8 Comdty</stp>
        <stp>BID</stp>
        <stp>Fill=#N/A</stp>
        <tr r="N40" s="1"/>
      </tp>
    </main>
    <main first="ice.rtd">
      <tp t="s">
        <v/>
        <stp/>
        <stp>57409036M24:LstBlkTime</stp>
        <tr r="M255" s="5"/>
      </tp>
      <tp t="s">
        <v/>
        <stp/>
        <stp>57409036M22:LstBlkTime</stp>
        <tr r="M253" s="5"/>
      </tp>
      <tp t="s">
        <v/>
        <stp/>
        <stp>57409036M23:LstBlkTime</stp>
        <tr r="M254" s="5"/>
      </tp>
      <tp t="s">
        <v/>
        <stp/>
        <stp>57409036M20:LstBlkTime</stp>
        <tr r="M251" s="5"/>
      </tp>
      <tp t="s">
        <v/>
        <stp/>
        <stp>57409036M21:LstBlkTime</stp>
        <tr r="M252" s="5"/>
      </tp>
      <tp t="s">
        <v/>
        <stp/>
        <stp>57409036M18:LstBlkTime</stp>
        <tr r="M249" s="5"/>
      </tp>
      <tp t="s">
        <v/>
        <stp/>
        <stp>57409036M19:LstBlkTime</stp>
        <tr r="M250" s="5"/>
      </tp>
      <tp t="s">
        <v/>
        <stp/>
        <stp>57409036M16:LstBlkTime</stp>
        <tr r="M247" s="5"/>
      </tp>
      <tp t="s">
        <v/>
        <stp/>
        <stp>57409036M17:LstBlkTime</stp>
        <tr r="M248" s="5"/>
      </tp>
      <tp t="s">
        <v/>
        <stp/>
        <stp>57409036M14:LstBlkTime</stp>
        <tr r="M245" s="5"/>
      </tp>
      <tp t="s">
        <v/>
        <stp/>
        <stp>57409036M15:LstBlkTime</stp>
        <tr r="M246" s="5"/>
      </tp>
      <tp t="s">
        <v/>
        <stp/>
        <stp>57409036M12:LstBlkTime</stp>
        <tr r="M243" s="5"/>
      </tp>
      <tp t="s">
        <v/>
        <stp/>
        <stp>57409036M13:LstBlkTime</stp>
        <tr r="M244" s="5"/>
      </tp>
      <tp t="s">
        <v/>
        <stp/>
        <stp>57409036M10:LstBlkTime</stp>
        <tr r="M241" s="5"/>
      </tp>
      <tp t="s">
        <v/>
        <stp/>
        <stp>57409036M11:LstBlkTime</stp>
        <tr r="M242" s="5"/>
      </tp>
    </main>
    <main first="bofaddin.rtdserver">
      <tp t="s">
        <v>#N/A Invalid Security</v>
        <stp/>
        <stp>BDP|11957727242663544359|222</stp>
        <stp>CLJ0CLK0 Comdty</stp>
        <stp>ASK</stp>
        <stp>Fill=#N/A</stp>
        <tr r="N63" s="1"/>
      </tp>
    </main>
    <main first="ice.rtd">
      <tp t="s">
        <v/>
        <stp/>
        <stp>57179020M8:LstBlkPrc</stp>
        <tr r="K1555" s="5"/>
      </tp>
      <tp t="s">
        <v/>
        <stp/>
        <stp>2325425615B0:BstHitPrc</stp>
        <tr r="G555" s="5"/>
      </tp>
      <tp t="s">
        <v/>
        <stp/>
        <stp>2755828679Y0:LstBlkPrc</stp>
        <tr r="K1031" s="5"/>
      </tp>
      <tp t="s">
        <v/>
        <stp/>
        <stp>2755828679Q0:LstBlkPrc</stp>
        <tr r="K1022" s="5"/>
      </tp>
      <tp t="s">
        <v/>
        <stp/>
        <stp>2755828679M0:LstBlkPrc</stp>
        <tr r="K997" s="5"/>
      </tp>
      <tp t="s">
        <v/>
        <stp/>
        <stp>29243602M0:LstBlkPrc</stp>
        <tr r="K746" s="5"/>
      </tp>
      <tp t="s">
        <v/>
        <stp/>
        <stp>29243602Y0:LstBlkPrc</stp>
        <tr r="K767" s="5"/>
      </tp>
      <tp t="s">
        <v/>
        <stp/>
        <stp>29243602Q0:LstBlkPrc</stp>
        <tr r="K762" s="5"/>
      </tp>
      <tp t="s">
        <v/>
        <stp/>
        <stp>2185624628B0:BstHitPrc</stp>
        <tr r="G745" s="5"/>
      </tp>
      <tp t="s">
        <v/>
        <stp/>
        <stp>1923422331M3:BstHitPrc</stp>
        <tr r="G1630" s="5"/>
      </tp>
      <tp t="s">
        <v/>
        <stp/>
        <stp>1923422331Q3:BstHitPrc</stp>
        <tr r="G1645" s="5"/>
      </tp>
      <tp>
        <v>-3.7</v>
        <stp/>
        <stp>1581618115M3:BstHitPrc</stp>
        <tr r="G462" s="5"/>
      </tp>
      <tp>
        <v>-9.3000000000000007</v>
        <stp/>
        <stp>1581618115Q3:BstHitPrc</stp>
        <tr r="G477" s="5"/>
      </tp>
      <tp t="s">
        <v/>
        <stp/>
        <stp>161913535MM9:BstHitPrc</stp>
        <tr r="G2036" s="5"/>
      </tp>
      <tp t="s">
        <v/>
        <stp/>
        <stp>15091310M9:LstBlkPrc</stp>
        <tr r="K1386" s="5"/>
      </tp>
      <tp>
        <v>29.45</v>
        <stp/>
        <stp>18901687M1:LstBlkPrc</stp>
        <tr r="K308" s="5"/>
      </tp>
      <tp t="s">
        <v/>
        <stp/>
        <stp>18901687Y1:LstBlkPrc</stp>
        <tr r="K342" s="5"/>
      </tp>
      <tp t="s">
        <v/>
        <stp/>
        <stp>18901687Q1:LstBlkPrc</stp>
        <tr r="K333" s="5"/>
      </tp>
      <tp t="s">
        <v/>
        <stp/>
        <stp>30813691M9:LstBlkPrc</stp>
        <tr r="K1962" s="5"/>
      </tp>
      <tp t="s">
        <v/>
        <stp/>
        <stp>1986923076Q5:LstBlkPrc</stp>
        <tr r="K185" s="5"/>
      </tp>
      <tp t="s">
        <v/>
        <stp/>
        <stp>1986923076M5:LstBlkPrc</stp>
        <tr r="K160" s="5"/>
      </tp>
      <tp>
        <v>-3.95</v>
        <stp/>
        <stp>18851683M1:LstBlkPrc</stp>
        <tr r="K194" s="5"/>
      </tp>
      <tp t="s">
        <v/>
        <stp/>
        <stp>18851683Y1:LstBlkPrc</stp>
        <tr r="K228" s="5"/>
      </tp>
      <tp t="s">
        <v/>
        <stp/>
        <stp>18851683Q1:LstBlkPrc</stp>
        <tr r="K219" s="5"/>
      </tp>
      <tp>
        <v>51.75</v>
        <stp/>
        <stp>18871685M1:LstBlkPrc</stp>
        <tr r="K422" s="5"/>
      </tp>
      <tp t="s">
        <v/>
        <stp/>
        <stp>18871685Y1:LstBlkPrc</stp>
        <tr r="K456" s="5"/>
      </tp>
      <tp>
        <v>40</v>
        <stp/>
        <stp>18871685Q1:LstBlkPrc</stp>
        <tr r="K447" s="5"/>
      </tp>
      <tp t="s">
        <v/>
        <stp/>
        <stp>1986823075Q5:LstBlkPrc</stp>
        <tr r="K147" s="5"/>
      </tp>
      <tp t="s">
        <v/>
        <stp/>
        <stp>1986823075M5:LstBlkPrc</stp>
        <tr r="K122" s="5"/>
      </tp>
      <tp t="s">
        <v/>
        <stp/>
        <stp>57409036M8:LstBlkPrc</stp>
        <tr r="K239" s="5"/>
      </tp>
      <tp t="s">
        <v/>
        <stp/>
        <stp>57409036Q8:LstBlkPrc</stp>
        <tr r="K264" s="5"/>
      </tp>
      <tp t="s">
        <v/>
        <stp/>
        <stp>2185324625B0:BstHitPrc</stp>
        <tr r="G78" s="5"/>
      </tp>
      <tp t="s">
        <v/>
        <stp/>
        <stp>2755728678M0:BstHitPrc</stp>
        <tr r="G1111" s="5"/>
      </tp>
      <tp t="s">
        <v/>
        <stp/>
        <stp>2755728678Q0:BstHitPrc</stp>
        <tr r="G1136" s="5"/>
      </tp>
      <tp>
        <v>8.5500000000000007</v>
        <stp/>
        <stp>2755728678Y0:BstHitPrc</stp>
        <tr r="G1145" s="5"/>
      </tp>
      <tp t="s">
        <v/>
        <stp/>
        <stp>2044823525Q2:LstBlkPrc</stp>
        <tr r="K1772" s="5"/>
      </tp>
      <tp t="s">
        <v/>
        <stp/>
        <stp>2044823525M2:LstBlkPrc</stp>
        <tr r="K1749" s="5"/>
      </tp>
      <tp t="s">
        <v/>
        <stp/>
        <stp>2325125612B0:BstHitPrc</stp>
        <tr r="G669" s="5"/>
      </tp>
      <tp t="s">
        <v/>
        <stp/>
        <stp>2185224624B0:BstHitPrc</stp>
        <tr r="G593" s="5"/>
      </tp>
      <tp t="s">
        <v/>
        <stp/>
        <stp>32613992Q4:BstHitPrc</stp>
        <tr r="G1254" s="5"/>
      </tp>
      <tp t="s">
        <v/>
        <stp/>
        <stp>32613992M4:BstHitPrc</stp>
        <tr r="G1229" s="5"/>
      </tp>
      <tp t="s">
        <v/>
        <stp/>
        <stp>32623993Q4:BstHitPrc</stp>
        <tr r="G2019" s="5"/>
      </tp>
      <tp t="s">
        <v/>
        <stp/>
        <stp>32623993M4:BstHitPrc</stp>
        <tr r="G1994" s="5"/>
      </tp>
      <tp t="s">
        <v/>
        <stp/>
        <stp>3124331018M7:BstHitPrc</stp>
        <tr r="G1612" s="5"/>
      </tp>
      <tp t="s">
        <v/>
        <stp/>
        <stp>2325825619B0:LstBlkPrc</stp>
        <tr r="K40" s="5"/>
      </tp>
      <tp t="s">
        <v/>
        <stp/>
        <stp>2325225613B0:BstHitPrc</stp>
        <tr r="G631" s="5"/>
      </tp>
      <tp t="s">
        <v/>
        <stp/>
        <stp>2427126288Q6:LstBlkPrc</stp>
        <tr r="K1066" s="5"/>
      </tp>
      <tp t="s">
        <v/>
        <stp/>
        <stp>2427126288M6:LstBlkPrc</stp>
        <tr r="K1041" s="5"/>
      </tp>
      <tp t="s">
        <v/>
        <stp/>
        <stp>41767893Q6:BstHitPrc</stp>
        <tr r="G511" s="5"/>
      </tp>
      <tp t="s">
        <v/>
        <stp/>
        <stp>41767893M6:BstHitPrc</stp>
        <tr r="G486" s="5"/>
      </tp>
      <tp t="s">
        <v/>
        <stp/>
        <stp>41787896Q6:BstHitPrc</stp>
        <tr r="G838" s="5"/>
      </tp>
      <tp t="s">
        <v/>
        <stp/>
        <stp>41787896M6:BstHitPrc</stp>
        <tr r="G813" s="5"/>
      </tp>
      <tp t="s">
        <v/>
        <stp/>
        <stp>46678127M8:LstBlkPrc</stp>
        <tr r="K353" s="5"/>
      </tp>
      <tp t="s">
        <v/>
        <stp/>
        <stp>46678127Q8:LstBlkPrc</stp>
        <tr r="K378" s="5"/>
      </tp>
      <tp t="s">
        <v/>
        <stp/>
        <stp>30793693M9:BstHitPrc</stp>
        <tr r="G892" s="5"/>
      </tp>
      <tp t="s">
        <v/>
        <stp/>
        <stp>2427026287Q6:LstBlkPrc</stp>
        <tr r="K1180" s="5"/>
      </tp>
      <tp t="s">
        <v/>
        <stp/>
        <stp>2427026287M6:LstBlkPrc</stp>
        <tr r="K1155" s="5"/>
      </tp>
      <tp t="s">
        <v/>
        <stp/>
        <stp>2325325614B0:BstHitPrc</stp>
        <tr r="G517" s="5"/>
      </tp>
      <tp t="s">
        <v/>
        <stp/>
        <stp>161913535MM9:LstBlkPrc</stp>
        <tr r="K2036" s="5"/>
      </tp>
      <tp>
        <v>17.350000000000001</v>
        <stp/>
        <stp>18901687Q1:BstHitPrc</stp>
        <tr r="G333" s="5"/>
      </tp>
      <tp t="s">
        <v/>
        <stp/>
        <stp>18901687Y1:BstHitPrc</stp>
        <tr r="G342" s="5"/>
      </tp>
      <tp>
        <v>30.35</v>
        <stp/>
        <stp>18901687M1:BstHitPrc</stp>
        <tr r="G308" s="5"/>
      </tp>
      <tp t="s">
        <v/>
        <stp/>
        <stp>30813691M9:BstHitPrc</stp>
        <tr r="G1962" s="5"/>
      </tp>
      <tp t="s">
        <v/>
        <stp/>
        <stp>15091310M9:BstHitPrc</stp>
        <tr r="G1386" s="5"/>
      </tp>
      <tp t="s">
        <v/>
        <stp/>
        <stp>1986923076M5:BstHitPrc</stp>
        <tr r="G160" s="5"/>
      </tp>
      <tp t="s">
        <v/>
        <stp/>
        <stp>1986923076Q5:BstHitPrc</stp>
        <tr r="G185" s="5"/>
      </tp>
      <tp>
        <v>-6.6</v>
        <stp/>
        <stp>18851683Q1:BstHitPrc</stp>
        <tr r="G219" s="5"/>
      </tp>
      <tp t="s">
        <v/>
        <stp/>
        <stp>18851683Y1:BstHitPrc</stp>
        <tr r="G228" s="5"/>
      </tp>
      <tp>
        <v>-7.5</v>
        <stp/>
        <stp>18851683M1:BstHitPrc</stp>
        <tr r="G194" s="5"/>
      </tp>
      <tp>
        <v>17</v>
        <stp/>
        <stp>18871685Q1:BstHitPrc</stp>
        <tr r="G447" s="5"/>
      </tp>
      <tp t="s">
        <v/>
        <stp/>
        <stp>18871685Y1:BstHitPrc</stp>
        <tr r="G456" s="5"/>
      </tp>
      <tp>
        <v>-8.5</v>
        <stp/>
        <stp>18871685M1:BstHitPrc</stp>
        <tr r="G422" s="5"/>
      </tp>
      <tp t="s">
        <v/>
        <stp/>
        <stp>1986823075M5:BstHitPrc</stp>
        <tr r="G122" s="5"/>
      </tp>
      <tp t="s">
        <v/>
        <stp/>
        <stp>1986823075Q5:BstHitPrc</stp>
        <tr r="G147" s="5"/>
      </tp>
      <tp t="s">
        <v/>
        <stp/>
        <stp>57179020M8:BstHitPrc</stp>
        <tr r="G1555" s="5"/>
      </tp>
      <tp t="s">
        <v/>
        <stp/>
        <stp>2755828679M0:BstHitPrc</stp>
        <tr r="G997" s="5"/>
      </tp>
      <tp t="s">
        <v/>
        <stp/>
        <stp>2755828679Q0:BstHitPrc</stp>
        <tr r="G1022" s="5"/>
      </tp>
      <tp t="s">
        <v/>
        <stp/>
        <stp>2755828679Y0:BstHitPrc</stp>
        <tr r="G1031" s="5"/>
      </tp>
      <tp t="s">
        <v/>
        <stp/>
        <stp>2325425615B0:LstBlkPrc</stp>
        <tr r="K555" s="5"/>
      </tp>
      <tp t="s">
        <v/>
        <stp/>
        <stp>29243602Q0:BstHitPrc</stp>
        <tr r="G762" s="5"/>
      </tp>
      <tp t="s">
        <v/>
        <stp/>
        <stp>29243602Y0:BstHitPrc</stp>
        <tr r="G767" s="5"/>
      </tp>
      <tp t="s">
        <v/>
        <stp/>
        <stp>29243602M0:BstHitPrc</stp>
        <tr r="G746" s="5"/>
      </tp>
      <tp t="s">
        <v/>
        <stp/>
        <stp>1581618115Q3:LstBlkPrc</stp>
        <tr r="K477" s="5"/>
      </tp>
      <tp>
        <v>-3.5</v>
        <stp/>
        <stp>1581618115M3:LstBlkPrc</stp>
        <tr r="K462" s="5"/>
      </tp>
      <tp t="s">
        <v/>
        <stp/>
        <stp>1923422331Q3:LstBlkPrc</stp>
        <tr r="K1645" s="5"/>
      </tp>
      <tp t="s">
        <v/>
        <stp/>
        <stp>1923422331M3:LstBlkPrc</stp>
        <tr r="K1630" s="5"/>
      </tp>
      <tp t="s">
        <v/>
        <stp/>
        <stp>2185624628B0:LstBlkPrc</stp>
        <tr r="K745" s="5"/>
      </tp>
      <tp t="s">
        <v/>
        <stp/>
        <stp>32623993M4:LstBlkPrc</stp>
        <tr r="K1994" s="5"/>
      </tp>
      <tp t="s">
        <v/>
        <stp/>
        <stp>32623993Q4:LstBlkPrc</stp>
        <tr r="K2019" s="5"/>
      </tp>
      <tp t="s">
        <v/>
        <stp/>
        <stp>32613992M4:LstBlkPrc</stp>
        <tr r="K1229" s="5"/>
      </tp>
      <tp t="s">
        <v/>
        <stp/>
        <stp>32613992Q4:LstBlkPrc</stp>
        <tr r="K1254" s="5"/>
      </tp>
      <tp t="s">
        <v/>
        <stp/>
        <stp>2325225613B0:LstBlkPrc</stp>
        <tr r="K631" s="5"/>
      </tp>
      <tp t="s">
        <v/>
        <stp/>
        <stp>2325825619B0:BstHitPrc</stp>
        <tr r="G40" s="5"/>
      </tp>
      <tp t="s">
        <v/>
        <stp/>
        <stp>2427126288M6:BstHitPrc</stp>
        <tr r="G1041" s="5"/>
      </tp>
      <tp t="s">
        <v/>
        <stp/>
        <stp>2427126288Q6:BstHitPrc</stp>
        <tr r="G1066" s="5"/>
      </tp>
      <tp t="s">
        <v/>
        <stp/>
        <stp>3124331018M7:LstBlkPrc</stp>
        <tr r="K1612" s="5"/>
      </tp>
      <tp t="s">
        <v/>
        <stp/>
        <stp>41787896M6:LstBlkPrc</stp>
        <tr r="K813" s="5"/>
      </tp>
      <tp t="s">
        <v/>
        <stp/>
        <stp>41787896Q6:LstBlkPrc</stp>
        <tr r="K838" s="5"/>
      </tp>
      <tp t="s">
        <v/>
        <stp/>
        <stp>30793693M9:LstBlkPrc</stp>
        <tr r="K892" s="5"/>
      </tp>
      <tp t="s">
        <v/>
        <stp/>
        <stp>46678127Q8:BstHitPrc</stp>
        <tr r="G378" s="5"/>
      </tp>
      <tp>
        <v>24.15</v>
        <stp/>
        <stp>46678127M8:BstHitPrc</stp>
        <tr r="G353" s="5"/>
      </tp>
      <tp t="s">
        <v/>
        <stp/>
        <stp>41767893M6:LstBlkPrc</stp>
        <tr r="K486" s="5"/>
      </tp>
      <tp t="s">
        <v/>
        <stp/>
        <stp>41767893Q6:LstBlkPrc</stp>
        <tr r="K511" s="5"/>
      </tp>
      <tp t="s">
        <v/>
        <stp/>
        <stp>2325325614B0:LstBlkPrc</stp>
        <tr r="K517" s="5"/>
      </tp>
      <tp t="s">
        <v/>
        <stp/>
        <stp>2427026287M6:BstHitPrc</stp>
        <tr r="G1155" s="5"/>
      </tp>
      <tp t="s">
        <v/>
        <stp/>
        <stp>2427026287Q6:BstHitPrc</stp>
        <tr r="G1180" s="5"/>
      </tp>
      <tp t="s">
        <v/>
        <stp/>
        <stp>57409036Q8:BstHitPrc</stp>
        <tr r="G264" s="5"/>
      </tp>
      <tp>
        <v>-10.61</v>
        <stp/>
        <stp>57409036M8:BstHitPrc</stp>
        <tr r="G239" s="5"/>
      </tp>
      <tp t="s">
        <v/>
        <stp/>
        <stp>2185324625B0:LstBlkPrc</stp>
        <tr r="K78" s="5"/>
      </tp>
      <tp t="s">
        <v/>
        <stp/>
        <stp>2325125612B0:LstBlkPrc</stp>
        <tr r="K669" s="5"/>
      </tp>
      <tp>
        <v>47</v>
        <stp/>
        <stp>2185224624B0:LstBlkPrc</stp>
        <tr r="K593" s="5"/>
      </tp>
      <tp t="s">
        <v/>
        <stp/>
        <stp>2044823525M2:BstHitPrc</stp>
        <tr r="G1749" s="5"/>
      </tp>
      <tp t="s">
        <v/>
        <stp/>
        <stp>2044823525Q2:BstHitPrc</stp>
        <tr r="G1772" s="5"/>
      </tp>
      <tp t="s">
        <v/>
        <stp/>
        <stp>2755728678Y0:LstBlkPrc</stp>
        <tr r="K1145" s="5"/>
      </tp>
      <tp t="s">
        <v/>
        <stp/>
        <stp>2755728678Q0:LstBlkPrc</stp>
        <tr r="K1136" s="5"/>
      </tp>
      <tp t="s">
        <v/>
        <stp/>
        <stp>2755728678M0:LstBlkPrc</stp>
        <tr r="K1111" s="5"/>
      </tp>
      <tp t="s">
        <v>Invalid Market: 2972825746BM0</v>
        <stp/>
        <stp>2972825746BM0:BstLiftPrc</stp>
        <tr r="H1714" s="5"/>
      </tp>
      <tp t="s">
        <v/>
        <stp/>
        <stp>2755728678M24:BstLiftPrc</stp>
        <tr r="H1135" s="5"/>
      </tp>
      <tp t="s">
        <v/>
        <stp/>
        <stp>2755728678M21:BstLiftPrc</stp>
        <tr r="H1132" s="5"/>
      </tp>
      <tp t="s">
        <v/>
        <stp/>
        <stp>2755728678M20:BstLiftPrc</stp>
        <tr r="H1131" s="5"/>
      </tp>
      <tp t="s">
        <v/>
        <stp/>
        <stp>2755728678M23:BstLiftPrc</stp>
        <tr r="H1134" s="5"/>
      </tp>
      <tp t="s">
        <v/>
        <stp/>
        <stp>2755728678M22:BstLiftPrc</stp>
        <tr r="H1133" s="5"/>
      </tp>
      <tp t="s">
        <v/>
        <stp/>
        <stp>41767893M0:LstBlkVol</stp>
        <tr r="L480" s="5"/>
      </tp>
      <tp t="s">
        <v>Invalid Market: 41767893B0</v>
        <stp/>
        <stp>41767893B0:LstBlkVol</stp>
        <tr r="L479" s="5"/>
      </tp>
      <tp t="s">
        <v/>
        <stp/>
        <stp>41767893Y0:LstBlkVol</stp>
        <tr r="L514" s="5"/>
      </tp>
      <tp>
        <v>25</v>
        <stp/>
        <stp>41767893Q0:LstBlkVol</stp>
        <tr r="L505" s="5"/>
      </tp>
      <tp t="s">
        <v/>
        <stp/>
        <stp>2755728678M15:BstLiftPrc</stp>
        <tr r="H1126" s="5"/>
      </tp>
      <tp t="s">
        <v/>
        <stp/>
        <stp>2755728678M14:BstLiftPrc</stp>
        <tr r="H1125" s="5"/>
      </tp>
      <tp t="s">
        <v/>
        <stp/>
        <stp>2755728678M17:BstLiftPrc</stp>
        <tr r="H1128" s="5"/>
      </tp>
      <tp t="s">
        <v/>
        <stp/>
        <stp>2755728678M16:BstLiftPrc</stp>
        <tr r="H1127" s="5"/>
      </tp>
      <tp t="s">
        <v/>
        <stp/>
        <stp>2755728678M11:BstLiftPrc</stp>
        <tr r="H1122" s="5"/>
      </tp>
      <tp t="s">
        <v/>
        <stp/>
        <stp>2755728678M10:BstLiftPrc</stp>
        <tr r="H1121" s="5"/>
      </tp>
      <tp t="s">
        <v/>
        <stp/>
        <stp>2755728678M13:BstLiftPrc</stp>
        <tr r="H1124" s="5"/>
      </tp>
      <tp t="s">
        <v/>
        <stp/>
        <stp>2755728678M12:BstLiftPrc</stp>
        <tr r="H1123" s="5"/>
      </tp>
      <tp t="s">
        <v/>
        <stp/>
        <stp>2755728678M19:BstLiftPrc</stp>
        <tr r="H1130" s="5"/>
      </tp>
      <tp t="s">
        <v/>
        <stp/>
        <stp>2755728678M18:BstLiftPrc</stp>
        <tr r="H1129" s="5"/>
      </tp>
      <tp t="s">
        <v/>
        <stp/>
        <stp>41787896M0:LstBlkVol</stp>
        <tr r="L807" s="5"/>
      </tp>
      <tp t="s">
        <v/>
        <stp/>
        <stp>41787896Y0:LstBlkVol</stp>
        <tr r="L841" s="5"/>
      </tp>
      <tp t="s">
        <v/>
        <stp/>
        <stp>41787896Q0:LstBlkVol</stp>
        <tr r="L832" s="5"/>
      </tp>
      <tp t="s">
        <v/>
        <stp/>
        <stp>32613992M2:LstBlkVol</stp>
        <tr r="L1227" s="5"/>
      </tp>
      <tp t="s">
        <v/>
        <stp/>
        <stp>32613992Y2:LstBlkVol</stp>
        <tr r="L1261" s="5"/>
      </tp>
      <tp t="s">
        <v/>
        <stp/>
        <stp>32613992Q2:LstBlkVol</stp>
        <tr r="L1252" s="5"/>
      </tp>
      <tp t="s">
        <v/>
        <stp/>
        <stp>32623993M2:LstBlkVol</stp>
        <tr r="L1992" s="5"/>
      </tp>
      <tp t="s">
        <v/>
        <stp/>
        <stp>32623993Q2:LstBlkVol</stp>
        <tr r="L2017" s="5"/>
      </tp>
      <tp t="s">
        <v/>
        <stp/>
        <stp>3124331018Q1:LstBlkVol</stp>
        <tr r="L1621" s="5"/>
      </tp>
      <tp t="s">
        <v/>
        <stp/>
        <stp>3124331018M1:LstBlkVol</stp>
        <tr r="L1606" s="5"/>
      </tp>
      <tp t="s">
        <v/>
        <stp/>
        <stp>2755728678Q6:LstBlkVol</stp>
        <tr r="L1142" s="5"/>
      </tp>
      <tp t="s">
        <v/>
        <stp/>
        <stp>2755728678M6:LstBlkVol</stp>
        <tr r="L1117" s="5"/>
      </tp>
      <tp>
        <v>25</v>
        <stp/>
        <stp>2183024603B0:LstBlkVol</stp>
        <tr r="L1625" s="5"/>
      </tp>
      <tp t="s">
        <v/>
        <stp/>
        <stp>1986923076M20:BstLiftPrc</stp>
        <tr r="H175" s="5"/>
      </tp>
      <tp t="s">
        <v/>
        <stp/>
        <stp>1986923076M21:BstLiftPrc</stp>
        <tr r="H176" s="5"/>
      </tp>
      <tp t="s">
        <v/>
        <stp/>
        <stp>1986923076M22:BstLiftPrc</stp>
        <tr r="H177" s="5"/>
      </tp>
      <tp t="s">
        <v/>
        <stp/>
        <stp>1986923076M23:BstLiftPrc</stp>
        <tr r="H178" s="5"/>
      </tp>
      <tp t="s">
        <v/>
        <stp/>
        <stp>1986923076M24:BstLiftPrc</stp>
        <tr r="H179" s="5"/>
      </tp>
      <tp t="s">
        <v/>
        <stp/>
        <stp>1986923076M18:BstLiftPrc</stp>
        <tr r="H173" s="5"/>
      </tp>
      <tp t="s">
        <v/>
        <stp/>
        <stp>1986923076M19:BstLiftPrc</stp>
        <tr r="H174" s="5"/>
      </tp>
      <tp t="s">
        <v/>
        <stp/>
        <stp>1986923076M10:BstLiftPrc</stp>
        <tr r="H165" s="5"/>
      </tp>
      <tp t="s">
        <v/>
        <stp/>
        <stp>1986923076M11:BstLiftPrc</stp>
        <tr r="H166" s="5"/>
      </tp>
      <tp t="s">
        <v/>
        <stp/>
        <stp>1986923076M12:BstLiftPrc</stp>
        <tr r="H167" s="5"/>
      </tp>
      <tp t="s">
        <v/>
        <stp/>
        <stp>1986923076M13:BstLiftPrc</stp>
        <tr r="H168" s="5"/>
      </tp>
      <tp t="s">
        <v/>
        <stp/>
        <stp>1986923076M14:BstLiftPrc</stp>
        <tr r="H169" s="5"/>
      </tp>
      <tp t="s">
        <v/>
        <stp/>
        <stp>1986923076M15:BstLiftPrc</stp>
        <tr r="H170" s="5"/>
      </tp>
      <tp t="s">
        <v/>
        <stp/>
        <stp>1986923076M16:BstLiftPrc</stp>
        <tr r="H171" s="5"/>
      </tp>
      <tp t="s">
        <v/>
        <stp/>
        <stp>1986923076M17:BstLiftPrc</stp>
        <tr r="H172" s="5"/>
      </tp>
      <tp t="s">
        <v/>
        <stp/>
        <stp>1923422331M5:LstBlkVol</stp>
        <tr r="L1632" s="5"/>
      </tp>
      <tp t="s">
        <v/>
        <stp/>
        <stp>1581618115M5:LstBlkVol</stp>
        <tr r="L464" s="5"/>
      </tp>
      <tp t="s">
        <v/>
        <stp/>
        <stp>2180224575B0:LstBlkVol</stp>
        <tr r="L1224" s="5"/>
      </tp>
      <tp t="s">
        <v/>
        <stp/>
        <stp>2044823525Q4:LstBlkVol</stp>
        <tr r="L1774" s="5"/>
      </tp>
      <tp t="s">
        <v/>
        <stp/>
        <stp>2044823525M4:LstBlkVol</stp>
        <tr r="L1751" s="5"/>
      </tp>
    </main>
    <main first="bofaddin.rtdserver">
      <tp t="s">
        <v>#N/A Invalid Security</v>
        <stp/>
        <stp>BDP|295343098620517464|222</stp>
        <stp>XBK0 Comdty</stp>
        <stp>BID</stp>
        <stp>Fill=#N/A</stp>
        <tr r="J63" s="1"/>
      </tp>
    </main>
    <main first="ice.rtd">
      <tp t="s">
        <v/>
        <stp/>
        <stp>2427026287Q0:LstBlkVol</stp>
        <tr r="L1174" s="5"/>
      </tp>
      <tp t="s">
        <v/>
        <stp/>
        <stp>2427026287Y0:LstBlkVol</stp>
        <tr r="L1183" s="5"/>
      </tp>
      <tp t="s">
        <v/>
        <stp/>
        <stp>2427026287M0:LstBlkVol</stp>
        <tr r="L1149" s="5"/>
      </tp>
      <tp t="s">
        <v/>
        <stp/>
        <stp>2427126288Q0:LstBlkVol</stp>
        <tr r="L1060" s="5"/>
      </tp>
      <tp t="s">
        <v/>
        <stp/>
        <stp>2427126288Y0:LstBlkVol</stp>
        <tr r="L1069" s="5"/>
      </tp>
      <tp t="s">
        <v/>
        <stp/>
        <stp>2427126288M0:LstBlkVol</stp>
        <tr r="L1035" s="5"/>
      </tp>
      <tp t="s">
        <v/>
        <stp/>
        <stp>29243602M6:LstBlkVol</stp>
        <tr r="L752" s="5"/>
      </tp>
      <tp t="s">
        <v/>
        <stp/>
        <stp>2755828679Q6:LstBlkVol</stp>
        <tr r="L1028" s="5"/>
      </tp>
      <tp t="s">
        <v/>
        <stp/>
        <stp>2755828679M6:LstBlkVol</stp>
        <tr r="L1003" s="5"/>
      </tp>
      <tp t="s">
        <v/>
        <stp/>
        <stp>18871685M7:LstBlkVol</stp>
        <tr r="L428" s="5"/>
      </tp>
      <tp t="s">
        <v/>
        <stp/>
        <stp>18871685Q7:LstBlkVol</stp>
        <tr r="L453" s="5"/>
      </tp>
      <tp t="s">
        <v/>
        <stp/>
        <stp>18851683M7:LstBlkVol</stp>
        <tr r="L200" s="5"/>
      </tp>
      <tp t="s">
        <v/>
        <stp/>
        <stp>18851683Q7:LstBlkVol</stp>
        <tr r="L225" s="5"/>
      </tp>
      <tp t="s">
        <v/>
        <stp/>
        <stp>1986823075Q3:LstBlkVol</stp>
        <tr r="L145" s="5"/>
      </tp>
      <tp>
        <v>70</v>
        <stp/>
        <stp>1986823075M3:LstBlkVol</stp>
        <tr r="L120" s="5"/>
      </tp>
      <tp t="s">
        <v/>
        <stp/>
        <stp>18901687M7:LstBlkVol</stp>
        <tr r="L314" s="5"/>
      </tp>
      <tp t="s">
        <v/>
        <stp/>
        <stp>18901687Q7:LstBlkVol</stp>
        <tr r="L339" s="5"/>
      </tp>
      <tp t="s">
        <v/>
        <stp/>
        <stp>1986923076Q3:LstBlkVol</stp>
        <tr r="L183" s="5"/>
      </tp>
      <tp t="s">
        <v/>
        <stp/>
        <stp>1986923076M3:LstBlkVol</stp>
        <tr r="L158" s="5"/>
      </tp>
      <tp t="s">
        <v/>
        <stp/>
        <stp>15061297MM14:LstBlkVol</stp>
        <tr r="L1697" s="5"/>
      </tp>
      <tp t="s">
        <v/>
        <stp/>
        <stp>15061297MM24:LstBlkVol</stp>
        <tr r="L1707" s="5"/>
      </tp>
      <tp t="s">
        <v/>
        <stp/>
        <stp>15061297MM12:LstBlkPrc</stp>
        <tr r="K1695" s="5"/>
      </tp>
      <tp t="s">
        <v/>
        <stp/>
        <stp>15061297MM22:LstBlkPrc</stp>
        <tr r="K1705" s="5"/>
      </tp>
      <tp t="s">
        <v/>
        <stp/>
        <stp>366531MM18:BstHitPrc</stp>
        <tr r="G1733" s="5"/>
      </tp>
      <tp t="s">
        <v/>
        <stp/>
        <stp>366531MM18:LstBlkPrc</stp>
        <tr r="K1733" s="5"/>
      </tp>
      <tp t="s">
        <v/>
        <stp/>
        <stp>15061297MM22:BstHitPrc</stp>
        <tr r="G1705" s="5"/>
      </tp>
      <tp t="s">
        <v/>
        <stp/>
        <stp>15061297MM12:BstHitPrc</stp>
        <tr r="G1695" s="5"/>
      </tp>
      <tp t="s">
        <v/>
        <stp/>
        <stp>2180224575B0:LstDate</stp>
        <tr r="J1224" s="5"/>
      </tp>
      <tp t="s">
        <v/>
        <stp/>
        <stp>2185324625B0:LstDate</stp>
        <tr r="J78" s="5"/>
      </tp>
    </main>
    <main first="bofaddin.rtdserver">
      <tp t="s">
        <v>#N/A Requesting Data...2751550644</v>
        <stp/>
        <stp>BDP|15130293617891200747</stp>
        <tr r="AF115" s="23"/>
      </tp>
      <tp t="s">
        <v>#N/A Requesting Data...3068305076</v>
        <stp/>
        <stp>BDP|14427225567969837922</stp>
        <tr r="AF49" s="23"/>
      </tp>
      <tp t="s">
        <v>#N/A Requesting Data...2754982026</v>
        <stp/>
        <stp>BDP|15078625015172891032</stp>
        <tr r="I36" s="23"/>
        <tr r="I77" s="23"/>
      </tp>
      <tp t="s">
        <v>#N/A Requesting Data...2791663719</v>
        <stp/>
        <stp>BDP|15716262901774749391</stp>
        <tr r="AM56" s="23"/>
        <tr r="AM57" s="23"/>
        <tr r="AM58" s="23"/>
        <tr r="AM59" s="23"/>
        <tr r="AM60" s="23"/>
        <tr r="AM61" s="23"/>
        <tr r="AM62" s="23"/>
        <tr r="AM63" s="23"/>
        <tr r="AM64" s="23"/>
        <tr r="AM65" s="23"/>
        <tr r="AM66" s="23"/>
        <tr r="AM67" s="23"/>
        <tr r="AM68" s="23"/>
        <tr r="AM69" s="23"/>
        <tr r="AM70" s="23"/>
        <tr r="AM71" s="23"/>
        <tr r="AM72" s="23"/>
        <tr r="E26" s="23"/>
        <tr r="E72" s="23"/>
      </tp>
      <tp t="s">
        <v>#N/A Requesting Data...4129312384</v>
        <stp/>
        <stp>BDP|16336452368433555750</stp>
        <tr r="AM201" s="23"/>
        <tr r="AM202" s="23"/>
        <tr r="AM203" s="23"/>
        <tr r="AM204" s="23"/>
        <tr r="AM205" s="23"/>
        <tr r="AM206" s="23"/>
        <tr r="AM207" s="23"/>
        <tr r="AM208" s="23"/>
      </tp>
      <tp t="s">
        <v>#N/A Requesting Data...4199519957</v>
        <stp/>
        <stp>BDP|11802181127457092571</stp>
        <tr r="J26" s="23"/>
      </tp>
      <tp t="s">
        <v>#N/A Requesting Data...3488244439</v>
        <stp/>
        <stp>BDP|17097000198956951827</stp>
        <tr r="AM113" s="23"/>
      </tp>
    </main>
    <main first="ice.rtd">
      <tp t="s">
        <v/>
        <stp/>
        <stp>2324625607B0:LstDate</stp>
        <tr r="J192" s="5"/>
      </tp>
    </main>
    <main first="bofaddin.rtdserver">
      <tp t="s">
        <v>#N/A Requesting Data...4247064988</v>
        <stp/>
        <stp>BDP|15774672802567702405</stp>
        <tr r="AM200" s="23"/>
      </tp>
      <tp t="s">
        <v>#N/A Requesting Data...4112857949</v>
        <stp/>
        <stp>BDP|13214858257319291769</stp>
        <tr r="AM112" s="23"/>
      </tp>
      <tp t="s">
        <v>#N/A Requesting Data...2914691615</v>
        <stp/>
        <stp>BDP|16531563066761306429</stp>
        <tr r="AM123" s="23"/>
      </tp>
      <tp t="s">
        <v>#N/A N/A</v>
        <stp/>
        <stp>BDH|12368003376724096147</stp>
        <tr r="AX23" s="1"/>
      </tp>
      <tp t="s">
        <v>#N/A</v>
        <stp/>
        <stp>BDP|810348267491636318|222</stp>
        <stp>MUCK8M8 Comdty</stp>
        <stp>BID</stp>
        <stp>Fill=#N/A</stp>
        <tr r="S40" s="1"/>
      </tp>
      <tp t="s">
        <v>#N/A N/A</v>
        <stp/>
        <stp>BDH|18160970545293852688</stp>
        <tr r="AV31" s="1"/>
      </tp>
      <tp t="s">
        <v>#N/A N/A</v>
        <stp/>
        <stp>BDH|12394132185152567930</stp>
        <tr r="BA49" s="1"/>
        <tr r="BA49" s="1"/>
      </tp>
      <tp t="s">
        <v>#N/A N/A</v>
        <stp/>
        <stp>BDH|12999552955812489082</stp>
        <tr r="AW66" s="1"/>
      </tp>
      <tp t="s">
        <v>#N/A N/A</v>
        <stp/>
        <stp>BDH|10772885352829166487</stp>
        <tr r="D42" s="14"/>
      </tp>
      <tp t="s">
        <v>#N/A N/A</v>
        <stp/>
        <stp>BDH|13321672251066030618</stp>
        <tr r="D50" s="14"/>
      </tp>
      <tp t="s">
        <v>#N/A N/A</v>
        <stp/>
        <stp>BDH|13049132924941466173</stp>
        <tr r="AW35" s="1"/>
      </tp>
      <tp t="s">
        <v>#N/A N/A</v>
        <stp/>
        <stp>BDH|15279333208827825152</stp>
        <tr r="AX44" s="1"/>
      </tp>
      <tp t="s">
        <v>#N/A N/A</v>
        <stp/>
        <stp>BDH|12296274002850441071</stp>
        <tr r="AZ51" s="1"/>
      </tp>
      <tp t="s">
        <v>#N/A N/A</v>
        <stp/>
        <stp>BDH|18189839917904766568</stp>
        <tr r="I45" s="14"/>
      </tp>
      <tp t="s">
        <v>#N/A N/A</v>
        <stp/>
        <stp>BDH|17068129149490871241</stp>
        <tr r="J34" s="16"/>
      </tp>
    </main>
    <main first="ice.rtd">
      <tp>
        <v>0</v>
        <stp/>
        <stp>2326725628B0:OI</stp>
        <tr r="T344" s="5"/>
      </tp>
    </main>
    <main first="bofaddin.rtdserver">
      <tp t="s">
        <v>#N/A N/A</v>
        <stp/>
        <stp>BDH|12580720638810910607</stp>
        <tr r="J19" s="14"/>
      </tp>
    </main>
    <main first="ice.rtd">
      <tp>
        <v>0</v>
        <stp/>
        <stp>2180224575B0:OI</stp>
        <tr r="T1224" s="5"/>
      </tp>
    </main>
    <main first="bofaddin.rtdserver">
      <tp t="s">
        <v>#N/A N/A</v>
        <stp/>
        <stp>BDH|10513186117208239817</stp>
        <tr r="I93" s="16"/>
      </tp>
      <tp t="s">
        <v>#N/A N/A</v>
        <stp/>
        <stp>BDH|17783202619924070070</stp>
        <tr r="AX49" s="1"/>
      </tp>
      <tp t="s">
        <v>#N/A N/A</v>
        <stp/>
        <stp>BDH|11146716061780036095</stp>
        <tr r="J43" s="14"/>
      </tp>
    </main>
    <main first="ice.rtd">
      <tp>
        <v>0</v>
        <stp/>
        <stp>2325425615B0:OI</stp>
        <tr r="T555" s="5"/>
      </tp>
    </main>
    <main first="bofaddin.rtdserver">
      <tp t="s">
        <v>#N/A N/A</v>
        <stp/>
        <stp>BDH|11786699442461361253</stp>
        <tr r="AZ53" s="1"/>
      </tp>
      <tp t="s">
        <v>#N/A N/A</v>
        <stp/>
        <stp>BDH|10002780044907606409</stp>
        <tr r="AW19" s="1"/>
      </tp>
      <tp t="s">
        <v>#N/A N/A</v>
        <stp/>
        <stp>BDH|17729290936640378616</stp>
        <tr r="M41" s="16"/>
      </tp>
      <tp t="s">
        <v>#N/A N/A</v>
        <stp/>
        <stp>BDH|17785588128229321981</stp>
        <tr r="N52" s="16"/>
      </tp>
      <tp t="s">
        <v>#N/A N/A</v>
        <stp/>
        <stp>BDH|14786099961686010432</stp>
        <tr r="I32" s="16"/>
      </tp>
      <tp t="s">
        <v>#N/A N/A</v>
        <stp/>
        <stp>BDH|16820837194643524447</stp>
        <tr r="I53" s="14"/>
      </tp>
    </main>
    <main first="esrtd">
      <tp t="s">
        <v/>
        <stp/>
        <stp>ULT U28-IEU</stp>
        <stp>ICE Theoretical Price</stp>
        <tr r="W694" s="5"/>
      </tp>
      <tp t="s">
        <v/>
        <stp/>
        <stp>MFT M28-IEU</stp>
        <stp>ICE Theoretical Price</stp>
        <tr r="W1170" s="5"/>
      </tp>
      <tp t="s">
        <v/>
        <stp/>
        <stp>MFT N28-IEU</stp>
        <stp>ICE Theoretical Price</stp>
        <tr r="W1171" s="5"/>
      </tp>
      <tp t="s">
        <v/>
        <stp/>
        <stp>MFT H28-IEU</stp>
        <stp>ICE Theoretical Price</stp>
        <tr r="W1167" s="5"/>
      </tp>
      <tp t="s">
        <v/>
        <stp/>
        <stp>ULT Q28-IEU</stp>
        <stp>ICE Theoretical Price</stp>
        <tr r="W693" s="5"/>
      </tp>
      <tp t="s">
        <v/>
        <stp/>
        <stp>MFT J28-IEU</stp>
        <stp>ICE Theoretical Price</stp>
        <tr r="W1168" s="5"/>
      </tp>
      <tp t="s">
        <v/>
        <stp/>
        <stp>MFT K28-IEU</stp>
        <stp>ICE Theoretical Price</stp>
        <tr r="W1169" s="5"/>
      </tp>
      <tp t="s">
        <v/>
        <stp/>
        <stp>MFT F28-IEU</stp>
        <stp>ICE Theoretical Price</stp>
        <tr r="W1165" s="5"/>
      </tp>
      <tp t="s">
        <v/>
        <stp/>
        <stp>MFT G28-IEU</stp>
        <stp>ICE Theoretical Price</stp>
        <tr r="W1166" s="5"/>
      </tp>
      <tp t="s">
        <v/>
        <stp/>
        <stp>ULT F28-IEU</stp>
        <stp>ICE Theoretical Price</stp>
        <tr r="W686" s="5"/>
      </tp>
      <tp t="s">
        <v/>
        <stp/>
        <stp>ULT G28-IEU</stp>
        <stp>ICE Theoretical Price</stp>
        <tr r="W687" s="5"/>
      </tp>
      <tp t="s">
        <v/>
        <stp/>
        <stp>ULT M28-IEU</stp>
        <stp>ICE Theoretical Price</stp>
        <tr r="W691" s="5"/>
      </tp>
      <tp t="s">
        <v/>
        <stp/>
        <stp>MFT U28-IEU</stp>
        <stp>ICE Theoretical Price</stp>
        <tr r="W1173" s="5"/>
      </tp>
      <tp t="s">
        <v/>
        <stp/>
        <stp>ULT N28-IEU</stp>
        <stp>ICE Theoretical Price</stp>
        <tr r="W692" s="5"/>
      </tp>
      <tp t="s">
        <v/>
        <stp/>
        <stp>ULT H28-IEU</stp>
        <stp>ICE Theoretical Price</stp>
        <tr r="W688" s="5"/>
      </tp>
      <tp t="s">
        <v/>
        <stp/>
        <stp>MFT Q28-IEU</stp>
        <stp>ICE Theoretical Price</stp>
        <tr r="W1172" s="5"/>
      </tp>
      <tp t="s">
        <v/>
        <stp/>
        <stp>ULT J28-IEU</stp>
        <stp>ICE Theoretical Price</stp>
        <tr r="W689" s="5"/>
      </tp>
      <tp t="s">
        <v/>
        <stp/>
        <stp>ULT K28-IEU</stp>
        <stp>ICE Theoretical Price</stp>
        <tr r="W690" s="5"/>
      </tp>
    </main>
    <main first="bofaddin.rtdserver">
      <tp>
        <v>2.95</v>
        <stp/>
        <stp>BDP|4603546978207302689|22</stp>
        <stp>CLZ7CLZ8 Comdty</stp>
        <stp>BID</stp>
        <tr r="B3" s="3"/>
      </tp>
      <tp t="s">
        <v>#N/A</v>
        <stp/>
        <stp>BDP|18251831856855586040|222</stp>
        <stp>XBH9XBJ9 Comdty</stp>
        <stp>BID</stp>
        <stp>Fill=#N/A</stp>
        <tr r="R50" s="1"/>
      </tp>
      <tp t="s">
        <v>#N/A Invalid Security</v>
        <stp/>
        <stp>BDP|11524387741588641044|222</stp>
        <stp>CLK0CLM0 Comdty</stp>
        <stp>BID</stp>
        <stp>Fill=#N/A</stp>
        <tr r="N64" s="1"/>
      </tp>
      <tp t="s">
        <v>#N/A</v>
        <stp/>
        <stp>BDP|14831164411380046764|222</stp>
        <stp>CLX9CLZ9 Comdty</stp>
        <stp>BID</stp>
        <stp>Fill=#N/A</stp>
        <tr r="N58" s="1"/>
      </tp>
      <tp>
        <v>0.02</v>
        <stp/>
        <stp>BDP|15573494161482684288|222</stp>
        <stp>XBJ8XBK8 Comdty</stp>
        <stp>BID</stp>
        <stp>Fill=#N/A</stp>
        <tr r="R39" s="1"/>
      </tp>
      <tp t="s">
        <v>#N/A Invalid Security</v>
        <stp/>
        <stp>BDP|16504653615984614773|222</stp>
        <stp>XBF0XBG0 Comdty</stp>
        <stp>ASK</stp>
        <stp>Fill=#N/A</stp>
        <tr r="R60" s="1"/>
      </tp>
    </main>
    <main first="ice.rtd">
      <tp t="s">
        <v/>
        <stp/>
        <stp>18901687M20:LstBlkTime</stp>
        <tr r="M327" s="5"/>
      </tp>
      <tp t="s">
        <v/>
        <stp/>
        <stp>18901687M21:LstBlkTime</stp>
        <tr r="M328" s="5"/>
      </tp>
      <tp t="s">
        <v/>
        <stp/>
        <stp>18901687M22:LstBlkTime</stp>
        <tr r="M329" s="5"/>
      </tp>
      <tp t="s">
        <v/>
        <stp/>
        <stp>18901687M23:LstBlkTime</stp>
        <tr r="M330" s="5"/>
      </tp>
      <tp t="s">
        <v/>
        <stp/>
        <stp>18901687M24:LstBlkTime</stp>
        <tr r="M331" s="5"/>
      </tp>
      <tp t="s">
        <v/>
        <stp/>
        <stp>18901687M18:LstBlkTime</stp>
        <tr r="M325" s="5"/>
      </tp>
      <tp t="s">
        <v/>
        <stp/>
        <stp>18901687M19:LstBlkTime</stp>
        <tr r="M326" s="5"/>
      </tp>
      <tp t="s">
        <v/>
        <stp/>
        <stp>18901687M10:LstBlkTime</stp>
        <tr r="M317" s="5"/>
      </tp>
      <tp t="s">
        <v/>
        <stp/>
        <stp>18901687M11:LstBlkTime</stp>
        <tr r="M318" s="5"/>
      </tp>
      <tp t="s">
        <v/>
        <stp/>
        <stp>18901687M12:LstBlkTime</stp>
        <tr r="M319" s="5"/>
      </tp>
      <tp t="s">
        <v/>
        <stp/>
        <stp>18901687M13:LstBlkTime</stp>
        <tr r="M320" s="5"/>
      </tp>
      <tp t="s">
        <v/>
        <stp/>
        <stp>18901687M14:LstBlkTime</stp>
        <tr r="M321" s="5"/>
      </tp>
      <tp t="s">
        <v/>
        <stp/>
        <stp>18901687M15:LstBlkTime</stp>
        <tr r="M322" s="5"/>
      </tp>
      <tp t="s">
        <v/>
        <stp/>
        <stp>18901687M16:LstBlkTime</stp>
        <tr r="M323" s="5"/>
      </tp>
      <tp t="s">
        <v/>
        <stp/>
        <stp>18901687M17:LstBlkTime</stp>
        <tr r="M324" s="5"/>
      </tp>
    </main>
    <main first="bofaddin.rtdserver">
      <tp>
        <v>1.94</v>
        <stp/>
        <stp>BDP|10064032366201195069|222</stp>
        <stp>COG7COH7 Comdty</stp>
        <stp>ASK</stp>
        <stp>Fill=#N/A</stp>
        <tr r="O25" s="1"/>
      </tp>
      <tp>
        <v>1.07</v>
        <stp/>
        <stp>BDP|16206423164405564169|222</stp>
        <stp>XBJ8XBK8 Comdty</stp>
        <stp>ASK</stp>
        <stp>Fill=#N/A</stp>
        <tr r="R39" s="1"/>
      </tp>
      <tp>
        <v>-3.5</v>
        <stp/>
        <stp>BDP|14631422753426384159|222</stp>
        <stp>QSH9QSJ9 Comdty</stp>
        <stp>BID</stp>
        <stp>Fill=#N/A</stp>
        <tr r="P50" s="1"/>
      </tp>
      <tp>
        <v>5.22</v>
        <stp/>
        <stp>BDP|12800481171418271547|222</stp>
        <stp>XBM7XBN7 Comdty</stp>
        <stp>BID</stp>
        <stp>Fill=#N/A</stp>
        <tr r="R29" s="1"/>
      </tp>
    </main>
    <main first="ice.rtd">
      <tp t="s">
        <v>Invalid Market: 57179020M22</v>
        <stp/>
        <stp>57179020M22:LstBlkTime</stp>
        <tr r="M1569" s="5"/>
      </tp>
      <tp t="s">
        <v>Invalid Market: 57179020M23</v>
        <stp/>
        <stp>57179020M23:LstBlkTime</stp>
        <tr r="M1570" s="5"/>
      </tp>
      <tp t="s">
        <v>Invalid Market: 57179020M20</v>
        <stp/>
        <stp>57179020M20:LstBlkTime</stp>
        <tr r="M1567" s="5"/>
      </tp>
      <tp t="s">
        <v>Invalid Market: 57179020M21</v>
        <stp/>
        <stp>57179020M21:LstBlkTime</stp>
        <tr r="M1568" s="5"/>
      </tp>
      <tp t="s">
        <v>Invalid Market: 57179020M24</v>
        <stp/>
        <stp>57179020M24:LstBlkTime</stp>
        <tr r="M1571" s="5"/>
      </tp>
      <tp t="s">
        <v>Invalid Market: 57179020M18</v>
        <stp/>
        <stp>57179020M18:LstBlkTime</stp>
        <tr r="M1565" s="5"/>
      </tp>
      <tp t="s">
        <v>Invalid Market: 57179020M19</v>
        <stp/>
        <stp>57179020M19:LstBlkTime</stp>
        <tr r="M1566" s="5"/>
      </tp>
      <tp t="s">
        <v/>
        <stp/>
        <stp>57179020M12:LstBlkTime</stp>
        <tr r="M1559" s="5"/>
      </tp>
      <tp t="s">
        <v/>
        <stp/>
        <stp>57179020M13:LstBlkTime</stp>
        <tr r="M1560" s="5"/>
      </tp>
      <tp t="s">
        <v/>
        <stp/>
        <stp>57179020M10:LstBlkTime</stp>
        <tr r="M1557" s="5"/>
      </tp>
      <tp t="s">
        <v/>
        <stp/>
        <stp>57179020M11:LstBlkTime</stp>
        <tr r="M1558" s="5"/>
      </tp>
      <tp t="s">
        <v>Invalid Market: 57179020M16</v>
        <stp/>
        <stp>57179020M16:LstBlkTime</stp>
        <tr r="M1563" s="5"/>
      </tp>
      <tp t="s">
        <v>Invalid Market: 57179020M17</v>
        <stp/>
        <stp>57179020M17:LstBlkTime</stp>
        <tr r="M1564" s="5"/>
      </tp>
      <tp t="s">
        <v/>
        <stp/>
        <stp>57179020M14:LstBlkTime</stp>
        <tr r="M1561" s="5"/>
      </tp>
      <tp t="s">
        <v/>
        <stp/>
        <stp>57179020M15:LstBlkTime</stp>
        <tr r="M1562" s="5"/>
      </tp>
    </main>
    <main first="bofaddin.rtdserver">
      <tp>
        <v>7.5</v>
        <stp/>
        <stp>BDP|18241227038336614016|222</stp>
        <stp>QSV8QSX8 Comdty</stp>
        <stp>ASK</stp>
        <stp>Fill=#N/A</stp>
        <tr r="P45" s="1"/>
      </tp>
      <tp>
        <v>10.25</v>
        <stp/>
        <stp>BDP|17873112103962720829|222</stp>
        <stp>QSJ8QSK8 Comdty</stp>
        <stp>BID</stp>
        <stp>Fill=#N/A</stp>
        <tr r="P39" s="1"/>
      </tp>
      <tp>
        <v>5.56</v>
        <stp/>
        <stp>BDP|10369124806060992040|222</stp>
        <stp>HOH8HOJ8 Comdty</stp>
        <stp>ASK</stp>
        <stp>Fill=#N/A</stp>
        <tr r="Q38" s="1"/>
      </tp>
    </main>
    <main first="ice.rtd">
      <tp t="s">
        <v/>
        <stp/>
        <stp>57179020M9:LstBlkPrc</stp>
        <tr r="K1556" s="5"/>
      </tp>
      <tp t="s">
        <v/>
        <stp/>
        <stp>2755828679Y1:LstBlkPrc</stp>
        <tr r="K1032" s="5"/>
      </tp>
      <tp t="s">
        <v/>
        <stp/>
        <stp>2755828679Q1:LstBlkPrc</stp>
        <tr r="K1023" s="5"/>
      </tp>
      <tp>
        <v>6</v>
        <stp/>
        <stp>2755828679M1:LstBlkPrc</stp>
        <tr r="K998" s="5"/>
      </tp>
      <tp t="s">
        <v/>
        <stp/>
        <stp>29243602M1:LstBlkPrc</stp>
        <tr r="K747" s="5"/>
      </tp>
      <tp t="s">
        <v/>
        <stp/>
        <stp>29243602Q1:LstBlkPrc</stp>
        <tr r="K763" s="5"/>
      </tp>
      <tp t="s">
        <v/>
        <stp/>
        <stp>1923422331M2:BstHitPrc</stp>
        <tr r="G1629" s="5"/>
      </tp>
      <tp t="s">
        <v/>
        <stp/>
        <stp>1923422331Q2:BstHitPrc</stp>
        <tr r="G1644" s="5"/>
      </tp>
      <tp>
        <v>-5.7</v>
        <stp/>
        <stp>1581618115M2:BstHitPrc</stp>
        <tr r="G461" s="5"/>
      </tp>
      <tp>
        <v>-10.6</v>
        <stp/>
        <stp>1581618115Q2:BstHitPrc</stp>
        <tr r="G476" s="5"/>
      </tp>
      <tp t="s">
        <v/>
        <stp/>
        <stp>161913535MM8:BstHitPrc</stp>
        <tr r="G2035" s="5"/>
      </tp>
      <tp t="s">
        <v/>
        <stp/>
        <stp>15091310M8:LstBlkPrc</stp>
        <tr r="K1385" s="5"/>
      </tp>
      <tp t="s">
        <v/>
        <stp/>
        <stp>15091310Q8:LstBlkPrc</stp>
        <tr r="K1410" s="5"/>
      </tp>
      <tp t="s">
        <v/>
        <stp/>
        <stp>18901687M0:LstBlkPrc</stp>
        <tr r="K307" s="5"/>
      </tp>
      <tp t="s">
        <v/>
        <stp/>
        <stp>18901687Y0:LstBlkPrc</stp>
        <tr r="K341" s="5"/>
      </tp>
      <tp t="s">
        <v/>
        <stp/>
        <stp>18901687Q0:LstBlkPrc</stp>
        <tr r="K332" s="5"/>
      </tp>
      <tp t="s">
        <v/>
        <stp/>
        <stp>30813691M8:LstBlkPrc</stp>
        <tr r="K1961" s="5"/>
      </tp>
      <tp t="s">
        <v/>
        <stp/>
        <stp>30813691Q8:LstBlkPrc</stp>
        <tr r="K1986" s="5"/>
      </tp>
      <tp t="s">
        <v/>
        <stp/>
        <stp>1986923076Q4:LstBlkPrc</stp>
        <tr r="K184" s="5"/>
      </tp>
      <tp>
        <v>3.08</v>
        <stp/>
        <stp>1986923076M4:LstBlkPrc</stp>
        <tr r="K159" s="5"/>
      </tp>
      <tp t="s">
        <v/>
        <stp/>
        <stp>15141311T8:LstBlkPrc</stp>
        <tr r="K1536" s="5"/>
      </tp>
      <tp t="s">
        <v/>
        <stp/>
        <stp>18851683M0:LstBlkPrc</stp>
        <tr r="K193" s="5"/>
      </tp>
      <tp t="s">
        <v/>
        <stp/>
        <stp>18851683Y0:LstBlkPrc</stp>
        <tr r="K227" s="5"/>
      </tp>
      <tp t="s">
        <v/>
        <stp/>
        <stp>18851683Q0:LstBlkPrc</stp>
        <tr r="K218" s="5"/>
      </tp>
      <tp t="s">
        <v/>
        <stp/>
        <stp>18871685M0:LstBlkPrc</stp>
        <tr r="K421" s="5"/>
      </tp>
      <tp>
        <v>30.5</v>
        <stp/>
        <stp>18871685Y0:LstBlkPrc</stp>
        <tr r="K455" s="5"/>
      </tp>
      <tp>
        <v>51</v>
        <stp/>
        <stp>18871685Q0:LstBlkPrc</stp>
        <tr r="K446" s="5"/>
      </tp>
      <tp t="s">
        <v/>
        <stp/>
        <stp>1986823075Q4:LstBlkPrc</stp>
        <tr r="K146" s="5"/>
      </tp>
      <tp>
        <v>-69.25</v>
        <stp/>
        <stp>1986823075M4:LstBlkPrc</stp>
        <tr r="K121" s="5"/>
      </tp>
      <tp t="s">
        <v/>
        <stp/>
        <stp>2324625607B0:BstHitPrc</stp>
        <tr r="G192" s="5"/>
      </tp>
      <tp t="s">
        <v/>
        <stp/>
        <stp>57409036M9:LstBlkPrc</stp>
        <tr r="K240" s="5"/>
      </tp>
      <tp>
        <v>16</v>
        <stp/>
        <stp>2184924621B0:LstBlkPrc</stp>
        <tr r="K707" s="5"/>
      </tp>
      <tp t="s">
        <v/>
        <stp/>
        <stp>2755728678M1:BstHitPrc</stp>
        <tr r="G1112" s="5"/>
      </tp>
      <tp t="s">
        <v/>
        <stp/>
        <stp>2755728678Q1:BstHitPrc</stp>
        <tr r="G1137" s="5"/>
      </tp>
      <tp>
        <v>5</v>
        <stp/>
        <stp>2755728678Y1:BstHitPrc</stp>
        <tr r="G1146" s="5"/>
      </tp>
      <tp t="s">
        <v/>
        <stp/>
        <stp>2044823525Q3:LstBlkPrc</stp>
        <tr r="K1773" s="5"/>
      </tp>
      <tp t="s">
        <v/>
        <stp/>
        <stp>2044823525M3:LstBlkPrc</stp>
        <tr r="K1750" s="5"/>
      </tp>
      <tp t="s">
        <v/>
        <stp/>
        <stp>32613992Q5:BstHitPrc</stp>
        <tr r="G1255" s="5"/>
      </tp>
      <tp t="s">
        <v/>
        <stp/>
        <stp>32613992M5:BstHitPrc</stp>
        <tr r="G1230" s="5"/>
      </tp>
      <tp t="s">
        <v/>
        <stp/>
        <stp>32623993Q5:BstHitPrc</stp>
        <tr r="G2020" s="5"/>
      </tp>
      <tp t="s">
        <v/>
        <stp/>
        <stp>32623993M5:BstHitPrc</stp>
        <tr r="G1995" s="5"/>
      </tp>
      <tp t="s">
        <v/>
        <stp/>
        <stp>3124331018M6:BstHitPrc</stp>
        <tr r="G1611" s="5"/>
      </tp>
      <tp t="s">
        <v/>
        <stp/>
        <stp>2427126288Q7:LstBlkPrc</stp>
        <tr r="K1067" s="5"/>
      </tp>
      <tp t="s">
        <v/>
        <stp/>
        <stp>2427126288M7:LstBlkPrc</stp>
        <tr r="K1042" s="5"/>
      </tp>
      <tp t="s">
        <v/>
        <stp/>
        <stp>41767893Q7:BstHitPrc</stp>
        <tr r="G512" s="5"/>
      </tp>
      <tp t="s">
        <v/>
        <stp/>
        <stp>41767893M7:BstHitPrc</stp>
        <tr r="G487" s="5"/>
      </tp>
      <tp t="s">
        <v/>
        <stp/>
        <stp>41787896Q7:BstHitPrc</stp>
        <tr r="G839" s="5"/>
      </tp>
      <tp t="s">
        <v/>
        <stp/>
        <stp>41787896M7:BstHitPrc</stp>
        <tr r="G814" s="5"/>
      </tp>
      <tp t="s">
        <v/>
        <stp/>
        <stp>46678127M9:LstBlkPrc</stp>
        <tr r="K354" s="5"/>
      </tp>
      <tp t="s">
        <v/>
        <stp/>
        <stp>30793693Q8:BstHitPrc</stp>
        <tr r="G916" s="5"/>
      </tp>
      <tp t="s">
        <v/>
        <stp/>
        <stp>30793693M8:BstHitPrc</stp>
        <tr r="G891" s="5"/>
      </tp>
      <tp t="s">
        <v/>
        <stp/>
        <stp>2427026287Q7:LstBlkPrc</stp>
        <tr r="K1181" s="5"/>
      </tp>
      <tp t="s">
        <v/>
        <stp/>
        <stp>2324925610B0:LstBlkPrc</stp>
        <tr r="K882" s="5"/>
      </tp>
      <tp t="s">
        <v/>
        <stp/>
        <stp>2427026287M7:LstBlkPrc</stp>
        <tr r="K1156" s="5"/>
      </tp>
      <tp t="s">
        <v/>
        <stp/>
        <stp>2324225603B0:BstHitPrc</stp>
        <tr r="G920" s="5"/>
      </tp>
      <tp t="s">
        <v/>
        <stp/>
        <stp>161913535MM8:LstBlkPrc</stp>
        <tr r="K2035" s="5"/>
      </tp>
      <tp>
        <v>22.55</v>
        <stp/>
        <stp>18901687Q0:BstHitPrc</stp>
        <tr r="G332" s="5"/>
      </tp>
      <tp>
        <v>16.05</v>
        <stp/>
        <stp>18901687Y0:BstHitPrc</stp>
        <tr r="G341" s="5"/>
      </tp>
      <tp t="s">
        <v/>
        <stp/>
        <stp>18901687M0:BstHitPrc</stp>
        <tr r="G307" s="5"/>
      </tp>
      <tp t="s">
        <v/>
        <stp/>
        <stp>30813691Q8:BstHitPrc</stp>
        <tr r="G1986" s="5"/>
      </tp>
      <tp t="s">
        <v/>
        <stp/>
        <stp>30813691M8:BstHitPrc</stp>
        <tr r="G1961" s="5"/>
      </tp>
      <tp t="s">
        <v/>
        <stp/>
        <stp>15091310Q8:BstHitPrc</stp>
        <tr r="G1410" s="5"/>
      </tp>
      <tp t="s">
        <v/>
        <stp/>
        <stp>15091310M8:BstHitPrc</stp>
        <tr r="G1385" s="5"/>
      </tp>
      <tp t="s">
        <v/>
        <stp/>
        <stp>1986923076M4:BstHitPrc</stp>
        <tr r="G159" s="5"/>
      </tp>
      <tp t="s">
        <v/>
        <stp/>
        <stp>1986923076Q4:BstHitPrc</stp>
        <tr r="G184" s="5"/>
      </tp>
      <tp>
        <v>-7.84</v>
        <stp/>
        <stp>18851683Q0:BstHitPrc</stp>
        <tr r="G218" s="5"/>
      </tp>
      <tp>
        <v>-10.57</v>
        <stp/>
        <stp>18851683Y0:BstHitPrc</stp>
        <tr r="G227" s="5"/>
      </tp>
      <tp t="s">
        <v/>
        <stp/>
        <stp>18851683M0:BstHitPrc</stp>
        <tr r="G193" s="5"/>
      </tp>
      <tp t="s">
        <v/>
        <stp/>
        <stp>15141311T8:BstHitPrc</stp>
        <tr r="G1536" s="5"/>
      </tp>
      <tp>
        <v>2.75</v>
        <stp/>
        <stp>18871685Q0:BstHitPrc</stp>
        <tr r="G446" s="5"/>
      </tp>
      <tp>
        <v>6.5</v>
        <stp/>
        <stp>18871685Y0:BstHitPrc</stp>
        <tr r="G455" s="5"/>
      </tp>
      <tp t="s">
        <v/>
        <stp/>
        <stp>18871685M0:BstHitPrc</stp>
        <tr r="G421" s="5"/>
      </tp>
      <tp t="s">
        <v/>
        <stp/>
        <stp>2324625607B0:LstBlkPrc</stp>
        <tr r="K192" s="5"/>
      </tp>
      <tp>
        <v>-77</v>
        <stp/>
        <stp>1986823075M4:BstHitPrc</stp>
        <tr r="G121" s="5"/>
      </tp>
      <tp t="s">
        <v/>
        <stp/>
        <stp>1986823075Q4:BstHitPrc</stp>
        <tr r="G146" s="5"/>
      </tp>
      <tp t="s">
        <v/>
        <stp/>
        <stp>57179020M9:BstHitPrc</stp>
        <tr r="G1556" s="5"/>
      </tp>
      <tp t="s">
        <v/>
        <stp/>
        <stp>2755828679M1:BstHitPrc</stp>
        <tr r="G998" s="5"/>
      </tp>
      <tp t="s">
        <v/>
        <stp/>
        <stp>2755828679Q1:BstHitPrc</stp>
        <tr r="G1023" s="5"/>
      </tp>
      <tp t="s">
        <v/>
        <stp/>
        <stp>2755828679Y1:BstHitPrc</stp>
        <tr r="G1032" s="5"/>
      </tp>
      <tp t="s">
        <v/>
        <stp/>
        <stp>29243602Q1:BstHitPrc</stp>
        <tr r="G763" s="5"/>
      </tp>
      <tp t="s">
        <v/>
        <stp/>
        <stp>29243602M1:BstHitPrc</stp>
        <tr r="G747" s="5"/>
      </tp>
      <tp t="s">
        <v/>
        <stp/>
        <stp>1581618115Q2:LstBlkPrc</stp>
        <tr r="K476" s="5"/>
      </tp>
      <tp>
        <v>-5</v>
        <stp/>
        <stp>1581618115M2:LstBlkPrc</stp>
        <tr r="K461" s="5"/>
      </tp>
      <tp t="s">
        <v/>
        <stp/>
        <stp>1923422331Q2:LstBlkPrc</stp>
        <tr r="K1644" s="5"/>
      </tp>
      <tp t="s">
        <v/>
        <stp/>
        <stp>1923422331M2:LstBlkPrc</stp>
        <tr r="K1629" s="5"/>
      </tp>
      <tp t="s">
        <v/>
        <stp/>
        <stp>32623993M5:LstBlkPrc</stp>
        <tr r="K1995" s="5"/>
      </tp>
      <tp t="s">
        <v/>
        <stp/>
        <stp>32623993Q5:LstBlkPrc</stp>
        <tr r="K2020" s="5"/>
      </tp>
      <tp t="s">
        <v/>
        <stp/>
        <stp>32613992M5:LstBlkPrc</stp>
        <tr r="K1230" s="5"/>
      </tp>
      <tp t="s">
        <v/>
        <stp/>
        <stp>32613992Q5:LstBlkPrc</stp>
        <tr r="K1255" s="5"/>
      </tp>
      <tp t="s">
        <v/>
        <stp/>
        <stp>2427126288M7:BstHitPrc</stp>
        <tr r="G1042" s="5"/>
      </tp>
      <tp t="s">
        <v/>
        <stp/>
        <stp>2427126288Q7:BstHitPrc</stp>
        <tr r="G1067" s="5"/>
      </tp>
      <tp t="s">
        <v/>
        <stp/>
        <stp>3124331018M6:LstBlkPrc</stp>
        <tr r="K1611" s="5"/>
      </tp>
      <tp t="s">
        <v/>
        <stp/>
        <stp>41787896M7:LstBlkPrc</stp>
        <tr r="K814" s="5"/>
      </tp>
      <tp t="s">
        <v/>
        <stp/>
        <stp>41787896Q7:LstBlkPrc</stp>
        <tr r="K839" s="5"/>
      </tp>
      <tp t="s">
        <v/>
        <stp/>
        <stp>30793693M8:LstBlkPrc</stp>
        <tr r="K891" s="5"/>
      </tp>
      <tp t="s">
        <v/>
        <stp/>
        <stp>30793693Q8:LstBlkPrc</stp>
        <tr r="K916" s="5"/>
      </tp>
      <tp>
        <v>23.3</v>
        <stp/>
        <stp>46678127M9:BstHitPrc</stp>
        <tr r="G354" s="5"/>
      </tp>
      <tp t="s">
        <v/>
        <stp/>
        <stp>41767893M7:LstBlkPrc</stp>
        <tr r="K487" s="5"/>
      </tp>
      <tp t="s">
        <v/>
        <stp/>
        <stp>41767893Q7:LstBlkPrc</stp>
        <tr r="K512" s="5"/>
      </tp>
      <tp t="s">
        <v/>
        <stp/>
        <stp>2324225603B0:LstBlkPrc</stp>
        <tr r="K920" s="5"/>
      </tp>
      <tp t="s">
        <v/>
        <stp/>
        <stp>2427026287M7:BstHitPrc</stp>
        <tr r="G1156" s="5"/>
      </tp>
      <tp t="s">
        <v/>
        <stp/>
        <stp>2324925610B0:BstHitPrc</stp>
        <tr r="G882" s="5"/>
      </tp>
      <tp t="s">
        <v/>
        <stp/>
        <stp>2427026287Q7:BstHitPrc</stp>
        <tr r="G1181" s="5"/>
      </tp>
      <tp>
        <v>-10.99</v>
        <stp/>
        <stp>57409036M9:BstHitPrc</stp>
        <tr r="G240" s="5"/>
      </tp>
      <tp t="s">
        <v/>
        <stp/>
        <stp>2184924621B0:BstHitPrc</stp>
        <tr r="G707" s="5"/>
      </tp>
      <tp t="s">
        <v/>
        <stp/>
        <stp>2044823525M3:BstHitPrc</stp>
        <tr r="G1750" s="5"/>
      </tp>
      <tp t="s">
        <v/>
        <stp/>
        <stp>2044823525Q3:BstHitPrc</stp>
        <tr r="G1773" s="5"/>
      </tp>
      <tp t="s">
        <v/>
        <stp/>
        <stp>2755728678Y1:LstBlkPrc</stp>
        <tr r="K1146" s="5"/>
      </tp>
      <tp t="s">
        <v/>
        <stp/>
        <stp>2755728678Q1:LstBlkPrc</stp>
        <tr r="K1137" s="5"/>
      </tp>
      <tp>
        <v>19.100000000000001</v>
        <stp/>
        <stp>2755728678M1:LstBlkPrc</stp>
        <tr r="K1112" s="5"/>
      </tp>
      <tp t="s">
        <v/>
        <stp/>
        <stp>2755828679M22:BstLiftPrc</stp>
        <tr r="H1019" s="5"/>
      </tp>
      <tp t="s">
        <v/>
        <stp/>
        <stp>2755828679M23:BstLiftPrc</stp>
        <tr r="H1020" s="5"/>
      </tp>
      <tp t="s">
        <v/>
        <stp/>
        <stp>2755828679M20:BstLiftPrc</stp>
        <tr r="H1017" s="5"/>
      </tp>
      <tp t="s">
        <v/>
        <stp/>
        <stp>2755828679M21:BstLiftPrc</stp>
        <tr r="H1018" s="5"/>
      </tp>
      <tp t="s">
        <v/>
        <stp/>
        <stp>2755828679M24:BstLiftPrc</stp>
        <tr r="H1021" s="5"/>
      </tp>
      <tp>
        <v>24</v>
        <stp/>
        <stp>41767893M1:LstBlkVol</stp>
        <tr r="L481" s="5"/>
      </tp>
      <tp t="s">
        <v/>
        <stp/>
        <stp>41767893Y1:LstBlkVol</stp>
        <tr r="L515" s="5"/>
      </tp>
      <tp t="s">
        <v/>
        <stp/>
        <stp>41767893Q1:LstBlkVol</stp>
        <tr r="L506" s="5"/>
      </tp>
      <tp t="s">
        <v/>
        <stp/>
        <stp>2755828679M18:BstLiftPrc</stp>
        <tr r="H1015" s="5"/>
      </tp>
      <tp t="s">
        <v/>
        <stp/>
        <stp>2755828679M19:BstLiftPrc</stp>
        <tr r="H1016" s="5"/>
      </tp>
      <tp t="s">
        <v/>
        <stp/>
        <stp>2755828679M12:BstLiftPrc</stp>
        <tr r="H1009" s="5"/>
      </tp>
      <tp t="s">
        <v/>
        <stp/>
        <stp>2755828679M13:BstLiftPrc</stp>
        <tr r="H1010" s="5"/>
      </tp>
      <tp t="s">
        <v/>
        <stp/>
        <stp>2755828679M10:BstLiftPrc</stp>
        <tr r="H1007" s="5"/>
      </tp>
      <tp t="s">
        <v/>
        <stp/>
        <stp>2755828679M11:BstLiftPrc</stp>
        <tr r="H1008" s="5"/>
      </tp>
      <tp t="s">
        <v/>
        <stp/>
        <stp>2755828679M16:BstLiftPrc</stp>
        <tr r="H1013" s="5"/>
      </tp>
      <tp t="s">
        <v/>
        <stp/>
        <stp>2755828679M17:BstLiftPrc</stp>
        <tr r="H1014" s="5"/>
      </tp>
      <tp t="s">
        <v/>
        <stp/>
        <stp>2755828679M14:BstLiftPrc</stp>
        <tr r="H1011" s="5"/>
      </tp>
      <tp t="s">
        <v/>
        <stp/>
        <stp>2755828679M15:BstLiftPrc</stp>
        <tr r="H1012" s="5"/>
      </tp>
      <tp>
        <v>20</v>
        <stp/>
        <stp>41787896M1:LstBlkVol</stp>
        <tr r="L808" s="5"/>
      </tp>
      <tp t="s">
        <v/>
        <stp/>
        <stp>41787896Y1:LstBlkVol</stp>
        <tr r="L842" s="5"/>
      </tp>
      <tp t="s">
        <v/>
        <stp/>
        <stp>41787896Q1:LstBlkVol</stp>
        <tr r="L833" s="5"/>
      </tp>
      <tp t="s">
        <v/>
        <stp/>
        <stp>32613992M3:LstBlkVol</stp>
        <tr r="L1228" s="5"/>
      </tp>
      <tp t="s">
        <v/>
        <stp/>
        <stp>32613992Q3:LstBlkVol</stp>
        <tr r="L1253" s="5"/>
      </tp>
      <tp t="s">
        <v/>
        <stp/>
        <stp>32623993M3:LstBlkVol</stp>
        <tr r="L1993" s="5"/>
      </tp>
      <tp t="s">
        <v/>
        <stp/>
        <stp>32623993Q3:LstBlkVol</stp>
        <tr r="L2018" s="5"/>
      </tp>
      <tp t="s">
        <v/>
        <stp/>
        <stp>3124331018Q0:LstBlkVol</stp>
        <tr r="L1620" s="5"/>
      </tp>
      <tp t="s">
        <v/>
        <stp/>
        <stp>3124331018Y0:LstBlkVol</stp>
        <tr r="L1624" s="5"/>
      </tp>
      <tp t="s">
        <v/>
        <stp/>
        <stp>3124331018M0:LstBlkVol</stp>
        <tr r="L1605" s="5"/>
      </tp>
      <tp t="s">
        <v/>
        <stp/>
        <stp>2755728678Q7:LstBlkVol</stp>
        <tr r="L1143" s="5"/>
      </tp>
      <tp t="s">
        <v/>
        <stp/>
        <stp>2755728678M7:LstBlkVol</stp>
        <tr r="L1118" s="5"/>
      </tp>
      <tp t="s">
        <v/>
        <stp/>
        <stp>2181924592B0:LstBlkVol</stp>
        <tr r="L1490" s="5"/>
      </tp>
      <tp t="s">
        <v/>
        <stp/>
        <stp>1923422331M4:LstBlkVol</stp>
        <tr r="L1631" s="5"/>
      </tp>
      <tp>
        <v>215</v>
        <stp/>
        <stp>1581618115M4:LstBlkVol</stp>
        <tr r="L463" s="5"/>
      </tp>
      <tp t="s">
        <v>Invalid Market: 2044823525Q5</v>
        <stp/>
        <stp>2044823525Q5:LstBlkVol</stp>
        <tr r="L1775" s="5"/>
      </tp>
      <tp t="s">
        <v/>
        <stp/>
        <stp>2044823525M5:LstBlkVol</stp>
        <tr r="L1752" s="5"/>
      </tp>
      <tp t="s">
        <v/>
        <stp/>
        <stp>2427026287Q1:LstBlkVol</stp>
        <tr r="L1175" s="5"/>
      </tp>
      <tp t="s">
        <v/>
        <stp/>
        <stp>2427026287Y1:LstBlkVol</stp>
        <tr r="L1184" s="5"/>
      </tp>
      <tp t="s">
        <v/>
        <stp/>
        <stp>2427026287M1:LstBlkVol</stp>
        <tr r="L1150" s="5"/>
      </tp>
      <tp t="s">
        <v/>
        <stp/>
        <stp>2181024583B0:LstBlkVol</stp>
        <tr r="L1990" s="5"/>
      </tp>
      <tp t="s">
        <v/>
        <stp/>
        <stp>2427126288Q1:LstBlkVol</stp>
        <tr r="L1061" s="5"/>
      </tp>
      <tp t="s">
        <v/>
        <stp/>
        <stp>2427126288Y1:LstBlkVol</stp>
        <tr r="L1070" s="5"/>
      </tp>
      <tp t="s">
        <v/>
        <stp/>
        <stp>2427126288M1:LstBlkVol</stp>
        <tr r="L1036" s="5"/>
      </tp>
      <tp t="s">
        <v/>
        <stp/>
        <stp>29243602M7:LstBlkVol</stp>
        <tr r="L753" s="5"/>
      </tp>
      <tp t="s">
        <v/>
        <stp/>
        <stp>2181724590B0:LstBlkVol</stp>
        <tr r="L1414" s="5"/>
      </tp>
      <tp t="s">
        <v/>
        <stp/>
        <stp>2755828679Q7:LstBlkVol</stp>
        <tr r="L1029" s="5"/>
      </tp>
      <tp t="s">
        <v/>
        <stp/>
        <stp>2755828679M7:LstBlkVol</stp>
        <tr r="L1004" s="5"/>
      </tp>
      <tp t="s">
        <v/>
        <stp/>
        <stp>18871685M6:LstBlkVol</stp>
        <tr r="L427" s="5"/>
      </tp>
      <tp t="s">
        <v/>
        <stp/>
        <stp>18871685Q6:LstBlkVol</stp>
        <tr r="L452" s="5"/>
      </tp>
      <tp t="s">
        <v/>
        <stp/>
        <stp>18851683M6:LstBlkVol</stp>
        <tr r="L199" s="5"/>
      </tp>
      <tp t="s">
        <v/>
        <stp/>
        <stp>18851683Q6:LstBlkVol</stp>
        <tr r="L224" s="5"/>
      </tp>
      <tp t="s">
        <v/>
        <stp/>
        <stp>1986823075Y2:LstBlkVol</stp>
        <tr r="L153" s="5"/>
      </tp>
      <tp t="s">
        <v/>
        <stp/>
        <stp>1986823075Q2:LstBlkVol</stp>
        <tr r="L144" s="5"/>
      </tp>
      <tp>
        <v>70</v>
        <stp/>
        <stp>1986823075M2:LstBlkVol</stp>
        <tr r="L119" s="5"/>
      </tp>
      <tp t="s">
        <v/>
        <stp/>
        <stp>18901687M6:LstBlkVol</stp>
        <tr r="L313" s="5"/>
      </tp>
      <tp t="s">
        <v/>
        <stp/>
        <stp>18901687Q6:LstBlkVol</stp>
        <tr r="L338" s="5"/>
      </tp>
      <tp t="s">
        <v/>
        <stp/>
        <stp>1986923076Y2:LstBlkVol</stp>
        <tr r="L191" s="5"/>
      </tp>
      <tp t="s">
        <v/>
        <stp/>
        <stp>1986923076Q2:LstBlkVol</stp>
        <tr r="L182" s="5"/>
      </tp>
      <tp>
        <v>50</v>
        <stp/>
        <stp>1986923076M2:LstBlkVol</stp>
        <tr r="L157" s="5"/>
      </tp>
      <tp t="s">
        <v/>
        <stp/>
        <stp>2181524588B0:LstBlkVol</stp>
        <tr r="L1452" s="5"/>
      </tp>
      <tp t="s">
        <v/>
        <stp/>
        <stp>15061297MM15:LstBlkVol</stp>
        <tr r="L1698" s="5"/>
      </tp>
      <tp t="s">
        <v/>
        <stp/>
        <stp>15061297MM25:LstBlkVol</stp>
        <tr r="L1708" s="5"/>
      </tp>
      <tp t="s">
        <v/>
        <stp/>
        <stp>15061297MM13:LstBlkPrc</stp>
        <tr r="K1696" s="5"/>
      </tp>
      <tp>
        <v>2.4</v>
        <stp/>
        <stp>15061297MM23:LstBlkPrc</stp>
        <tr r="K1706" s="5"/>
      </tp>
      <tp t="s">
        <v>PDB</v>
        <stp/>
        <stp>15061297MM21:PCC</stp>
        <tr r="B1704" s="5"/>
      </tp>
      <tp t="s">
        <v>PDB</v>
        <stp/>
        <stp>15061297MM20:PCC</stp>
        <tr r="B1703" s="5"/>
      </tp>
      <tp t="s">
        <v>PDB</v>
        <stp/>
        <stp>15061297MM23:PCC</stp>
        <tr r="B1706" s="5"/>
      </tp>
      <tp t="s">
        <v>PDB</v>
        <stp/>
        <stp>15061297MM22:PCC</stp>
        <tr r="B1705" s="5"/>
      </tp>
      <tp t="s">
        <v>PDB</v>
        <stp/>
        <stp>15061297MM25:PCC</stp>
        <tr r="B1708" s="5"/>
      </tp>
      <tp t="s">
        <v>PDB</v>
        <stp/>
        <stp>15061297MM24:PCC</stp>
        <tr r="B1707" s="5"/>
      </tp>
      <tp t="s">
        <v>PDB</v>
        <stp/>
        <stp>15061297MM27:PCC</stp>
        <tr r="B1710" s="5"/>
      </tp>
      <tp t="s">
        <v>PDB</v>
        <stp/>
        <stp>15061297MM26:PCC</stp>
        <tr r="B1709" s="5"/>
      </tp>
      <tp t="s">
        <v/>
        <stp/>
        <stp>366531MM19:BstHitPrc</stp>
        <tr r="G1734" s="5"/>
      </tp>
      <tp t="s">
        <v>PDB</v>
        <stp/>
        <stp>15061297MM19:PCC</stp>
        <tr r="B1702" s="5"/>
      </tp>
      <tp t="s">
        <v>PDB</v>
        <stp/>
        <stp>15061297MM18:PCC</stp>
        <tr r="B1701" s="5"/>
      </tp>
      <tp t="s">
        <v>PDB</v>
        <stp/>
        <stp>15061297MM11:PCC</stp>
        <tr r="B1694" s="5"/>
      </tp>
      <tp t="s">
        <v>PDB</v>
        <stp/>
        <stp>15061297MM10:PCC</stp>
        <tr r="B1693" s="5"/>
      </tp>
      <tp t="s">
        <v>PDB</v>
        <stp/>
        <stp>15061297MM13:PCC</stp>
        <tr r="B1696" s="5"/>
      </tp>
      <tp t="s">
        <v>PDB</v>
        <stp/>
        <stp>15061297MM12:PCC</stp>
        <tr r="B1695" s="5"/>
      </tp>
      <tp t="s">
        <v>PDB</v>
        <stp/>
        <stp>15061297MM15:PCC</stp>
        <tr r="B1698" s="5"/>
      </tp>
      <tp t="s">
        <v>PDB</v>
        <stp/>
        <stp>15061297MM14:PCC</stp>
        <tr r="B1697" s="5"/>
      </tp>
      <tp t="s">
        <v>PDB</v>
        <stp/>
        <stp>15061297MM17:PCC</stp>
        <tr r="B1700" s="5"/>
      </tp>
      <tp t="s">
        <v>PDB</v>
        <stp/>
        <stp>15061297MM16:PCC</stp>
        <tr r="B1699" s="5"/>
      </tp>
      <tp t="s">
        <v/>
        <stp/>
        <stp>366531MM19:LstBlkPrc</stp>
        <tr r="K1734" s="5"/>
      </tp>
      <tp>
        <v>2.38</v>
        <stp/>
        <stp>15061297MM23:BstHitPrc</stp>
        <tr r="G1706" s="5"/>
      </tp>
      <tp t="s">
        <v/>
        <stp/>
        <stp>15061297MM13:BstHitPrc</stp>
        <tr r="G1696" s="5"/>
      </tp>
      <tp t="s">
        <v/>
        <stp/>
        <stp>2185224624B0:LstDate</stp>
        <tr r="J593" s="5"/>
      </tp>
    </main>
    <main first="ice.rtd">
      <tp t="s">
        <v/>
        <stp/>
        <stp>2044823525M9:LstDate</stp>
        <tr r="J1756" s="5"/>
      </tp>
      <tp t="s">
        <v/>
        <stp/>
        <stp>2044823525M8:LstDate</stp>
        <tr r="J1755" s="5"/>
      </tp>
      <tp t="s">
        <v/>
        <stp/>
        <stp>2044823525M7:LstDate</stp>
        <tr r="J1754" s="5"/>
      </tp>
      <tp t="s">
        <v/>
        <stp/>
        <stp>2044823525M6:LstDate</stp>
        <tr r="J1753" s="5"/>
      </tp>
      <tp t="s">
        <v/>
        <stp/>
        <stp>2044823525M5:LstDate</stp>
        <tr r="J1752" s="5"/>
      </tp>
      <tp t="s">
        <v/>
        <stp/>
        <stp>2044823525M4:LstDate</stp>
        <tr r="J1751" s="5"/>
      </tp>
      <tp t="s">
        <v/>
        <stp/>
        <stp>2044823525M3:LstDate</stp>
        <tr r="J1750" s="5"/>
      </tp>
      <tp t="s">
        <v/>
        <stp/>
        <stp>2044823525M2:LstDate</stp>
        <tr r="J1749" s="5"/>
      </tp>
      <tp t="s">
        <v/>
        <stp/>
        <stp>2044823525M1:LstDate</stp>
        <tr r="J1748" s="5"/>
      </tp>
      <tp t="s">
        <v/>
        <stp/>
        <stp>2044823525M0:LstDate</stp>
        <tr r="J1747" s="5"/>
      </tp>
    </main>
    <main first="bofaddin.rtdserver">
      <tp t="s">
        <v>#N/A Requesting Data...3896320917</v>
        <stp/>
        <stp>BDP|14436607126300986161</stp>
        <tr r="AM50" s="23"/>
      </tp>
      <tp t="s">
        <v>#N/A Requesting Data...3661673601</v>
        <stp/>
        <stp>BDP|16632418909332417178</stp>
        <tr r="C27" s="23"/>
        <tr r="C73" s="23"/>
      </tp>
      <tp t="s">
        <v>#N/A Requesting Data...3875250125</v>
        <stp/>
        <stp>BDP|17567362244851522025</stp>
        <tr r="AF126" s="23"/>
        <tr r="AF127" s="23"/>
        <tr r="AF128" s="23"/>
        <tr r="AF129" s="23"/>
        <tr r="AF130" s="23"/>
        <tr r="AF131" s="23"/>
        <tr r="AF132" s="23"/>
        <tr r="AF133" s="23"/>
        <tr r="AF134" s="23"/>
        <tr r="AF135" s="23"/>
        <tr r="AF136" s="23"/>
        <tr r="AF137" s="23"/>
        <tr r="AF138" s="23"/>
        <tr r="AF139" s="23"/>
        <tr r="AF140" s="23"/>
      </tp>
      <tp t="s">
        <v>#N/A Requesting Data...3395918251</v>
        <stp/>
        <stp>BDP|17630252503331704545</stp>
        <tr r="AM184" s="23"/>
      </tp>
    </main>
    <main first="ice.rtd">
      <tp t="s">
        <v/>
        <stp/>
        <stp>2326525626B0:LstDate</stp>
        <tr r="J420" s="5"/>
      </tp>
    </main>
    <main first="ice.rtd">
      <tp t="s">
        <v/>
        <stp/>
        <stp>2044823525Y0:LstDate</stp>
        <tr r="J1777" s="5"/>
      </tp>
    </main>
    <main first="bofaddin.rtdserver">
      <tp t="s">
        <v>#N/A N/A</v>
        <stp/>
        <stp>BDH|11830764378817664716</stp>
        <tr r="I19" s="14"/>
      </tp>
      <tp t="s">
        <v>#N/A N/A</v>
        <stp/>
        <stp>BDH|13360641733333583401</stp>
        <tr r="L84" s="16"/>
      </tp>
      <tp t="s">
        <v>#N/A N/A</v>
        <stp/>
        <stp>BDH|14150592752090336588</stp>
        <tr r="AV48" s="1"/>
      </tp>
      <tp t="s">
        <v>#N/A N/A</v>
        <stp/>
        <stp>BDH|17479053873507079630</stp>
        <tr r="BB33" s="1"/>
      </tp>
      <tp t="s">
        <v>#N/A N/A</v>
        <stp/>
        <stp>BDH|15413156811621800587</stp>
        <tr r="D57" s="14"/>
      </tp>
    </main>
    <main first="ice.rtd">
      <tp>
        <v>0</v>
        <stp/>
        <stp>1987023077B0:OI</stp>
        <tr r="T154" s="5"/>
      </tp>
    </main>
    <main first="bofaddin.rtdserver">
      <tp t="s">
        <v>#N/A N/A</v>
        <stp/>
        <stp>BDH|11075666545441399335</stp>
        <tr r="AW55" s="1"/>
      </tp>
      <tp t="s">
        <v>#N/A N/A</v>
        <stp/>
        <stp>BDH|15674790209710322360</stp>
        <tr r="H41" s="16"/>
      </tp>
      <tp t="s">
        <v>#N/A N/A</v>
        <stp/>
        <stp>BDH|16211560528910644086</stp>
        <tr r="L64" s="16"/>
      </tp>
    </main>
    <main first="ice.rtd">
      <tp>
        <v>0</v>
        <stp/>
        <stp>1923422331M4:OI</stp>
        <tr r="T1631" s="5"/>
      </tp>
      <tp>
        <v>0</v>
        <stp/>
        <stp>1923422331M5:OI</stp>
        <tr r="T1632" s="5"/>
      </tp>
      <tp>
        <v>0</v>
        <stp/>
        <stp>1923422331M6:OI</stp>
        <tr r="T1633" s="5"/>
      </tp>
      <tp>
        <v>0</v>
        <stp/>
        <stp>1923422331M7:OI</stp>
        <tr r="T1634" s="5"/>
      </tp>
      <tp>
        <v>2754</v>
        <stp/>
        <stp>1923422331M0:OI</stp>
        <tr r="T1627" s="5"/>
      </tp>
      <tp>
        <v>450</v>
        <stp/>
        <stp>1923422331M1:OI</stp>
        <tr r="T1628" s="5"/>
      </tp>
      <tp>
        <v>0</v>
        <stp/>
        <stp>1923422331M2:OI</stp>
        <tr r="T1629" s="5"/>
      </tp>
      <tp>
        <v>0</v>
        <stp/>
        <stp>1923422331M3:OI</stp>
        <tr r="T1630" s="5"/>
      </tp>
      <tp>
        <v>0</v>
        <stp/>
        <stp>1923422331M8:OI</stp>
        <tr r="T1635" s="5"/>
      </tp>
      <tp>
        <v>0</v>
        <stp/>
        <stp>1923422331M9:OI</stp>
        <tr r="T1636" s="5"/>
      </tp>
      <tp>
        <v>0</v>
        <stp/>
        <stp>1923422331Q0:OI</stp>
        <tr r="T1642" s="5"/>
      </tp>
      <tp>
        <v>0</v>
        <stp/>
        <stp>1923422331Q1:OI</stp>
        <tr r="T1643" s="5"/>
      </tp>
      <tp>
        <v>0</v>
        <stp/>
        <stp>1923422331Q2:OI</stp>
        <tr r="T1644" s="5"/>
      </tp>
      <tp>
        <v>0</v>
        <stp/>
        <stp>1923422331Q3:OI</stp>
        <tr r="T1645" s="5"/>
      </tp>
      <tp>
        <v>0</v>
        <stp/>
        <stp>1923422331Y0:OI</stp>
        <tr r="T1646" s="5"/>
      </tp>
    </main>
    <main first="ice.rtd">
      <tp>
        <v>0</v>
        <stp/>
        <stp>2185624628B0:OI</stp>
        <tr r="T745" s="5"/>
      </tp>
    </main>
    <main first="bofaddin.rtdserver">
      <tp t="s">
        <v>#N/A N/A</v>
        <stp/>
        <stp>BDH|12407746655506393722</stp>
        <tr r="BB31" s="1"/>
      </tp>
      <tp t="s">
        <v>#N/A N/A</v>
        <stp/>
        <stp>BDH|10979297110583502116</stp>
        <tr r="BB32" s="1"/>
      </tp>
      <tp t="s">
        <v>#N/A N/A</v>
        <stp/>
        <stp>BDH|14236806318764965876</stp>
        <tr r="J55" s="16"/>
      </tp>
      <tp t="s">
        <v>#N/A N/A</v>
        <stp/>
        <stp>BDH|15648111123100052731</stp>
        <tr r="AY66" s="1"/>
      </tp>
      <tp t="s">
        <v>#N/A N/A</v>
        <stp/>
        <stp>BDH|15485204076435756430</stp>
        <tr r="K35" s="16"/>
      </tp>
    </main>
    <main first="ice.rtd">
      <tp t="s">
        <v>Invalid Market: 2044823525Q6</v>
        <stp/>
        <stp>2044823525Q6:LstDate</stp>
        <tr r="J1776" s="5"/>
      </tp>
      <tp t="s">
        <v>Invalid Market: 2044823525Q5</v>
        <stp/>
        <stp>2044823525Q5:LstDate</stp>
        <tr r="J1775" s="5"/>
      </tp>
      <tp t="s">
        <v/>
        <stp/>
        <stp>2044823525Q4:LstDate</stp>
        <tr r="J1774" s="5"/>
      </tp>
      <tp t="s">
        <v/>
        <stp/>
        <stp>2044823525Q3:LstDate</stp>
        <tr r="J1773" s="5"/>
      </tp>
      <tp t="s">
        <v/>
        <stp/>
        <stp>2044823525Q2:LstDate</stp>
        <tr r="J1772" s="5"/>
      </tp>
      <tp t="s">
        <v/>
        <stp/>
        <stp>2044823525Q1:LstDate</stp>
        <tr r="J1771" s="5"/>
      </tp>
      <tp t="s">
        <v/>
        <stp/>
        <stp>2044823525Q0:LstDate</stp>
        <tr r="J1770" s="5"/>
      </tp>
    </main>
    <main first="bofaddin.rtdserver">
      <tp t="s">
        <v>#N/A N/A</v>
        <stp/>
        <stp>BDH|10586056714560549081</stp>
        <tr r="BB28" s="1"/>
      </tp>
      <tp t="s">
        <v>#N/A N/A</v>
        <stp/>
        <stp>BDH|14100613618280393237</stp>
        <tr r="C23" s="14"/>
      </tp>
      <tp t="s">
        <v>#N/A N/A</v>
        <stp/>
        <stp>BDH|16214552341924866263</stp>
        <tr r="AZ50" s="1"/>
      </tp>
      <tp t="s">
        <v>#N/A N/A</v>
        <stp/>
        <stp>BDH|12698956378125676855</stp>
        <tr r="BC38" s="1"/>
        <tr r="BC38" s="1"/>
      </tp>
      <tp t="s">
        <v>#N/A N/A</v>
        <stp/>
        <stp>BDH|14469841227658898778</stp>
        <tr r="AZ24" s="1"/>
      </tp>
      <tp t="s">
        <v>#N/A N/A</v>
        <stp/>
        <stp>BDH|17846794144624913141</stp>
        <tr r="D8" s="14"/>
      </tp>
      <tp t="s">
        <v>#N/A N/A</v>
        <stp/>
        <stp>BDH|10275631332371173599</stp>
        <tr r="BA43" s="1"/>
        <tr r="BA43" s="1"/>
      </tp>
      <tp t="s">
        <v>#N/A N/A</v>
        <stp/>
        <stp>BDH|10924534485698313478</stp>
        <tr r="M80" s="16"/>
      </tp>
      <tp t="s">
        <v>#N/A N/A</v>
        <stp/>
        <stp>BDH|10987574134234574354</stp>
        <tr r="C30" s="14"/>
      </tp>
      <tp t="s">
        <v>#N/A N/A</v>
        <stp/>
        <stp>BDH|14040649227563175282</stp>
        <tr r="AX57" s="1"/>
      </tp>
      <tp t="s">
        <v>#N/A N/A</v>
        <stp/>
        <stp>BDH|18330136867767515981</stp>
        <tr r="AZ19" s="1"/>
      </tp>
      <tp t="s">
        <v>#N/A N/A</v>
        <stp/>
        <stp>BDH|15767744310312126086</stp>
        <tr r="BB65" s="1"/>
      </tp>
      <tp t="s">
        <v>#N/A N/A</v>
        <stp/>
        <stp>BDH|13024830851659778680</stp>
        <tr r="AW64" s="1"/>
      </tp>
      <tp t="s">
        <v>#N/A N/A</v>
        <stp/>
        <stp>BDH|17623558692919912348</stp>
        <tr r="AZ59" s="1"/>
      </tp>
      <tp t="s">
        <v>#N/A N/A</v>
        <stp/>
        <stp>BDH|11279772818207862194</stp>
        <tr r="G56" s="16"/>
      </tp>
      <tp t="s">
        <v>#N/A N/A</v>
        <stp/>
        <stp>BDH|12878686394025294997</stp>
        <tr r="K57" s="16"/>
      </tp>
      <tp t="s">
        <v>#N/A N/A</v>
        <stp/>
        <stp>BDH|15851321648276406596</stp>
        <tr r="AW56" s="1"/>
      </tp>
      <tp t="s">
        <v>#N/A N/A</v>
        <stp/>
        <stp>BDH|12147699807073586652</stp>
        <tr r="L35" s="16"/>
      </tp>
      <tp t="s">
        <v>#N/A N/A</v>
        <stp/>
        <stp>BDH|14275505511909595897</stp>
        <tr r="AV61" s="1"/>
      </tp>
    </main>
    <main first="ice.rtd">
      <tp t="s">
        <v>Invalid Market: 1581618115B0</v>
        <stp/>
        <stp>1581618115B0:OI</stp>
        <tr r="T458" s="5"/>
      </tp>
      <tp>
        <v>2414</v>
        <stp/>
        <stp>1581618115M4:OI</stp>
        <tr r="T463" s="5"/>
      </tp>
      <tp>
        <v>2507</v>
        <stp/>
        <stp>1581618115M5:OI</stp>
        <tr r="T464" s="5"/>
      </tp>
      <tp>
        <v>1226</v>
        <stp/>
        <stp>1581618115M6:OI</stp>
        <tr r="T465" s="5"/>
      </tp>
      <tp>
        <v>836</v>
        <stp/>
        <stp>1581618115M7:OI</stp>
        <tr r="T466" s="5"/>
      </tp>
      <tp>
        <v>11276</v>
        <stp/>
        <stp>1581618115M0:OI</stp>
        <tr r="T459" s="5"/>
      </tp>
      <tp>
        <v>5055</v>
        <stp/>
        <stp>1581618115M1:OI</stp>
        <tr r="T460" s="5"/>
      </tp>
      <tp>
        <v>2851</v>
        <stp/>
        <stp>1581618115M2:OI</stp>
        <tr r="T461" s="5"/>
      </tp>
      <tp>
        <v>4771</v>
        <stp/>
        <stp>1581618115M3:OI</stp>
        <tr r="T462" s="5"/>
      </tp>
      <tp>
        <v>436</v>
        <stp/>
        <stp>1581618115M8:OI</stp>
        <tr r="T467" s="5"/>
      </tp>
      <tp>
        <v>436</v>
        <stp/>
        <stp>1581618115M9:OI</stp>
        <tr r="T468" s="5"/>
      </tp>
      <tp>
        <v>0</v>
        <stp/>
        <stp>1581618115Q0:OI</stp>
        <tr r="T474" s="5"/>
      </tp>
      <tp>
        <v>0</v>
        <stp/>
        <stp>1581618115Q1:OI</stp>
        <tr r="T475" s="5"/>
      </tp>
      <tp>
        <v>0</v>
        <stp/>
        <stp>1581618115Q2:OI</stp>
        <tr r="T476" s="5"/>
      </tp>
      <tp>
        <v>0</v>
        <stp/>
        <stp>1581618115Q3:OI</stp>
        <tr r="T477" s="5"/>
      </tp>
      <tp>
        <v>0</v>
        <stp/>
        <stp>1581618115Y0:OI</stp>
        <tr r="T478" s="5"/>
      </tp>
    </main>
    <main first="bofaddin.rtdserver">
      <tp t="s">
        <v>#N/A N/A</v>
        <stp/>
        <stp>BDH|15968023377603582070</stp>
        <tr r="I39" s="14"/>
      </tp>
      <tp t="s">
        <v>#N/A N/A</v>
        <stp/>
        <stp>BDH|15796665287079858301</stp>
        <tr r="BA62" s="1"/>
        <tr r="BA62" s="1"/>
      </tp>
      <tp t="s">
        <v>#N/A N/A</v>
        <stp/>
        <stp>BDH|14350082781609097448</stp>
        <tr r="I20" s="14"/>
      </tp>
    </main>
    <main first="esrtd">
      <tp t="s">
        <v/>
        <stp/>
        <stp>FOS G28-IEU</stp>
        <stp>ICE Theoretical Price</stp>
        <tr r="W938" s="5"/>
      </tp>
      <tp t="s">
        <v/>
        <stp/>
        <stp>FOS F28-IEU</stp>
        <stp>ICE Theoretical Price</stp>
        <tr r="W937" s="5"/>
      </tp>
      <tp t="s">
        <v/>
        <stp/>
        <stp>SJS Q28-IEU</stp>
        <stp>ICE Theoretical Price</stp>
        <tr r="W906" s="5"/>
      </tp>
      <tp t="s">
        <v/>
        <stp/>
        <stp>SPS Q28-IEU</stp>
        <stp>ICE Theoretical Price</stp>
        <tr r="W1976" s="5"/>
      </tp>
      <tp t="s">
        <v/>
        <stp/>
        <stp>STS Q28-IEU</stp>
        <stp>ICE Theoretical Price</stp>
        <tr r="W982" s="5"/>
      </tp>
      <tp t="s">
        <v/>
        <stp/>
        <stp>WMJ Q4!-IEU</stp>
        <stp>ICE Theoretical Price</stp>
        <tr r="W1916" s="5"/>
      </tp>
      <tp t="s">
        <v/>
        <stp/>
        <stp>SJS U28-IEU</stp>
        <stp>ICE Theoretical Price</stp>
        <tr r="W907" s="5"/>
      </tp>
      <tp t="s">
        <v/>
        <stp/>
        <stp>WMJ Q1!-IEU</stp>
        <stp>ICE Theoretical Price</stp>
        <tr r="W1913" s="5"/>
      </tp>
      <tp t="s">
        <v/>
        <stp/>
        <stp>WMJ Q2!-IEU</stp>
        <stp>ICE Theoretical Price</stp>
        <tr r="W1914" s="5"/>
      </tp>
      <tp t="s">
        <v/>
        <stp/>
        <stp>WMJ Q3!-IEU</stp>
        <stp>ICE Theoretical Price</stp>
        <tr r="W1915" s="5"/>
      </tp>
      <tp t="s">
        <v/>
        <stp/>
        <stp>SPS U28-IEU</stp>
        <stp>ICE Theoretical Price</stp>
        <tr r="W1977" s="5"/>
      </tp>
      <tp t="s">
        <v/>
        <stp/>
        <stp>STS U28-IEU</stp>
        <stp>ICE Theoretical Price</stp>
        <tr r="W983" s="5"/>
      </tp>
      <tp t="s">
        <v/>
        <stp/>
        <stp>FOS N28-IEU</stp>
        <stp>ICE Theoretical Price</stp>
        <tr r="W943" s="5"/>
      </tp>
      <tp t="s">
        <v/>
        <stp/>
        <stp>FOS M28-IEU</stp>
        <stp>ICE Theoretical Price</stp>
        <tr r="W942" s="5"/>
      </tp>
      <tp t="s">
        <v/>
        <stp/>
        <stp>FOS K28-IEU</stp>
        <stp>ICE Theoretical Price</stp>
        <tr r="W941" s="5"/>
      </tp>
      <tp t="s">
        <v/>
        <stp/>
        <stp>FOS J28-IEU</stp>
        <stp>ICE Theoretical Price</stp>
        <tr r="W940" s="5"/>
      </tp>
      <tp t="s">
        <v/>
        <stp/>
        <stp>FOS H28-IEU</stp>
        <stp>ICE Theoretical Price</stp>
        <tr r="W939" s="5"/>
      </tp>
      <tp t="s">
        <v/>
        <stp/>
        <stp>FOS U28-IEU</stp>
        <stp>ICE Theoretical Price</stp>
        <tr r="W945" s="5"/>
      </tp>
      <tp t="s">
        <v/>
        <stp/>
        <stp>SJS F28-IEU</stp>
        <stp>ICE Theoretical Price</stp>
        <tr r="W899" s="5"/>
      </tp>
      <tp t="s">
        <v/>
        <stp/>
        <stp>SPS F28-IEU</stp>
        <stp>ICE Theoretical Price</stp>
        <tr r="W1969" s="5"/>
      </tp>
      <tp t="s">
        <v/>
        <stp/>
        <stp>STS F28-IEU</stp>
        <stp>ICE Theoretical Price</stp>
        <tr r="W975" s="5"/>
      </tp>
      <tp t="s">
        <v/>
        <stp/>
        <stp>SJS G28-IEU</stp>
        <stp>ICE Theoretical Price</stp>
        <tr r="W900" s="5"/>
      </tp>
      <tp t="s">
        <v/>
        <stp/>
        <stp>WMJ C2!-IEU</stp>
        <stp>ICE Theoretical Price</stp>
        <tr r="W1917" s="5"/>
      </tp>
      <tp t="s">
        <v/>
        <stp/>
        <stp>SPS G28-IEU</stp>
        <stp>ICE Theoretical Price</stp>
        <tr r="W1970" s="5"/>
      </tp>
      <tp t="s">
        <v/>
        <stp/>
        <stp>STS G28-IEU</stp>
        <stp>ICE Theoretical Price</stp>
        <tr r="W976" s="5"/>
      </tp>
      <tp t="s">
        <v/>
        <stp/>
        <stp>FOS Q28-IEU</stp>
        <stp>ICE Theoretical Price</stp>
        <tr r="W944" s="5"/>
      </tp>
      <tp t="s">
        <v/>
        <stp/>
        <stp>SJS J28-IEU</stp>
        <stp>ICE Theoretical Price</stp>
        <tr r="W902" s="5"/>
      </tp>
      <tp t="s">
        <v/>
        <stp/>
        <stp>SPS J28-IEU</stp>
        <stp>ICE Theoretical Price</stp>
        <tr r="W1972" s="5"/>
      </tp>
      <tp t="s">
        <v/>
        <stp/>
        <stp>STS J28-IEU</stp>
        <stp>ICE Theoretical Price</stp>
        <tr r="W978" s="5"/>
      </tp>
      <tp t="s">
        <v/>
        <stp/>
        <stp>SJS K28-IEU</stp>
        <stp>ICE Theoretical Price</stp>
        <tr r="W903" s="5"/>
      </tp>
      <tp t="s">
        <v/>
        <stp/>
        <stp>SPS K28-IEU</stp>
        <stp>ICE Theoretical Price</stp>
        <tr r="W1973" s="5"/>
      </tp>
      <tp t="s">
        <v/>
        <stp/>
        <stp>STS K28-IEU</stp>
        <stp>ICE Theoretical Price</stp>
        <tr r="W979" s="5"/>
      </tp>
      <tp t="s">
        <v/>
        <stp/>
        <stp>SJS H28-IEU</stp>
        <stp>ICE Theoretical Price</stp>
        <tr r="W901" s="5"/>
      </tp>
      <tp t="s">
        <v/>
        <stp/>
        <stp>SPS H28-IEU</stp>
        <stp>ICE Theoretical Price</stp>
        <tr r="W1971" s="5"/>
      </tp>
      <tp t="s">
        <v/>
        <stp/>
        <stp>STS H28-IEU</stp>
        <stp>ICE Theoretical Price</stp>
        <tr r="W977" s="5"/>
      </tp>
      <tp t="s">
        <v/>
        <stp/>
        <stp>SJS N28-IEU</stp>
        <stp>ICE Theoretical Price</stp>
        <tr r="W905" s="5"/>
      </tp>
      <tp t="s">
        <v/>
        <stp/>
        <stp>SPS N28-IEU</stp>
        <stp>ICE Theoretical Price</stp>
        <tr r="W1975" s="5"/>
      </tp>
      <tp t="s">
        <v/>
        <stp/>
        <stp>STS N28-IEU</stp>
        <stp>ICE Theoretical Price</stp>
        <tr r="W981" s="5"/>
      </tp>
      <tp t="s">
        <v/>
        <stp/>
        <stp>SJS M28-IEU</stp>
        <stp>ICE Theoretical Price</stp>
        <tr r="W904" s="5"/>
      </tp>
      <tp t="s">
        <v/>
        <stp/>
        <stp>SPS M28-IEU</stp>
        <stp>ICE Theoretical Price</stp>
        <tr r="W1974" s="5"/>
      </tp>
      <tp t="s">
        <v/>
        <stp/>
        <stp>STS M28-IEU</stp>
        <stp>ICE Theoretical Price</stp>
        <tr r="W980" s="5"/>
      </tp>
      <tp t="s">
        <v/>
        <stp/>
        <stp>WMJ 24!-IEU</stp>
        <stp>ICE Theoretical Price</stp>
        <tr r="W1906" s="5"/>
      </tp>
      <tp t="s">
        <v/>
        <stp/>
        <stp>WMJ 25!-IEU</stp>
        <stp>ICE Theoretical Price</stp>
        <tr r="W1907" s="5"/>
      </tp>
      <tp t="s">
        <v/>
        <stp/>
        <stp>WMJ 26!-IEU</stp>
        <stp>ICE Theoretical Price</stp>
        <tr r="W1908" s="5"/>
      </tp>
      <tp t="s">
        <v/>
        <stp/>
        <stp>WMJ 27!-IEU</stp>
        <stp>ICE Theoretical Price</stp>
        <tr r="W1909" s="5"/>
      </tp>
      <tp t="s">
        <v/>
        <stp/>
        <stp>WMJ 20!-IEU</stp>
        <stp>ICE Theoretical Price</stp>
        <tr r="W1902" s="5"/>
      </tp>
      <tp t="s">
        <v/>
        <stp/>
        <stp>WMJ 21!-IEU</stp>
        <stp>ICE Theoretical Price</stp>
        <tr r="W1903" s="5"/>
      </tp>
      <tp t="s">
        <v/>
        <stp/>
        <stp>WMJ 22!-IEU</stp>
        <stp>ICE Theoretical Price</stp>
        <tr r="W1904" s="5"/>
      </tp>
      <tp t="s">
        <v/>
        <stp/>
        <stp>WMJ 23!-IEU</stp>
        <stp>ICE Theoretical Price</stp>
        <tr r="W1905" s="5"/>
      </tp>
      <tp t="s">
        <v/>
        <stp/>
        <stp>WMJ 28!-IEU</stp>
        <stp>ICE Theoretical Price</stp>
        <tr r="W1910" s="5"/>
      </tp>
      <tp t="s">
        <v/>
        <stp/>
        <stp>WMJ 29!-IEU</stp>
        <stp>ICE Theoretical Price</stp>
        <tr r="W1911" s="5"/>
      </tp>
      <tp t="s">
        <v/>
        <stp/>
        <stp>WMJ 30!-IEU</stp>
        <stp>ICE Theoretical Price</stp>
        <tr r="W1912" s="5"/>
      </tp>
      <tp t="s">
        <v/>
        <stp/>
        <stp>WMJ 14!-IEU</stp>
        <stp>ICE Theoretical Price</stp>
        <tr r="W1896" s="5"/>
      </tp>
      <tp t="s">
        <v/>
        <stp/>
        <stp>WMJ 15!-IEU</stp>
        <stp>ICE Theoretical Price</stp>
        <tr r="W1897" s="5"/>
      </tp>
      <tp t="s">
        <v/>
        <stp/>
        <stp>WMJ 16!-IEU</stp>
        <stp>ICE Theoretical Price</stp>
        <tr r="W1898" s="5"/>
      </tp>
      <tp t="s">
        <v/>
        <stp/>
        <stp>WMJ 17!-IEU</stp>
        <stp>ICE Theoretical Price</stp>
        <tr r="W1899" s="5"/>
      </tp>
      <tp t="s">
        <v/>
        <stp/>
        <stp>WMJ 10!-IEU</stp>
        <stp>ICE Theoretical Price</stp>
        <tr r="W1892" s="5"/>
      </tp>
      <tp t="s">
        <v/>
        <stp/>
        <stp>WMJ 11!-IEU</stp>
        <stp>ICE Theoretical Price</stp>
        <tr r="W1893" s="5"/>
      </tp>
      <tp t="s">
        <v/>
        <stp/>
        <stp>WMJ 12!-IEU</stp>
        <stp>ICE Theoretical Price</stp>
        <tr r="W1894" s="5"/>
      </tp>
      <tp t="s">
        <v/>
        <stp/>
        <stp>WMJ 13!-IEU</stp>
        <stp>ICE Theoretical Price</stp>
        <tr r="W1895" s="5"/>
      </tp>
      <tp t="s">
        <v/>
        <stp/>
        <stp>WMJ 18!-IEU</stp>
        <stp>ICE Theoretical Price</stp>
        <tr r="W1900" s="5"/>
      </tp>
      <tp t="s">
        <v/>
        <stp/>
        <stp>WMJ 19!-IEU</stp>
        <stp>ICE Theoretical Price</stp>
        <tr r="W1901" s="5"/>
      </tp>
    </main>
    <main first="ice.rtd">
      <tp t="s">
        <v/>
        <stp/>
        <stp>35534143M18:LstBlkTime</stp>
        <tr r="M726" s="5"/>
      </tp>
      <tp t="s">
        <v/>
        <stp/>
        <stp>35544144M18:LstBlkTime</stp>
        <tr r="M650" s="5"/>
      </tp>
      <tp t="s">
        <v/>
        <stp/>
        <stp>35554145M18:LstBlkTime</stp>
        <tr r="M688" s="5"/>
      </tp>
      <tp t="s">
        <v/>
        <stp/>
        <stp>35534143M19:LstBlkTime</stp>
        <tr r="M727" s="5"/>
      </tp>
      <tp t="s">
        <v/>
        <stp/>
        <stp>35544144M19:LstBlkTime</stp>
        <tr r="M651" s="5"/>
      </tp>
      <tp t="s">
        <v/>
        <stp/>
        <stp>35554145M19:LstBlkTime</stp>
        <tr r="M689" s="5"/>
      </tp>
      <tp t="s">
        <v/>
        <stp/>
        <stp>35534143M10:LstBlkTime</stp>
        <tr r="M718" s="5"/>
      </tp>
      <tp t="s">
        <v/>
        <stp/>
        <stp>35544144M10:LstBlkTime</stp>
        <tr r="M642" s="5"/>
      </tp>
      <tp t="s">
        <v/>
        <stp/>
        <stp>35554145M10:LstBlkTime</stp>
        <tr r="M680" s="5"/>
      </tp>
      <tp t="s">
        <v/>
        <stp/>
        <stp>35534143M11:LstBlkTime</stp>
        <tr r="M719" s="5"/>
      </tp>
      <tp t="s">
        <v/>
        <stp/>
        <stp>35544144M11:LstBlkTime</stp>
        <tr r="M643" s="5"/>
      </tp>
      <tp t="s">
        <v/>
        <stp/>
        <stp>35554145M11:LstBlkTime</stp>
        <tr r="M681" s="5"/>
      </tp>
      <tp t="s">
        <v/>
        <stp/>
        <stp>35534143M12:LstBlkTime</stp>
        <tr r="M720" s="5"/>
      </tp>
      <tp t="s">
        <v/>
        <stp/>
        <stp>35544144M12:LstBlkTime</stp>
        <tr r="M644" s="5"/>
      </tp>
      <tp t="s">
        <v/>
        <stp/>
        <stp>35554145M12:LstBlkTime</stp>
        <tr r="M682" s="5"/>
      </tp>
      <tp t="s">
        <v/>
        <stp/>
        <stp>35534143M13:LstBlkTime</stp>
        <tr r="M721" s="5"/>
      </tp>
      <tp t="s">
        <v/>
        <stp/>
        <stp>35544144M13:LstBlkTime</stp>
        <tr r="M645" s="5"/>
      </tp>
      <tp t="s">
        <v/>
        <stp/>
        <stp>35554145M13:LstBlkTime</stp>
        <tr r="M683" s="5"/>
      </tp>
      <tp t="s">
        <v/>
        <stp/>
        <stp>35534143M14:LstBlkTime</stp>
        <tr r="M722" s="5"/>
      </tp>
      <tp t="s">
        <v/>
        <stp/>
        <stp>35544144M14:LstBlkTime</stp>
        <tr r="M646" s="5"/>
      </tp>
      <tp t="s">
        <v/>
        <stp/>
        <stp>35554145M14:LstBlkTime</stp>
        <tr r="M684" s="5"/>
      </tp>
      <tp t="s">
        <v/>
        <stp/>
        <stp>35534143M15:LstBlkTime</stp>
        <tr r="M723" s="5"/>
      </tp>
      <tp t="s">
        <v/>
        <stp/>
        <stp>35544144M15:LstBlkTime</stp>
        <tr r="M647" s="5"/>
      </tp>
      <tp t="s">
        <v/>
        <stp/>
        <stp>35554145M15:LstBlkTime</stp>
        <tr r="M685" s="5"/>
      </tp>
      <tp t="s">
        <v/>
        <stp/>
        <stp>35534143M16:LstBlkTime</stp>
        <tr r="M724" s="5"/>
      </tp>
      <tp t="s">
        <v/>
        <stp/>
        <stp>35544144M16:LstBlkTime</stp>
        <tr r="M648" s="5"/>
      </tp>
      <tp t="s">
        <v/>
        <stp/>
        <stp>35554145M16:LstBlkTime</stp>
        <tr r="M686" s="5"/>
      </tp>
      <tp t="s">
        <v/>
        <stp/>
        <stp>35534143M17:LstBlkTime</stp>
        <tr r="M725" s="5"/>
      </tp>
      <tp t="s">
        <v/>
        <stp/>
        <stp>35544144M17:LstBlkTime</stp>
        <tr r="M649" s="5"/>
      </tp>
      <tp t="s">
        <v/>
        <stp/>
        <stp>35554145M17:LstBlkTime</stp>
        <tr r="M687" s="5"/>
      </tp>
      <tp t="s">
        <v/>
        <stp/>
        <stp>35534143M20:LstBlkTime</stp>
        <tr r="M728" s="5"/>
      </tp>
      <tp t="s">
        <v/>
        <stp/>
        <stp>35544144M20:LstBlkTime</stp>
        <tr r="M652" s="5"/>
      </tp>
      <tp t="s">
        <v/>
        <stp/>
        <stp>35554145M20:LstBlkTime</stp>
        <tr r="M690" s="5"/>
      </tp>
      <tp t="s">
        <v/>
        <stp/>
        <stp>35534143M21:LstBlkTime</stp>
        <tr r="M729" s="5"/>
      </tp>
      <tp t="s">
        <v/>
        <stp/>
        <stp>35544144M21:LstBlkTime</stp>
        <tr r="M653" s="5"/>
      </tp>
      <tp t="s">
        <v/>
        <stp/>
        <stp>35554145M21:LstBlkTime</stp>
        <tr r="M691" s="5"/>
      </tp>
      <tp t="s">
        <v/>
        <stp/>
        <stp>35534143M22:LstBlkTime</stp>
        <tr r="M730" s="5"/>
      </tp>
      <tp t="s">
        <v/>
        <stp/>
        <stp>35544144M22:LstBlkTime</stp>
        <tr r="M654" s="5"/>
      </tp>
      <tp t="s">
        <v/>
        <stp/>
        <stp>35554145M22:LstBlkTime</stp>
        <tr r="M692" s="5"/>
      </tp>
      <tp t="s">
        <v/>
        <stp/>
        <stp>35534143M23:LstBlkTime</stp>
        <tr r="M731" s="5"/>
      </tp>
      <tp t="s">
        <v/>
        <stp/>
        <stp>35544144M23:LstBlkTime</stp>
        <tr r="M655" s="5"/>
      </tp>
      <tp t="s">
        <v/>
        <stp/>
        <stp>35554145M23:LstBlkTime</stp>
        <tr r="M693" s="5"/>
      </tp>
      <tp t="s">
        <v/>
        <stp/>
        <stp>35534143M24:LstBlkTime</stp>
        <tr r="M732" s="5"/>
      </tp>
      <tp t="s">
        <v/>
        <stp/>
        <stp>35544144M24:LstBlkTime</stp>
        <tr r="M656" s="5"/>
      </tp>
      <tp t="s">
        <v/>
        <stp/>
        <stp>35554145M24:LstBlkTime</stp>
        <tr r="M694" s="5"/>
      </tp>
    </main>
    <main first="bofaddin.rtdserver">
      <tp t="s">
        <v>#N/A Invalid Security</v>
        <stp/>
        <stp>BDP|11992742861775066052|222</stp>
        <stp>XBK0XBM0 Comdty</stp>
        <stp>ASK</stp>
        <stp>Fill=#N/A</stp>
        <tr r="R64" s="1"/>
      </tp>
      <tp>
        <v>2.58</v>
        <stp/>
        <stp>BDP|14599434430031565934|222</stp>
        <stp>CLV6CLX6 Comdty</stp>
        <stp>BID</stp>
        <stp>Fill=#N/A</stp>
        <tr r="N21" s="1"/>
      </tp>
    </main>
    <main first="esrtd">
      <tp t="s">
        <v/>
        <stp/>
        <stp>WHK 30!-IEU</stp>
        <stp>Block Price</stp>
        <tr r="K1947" s="5"/>
      </tp>
      <tp t="s">
        <v/>
        <stp/>
        <stp>WNS 30!-IEU</stp>
        <stp>Block Price</stp>
        <tr r="K1877" s="5"/>
      </tp>
      <tp t="s">
        <v/>
        <stp/>
        <stp>WMJ 30!-IEU</stp>
        <stp>Block Price</stp>
        <tr r="K1912" s="5"/>
      </tp>
    </main>
    <main first="bofaddin.rtdserver">
      <tp>
        <v>0.24</v>
        <stp/>
        <stp>BDP|12668252220361451267|222</stp>
        <stp>COQ8COU8 Comdty</stp>
        <stp>BID</stp>
        <stp>Fill=#N/A</stp>
        <tr r="O43" s="1"/>
      </tp>
    </main>
    <main first="ice.rtd">
      <tp t="s">
        <v/>
        <stp/>
        <stp>30813691M20:LstBlkTime</stp>
        <tr r="M1973" s="5"/>
      </tp>
      <tp t="s">
        <v/>
        <stp/>
        <stp>30813691M21:LstBlkTime</stp>
        <tr r="M1974" s="5"/>
      </tp>
      <tp t="s">
        <v/>
        <stp/>
        <stp>30813691M22:LstBlkTime</stp>
        <tr r="M1975" s="5"/>
      </tp>
      <tp t="s">
        <v/>
        <stp/>
        <stp>30813691M23:LstBlkTime</stp>
        <tr r="M1976" s="5"/>
      </tp>
      <tp t="s">
        <v/>
        <stp/>
        <stp>30813691M24:LstBlkTime</stp>
        <tr r="M1977" s="5"/>
      </tp>
      <tp t="s">
        <v/>
        <stp/>
        <stp>30813691M18:LstBlkTime</stp>
        <tr r="M1971" s="5"/>
      </tp>
      <tp t="s">
        <v/>
        <stp/>
        <stp>30813691M19:LstBlkTime</stp>
        <tr r="M1972" s="5"/>
      </tp>
      <tp t="s">
        <v/>
        <stp/>
        <stp>30813691M10:LstBlkTime</stp>
        <tr r="M1963" s="5"/>
      </tp>
      <tp t="s">
        <v/>
        <stp/>
        <stp>30813691M11:LstBlkTime</stp>
        <tr r="M1964" s="5"/>
      </tp>
      <tp t="s">
        <v/>
        <stp/>
        <stp>30813691M12:LstBlkTime</stp>
        <tr r="M1965" s="5"/>
      </tp>
      <tp t="s">
        <v/>
        <stp/>
        <stp>30813691M13:LstBlkTime</stp>
        <tr r="M1966" s="5"/>
      </tp>
      <tp t="s">
        <v/>
        <stp/>
        <stp>30813691M14:LstBlkTime</stp>
        <tr r="M1967" s="5"/>
      </tp>
      <tp t="s">
        <v/>
        <stp/>
        <stp>30813691M15:LstBlkTime</stp>
        <tr r="M1968" s="5"/>
      </tp>
      <tp t="s">
        <v/>
        <stp/>
        <stp>30813691M16:LstBlkTime</stp>
        <tr r="M1969" s="5"/>
      </tp>
      <tp t="s">
        <v/>
        <stp/>
        <stp>30813691M17:LstBlkTime</stp>
        <tr r="M1970" s="5"/>
      </tp>
      <tp t="s">
        <v/>
        <stp/>
        <stp>16331513M23:LstBlkTime</stp>
        <tr r="M1438" s="5"/>
      </tp>
      <tp t="s">
        <v/>
        <stp/>
        <stp>16341514M23:LstBlkTime</stp>
        <tr r="M1476" s="5"/>
      </tp>
      <tp t="s">
        <v/>
        <stp/>
        <stp>16351515M23:LstBlkTime</stp>
        <tr r="M1514" s="5"/>
      </tp>
      <tp t="s">
        <v/>
        <stp/>
        <stp>16331513M22:LstBlkTime</stp>
        <tr r="M1437" s="5"/>
      </tp>
      <tp t="s">
        <v/>
        <stp/>
        <stp>16341514M22:LstBlkTime</stp>
        <tr r="M1475" s="5"/>
      </tp>
      <tp t="s">
        <v/>
        <stp/>
        <stp>16351515M22:LstBlkTime</stp>
        <tr r="M1513" s="5"/>
      </tp>
      <tp t="s">
        <v/>
        <stp/>
        <stp>16331513M21:LstBlkTime</stp>
        <tr r="M1436" s="5"/>
      </tp>
      <tp t="s">
        <v/>
        <stp/>
        <stp>16341514M21:LstBlkTime</stp>
        <tr r="M1474" s="5"/>
      </tp>
      <tp t="s">
        <v/>
        <stp/>
        <stp>16351515M21:LstBlkTime</stp>
        <tr r="M1512" s="5"/>
      </tp>
      <tp t="s">
        <v/>
        <stp/>
        <stp>16331513M20:LstBlkTime</stp>
        <tr r="M1435" s="5"/>
      </tp>
      <tp t="s">
        <v/>
        <stp/>
        <stp>16341514M20:LstBlkTime</stp>
        <tr r="M1473" s="5"/>
      </tp>
      <tp t="s">
        <v/>
        <stp/>
        <stp>16351515M20:LstBlkTime</stp>
        <tr r="M1511" s="5"/>
      </tp>
      <tp t="s">
        <v/>
        <stp/>
        <stp>16331513M24:LstBlkTime</stp>
        <tr r="M1439" s="5"/>
      </tp>
      <tp t="s">
        <v/>
        <stp/>
        <stp>16341514M24:LstBlkTime</stp>
        <tr r="M1477" s="5"/>
      </tp>
      <tp t="s">
        <v/>
        <stp/>
        <stp>16351515M24:LstBlkTime</stp>
        <tr r="M1515" s="5"/>
      </tp>
      <tp t="s">
        <v/>
        <stp/>
        <stp>16331513M19:LstBlkTime</stp>
        <tr r="M1434" s="5"/>
      </tp>
      <tp t="s">
        <v/>
        <stp/>
        <stp>16341514M19:LstBlkTime</stp>
        <tr r="M1472" s="5"/>
      </tp>
      <tp t="s">
        <v/>
        <stp/>
        <stp>16351515M19:LstBlkTime</stp>
        <tr r="M1510" s="5"/>
      </tp>
      <tp t="s">
        <v/>
        <stp/>
        <stp>16331513M18:LstBlkTime</stp>
        <tr r="M1433" s="5"/>
      </tp>
      <tp t="s">
        <v/>
        <stp/>
        <stp>16341514M18:LstBlkTime</stp>
        <tr r="M1471" s="5"/>
      </tp>
      <tp t="s">
        <v/>
        <stp/>
        <stp>16351515M18:LstBlkTime</stp>
        <tr r="M1509" s="5"/>
      </tp>
      <tp t="s">
        <v/>
        <stp/>
        <stp>16331513M13:LstBlkTime</stp>
        <tr r="M1428" s="5"/>
      </tp>
      <tp t="s">
        <v/>
        <stp/>
        <stp>16341514M13:LstBlkTime</stp>
        <tr r="M1466" s="5"/>
      </tp>
      <tp t="s">
        <v/>
        <stp/>
        <stp>16351515M13:LstBlkTime</stp>
        <tr r="M1504" s="5"/>
      </tp>
      <tp t="s">
        <v/>
        <stp/>
        <stp>16331513M12:LstBlkTime</stp>
        <tr r="M1427" s="5"/>
      </tp>
      <tp t="s">
        <v/>
        <stp/>
        <stp>16341514M12:LstBlkTime</stp>
        <tr r="M1465" s="5"/>
      </tp>
      <tp t="s">
        <v/>
        <stp/>
        <stp>16351515M12:LstBlkTime</stp>
        <tr r="M1503" s="5"/>
      </tp>
      <tp t="s">
        <v/>
        <stp/>
        <stp>16331513M11:LstBlkTime</stp>
        <tr r="M1426" s="5"/>
      </tp>
      <tp t="s">
        <v/>
        <stp/>
        <stp>16341514M11:LstBlkTime</stp>
        <tr r="M1464" s="5"/>
      </tp>
      <tp t="s">
        <v/>
        <stp/>
        <stp>16351515M11:LstBlkTime</stp>
        <tr r="M1502" s="5"/>
      </tp>
      <tp t="s">
        <v/>
        <stp/>
        <stp>16331513M10:LstBlkTime</stp>
        <tr r="M1425" s="5"/>
      </tp>
      <tp t="s">
        <v/>
        <stp/>
        <stp>16341514M10:LstBlkTime</stp>
        <tr r="M1463" s="5"/>
      </tp>
      <tp t="s">
        <v/>
        <stp/>
        <stp>16351515M10:LstBlkTime</stp>
        <tr r="M1501" s="5"/>
      </tp>
      <tp t="s">
        <v/>
        <stp/>
        <stp>16331513M17:LstBlkTime</stp>
        <tr r="M1432" s="5"/>
      </tp>
      <tp t="s">
        <v/>
        <stp/>
        <stp>16341514M17:LstBlkTime</stp>
        <tr r="M1470" s="5"/>
      </tp>
      <tp t="s">
        <v/>
        <stp/>
        <stp>16351515M17:LstBlkTime</stp>
        <tr r="M1508" s="5"/>
      </tp>
      <tp t="s">
        <v/>
        <stp/>
        <stp>16331513M16:LstBlkTime</stp>
        <tr r="M1431" s="5"/>
      </tp>
      <tp t="s">
        <v/>
        <stp/>
        <stp>16341514M16:LstBlkTime</stp>
        <tr r="M1469" s="5"/>
      </tp>
      <tp t="s">
        <v/>
        <stp/>
        <stp>16351515M16:LstBlkTime</stp>
        <tr r="M1507" s="5"/>
      </tp>
      <tp t="s">
        <v/>
        <stp/>
        <stp>16331513M15:LstBlkTime</stp>
        <tr r="M1430" s="5"/>
      </tp>
      <tp t="s">
        <v/>
        <stp/>
        <stp>16341514M15:LstBlkTime</stp>
        <tr r="M1468" s="5"/>
      </tp>
      <tp t="s">
        <v/>
        <stp/>
        <stp>16351515M15:LstBlkTime</stp>
        <tr r="M1506" s="5"/>
      </tp>
      <tp t="s">
        <v/>
        <stp/>
        <stp>16331513M14:LstBlkTime</stp>
        <tr r="M1429" s="5"/>
      </tp>
      <tp t="s">
        <v/>
        <stp/>
        <stp>16341514M14:LstBlkTime</stp>
        <tr r="M1467" s="5"/>
      </tp>
      <tp t="s">
        <v/>
        <stp/>
        <stp>16351515M14:LstBlkTime</stp>
        <tr r="M1505" s="5"/>
      </tp>
    </main>
    <main first="bofaddin.rtdserver">
      <tp>
        <v>29.25</v>
        <stp/>
        <stp>BDP|16051152203559304042|222</stp>
        <stp>QSJ7QSK7 Comdty</stp>
        <stp>BID</stp>
        <stp>Fill=#N/A</stp>
        <tr r="P27" s="1"/>
      </tp>
    </main>
    <main first="ice.rtd">
      <tp t="s">
        <v/>
        <stp/>
        <stp>46678127M24:LstBlkTime</stp>
        <tr r="M369" s="5"/>
      </tp>
      <tp t="s">
        <v/>
        <stp/>
        <stp>46678127M21:LstBlkTime</stp>
        <tr r="M366" s="5"/>
      </tp>
      <tp t="s">
        <v/>
        <stp/>
        <stp>46678127M20:LstBlkTime</stp>
        <tr r="M365" s="5"/>
      </tp>
      <tp t="s">
        <v/>
        <stp/>
        <stp>46678127M23:LstBlkTime</stp>
        <tr r="M368" s="5"/>
      </tp>
      <tp t="s">
        <v/>
        <stp/>
        <stp>46678127M22:LstBlkTime</stp>
        <tr r="M367" s="5"/>
      </tp>
      <tp t="s">
        <v/>
        <stp/>
        <stp>46678127M19:LstBlkTime</stp>
        <tr r="M364" s="5"/>
      </tp>
      <tp t="s">
        <v/>
        <stp/>
        <stp>46678127M18:LstBlkTime</stp>
        <tr r="M363" s="5"/>
      </tp>
      <tp t="s">
        <v/>
        <stp/>
        <stp>46678127M15:LstBlkTime</stp>
        <tr r="M360" s="5"/>
      </tp>
      <tp t="s">
        <v/>
        <stp/>
        <stp>46678127M14:LstBlkTime</stp>
        <tr r="M359" s="5"/>
      </tp>
      <tp t="s">
        <v/>
        <stp/>
        <stp>46678127M17:LstBlkTime</stp>
        <tr r="M362" s="5"/>
      </tp>
      <tp t="s">
        <v/>
        <stp/>
        <stp>46678127M16:LstBlkTime</stp>
        <tr r="M361" s="5"/>
      </tp>
      <tp t="s">
        <v/>
        <stp/>
        <stp>46678127M11:LstBlkTime</stp>
        <tr r="M356" s="5"/>
      </tp>
      <tp t="s">
        <v/>
        <stp/>
        <stp>46678127M10:LstBlkTime</stp>
        <tr r="M355" s="5"/>
      </tp>
      <tp t="s">
        <v/>
        <stp/>
        <stp>46678127M13:LstBlkTime</stp>
        <tr r="M358" s="5"/>
      </tp>
      <tp t="s">
        <v/>
        <stp/>
        <stp>46678127M12:LstBlkTime</stp>
        <tr r="M357" s="5"/>
      </tp>
    </main>
    <main first="bofaddin.rtdserver">
      <tp t="s">
        <v>#N/A</v>
        <stp/>
        <stp>BDP|13819783776011729240|222</stp>
        <stp>QSJ0QSK0 Comdty</stp>
        <stp>BID</stp>
        <stp>Fill=#N/A</stp>
        <tr r="P63" s="1"/>
      </tp>
      <tp t="s">
        <v>#N/A</v>
        <stp/>
        <stp>BDP|10810123664748096723|222</stp>
        <stp>HOV9HOX9 Comdty</stp>
        <stp>BID</stp>
        <stp>Fill=#N/A</stp>
        <tr r="Q57" s="1"/>
      </tp>
    </main>
    <main first="esrtd">
      <tp t="s">
        <v/>
        <stp/>
        <stp>WDF 30!-IEU</stp>
        <stp>Block Price</stp>
        <tr r="K1807" s="5"/>
      </tp>
    </main>
    <main first="bofaddin.rtdserver">
      <tp>
        <v>3</v>
        <stp/>
        <stp>BDP|17834998005287379226|222</stp>
        <stp>XBK8XBM8 Comdty</stp>
        <stp>ASK</stp>
        <stp>Fill=#N/A</stp>
        <tr r="R40" s="1"/>
      </tp>
      <tp>
        <v>10.25</v>
        <stp/>
        <stp>BDP|15101832718960115694|222</stp>
        <stp>QSG8QSH8 Comdty</stp>
        <stp>BID</stp>
        <stp>Fill=#N/A</stp>
        <tr r="P37" s="1"/>
      </tp>
    </main>
    <main first="ice.rtd">
      <tp t="s">
        <v/>
        <stp/>
        <stp>2755828679Q6:LstBlkPrc</stp>
        <tr r="K1028" s="5"/>
      </tp>
      <tp t="s">
        <v/>
        <stp/>
        <stp>2755828679M6:LstBlkPrc</stp>
        <tr r="K1003" s="5"/>
      </tp>
      <tp t="s">
        <v/>
        <stp/>
        <stp>2180224575B0:BstHitPrc</stp>
        <tr r="G1224" s="5"/>
      </tp>
      <tp t="s">
        <v/>
        <stp/>
        <stp>29243602M6:LstBlkPrc</stp>
        <tr r="K752" s="5"/>
      </tp>
      <tp t="s">
        <v/>
        <stp/>
        <stp>1923422331M5:BstHitPrc</stp>
        <tr r="G1632" s="5"/>
      </tp>
      <tp>
        <v>-4.8499999999999996</v>
        <stp/>
        <stp>1581618115M5:BstHitPrc</stp>
        <tr r="G464" s="5"/>
      </tp>
      <tp t="s">
        <v/>
        <stp/>
        <stp>18901687M7:LstBlkPrc</stp>
        <tr r="K314" s="5"/>
      </tp>
      <tp t="s">
        <v/>
        <stp/>
        <stp>18901687Q7:LstBlkPrc</stp>
        <tr r="K339" s="5"/>
      </tp>
      <tp t="s">
        <v/>
        <stp/>
        <stp>1986923076Q3:LstBlkPrc</stp>
        <tr r="K183" s="5"/>
      </tp>
      <tp t="s">
        <v/>
        <stp/>
        <stp>1986923076M3:LstBlkPrc</stp>
        <tr r="K158" s="5"/>
      </tp>
      <tp t="s">
        <v/>
        <stp/>
        <stp>18851683M7:LstBlkPrc</stp>
        <tr r="K200" s="5"/>
      </tp>
      <tp t="s">
        <v/>
        <stp/>
        <stp>18851683Q7:LstBlkPrc</stp>
        <tr r="K225" s="5"/>
      </tp>
      <tp t="s">
        <v/>
        <stp/>
        <stp>18871685M7:LstBlkPrc</stp>
        <tr r="K428" s="5"/>
      </tp>
      <tp t="s">
        <v/>
        <stp/>
        <stp>18871685Q7:LstBlkPrc</stp>
        <tr r="K453" s="5"/>
      </tp>
      <tp t="s">
        <v/>
        <stp/>
        <stp>1986823075Q3:LstBlkPrc</stp>
        <tr r="K145" s="5"/>
      </tp>
      <tp>
        <v>-75.5</v>
        <stp/>
        <stp>1986823075M3:LstBlkPrc</stp>
        <tr r="K120" s="5"/>
      </tp>
      <tp>
        <v>1898</v>
        <stp/>
        <stp>1517M18:OI</stp>
        <tr r="T21" s="5"/>
      </tp>
      <tp>
        <v>3242</v>
        <stp/>
        <stp>1517M19:OI</stp>
        <tr r="T22" s="5"/>
      </tp>
      <tp>
        <v>16123</v>
        <stp/>
        <stp>1517M10:OI</stp>
        <tr r="T13" s="5"/>
      </tp>
      <tp>
        <v>14921</v>
        <stp/>
        <stp>1517M11:OI</stp>
        <tr r="T14" s="5"/>
      </tp>
      <tp>
        <v>13631</v>
        <stp/>
        <stp>1517M12:OI</stp>
        <tr r="T15" s="5"/>
      </tp>
      <tp>
        <v>15401</v>
        <stp/>
        <stp>1517M13:OI</stp>
        <tr r="T16" s="5"/>
      </tp>
      <tp>
        <v>12210</v>
        <stp/>
        <stp>1517M14:OI</stp>
        <tr r="T17" s="5"/>
      </tp>
      <tp>
        <v>17188</v>
        <stp/>
        <stp>1517M15:OI</stp>
        <tr r="T18" s="5"/>
      </tp>
      <tp>
        <v>1905</v>
        <stp/>
        <stp>1517M16:OI</stp>
        <tr r="T19" s="5"/>
      </tp>
      <tp>
        <v>1905</v>
        <stp/>
        <stp>1517M17:OI</stp>
        <tr r="T20" s="5"/>
      </tp>
      <tp>
        <v>3241</v>
        <stp/>
        <stp>1517M20:OI</stp>
        <tr r="T23" s="5"/>
      </tp>
      <tp>
        <v>3241</v>
        <stp/>
        <stp>1517M21:OI</stp>
        <tr r="T24" s="5"/>
      </tp>
      <tp>
        <v>2082</v>
        <stp/>
        <stp>1517M22:OI</stp>
        <tr r="T25" s="5"/>
      </tp>
      <tp>
        <v>2082</v>
        <stp/>
        <stp>1517M23:OI</stp>
        <tr r="T26" s="5"/>
      </tp>
      <tp>
        <v>2082</v>
        <stp/>
        <stp>1517M24:OI</stp>
        <tr r="T27" s="5"/>
      </tp>
      <tp t="s">
        <v>Nov26/Apr27</v>
        <stp/>
        <stp>DBI1227MM19:Strip</stp>
        <tr r="E1650" s="5"/>
        <tr r="E1670" s="5"/>
      </tp>
      <tp t="s">
        <v/>
        <stp/>
        <stp>2755728678M6:BstHitPrc</stp>
        <tr r="G1117" s="5"/>
      </tp>
      <tp t="s">
        <v/>
        <stp/>
        <stp>2755728678Q6:BstHitPrc</stp>
        <tr r="G1142" s="5"/>
      </tp>
      <tp t="s">
        <v/>
        <stp/>
        <stp>2044823525Q4:LstBlkPrc</stp>
        <tr r="K1774" s="5"/>
      </tp>
      <tp t="s">
        <v/>
        <stp/>
        <stp>2044823525M4:LstBlkPrc</stp>
        <tr r="K1751" s="5"/>
      </tp>
      <tp t="s">
        <v/>
        <stp/>
        <stp>2183024603B0:BstHitPrc</stp>
        <tr r="G1625" s="5"/>
      </tp>
      <tp t="s">
        <v/>
        <stp/>
        <stp>32613992Q2:BstHitPrc</stp>
        <tr r="G1252" s="5"/>
      </tp>
      <tp t="s">
        <v/>
        <stp/>
        <stp>32613992Y2:BstHitPrc</stp>
        <tr r="G1261" s="5"/>
      </tp>
      <tp t="s">
        <v/>
        <stp/>
        <stp>32613992M2:BstHitPrc</stp>
        <tr r="G1227" s="5"/>
      </tp>
      <tp t="s">
        <v/>
        <stp/>
        <stp>32623993Q2:BstHitPrc</stp>
        <tr r="G2017" s="5"/>
      </tp>
      <tp t="s">
        <v/>
        <stp/>
        <stp>32623993M2:BstHitPrc</stp>
        <tr r="G1992" s="5"/>
      </tp>
      <tp t="s">
        <v/>
        <stp/>
        <stp>3124331018M1:BstHitPrc</stp>
        <tr r="G1606" s="5"/>
      </tp>
      <tp t="s">
        <v/>
        <stp/>
        <stp>3124331018Q1:BstHitPrc</stp>
        <tr r="G1621" s="5"/>
      </tp>
      <tp t="s">
        <v/>
        <stp/>
        <stp>2427126288Q0:LstBlkPrc</stp>
        <tr r="K1060" s="5"/>
      </tp>
      <tp t="s">
        <v/>
        <stp/>
        <stp>2427126288Y0:LstBlkPrc</stp>
        <tr r="K1069" s="5"/>
      </tp>
      <tp t="s">
        <v/>
        <stp/>
        <stp>2427126288M0:LstBlkPrc</stp>
        <tr r="K1035" s="5"/>
      </tp>
      <tp>
        <v>2.1</v>
        <stp/>
        <stp>41767893Q0:BstHitPrc</stp>
        <tr r="G505" s="5"/>
      </tp>
      <tp t="s">
        <v/>
        <stp/>
        <stp>41767893Y0:BstHitPrc</stp>
        <tr r="G514" s="5"/>
      </tp>
      <tp t="s">
        <v>Invalid Market: 41767893B0</v>
        <stp/>
        <stp>41767893B0:BstHitPrc</stp>
        <tr r="G479" s="5"/>
      </tp>
      <tp>
        <v>3.75</v>
        <stp/>
        <stp>41767893M0:BstHitPrc</stp>
        <tr r="G480" s="5"/>
      </tp>
      <tp t="s">
        <v/>
        <stp/>
        <stp>41787896Q0:BstHitPrc</stp>
        <tr r="G832" s="5"/>
      </tp>
      <tp t="s">
        <v/>
        <stp/>
        <stp>41787896Y0:BstHitPrc</stp>
        <tr r="G841" s="5"/>
      </tp>
      <tp>
        <v>-15</v>
        <stp/>
        <stp>41787896M0:BstHitPrc</stp>
        <tr r="G807" s="5"/>
      </tp>
      <tp t="s">
        <v/>
        <stp/>
        <stp>2427026287Q0:LstBlkPrc</stp>
        <tr r="K1174" s="5"/>
      </tp>
      <tp t="s">
        <v/>
        <stp/>
        <stp>2427026287Y0:LstBlkPrc</stp>
        <tr r="K1183" s="5"/>
      </tp>
      <tp t="s">
        <v/>
        <stp/>
        <stp>2427026287M0:LstBlkPrc</stp>
        <tr r="K1149" s="5"/>
      </tp>
      <tp t="s">
        <v/>
        <stp/>
        <stp>18901687Q7:BstHitPrc</stp>
        <tr r="G339" s="5"/>
      </tp>
      <tp>
        <v>24.4</v>
        <stp/>
        <stp>18901687M7:BstHitPrc</stp>
        <tr r="G314" s="5"/>
      </tp>
      <tp>
        <v>2.25</v>
        <stp/>
        <stp>1986923076M3:BstHitPrc</stp>
        <tr r="G158" s="5"/>
      </tp>
      <tp t="s">
        <v/>
        <stp/>
        <stp>1986923076Q3:BstHitPrc</stp>
        <tr r="G183" s="5"/>
      </tp>
      <tp t="s">
        <v/>
        <stp/>
        <stp>18851683Q7:BstHitPrc</stp>
        <tr r="G225" s="5"/>
      </tp>
      <tp>
        <v>-10.199999999999999</v>
        <stp/>
        <stp>18851683M7:BstHitPrc</stp>
        <tr r="G200" s="5"/>
      </tp>
      <tp t="s">
        <v/>
        <stp/>
        <stp>18871685Q7:BstHitPrc</stp>
        <tr r="G453" s="5"/>
      </tp>
      <tp>
        <v>10</v>
        <stp/>
        <stp>18871685M7:BstHitPrc</stp>
        <tr r="G428" s="5"/>
      </tp>
      <tp>
        <v>-79</v>
        <stp/>
        <stp>1986823075M3:BstHitPrc</stp>
        <tr r="G120" s="5"/>
      </tp>
      <tp t="s">
        <v/>
        <stp/>
        <stp>1986823075Q3:BstHitPrc</stp>
        <tr r="G145" s="5"/>
      </tp>
      <tp t="s">
        <v/>
        <stp/>
        <stp>2180224575B0:LstBlkPrc</stp>
        <tr r="K1224" s="5"/>
      </tp>
      <tp t="s">
        <v/>
        <stp/>
        <stp>2755828679M6:BstHitPrc</stp>
        <tr r="G1003" s="5"/>
      </tp>
      <tp t="s">
        <v/>
        <stp/>
        <stp>2755828679Q6:BstHitPrc</stp>
        <tr r="G1028" s="5"/>
      </tp>
      <tp t="s">
        <v/>
        <stp/>
        <stp>29243602M6:BstHitPrc</stp>
        <tr r="G752" s="5"/>
      </tp>
      <tp t="s">
        <v/>
        <stp/>
        <stp>1581618115M5:LstBlkPrc</stp>
        <tr r="K464" s="5"/>
      </tp>
      <tp t="s">
        <v/>
        <stp/>
        <stp>1923422331M5:LstBlkPrc</stp>
        <tr r="K1632" s="5"/>
      </tp>
      <tp t="s">
        <v/>
        <stp/>
        <stp>32623993M2:LstBlkPrc</stp>
        <tr r="K1992" s="5"/>
      </tp>
      <tp t="s">
        <v/>
        <stp/>
        <stp>32623993Q2:LstBlkPrc</stp>
        <tr r="K2017" s="5"/>
      </tp>
      <tp t="s">
        <v/>
        <stp/>
        <stp>32613992M2:LstBlkPrc</stp>
        <tr r="K1227" s="5"/>
      </tp>
      <tp t="s">
        <v/>
        <stp/>
        <stp>32613992Y2:LstBlkPrc</stp>
        <tr r="K1261" s="5"/>
      </tp>
      <tp t="s">
        <v/>
        <stp/>
        <stp>32613992Q2:LstBlkPrc</stp>
        <tr r="K1252" s="5"/>
      </tp>
      <tp t="s">
        <v/>
        <stp/>
        <stp>2427126288M0:BstHitPrc</stp>
        <tr r="G1035" s="5"/>
      </tp>
      <tp t="s">
        <v/>
        <stp/>
        <stp>2427126288Y0:BstHitPrc</stp>
        <tr r="G1069" s="5"/>
      </tp>
      <tp t="s">
        <v/>
        <stp/>
        <stp>2427126288Q0:BstHitPrc</stp>
        <tr r="G1060" s="5"/>
      </tp>
      <tp t="s">
        <v/>
        <stp/>
        <stp>3124331018Q1:LstBlkPrc</stp>
        <tr r="K1621" s="5"/>
      </tp>
      <tp t="s">
        <v/>
        <stp/>
        <stp>3124331018M1:LstBlkPrc</stp>
        <tr r="K1606" s="5"/>
      </tp>
      <tp t="s">
        <v/>
        <stp/>
        <stp>41787896M0:LstBlkPrc</stp>
        <tr r="K807" s="5"/>
      </tp>
      <tp t="s">
        <v/>
        <stp/>
        <stp>41787896Y0:LstBlkPrc</stp>
        <tr r="K841" s="5"/>
      </tp>
      <tp t="s">
        <v/>
        <stp/>
        <stp>41787896Q0:LstBlkPrc</stp>
        <tr r="K832" s="5"/>
      </tp>
      <tp t="s">
        <v/>
        <stp/>
        <stp>41767893M0:LstBlkPrc</stp>
        <tr r="K480" s="5"/>
      </tp>
      <tp t="s">
        <v>Invalid Market: 41767893B0</v>
        <stp/>
        <stp>41767893B0:LstBlkPrc</stp>
        <tr r="K479" s="5"/>
      </tp>
      <tp t="s">
        <v/>
        <stp/>
        <stp>41767893Y0:LstBlkPrc</stp>
        <tr r="K514" s="5"/>
      </tp>
      <tp>
        <v>3.7</v>
        <stp/>
        <stp>41767893Q0:LstBlkPrc</stp>
        <tr r="K505" s="5"/>
      </tp>
      <tp t="s">
        <v/>
        <stp/>
        <stp>2427026287M0:BstHitPrc</stp>
        <tr r="G1149" s="5"/>
      </tp>
      <tp t="s">
        <v/>
        <stp/>
        <stp>2427026287Y0:BstHitPrc</stp>
        <tr r="G1183" s="5"/>
      </tp>
      <tp t="s">
        <v/>
        <stp/>
        <stp>2427026287Q0:BstHitPrc</stp>
        <tr r="G1174" s="5"/>
      </tp>
      <tp>
        <v>166</v>
        <stp/>
        <stp>2183024603B0:LstBlkPrc</stp>
        <tr r="K1625" s="5"/>
      </tp>
      <tp t="s">
        <v/>
        <stp/>
        <stp>2044823525M4:BstHitPrc</stp>
        <tr r="G1751" s="5"/>
      </tp>
      <tp t="s">
        <v/>
        <stp/>
        <stp>2044823525Q4:BstHitPrc</stp>
        <tr r="G1774" s="5"/>
      </tp>
      <tp t="s">
        <v/>
        <stp/>
        <stp>2755728678Q6:LstBlkPrc</stp>
        <tr r="K1142" s="5"/>
      </tp>
      <tp t="s">
        <v/>
        <stp/>
        <stp>2755728678M6:LstBlkPrc</stp>
        <tr r="K1117" s="5"/>
      </tp>
      <tp t="s">
        <v/>
        <stp/>
        <stp>41767893M6:LstBlkVol</stp>
        <tr r="L486" s="5"/>
      </tp>
      <tp t="s">
        <v/>
        <stp/>
        <stp>41767893Q6:LstBlkVol</stp>
        <tr r="L511" s="5"/>
      </tp>
      <tp t="s">
        <v/>
        <stp/>
        <stp>30793693M9:LstBlkVol</stp>
        <tr r="L892" s="5"/>
      </tp>
      <tp t="s">
        <v/>
        <stp/>
        <stp>41787896M6:LstBlkVol</stp>
        <tr r="L813" s="5"/>
      </tp>
      <tp t="s">
        <v/>
        <stp/>
        <stp>41787896Q6:LstBlkVol</stp>
        <tr r="L838" s="5"/>
      </tp>
      <tp t="s">
        <v/>
        <stp/>
        <stp>2325325614B0:LstBlkVol</stp>
        <tr r="L517" s="5"/>
      </tp>
      <tp t="s">
        <v/>
        <stp/>
        <stp>32613992M4:LstBlkVol</stp>
        <tr r="L1229" s="5"/>
      </tp>
      <tp t="s">
        <v/>
        <stp/>
        <stp>32613992Q4:LstBlkVol</stp>
        <tr r="L1254" s="5"/>
      </tp>
      <tp t="s">
        <v/>
        <stp/>
        <stp>32623993M4:LstBlkVol</stp>
        <tr r="L1994" s="5"/>
      </tp>
      <tp t="s">
        <v/>
        <stp/>
        <stp>32623993Q4:LstBlkVol</stp>
        <tr r="L2019" s="5"/>
      </tp>
      <tp t="s">
        <v/>
        <stp/>
        <stp>3124331018M7:LstBlkVol</stp>
        <tr r="L1612" s="5"/>
      </tp>
      <tp t="s">
        <v/>
        <stp/>
        <stp>2325225613B0:LstBlkVol</stp>
        <tr r="L631" s="5"/>
      </tp>
      <tp t="s">
        <v/>
        <stp/>
        <stp>2755728678Y0:LstBlkVol</stp>
        <tr r="L1145" s="5"/>
      </tp>
      <tp t="s">
        <v/>
        <stp/>
        <stp>2755728678Q0:LstBlkVol</stp>
        <tr r="L1136" s="5"/>
      </tp>
      <tp t="s">
        <v/>
        <stp/>
        <stp>2755728678M0:LstBlkVol</stp>
        <tr r="L1111" s="5"/>
      </tp>
      <tp>
        <v>5</v>
        <stp/>
        <stp>2185224624B0:LstBlkVol</stp>
        <tr r="L593" s="5"/>
      </tp>
      <tp t="s">
        <v/>
        <stp/>
        <stp>2325125612B0:LstBlkVol</stp>
        <tr r="L669" s="5"/>
      </tp>
      <tp t="s">
        <v/>
        <stp/>
        <stp>2185324625B0:LstBlkVol</stp>
        <tr r="L78" s="5"/>
      </tp>
    </main>
    <main first="bofaddin.rtdserver">
      <tp t="s">
        <v>#N/A Invalid Security</v>
        <stp/>
        <stp>BDP|937458046491979468|222</stp>
        <stp>COK9 Comdty</stp>
        <stp>ASK</stp>
        <stp>Fill=#N/A</stp>
        <tr r="G51" s="1"/>
      </tp>
    </main>
    <main first="ice.rtd">
      <tp t="s">
        <v/>
        <stp/>
        <stp>161913535MM9:LstBlkVol</stp>
        <tr r="L2036" s="5"/>
      </tp>
      <tp t="s">
        <v/>
        <stp/>
        <stp>2185624628B0:LstBlkVol</stp>
        <tr r="L745" s="5"/>
      </tp>
      <tp t="s">
        <v/>
        <stp/>
        <stp>1923422331Q3:LstBlkVol</stp>
        <tr r="L1645" s="5"/>
      </tp>
      <tp t="s">
        <v/>
        <stp/>
        <stp>1923422331M3:LstBlkVol</stp>
        <tr r="L1630" s="5"/>
      </tp>
      <tp t="s">
        <v/>
        <stp/>
        <stp>1581618115Q3:LstBlkVol</stp>
        <tr r="L477" s="5"/>
      </tp>
      <tp>
        <v>25</v>
        <stp/>
        <stp>1581618115M3:LstBlkVol</stp>
        <tr r="L462" s="5"/>
      </tp>
      <tp t="s">
        <v/>
        <stp/>
        <stp>2325425615B0:LstBlkVol</stp>
        <tr r="L555" s="5"/>
      </tp>
      <tp t="s">
        <v/>
        <stp/>
        <stp>2044823525Q2:LstBlkVol</stp>
        <tr r="L1772" s="5"/>
      </tp>
      <tp t="s">
        <v/>
        <stp/>
        <stp>2044823525M2:LstBlkVol</stp>
        <tr r="L1749" s="5"/>
      </tp>
      <tp t="s">
        <v/>
        <stp/>
        <stp>57409036M8:LstBlkVol</stp>
        <tr r="L239" s="5"/>
      </tp>
      <tp t="s">
        <v/>
        <stp/>
        <stp>57409036Q8:LstBlkVol</stp>
        <tr r="L264" s="5"/>
      </tp>
      <tp t="s">
        <v/>
        <stp/>
        <stp>46678127M8:LstBlkVol</stp>
        <tr r="L353" s="5"/>
      </tp>
      <tp t="s">
        <v/>
        <stp/>
        <stp>46678127Q8:LstBlkVol</stp>
        <tr r="L378" s="5"/>
      </tp>
      <tp t="s">
        <v/>
        <stp/>
        <stp>2427026287Q6:LstBlkVol</stp>
        <tr r="L1180" s="5"/>
      </tp>
      <tp t="s">
        <v/>
        <stp/>
        <stp>2427026287M6:LstBlkVol</stp>
        <tr r="L1155" s="5"/>
      </tp>
      <tp t="s">
        <v/>
        <stp/>
        <stp>2427126288Q6:LstBlkVol</stp>
        <tr r="L1066" s="5"/>
      </tp>
      <tp t="s">
        <v/>
        <stp/>
        <stp>2427126288M6:LstBlkVol</stp>
        <tr r="L1041" s="5"/>
      </tp>
      <tp t="s">
        <v/>
        <stp/>
        <stp>2325825619B0:LstBlkVol</stp>
        <tr r="L40" s="5"/>
      </tp>
      <tp t="s">
        <v/>
        <stp/>
        <stp>29243602M0:LstBlkVol</stp>
        <tr r="L746" s="5"/>
      </tp>
      <tp t="s">
        <v/>
        <stp/>
        <stp>29243602Y0:LstBlkVol</stp>
        <tr r="L767" s="5"/>
      </tp>
      <tp t="s">
        <v/>
        <stp/>
        <stp>29243602Q0:LstBlkVol</stp>
        <tr r="L762" s="5"/>
      </tp>
      <tp t="s">
        <v/>
        <stp/>
        <stp>57179020M8:LstBlkVol</stp>
        <tr r="L1555" s="5"/>
      </tp>
      <tp t="s">
        <v/>
        <stp/>
        <stp>2755828679Y0:LstBlkVol</stp>
        <tr r="L1031" s="5"/>
      </tp>
      <tp t="s">
        <v/>
        <stp/>
        <stp>2755828679Q0:LstBlkVol</stp>
        <tr r="L1022" s="5"/>
      </tp>
      <tp t="s">
        <v/>
        <stp/>
        <stp>2755828679M0:LstBlkVol</stp>
        <tr r="L997" s="5"/>
      </tp>
      <tp>
        <v>5</v>
        <stp/>
        <stp>18871685M1:LstBlkVol</stp>
        <tr r="L422" s="5"/>
      </tp>
      <tp t="s">
        <v/>
        <stp/>
        <stp>18871685Y1:LstBlkVol</stp>
        <tr r="L456" s="5"/>
      </tp>
      <tp>
        <v>5</v>
        <stp/>
        <stp>18871685Q1:LstBlkVol</stp>
        <tr r="L447" s="5"/>
      </tp>
      <tp>
        <v>5</v>
        <stp/>
        <stp>18851683M1:LstBlkVol</stp>
        <tr r="L194" s="5"/>
      </tp>
      <tp t="s">
        <v/>
        <stp/>
        <stp>18851683Y1:LstBlkVol</stp>
        <tr r="L228" s="5"/>
      </tp>
      <tp t="s">
        <v/>
        <stp/>
        <stp>18851683Q1:LstBlkVol</stp>
        <tr r="L219" s="5"/>
      </tp>
      <tp t="s">
        <v/>
        <stp/>
        <stp>1986823075Q5:LstBlkVol</stp>
        <tr r="L147" s="5"/>
      </tp>
      <tp t="s">
        <v/>
        <stp/>
        <stp>1986823075M5:LstBlkVol</stp>
        <tr r="L122" s="5"/>
      </tp>
      <tp t="s">
        <v/>
        <stp/>
        <stp>30813691M9:LstBlkVol</stp>
        <tr r="L1962" s="5"/>
      </tp>
      <tp>
        <v>7</v>
        <stp/>
        <stp>18901687M1:LstBlkVol</stp>
        <tr r="L308" s="5"/>
      </tp>
      <tp t="s">
        <v/>
        <stp/>
        <stp>18901687Y1:LstBlkVol</stp>
        <tr r="L342" s="5"/>
      </tp>
      <tp t="s">
        <v/>
        <stp/>
        <stp>18901687Q1:LstBlkVol</stp>
        <tr r="L333" s="5"/>
      </tp>
      <tp t="s">
        <v/>
        <stp/>
        <stp>15091310M9:LstBlkVol</stp>
        <tr r="L1386" s="5"/>
      </tp>
      <tp t="s">
        <v/>
        <stp/>
        <stp>1986923076Q5:LstBlkVol</stp>
        <tr r="L185" s="5"/>
      </tp>
      <tp t="s">
        <v/>
        <stp/>
        <stp>1986923076M5:LstBlkVol</stp>
        <tr r="L160" s="5"/>
      </tp>
    </main>
    <main first="esrtd">
      <tp t="s">
        <v/>
        <stp/>
        <stp>TDL 13!-IEU</stp>
        <stp>Ask</stp>
        <tr r="H1825" s="5"/>
      </tp>
      <tp t="s">
        <v/>
        <stp/>
        <stp>WDF 23!-IEU</stp>
        <stp>Ask</stp>
        <tr r="H1800" s="5"/>
      </tp>
      <tp t="s">
        <v/>
        <stp/>
        <stp>WNS 29!-IEU</stp>
        <stp>Ask</stp>
        <tr r="H1876" s="5"/>
      </tp>
      <tp t="s">
        <v/>
        <stp/>
        <stp>TDL 12!-IEU</stp>
        <stp>Ask</stp>
        <tr r="H1824" s="5"/>
      </tp>
      <tp t="s">
        <v/>
        <stp/>
        <stp>WDF 22!-IEU</stp>
        <stp>Ask</stp>
        <tr r="H1799" s="5"/>
      </tp>
      <tp t="s">
        <v/>
        <stp/>
        <stp>WNS 28!-IEU</stp>
        <stp>Ask</stp>
        <tr r="H1875" s="5"/>
      </tp>
      <tp t="s">
        <v/>
        <stp/>
        <stp>TDL 11!-IEU</stp>
        <stp>Ask</stp>
        <tr r="H1823" s="5"/>
      </tp>
      <tp t="s">
        <v/>
        <stp/>
        <stp>WMJ 28!-IEU</stp>
        <stp>Ask</stp>
        <tr r="H1910" s="5"/>
      </tp>
      <tp t="s">
        <v/>
        <stp/>
        <stp>WDF 21!-IEU</stp>
        <stp>Ask</stp>
        <tr r="H1798" s="5"/>
      </tp>
      <tp t="s">
        <v/>
        <stp/>
        <stp>TDL 10!-IEU</stp>
        <stp>Ask</stp>
        <tr r="H1822" s="5"/>
      </tp>
      <tp t="s">
        <v/>
        <stp/>
        <stp>WMJ 29!-IEU</stp>
        <stp>Ask</stp>
        <tr r="H1911" s="5"/>
      </tp>
      <tp t="s">
        <v/>
        <stp/>
        <stp>WDF 20!-IEU</stp>
        <stp>Ask</stp>
        <tr r="H1797" s="5"/>
      </tp>
      <tp t="s">
        <v/>
        <stp/>
        <stp>TDL 17!-IEU</stp>
        <stp>Ask</stp>
        <tr r="H1829" s="5"/>
      </tp>
      <tp t="s">
        <v/>
        <stp/>
        <stp>WDF 27!-IEU</stp>
        <stp>Ask</stp>
        <tr r="H1804" s="5"/>
      </tp>
      <tp t="s">
        <v/>
        <stp/>
        <stp>TDL 16!-IEU</stp>
        <stp>Ask</stp>
        <tr r="H1828" s="5"/>
      </tp>
      <tp t="s">
        <v/>
        <stp/>
        <stp>WDF 26!-IEU</stp>
        <stp>Ask</stp>
        <tr r="H1803" s="5"/>
      </tp>
    </main>
    <main first="ice.rtd">
      <tp t="s">
        <v/>
        <stp/>
        <stp>366531MM18:LstBlkVol</stp>
        <tr r="L1733" s="5"/>
      </tp>
    </main>
    <main first="esrtd">
      <tp t="s">
        <v/>
        <stp/>
        <stp>TDL 15!-IEU</stp>
        <stp>Ask</stp>
        <tr r="H1827" s="5"/>
      </tp>
      <tp t="s">
        <v/>
        <stp/>
        <stp>WHK 29!-IEU</stp>
        <stp>Ask</stp>
        <tr r="H1946" s="5"/>
      </tp>
      <tp t="s">
        <v/>
        <stp/>
        <stp>WDF 25!-IEU</stp>
        <stp>Ask</stp>
        <tr r="H1802" s="5"/>
      </tp>
      <tp t="s">
        <v/>
        <stp/>
        <stp>TDL 14!-IEU</stp>
        <stp>Ask</stp>
        <tr r="H1826" s="5"/>
      </tp>
      <tp t="s">
        <v/>
        <stp/>
        <stp>WHK 28!-IEU</stp>
        <stp>Ask</stp>
        <tr r="H1945" s="5"/>
      </tp>
      <tp t="s">
        <v/>
        <stp/>
        <stp>WDF 24!-IEU</stp>
        <stp>Ask</stp>
        <tr r="H1801" s="5"/>
      </tp>
      <tp t="s">
        <v/>
        <stp/>
        <stp>WMJ 22!-IEU</stp>
        <stp>Ask</stp>
        <tr r="H1904" s="5"/>
      </tp>
      <tp t="s">
        <v/>
        <stp/>
        <stp>WHK 27!-IEU</stp>
        <stp>Ask</stp>
        <tr r="H1944" s="5"/>
      </tp>
      <tp t="s">
        <v/>
        <stp/>
        <stp>WNS 21!-IEU</stp>
        <stp>Ask</stp>
        <tr r="H1868" s="5"/>
      </tp>
      <tp t="s">
        <v/>
        <stp/>
        <stp>WMJ 23!-IEU</stp>
        <stp>Ask</stp>
        <tr r="H1905" s="5"/>
      </tp>
      <tp t="s">
        <v/>
        <stp/>
        <stp>WHK 26!-IEU</stp>
        <stp>Ask</stp>
        <tr r="H1943" s="5"/>
      </tp>
      <tp t="s">
        <v/>
        <stp/>
        <stp>WNS 20!-IEU</stp>
        <stp>Ask</stp>
        <tr r="H1867" s="5"/>
      </tp>
      <tp t="s">
        <v/>
        <stp/>
        <stp>TDL 19!-IEU</stp>
        <stp>Ask</stp>
        <tr r="H1831" s="5"/>
      </tp>
      <tp t="s">
        <v/>
        <stp/>
        <stp>WMJ 20!-IEU</stp>
        <stp>Ask</stp>
        <tr r="H1902" s="5"/>
      </tp>
      <tp t="s">
        <v/>
        <stp/>
        <stp>WHK 25!-IEU</stp>
        <stp>Ask</stp>
        <tr r="H1942" s="5"/>
      </tp>
      <tp t="s">
        <v/>
        <stp/>
        <stp>WDF 29!-IEU</stp>
        <stp>Ask</stp>
        <tr r="H1806" s="5"/>
      </tp>
      <tp t="s">
        <v/>
        <stp/>
        <stp>WNS 23!-IEU</stp>
        <stp>Ask</stp>
        <tr r="H1870" s="5"/>
      </tp>
      <tp t="s">
        <v/>
        <stp/>
        <stp>TDL 18!-IEU</stp>
        <stp>Ask</stp>
        <tr r="H1830" s="5"/>
      </tp>
      <tp t="s">
        <v/>
        <stp/>
        <stp>WMJ 21!-IEU</stp>
        <stp>Ask</stp>
        <tr r="H1903" s="5"/>
      </tp>
      <tp t="s">
        <v/>
        <stp/>
        <stp>WHK 24!-IEU</stp>
        <stp>Ask</stp>
        <tr r="H1941" s="5"/>
      </tp>
      <tp t="s">
        <v/>
        <stp/>
        <stp>WDF 28!-IEU</stp>
        <stp>Ask</stp>
        <tr r="H1805" s="5"/>
      </tp>
      <tp t="s">
        <v/>
        <stp/>
        <stp>WNS 22!-IEU</stp>
        <stp>Ask</stp>
        <tr r="H1869" s="5"/>
      </tp>
      <tp t="s">
        <v/>
        <stp/>
        <stp>WMJ 26!-IEU</stp>
        <stp>Ask</stp>
        <tr r="H1908" s="5"/>
      </tp>
      <tp t="s">
        <v/>
        <stp/>
        <stp>WHK 23!-IEU</stp>
        <stp>Ask</stp>
        <tr r="H1940" s="5"/>
      </tp>
      <tp t="s">
        <v/>
        <stp/>
        <stp>WNS 25!-IEU</stp>
        <stp>Ask</stp>
        <tr r="H1872" s="5"/>
      </tp>
    </main>
    <main first="ice.rtd">
      <tp t="s">
        <v/>
        <stp/>
        <stp>15061297MM12:LstBlkVol</stp>
        <tr r="L1695" s="5"/>
      </tp>
      <tp t="s">
        <v/>
        <stp/>
        <stp>15061297MM22:LstBlkVol</stp>
        <tr r="L1705" s="5"/>
      </tp>
      <tp>
        <v>49.249999999999943</v>
        <stp/>
        <stp>366531MM22:Settle</stp>
        <tr r="U1737" s="5"/>
      </tp>
      <tp>
        <v>54.499999999999943</v>
        <stp/>
        <stp>366531MM23:Settle</stp>
        <tr r="U1738" s="5"/>
      </tp>
      <tp>
        <v>38.749999999999943</v>
        <stp/>
        <stp>366531MM20:Settle</stp>
        <tr r="U1735" s="5"/>
      </tp>
      <tp>
        <v>44.249999999999943</v>
        <stp/>
        <stp>366531MM21:Settle</stp>
        <tr r="U1736" s="5"/>
      </tp>
      <tp>
        <v>26.499999999999943</v>
        <stp/>
        <stp>366531MM26:Settle</stp>
        <tr r="U1741" s="5"/>
      </tp>
      <tp>
        <v>31.999999999999943</v>
        <stp/>
        <stp>366531MM27:Settle</stp>
        <tr r="U1742" s="5"/>
      </tp>
      <tp>
        <v>10.749999999999943</v>
        <stp/>
        <stp>366531MM24:Settle</stp>
        <tr r="U1739" s="5"/>
      </tp>
      <tp>
        <v>19.499999999999943</v>
        <stp/>
        <stp>366531MM25:Settle</stp>
        <tr r="U1740" s="5"/>
      </tp>
      <tp>
        <v>38.749999999999943</v>
        <stp/>
        <stp>366531MM12:Settle</stp>
        <tr r="U1727" s="5"/>
      </tp>
      <tp>
        <v>47.499999999999943</v>
        <stp/>
        <stp>366531MM13:Settle</stp>
        <tr r="U1728" s="5"/>
      </tp>
      <tp>
        <v>15.75</v>
        <stp/>
        <stp>366531MM10:Settle</stp>
        <tr r="U1725" s="5"/>
      </tp>
      <tp>
        <v>28</v>
        <stp/>
        <stp>366531MM11:Settle</stp>
        <tr r="U1726" s="5"/>
      </tp>
      <tp>
        <v>64.999999999999943</v>
        <stp/>
        <stp>366531MM16:Settle</stp>
        <tr r="U1731" s="5"/>
      </tp>
      <tp>
        <v>12.25</v>
        <stp/>
        <stp>366531MM17:Settle</stp>
        <tr r="U1732" s="5"/>
      </tp>
      <tp>
        <v>54.499999999999943</v>
        <stp/>
        <stp>366531MM14:Settle</stp>
        <tr r="U1729" s="5"/>
      </tp>
      <tp>
        <v>59.999999999999943</v>
        <stp/>
        <stp>366531MM15:Settle</stp>
        <tr r="U1730" s="5"/>
      </tp>
      <tp>
        <v>22.999999999999943</v>
        <stp/>
        <stp>366531MM18:Settle</stp>
        <tr r="U1733" s="5"/>
      </tp>
      <tp>
        <v>31.749999999999943</v>
        <stp/>
        <stp>366531MM19:Settle</stp>
        <tr r="U1734" s="5"/>
      </tp>
    </main>
    <main first="esrtd">
      <tp t="s">
        <v/>
        <stp/>
        <stp>WMJ 27!-IEU</stp>
        <stp>Ask</stp>
        <tr r="H1909" s="5"/>
      </tp>
      <tp t="s">
        <v/>
        <stp/>
        <stp>WHK 22!-IEU</stp>
        <stp>Ask</stp>
        <tr r="H1939" s="5"/>
      </tp>
      <tp t="s">
        <v/>
        <stp/>
        <stp>WNS 24!-IEU</stp>
        <stp>Ask</stp>
        <tr r="H1871" s="5"/>
      </tp>
      <tp t="s">
        <v/>
        <stp/>
        <stp>WMJ 24!-IEU</stp>
        <stp>Ask</stp>
        <tr r="H1906" s="5"/>
      </tp>
      <tp t="s">
        <v/>
        <stp/>
        <stp>WHK 21!-IEU</stp>
        <stp>Ask</stp>
        <tr r="H1938" s="5"/>
      </tp>
      <tp t="s">
        <v/>
        <stp/>
        <stp>WNS 27!-IEU</stp>
        <stp>Ask</stp>
        <tr r="H1874" s="5"/>
      </tp>
      <tp t="s">
        <v/>
        <stp/>
        <stp>WMJ 25!-IEU</stp>
        <stp>Ask</stp>
        <tr r="H1907" s="5"/>
      </tp>
      <tp t="s">
        <v/>
        <stp/>
        <stp>WHK 20!-IEU</stp>
        <stp>Ask</stp>
        <tr r="H1937" s="5"/>
      </tp>
      <tp t="s">
        <v/>
        <stp/>
        <stp>WNS 26!-IEU</stp>
        <stp>Ask</stp>
        <tr r="H1873" s="5"/>
      </tp>
    </main>
    <main first="ice.rtd">
      <tp t="s">
        <v/>
        <stp/>
        <stp>15061297MM14:LstBlkPrc</stp>
        <tr r="K1697" s="5"/>
      </tp>
      <tp t="s">
        <v/>
        <stp/>
        <stp>15061297MM24:LstBlkPrc</stp>
        <tr r="K1707" s="5"/>
      </tp>
    </main>
    <main first="esrtd">
      <tp t="s">
        <v/>
        <stp/>
        <stp>WDF 19!-IEU</stp>
        <stp>Bid</stp>
        <tr r="G1796" s="5"/>
      </tp>
      <tp t="s">
        <v/>
        <stp/>
        <stp>WHK 15!-IEU</stp>
        <stp>Bid</stp>
        <tr r="G1932" s="5"/>
      </tp>
      <tp t="s">
        <v/>
        <stp/>
        <stp>WMJ 10!-IEU</stp>
        <stp>Bid</stp>
        <tr r="G1892" s="5"/>
      </tp>
      <tp t="s">
        <v/>
        <stp/>
        <stp>TDL 29!-IEU</stp>
        <stp>Bid</stp>
        <tr r="G1841" s="5"/>
      </tp>
      <tp t="s">
        <v/>
        <stp/>
        <stp>WNS 13!-IEU</stp>
        <stp>Bid</stp>
        <tr r="G1860" s="5"/>
      </tp>
      <tp t="s">
        <v/>
        <stp/>
        <stp>WDF 18!-IEU</stp>
        <stp>Bid</stp>
        <tr r="G1795" s="5"/>
      </tp>
      <tp t="s">
        <v/>
        <stp/>
        <stp>WHK 14!-IEU</stp>
        <stp>Bid</stp>
        <tr r="G1931" s="5"/>
      </tp>
      <tp t="s">
        <v/>
        <stp/>
        <stp>WMJ 11!-IEU</stp>
        <stp>Bid</stp>
        <tr r="G1893" s="5"/>
      </tp>
      <tp t="s">
        <v/>
        <stp/>
        <stp>TDL 28!-IEU</stp>
        <stp>Bid</stp>
        <tr r="G1840" s="5"/>
      </tp>
      <tp t="s">
        <v/>
        <stp/>
        <stp>WNS 12!-IEU</stp>
        <stp>Bid</stp>
        <tr r="G1859" s="5"/>
      </tp>
      <tp t="s">
        <v/>
        <stp/>
        <stp>WHK 17!-IEU</stp>
        <stp>Bid</stp>
        <tr r="G1934" s="5"/>
      </tp>
      <tp t="s">
        <v/>
        <stp/>
        <stp>WMJ 12!-IEU</stp>
        <stp>Bid</stp>
        <tr r="G1894" s="5"/>
      </tp>
      <tp t="s">
        <v/>
        <stp/>
        <stp>WNS 11!-IEU</stp>
        <stp>Bid</stp>
        <tr r="G1858" s="5"/>
      </tp>
      <tp t="s">
        <v/>
        <stp/>
        <stp>WHK 16!-IEU</stp>
        <stp>Bid</stp>
        <tr r="G1933" s="5"/>
      </tp>
      <tp t="s">
        <v/>
        <stp/>
        <stp>WMJ 13!-IEU</stp>
        <stp>Bid</stp>
        <tr r="G1895" s="5"/>
      </tp>
      <tp t="s">
        <v/>
        <stp/>
        <stp>WNS 10!-IEU</stp>
        <stp>Bid</stp>
        <tr r="G1857" s="5"/>
      </tp>
      <tp t="s">
        <v/>
        <stp/>
        <stp>WHK 11!-IEU</stp>
        <stp>Bid</stp>
        <tr r="G1928" s="5"/>
      </tp>
      <tp t="s">
        <v/>
        <stp/>
        <stp>WMJ 14!-IEU</stp>
        <stp>Bid</stp>
        <tr r="G1896" s="5"/>
      </tp>
      <tp t="s">
        <v/>
        <stp/>
        <stp>WNS 17!-IEU</stp>
        <stp>Bid</stp>
        <tr r="G1864" s="5"/>
      </tp>
      <tp t="s">
        <v/>
        <stp/>
        <stp>WHK 10!-IEU</stp>
        <stp>Bid</stp>
        <tr r="G1927" s="5"/>
      </tp>
      <tp t="s">
        <v/>
        <stp/>
        <stp>WMJ 15!-IEU</stp>
        <stp>Bid</stp>
        <tr r="G1897" s="5"/>
      </tp>
      <tp t="s">
        <v/>
        <stp/>
        <stp>WNS 16!-IEU</stp>
        <stp>Bid</stp>
        <tr r="G1863" s="5"/>
      </tp>
      <tp t="s">
        <v/>
        <stp/>
        <stp>WHK 13!-IEU</stp>
        <stp>Bid</stp>
        <tr r="G1930" s="5"/>
      </tp>
      <tp t="s">
        <v/>
        <stp/>
        <stp>WMJ 16!-IEU</stp>
        <stp>Bid</stp>
        <tr r="G1898" s="5"/>
      </tp>
      <tp t="s">
        <v/>
        <stp/>
        <stp>WNS 15!-IEU</stp>
        <stp>Bid</stp>
        <tr r="G1862" s="5"/>
      </tp>
      <tp t="s">
        <v/>
        <stp/>
        <stp>WHK 12!-IEU</stp>
        <stp>Bid</stp>
        <tr r="G1929" s="5"/>
      </tp>
      <tp t="s">
        <v/>
        <stp/>
        <stp>WMJ 17!-IEU</stp>
        <stp>Bid</stp>
        <tr r="G1899" s="5"/>
      </tp>
      <tp t="s">
        <v/>
        <stp/>
        <stp>WNS 14!-IEU</stp>
        <stp>Bid</stp>
        <tr r="G1861" s="5"/>
      </tp>
    </main>
    <main first="ice.rtd">
      <tp>
        <v>0</v>
        <stp/>
        <stp>32623993Y0:OI</stp>
        <tr r="T2024" s="5"/>
      </tp>
      <tp>
        <v>0</v>
        <stp/>
        <stp>32623993Y1:OI</stp>
        <tr r="T2025" s="5"/>
      </tp>
      <tp>
        <v>0</v>
        <stp/>
        <stp>32623993Q8:OI</stp>
        <tr r="T2023" s="5"/>
      </tp>
      <tp>
        <v>0</v>
        <stp/>
        <stp>32623993Q2:OI</stp>
        <tr r="T2017" s="5"/>
      </tp>
      <tp>
        <v>0</v>
        <stp/>
        <stp>32623993Q3:OI</stp>
        <tr r="T2018" s="5"/>
      </tp>
      <tp>
        <v>0</v>
        <stp/>
        <stp>32623993Q0:OI</stp>
        <tr r="T2015" s="5"/>
      </tp>
      <tp>
        <v>0</v>
        <stp/>
        <stp>32623993Q1:OI</stp>
        <tr r="T2016" s="5"/>
      </tp>
      <tp>
        <v>0</v>
        <stp/>
        <stp>32623993Q6:OI</stp>
        <tr r="T2021" s="5"/>
      </tp>
      <tp>
        <v>0</v>
        <stp/>
        <stp>32623993Q7:OI</stp>
        <tr r="T2022" s="5"/>
      </tp>
      <tp>
        <v>0</v>
        <stp/>
        <stp>32623993Q4:OI</stp>
        <tr r="T2019" s="5"/>
      </tp>
      <tp>
        <v>0</v>
        <stp/>
        <stp>32623993Q5:OI</stp>
        <tr r="T2020" s="5"/>
      </tp>
      <tp>
        <v>111</v>
        <stp/>
        <stp>32623993M8:OI</stp>
        <tr r="T1998" s="5"/>
      </tp>
      <tp>
        <v>139</v>
        <stp/>
        <stp>32623993M9:OI</stp>
        <tr r="T1999" s="5"/>
      </tp>
      <tp>
        <v>328</v>
        <stp/>
        <stp>32623993M2:OI</stp>
        <tr r="T1992" s="5"/>
      </tp>
      <tp>
        <v>208</v>
        <stp/>
        <stp>32623993M3:OI</stp>
        <tr r="T1993" s="5"/>
      </tp>
      <tp>
        <v>356</v>
        <stp/>
        <stp>32623993M1:OI</stp>
        <tr r="T1991" s="5"/>
      </tp>
      <tp>
        <v>152</v>
        <stp/>
        <stp>32623993M6:OI</stp>
        <tr r="T1996" s="5"/>
      </tp>
      <tp>
        <v>47</v>
        <stp/>
        <stp>32623993M7:OI</stp>
        <tr r="T1997" s="5"/>
      </tp>
      <tp>
        <v>125</v>
        <stp/>
        <stp>32623993M4:OI</stp>
        <tr r="T1994" s="5"/>
      </tp>
      <tp>
        <v>109</v>
        <stp/>
        <stp>32623993M5:OI</stp>
        <tr r="T1995" s="5"/>
      </tp>
    </main>
    <main first="esrtd">
      <tp t="s">
        <v/>
        <stp/>
        <stp>WDF 11!-IEU</stp>
        <stp>Bid</stp>
        <tr r="G1788" s="5"/>
      </tp>
      <tp t="s">
        <v/>
        <stp/>
        <stp>WMJ 18!-IEU</stp>
        <stp>Bid</stp>
        <tr r="G1900" s="5"/>
      </tp>
      <tp t="s">
        <v/>
        <stp/>
        <stp>TDL 21!-IEU</stp>
        <stp>Bid</stp>
        <tr r="G1833" s="5"/>
      </tp>
      <tp t="s">
        <v/>
        <stp/>
        <stp>WDF 10!-IEU</stp>
        <stp>Bid</stp>
        <tr r="G1787" s="5"/>
      </tp>
      <tp t="s">
        <v/>
        <stp/>
        <stp>WMJ 19!-IEU</stp>
        <stp>Bid</stp>
        <tr r="G1901" s="5"/>
      </tp>
      <tp t="s">
        <v/>
        <stp/>
        <stp>TDL 20!-IEU</stp>
        <stp>Bid</stp>
        <tr r="G1832" s="5"/>
      </tp>
    </main>
    <main first="ice.rtd">
      <tp t="s">
        <v/>
        <stp/>
        <stp>15061297MM24:BstHitPrc</stp>
        <tr r="G1707" s="5"/>
      </tp>
      <tp t="s">
        <v/>
        <stp/>
        <stp>15061297MM14:BstHitPrc</stp>
        <tr r="G1697" s="5"/>
      </tp>
      <tp>
        <v>0</v>
        <stp/>
        <stp>32613992Y2:OI</stp>
        <tr r="T1261" s="5"/>
      </tp>
      <tp>
        <v>0</v>
        <stp/>
        <stp>32613992Y0:OI</stp>
        <tr r="T1259" s="5"/>
      </tp>
      <tp>
        <v>0</v>
        <stp/>
        <stp>32613992Y1:OI</stp>
        <tr r="T1260" s="5"/>
      </tp>
      <tp>
        <v>0</v>
        <stp/>
        <stp>32613992Q8:OI</stp>
        <tr r="T1258" s="5"/>
      </tp>
      <tp>
        <v>0</v>
        <stp/>
        <stp>32613992Q2:OI</stp>
        <tr r="T1252" s="5"/>
      </tp>
      <tp>
        <v>0</v>
        <stp/>
        <stp>32613992Q3:OI</stp>
        <tr r="T1253" s="5"/>
      </tp>
      <tp>
        <v>0</v>
        <stp/>
        <stp>32613992Q0:OI</stp>
        <tr r="T1250" s="5"/>
      </tp>
      <tp>
        <v>0</v>
        <stp/>
        <stp>32613992Q1:OI</stp>
        <tr r="T1251" s="5"/>
      </tp>
      <tp>
        <v>0</v>
        <stp/>
        <stp>32613992Q6:OI</stp>
        <tr r="T1256" s="5"/>
      </tp>
      <tp>
        <v>0</v>
        <stp/>
        <stp>32613992Q7:OI</stp>
        <tr r="T1257" s="5"/>
      </tp>
      <tp>
        <v>0</v>
        <stp/>
        <stp>32613992Q4:OI</stp>
        <tr r="T1254" s="5"/>
      </tp>
      <tp>
        <v>0</v>
        <stp/>
        <stp>32613992Q5:OI</stp>
        <tr r="T1255" s="5"/>
      </tp>
      <tp>
        <v>41</v>
        <stp/>
        <stp>32613992M8:OI</stp>
        <tr r="T1233" s="5"/>
      </tp>
      <tp>
        <v>41</v>
        <stp/>
        <stp>32613992M9:OI</stp>
        <tr r="T1234" s="5"/>
      </tp>
      <tp>
        <v>236</v>
        <stp/>
        <stp>32613992M2:OI</stp>
        <tr r="T1227" s="5"/>
      </tp>
      <tp>
        <v>213</v>
        <stp/>
        <stp>32613992M3:OI</stp>
        <tr r="T1228" s="5"/>
      </tp>
      <tp>
        <v>257</v>
        <stp/>
        <stp>32613992M0:OI</stp>
        <tr r="T1225" s="5"/>
      </tp>
      <tp>
        <v>245</v>
        <stp/>
        <stp>32613992M1:OI</stp>
        <tr r="T1226" s="5"/>
      </tp>
      <tp>
        <v>141</v>
        <stp/>
        <stp>32613992M6:OI</stp>
        <tr r="T1231" s="5"/>
      </tp>
      <tp>
        <v>40</v>
        <stp/>
        <stp>32613992M7:OI</stp>
        <tr r="T1232" s="5"/>
      </tp>
      <tp>
        <v>159</v>
        <stp/>
        <stp>32613992M4:OI</stp>
        <tr r="T1229" s="5"/>
      </tp>
      <tp>
        <v>149</v>
        <stp/>
        <stp>32613992M5:OI</stp>
        <tr r="T1230" s="5"/>
      </tp>
    </main>
    <main first="esrtd">
      <tp t="s">
        <v/>
        <stp/>
        <stp>WDF 13!-IEU</stp>
        <stp>Bid</stp>
        <tr r="G1790" s="5"/>
      </tp>
      <tp t="s">
        <v/>
        <stp/>
        <stp>TDL 23!-IEU</stp>
        <stp>Bid</stp>
        <tr r="G1835" s="5"/>
      </tp>
      <tp t="s">
        <v/>
        <stp/>
        <stp>WNS 19!-IEU</stp>
        <stp>Bid</stp>
        <tr r="G1866" s="5"/>
      </tp>
      <tp t="s">
        <v/>
        <stp/>
        <stp>WDF 12!-IEU</stp>
        <stp>Bid</stp>
        <tr r="G1789" s="5"/>
      </tp>
      <tp t="s">
        <v/>
        <stp/>
        <stp>TDL 22!-IEU</stp>
        <stp>Bid</stp>
        <tr r="G1834" s="5"/>
      </tp>
      <tp t="s">
        <v/>
        <stp/>
        <stp>WNS 18!-IEU</stp>
        <stp>Bid</stp>
        <tr r="G1865" s="5"/>
      </tp>
      <tp t="s">
        <v/>
        <stp/>
        <stp>WDF 15!-IEU</stp>
        <stp>Bid</stp>
        <tr r="G1792" s="5"/>
      </tp>
      <tp t="s">
        <v/>
        <stp/>
        <stp>WHK 19!-IEU</stp>
        <stp>Bid</stp>
        <tr r="G1936" s="5"/>
      </tp>
      <tp t="s">
        <v/>
        <stp/>
        <stp>TDL 25!-IEU</stp>
        <stp>Bid</stp>
        <tr r="G1837" s="5"/>
      </tp>
      <tp t="s">
        <v/>
        <stp/>
        <stp>WDF 14!-IEU</stp>
        <stp>Bid</stp>
        <tr r="G1791" s="5"/>
      </tp>
      <tp t="s">
        <v/>
        <stp/>
        <stp>WHK 18!-IEU</stp>
        <stp>Bid</stp>
        <tr r="G1935" s="5"/>
      </tp>
      <tp t="s">
        <v/>
        <stp/>
        <stp>TDL 24!-IEU</stp>
        <stp>Bid</stp>
        <tr r="G1836" s="5"/>
      </tp>
      <tp t="s">
        <v/>
        <stp/>
        <stp>WDF 17!-IEU</stp>
        <stp>Bid</stp>
        <tr r="G1794" s="5"/>
      </tp>
      <tp t="s">
        <v/>
        <stp/>
        <stp>TDL 27!-IEU</stp>
        <stp>Bid</stp>
        <tr r="G1839" s="5"/>
      </tp>
      <tp t="s">
        <v/>
        <stp/>
        <stp>WDF 16!-IEU</stp>
        <stp>Bid</stp>
        <tr r="G1793" s="5"/>
      </tp>
      <tp t="s">
        <v/>
        <stp/>
        <stp>TDL 26!-IEU</stp>
        <stp>Bid</stp>
        <tr r="G1838" s="5"/>
      </tp>
    </main>
    <main first="ice.rtd">
      <tp t="s">
        <v/>
        <stp/>
        <stp>2181024583B0:LstDate</stp>
        <tr r="J1990" s="5"/>
      </tp>
      <tp t="s">
        <v/>
        <stp/>
        <stp>2183024603B0:LstDate</stp>
        <tr r="J1625" s="5"/>
      </tp>
    </main>
    <main first="bofaddin.rtdserver">
      <tp t="s">
        <v>#N/A Requesting Data...1038879533</v>
        <stp/>
        <stp>BDP|14622301333343937175</stp>
        <tr r="B8" s="21"/>
      </tp>
    </main>
    <main first="ice.rtd">
      <tp t="s">
        <v/>
        <stp/>
        <stp>2505226937B0:LstDate</stp>
        <tr r="J768" s="5"/>
      </tp>
    </main>
    <main first="bofaddin.rtdserver">
      <tp t="s">
        <v>#N/A Requesting Data...656078242</v>
        <stp/>
        <stp>BDP|15614258666640552732</stp>
        <tr r="J27" s="23"/>
      </tp>
      <tp t="s">
        <v>#N/A Requesting Data...3289587345</v>
        <stp/>
        <stp>BDP|11661504602600348220</stp>
        <tr r="AM55" s="23"/>
      </tp>
      <tp t="s">
        <v>#N/A Requesting Data...2800273872</v>
        <stp/>
        <stp>BDP|15789933799425854638</stp>
        <tr r="AF188" s="23"/>
      </tp>
      <tp t="s">
        <v>#N/A N/A</v>
        <stp/>
        <stp>BDH|12151554825840767362</stp>
        <tr r="AX24" s="1"/>
      </tp>
      <tp t="s">
        <v>#N/A N/A</v>
        <stp/>
        <stp>BDH|16618924143524778906</stp>
        <tr r="AV64" s="1"/>
      </tp>
    </main>
    <main first="ice.rtd">
      <tp>
        <v>0</v>
        <stp/>
        <stp>1961122916B0:OI</stp>
        <tr r="T1626" s="5"/>
      </tp>
    </main>
    <main first="ice.rtd">
      <tp>
        <v>0</v>
        <stp/>
        <stp>3124331018M0:OI</stp>
        <tr r="T1605" s="5"/>
      </tp>
      <tp>
        <v>0</v>
        <stp/>
        <stp>3124331018M1:OI</stp>
        <tr r="T1606" s="5"/>
      </tp>
      <tp>
        <v>0</v>
        <stp/>
        <stp>3124331018M2:OI</stp>
        <tr r="T1607" s="5"/>
      </tp>
      <tp>
        <v>0</v>
        <stp/>
        <stp>3124331018M3:OI</stp>
        <tr r="T1608" s="5"/>
      </tp>
      <tp>
        <v>0</v>
        <stp/>
        <stp>3124331018M4:OI</stp>
        <tr r="T1609" s="5"/>
      </tp>
      <tp>
        <v>0</v>
        <stp/>
        <stp>3124331018M5:OI</stp>
        <tr r="T1610" s="5"/>
      </tp>
      <tp>
        <v>0</v>
        <stp/>
        <stp>3124331018M6:OI</stp>
        <tr r="T1611" s="5"/>
      </tp>
      <tp>
        <v>0</v>
        <stp/>
        <stp>3124331018M7:OI</stp>
        <tr r="T1612" s="5"/>
      </tp>
      <tp>
        <v>0</v>
        <stp/>
        <stp>3124331018M8:OI</stp>
        <tr r="T1613" s="5"/>
      </tp>
      <tp>
        <v>0</v>
        <stp/>
        <stp>3124331018M9:OI</stp>
        <tr r="T1614" s="5"/>
      </tp>
      <tp>
        <v>0</v>
        <stp/>
        <stp>3124331018Q0:OI</stp>
        <tr r="T1620" s="5"/>
      </tp>
      <tp>
        <v>0</v>
        <stp/>
        <stp>3124331018Q1:OI</stp>
        <tr r="T1621" s="5"/>
      </tp>
      <tp>
        <v>0</v>
        <stp/>
        <stp>3124331018Q2:OI</stp>
        <tr r="T1622" s="5"/>
      </tp>
      <tp>
        <v>0</v>
        <stp/>
        <stp>3124331018Q3:OI</stp>
        <tr r="T1623" s="5"/>
      </tp>
      <tp>
        <v>0</v>
        <stp/>
        <stp>3124331018Y0:OI</stp>
        <tr r="T1624" s="5"/>
      </tp>
    </main>
    <main first="bofaddin.rtdserver">
      <tp t="s">
        <v>#N/A N/A</v>
        <stp/>
        <stp>BDH|17617508977312182152</stp>
        <tr r="H60" s="16"/>
      </tp>
      <tp t="s">
        <v>#N/A N/A</v>
        <stp/>
        <stp>BDH|16310308654237067139</stp>
        <tr r="D43" s="14"/>
      </tp>
      <tp t="s">
        <v>#N/A N/A</v>
        <stp/>
        <stp>BDH|17062578836152377550</stp>
        <tr r="I23" s="14"/>
      </tp>
      <tp t="s">
        <v>#N/A N/A</v>
        <stp/>
        <stp>BDH|11822473358736803086</stp>
        <tr r="I14" s="14"/>
      </tp>
      <tp t="s">
        <v>#N/A N/A</v>
        <stp/>
        <stp>BDH|11402330104073720720</stp>
        <tr r="G42" s="16"/>
      </tp>
      <tp t="s">
        <v>#N/A N/A</v>
        <stp/>
        <stp>BDH|16000119447782198711</stp>
        <tr r="G94" s="16"/>
      </tp>
      <tp t="s">
        <v>#N/A N/A</v>
        <stp/>
        <stp>BDH|16975994319261565957</stp>
        <tr r="BA46" s="1"/>
        <tr r="BA46" s="1"/>
      </tp>
      <tp t="s">
        <v>#N/A N/A</v>
        <stp/>
        <stp>BDH|11315085175203467335</stp>
        <tr r="AX36" s="1"/>
      </tp>
      <tp t="s">
        <v>#N/A N/A</v>
        <stp/>
        <stp>BDH|13072442954221974518</stp>
        <tr r="J21" s="14"/>
      </tp>
      <tp t="s">
        <v>#N/A N/A</v>
        <stp/>
        <stp>BDH|14637111508005113662</stp>
        <tr r="BA65" s="1"/>
        <tr r="BA65" s="1"/>
      </tp>
    </main>
    <main first="ice.rtd">
      <tp>
        <v>0</v>
        <stp/>
        <stp>2009523367B0:OI</stp>
        <tr r="T116" s="5"/>
      </tp>
    </main>
    <main first="bofaddin.rtdserver">
      <tp t="s">
        <v>#N/A N/A</v>
        <stp/>
        <stp>BDH|18427982091597166964</stp>
        <tr r="J31" s="16"/>
      </tp>
      <tp t="s">
        <v>#N/A N/A</v>
        <stp/>
        <stp>BDH|13048083922773270422</stp>
        <tr r="AW62" s="1"/>
      </tp>
      <tp t="s">
        <v>#N/A N/A</v>
        <stp/>
        <stp>BDH|13034525259860987582</stp>
        <tr r="AW47" s="1"/>
      </tp>
    </main>
    <main first="ice.rtd">
      <tp>
        <v>0</v>
        <stp/>
        <stp>3126131030B0:OI</stp>
        <tr r="T1746" s="5"/>
      </tp>
      <tp>
        <v>0</v>
        <stp/>
        <stp>2325225613B0:OI</stp>
        <tr r="T631" s="5"/>
      </tp>
    </main>
    <main first="bofaddin.rtdserver">
      <tp t="s">
        <v>#N/A N/A</v>
        <stp/>
        <stp>BDH|10518180406016740113</stp>
        <tr r="G53" s="16"/>
      </tp>
      <tp t="s">
        <v>#N/A N/A</v>
        <stp/>
        <stp>BDH|16210235551574425396</stp>
        <tr r="AW64" s="1"/>
      </tp>
      <tp t="s">
        <v>#N/A N/A</v>
        <stp/>
        <stp>BDH|11914645857462332653</stp>
        <tr r="I62" s="16"/>
      </tp>
      <tp t="s">
        <v>#N/A N/A</v>
        <stp/>
        <stp>BDH|16890561472650606247</stp>
        <tr r="BA55" s="1"/>
        <tr r="BA55" s="1"/>
      </tp>
      <tp t="s">
        <v>#N/A N/A</v>
        <stp/>
        <stp>BDH|17222377110310826333</stp>
        <tr r="G88" s="16"/>
      </tp>
      <tp t="b">
        <v>0</v>
        <stp/>
        <stp>BDH|17874362435624576503</stp>
        <tr r="Q22" s="25"/>
        <tr r="Q22" s="25"/>
      </tp>
      <tp t="s">
        <v>#N/A N/A</v>
        <stp/>
        <stp>BDH|13577710326313468387</stp>
        <tr r="BB52" s="1"/>
      </tp>
    </main>
    <main first="ice.rtd">
      <tp t="s">
        <v/>
        <stp/>
        <stp>15061297YY0:LstBlkTime</stp>
        <tr r="M1713" s="5"/>
      </tp>
    </main>
    <main first="esrtd">
      <tp t="s">
        <v/>
        <stp/>
        <stp>ULR U28-IEU</stp>
        <stp>ICE Theoretical Price</stp>
        <tr r="W656" s="5"/>
      </tp>
      <tp t="s">
        <v/>
        <stp/>
        <stp>MFR M28-IEU</stp>
        <stp>ICE Theoretical Price</stp>
        <tr r="W1056" s="5"/>
      </tp>
      <tp t="s">
        <v/>
        <stp/>
        <stp>MFR N28-IEU</stp>
        <stp>ICE Theoretical Price</stp>
        <tr r="W1057" s="5"/>
      </tp>
      <tp t="s">
        <v/>
        <stp/>
        <stp>MFR H28-IEU</stp>
        <stp>ICE Theoretical Price</stp>
        <tr r="W1053" s="5"/>
      </tp>
      <tp t="s">
        <v/>
        <stp/>
        <stp>ULR Q28-IEU</stp>
        <stp>ICE Theoretical Price</stp>
        <tr r="W655" s="5"/>
      </tp>
      <tp t="s">
        <v/>
        <stp/>
        <stp>MFR J28-IEU</stp>
        <stp>ICE Theoretical Price</stp>
        <tr r="W1054" s="5"/>
      </tp>
      <tp t="s">
        <v/>
        <stp/>
        <stp>WHK Q1!-IEU</stp>
        <stp>ICE Theoretical Price</stp>
        <tr r="W1948" s="5"/>
      </tp>
      <tp t="s">
        <v/>
        <stp/>
        <stp>WHK Q3!-IEU</stp>
        <stp>ICE Theoretical Price</stp>
        <tr r="W1950" s="5"/>
      </tp>
      <tp t="s">
        <v/>
        <stp/>
        <stp>WHK Q2!-IEU</stp>
        <stp>ICE Theoretical Price</stp>
        <tr r="W1949" s="5"/>
      </tp>
      <tp t="s">
        <v/>
        <stp/>
        <stp>WHK Q4!-IEU</stp>
        <stp>ICE Theoretical Price</stp>
        <tr r="W1951" s="5"/>
      </tp>
      <tp t="s">
        <v/>
        <stp/>
        <stp>MFR K28-IEU</stp>
        <stp>ICE Theoretical Price</stp>
        <tr r="W1055" s="5"/>
      </tp>
      <tp t="s">
        <v/>
        <stp/>
        <stp>MFR F28-IEU</stp>
        <stp>ICE Theoretical Price</stp>
        <tr r="W1051" s="5"/>
      </tp>
      <tp t="s">
        <v/>
        <stp/>
        <stp>MFR G28-IEU</stp>
        <stp>ICE Theoretical Price</stp>
        <tr r="W1052" s="5"/>
      </tp>
      <tp t="s">
        <v/>
        <stp/>
        <stp>ULR F28-IEU</stp>
        <stp>ICE Theoretical Price</stp>
        <tr r="W648" s="5"/>
      </tp>
      <tp t="s">
        <v/>
        <stp/>
        <stp>ULR G28-IEU</stp>
        <stp>ICE Theoretical Price</stp>
        <tr r="W649" s="5"/>
      </tp>
      <tp t="s">
        <v/>
        <stp/>
        <stp>WHK C2!-IEU</stp>
        <stp>ICE Theoretical Price</stp>
        <tr r="W1952" s="5"/>
      </tp>
      <tp t="s">
        <v/>
        <stp/>
        <stp>ULR M28-IEU</stp>
        <stp>ICE Theoretical Price</stp>
        <tr r="W653" s="5"/>
      </tp>
      <tp t="s">
        <v/>
        <stp/>
        <stp>MFR U28-IEU</stp>
        <stp>ICE Theoretical Price</stp>
        <tr r="W1059" s="5"/>
      </tp>
      <tp t="s">
        <v/>
        <stp/>
        <stp>ULR N28-IEU</stp>
        <stp>ICE Theoretical Price</stp>
        <tr r="W654" s="5"/>
      </tp>
      <tp t="s">
        <v/>
        <stp/>
        <stp>ULR H28-IEU</stp>
        <stp>ICE Theoretical Price</stp>
        <tr r="W650" s="5"/>
      </tp>
      <tp t="s">
        <v/>
        <stp/>
        <stp>MFR Q28-IEU</stp>
        <stp>ICE Theoretical Price</stp>
        <tr r="W1058" s="5"/>
      </tp>
      <tp t="s">
        <v/>
        <stp/>
        <stp>ULR J28-IEU</stp>
        <stp>ICE Theoretical Price</stp>
        <tr r="W651" s="5"/>
      </tp>
      <tp t="s">
        <v/>
        <stp/>
        <stp>ULR K28-IEU</stp>
        <stp>ICE Theoretical Price</stp>
        <tr r="W652" s="5"/>
      </tp>
      <tp t="s">
        <v/>
        <stp/>
        <stp>WHK 21!-IEU</stp>
        <stp>ICE Theoretical Price</stp>
        <tr r="W1938" s="5"/>
      </tp>
      <tp t="s">
        <v/>
        <stp/>
        <stp>WHK 20!-IEU</stp>
        <stp>ICE Theoretical Price</stp>
        <tr r="W1937" s="5"/>
      </tp>
      <tp t="s">
        <v/>
        <stp/>
        <stp>WHK 23!-IEU</stp>
        <stp>ICE Theoretical Price</stp>
        <tr r="W1940" s="5"/>
      </tp>
      <tp t="s">
        <v/>
        <stp/>
        <stp>WHK 22!-IEU</stp>
        <stp>ICE Theoretical Price</stp>
        <tr r="W1939" s="5"/>
      </tp>
      <tp t="s">
        <v/>
        <stp/>
        <stp>WHK 25!-IEU</stp>
        <stp>ICE Theoretical Price</stp>
        <tr r="W1942" s="5"/>
      </tp>
      <tp t="s">
        <v/>
        <stp/>
        <stp>WHK 24!-IEU</stp>
        <stp>ICE Theoretical Price</stp>
        <tr r="W1941" s="5"/>
      </tp>
      <tp t="s">
        <v/>
        <stp/>
        <stp>WHK 27!-IEU</stp>
        <stp>ICE Theoretical Price</stp>
        <tr r="W1944" s="5"/>
      </tp>
      <tp t="s">
        <v/>
        <stp/>
        <stp>WHK 26!-IEU</stp>
        <stp>ICE Theoretical Price</stp>
        <tr r="W1943" s="5"/>
      </tp>
      <tp t="s">
        <v/>
        <stp/>
        <stp>WHK 29!-IEU</stp>
        <stp>ICE Theoretical Price</stp>
        <tr r="W1946" s="5"/>
      </tp>
      <tp t="s">
        <v/>
        <stp/>
        <stp>WHK 28!-IEU</stp>
        <stp>ICE Theoretical Price</stp>
        <tr r="W1945" s="5"/>
      </tp>
      <tp t="s">
        <v/>
        <stp/>
        <stp>WHK 30!-IEU</stp>
        <stp>ICE Theoretical Price</stp>
        <tr r="W1947" s="5"/>
      </tp>
      <tp t="s">
        <v/>
        <stp/>
        <stp>WHK 11!-IEU</stp>
        <stp>ICE Theoretical Price</stp>
        <tr r="W1928" s="5"/>
      </tp>
      <tp t="s">
        <v/>
        <stp/>
        <stp>WHK 10!-IEU</stp>
        <stp>ICE Theoretical Price</stp>
        <tr r="W1927" s="5"/>
      </tp>
      <tp t="s">
        <v/>
        <stp/>
        <stp>WHK 13!-IEU</stp>
        <stp>ICE Theoretical Price</stp>
        <tr r="W1930" s="5"/>
      </tp>
      <tp t="s">
        <v/>
        <stp/>
        <stp>WHK 12!-IEU</stp>
        <stp>ICE Theoretical Price</stp>
        <tr r="W1929" s="5"/>
      </tp>
      <tp t="s">
        <v/>
        <stp/>
        <stp>WHK 15!-IEU</stp>
        <stp>ICE Theoretical Price</stp>
        <tr r="W1932" s="5"/>
      </tp>
      <tp t="s">
        <v/>
        <stp/>
        <stp>WHK 14!-IEU</stp>
        <stp>ICE Theoretical Price</stp>
        <tr r="W1931" s="5"/>
      </tp>
      <tp t="s">
        <v/>
        <stp/>
        <stp>WHK 17!-IEU</stp>
        <stp>ICE Theoretical Price</stp>
        <tr r="W1934" s="5"/>
      </tp>
      <tp t="s">
        <v/>
        <stp/>
        <stp>WHK 16!-IEU</stp>
        <stp>ICE Theoretical Price</stp>
        <tr r="W1933" s="5"/>
      </tp>
      <tp t="s">
        <v/>
        <stp/>
        <stp>WHK 19!-IEU</stp>
        <stp>ICE Theoretical Price</stp>
        <tr r="W1936" s="5"/>
      </tp>
      <tp t="s">
        <v/>
        <stp/>
        <stp>WHK 18!-IEU</stp>
        <stp>ICE Theoretical Price</stp>
        <tr r="W1935" s="5"/>
      </tp>
    </main>
    <main first="ice.rtd">
      <tp t="s">
        <v/>
        <stp/>
        <stp>15061297QQ0:LstBlkTime</stp>
        <tr r="M1711" s="5"/>
      </tp>
      <tp t="s">
        <v/>
        <stp/>
        <stp>15061297QQ1:LstBlkTime</stp>
        <tr r="M1712" s="5"/>
      </tp>
    </main>
    <main first="esrtd">
      <tp t="s">
        <v/>
        <stp/>
        <stp>WNS 25!-IEU</stp>
        <stp>Block Price</stp>
        <tr r="K1872" s="5"/>
      </tp>
      <tp t="s">
        <v/>
        <stp/>
        <stp>WHK 23!-IEU</stp>
        <stp>Block Price</stp>
        <tr r="K1940" s="5"/>
      </tp>
      <tp t="s">
        <v/>
        <stp/>
        <stp>WMJ 26!-IEU</stp>
        <stp>Block Price</stp>
        <tr r="K1908" s="5"/>
      </tp>
      <tp t="s">
        <v/>
        <stp/>
        <stp>WNS 24!-IEU</stp>
        <stp>Block Price</stp>
        <tr r="K1871" s="5"/>
      </tp>
      <tp t="s">
        <v/>
        <stp/>
        <stp>WHK 22!-IEU</stp>
        <stp>Block Price</stp>
        <tr r="K1939" s="5"/>
      </tp>
      <tp t="s">
        <v/>
        <stp/>
        <stp>WMJ 27!-IEU</stp>
        <stp>Block Price</stp>
        <tr r="K1909" s="5"/>
      </tp>
    </main>
    <main first="bofaddin.rtdserver">
      <tp t="s">
        <v>#N/A</v>
        <stp/>
        <stp>BDP|14169909563343233021|222</stp>
        <stp>XBF9XBG9 Comdty</stp>
        <stp>ASK</stp>
        <stp>Fill=#N/A</stp>
        <tr r="R48" s="1"/>
      </tp>
    </main>
    <main first="esrtd">
      <tp t="s">
        <v/>
        <stp/>
        <stp>WNS 27!-IEU</stp>
        <stp>Block Price</stp>
        <tr r="K1874" s="5"/>
      </tp>
      <tp t="s">
        <v/>
        <stp/>
        <stp>WHK 21!-IEU</stp>
        <stp>Block Price</stp>
        <tr r="K1938" s="5"/>
      </tp>
      <tp t="s">
        <v/>
        <stp/>
        <stp>WMJ 24!-IEU</stp>
        <stp>Block Price</stp>
        <tr r="K1906" s="5"/>
      </tp>
    </main>
    <main first="bofaddin.rtdserver">
      <tp>
        <v>0.06</v>
        <stp/>
        <stp>BDP|11058485074119461108|222</stp>
        <stp>COG0COH0 Comdty</stp>
        <stp>BID</stp>
        <stp>Fill=#N/A</stp>
        <tr r="O61" s="1"/>
      </tp>
    </main>
    <main first="esrtd">
      <tp t="s">
        <v/>
        <stp/>
        <stp>WNS 26!-IEU</stp>
        <stp>Block Price</stp>
        <tr r="K1873" s="5"/>
      </tp>
    </main>
    <main first="bofaddin.rtdserver">
      <tp t="s">
        <v>#N/A</v>
        <stp/>
        <stp>BDP|11249489239734291337|222</stp>
        <stp>XBQ9XBU9 Comdty</stp>
        <stp>BID</stp>
        <stp>Fill=#N/A</stp>
        <tr r="R55" s="1"/>
      </tp>
    </main>
    <main first="esrtd">
      <tp t="s">
        <v/>
        <stp/>
        <stp>WHK 20!-IEU</stp>
        <stp>Block Price</stp>
        <tr r="K1937" s="5"/>
      </tp>
      <tp t="s">
        <v/>
        <stp/>
        <stp>WMJ 25!-IEU</stp>
        <stp>Block Price</stp>
        <tr r="K1907" s="5"/>
      </tp>
      <tp t="s">
        <v/>
        <stp/>
        <stp>WNS 21!-IEU</stp>
        <stp>Block Price</stp>
        <tr r="K1868" s="5"/>
      </tp>
      <tp t="s">
        <v/>
        <stp/>
        <stp>WHK 27!-IEU</stp>
        <stp>Block Price</stp>
        <tr r="K1944" s="5"/>
      </tp>
      <tp t="s">
        <v/>
        <stp/>
        <stp>WMJ 22!-IEU</stp>
        <stp>Block Price</stp>
        <tr r="K1904" s="5"/>
      </tp>
    </main>
    <main first="bofaddin.rtdserver">
      <tp t="s">
        <v>#N/A Invalid Security</v>
        <stp/>
        <stp>BDP|12319868005404417762|222</stp>
        <stp>HOJ0HOK0 Comdty</stp>
        <stp>ASK</stp>
        <stp>Fill=#N/A</stp>
        <tr r="Q63" s="1"/>
      </tp>
    </main>
    <main first="esrtd">
      <tp t="s">
        <v/>
        <stp/>
        <stp>WNS 20!-IEU</stp>
        <stp>Block Price</stp>
        <tr r="K1867" s="5"/>
      </tp>
      <tp t="s">
        <v/>
        <stp/>
        <stp>WHK 26!-IEU</stp>
        <stp>Block Price</stp>
        <tr r="K1943" s="5"/>
      </tp>
      <tp t="s">
        <v/>
        <stp/>
        <stp>WMJ 23!-IEU</stp>
        <stp>Block Price</stp>
        <tr r="K1905" s="5"/>
      </tp>
      <tp t="s">
        <v/>
        <stp/>
        <stp>WNS 23!-IEU</stp>
        <stp>Block Price</stp>
        <tr r="K1870" s="5"/>
      </tp>
      <tp t="s">
        <v/>
        <stp/>
        <stp>TDL 19!-IEU</stp>
        <stp>Block Price</stp>
        <tr r="K1831" s="5"/>
      </tp>
    </main>
    <main first="bofaddin.rtdserver">
      <tp>
        <v>0.2</v>
        <stp/>
        <stp>BDP|12929794317419007959|222</stp>
        <stp>CLQ9CLU9 Comdty</stp>
        <stp>ASK</stp>
        <stp>Fill=#N/A</stp>
        <tr r="N55" s="1"/>
      </tp>
    </main>
    <main first="esrtd">
      <tp t="s">
        <v/>
        <stp/>
        <stp>WHK 25!-IEU</stp>
        <stp>Block Price</stp>
        <tr r="K1942" s="5"/>
      </tp>
      <tp t="s">
        <v/>
        <stp/>
        <stp>WMJ 20!-IEU</stp>
        <stp>Block Price</stp>
        <tr r="K1902" s="5"/>
      </tp>
      <tp t="s">
        <v/>
        <stp/>
        <stp>WDF 29!-IEU</stp>
        <stp>Block Price</stp>
        <tr r="K1806" s="5"/>
      </tp>
      <tp t="s">
        <v/>
        <stp/>
        <stp>WNS 22!-IEU</stp>
        <stp>Block Price</stp>
        <tr r="K1869" s="5"/>
      </tp>
      <tp t="s">
        <v/>
        <stp/>
        <stp>TDL 18!-IEU</stp>
        <stp>Block Price</stp>
        <tr r="K1830" s="5"/>
      </tp>
    </main>
    <main first="bofaddin.rtdserver">
      <tp>
        <v>15.59</v>
        <stp/>
        <stp>BDP|10568268341227934232|222</stp>
        <stp>XBX6XBZ6 Comdty</stp>
        <stp>ASK</stp>
        <stp>Fill=#N/A</stp>
        <tr r="R22" s="1"/>
      </tp>
    </main>
    <main first="esrtd">
      <tp t="s">
        <v/>
        <stp/>
        <stp>WHK 24!-IEU</stp>
        <stp>Block Price</stp>
        <tr r="K1941" s="5"/>
      </tp>
      <tp t="s">
        <v/>
        <stp/>
        <stp>WMJ 21!-IEU</stp>
        <stp>Block Price</stp>
        <tr r="K1903" s="5"/>
      </tp>
      <tp t="s">
        <v/>
        <stp/>
        <stp>WDF 28!-IEU</stp>
        <stp>Block Price</stp>
        <tr r="K1805" s="5"/>
      </tp>
    </main>
    <main first="ice.rtd">
      <tp t="s">
        <v/>
        <stp/>
        <stp>15061297MM0:LstBlkTime</stp>
        <tr r="M1683" s="5"/>
      </tp>
      <tp t="s">
        <v/>
        <stp/>
        <stp>15061297MM1:LstBlkTime</stp>
        <tr r="M1684" s="5"/>
      </tp>
      <tp t="s">
        <v/>
        <stp/>
        <stp>15061297MM2:LstBlkTime</stp>
        <tr r="M1685" s="5"/>
      </tp>
      <tp t="s">
        <v/>
        <stp/>
        <stp>15061297MM3:LstBlkTime</stp>
        <tr r="M1686" s="5"/>
      </tp>
      <tp t="s">
        <v/>
        <stp/>
        <stp>15061297MM4:LstBlkTime</stp>
        <tr r="M1687" s="5"/>
      </tp>
      <tp t="s">
        <v/>
        <stp/>
        <stp>15061297MM5:LstBlkTime</stp>
        <tr r="M1688" s="5"/>
      </tp>
      <tp t="s">
        <v/>
        <stp/>
        <stp>15061297MM6:LstBlkTime</stp>
        <tr r="M1689" s="5"/>
      </tp>
      <tp t="s">
        <v/>
        <stp/>
        <stp>15061297MM7:LstBlkTime</stp>
        <tr r="M1690" s="5"/>
      </tp>
      <tp t="s">
        <v>09:45:01</v>
        <stp/>
        <stp>15061297MM8:LstBlkTime</stp>
        <tr r="M1691" s="5"/>
      </tp>
      <tp t="s">
        <v/>
        <stp/>
        <stp>15061297MM9:LstBlkTime</stp>
        <tr r="M1692" s="5"/>
      </tp>
      <tp t="s">
        <v/>
        <stp/>
        <stp>32623993M24:LstBlkTime</stp>
        <tr r="M2014" s="5"/>
      </tp>
      <tp t="s">
        <v/>
        <stp/>
        <stp>32623993M22:LstBlkTime</stp>
        <tr r="M2012" s="5"/>
      </tp>
      <tp t="s">
        <v/>
        <stp/>
        <stp>32623993M23:LstBlkTime</stp>
        <tr r="M2013" s="5"/>
      </tp>
      <tp t="s">
        <v/>
        <stp/>
        <stp>32623993M20:LstBlkTime</stp>
        <tr r="M2010" s="5"/>
      </tp>
      <tp t="s">
        <v/>
        <stp/>
        <stp>32623993M21:LstBlkTime</stp>
        <tr r="M2011" s="5"/>
      </tp>
      <tp t="s">
        <v/>
        <stp/>
        <stp>32623993M16:LstBlkTime</stp>
        <tr r="M2006" s="5"/>
      </tp>
      <tp t="s">
        <v/>
        <stp/>
        <stp>32623993M17:LstBlkTime</stp>
        <tr r="M2007" s="5"/>
      </tp>
      <tp t="s">
        <v/>
        <stp/>
        <stp>32623993M14:LstBlkTime</stp>
        <tr r="M2004" s="5"/>
      </tp>
      <tp t="s">
        <v/>
        <stp/>
        <stp>32623993M15:LstBlkTime</stp>
        <tr r="M2005" s="5"/>
      </tp>
      <tp t="s">
        <v/>
        <stp/>
        <stp>32623993M12:LstBlkTime</stp>
        <tr r="M2002" s="5"/>
      </tp>
      <tp t="s">
        <v/>
        <stp/>
        <stp>32623993M13:LstBlkTime</stp>
        <tr r="M2003" s="5"/>
      </tp>
      <tp t="s">
        <v/>
        <stp/>
        <stp>32623993M10:LstBlkTime</stp>
        <tr r="M2000" s="5"/>
      </tp>
      <tp t="s">
        <v/>
        <stp/>
        <stp>32623993M11:LstBlkTime</stp>
        <tr r="M2001" s="5"/>
      </tp>
      <tp t="s">
        <v/>
        <stp/>
        <stp>32623993M18:LstBlkTime</stp>
        <tr r="M2008" s="5"/>
      </tp>
      <tp t="s">
        <v/>
        <stp/>
        <stp>32623993M19:LstBlkTime</stp>
        <tr r="M2009" s="5"/>
      </tp>
    </main>
    <main first="esrtd">
      <tp t="s">
        <v/>
        <stp/>
        <stp>TDL 17!-IEU</stp>
        <stp>Block Price</stp>
        <tr r="K1829" s="5"/>
      </tp>
      <tp t="s">
        <v/>
        <stp/>
        <stp>WDF 27!-IEU</stp>
        <stp>Block Price</stp>
        <tr r="K1804" s="5"/>
      </tp>
      <tp t="s">
        <v/>
        <stp/>
        <stp>TDL 16!-IEU</stp>
        <stp>Block Price</stp>
        <tr r="K1828" s="5"/>
      </tp>
      <tp t="s">
        <v/>
        <stp/>
        <stp>WDF 26!-IEU</stp>
        <stp>Block Price</stp>
        <tr r="K1803" s="5"/>
      </tp>
      <tp t="s">
        <v/>
        <stp/>
        <stp>TDL 15!-IEU</stp>
        <stp>Block Price</stp>
        <tr r="K1827" s="5"/>
      </tp>
    </main>
    <main first="bofaddin.rtdserver">
      <tp>
        <v>0.39</v>
        <stp/>
        <stp>BDP|13067730105770891689|222</stp>
        <stp>CLV7CLX7 Comdty</stp>
        <stp>ASK</stp>
        <stp>Fill=#N/A</stp>
        <tr r="N33" s="1"/>
      </tp>
    </main>
    <main first="esrtd">
      <tp t="s">
        <v/>
        <stp/>
        <stp>WHK 29!-IEU</stp>
        <stp>Block Price</stp>
        <tr r="K1946" s="5"/>
      </tp>
      <tp t="s">
        <v/>
        <stp/>
        <stp>WDF 25!-IEU</stp>
        <stp>Block Price</stp>
        <tr r="K1802" s="5"/>
      </tp>
      <tp t="s">
        <v/>
        <stp/>
        <stp>TDL 14!-IEU</stp>
        <stp>Block Price</stp>
        <tr r="K1826" s="5"/>
      </tp>
      <tp t="s">
        <v/>
        <stp/>
        <stp>WHK 28!-IEU</stp>
        <stp>Block Price</stp>
        <tr r="K1945" s="5"/>
      </tp>
      <tp t="s">
        <v/>
        <stp/>
        <stp>WDF 24!-IEU</stp>
        <stp>Block Price</stp>
        <tr r="K1801" s="5"/>
      </tp>
    </main>
    <main first="bofaddin.rtdserver">
      <tp>
        <v>0.2</v>
        <stp/>
        <stp>BDP|12366589130108256429|222</stp>
        <stp>HOH9HOJ9 Comdty</stp>
        <stp>BID</stp>
        <stp>Fill=#N/A</stp>
        <tr r="Q50" s="1"/>
      </tp>
    </main>
    <main first="esrtd">
      <tp t="s">
        <v/>
        <stp/>
        <stp>WNS 29!-IEU</stp>
        <stp>Block Price</stp>
        <tr r="K1876" s="5"/>
      </tp>
      <tp t="s">
        <v/>
        <stp/>
        <stp>TDL 13!-IEU</stp>
        <stp>Block Price</stp>
        <tr r="K1825" s="5"/>
      </tp>
      <tp t="s">
        <v/>
        <stp/>
        <stp>WDF 23!-IEU</stp>
        <stp>Block Price</stp>
        <tr r="K1800" s="5"/>
      </tp>
      <tp t="s">
        <v/>
        <stp/>
        <stp>WNS 28!-IEU</stp>
        <stp>Block Price</stp>
        <tr r="K1875" s="5"/>
      </tp>
      <tp t="s">
        <v/>
        <stp/>
        <stp>TDL 12!-IEU</stp>
        <stp>Block Price</stp>
        <tr r="K1824" s="5"/>
      </tp>
      <tp t="s">
        <v/>
        <stp/>
        <stp>WDF 22!-IEU</stp>
        <stp>Block Price</stp>
        <tr r="K1799" s="5"/>
      </tp>
      <tp t="s">
        <v/>
        <stp/>
        <stp>TDL 11!-IEU</stp>
        <stp>Block Price</stp>
        <tr r="K1823" s="5"/>
      </tp>
    </main>
    <main first="bofaddin.rtdserver">
      <tp>
        <v>0.17</v>
        <stp/>
        <stp>BDP|17542520023473281231|222</stp>
        <stp>CLK9CLM9 Comdty</stp>
        <stp>ASK</stp>
        <stp>Fill=#N/A</stp>
        <tr r="N52" s="1"/>
      </tp>
    </main>
    <main first="esrtd">
      <tp t="s">
        <v/>
        <stp/>
        <stp>WMJ 28!-IEU</stp>
        <stp>Block Price</stp>
        <tr r="K1910" s="5"/>
      </tp>
      <tp t="s">
        <v/>
        <stp/>
        <stp>WDF 21!-IEU</stp>
        <stp>Block Price</stp>
        <tr r="K1798" s="5"/>
      </tp>
      <tp t="s">
        <v/>
        <stp/>
        <stp>TDL 10!-IEU</stp>
        <stp>Block Price</stp>
        <tr r="K1822" s="5"/>
      </tp>
      <tp t="s">
        <v/>
        <stp/>
        <stp>WMJ 29!-IEU</stp>
        <stp>Block Price</stp>
        <tr r="K1911" s="5"/>
      </tp>
      <tp t="s">
        <v/>
        <stp/>
        <stp>WDF 20!-IEU</stp>
        <stp>Block Price</stp>
        <tr r="K1797" s="5"/>
      </tp>
    </main>
    <main first="ice.rtd">
      <tp t="s">
        <v/>
        <stp/>
        <stp>2755828679Q7:LstBlkPrc</stp>
        <tr r="K1029" s="5"/>
      </tp>
      <tp t="s">
        <v/>
        <stp/>
        <stp>2755828679M7:LstBlkPrc</stp>
        <tr r="K1004" s="5"/>
      </tp>
      <tp t="s">
        <v/>
        <stp/>
        <stp>29243602M7:LstBlkPrc</stp>
        <tr r="K753" s="5"/>
      </tp>
      <tp t="s">
        <v/>
        <stp/>
        <stp>2181724590B0:LstBlkPrc</stp>
        <tr r="K1414" s="5"/>
      </tp>
      <tp t="s">
        <v/>
        <stp/>
        <stp>1923422331M4:BstHitPrc</stp>
        <tr r="G1631" s="5"/>
      </tp>
      <tp>
        <v>-4.3</v>
        <stp/>
        <stp>1581618115M4:BstHitPrc</stp>
        <tr r="G463" s="5"/>
      </tp>
      <tp t="s">
        <v/>
        <stp/>
        <stp>18901687M6:LstBlkPrc</stp>
        <tr r="K313" s="5"/>
      </tp>
      <tp t="s">
        <v/>
        <stp/>
        <stp>18901687Q6:LstBlkPrc</stp>
        <tr r="K338" s="5"/>
      </tp>
      <tp t="s">
        <v/>
        <stp/>
        <stp>2181524588B0:LstBlkPrc</stp>
        <tr r="K1452" s="5"/>
      </tp>
      <tp t="s">
        <v/>
        <stp/>
        <stp>1986923076Y2:LstBlkPrc</stp>
        <tr r="K191" s="5"/>
      </tp>
      <tp t="s">
        <v/>
        <stp/>
        <stp>1986923076Q2:LstBlkPrc</stp>
        <tr r="K182" s="5"/>
      </tp>
      <tp>
        <v>0.5</v>
        <stp/>
        <stp>1986923076M2:LstBlkPrc</stp>
        <tr r="K157" s="5"/>
      </tp>
      <tp t="s">
        <v/>
        <stp/>
        <stp>18851683M6:LstBlkPrc</stp>
        <tr r="K199" s="5"/>
      </tp>
      <tp t="s">
        <v/>
        <stp/>
        <stp>18851683Q6:LstBlkPrc</stp>
        <tr r="K224" s="5"/>
      </tp>
      <tp t="s">
        <v/>
        <stp/>
        <stp>18871685M6:LstBlkPrc</stp>
        <tr r="K427" s="5"/>
      </tp>
      <tp t="s">
        <v/>
        <stp/>
        <stp>18871685Q6:LstBlkPrc</stp>
        <tr r="K452" s="5"/>
      </tp>
      <tp t="s">
        <v/>
        <stp/>
        <stp>1986823075Y2:LstBlkPrc</stp>
        <tr r="K153" s="5"/>
      </tp>
      <tp t="s">
        <v/>
        <stp/>
        <stp>1986823075Q2:LstBlkPrc</stp>
        <tr r="K144" s="5"/>
      </tp>
      <tp>
        <v>-92.5</v>
        <stp/>
        <stp>1986823075M2:LstBlkPrc</stp>
        <tr r="K119" s="5"/>
      </tp>
      <tp t="s">
        <v>Nov26/Mar27</v>
        <stp/>
        <stp>DBI1227MM18:Strip</stp>
        <tr r="E1669" s="5"/>
      </tp>
      <tp t="s">
        <v/>
        <stp/>
        <stp>2755728678M7:BstHitPrc</stp>
        <tr r="G1118" s="5"/>
      </tp>
      <tp t="s">
        <v/>
        <stp/>
        <stp>2755728678Q7:BstHitPrc</stp>
        <tr r="G1143" s="5"/>
      </tp>
      <tp t="s">
        <v>Invalid Market: 2044823525Q5</v>
        <stp/>
        <stp>2044823525Q5:LstBlkPrc</stp>
        <tr r="K1775" s="5"/>
      </tp>
      <tp t="s">
        <v/>
        <stp/>
        <stp>2044823525M5:LstBlkPrc</stp>
        <tr r="K1752" s="5"/>
      </tp>
      <tp t="s">
        <v/>
        <stp/>
        <stp>2181924592B0:BstHitPrc</stp>
        <tr r="G1490" s="5"/>
      </tp>
      <tp t="s">
        <v/>
        <stp/>
        <stp>32613992Q3:BstHitPrc</stp>
        <tr r="G1253" s="5"/>
      </tp>
      <tp t="s">
        <v/>
        <stp/>
        <stp>32613992M3:BstHitPrc</stp>
        <tr r="G1228" s="5"/>
      </tp>
      <tp t="s">
        <v/>
        <stp/>
        <stp>32623993Q3:BstHitPrc</stp>
        <tr r="G2018" s="5"/>
      </tp>
      <tp t="s">
        <v/>
        <stp/>
        <stp>32623993M3:BstHitPrc</stp>
        <tr r="G1993" s="5"/>
      </tp>
      <tp t="s">
        <v/>
        <stp/>
        <stp>3124331018M0:BstHitPrc</stp>
        <tr r="G1605" s="5"/>
      </tp>
      <tp t="s">
        <v/>
        <stp/>
        <stp>3124331018Y0:BstHitPrc</stp>
        <tr r="G1624" s="5"/>
      </tp>
      <tp t="s">
        <v/>
        <stp/>
        <stp>3124331018Q0:BstHitPrc</stp>
        <tr r="G1620" s="5"/>
      </tp>
      <tp t="s">
        <v/>
        <stp/>
        <stp>2427126288Q1:LstBlkPrc</stp>
        <tr r="K1061" s="5"/>
      </tp>
      <tp t="s">
        <v/>
        <stp/>
        <stp>2427126288Y1:LstBlkPrc</stp>
        <tr r="K1070" s="5"/>
      </tp>
      <tp t="s">
        <v/>
        <stp/>
        <stp>2427126288M1:LstBlkPrc</stp>
        <tr r="K1036" s="5"/>
      </tp>
      <tp t="s">
        <v/>
        <stp/>
        <stp>41767893Q1:BstHitPrc</stp>
        <tr r="G506" s="5"/>
      </tp>
      <tp t="s">
        <v/>
        <stp/>
        <stp>41767893Y1:BstHitPrc</stp>
        <tr r="G515" s="5"/>
      </tp>
      <tp>
        <v>3.4</v>
        <stp/>
        <stp>41767893M1:BstHitPrc</stp>
        <tr r="G481" s="5"/>
      </tp>
      <tp t="s">
        <v/>
        <stp/>
        <stp>41787896Q1:BstHitPrc</stp>
        <tr r="G833" s="5"/>
      </tp>
      <tp t="s">
        <v/>
        <stp/>
        <stp>41787896Y1:BstHitPrc</stp>
        <tr r="G842" s="5"/>
      </tp>
      <tp t="s">
        <v/>
        <stp/>
        <stp>41787896M1:BstHitPrc</stp>
        <tr r="G808" s="5"/>
      </tp>
      <tp t="s">
        <v/>
        <stp/>
        <stp>2181024583B0:LstBlkPrc</stp>
        <tr r="K1990" s="5"/>
      </tp>
      <tp t="s">
        <v/>
        <stp/>
        <stp>2427026287Q1:LstBlkPrc</stp>
        <tr r="K1175" s="5"/>
      </tp>
      <tp t="s">
        <v/>
        <stp/>
        <stp>2427026287Y1:LstBlkPrc</stp>
        <tr r="K1184" s="5"/>
      </tp>
      <tp t="s">
        <v/>
        <stp/>
        <stp>2427026287M1:LstBlkPrc</stp>
        <tr r="K1150" s="5"/>
      </tp>
      <tp t="s">
        <v/>
        <stp/>
        <stp>18901687Q6:BstHitPrc</stp>
        <tr r="G338" s="5"/>
      </tp>
      <tp>
        <v>20.100000000000001</v>
        <stp/>
        <stp>18901687M6:BstHitPrc</stp>
        <tr r="G313" s="5"/>
      </tp>
      <tp t="s">
        <v/>
        <stp/>
        <stp>2181524588B0:BstHitPrc</stp>
        <tr r="G1452" s="5"/>
      </tp>
      <tp>
        <v>0.15</v>
        <stp/>
        <stp>1986923076M2:BstHitPrc</stp>
        <tr r="G157" s="5"/>
      </tp>
      <tp>
        <v>0.9</v>
        <stp/>
        <stp>1986923076Q2:BstHitPrc</stp>
        <tr r="G182" s="5"/>
      </tp>
      <tp t="s">
        <v/>
        <stp/>
        <stp>1986923076Y2:BstHitPrc</stp>
        <tr r="G191" s="5"/>
      </tp>
      <tp t="s">
        <v/>
        <stp/>
        <stp>18851683Q6:BstHitPrc</stp>
        <tr r="G224" s="5"/>
      </tp>
      <tp>
        <v>-9.2899999999999991</v>
        <stp/>
        <stp>18851683M6:BstHitPrc</stp>
        <tr r="G199" s="5"/>
      </tp>
      <tp t="s">
        <v/>
        <stp/>
        <stp>18871685Q6:BstHitPrc</stp>
        <tr r="G452" s="5"/>
      </tp>
      <tp>
        <v>13.5</v>
        <stp/>
        <stp>18871685M6:BstHitPrc</stp>
        <tr r="G427" s="5"/>
      </tp>
      <tp>
        <v>-95</v>
        <stp/>
        <stp>1986823075M2:BstHitPrc</stp>
        <tr r="G119" s="5"/>
      </tp>
      <tp t="s">
        <v/>
        <stp/>
        <stp>1986823075Q2:BstHitPrc</stp>
        <tr r="G144" s="5"/>
      </tp>
      <tp t="s">
        <v/>
        <stp/>
        <stp>1986823075Y2:BstHitPrc</stp>
        <tr r="G153" s="5"/>
      </tp>
      <tp t="s">
        <v/>
        <stp/>
        <stp>2755828679M7:BstHitPrc</stp>
        <tr r="G1004" s="5"/>
      </tp>
      <tp t="s">
        <v/>
        <stp/>
        <stp>2755828679Q7:BstHitPrc</stp>
        <tr r="G1029" s="5"/>
      </tp>
      <tp t="s">
        <v/>
        <stp/>
        <stp>29243602M7:BstHitPrc</stp>
        <tr r="G753" s="5"/>
      </tp>
      <tp>
        <v>-2.8</v>
        <stp/>
        <stp>1581618115M4:LstBlkPrc</stp>
        <tr r="K463" s="5"/>
      </tp>
      <tp t="s">
        <v/>
        <stp/>
        <stp>1923422331M4:LstBlkPrc</stp>
        <tr r="K1631" s="5"/>
      </tp>
      <tp t="s">
        <v/>
        <stp/>
        <stp>2181724590B0:BstHitPrc</stp>
        <tr r="G1414" s="5"/>
      </tp>
      <tp t="s">
        <v/>
        <stp/>
        <stp>32623993M3:LstBlkPrc</stp>
        <tr r="K1993" s="5"/>
      </tp>
      <tp t="s">
        <v/>
        <stp/>
        <stp>32623993Q3:LstBlkPrc</stp>
        <tr r="K2018" s="5"/>
      </tp>
      <tp t="s">
        <v/>
        <stp/>
        <stp>32613992M3:LstBlkPrc</stp>
        <tr r="K1228" s="5"/>
      </tp>
      <tp t="s">
        <v/>
        <stp/>
        <stp>32613992Q3:LstBlkPrc</stp>
        <tr r="K1253" s="5"/>
      </tp>
      <tp>
        <v>5.5</v>
        <stp/>
        <stp>2427126288M1:BstHitPrc</stp>
        <tr r="G1036" s="5"/>
      </tp>
      <tp>
        <v>1.3</v>
        <stp/>
        <stp>2427126288Y1:BstHitPrc</stp>
        <tr r="G1070" s="5"/>
      </tp>
      <tp t="s">
        <v/>
        <stp/>
        <stp>2427126288Q1:BstHitPrc</stp>
        <tr r="G1061" s="5"/>
      </tp>
      <tp t="s">
        <v/>
        <stp/>
        <stp>3124331018Q0:LstBlkPrc</stp>
        <tr r="K1620" s="5"/>
      </tp>
      <tp t="s">
        <v/>
        <stp/>
        <stp>3124331018Y0:LstBlkPrc</stp>
        <tr r="K1624" s="5"/>
      </tp>
      <tp t="s">
        <v/>
        <stp/>
        <stp>3124331018M0:LstBlkPrc</stp>
        <tr r="K1605" s="5"/>
      </tp>
      <tp>
        <v>-11.9</v>
        <stp/>
        <stp>41787896M1:LstBlkPrc</stp>
        <tr r="K808" s="5"/>
      </tp>
      <tp t="s">
        <v/>
        <stp/>
        <stp>41787896Y1:LstBlkPrc</stp>
        <tr r="K842" s="5"/>
      </tp>
      <tp t="s">
        <v/>
        <stp/>
        <stp>41787896Q1:LstBlkPrc</stp>
        <tr r="K833" s="5"/>
      </tp>
      <tp>
        <v>3.75</v>
        <stp/>
        <stp>41767893M1:LstBlkPrc</stp>
        <tr r="K481" s="5"/>
      </tp>
      <tp t="s">
        <v/>
        <stp/>
        <stp>41767893Y1:LstBlkPrc</stp>
        <tr r="K515" s="5"/>
      </tp>
      <tp t="s">
        <v/>
        <stp/>
        <stp>41767893Q1:LstBlkPrc</stp>
        <tr r="K506" s="5"/>
      </tp>
      <tp>
        <v>19.2</v>
        <stp/>
        <stp>2427026287M1:BstHitPrc</stp>
        <tr r="G1150" s="5"/>
      </tp>
      <tp t="s">
        <v/>
        <stp/>
        <stp>2427026287Y1:BstHitPrc</stp>
        <tr r="G1184" s="5"/>
      </tp>
      <tp>
        <v>11.05</v>
        <stp/>
        <stp>2427026287Q1:BstHitPrc</stp>
        <tr r="G1175" s="5"/>
      </tp>
      <tp t="s">
        <v/>
        <stp/>
        <stp>2181024583B0:BstHitPrc</stp>
        <tr r="G1990" s="5"/>
      </tp>
      <tp t="s">
        <v/>
        <stp/>
        <stp>2181924592B0:LstBlkPrc</stp>
        <tr r="K1490" s="5"/>
      </tp>
      <tp t="s">
        <v/>
        <stp/>
        <stp>2044823525M5:BstHitPrc</stp>
        <tr r="G1752" s="5"/>
      </tp>
      <tp t="s">
        <v>Invalid Market: 2044823525Q5</v>
        <stp/>
        <stp>2044823525Q5:BstHitPrc</stp>
        <tr r="G1775" s="5"/>
      </tp>
      <tp t="s">
        <v/>
        <stp/>
        <stp>2755728678Q7:LstBlkPrc</stp>
        <tr r="K1143" s="5"/>
      </tp>
      <tp t="s">
        <v/>
        <stp/>
        <stp>2755728678M7:LstBlkPrc</stp>
        <tr r="K1118" s="5"/>
      </tp>
      <tp t="s">
        <v/>
        <stp/>
        <stp>41767893M7:LstBlkVol</stp>
        <tr r="L487" s="5"/>
      </tp>
      <tp t="s">
        <v/>
        <stp/>
        <stp>41767893Q7:LstBlkVol</stp>
        <tr r="L512" s="5"/>
      </tp>
      <tp t="s">
        <v/>
        <stp/>
        <stp>30793693M8:LstBlkVol</stp>
        <tr r="L891" s="5"/>
      </tp>
      <tp t="s">
        <v/>
        <stp/>
        <stp>30793693Q8:LstBlkVol</stp>
        <tr r="L916" s="5"/>
      </tp>
      <tp t="s">
        <v/>
        <stp/>
        <stp>41787896M7:LstBlkVol</stp>
        <tr r="L814" s="5"/>
      </tp>
      <tp t="s">
        <v/>
        <stp/>
        <stp>41787896Q7:LstBlkVol</stp>
        <tr r="L839" s="5"/>
      </tp>
      <tp t="s">
        <v/>
        <stp/>
        <stp>2324225603B0:LstBlkVol</stp>
        <tr r="L920" s="5"/>
      </tp>
      <tp t="s">
        <v/>
        <stp/>
        <stp>32613992M5:LstBlkVol</stp>
        <tr r="L1230" s="5"/>
      </tp>
      <tp t="s">
        <v/>
        <stp/>
        <stp>32613992Q5:LstBlkVol</stp>
        <tr r="L1255" s="5"/>
      </tp>
      <tp t="s">
        <v/>
        <stp/>
        <stp>32623993M5:LstBlkVol</stp>
        <tr r="L1995" s="5"/>
      </tp>
      <tp t="s">
        <v/>
        <stp/>
        <stp>32623993Q5:LstBlkVol</stp>
        <tr r="L2020" s="5"/>
      </tp>
      <tp t="s">
        <v/>
        <stp/>
        <stp>3124331018M6:LstBlkVol</stp>
        <tr r="L1611" s="5"/>
      </tp>
      <tp t="s">
        <v/>
        <stp/>
        <stp>2755728678Y1:LstBlkVol</stp>
        <tr r="L1146" s="5"/>
      </tp>
      <tp t="s">
        <v/>
        <stp/>
        <stp>2755728678Q1:LstBlkVol</stp>
        <tr r="L1137" s="5"/>
      </tp>
      <tp>
        <v>6</v>
        <stp/>
        <stp>2755728678M1:LstBlkVol</stp>
        <tr r="L1112" s="5"/>
      </tp>
      <tp t="s">
        <v/>
        <stp/>
        <stp>2324625607B0:LstBlkVol</stp>
        <tr r="L192" s="5"/>
      </tp>
      <tp t="s">
        <v/>
        <stp/>
        <stp>161913535MM8:LstBlkVol</stp>
        <tr r="L2035" s="5"/>
      </tp>
      <tp t="s">
        <v/>
        <stp/>
        <stp>5162M24:BstLiftPrc</stp>
        <tr r="H793" s="5"/>
      </tp>
      <tp t="s">
        <v/>
        <stp/>
        <stp>5162M23:BstLiftPrc</stp>
        <tr r="H792" s="5"/>
      </tp>
      <tp t="s">
        <v/>
        <stp/>
        <stp>5162M22:BstLiftPrc</stp>
        <tr r="H791" s="5"/>
      </tp>
      <tp t="s">
        <v/>
        <stp/>
        <stp>5162M21:BstLiftPrc</stp>
        <tr r="H790" s="5"/>
      </tp>
      <tp t="s">
        <v/>
        <stp/>
        <stp>5162M20:BstLiftPrc</stp>
        <tr r="H789" s="5"/>
      </tp>
      <tp t="s">
        <v/>
        <stp/>
        <stp>5162M19:BstLiftPrc</stp>
        <tr r="H788" s="5"/>
      </tp>
      <tp t="s">
        <v/>
        <stp/>
        <stp>5162M18:BstLiftPrc</stp>
        <tr r="H787" s="5"/>
      </tp>
      <tp t="s">
        <v/>
        <stp/>
        <stp>5162M17:BstLiftPrc</stp>
        <tr r="H786" s="5"/>
      </tp>
      <tp t="s">
        <v/>
        <stp/>
        <stp>5162M16:BstLiftPrc</stp>
        <tr r="H785" s="5"/>
      </tp>
      <tp t="s">
        <v/>
        <stp/>
        <stp>5162M15:BstLiftPrc</stp>
        <tr r="H784" s="5"/>
      </tp>
      <tp t="s">
        <v/>
        <stp/>
        <stp>5162M14:BstLiftPrc</stp>
        <tr r="H783" s="5"/>
      </tp>
      <tp t="s">
        <v/>
        <stp/>
        <stp>5162M13:BstLiftPrc</stp>
        <tr r="H782" s="5"/>
      </tp>
      <tp t="s">
        <v/>
        <stp/>
        <stp>5162M12:BstLiftPrc</stp>
        <tr r="H781" s="5"/>
      </tp>
      <tp t="s">
        <v/>
        <stp/>
        <stp>5162M11:BstLiftPrc</stp>
        <tr r="H780" s="5"/>
      </tp>
      <tp t="s">
        <v/>
        <stp/>
        <stp>5162M10:BstLiftPrc</stp>
        <tr r="H779" s="5"/>
      </tp>
      <tp t="s">
        <v/>
        <stp/>
        <stp>1923422331Q2:LstBlkVol</stp>
        <tr r="L1644" s="5"/>
      </tp>
      <tp t="s">
        <v/>
        <stp/>
        <stp>1923422331M2:LstBlkVol</stp>
        <tr r="L1629" s="5"/>
      </tp>
      <tp t="s">
        <v/>
        <stp/>
        <stp>1581618115Q2:LstBlkVol</stp>
        <tr r="L476" s="5"/>
      </tp>
      <tp>
        <v>50</v>
        <stp/>
        <stp>1581618115M2:LstBlkVol</stp>
        <tr r="L461" s="5"/>
      </tp>
      <tp t="s">
        <v/>
        <stp/>
        <stp>2044823525Q3:LstBlkVol</stp>
        <tr r="L1773" s="5"/>
      </tp>
      <tp t="s">
        <v/>
        <stp/>
        <stp>2044823525M3:LstBlkVol</stp>
        <tr r="L1750" s="5"/>
      </tp>
      <tp t="s">
        <v/>
        <stp/>
        <stp>57409036M9:LstBlkVol</stp>
        <tr r="L240" s="5"/>
      </tp>
    </main>
    <main first="esrtd">
      <tp t="s">
        <v/>
        <stp/>
        <stp>BRN 26UC18000-ICE</stp>
        <stp>Market</stp>
        <tr r="AQ123" s="23"/>
      </tp>
      <tp t="s">
        <v/>
        <stp/>
        <stp>BRN 26UP18000-ICE</stp>
        <stp>Market</stp>
        <tr r="AJ123" s="23"/>
      </tp>
    </main>
    <main first="ice.rtd">
      <tp>
        <v>4</v>
        <stp/>
        <stp>2184924621B0:LstBlkVol</stp>
        <tr r="L707" s="5"/>
      </tp>
      <tp t="s">
        <v/>
        <stp/>
        <stp>46678127M9:LstBlkVol</stp>
        <tr r="L354" s="5"/>
      </tp>
    </main>
    <main first="esrtd">
      <tp t="s">
        <v/>
        <stp/>
        <stp>BRN 26VC18000-ICE</stp>
        <stp>Market</stp>
        <tr r="AQ198" s="23"/>
      </tp>
      <tp t="s">
        <v/>
        <stp/>
        <stp>BRN 26VP18000-ICE</stp>
        <stp>Market</stp>
        <tr r="AJ198" s="23"/>
      </tp>
    </main>
    <main first="ice.rtd">
      <tp t="s">
        <v/>
        <stp/>
        <stp>2427026287Q7:LstBlkVol</stp>
        <tr r="L1181" s="5"/>
      </tp>
      <tp t="s">
        <v/>
        <stp/>
        <stp>2324925610B0:LstBlkVol</stp>
        <tr r="L882" s="5"/>
      </tp>
      <tp t="s">
        <v/>
        <stp/>
        <stp>2427026287M7:LstBlkVol</stp>
        <tr r="L1156" s="5"/>
      </tp>
      <tp t="s">
        <v/>
        <stp/>
        <stp>2427126288Q7:LstBlkVol</stp>
        <tr r="L1067" s="5"/>
      </tp>
      <tp t="s">
        <v/>
        <stp/>
        <stp>2427126288M7:LstBlkVol</stp>
        <tr r="L1042" s="5"/>
      </tp>
      <tp t="s">
        <v/>
        <stp/>
        <stp>29243602M1:LstBlkVol</stp>
        <tr r="L747" s="5"/>
      </tp>
      <tp t="s">
        <v/>
        <stp/>
        <stp>29243602Q1:LstBlkVol</stp>
        <tr r="L763" s="5"/>
      </tp>
      <tp t="s">
        <v/>
        <stp/>
        <stp>1923422331M11:BstLiftPrc</stp>
        <tr r="H1638" s="5"/>
      </tp>
      <tp t="s">
        <v/>
        <stp/>
        <stp>1923422331M10:BstLiftPrc</stp>
        <tr r="H1637" s="5"/>
      </tp>
      <tp t="s">
        <v/>
        <stp/>
        <stp>1923422331M13:BstLiftPrc</stp>
        <tr r="H1640" s="5"/>
      </tp>
      <tp t="s">
        <v/>
        <stp/>
        <stp>1923422331M12:BstLiftPrc</stp>
        <tr r="H1639" s="5"/>
      </tp>
      <tp t="s">
        <v/>
        <stp/>
        <stp>1923422331M14:BstLiftPrc</stp>
        <tr r="H1641" s="5"/>
      </tp>
      <tp t="s">
        <v/>
        <stp/>
        <stp>57179020M9:LstBlkVol</stp>
        <tr r="L1556" s="5"/>
      </tp>
    </main>
    <main first="esrtd">
      <tp t="s">
        <v/>
        <stp/>
        <stp>BRN 26QC18000-ICE</stp>
        <stp>Market</stp>
        <tr r="AQ53" s="23"/>
      </tp>
    </main>
    <main first="ice.rtd">
      <tp t="s">
        <v/>
        <stp/>
        <stp>2755828679Y1:LstBlkVol</stp>
        <tr r="L1032" s="5"/>
      </tp>
      <tp t="s">
        <v/>
        <stp/>
        <stp>2755828679Q1:LstBlkVol</stp>
        <tr r="L1023" s="5"/>
      </tp>
      <tp>
        <v>5</v>
        <stp/>
        <stp>2755828679M1:LstBlkVol</stp>
        <tr r="L998" s="5"/>
      </tp>
    </main>
    <main first="esrtd">
      <tp t="s">
        <v/>
        <stp/>
        <stp>BRN 26QP18000-ICE</stp>
        <stp>Market</stp>
        <tr r="AJ53" s="23"/>
      </tp>
    </main>
    <main first="ice.rtd">
      <tp t="s">
        <v/>
        <stp/>
        <stp>3124331018M14:BstLiftPrc</stp>
        <tr r="H1619" s="5"/>
      </tp>
      <tp t="s">
        <v/>
        <stp/>
        <stp>3124331018M12:BstLiftPrc</stp>
        <tr r="H1617" s="5"/>
      </tp>
      <tp t="s">
        <v/>
        <stp/>
        <stp>3124331018M13:BstLiftPrc</stp>
        <tr r="H1618" s="5"/>
      </tp>
      <tp t="s">
        <v/>
        <stp/>
        <stp>3124331018M10:BstLiftPrc</stp>
        <tr r="H1615" s="5"/>
      </tp>
      <tp t="s">
        <v/>
        <stp/>
        <stp>3124331018M11:BstLiftPrc</stp>
        <tr r="H1616" s="5"/>
      </tp>
      <tp t="s">
        <v/>
        <stp/>
        <stp>18871685M0:LstBlkVol</stp>
        <tr r="L421" s="5"/>
      </tp>
      <tp>
        <v>1</v>
        <stp/>
        <stp>18871685Y0:LstBlkVol</stp>
        <tr r="L455" s="5"/>
      </tp>
      <tp>
        <v>5</v>
        <stp/>
        <stp>18871685Q0:LstBlkVol</stp>
        <tr r="L446" s="5"/>
      </tp>
      <tp t="s">
        <v/>
        <stp/>
        <stp>18851683M0:LstBlkVol</stp>
        <tr r="L193" s="5"/>
      </tp>
      <tp t="s">
        <v/>
        <stp/>
        <stp>18851683Y0:LstBlkVol</stp>
        <tr r="L227" s="5"/>
      </tp>
      <tp t="s">
        <v/>
        <stp/>
        <stp>18851683Q0:LstBlkVol</stp>
        <tr r="L218" s="5"/>
      </tp>
      <tp t="s">
        <v/>
        <stp/>
        <stp>15141311T8:LstBlkVol</stp>
        <tr r="L1536" s="5"/>
      </tp>
      <tp t="s">
        <v/>
        <stp/>
        <stp>1986823075Q4:LstBlkVol</stp>
        <tr r="L146" s="5"/>
      </tp>
      <tp>
        <v>50</v>
        <stp/>
        <stp>1986823075M4:LstBlkVol</stp>
        <tr r="L121" s="5"/>
      </tp>
      <tp t="s">
        <v/>
        <stp/>
        <stp>30813691M8:LstBlkVol</stp>
        <tr r="L1961" s="5"/>
      </tp>
      <tp t="s">
        <v/>
        <stp/>
        <stp>30813691Q8:LstBlkVol</stp>
        <tr r="L1986" s="5"/>
      </tp>
      <tp t="s">
        <v/>
        <stp/>
        <stp>18901687M0:LstBlkVol</stp>
        <tr r="L307" s="5"/>
      </tp>
      <tp t="s">
        <v/>
        <stp/>
        <stp>18901687Y0:LstBlkVol</stp>
        <tr r="L341" s="5"/>
      </tp>
      <tp t="s">
        <v/>
        <stp/>
        <stp>18901687Q0:LstBlkVol</stp>
        <tr r="L332" s="5"/>
      </tp>
      <tp t="s">
        <v/>
        <stp/>
        <stp>15091310M8:LstBlkVol</stp>
        <tr r="L1385" s="5"/>
      </tp>
      <tp t="s">
        <v/>
        <stp/>
        <stp>15091310Q8:LstBlkVol</stp>
        <tr r="L1410" s="5"/>
      </tp>
      <tp t="s">
        <v/>
        <stp/>
        <stp>1986923076Q4:LstBlkVol</stp>
        <tr r="L184" s="5"/>
      </tp>
      <tp>
        <v>50</v>
        <stp/>
        <stp>1986923076M4:LstBlkVol</stp>
        <tr r="L159" s="5"/>
      </tp>
    </main>
    <main first="esrtd">
      <tp t="s">
        <v/>
        <stp/>
        <stp>WDF 30!-IEU</stp>
        <stp>Ask</stp>
        <tr r="H1807" s="5"/>
      </tp>
    </main>
    <main first="ice.rtd">
      <tp t="s">
        <v/>
        <stp/>
        <stp>366531MM19:LstBlkVol</stp>
        <tr r="L1734" s="5"/>
      </tp>
    </main>
    <main first="esrtd">
      <tp t="s">
        <v/>
        <stp/>
        <stp>WNS 30!-IEU</stp>
        <stp>Ask</stp>
        <tr r="H1877" s="5"/>
      </tp>
      <tp t="s">
        <v/>
        <stp/>
        <stp>WMJ 30!-IEU</stp>
        <stp>Ask</stp>
        <tr r="H1912" s="5"/>
      </tp>
    </main>
    <main first="ice.rtd">
      <tp t="s">
        <v/>
        <stp/>
        <stp>15061297MM13:LstBlkVol</stp>
        <tr r="L1696" s="5"/>
      </tp>
      <tp>
        <v>28</v>
        <stp/>
        <stp>15061297MM23:LstBlkVol</stp>
        <tr r="L1706" s="5"/>
      </tp>
    </main>
    <main first="esrtd">
      <tp t="s">
        <v/>
        <stp/>
        <stp>WHK 30!-IEU</stp>
        <stp>Ask</stp>
        <tr r="H1947" s="5"/>
      </tp>
    </main>
    <main first="ice.rtd">
      <tp t="s">
        <v/>
        <stp/>
        <stp>15061297MM15:LstBlkPrc</stp>
        <tr r="K1698" s="5"/>
      </tp>
      <tp t="s">
        <v/>
        <stp/>
        <stp>15061297MM25:LstBlkPrc</stp>
        <tr r="K1708" s="5"/>
      </tp>
      <tp>
        <v>0</v>
        <stp/>
        <stp>30793693Y2:OI</stp>
        <tr r="T919" s="5"/>
      </tp>
      <tp>
        <v>0</v>
        <stp/>
        <stp>30793693Y1:OI</stp>
        <tr r="T918" s="5"/>
      </tp>
      <tp>
        <v>0</v>
        <stp/>
        <stp>30793693Y0:OI</stp>
        <tr r="T917" s="5"/>
      </tp>
      <tp>
        <v>0</v>
        <stp/>
        <stp>30793693Q7:OI</stp>
        <tr r="T915" s="5"/>
      </tp>
      <tp>
        <v>0</v>
        <stp/>
        <stp>30793693Q6:OI</stp>
        <tr r="T914" s="5"/>
      </tp>
      <tp>
        <v>0</v>
        <stp/>
        <stp>30793693Q5:OI</stp>
        <tr r="T913" s="5"/>
      </tp>
      <tp>
        <v>0</v>
        <stp/>
        <stp>30793693Q4:OI</stp>
        <tr r="T912" s="5"/>
      </tp>
      <tp>
        <v>0</v>
        <stp/>
        <stp>30793693Q3:OI</stp>
        <tr r="T911" s="5"/>
      </tp>
      <tp>
        <v>0</v>
        <stp/>
        <stp>30793693Q2:OI</stp>
        <tr r="T910" s="5"/>
      </tp>
      <tp>
        <v>0</v>
        <stp/>
        <stp>30793693Q1:OI</stp>
        <tr r="T909" s="5"/>
      </tp>
      <tp>
        <v>0</v>
        <stp/>
        <stp>30793693Q0:OI</stp>
        <tr r="T908" s="5"/>
      </tp>
      <tp>
        <v>0</v>
        <stp/>
        <stp>30793693Q8:OI</stp>
        <tr r="T916" s="5"/>
      </tp>
      <tp>
        <v>137</v>
        <stp/>
        <stp>30793693M7:OI</stp>
        <tr r="T890" s="5"/>
      </tp>
      <tp>
        <v>140</v>
        <stp/>
        <stp>30793693M6:OI</stp>
        <tr r="T889" s="5"/>
      </tp>
      <tp>
        <v>156</v>
        <stp/>
        <stp>30793693M5:OI</stp>
        <tr r="T888" s="5"/>
      </tp>
      <tp>
        <v>141</v>
        <stp/>
        <stp>30793693M4:OI</stp>
        <tr r="T887" s="5"/>
      </tp>
      <tp>
        <v>768</v>
        <stp/>
        <stp>30793693M3:OI</stp>
        <tr r="T886" s="5"/>
      </tp>
      <tp>
        <v>656</v>
        <stp/>
        <stp>30793693M2:OI</stp>
        <tr r="T885" s="5"/>
      </tp>
      <tp>
        <v>875</v>
        <stp/>
        <stp>30793693M1:OI</stp>
        <tr r="T884" s="5"/>
      </tp>
      <tp>
        <v>2005</v>
        <stp/>
        <stp>30793693M0:OI</stp>
        <tr r="T883" s="5"/>
      </tp>
      <tp>
        <v>135</v>
        <stp/>
        <stp>30793693M9:OI</stp>
        <tr r="T892" s="5"/>
      </tp>
      <tp>
        <v>79</v>
        <stp/>
        <stp>30793693M8:OI</stp>
        <tr r="T891" s="5"/>
      </tp>
      <tp>
        <v>0</v>
        <stp/>
        <stp>41787896Y0:OI</stp>
        <tr r="T841" s="5"/>
      </tp>
      <tp>
        <v>0</v>
        <stp/>
        <stp>41787896Y1:OI</stp>
        <tr r="T842" s="5"/>
      </tp>
      <tp>
        <v>0</v>
        <stp/>
        <stp>41787896Y2:OI</stp>
        <tr r="T843" s="5"/>
      </tp>
      <tp>
        <v>0</v>
        <stp/>
        <stp>41787896Q8:OI</stp>
        <tr r="T840" s="5"/>
      </tp>
      <tp>
        <v>0</v>
        <stp/>
        <stp>41787896Q0:OI</stp>
        <tr r="T832" s="5"/>
      </tp>
      <tp>
        <v>0</v>
        <stp/>
        <stp>41787896Q1:OI</stp>
        <tr r="T833" s="5"/>
      </tp>
      <tp>
        <v>0</v>
        <stp/>
        <stp>41787896Q2:OI</stp>
        <tr r="T834" s="5"/>
      </tp>
      <tp>
        <v>0</v>
        <stp/>
        <stp>41787896Q3:OI</stp>
        <tr r="T835" s="5"/>
      </tp>
      <tp>
        <v>0</v>
        <stp/>
        <stp>41787896Q4:OI</stp>
        <tr r="T836" s="5"/>
      </tp>
      <tp>
        <v>0</v>
        <stp/>
        <stp>41787896Q5:OI</stp>
        <tr r="T837" s="5"/>
      </tp>
      <tp>
        <v>0</v>
        <stp/>
        <stp>41787896Q6:OI</stp>
        <tr r="T838" s="5"/>
      </tp>
      <tp>
        <v>0</v>
        <stp/>
        <stp>41787896Q7:OI</stp>
        <tr r="T839" s="5"/>
      </tp>
      <tp>
        <v>596</v>
        <stp/>
        <stp>41787896M8:OI</stp>
        <tr r="T815" s="5"/>
      </tp>
      <tp>
        <v>592</v>
        <stp/>
        <stp>41787896M9:OI</stp>
        <tr r="T816" s="5"/>
      </tp>
      <tp>
        <v>5623</v>
        <stp/>
        <stp>41787896M0:OI</stp>
        <tr r="T807" s="5"/>
      </tp>
      <tp>
        <v>3056</v>
        <stp/>
        <stp>41787896M1:OI</stp>
        <tr r="T808" s="5"/>
      </tp>
      <tp>
        <v>2386</v>
        <stp/>
        <stp>41787896M2:OI</stp>
        <tr r="T809" s="5"/>
      </tp>
      <tp>
        <v>2871</v>
        <stp/>
        <stp>41787896M3:OI</stp>
        <tr r="T810" s="5"/>
      </tp>
      <tp>
        <v>896</v>
        <stp/>
        <stp>41787896M4:OI</stp>
        <tr r="T811" s="5"/>
      </tp>
      <tp>
        <v>932</v>
        <stp/>
        <stp>41787896M5:OI</stp>
        <tr r="T812" s="5"/>
      </tp>
      <tp>
        <v>896</v>
        <stp/>
        <stp>41787896M6:OI</stp>
        <tr r="T813" s="5"/>
      </tp>
      <tp>
        <v>596</v>
        <stp/>
        <stp>41787896M7:OI</stp>
        <tr r="T814" s="5"/>
      </tp>
    </main>
    <main first="esrtd">
      <tp t="s">
        <v/>
        <stp/>
        <stp>TDL 30!-IEU</stp>
        <stp>Bid</stp>
        <tr r="G1842" s="5"/>
      </tp>
    </main>
    <main first="ice.rtd">
      <tp t="s">
        <v/>
        <stp/>
        <stp>15061297MM25:BstHitPrc</stp>
        <tr r="G1708" s="5"/>
      </tp>
      <tp t="s">
        <v/>
        <stp/>
        <stp>15061297MM15:BstHitPrc</stp>
        <tr r="G1698" s="5"/>
      </tp>
      <tp>
        <v>0</v>
        <stp/>
        <stp>41767893Y0:OI</stp>
        <tr r="T514" s="5"/>
      </tp>
      <tp>
        <v>0</v>
        <stp/>
        <stp>41767893Y1:OI</stp>
        <tr r="T515" s="5"/>
      </tp>
      <tp t="s">
        <v>Invalid Market: 41767893Y2</v>
        <stp/>
        <stp>41767893Y2:OI</stp>
        <tr r="T516" s="5"/>
      </tp>
      <tp>
        <v>0</v>
        <stp/>
        <stp>41767893Q8:OI</stp>
        <tr r="T513" s="5"/>
      </tp>
      <tp>
        <v>0</v>
        <stp/>
        <stp>41767893Q0:OI</stp>
        <tr r="T505" s="5"/>
      </tp>
      <tp>
        <v>0</v>
        <stp/>
        <stp>41767893Q1:OI</stp>
        <tr r="T506" s="5"/>
      </tp>
      <tp>
        <v>0</v>
        <stp/>
        <stp>41767893Q2:OI</stp>
        <tr r="T507" s="5"/>
      </tp>
      <tp>
        <v>0</v>
        <stp/>
        <stp>41767893Q3:OI</stp>
        <tr r="T508" s="5"/>
      </tp>
      <tp>
        <v>0</v>
        <stp/>
        <stp>41767893Q4:OI</stp>
        <tr r="T509" s="5"/>
      </tp>
      <tp>
        <v>0</v>
        <stp/>
        <stp>41767893Q5:OI</stp>
        <tr r="T510" s="5"/>
      </tp>
      <tp>
        <v>0</v>
        <stp/>
        <stp>41767893Q6:OI</stp>
        <tr r="T511" s="5"/>
      </tp>
      <tp>
        <v>0</v>
        <stp/>
        <stp>41767893Q7:OI</stp>
        <tr r="T512" s="5"/>
      </tp>
      <tp>
        <v>0</v>
        <stp/>
        <stp>41767893M8:OI</stp>
        <tr r="T488" s="5"/>
      </tp>
      <tp>
        <v>0</v>
        <stp/>
        <stp>41767893M9:OI</stp>
        <tr r="T489" s="5"/>
      </tp>
      <tp>
        <v>2624</v>
        <stp/>
        <stp>41767893M0:OI</stp>
        <tr r="T480" s="5"/>
      </tp>
      <tp>
        <v>585</v>
        <stp/>
        <stp>41767893M1:OI</stp>
        <tr r="T481" s="5"/>
      </tp>
      <tp>
        <v>550</v>
        <stp/>
        <stp>41767893M2:OI</stp>
        <tr r="T482" s="5"/>
      </tp>
      <tp>
        <v>735</v>
        <stp/>
        <stp>41767893M3:OI</stp>
        <tr r="T483" s="5"/>
      </tp>
      <tp>
        <v>0</v>
        <stp/>
        <stp>41767893M4:OI</stp>
        <tr r="T484" s="5"/>
      </tp>
      <tp>
        <v>0</v>
        <stp/>
        <stp>41767893M5:OI</stp>
        <tr r="T485" s="5"/>
      </tp>
      <tp>
        <v>0</v>
        <stp/>
        <stp>41767893M6:OI</stp>
        <tr r="T486" s="5"/>
      </tp>
      <tp>
        <v>0</v>
        <stp/>
        <stp>41767893M7:OI</stp>
        <tr r="T487" s="5"/>
      </tp>
      <tp t="s">
        <v>Invalid Market: 41767893B0</v>
        <stp/>
        <stp>41767893B0:OI</stp>
        <tr r="T479" s="5"/>
      </tp>
      <tp t="s">
        <v/>
        <stp/>
        <stp>2181924592B0:LstDate</stp>
        <tr r="J1490" s="5"/>
      </tp>
    </main>
    <main first="bofaddin.rtdserver">
      <tp t="s">
        <v>#N/A Requesting Data...4019631176</v>
        <stp/>
        <stp>BDP|11939735967877473014</stp>
        <tr r="AF75" s="23"/>
      </tp>
    </main>
    <main first="ice.rtd">
      <tp t="s">
        <v/>
        <stp/>
        <stp>1581618115M8:LstDate</stp>
        <tr r="J467" s="5"/>
      </tp>
      <tp t="s">
        <v/>
        <stp/>
        <stp>1581618115M9:LstDate</stp>
        <tr r="J468" s="5"/>
      </tp>
      <tp t="s">
        <v/>
        <stp/>
        <stp>1581618115M6:LstDate</stp>
        <tr r="J465" s="5"/>
      </tp>
      <tp t="s">
        <v/>
        <stp/>
        <stp>1581618115M7:LstDate</stp>
        <tr r="J466" s="5"/>
      </tp>
      <tp t="s">
        <v/>
        <stp/>
        <stp>1581618115M4:LstDate</stp>
        <tr r="J463" s="5"/>
      </tp>
      <tp t="s">
        <v/>
        <stp/>
        <stp>1581618115M5:LstDate</stp>
        <tr r="J464" s="5"/>
      </tp>
      <tp t="s">
        <v/>
        <stp/>
        <stp>1581618115M2:LstDate</stp>
        <tr r="J461" s="5"/>
      </tp>
      <tp t="s">
        <v/>
        <stp/>
        <stp>1581618115M3:LstDate</stp>
        <tr r="J462" s="5"/>
      </tp>
      <tp t="s">
        <v/>
        <stp/>
        <stp>1581618115M0:LstDate</stp>
        <tr r="J459" s="5"/>
      </tp>
      <tp>
        <v>46267.413626168978</v>
        <stp/>
        <stp>1581618115M1:LstDate</stp>
        <tr r="J460" s="5"/>
      </tp>
    </main>
    <main first="ice.rtd">
      <tp t="s">
        <v/>
        <stp/>
        <stp>2427026287M9:LstDate</stp>
        <tr r="J1158" s="5"/>
      </tp>
      <tp t="s">
        <v/>
        <stp/>
        <stp>2427026287M8:LstDate</stp>
        <tr r="J1157" s="5"/>
      </tp>
      <tp t="s">
        <v/>
        <stp/>
        <stp>2427026287M3:LstDate</stp>
        <tr r="J1152" s="5"/>
      </tp>
      <tp>
        <v>46267.448560138888</v>
        <stp/>
        <stp>2427026287M2:LstDate</stp>
        <tr r="J1151" s="5"/>
      </tp>
      <tp>
        <v>46267.465018368057</v>
        <stp/>
        <stp>2427026287M1:LstDate</stp>
        <tr r="J1150" s="5"/>
      </tp>
      <tp t="s">
        <v/>
        <stp/>
        <stp>2427026287M0:LstDate</stp>
        <tr r="J1149" s="5"/>
      </tp>
      <tp t="s">
        <v/>
        <stp/>
        <stp>2427026287M7:LstDate</stp>
        <tr r="J1156" s="5"/>
      </tp>
      <tp t="s">
        <v/>
        <stp/>
        <stp>2427026287M6:LstDate</stp>
        <tr r="J1155" s="5"/>
      </tp>
      <tp t="s">
        <v/>
        <stp/>
        <stp>2427026287M5:LstDate</stp>
        <tr r="J1154" s="5"/>
      </tp>
      <tp t="s">
        <v/>
        <stp/>
        <stp>2427026287M4:LstDate</stp>
        <tr r="J1153" s="5"/>
      </tp>
    </main>
    <main first="bofaddin.rtdserver">
      <tp t="s">
        <v>#N/A Requesting Data...3726103896</v>
        <stp/>
        <stp>BDP|13645014549652937294</stp>
        <tr r="AM51" s="23"/>
      </tp>
      <tp t="s">
        <v>#N/A Requesting Data...3817078333</v>
        <stp/>
        <stp>BDP|16031046034896176417</stp>
        <tr r="AM118" s="23"/>
      </tp>
      <tp t="s">
        <v>#N/A Requesting Data...3737033435</v>
        <stp/>
        <stp>BDP|13237749846912666562</stp>
        <tr r="AM119" s="23"/>
      </tp>
      <tp t="s">
        <v>#N/A Requesting Data...3980089308</v>
        <stp/>
        <stp>BDP|11083114808154201387</stp>
        <tr r="AF198" s="23"/>
      </tp>
    </main>
    <main first="ice.rtd">
      <tp t="s">
        <v/>
        <stp/>
        <stp>2324925610B0:LstDate</stp>
        <tr r="J882" s="5"/>
      </tp>
    </main>
    <main first="bofaddin.rtdserver">
      <tp t="s">
        <v>#N/A Requesting Data...4027555333</v>
        <stp/>
        <stp>BDP|10739018675432409250</stp>
        <tr r="B36" s="23"/>
        <tr r="B77" s="23"/>
      </tp>
    </main>
    <main first="ice.rtd">
      <tp t="s">
        <v>Invalid Market: 1581618115B0</v>
        <stp/>
        <stp>1581618115B0:LstDate</stp>
        <tr r="J458" s="5"/>
      </tp>
    </main>
    <main first="bofaddin.rtdserver">
      <tp t="s">
        <v>#N/A Requesting Data...3876244897</v>
        <stp/>
        <stp>BDP|10565146253543359044</stp>
        <tr r="AF197" s="23"/>
      </tp>
      <tp t="s">
        <v>#N/A N/A</v>
        <stp/>
        <stp>BDH|13078591831560815211</stp>
        <tr r="D24" s="14"/>
      </tp>
      <tp t="s">
        <v>#N/A N/A</v>
        <stp/>
        <stp>BDH|15550858253526149925</stp>
        <tr r="AY23" s="1"/>
      </tp>
      <tp t="s">
        <v>#N/A N/A</v>
        <stp/>
        <stp>BDH|13732135460762344172</stp>
        <tr r="AW36" s="1"/>
      </tp>
      <tp t="s">
        <v>#N/A N/A</v>
        <stp/>
        <stp>BDH|13636462809435973538</stp>
        <tr r="J12" s="14"/>
      </tp>
      <tp t="s">
        <v>#N/A N/A</v>
        <stp/>
        <stp>BDH|15652774175860670213</stp>
        <tr r="G38" s="16"/>
      </tp>
      <tp t="s">
        <v>#N/A N/A</v>
        <stp/>
        <stp>BDH|13583772440601078619</stp>
        <tr r="BA63" s="1"/>
        <tr r="BA63" s="1"/>
      </tp>
    </main>
    <main first="ice.rtd">
      <tp t="s">
        <v/>
        <stp/>
        <stp>2427026287Y2:LstDate</stp>
        <tr r="J1185" s="5"/>
      </tp>
      <tp t="s">
        <v/>
        <stp/>
        <stp>2427026287Y1:LstDate</stp>
        <tr r="J1184" s="5"/>
      </tp>
      <tp t="s">
        <v/>
        <stp/>
        <stp>2427026287Y0:LstDate</stp>
        <tr r="J1183" s="5"/>
      </tp>
    </main>
    <main first="bofaddin.rtdserver">
      <tp t="s">
        <v>#N/A N/A</v>
        <stp/>
        <stp>BDH|15652391317822967237</stp>
        <tr r="AV66" s="1"/>
      </tp>
      <tp t="s">
        <v>#N/A N/A</v>
        <stp/>
        <stp>BDH|12383472765761539662</stp>
        <tr r="K91" s="16"/>
      </tp>
      <tp t="s">
        <v>#N/A N/A</v>
        <stp/>
        <stp>BDH|16643327676852719778</stp>
        <tr r="AW19" s="1"/>
      </tp>
      <tp t="b">
        <v>0</v>
        <stp/>
        <stp>BDH|10420651698859875157</stp>
        <tr r="R20" s="25"/>
        <tr r="R20" s="25"/>
      </tp>
      <tp t="s">
        <v>#N/A N/A</v>
        <stp/>
        <stp>BDH|18437729464607311965</stp>
        <tr r="BA28" s="1"/>
        <tr r="BA28" s="1"/>
      </tp>
      <tp t="s">
        <v>#N/A N/A</v>
        <stp/>
        <stp>BDH|15427523334896153241</stp>
        <tr r="AV25" s="1"/>
      </tp>
    </main>
    <main first="ice.rtd">
      <tp t="s">
        <v/>
        <stp/>
        <stp>1581618115Y0:LstDate</stp>
        <tr r="J478" s="5"/>
      </tp>
    </main>
    <main first="bofaddin.rtdserver">
      <tp t="s">
        <v>#N/A</v>
        <stp/>
        <stp>BDP|463550145324773160|222</stp>
        <stp>OQAG8H8 Comdty</stp>
        <stp>ASK</stp>
        <stp>Fill=#N/A</stp>
        <tr r="T37" s="1"/>
      </tp>
      <tp t="s">
        <v>#N/A N/A</v>
        <stp/>
        <stp>BDH|12381365273110172113</stp>
        <tr r="AY26" s="1"/>
      </tp>
      <tp t="s">
        <v>#N/A N/A</v>
        <stp/>
        <stp>BDH|15537626374263361069</stp>
        <tr r="AW65" s="1"/>
      </tp>
      <tp t="s">
        <v>#N/A N/A</v>
        <stp/>
        <stp>BDH|13677050745455998598</stp>
        <tr r="AW53" s="1"/>
      </tp>
      <tp t="s">
        <v>#N/A N/A</v>
        <stp/>
        <stp>BDH|16487245479271888575</stp>
        <tr r="AZ56" s="1"/>
      </tp>
      <tp t="s">
        <v>#N/A N/A</v>
        <stp/>
        <stp>BDH|12379002611126865238</stp>
        <tr r="C24" s="14"/>
      </tp>
      <tp t="b">
        <v>0</v>
        <stp/>
        <stp>BDH|18411144192951204684</stp>
        <tr r="C3" s="24"/>
      </tp>
      <tp t="s">
        <v>#N/A N/A</v>
        <stp/>
        <stp>BDH|10929900468501265985</stp>
        <tr r="H59" s="16"/>
      </tp>
    </main>
    <main first="ice.rtd">
      <tp t="s">
        <v/>
        <stp/>
        <stp>2427026287Q8:LstDate</stp>
        <tr r="J1182" s="5"/>
      </tp>
      <tp>
        <v>0</v>
        <stp/>
        <stp>2325325614B0:OI</stp>
        <tr r="T517" s="5"/>
      </tp>
      <tp t="s">
        <v/>
        <stp/>
        <stp>2427026287Q3:LstDate</stp>
        <tr r="J1177" s="5"/>
      </tp>
      <tp t="s">
        <v/>
        <stp/>
        <stp>2427026287Q2:LstDate</stp>
        <tr r="J1176" s="5"/>
      </tp>
      <tp t="s">
        <v/>
        <stp/>
        <stp>2427026287Q1:LstDate</stp>
        <tr r="J1175" s="5"/>
      </tp>
      <tp t="s">
        <v/>
        <stp/>
        <stp>2427026287Q0:LstDate</stp>
        <tr r="J1174" s="5"/>
      </tp>
      <tp t="s">
        <v/>
        <stp/>
        <stp>2427026287Q7:LstDate</stp>
        <tr r="J1181" s="5"/>
      </tp>
      <tp t="s">
        <v/>
        <stp/>
        <stp>2427026287Q6:LstDate</stp>
        <tr r="J1180" s="5"/>
      </tp>
      <tp t="s">
        <v/>
        <stp/>
        <stp>2427026287Q5:LstDate</stp>
        <tr r="J1179" s="5"/>
      </tp>
      <tp t="s">
        <v/>
        <stp/>
        <stp>2427026287Q4:LstDate</stp>
        <tr r="J1178" s="5"/>
      </tp>
      <tp>
        <v>0</v>
        <stp/>
        <stp>2324225603B0:OI</stp>
        <tr r="T920" s="5"/>
      </tp>
    </main>
    <main first="bofaddin.rtdserver">
      <tp t="s">
        <v>#N/A N/A</v>
        <stp/>
        <stp>BDH|10963200134505296326</stp>
        <tr r="D25" s="14"/>
        <tr r="J48" s="14"/>
      </tp>
      <tp t="s">
        <v>#N/A N/A</v>
        <stp/>
        <stp>BDH|12614990636406567908</stp>
        <tr r="BA56" s="1"/>
        <tr r="BA56" s="1"/>
      </tp>
    </main>
    <main first="ice.rtd">
      <tp>
        <v>0</v>
        <stp/>
        <stp>15061297MM26:Vol</stp>
        <tr r="N1709" s="5"/>
      </tp>
      <tp>
        <v>0</v>
        <stp/>
        <stp>15061297MM27:Vol</stp>
        <tr r="N1710" s="5"/>
      </tp>
    </main>
    <main first="bofaddin.rtdserver">
      <tp t="s">
        <v>#N/A N/A</v>
        <stp/>
        <stp>BDH|13931689678582579701</stp>
        <tr r="AZ36" s="1"/>
      </tp>
    </main>
    <main first="ice.rtd">
      <tp>
        <v>0</v>
        <stp/>
        <stp>15061297MM24:Vol</stp>
        <tr r="N1707" s="5"/>
      </tp>
      <tp>
        <v>0</v>
        <stp/>
        <stp>15061297MM25:Vol</stp>
        <tr r="N1708" s="5"/>
      </tp>
      <tp>
        <v>0</v>
        <stp/>
        <stp>15061297MM22:Vol</stp>
        <tr r="N1705" s="5"/>
      </tp>
      <tp>
        <v>0</v>
        <stp/>
        <stp>15061297MM23:Vol</stp>
        <tr r="N1706" s="5"/>
      </tp>
      <tp>
        <v>0</v>
        <stp/>
        <stp>15061297MM20:Vol</stp>
        <tr r="N1703" s="5"/>
      </tp>
      <tp>
        <v>0</v>
        <stp/>
        <stp>15061297MM21:Vol</stp>
        <tr r="N1704" s="5"/>
      </tp>
    </main>
    <main first="bofaddin.rtdserver">
      <tp t="s">
        <v>#N/A N/A</v>
        <stp/>
        <stp>BDH|14915087930131957144</stp>
        <tr r="AY57" s="1"/>
      </tp>
      <tp t="s">
        <v>#N/A N/A</v>
        <stp/>
        <stp>BDH|18265558919088964383</stp>
        <tr r="AV20" s="1"/>
      </tp>
    </main>
    <main first="ice.rtd">
      <tp>
        <v>0</v>
        <stp/>
        <stp>15061297MM16:Vol</stp>
        <tr r="N1699" s="5"/>
      </tp>
      <tp>
        <v>0</v>
        <stp/>
        <stp>15061297MM17:Vol</stp>
        <tr r="N1700" s="5"/>
      </tp>
      <tp>
        <v>0</v>
        <stp/>
        <stp>15061297MM14:Vol</stp>
        <tr r="N1697" s="5"/>
      </tp>
    </main>
    <main first="bofaddin.rtdserver">
      <tp t="s">
        <v>#N/A N/A</v>
        <stp/>
        <stp>BDH|13174289487149738764</stp>
        <tr r="D45" s="14"/>
      </tp>
    </main>
    <main first="ice.rtd">
      <tp>
        <v>0</v>
        <stp/>
        <stp>15061297MM15:Vol</stp>
        <tr r="N1698" s="5"/>
      </tp>
    </main>
    <main first="ice.rtd">
      <tp>
        <v>0</v>
        <stp/>
        <stp>15061297MM12:Vol</stp>
        <tr r="N1695" s="5"/>
      </tp>
      <tp>
        <v>0</v>
        <stp/>
        <stp>15061297MM13:Vol</stp>
        <tr r="N1696" s="5"/>
      </tp>
      <tp>
        <v>0</v>
        <stp/>
        <stp>15061297MM10:Vol</stp>
        <tr r="N1693" s="5"/>
      </tp>
      <tp>
        <v>0</v>
        <stp/>
        <stp>15061297MM11:Vol</stp>
        <tr r="N1694" s="5"/>
      </tp>
    </main>
    <main first="bofaddin.rtdserver">
      <tp t="s">
        <v>#N/A N/A</v>
        <stp/>
        <stp>BDH|17416604224911987567</stp>
        <tr r="D2" s="14"/>
        <tr r="J8" s="14"/>
      </tp>
      <tp t="s">
        <v>#N/A N/A</v>
        <stp/>
        <stp>BDH|17155774151382840007</stp>
        <tr r="I12" s="14"/>
      </tp>
      <tp t="b">
        <v>0</v>
        <stp/>
        <stp>BDH|12895264285909146655</stp>
        <tr r="O18" s="25"/>
        <tr r="O18" s="25"/>
      </tp>
    </main>
    <main first="ice.rtd">
      <tp>
        <v>0</v>
        <stp/>
        <stp>15061297MM18:Vol</stp>
        <tr r="N1701" s="5"/>
      </tp>
      <tp>
        <v>0</v>
        <stp/>
        <stp>15061297MM19:Vol</stp>
        <tr r="N1702" s="5"/>
      </tp>
      <tp t="s">
        <v/>
        <stp/>
        <stp>1581618115Q2:LstDate</stp>
        <tr r="J476" s="5"/>
      </tp>
      <tp t="s">
        <v/>
        <stp/>
        <stp>1581618115Q3:LstDate</stp>
        <tr r="J477" s="5"/>
      </tp>
      <tp t="s">
        <v/>
        <stp/>
        <stp>1581618115Q0:LstDate</stp>
        <tr r="J474" s="5"/>
      </tp>
      <tp t="s">
        <v/>
        <stp/>
        <stp>1581618115Q1:LstDate</stp>
        <tr r="J475" s="5"/>
      </tp>
    </main>
    <main first="bofaddin.rtdserver">
      <tp t="s">
        <v>#N/A N/A</v>
        <stp/>
        <stp>BDH|12825942503659087514</stp>
        <tr r="BC25" s="1"/>
      </tp>
      <tp t="s">
        <v>#N/A N/A</v>
        <stp/>
        <stp>BDH|13766850593216833373</stp>
        <tr r="AY40" s="1"/>
      </tp>
    </main>
    <main first="esrtd">
      <tp t="s">
        <v/>
        <stp/>
        <stp>ULQ U28-IEU</stp>
        <stp>ICE Theoretical Price</stp>
        <tr r="W732" s="5"/>
      </tp>
      <tp t="s">
        <v/>
        <stp/>
        <stp>BAQ G28-IEU</stp>
        <stp>ICE Theoretical Price</stp>
        <tr r="W172" s="5"/>
      </tp>
      <tp t="s">
        <v/>
        <stp/>
        <stp>ULQ Q28-IEU</stp>
        <stp>ICE Theoretical Price</stp>
        <tr r="W731" s="5"/>
      </tp>
      <tp t="s">
        <v/>
        <stp/>
        <stp>BAQ F28-IEU</stp>
        <stp>ICE Theoretical Price</stp>
        <tr r="W171" s="5"/>
      </tp>
      <tp t="s">
        <v/>
        <stp/>
        <stp>BAQ K28-IEU</stp>
        <stp>ICE Theoretical Price</stp>
        <tr r="W175" s="5"/>
      </tp>
      <tp t="s">
        <v/>
        <stp/>
        <stp>BAQ J28-IEU</stp>
        <stp>ICE Theoretical Price</stp>
        <tr r="W174" s="5"/>
      </tp>
      <tp t="s">
        <v/>
        <stp/>
        <stp>BAQ H28-IEU</stp>
        <stp>ICE Theoretical Price</stp>
        <tr r="W173" s="5"/>
      </tp>
      <tp t="s">
        <v/>
        <stp/>
        <stp>BAQ N28-IEU</stp>
        <stp>ICE Theoretical Price</stp>
        <tr r="W177" s="5"/>
      </tp>
      <tp t="s">
        <v/>
        <stp/>
        <stp>BAQ M28-IEU</stp>
        <stp>ICE Theoretical Price</stp>
        <tr r="W176" s="5"/>
      </tp>
      <tp t="s">
        <v/>
        <stp/>
        <stp>ULQ F28-IEU</stp>
        <stp>ICE Theoretical Price</stp>
        <tr r="W724" s="5"/>
      </tp>
      <tp t="s">
        <v/>
        <stp/>
        <stp>BAQ Q28-IEU</stp>
        <stp>ICE Theoretical Price</stp>
        <tr r="W178" s="5"/>
      </tp>
      <tp t="s">
        <v/>
        <stp/>
        <stp>ULQ G28-IEU</stp>
        <stp>ICE Theoretical Price</stp>
        <tr r="W725" s="5"/>
      </tp>
      <tp t="s">
        <v/>
        <stp/>
        <stp>BAQ U28-IEU</stp>
        <stp>ICE Theoretical Price</stp>
        <tr r="W179" s="5"/>
      </tp>
      <tp t="s">
        <v/>
        <stp/>
        <stp>ULQ M28-IEU</stp>
        <stp>ICE Theoretical Price</stp>
        <tr r="W729" s="5"/>
      </tp>
      <tp t="s">
        <v/>
        <stp/>
        <stp>ULQ N28-IEU</stp>
        <stp>ICE Theoretical Price</stp>
        <tr r="W730" s="5"/>
      </tp>
      <tp t="s">
        <v/>
        <stp/>
        <stp>ULQ H28-IEU</stp>
        <stp>ICE Theoretical Price</stp>
        <tr r="W726" s="5"/>
      </tp>
      <tp t="s">
        <v/>
        <stp/>
        <stp>ULQ J28-IEU</stp>
        <stp>ICE Theoretical Price</stp>
        <tr r="W727" s="5"/>
      </tp>
      <tp t="s">
        <v/>
        <stp/>
        <stp>ULQ K28-IEU</stp>
        <stp>ICE Theoretical Price</stp>
        <tr r="W728" s="5"/>
      </tp>
    </main>
    <main first="bofaddin.rtdserver">
      <tp>
        <v>0</v>
        <stp/>
        <stp>BDP|2180237586617519236|22</stp>
        <stp>HOZ8HOZ9 Comdty</stp>
        <stp>BID</stp>
        <tr r="E4" s="3"/>
      </tp>
    </main>
    <main first="esrtd">
      <tp t="s">
        <v/>
        <stp/>
        <stp>WNS 15!-IEU</stp>
        <stp>Block Price</stp>
        <tr r="K1862" s="5"/>
      </tp>
    </main>
    <main first="bofaddin.rtdserver">
      <tp>
        <v>5</v>
        <stp/>
        <stp>BDP|14762347022489760864|222</stp>
        <stp>QSQ8QSU8 Comdty</stp>
        <stp>BID</stp>
        <stp>Fill=#N/A</stp>
        <tr r="P43" s="1"/>
      </tp>
      <tp>
        <v>70</v>
        <stp/>
        <stp>BDP|16143342431158648981|222</stp>
        <stp>QSV6QSX6 Comdty</stp>
        <stp>ASK</stp>
        <stp>Fill=#N/A</stp>
        <tr r="P21" s="1"/>
      </tp>
    </main>
    <main first="esrtd">
      <tp t="s">
        <v/>
        <stp/>
        <stp>WHK 13!-IEU</stp>
        <stp>Block Price</stp>
        <tr r="K1930" s="5"/>
      </tp>
      <tp t="s">
        <v/>
        <stp/>
        <stp>WMJ 16!-IEU</stp>
        <stp>Block Price</stp>
        <tr r="K1898" s="5"/>
      </tp>
    </main>
    <main first="bofaddin.rtdserver">
      <tp>
        <v>2.33</v>
        <stp/>
        <stp>BDP|17779927177515303688|222</stp>
        <stp>CLF7CLG7 Comdty</stp>
        <stp>ASK</stp>
        <stp>Fill=#N/A</stp>
        <tr r="N24" s="1"/>
      </tp>
    </main>
    <main first="ice.rtd">
      <tp t="s">
        <v/>
        <stp/>
        <stp>34364094M13:LstBlkTime</stp>
        <tr r="M531" s="5"/>
      </tp>
      <tp t="s">
        <v/>
        <stp/>
        <stp>34374095M13:LstBlkTime</stp>
        <tr r="M569" s="5"/>
      </tp>
      <tp t="s">
        <v/>
        <stp/>
        <stp>34364094M12:LstBlkTime</stp>
        <tr r="M530" s="5"/>
      </tp>
      <tp t="s">
        <v/>
        <stp/>
        <stp>34374095M12:LstBlkTime</stp>
        <tr r="M568" s="5"/>
      </tp>
      <tp t="s">
        <v/>
        <stp/>
        <stp>34364094M11:LstBlkTime</stp>
        <tr r="M529" s="5"/>
      </tp>
      <tp t="s">
        <v/>
        <stp/>
        <stp>34374095M11:LstBlkTime</stp>
        <tr r="M567" s="5"/>
      </tp>
      <tp t="s">
        <v/>
        <stp/>
        <stp>34364094M10:LstBlkTime</stp>
        <tr r="M528" s="5"/>
      </tp>
      <tp t="s">
        <v/>
        <stp/>
        <stp>34374095M10:LstBlkTime</stp>
        <tr r="M566" s="5"/>
      </tp>
      <tp t="s">
        <v/>
        <stp/>
        <stp>34364094M17:LstBlkTime</stp>
        <tr r="M535" s="5"/>
      </tp>
      <tp t="s">
        <v/>
        <stp/>
        <stp>34374095M17:LstBlkTime</stp>
        <tr r="M573" s="5"/>
      </tp>
      <tp t="s">
        <v/>
        <stp/>
        <stp>34364094M16:LstBlkTime</stp>
        <tr r="M534" s="5"/>
      </tp>
      <tp t="s">
        <v/>
        <stp/>
        <stp>34374095M16:LstBlkTime</stp>
        <tr r="M572" s="5"/>
      </tp>
      <tp t="s">
        <v/>
        <stp/>
        <stp>34364094M15:LstBlkTime</stp>
        <tr r="M533" s="5"/>
      </tp>
      <tp t="s">
        <v/>
        <stp/>
        <stp>34374095M15:LstBlkTime</stp>
        <tr r="M571" s="5"/>
      </tp>
      <tp t="s">
        <v/>
        <stp/>
        <stp>34364094M14:LstBlkTime</stp>
        <tr r="M532" s="5"/>
      </tp>
      <tp t="s">
        <v/>
        <stp/>
        <stp>34374095M14:LstBlkTime</stp>
        <tr r="M570" s="5"/>
      </tp>
      <tp t="s">
        <v/>
        <stp/>
        <stp>34364094M19:LstBlkTime</stp>
        <tr r="M537" s="5"/>
      </tp>
      <tp t="s">
        <v/>
        <stp/>
        <stp>34374095M19:LstBlkTime</stp>
        <tr r="M575" s="5"/>
      </tp>
      <tp t="s">
        <v/>
        <stp/>
        <stp>34364094M18:LstBlkTime</stp>
        <tr r="M536" s="5"/>
      </tp>
      <tp t="s">
        <v/>
        <stp/>
        <stp>34374095M18:LstBlkTime</stp>
        <tr r="M574" s="5"/>
      </tp>
      <tp t="s">
        <v/>
        <stp/>
        <stp>34364094M23:LstBlkTime</stp>
        <tr r="M541" s="5"/>
      </tp>
      <tp t="s">
        <v/>
        <stp/>
        <stp>34374095M23:LstBlkTime</stp>
        <tr r="M579" s="5"/>
      </tp>
      <tp t="s">
        <v/>
        <stp/>
        <stp>34364094M22:LstBlkTime</stp>
        <tr r="M540" s="5"/>
      </tp>
      <tp t="s">
        <v/>
        <stp/>
        <stp>34374095M22:LstBlkTime</stp>
        <tr r="M578" s="5"/>
      </tp>
      <tp t="s">
        <v/>
        <stp/>
        <stp>34364094M21:LstBlkTime</stp>
        <tr r="M539" s="5"/>
      </tp>
      <tp t="s">
        <v/>
        <stp/>
        <stp>34374095M21:LstBlkTime</stp>
        <tr r="M577" s="5"/>
      </tp>
      <tp t="s">
        <v/>
        <stp/>
        <stp>34364094M20:LstBlkTime</stp>
        <tr r="M538" s="5"/>
      </tp>
      <tp t="s">
        <v/>
        <stp/>
        <stp>34374095M20:LstBlkTime</stp>
        <tr r="M576" s="5"/>
      </tp>
      <tp t="s">
        <v/>
        <stp/>
        <stp>34364094M24:LstBlkTime</stp>
        <tr r="M542" s="5"/>
      </tp>
      <tp t="s">
        <v/>
        <stp/>
        <stp>34374095M24:LstBlkTime</stp>
        <tr r="M580" s="5"/>
      </tp>
    </main>
    <main first="esrtd">
      <tp t="s">
        <v/>
        <stp/>
        <stp>WNS 14!-IEU</stp>
        <stp>Block Price</stp>
        <tr r="K1861" s="5"/>
      </tp>
      <tp t="s">
        <v/>
        <stp/>
        <stp>WHK 12!-IEU</stp>
        <stp>Block Price</stp>
        <tr r="K1929" s="5"/>
      </tp>
      <tp t="s">
        <v/>
        <stp/>
        <stp>WMJ 17!-IEU</stp>
        <stp>Block Price</stp>
        <tr r="K1899" s="5"/>
      </tp>
      <tp t="s">
        <v/>
        <stp/>
        <stp>WNS 17!-IEU</stp>
        <stp>Block Price</stp>
        <tr r="K1864" s="5"/>
      </tp>
      <tp t="s">
        <v/>
        <stp/>
        <stp>WHK 11!-IEU</stp>
        <stp>Block Price</stp>
        <tr r="K1928" s="5"/>
      </tp>
      <tp t="s">
        <v/>
        <stp/>
        <stp>WMJ 14!-IEU</stp>
        <stp>Block Price</stp>
        <tr r="K1896" s="5"/>
      </tp>
      <tp t="s">
        <v/>
        <stp/>
        <stp>WNS 16!-IEU</stp>
        <stp>Block Price</stp>
        <tr r="K1863" s="5"/>
      </tp>
    </main>
    <main first="bofaddin.rtdserver">
      <tp>
        <v>18</v>
        <stp/>
        <stp>BDP|17650792961340224336|222</stp>
        <stp>QSM7QSN7 Comdty</stp>
        <stp>BID</stp>
        <stp>Fill=#N/A</stp>
        <tr r="P29" s="1"/>
      </tp>
    </main>
    <main first="esrtd">
      <tp t="s">
        <v/>
        <stp/>
        <stp>WHK 10!-IEU</stp>
        <stp>Block Price</stp>
        <tr r="K1927" s="5"/>
      </tp>
      <tp t="s">
        <v/>
        <stp/>
        <stp>WMJ 15!-IEU</stp>
        <stp>Block Price</stp>
        <tr r="K1897" s="5"/>
      </tp>
      <tp t="s">
        <v/>
        <stp/>
        <stp>WNS 11!-IEU</stp>
        <stp>Block Price</stp>
        <tr r="K1858" s="5"/>
      </tp>
      <tp t="s">
        <v/>
        <stp/>
        <stp>WHK 17!-IEU</stp>
        <stp>Block Price</stp>
        <tr r="K1934" s="5"/>
      </tp>
      <tp t="s">
        <v/>
        <stp/>
        <stp>WMJ 12!-IEU</stp>
        <stp>Block Price</stp>
        <tr r="K1894" s="5"/>
      </tp>
      <tp t="s">
        <v/>
        <stp/>
        <stp>WNS 10!-IEU</stp>
        <stp>Block Price</stp>
        <tr r="K1857" s="5"/>
      </tp>
    </main>
    <main first="bofaddin.rtdserver">
      <tp>
        <v>0.17</v>
        <stp/>
        <stp>BDP|16166487219483603479|222</stp>
        <stp>CLG9CLH9 Comdty</stp>
        <stp>BID</stp>
        <stp>Fill=#N/A</stp>
        <tr r="N49" s="1"/>
      </tp>
    </main>
    <main first="esrtd">
      <tp t="s">
        <v/>
        <stp/>
        <stp>WHK 16!-IEU</stp>
        <stp>Block Price</stp>
        <tr r="K1933" s="5"/>
      </tp>
      <tp t="s">
        <v/>
        <stp/>
        <stp>WMJ 13!-IEU</stp>
        <stp>Block Price</stp>
        <tr r="K1895" s="5"/>
      </tp>
      <tp t="s">
        <v/>
        <stp/>
        <stp>WNS 13!-IEU</stp>
        <stp>Block Price</stp>
        <tr r="K1860" s="5"/>
      </tp>
      <tp t="s">
        <v/>
        <stp/>
        <stp>TDL 29!-IEU</stp>
        <stp>Block Price</stp>
        <tr r="K1841" s="5"/>
      </tp>
      <tp t="s">
        <v/>
        <stp/>
        <stp>WHK 15!-IEU</stp>
        <stp>Block Price</stp>
        <tr r="K1932" s="5"/>
      </tp>
      <tp t="s">
        <v/>
        <stp/>
        <stp>WMJ 10!-IEU</stp>
        <stp>Block Price</stp>
        <tr r="K1892" s="5"/>
      </tp>
      <tp t="s">
        <v/>
        <stp/>
        <stp>WDF 19!-IEU</stp>
        <stp>Block Price</stp>
        <tr r="K1796" s="5"/>
      </tp>
      <tp t="s">
        <v/>
        <stp/>
        <stp>WNS 12!-IEU</stp>
        <stp>Block Price</stp>
        <tr r="K1859" s="5"/>
      </tp>
      <tp t="s">
        <v/>
        <stp/>
        <stp>TDL 28!-IEU</stp>
        <stp>Block Price</stp>
        <tr r="K1840" s="5"/>
      </tp>
      <tp t="s">
        <v/>
        <stp/>
        <stp>WHK 14!-IEU</stp>
        <stp>Block Price</stp>
        <tr r="K1931" s="5"/>
      </tp>
      <tp t="s">
        <v/>
        <stp/>
        <stp>WMJ 11!-IEU</stp>
        <stp>Block Price</stp>
        <tr r="K1893" s="5"/>
      </tp>
      <tp t="s">
        <v/>
        <stp/>
        <stp>WDF 18!-IEU</stp>
        <stp>Block Price</stp>
        <tr r="K1795" s="5"/>
      </tp>
    </main>
    <main first="ice.rtd">
      <tp t="s">
        <v/>
        <stp/>
        <stp>18871685M21:LstBlkTime</stp>
        <tr r="M442" s="5"/>
      </tp>
      <tp t="s">
        <v/>
        <stp/>
        <stp>18871685M20:LstBlkTime</stp>
        <tr r="M441" s="5"/>
      </tp>
      <tp t="s">
        <v/>
        <stp/>
        <stp>18871685M23:LstBlkTime</stp>
        <tr r="M444" s="5"/>
      </tp>
      <tp t="s">
        <v/>
        <stp/>
        <stp>18871685M22:LstBlkTime</stp>
        <tr r="M443" s="5"/>
      </tp>
      <tp t="s">
        <v/>
        <stp/>
        <stp>18871685M24:LstBlkTime</stp>
        <tr r="M445" s="5"/>
      </tp>
      <tp t="s">
        <v/>
        <stp/>
        <stp>18871685M19:LstBlkTime</stp>
        <tr r="M440" s="5"/>
      </tp>
      <tp t="s">
        <v/>
        <stp/>
        <stp>18871685M18:LstBlkTime</stp>
        <tr r="M439" s="5"/>
      </tp>
      <tp t="s">
        <v/>
        <stp/>
        <stp>18871685M11:LstBlkTime</stp>
        <tr r="M432" s="5"/>
      </tp>
      <tp t="s">
        <v/>
        <stp/>
        <stp>18871685M10:LstBlkTime</stp>
        <tr r="M431" s="5"/>
      </tp>
      <tp t="s">
        <v/>
        <stp/>
        <stp>18871685M13:LstBlkTime</stp>
        <tr r="M434" s="5"/>
      </tp>
      <tp t="s">
        <v/>
        <stp/>
        <stp>18871685M12:LstBlkTime</stp>
        <tr r="M433" s="5"/>
      </tp>
      <tp t="s">
        <v/>
        <stp/>
        <stp>18871685M15:LstBlkTime</stp>
        <tr r="M436" s="5"/>
      </tp>
      <tp t="s">
        <v/>
        <stp/>
        <stp>18871685M14:LstBlkTime</stp>
        <tr r="M435" s="5"/>
      </tp>
      <tp t="s">
        <v/>
        <stp/>
        <stp>18871685M17:LstBlkTime</stp>
        <tr r="M438" s="5"/>
      </tp>
      <tp t="s">
        <v/>
        <stp/>
        <stp>18871685M16:LstBlkTime</stp>
        <tr r="M437" s="5"/>
      </tp>
    </main>
    <main first="esrtd">
      <tp t="s">
        <v/>
        <stp/>
        <stp>TDL 27!-IEU</stp>
        <stp>Block Price</stp>
        <tr r="K1839" s="5"/>
      </tp>
    </main>
    <main first="bofaddin.rtdserver">
      <tp>
        <v>3.91</v>
        <stp/>
        <stp>BDP|12200845383367267568|222</stp>
        <stp>HOQ7HOU7 Comdty</stp>
        <stp>ASK</stp>
        <stp>Fill=#N/A</stp>
        <tr r="Q31" s="1"/>
      </tp>
    </main>
    <main first="esrtd">
      <tp t="s">
        <v/>
        <stp/>
        <stp>WDF 17!-IEU</stp>
        <stp>Block Price</stp>
        <tr r="K1794" s="5"/>
      </tp>
      <tp t="s">
        <v/>
        <stp/>
        <stp>TDL 26!-IEU</stp>
        <stp>Block Price</stp>
        <tr r="K1838" s="5"/>
      </tp>
      <tp t="s">
        <v/>
        <stp/>
        <stp>WDF 16!-IEU</stp>
        <stp>Block Price</stp>
        <tr r="K1793" s="5"/>
      </tp>
      <tp t="s">
        <v/>
        <stp/>
        <stp>TDL 25!-IEU</stp>
        <stp>Block Price</stp>
        <tr r="K1837" s="5"/>
      </tp>
      <tp t="s">
        <v/>
        <stp/>
        <stp>WHK 19!-IEU</stp>
        <stp>Block Price</stp>
        <tr r="K1936" s="5"/>
      </tp>
      <tp t="s">
        <v/>
        <stp/>
        <stp>WDF 15!-IEU</stp>
        <stp>Block Price</stp>
        <tr r="K1792" s="5"/>
      </tp>
    </main>
    <main first="bofaddin.rtdserver">
      <tp t="s">
        <v>#N/A</v>
        <stp/>
        <stp>BDP|12875173593486908451|222</stp>
        <stp>XBX9XBZ9 Comdty</stp>
        <stp>BID</stp>
        <stp>Fill=#N/A</stp>
        <tr r="R58" s="1"/>
      </tp>
    </main>
    <main first="esrtd">
      <tp t="s">
        <v/>
        <stp/>
        <stp>TDL 24!-IEU</stp>
        <stp>Block Price</stp>
        <tr r="K1836" s="5"/>
      </tp>
      <tp t="s">
        <v/>
        <stp/>
        <stp>WHK 18!-IEU</stp>
        <stp>Block Price</stp>
        <tr r="K1935" s="5"/>
      </tp>
    </main>
    <main first="bofaddin.rtdserver">
      <tp>
        <v>12.25</v>
        <stp/>
        <stp>BDP|18057173564924201521|222</stp>
        <stp>QSH8QSJ8 Comdty</stp>
        <stp>ASK</stp>
        <stp>Fill=#N/A</stp>
        <tr r="P38" s="1"/>
      </tp>
    </main>
    <main first="esrtd">
      <tp t="s">
        <v/>
        <stp/>
        <stp>WDF 14!-IEU</stp>
        <stp>Block Price</stp>
        <tr r="K1791" s="5"/>
      </tp>
      <tp t="s">
        <v/>
        <stp/>
        <stp>WNS 19!-IEU</stp>
        <stp>Block Price</stp>
        <tr r="K1866" s="5"/>
      </tp>
      <tp t="s">
        <v/>
        <stp/>
        <stp>TDL 23!-IEU</stp>
        <stp>Block Price</stp>
        <tr r="K1835" s="5"/>
      </tp>
    </main>
    <main first="bofaddin.rtdserver">
      <tp>
        <v>0.23</v>
        <stp/>
        <stp>BDP|17611335754278577751|222</stp>
        <stp>COU8COV8 Comdty</stp>
        <stp>BID</stp>
        <stp>Fill=#N/A</stp>
        <tr r="O44" s="1"/>
      </tp>
    </main>
    <main first="esrtd">
      <tp t="s">
        <v/>
        <stp/>
        <stp>WDF 13!-IEU</stp>
        <stp>Block Price</stp>
        <tr r="K1790" s="5"/>
      </tp>
    </main>
    <main first="ice.rtd">
      <tp t="s">
        <v>PDB</v>
        <stp/>
        <stp>15061297YY0:PCC</stp>
        <tr r="B1713" s="5"/>
      </tp>
    </main>
    <main first="esrtd">
      <tp t="s">
        <v/>
        <stp/>
        <stp>WNS 18!-IEU</stp>
        <stp>Block Price</stp>
        <tr r="K1865" s="5"/>
      </tp>
      <tp t="s">
        <v/>
        <stp/>
        <stp>TDL 22!-IEU</stp>
        <stp>Block Price</stp>
        <tr r="K1834" s="5"/>
      </tp>
    </main>
    <main first="bofaddin.rtdserver">
      <tp>
        <v>0.14000000000000001</v>
        <stp/>
        <stp>BDP|11062380439423813172|222</stp>
        <stp>COH9COJ9 Comdty</stp>
        <stp>BID</stp>
        <stp>Fill=#N/A</stp>
        <tr r="O50" s="1"/>
      </tp>
      <tp>
        <v>-2.5</v>
        <stp/>
        <stp>BDP|10781493448846726993|222</stp>
        <stp>QSJ9QSK9 Comdty</stp>
        <stp>BID</stp>
        <stp>Fill=#N/A</stp>
        <tr r="P51" s="1"/>
      </tp>
    </main>
    <main first="esrtd">
      <tp t="s">
        <v/>
        <stp/>
        <stp>WDF 12!-IEU</stp>
        <stp>Block Price</stp>
        <tr r="K1789" s="5"/>
      </tp>
      <tp t="s">
        <v/>
        <stp/>
        <stp>TDL 21!-IEU</stp>
        <stp>Block Price</stp>
        <tr r="K1833" s="5"/>
      </tp>
      <tp t="s">
        <v/>
        <stp/>
        <stp>WMJ 18!-IEU</stp>
        <stp>Block Price</stp>
        <tr r="K1900" s="5"/>
      </tp>
      <tp t="s">
        <v/>
        <stp/>
        <stp>WDF 11!-IEU</stp>
        <stp>Block Price</stp>
        <tr r="K1788" s="5"/>
      </tp>
      <tp t="s">
        <v/>
        <stp/>
        <stp>TDL 20!-IEU</stp>
        <stp>Block Price</stp>
        <tr r="K1832" s="5"/>
      </tp>
      <tp t="s">
        <v/>
        <stp/>
        <stp>WMJ 19!-IEU</stp>
        <stp>Block Price</stp>
        <tr r="K1901" s="5"/>
      </tp>
      <tp t="s">
        <v/>
        <stp/>
        <stp>WDF 10!-IEU</stp>
        <stp>Block Price</stp>
        <tr r="K1787" s="5"/>
      </tp>
    </main>
    <main first="bofaddin.rtdserver">
      <tp>
        <v>3.85</v>
        <stp/>
        <stp>BDP|12666489953528708054|222</stp>
        <stp>XBX8XBZ8 Comdty</stp>
        <stp>ASK</stp>
        <stp>Fill=#N/A</stp>
        <tr r="R46" s="1"/>
      </tp>
    </main>
    <main first="ice.rtd">
      <tp>
        <v>3.05</v>
        <stp/>
        <stp>2322725588B0:LstBlkPrc</stp>
        <tr r="K2" s="5"/>
      </tp>
      <tp t="s">
        <v/>
        <stp/>
        <stp>2755828679Q4:LstBlkPrc</stp>
        <tr r="K1026" s="5"/>
      </tp>
      <tp t="s">
        <v/>
        <stp/>
        <stp>2755828679M4:LstBlkPrc</stp>
        <tr r="K1001" s="5"/>
      </tp>
      <tp t="s">
        <v/>
        <stp/>
        <stp>29243602M4:LstBlkPrc</stp>
        <tr r="K750" s="5"/>
      </tp>
      <tp t="s">
        <v/>
        <stp/>
        <stp>29243602Q4:LstBlkPrc</stp>
        <tr r="K766" s="5"/>
      </tp>
      <tp t="s">
        <v/>
        <stp/>
        <stp>16331513M8:LstBlkPrc</stp>
        <tr r="K1423" s="5"/>
      </tp>
      <tp t="s">
        <v/>
        <stp/>
        <stp>16341514M8:LstBlkPrc</stp>
        <tr r="K1461" s="5"/>
      </tp>
      <tp t="s">
        <v/>
        <stp/>
        <stp>16351515M8:LstBlkPrc</stp>
        <tr r="K1499" s="5"/>
      </tp>
      <tp t="s">
        <v/>
        <stp/>
        <stp>16331513Q8:LstBlkPrc</stp>
        <tr r="K1448" s="5"/>
      </tp>
      <tp t="s">
        <v/>
        <stp/>
        <stp>16341514Q8:LstBlkPrc</stp>
        <tr r="K1486" s="5"/>
      </tp>
      <tp t="s">
        <v/>
        <stp/>
        <stp>16351515Q8:LstBlkPrc</stp>
        <tr r="K1524" s="5"/>
      </tp>
      <tp t="s">
        <v/>
        <stp/>
        <stp>1923422331M7:BstHitPrc</stp>
        <tr r="G1634" s="5"/>
      </tp>
      <tp>
        <v>-7</v>
        <stp/>
        <stp>1987023077B0:BstHitPrc</stp>
        <tr r="G154" s="5"/>
      </tp>
      <tp>
        <v>-10.95</v>
        <stp/>
        <stp>1581618115M7:BstHitPrc</stp>
        <tr r="G466" s="5"/>
      </tp>
      <tp t="s">
        <v>Invalid Market: 297449133BM0</v>
        <stp/>
        <stp>297449133BM0:BstHitPrc</stp>
        <tr r="G2026" s="5"/>
      </tp>
      <tp t="s">
        <v/>
        <stp/>
        <stp>18901687M5:LstBlkPrc</stp>
        <tr r="K312" s="5"/>
      </tp>
      <tp t="s">
        <v/>
        <stp/>
        <stp>18901687Q5:LstBlkPrc</stp>
        <tr r="K337" s="5"/>
      </tp>
      <tp t="s">
        <v/>
        <stp/>
        <stp>1986923076Y1:LstBlkPrc</stp>
        <tr r="K190" s="5"/>
      </tp>
      <tp t="s">
        <v/>
        <stp/>
        <stp>1986923076Q1:LstBlkPrc</stp>
        <tr r="K181" s="5"/>
      </tp>
      <tp>
        <v>-1.75</v>
        <stp/>
        <stp>1986923076M1:LstBlkPrc</stp>
        <tr r="K156" s="5"/>
      </tp>
      <tp t="s">
        <v/>
        <stp/>
        <stp>18851683M5:LstBlkPrc</stp>
        <tr r="K198" s="5"/>
      </tp>
      <tp t="s">
        <v/>
        <stp/>
        <stp>18851683Q5:LstBlkPrc</stp>
        <tr r="K223" s="5"/>
      </tp>
      <tp t="s">
        <v/>
        <stp/>
        <stp>18871685M5:LstBlkPrc</stp>
        <tr r="K426" s="5"/>
      </tp>
      <tp t="s">
        <v/>
        <stp/>
        <stp>18871685Q5:LstBlkPrc</stp>
        <tr r="K451" s="5"/>
      </tp>
      <tp t="s">
        <v/>
        <stp/>
        <stp>2182524598B0:LstBlkPrc</stp>
        <tr r="K1376" s="5"/>
      </tp>
      <tp t="s">
        <v/>
        <stp/>
        <stp>1986823075Y1:LstBlkPrc</stp>
        <tr r="K152" s="5"/>
      </tp>
      <tp t="s">
        <v/>
        <stp/>
        <stp>1986823075Q1:LstBlkPrc</stp>
        <tr r="K143" s="5"/>
      </tp>
      <tp>
        <v>-111</v>
        <stp/>
        <stp>1986823075M1:LstBlkPrc</stp>
        <tr r="K118" s="5"/>
      </tp>
      <tp t="s">
        <v/>
        <stp/>
        <stp>2755728678M4:BstHitPrc</stp>
        <tr r="G1115" s="5"/>
      </tp>
      <tp t="s">
        <v/>
        <stp/>
        <stp>2755728678Q4:BstHitPrc</stp>
        <tr r="G1140" s="5"/>
      </tp>
      <tp t="s">
        <v>Invalid Market: 2044823525Q6</v>
        <stp/>
        <stp>2044823525Q6:LstBlkPrc</stp>
        <tr r="K1776" s="5"/>
      </tp>
      <tp t="s">
        <v/>
        <stp/>
        <stp>2044823525M6:LstBlkPrc</stp>
        <tr r="K1753" s="5"/>
      </tp>
      <tp t="s">
        <v/>
        <stp/>
        <stp>32613992Q0:BstHitPrc</stp>
        <tr r="G1250" s="5"/>
      </tp>
      <tp t="s">
        <v/>
        <stp/>
        <stp>32613992Y0:BstHitPrc</stp>
        <tr r="G1259" s="5"/>
      </tp>
      <tp t="s">
        <v/>
        <stp/>
        <stp>32613992M0:BstHitPrc</stp>
        <tr r="G1225" s="5"/>
      </tp>
      <tp t="s">
        <v/>
        <stp/>
        <stp>32623993Q0:BstHitPrc</stp>
        <tr r="G2015" s="5"/>
      </tp>
      <tp t="s">
        <v/>
        <stp/>
        <stp>32623993Y0:BstHitPrc</stp>
        <tr r="G2024" s="5"/>
      </tp>
      <tp t="s">
        <v/>
        <stp/>
        <stp>3124331018M3:BstHitPrc</stp>
        <tr r="G1608" s="5"/>
      </tp>
      <tp t="s">
        <v/>
        <stp/>
        <stp>3124331018Q3:BstHitPrc</stp>
        <tr r="G1623" s="5"/>
      </tp>
      <tp t="s">
        <v/>
        <stp/>
        <stp>2427126288Q2:LstBlkPrc</stp>
        <tr r="K1062" s="5"/>
      </tp>
      <tp t="s">
        <v/>
        <stp/>
        <stp>2427126288Y2:LstBlkPrc</stp>
        <tr r="K1071" s="5"/>
      </tp>
      <tp t="s">
        <v/>
        <stp/>
        <stp>2427126288M2:LstBlkPrc</stp>
        <tr r="K1037" s="5"/>
      </tp>
      <tp t="s">
        <v/>
        <stp/>
        <stp>41767893Q2:BstHitPrc</stp>
        <tr r="G507" s="5"/>
      </tp>
      <tp t="s">
        <v>Invalid Market: 41767893Y2</v>
        <stp/>
        <stp>41767893Y2:BstHitPrc</stp>
        <tr r="G516" s="5"/>
      </tp>
      <tp t="s">
        <v/>
        <stp/>
        <stp>41767893M2:BstHitPrc</stp>
        <tr r="G482" s="5"/>
      </tp>
      <tp t="s">
        <v/>
        <stp/>
        <stp>41787896Q2:BstHitPrc</stp>
        <tr r="G834" s="5"/>
      </tp>
      <tp t="s">
        <v/>
        <stp/>
        <stp>41787896Y2:BstHitPrc</stp>
        <tr r="G843" s="5"/>
      </tp>
      <tp t="s">
        <v/>
        <stp/>
        <stp>41787896M2:BstHitPrc</stp>
        <tr r="G809" s="5"/>
      </tp>
      <tp t="s">
        <v/>
        <stp/>
        <stp>2427026287Q2:LstBlkPrc</stp>
        <tr r="K1176" s="5"/>
      </tp>
      <tp t="s">
        <v/>
        <stp/>
        <stp>2427026287Y2:LstBlkPrc</stp>
        <tr r="K1185" s="5"/>
      </tp>
      <tp t="s">
        <v/>
        <stp/>
        <stp>2427026287M2:LstBlkPrc</stp>
        <tr r="K1151" s="5"/>
      </tp>
      <tp t="s">
        <v>Invalid Market: 297449133BM0</v>
        <stp/>
        <stp>297449133BM0:LstBlkPrc</stp>
        <tr r="K2026" s="5"/>
      </tp>
      <tp t="s">
        <v/>
        <stp/>
        <stp>18901687Q5:BstHitPrc</stp>
        <tr r="G337" s="5"/>
      </tp>
      <tp>
        <v>19.25</v>
        <stp/>
        <stp>18901687M5:BstHitPrc</stp>
        <tr r="G312" s="5"/>
      </tp>
      <tp>
        <v>-1.95</v>
        <stp/>
        <stp>1986923076M1:BstHitPrc</stp>
        <tr r="G156" s="5"/>
      </tp>
      <tp>
        <v>0.3</v>
        <stp/>
        <stp>1986923076Q1:BstHitPrc</stp>
        <tr r="G181" s="5"/>
      </tp>
      <tp t="s">
        <v/>
        <stp/>
        <stp>1986923076Y1:BstHitPrc</stp>
        <tr r="G190" s="5"/>
      </tp>
      <tp t="s">
        <v/>
        <stp/>
        <stp>18851683Q5:BstHitPrc</stp>
        <tr r="G223" s="5"/>
      </tp>
      <tp>
        <v>-8.6</v>
        <stp/>
        <stp>18851683M5:BstHitPrc</stp>
        <tr r="G198" s="5"/>
      </tp>
      <tp t="s">
        <v/>
        <stp/>
        <stp>18871685Q5:BstHitPrc</stp>
        <tr r="G451" s="5"/>
      </tp>
      <tp>
        <v>17</v>
        <stp/>
        <stp>18871685M5:BstHitPrc</stp>
        <tr r="G426" s="5"/>
      </tp>
      <tp t="s">
        <v/>
        <stp/>
        <stp>2182524598B0:BstHitPrc</stp>
        <tr r="G1376" s="5"/>
      </tp>
      <tp>
        <v>-109</v>
        <stp/>
        <stp>1986823075M1:BstHitPrc</stp>
        <tr r="G118" s="5"/>
      </tp>
      <tp t="s">
        <v/>
        <stp/>
        <stp>1986823075Q1:BstHitPrc</stp>
        <tr r="G143" s="5"/>
      </tp>
      <tp t="s">
        <v/>
        <stp/>
        <stp>1986823075Y1:BstHitPrc</stp>
        <tr r="G152" s="5"/>
      </tp>
      <tp>
        <v>3.25</v>
        <stp/>
        <stp>2322725588B0:BstHitPrc</stp>
        <tr r="G2" s="5"/>
      </tp>
      <tp t="s">
        <v/>
        <stp/>
        <stp>2755828679M4:BstHitPrc</stp>
        <tr r="G1001" s="5"/>
      </tp>
      <tp t="s">
        <v/>
        <stp/>
        <stp>2755828679Q4:BstHitPrc</stp>
        <tr r="G1026" s="5"/>
      </tp>
      <tp t="s">
        <v/>
        <stp/>
        <stp>29243602Q4:BstHitPrc</stp>
        <tr r="G766" s="5"/>
      </tp>
      <tp t="s">
        <v/>
        <stp/>
        <stp>29243602M4:BstHitPrc</stp>
        <tr r="G750" s="5"/>
      </tp>
      <tp t="s">
        <v/>
        <stp/>
        <stp>16331513Q8:BstHitPrc</stp>
        <tr r="G1448" s="5"/>
      </tp>
      <tp t="s">
        <v/>
        <stp/>
        <stp>16341514Q8:BstHitPrc</stp>
        <tr r="G1486" s="5"/>
      </tp>
      <tp t="s">
        <v/>
        <stp/>
        <stp>16351515Q8:BstHitPrc</stp>
        <tr r="G1524" s="5"/>
      </tp>
      <tp t="s">
        <v/>
        <stp/>
        <stp>16331513M8:BstHitPrc</stp>
        <tr r="G1423" s="5"/>
      </tp>
      <tp t="s">
        <v/>
        <stp/>
        <stp>16341514M8:BstHitPrc</stp>
        <tr r="G1461" s="5"/>
      </tp>
      <tp t="s">
        <v/>
        <stp/>
        <stp>16351515M8:BstHitPrc</stp>
        <tr r="G1499" s="5"/>
      </tp>
      <tp t="s">
        <v/>
        <stp/>
        <stp>1581618115M7:LstBlkPrc</stp>
        <tr r="K466" s="5"/>
      </tp>
      <tp t="s">
        <v/>
        <stp/>
        <stp>1923422331M7:LstBlkPrc</stp>
        <tr r="K1634" s="5"/>
      </tp>
      <tp>
        <v>-5.5</v>
        <stp/>
        <stp>1987023077B0:LstBlkPrc</stp>
        <tr r="K154" s="5"/>
      </tp>
      <tp>
        <v>97</v>
        <stp/>
        <stp>32623993Y0:LstBlkPrc</stp>
        <tr r="K2024" s="5"/>
      </tp>
      <tp t="s">
        <v/>
        <stp/>
        <stp>32623993Q0:LstBlkPrc</stp>
        <tr r="K2015" s="5"/>
      </tp>
      <tp t="s">
        <v/>
        <stp/>
        <stp>32613992M0:LstBlkPrc</stp>
        <tr r="K1225" s="5"/>
      </tp>
      <tp t="s">
        <v/>
        <stp/>
        <stp>32613992Y0:LstBlkPrc</stp>
        <tr r="K1259" s="5"/>
      </tp>
      <tp t="s">
        <v/>
        <stp/>
        <stp>32613992Q0:LstBlkPrc</stp>
        <tr r="K1250" s="5"/>
      </tp>
      <tp t="s">
        <v/>
        <stp/>
        <stp>2427126288M2:BstHitPrc</stp>
        <tr r="G1037" s="5"/>
      </tp>
      <tp t="s">
        <v/>
        <stp/>
        <stp>2427126288Y2:BstHitPrc</stp>
        <tr r="G1071" s="5"/>
      </tp>
      <tp t="s">
        <v/>
        <stp/>
        <stp>2427126288Q2:BstHitPrc</stp>
        <tr r="G1062" s="5"/>
      </tp>
      <tp t="s">
        <v/>
        <stp/>
        <stp>3124331018Q3:LstBlkPrc</stp>
        <tr r="K1623" s="5"/>
      </tp>
      <tp t="s">
        <v/>
        <stp/>
        <stp>3124331018M3:LstBlkPrc</stp>
        <tr r="K1608" s="5"/>
      </tp>
      <tp>
        <v>-10.9</v>
        <stp/>
        <stp>41787896M2:LstBlkPrc</stp>
        <tr r="K809" s="5"/>
      </tp>
      <tp t="s">
        <v/>
        <stp/>
        <stp>41787896Y2:LstBlkPrc</stp>
        <tr r="K843" s="5"/>
      </tp>
      <tp t="s">
        <v/>
        <stp/>
        <stp>41787896Q2:LstBlkPrc</stp>
        <tr r="K834" s="5"/>
      </tp>
      <tp>
        <v>3.7</v>
        <stp/>
        <stp>41767893M2:LstBlkPrc</stp>
        <tr r="K482" s="5"/>
      </tp>
      <tp t="s">
        <v>Invalid Market: 41767893Y2</v>
        <stp/>
        <stp>41767893Y2:LstBlkPrc</stp>
        <tr r="K516" s="5"/>
      </tp>
      <tp t="s">
        <v/>
        <stp/>
        <stp>41767893Q2:LstBlkPrc</stp>
        <tr r="K507" s="5"/>
      </tp>
      <tp>
        <v>16.399999999999999</v>
        <stp/>
        <stp>2427026287M2:BstHitPrc</stp>
        <tr r="G1151" s="5"/>
      </tp>
      <tp t="s">
        <v/>
        <stp/>
        <stp>2427026287Y2:BstHitPrc</stp>
        <tr r="G1185" s="5"/>
      </tp>
      <tp t="s">
        <v/>
        <stp/>
        <stp>2427026287Q2:BstHitPrc</stp>
        <tr r="G1176" s="5"/>
      </tp>
      <tp t="s">
        <v/>
        <stp/>
        <stp>2044823525M6:BstHitPrc</stp>
        <tr r="G1753" s="5"/>
      </tp>
      <tp t="s">
        <v>Invalid Market: 2044823525Q6</v>
        <stp/>
        <stp>2044823525Q6:BstHitPrc</stp>
        <tr r="G1776" s="5"/>
      </tp>
      <tp t="s">
        <v/>
        <stp/>
        <stp>2755728678Q4:LstBlkPrc</stp>
        <tr r="K1140" s="5"/>
      </tp>
      <tp t="s">
        <v/>
        <stp/>
        <stp>2755728678M4:LstBlkPrc</stp>
        <tr r="K1115" s="5"/>
      </tp>
    </main>
    <main first="bofaddin.rtdserver">
      <tp>
        <v>70.61</v>
        <stp/>
        <stp>BDP|302321423079263547|222</stp>
        <stp>CLF8 Comdty</stp>
        <stp>BID</stp>
        <stp>Fill=#N/A</stp>
        <tr r="F35" s="1"/>
      </tp>
    </main>
    <main first="ice.rtd">
      <tp t="s">
        <v/>
        <stp/>
        <stp>41767893M4:LstBlkVol</stp>
        <tr r="L484" s="5"/>
      </tp>
      <tp t="s">
        <v/>
        <stp/>
        <stp>41767893Q4:LstBlkVol</stp>
        <tr r="L509" s="5"/>
      </tp>
      <tp t="s">
        <v/>
        <stp/>
        <stp>41787896M4:LstBlkVol</stp>
        <tr r="L811" s="5"/>
      </tp>
      <tp t="s">
        <v/>
        <stp/>
        <stp>41787896Q4:LstBlkVol</stp>
        <tr r="L836" s="5"/>
      </tp>
      <tp t="s">
        <v/>
        <stp/>
        <stp>32613992M6:LstBlkVol</stp>
        <tr r="L1231" s="5"/>
      </tp>
      <tp t="s">
        <v/>
        <stp/>
        <stp>32613992Q6:LstBlkVol</stp>
        <tr r="L1256" s="5"/>
      </tp>
      <tp t="s">
        <v/>
        <stp/>
        <stp>32623993M6:LstBlkVol</stp>
        <tr r="L1996" s="5"/>
      </tp>
      <tp t="s">
        <v/>
        <stp/>
        <stp>32623993Q6:LstBlkVol</stp>
        <tr r="L2021" s="5"/>
      </tp>
      <tp t="s">
        <v>SYS</v>
        <stp/>
        <stp>366531QQ0:PCC</stp>
        <tr r="B1743" s="5"/>
      </tp>
      <tp t="s">
        <v>SYS</v>
        <stp/>
        <stp>366531QQ1:PCC</stp>
        <tr r="B1744" s="5"/>
      </tp>
      <tp t="s">
        <v/>
        <stp/>
        <stp>3124331018M5:LstBlkVol</stp>
        <tr r="L1610" s="5"/>
      </tp>
      <tp t="s">
        <v/>
        <stp/>
        <stp>2755728678Y2:LstBlkVol</stp>
        <tr r="L1147" s="5"/>
      </tp>
      <tp t="s">
        <v/>
        <stp/>
        <stp>2755728678Q2:LstBlkVol</stp>
        <tr r="L1138" s="5"/>
      </tp>
      <tp t="s">
        <v/>
        <stp/>
        <stp>2755728678M2:LstBlkVol</stp>
        <tr r="L1113" s="5"/>
      </tp>
      <tp t="s">
        <v/>
        <stp/>
        <stp>34404098M9:LstBlkVol</stp>
        <tr r="L603" s="5"/>
      </tp>
      <tp t="s">
        <v/>
        <stp/>
        <stp>34414099M9:LstBlkVol</stp>
        <tr r="L88" s="5"/>
      </tp>
      <tp t="s">
        <v/>
        <stp/>
        <stp>34364094M9:LstBlkVol</stp>
        <tr r="L527" s="5"/>
      </tp>
      <tp t="s">
        <v/>
        <stp/>
        <stp>34374095M9:LstBlkVol</stp>
        <tr r="L565" s="5"/>
      </tp>
      <tp t="s">
        <v/>
        <stp/>
        <stp>34344092M9:LstBlkVol</stp>
        <tr r="L1272" s="5"/>
      </tp>
      <tp t="s">
        <v/>
        <stp/>
        <stp>34354093M9:LstBlkVol</stp>
        <tr r="L1310" s="5"/>
      </tp>
      <tp t="s">
        <v/>
        <stp/>
        <stp>1923422331Q1:LstBlkVol</stp>
        <tr r="L1643" s="5"/>
      </tp>
      <tp t="s">
        <v/>
        <stp/>
        <stp>1923422331M1:LstBlkVol</stp>
        <tr r="L1628" s="5"/>
      </tp>
      <tp t="s">
        <v/>
        <stp/>
        <stp>1581618115Q1:LstBlkVol</stp>
        <tr r="L475" s="5"/>
      </tp>
      <tp>
        <v>50</v>
        <stp/>
        <stp>1581618115M1:LstBlkVol</stp>
        <tr r="L460" s="5"/>
      </tp>
      <tp t="s">
        <v/>
        <stp/>
        <stp>2044823525Q0:LstBlkVol</stp>
        <tr r="L1770" s="5"/>
      </tp>
      <tp t="s">
        <v/>
        <stp/>
        <stp>2044823525Y0:LstBlkVol</stp>
        <tr r="L1777" s="5"/>
      </tp>
      <tp t="s">
        <v/>
        <stp/>
        <stp>2044823525M0:LstBlkVol</stp>
        <tr r="L1747" s="5"/>
      </tp>
      <tp t="s">
        <v/>
        <stp/>
        <stp>1840020882M9:LstBlkVol</stp>
        <tr r="L1591" s="5"/>
      </tp>
      <tp t="s">
        <v/>
        <stp/>
        <stp>2427026287Q4:LstBlkVol</stp>
        <tr r="L1178" s="5"/>
      </tp>
      <tp t="s">
        <v/>
        <stp/>
        <stp>2427026287M4:LstBlkVol</stp>
        <tr r="L1153" s="5"/>
      </tp>
    </main>
    <main first="bofaddin.rtdserver">
      <tp t="s">
        <v>#N/A Invalid Security</v>
        <stp/>
        <stp>BDP|270875010058104113|222</stp>
        <stp>HOG0 Comdty</stp>
        <stp>BID</stp>
        <stp>Fill=#N/A</stp>
        <tr r="I60" s="1"/>
      </tp>
    </main>
    <main first="ice.rtd">
      <tp t="s">
        <v/>
        <stp/>
        <stp>2427126288Q4:LstBlkVol</stp>
        <tr r="L1064" s="5"/>
      </tp>
      <tp t="s">
        <v/>
        <stp/>
        <stp>2427126288M4:LstBlkVol</stp>
        <tr r="L1039" s="5"/>
      </tp>
    </main>
    <main first="bofaddin.rtdserver">
      <tp t="s">
        <v>#N/A Invalid Security</v>
        <stp/>
        <stp>BDP|821089644210170720|222</stp>
        <stp>XBG0 Comdty</stp>
        <stp>ASK</stp>
        <stp>Fill=#N/A</stp>
        <tr r="J60" s="1"/>
      </tp>
    </main>
    <main first="ice.rtd">
      <tp t="s">
        <v/>
        <stp/>
        <stp>29243602M2:LstBlkVol</stp>
        <tr r="L748" s="5"/>
      </tp>
      <tp t="s">
        <v/>
        <stp/>
        <stp>29243602Q2:LstBlkVol</stp>
        <tr r="L764" s="5"/>
      </tp>
      <tp t="s">
        <v/>
        <stp/>
        <stp>2755828679Y2:LstBlkVol</stp>
        <tr r="L1033" s="5"/>
      </tp>
      <tp t="s">
        <v/>
        <stp/>
        <stp>2755828679Q2:LstBlkVol</stp>
        <tr r="L1024" s="5"/>
      </tp>
      <tp t="s">
        <v/>
        <stp/>
        <stp>2755828679M2:LstBlkVol</stp>
        <tr r="L999" s="5"/>
      </tp>
      <tp t="s">
        <v/>
        <stp/>
        <stp>18871685M3:LstBlkVol</stp>
        <tr r="L424" s="5"/>
      </tp>
      <tp>
        <v>5</v>
        <stp/>
        <stp>18871685Q3:LstBlkVol</stp>
        <tr r="L449" s="5"/>
      </tp>
      <tp t="s">
        <v/>
        <stp/>
        <stp>18851683M3:LstBlkVol</stp>
        <tr r="L196" s="5"/>
      </tp>
      <tp t="s">
        <v/>
        <stp/>
        <stp>18851683Q3:LstBlkVol</stp>
        <tr r="L221" s="5"/>
      </tp>
      <tp t="s">
        <v/>
        <stp/>
        <stp>1986823075Q7:LstBlkVol</stp>
        <tr r="L149" s="5"/>
      </tp>
      <tp>
        <v>50</v>
        <stp/>
        <stp>1986823075M7:LstBlkVol</stp>
        <tr r="L124" s="5"/>
      </tp>
      <tp t="s">
        <v/>
        <stp/>
        <stp>35534143M9:LstBlkVol</stp>
        <tr r="L717" s="5"/>
      </tp>
      <tp t="s">
        <v/>
        <stp/>
        <stp>35544144M9:LstBlkVol</stp>
        <tr r="L641" s="5"/>
      </tp>
      <tp t="s">
        <v/>
        <stp/>
        <stp>35554145M9:LstBlkVol</stp>
        <tr r="L679" s="5"/>
      </tp>
      <tp t="s">
        <v/>
        <stp/>
        <stp>18901687M3:LstBlkVol</stp>
        <tr r="L310" s="5"/>
      </tp>
      <tp t="s">
        <v/>
        <stp/>
        <stp>18901687Q3:LstBlkVol</stp>
        <tr r="L335" s="5"/>
      </tp>
      <tp t="s">
        <v/>
        <stp/>
        <stp>1986923076Q7:LstBlkVol</stp>
        <tr r="L187" s="5"/>
      </tp>
      <tp t="s">
        <v/>
        <stp/>
        <stp>1986923076M7:LstBlkVol</stp>
        <tr r="L162" s="5"/>
      </tp>
    </main>
    <main first="esrtd">
      <tp t="s">
        <v/>
        <stp/>
        <stp>TDL 30!-IEU</stp>
        <stp>Ask</stp>
        <tr r="H1842" s="5"/>
      </tp>
    </main>
    <main first="ice.rtd">
      <tp t="s">
        <v/>
        <stp/>
        <stp>15061297MM10:LstBlkVol</stp>
        <tr r="L1693" s="5"/>
      </tp>
      <tp t="s">
        <v/>
        <stp/>
        <stp>15061297MM20:LstBlkVol</stp>
        <tr r="L1703" s="5"/>
      </tp>
      <tp t="s">
        <v/>
        <stp/>
        <stp>15061297MM16:LstBlkPrc</stp>
        <tr r="K1699" s="5"/>
      </tp>
      <tp t="s">
        <v/>
        <stp/>
        <stp>15061297MM26:LstBlkPrc</stp>
        <tr r="K1709" s="5"/>
      </tp>
    </main>
    <main first="esrtd">
      <tp t="s">
        <v/>
        <stp/>
        <stp>WMJ 30!-IEU</stp>
        <stp>Bid</stp>
        <tr r="G1912" s="5"/>
      </tp>
    </main>
    <main first="ice.rtd">
      <tp>
        <v>0</v>
        <stp/>
        <stp>34404098Y1:OI</stp>
        <tr r="T629" s="5"/>
      </tp>
      <tp>
        <v>0</v>
        <stp/>
        <stp>34414099Y1:OI</stp>
        <tr r="T114" s="5"/>
      </tp>
      <tp>
        <v>0</v>
        <stp/>
        <stp>34404098Y0:OI</stp>
        <tr r="T628" s="5"/>
      </tp>
      <tp>
        <v>0</v>
        <stp/>
        <stp>34414099Y0:OI</stp>
        <tr r="T113" s="5"/>
      </tp>
      <tp t="s">
        <v>Invalid Market: 34404098Y2</v>
        <stp/>
        <stp>34404098Y2:OI</stp>
        <tr r="T630" s="5"/>
      </tp>
      <tp>
        <v>0</v>
        <stp/>
        <stp>34414099Y2:OI</stp>
        <tr r="T115" s="5"/>
      </tp>
      <tp>
        <v>0</v>
        <stp/>
        <stp>34404098Q5:OI</stp>
        <tr r="T624" s="5"/>
      </tp>
      <tp>
        <v>0</v>
        <stp/>
        <stp>34414099Q5:OI</stp>
        <tr r="T109" s="5"/>
      </tp>
      <tp>
        <v>0</v>
        <stp/>
        <stp>34404098Q4:OI</stp>
        <tr r="T623" s="5"/>
      </tp>
      <tp>
        <v>0</v>
        <stp/>
        <stp>34414099Q4:OI</stp>
        <tr r="T108" s="5"/>
      </tp>
      <tp>
        <v>0</v>
        <stp/>
        <stp>34404098Q7:OI</stp>
        <tr r="T626" s="5"/>
      </tp>
      <tp>
        <v>0</v>
        <stp/>
        <stp>34414099Q7:OI</stp>
        <tr r="T111" s="5"/>
      </tp>
      <tp>
        <v>0</v>
        <stp/>
        <stp>34404098Q6:OI</stp>
        <tr r="T625" s="5"/>
      </tp>
      <tp>
        <v>0</v>
        <stp/>
        <stp>34414099Q6:OI</stp>
        <tr r="T110" s="5"/>
      </tp>
      <tp>
        <v>0</v>
        <stp/>
        <stp>34404098Q1:OI</stp>
        <tr r="T620" s="5"/>
      </tp>
      <tp>
        <v>0</v>
        <stp/>
        <stp>34414099Q1:OI</stp>
        <tr r="T105" s="5"/>
      </tp>
      <tp>
        <v>0</v>
        <stp/>
        <stp>34404098Q0:OI</stp>
        <tr r="T619" s="5"/>
      </tp>
      <tp>
        <v>0</v>
        <stp/>
        <stp>34414099Q0:OI</stp>
        <tr r="T104" s="5"/>
      </tp>
      <tp>
        <v>0</v>
        <stp/>
        <stp>34404098Q3:OI</stp>
        <tr r="T622" s="5"/>
      </tp>
      <tp>
        <v>0</v>
        <stp/>
        <stp>34414099Q3:OI</stp>
        <tr r="T107" s="5"/>
      </tp>
      <tp>
        <v>0</v>
        <stp/>
        <stp>34404098Q2:OI</stp>
        <tr r="T621" s="5"/>
      </tp>
      <tp>
        <v>0</v>
        <stp/>
        <stp>34414099Q2:OI</stp>
        <tr r="T106" s="5"/>
      </tp>
      <tp>
        <v>0</v>
        <stp/>
        <stp>34404098Q8:OI</stp>
        <tr r="T627" s="5"/>
      </tp>
      <tp>
        <v>0</v>
        <stp/>
        <stp>34414099Q8:OI</stp>
        <tr r="T112" s="5"/>
      </tp>
      <tp>
        <v>143</v>
        <stp/>
        <stp>34404098M5:OI</stp>
        <tr r="T599" s="5"/>
      </tp>
      <tp>
        <v>828</v>
        <stp/>
        <stp>34414099M5:OI</stp>
        <tr r="T84" s="5"/>
      </tp>
      <tp>
        <v>143</v>
        <stp/>
        <stp>34404098M4:OI</stp>
        <tr r="T598" s="5"/>
      </tp>
      <tp>
        <v>902</v>
        <stp/>
        <stp>34414099M4:OI</stp>
        <tr r="T83" s="5"/>
      </tp>
      <tp>
        <v>91</v>
        <stp/>
        <stp>34404098M7:OI</stp>
        <tr r="T601" s="5"/>
      </tp>
      <tp>
        <v>542</v>
        <stp/>
        <stp>34414099M7:OI</stp>
        <tr r="T86" s="5"/>
      </tp>
      <tp>
        <v>143</v>
        <stp/>
        <stp>34404098M6:OI</stp>
        <tr r="T600" s="5"/>
      </tp>
      <tp>
        <v>699</v>
        <stp/>
        <stp>34414099M6:OI</stp>
        <tr r="T85" s="5"/>
      </tp>
    </main>
    <main first="esrtd">
      <tp t="s">
        <v/>
        <stp/>
        <stp>WHK 30!-IEU</stp>
        <stp>Recent Settlement</stp>
        <tr r="U1947" s="5"/>
      </tp>
    </main>
    <main first="ice.rtd">
      <tp>
        <v>717</v>
        <stp/>
        <stp>34404098M1:OI</stp>
        <tr r="T595" s="5"/>
      </tp>
      <tp>
        <v>1708</v>
        <stp/>
        <stp>34414099M1:OI</stp>
        <tr r="T80" s="5"/>
      </tp>
      <tp>
        <v>1202</v>
        <stp/>
        <stp>34404098M0:OI</stp>
        <tr r="T594" s="5"/>
      </tp>
      <tp>
        <v>2161</v>
        <stp/>
        <stp>34414099M0:OI</stp>
        <tr r="T79" s="5"/>
      </tp>
      <tp>
        <v>626</v>
        <stp/>
        <stp>34404098M3:OI</stp>
        <tr r="T597" s="5"/>
      </tp>
      <tp>
        <v>1396</v>
        <stp/>
        <stp>34414099M3:OI</stp>
        <tr r="T82" s="5"/>
      </tp>
      <tp>
        <v>581</v>
        <stp/>
        <stp>34404098M2:OI</stp>
        <tr r="T596" s="5"/>
      </tp>
      <tp>
        <v>1476</v>
        <stp/>
        <stp>34414099M2:OI</stp>
        <tr r="T81" s="5"/>
      </tp>
      <tp>
        <v>91</v>
        <stp/>
        <stp>34404098M9:OI</stp>
        <tr r="T603" s="5"/>
      </tp>
      <tp>
        <v>493</v>
        <stp/>
        <stp>34414099M9:OI</stp>
        <tr r="T88" s="5"/>
      </tp>
      <tp>
        <v>91</v>
        <stp/>
        <stp>34404098M8:OI</stp>
        <tr r="T602" s="5"/>
      </tp>
      <tp>
        <v>523</v>
        <stp/>
        <stp>34414099M8:OI</stp>
        <tr r="T87" s="5"/>
      </tp>
    </main>
    <main first="esrtd">
      <tp t="s">
        <v/>
        <stp/>
        <stp>WHK 24!-IEU</stp>
        <stp>Recent Settlement</stp>
        <tr r="U1941" s="5"/>
      </tp>
      <tp t="s">
        <v/>
        <stp/>
        <stp>WHK 25!-IEU</stp>
        <stp>Recent Settlement</stp>
        <tr r="U1942" s="5"/>
      </tp>
      <tp t="s">
        <v/>
        <stp/>
        <stp>WHK 26!-IEU</stp>
        <stp>Recent Settlement</stp>
        <tr r="U1943" s="5"/>
      </tp>
      <tp t="s">
        <v/>
        <stp/>
        <stp>WHK 27!-IEU</stp>
        <stp>Recent Settlement</stp>
        <tr r="U1944" s="5"/>
      </tp>
      <tp t="s">
        <v/>
        <stp/>
        <stp>WHK 20!-IEU</stp>
        <stp>Recent Settlement</stp>
        <tr r="U1937" s="5"/>
      </tp>
      <tp t="s">
        <v/>
        <stp/>
        <stp>WHK 21!-IEU</stp>
        <stp>Recent Settlement</stp>
        <tr r="U1938" s="5"/>
      </tp>
      <tp t="s">
        <v/>
        <stp/>
        <stp>WHK 22!-IEU</stp>
        <stp>Recent Settlement</stp>
        <tr r="U1939" s="5"/>
      </tp>
      <tp t="s">
        <v/>
        <stp/>
        <stp>WHK 23!-IEU</stp>
        <stp>Recent Settlement</stp>
        <tr r="U1940" s="5"/>
      </tp>
      <tp t="s">
        <v/>
        <stp/>
        <stp>WHK 28!-IEU</stp>
        <stp>Recent Settlement</stp>
        <tr r="U1945" s="5"/>
      </tp>
      <tp t="s">
        <v/>
        <stp/>
        <stp>WHK 29!-IEU</stp>
        <stp>Recent Settlement</stp>
        <tr r="U1946" s="5"/>
      </tp>
      <tp t="s">
        <v/>
        <stp/>
        <stp>WHK 14!-IEU</stp>
        <stp>Recent Settlement</stp>
        <tr r="U1931" s="5"/>
      </tp>
      <tp t="s">
        <v/>
        <stp/>
        <stp>WHK 15!-IEU</stp>
        <stp>Recent Settlement</stp>
        <tr r="U1932" s="5"/>
      </tp>
      <tp t="s">
        <v/>
        <stp/>
        <stp>WHK 16!-IEU</stp>
        <stp>Recent Settlement</stp>
        <tr r="U1933" s="5"/>
      </tp>
      <tp t="s">
        <v/>
        <stp/>
        <stp>WHK 17!-IEU</stp>
        <stp>Recent Settlement</stp>
        <tr r="U1934" s="5"/>
      </tp>
      <tp t="s">
        <v/>
        <stp/>
        <stp>WHK 10!-IEU</stp>
        <stp>Recent Settlement</stp>
        <tr r="U1927" s="5"/>
      </tp>
      <tp t="s">
        <v/>
        <stp/>
        <stp>WHK 11!-IEU</stp>
        <stp>Recent Settlement</stp>
        <tr r="U1928" s="5"/>
      </tp>
      <tp t="s">
        <v/>
        <stp/>
        <stp>WHK 12!-IEU</stp>
        <stp>Recent Settlement</stp>
        <tr r="U1929" s="5"/>
      </tp>
      <tp t="s">
        <v/>
        <stp/>
        <stp>WHK 13!-IEU</stp>
        <stp>Recent Settlement</stp>
        <tr r="U1930" s="5"/>
      </tp>
      <tp t="s">
        <v/>
        <stp/>
        <stp>WHK 18!-IEU</stp>
        <stp>Recent Settlement</stp>
        <tr r="U1935" s="5"/>
      </tp>
      <tp t="s">
        <v/>
        <stp/>
        <stp>WHK 19!-IEU</stp>
        <stp>Recent Settlement</stp>
        <tr r="U1936" s="5"/>
      </tp>
      <tp t="s">
        <v/>
        <stp/>
        <stp>WHK C2!-IEU</stp>
        <stp>Recent Settlement</stp>
        <tr r="U1952" s="5"/>
      </tp>
      <tp t="s">
        <v/>
        <stp/>
        <stp>WHK Q4!-IEU</stp>
        <stp>Recent Settlement</stp>
        <tr r="U1951" s="5"/>
      </tp>
      <tp t="s">
        <v/>
        <stp/>
        <stp>WHK Q1!-IEU</stp>
        <stp>Recent Settlement</stp>
        <tr r="U1948" s="5"/>
      </tp>
      <tp t="s">
        <v/>
        <stp/>
        <stp>WHK Q2!-IEU</stp>
        <stp>Recent Settlement</stp>
        <tr r="U1949" s="5"/>
      </tp>
      <tp t="s">
        <v/>
        <stp/>
        <stp>WHK Q3!-IEU</stp>
        <stp>Recent Settlement</stp>
        <tr r="U1950" s="5"/>
      </tp>
      <tp t="s">
        <v/>
        <stp/>
        <stp>WNS 30!-IEU</stp>
        <stp>Bid</stp>
        <tr r="G1877" s="5"/>
      </tp>
      <tp t="s">
        <v/>
        <stp/>
        <stp>WHK 30!-IEU</stp>
        <stp>Bid</stp>
        <tr r="G1947" s="5"/>
      </tp>
      <tp t="s">
        <v/>
        <stp/>
        <stp>WDF 30!-IEU</stp>
        <stp>Bid</stp>
        <tr r="G1807" s="5"/>
      </tp>
    </main>
    <main first="ice.rtd">
      <tp t="s">
        <v/>
        <stp/>
        <stp>15061297MM26:BstHitPrc</stp>
        <tr r="G1709" s="5"/>
      </tp>
      <tp t="s">
        <v/>
        <stp/>
        <stp>15061297MM16:BstHitPrc</stp>
        <tr r="G1699" s="5"/>
      </tp>
      <tp t="s">
        <v/>
        <stp/>
        <stp>2184924621B0:LstDate</stp>
        <tr r="J707" s="5"/>
      </tp>
    </main>
    <main first="bofaddin.rtdserver">
      <tp t="s">
        <v>#N/A Requesting Data...4004850952</v>
        <stp/>
        <stp>BDP|14073171219162096216</stp>
        <tr r="E30" s="23"/>
        <tr r="E74" s="23"/>
      </tp>
      <tp t="s">
        <v>#N/A Requesting Data...4120612834</v>
        <stp/>
        <stp>BDP|13986190561474635473</stp>
        <tr r="AF191" s="23"/>
      </tp>
    </main>
    <main first="ice.rtd">
      <tp t="s">
        <v/>
        <stp/>
        <stp>2049123570B0:LstDate</stp>
        <tr r="J230" s="5"/>
      </tp>
      <tp t="s">
        <v/>
        <stp/>
        <stp>2324225603B0:LstDate</stp>
        <tr r="J920" s="5"/>
      </tp>
      <tp t="s">
        <v/>
        <stp/>
        <stp>2325225613B0:LstDate</stp>
        <tr r="J631" s="5"/>
      </tp>
      <tp t="s">
        <v/>
        <stp/>
        <stp>2326225623B0:LstDate</stp>
        <tr r="J1300" s="5"/>
      </tp>
    </main>
    <main first="bofaddin.rtdserver">
      <tp t="s">
        <v>#N/A Requesting Data...4111893672</v>
        <stp/>
        <stp>BDP|15349038167063459466</stp>
        <tr r="AV16" s="1"/>
      </tp>
    </main>
    <main first="ice.rtd">
      <tp t="s">
        <v/>
        <stp/>
        <stp>2888129698B0:LstDate</stp>
        <tr r="J1110" s="5"/>
      </tp>
      <tp t="s">
        <v/>
        <stp/>
        <stp>3126131030B0:LstDate</stp>
        <tr r="J1746" s="5"/>
      </tp>
    </main>
    <main first="bofaddin.rtdserver">
      <tp t="s">
        <v>#N/A N/A</v>
        <stp/>
        <stp>BDH|12720120478311988151</stp>
        <tr r="AV51" s="1"/>
      </tp>
      <tp t="s">
        <v>#N/A N/A</v>
        <stp/>
        <stp>BDH|10118692027877958776</stp>
        <tr r="K43" s="16"/>
      </tp>
      <tp t="s">
        <v>#N/A</v>
        <stp/>
        <stp>BDP|761237712289510667|222</stp>
        <stp>OQAJ9K9 Comdty</stp>
        <stp>ASK</stp>
        <stp>Fill=#N/A</stp>
        <tr r="T51" s="1"/>
      </tp>
      <tp t="s">
        <v>#N/A N/A</v>
        <stp/>
        <stp>BDH|17167315601470407057</stp>
        <tr r="AZ57" s="1"/>
      </tp>
      <tp t="s">
        <v>#N/A N/A</v>
        <stp/>
        <stp>BDH|13777603353507055342</stp>
        <tr r="AZ30" s="1"/>
      </tp>
      <tp t="b">
        <v>0</v>
        <stp/>
        <stp>BDH|16128130831685125502</stp>
        <tr r="N21" s="25"/>
        <tr r="N21" s="25"/>
      </tp>
      <tp t="s">
        <v>#N/A N/A</v>
        <stp/>
        <stp>BDH|11439173300571748513</stp>
        <tr r="AV37" s="1"/>
      </tp>
      <tp t="s">
        <v>#N/A N/A</v>
        <stp/>
        <stp>BDH|12805490207733621146</stp>
        <tr r="AV49" s="1"/>
      </tp>
      <tp t="s">
        <v>#N/A N/A</v>
        <stp/>
        <stp>BDH|11003123002522746633</stp>
        <tr r="C15" s="14"/>
      </tp>
    </main>
    <main first="ice.rtd">
      <tp>
        <v>0</v>
        <stp/>
        <stp>2323825599B0:OI</stp>
        <tr r="T306" s="5"/>
      </tp>
    </main>
    <main first="bofaddin.rtdserver">
      <tp t="s">
        <v>#N/A N/A</v>
        <stp/>
        <stp>BDH|11356886415785179981</stp>
        <tr r="J6" s="14"/>
      </tp>
      <tp t="s">
        <v>#N/A N/A</v>
        <stp/>
        <stp>BDH|15424318726112080258</stp>
        <tr r="I87" s="16"/>
      </tp>
      <tp t="s">
        <v>#N/A N/A</v>
        <stp/>
        <stp>BDH|17756079192623563919</stp>
        <tr r="C44" s="14"/>
      </tp>
    </main>
    <main first="ice.rtd">
      <tp>
        <v>0</v>
        <stp/>
        <stp>2185324625B0:OI</stp>
        <tr r="T78" s="5"/>
      </tp>
    </main>
    <main first="bofaddin.rtdserver">
      <tp t="s">
        <v>#N/A N/A</v>
        <stp/>
        <stp>BDH|10679780202306589517</stp>
        <tr r="H63" s="16"/>
      </tp>
      <tp t="s">
        <v>#N/A N/A</v>
        <stp/>
        <stp>BDH|12857637311822631341</stp>
        <tr r="AW59" s="1"/>
      </tp>
      <tp t="s">
        <v>#N/A N/A</v>
        <stp/>
        <stp>BDH|14028262166161173594</stp>
        <tr r="J83" s="16"/>
      </tp>
      <tp t="s">
        <v>#N/A N/A</v>
        <stp/>
        <stp>BDH|11392491251307036338</stp>
        <tr r="C59" s="14"/>
      </tp>
      <tp t="s">
        <v>#N/A N/A</v>
        <stp/>
        <stp>BDH|14050366901492963165</stp>
        <tr r="N77" s="16"/>
      </tp>
      <tp t="s">
        <v>#N/A N/A</v>
        <stp/>
        <stp>BDH|17630712443990649099</stp>
        <tr r="BC29" s="1"/>
      </tp>
    </main>
    <main first="ice.rtd">
      <tp>
        <v>0</v>
        <stp/>
        <stp>2326325624B0:OI</stp>
        <tr r="T806" s="5"/>
      </tp>
    </main>
    <main first="bofaddin.rtdserver">
      <tp t="s">
        <v>#N/A N/A</v>
        <stp/>
        <stp>BDH|12164376632294987278</stp>
        <tr r="AX46" s="1"/>
      </tp>
    </main>
    <main first="ice.rtd">
      <tp>
        <v>0</v>
        <stp/>
        <stp>2505226937B0:OI</stp>
        <tr r="T768" s="5"/>
      </tp>
    </main>
    <main first="bofaddin.rtdserver">
      <tp t="s">
        <v>#N/A N/A</v>
        <stp/>
        <stp>BDH|11553785747690711624</stp>
        <tr r="AW58" s="1"/>
      </tp>
      <tp t="s">
        <v>#N/A N/A</v>
        <stp/>
        <stp>BDH|15700511544024835457</stp>
        <tr r="AX62" s="1"/>
      </tp>
      <tp>
        <v>1.26</v>
        <stp/>
        <stp>BDP|1188055410670887079|22</stp>
        <stp>COZ9COZ0 Comdty</stp>
        <stp>BID</stp>
        <tr r="C5" s="3"/>
      </tp>
    </main>
    <main first="esrtd">
      <tp t="s">
        <v/>
        <stp/>
        <stp>BAP G28-IEU</stp>
        <stp>ICE Theoretical Price</stp>
        <tr r="W134" s="5"/>
      </tp>
      <tp t="s">
        <v/>
        <stp/>
        <stp>BAP F28-IEU</stp>
        <stp>ICE Theoretical Price</stp>
        <tr r="W133" s="5"/>
      </tp>
      <tp t="s">
        <v/>
        <stp/>
        <stp>BAP K28-IEU</stp>
        <stp>ICE Theoretical Price</stp>
        <tr r="W137" s="5"/>
      </tp>
      <tp t="s">
        <v/>
        <stp/>
        <stp>BAP J28-IEU</stp>
        <stp>ICE Theoretical Price</stp>
        <tr r="W136" s="5"/>
      </tp>
      <tp t="s">
        <v/>
        <stp/>
        <stp>BAP H28-IEU</stp>
        <stp>ICE Theoretical Price</stp>
        <tr r="W135" s="5"/>
      </tp>
      <tp t="s">
        <v/>
        <stp/>
        <stp>BAP N28-IEU</stp>
        <stp>ICE Theoretical Price</stp>
        <tr r="W139" s="5"/>
      </tp>
      <tp t="s">
        <v/>
        <stp/>
        <stp>BAP M28-IEU</stp>
        <stp>ICE Theoretical Price</stp>
        <tr r="W138" s="5"/>
      </tp>
      <tp t="s">
        <v/>
        <stp/>
        <stp>BAP Q28-IEU</stp>
        <stp>ICE Theoretical Price</stp>
        <tr r="W140" s="5"/>
      </tp>
      <tp t="s">
        <v/>
        <stp/>
        <stp>BAP U28-IEU</stp>
        <stp>ICE Theoretical Price</stp>
        <tr r="W141" s="5"/>
      </tp>
    </main>
    <main first="bofaddin.rtdserver">
      <tp t="s">
        <v>#N/A Invalid Security</v>
        <stp/>
        <stp>BDP|2868904055131767164|22</stp>
        <stp>HOZ9HOZ0 Comdty</stp>
        <stp>BID</stp>
        <tr r="E5" s="3"/>
      </tp>
    </main>
    <main first="ice.rtd">
      <tp>
        <v>0</v>
        <stp/>
        <stp>161913535MM9:Vol</stp>
        <tr r="N2036" s="5"/>
      </tp>
      <tp>
        <v>0</v>
        <stp/>
        <stp>161913535MM8:Vol</stp>
        <tr r="N2035" s="5"/>
      </tp>
      <tp>
        <v>0</v>
        <stp/>
        <stp>161913535MM5:Vol</stp>
        <tr r="N2032" s="5"/>
      </tp>
      <tp>
        <v>0</v>
        <stp/>
        <stp>161913535MM4:Vol</stp>
        <tr r="N2031" s="5"/>
      </tp>
      <tp>
        <v>0</v>
        <stp/>
        <stp>161913535MM7:Vol</stp>
        <tr r="N2034" s="5"/>
      </tp>
      <tp>
        <v>0</v>
        <stp/>
        <stp>161913535MM6:Vol</stp>
        <tr r="N2033" s="5"/>
      </tp>
      <tp>
        <v>0</v>
        <stp/>
        <stp>161913535MM1:Vol</stp>
        <tr r="N2028" s="5"/>
      </tp>
      <tp>
        <v>0</v>
        <stp/>
        <stp>161913535MM0:Vol</stp>
        <tr r="N2027" s="5"/>
      </tp>
      <tp>
        <v>0</v>
        <stp/>
        <stp>161913535MM3:Vol</stp>
        <tr r="N2030" s="5"/>
      </tp>
      <tp>
        <v>0</v>
        <stp/>
        <stp>161913535MM2:Vol</stp>
        <tr r="N2029" s="5"/>
      </tp>
    </main>
    <main first="bofaddin.rtdserver">
      <tp>
        <v>-0.13</v>
        <stp/>
        <stp>BDP|10368263584027705124|222</stp>
        <stp>COU9COV9 Comdty</stp>
        <stp>BID</stp>
        <stp>Fill=#N/A</stp>
        <tr r="O56" s="1"/>
      </tp>
      <tp t="s">
        <v>#N/A</v>
        <stp/>
        <stp>BDP|17208113738221526830|222</stp>
        <stp>CLF0CLG0 Comdty</stp>
        <stp>BID</stp>
        <stp>Fill=#N/A</stp>
        <tr r="N60" s="1"/>
      </tp>
      <tp>
        <v>0.61</v>
        <stp/>
        <stp>BDP|16001653886921473574|222</stp>
        <stp>COQ7COU7 Comdty</stp>
        <stp>ASK</stp>
        <stp>Fill=#N/A</stp>
        <tr r="O31" s="1"/>
      </tp>
    </main>
    <main first="ice.rtd">
      <tp t="s">
        <v/>
        <stp/>
        <stp>DBI1227MM13:LstPrc</stp>
        <tr r="I1664" s="5"/>
      </tp>
      <tp t="s">
        <v/>
        <stp/>
        <stp>DBI1227MM12:LstPrc</stp>
        <tr r="I1663" s="5"/>
      </tp>
      <tp t="s">
        <v/>
        <stp/>
        <stp>DBI1227MM11:LstPrc</stp>
        <tr r="I1662" s="5"/>
      </tp>
      <tp>
        <v>9.69</v>
        <stp/>
        <stp>DBI1227MM10:LstPrc</stp>
        <tr r="I1649" s="5"/>
        <tr r="I1661" s="5"/>
      </tp>
      <tp>
        <v>6.3</v>
        <stp/>
        <stp>DBI1227MM17:LstPrc</stp>
        <tr r="I1668" s="5"/>
      </tp>
      <tp>
        <v>4.84</v>
        <stp/>
        <stp>DBI1227MM16:LstPrc</stp>
        <tr r="I1667" s="5"/>
      </tp>
      <tp>
        <v>2.96</v>
        <stp/>
        <stp>DBI1227MM15:LstPrc</stp>
        <tr r="I1666" s="5"/>
      </tp>
      <tp t="s">
        <v/>
        <stp/>
        <stp>DBI1227MM14:LstPrc</stp>
        <tr r="I1665" s="5"/>
      </tp>
      <tp t="s">
        <v/>
        <stp/>
        <stp>DBI1227MM19:LstPrc</stp>
        <tr r="I1650" s="5"/>
        <tr r="I1670" s="5"/>
      </tp>
      <tp t="s">
        <v/>
        <stp/>
        <stp>DBI1227MM18:LstPrc</stp>
        <tr r="I1669" s="5"/>
      </tp>
      <tp>
        <v>1.88</v>
        <stp/>
        <stp>DBI1227MM23:LstPrc</stp>
        <tr r="I1674" s="5"/>
      </tp>
      <tp t="s">
        <v/>
        <stp/>
        <stp>DBI1227MM22:LstPrc</stp>
        <tr r="I1673" s="5"/>
      </tp>
      <tp t="s">
        <v/>
        <stp/>
        <stp>DBI1227MM21:LstPrc</stp>
        <tr r="I1672" s="5"/>
      </tp>
      <tp t="s">
        <v/>
        <stp/>
        <stp>DBI1227MM20:LstPrc</stp>
        <tr r="I1671" s="5"/>
      </tp>
      <tp t="s">
        <v/>
        <stp/>
        <stp>DBI1227MM27:LstPrc</stp>
        <tr r="I1678" s="5"/>
      </tp>
      <tp>
        <v>5.12</v>
        <stp/>
        <stp>DBI1227MM26:LstPrc</stp>
        <tr r="I1677" s="5"/>
      </tp>
      <tp>
        <v>4.4000000000000004</v>
        <stp/>
        <stp>DBI1227MM25:LstPrc</stp>
        <tr r="I1676" s="5"/>
      </tp>
      <tp>
        <v>3.32</v>
        <stp/>
        <stp>DBI1227MM24:LstPrc</stp>
        <tr r="I1675" s="5"/>
      </tp>
    </main>
    <main first="bofaddin.rtdserver">
      <tp>
        <v>18.66</v>
        <stp/>
        <stp>BDP|13984817275286157536|222</stp>
        <stp>XBU7XBV7 Comdty</stp>
        <stp>ASK</stp>
        <stp>Fill=#N/A</stp>
        <tr r="R32" s="1"/>
      </tp>
    </main>
    <main first="ice.rtd">
      <tp t="s">
        <v/>
        <stp/>
        <stp>32613992M24:LstBlkTime</stp>
        <tr r="M1249" s="5"/>
      </tp>
      <tp t="s">
        <v/>
        <stp/>
        <stp>32613992M22:LstBlkTime</stp>
        <tr r="M1247" s="5"/>
      </tp>
      <tp t="s">
        <v/>
        <stp/>
        <stp>32613992M23:LstBlkTime</stp>
        <tr r="M1248" s="5"/>
      </tp>
      <tp t="s">
        <v/>
        <stp/>
        <stp>32613992M20:LstBlkTime</stp>
        <tr r="M1245" s="5"/>
      </tp>
      <tp t="s">
        <v/>
        <stp/>
        <stp>32613992M21:LstBlkTime</stp>
        <tr r="M1246" s="5"/>
      </tp>
      <tp t="s">
        <v/>
        <stp/>
        <stp>32613992M16:LstBlkTime</stp>
        <tr r="M1241" s="5"/>
      </tp>
      <tp t="s">
        <v/>
        <stp/>
        <stp>32613992M17:LstBlkTime</stp>
        <tr r="M1242" s="5"/>
      </tp>
      <tp t="s">
        <v/>
        <stp/>
        <stp>32613992M14:LstBlkTime</stp>
        <tr r="M1239" s="5"/>
      </tp>
      <tp t="s">
        <v/>
        <stp/>
        <stp>32613992M15:LstBlkTime</stp>
        <tr r="M1240" s="5"/>
      </tp>
      <tp t="s">
        <v/>
        <stp/>
        <stp>32613992M12:LstBlkTime</stp>
        <tr r="M1237" s="5"/>
      </tp>
      <tp t="s">
        <v/>
        <stp/>
        <stp>32613992M13:LstBlkTime</stp>
        <tr r="M1238" s="5"/>
      </tp>
      <tp t="s">
        <v/>
        <stp/>
        <stp>32613992M10:LstBlkTime</stp>
        <tr r="M1235" s="5"/>
      </tp>
      <tp t="s">
        <v/>
        <stp/>
        <stp>32613992M11:LstBlkTime</stp>
        <tr r="M1236" s="5"/>
      </tp>
      <tp t="s">
        <v/>
        <stp/>
        <stp>32613992M18:LstBlkTime</stp>
        <tr r="M1243" s="5"/>
      </tp>
      <tp t="s">
        <v/>
        <stp/>
        <stp>32613992M19:LstBlkTime</stp>
        <tr r="M1244" s="5"/>
      </tp>
    </main>
    <main first="bofaddin.rtdserver">
      <tp>
        <v>9.5</v>
        <stp/>
        <stp>BDP|12810009124650697303|222</stp>
        <stp>QSK8QSM8 Comdty</stp>
        <stp>BID</stp>
        <stp>Fill=#N/A</stp>
        <tr r="P40" s="1"/>
      </tp>
      <tp>
        <v>11.25</v>
        <stp/>
        <stp>BDP|12030481446229025873|222</stp>
        <stp>QSU7QSV7 Comdty</stp>
        <stp>BID</stp>
        <stp>Fill=#N/A</stp>
        <tr r="P32" s="1"/>
      </tp>
      <tp>
        <v>0.23</v>
        <stp/>
        <stp>BDP|10952966635930114078|222</stp>
        <stp>CLJ8CLK8 Comdty</stp>
        <stp>BID</stp>
        <stp>Fill=#N/A</stp>
        <tr r="N39" s="1"/>
      </tp>
      <tp>
        <v>2.59</v>
        <stp/>
        <stp>BDP|15632518700869653215|222</stp>
        <stp>CLV6CLX6 Comdty</stp>
        <stp>ASK</stp>
        <stp>Fill=#N/A</stp>
        <tr r="N21" s="1"/>
      </tp>
      <tp>
        <v>0.5</v>
        <stp/>
        <stp>BDP|12905671912297692099|222</stp>
        <stp>QSF9QSG9 Comdty</stp>
        <stp>BID</stp>
        <stp>Fill=#N/A</stp>
        <tr r="P48" s="1"/>
      </tp>
      <tp>
        <v>0.48</v>
        <stp/>
        <stp>BDP|10414979254363604865|222</stp>
        <stp>COM9CON9 Comdty</stp>
        <stp>ASK</stp>
        <stp>Fill=#N/A</stp>
        <tr r="O53" s="1"/>
      </tp>
      <tp t="s">
        <v>#N/A</v>
        <stp/>
        <stp>BDP|13660373710830030685|222</stp>
        <stp>COK0COM0 Comdty</stp>
        <stp>ASK</stp>
        <stp>Fill=#N/A</stp>
        <tr r="O64" s="1"/>
      </tp>
      <tp>
        <v>2.5099999999999998</v>
        <stp/>
        <stp>BDP|13738886908939726622|222</stp>
        <stp>COF7COG7 Comdty</stp>
        <stp>ASK</stp>
        <stp>Fill=#N/A</stp>
        <tr r="O24" s="1"/>
      </tp>
    </main>
    <main first="esrtd">
      <tp t="s">
        <v/>
        <stp/>
        <stp>TDL 30!-IEU</stp>
        <stp>Block Price</stp>
        <tr r="K1842" s="5"/>
      </tp>
    </main>
    <main first="bofaddin.rtdserver">
      <tp>
        <v>0.13</v>
        <stp/>
        <stp>BDP|18007964303757614736|222</stp>
        <stp>COK9COM9 Comdty</stp>
        <stp>BID</stp>
        <stp>Fill=#N/A</stp>
        <tr r="O52" s="1"/>
      </tp>
    </main>
    <main first="ice.rtd">
      <tp t="s">
        <v/>
        <stp/>
        <stp>266419M24:LstBlkTime</stp>
        <tr r="M983" s="5"/>
      </tp>
      <tp t="s">
        <v/>
        <stp/>
        <stp>266419M20:LstBlkTime</stp>
        <tr r="M979" s="5"/>
      </tp>
      <tp t="s">
        <v/>
        <stp/>
        <stp>266419M21:LstBlkTime</stp>
        <tr r="M980" s="5"/>
      </tp>
      <tp t="s">
        <v/>
        <stp/>
        <stp>266419M22:LstBlkTime</stp>
        <tr r="M981" s="5"/>
      </tp>
      <tp t="s">
        <v/>
        <stp/>
        <stp>266419M23:LstBlkTime</stp>
        <tr r="M982" s="5"/>
      </tp>
    </main>
    <main first="bofaddin.rtdserver">
      <tp t="s">
        <v>#N/A N/A</v>
        <stp/>
        <stp>BDP|9145524057525158966|22</stp>
        <stp>XBZ8XBZ9 Comdty</stp>
        <stp>ASK</stp>
        <tr r="F4" s="3"/>
      </tp>
    </main>
    <main first="ice.rtd">
      <tp t="s">
        <v/>
        <stp/>
        <stp>266419M14:LstBlkTime</stp>
        <tr r="M973" s="5"/>
      </tp>
      <tp t="s">
        <v/>
        <stp/>
        <stp>266419M15:LstBlkTime</stp>
        <tr r="M974" s="5"/>
      </tp>
      <tp t="s">
        <v/>
        <stp/>
        <stp>266419M16:LstBlkTime</stp>
        <tr r="M975" s="5"/>
      </tp>
      <tp t="s">
        <v/>
        <stp/>
        <stp>266419M17:LstBlkTime</stp>
        <tr r="M976" s="5"/>
      </tp>
      <tp t="s">
        <v/>
        <stp/>
        <stp>266419M10:LstBlkTime</stp>
        <tr r="M969" s="5"/>
      </tp>
      <tp t="s">
        <v/>
        <stp/>
        <stp>266419M11:LstBlkTime</stp>
        <tr r="M970" s="5"/>
      </tp>
      <tp t="s">
        <v/>
        <stp/>
        <stp>266419M12:LstBlkTime</stp>
        <tr r="M971" s="5"/>
      </tp>
      <tp t="s">
        <v/>
        <stp/>
        <stp>266419M13:LstBlkTime</stp>
        <tr r="M972" s="5"/>
      </tp>
      <tp t="s">
        <v/>
        <stp/>
        <stp>266419M18:LstBlkTime</stp>
        <tr r="M977" s="5"/>
      </tp>
      <tp t="s">
        <v/>
        <stp/>
        <stp>266419M19:LstBlkTime</stp>
        <tr r="M978" s="5"/>
      </tp>
      <tp t="s">
        <v/>
        <stp/>
        <stp>2755828679Q5:LstBlkPrc</stp>
        <tr r="K1027" s="5"/>
      </tp>
      <tp t="s">
        <v/>
        <stp/>
        <stp>2755828679M5:LstBlkPrc</stp>
        <tr r="K1002" s="5"/>
      </tp>
      <tp t="s">
        <v/>
        <stp/>
        <stp>29243602M5:LstBlkPrc</stp>
        <tr r="K751" s="5"/>
      </tp>
      <tp t="s">
        <v/>
        <stp/>
        <stp>16331513M9:LstBlkPrc</stp>
        <tr r="K1424" s="5"/>
      </tp>
      <tp t="s">
        <v/>
        <stp/>
        <stp>16341514M9:LstBlkPrc</stp>
        <tr r="K1462" s="5"/>
      </tp>
      <tp t="s">
        <v/>
        <stp/>
        <stp>16351515M9:LstBlkPrc</stp>
        <tr r="K1500" s="5"/>
      </tp>
      <tp t="s">
        <v/>
        <stp/>
        <stp>1923422331M6:BstHitPrc</stp>
        <tr r="G1633" s="5"/>
      </tp>
      <tp>
        <v>-5.55</v>
        <stp/>
        <stp>1581618115M6:BstHitPrc</stp>
        <tr r="G465" s="5"/>
      </tp>
      <tp t="s">
        <v/>
        <stp/>
        <stp>18901687M4:LstBlkPrc</stp>
        <tr r="K311" s="5"/>
      </tp>
      <tp t="s">
        <v/>
        <stp/>
        <stp>18901687Q4:LstBlkPrc</stp>
        <tr r="K336" s="5"/>
      </tp>
      <tp t="s">
        <v/>
        <stp/>
        <stp>1986923076Y0:LstBlkPrc</stp>
        <tr r="K189" s="5"/>
      </tp>
      <tp t="s">
        <v/>
        <stp/>
        <stp>1986923076Q0:LstBlkPrc</stp>
        <tr r="K180" s="5"/>
      </tp>
      <tp t="s">
        <v/>
        <stp/>
        <stp>1986923076M0:LstBlkPrc</stp>
        <tr r="K155" s="5"/>
      </tp>
      <tp t="s">
        <v/>
        <stp/>
        <stp>18851683M4:LstBlkPrc</stp>
        <tr r="K197" s="5"/>
      </tp>
      <tp t="s">
        <v/>
        <stp/>
        <stp>18851683Q4:LstBlkPrc</stp>
        <tr r="K222" s="5"/>
      </tp>
      <tp t="s">
        <v/>
        <stp/>
        <stp>18871685M4:LstBlkPrc</stp>
        <tr r="K425" s="5"/>
      </tp>
      <tp t="s">
        <v/>
        <stp/>
        <stp>18871685Q4:LstBlkPrc</stp>
        <tr r="K450" s="5"/>
      </tp>
      <tp>
        <v>-49.5</v>
        <stp/>
        <stp>1986823075Y0:LstBlkPrc</stp>
        <tr r="K151" s="5"/>
      </tp>
      <tp>
        <v>-93.5</v>
        <stp/>
        <stp>1986823075Q0:LstBlkPrc</stp>
        <tr r="K142" s="5"/>
      </tp>
      <tp t="s">
        <v/>
        <stp/>
        <stp>1986823075M0:LstBlkPrc</stp>
        <tr r="K117" s="5"/>
      </tp>
      <tp t="s">
        <v/>
        <stp/>
        <stp>2323825599B0:BstHitPrc</stp>
        <tr r="G306" s="5"/>
      </tp>
      <tp t="s">
        <v/>
        <stp/>
        <stp>17551596T8:BstHitPrc</stp>
        <tr r="G1546" s="5"/>
        <tr r="G1545" s="5"/>
      </tp>
      <tp t="s">
        <v/>
        <stp/>
        <stp>2755728678M5:BstHitPrc</stp>
        <tr r="G1116" s="5"/>
      </tp>
      <tp t="s">
        <v/>
        <stp/>
        <stp>2755728678Q5:BstHitPrc</stp>
        <tr r="G1141" s="5"/>
      </tp>
      <tp t="s">
        <v/>
        <stp/>
        <stp>2044823525M7:LstBlkPrc</stp>
        <tr r="K1754" s="5"/>
      </tp>
      <tp>
        <v>8.5</v>
        <stp/>
        <stp>2323325594B0:LstBlkPrc</stp>
        <tr r="K958" s="5"/>
      </tp>
      <tp t="s">
        <v/>
        <stp/>
        <stp>32613992Q1:BstHitPrc</stp>
        <tr r="G1251" s="5"/>
      </tp>
      <tp t="s">
        <v/>
        <stp/>
        <stp>32613992Y1:BstHitPrc</stp>
        <tr r="G1260" s="5"/>
      </tp>
      <tp t="s">
        <v/>
        <stp/>
        <stp>32613992M1:BstHitPrc</stp>
        <tr r="G1226" s="5"/>
      </tp>
      <tp t="s">
        <v/>
        <stp/>
        <stp>32623993Q1:BstHitPrc</stp>
        <tr r="G2016" s="5"/>
      </tp>
      <tp t="s">
        <v/>
        <stp/>
        <stp>32623993Y1:BstHitPrc</stp>
        <tr r="G2025" s="5"/>
      </tp>
      <tp t="s">
        <v/>
        <stp/>
        <stp>32623993M1:BstHitPrc</stp>
        <tr r="G1991" s="5"/>
      </tp>
      <tp t="s">
        <v/>
        <stp/>
        <stp>3124331018M2:BstHitPrc</stp>
        <tr r="G1607" s="5"/>
      </tp>
      <tp t="s">
        <v/>
        <stp/>
        <stp>3124331018Q2:BstHitPrc</stp>
        <tr r="G1622" s="5"/>
      </tp>
      <tp t="s">
        <v/>
        <stp/>
        <stp>3126131030B0:BstHitPrc</stp>
        <tr r="G1746" s="5"/>
      </tp>
      <tp t="s">
        <v/>
        <stp/>
        <stp>2427126288Q3:LstBlkPrc</stp>
        <tr r="K1063" s="5"/>
      </tp>
      <tp>
        <v>6.15</v>
        <stp/>
        <stp>2427126288M3:LstBlkPrc</stp>
        <tr r="K1038" s="5"/>
      </tp>
      <tp t="s">
        <v/>
        <stp/>
        <stp>41767893Q3:BstHitPrc</stp>
        <tr r="G508" s="5"/>
      </tp>
      <tp t="s">
        <v/>
        <stp/>
        <stp>41767893M3:BstHitPrc</stp>
        <tr r="G483" s="5"/>
      </tp>
      <tp t="s">
        <v/>
        <stp/>
        <stp>41787896Q3:BstHitPrc</stp>
        <tr r="G835" s="5"/>
      </tp>
      <tp t="s">
        <v/>
        <stp/>
        <stp>41787896M3:BstHitPrc</stp>
        <tr r="G810" s="5"/>
      </tp>
      <tp t="s">
        <v/>
        <stp/>
        <stp>2427026287Q3:LstBlkPrc</stp>
        <tr r="K1177" s="5"/>
      </tp>
      <tp t="s">
        <v/>
        <stp/>
        <stp>2427026287M3:LstBlkPrc</stp>
        <tr r="K1152" s="5"/>
      </tp>
      <tp>
        <v>9.8000000000000007</v>
        <stp/>
        <stp>18901687Q4:BstHitPrc</stp>
        <tr r="G336" s="5"/>
      </tp>
      <tp>
        <v>18.55</v>
        <stp/>
        <stp>18901687M4:BstHitPrc</stp>
        <tr r="G311" s="5"/>
      </tp>
      <tp>
        <v>-6</v>
        <stp/>
        <stp>1986923076M0:BstHitPrc</stp>
        <tr r="G155" s="5"/>
      </tp>
      <tp>
        <v>-0.9</v>
        <stp/>
        <stp>1986923076Q0:BstHitPrc</stp>
        <tr r="G180" s="5"/>
      </tp>
      <tp t="s">
        <v/>
        <stp/>
        <stp>1986923076Y0:BstHitPrc</stp>
        <tr r="G189" s="5"/>
      </tp>
      <tp>
        <v>-11.58</v>
        <stp/>
        <stp>18851683Q4:BstHitPrc</stp>
        <tr r="G222" s="5"/>
      </tp>
      <tp>
        <v>-8.23</v>
        <stp/>
        <stp>18851683M4:BstHitPrc</stp>
        <tr r="G197" s="5"/>
      </tp>
      <tp>
        <v>-1.25</v>
        <stp/>
        <stp>18871685Q4:BstHitPrc</stp>
        <tr r="G450" s="5"/>
      </tp>
      <tp>
        <v>20.5</v>
        <stp/>
        <stp>18871685M4:BstHitPrc</stp>
        <tr r="G425" s="5"/>
      </tp>
      <tp t="s">
        <v/>
        <stp/>
        <stp>1986823075M0:BstHitPrc</stp>
        <tr r="G117" s="5"/>
      </tp>
      <tp t="s">
        <v/>
        <stp/>
        <stp>1986823075Q0:BstHitPrc</stp>
        <tr r="G142" s="5"/>
      </tp>
      <tp t="s">
        <v/>
        <stp/>
        <stp>1986823075Y0:BstHitPrc</stp>
        <tr r="G151" s="5"/>
      </tp>
      <tp t="s">
        <v/>
        <stp/>
        <stp>2755828679M5:BstHitPrc</stp>
        <tr r="G1002" s="5"/>
      </tp>
      <tp t="s">
        <v/>
        <stp/>
        <stp>2755828679Q5:BstHitPrc</stp>
        <tr r="G1027" s="5"/>
      </tp>
      <tp t="s">
        <v/>
        <stp/>
        <stp>29243602M5:BstHitPrc</stp>
        <tr r="G751" s="5"/>
      </tp>
      <tp t="s">
        <v/>
        <stp/>
        <stp>16331513M9:BstHitPrc</stp>
        <tr r="G1424" s="5"/>
      </tp>
      <tp t="s">
        <v/>
        <stp/>
        <stp>16341514M9:BstHitPrc</stp>
        <tr r="G1462" s="5"/>
      </tp>
      <tp t="s">
        <v/>
        <stp/>
        <stp>16351515M9:BstHitPrc</stp>
        <tr r="G1500" s="5"/>
      </tp>
      <tp t="s">
        <v/>
        <stp/>
        <stp>1581618115M6:LstBlkPrc</stp>
        <tr r="K465" s="5"/>
      </tp>
      <tp t="s">
        <v/>
        <stp/>
        <stp>1923422331M6:LstBlkPrc</stp>
        <tr r="K1633" s="5"/>
      </tp>
      <tp>
        <v>173</v>
        <stp/>
        <stp>32623993M1:LstBlkPrc</stp>
        <tr r="K1991" s="5"/>
      </tp>
      <tp t="s">
        <v/>
        <stp/>
        <stp>32623993Y1:LstBlkPrc</stp>
        <tr r="K2025" s="5"/>
      </tp>
      <tp t="s">
        <v/>
        <stp/>
        <stp>32623993Q1:LstBlkPrc</stp>
        <tr r="K2016" s="5"/>
      </tp>
      <tp t="s">
        <v/>
        <stp/>
        <stp>32613992M1:LstBlkPrc</stp>
        <tr r="K1226" s="5"/>
      </tp>
      <tp t="s">
        <v/>
        <stp/>
        <stp>32613992Y1:LstBlkPrc</stp>
        <tr r="K1260" s="5"/>
      </tp>
      <tp t="s">
        <v/>
        <stp/>
        <stp>32613992Q1:LstBlkPrc</stp>
        <tr r="K1251" s="5"/>
      </tp>
      <tp t="s">
        <v/>
        <stp/>
        <stp>3126131030B0:LstBlkPrc</stp>
        <tr r="K1746" s="5"/>
      </tp>
      <tp t="s">
        <v/>
        <stp/>
        <stp>2427126288M3:BstHitPrc</stp>
        <tr r="G1038" s="5"/>
      </tp>
      <tp t="s">
        <v/>
        <stp/>
        <stp>2427126288Q3:BstHitPrc</stp>
        <tr r="G1063" s="5"/>
      </tp>
      <tp t="s">
        <v/>
        <stp/>
        <stp>3124331018Q2:LstBlkPrc</stp>
        <tr r="K1622" s="5"/>
      </tp>
      <tp t="s">
        <v/>
        <stp/>
        <stp>3124331018M2:LstBlkPrc</stp>
        <tr r="K1607" s="5"/>
      </tp>
      <tp t="s">
        <v/>
        <stp/>
        <stp>41787896M3:LstBlkPrc</stp>
        <tr r="K810" s="5"/>
      </tp>
      <tp t="s">
        <v/>
        <stp/>
        <stp>41787896Q3:LstBlkPrc</stp>
        <tr r="K835" s="5"/>
      </tp>
      <tp>
        <v>3.5</v>
        <stp/>
        <stp>41767893M3:LstBlkPrc</stp>
        <tr r="K483" s="5"/>
      </tp>
      <tp t="s">
        <v/>
        <stp/>
        <stp>41767893Q3:LstBlkPrc</stp>
        <tr r="K508" s="5"/>
      </tp>
      <tp t="s">
        <v/>
        <stp/>
        <stp>2427026287M3:BstHitPrc</stp>
        <tr r="G1152" s="5"/>
      </tp>
      <tp t="s">
        <v/>
        <stp/>
        <stp>2427026287Q3:BstHitPrc</stp>
        <tr r="G1177" s="5"/>
      </tp>
      <tp t="s">
        <v/>
        <stp/>
        <stp>2323825599B0:LstBlkPrc</stp>
        <tr r="K306" s="5"/>
      </tp>
      <tp t="s">
        <v/>
        <stp/>
        <stp>17551596T8:LstBlkPrc</stp>
        <tr r="K1546" s="5"/>
        <tr r="K1545" s="5"/>
      </tp>
      <tp t="s">
        <v/>
        <stp/>
        <stp>2323325594B0:BstHitPrc</stp>
        <tr r="G958" s="5"/>
      </tp>
      <tp t="s">
        <v/>
        <stp/>
        <stp>2044823525M7:BstHitPrc</stp>
        <tr r="G1754" s="5"/>
      </tp>
      <tp t="s">
        <v/>
        <stp/>
        <stp>2755728678Q5:LstBlkPrc</stp>
        <tr r="K1141" s="5"/>
      </tp>
      <tp t="s">
        <v/>
        <stp/>
        <stp>2755728678M5:LstBlkPrc</stp>
        <tr r="K1116" s="5"/>
      </tp>
    </main>
    <main first="bofaddin.rtdserver">
      <tp>
        <v>81.400000000000006</v>
        <stp/>
        <stp>BDP|972980276090054131|222</stp>
        <stp>COK7 Comdty</stp>
        <stp>ASK</stp>
        <stp>Fill=#N/A</stp>
        <tr r="G27" s="1"/>
      </tp>
    </main>
    <main first="ice.rtd">
      <tp t="s">
        <v/>
        <stp/>
        <stp>41767893M5:LstBlkVol</stp>
        <tr r="L485" s="5"/>
      </tp>
      <tp t="s">
        <v/>
        <stp/>
        <stp>41767893Q5:LstBlkVol</stp>
        <tr r="L510" s="5"/>
      </tp>
      <tp t="s">
        <v/>
        <stp/>
        <stp>41787896M5:LstBlkVol</stp>
        <tr r="L812" s="5"/>
      </tp>
      <tp t="s">
        <v/>
        <stp/>
        <stp>41787896Q5:LstBlkVol</stp>
        <tr r="L837" s="5"/>
      </tp>
      <tp t="s">
        <v/>
        <stp/>
        <stp>32613992M7:LstBlkVol</stp>
        <tr r="L1232" s="5"/>
      </tp>
      <tp t="s">
        <v/>
        <stp/>
        <stp>32613992Q7:LstBlkVol</stp>
        <tr r="L1257" s="5"/>
      </tp>
      <tp t="s">
        <v/>
        <stp/>
        <stp>32623993M7:LstBlkVol</stp>
        <tr r="L1997" s="5"/>
      </tp>
      <tp t="s">
        <v/>
        <stp/>
        <stp>32623993Q7:LstBlkVol</stp>
        <tr r="L2022" s="5"/>
      </tp>
      <tp t="s">
        <v/>
        <stp/>
        <stp>3124331018M4:LstBlkVol</stp>
        <tr r="L1609" s="5"/>
      </tp>
      <tp t="s">
        <v/>
        <stp/>
        <stp>2755728678Q3:LstBlkVol</stp>
        <tr r="L1139" s="5"/>
      </tp>
      <tp t="s">
        <v/>
        <stp/>
        <stp>2755728678M3:LstBlkVol</stp>
        <tr r="L1114" s="5"/>
      </tp>
      <tp>
        <v>40</v>
        <stp/>
        <stp>2326225623B0:LstBlkVol</stp>
        <tr r="L1300" s="5"/>
      </tp>
      <tp t="s">
        <v/>
        <stp/>
        <stp>34404098M8:LstBlkVol</stp>
        <tr r="L602" s="5"/>
      </tp>
      <tp t="s">
        <v/>
        <stp/>
        <stp>34414099M8:LstBlkVol</stp>
        <tr r="L87" s="5"/>
      </tp>
      <tp t="s">
        <v/>
        <stp/>
        <stp>34404098Q8:LstBlkVol</stp>
        <tr r="L627" s="5"/>
      </tp>
      <tp t="s">
        <v/>
        <stp/>
        <stp>34414099Q8:LstBlkVol</stp>
        <tr r="L112" s="5"/>
      </tp>
      <tp t="s">
        <v/>
        <stp/>
        <stp>2326325624B0:LstBlkVol</stp>
        <tr r="L806" s="5"/>
      </tp>
      <tp t="s">
        <v/>
        <stp/>
        <stp>34364094M8:LstBlkVol</stp>
        <tr r="L526" s="5"/>
      </tp>
      <tp t="s">
        <v/>
        <stp/>
        <stp>34374095M8:LstBlkVol</stp>
        <tr r="L564" s="5"/>
      </tp>
      <tp t="s">
        <v/>
        <stp/>
        <stp>34364094Q8:LstBlkVol</stp>
        <tr r="L551" s="5"/>
      </tp>
      <tp t="s">
        <v/>
        <stp/>
        <stp>34374095Q8:LstBlkVol</stp>
        <tr r="L589" s="5"/>
      </tp>
      <tp t="s">
        <v/>
        <stp/>
        <stp>34344092M8:LstBlkVol</stp>
        <tr r="L1271" s="5"/>
      </tp>
      <tp t="s">
        <v/>
        <stp/>
        <stp>34354093M8:LstBlkVol</stp>
        <tr r="L1309" s="5"/>
      </tp>
      <tp t="s">
        <v/>
        <stp/>
        <stp>34344092Q8:LstBlkVol</stp>
        <tr r="L1296" s="5"/>
      </tp>
      <tp t="s">
        <v/>
        <stp/>
        <stp>34354093Q8:LstBlkVol</stp>
        <tr r="L1334" s="5"/>
      </tp>
      <tp t="s">
        <v/>
        <stp/>
        <stp>2326425625B0:LstBlkVol</stp>
        <tr r="L1262" s="5"/>
      </tp>
      <tp>
        <v>20</v>
        <stp/>
        <stp>2326525626B0:LstBlkVol</stp>
        <tr r="L420" s="5"/>
      </tp>
      <tp t="s">
        <v/>
        <stp/>
        <stp>1923422331Q0:LstBlkVol</stp>
        <tr r="L1642" s="5"/>
      </tp>
      <tp t="s">
        <v/>
        <stp/>
        <stp>1923422331Y0:LstBlkVol</stp>
        <tr r="L1646" s="5"/>
      </tp>
      <tp t="s">
        <v/>
        <stp/>
        <stp>1923422331M0:LstBlkVol</stp>
        <tr r="L1627" s="5"/>
      </tp>
      <tp t="s">
        <v/>
        <stp/>
        <stp>1581618115Q0:LstBlkVol</stp>
        <tr r="L474" s="5"/>
      </tp>
      <tp t="s">
        <v/>
        <stp/>
        <stp>1581618115Y0:LstBlkVol</stp>
        <tr r="L478" s="5"/>
      </tp>
      <tp t="s">
        <v>Invalid Market: 1581618115B0</v>
        <stp/>
        <stp>1581618115B0:LstBlkVol</stp>
        <tr r="L458" s="5"/>
      </tp>
      <tp t="s">
        <v/>
        <stp/>
        <stp>1581618115M0:LstBlkVol</stp>
        <tr r="L459" s="5"/>
      </tp>
    </main>
    <main first="bofaddin.rtdserver">
      <tp>
        <v>402.7</v>
        <stp/>
        <stp>BDP|804869976335034026|222</stp>
        <stp>HOG7 Comdty</stp>
        <stp>ASK</stp>
        <stp>Fill=#N/A</stp>
        <tr r="I24" s="1"/>
      </tp>
    </main>
    <main first="ice.rtd">
      <tp t="s">
        <v/>
        <stp/>
        <stp>2326725628B0:LstBlkVol</stp>
        <tr r="L344" s="5"/>
      </tp>
      <tp t="s">
        <v/>
        <stp/>
        <stp>2044823525Q1:LstBlkVol</stp>
        <tr r="L1771" s="5"/>
      </tp>
      <tp t="s">
        <v/>
        <stp/>
        <stp>2044823525M1:LstBlkVol</stp>
        <tr r="L1748" s="5"/>
      </tp>
      <tp t="s">
        <v/>
        <stp/>
        <stp>1840020882M16:BstLiftPrc</stp>
        <tr r="H1598" s="5"/>
      </tp>
      <tp t="s">
        <v/>
        <stp/>
        <stp>1840020882M14:BstLiftPrc</stp>
        <tr r="H1596" s="5"/>
      </tp>
      <tp t="s">
        <v/>
        <stp/>
        <stp>1840020882M15:BstLiftPrc</stp>
        <tr r="H1597" s="5"/>
      </tp>
      <tp t="s">
        <v/>
        <stp/>
        <stp>1840020882M12:BstLiftPrc</stp>
        <tr r="H1594" s="5"/>
      </tp>
      <tp t="s">
        <v/>
        <stp/>
        <stp>1840020882M13:BstLiftPrc</stp>
        <tr r="H1595" s="5"/>
      </tp>
      <tp t="s">
        <v/>
        <stp/>
        <stp>1840020882M10:BstLiftPrc</stp>
        <tr r="H1592" s="5"/>
      </tp>
      <tp t="s">
        <v/>
        <stp/>
        <stp>1840020882M11:BstLiftPrc</stp>
        <tr r="H1593" s="5"/>
      </tp>
      <tp t="s">
        <v/>
        <stp/>
        <stp>1840020882M8:LstBlkVol</stp>
        <tr r="L1590" s="5"/>
      </tp>
      <tp t="s">
        <v/>
        <stp/>
        <stp>2427026287Q5:LstBlkVol</stp>
        <tr r="L1179" s="5"/>
      </tp>
      <tp t="s">
        <v/>
        <stp/>
        <stp>2427026287M5:LstBlkVol</stp>
        <tr r="L1154" s="5"/>
      </tp>
      <tp t="s">
        <v/>
        <stp/>
        <stp>2427126288Q5:LstBlkVol</stp>
        <tr r="L1065" s="5"/>
      </tp>
      <tp t="s">
        <v/>
        <stp/>
        <stp>2427126288M5:LstBlkVol</stp>
        <tr r="L1040" s="5"/>
      </tp>
      <tp t="s">
        <v/>
        <stp/>
        <stp>29243602M3:LstBlkVol</stp>
        <tr r="L749" s="5"/>
      </tp>
      <tp t="s">
        <v/>
        <stp/>
        <stp>29243602Q3:LstBlkVol</stp>
        <tr r="L765" s="5"/>
      </tp>
      <tp t="s">
        <v/>
        <stp/>
        <stp>2755828679Q3:LstBlkVol</stp>
        <tr r="L1025" s="5"/>
      </tp>
      <tp>
        <v>5</v>
        <stp/>
        <stp>2755828679M3:LstBlkVol</stp>
        <tr r="L1000" s="5"/>
      </tp>
      <tp>
        <v>5</v>
        <stp/>
        <stp>18871685M2:LstBlkVol</stp>
        <tr r="L423" s="5"/>
      </tp>
      <tp t="s">
        <v>Invalid Market: 18871685Y2</v>
        <stp/>
        <stp>18871685Y2:LstBlkVol</stp>
        <tr r="L457" s="5"/>
      </tp>
      <tp>
        <v>5</v>
        <stp/>
        <stp>18871685Q2:LstBlkVol</stp>
        <tr r="L448" s="5"/>
      </tp>
      <tp t="s">
        <v/>
        <stp/>
        <stp>18851683M2:LstBlkVol</stp>
        <tr r="L195" s="5"/>
      </tp>
      <tp t="s">
        <v/>
        <stp/>
        <stp>18851683Y2:LstBlkVol</stp>
        <tr r="L229" s="5"/>
      </tp>
      <tp t="s">
        <v/>
        <stp/>
        <stp>18851683Q2:LstBlkVol</stp>
        <tr r="L220" s="5"/>
      </tp>
      <tp t="s">
        <v/>
        <stp/>
        <stp>1986823075Q6:LstBlkVol</stp>
        <tr r="L148" s="5"/>
      </tp>
      <tp t="s">
        <v/>
        <stp/>
        <stp>1986823075M6:LstBlkVol</stp>
        <tr r="L123" s="5"/>
      </tp>
      <tp t="s">
        <v/>
        <stp/>
        <stp>35534143M8:LstBlkVol</stp>
        <tr r="L716" s="5"/>
      </tp>
      <tp t="s">
        <v/>
        <stp/>
        <stp>35544144M8:LstBlkVol</stp>
        <tr r="L640" s="5"/>
      </tp>
      <tp t="s">
        <v/>
        <stp/>
        <stp>35554145M8:LstBlkVol</stp>
        <tr r="L678" s="5"/>
      </tp>
      <tp t="s">
        <v/>
        <stp/>
        <stp>35534143Q8:LstBlkVol</stp>
        <tr r="L741" s="5"/>
      </tp>
      <tp t="s">
        <v/>
        <stp/>
        <stp>35544144Q8:LstBlkVol</stp>
        <tr r="L665" s="5"/>
      </tp>
      <tp t="s">
        <v/>
        <stp/>
        <stp>35554145Q8:LstBlkVol</stp>
        <tr r="L703" s="5"/>
      </tp>
      <tp t="s">
        <v/>
        <stp/>
        <stp>18901687M2:LstBlkVol</stp>
        <tr r="L309" s="5"/>
      </tp>
      <tp t="s">
        <v>Invalid Market: 18901687Y2</v>
        <stp/>
        <stp>18901687Y2:LstBlkVol</stp>
        <tr r="L343" s="5"/>
      </tp>
      <tp t="s">
        <v/>
        <stp/>
        <stp>18901687Q2:LstBlkVol</stp>
        <tr r="L334" s="5"/>
      </tp>
      <tp t="s">
        <v/>
        <stp/>
        <stp>1986923076Q6:LstBlkVol</stp>
        <tr r="L186" s="5"/>
      </tp>
      <tp t="s">
        <v/>
        <stp/>
        <stp>1986923076M6:LstBlkVol</stp>
        <tr r="L161" s="5"/>
      </tp>
    </main>
    <main first="esrtd">
      <tp t="s">
        <v/>
        <stp/>
        <stp>TDL 23!-IEU</stp>
        <stp>Ask</stp>
        <tr r="H1835" s="5"/>
      </tp>
      <tp t="s">
        <v/>
        <stp/>
        <stp>WDF 13!-IEU</stp>
        <stp>Ask</stp>
        <tr r="H1790" s="5"/>
      </tp>
      <tp t="s">
        <v/>
        <stp/>
        <stp>WNS 19!-IEU</stp>
        <stp>Ask</stp>
        <tr r="H1866" s="5"/>
      </tp>
      <tp t="s">
        <v/>
        <stp/>
        <stp>TDL 22!-IEU</stp>
        <stp>Ask</stp>
        <tr r="H1834" s="5"/>
      </tp>
      <tp t="s">
        <v/>
        <stp/>
        <stp>WDF 12!-IEU</stp>
        <stp>Ask</stp>
        <tr r="H1789" s="5"/>
      </tp>
      <tp t="s">
        <v/>
        <stp/>
        <stp>WNS 18!-IEU</stp>
        <stp>Ask</stp>
        <tr r="H1865" s="5"/>
      </tp>
    </main>
    <main first="bofaddin.rtdserver">
      <tp t="s">
        <v>#N/A Real Time</v>
        <stp/>
        <stp>BDP|14675058549361143532|22</stp>
        <stp>COV6C 110.00 Comdty</stp>
        <stp>DELTA_MID_RT</stp>
        <tr r="C72" s="23"/>
        <tr r="C81" s="23"/>
        <tr r="C51" s="23"/>
        <tr r="C11" s="23"/>
        <tr r="C53" s="23"/>
      </tp>
    </main>
    <main first="esrtd">
      <tp t="s">
        <v/>
        <stp/>
        <stp>TDL 21!-IEU</stp>
        <stp>Ask</stp>
        <tr r="H1833" s="5"/>
      </tp>
      <tp t="s">
        <v/>
        <stp/>
        <stp>WMJ 18!-IEU</stp>
        <stp>Ask</stp>
        <tr r="H1900" s="5"/>
      </tp>
      <tp t="s">
        <v/>
        <stp/>
        <stp>WDF 11!-IEU</stp>
        <stp>Ask</stp>
        <tr r="H1788" s="5"/>
      </tp>
      <tp t="s">
        <v/>
        <stp/>
        <stp>TDL 20!-IEU</stp>
        <stp>Ask</stp>
        <tr r="H1832" s="5"/>
      </tp>
      <tp t="s">
        <v/>
        <stp/>
        <stp>WMJ 19!-IEU</stp>
        <stp>Ask</stp>
        <tr r="H1901" s="5"/>
      </tp>
      <tp t="s">
        <v/>
        <stp/>
        <stp>WDF 10!-IEU</stp>
        <stp>Ask</stp>
        <tr r="H1787" s="5"/>
      </tp>
      <tp t="s">
        <v/>
        <stp/>
        <stp>TDL 27!-IEU</stp>
        <stp>Ask</stp>
        <tr r="H1839" s="5"/>
      </tp>
      <tp t="s">
        <v/>
        <stp/>
        <stp>WDF 17!-IEU</stp>
        <stp>Ask</stp>
        <tr r="H1794" s="5"/>
      </tp>
      <tp t="s">
        <v/>
        <stp/>
        <stp>TDL 26!-IEU</stp>
        <stp>Ask</stp>
        <tr r="H1838" s="5"/>
      </tp>
      <tp t="s">
        <v/>
        <stp/>
        <stp>WDF 16!-IEU</stp>
        <stp>Ask</stp>
        <tr r="H1793" s="5"/>
      </tp>
      <tp t="s">
        <v/>
        <stp/>
        <stp>TDL 25!-IEU</stp>
        <stp>Ask</stp>
        <tr r="H1837" s="5"/>
      </tp>
      <tp t="s">
        <v/>
        <stp/>
        <stp>WHK 19!-IEU</stp>
        <stp>Ask</stp>
        <tr r="H1936" s="5"/>
      </tp>
      <tp t="s">
        <v/>
        <stp/>
        <stp>WDF 15!-IEU</stp>
        <stp>Ask</stp>
        <tr r="H1792" s="5"/>
      </tp>
      <tp t="s">
        <v/>
        <stp/>
        <stp>TDL 24!-IEU</stp>
        <stp>Ask</stp>
        <tr r="H1836" s="5"/>
      </tp>
      <tp t="s">
        <v/>
        <stp/>
        <stp>WHK 18!-IEU</stp>
        <stp>Ask</stp>
        <tr r="H1935" s="5"/>
      </tp>
      <tp t="s">
        <v/>
        <stp/>
        <stp>WDF 14!-IEU</stp>
        <stp>Ask</stp>
        <tr r="H1791" s="5"/>
      </tp>
      <tp t="s">
        <v/>
        <stp/>
        <stp>WMJ 12!-IEU</stp>
        <stp>Ask</stp>
        <tr r="H1894" s="5"/>
      </tp>
      <tp t="s">
        <v/>
        <stp/>
        <stp>WHK 17!-IEU</stp>
        <stp>Ask</stp>
        <tr r="H1934" s="5"/>
      </tp>
      <tp t="s">
        <v/>
        <stp/>
        <stp>WNS 11!-IEU</stp>
        <stp>Ask</stp>
        <tr r="H1858" s="5"/>
      </tp>
      <tp t="s">
        <v/>
        <stp/>
        <stp>WMJ 13!-IEU</stp>
        <stp>Ask</stp>
        <tr r="H1895" s="5"/>
      </tp>
      <tp t="s">
        <v/>
        <stp/>
        <stp>WHK 16!-IEU</stp>
        <stp>Ask</stp>
        <tr r="H1933" s="5"/>
      </tp>
      <tp t="s">
        <v/>
        <stp/>
        <stp>WNS 10!-IEU</stp>
        <stp>Ask</stp>
        <tr r="H1857" s="5"/>
      </tp>
      <tp t="s">
        <v/>
        <stp/>
        <stp>TDL 29!-IEU</stp>
        <stp>Ask</stp>
        <tr r="H1841" s="5"/>
      </tp>
      <tp t="s">
        <v/>
        <stp/>
        <stp>WMJ 10!-IEU</stp>
        <stp>Ask</stp>
        <tr r="H1892" s="5"/>
      </tp>
      <tp t="s">
        <v/>
        <stp/>
        <stp>WHK 15!-IEU</stp>
        <stp>Ask</stp>
        <tr r="H1932" s="5"/>
      </tp>
      <tp t="s">
        <v/>
        <stp/>
        <stp>WDF 19!-IEU</stp>
        <stp>Ask</stp>
        <tr r="H1796" s="5"/>
      </tp>
      <tp t="s">
        <v/>
        <stp/>
        <stp>WNS 13!-IEU</stp>
        <stp>Ask</stp>
        <tr r="H1860" s="5"/>
      </tp>
      <tp t="s">
        <v/>
        <stp/>
        <stp>TDL 28!-IEU</stp>
        <stp>Ask</stp>
        <tr r="H1840" s="5"/>
      </tp>
      <tp t="s">
        <v/>
        <stp/>
        <stp>WMJ 11!-IEU</stp>
        <stp>Ask</stp>
        <tr r="H1893" s="5"/>
      </tp>
      <tp t="s">
        <v/>
        <stp/>
        <stp>WHK 14!-IEU</stp>
        <stp>Ask</stp>
        <tr r="H1931" s="5"/>
      </tp>
      <tp t="s">
        <v/>
        <stp/>
        <stp>WDF 18!-IEU</stp>
        <stp>Ask</stp>
        <tr r="H1795" s="5"/>
      </tp>
      <tp t="s">
        <v/>
        <stp/>
        <stp>WNS 12!-IEU</stp>
        <stp>Ask</stp>
        <tr r="H1859" s="5"/>
      </tp>
      <tp t="s">
        <v/>
        <stp/>
        <stp>WMJ 16!-IEU</stp>
        <stp>Ask</stp>
        <tr r="H1898" s="5"/>
      </tp>
      <tp t="s">
        <v/>
        <stp/>
        <stp>WHK 13!-IEU</stp>
        <stp>Ask</stp>
        <tr r="H1930" s="5"/>
      </tp>
      <tp t="s">
        <v/>
        <stp/>
        <stp>WNS 15!-IEU</stp>
        <stp>Ask</stp>
        <tr r="H1862" s="5"/>
      </tp>
    </main>
    <main first="ice.rtd">
      <tp t="s">
        <v/>
        <stp/>
        <stp>15061297MM11:LstBlkVol</stp>
        <tr r="L1694" s="5"/>
      </tp>
      <tp t="s">
        <v/>
        <stp/>
        <stp>15061297MM21:LstBlkVol</stp>
        <tr r="L1704" s="5"/>
      </tp>
    </main>
    <main first="esrtd">
      <tp t="s">
        <v/>
        <stp/>
        <stp>WMJ 17!-IEU</stp>
        <stp>Ask</stp>
        <tr r="H1899" s="5"/>
      </tp>
      <tp t="s">
        <v/>
        <stp/>
        <stp>WHK 12!-IEU</stp>
        <stp>Ask</stp>
        <tr r="H1929" s="5"/>
      </tp>
      <tp t="s">
        <v/>
        <stp/>
        <stp>WNS 14!-IEU</stp>
        <stp>Ask</stp>
        <tr r="H1861" s="5"/>
      </tp>
      <tp t="s">
        <v/>
        <stp/>
        <stp>WMJ 14!-IEU</stp>
        <stp>Ask</stp>
        <tr r="H1896" s="5"/>
      </tp>
      <tp t="s">
        <v/>
        <stp/>
        <stp>WHK 11!-IEU</stp>
        <stp>Ask</stp>
        <tr r="H1928" s="5"/>
      </tp>
      <tp t="s">
        <v/>
        <stp/>
        <stp>WNS 17!-IEU</stp>
        <stp>Ask</stp>
        <tr r="H1864" s="5"/>
      </tp>
      <tp t="s">
        <v/>
        <stp/>
        <stp>WMJ 15!-IEU</stp>
        <stp>Ask</stp>
        <tr r="H1897" s="5"/>
      </tp>
      <tp t="s">
        <v/>
        <stp/>
        <stp>WHK 10!-IEU</stp>
        <stp>Ask</stp>
        <tr r="H1927" s="5"/>
      </tp>
      <tp t="s">
        <v/>
        <stp/>
        <stp>WNS 16!-IEU</stp>
        <stp>Ask</stp>
        <tr r="H1863" s="5"/>
      </tp>
    </main>
    <main first="ice.rtd">
      <tp t="s">
        <v/>
        <stp/>
        <stp>15061297MM17:LstBlkPrc</stp>
        <tr r="K1700" s="5"/>
      </tp>
      <tp t="s">
        <v/>
        <stp/>
        <stp>15061297MM27:LstBlkPrc</stp>
        <tr r="K1710" s="5"/>
      </tp>
    </main>
    <main first="esrtd">
      <tp t="s">
        <v/>
        <stp/>
        <stp>WDF 29!-IEU</stp>
        <stp>Bid</stp>
        <tr r="G1806" s="5"/>
      </tp>
      <tp t="s">
        <v/>
        <stp/>
        <stp>WHK 25!-IEU</stp>
        <stp>Bid</stp>
        <tr r="G1942" s="5"/>
      </tp>
      <tp t="s">
        <v/>
        <stp/>
        <stp>WMJ 20!-IEU</stp>
        <stp>Bid</stp>
        <tr r="G1902" s="5"/>
      </tp>
      <tp t="s">
        <v/>
        <stp/>
        <stp>TDL 19!-IEU</stp>
        <stp>Bid</stp>
        <tr r="G1831" s="5"/>
      </tp>
      <tp t="s">
        <v/>
        <stp/>
        <stp>WNS 23!-IEU</stp>
        <stp>Bid</stp>
        <tr r="G1870" s="5"/>
      </tp>
      <tp t="s">
        <v/>
        <stp/>
        <stp>WMJ 30!-IEU</stp>
        <stp>Recent Settlement</stp>
        <tr r="U1912" s="5"/>
      </tp>
      <tp t="s">
        <v/>
        <stp/>
        <stp>WMJ 21!-IEU</stp>
        <stp>Recent Settlement</stp>
        <tr r="U1903" s="5"/>
      </tp>
      <tp t="s">
        <v/>
        <stp/>
        <stp>WMJ 20!-IEU</stp>
        <stp>Recent Settlement</stp>
        <tr r="U1902" s="5"/>
      </tp>
      <tp t="s">
        <v/>
        <stp/>
        <stp>WMJ 23!-IEU</stp>
        <stp>Recent Settlement</stp>
        <tr r="U1905" s="5"/>
      </tp>
      <tp t="s">
        <v/>
        <stp/>
        <stp>WMJ 22!-IEU</stp>
        <stp>Recent Settlement</stp>
        <tr r="U1904" s="5"/>
      </tp>
      <tp t="s">
        <v/>
        <stp/>
        <stp>WMJ 25!-IEU</stp>
        <stp>Recent Settlement</stp>
        <tr r="U1907" s="5"/>
      </tp>
      <tp t="s">
        <v/>
        <stp/>
        <stp>WMJ 24!-IEU</stp>
        <stp>Recent Settlement</stp>
        <tr r="U1906" s="5"/>
      </tp>
      <tp t="s">
        <v/>
        <stp/>
        <stp>WMJ 27!-IEU</stp>
        <stp>Recent Settlement</stp>
        <tr r="U1909" s="5"/>
      </tp>
      <tp t="s">
        <v/>
        <stp/>
        <stp>WMJ 26!-IEU</stp>
        <stp>Recent Settlement</stp>
        <tr r="U1908" s="5"/>
      </tp>
      <tp t="s">
        <v/>
        <stp/>
        <stp>WMJ 29!-IEU</stp>
        <stp>Recent Settlement</stp>
        <tr r="U1911" s="5"/>
      </tp>
      <tp t="s">
        <v/>
        <stp/>
        <stp>WMJ 28!-IEU</stp>
        <stp>Recent Settlement</stp>
        <tr r="U1910" s="5"/>
      </tp>
      <tp t="s">
        <v/>
        <stp/>
        <stp>WMJ 11!-IEU</stp>
        <stp>Recent Settlement</stp>
        <tr r="U1893" s="5"/>
      </tp>
      <tp t="s">
        <v/>
        <stp/>
        <stp>WMJ 10!-IEU</stp>
        <stp>Recent Settlement</stp>
        <tr r="U1892" s="5"/>
      </tp>
      <tp t="s">
        <v/>
        <stp/>
        <stp>WMJ 13!-IEU</stp>
        <stp>Recent Settlement</stp>
        <tr r="U1895" s="5"/>
      </tp>
      <tp t="s">
        <v/>
        <stp/>
        <stp>WMJ 12!-IEU</stp>
        <stp>Recent Settlement</stp>
        <tr r="U1894" s="5"/>
      </tp>
      <tp t="s">
        <v/>
        <stp/>
        <stp>WMJ 15!-IEU</stp>
        <stp>Recent Settlement</stp>
        <tr r="U1897" s="5"/>
      </tp>
      <tp t="s">
        <v/>
        <stp/>
        <stp>WMJ 14!-IEU</stp>
        <stp>Recent Settlement</stp>
        <tr r="U1896" s="5"/>
      </tp>
      <tp t="s">
        <v/>
        <stp/>
        <stp>WMJ 17!-IEU</stp>
        <stp>Recent Settlement</stp>
        <tr r="U1899" s="5"/>
      </tp>
      <tp t="s">
        <v/>
        <stp/>
        <stp>WMJ 16!-IEU</stp>
        <stp>Recent Settlement</stp>
        <tr r="U1898" s="5"/>
      </tp>
      <tp t="s">
        <v/>
        <stp/>
        <stp>WMJ 19!-IEU</stp>
        <stp>Recent Settlement</stp>
        <tr r="U1901" s="5"/>
      </tp>
      <tp t="s">
        <v/>
        <stp/>
        <stp>WMJ 18!-IEU</stp>
        <stp>Recent Settlement</stp>
        <tr r="U1900" s="5"/>
      </tp>
      <tp t="s">
        <v/>
        <stp/>
        <stp>WDF 28!-IEU</stp>
        <stp>Bid</stp>
        <tr r="G1805" s="5"/>
      </tp>
      <tp t="s">
        <v/>
        <stp/>
        <stp>WHK 24!-IEU</stp>
        <stp>Bid</stp>
        <tr r="G1941" s="5"/>
      </tp>
      <tp t="s">
        <v/>
        <stp/>
        <stp>WMJ 21!-IEU</stp>
        <stp>Bid</stp>
        <tr r="G1903" s="5"/>
      </tp>
      <tp t="s">
        <v/>
        <stp/>
        <stp>TDL 18!-IEU</stp>
        <stp>Bid</stp>
        <tr r="G1830" s="5"/>
      </tp>
      <tp t="s">
        <v/>
        <stp/>
        <stp>WNS 22!-IEU</stp>
        <stp>Bid</stp>
        <tr r="G1869" s="5"/>
      </tp>
      <tp t="s">
        <v/>
        <stp/>
        <stp>WMJ C2!-IEU</stp>
        <stp>Recent Settlement</stp>
        <tr r="U1917" s="5"/>
      </tp>
      <tp t="s">
        <v/>
        <stp/>
        <stp>WMJ Q1!-IEU</stp>
        <stp>Recent Settlement</stp>
        <tr r="U1913" s="5"/>
      </tp>
      <tp t="s">
        <v/>
        <stp/>
        <stp>WMJ Q3!-IEU</stp>
        <stp>Recent Settlement</stp>
        <tr r="U1915" s="5"/>
      </tp>
      <tp t="s">
        <v/>
        <stp/>
        <stp>WMJ Q2!-IEU</stp>
        <stp>Recent Settlement</stp>
        <tr r="U1914" s="5"/>
      </tp>
      <tp t="s">
        <v/>
        <stp/>
        <stp>WMJ Q4!-IEU</stp>
        <stp>Recent Settlement</stp>
        <tr r="U1916" s="5"/>
      </tp>
      <tp t="s">
        <v/>
        <stp/>
        <stp>WHK 27!-IEU</stp>
        <stp>Bid</stp>
        <tr r="G1944" s="5"/>
      </tp>
      <tp t="s">
        <v/>
        <stp/>
        <stp>WMJ 22!-IEU</stp>
        <stp>Bid</stp>
        <tr r="G1904" s="5"/>
      </tp>
      <tp t="s">
        <v/>
        <stp/>
        <stp>WNS 21!-IEU</stp>
        <stp>Bid</stp>
        <tr r="G1868" s="5"/>
      </tp>
      <tp t="s">
        <v/>
        <stp/>
        <stp>WHK 26!-IEU</stp>
        <stp>Bid</stp>
        <tr r="G1943" s="5"/>
      </tp>
      <tp t="s">
        <v/>
        <stp/>
        <stp>WMJ 23!-IEU</stp>
        <stp>Bid</stp>
        <tr r="G1905" s="5"/>
      </tp>
      <tp t="s">
        <v/>
        <stp/>
        <stp>WNS 20!-IEU</stp>
        <stp>Bid</stp>
        <tr r="G1867" s="5"/>
      </tp>
      <tp t="s">
        <v/>
        <stp/>
        <stp>WHK 21!-IEU</stp>
        <stp>Bid</stp>
        <tr r="G1938" s="5"/>
      </tp>
      <tp t="s">
        <v/>
        <stp/>
        <stp>WMJ 24!-IEU</stp>
        <stp>Bid</stp>
        <tr r="G1906" s="5"/>
      </tp>
      <tp t="s">
        <v/>
        <stp/>
        <stp>WNS 27!-IEU</stp>
        <stp>Bid</stp>
        <tr r="G1874" s="5"/>
      </tp>
      <tp t="s">
        <v/>
        <stp/>
        <stp>WHK 20!-IEU</stp>
        <stp>Bid</stp>
        <tr r="G1937" s="5"/>
      </tp>
      <tp t="s">
        <v/>
        <stp/>
        <stp>WMJ 25!-IEU</stp>
        <stp>Bid</stp>
        <tr r="G1907" s="5"/>
      </tp>
      <tp t="s">
        <v/>
        <stp/>
        <stp>WNS 26!-IEU</stp>
        <stp>Bid</stp>
        <tr r="G1873" s="5"/>
      </tp>
      <tp t="s">
        <v/>
        <stp/>
        <stp>WHK 23!-IEU</stp>
        <stp>Bid</stp>
        <tr r="G1940" s="5"/>
      </tp>
      <tp t="s">
        <v/>
        <stp/>
        <stp>WMJ 26!-IEU</stp>
        <stp>Bid</stp>
        <tr r="G1908" s="5"/>
      </tp>
      <tp t="s">
        <v/>
        <stp/>
        <stp>WNS 25!-IEU</stp>
        <stp>Bid</stp>
        <tr r="G1872" s="5"/>
      </tp>
      <tp t="s">
        <v/>
        <stp/>
        <stp>WHK 22!-IEU</stp>
        <stp>Bid</stp>
        <tr r="G1939" s="5"/>
      </tp>
      <tp t="s">
        <v/>
        <stp/>
        <stp>WMJ 27!-IEU</stp>
        <stp>Bid</stp>
        <tr r="G1909" s="5"/>
      </tp>
      <tp t="s">
        <v/>
        <stp/>
        <stp>WNS 24!-IEU</stp>
        <stp>Bid</stp>
        <tr r="G1871" s="5"/>
      </tp>
      <tp t="s">
        <v/>
        <stp/>
        <stp>WDF 21!-IEU</stp>
        <stp>Bid</stp>
        <tr r="G1798" s="5"/>
      </tp>
      <tp t="s">
        <v/>
        <stp/>
        <stp>WMJ 28!-IEU</stp>
        <stp>Bid</stp>
        <tr r="G1910" s="5"/>
      </tp>
      <tp t="s">
        <v/>
        <stp/>
        <stp>TDL 11!-IEU</stp>
        <stp>Bid</stp>
        <tr r="G1823" s="5"/>
      </tp>
      <tp t="s">
        <v/>
        <stp/>
        <stp>WDF 20!-IEU</stp>
        <stp>Bid</stp>
        <tr r="G1797" s="5"/>
      </tp>
      <tp t="s">
        <v/>
        <stp/>
        <stp>WMJ 29!-IEU</stp>
        <stp>Bid</stp>
        <tr r="G1911" s="5"/>
      </tp>
      <tp t="s">
        <v/>
        <stp/>
        <stp>TDL 10!-IEU</stp>
        <stp>Bid</stp>
        <tr r="G1822" s="5"/>
      </tp>
    </main>
    <main first="ice.rtd">
      <tp t="s">
        <v/>
        <stp/>
        <stp>15061297MM27:BstHitPrc</stp>
        <tr r="G1710" s="5"/>
      </tp>
      <tp t="s">
        <v/>
        <stp/>
        <stp>15061297MM17:BstHitPrc</stp>
        <tr r="G1700" s="5"/>
      </tp>
      <tp>
        <v>0</v>
        <stp/>
        <stp>17551596T3:OI</stp>
        <tr r="T1540" s="5"/>
      </tp>
      <tp>
        <v>0</v>
        <stp/>
        <stp>17551596T2:OI</stp>
        <tr r="T1539" s="5"/>
      </tp>
      <tp>
        <v>0</v>
        <stp/>
        <stp>17551596T1:OI</stp>
        <tr r="T1538" s="5"/>
      </tp>
      <tp>
        <v>0</v>
        <stp/>
        <stp>17551596T0:OI</stp>
        <tr r="T1537" s="5"/>
      </tp>
      <tp>
        <v>0</v>
        <stp/>
        <stp>17551596T7:OI</stp>
        <tr r="T1544" s="5"/>
      </tp>
      <tp>
        <v>0</v>
        <stp/>
        <stp>17551596T6:OI</stp>
        <tr r="T1543" s="5"/>
      </tp>
      <tp>
        <v>0</v>
        <stp/>
        <stp>17551596T5:OI</stp>
        <tr r="T1542" s="5"/>
      </tp>
      <tp>
        <v>0</v>
        <stp/>
        <stp>17551596T4:OI</stp>
        <tr r="T1541" s="5"/>
      </tp>
      <tp>
        <v>0</v>
        <stp/>
        <stp>17551596T8:OI</stp>
        <tr r="T1545" s="5"/>
        <tr r="T1546" s="5"/>
      </tp>
    </main>
    <main first="esrtd">
      <tp t="s">
        <v/>
        <stp/>
        <stp>WDF 23!-IEU</stp>
        <stp>Bid</stp>
        <tr r="G1800" s="5"/>
      </tp>
      <tp t="s">
        <v/>
        <stp/>
        <stp>TDL 13!-IEU</stp>
        <stp>Bid</stp>
        <tr r="G1825" s="5"/>
      </tp>
      <tp t="s">
        <v/>
        <stp/>
        <stp>WNS 29!-IEU</stp>
        <stp>Bid</stp>
        <tr r="G1876" s="5"/>
      </tp>
      <tp t="s">
        <v/>
        <stp/>
        <stp>WDF 22!-IEU</stp>
        <stp>Bid</stp>
        <tr r="G1799" s="5"/>
      </tp>
      <tp t="s">
        <v/>
        <stp/>
        <stp>TDL 12!-IEU</stp>
        <stp>Bid</stp>
        <tr r="G1824" s="5"/>
      </tp>
      <tp t="s">
        <v/>
        <stp/>
        <stp>WNS 28!-IEU</stp>
        <stp>Bid</stp>
        <tr r="G1875" s="5"/>
      </tp>
      <tp t="s">
        <v/>
        <stp/>
        <stp>WDF 25!-IEU</stp>
        <stp>Bid</stp>
        <tr r="G1802" s="5"/>
      </tp>
      <tp t="s">
        <v/>
        <stp/>
        <stp>WHK 29!-IEU</stp>
        <stp>Bid</stp>
        <tr r="G1946" s="5"/>
      </tp>
      <tp t="s">
        <v/>
        <stp/>
        <stp>TDL 15!-IEU</stp>
        <stp>Bid</stp>
        <tr r="G1827" s="5"/>
      </tp>
      <tp t="s">
        <v/>
        <stp/>
        <stp>WDF 24!-IEU</stp>
        <stp>Bid</stp>
        <tr r="G1801" s="5"/>
      </tp>
      <tp t="s">
        <v/>
        <stp/>
        <stp>WHK 28!-IEU</stp>
        <stp>Bid</stp>
        <tr r="G1945" s="5"/>
      </tp>
      <tp t="s">
        <v/>
        <stp/>
        <stp>TDL 14!-IEU</stp>
        <stp>Bid</stp>
        <tr r="G1826" s="5"/>
      </tp>
      <tp t="s">
        <v/>
        <stp/>
        <stp>WDF 27!-IEU</stp>
        <stp>Bid</stp>
        <tr r="G1804" s="5"/>
      </tp>
      <tp t="s">
        <v/>
        <stp/>
        <stp>TDL 17!-IEU</stp>
        <stp>Bid</stp>
        <tr r="G1829" s="5"/>
      </tp>
      <tp t="s">
        <v/>
        <stp/>
        <stp>WDF 26!-IEU</stp>
        <stp>Bid</stp>
        <tr r="G1803" s="5"/>
      </tp>
      <tp t="s">
        <v/>
        <stp/>
        <stp>TDL 16!-IEU</stp>
        <stp>Bid</stp>
        <tr r="G1828" s="5"/>
      </tp>
    </main>
    <main first="ice.rtd">
      <tp t="s">
        <v/>
        <stp/>
        <stp>2181724590B0:LstDate</stp>
        <tr r="J1414" s="5"/>
      </tp>
    </main>
    <main first="bofaddin.rtdserver">
      <tp t="s">
        <v>#N/A Requesting Data...4234591977</v>
        <stp/>
        <stp>BDP|18234416388806670756</stp>
        <tr r="AW16" s="1"/>
      </tp>
      <tp t="s">
        <v>#N/A Requesting Data...4175927408</v>
        <stp/>
        <stp>BDP|11854004117030717507</stp>
        <tr r="D30" s="23"/>
        <tr r="D74" s="23"/>
      </tp>
      <tp t="s">
        <v>#N/A Requesting Data...1901394330</v>
        <stp/>
        <stp>BDP|16836258199841881928</stp>
        <tr r="AF54" s="23"/>
      </tp>
      <tp t="s">
        <v>#N/A Requesting Data...3257470556</v>
        <stp/>
        <stp>BDP|12549306144978955895</stp>
        <tr r="AF50" s="23"/>
      </tp>
      <tp t="s">
        <v>#N/A Requesting Data...3318697128</v>
        <stp/>
        <stp>BDP|17895937386321862257</stp>
        <tr r="AM122" s="23"/>
      </tp>
      <tp t="s">
        <v>#N/A Requesting Data...3807068943</v>
        <stp/>
        <stp>BDP|16566057954722244464</stp>
        <tr r="AF78" s="23"/>
        <tr r="AF79" s="23"/>
      </tp>
      <tp t="s">
        <v>#N/A Requesting Data...2813084477</v>
        <stp/>
        <stp>BDP|16277176464360446462</stp>
        <tr r="AF122" s="23"/>
      </tp>
    </main>
    <main first="ice.rtd">
      <tp t="s">
        <v/>
        <stp/>
        <stp>2325125612B0:LstDate</stp>
        <tr r="J669" s="5"/>
      </tp>
    </main>
    <main first="bofaddin.rtdserver">
      <tp t="s">
        <v>#N/A Requesting Data...2058033361</v>
        <stp/>
        <stp>BDP|13546869510749119652</stp>
        <tr r="AM73" s="23"/>
      </tp>
      <tp t="s">
        <v>#N/A N/A</v>
        <stp/>
        <stp>BDH|14990423146824413589</stp>
        <tr r="BC58" s="1"/>
        <tr r="BC58" s="1"/>
      </tp>
      <tp t="b">
        <v>0</v>
        <stp/>
        <stp>BDH|16914344291758563185</stp>
        <tr r="P18" s="25"/>
        <tr r="P18" s="25"/>
        <tr r="N18" s="25"/>
        <tr r="N18" s="25"/>
      </tp>
      <tp t="s">
        <v>#N/A N/A</v>
        <stp/>
        <stp>BDH|14889392695513387878</stp>
        <tr r="AY32" s="1"/>
      </tp>
      <tp t="s">
        <v>#N/A N/A</v>
        <stp/>
        <stp>BDH|14255013212131646176</stp>
        <tr r="J76" s="16"/>
      </tp>
      <tp t="s">
        <v>#N/A Real Time</v>
        <stp/>
        <stp>BDP|448187700508508605|22</stp>
        <stp>COU6P 70.00 Comdty</stp>
        <stp>VEGA_MID_RT</stp>
        <tr r="B74" s="23"/>
        <tr r="B55" s="23"/>
        <tr r="B83" s="23"/>
      </tp>
      <tp t="s">
        <v>#N/A N/A</v>
        <stp/>
        <stp>BDH|10405504201249509933</stp>
        <tr r="BA20" s="1"/>
        <tr r="BA20" s="1"/>
      </tp>
    </main>
    <main first="ice.rtd">
      <tp>
        <v>74</v>
        <stp/>
        <stp>2755728678M7:OI</stp>
        <tr r="T1118" s="5"/>
      </tp>
      <tp>
        <v>78</v>
        <stp/>
        <stp>2755728678M6:OI</stp>
        <tr r="T1117" s="5"/>
      </tp>
      <tp>
        <v>78</v>
        <stp/>
        <stp>2755728678M5:OI</stp>
        <tr r="T1116" s="5"/>
      </tp>
      <tp>
        <v>78</v>
        <stp/>
        <stp>2755728678M4:OI</stp>
        <tr r="T1115" s="5"/>
      </tp>
      <tp>
        <v>567</v>
        <stp/>
        <stp>2755728678M3:OI</stp>
        <tr r="T1114" s="5"/>
      </tp>
      <tp>
        <v>609</v>
        <stp/>
        <stp>2755728678M2:OI</stp>
        <tr r="T1113" s="5"/>
      </tp>
      <tp>
        <v>671</v>
        <stp/>
        <stp>2755728678M1:OI</stp>
        <tr r="T1112" s="5"/>
      </tp>
      <tp>
        <v>992</v>
        <stp/>
        <stp>2755728678M0:OI</stp>
        <tr r="T1111" s="5"/>
      </tp>
      <tp>
        <v>74</v>
        <stp/>
        <stp>2755728678M9:OI</stp>
        <tr r="T1120" s="5"/>
      </tp>
      <tp>
        <v>74</v>
        <stp/>
        <stp>2755728678M8:OI</stp>
        <tr r="T1119" s="5"/>
      </tp>
      <tp>
        <v>0</v>
        <stp/>
        <stp>2755728678Y2:OI</stp>
        <tr r="T1147" s="5"/>
      </tp>
      <tp>
        <v>0</v>
        <stp/>
        <stp>2755728678Y1:OI</stp>
        <tr r="T1146" s="5"/>
      </tp>
      <tp>
        <v>0</v>
        <stp/>
        <stp>2755728678Y0:OI</stp>
        <tr r="T1145" s="5"/>
      </tp>
      <tp>
        <v>0</v>
        <stp/>
        <stp>2755728678Q7:OI</stp>
        <tr r="T1143" s="5"/>
      </tp>
      <tp>
        <v>0</v>
        <stp/>
        <stp>2755728678Q6:OI</stp>
        <tr r="T1142" s="5"/>
      </tp>
      <tp>
        <v>0</v>
        <stp/>
        <stp>2755728678Q5:OI</stp>
        <tr r="T1141" s="5"/>
      </tp>
      <tp>
        <v>0</v>
        <stp/>
        <stp>2755728678Q4:OI</stp>
        <tr r="T1140" s="5"/>
      </tp>
      <tp>
        <v>0</v>
        <stp/>
        <stp>2755728678Q3:OI</stp>
        <tr r="T1139" s="5"/>
      </tp>
      <tp>
        <v>0</v>
        <stp/>
        <stp>2755728678Q2:OI</stp>
        <tr r="T1138" s="5"/>
      </tp>
      <tp>
        <v>0</v>
        <stp/>
        <stp>2755728678Q1:OI</stp>
        <tr r="T1137" s="5"/>
      </tp>
      <tp>
        <v>0</v>
        <stp/>
        <stp>2755728678Q0:OI</stp>
        <tr r="T1136" s="5"/>
      </tp>
      <tp>
        <v>0</v>
        <stp/>
        <stp>2755728678Q8:OI</stp>
        <tr r="T1144" s="5"/>
      </tp>
    </main>
    <main first="bofaddin.rtdserver">
      <tp t="s">
        <v>#N/A N/A</v>
        <stp/>
        <stp>BDH|13949720603243841220</stp>
        <tr r="M79" s="16"/>
      </tp>
      <tp t="s">
        <v>#N/A N/A</v>
        <stp/>
        <stp>BDH|12166729006316335638</stp>
        <tr r="AV56" s="1"/>
      </tp>
      <tp t="s">
        <v>#N/A N/A</v>
        <stp/>
        <stp>BDH|16724544305357583170</stp>
        <tr r="M84" s="16"/>
      </tp>
      <tp t="s">
        <v>#N/A N/A</v>
        <stp/>
        <stp>BDH|15406339088919834211</stp>
        <tr r="J44" s="14"/>
      </tp>
      <tp t="s">
        <v>#N/A N/A</v>
        <stp/>
        <stp>BDH|14627573627635902396</stp>
        <tr r="C14" s="14"/>
      </tp>
      <tp t="s">
        <v>#N/A N/A</v>
        <stp/>
        <stp>BDH|14391233853915396399</stp>
        <tr r="K32" s="16"/>
      </tp>
      <tp t="s">
        <v>#N/A N/A</v>
        <stp/>
        <stp>BDH|16858473693379260777</stp>
        <tr r="C43" s="14"/>
      </tp>
    </main>
    <main first="ice.rtd">
      <tp>
        <v>0</v>
        <stp/>
        <stp>2185224624B0:OI</stp>
        <tr r="T593" s="5"/>
      </tp>
    </main>
    <main first="bofaddin.rtdserver">
      <tp t="s">
        <v>#N/A N/A</v>
        <stp/>
        <stp>BDH|14482445561093020095</stp>
        <tr r="H94" s="16"/>
      </tp>
      <tp t="s">
        <v>#N/A N/A</v>
        <stp/>
        <stp>BDH|13722877468468482041</stp>
        <tr r="K95" s="16"/>
      </tp>
      <tp t="s">
        <v>#N/A N/A</v>
        <stp/>
        <stp>BDH|14202147079832372547</stp>
        <tr r="BC33" s="1"/>
        <tr r="BC33" s="1"/>
      </tp>
      <tp t="s">
        <v>#N/A N/A</v>
        <stp/>
        <stp>BDH|12986859995900923686</stp>
        <tr r="C45" s="14"/>
      </tp>
      <tp t="s">
        <v>#N/A N/A</v>
        <stp/>
        <stp>BDH|16459408054573938118</stp>
        <tr r="D20" s="14"/>
      </tp>
      <tp t="s">
        <v>#N/A N/A</v>
        <stp/>
        <stp>BDH|11349392246447132467</stp>
        <tr r="N91" s="16"/>
      </tp>
      <tp t="s">
        <v>#N/A N/A</v>
        <stp/>
        <stp>BDH|10862265186649401665</stp>
        <tr r="L90" s="16"/>
      </tp>
      <tp t="s">
        <v>#N/A N/A</v>
        <stp/>
        <stp>BDH|16911436927041480439</stp>
        <tr r="AW33" s="1"/>
      </tp>
    </main>
    <main first="ice.rtd">
      <tp>
        <v>0</v>
        <stp/>
        <stp>2326225623B0:OI</stp>
        <tr r="T1300" s="5"/>
      </tp>
    </main>
    <main first="ice.rtd">
      <tp>
        <v>0</v>
        <stp/>
        <stp>2325125612B0:OI</stp>
        <tr r="T669" s="5"/>
      </tp>
    </main>
    <main first="bofaddin.rtdserver">
      <tp t="s">
        <v>#N/A N/A</v>
        <stp/>
        <stp>BDH|14161650665287471690</stp>
        <tr r="G52" s="16"/>
      </tp>
    </main>
    <main first="ice.rtd">
      <tp>
        <v>0</v>
        <stp/>
        <stp>2183024603B0:OI</stp>
        <tr r="T1625" s="5"/>
      </tp>
    </main>
    <main first="bofaddin.rtdserver">
      <tp t="s">
        <v>#N/A N/A</v>
        <stp/>
        <stp>BDH|12585374868010127244</stp>
        <tr r="AW49" s="1"/>
      </tp>
      <tp t="s">
        <v>#N/A N/A</v>
        <stp/>
        <stp>BDH|15053195622524415709</stp>
        <tr r="BA32" s="1"/>
        <tr r="BA32" s="1"/>
      </tp>
    </main>
    <main first="ice.rtd">
      <tp>
        <v>0</v>
        <stp/>
        <stp>2181924592B0:OI</stp>
        <tr r="T1490" s="5"/>
      </tp>
      <tp t="s">
        <v/>
        <stp/>
        <stp>266M15:LstBlkVol</stp>
        <tr r="L936" s="5"/>
      </tp>
      <tp t="s">
        <v/>
        <stp/>
        <stp>5162Y2:LstBlkVol</stp>
        <tr r="L805" s="5"/>
      </tp>
      <tp t="s">
        <v/>
        <stp/>
        <stp>5162Q2:LstBlkVol</stp>
        <tr r="L796" s="5"/>
      </tp>
      <tp t="s">
        <v/>
        <stp/>
        <stp>5162M2:LstBlkVol</stp>
        <tr r="L771" s="5"/>
      </tp>
      <tp t="s">
        <v/>
        <stp/>
        <stp>366531MM7:BstLiftPrc</stp>
        <tr r="H1722" s="5"/>
      </tp>
      <tp t="s">
        <v/>
        <stp/>
        <stp>366531MM6:BstLiftPrc</stp>
        <tr r="H1721" s="5"/>
      </tp>
      <tp t="s">
        <v/>
        <stp/>
        <stp>366531MM5:BstLiftPrc</stp>
        <tr r="H1720" s="5"/>
      </tp>
      <tp t="s">
        <v/>
        <stp/>
        <stp>366531MM4:BstLiftPrc</stp>
        <tr r="H1719" s="5"/>
      </tp>
      <tp t="s">
        <v/>
        <stp/>
        <stp>366531MM3:BstLiftPrc</stp>
        <tr r="H1718" s="5"/>
      </tp>
      <tp t="s">
        <v/>
        <stp/>
        <stp>366531MM2:BstLiftPrc</stp>
        <tr r="H1717" s="5"/>
      </tp>
      <tp t="s">
        <v/>
        <stp/>
        <stp>366531MM1:BstLiftPrc</stp>
        <tr r="H1716" s="5"/>
      </tp>
      <tp>
        <v>30</v>
        <stp/>
        <stp>366531MM0:BstLiftPrc</stp>
        <tr r="H1715" s="5"/>
      </tp>
      <tp t="s">
        <v/>
        <stp/>
        <stp>366531MM9:BstLiftPrc</stp>
        <tr r="H1724" s="5"/>
      </tp>
      <tp t="s">
        <v/>
        <stp/>
        <stp>366531MM8:BstLiftPrc</stp>
        <tr r="H1723" s="5"/>
      </tp>
      <tp t="s">
        <v/>
        <stp/>
        <stp>1517Q6:LstBlkVol</stp>
        <tr r="L34" s="5"/>
      </tp>
      <tp>
        <v>50</v>
        <stp/>
        <stp>1517M6:LstBlkVol</stp>
        <tr r="L9" s="5"/>
      </tp>
    </main>
    <main first="bofaddin.rtdserver">
      <tp t="s">
        <v>#N/A</v>
        <stp/>
        <stp>BDP|15829533896299297940|222</stp>
        <stp>MUCJ30 Comdty</stp>
        <stp>ASK</stp>
        <stp>Fill=#N/A</stp>
        <tr r="K62" s="1"/>
      </tp>
      <tp t="s">
        <v>#N/A</v>
        <stp/>
        <stp>BDP|14112278756472756584|222</stp>
        <stp>OQAG30 Comdty</stp>
        <stp>BID</stp>
        <stp>Fill=#N/A</stp>
        <tr r="L60" s="1"/>
      </tp>
      <tp t="s">
        <v>#N/A</v>
        <stp/>
        <stp>BDP|12141959167415217244|222</stp>
        <stp>OQAQ29 Comdty</stp>
        <stp>ASK</stp>
        <stp>Fill=#N/A</stp>
        <tr r="L54" s="1"/>
      </tp>
    </main>
    <main first="ice.rtd">
      <tp t="s">
        <v/>
        <stp/>
        <stp>1517Y0:LstBlkPrc</stp>
        <tr r="K37" s="5"/>
      </tp>
      <tp>
        <v>3.3</v>
        <stp/>
        <stp>1517Q0:LstBlkPrc</stp>
        <tr r="K28" s="5"/>
      </tp>
      <tp>
        <v>3</v>
        <stp/>
        <stp>1517M0:LstBlkPrc</stp>
        <tr r="K3" s="5"/>
      </tp>
      <tp>
        <v>3.53</v>
        <stp/>
        <stp>141587M8:LstBlkPrc</stp>
        <tr r="K49" s="5"/>
      </tp>
      <tp t="s">
        <v/>
        <stp/>
        <stp>141587Q8:LstBlkPrc</stp>
        <tr r="K74" s="5"/>
      </tp>
      <tp t="s">
        <v/>
        <stp/>
        <stp>266419M9:BstHitPrc</stp>
        <tr r="G968" s="5"/>
      </tp>
      <tp t="s">
        <v/>
        <stp/>
        <stp>266M13:LstBlkPrc</stp>
        <tr r="K934" s="5"/>
      </tp>
      <tp t="s">
        <v/>
        <stp/>
        <stp>266M23:LstBlkPrc</stp>
        <tr r="K944" s="5"/>
      </tp>
    </main>
    <main first="ice.rtd">
      <tp t="s">
        <v/>
        <stp/>
        <stp>5162Q4:LstBlkPrc</stp>
        <tr r="K798" s="5"/>
      </tp>
      <tp t="s">
        <v/>
        <stp/>
        <stp>5162M4:LstBlkPrc</stp>
        <tr r="K773" s="5"/>
      </tp>
      <tp t="s">
        <v/>
        <stp/>
        <stp>366531QQ1:BstLiftPrc</stp>
        <tr r="H1744" s="5"/>
      </tp>
      <tp t="s">
        <v/>
        <stp/>
        <stp>366531QQ0:BstLiftPrc</stp>
        <tr r="H1743" s="5"/>
      </tp>
    </main>
    <main first="bofaddin.rtdserver">
      <tp>
        <v>84.82</v>
        <stp/>
        <stp>BDP|12967494530014397662|222</stp>
        <stp>MUCG27 Comdty</stp>
        <stp>BID</stp>
        <stp>Fill=#N/A</stp>
        <tr r="K24" s="1"/>
      </tp>
      <tp t="s">
        <v>#N/A</v>
        <stp/>
        <stp>BDP|17891724329010995759|222</stp>
        <stp>OQAQ29 Comdty</stp>
        <stp>BID</stp>
        <stp>Fill=#N/A</stp>
        <tr r="L54" s="1"/>
      </tp>
    </main>
    <main first="ice.rtd">
      <tp>
        <v>2.8</v>
        <stp/>
        <stp>1517M0:BstHitPrc</stp>
        <tr r="G3" s="5"/>
      </tp>
      <tp t="s">
        <v/>
        <stp/>
        <stp>1517Q0:BstHitPrc</stp>
        <tr r="G28" s="5"/>
      </tp>
      <tp>
        <v>0.85</v>
        <stp/>
        <stp>1517Y0:BstHitPrc</stp>
        <tr r="G37" s="5"/>
      </tp>
    </main>
    <main first="bofaddin.rtdserver">
      <tp t="s">
        <v>#N/A</v>
        <stp/>
        <stp>BDP|12431802794302609974|222</stp>
        <stp>MUCK27 Comdty</stp>
        <stp>ASK</stp>
        <stp>Fill=#N/A</stp>
        <tr r="K27" s="1"/>
      </tp>
    </main>
    <main first="ice.rtd">
      <tp t="s">
        <v/>
        <stp/>
        <stp>141587Q8:BstHitPrc</stp>
        <tr r="G74" s="5"/>
      </tp>
      <tp t="s">
        <v/>
        <stp/>
        <stp>141587M8:BstHitPrc</stp>
        <tr r="G49" s="5"/>
      </tp>
      <tp t="s">
        <v/>
        <stp/>
        <stp>266419M9:LstBlkPrc</stp>
        <tr r="K968" s="5"/>
      </tp>
      <tp t="s">
        <v/>
        <stp/>
        <stp>266M23:BstHitPrc</stp>
        <tr r="G944" s="5"/>
      </tp>
      <tp t="s">
        <v/>
        <stp/>
        <stp>266M13:BstHitPrc</stp>
        <tr r="G934" s="5"/>
      </tp>
    </main>
    <main first="bofaddin.rtdserver">
      <tp t="s">
        <v>#N/A</v>
        <stp/>
        <stp>BDP|15025610159371076214|222</stp>
        <stp>OQAJ28 Comdty</stp>
        <stp>BID</stp>
        <stp>Fill=#N/A</stp>
        <tr r="L38" s="1"/>
      </tp>
    </main>
    <main first="ice.rtd">
      <tp t="s">
        <v/>
        <stp/>
        <stp>366531YY0:BstLiftPrc</stp>
        <tr r="H1745" s="5"/>
      </tp>
      <tp t="s">
        <v/>
        <stp/>
        <stp>5162M4:BstHitPrc</stp>
        <tr r="G773" s="5"/>
      </tp>
      <tp t="s">
        <v/>
        <stp/>
        <stp>5162Q4:BstHitPrc</stp>
        <tr r="G798" s="5"/>
      </tp>
    </main>
    <main first="bofaddin.rtdserver">
      <tp t="s">
        <v>#N/A Invalid Security</v>
        <stp/>
        <stp>BDP|6161487037772569097|222</stp>
        <stp>CLM0CLN0 Comdty</stp>
        <stp>ASK</stp>
        <stp>Fill=#N/A</stp>
        <tr r="N65" s="1"/>
      </tp>
    </main>
    <main first="esrtd">
      <tp t="s">
        <v/>
        <stp/>
        <stp>BRN 26QP18000-ICE</stp>
        <stp>ImpVol</stp>
        <tr r="AK53" s="23"/>
      </tp>
      <tp t="s">
        <v/>
        <stp/>
        <stp>BRN 26QC18000-ICE</stp>
        <stp>ImpVol</stp>
        <tr r="AR53" s="23"/>
      </tp>
    </main>
    <main first="bofaddin.rtdserver">
      <tp>
        <v>0.43</v>
        <stp/>
        <stp>BDP|7286817651333778816|222</stp>
        <stp>XBK8XBM8 Comdty</stp>
        <stp>BID</stp>
        <stp>Fill=#N/A</stp>
        <tr r="R40" s="1"/>
      </tp>
    </main>
    <main first="esrtd">
      <tp t="s">
        <v/>
        <stp/>
        <stp>BRN 26VP18000-ICE</stp>
        <stp>ImpVol</stp>
        <tr r="AK198" s="23"/>
      </tp>
      <tp t="s">
        <v/>
        <stp/>
        <stp>BRN 26VC18000-ICE</stp>
        <stp>ImpVol</stp>
        <tr r="AR198" s="23"/>
      </tp>
    </main>
    <main first="bofaddin.rtdserver">
      <tp t="s">
        <v>#N/A</v>
        <stp/>
        <stp>BDP|15916197681299014621|222</stp>
        <stp>OQAU9V9 Comdty</stp>
        <stp>ASK</stp>
        <stp>Fill=#N/A</stp>
        <tr r="T56" s="1"/>
      </tp>
      <tp t="s">
        <v>#N/A Invalid Security</v>
        <stp/>
        <stp>BDP|2726207750699941620|222</stp>
        <stp>XBM0XBN0 Comdty</stp>
        <stp>ASK</stp>
        <stp>Fill=#N/A</stp>
        <tr r="R65" s="1"/>
      </tp>
    </main>
    <main first="esrtd">
      <tp t="s">
        <v/>
        <stp/>
        <stp>BRN 26UP18000-ICE</stp>
        <stp>ImpVol</stp>
        <tr r="AK123" s="23"/>
      </tp>
      <tp t="s">
        <v/>
        <stp/>
        <stp>BRN 26UC18000-ICE</stp>
        <stp>ImpVol</stp>
        <tr r="AR123" s="23"/>
      </tp>
    </main>
    <main first="bofaddin.rtdserver">
      <tp>
        <v>0.28999999999999998</v>
        <stp/>
        <stp>BDP|5756044204757656277|222</stp>
        <stp>CLG8CLH8 Comdty</stp>
        <stp>BID</stp>
        <stp>Fill=#N/A</stp>
        <tr r="N37" s="1"/>
      </tp>
      <tp>
        <v>9.36</v>
        <stp/>
        <stp>BDP|17400353953527824252|222</stp>
        <stp>OQAX6Z6 Comdty</stp>
        <stp>ASK</stp>
        <stp>Fill=#N/A</stp>
        <tr r="T22" s="1"/>
      </tp>
      <tp>
        <v>0.22</v>
        <stp/>
        <stp>BDP|8648331695695421119|222</stp>
        <stp>CLM8CLN8 Comdty</stp>
        <stp>BID</stp>
        <stp>Fill=#N/A</stp>
        <tr r="N41" s="1"/>
      </tp>
      <tp>
        <v>2.46</v>
        <stp/>
        <stp>BDP|8662069079327484103|222</stp>
        <stp>HOM8HON8 Comdty</stp>
        <stp>ASK</stp>
        <stp>Fill=#N/A</stp>
        <tr r="Q41" s="1"/>
      </tp>
      <tp>
        <v>0.13</v>
        <stp/>
        <stp>BDP|6102740323056236069|222</stp>
        <stp>COJ9COK9 Comdty</stp>
        <stp>BID</stp>
        <stp>Fill=#N/A</stp>
        <tr r="O51" s="1"/>
      </tp>
      <tp>
        <v>1.1499999999999999</v>
        <stp/>
        <stp>BDP|6335304089064841129|222</stp>
        <stp>CLJ7CLK7 Comdty</stp>
        <stp>BID</stp>
        <stp>Fill=#N/A</stp>
        <tr r="N27" s="1"/>
      </tp>
      <tp>
        <v>-17.5</v>
        <stp/>
        <stp>BDP|4730924763936815389|222</stp>
        <stp>XBH8XBJ8 Comdty</stp>
        <stp>ASK</stp>
        <stp>Fill=#N/A</stp>
        <tr r="R38" s="1"/>
      </tp>
      <tp t="s">
        <v>#N/A Invalid Security</v>
        <stp/>
        <stp>BDP|5367011078443863338|222</stp>
        <stp>HOK0HOM0 Comdty</stp>
        <stp>BID</stp>
        <stp>Fill=#N/A</stp>
        <tr r="Q64" s="1"/>
      </tp>
    </main>
    <main first="ice.rtd">
      <tp t="s">
        <v/>
        <stp/>
        <stp>30793693M17:BstLiftPrc</stp>
        <tr r="H900" s="5"/>
      </tp>
      <tp t="s">
        <v/>
        <stp/>
        <stp>30793693M16:BstLiftPrc</stp>
        <tr r="H899" s="5"/>
      </tp>
      <tp t="s">
        <v/>
        <stp/>
        <stp>30793693M15:BstLiftPrc</stp>
        <tr r="H898" s="5"/>
      </tp>
      <tp t="s">
        <v/>
        <stp/>
        <stp>30793693M14:BstLiftPrc</stp>
        <tr r="H897" s="5"/>
      </tp>
      <tp t="s">
        <v/>
        <stp/>
        <stp>30793693M13:BstLiftPrc</stp>
        <tr r="H896" s="5"/>
      </tp>
      <tp t="s">
        <v/>
        <stp/>
        <stp>30793693M12:BstLiftPrc</stp>
        <tr r="H895" s="5"/>
      </tp>
      <tp t="s">
        <v/>
        <stp/>
        <stp>30793693M11:BstLiftPrc</stp>
        <tr r="H894" s="5"/>
      </tp>
      <tp t="s">
        <v/>
        <stp/>
        <stp>30793693M10:BstLiftPrc</stp>
        <tr r="H893" s="5"/>
      </tp>
      <tp t="s">
        <v/>
        <stp/>
        <stp>30793693M19:BstLiftPrc</stp>
        <tr r="H902" s="5"/>
      </tp>
      <tp t="s">
        <v/>
        <stp/>
        <stp>30793693M18:BstLiftPrc</stp>
        <tr r="H901" s="5"/>
      </tp>
      <tp t="s">
        <v/>
        <stp/>
        <stp>30793693M24:BstLiftPrc</stp>
        <tr r="H907" s="5"/>
      </tp>
      <tp t="s">
        <v/>
        <stp/>
        <stp>30793693M23:BstLiftPrc</stp>
        <tr r="H906" s="5"/>
      </tp>
      <tp t="s">
        <v/>
        <stp/>
        <stp>30793693M22:BstLiftPrc</stp>
        <tr r="H905" s="5"/>
      </tp>
      <tp t="s">
        <v/>
        <stp/>
        <stp>30793693M21:BstLiftPrc</stp>
        <tr r="H904" s="5"/>
      </tp>
      <tp t="s">
        <v/>
        <stp/>
        <stp>30793693M20:BstLiftPrc</stp>
        <tr r="H903" s="5"/>
      </tp>
      <tp t="s">
        <v/>
        <stp/>
        <stp>266M14:LstBlkVol</stp>
        <tr r="L935" s="5"/>
      </tp>
      <tp t="s">
        <v/>
        <stp/>
        <stp>266M24:LstBlkVol</stp>
        <tr r="L945" s="5"/>
      </tp>
      <tp t="s">
        <v/>
        <stp/>
        <stp>5162Q3:LstBlkVol</stp>
        <tr r="L797" s="5"/>
      </tp>
      <tp t="s">
        <v/>
        <stp/>
        <stp>5162M3:LstBlkVol</stp>
        <tr r="L772" s="5"/>
      </tp>
      <tp t="s">
        <v/>
        <stp/>
        <stp>1517Q7:LstBlkVol</stp>
        <tr r="L35" s="5"/>
      </tp>
      <tp t="s">
        <v/>
        <stp/>
        <stp>1517M7:LstBlkVol</stp>
        <tr r="L10" s="5"/>
      </tp>
      <tp t="s">
        <v/>
        <stp/>
        <stp>1517Y1:LstBlkPrc</stp>
        <tr r="K38" s="5"/>
      </tp>
      <tp>
        <v>1.79</v>
        <stp/>
        <stp>1517Q1:LstBlkPrc</stp>
        <tr r="K29" s="5"/>
      </tp>
      <tp>
        <v>3.8</v>
        <stp/>
        <stp>1517M1:LstBlkPrc</stp>
        <tr r="K4" s="5"/>
      </tp>
      <tp>
        <v>3.43</v>
        <stp/>
        <stp>141587M9:LstBlkPrc</stp>
        <tr r="K50" s="5"/>
      </tp>
      <tp t="s">
        <v/>
        <stp/>
        <stp>266419Q8:BstHitPrc</stp>
        <tr r="G992" s="5"/>
      </tp>
      <tp t="s">
        <v/>
        <stp/>
        <stp>266419M8:BstHitPrc</stp>
        <tr r="G967" s="5"/>
      </tp>
      <tp t="s">
        <v/>
        <stp/>
        <stp>266M12:LstBlkPrc</stp>
        <tr r="K933" s="5"/>
      </tp>
      <tp t="s">
        <v/>
        <stp/>
        <stp>266M22:LstBlkPrc</stp>
        <tr r="K943" s="5"/>
      </tp>
    </main>
    <main first="bofaddin.rtdserver">
      <tp t="s">
        <v>#N/A</v>
        <stp/>
        <stp>BDP|17529468646103773256|222</stp>
        <stp>MUCK28 Comdty</stp>
        <stp>BID</stp>
        <stp>Fill=#N/A</stp>
        <tr r="K39" s="1"/>
      </tp>
    </main>
    <main first="ice.rtd">
      <tp t="s">
        <v/>
        <stp/>
        <stp>5162Q5:LstBlkPrc</stp>
        <tr r="K799" s="5"/>
      </tp>
      <tp t="s">
        <v/>
        <stp/>
        <stp>5162M5:LstBlkPrc</stp>
        <tr r="K774" s="5"/>
      </tp>
      <tp>
        <v>151</v>
        <stp/>
        <stp>41787896M17:OI</stp>
        <tr r="T824" s="5"/>
      </tp>
      <tp>
        <v>164</v>
        <stp/>
        <stp>41787896M16:OI</stp>
        <tr r="T823" s="5"/>
      </tp>
      <tp>
        <v>770</v>
        <stp/>
        <stp>41787896M15:OI</stp>
        <tr r="T822" s="5"/>
      </tp>
      <tp>
        <v>687</v>
        <stp/>
        <stp>41787896M14:OI</stp>
        <tr r="T821" s="5"/>
      </tp>
      <tp>
        <v>687</v>
        <stp/>
        <stp>41787896M13:OI</stp>
        <tr r="T820" s="5"/>
      </tp>
      <tp>
        <v>651</v>
        <stp/>
        <stp>41787896M12:OI</stp>
        <tr r="T819" s="5"/>
      </tp>
      <tp>
        <v>651</v>
        <stp/>
        <stp>41787896M11:OI</stp>
        <tr r="T818" s="5"/>
      </tp>
      <tp>
        <v>651</v>
        <stp/>
        <stp>41787896M10:OI</stp>
        <tr r="T817" s="5"/>
      </tp>
      <tp>
        <v>151</v>
        <stp/>
        <stp>41787896M19:OI</stp>
        <tr r="T826" s="5"/>
      </tp>
      <tp>
        <v>151</v>
        <stp/>
        <stp>41787896M18:OI</stp>
        <tr r="T825" s="5"/>
      </tp>
      <tp>
        <v>151</v>
        <stp/>
        <stp>41787896M24:OI</stp>
        <tr r="T831" s="5"/>
      </tp>
      <tp>
        <v>151</v>
        <stp/>
        <stp>41787896M23:OI</stp>
        <tr r="T830" s="5"/>
      </tp>
      <tp>
        <v>151</v>
        <stp/>
        <stp>41787896M22:OI</stp>
        <tr r="T829" s="5"/>
      </tp>
      <tp>
        <v>151</v>
        <stp/>
        <stp>41787896M21:OI</stp>
        <tr r="T828" s="5"/>
      </tp>
      <tp>
        <v>151</v>
        <stp/>
        <stp>41787896M20:OI</stp>
        <tr r="T827" s="5"/>
      </tp>
    </main>
    <main first="bofaddin.rtdserver">
      <tp t="s">
        <v>#N/A</v>
        <stp/>
        <stp>BDP|12346027180838720674|222</stp>
        <stp>OQAV28 Comdty</stp>
        <stp>BID</stp>
        <stp>Fill=#N/A</stp>
        <tr r="L44" s="1"/>
      </tp>
    </main>
    <main first="ice.rtd">
      <tp>
        <v>3.79</v>
        <stp/>
        <stp>1517M1:BstHitPrc</stp>
        <tr r="G4" s="5"/>
      </tp>
      <tp>
        <v>1.75</v>
        <stp/>
        <stp>1517Q1:BstHitPrc</stp>
        <tr r="G29" s="5"/>
      </tp>
      <tp>
        <v>0.4</v>
        <stp/>
        <stp>1517Y1:BstHitPrc</stp>
        <tr r="G38" s="5"/>
      </tp>
    </main>
    <main first="bofaddin.rtdserver">
      <tp t="s">
        <v>#N/A</v>
        <stp/>
        <stp>BDP|10489053725971493753|222</stp>
        <stp>OQAZ27 Comdty</stp>
        <stp>BID</stp>
        <stp>Fill=#N/A</stp>
        <tr r="L34" s="1"/>
      </tp>
      <tp t="s">
        <v>#N/A</v>
        <stp/>
        <stp>BDP|10101163830351786740|222</stp>
        <stp>OQAX27 Comdty</stp>
        <stp>BID</stp>
        <stp>Fill=#N/A</stp>
        <tr r="L33" s="1"/>
      </tp>
      <tp t="s">
        <v>#N/A</v>
        <stp/>
        <stp>BDP|13191666677470191989|222</stp>
        <stp>OQAM29 Comdty</stp>
        <stp>ASK</stp>
        <stp>Fill=#N/A</stp>
        <tr r="L52" s="1"/>
      </tp>
    </main>
    <main first="ice.rtd">
      <tp t="s">
        <v/>
        <stp/>
        <stp>141587M9:BstHitPrc</stp>
        <tr r="G50" s="5"/>
      </tp>
      <tp t="s">
        <v/>
        <stp/>
        <stp>266419M8:LstBlkPrc</stp>
        <tr r="K967" s="5"/>
      </tp>
      <tp t="s">
        <v/>
        <stp/>
        <stp>266419Q8:LstBlkPrc</stp>
        <tr r="K992" s="5"/>
      </tp>
      <tp t="s">
        <v/>
        <stp/>
        <stp>266M22:BstHitPrc</stp>
        <tr r="G943" s="5"/>
      </tp>
      <tp t="s">
        <v/>
        <stp/>
        <stp>266M12:BstHitPrc</stp>
        <tr r="G933" s="5"/>
      </tp>
      <tp t="s">
        <v/>
        <stp/>
        <stp>5162M5:BstHitPrc</stp>
        <tr r="G774" s="5"/>
      </tp>
      <tp t="s">
        <v/>
        <stp/>
        <stp>5162Q5:BstHitPrc</stp>
        <tr r="G799" s="5"/>
      </tp>
      <tp t="s">
        <v/>
        <stp/>
        <stp>1581618115M11:LstBlkTime</stp>
        <tr r="M470" s="5"/>
      </tp>
      <tp t="s">
        <v/>
        <stp/>
        <stp>1581618115M10:LstBlkTime</stp>
        <tr r="M469" s="5"/>
      </tp>
      <tp t="s">
        <v/>
        <stp/>
        <stp>1581618115M13:LstBlkTime</stp>
        <tr r="M472" s="5"/>
      </tp>
      <tp t="s">
        <v/>
        <stp/>
        <stp>1581618115M12:LstBlkTime</stp>
        <tr r="M471" s="5"/>
      </tp>
      <tp t="s">
        <v/>
        <stp/>
        <stp>1581618115M14:LstBlkTime</stp>
        <tr r="M473" s="5"/>
      </tp>
      <tp t="s">
        <v/>
        <stp/>
        <stp>2427026287M24:LstBlkTime</stp>
        <tr r="M1173" s="5"/>
      </tp>
      <tp t="s">
        <v/>
        <stp/>
        <stp>2427026287M21:LstBlkTime</stp>
        <tr r="M1170" s="5"/>
      </tp>
      <tp t="s">
        <v/>
        <stp/>
        <stp>2427026287M20:LstBlkTime</stp>
        <tr r="M1169" s="5"/>
      </tp>
      <tp t="s">
        <v/>
        <stp/>
        <stp>2427026287M23:LstBlkTime</stp>
        <tr r="M1172" s="5"/>
      </tp>
      <tp t="s">
        <v/>
        <stp/>
        <stp>2427026287M22:LstBlkTime</stp>
        <tr r="M1171" s="5"/>
      </tp>
      <tp t="s">
        <v/>
        <stp/>
        <stp>2427026287M19:LstBlkTime</stp>
        <tr r="M1168" s="5"/>
      </tp>
      <tp t="s">
        <v/>
        <stp/>
        <stp>2427026287M18:LstBlkTime</stp>
        <tr r="M1167" s="5"/>
      </tp>
      <tp t="s">
        <v/>
        <stp/>
        <stp>2427026287M15:LstBlkTime</stp>
        <tr r="M1164" s="5"/>
      </tp>
      <tp t="s">
        <v/>
        <stp/>
        <stp>2427026287M14:LstBlkTime</stp>
        <tr r="M1163" s="5"/>
      </tp>
      <tp t="s">
        <v/>
        <stp/>
        <stp>2427026287M17:LstBlkTime</stp>
        <tr r="M1166" s="5"/>
      </tp>
      <tp t="s">
        <v/>
        <stp/>
        <stp>2427026287M16:LstBlkTime</stp>
        <tr r="M1165" s="5"/>
      </tp>
      <tp t="s">
        <v/>
        <stp/>
        <stp>2427026287M11:LstBlkTime</stp>
        <tr r="M1160" s="5"/>
      </tp>
      <tp t="s">
        <v/>
        <stp/>
        <stp>2427026287M10:LstBlkTime</stp>
        <tr r="M1159" s="5"/>
      </tp>
      <tp t="s">
        <v/>
        <stp/>
        <stp>2427026287M13:LstBlkTime</stp>
        <tr r="M1162" s="5"/>
      </tp>
      <tp t="s">
        <v/>
        <stp/>
        <stp>2427026287M12:LstBlkTime</stp>
        <tr r="M1161" s="5"/>
      </tp>
    </main>
    <main first="bofaddin.rtdserver">
      <tp>
        <v>102.75</v>
        <stp/>
        <stp>BDP|181548580541851171|22</stp>
        <stp>QSZ7QSZ8 Comdty</stp>
        <stp>ASK</stp>
        <tr r="D3" s="3"/>
      </tp>
      <tp>
        <v>12.36</v>
        <stp/>
        <stp>BDP|5734875760758038179|222</stp>
        <stp>HOF7HOG7 Comdty</stp>
        <stp>BID</stp>
        <stp>Fill=#N/A</stp>
        <tr r="Q24" s="1"/>
      </tp>
      <tp>
        <v>0.14000000000000001</v>
        <stp/>
        <stp>BDP|6441292955676821439|222</stp>
        <stp>CLJ9CLK9 Comdty</stp>
        <stp>BID</stp>
        <stp>Fill=#N/A</stp>
        <tr r="N51" s="1"/>
      </tp>
      <tp>
        <v>3.21</v>
        <stp/>
        <stp>BDP|3770478736123678722|222</stp>
        <stp>HOJ8HOK8 Comdty</stp>
        <stp>BID</stp>
        <stp>Fill=#N/A</stp>
        <tr r="Q39" s="1"/>
      </tp>
      <tp>
        <v>0.52</v>
        <stp/>
        <stp>BDP|1120055122194364096|222</stp>
        <stp>COU7COV7 Comdty</stp>
        <stp>ASK</stp>
        <stp>Fill=#N/A</stp>
        <tr r="O32" s="1"/>
      </tp>
      <tp>
        <v>-3</v>
        <stp/>
        <stp>BDP|4069716518347542532|222</stp>
        <stp>QSG9QSH9 Comdty</stp>
        <stp>BID</stp>
        <stp>Fill=#N/A</stp>
        <tr r="P49" s="1"/>
      </tp>
      <tp>
        <v>0.9</v>
        <stp/>
        <stp>BDP|8041083170095333195|222</stp>
        <stp>HOQ8HOU8 Comdty</stp>
        <stp>ASK</stp>
        <stp>Fill=#N/A</stp>
        <tr r="Q43" s="1"/>
      </tp>
      <tp>
        <v>14.75</v>
        <stp/>
        <stp>BDP|2916654295495464083|222</stp>
        <stp>QSV7QSX7 Comdty</stp>
        <stp>BID</stp>
        <stp>Fill=#N/A</stp>
        <tr r="P33" s="1"/>
      </tp>
      <tp t="s">
        <v>#N/A</v>
        <stp/>
        <stp>BDP|12405217436566283240|222</stp>
        <stp>MUCX9Z9 Comdty</stp>
        <stp>BID</stp>
        <stp>Fill=#N/A</stp>
        <tr r="S58" s="1"/>
      </tp>
      <tp>
        <v>0.28000000000000003</v>
        <stp/>
        <stp>BDP|2026980105944166769|222</stp>
        <stp>COJ8COK8 Comdty</stp>
        <stp>ASK</stp>
        <stp>Fill=#N/A</stp>
        <tr r="O39" s="1"/>
      </tp>
      <tp>
        <v>10</v>
        <stp/>
        <stp>BDP|8187539049648427006|222</stp>
        <stp>QSK8QSM8 Comdty</stp>
        <stp>ASK</stp>
        <stp>Fill=#N/A</stp>
        <tr r="P40" s="1"/>
      </tp>
      <tp>
        <v>-19.5</v>
        <stp/>
        <stp>BDP|7984221384738866660|222</stp>
        <stp>XBH8XBJ8 Comdty</stp>
        <stp>BID</stp>
        <stp>Fill=#N/A</stp>
        <tr r="R38" s="1"/>
      </tp>
      <tp>
        <v>0.75</v>
        <stp/>
        <stp>BDP|4572649856581230361|222</stp>
        <stp>CLM7CLN7 Comdty</stp>
        <stp>BID</stp>
        <stp>Fill=#N/A</stp>
        <tr r="N29" s="1"/>
      </tp>
      <tp t="s">
        <v>#N/A Invalid Security</v>
        <stp/>
        <stp>BDP|2598347032382980612|222</stp>
        <stp>XBH0XBJ0 Comdty</stp>
        <stp>ASK</stp>
        <stp>Fill=#N/A</stp>
        <tr r="R62" s="1"/>
      </tp>
      <tp>
        <v>5.15</v>
        <stp/>
        <stp>BDP|3861307350100182970|222</stp>
        <stp>HOH8HOJ8 Comdty</stp>
        <stp>BID</stp>
        <stp>Fill=#N/A</stp>
        <tr r="Q38" s="1"/>
      </tp>
    </main>
    <main first="ice.rtd">
      <tp t="s">
        <v/>
        <stp/>
        <stp>41767893Q8:LstDate</stp>
        <tr r="J513" s="5"/>
      </tp>
      <tp t="s">
        <v/>
        <stp/>
        <stp>41767893Q1:LstDate</stp>
        <tr r="J506" s="5"/>
      </tp>
      <tp t="s">
        <v/>
        <stp/>
        <stp>41767893Q0:LstDate</stp>
        <tr r="J505" s="5"/>
      </tp>
      <tp t="s">
        <v/>
        <stp/>
        <stp>41767893Q3:LstDate</stp>
        <tr r="J508" s="5"/>
      </tp>
      <tp t="s">
        <v/>
        <stp/>
        <stp>41767893Q2:LstDate</stp>
        <tr r="J507" s="5"/>
      </tp>
      <tp t="s">
        <v/>
        <stp/>
        <stp>41767893Q5:LstDate</stp>
        <tr r="J510" s="5"/>
      </tp>
      <tp t="s">
        <v/>
        <stp/>
        <stp>41767893Q4:LstDate</stp>
        <tr r="J509" s="5"/>
      </tp>
      <tp t="s">
        <v/>
        <stp/>
        <stp>41767893Q7:LstDate</stp>
        <tr r="J512" s="5"/>
      </tp>
      <tp t="s">
        <v/>
        <stp/>
        <stp>41767893Q6:LstDate</stp>
        <tr r="J511" s="5"/>
      </tp>
      <tp t="s">
        <v/>
        <stp/>
        <stp>15141311T6:LstDate</stp>
        <tr r="J1534" s="5"/>
      </tp>
      <tp t="s">
        <v/>
        <stp/>
        <stp>15141311T7:LstDate</stp>
        <tr r="J1535" s="5"/>
      </tp>
      <tp t="s">
        <v/>
        <stp/>
        <stp>15141311T4:LstDate</stp>
        <tr r="J1532" s="5"/>
      </tp>
      <tp t="s">
        <v/>
        <stp/>
        <stp>15141311T5:LstDate</stp>
        <tr r="J1533" s="5"/>
      </tp>
      <tp t="s">
        <v/>
        <stp/>
        <stp>15141311T2:LstDate</stp>
        <tr r="J1530" s="5"/>
      </tp>
      <tp t="s">
        <v/>
        <stp/>
        <stp>15141311T3:LstDate</stp>
        <tr r="J1531" s="5"/>
      </tp>
      <tp t="s">
        <v/>
        <stp/>
        <stp>15141311T0:LstDate</stp>
        <tr r="J1528" s="5"/>
      </tp>
      <tp t="s">
        <v/>
        <stp/>
        <stp>15141311T1:LstDate</stp>
        <tr r="J1529" s="5"/>
      </tp>
      <tp t="s">
        <v/>
        <stp/>
        <stp>15141311T8:LstDate</stp>
        <tr r="J1536" s="5"/>
      </tp>
      <tp t="s">
        <v/>
        <stp/>
        <stp>41767893Y1:LstDate</stp>
        <tr r="J515" s="5"/>
      </tp>
      <tp t="s">
        <v/>
        <stp/>
        <stp>41767893Y0:LstDate</stp>
        <tr r="J514" s="5"/>
      </tp>
      <tp t="s">
        <v>Invalid Market: 41767893Y2</v>
        <stp/>
        <stp>41767893Y2:LstDate</stp>
        <tr r="J516" s="5"/>
      </tp>
      <tp t="s">
        <v>Invalid Market: 41767893B0</v>
        <stp/>
        <stp>41767893B0:LstDate</stp>
        <tr r="J479" s="5"/>
      </tp>
      <tp t="s">
        <v/>
        <stp/>
        <stp>41767893M9:LstDate</stp>
        <tr r="J489" s="5"/>
      </tp>
      <tp t="s">
        <v/>
        <stp/>
        <stp>41767893M8:LstDate</stp>
        <tr r="J488" s="5"/>
      </tp>
      <tp t="s">
        <v/>
        <stp/>
        <stp>41767893M1:LstDate</stp>
        <tr r="J481" s="5"/>
      </tp>
      <tp>
        <v>46267.390873796299</v>
        <stp/>
        <stp>41767893M0:LstDate</stp>
        <tr r="J480" s="5"/>
      </tp>
      <tp t="s">
        <v/>
        <stp/>
        <stp>41767893M3:LstDate</stp>
        <tr r="J483" s="5"/>
      </tp>
      <tp t="s">
        <v/>
        <stp/>
        <stp>41767893M2:LstDate</stp>
        <tr r="J482" s="5"/>
      </tp>
      <tp t="s">
        <v/>
        <stp/>
        <stp>41767893M5:LstDate</stp>
        <tr r="J485" s="5"/>
      </tp>
      <tp t="s">
        <v/>
        <stp/>
        <stp>41767893M4:LstDate</stp>
        <tr r="J484" s="5"/>
      </tp>
      <tp t="s">
        <v/>
        <stp/>
        <stp>41767893M7:LstDate</stp>
        <tr r="J487" s="5"/>
      </tp>
      <tp t="s">
        <v/>
        <stp/>
        <stp>41767893M6:LstDate</stp>
        <tr r="J486" s="5"/>
      </tp>
      <tp t="s">
        <v/>
        <stp/>
        <stp>15091310M18:BstLiftPrc</stp>
        <tr r="H1395" s="5"/>
      </tp>
      <tp t="s">
        <v/>
        <stp/>
        <stp>15091310M19:BstLiftPrc</stp>
        <tr r="H1396" s="5"/>
      </tp>
      <tp t="s">
        <v/>
        <stp/>
        <stp>15091310M10:BstLiftPrc</stp>
        <tr r="H1387" s="5"/>
      </tp>
      <tp t="s">
        <v/>
        <stp/>
        <stp>15091310M11:BstLiftPrc</stp>
        <tr r="H1388" s="5"/>
      </tp>
      <tp t="s">
        <v/>
        <stp/>
        <stp>15091310M12:BstLiftPrc</stp>
        <tr r="H1389" s="5"/>
      </tp>
      <tp t="s">
        <v/>
        <stp/>
        <stp>15091310M13:BstLiftPrc</stp>
        <tr r="H1390" s="5"/>
      </tp>
      <tp t="s">
        <v/>
        <stp/>
        <stp>15091310M14:BstLiftPrc</stp>
        <tr r="H1391" s="5"/>
      </tp>
      <tp t="s">
        <v/>
        <stp/>
        <stp>15091310M15:BstLiftPrc</stp>
        <tr r="H1392" s="5"/>
      </tp>
      <tp t="s">
        <v/>
        <stp/>
        <stp>15091310M16:BstLiftPrc</stp>
        <tr r="H1393" s="5"/>
      </tp>
      <tp t="s">
        <v/>
        <stp/>
        <stp>15091310M17:BstLiftPrc</stp>
        <tr r="H1394" s="5"/>
      </tp>
      <tp t="s">
        <v/>
        <stp/>
        <stp>15091310M20:BstLiftPrc</stp>
        <tr r="H1397" s="5"/>
      </tp>
      <tp t="s">
        <v/>
        <stp/>
        <stp>15091310M21:BstLiftPrc</stp>
        <tr r="H1398" s="5"/>
      </tp>
      <tp t="s">
        <v/>
        <stp/>
        <stp>15091310M22:BstLiftPrc</stp>
        <tr r="H1399" s="5"/>
      </tp>
      <tp t="s">
        <v/>
        <stp/>
        <stp>15091310M23:BstLiftPrc</stp>
        <tr r="H1400" s="5"/>
      </tp>
      <tp t="s">
        <v/>
        <stp/>
        <stp>15091310M24:BstLiftPrc</stp>
        <tr r="H1401" s="5"/>
      </tp>
      <tp t="s">
        <v/>
        <stp/>
        <stp>266M17:LstBlkVol</stp>
        <tr r="L938" s="5"/>
      </tp>
      <tp t="s">
        <v/>
        <stp/>
        <stp>5162Y0:LstBlkVol</stp>
        <tr r="L803" s="5"/>
      </tp>
      <tp t="s">
        <v/>
        <stp/>
        <stp>5162Q0:LstBlkVol</stp>
        <tr r="L794" s="5"/>
      </tp>
      <tp t="s">
        <v/>
        <stp/>
        <stp>5162M0:LstBlkVol</stp>
        <tr r="L769" s="5"/>
      </tp>
      <tp t="s">
        <v/>
        <stp/>
        <stp>1517Q4:LstBlkVol</stp>
        <tr r="L32" s="5"/>
      </tp>
      <tp>
        <v>50</v>
        <stp/>
        <stp>1517M4:LstBlkVol</stp>
        <tr r="L7" s="5"/>
      </tp>
    </main>
    <main first="esrtd">
      <tp t="s">
        <v/>
        <stp/>
        <stp>WHK 17!-IEU</stp>
        <stp>Open Interest</stp>
        <tr r="T1934" s="5"/>
      </tp>
      <tp t="s">
        <v/>
        <stp/>
        <stp>WHK 16!-IEU</stp>
        <stp>Open Interest</stp>
        <tr r="T1933" s="5"/>
      </tp>
      <tp t="s">
        <v/>
        <stp/>
        <stp>WHK 15!-IEU</stp>
        <stp>Open Interest</stp>
        <tr r="T1932" s="5"/>
      </tp>
      <tp t="s">
        <v/>
        <stp/>
        <stp>WHK 14!-IEU</stp>
        <stp>Open Interest</stp>
        <tr r="T1931" s="5"/>
      </tp>
      <tp t="s">
        <v/>
        <stp/>
        <stp>WHK 13!-IEU</stp>
        <stp>Open Interest</stp>
        <tr r="T1930" s="5"/>
      </tp>
      <tp t="s">
        <v/>
        <stp/>
        <stp>WHK 12!-IEU</stp>
        <stp>Open Interest</stp>
        <tr r="T1929" s="5"/>
      </tp>
      <tp t="s">
        <v/>
        <stp/>
        <stp>WHK 11!-IEU</stp>
        <stp>Open Interest</stp>
        <tr r="T1928" s="5"/>
      </tp>
      <tp t="s">
        <v/>
        <stp/>
        <stp>WHK 10!-IEU</stp>
        <stp>Open Interest</stp>
        <tr r="T1927" s="5"/>
      </tp>
      <tp t="s">
        <v/>
        <stp/>
        <stp>WHK 19!-IEU</stp>
        <stp>Open Interest</stp>
        <tr r="T1936" s="5"/>
      </tp>
      <tp t="s">
        <v/>
        <stp/>
        <stp>WHK 18!-IEU</stp>
        <stp>Open Interest</stp>
        <tr r="T1935" s="5"/>
      </tp>
      <tp t="s">
        <v/>
        <stp/>
        <stp>WHK 30!-IEU</stp>
        <stp>Open Interest</stp>
        <tr r="T1947" s="5"/>
      </tp>
      <tp t="s">
        <v/>
        <stp/>
        <stp>WHK 27!-IEU</stp>
        <stp>Open Interest</stp>
        <tr r="T1944" s="5"/>
      </tp>
      <tp t="s">
        <v/>
        <stp/>
        <stp>WHK 26!-IEU</stp>
        <stp>Open Interest</stp>
        <tr r="T1943" s="5"/>
      </tp>
      <tp t="s">
        <v/>
        <stp/>
        <stp>WHK 25!-IEU</stp>
        <stp>Open Interest</stp>
        <tr r="T1942" s="5"/>
      </tp>
      <tp t="s">
        <v/>
        <stp/>
        <stp>WHK 24!-IEU</stp>
        <stp>Open Interest</stp>
        <tr r="T1941" s="5"/>
      </tp>
      <tp t="s">
        <v/>
        <stp/>
        <stp>WHK 23!-IEU</stp>
        <stp>Open Interest</stp>
        <tr r="T1940" s="5"/>
      </tp>
      <tp t="s">
        <v/>
        <stp/>
        <stp>WHK 22!-IEU</stp>
        <stp>Open Interest</stp>
        <tr r="T1939" s="5"/>
      </tp>
      <tp t="s">
        <v/>
        <stp/>
        <stp>WHK 21!-IEU</stp>
        <stp>Open Interest</stp>
        <tr r="T1938" s="5"/>
      </tp>
      <tp t="s">
        <v/>
        <stp/>
        <stp>WHK 20!-IEU</stp>
        <stp>Open Interest</stp>
        <tr r="T1937" s="5"/>
      </tp>
      <tp t="s">
        <v/>
        <stp/>
        <stp>WHK 29!-IEU</stp>
        <stp>Open Interest</stp>
        <tr r="T1946" s="5"/>
      </tp>
      <tp t="s">
        <v/>
        <stp/>
        <stp>WHK 28!-IEU</stp>
        <stp>Open Interest</stp>
        <tr r="T1945" s="5"/>
      </tp>
      <tp t="s">
        <v/>
        <stp/>
        <stp>WHK Q4!-IEU</stp>
        <stp>Open Interest</stp>
        <tr r="T1951" s="5"/>
      </tp>
      <tp t="s">
        <v/>
        <stp/>
        <stp>WHK Q3!-IEU</stp>
        <stp>Open Interest</stp>
        <tr r="T1950" s="5"/>
      </tp>
      <tp t="s">
        <v/>
        <stp/>
        <stp>WHK Q2!-IEU</stp>
        <stp>Open Interest</stp>
        <tr r="T1949" s="5"/>
      </tp>
      <tp t="s">
        <v/>
        <stp/>
        <stp>WHK Q1!-IEU</stp>
        <stp>Open Interest</stp>
        <tr r="T1948" s="5"/>
      </tp>
      <tp t="s">
        <v/>
        <stp/>
        <stp>WHK C2!-IEU</stp>
        <stp>Open Interest</stp>
        <tr r="T1952" s="5"/>
      </tp>
    </main>
    <main first="ice.rtd">
      <tp t="s">
        <v/>
        <stp/>
        <stp>1517Y2:LstBlkPrc</stp>
        <tr r="K39" s="5"/>
      </tp>
      <tp>
        <v>0.95</v>
        <stp/>
        <stp>1517Q2:LstBlkPrc</stp>
        <tr r="K30" s="5"/>
      </tp>
      <tp>
        <v>3.3</v>
        <stp/>
        <stp>1517M2:LstBlkPrc</stp>
        <tr r="K5" s="5"/>
      </tp>
    </main>
    <main first="bofaddin.rtdserver">
      <tp t="s">
        <v>#N/A</v>
        <stp/>
        <stp>BDP|13367046204957048139|222</stp>
        <stp>MUCU29 Comdty</stp>
        <stp>BID</stp>
        <stp>Fill=#N/A</stp>
        <tr r="K55" s="1"/>
      </tp>
    </main>
    <main first="ice.rtd">
      <tp t="s">
        <v/>
        <stp/>
        <stp>266M11:LstBlkPrc</stp>
        <tr r="K932" s="5"/>
      </tp>
      <tp t="s">
        <v/>
        <stp/>
        <stp>266M21:LstBlkPrc</stp>
        <tr r="K942" s="5"/>
      </tp>
      <tp t="s">
        <v/>
        <stp/>
        <stp>5162Q6:LstBlkPrc</stp>
        <tr r="K800" s="5"/>
      </tp>
      <tp t="s">
        <v/>
        <stp/>
        <stp>5162M6:LstBlkPrc</stp>
        <tr r="K775" s="5"/>
      </tp>
    </main>
    <main first="bofaddin.rtdserver">
      <tp t="s">
        <v>#N/A</v>
        <stp/>
        <stp>BDP|14345526848379520687|222</stp>
        <stp>MUCU29 Comdty</stp>
        <stp>ASK</stp>
        <stp>Fill=#N/A</stp>
        <tr r="K55" s="1"/>
      </tp>
    </main>
    <main first="ice.rtd">
      <tp>
        <v>3.28</v>
        <stp/>
        <stp>1517M2:BstHitPrc</stp>
        <tr r="G5" s="5"/>
      </tp>
      <tp>
        <v>0.15</v>
        <stp/>
        <stp>1517Q2:BstHitPrc</stp>
        <tr r="G30" s="5"/>
      </tp>
      <tp t="s">
        <v/>
        <stp/>
        <stp>1517Y2:BstHitPrc</stp>
        <tr r="G39" s="5"/>
      </tp>
    </main>
    <main first="bofaddin.rtdserver">
      <tp t="s">
        <v>#N/A</v>
        <stp/>
        <stp>BDP|16647671747345926460|222</stp>
        <stp>MUCX29 Comdty</stp>
        <stp>BID</stp>
        <stp>Fill=#N/A</stp>
        <tr r="K57" s="1"/>
      </tp>
    </main>
    <main first="ice.rtd">
      <tp t="s">
        <v/>
        <stp/>
        <stp>266M21:BstHitPrc</stp>
        <tr r="G942" s="5"/>
      </tp>
      <tp t="s">
        <v/>
        <stp/>
        <stp>266M11:BstHitPrc</stp>
        <tr r="G932" s="5"/>
      </tp>
    </main>
    <main first="bofaddin.rtdserver">
      <tp t="s">
        <v>#N/A</v>
        <stp/>
        <stp>BDP|12971291563917553535|222</stp>
        <stp>MUCF30 Comdty</stp>
        <stp>BID</stp>
        <stp>Fill=#N/A</stp>
        <tr r="K59" s="1"/>
      </tp>
    </main>
    <main first="ice.rtd">
      <tp t="s">
        <v/>
        <stp/>
        <stp>5162M6:BstHitPrc</stp>
        <tr r="G775" s="5"/>
      </tp>
      <tp t="s">
        <v/>
        <stp/>
        <stp>5162Q6:BstHitPrc</stp>
        <tr r="G800" s="5"/>
      </tp>
    </main>
    <main first="bofaddin.rtdserver">
      <tp>
        <v>0.17</v>
        <stp/>
        <stp>BDP|5575413646484614186|222</stp>
        <stp>CLV8CLX8 Comdty</stp>
        <stp>BID</stp>
        <stp>Fill=#N/A</stp>
        <tr r="N45" s="1"/>
      </tp>
      <tp>
        <v>1.5</v>
        <stp/>
        <stp>BDP|2063680517304879886|222</stp>
        <stp>CLH7CLJ7 Comdty</stp>
        <stp>ASK</stp>
        <stp>Fill=#N/A</stp>
        <tr r="N26" s="1"/>
      </tp>
      <tp>
        <v>0.34</v>
        <stp/>
        <stp>BDP|8070730549028399909|222</stp>
        <stp>CLF8CLG8 Comdty</stp>
        <stp>ASK</stp>
        <stp>Fill=#N/A</stp>
        <tr r="N36" s="1"/>
      </tp>
      <tp>
        <v>2.3199999999999998</v>
        <stp/>
        <stp>BDP|3245558216190403395|222</stp>
        <stp>CLF7CLG7 Comdty</stp>
        <stp>BID</stp>
        <stp>Fill=#N/A</stp>
        <tr r="N24" s="1"/>
      </tp>
      <tp t="s">
        <v>#N/A Invalid Security</v>
        <stp/>
        <stp>BDP|3873360814214490807|222</stp>
        <stp>CLH0CLJ0 Comdty</stp>
        <stp>BID</stp>
        <stp>Fill=#N/A</stp>
        <tr r="N62" s="1"/>
      </tp>
      <tp>
        <v>36.75</v>
        <stp/>
        <stp>BDP|3468942381633831186|222</stp>
        <stp>QSF7QSG7 Comdty</stp>
        <stp>ASK</stp>
        <stp>Fill=#N/A</stp>
        <tr r="P24" s="1"/>
      </tp>
      <tp>
        <v>0.5</v>
        <stp/>
        <stp>BDP|9484957551100318235|222</stp>
        <stp>COU7COV7 Comdty</stp>
        <stp>BID</stp>
        <stp>Fill=#N/A</stp>
        <tr r="O32" s="1"/>
      </tp>
      <tp>
        <v>3.47</v>
        <stp/>
        <stp>BDP|2262728251515948064|222</stp>
        <stp>COX6COZ6 Comdty</stp>
        <stp>BID</stp>
        <stp>Fill=#N/A</stp>
        <tr r="O22" s="1"/>
      </tp>
      <tp>
        <v>-1.5</v>
        <stp/>
        <stp>BDP|4226877143476788561|222</stp>
        <stp>XBF9XBG9 Comdty</stp>
        <stp>BID</stp>
        <stp>Fill=#N/A</stp>
        <tr r="R48" s="1"/>
      </tp>
      <tp t="s">
        <v>#N/A</v>
        <stp/>
        <stp>BDP|14827728267743723934|222</stp>
        <stp>MUCX9Z9 Comdty</stp>
        <stp>ASK</stp>
        <stp>Fill=#N/A</stp>
        <tr r="S58" s="1"/>
      </tp>
      <tp t="s">
        <v>#N/A Invalid Security</v>
        <stp/>
        <stp>BDP|1532587212008474999|222</stp>
        <stp>HOM0HON0 Comdty</stp>
        <stp>BID</stp>
        <stp>Fill=#N/A</stp>
        <tr r="Q65" s="1"/>
      </tp>
      <tp>
        <v>4.63</v>
        <stp/>
        <stp>BDP|9303139511278921602|222</stp>
        <stp>HOX7HOZ7 Comdty</stp>
        <stp>BID</stp>
        <stp>Fill=#N/A</stp>
        <tr r="Q34" s="1"/>
      </tp>
      <tp>
        <v>-10.82</v>
        <stp/>
        <stp>BDP|16348902165515394319|222</stp>
        <stp>MUCV6X6 Comdty</stp>
        <stp>BID</stp>
        <stp>Fill=#N/A</stp>
        <tr r="S21" s="1"/>
      </tp>
    </main>
    <main first="ice.rtd">
      <tp t="s">
        <v/>
        <stp/>
        <stp>29243602Q4:LstDate</stp>
        <tr r="J766" s="5"/>
      </tp>
      <tp t="s">
        <v/>
        <stp/>
        <stp>29243602Q3:LstDate</stp>
        <tr r="J765" s="5"/>
      </tp>
      <tp t="s">
        <v/>
        <stp/>
        <stp>29243602Q2:LstDate</stp>
        <tr r="J764" s="5"/>
      </tp>
      <tp t="s">
        <v/>
        <stp/>
        <stp>29243602Q1:LstDate</stp>
        <tr r="J763" s="5"/>
      </tp>
      <tp t="s">
        <v/>
        <stp/>
        <stp>29243602Q0:LstDate</stp>
        <tr r="J762" s="5"/>
      </tp>
      <tp t="s">
        <v/>
        <stp/>
        <stp>18851683Q8:LstDate</stp>
        <tr r="J226" s="5"/>
      </tp>
      <tp t="s">
        <v/>
        <stp/>
        <stp>18851683Q6:LstDate</stp>
        <tr r="J224" s="5"/>
      </tp>
      <tp t="s">
        <v/>
        <stp/>
        <stp>18851683Q7:LstDate</stp>
        <tr r="J225" s="5"/>
      </tp>
      <tp t="s">
        <v/>
        <stp/>
        <stp>18851683Q4:LstDate</stp>
        <tr r="J222" s="5"/>
      </tp>
      <tp t="s">
        <v/>
        <stp/>
        <stp>18851683Q5:LstDate</stp>
        <tr r="J223" s="5"/>
      </tp>
      <tp t="s">
        <v/>
        <stp/>
        <stp>18851683Q2:LstDate</stp>
        <tr r="J220" s="5"/>
      </tp>
      <tp t="s">
        <v/>
        <stp/>
        <stp>18851683Q3:LstDate</stp>
        <tr r="J221" s="5"/>
      </tp>
      <tp t="s">
        <v/>
        <stp/>
        <stp>18851683Q0:LstDate</stp>
        <tr r="J218" s="5"/>
      </tp>
      <tp t="s">
        <v/>
        <stp/>
        <stp>18851683Q1:LstDate</stp>
        <tr r="J219" s="5"/>
      </tp>
      <tp t="s">
        <v/>
        <stp/>
        <stp>57409036Y2:LstDate</stp>
        <tr r="J267" s="5"/>
      </tp>
      <tp t="s">
        <v/>
        <stp/>
        <stp>57409036Y1:LstDate</stp>
        <tr r="J266" s="5"/>
      </tp>
      <tp t="s">
        <v/>
        <stp/>
        <stp>57409036Y0:LstDate</stp>
        <tr r="J265" s="5"/>
      </tp>
      <tp t="s">
        <v/>
        <stp/>
        <stp>34344092Q4:LstDate</stp>
        <tr r="J1292" s="5"/>
      </tp>
      <tp t="s">
        <v/>
        <stp/>
        <stp>34354093Q4:LstDate</stp>
        <tr r="J1330" s="5"/>
      </tp>
      <tp t="s">
        <v/>
        <stp/>
        <stp>34344092Q5:LstDate</stp>
        <tr r="J1293" s="5"/>
      </tp>
      <tp t="s">
        <v/>
        <stp/>
        <stp>34354093Q5:LstDate</stp>
        <tr r="J1331" s="5"/>
      </tp>
      <tp t="s">
        <v/>
        <stp/>
        <stp>34344092Q6:LstDate</stp>
        <tr r="J1294" s="5"/>
      </tp>
      <tp t="s">
        <v/>
        <stp/>
        <stp>34354093Q6:LstDate</stp>
        <tr r="J1332" s="5"/>
      </tp>
      <tp t="s">
        <v/>
        <stp/>
        <stp>34344092Q7:LstDate</stp>
        <tr r="J1295" s="5"/>
      </tp>
      <tp t="s">
        <v/>
        <stp/>
        <stp>34354093Q7:LstDate</stp>
        <tr r="J1333" s="5"/>
      </tp>
      <tp t="s">
        <v/>
        <stp/>
        <stp>34344092Q0:LstDate</stp>
        <tr r="J1288" s="5"/>
      </tp>
      <tp>
        <v>46267.355745162036</v>
        <stp/>
        <stp>34354093Q0:LstDate</stp>
        <tr r="J1326" s="5"/>
      </tp>
      <tp t="s">
        <v/>
        <stp/>
        <stp>34344092Q1:LstDate</stp>
        <tr r="J1289" s="5"/>
      </tp>
      <tp t="s">
        <v/>
        <stp/>
        <stp>34354093Q1:LstDate</stp>
        <tr r="J1327" s="5"/>
      </tp>
      <tp t="s">
        <v/>
        <stp/>
        <stp>34344092Q2:LstDate</stp>
        <tr r="J1290" s="5"/>
      </tp>
      <tp t="s">
        <v/>
        <stp/>
        <stp>34354093Q2:LstDate</stp>
        <tr r="J1328" s="5"/>
      </tp>
      <tp t="s">
        <v/>
        <stp/>
        <stp>34344092Q3:LstDate</stp>
        <tr r="J1291" s="5"/>
      </tp>
      <tp t="s">
        <v/>
        <stp/>
        <stp>34354093Q3:LstDate</stp>
        <tr r="J1329" s="5"/>
      </tp>
      <tp t="s">
        <v/>
        <stp/>
        <stp>34344092Q8:LstDate</stp>
        <tr r="J1296" s="5"/>
      </tp>
      <tp t="s">
        <v/>
        <stp/>
        <stp>34354093Q8:LstDate</stp>
        <tr r="J1334" s="5"/>
      </tp>
    </main>
    <main first="bofaddin.rtdserver">
      <tp t="s">
        <v>#N/A Real Time</v>
        <stp/>
        <stp>BDP|2723321981101134172|22</stp>
        <stp>COV6C 110.00 Comdty</stp>
        <stp>MID</stp>
        <tr r="C41" s="23"/>
      </tp>
    </main>
    <main first="ice.rtd">
      <tp t="s">
        <v/>
        <stp/>
        <stp>29243602Y0:LstDate</stp>
        <tr r="J767" s="5"/>
      </tp>
      <tp t="s">
        <v/>
        <stp/>
        <stp>18851683Y2:LstDate</stp>
        <tr r="J229" s="5"/>
      </tp>
      <tp t="s">
        <v/>
        <stp/>
        <stp>18851683Y0:LstDate</stp>
        <tr r="J227" s="5"/>
      </tp>
      <tp t="s">
        <v/>
        <stp/>
        <stp>18851683Y1:LstDate</stp>
        <tr r="J228" s="5"/>
      </tp>
      <tp t="s">
        <v/>
        <stp/>
        <stp>57409036Q7:LstDate</stp>
        <tr r="J263" s="5"/>
      </tp>
      <tp t="s">
        <v/>
        <stp/>
        <stp>57409036Q6:LstDate</stp>
        <tr r="J262" s="5"/>
      </tp>
      <tp t="s">
        <v/>
        <stp/>
        <stp>57409036Q5:LstDate</stp>
        <tr r="J261" s="5"/>
      </tp>
      <tp t="s">
        <v/>
        <stp/>
        <stp>57409036Q4:LstDate</stp>
        <tr r="J260" s="5"/>
      </tp>
      <tp t="s">
        <v/>
        <stp/>
        <stp>57409036Q3:LstDate</stp>
        <tr r="J259" s="5"/>
      </tp>
      <tp t="s">
        <v/>
        <stp/>
        <stp>57409036Q2:LstDate</stp>
        <tr r="J258" s="5"/>
      </tp>
      <tp t="s">
        <v/>
        <stp/>
        <stp>57409036Q1:LstDate</stp>
        <tr r="J257" s="5"/>
      </tp>
      <tp t="s">
        <v/>
        <stp/>
        <stp>57409036Q0:LstDate</stp>
        <tr r="J256" s="5"/>
      </tp>
      <tp t="s">
        <v/>
        <stp/>
        <stp>57409036Q8:LstDate</stp>
        <tr r="J264" s="5"/>
      </tp>
      <tp t="s">
        <v/>
        <stp/>
        <stp>34344092Y0:LstDate</stp>
        <tr r="J1297" s="5"/>
      </tp>
      <tp>
        <v>46267.419940659725</v>
        <stp/>
        <stp>34354093Y0:LstDate</stp>
        <tr r="J1335" s="5"/>
      </tp>
      <tp t="s">
        <v/>
        <stp/>
        <stp>34344092Y1:LstDate</stp>
        <tr r="J1298" s="5"/>
      </tp>
      <tp>
        <v>46267.395462002314</v>
        <stp/>
        <stp>34354093Y1:LstDate</stp>
        <tr r="J1336" s="5"/>
      </tp>
      <tp t="s">
        <v/>
        <stp/>
        <stp>34344092Y2:LstDate</stp>
        <tr r="J1299" s="5"/>
      </tp>
      <tp t="s">
        <v/>
        <stp/>
        <stp>34354093Y2:LstDate</stp>
        <tr r="J1337" s="5"/>
      </tp>
      <tp t="s">
        <v/>
        <stp/>
        <stp>57409036M7:LstDate</stp>
        <tr r="J238" s="5"/>
      </tp>
      <tp t="s">
        <v/>
        <stp/>
        <stp>57409036M6:LstDate</stp>
        <tr r="J237" s="5"/>
      </tp>
      <tp t="s">
        <v/>
        <stp/>
        <stp>57409036M5:LstDate</stp>
        <tr r="J236" s="5"/>
      </tp>
      <tp t="s">
        <v/>
        <stp/>
        <stp>57409036M4:LstDate</stp>
        <tr r="J235" s="5"/>
      </tp>
      <tp t="s">
        <v/>
        <stp/>
        <stp>57409036M3:LstDate</stp>
        <tr r="J234" s="5"/>
      </tp>
      <tp t="s">
        <v/>
        <stp/>
        <stp>57409036M2:LstDate</stp>
        <tr r="J233" s="5"/>
      </tp>
      <tp t="s">
        <v/>
        <stp/>
        <stp>57409036M1:LstDate</stp>
        <tr r="J232" s="5"/>
      </tp>
      <tp t="s">
        <v/>
        <stp/>
        <stp>57409036M0:LstDate</stp>
        <tr r="J231" s="5"/>
      </tp>
      <tp t="s">
        <v/>
        <stp/>
        <stp>57409036M9:LstDate</stp>
        <tr r="J240" s="5"/>
      </tp>
      <tp t="s">
        <v/>
        <stp/>
        <stp>57409036M8:LstDate</stp>
        <tr r="J239" s="5"/>
      </tp>
      <tp t="s">
        <v/>
        <stp/>
        <stp>34344092M4:LstDate</stp>
        <tr r="J1267" s="5"/>
      </tp>
      <tp t="s">
        <v/>
        <stp/>
        <stp>34354093M4:LstDate</stp>
        <tr r="J1305" s="5"/>
      </tp>
      <tp t="s">
        <v/>
        <stp/>
        <stp>34344092M5:LstDate</stp>
        <tr r="J1268" s="5"/>
      </tp>
      <tp t="s">
        <v/>
        <stp/>
        <stp>34354093M5:LstDate</stp>
        <tr r="J1306" s="5"/>
      </tp>
      <tp t="s">
        <v/>
        <stp/>
        <stp>34344092M6:LstDate</stp>
        <tr r="J1269" s="5"/>
      </tp>
      <tp t="s">
        <v/>
        <stp/>
        <stp>34354093M6:LstDate</stp>
        <tr r="J1307" s="5"/>
      </tp>
      <tp t="s">
        <v/>
        <stp/>
        <stp>34344092M7:LstDate</stp>
        <tr r="J1270" s="5"/>
      </tp>
      <tp t="s">
        <v/>
        <stp/>
        <stp>34354093M7:LstDate</stp>
        <tr r="J1308" s="5"/>
      </tp>
      <tp t="s">
        <v/>
        <stp/>
        <stp>34344092M0:LstDate</stp>
        <tr r="J1263" s="5"/>
      </tp>
      <tp t="s">
        <v/>
        <stp/>
        <stp>34354093M0:LstDate</stp>
        <tr r="J1301" s="5"/>
      </tp>
      <tp t="s">
        <v/>
        <stp/>
        <stp>34344092M1:LstDate</stp>
        <tr r="J1264" s="5"/>
      </tp>
      <tp>
        <v>46267.435892071757</v>
        <stp/>
        <stp>34354093M1:LstDate</stp>
        <tr r="J1302" s="5"/>
      </tp>
      <tp t="s">
        <v/>
        <stp/>
        <stp>34344092M2:LstDate</stp>
        <tr r="J1265" s="5"/>
      </tp>
      <tp>
        <v>46267.365000972219</v>
        <stp/>
        <stp>34354093M2:LstDate</stp>
        <tr r="J1303" s="5"/>
      </tp>
      <tp t="s">
        <v/>
        <stp/>
        <stp>34344092M3:LstDate</stp>
        <tr r="J1266" s="5"/>
      </tp>
      <tp>
        <v>46267.36399247685</v>
        <stp/>
        <stp>34354093M3:LstDate</stp>
        <tr r="J1304" s="5"/>
      </tp>
      <tp t="s">
        <v/>
        <stp/>
        <stp>34344092M8:LstDate</stp>
        <tr r="J1271" s="5"/>
      </tp>
      <tp t="s">
        <v/>
        <stp/>
        <stp>34354093M8:LstDate</stp>
        <tr r="J1309" s="5"/>
      </tp>
      <tp t="s">
        <v/>
        <stp/>
        <stp>34344092M9:LstDate</stp>
        <tr r="J1272" s="5"/>
      </tp>
      <tp t="s">
        <v/>
        <stp/>
        <stp>34354093M9:LstDate</stp>
        <tr r="J1310" s="5"/>
      </tp>
      <tp t="s">
        <v/>
        <stp/>
        <stp>29243602M9:LstDate</stp>
        <tr r="J755" s="5"/>
      </tp>
      <tp t="s">
        <v/>
        <stp/>
        <stp>29243602M8:LstDate</stp>
        <tr r="J754" s="5"/>
      </tp>
      <tp t="s">
        <v/>
        <stp/>
        <stp>29243602M7:LstDate</stp>
        <tr r="J753" s="5"/>
      </tp>
      <tp t="s">
        <v/>
        <stp/>
        <stp>29243602M6:LstDate</stp>
        <tr r="J752" s="5"/>
      </tp>
      <tp t="s">
        <v/>
        <stp/>
        <stp>29243602M5:LstDate</stp>
        <tr r="J751" s="5"/>
      </tp>
      <tp t="s">
        <v/>
        <stp/>
        <stp>29243602M4:LstDate</stp>
        <tr r="J750" s="5"/>
      </tp>
      <tp t="s">
        <v/>
        <stp/>
        <stp>29243602M3:LstDate</stp>
        <tr r="J749" s="5"/>
      </tp>
      <tp t="s">
        <v/>
        <stp/>
        <stp>29243602M2:LstDate</stp>
        <tr r="J748" s="5"/>
      </tp>
      <tp t="s">
        <v/>
        <stp/>
        <stp>29243602M1:LstDate</stp>
        <tr r="J747" s="5"/>
      </tp>
      <tp t="s">
        <v/>
        <stp/>
        <stp>29243602M0:LstDate</stp>
        <tr r="J746" s="5"/>
      </tp>
      <tp t="s">
        <v/>
        <stp/>
        <stp>18851683M8:LstDate</stp>
        <tr r="J201" s="5"/>
      </tp>
      <tp t="s">
        <v/>
        <stp/>
        <stp>18851683M9:LstDate</stp>
        <tr r="J202" s="5"/>
      </tp>
      <tp t="s">
        <v/>
        <stp/>
        <stp>18851683M6:LstDate</stp>
        <tr r="J199" s="5"/>
      </tp>
      <tp t="s">
        <v/>
        <stp/>
        <stp>18851683M7:LstDate</stp>
        <tr r="J200" s="5"/>
      </tp>
      <tp t="s">
        <v/>
        <stp/>
        <stp>18851683M4:LstDate</stp>
        <tr r="J197" s="5"/>
      </tp>
      <tp t="s">
        <v/>
        <stp/>
        <stp>18851683M5:LstDate</stp>
        <tr r="J198" s="5"/>
      </tp>
      <tp t="s">
        <v/>
        <stp/>
        <stp>18851683M2:LstDate</stp>
        <tr r="J195" s="5"/>
      </tp>
      <tp t="s">
        <v/>
        <stp/>
        <stp>18851683M3:LstDate</stp>
        <tr r="J196" s="5"/>
      </tp>
      <tp t="s">
        <v/>
        <stp/>
        <stp>18851683M0:LstDate</stp>
        <tr r="J193" s="5"/>
      </tp>
      <tp>
        <v>46267.43586834491</v>
        <stp/>
        <stp>18851683M1:LstDate</stp>
        <tr r="J194" s="5"/>
      </tp>
      <tp>
        <v>18578</v>
        <stp/>
        <stp>1517M4:OI</stp>
        <tr r="T7" s="5"/>
      </tp>
      <tp>
        <v>21545</v>
        <stp/>
        <stp>1517M5:OI</stp>
        <tr r="T8" s="5"/>
      </tp>
      <tp>
        <v>17285</v>
        <stp/>
        <stp>1517M6:OI</stp>
        <tr r="T9" s="5"/>
      </tp>
      <tp>
        <v>15120</v>
        <stp/>
        <stp>1517M7:OI</stp>
        <tr r="T10" s="5"/>
      </tp>
      <tp>
        <v>99049</v>
        <stp/>
        <stp>1517M0:OI</stp>
        <tr r="T3" s="5"/>
      </tp>
      <tp>
        <v>73387</v>
        <stp/>
        <stp>1517M1:OI</stp>
        <tr r="T4" s="5"/>
      </tp>
      <tp>
        <v>39512</v>
        <stp/>
        <stp>1517M2:OI</stp>
        <tr r="T5" s="5"/>
      </tp>
      <tp>
        <v>31112</v>
        <stp/>
        <stp>1517M3:OI</stp>
        <tr r="T6" s="5"/>
      </tp>
      <tp>
        <v>10487</v>
        <stp/>
        <stp>1517M8:OI</stp>
        <tr r="T11" s="5"/>
      </tp>
      <tp>
        <v>11453</v>
        <stp/>
        <stp>1517M9:OI</stp>
        <tr r="T12" s="5"/>
      </tp>
      <tp>
        <v>0</v>
        <stp/>
        <stp>1517Y0:OI</stp>
        <tr r="T37" s="5"/>
      </tp>
      <tp>
        <v>0</v>
        <stp/>
        <stp>1517Y1:OI</stp>
        <tr r="T38" s="5"/>
      </tp>
      <tp>
        <v>0</v>
        <stp/>
        <stp>1517Y2:OI</stp>
        <tr r="T39" s="5"/>
      </tp>
      <tp>
        <v>0</v>
        <stp/>
        <stp>1517Q4:OI</stp>
        <tr r="T32" s="5"/>
      </tp>
      <tp>
        <v>0</v>
        <stp/>
        <stp>1517Q5:OI</stp>
        <tr r="T33" s="5"/>
      </tp>
      <tp>
        <v>0</v>
        <stp/>
        <stp>1517Q6:OI</stp>
        <tr r="T34" s="5"/>
      </tp>
      <tp>
        <v>0</v>
        <stp/>
        <stp>1517Q7:OI</stp>
        <tr r="T35" s="5"/>
      </tp>
      <tp>
        <v>0</v>
        <stp/>
        <stp>1517Q0:OI</stp>
        <tr r="T28" s="5"/>
      </tp>
      <tp>
        <v>0</v>
        <stp/>
        <stp>1517Q1:OI</stp>
        <tr r="T29" s="5"/>
      </tp>
      <tp>
        <v>0</v>
        <stp/>
        <stp>1517Q2:OI</stp>
        <tr r="T30" s="5"/>
      </tp>
      <tp>
        <v>0</v>
        <stp/>
        <stp>1517Q3:OI</stp>
        <tr r="T31" s="5"/>
      </tp>
      <tp>
        <v>0</v>
        <stp/>
        <stp>1517Q8:OI</stp>
        <tr r="T36" s="5"/>
      </tp>
      <tp t="s">
        <v/>
        <stp/>
        <stp>34404098M24:BstLiftPrc</stp>
        <tr r="H618" s="5"/>
      </tp>
      <tp t="s">
        <v/>
        <stp/>
        <stp>34414099M24:BstLiftPrc</stp>
        <tr r="H103" s="5"/>
      </tp>
      <tp t="s">
        <v/>
        <stp/>
        <stp>34404098M20:BstLiftPrc</stp>
        <tr r="H614" s="5"/>
      </tp>
      <tp t="s">
        <v/>
        <stp/>
        <stp>34414099M20:BstLiftPrc</stp>
        <tr r="H99" s="5"/>
      </tp>
      <tp t="s">
        <v/>
        <stp/>
        <stp>34404098M21:BstLiftPrc</stp>
        <tr r="H615" s="5"/>
      </tp>
      <tp t="s">
        <v/>
        <stp/>
        <stp>34414099M21:BstLiftPrc</stp>
        <tr r="H100" s="5"/>
      </tp>
      <tp t="s">
        <v/>
        <stp/>
        <stp>34404098M22:BstLiftPrc</stp>
        <tr r="H616" s="5"/>
      </tp>
      <tp t="s">
        <v/>
        <stp/>
        <stp>34414099M22:BstLiftPrc</stp>
        <tr r="H101" s="5"/>
      </tp>
      <tp t="s">
        <v/>
        <stp/>
        <stp>34404098M23:BstLiftPrc</stp>
        <tr r="H617" s="5"/>
      </tp>
      <tp t="s">
        <v/>
        <stp/>
        <stp>34414099M23:BstLiftPrc</stp>
        <tr r="H102" s="5"/>
      </tp>
      <tp t="s">
        <v/>
        <stp/>
        <stp>34404098M14:BstLiftPrc</stp>
        <tr r="H608" s="5"/>
      </tp>
      <tp t="s">
        <v/>
        <stp/>
        <stp>34414099M14:BstLiftPrc</stp>
        <tr r="H93" s="5"/>
      </tp>
      <tp t="s">
        <v/>
        <stp/>
        <stp>34404098M15:BstLiftPrc</stp>
        <tr r="H609" s="5"/>
      </tp>
      <tp t="s">
        <v/>
        <stp/>
        <stp>34414099M15:BstLiftPrc</stp>
        <tr r="H94" s="5"/>
      </tp>
      <tp t="s">
        <v/>
        <stp/>
        <stp>34404098M16:BstLiftPrc</stp>
        <tr r="H610" s="5"/>
      </tp>
      <tp t="s">
        <v/>
        <stp/>
        <stp>34414099M16:BstLiftPrc</stp>
        <tr r="H95" s="5"/>
      </tp>
      <tp t="s">
        <v/>
        <stp/>
        <stp>34404098M17:BstLiftPrc</stp>
        <tr r="H611" s="5"/>
      </tp>
      <tp t="s">
        <v/>
        <stp/>
        <stp>34414099M17:BstLiftPrc</stp>
        <tr r="H96" s="5"/>
      </tp>
      <tp t="s">
        <v/>
        <stp/>
        <stp>34404098M10:BstLiftPrc</stp>
        <tr r="H604" s="5"/>
      </tp>
      <tp t="s">
        <v/>
        <stp/>
        <stp>34414099M10:BstLiftPrc</stp>
        <tr r="H89" s="5"/>
      </tp>
      <tp t="s">
        <v/>
        <stp/>
        <stp>34404098M11:BstLiftPrc</stp>
        <tr r="H605" s="5"/>
      </tp>
      <tp t="s">
        <v/>
        <stp/>
        <stp>34414099M11:BstLiftPrc</stp>
        <tr r="H90" s="5"/>
      </tp>
      <tp t="s">
        <v/>
        <stp/>
        <stp>34404098M12:BstLiftPrc</stp>
        <tr r="H606" s="5"/>
      </tp>
      <tp t="s">
        <v/>
        <stp/>
        <stp>34414099M12:BstLiftPrc</stp>
        <tr r="H91" s="5"/>
      </tp>
      <tp t="s">
        <v/>
        <stp/>
        <stp>34404098M13:BstLiftPrc</stp>
        <tr r="H607" s="5"/>
      </tp>
      <tp t="s">
        <v/>
        <stp/>
        <stp>34414099M13:BstLiftPrc</stp>
        <tr r="H92" s="5"/>
      </tp>
      <tp t="s">
        <v/>
        <stp/>
        <stp>34404098M18:BstLiftPrc</stp>
        <tr r="H612" s="5"/>
      </tp>
      <tp t="s">
        <v/>
        <stp/>
        <stp>34414099M18:BstLiftPrc</stp>
        <tr r="H97" s="5"/>
      </tp>
      <tp t="s">
        <v/>
        <stp/>
        <stp>34404098M19:BstLiftPrc</stp>
        <tr r="H613" s="5"/>
      </tp>
      <tp t="s">
        <v/>
        <stp/>
        <stp>34414099M19:BstLiftPrc</stp>
        <tr r="H98" s="5"/>
      </tp>
      <tp t="s">
        <v/>
        <stp/>
        <stp>266M16:LstBlkVol</stp>
        <tr r="L937" s="5"/>
      </tp>
      <tp t="s">
        <v/>
        <stp/>
        <stp>5162Y1:LstBlkVol</stp>
        <tr r="L804" s="5"/>
      </tp>
      <tp t="s">
        <v/>
        <stp/>
        <stp>5162Q1:LstBlkVol</stp>
        <tr r="L795" s="5"/>
      </tp>
      <tp>
        <v>5</v>
        <stp/>
        <stp>5162M1:LstBlkVol</stp>
        <tr r="L770" s="5"/>
      </tp>
      <tp t="s">
        <v/>
        <stp/>
        <stp>1517Q5:LstBlkVol</stp>
        <tr r="L33" s="5"/>
      </tp>
      <tp>
        <v>50</v>
        <stp/>
        <stp>1517M5:LstBlkVol</stp>
        <tr r="L8" s="5"/>
      </tp>
    </main>
    <main first="esrtd">
      <tp t="s">
        <v/>
        <stp/>
        <stp>WMJ 12!-IEU</stp>
        <stp>Open Interest</stp>
        <tr r="T1894" s="5"/>
      </tp>
      <tp t="s">
        <v/>
        <stp/>
        <stp>WMJ 13!-IEU</stp>
        <stp>Open Interest</stp>
        <tr r="T1895" s="5"/>
      </tp>
      <tp t="s">
        <v/>
        <stp/>
        <stp>WMJ 10!-IEU</stp>
        <stp>Open Interest</stp>
        <tr r="T1892" s="5"/>
      </tp>
      <tp t="s">
        <v/>
        <stp/>
        <stp>WMJ 11!-IEU</stp>
        <stp>Open Interest</stp>
        <tr r="T1893" s="5"/>
      </tp>
      <tp t="s">
        <v/>
        <stp/>
        <stp>WMJ 16!-IEU</stp>
        <stp>Open Interest</stp>
        <tr r="T1898" s="5"/>
      </tp>
      <tp t="s">
        <v/>
        <stp/>
        <stp>WMJ 17!-IEU</stp>
        <stp>Open Interest</stp>
        <tr r="T1899" s="5"/>
      </tp>
      <tp t="s">
        <v/>
        <stp/>
        <stp>WMJ 14!-IEU</stp>
        <stp>Open Interest</stp>
        <tr r="T1896" s="5"/>
      </tp>
      <tp t="s">
        <v/>
        <stp/>
        <stp>WMJ 15!-IEU</stp>
        <stp>Open Interest</stp>
        <tr r="T1897" s="5"/>
      </tp>
      <tp t="s">
        <v/>
        <stp/>
        <stp>WMJ 18!-IEU</stp>
        <stp>Open Interest</stp>
        <tr r="T1900" s="5"/>
      </tp>
      <tp t="s">
        <v/>
        <stp/>
        <stp>WMJ 19!-IEU</stp>
        <stp>Open Interest</stp>
        <tr r="T1901" s="5"/>
      </tp>
      <tp t="s">
        <v/>
        <stp/>
        <stp>WMJ 30!-IEU</stp>
        <stp>Open Interest</stp>
        <tr r="T1912" s="5"/>
      </tp>
      <tp t="s">
        <v/>
        <stp/>
        <stp>WMJ 22!-IEU</stp>
        <stp>Open Interest</stp>
        <tr r="T1904" s="5"/>
      </tp>
      <tp t="s">
        <v/>
        <stp/>
        <stp>WMJ 23!-IEU</stp>
        <stp>Open Interest</stp>
        <tr r="T1905" s="5"/>
      </tp>
      <tp t="s">
        <v/>
        <stp/>
        <stp>WMJ 20!-IEU</stp>
        <stp>Open Interest</stp>
        <tr r="T1902" s="5"/>
      </tp>
      <tp t="s">
        <v/>
        <stp/>
        <stp>WMJ 21!-IEU</stp>
        <stp>Open Interest</stp>
        <tr r="T1903" s="5"/>
      </tp>
      <tp t="s">
        <v/>
        <stp/>
        <stp>WMJ 26!-IEU</stp>
        <stp>Open Interest</stp>
        <tr r="T1908" s="5"/>
      </tp>
      <tp t="s">
        <v/>
        <stp/>
        <stp>WMJ 27!-IEU</stp>
        <stp>Open Interest</stp>
        <tr r="T1909" s="5"/>
      </tp>
      <tp t="s">
        <v/>
        <stp/>
        <stp>WMJ 24!-IEU</stp>
        <stp>Open Interest</stp>
        <tr r="T1906" s="5"/>
      </tp>
      <tp t="s">
        <v/>
        <stp/>
        <stp>WMJ 25!-IEU</stp>
        <stp>Open Interest</stp>
        <tr r="T1907" s="5"/>
      </tp>
      <tp t="s">
        <v/>
        <stp/>
        <stp>WMJ 28!-IEU</stp>
        <stp>Open Interest</stp>
        <tr r="T1910" s="5"/>
      </tp>
      <tp t="s">
        <v/>
        <stp/>
        <stp>WMJ 29!-IEU</stp>
        <stp>Open Interest</stp>
        <tr r="T1911" s="5"/>
      </tp>
      <tp t="s">
        <v/>
        <stp/>
        <stp>WMJ Q2!-IEU</stp>
        <stp>Open Interest</stp>
        <tr r="T1914" s="5"/>
      </tp>
      <tp t="s">
        <v/>
        <stp/>
        <stp>WMJ Q3!-IEU</stp>
        <stp>Open Interest</stp>
        <tr r="T1915" s="5"/>
      </tp>
      <tp t="s">
        <v/>
        <stp/>
        <stp>WMJ Q1!-IEU</stp>
        <stp>Open Interest</stp>
        <tr r="T1913" s="5"/>
      </tp>
      <tp t="s">
        <v/>
        <stp/>
        <stp>WMJ Q4!-IEU</stp>
        <stp>Open Interest</stp>
        <tr r="T1916" s="5"/>
      </tp>
      <tp t="s">
        <v/>
        <stp/>
        <stp>WMJ C2!-IEU</stp>
        <stp>Open Interest</stp>
        <tr r="T1917" s="5"/>
      </tp>
    </main>
    <main first="bofaddin.rtdserver">
      <tp t="s">
        <v>#N/A</v>
        <stp/>
        <stp>BDP|16695465726732922485|222</stp>
        <stp>OQAX28 Comdty</stp>
        <stp>BID</stp>
        <stp>Fill=#N/A</stp>
        <tr r="L45" s="1"/>
      </tp>
    </main>
    <main first="ice.rtd">
      <tp t="s">
        <v/>
        <stp/>
        <stp>1517Q3:LstBlkPrc</stp>
        <tr r="K31" s="5"/>
      </tp>
      <tp>
        <v>2.87</v>
        <stp/>
        <stp>1517M3:LstBlkPrc</stp>
        <tr r="K6" s="5"/>
      </tp>
      <tp t="s">
        <v/>
        <stp/>
        <stp>266M10:LstBlkPrc</stp>
        <tr r="K931" s="5"/>
      </tp>
      <tp t="s">
        <v/>
        <stp/>
        <stp>266M20:LstBlkPrc</stp>
        <tr r="K941" s="5"/>
      </tp>
      <tp t="s">
        <v/>
        <stp/>
        <stp>5162Q7:LstBlkPrc</stp>
        <tr r="K801" s="5"/>
      </tp>
      <tp t="s">
        <v/>
        <stp/>
        <stp>5162M7:LstBlkPrc</stp>
        <tr r="K776" s="5"/>
      </tp>
    </main>
    <main first="bofaddin.rtdserver">
      <tp t="s">
        <v>#N/A</v>
        <stp/>
        <stp>BDP|17407431692710221370|222</stp>
        <stp>OQAV28 Comdty</stp>
        <stp>ASK</stp>
        <stp>Fill=#N/A</stp>
        <tr r="L44" s="1"/>
      </tp>
    </main>
    <main first="ice.rtd">
      <tp>
        <v>2.9</v>
        <stp/>
        <stp>1517M3:BstHitPrc</stp>
        <tr r="G6" s="5"/>
      </tp>
      <tp>
        <v>0.45</v>
        <stp/>
        <stp>1517Q3:BstHitPrc</stp>
        <tr r="G31" s="5"/>
      </tp>
    </main>
    <main first="bofaddin.rtdserver">
      <tp t="s">
        <v>#N/A</v>
        <stp/>
        <stp>BDP|17883132147943972516|222</stp>
        <stp>MUCH27 Comdty</stp>
        <stp>BID</stp>
        <stp>Fill=#N/A</stp>
        <tr r="K25" s="1"/>
      </tp>
      <tp>
        <v>107.38</v>
        <stp/>
        <stp>BDP|15228357100913413154|222</stp>
        <stp>MUCX26 Comdty</stp>
        <stp>BID</stp>
        <stp>Fill=#N/A</stp>
        <tr r="K21" s="1"/>
      </tp>
      <tp t="s">
        <v>#N/A</v>
        <stp/>
        <stp>BDP|14455489339789911124|222</stp>
        <stp>MUCQ29 Comdty</stp>
        <stp>ASK</stp>
        <stp>Fill=#N/A</stp>
        <tr r="K54" s="1"/>
      </tp>
      <tp t="s">
        <v>#N/A</v>
        <stp/>
        <stp>BDP|16118962443005443885|222</stp>
        <stp>OQAF28 Comdty</stp>
        <stp>BID</stp>
        <stp>Fill=#N/A</stp>
        <tr r="L35" s="1"/>
      </tp>
      <tp t="s">
        <v>#N/A</v>
        <stp/>
        <stp>BDP|17156188272170166825|222</stp>
        <stp>OQAZ28 Comdty</stp>
        <stp>ASK</stp>
        <stp>Fill=#N/A</stp>
        <tr r="L46" s="1"/>
      </tp>
    </main>
    <main first="ice.rtd">
      <tp t="s">
        <v/>
        <stp/>
        <stp>266M20:BstHitPrc</stp>
        <tr r="G941" s="5"/>
      </tp>
      <tp t="s">
        <v/>
        <stp/>
        <stp>266M10:BstHitPrc</stp>
        <tr r="G931" s="5"/>
      </tp>
      <tp t="s">
        <v/>
        <stp/>
        <stp>5162M7:BstHitPrc</stp>
        <tr r="G776" s="5"/>
      </tp>
      <tp t="s">
        <v/>
        <stp/>
        <stp>5162Q7:BstHitPrc</stp>
        <tr r="G801" s="5"/>
      </tp>
      <tp t="s">
        <v/>
        <stp/>
        <stp>3016030250BM0:LstBlkTime</stp>
        <tr r="M1682" s="5"/>
      </tp>
    </main>
    <main first="bofaddin.rtdserver">
      <tp>
        <v>2.73</v>
        <stp/>
        <stp>BDP|4075538077132569601|222</stp>
        <stp>XBJ7XBK7 Comdty</stp>
        <stp>BID</stp>
        <stp>Fill=#N/A</stp>
        <tr r="R27" s="1"/>
      </tp>
      <tp>
        <v>3.69</v>
        <stp/>
        <stp>BDP|7954660867961915724|222</stp>
        <stp>HOF8HOG8 Comdty</stp>
        <stp>BID</stp>
        <stp>Fill=#N/A</stp>
        <tr r="Q36" s="1"/>
      </tp>
      <tp t="s">
        <v>#N/A Invalid Security</v>
        <stp/>
        <stp>BDP|3291463227059399898|222</stp>
        <stp>CLM0CLN0 Comdty</stp>
        <stp>BID</stp>
        <stp>Fill=#N/A</stp>
        <tr r="N65" s="1"/>
      </tp>
      <tp>
        <v>0.81</v>
        <stp/>
        <stp>BDP|1121957933011684816|222</stp>
        <stp>COM7CON7 Comdty</stp>
        <stp>BID</stp>
        <stp>Fill=#N/A</stp>
        <tr r="O29" s="1"/>
      </tp>
      <tp t="s">
        <v>#N/A</v>
        <stp/>
        <stp>BDP|2102882838619831062|222</stp>
        <stp>QSH0QSJ0 Comdty</stp>
        <stp>ASK</stp>
        <stp>Fill=#N/A</stp>
        <tr r="P62" s="1"/>
      </tp>
      <tp t="s">
        <v>#N/A Invalid Security</v>
        <stp/>
        <stp>BDP|6400315682057989649|222</stp>
        <stp>HOM0HON0 Comdty</stp>
        <stp>ASK</stp>
        <stp>Fill=#N/A</stp>
        <tr r="Q65" s="1"/>
      </tp>
      <tp t="s">
        <v>#N/A</v>
        <stp/>
        <stp>BDP|3228722702062873902|222</stp>
        <stp>CLX9CLZ9 Comdty</stp>
        <stp>ASK</stp>
        <stp>Fill=#N/A</stp>
        <tr r="N58" s="1"/>
      </tp>
      <tp>
        <v>1.7</v>
        <stp/>
        <stp>BDP|4322896193959151153|222</stp>
        <stp>XBM8XBN8 Comdty</stp>
        <stp>BID</stp>
        <stp>Fill=#N/A</stp>
        <tr r="R41" s="1"/>
      </tp>
      <tp t="s">
        <v>#N/A</v>
        <stp/>
        <stp>BDP|15919462973550659497|222</stp>
        <stp>OQAQ7U7 Comdty</stp>
        <stp>ASK</stp>
        <stp>Fill=#N/A</stp>
        <tr r="T31" s="1"/>
      </tp>
      <tp>
        <v>6</v>
        <stp/>
        <stp>BDP|3248665599156079944|222</stp>
        <stp>QSQ8QSU8 Comdty</stp>
        <stp>ASK</stp>
        <stp>Fill=#N/A</stp>
        <tr r="P43" s="1"/>
      </tp>
      <tp t="s">
        <v>#N/A</v>
        <stp/>
        <stp>BDP|1868203649280567542|222</stp>
        <stp>XBQ9XBU9 Comdty</stp>
        <stp>ASK</stp>
        <stp>Fill=#N/A</stp>
        <tr r="R55" s="1"/>
      </tp>
      <tp t="s">
        <v>#N/A</v>
        <stp/>
        <stp>BDP|5685680553004370371|222</stp>
        <stp>QSK0QSM0 Comdty</stp>
        <stp>BID</stp>
        <stp>Fill=#N/A</stp>
        <tr r="P64" s="1"/>
      </tp>
      <tp t="s">
        <v>#N/A</v>
        <stp/>
        <stp>BDP|6476008680970307850|222</stp>
        <stp>HOJ9HOK9 Comdty</stp>
        <stp>ASK</stp>
        <stp>Fill=#N/A</stp>
        <tr r="Q51" s="1"/>
      </tp>
    </main>
    <main first="ice.rtd">
      <tp t="s">
        <v/>
        <stp/>
        <stp>266419Y2:LstDate</stp>
        <tr r="J995" s="5"/>
      </tp>
      <tp t="s">
        <v/>
        <stp/>
        <stp>266419Y0:LstDate</stp>
        <tr r="J993" s="5"/>
      </tp>
      <tp t="s">
        <v/>
        <stp/>
        <stp>266419Y1:LstDate</stp>
        <tr r="J994" s="5"/>
      </tp>
      <tp t="s">
        <v/>
        <stp/>
        <stp>18901687Q8:LstDate</stp>
        <tr r="J340" s="5"/>
      </tp>
      <tp t="s">
        <v/>
        <stp/>
        <stp>18901687Q6:LstDate</stp>
        <tr r="J338" s="5"/>
      </tp>
      <tp t="s">
        <v/>
        <stp/>
        <stp>18901687Q7:LstDate</stp>
        <tr r="J339" s="5"/>
      </tp>
      <tp t="s">
        <v/>
        <stp/>
        <stp>18901687Q4:LstDate</stp>
        <tr r="J336" s="5"/>
      </tp>
      <tp t="s">
        <v/>
        <stp/>
        <stp>18901687Q5:LstDate</stp>
        <tr r="J337" s="5"/>
      </tp>
      <tp t="s">
        <v/>
        <stp/>
        <stp>18901687Q2:LstDate</stp>
        <tr r="J334" s="5"/>
      </tp>
      <tp t="s">
        <v/>
        <stp/>
        <stp>18901687Q3:LstDate</stp>
        <tr r="J335" s="5"/>
      </tp>
      <tp t="s">
        <v/>
        <stp/>
        <stp>18901687Q0:LstDate</stp>
        <tr r="J332" s="5"/>
      </tp>
      <tp t="s">
        <v/>
        <stp/>
        <stp>18901687Q1:LstDate</stp>
        <tr r="J333" s="5"/>
      </tp>
      <tp t="s">
        <v>Invalid Market: 57179020Y1</v>
        <stp/>
        <stp>57179020Y1:LstDate</stp>
        <tr r="J1581" s="5"/>
      </tp>
      <tp t="s">
        <v/>
        <stp/>
        <stp>57179020Y0:LstDate</stp>
        <tr r="J1580" s="5"/>
      </tp>
      <tp t="s">
        <v/>
        <stp/>
        <stp>266419Q8:LstDate</stp>
        <tr r="J992" s="5"/>
      </tp>
      <tp t="s">
        <v/>
        <stp/>
        <stp>266419Q6:LstDate</stp>
        <tr r="J990" s="5"/>
      </tp>
      <tp t="s">
        <v/>
        <stp/>
        <stp>266419Q7:LstDate</stp>
        <tr r="J991" s="5"/>
      </tp>
      <tp t="s">
        <v/>
        <stp/>
        <stp>266419Q4:LstDate</stp>
        <tr r="J988" s="5"/>
      </tp>
      <tp t="s">
        <v/>
        <stp/>
        <stp>266419Q5:LstDate</stp>
        <tr r="J989" s="5"/>
      </tp>
      <tp t="s">
        <v/>
        <stp/>
        <stp>266419Q2:LstDate</stp>
        <tr r="J986" s="5"/>
      </tp>
      <tp t="s">
        <v/>
        <stp/>
        <stp>266419Q3:LstDate</stp>
        <tr r="J987" s="5"/>
      </tp>
      <tp t="s">
        <v/>
        <stp/>
        <stp>266419Q0:LstDate</stp>
        <tr r="J984" s="5"/>
      </tp>
      <tp t="s">
        <v/>
        <stp/>
        <stp>266419Q1:LstDate</stp>
        <tr r="J985" s="5"/>
      </tp>
      <tp t="s">
        <v>Invalid Market: 18901687Y2</v>
        <stp/>
        <stp>18901687Y2:LstDate</stp>
        <tr r="J343" s="5"/>
      </tp>
      <tp t="s">
        <v/>
        <stp/>
        <stp>18901687Y0:LstDate</stp>
        <tr r="J341" s="5"/>
      </tp>
      <tp t="s">
        <v/>
        <stp/>
        <stp>18901687Y1:LstDate</stp>
        <tr r="J342" s="5"/>
      </tp>
      <tp t="s">
        <v>Invalid Market: 57179020Q7</v>
        <stp/>
        <stp>57179020Q7:LstDate</stp>
        <tr r="J1579" s="5"/>
      </tp>
      <tp t="s">
        <v>Invalid Market: 57179020Q6</v>
        <stp/>
        <stp>57179020Q6:LstDate</stp>
        <tr r="J1578" s="5"/>
      </tp>
      <tp t="s">
        <v>Invalid Market: 57179020Q5</v>
        <stp/>
        <stp>57179020Q5:LstDate</stp>
        <tr r="J1577" s="5"/>
      </tp>
      <tp t="s">
        <v/>
        <stp/>
        <stp>57179020Q4:LstDate</stp>
        <tr r="J1576" s="5"/>
      </tp>
      <tp t="s">
        <v/>
        <stp/>
        <stp>57179020Q3:LstDate</stp>
        <tr r="J1575" s="5"/>
      </tp>
      <tp t="s">
        <v/>
        <stp/>
        <stp>57179020Q2:LstDate</stp>
        <tr r="J1574" s="5"/>
      </tp>
      <tp t="s">
        <v/>
        <stp/>
        <stp>57179020Q1:LstDate</stp>
        <tr r="J1573" s="5"/>
      </tp>
      <tp t="s">
        <v/>
        <stp/>
        <stp>57179020Q0:LstDate</stp>
        <tr r="J1572" s="5"/>
      </tp>
      <tp t="s">
        <v/>
        <stp/>
        <stp>57179020M7:LstDate</stp>
        <tr r="J1554" s="5"/>
      </tp>
      <tp t="s">
        <v/>
        <stp/>
        <stp>57179020M6:LstDate</stp>
        <tr r="J1553" s="5"/>
      </tp>
      <tp t="s">
        <v/>
        <stp/>
        <stp>57179020M5:LstDate</stp>
        <tr r="J1552" s="5"/>
      </tp>
      <tp t="s">
        <v/>
        <stp/>
        <stp>57179020M4:LstDate</stp>
        <tr r="J1551" s="5"/>
      </tp>
      <tp t="s">
        <v/>
        <stp/>
        <stp>57179020M3:LstDate</stp>
        <tr r="J1550" s="5"/>
      </tp>
      <tp t="s">
        <v/>
        <stp/>
        <stp>57179020M2:LstDate</stp>
        <tr r="J1549" s="5"/>
      </tp>
      <tp t="s">
        <v/>
        <stp/>
        <stp>57179020M1:LstDate</stp>
        <tr r="J1548" s="5"/>
      </tp>
      <tp t="s">
        <v/>
        <stp/>
        <stp>57179020M0:LstDate</stp>
        <tr r="J1547" s="5"/>
      </tp>
      <tp t="s">
        <v/>
        <stp/>
        <stp>57179020M9:LstDate</stp>
        <tr r="J1556" s="5"/>
      </tp>
      <tp t="s">
        <v/>
        <stp/>
        <stp>57179020M8:LstDate</stp>
        <tr r="J1555" s="5"/>
      </tp>
      <tp t="s">
        <v/>
        <stp/>
        <stp>266419M8:LstDate</stp>
        <tr r="J967" s="5"/>
      </tp>
      <tp t="s">
        <v/>
        <stp/>
        <stp>266419M9:LstDate</stp>
        <tr r="J968" s="5"/>
      </tp>
      <tp t="s">
        <v/>
        <stp/>
        <stp>266419M6:LstDate</stp>
        <tr r="J965" s="5"/>
      </tp>
      <tp t="s">
        <v/>
        <stp/>
        <stp>266419M7:LstDate</stp>
        <tr r="J966" s="5"/>
      </tp>
      <tp t="s">
        <v/>
        <stp/>
        <stp>266419M4:LstDate</stp>
        <tr r="J963" s="5"/>
      </tp>
      <tp t="s">
        <v/>
        <stp/>
        <stp>266419M5:LstDate</stp>
        <tr r="J964" s="5"/>
      </tp>
      <tp t="s">
        <v/>
        <stp/>
        <stp>266419M2:LstDate</stp>
        <tr r="J961" s="5"/>
      </tp>
      <tp t="s">
        <v/>
        <stp/>
        <stp>266419M3:LstDate</stp>
        <tr r="J962" s="5"/>
      </tp>
      <tp t="s">
        <v/>
        <stp/>
        <stp>266419M0:LstDate</stp>
        <tr r="J959" s="5"/>
      </tp>
      <tp t="s">
        <v/>
        <stp/>
        <stp>266419M1:LstDate</stp>
        <tr r="J960" s="5"/>
      </tp>
      <tp t="s">
        <v/>
        <stp/>
        <stp>18901687M8:LstDate</stp>
        <tr r="J315" s="5"/>
      </tp>
      <tp t="s">
        <v/>
        <stp/>
        <stp>18901687M9:LstDate</stp>
        <tr r="J316" s="5"/>
      </tp>
      <tp t="s">
        <v/>
        <stp/>
        <stp>18901687M6:LstDate</stp>
        <tr r="J313" s="5"/>
      </tp>
      <tp t="s">
        <v/>
        <stp/>
        <stp>18901687M7:LstDate</stp>
        <tr r="J314" s="5"/>
      </tp>
      <tp t="s">
        <v/>
        <stp/>
        <stp>18901687M4:LstDate</stp>
        <tr r="J311" s="5"/>
      </tp>
      <tp t="s">
        <v/>
        <stp/>
        <stp>18901687M5:LstDate</stp>
        <tr r="J312" s="5"/>
      </tp>
      <tp t="s">
        <v/>
        <stp/>
        <stp>18901687M2:LstDate</stp>
        <tr r="J309" s="5"/>
      </tp>
      <tp t="s">
        <v/>
        <stp/>
        <stp>18901687M3:LstDate</stp>
        <tr r="J310" s="5"/>
      </tp>
      <tp t="s">
        <v/>
        <stp/>
        <stp>18901687M0:LstDate</stp>
        <tr r="J307" s="5"/>
      </tp>
      <tp t="s">
        <v/>
        <stp/>
        <stp>18901687M1:LstDate</stp>
        <tr r="J308" s="5"/>
      </tp>
      <tp t="s">
        <v/>
        <stp/>
        <stp>161913535MM16:LstPrc</stp>
        <tr r="I2043" s="5"/>
      </tp>
      <tp t="s">
        <v/>
        <stp/>
        <stp>161913535MM17:LstPrc</stp>
        <tr r="I2044" s="5"/>
      </tp>
      <tp t="s">
        <v/>
        <stp/>
        <stp>161913535MM14:LstPrc</stp>
        <tr r="I2041" s="5"/>
      </tp>
      <tp t="s">
        <v/>
        <stp/>
        <stp>161913535MM15:LstPrc</stp>
        <tr r="I2042" s="5"/>
      </tp>
      <tp>
        <v>6.3</v>
        <stp/>
        <stp>161913535MM12:LstPrc</stp>
        <tr r="I2039" s="5"/>
      </tp>
      <tp t="s">
        <v/>
        <stp/>
        <stp>161913535MM13:LstPrc</stp>
        <tr r="I2040" s="5"/>
      </tp>
      <tp t="s">
        <v/>
        <stp/>
        <stp>161913535MM10:LstPrc</stp>
        <tr r="I2037" s="5"/>
      </tp>
      <tp t="s">
        <v/>
        <stp/>
        <stp>161913535MM11:LstPrc</stp>
        <tr r="I2038" s="5"/>
      </tp>
      <tp t="s">
        <v/>
        <stp/>
        <stp>161913535MM18:LstPrc</stp>
        <tr r="I2045" s="5"/>
      </tp>
      <tp t="s">
        <v/>
        <stp/>
        <stp>161913535MM19:LstPrc</stp>
        <tr r="I2046" s="5"/>
      </tp>
      <tp t="s">
        <v/>
        <stp/>
        <stp>161913535MM26:LstPrc</stp>
        <tr r="I2053" s="5"/>
      </tp>
      <tp t="s">
        <v/>
        <stp/>
        <stp>161913535MM27:LstPrc</stp>
        <tr r="I2054" s="5"/>
      </tp>
      <tp t="s">
        <v/>
        <stp/>
        <stp>161913535MM24:LstPrc</stp>
        <tr r="I2051" s="5"/>
      </tp>
      <tp t="s">
        <v/>
        <stp/>
        <stp>161913535MM25:LstPrc</stp>
        <tr r="I2052" s="5"/>
      </tp>
      <tp>
        <v>5.2</v>
        <stp/>
        <stp>161913535MM22:LstPrc</stp>
        <tr r="I2049" s="5"/>
      </tp>
      <tp t="s">
        <v/>
        <stp/>
        <stp>161913535MM23:LstPrc</stp>
        <tr r="I2050" s="5"/>
      </tp>
      <tp t="s">
        <v/>
        <stp/>
        <stp>161913535MM20:LstPrc</stp>
        <tr r="I2047" s="5"/>
      </tp>
      <tp t="s">
        <v/>
        <stp/>
        <stp>161913535MM21:LstPrc</stp>
        <tr r="I2048" s="5"/>
      </tp>
      <tp>
        <v>0</v>
        <stp/>
        <stp>DBI1227QQ1:Vol</stp>
        <tr r="N1680" s="5"/>
      </tp>
      <tp>
        <v>0</v>
        <stp/>
        <stp>DBI1227QQ0:Vol</stp>
        <tr r="N1679" s="5"/>
      </tp>
      <tp t="s">
        <v/>
        <stp/>
        <stp>266M11:LstBlkVol</stp>
        <tr r="L932" s="5"/>
      </tp>
      <tp t="s">
        <v/>
        <stp/>
        <stp>266M21:LstBlkVol</stp>
        <tr r="L942" s="5"/>
      </tp>
      <tp t="s">
        <v/>
        <stp/>
        <stp>5162Q6:LstBlkVol</stp>
        <tr r="L800" s="5"/>
      </tp>
      <tp t="s">
        <v/>
        <stp/>
        <stp>5162M6:LstBlkVol</stp>
        <tr r="L775" s="5"/>
      </tp>
      <tp t="s">
        <v/>
        <stp/>
        <stp>141587M18:BstLiftPrc</stp>
        <tr r="H59" s="5"/>
      </tp>
      <tp t="s">
        <v/>
        <stp/>
        <stp>141587M19:BstLiftPrc</stp>
        <tr r="H60" s="5"/>
      </tp>
      <tp t="s">
        <v/>
        <stp/>
        <stp>141587M16:BstLiftPrc</stp>
        <tr r="H57" s="5"/>
      </tp>
      <tp t="s">
        <v/>
        <stp/>
        <stp>141587M17:BstLiftPrc</stp>
        <tr r="H58" s="5"/>
      </tp>
      <tp t="s">
        <v/>
        <stp/>
        <stp>141587M14:BstLiftPrc</stp>
        <tr r="H55" s="5"/>
      </tp>
      <tp t="s">
        <v/>
        <stp/>
        <stp>141587M15:BstLiftPrc</stp>
        <tr r="H56" s="5"/>
      </tp>
      <tp t="s">
        <v/>
        <stp/>
        <stp>141587M12:BstLiftPrc</stp>
        <tr r="H53" s="5"/>
      </tp>
      <tp t="s">
        <v/>
        <stp/>
        <stp>141587M13:BstLiftPrc</stp>
        <tr r="H54" s="5"/>
      </tp>
      <tp t="s">
        <v/>
        <stp/>
        <stp>141587M10:BstLiftPrc</stp>
        <tr r="H51" s="5"/>
      </tp>
      <tp t="s">
        <v/>
        <stp/>
        <stp>141587M11:BstLiftPrc</stp>
        <tr r="H52" s="5"/>
      </tp>
      <tp t="s">
        <v/>
        <stp/>
        <stp>141587M24:BstLiftPrc</stp>
        <tr r="H65" s="5"/>
      </tp>
      <tp t="s">
        <v/>
        <stp/>
        <stp>141587M22:BstLiftPrc</stp>
        <tr r="H63" s="5"/>
      </tp>
      <tp t="s">
        <v/>
        <stp/>
        <stp>141587M23:BstLiftPrc</stp>
        <tr r="H64" s="5"/>
      </tp>
      <tp t="s">
        <v/>
        <stp/>
        <stp>141587M20:BstLiftPrc</stp>
        <tr r="H61" s="5"/>
      </tp>
      <tp t="s">
        <v/>
        <stp/>
        <stp>141587M21:BstLiftPrc</stp>
        <tr r="H62" s="5"/>
      </tp>
      <tp t="s">
        <v/>
        <stp/>
        <stp>1517Y2:LstBlkVol</stp>
        <tr r="L39" s="5"/>
      </tp>
      <tp>
        <v>100</v>
        <stp/>
        <stp>1517Q2:LstBlkVol</stp>
        <tr r="L30" s="5"/>
      </tp>
      <tp>
        <v>50</v>
        <stp/>
        <stp>1517M2:LstBlkVol</stp>
        <tr r="L5" s="5"/>
      </tp>
    </main>
    <main first="bofaddin.rtdserver">
      <tp t="s">
        <v>#N/A</v>
        <stp/>
        <stp>BDP|14561584972547956261|222</stp>
        <stp>MUCN28 Comdty</stp>
        <stp>BID</stp>
        <stp>Fill=#N/A</stp>
        <tr r="K41" s="1"/>
      </tp>
      <tp t="s">
        <v>#N/A</v>
        <stp/>
        <stp>BDP|17681454603010152244|222</stp>
        <stp>OQAV29 Comdty</stp>
        <stp>BID</stp>
        <stp>Fill=#N/A</stp>
        <tr r="L56" s="1"/>
      </tp>
    </main>
    <main first="ice.rtd">
      <tp t="s">
        <v/>
        <stp/>
        <stp>1517Q4:LstBlkPrc</stp>
        <tr r="K32" s="5"/>
      </tp>
      <tp>
        <v>2.16</v>
        <stp/>
        <stp>1517M4:LstBlkPrc</stp>
        <tr r="K7" s="5"/>
      </tp>
      <tp t="s">
        <v/>
        <stp/>
        <stp>266M17:LstBlkPrc</stp>
        <tr r="K938" s="5"/>
      </tp>
      <tp t="s">
        <v/>
        <stp/>
        <stp>5162Y0:LstBlkPrc</stp>
        <tr r="K803" s="5"/>
      </tp>
      <tp t="s">
        <v/>
        <stp/>
        <stp>5162Q0:LstBlkPrc</stp>
        <tr r="K794" s="5"/>
      </tp>
      <tp t="s">
        <v/>
        <stp/>
        <stp>5162M0:LstBlkPrc</stp>
        <tr r="K769" s="5"/>
      </tp>
    </main>
    <main first="bofaddin.rtdserver">
      <tp t="s">
        <v>#N/A</v>
        <stp/>
        <stp>BDP|14300029100583914971|222</stp>
        <stp>OQAH29 Comdty</stp>
        <stp>ASK</stp>
        <stp>Fill=#N/A</stp>
        <tr r="L49" s="1"/>
      </tp>
    </main>
    <main first="ice.rtd">
      <tp>
        <v>2.0499999999999998</v>
        <stp/>
        <stp>1517M4:BstHitPrc</stp>
        <tr r="G7" s="5"/>
      </tp>
      <tp>
        <v>0.4</v>
        <stp/>
        <stp>1517Q4:BstHitPrc</stp>
        <tr r="G32" s="5"/>
      </tp>
    </main>
    <main first="bofaddin.rtdserver">
      <tp t="s">
        <v>#N/A</v>
        <stp/>
        <stp>BDP|11398633384611098089|222</stp>
        <stp>OQAF28 Comdty</stp>
        <stp>ASK</stp>
        <stp>Fill=#N/A</stp>
        <tr r="L35" s="1"/>
      </tp>
      <tp t="s">
        <v>#N/A</v>
        <stp/>
        <stp>BDP|17520583305205636650|222</stp>
        <stp>OQAZ29 Comdty</stp>
        <stp>BID</stp>
        <stp>Fill=#N/A</stp>
        <tr r="L58" s="1"/>
      </tp>
      <tp t="s">
        <v>#N/A</v>
        <stp/>
        <stp>BDP|13020401399039546643|222</stp>
        <stp>OQAN28 Comdty</stp>
        <stp>BID</stp>
        <stp>Fill=#N/A</stp>
        <tr r="L41" s="1"/>
      </tp>
      <tp t="s">
        <v>#N/A</v>
        <stp/>
        <stp>BDP|15314271271775274646|222</stp>
        <stp>MUCJ27 Comdty</stp>
        <stp>BID</stp>
        <stp>Fill=#N/A</stp>
        <tr r="K26" s="1"/>
      </tp>
    </main>
    <main first="ice.rtd">
      <tp t="s">
        <v/>
        <stp/>
        <stp>266M17:BstHitPrc</stp>
        <tr r="G938" s="5"/>
      </tp>
      <tp t="s">
        <v/>
        <stp/>
        <stp>5162M0:BstHitPrc</stp>
        <tr r="G769" s="5"/>
      </tp>
      <tp t="s">
        <v/>
        <stp/>
        <stp>5162Q0:BstHitPrc</stp>
        <tr r="G794" s="5"/>
      </tp>
      <tp t="s">
        <v/>
        <stp/>
        <stp>5162Y0:BstHitPrc</stp>
        <tr r="G803" s="5"/>
      </tp>
    </main>
    <main first="bofaddin.rtdserver">
      <tp>
        <v>24.5</v>
        <stp/>
        <stp>BDP|2146672971487219925|222</stp>
        <stp>QSK7QSM7 Comdty</stp>
        <stp>ASK</stp>
        <stp>Fill=#N/A</stp>
        <tr r="P28" s="1"/>
      </tp>
      <tp t="s">
        <v>#N/A</v>
        <stp/>
        <stp>BDP|6871007041688667651|222</stp>
        <stp>COJ0COK0 Comdty</stp>
        <stp>ASK</stp>
        <stp>Fill=#N/A</stp>
        <tr r="O63" s="1"/>
      </tp>
      <tp t="s">
        <v>#N/A Invalid Security</v>
        <stp/>
        <stp>BDP|3088589709743760372|222</stp>
        <stp>HOH0HOJ0 Comdty</stp>
        <stp>ASK</stp>
        <stp>Fill=#N/A</stp>
        <tr r="Q62" s="1"/>
      </tp>
      <tp t="s">
        <v>#N/A Invalid Security</v>
        <stp/>
        <stp>BDP|4129221011988176870|222</stp>
        <stp>HOH0HOJ0 Comdty</stp>
        <stp>BID</stp>
        <stp>Fill=#N/A</stp>
        <tr r="Q62" s="1"/>
      </tp>
      <tp>
        <v>18.25</v>
        <stp/>
        <stp>BDP|9824892709574401416|222</stp>
        <stp>QSM7QSN7 Comdty</stp>
        <stp>ASK</stp>
        <stp>Fill=#N/A</stp>
        <tr r="P29" s="1"/>
      </tp>
      <tp t="s">
        <v>#N/A</v>
        <stp/>
        <stp>BDP|7510506528403780087|222</stp>
        <stp>HOU9HOV9 Comdty</stp>
        <stp>BID</stp>
        <stp>Fill=#N/A</stp>
        <tr r="Q56" s="1"/>
      </tp>
      <tp>
        <v>13.21</v>
        <stp/>
        <stp>BDP|5145082156491729460|222</stp>
        <stp>HOG7HOH7 Comdty</stp>
        <stp>BID</stp>
        <stp>Fill=#N/A</stp>
        <tr r="Q25" s="1"/>
      </tp>
      <tp>
        <v>6.54</v>
        <stp/>
        <stp>BDP|4721988475327233091|222</stp>
        <stp>XBQ7XBU7 Comdty</stp>
        <stp>BID</stp>
        <stp>Fill=#N/A</stp>
        <tr r="R31" s="1"/>
      </tp>
      <tp>
        <v>0.2</v>
        <stp/>
        <stp>BDP|3300780558775051529|222</stp>
        <stp>CLQ8CLU8 Comdty</stp>
        <stp>BID</stp>
        <stp>Fill=#N/A</stp>
        <tr r="N43" s="1"/>
      </tp>
      <tp>
        <v>2.76</v>
        <stp/>
        <stp>BDP|9876664309820824908|222</stp>
        <stp>XBJ7XBK7 Comdty</stp>
        <stp>ASK</stp>
        <stp>Fill=#N/A</stp>
        <tr r="R27" s="1"/>
      </tp>
      <tp t="s">
        <v>#N/A</v>
        <stp/>
        <stp>BDP|13489120502753082999|222</stp>
        <stp>MUCV8X8 Comdty</stp>
        <stp>ASK</stp>
        <stp>Fill=#N/A</stp>
        <tr r="S45" s="1"/>
      </tp>
      <tp>
        <v>1.98</v>
        <stp/>
        <stp>BDP|885347016432342108|22</stp>
        <stp>CLZ9CLZ0 Comdty</stp>
        <stp>ASK</stp>
        <tr r="B5" s="3"/>
      </tp>
      <tp>
        <v>-7.11</v>
        <stp/>
        <stp>BDP|16384017068102386347|222</stp>
        <stp>MUCV6X6 Comdty</stp>
        <stp>ASK</stp>
        <stp>Fill=#N/A</stp>
        <tr r="S21" s="1"/>
      </tp>
      <tp>
        <v>1.54</v>
        <stp/>
        <stp>BDP|6226114071176810394|222</stp>
        <stp>COH7COJ7 Comdty</stp>
        <stp>ASK</stp>
        <stp>Fill=#N/A</stp>
        <tr r="O26" s="1"/>
      </tp>
      <tp>
        <v>4.46</v>
        <stp/>
        <stp>BDP|7332134898426359120|222</stp>
        <stp>XBK7XBM7 Comdty</stp>
        <stp>ASK</stp>
        <stp>Fill=#N/A</stp>
        <tr r="R28" s="1"/>
      </tp>
      <tp>
        <v>1.5</v>
        <stp/>
        <stp>BDP|4095908107149020003|222</stp>
        <stp>QSV9QSX9 Comdty</stp>
        <stp>BID</stp>
        <stp>Fill=#N/A</stp>
        <tr r="P57" s="1"/>
      </tp>
      <tp>
        <v>6.25</v>
        <stp/>
        <stp>BDP|3062386060615533566|222</stp>
        <stp>QSM9QSN9 Comdty</stp>
        <stp>ASK</stp>
        <stp>Fill=#N/A</stp>
        <tr r="P53" s="1"/>
      </tp>
    </main>
    <main first="ice.rtd">
      <tp t="s">
        <v/>
        <stp/>
        <stp>16331513Q3:LstDate</stp>
        <tr r="J1443" s="5"/>
      </tp>
      <tp t="s">
        <v/>
        <stp/>
        <stp>16341514Q3:LstDate</stp>
        <tr r="J1481" s="5"/>
      </tp>
      <tp t="s">
        <v/>
        <stp/>
        <stp>16351515Q3:LstDate</stp>
        <tr r="J1519" s="5"/>
      </tp>
      <tp t="s">
        <v/>
        <stp/>
        <stp>30813691Q6:LstDate</stp>
        <tr r="J1984" s="5"/>
      </tp>
      <tp t="s">
        <v/>
        <stp/>
        <stp>16331513Q2:LstDate</stp>
        <tr r="J1442" s="5"/>
      </tp>
      <tp t="s">
        <v/>
        <stp/>
        <stp>16341514Q2:LstDate</stp>
        <tr r="J1480" s="5"/>
      </tp>
      <tp t="s">
        <v/>
        <stp/>
        <stp>16351515Q2:LstDate</stp>
        <tr r="J1518" s="5"/>
      </tp>
      <tp t="s">
        <v/>
        <stp/>
        <stp>30813691Q7:LstDate</stp>
        <tr r="J1985" s="5"/>
      </tp>
      <tp t="s">
        <v/>
        <stp/>
        <stp>16331513Q1:LstDate</stp>
        <tr r="J1441" s="5"/>
      </tp>
      <tp t="s">
        <v/>
        <stp/>
        <stp>16341514Q1:LstDate</stp>
        <tr r="J1479" s="5"/>
      </tp>
      <tp t="s">
        <v/>
        <stp/>
        <stp>16351515Q1:LstDate</stp>
        <tr r="J1517" s="5"/>
      </tp>
      <tp t="s">
        <v/>
        <stp/>
        <stp>30813691Q4:LstDate</stp>
        <tr r="J1982" s="5"/>
      </tp>
      <tp t="s">
        <v/>
        <stp/>
        <stp>16331513Q0:LstDate</stp>
        <tr r="J1440" s="5"/>
      </tp>
      <tp t="s">
        <v/>
        <stp/>
        <stp>16341514Q0:LstDate</stp>
        <tr r="J1478" s="5"/>
      </tp>
      <tp t="s">
        <v/>
        <stp/>
        <stp>16351515Q0:LstDate</stp>
        <tr r="J1516" s="5"/>
      </tp>
      <tp t="s">
        <v/>
        <stp/>
        <stp>30813691Q5:LstDate</stp>
        <tr r="J1983" s="5"/>
      </tp>
      <tp t="s">
        <v/>
        <stp/>
        <stp>16331513Q7:LstDate</stp>
        <tr r="J1447" s="5"/>
      </tp>
      <tp t="s">
        <v/>
        <stp/>
        <stp>16341514Q7:LstDate</stp>
        <tr r="J1485" s="5"/>
      </tp>
      <tp t="s">
        <v/>
        <stp/>
        <stp>16351515Q7:LstDate</stp>
        <tr r="J1523" s="5"/>
      </tp>
      <tp>
        <v>46267.446784143518</v>
        <stp/>
        <stp>30813691Q2:LstDate</stp>
        <tr r="J1980" s="5"/>
      </tp>
      <tp t="s">
        <v/>
        <stp/>
        <stp>16331513Q6:LstDate</stp>
        <tr r="J1446" s="5"/>
      </tp>
      <tp t="s">
        <v/>
        <stp/>
        <stp>16341514Q6:LstDate</stp>
        <tr r="J1484" s="5"/>
      </tp>
      <tp t="s">
        <v/>
        <stp/>
        <stp>16351515Q6:LstDate</stp>
        <tr r="J1522" s="5"/>
      </tp>
      <tp t="s">
        <v/>
        <stp/>
        <stp>30813691Q3:LstDate</stp>
        <tr r="J1981" s="5"/>
      </tp>
      <tp t="s">
        <v/>
        <stp/>
        <stp>16331513Q5:LstDate</stp>
        <tr r="J1445" s="5"/>
      </tp>
      <tp t="s">
        <v/>
        <stp/>
        <stp>16341514Q5:LstDate</stp>
        <tr r="J1483" s="5"/>
      </tp>
      <tp t="s">
        <v/>
        <stp/>
        <stp>16351515Q5:LstDate</stp>
        <tr r="J1521" s="5"/>
      </tp>
      <tp t="s">
        <v/>
        <stp/>
        <stp>30813691Q0:LstDate</stp>
        <tr r="J1978" s="5"/>
      </tp>
      <tp t="s">
        <v/>
        <stp/>
        <stp>16331513Q4:LstDate</stp>
        <tr r="J1444" s="5"/>
      </tp>
      <tp t="s">
        <v/>
        <stp/>
        <stp>16341514Q4:LstDate</stp>
        <tr r="J1482" s="5"/>
      </tp>
      <tp t="s">
        <v/>
        <stp/>
        <stp>16351515Q4:LstDate</stp>
        <tr r="J1520" s="5"/>
      </tp>
      <tp t="s">
        <v/>
        <stp/>
        <stp>30813691Q1:LstDate</stp>
        <tr r="J1979" s="5"/>
      </tp>
      <tp t="s">
        <v/>
        <stp/>
        <stp>16331513Q8:LstDate</stp>
        <tr r="J1448" s="5"/>
      </tp>
      <tp t="s">
        <v/>
        <stp/>
        <stp>16341514Q8:LstDate</stp>
        <tr r="J1486" s="5"/>
      </tp>
      <tp t="s">
        <v/>
        <stp/>
        <stp>16351515Q8:LstDate</stp>
        <tr r="J1524" s="5"/>
      </tp>
      <tp t="s">
        <v/>
        <stp/>
        <stp>30813691Q8:LstDate</stp>
        <tr r="J1986" s="5"/>
      </tp>
      <tp t="s">
        <v>Invalid Market: 46678127Y2</v>
        <stp/>
        <stp>46678127Y2:LstDate</stp>
        <tr r="J381" s="5"/>
      </tp>
      <tp t="s">
        <v/>
        <stp/>
        <stp>46678127Y1:LstDate</stp>
        <tr r="J380" s="5"/>
      </tp>
      <tp t="s">
        <v/>
        <stp/>
        <stp>46678127Y0:LstDate</stp>
        <tr r="J379" s="5"/>
      </tp>
      <tp t="s">
        <v/>
        <stp/>
        <stp>35534143Q4:LstDate</stp>
        <tr r="J737" s="5"/>
      </tp>
      <tp t="s">
        <v/>
        <stp/>
        <stp>35544144Q4:LstDate</stp>
        <tr r="J661" s="5"/>
      </tp>
      <tp t="s">
        <v/>
        <stp/>
        <stp>35554145Q4:LstDate</stp>
        <tr r="J699" s="5"/>
      </tp>
      <tp t="s">
        <v/>
        <stp/>
        <stp>35534143Q5:LstDate</stp>
        <tr r="J738" s="5"/>
      </tp>
      <tp t="s">
        <v/>
        <stp/>
        <stp>35544144Q5:LstDate</stp>
        <tr r="J662" s="5"/>
      </tp>
      <tp t="s">
        <v/>
        <stp/>
        <stp>35554145Q5:LstDate</stp>
        <tr r="J700" s="5"/>
      </tp>
      <tp t="s">
        <v/>
        <stp/>
        <stp>35534143Q6:LstDate</stp>
        <tr r="J739" s="5"/>
      </tp>
      <tp t="s">
        <v/>
        <stp/>
        <stp>35544144Q6:LstDate</stp>
        <tr r="J663" s="5"/>
      </tp>
      <tp t="s">
        <v/>
        <stp/>
        <stp>35554145Q6:LstDate</stp>
        <tr r="J701" s="5"/>
      </tp>
      <tp t="s">
        <v/>
        <stp/>
        <stp>35534143Q7:LstDate</stp>
        <tr r="J740" s="5"/>
      </tp>
      <tp t="s">
        <v/>
        <stp/>
        <stp>35544144Q7:LstDate</stp>
        <tr r="J664" s="5"/>
      </tp>
      <tp t="s">
        <v/>
        <stp/>
        <stp>35554145Q7:LstDate</stp>
        <tr r="J702" s="5"/>
      </tp>
      <tp t="s">
        <v/>
        <stp/>
        <stp>35534143Q0:LstDate</stp>
        <tr r="J733" s="5"/>
      </tp>
      <tp t="s">
        <v/>
        <stp/>
        <stp>35544144Q0:LstDate</stp>
        <tr r="J657" s="5"/>
      </tp>
      <tp t="s">
        <v/>
        <stp/>
        <stp>35554145Q0:LstDate</stp>
        <tr r="J695" s="5"/>
      </tp>
      <tp t="s">
        <v/>
        <stp/>
        <stp>35534143Q1:LstDate</stp>
        <tr r="J734" s="5"/>
      </tp>
      <tp t="s">
        <v/>
        <stp/>
        <stp>35544144Q1:LstDate</stp>
        <tr r="J658" s="5"/>
      </tp>
      <tp t="s">
        <v/>
        <stp/>
        <stp>35554145Q1:LstDate</stp>
        <tr r="J696" s="5"/>
      </tp>
      <tp t="s">
        <v/>
        <stp/>
        <stp>35534143Q2:LstDate</stp>
        <tr r="J735" s="5"/>
      </tp>
      <tp t="s">
        <v/>
        <stp/>
        <stp>35544144Q2:LstDate</stp>
        <tr r="J659" s="5"/>
      </tp>
      <tp t="s">
        <v/>
        <stp/>
        <stp>35554145Q2:LstDate</stp>
        <tr r="J697" s="5"/>
      </tp>
      <tp t="s">
        <v/>
        <stp/>
        <stp>35534143Q3:LstDate</stp>
        <tr r="J736" s="5"/>
      </tp>
      <tp t="s">
        <v/>
        <stp/>
        <stp>35544144Q3:LstDate</stp>
        <tr r="J660" s="5"/>
      </tp>
      <tp t="s">
        <v/>
        <stp/>
        <stp>35554145Q3:LstDate</stp>
        <tr r="J698" s="5"/>
      </tp>
      <tp t="s">
        <v/>
        <stp/>
        <stp>35534143Q8:LstDate</stp>
        <tr r="J741" s="5"/>
      </tp>
      <tp t="s">
        <v/>
        <stp/>
        <stp>35544144Q8:LstDate</stp>
        <tr r="J665" s="5"/>
      </tp>
      <tp t="s">
        <v/>
        <stp/>
        <stp>35554145Q8:LstDate</stp>
        <tr r="J703" s="5"/>
      </tp>
      <tp t="s">
        <v/>
        <stp/>
        <stp>16331513Y2:LstDate</stp>
        <tr r="J1451" s="5"/>
      </tp>
      <tp t="s">
        <v/>
        <stp/>
        <stp>16341514Y2:LstDate</stp>
        <tr r="J1489" s="5"/>
      </tp>
      <tp t="s">
        <v/>
        <stp/>
        <stp>16351515Y2:LstDate</stp>
        <tr r="J1527" s="5"/>
      </tp>
      <tp t="s">
        <v/>
        <stp/>
        <stp>16331513Y1:LstDate</stp>
        <tr r="J1450" s="5"/>
      </tp>
      <tp t="s">
        <v/>
        <stp/>
        <stp>16341514Y1:LstDate</stp>
        <tr r="J1488" s="5"/>
      </tp>
      <tp t="s">
        <v/>
        <stp/>
        <stp>16351515Y1:LstDate</stp>
        <tr r="J1526" s="5"/>
      </tp>
      <tp t="s">
        <v/>
        <stp/>
        <stp>16331513Y0:LstDate</stp>
        <tr r="J1449" s="5"/>
      </tp>
      <tp t="s">
        <v/>
        <stp/>
        <stp>16341514Y0:LstDate</stp>
        <tr r="J1487" s="5"/>
      </tp>
      <tp t="s">
        <v/>
        <stp/>
        <stp>16351515Y0:LstDate</stp>
        <tr r="J1525" s="5"/>
      </tp>
      <tp t="s">
        <v/>
        <stp/>
        <stp>30813691Y2:LstDate</stp>
        <tr r="J1989" s="5"/>
      </tp>
      <tp t="s">
        <v/>
        <stp/>
        <stp>30813691Y0:LstDate</stp>
        <tr r="J1987" s="5"/>
      </tp>
      <tp t="s">
        <v/>
        <stp/>
        <stp>30813691Y1:LstDate</stp>
        <tr r="J1988" s="5"/>
      </tp>
      <tp>
        <v>0</v>
        <stp/>
        <stp>141587Q5:OI</stp>
        <tr r="T71" s="5"/>
      </tp>
      <tp>
        <v>0</v>
        <stp/>
        <stp>141587Q4:OI</stp>
        <tr r="T70" s="5"/>
      </tp>
      <tp>
        <v>0</v>
        <stp/>
        <stp>141587Q7:OI</stp>
        <tr r="T73" s="5"/>
      </tp>
      <tp>
        <v>0</v>
        <stp/>
        <stp>141587Q6:OI</stp>
        <tr r="T72" s="5"/>
      </tp>
      <tp>
        <v>0</v>
        <stp/>
        <stp>141587Q1:OI</stp>
        <tr r="T67" s="5"/>
      </tp>
      <tp>
        <v>0</v>
        <stp/>
        <stp>141587Q0:OI</stp>
        <tr r="T66" s="5"/>
      </tp>
      <tp>
        <v>0</v>
        <stp/>
        <stp>141587Q3:OI</stp>
        <tr r="T69" s="5"/>
      </tp>
      <tp>
        <v>0</v>
        <stp/>
        <stp>141587Q2:OI</stp>
        <tr r="T68" s="5"/>
      </tp>
      <tp>
        <v>0</v>
        <stp/>
        <stp>141587Q8:OI</stp>
        <tr r="T74" s="5"/>
      </tp>
      <tp>
        <v>0</v>
        <stp/>
        <stp>141587Y1:OI</stp>
        <tr r="T76" s="5"/>
      </tp>
      <tp>
        <v>0</v>
        <stp/>
        <stp>141587Y0:OI</stp>
        <tr r="T75" s="5"/>
      </tp>
      <tp>
        <v>0</v>
        <stp/>
        <stp>141587Y2:OI</stp>
        <tr r="T77" s="5"/>
      </tp>
      <tp>
        <v>12469</v>
        <stp/>
        <stp>141587M5:OI</stp>
        <tr r="T46" s="5"/>
      </tp>
      <tp>
        <v>12803</v>
        <stp/>
        <stp>141587M4:OI</stp>
        <tr r="T45" s="5"/>
      </tp>
      <tp>
        <v>5311</v>
        <stp/>
        <stp>141587M7:OI</stp>
        <tr r="T48" s="5"/>
      </tp>
      <tp>
        <v>8998</v>
        <stp/>
        <stp>141587M6:OI</stp>
        <tr r="T47" s="5"/>
      </tp>
      <tp>
        <v>102250</v>
        <stp/>
        <stp>141587M1:OI</stp>
        <tr r="T42" s="5"/>
      </tp>
      <tp>
        <v>85812</v>
        <stp/>
        <stp>141587M0:OI</stp>
        <tr r="T41" s="5"/>
      </tp>
      <tp>
        <v>32525</v>
        <stp/>
        <stp>141587M3:OI</stp>
        <tr r="T44" s="5"/>
      </tp>
      <tp>
        <v>58720</v>
        <stp/>
        <stp>141587M2:OI</stp>
        <tr r="T43" s="5"/>
      </tp>
      <tp>
        <v>5837</v>
        <stp/>
        <stp>141587M9:OI</stp>
        <tr r="T50" s="5"/>
      </tp>
      <tp>
        <v>5318</v>
        <stp/>
        <stp>141587M8:OI</stp>
        <tr r="T49" s="5"/>
      </tp>
      <tp t="s">
        <v/>
        <stp/>
        <stp>46678127Q7:LstDate</stp>
        <tr r="J377" s="5"/>
      </tp>
      <tp t="s">
        <v/>
        <stp/>
        <stp>46678127Q6:LstDate</stp>
        <tr r="J376" s="5"/>
      </tp>
      <tp t="s">
        <v/>
        <stp/>
        <stp>46678127Q5:LstDate</stp>
        <tr r="J375" s="5"/>
      </tp>
      <tp t="s">
        <v/>
        <stp/>
        <stp>46678127Q4:LstDate</stp>
        <tr r="J374" s="5"/>
      </tp>
      <tp t="s">
        <v/>
        <stp/>
        <stp>46678127Q3:LstDate</stp>
        <tr r="J373" s="5"/>
      </tp>
      <tp t="s">
        <v/>
        <stp/>
        <stp>46678127Q2:LstDate</stp>
        <tr r="J372" s="5"/>
      </tp>
      <tp t="s">
        <v/>
        <stp/>
        <stp>46678127Q1:LstDate</stp>
        <tr r="J371" s="5"/>
      </tp>
      <tp t="s">
        <v/>
        <stp/>
        <stp>46678127Q0:LstDate</stp>
        <tr r="J370" s="5"/>
      </tp>
      <tp t="s">
        <v/>
        <stp/>
        <stp>46678127Q8:LstDate</stp>
        <tr r="J378" s="5"/>
      </tp>
      <tp t="s">
        <v/>
        <stp/>
        <stp>35534143Y0:LstDate</stp>
        <tr r="J742" s="5"/>
      </tp>
      <tp t="s">
        <v/>
        <stp/>
        <stp>35544144Y0:LstDate</stp>
        <tr r="J666" s="5"/>
      </tp>
      <tp t="s">
        <v/>
        <stp/>
        <stp>35554145Y0:LstDate</stp>
        <tr r="J704" s="5"/>
      </tp>
      <tp t="s">
        <v/>
        <stp/>
        <stp>35534143Y1:LstDate</stp>
        <tr r="J743" s="5"/>
      </tp>
      <tp t="s">
        <v/>
        <stp/>
        <stp>35544144Y1:LstDate</stp>
        <tr r="J667" s="5"/>
      </tp>
      <tp t="s">
        <v/>
        <stp/>
        <stp>35554145Y1:LstDate</stp>
        <tr r="J705" s="5"/>
      </tp>
      <tp t="s">
        <v/>
        <stp/>
        <stp>35534143Y2:LstDate</stp>
        <tr r="J744" s="5"/>
      </tp>
      <tp t="s">
        <v/>
        <stp/>
        <stp>35544144Y2:LstDate</stp>
        <tr r="J668" s="5"/>
      </tp>
      <tp t="s">
        <v/>
        <stp/>
        <stp>35554145Y2:LstDate</stp>
        <tr r="J706" s="5"/>
      </tp>
      <tp t="s">
        <v/>
        <stp/>
        <stp>46678127M7:LstDate</stp>
        <tr r="J352" s="5"/>
      </tp>
      <tp t="s">
        <v/>
        <stp/>
        <stp>46678127M6:LstDate</stp>
        <tr r="J351" s="5"/>
      </tp>
      <tp t="s">
        <v/>
        <stp/>
        <stp>46678127M5:LstDate</stp>
        <tr r="J350" s="5"/>
      </tp>
      <tp t="s">
        <v/>
        <stp/>
        <stp>46678127M4:LstDate</stp>
        <tr r="J349" s="5"/>
      </tp>
      <tp t="s">
        <v/>
        <stp/>
        <stp>46678127M3:LstDate</stp>
        <tr r="J348" s="5"/>
      </tp>
      <tp>
        <v>46267.408690219905</v>
        <stp/>
        <stp>46678127M2:LstDate</stp>
        <tr r="J347" s="5"/>
      </tp>
      <tp t="s">
        <v/>
        <stp/>
        <stp>46678127M1:LstDate</stp>
        <tr r="J346" s="5"/>
      </tp>
      <tp t="s">
        <v/>
        <stp/>
        <stp>46678127M0:LstDate</stp>
        <tr r="J345" s="5"/>
      </tp>
      <tp t="s">
        <v/>
        <stp/>
        <stp>46678127M9:LstDate</stp>
        <tr r="J354" s="5"/>
      </tp>
      <tp t="s">
        <v/>
        <stp/>
        <stp>46678127M8:LstDate</stp>
        <tr r="J353" s="5"/>
      </tp>
      <tp t="s">
        <v/>
        <stp/>
        <stp>35534143M4:LstDate</stp>
        <tr r="J712" s="5"/>
      </tp>
      <tp t="s">
        <v/>
        <stp/>
        <stp>35544144M4:LstDate</stp>
        <tr r="J636" s="5"/>
      </tp>
      <tp t="s">
        <v/>
        <stp/>
        <stp>35554145M4:LstDate</stp>
        <tr r="J674" s="5"/>
      </tp>
      <tp t="s">
        <v/>
        <stp/>
        <stp>35534143M5:LstDate</stp>
        <tr r="J713" s="5"/>
      </tp>
      <tp t="s">
        <v/>
        <stp/>
        <stp>35544144M5:LstDate</stp>
        <tr r="J637" s="5"/>
      </tp>
      <tp t="s">
        <v/>
        <stp/>
        <stp>35554145M5:LstDate</stp>
        <tr r="J675" s="5"/>
      </tp>
      <tp t="s">
        <v/>
        <stp/>
        <stp>35534143M6:LstDate</stp>
        <tr r="J714" s="5"/>
      </tp>
      <tp t="s">
        <v/>
        <stp/>
        <stp>35544144M6:LstDate</stp>
        <tr r="J638" s="5"/>
      </tp>
      <tp t="s">
        <v/>
        <stp/>
        <stp>35554145M6:LstDate</stp>
        <tr r="J676" s="5"/>
      </tp>
      <tp t="s">
        <v/>
        <stp/>
        <stp>35534143M7:LstDate</stp>
        <tr r="J715" s="5"/>
      </tp>
      <tp t="s">
        <v/>
        <stp/>
        <stp>35544144M7:LstDate</stp>
        <tr r="J639" s="5"/>
      </tp>
      <tp t="s">
        <v/>
        <stp/>
        <stp>35554145M7:LstDate</stp>
        <tr r="J677" s="5"/>
      </tp>
      <tp t="s">
        <v/>
        <stp/>
        <stp>35534143M0:LstDate</stp>
        <tr r="J708" s="5"/>
      </tp>
      <tp t="s">
        <v/>
        <stp/>
        <stp>35544144M0:LstDate</stp>
        <tr r="J632" s="5"/>
      </tp>
      <tp t="s">
        <v/>
        <stp/>
        <stp>35554145M0:LstDate</stp>
        <tr r="J670" s="5"/>
      </tp>
      <tp t="s">
        <v/>
        <stp/>
        <stp>35534143M1:LstDate</stp>
        <tr r="J709" s="5"/>
      </tp>
      <tp t="s">
        <v/>
        <stp/>
        <stp>35544144M1:LstDate</stp>
        <tr r="J633" s="5"/>
      </tp>
      <tp t="s">
        <v/>
        <stp/>
        <stp>35554145M1:LstDate</stp>
        <tr r="J671" s="5"/>
      </tp>
      <tp t="s">
        <v/>
        <stp/>
        <stp>35534143M2:LstDate</stp>
        <tr r="J710" s="5"/>
      </tp>
      <tp t="s">
        <v/>
        <stp/>
        <stp>35544144M2:LstDate</stp>
        <tr r="J634" s="5"/>
      </tp>
      <tp t="s">
        <v/>
        <stp/>
        <stp>35554145M2:LstDate</stp>
        <tr r="J672" s="5"/>
      </tp>
      <tp t="s">
        <v/>
        <stp/>
        <stp>35534143M3:LstDate</stp>
        <tr r="J711" s="5"/>
      </tp>
      <tp t="s">
        <v/>
        <stp/>
        <stp>35544144M3:LstDate</stp>
        <tr r="J635" s="5"/>
      </tp>
      <tp t="s">
        <v/>
        <stp/>
        <stp>35554145M3:LstDate</stp>
        <tr r="J673" s="5"/>
      </tp>
      <tp t="s">
        <v/>
        <stp/>
        <stp>35534143M8:LstDate</stp>
        <tr r="J716" s="5"/>
      </tp>
      <tp t="s">
        <v/>
        <stp/>
        <stp>35544144M8:LstDate</stp>
        <tr r="J640" s="5"/>
      </tp>
      <tp t="s">
        <v/>
        <stp/>
        <stp>35554145M8:LstDate</stp>
        <tr r="J678" s="5"/>
      </tp>
      <tp t="s">
        <v/>
        <stp/>
        <stp>35534143M9:LstDate</stp>
        <tr r="J717" s="5"/>
      </tp>
      <tp t="s">
        <v/>
        <stp/>
        <stp>35544144M9:LstDate</stp>
        <tr r="J641" s="5"/>
      </tp>
      <tp t="s">
        <v/>
        <stp/>
        <stp>35554145M9:LstDate</stp>
        <tr r="J679" s="5"/>
      </tp>
      <tp t="s">
        <v/>
        <stp/>
        <stp>16331513M3:LstDate</stp>
        <tr r="J1418" s="5"/>
      </tp>
      <tp t="s">
        <v/>
        <stp/>
        <stp>16341514M3:LstDate</stp>
        <tr r="J1456" s="5"/>
      </tp>
      <tp t="s">
        <v/>
        <stp/>
        <stp>16351515M3:LstDate</stp>
        <tr r="J1494" s="5"/>
      </tp>
      <tp t="s">
        <v/>
        <stp/>
        <stp>30813691M6:LstDate</stp>
        <tr r="J1959" s="5"/>
      </tp>
      <tp t="s">
        <v/>
        <stp/>
        <stp>16331513M2:LstDate</stp>
        <tr r="J1417" s="5"/>
      </tp>
      <tp t="s">
        <v/>
        <stp/>
        <stp>16341514M2:LstDate</stp>
        <tr r="J1455" s="5"/>
      </tp>
      <tp t="s">
        <v/>
        <stp/>
        <stp>16351515M2:LstDate</stp>
        <tr r="J1493" s="5"/>
      </tp>
      <tp t="s">
        <v/>
        <stp/>
        <stp>30813691M7:LstDate</stp>
        <tr r="J1960" s="5"/>
      </tp>
      <tp t="s">
        <v/>
        <stp/>
        <stp>16331513M1:LstDate</stp>
        <tr r="J1416" s="5"/>
      </tp>
      <tp t="s">
        <v/>
        <stp/>
        <stp>16341514M1:LstDate</stp>
        <tr r="J1454" s="5"/>
      </tp>
      <tp t="s">
        <v/>
        <stp/>
        <stp>16351515M1:LstDate</stp>
        <tr r="J1492" s="5"/>
      </tp>
      <tp t="s">
        <v/>
        <stp/>
        <stp>30813691M4:LstDate</stp>
        <tr r="J1957" s="5"/>
      </tp>
      <tp t="s">
        <v/>
        <stp/>
        <stp>16331513M0:LstDate</stp>
        <tr r="J1415" s="5"/>
      </tp>
      <tp t="s">
        <v/>
        <stp/>
        <stp>16341514M0:LstDate</stp>
        <tr r="J1453" s="5"/>
      </tp>
      <tp t="s">
        <v/>
        <stp/>
        <stp>16351515M0:LstDate</stp>
        <tr r="J1491" s="5"/>
      </tp>
      <tp t="s">
        <v/>
        <stp/>
        <stp>30813691M5:LstDate</stp>
        <tr r="J1958" s="5"/>
      </tp>
      <tp t="s">
        <v/>
        <stp/>
        <stp>16331513M7:LstDate</stp>
        <tr r="J1422" s="5"/>
      </tp>
      <tp t="s">
        <v/>
        <stp/>
        <stp>16341514M7:LstDate</stp>
        <tr r="J1460" s="5"/>
      </tp>
      <tp t="s">
        <v/>
        <stp/>
        <stp>16351515M7:LstDate</stp>
        <tr r="J1498" s="5"/>
      </tp>
      <tp t="s">
        <v/>
        <stp/>
        <stp>30813691M2:LstDate</stp>
        <tr r="J1955" s="5"/>
      </tp>
      <tp t="s">
        <v/>
        <stp/>
        <stp>16331513M6:LstDate</stp>
        <tr r="J1421" s="5"/>
      </tp>
      <tp t="s">
        <v/>
        <stp/>
        <stp>16341514M6:LstDate</stp>
        <tr r="J1459" s="5"/>
      </tp>
      <tp t="s">
        <v/>
        <stp/>
        <stp>16351515M6:LstDate</stp>
        <tr r="J1497" s="5"/>
      </tp>
      <tp t="s">
        <v/>
        <stp/>
        <stp>30813691M3:LstDate</stp>
        <tr r="J1956" s="5"/>
      </tp>
      <tp t="s">
        <v/>
        <stp/>
        <stp>16331513M5:LstDate</stp>
        <tr r="J1420" s="5"/>
      </tp>
      <tp t="s">
        <v/>
        <stp/>
        <stp>16341514M5:LstDate</stp>
        <tr r="J1458" s="5"/>
      </tp>
      <tp t="s">
        <v/>
        <stp/>
        <stp>16351515M5:LstDate</stp>
        <tr r="J1496" s="5"/>
      </tp>
      <tp t="s">
        <v/>
        <stp/>
        <stp>30813691M0:LstDate</stp>
        <tr r="J1953" s="5"/>
      </tp>
      <tp t="s">
        <v/>
        <stp/>
        <stp>16331513M4:LstDate</stp>
        <tr r="J1419" s="5"/>
      </tp>
      <tp t="s">
        <v/>
        <stp/>
        <stp>16341514M4:LstDate</stp>
        <tr r="J1457" s="5"/>
      </tp>
      <tp t="s">
        <v/>
        <stp/>
        <stp>16351515M4:LstDate</stp>
        <tr r="J1495" s="5"/>
      </tp>
      <tp>
        <v>46267.460090706016</v>
        <stp/>
        <stp>30813691M1:LstDate</stp>
        <tr r="J1954" s="5"/>
      </tp>
      <tp t="s">
        <v/>
        <stp/>
        <stp>16331513M9:LstDate</stp>
        <tr r="J1424" s="5"/>
      </tp>
      <tp t="s">
        <v/>
        <stp/>
        <stp>16341514M9:LstDate</stp>
        <tr r="J1462" s="5"/>
      </tp>
      <tp t="s">
        <v/>
        <stp/>
        <stp>16351515M9:LstDate</stp>
        <tr r="J1500" s="5"/>
      </tp>
      <tp t="s">
        <v/>
        <stp/>
        <stp>16331513M8:LstDate</stp>
        <tr r="J1423" s="5"/>
      </tp>
      <tp t="s">
        <v/>
        <stp/>
        <stp>16341514M8:LstDate</stp>
        <tr r="J1461" s="5"/>
      </tp>
      <tp t="s">
        <v/>
        <stp/>
        <stp>16351515M8:LstDate</stp>
        <tr r="J1499" s="5"/>
      </tp>
      <tp t="s">
        <v/>
        <stp/>
        <stp>30813691M8:LstDate</stp>
        <tr r="J1961" s="5"/>
      </tp>
      <tp t="s">
        <v/>
        <stp/>
        <stp>30813691M9:LstDate</stp>
        <tr r="J1962" s="5"/>
      </tp>
      <tp t="s">
        <v/>
        <stp/>
        <stp>41787896M24:BstLiftPrc</stp>
        <tr r="H831" s="5"/>
      </tp>
      <tp t="s">
        <v/>
        <stp/>
        <stp>41787896M23:BstLiftPrc</stp>
        <tr r="H830" s="5"/>
      </tp>
      <tp t="s">
        <v/>
        <stp/>
        <stp>41787896M22:BstLiftPrc</stp>
        <tr r="H829" s="5"/>
      </tp>
      <tp t="s">
        <v/>
        <stp/>
        <stp>41787896M21:BstLiftPrc</stp>
        <tr r="H828" s="5"/>
      </tp>
      <tp t="s">
        <v/>
        <stp/>
        <stp>41787896M20:BstLiftPrc</stp>
        <tr r="H827" s="5"/>
      </tp>
      <tp t="s">
        <v/>
        <stp/>
        <stp>41787896M17:BstLiftPrc</stp>
        <tr r="H824" s="5"/>
      </tp>
      <tp t="s">
        <v/>
        <stp/>
        <stp>41787896M16:BstLiftPrc</stp>
        <tr r="H823" s="5"/>
      </tp>
      <tp t="s">
        <v/>
        <stp/>
        <stp>41787896M15:BstLiftPrc</stp>
        <tr r="H822" s="5"/>
      </tp>
      <tp t="s">
        <v/>
        <stp/>
        <stp>41787896M14:BstLiftPrc</stp>
        <tr r="H821" s="5"/>
      </tp>
      <tp t="s">
        <v/>
        <stp/>
        <stp>41787896M13:BstLiftPrc</stp>
        <tr r="H820" s="5"/>
      </tp>
      <tp t="s">
        <v/>
        <stp/>
        <stp>41787896M12:BstLiftPrc</stp>
        <tr r="H819" s="5"/>
      </tp>
      <tp t="s">
        <v/>
        <stp/>
        <stp>41787896M11:BstLiftPrc</stp>
        <tr r="H818" s="5"/>
      </tp>
      <tp t="s">
        <v/>
        <stp/>
        <stp>41787896M10:BstLiftPrc</stp>
        <tr r="H817" s="5"/>
      </tp>
      <tp t="s">
        <v/>
        <stp/>
        <stp>41787896M19:BstLiftPrc</stp>
        <tr r="H826" s="5"/>
      </tp>
      <tp t="s">
        <v/>
        <stp/>
        <stp>41787896M18:BstLiftPrc</stp>
        <tr r="H825" s="5"/>
      </tp>
      <tp t="s">
        <v/>
        <stp/>
        <stp>266M10:LstBlkVol</stp>
        <tr r="L931" s="5"/>
      </tp>
      <tp t="s">
        <v/>
        <stp/>
        <stp>266M20:LstBlkVol</stp>
        <tr r="L941" s="5"/>
      </tp>
      <tp t="s">
        <v/>
        <stp/>
        <stp>5162Q7:LstBlkVol</stp>
        <tr r="L801" s="5"/>
      </tp>
      <tp t="s">
        <v/>
        <stp/>
        <stp>5162M7:LstBlkVol</stp>
        <tr r="L776" s="5"/>
      </tp>
      <tp t="s">
        <v/>
        <stp/>
        <stp>1517Q3:LstBlkVol</stp>
        <tr r="L31" s="5"/>
      </tp>
      <tp>
        <v>50</v>
        <stp/>
        <stp>1517M3:LstBlkVol</stp>
        <tr r="L6" s="5"/>
      </tp>
    </main>
    <main first="esrtd">
      <tp t="s">
        <v/>
        <stp/>
        <stp>TDL 29!-IEU</stp>
        <stp>Open Interest</stp>
        <tr r="T1841" s="5"/>
      </tp>
      <tp t="s">
        <v/>
        <stp/>
        <stp>TDL 28!-IEU</stp>
        <stp>Open Interest</stp>
        <tr r="T1840" s="5"/>
      </tp>
      <tp t="s">
        <v/>
        <stp/>
        <stp>TDL 23!-IEU</stp>
        <stp>Open Interest</stp>
        <tr r="T1835" s="5"/>
      </tp>
      <tp t="s">
        <v/>
        <stp/>
        <stp>TDL 22!-IEU</stp>
        <stp>Open Interest</stp>
        <tr r="T1834" s="5"/>
      </tp>
      <tp t="s">
        <v/>
        <stp/>
        <stp>TDL 21!-IEU</stp>
        <stp>Open Interest</stp>
        <tr r="T1833" s="5"/>
      </tp>
      <tp t="s">
        <v/>
        <stp/>
        <stp>TDL 20!-IEU</stp>
        <stp>Open Interest</stp>
        <tr r="T1832" s="5"/>
      </tp>
      <tp t="s">
        <v/>
        <stp/>
        <stp>TDL 27!-IEU</stp>
        <stp>Open Interest</stp>
        <tr r="T1839" s="5"/>
      </tp>
      <tp t="s">
        <v/>
        <stp/>
        <stp>TDL 26!-IEU</stp>
        <stp>Open Interest</stp>
        <tr r="T1838" s="5"/>
      </tp>
      <tp t="s">
        <v/>
        <stp/>
        <stp>TDL 25!-IEU</stp>
        <stp>Open Interest</stp>
        <tr r="T1837" s="5"/>
      </tp>
      <tp t="s">
        <v/>
        <stp/>
        <stp>TDL 24!-IEU</stp>
        <stp>Open Interest</stp>
        <tr r="T1836" s="5"/>
      </tp>
      <tp t="s">
        <v/>
        <stp/>
        <stp>TDL 30!-IEU</stp>
        <stp>Open Interest</stp>
        <tr r="T1842" s="5"/>
      </tp>
      <tp t="s">
        <v/>
        <stp/>
        <stp>TDL 19!-IEU</stp>
        <stp>Open Interest</stp>
        <tr r="T1831" s="5"/>
      </tp>
      <tp t="s">
        <v/>
        <stp/>
        <stp>TDL 18!-IEU</stp>
        <stp>Open Interest</stp>
        <tr r="T1830" s="5"/>
      </tp>
      <tp t="s">
        <v/>
        <stp/>
        <stp>TDL 13!-IEU</stp>
        <stp>Open Interest</stp>
        <tr r="T1825" s="5"/>
      </tp>
      <tp t="s">
        <v/>
        <stp/>
        <stp>TDL 12!-IEU</stp>
        <stp>Open Interest</stp>
        <tr r="T1824" s="5"/>
      </tp>
      <tp t="s">
        <v/>
        <stp/>
        <stp>TDL 11!-IEU</stp>
        <stp>Open Interest</stp>
        <tr r="T1823" s="5"/>
      </tp>
      <tp t="s">
        <v/>
        <stp/>
        <stp>TDL 10!-IEU</stp>
        <stp>Open Interest</stp>
        <tr r="T1822" s="5"/>
      </tp>
      <tp t="s">
        <v/>
        <stp/>
        <stp>TDL 17!-IEU</stp>
        <stp>Open Interest</stp>
        <tr r="T1829" s="5"/>
      </tp>
      <tp t="s">
        <v/>
        <stp/>
        <stp>TDL 16!-IEU</stp>
        <stp>Open Interest</stp>
        <tr r="T1828" s="5"/>
      </tp>
      <tp t="s">
        <v/>
        <stp/>
        <stp>TDL 15!-IEU</stp>
        <stp>Open Interest</stp>
        <tr r="T1827" s="5"/>
      </tp>
      <tp t="s">
        <v/>
        <stp/>
        <stp>TDL 14!-IEU</stp>
        <stp>Open Interest</stp>
        <tr r="T1826" s="5"/>
      </tp>
      <tp t="s">
        <v/>
        <stp/>
        <stp>TDL Q3!-IEU</stp>
        <stp>Open Interest</stp>
        <tr r="T1845" s="5"/>
      </tp>
      <tp t="s">
        <v/>
        <stp/>
        <stp>TDL Q2!-IEU</stp>
        <stp>Open Interest</stp>
        <tr r="T1844" s="5"/>
      </tp>
      <tp t="s">
        <v/>
        <stp/>
        <stp>TDL Q1!-IEU</stp>
        <stp>Open Interest</stp>
        <tr r="T1843" s="5"/>
      </tp>
      <tp t="s">
        <v/>
        <stp/>
        <stp>TDL Q4!-IEU</stp>
        <stp>Open Interest</stp>
        <tr r="T1846" s="5"/>
      </tp>
      <tp t="s">
        <v/>
        <stp/>
        <stp>TDL C2!-IEU</stp>
        <stp>Open Interest</stp>
        <tr r="T1847" s="5"/>
      </tp>
    </main>
    <main first="ice.rtd">
      <tp>
        <v>0</v>
        <stp/>
        <stp>266M17:OI</stp>
        <tr r="T938" s="5"/>
      </tp>
      <tp>
        <v>0</v>
        <stp/>
        <stp>266M16:OI</stp>
        <tr r="T937" s="5"/>
      </tp>
      <tp>
        <v>0</v>
        <stp/>
        <stp>266M15:OI</stp>
        <tr r="T936" s="5"/>
      </tp>
      <tp>
        <v>0</v>
        <stp/>
        <stp>266M14:OI</stp>
        <tr r="T935" s="5"/>
      </tp>
      <tp>
        <v>0</v>
        <stp/>
        <stp>266M13:OI</stp>
        <tr r="T934" s="5"/>
      </tp>
      <tp>
        <v>0</v>
        <stp/>
        <stp>266M12:OI</stp>
        <tr r="T933" s="5"/>
      </tp>
      <tp>
        <v>0</v>
        <stp/>
        <stp>266M11:OI</stp>
        <tr r="T932" s="5"/>
      </tp>
      <tp>
        <v>0</v>
        <stp/>
        <stp>266M10:OI</stp>
        <tr r="T931" s="5"/>
      </tp>
      <tp>
        <v>0</v>
        <stp/>
        <stp>266M19:OI</stp>
        <tr r="T940" s="5"/>
      </tp>
      <tp>
        <v>0</v>
        <stp/>
        <stp>266M18:OI</stp>
        <tr r="T939" s="5"/>
      </tp>
      <tp>
        <v>0</v>
        <stp/>
        <stp>266M24:OI</stp>
        <tr r="T945" s="5"/>
      </tp>
      <tp>
        <v>0</v>
        <stp/>
        <stp>266M23:OI</stp>
        <tr r="T944" s="5"/>
      </tp>
      <tp>
        <v>0</v>
        <stp/>
        <stp>266M22:OI</stp>
        <tr r="T943" s="5"/>
      </tp>
      <tp>
        <v>0</v>
        <stp/>
        <stp>266M21:OI</stp>
        <tr r="T942" s="5"/>
      </tp>
      <tp>
        <v>0</v>
        <stp/>
        <stp>266M20:OI</stp>
        <tr r="T941" s="5"/>
      </tp>
    </main>
    <main first="bofaddin.rtdserver">
      <tp t="s">
        <v>#N/A</v>
        <stp/>
        <stp>BDP|10771569146996496515|222</stp>
        <stp>MUCF29 Comdty</stp>
        <stp>BID</stp>
        <stp>Fill=#N/A</stp>
        <tr r="K47" s="1"/>
      </tp>
    </main>
    <main first="ice.rtd">
      <tp t="s">
        <v/>
        <stp/>
        <stp>1517Q5:LstBlkPrc</stp>
        <tr r="K33" s="5"/>
      </tp>
      <tp>
        <v>1.7</v>
        <stp/>
        <stp>1517M5:LstBlkPrc</stp>
        <tr r="K8" s="5"/>
      </tp>
    </main>
    <main first="bofaddin.rtdserver">
      <tp t="s">
        <v>#N/A</v>
        <stp/>
        <stp>BDP|15539205239340201449|222</stp>
        <stp>OQAH27 Comdty</stp>
        <stp>BID</stp>
        <stp>Fill=#N/A</stp>
        <tr r="L25" s="1"/>
      </tp>
    </main>
    <main first="ice.rtd">
      <tp t="s">
        <v/>
        <stp/>
        <stp>266M16:LstBlkPrc</stp>
        <tr r="K937" s="5"/>
      </tp>
      <tp t="s">
        <v/>
        <stp/>
        <stp>5162Y1:LstBlkPrc</stp>
        <tr r="K804" s="5"/>
      </tp>
      <tp t="s">
        <v/>
        <stp/>
        <stp>5162Q1:LstBlkPrc</stp>
        <tr r="K795" s="5"/>
      </tp>
      <tp>
        <v>-11.8</v>
        <stp/>
        <stp>5162M1:LstBlkPrc</stp>
        <tr r="K770" s="5"/>
      </tp>
      <tp>
        <v>8</v>
        <stp/>
        <stp>30793693M24:OI</stp>
        <tr r="T907" s="5"/>
      </tp>
      <tp>
        <v>8</v>
        <stp/>
        <stp>30793693M23:OI</stp>
        <tr r="T906" s="5"/>
      </tp>
      <tp>
        <v>8</v>
        <stp/>
        <stp>30793693M22:OI</stp>
        <tr r="T905" s="5"/>
      </tp>
      <tp>
        <v>8</v>
        <stp/>
        <stp>30793693M21:OI</stp>
        <tr r="T904" s="5"/>
      </tp>
      <tp>
        <v>8</v>
        <stp/>
        <stp>30793693M20:OI</stp>
        <tr r="T903" s="5"/>
      </tp>
      <tp>
        <v>3</v>
        <stp/>
        <stp>30793693M17:OI</stp>
        <tr r="T900" s="5"/>
      </tp>
      <tp>
        <v>3</v>
        <stp/>
        <stp>30793693M16:OI</stp>
        <tr r="T899" s="5"/>
      </tp>
      <tp>
        <v>173</v>
        <stp/>
        <stp>30793693M15:OI</stp>
        <tr r="T898" s="5"/>
      </tp>
      <tp>
        <v>82</v>
        <stp/>
        <stp>30793693M14:OI</stp>
        <tr r="T897" s="5"/>
      </tp>
      <tp>
        <v>82</v>
        <stp/>
        <stp>30793693M13:OI</stp>
        <tr r="T896" s="5"/>
      </tp>
      <tp>
        <v>83</v>
        <stp/>
        <stp>30793693M12:OI</stp>
        <tr r="T895" s="5"/>
      </tp>
      <tp>
        <v>83</v>
        <stp/>
        <stp>30793693M11:OI</stp>
        <tr r="T894" s="5"/>
      </tp>
      <tp>
        <v>83</v>
        <stp/>
        <stp>30793693M10:OI</stp>
        <tr r="T893" s="5"/>
      </tp>
      <tp>
        <v>8</v>
        <stp/>
        <stp>30793693M19:OI</stp>
        <tr r="T902" s="5"/>
      </tp>
      <tp>
        <v>3</v>
        <stp/>
        <stp>30793693M18:OI</stp>
        <tr r="T901" s="5"/>
      </tp>
      <tp t="s">
        <v/>
        <stp/>
        <stp>1517M5:BstHitPrc</stp>
        <tr r="G8" s="5"/>
      </tp>
      <tp t="s">
        <v/>
        <stp/>
        <stp>1517Q5:BstHitPrc</stp>
        <tr r="G33" s="5"/>
      </tp>
    </main>
    <main first="bofaddin.rtdserver">
      <tp t="s">
        <v>#N/A</v>
        <stp/>
        <stp>BDP|11048199283782381878|222</stp>
        <stp>MUCU28 Comdty</stp>
        <stp>BID</stp>
        <stp>Fill=#N/A</stp>
        <tr r="K43" s="1"/>
      </tp>
      <tp t="s">
        <v>#N/A</v>
        <stp/>
        <stp>BDP|17289168366584096525|222</stp>
        <stp>OQAM30 Comdty</stp>
        <stp>BID</stp>
        <stp>Fill=#N/A</stp>
        <tr r="L64" s="1"/>
      </tp>
    </main>
    <main first="ice.rtd">
      <tp t="s">
        <v/>
        <stp/>
        <stp>266M16:BstHitPrc</stp>
        <tr r="G937" s="5"/>
      </tp>
      <tp>
        <v>-12.14</v>
        <stp/>
        <stp>5162M1:BstHitPrc</stp>
        <tr r="G770" s="5"/>
      </tp>
      <tp t="s">
        <v/>
        <stp/>
        <stp>5162Q1:BstHitPrc</stp>
        <tr r="G795" s="5"/>
      </tp>
      <tp t="s">
        <v/>
        <stp/>
        <stp>5162Y1:BstHitPrc</stp>
        <tr r="G804" s="5"/>
      </tp>
    </main>
    <main first="bofaddin.rtdserver">
      <tp t="s">
        <v>#N/A</v>
        <stp/>
        <stp>BDP|3626798904786528432|222</stp>
        <stp>COM0CON0 Comdty</stp>
        <stp>BID</stp>
        <stp>Fill=#N/A</stp>
        <tr r="O65" s="1"/>
      </tp>
      <tp t="s">
        <v>#N/A</v>
        <stp/>
        <stp>BDP|13378824318631805508|222</stp>
        <stp>MUCX7Z7 Comdty</stp>
        <stp>BID</stp>
        <stp>Fill=#N/A</stp>
        <tr r="S34" s="1"/>
      </tp>
      <tp t="s">
        <v>#N/A</v>
        <stp/>
        <stp>BDP|12912509344769974819|222</stp>
        <stp>OQAQ8U8 Comdty</stp>
        <stp>ASK</stp>
        <stp>Fill=#N/A</stp>
        <tr r="T43" s="1"/>
      </tp>
      <tp>
        <v>-7.0000000000000007E-2</v>
        <stp/>
        <stp>BDP|5218593512028195137|222</stp>
        <stp>COX9COZ9 Comdty</stp>
        <stp>BID</stp>
        <stp>Fill=#N/A</stp>
        <tr r="O58" s="1"/>
      </tp>
      <tp>
        <v>4.4400000000000004</v>
        <stp/>
        <stp>BDP|8297553940526464781|222</stp>
        <stp>XBK7XBM7 Comdty</stp>
        <stp>BID</stp>
        <stp>Fill=#N/A</stp>
        <tr r="R28" s="1"/>
      </tp>
      <tp t="s">
        <v>#N/A Invalid Security</v>
        <stp/>
        <stp>BDP|8221334531043186609|222</stp>
        <stp>HOK0HOM0 Comdty</stp>
        <stp>ASK</stp>
        <stp>Fill=#N/A</stp>
        <tr r="Q64" s="1"/>
      </tp>
      <tp>
        <v>2.89</v>
        <stp/>
        <stp>BDP|1170615478113140995|222</stp>
        <stp>XBM8XBN8 Comdty</stp>
        <stp>ASK</stp>
        <stp>Fill=#N/A</stp>
        <tr r="R41" s="1"/>
      </tp>
      <tp>
        <v>0.15</v>
        <stp/>
        <stp>BDP|3344454597654927613|222</stp>
        <stp>COK9COM9 Comdty</stp>
        <stp>ASK</stp>
        <stp>Fill=#N/A</stp>
        <tr r="O52" s="1"/>
      </tp>
      <tp>
        <v>13.88</v>
        <stp/>
        <stp>BDP|6384754401132681329|222</stp>
        <stp>HOH7HOJ7 Comdty</stp>
        <stp>BID</stp>
        <stp>Fill=#N/A</stp>
        <tr r="Q26" s="1"/>
      </tp>
      <tp>
        <v>5.75</v>
        <stp/>
        <stp>BDP|7504405618369046692|222</stp>
        <stp>QSV8QSX8 Comdty</stp>
        <stp>BID</stp>
        <stp>Fill=#N/A</stp>
        <tr r="P45" s="1"/>
      </tp>
      <tp t="s">
        <v>#N/A</v>
        <stp/>
        <stp>BDP|7317017283640021292|222</stp>
        <stp>CLV9CLX9 Comdty</stp>
        <stp>BID</stp>
        <stp>Fill=#N/A</stp>
        <tr r="N57" s="1"/>
      </tp>
    </main>
    <main first="ice.rtd">
      <tp t="s">
        <v/>
        <stp/>
        <stp>32623993Q8:LstDate</stp>
        <tr r="J2023" s="5"/>
      </tp>
      <tp t="s">
        <v/>
        <stp/>
        <stp>32623993Q3:LstDate</stp>
        <tr r="J2018" s="5"/>
      </tp>
      <tp t="s">
        <v/>
        <stp/>
        <stp>32623993Q2:LstDate</stp>
        <tr r="J2017" s="5"/>
      </tp>
      <tp t="s">
        <v/>
        <stp/>
        <stp>32623993Q1:LstDate</stp>
        <tr r="J2016" s="5"/>
      </tp>
      <tp t="s">
        <v/>
        <stp/>
        <stp>32623993Q0:LstDate</stp>
        <tr r="J2015" s="5"/>
      </tp>
      <tp t="s">
        <v/>
        <stp/>
        <stp>32623993Q7:LstDate</stp>
        <tr r="J2022" s="5"/>
      </tp>
      <tp t="s">
        <v/>
        <stp/>
        <stp>32623993Q6:LstDate</stp>
        <tr r="J2021" s="5"/>
      </tp>
      <tp t="s">
        <v/>
        <stp/>
        <stp>32623993Q5:LstDate</stp>
        <tr r="J2020" s="5"/>
      </tp>
      <tp t="s">
        <v/>
        <stp/>
        <stp>32623993Q4:LstDate</stp>
        <tr r="J2019" s="5"/>
      </tp>
      <tp t="s">
        <v/>
        <stp/>
        <stp>32623993Y1:LstDate</stp>
        <tr r="J2025" s="5"/>
      </tp>
      <tp t="s">
        <v/>
        <stp/>
        <stp>32623993Y0:LstDate</stp>
        <tr r="J2024" s="5"/>
      </tp>
      <tp>
        <v>0</v>
        <stp/>
        <stp>161913535MM19:BlkVol</stp>
        <tr r="O2046" s="5"/>
      </tp>
      <tp>
        <v>0</v>
        <stp/>
        <stp>161913535MM18:BlkVol</stp>
        <tr r="O2045" s="5"/>
      </tp>
      <tp>
        <v>0</v>
        <stp/>
        <stp>161913535MM11:BlkVol</stp>
        <tr r="O2038" s="5"/>
      </tp>
      <tp>
        <v>0</v>
        <stp/>
        <stp>161913535MM10:BlkVol</stp>
        <tr r="O2037" s="5"/>
      </tp>
      <tp>
        <v>0</v>
        <stp/>
        <stp>161913535MM13:BlkVol</stp>
        <tr r="O2040" s="5"/>
      </tp>
      <tp>
        <v>735</v>
        <stp/>
        <stp>161913535MM12:BlkVol</stp>
        <tr r="O2039" s="5"/>
      </tp>
      <tp>
        <v>0</v>
        <stp/>
        <stp>161913535MM15:BlkVol</stp>
        <tr r="O2042" s="5"/>
      </tp>
      <tp>
        <v>0</v>
        <stp/>
        <stp>161913535MM14:BlkVol</stp>
        <tr r="O2041" s="5"/>
      </tp>
      <tp>
        <v>0</v>
        <stp/>
        <stp>161913535MM17:BlkVol</stp>
        <tr r="O2044" s="5"/>
      </tp>
      <tp>
        <v>0</v>
        <stp/>
        <stp>161913535MM16:BlkVol</stp>
        <tr r="O2043" s="5"/>
      </tp>
      <tp>
        <v>0</v>
        <stp/>
        <stp>161913535MM21:BlkVol</stp>
        <tr r="O2048" s="5"/>
      </tp>
      <tp>
        <v>0</v>
        <stp/>
        <stp>161913535MM20:BlkVol</stp>
        <tr r="O2047" s="5"/>
      </tp>
      <tp>
        <v>50</v>
        <stp/>
        <stp>161913535MM23:BlkVol</stp>
        <tr r="O2050" s="5"/>
      </tp>
      <tp>
        <v>990</v>
        <stp/>
        <stp>161913535MM22:BlkVol</stp>
        <tr r="O2049" s="5"/>
      </tp>
      <tp>
        <v>50</v>
        <stp/>
        <stp>161913535MM25:BlkVol</stp>
        <tr r="O2052" s="5"/>
      </tp>
      <tp>
        <v>0</v>
        <stp/>
        <stp>161913535MM24:BlkVol</stp>
        <tr r="O2051" s="5"/>
      </tp>
      <tp>
        <v>0</v>
        <stp/>
        <stp>161913535MM27:BlkVol</stp>
        <tr r="O2054" s="5"/>
      </tp>
      <tp>
        <v>0</v>
        <stp/>
        <stp>161913535MM26:BlkVol</stp>
        <tr r="O2053" s="5"/>
      </tp>
      <tp t="s">
        <v/>
        <stp/>
        <stp>32623993M9:LstDate</stp>
        <tr r="J1999" s="5"/>
      </tp>
      <tp t="s">
        <v/>
        <stp/>
        <stp>32623993M8:LstDate</stp>
        <tr r="J1998" s="5"/>
      </tp>
      <tp t="s">
        <v/>
        <stp/>
        <stp>32623993M3:LstDate</stp>
        <tr r="J1993" s="5"/>
      </tp>
      <tp t="s">
        <v/>
        <stp/>
        <stp>32623993M2:LstDate</stp>
        <tr r="J1992" s="5"/>
      </tp>
      <tp t="s">
        <v/>
        <stp/>
        <stp>32623993M1:LstDate</stp>
        <tr r="J1991" s="5"/>
      </tp>
      <tp t="s">
        <v/>
        <stp/>
        <stp>32623993M7:LstDate</stp>
        <tr r="J1997" s="5"/>
      </tp>
      <tp t="s">
        <v/>
        <stp/>
        <stp>32623993M6:LstDate</stp>
        <tr r="J1996" s="5"/>
      </tp>
      <tp t="s">
        <v/>
        <stp/>
        <stp>32623993M5:LstDate</stp>
        <tr r="J1995" s="5"/>
      </tp>
      <tp t="s">
        <v/>
        <stp/>
        <stp>32623993M4:LstDate</stp>
        <tr r="J1994" s="5"/>
      </tp>
      <tp>
        <v>1986</v>
        <stp/>
        <stp>5162M0:OI</stp>
        <tr r="T769" s="5"/>
      </tp>
      <tp>
        <v>583</v>
        <stp/>
        <stp>5162M1:OI</stp>
        <tr r="T770" s="5"/>
      </tp>
      <tp>
        <v>376</v>
        <stp/>
        <stp>5162M2:OI</stp>
        <tr r="T771" s="5"/>
      </tp>
      <tp>
        <v>463</v>
        <stp/>
        <stp>5162M3:OI</stp>
        <tr r="T772" s="5"/>
      </tp>
      <tp>
        <v>279</v>
        <stp/>
        <stp>5162M4:OI</stp>
        <tr r="T773" s="5"/>
      </tp>
      <tp>
        <v>285</v>
        <stp/>
        <stp>5162M5:OI</stp>
        <tr r="T774" s="5"/>
      </tp>
      <tp>
        <v>277</v>
        <stp/>
        <stp>5162M6:OI</stp>
        <tr r="T775" s="5"/>
      </tp>
      <tp>
        <v>97</v>
        <stp/>
        <stp>5162M7:OI</stp>
        <tr r="T776" s="5"/>
      </tp>
      <tp>
        <v>102</v>
        <stp/>
        <stp>5162M8:OI</stp>
        <tr r="T777" s="5"/>
      </tp>
      <tp>
        <v>97</v>
        <stp/>
        <stp>5162M9:OI</stp>
        <tr r="T778" s="5"/>
      </tp>
      <tp>
        <v>0</v>
        <stp/>
        <stp>5162Y0:OI</stp>
        <tr r="T803" s="5"/>
      </tp>
      <tp>
        <v>0</v>
        <stp/>
        <stp>5162Y1:OI</stp>
        <tr r="T804" s="5"/>
      </tp>
      <tp>
        <v>0</v>
        <stp/>
        <stp>5162Y2:OI</stp>
        <tr r="T805" s="5"/>
      </tp>
      <tp>
        <v>0</v>
        <stp/>
        <stp>5162Q0:OI</stp>
        <tr r="T794" s="5"/>
      </tp>
      <tp>
        <v>0</v>
        <stp/>
        <stp>5162Q1:OI</stp>
        <tr r="T795" s="5"/>
      </tp>
      <tp>
        <v>0</v>
        <stp/>
        <stp>5162Q2:OI</stp>
        <tr r="T796" s="5"/>
      </tp>
      <tp>
        <v>0</v>
        <stp/>
        <stp>5162Q3:OI</stp>
        <tr r="T797" s="5"/>
      </tp>
      <tp>
        <v>0</v>
        <stp/>
        <stp>5162Q4:OI</stp>
        <tr r="T798" s="5"/>
      </tp>
      <tp>
        <v>0</v>
        <stp/>
        <stp>5162Q5:OI</stp>
        <tr r="T799" s="5"/>
      </tp>
      <tp>
        <v>0</v>
        <stp/>
        <stp>5162Q6:OI</stp>
        <tr r="T800" s="5"/>
      </tp>
      <tp>
        <v>0</v>
        <stp/>
        <stp>5162Q7:OI</stp>
        <tr r="T801" s="5"/>
      </tp>
      <tp>
        <v>0</v>
        <stp/>
        <stp>5162Q8:OI</stp>
        <tr r="T802" s="5"/>
      </tp>
      <tp t="s">
        <v>DBI</v>
        <stp/>
        <stp>DBI1227QQ0:PCC</stp>
        <tr r="B1679" s="5"/>
      </tp>
      <tp t="s">
        <v>DBI</v>
        <stp/>
        <stp>DBI1227QQ1:PCC</stp>
        <tr r="B1680" s="5"/>
      </tp>
      <tp t="s">
        <v/>
        <stp/>
        <stp>266419M9:LstBlkVol</stp>
        <tr r="L968" s="5"/>
      </tp>
      <tp t="s">
        <v/>
        <stp/>
        <stp>266M13:LstBlkVol</stp>
        <tr r="L934" s="5"/>
      </tp>
      <tp t="s">
        <v/>
        <stp/>
        <stp>266M23:LstBlkVol</stp>
        <tr r="L944" s="5"/>
      </tp>
      <tp t="s">
        <v/>
        <stp/>
        <stp>5162Q4:LstBlkVol</stp>
        <tr r="L798" s="5"/>
      </tp>
      <tp t="s">
        <v/>
        <stp/>
        <stp>5162M4:LstBlkVol</stp>
        <tr r="L773" s="5"/>
      </tp>
      <tp>
        <v>35</v>
        <stp/>
        <stp>141587M8:LstBlkVol</stp>
        <tr r="L49" s="5"/>
      </tp>
      <tp t="s">
        <v/>
        <stp/>
        <stp>141587Q8:LstBlkVol</stp>
        <tr r="L74" s="5"/>
      </tp>
      <tp t="s">
        <v/>
        <stp/>
        <stp>1517Y0:LstBlkVol</stp>
        <tr r="L37" s="5"/>
      </tp>
      <tp>
        <v>100</v>
        <stp/>
        <stp>1517Q0:LstBlkVol</stp>
        <tr r="L28" s="5"/>
      </tp>
      <tp>
        <v>17</v>
        <stp/>
        <stp>1517M0:LstBlkVol</stp>
        <tr r="L3" s="5"/>
      </tp>
      <tp t="s">
        <v/>
        <stp/>
        <stp>1517Q6:LstBlkPrc</stp>
        <tr r="K34" s="5"/>
      </tp>
      <tp>
        <v>1.39</v>
        <stp/>
        <stp>1517M6:LstBlkPrc</stp>
        <tr r="K9" s="5"/>
      </tp>
      <tp t="s">
        <v/>
        <stp/>
        <stp>266M15:LstBlkPrc</stp>
        <tr r="K936" s="5"/>
      </tp>
      <tp t="s">
        <v/>
        <stp/>
        <stp>5162Y2:LstBlkPrc</stp>
        <tr r="K805" s="5"/>
      </tp>
      <tp t="s">
        <v/>
        <stp/>
        <stp>5162Q2:LstBlkPrc</stp>
        <tr r="K796" s="5"/>
      </tp>
      <tp t="s">
        <v/>
        <stp/>
        <stp>5162M2:LstBlkPrc</stp>
        <tr r="K771" s="5"/>
      </tp>
      <tp>
        <v>1089</v>
        <stp/>
        <stp>15091310M20:OI</stp>
        <tr r="T1397" s="5"/>
      </tp>
      <tp>
        <v>1099</v>
        <stp/>
        <stp>15091310M21:OI</stp>
        <tr r="T1398" s="5"/>
      </tp>
      <tp>
        <v>913</v>
        <stp/>
        <stp>15091310M22:OI</stp>
        <tr r="T1399" s="5"/>
      </tp>
      <tp>
        <v>913</v>
        <stp/>
        <stp>15091310M23:OI</stp>
        <tr r="T1400" s="5"/>
      </tp>
      <tp>
        <v>913</v>
        <stp/>
        <stp>15091310M24:OI</stp>
        <tr r="T1401" s="5"/>
      </tp>
      <tp>
        <v>1485</v>
        <stp/>
        <stp>15091310M18:OI</stp>
        <tr r="T1395" s="5"/>
      </tp>
      <tp>
        <v>1090</v>
        <stp/>
        <stp>15091310M19:OI</stp>
        <tr r="T1396" s="5"/>
      </tp>
      <tp>
        <v>4219</v>
        <stp/>
        <stp>15091310M10:OI</stp>
        <tr r="T1387" s="5"/>
      </tp>
      <tp>
        <v>4553</v>
        <stp/>
        <stp>15091310M11:OI</stp>
        <tr r="T1388" s="5"/>
      </tp>
      <tp>
        <v>3901</v>
        <stp/>
        <stp>15091310M12:OI</stp>
        <tr r="T1389" s="5"/>
      </tp>
      <tp>
        <v>4893</v>
        <stp/>
        <stp>15091310M13:OI</stp>
        <tr r="T1390" s="5"/>
      </tp>
      <tp>
        <v>4609</v>
        <stp/>
        <stp>15091310M14:OI</stp>
        <tr r="T1391" s="5"/>
      </tp>
      <tp>
        <v>4989</v>
        <stp/>
        <stp>15091310M15:OI</stp>
        <tr r="T1392" s="5"/>
      </tp>
      <tp>
        <v>1433</v>
        <stp/>
        <stp>15091310M16:OI</stp>
        <tr r="T1393" s="5"/>
      </tp>
      <tp>
        <v>1386</v>
        <stp/>
        <stp>15091310M17:OI</stp>
        <tr r="T1394" s="5"/>
      </tp>
    </main>
    <main first="bofaddin.rtdserver">
      <tp t="s">
        <v>#N/A</v>
        <stp/>
        <stp>BDP|17008625357719393320|222</stp>
        <stp>MUCX28 Comdty</stp>
        <stp>ASK</stp>
        <stp>Fill=#N/A</stp>
        <tr r="K45" s="1"/>
      </tp>
    </main>
    <main first="esrtd">
      <tp t="s">
        <v/>
        <stp/>
        <stp>WNS C2!-IEU</stp>
        <stp>Strip</stp>
        <tr r="E1882" s="5"/>
      </tp>
      <tp t="s">
        <v/>
        <stp/>
        <stp>WNS Q4!-IEU</stp>
        <stp>Strip</stp>
        <tr r="E1881" s="5"/>
      </tp>
      <tp t="s">
        <v/>
        <stp/>
        <stp>WNS Q2!-IEU</stp>
        <stp>Strip</stp>
        <tr r="E1879" s="5"/>
      </tp>
      <tp t="s">
        <v/>
        <stp/>
        <stp>WNS Q3!-IEU</stp>
        <stp>Strip</stp>
        <tr r="E1880" s="5"/>
      </tp>
      <tp t="s">
        <v/>
        <stp/>
        <stp>WNS Q1!-IEU</stp>
        <stp>Strip</stp>
        <tr r="E1878" s="5"/>
      </tp>
    </main>
    <main first="ice.rtd">
      <tp t="s">
        <v/>
        <stp/>
        <stp>1517M6:BstHitPrc</stp>
        <tr r="G9" s="5"/>
      </tp>
      <tp t="s">
        <v/>
        <stp/>
        <stp>1517Q6:BstHitPrc</stp>
        <tr r="G34" s="5"/>
      </tp>
    </main>
    <main first="esrtd">
      <tp t="s">
        <v/>
        <stp/>
        <stp>WNS 18!-IEU</stp>
        <stp>Strip</stp>
        <tr r="E1865" s="5"/>
      </tp>
      <tp t="s">
        <v/>
        <stp/>
        <stp>WNS 19!-IEU</stp>
        <stp>Strip</stp>
        <tr r="E1866" s="5"/>
      </tp>
      <tp t="s">
        <v/>
        <stp/>
        <stp>WNS 16!-IEU</stp>
        <stp>Strip</stp>
        <tr r="E1863" s="5"/>
      </tp>
      <tp t="s">
        <v/>
        <stp/>
        <stp>WNS 17!-IEU</stp>
        <stp>Strip</stp>
        <tr r="E1864" s="5"/>
      </tp>
      <tp t="s">
        <v/>
        <stp/>
        <stp>WNS 14!-IEU</stp>
        <stp>Strip</stp>
        <tr r="E1861" s="5"/>
      </tp>
      <tp t="s">
        <v/>
        <stp/>
        <stp>WNS 15!-IEU</stp>
        <stp>Strip</stp>
        <tr r="E1862" s="5"/>
      </tp>
      <tp t="s">
        <v/>
        <stp/>
        <stp>WNS 12!-IEU</stp>
        <stp>Strip</stp>
        <tr r="E1859" s="5"/>
      </tp>
      <tp t="s">
        <v/>
        <stp/>
        <stp>WNS 13!-IEU</stp>
        <stp>Strip</stp>
        <tr r="E1860" s="5"/>
      </tp>
      <tp t="s">
        <v/>
        <stp/>
        <stp>WNS 10!-IEU</stp>
        <stp>Strip</stp>
        <tr r="E1857" s="5"/>
      </tp>
      <tp t="s">
        <v/>
        <stp/>
        <stp>WNS 11!-IEU</stp>
        <stp>Strip</stp>
        <tr r="E1858" s="5"/>
      </tp>
      <tp t="s">
        <v/>
        <stp/>
        <stp>WNS 28!-IEU</stp>
        <stp>Strip</stp>
        <tr r="E1875" s="5"/>
      </tp>
      <tp t="s">
        <v/>
        <stp/>
        <stp>WNS 29!-IEU</stp>
        <stp>Strip</stp>
        <tr r="E1876" s="5"/>
      </tp>
      <tp t="s">
        <v/>
        <stp/>
        <stp>WNS 26!-IEU</stp>
        <stp>Strip</stp>
        <tr r="E1873" s="5"/>
      </tp>
      <tp t="s">
        <v/>
        <stp/>
        <stp>WNS 27!-IEU</stp>
        <stp>Strip</stp>
        <tr r="E1874" s="5"/>
      </tp>
      <tp t="s">
        <v/>
        <stp/>
        <stp>WNS 24!-IEU</stp>
        <stp>Strip</stp>
        <tr r="E1871" s="5"/>
      </tp>
      <tp t="s">
        <v/>
        <stp/>
        <stp>WNS 25!-IEU</stp>
        <stp>Strip</stp>
        <tr r="E1872" s="5"/>
      </tp>
      <tp t="s">
        <v/>
        <stp/>
        <stp>WNS 22!-IEU</stp>
        <stp>Strip</stp>
        <tr r="E1869" s="5"/>
      </tp>
      <tp t="s">
        <v/>
        <stp/>
        <stp>WNS 23!-IEU</stp>
        <stp>Strip</stp>
        <tr r="E1870" s="5"/>
      </tp>
      <tp t="s">
        <v/>
        <stp/>
        <stp>WNS 20!-IEU</stp>
        <stp>Strip</stp>
        <tr r="E1867" s="5"/>
      </tp>
      <tp t="s">
        <v/>
        <stp/>
        <stp>WNS 21!-IEU</stp>
        <stp>Strip</stp>
        <tr r="E1868" s="5"/>
      </tp>
      <tp t="s">
        <v/>
        <stp/>
        <stp>WNS 30!-IEU</stp>
        <stp>Strip</stp>
        <tr r="E1877" s="5"/>
      </tp>
    </main>
    <main first="bofaddin.rtdserver">
      <tp t="s">
        <v>#N/A</v>
        <stp/>
        <stp>BDP|13465520576512756269|222</stp>
        <stp>MUCN27 Comdty</stp>
        <stp>BID</stp>
        <stp>Fill=#N/A</stp>
        <tr r="K29" s="1"/>
      </tp>
      <tp t="s">
        <v>#N/A</v>
        <stp/>
        <stp>BDP|17671626034610207188|222</stp>
        <stp>OQAU29 Comdty</stp>
        <stp>BID</stp>
        <stp>Fill=#N/A</stp>
        <tr r="L55" s="1"/>
      </tp>
    </main>
    <main first="ice.rtd">
      <tp t="s">
        <v/>
        <stp/>
        <stp>266M15:BstHitPrc</stp>
        <tr r="G936" s="5"/>
      </tp>
    </main>
    <main first="bofaddin.rtdserver">
      <tp t="s">
        <v>#N/A</v>
        <stp/>
        <stp>BDP|18079152648603247291|222</stp>
        <stp>OQAX27 Comdty</stp>
        <stp>ASK</stp>
        <stp>Fill=#N/A</stp>
        <tr r="L33" s="1"/>
      </tp>
    </main>
    <main first="ice.rtd">
      <tp t="s">
        <v/>
        <stp/>
        <stp>5162M2:BstHitPrc</stp>
        <tr r="G771" s="5"/>
      </tp>
      <tp t="s">
        <v/>
        <stp/>
        <stp>5162Q2:BstHitPrc</stp>
        <tr r="G796" s="5"/>
      </tp>
      <tp t="s">
        <v/>
        <stp/>
        <stp>5162Y2:BstHitPrc</stp>
        <tr r="G805" s="5"/>
      </tp>
    </main>
    <main first="bofaddin.rtdserver">
      <tp>
        <v>4.29</v>
        <stp/>
        <stp>BDP|5808116530945956419|222</stp>
        <stp>HOV7HOX7 Comdty</stp>
        <stp>BID</stp>
        <stp>Fill=#N/A</stp>
        <tr r="Q33" s="1"/>
      </tp>
      <tp>
        <v>-0.68</v>
        <stp/>
        <stp>BDP|4695372955403191834|222</stp>
        <stp>XBG8XBH8 Comdty</stp>
        <stp>BID</stp>
        <stp>Fill=#N/A</stp>
        <tr r="R37" s="1"/>
      </tp>
      <tp t="s">
        <v>#N/A</v>
        <stp/>
        <stp>BDP|11801498204199881441|222</stp>
        <stp>MUCN9Q9 Comdty</stp>
        <stp>BID</stp>
        <stp>Fill=#N/A</stp>
        <tr r="S54" s="1"/>
      </tp>
      <tp>
        <v>0.16</v>
        <stp/>
        <stp>BDP|2259442064504763719|222</stp>
        <stp>COG9COH9 Comdty</stp>
        <stp>ASK</stp>
        <stp>Fill=#N/A</stp>
        <tr r="O49" s="1"/>
      </tp>
      <tp>
        <v>17.25</v>
        <stp/>
        <stp>BDP|4729907584535307983|222</stp>
        <stp>XBV6XBX6 Comdty</stp>
        <stp>BID</stp>
        <stp>Fill=#N/A</stp>
        <tr r="R21" s="1"/>
      </tp>
      <tp>
        <v>13.5</v>
        <stp/>
        <stp>BDP|8916060531534047066|222</stp>
        <stp>QSQ7QSU7 Comdty</stp>
        <stp>ASK</stp>
        <stp>Fill=#N/A</stp>
        <tr r="P31" s="1"/>
      </tp>
      <tp>
        <v>5.24</v>
        <stp/>
        <stp>BDP|5815141200713503476|222</stp>
        <stp>XBM7XBN7 Comdty</stp>
        <stp>ASK</stp>
        <stp>Fill=#N/A</stp>
        <tr r="R29" s="1"/>
      </tp>
      <tp t="s">
        <v>#N/A</v>
        <stp/>
        <stp>BDP|18257831038162477025|222</stp>
        <stp>MUCV7X7 Comdty</stp>
        <stp>ASK</stp>
        <stp>Fill=#N/A</stp>
        <tr r="S33" s="1"/>
      </tp>
      <tp t="s">
        <v>#N/A</v>
        <stp/>
        <stp>BDP|10033711618941336036|222</stp>
        <stp>MUCN8Q8 Comdty</stp>
        <stp>BID</stp>
        <stp>Fill=#N/A</stp>
        <tr r="S42" s="1"/>
      </tp>
      <tp>
        <v>1.5</v>
        <stp/>
        <stp>BDP|1864298833098516660|222</stp>
        <stp>QSX9QSZ9 Comdty</stp>
        <stp>BID</stp>
        <stp>Fill=#N/A</stp>
        <tr r="P58" s="1"/>
      </tp>
      <tp>
        <v>0.19</v>
        <stp/>
        <stp>BDP|2026217700824872904|222</stp>
        <stp>CLU8CLV8 Comdty</stp>
        <stp>BID</stp>
        <stp>Fill=#N/A</stp>
        <tr r="N44" s="1"/>
      </tp>
      <tp>
        <v>3.17</v>
        <stp/>
        <stp>BDP|1224138518558384154|222</stp>
        <stp>XBF7XBG7 Comdty</stp>
        <stp>ASK</stp>
        <stp>Fill=#N/A</stp>
        <tr r="R24" s="1"/>
      </tp>
      <tp>
        <v>6.07</v>
        <stp/>
        <stp>BDP|9333769359208240812|222</stp>
        <stp>HOM7HON7 Comdty</stp>
        <stp>BID</stp>
        <stp>Fill=#N/A</stp>
        <tr r="Q29" s="1"/>
      </tp>
      <tp t="s">
        <v>#N/A</v>
        <stp/>
        <stp>BDP|4581782510928106400|222</stp>
        <stp>QSJ0QSK0 Comdty</stp>
        <stp>ASK</stp>
        <stp>Fill=#N/A</stp>
        <tr r="P63" s="1"/>
      </tp>
    </main>
    <main first="ice.rtd">
      <tp t="s">
        <v/>
        <stp/>
        <stp>18871685Q8:LstDate</stp>
        <tr r="J454" s="5"/>
      </tp>
      <tp t="s">
        <v/>
        <stp/>
        <stp>18871685Q6:LstDate</stp>
        <tr r="J452" s="5"/>
      </tp>
      <tp t="s">
        <v/>
        <stp/>
        <stp>18871685Q7:LstDate</stp>
        <tr r="J453" s="5"/>
      </tp>
      <tp t="s">
        <v/>
        <stp/>
        <stp>18871685Q4:LstDate</stp>
        <tr r="J450" s="5"/>
      </tp>
      <tp t="s">
        <v/>
        <stp/>
        <stp>18871685Q5:LstDate</stp>
        <tr r="J451" s="5"/>
      </tp>
      <tp t="s">
        <v/>
        <stp/>
        <stp>18871685Q2:LstDate</stp>
        <tr r="J448" s="5"/>
      </tp>
      <tp t="s">
        <v/>
        <stp/>
        <stp>18871685Q3:LstDate</stp>
        <tr r="J449" s="5"/>
      </tp>
      <tp t="s">
        <v/>
        <stp/>
        <stp>18871685Q0:LstDate</stp>
        <tr r="J446" s="5"/>
      </tp>
      <tp t="s">
        <v/>
        <stp/>
        <stp>18871685Q1:LstDate</stp>
        <tr r="J447" s="5"/>
      </tp>
      <tp t="s">
        <v/>
        <stp/>
        <stp>34364094Q4:LstDate</stp>
        <tr r="J547" s="5"/>
      </tp>
      <tp t="s">
        <v/>
        <stp/>
        <stp>34374095Q4:LstDate</stp>
        <tr r="J585" s="5"/>
      </tp>
      <tp t="s">
        <v/>
        <stp/>
        <stp>34364094Q5:LstDate</stp>
        <tr r="J548" s="5"/>
      </tp>
      <tp t="s">
        <v/>
        <stp/>
        <stp>34374095Q5:LstDate</stp>
        <tr r="J586" s="5"/>
      </tp>
      <tp t="s">
        <v/>
        <stp/>
        <stp>34364094Q6:LstDate</stp>
        <tr r="J549" s="5"/>
      </tp>
      <tp t="s">
        <v/>
        <stp/>
        <stp>34374095Q6:LstDate</stp>
        <tr r="J587" s="5"/>
      </tp>
      <tp t="s">
        <v/>
        <stp/>
        <stp>34364094Q7:LstDate</stp>
        <tr r="J550" s="5"/>
      </tp>
      <tp t="s">
        <v/>
        <stp/>
        <stp>34374095Q7:LstDate</stp>
        <tr r="J588" s="5"/>
      </tp>
      <tp t="s">
        <v/>
        <stp/>
        <stp>34364094Q0:LstDate</stp>
        <tr r="J543" s="5"/>
      </tp>
      <tp t="s">
        <v/>
        <stp/>
        <stp>34374095Q0:LstDate</stp>
        <tr r="J581" s="5"/>
      </tp>
      <tp t="s">
        <v/>
        <stp/>
        <stp>34364094Q1:LstDate</stp>
        <tr r="J544" s="5"/>
      </tp>
      <tp t="s">
        <v/>
        <stp/>
        <stp>34374095Q1:LstDate</stp>
        <tr r="J582" s="5"/>
      </tp>
      <tp t="s">
        <v/>
        <stp/>
        <stp>34364094Q2:LstDate</stp>
        <tr r="J545" s="5"/>
      </tp>
      <tp t="s">
        <v/>
        <stp/>
        <stp>34374095Q2:LstDate</stp>
        <tr r="J583" s="5"/>
      </tp>
      <tp t="s">
        <v/>
        <stp/>
        <stp>34364094Q3:LstDate</stp>
        <tr r="J546" s="5"/>
      </tp>
      <tp t="s">
        <v/>
        <stp/>
        <stp>34374095Q3:LstDate</stp>
        <tr r="J584" s="5"/>
      </tp>
      <tp t="s">
        <v/>
        <stp/>
        <stp>34364094Q8:LstDate</stp>
        <tr r="J551" s="5"/>
      </tp>
      <tp t="s">
        <v/>
        <stp/>
        <stp>34374095Q8:LstDate</stp>
        <tr r="J589" s="5"/>
      </tp>
      <tp t="s">
        <v>Invalid Market: 18871685Y2</v>
        <stp/>
        <stp>18871685Y2:LstDate</stp>
        <tr r="J457" s="5"/>
      </tp>
      <tp t="s">
        <v/>
        <stp/>
        <stp>18871685Y0:LstDate</stp>
        <tr r="J455" s="5"/>
      </tp>
      <tp t="s">
        <v/>
        <stp/>
        <stp>18871685Y1:LstDate</stp>
        <tr r="J456" s="5"/>
      </tp>
      <tp t="s">
        <v/>
        <stp/>
        <stp>34364094Y0:LstDate</stp>
        <tr r="J552" s="5"/>
      </tp>
      <tp t="s">
        <v/>
        <stp/>
        <stp>34374095Y0:LstDate</stp>
        <tr r="J590" s="5"/>
      </tp>
      <tp t="s">
        <v/>
        <stp/>
        <stp>34364094Y1:LstDate</stp>
        <tr r="J553" s="5"/>
      </tp>
      <tp t="s">
        <v/>
        <stp/>
        <stp>34374095Y1:LstDate</stp>
        <tr r="J591" s="5"/>
      </tp>
      <tp t="s">
        <v/>
        <stp/>
        <stp>34364094Y2:LstDate</stp>
        <tr r="J554" s="5"/>
      </tp>
      <tp t="s">
        <v/>
        <stp/>
        <stp>34374095Y2:LstDate</stp>
        <tr r="J592" s="5"/>
      </tp>
      <tp t="s">
        <v/>
        <stp/>
        <stp>266Q5:LstBlkTime</stp>
        <tr r="M951" s="5"/>
      </tp>
      <tp t="s">
        <v/>
        <stp/>
        <stp>266Q4:LstBlkTime</stp>
        <tr r="M950" s="5"/>
      </tp>
      <tp t="s">
        <v/>
        <stp/>
        <stp>266Q7:LstBlkTime</stp>
        <tr r="M953" s="5"/>
      </tp>
      <tp t="s">
        <v/>
        <stp/>
        <stp>266Q6:LstBlkTime</stp>
        <tr r="M952" s="5"/>
      </tp>
      <tp t="s">
        <v/>
        <stp/>
        <stp>266Q1:LstBlkTime</stp>
        <tr r="M947" s="5"/>
      </tp>
      <tp t="s">
        <v/>
        <stp/>
        <stp>266Q0:LstBlkTime</stp>
        <tr r="M946" s="5"/>
      </tp>
      <tp t="s">
        <v/>
        <stp/>
        <stp>266Q3:LstBlkTime</stp>
        <tr r="M949" s="5"/>
      </tp>
      <tp t="s">
        <v/>
        <stp/>
        <stp>266Q2:LstBlkTime</stp>
        <tr r="M948" s="5"/>
      </tp>
      <tp t="s">
        <v/>
        <stp/>
        <stp>266Q8:LstBlkTime</stp>
        <tr r="M954" s="5"/>
      </tp>
      <tp t="s">
        <v/>
        <stp/>
        <stp>266Y1:LstBlkTime</stp>
        <tr r="M956" s="5"/>
      </tp>
      <tp t="s">
        <v/>
        <stp/>
        <stp>266Y0:LstBlkTime</stp>
        <tr r="M955" s="5"/>
      </tp>
      <tp t="s">
        <v/>
        <stp/>
        <stp>266Y2:LstBlkTime</stp>
        <tr r="M957" s="5"/>
      </tp>
      <tp t="s">
        <v/>
        <stp/>
        <stp>266M5:LstBlkTime</stp>
        <tr r="M926" s="5"/>
      </tp>
      <tp t="s">
        <v/>
        <stp/>
        <stp>266M4:LstBlkTime</stp>
        <tr r="M925" s="5"/>
      </tp>
      <tp t="s">
        <v/>
        <stp/>
        <stp>266M7:LstBlkTime</stp>
        <tr r="M928" s="5"/>
      </tp>
      <tp t="s">
        <v/>
        <stp/>
        <stp>266M6:LstBlkTime</stp>
        <tr r="M927" s="5"/>
      </tp>
      <tp t="s">
        <v/>
        <stp/>
        <stp>266M1:LstBlkTime</stp>
        <tr r="M922" s="5"/>
      </tp>
      <tp t="s">
        <v/>
        <stp/>
        <stp>266M0:LstBlkTime</stp>
        <tr r="M921" s="5"/>
      </tp>
      <tp t="s">
        <v/>
        <stp/>
        <stp>266M3:LstBlkTime</stp>
        <tr r="M924" s="5"/>
      </tp>
      <tp t="s">
        <v/>
        <stp/>
        <stp>266M2:LstBlkTime</stp>
        <tr r="M923" s="5"/>
      </tp>
      <tp t="s">
        <v/>
        <stp/>
        <stp>266M9:LstBlkTime</stp>
        <tr r="M930" s="5"/>
      </tp>
      <tp t="s">
        <v/>
        <stp/>
        <stp>266M8:LstBlkTime</stp>
        <tr r="M929" s="5"/>
      </tp>
      <tp t="s">
        <v/>
        <stp/>
        <stp>34364094M4:LstDate</stp>
        <tr r="J522" s="5"/>
      </tp>
      <tp t="s">
        <v/>
        <stp/>
        <stp>34374095M4:LstDate</stp>
        <tr r="J560" s="5"/>
      </tp>
      <tp t="s">
        <v/>
        <stp/>
        <stp>34364094M5:LstDate</stp>
        <tr r="J523" s="5"/>
      </tp>
      <tp t="s">
        <v/>
        <stp/>
        <stp>34374095M5:LstDate</stp>
        <tr r="J561" s="5"/>
      </tp>
      <tp t="s">
        <v/>
        <stp/>
        <stp>34364094M6:LstDate</stp>
        <tr r="J524" s="5"/>
      </tp>
      <tp t="s">
        <v/>
        <stp/>
        <stp>34374095M6:LstDate</stp>
        <tr r="J562" s="5"/>
      </tp>
      <tp t="s">
        <v/>
        <stp/>
        <stp>34364094M7:LstDate</stp>
        <tr r="J525" s="5"/>
      </tp>
      <tp t="s">
        <v/>
        <stp/>
        <stp>34374095M7:LstDate</stp>
        <tr r="J563" s="5"/>
      </tp>
      <tp t="s">
        <v/>
        <stp/>
        <stp>34364094M0:LstDate</stp>
        <tr r="J518" s="5"/>
      </tp>
      <tp t="s">
        <v/>
        <stp/>
        <stp>34374095M0:LstDate</stp>
        <tr r="J556" s="5"/>
      </tp>
      <tp t="s">
        <v/>
        <stp/>
        <stp>34364094M1:LstDate</stp>
        <tr r="J519" s="5"/>
      </tp>
      <tp t="s">
        <v/>
        <stp/>
        <stp>34374095M1:LstDate</stp>
        <tr r="J557" s="5"/>
      </tp>
      <tp t="s">
        <v/>
        <stp/>
        <stp>34364094M2:LstDate</stp>
        <tr r="J520" s="5"/>
      </tp>
      <tp t="s">
        <v/>
        <stp/>
        <stp>34374095M2:LstDate</stp>
        <tr r="J558" s="5"/>
      </tp>
      <tp t="s">
        <v/>
        <stp/>
        <stp>34364094M3:LstDate</stp>
        <tr r="J521" s="5"/>
      </tp>
      <tp t="s">
        <v/>
        <stp/>
        <stp>34374095M3:LstDate</stp>
        <tr r="J559" s="5"/>
      </tp>
      <tp t="s">
        <v/>
        <stp/>
        <stp>34364094M8:LstDate</stp>
        <tr r="J526" s="5"/>
      </tp>
      <tp t="s">
        <v/>
        <stp/>
        <stp>34374095M8:LstDate</stp>
        <tr r="J564" s="5"/>
      </tp>
      <tp t="s">
        <v/>
        <stp/>
        <stp>34364094M9:LstDate</stp>
        <tr r="J527" s="5"/>
      </tp>
      <tp t="s">
        <v/>
        <stp/>
        <stp>34374095M9:LstDate</stp>
        <tr r="J565" s="5"/>
      </tp>
      <tp t="s">
        <v/>
        <stp/>
        <stp>18871685M8:LstDate</stp>
        <tr r="J429" s="5"/>
      </tp>
      <tp t="s">
        <v/>
        <stp/>
        <stp>18871685M9:LstDate</stp>
        <tr r="J430" s="5"/>
      </tp>
      <tp t="s">
        <v/>
        <stp/>
        <stp>18871685M6:LstDate</stp>
        <tr r="J427" s="5"/>
      </tp>
      <tp t="s">
        <v/>
        <stp/>
        <stp>18871685M7:LstDate</stp>
        <tr r="J428" s="5"/>
      </tp>
      <tp t="s">
        <v/>
        <stp/>
        <stp>18871685M4:LstDate</stp>
        <tr r="J425" s="5"/>
      </tp>
      <tp t="s">
        <v/>
        <stp/>
        <stp>18871685M5:LstDate</stp>
        <tr r="J426" s="5"/>
      </tp>
      <tp t="s">
        <v/>
        <stp/>
        <stp>18871685M2:LstDate</stp>
        <tr r="J423" s="5"/>
      </tp>
      <tp t="s">
        <v/>
        <stp/>
        <stp>18871685M3:LstDate</stp>
        <tr r="J424" s="5"/>
      </tp>
      <tp t="s">
        <v/>
        <stp/>
        <stp>18871685M0:LstDate</stp>
        <tr r="J421" s="5"/>
      </tp>
      <tp t="s">
        <v/>
        <stp/>
        <stp>18871685M1:LstDate</stp>
        <tr r="J422" s="5"/>
      </tp>
    </main>
    <main first="ice.rtd">
      <tp t="s">
        <v/>
        <stp/>
        <stp>266419M8:LstBlkVol</stp>
        <tr r="L967" s="5"/>
      </tp>
      <tp t="s">
        <v/>
        <stp/>
        <stp>266419Q8:LstBlkVol</stp>
        <tr r="L992" s="5"/>
      </tp>
      <tp t="s">
        <v/>
        <stp/>
        <stp>266M12:LstBlkVol</stp>
        <tr r="L933" s="5"/>
      </tp>
      <tp t="s">
        <v/>
        <stp/>
        <stp>266M22:LstBlkVol</stp>
        <tr r="L943" s="5"/>
      </tp>
      <tp t="s">
        <v/>
        <stp/>
        <stp>5162Q5:LstBlkVol</stp>
        <tr r="L799" s="5"/>
      </tp>
      <tp t="s">
        <v/>
        <stp/>
        <stp>5162M5:LstBlkVol</stp>
        <tr r="L774" s="5"/>
      </tp>
      <tp>
        <v>70</v>
        <stp/>
        <stp>141587M9:LstBlkVol</stp>
        <tr r="L50" s="5"/>
      </tp>
      <tp t="s">
        <v/>
        <stp/>
        <stp>1517Y1:LstBlkVol</stp>
        <tr r="L38" s="5"/>
      </tp>
      <tp>
        <v>25</v>
        <stp/>
        <stp>1517Q1:LstBlkVol</stp>
        <tr r="L29" s="5"/>
      </tp>
      <tp>
        <v>250</v>
        <stp/>
        <stp>1517M1:LstBlkVol</stp>
        <tr r="L4" s="5"/>
      </tp>
      <tp>
        <v>85</v>
        <stp/>
        <stp>34404098M14:OI</stp>
        <tr r="T608" s="5"/>
      </tp>
      <tp>
        <v>206</v>
        <stp/>
        <stp>34414099M14:OI</stp>
        <tr r="T93" s="5"/>
      </tp>
      <tp>
        <v>85</v>
        <stp/>
        <stp>34404098M15:OI</stp>
        <tr r="T609" s="5"/>
      </tp>
      <tp>
        <v>233</v>
        <stp/>
        <stp>34414099M15:OI</stp>
        <tr r="T94" s="5"/>
      </tp>
      <tp>
        <v>0</v>
        <stp/>
        <stp>34404098M16:OI</stp>
        <tr r="T610" s="5"/>
      </tp>
      <tp>
        <v>86</v>
        <stp/>
        <stp>34414099M16:OI</stp>
        <tr r="T95" s="5"/>
      </tp>
      <tp>
        <v>0</v>
        <stp/>
        <stp>34404098M17:OI</stp>
        <tr r="T611" s="5"/>
      </tp>
      <tp>
        <v>80</v>
        <stp/>
        <stp>34414099M17:OI</stp>
        <tr r="T96" s="5"/>
      </tp>
      <tp>
        <v>57</v>
        <stp/>
        <stp>34404098M10:OI</stp>
        <tr r="T604" s="5"/>
      </tp>
      <tp>
        <v>382</v>
        <stp/>
        <stp>34414099M10:OI</stp>
        <tr r="T89" s="5"/>
      </tp>
      <tp>
        <v>57</v>
        <stp/>
        <stp>34404098M11:OI</stp>
        <tr r="T605" s="5"/>
      </tp>
      <tp>
        <v>359</v>
        <stp/>
        <stp>34414099M11:OI</stp>
        <tr r="T90" s="5"/>
      </tp>
      <tp>
        <v>57</v>
        <stp/>
        <stp>34404098M12:OI</stp>
        <tr r="T606" s="5"/>
      </tp>
      <tp>
        <v>371</v>
        <stp/>
        <stp>34414099M12:OI</stp>
        <tr r="T91" s="5"/>
      </tp>
      <tp>
        <v>85</v>
        <stp/>
        <stp>34404098M13:OI</stp>
        <tr r="T607" s="5"/>
      </tp>
      <tp>
        <v>206</v>
        <stp/>
        <stp>34414099M13:OI</stp>
        <tr r="T92" s="5"/>
      </tp>
      <tp>
        <v>0</v>
        <stp/>
        <stp>34404098M18:OI</stp>
        <tr r="T612" s="5"/>
      </tp>
      <tp>
        <v>80</v>
        <stp/>
        <stp>34414099M18:OI</stp>
        <tr r="T97" s="5"/>
      </tp>
      <tp>
        <v>0</v>
        <stp/>
        <stp>34404098M19:OI</stp>
        <tr r="T613" s="5"/>
      </tp>
      <tp>
        <v>10</v>
        <stp/>
        <stp>34414099M19:OI</stp>
        <tr r="T98" s="5"/>
      </tp>
      <tp>
        <v>0</v>
        <stp/>
        <stp>34404098M24:OI</stp>
        <tr r="T618" s="5"/>
      </tp>
      <tp>
        <v>6</v>
        <stp/>
        <stp>34414099M24:OI</stp>
        <tr r="T103" s="5"/>
      </tp>
      <tp>
        <v>0</v>
        <stp/>
        <stp>34404098M20:OI</stp>
        <tr r="T614" s="5"/>
      </tp>
      <tp>
        <v>15</v>
        <stp/>
        <stp>34414099M20:OI</stp>
        <tr r="T99" s="5"/>
      </tp>
      <tp>
        <v>0</v>
        <stp/>
        <stp>34404098M21:OI</stp>
        <tr r="T615" s="5"/>
      </tp>
      <tp>
        <v>10</v>
        <stp/>
        <stp>34414099M21:OI</stp>
        <tr r="T100" s="5"/>
      </tp>
      <tp>
        <v>0</v>
        <stp/>
        <stp>34404098M22:OI</stp>
        <tr r="T616" s="5"/>
      </tp>
      <tp>
        <v>6</v>
        <stp/>
        <stp>34414099M22:OI</stp>
        <tr r="T101" s="5"/>
      </tp>
      <tp>
        <v>0</v>
        <stp/>
        <stp>34404098M23:OI</stp>
        <tr r="T617" s="5"/>
      </tp>
      <tp>
        <v>6</v>
        <stp/>
        <stp>34414099M23:OI</stp>
        <tr r="T102" s="5"/>
      </tp>
      <tp t="s">
        <v/>
        <stp/>
        <stp>1517Q7:LstBlkPrc</stp>
        <tr r="K35" s="5"/>
      </tp>
      <tp t="s">
        <v/>
        <stp/>
        <stp>1517M7:LstBlkPrc</stp>
        <tr r="K10" s="5"/>
      </tp>
    </main>
    <main first="bofaddin.rtdserver">
      <tp t="s">
        <v>#N/A</v>
        <stp/>
        <stp>BDP|10583527101641983654|222</stp>
        <stp>OQAU27 Comdty</stp>
        <stp>BID</stp>
        <stp>Fill=#N/A</stp>
        <tr r="L31" s="1"/>
      </tp>
    </main>
    <main first="ice.rtd">
      <tp t="s">
        <v/>
        <stp/>
        <stp>266M14:LstBlkPrc</stp>
        <tr r="K935" s="5"/>
      </tp>
      <tp t="s">
        <v/>
        <stp/>
        <stp>266M24:LstBlkPrc</stp>
        <tr r="K945" s="5"/>
      </tp>
    </main>
    <main first="esrtd">
      <tp t="s">
        <v/>
        <stp/>
        <stp>WDF 8!-IEU</stp>
        <stp>Block Price DT</stp>
        <tr r="M1785" s="5"/>
      </tp>
      <tp t="s">
        <v/>
        <stp/>
        <stp>WDF 9!-IEU</stp>
        <stp>Block Price DT</stp>
        <tr r="M1786" s="5"/>
      </tp>
      <tp t="s">
        <v/>
        <stp/>
        <stp>WDF 1!-IEU</stp>
        <stp>Block Price DT</stp>
        <tr r="M1778" s="5"/>
      </tp>
      <tp t="s">
        <v/>
        <stp/>
        <stp>WDF 2!-IEU</stp>
        <stp>Block Price DT</stp>
        <tr r="M1779" s="5"/>
      </tp>
      <tp t="s">
        <v/>
        <stp/>
        <stp>WDF 3!-IEU</stp>
        <stp>Block Price DT</stp>
        <tr r="M1780" s="5"/>
      </tp>
      <tp t="s">
        <v/>
        <stp/>
        <stp>WDF 4!-IEU</stp>
        <stp>Block Price DT</stp>
        <tr r="M1781" s="5"/>
      </tp>
      <tp t="s">
        <v/>
        <stp/>
        <stp>WDF 5!-IEU</stp>
        <stp>Block Price DT</stp>
        <tr r="M1782" s="5"/>
      </tp>
      <tp t="s">
        <v/>
        <stp/>
        <stp>WDF 6!-IEU</stp>
        <stp>Block Price DT</stp>
        <tr r="M1783" s="5"/>
      </tp>
      <tp t="s">
        <v/>
        <stp/>
        <stp>WDF 7!-IEU</stp>
        <stp>Block Price DT</stp>
        <tr r="M1784" s="5"/>
      </tp>
    </main>
    <main first="ice.rtd">
      <tp t="s">
        <v/>
        <stp/>
        <stp>5162Q3:LstBlkPrc</stp>
        <tr r="K797" s="5"/>
      </tp>
      <tp t="s">
        <v/>
        <stp/>
        <stp>5162M3:LstBlkPrc</stp>
        <tr r="K772" s="5"/>
      </tp>
    </main>
    <main first="bofaddin.rtdserver">
      <tp t="s">
        <v>#N/A</v>
        <stp/>
        <stp>BDP|11368266270537681372|222</stp>
        <stp>MUCX28 Comdty</stp>
        <stp>BID</stp>
        <stp>Fill=#N/A</stp>
        <tr r="K45" s="1"/>
      </tp>
      <tp t="s">
        <v>#N/A</v>
        <stp/>
        <stp>BDP|12134363435563887346|222</stp>
        <stp>OQAK27 Comdty</stp>
        <stp>BID</stp>
        <stp>Fill=#N/A</stp>
        <tr r="L27" s="1"/>
      </tp>
      <tp t="s">
        <v>#N/A</v>
        <stp/>
        <stp>BDP|13393394164600776500|222</stp>
        <stp>OQAQ30 Comdty</stp>
        <stp>BID</stp>
        <stp>Fill=#N/A</stp>
        <tr r="L66" s="1"/>
      </tp>
      <tp t="s">
        <v>#N/A</v>
        <stp/>
        <stp>BDP|13878671490101300299|222</stp>
        <stp>MUCG28 Comdty</stp>
        <stp>ASK</stp>
        <stp>Fill=#N/A</stp>
        <tr r="K36" s="1"/>
      </tp>
    </main>
    <main first="ice.rtd">
      <tp t="s">
        <v/>
        <stp/>
        <stp>1517M7:BstHitPrc</stp>
        <tr r="G10" s="5"/>
      </tp>
      <tp t="s">
        <v/>
        <stp/>
        <stp>1517Q7:BstHitPrc</stp>
        <tr r="G35" s="5"/>
      </tp>
    </main>
    <main first="bofaddin.rtdserver">
      <tp t="s">
        <v>#N/A</v>
        <stp/>
        <stp>BDP|17141555584797624123|222</stp>
        <stp>OQAM30 Comdty</stp>
        <stp>ASK</stp>
        <stp>Fill=#N/A</stp>
        <tr r="L64" s="1"/>
      </tp>
      <tp t="s">
        <v>#N/A</v>
        <stp/>
        <stp>BDP|13662103778923747667|222</stp>
        <stp>MUCH29 Comdty</stp>
        <stp>BID</stp>
        <stp>Fill=#N/A</stp>
        <tr r="K49" s="1"/>
      </tp>
      <tp t="s">
        <v>#N/A</v>
        <stp/>
        <stp>BDP|13215393587866235358|222</stp>
        <stp>OQAU28 Comdty</stp>
        <stp>ASK</stp>
        <stp>Fill=#N/A</stp>
        <tr r="L43" s="1"/>
      </tp>
    </main>
    <main first="ice.rtd">
      <tp t="s">
        <v/>
        <stp/>
        <stp>266M24:BstHitPrc</stp>
        <tr r="G945" s="5"/>
      </tp>
      <tp t="s">
        <v/>
        <stp/>
        <stp>266M14:BstHitPrc</stp>
        <tr r="G935" s="5"/>
      </tp>
      <tp>
        <v>-10.25</v>
        <stp/>
        <stp>5162M3:BstHitPrc</stp>
        <tr r="G772" s="5"/>
      </tp>
      <tp t="s">
        <v/>
        <stp/>
        <stp>5162Q3:BstHitPrc</stp>
        <tr r="G797" s="5"/>
      </tp>
      <tp t="s">
        <v>Invalid Market: 2044823525M22</v>
        <stp/>
        <stp>2044823525M22:LstBlkTime</stp>
        <tr r="M1769" s="5"/>
      </tp>
      <tp t="s">
        <v>Invalid Market: 2044823525M21</v>
        <stp/>
        <stp>2044823525M21:LstBlkTime</stp>
        <tr r="M1768" s="5"/>
      </tp>
      <tp t="s">
        <v>Invalid Market: 2044823525M20</v>
        <stp/>
        <stp>2044823525M20:LstBlkTime</stp>
        <tr r="M1767" s="5"/>
      </tp>
      <tp t="s">
        <v>Invalid Market: 2044823525M19</v>
        <stp/>
        <stp>2044823525M19:LstBlkTime</stp>
        <tr r="M1766" s="5"/>
      </tp>
      <tp t="s">
        <v>Invalid Market: 2044823525M18</v>
        <stp/>
        <stp>2044823525M18:LstBlkTime</stp>
        <tr r="M1765" s="5"/>
      </tp>
      <tp t="s">
        <v>Invalid Market: 2044823525M17</v>
        <stp/>
        <stp>2044823525M17:LstBlkTime</stp>
        <tr r="M1764" s="5"/>
      </tp>
      <tp t="s">
        <v>Invalid Market: 2044823525M16</v>
        <stp/>
        <stp>2044823525M16:LstBlkTime</stp>
        <tr r="M1763" s="5"/>
      </tp>
      <tp t="s">
        <v>Invalid Market: 2044823525M15</v>
        <stp/>
        <stp>2044823525M15:LstBlkTime</stp>
        <tr r="M1762" s="5"/>
      </tp>
      <tp t="s">
        <v/>
        <stp/>
        <stp>2044823525M14:LstBlkTime</stp>
        <tr r="M1761" s="5"/>
      </tp>
      <tp t="s">
        <v/>
        <stp/>
        <stp>2044823525M13:LstBlkTime</stp>
        <tr r="M1760" s="5"/>
      </tp>
      <tp t="s">
        <v/>
        <stp/>
        <stp>2044823525M12:LstBlkTime</stp>
        <tr r="M1759" s="5"/>
      </tp>
      <tp t="s">
        <v/>
        <stp/>
        <stp>2044823525M11:LstBlkTime</stp>
        <tr r="M1758" s="5"/>
      </tp>
      <tp t="s">
        <v/>
        <stp/>
        <stp>2044823525M10:LstBlkTime</stp>
        <tr r="M1757" s="5"/>
      </tp>
    </main>
    <main first="bofaddin.rtdserver">
      <tp>
        <v>6.57</v>
        <stp/>
        <stp>BDP|4814270916505913722|222</stp>
        <stp>XBQ7XBU7 Comdty</stp>
        <stp>ASK</stp>
        <stp>Fill=#N/A</stp>
        <tr r="R31" s="1"/>
      </tp>
      <tp t="s">
        <v>#N/A</v>
        <stp/>
        <stp>BDP|6819734277776590019|222</stp>
        <stp>XBJ9XBK9 Comdty</stp>
        <stp>ASK</stp>
        <stp>Fill=#N/A</stp>
        <tr r="R51" s="1"/>
      </tp>
      <tp>
        <v>4.8600000000000003</v>
        <stp/>
        <stp>BDP|5128392114466425478|222</stp>
        <stp>XBX7XBZ7 Comdty</stp>
        <stp>BID</stp>
        <stp>Fill=#N/A</stp>
        <tr r="R34" s="1"/>
      </tp>
      <tp>
        <v>-1.2</v>
        <stp/>
        <stp>BDP|6485597980629264932|222</stp>
        <stp>XBJ9XBK9 Comdty</stp>
        <stp>BID</stp>
        <stp>Fill=#N/A</stp>
        <tr r="R51" s="1"/>
      </tp>
      <tp>
        <v>0.89</v>
        <stp/>
        <stp>BDP|2287947296285758385|222</stp>
        <stp>XBF8XBG8 Comdty</stp>
        <stp>BID</stp>
        <stp>Fill=#N/A</stp>
        <tr r="R36" s="1"/>
      </tp>
      <tp>
        <v>3</v>
        <stp/>
        <stp>BDP|7493481742983688116|222</stp>
        <stp>QSU8QSV8 Comdty</stp>
        <stp>BID</stp>
        <stp>Fill=#N/A</stp>
        <tr r="P44" s="1"/>
      </tp>
      <tp t="s">
        <v>#N/A</v>
        <stp/>
        <stp>BDP|15223535239645501475|222</stp>
        <stp>OQAV7X7 Comdty</stp>
        <stp>ASK</stp>
        <stp>Fill=#N/A</stp>
        <tr r="T33" s="1"/>
      </tp>
      <tp>
        <v>0.16</v>
        <stp/>
        <stp>BDP|6987431550835843177|222</stp>
        <stp>COF0COG0 Comdty</stp>
        <stp>ASK</stp>
        <stp>Fill=#N/A</stp>
        <tr r="O60" s="1"/>
      </tp>
      <tp t="s">
        <v>#N/A</v>
        <stp/>
        <stp>BDP|12236064486602504461|222</stp>
        <stp>MUCV7X7 Comdty</stp>
        <stp>BID</stp>
        <stp>Fill=#N/A</stp>
        <tr r="S33" s="1"/>
      </tp>
    </main>
    <main first="ice.rtd">
      <tp t="s">
        <v/>
        <stp/>
        <stp>32613992Q8:LstDate</stp>
        <tr r="J1258" s="5"/>
      </tp>
      <tp t="s">
        <v/>
        <stp/>
        <stp>32613992Q3:LstDate</stp>
        <tr r="J1253" s="5"/>
      </tp>
      <tp t="s">
        <v/>
        <stp/>
        <stp>32613992Q2:LstDate</stp>
        <tr r="J1252" s="5"/>
      </tp>
      <tp t="s">
        <v/>
        <stp/>
        <stp>32613992Q1:LstDate</stp>
        <tr r="J1251" s="5"/>
      </tp>
      <tp t="s">
        <v/>
        <stp/>
        <stp>32613992Q0:LstDate</stp>
        <tr r="J1250" s="5"/>
      </tp>
      <tp t="s">
        <v/>
        <stp/>
        <stp>32613992Q7:LstDate</stp>
        <tr r="J1257" s="5"/>
      </tp>
      <tp t="s">
        <v/>
        <stp/>
        <stp>32613992Q6:LstDate</stp>
        <tr r="J1256" s="5"/>
      </tp>
      <tp t="s">
        <v/>
        <stp/>
        <stp>32613992Q5:LstDate</stp>
        <tr r="J1255" s="5"/>
      </tp>
      <tp t="s">
        <v/>
        <stp/>
        <stp>32613992Q4:LstDate</stp>
        <tr r="J1254" s="5"/>
      </tp>
      <tp t="s">
        <v/>
        <stp/>
        <stp>17551596T2:LstDate</stp>
        <tr r="J1539" s="5"/>
      </tp>
      <tp t="s">
        <v/>
        <stp/>
        <stp>17551596T3:LstDate</stp>
        <tr r="J1540" s="5"/>
      </tp>
      <tp t="s">
        <v/>
        <stp/>
        <stp>17551596T0:LstDate</stp>
        <tr r="J1537" s="5"/>
      </tp>
      <tp t="s">
        <v/>
        <stp/>
        <stp>17551596T1:LstDate</stp>
        <tr r="J1538" s="5"/>
      </tp>
      <tp t="s">
        <v/>
        <stp/>
        <stp>17551596T6:LstDate</stp>
        <tr r="J1543" s="5"/>
      </tp>
      <tp t="s">
        <v/>
        <stp/>
        <stp>17551596T7:LstDate</stp>
        <tr r="J1544" s="5"/>
      </tp>
      <tp t="s">
        <v/>
        <stp/>
        <stp>17551596T4:LstDate</stp>
        <tr r="J1541" s="5"/>
      </tp>
      <tp t="s">
        <v/>
        <stp/>
        <stp>17551596T5:LstDate</stp>
        <tr r="J1542" s="5"/>
      </tp>
      <tp t="s">
        <v/>
        <stp/>
        <stp>17551596T8:LstDate</stp>
        <tr r="J1546" s="5"/>
        <tr r="J1545" s="5"/>
      </tp>
      <tp t="s">
        <v/>
        <stp/>
        <stp>32613992Y2:LstDate</stp>
        <tr r="J1261" s="5"/>
      </tp>
      <tp t="s">
        <v/>
        <stp/>
        <stp>32613992Y1:LstDate</stp>
        <tr r="J1260" s="5"/>
      </tp>
      <tp t="s">
        <v/>
        <stp/>
        <stp>32613992Y0:LstDate</stp>
        <tr r="J1259" s="5"/>
      </tp>
      <tp t="s">
        <v/>
        <stp/>
        <stp>32613992M9:LstDate</stp>
        <tr r="J1234" s="5"/>
      </tp>
      <tp t="s">
        <v/>
        <stp/>
        <stp>32613992M8:LstDate</stp>
        <tr r="J1233" s="5"/>
      </tp>
      <tp t="s">
        <v/>
        <stp/>
        <stp>32613992M3:LstDate</stp>
        <tr r="J1228" s="5"/>
      </tp>
      <tp t="s">
        <v/>
        <stp/>
        <stp>32613992M2:LstDate</stp>
        <tr r="J1227" s="5"/>
      </tp>
      <tp t="s">
        <v/>
        <stp/>
        <stp>32613992M1:LstDate</stp>
        <tr r="J1226" s="5"/>
      </tp>
      <tp t="s">
        <v/>
        <stp/>
        <stp>32613992M0:LstDate</stp>
        <tr r="J1225" s="5"/>
      </tp>
      <tp t="s">
        <v/>
        <stp/>
        <stp>32613992M7:LstDate</stp>
        <tr r="J1232" s="5"/>
      </tp>
      <tp t="s">
        <v/>
        <stp/>
        <stp>32613992M6:LstDate</stp>
        <tr r="J1231" s="5"/>
      </tp>
      <tp t="s">
        <v/>
        <stp/>
        <stp>32613992M5:LstDate</stp>
        <tr r="J1230" s="5"/>
      </tp>
      <tp t="s">
        <v/>
        <stp/>
        <stp>32613992M4:LstDate</stp>
        <tr r="J1229" s="5"/>
      </tp>
      <tp t="s">
        <v/>
        <stp/>
        <stp>266419M7:LstBlkVol</stp>
        <tr r="L966" s="5"/>
      </tp>
      <tp t="s">
        <v/>
        <stp/>
        <stp>266419Q7:LstBlkVol</stp>
        <tr r="L991" s="5"/>
      </tp>
      <tp t="s">
        <v/>
        <stp/>
        <stp>32613992M16:BstLiftPrc</stp>
        <tr r="H1241" s="5"/>
      </tp>
      <tp t="s">
        <v/>
        <stp/>
        <stp>32613992M17:BstLiftPrc</stp>
        <tr r="H1242" s="5"/>
      </tp>
      <tp t="s">
        <v/>
        <stp/>
        <stp>32613992M14:BstLiftPrc</stp>
        <tr r="H1239" s="5"/>
      </tp>
      <tp t="s">
        <v/>
        <stp/>
        <stp>32613992M15:BstLiftPrc</stp>
        <tr r="H1240" s="5"/>
      </tp>
      <tp t="s">
        <v/>
        <stp/>
        <stp>32613992M12:BstLiftPrc</stp>
        <tr r="H1237" s="5"/>
      </tp>
      <tp t="s">
        <v/>
        <stp/>
        <stp>32613992M13:BstLiftPrc</stp>
        <tr r="H1238" s="5"/>
      </tp>
      <tp t="s">
        <v/>
        <stp/>
        <stp>32613992M10:BstLiftPrc</stp>
        <tr r="H1235" s="5"/>
      </tp>
      <tp t="s">
        <v/>
        <stp/>
        <stp>32613992M11:BstLiftPrc</stp>
        <tr r="H1236" s="5"/>
      </tp>
      <tp t="s">
        <v/>
        <stp/>
        <stp>32613992M18:BstLiftPrc</stp>
        <tr r="H1243" s="5"/>
      </tp>
      <tp t="s">
        <v/>
        <stp/>
        <stp>32613992M19:BstLiftPrc</stp>
        <tr r="H1244" s="5"/>
      </tp>
      <tp t="s">
        <v/>
        <stp/>
        <stp>32613992M24:BstLiftPrc</stp>
        <tr r="H1249" s="5"/>
      </tp>
      <tp t="s">
        <v/>
        <stp/>
        <stp>32613992M22:BstLiftPrc</stp>
        <tr r="H1247" s="5"/>
      </tp>
      <tp t="s">
        <v/>
        <stp/>
        <stp>32613992M23:BstLiftPrc</stp>
        <tr r="H1248" s="5"/>
      </tp>
      <tp t="s">
        <v/>
        <stp/>
        <stp>32613992M20:BstLiftPrc</stp>
        <tr r="H1245" s="5"/>
      </tp>
      <tp t="s">
        <v/>
        <stp/>
        <stp>32613992M21:BstLiftPrc</stp>
        <tr r="H1246" s="5"/>
      </tp>
      <tp t="s">
        <v/>
        <stp/>
        <stp>141587M6:LstBlkVol</stp>
        <tr r="L47" s="5"/>
      </tp>
      <tp t="s">
        <v/>
        <stp/>
        <stp>141587Q6:LstBlkVol</stp>
        <tr r="L72" s="5"/>
      </tp>
      <tp t="s">
        <v/>
        <stp/>
        <stp>266419M14:BstLiftPrc</stp>
        <tr r="H973" s="5"/>
      </tp>
      <tp t="s">
        <v/>
        <stp/>
        <stp>266419M15:BstLiftPrc</stp>
        <tr r="H974" s="5"/>
      </tp>
      <tp t="s">
        <v/>
        <stp/>
        <stp>266419M16:BstLiftPrc</stp>
        <tr r="H975" s="5"/>
      </tp>
      <tp t="s">
        <v/>
        <stp/>
        <stp>266419M17:BstLiftPrc</stp>
        <tr r="H976" s="5"/>
      </tp>
      <tp t="s">
        <v/>
        <stp/>
        <stp>266419M10:BstLiftPrc</stp>
        <tr r="H969" s="5"/>
      </tp>
      <tp t="s">
        <v/>
        <stp/>
        <stp>266419M11:BstLiftPrc</stp>
        <tr r="H970" s="5"/>
      </tp>
      <tp t="s">
        <v/>
        <stp/>
        <stp>266419M12:BstLiftPrc</stp>
        <tr r="H971" s="5"/>
      </tp>
      <tp t="s">
        <v/>
        <stp/>
        <stp>266419M13:BstLiftPrc</stp>
        <tr r="H972" s="5"/>
      </tp>
      <tp t="s">
        <v/>
        <stp/>
        <stp>266419M18:BstLiftPrc</stp>
        <tr r="H977" s="5"/>
      </tp>
      <tp t="s">
        <v/>
        <stp/>
        <stp>266419M19:BstLiftPrc</stp>
        <tr r="H978" s="5"/>
      </tp>
      <tp t="s">
        <v/>
        <stp/>
        <stp>266419M24:BstLiftPrc</stp>
        <tr r="H983" s="5"/>
      </tp>
      <tp t="s">
        <v/>
        <stp/>
        <stp>266419M20:BstLiftPrc</stp>
        <tr r="H979" s="5"/>
      </tp>
      <tp t="s">
        <v/>
        <stp/>
        <stp>266419M21:BstLiftPrc</stp>
        <tr r="H980" s="5"/>
      </tp>
      <tp t="s">
        <v/>
        <stp/>
        <stp>266419M22:BstLiftPrc</stp>
        <tr r="H981" s="5"/>
      </tp>
      <tp t="s">
        <v/>
        <stp/>
        <stp>266419M23:BstLiftPrc</stp>
        <tr r="H982" s="5"/>
      </tp>
    </main>
    <main first="bofaddin.rtdserver">
      <tp t="s">
        <v>#N/A</v>
        <stp/>
        <stp>BDP|10034007719063543231|222</stp>
        <stp>MUCH27 Comdty</stp>
        <stp>ASK</stp>
        <stp>Fill=#N/A</stp>
        <tr r="K25" s="1"/>
      </tp>
    </main>
    <main first="ice.rtd">
      <tp t="s">
        <v/>
        <stp/>
        <stp>1517Q8:LstBlkPrc</stp>
        <tr r="K36" s="5"/>
      </tp>
      <tp t="s">
        <v/>
        <stp/>
        <stp>1517M8:LstBlkPrc</stp>
        <tr r="K11" s="5"/>
      </tp>
    </main>
    <main first="bofaddin.rtdserver">
      <tp t="s">
        <v>#N/A</v>
        <stp/>
        <stp>BDP|14606483689481991677|222</stp>
        <stp>MUCZ27 Comdty</stp>
        <stp>BID</stp>
        <stp>Fill=#N/A</stp>
        <tr r="K34" s="1"/>
      </tp>
    </main>
    <main first="ice.rtd">
      <tp t="s">
        <v/>
        <stp/>
        <stp>141587M0:LstBlkPrc</stp>
        <tr r="K41" s="5"/>
      </tp>
      <tp t="s">
        <v/>
        <stp/>
        <stp>141587Q0:LstBlkPrc</stp>
        <tr r="K66" s="5"/>
      </tp>
      <tp t="s">
        <v/>
        <stp/>
        <stp>141587Y0:LstBlkPrc</stp>
        <tr r="K75" s="5"/>
      </tp>
      <tp t="s">
        <v/>
        <stp/>
        <stp>266419Y1:BstHitPrc</stp>
        <tr r="G994" s="5"/>
      </tp>
      <tp t="s">
        <v/>
        <stp/>
        <stp>266419Q1:BstHitPrc</stp>
        <tr r="G985" s="5"/>
      </tp>
      <tp t="s">
        <v/>
        <stp/>
        <stp>266419M1:BstHitPrc</stp>
        <tr r="G960" s="5"/>
      </tp>
    </main>
    <main first="bofaddin.rtdserver">
      <tp t="s">
        <v>#N/A</v>
        <stp/>
        <stp>BDP|16453573057330539676|222</stp>
        <stp>MUCZ29 Comdty</stp>
        <stp>ASK</stp>
        <stp>Fill=#N/A</stp>
        <tr r="K58" s="1"/>
      </tp>
    </main>
    <main first="ice.rtd">
      <tp>
        <v>2</v>
        <stp/>
        <stp>18901687M20:OI</stp>
        <tr r="T327" s="5"/>
      </tp>
      <tp>
        <v>2</v>
        <stp/>
        <stp>18901687M21:OI</stp>
        <tr r="T328" s="5"/>
      </tp>
      <tp>
        <v>2</v>
        <stp/>
        <stp>18901687M22:OI</stp>
        <tr r="T329" s="5"/>
      </tp>
      <tp>
        <v>2</v>
        <stp/>
        <stp>18901687M23:OI</stp>
        <tr r="T330" s="5"/>
      </tp>
      <tp>
        <v>2</v>
        <stp/>
        <stp>18901687M24:OI</stp>
        <tr r="T331" s="5"/>
      </tp>
      <tp>
        <v>2</v>
        <stp/>
        <stp>18901687M18:OI</stp>
        <tr r="T325" s="5"/>
      </tp>
      <tp>
        <v>2</v>
        <stp/>
        <stp>18901687M19:OI</stp>
        <tr r="T326" s="5"/>
      </tp>
      <tp>
        <v>96</v>
        <stp/>
        <stp>18901687M10:OI</stp>
        <tr r="T317" s="5"/>
      </tp>
      <tp>
        <v>93</v>
        <stp/>
        <stp>18901687M11:OI</stp>
        <tr r="T318" s="5"/>
      </tp>
      <tp>
        <v>82</v>
        <stp/>
        <stp>18901687M12:OI</stp>
        <tr r="T319" s="5"/>
      </tp>
      <tp>
        <v>25</v>
        <stp/>
        <stp>18901687M13:OI</stp>
        <tr r="T320" s="5"/>
      </tp>
      <tp>
        <v>23</v>
        <stp/>
        <stp>18901687M14:OI</stp>
        <tr r="T321" s="5"/>
      </tp>
      <tp>
        <v>95</v>
        <stp/>
        <stp>18901687M15:OI</stp>
        <tr r="T322" s="5"/>
      </tp>
      <tp>
        <v>2</v>
        <stp/>
        <stp>18901687M16:OI</stp>
        <tr r="T323" s="5"/>
      </tp>
      <tp>
        <v>2</v>
        <stp/>
        <stp>18901687M17:OI</stp>
        <tr r="T324" s="5"/>
      </tp>
    </main>
    <main first="bofaddin.rtdserver">
      <tp t="s">
        <v>#N/A</v>
        <stp/>
        <stp>BDP|16631726266573673408|222</stp>
        <stp>MUCZ28 Comdty</stp>
        <stp>ASK</stp>
        <stp>Fill=#N/A</stp>
        <tr r="K46" s="1"/>
      </tp>
    </main>
    <main first="ice.rtd">
      <tp t="s">
        <v/>
        <stp/>
        <stp>1517M8:BstHitPrc</stp>
        <tr r="G11" s="5"/>
      </tp>
      <tp t="s">
        <v/>
        <stp/>
        <stp>1517Q8:BstHitPrc</stp>
        <tr r="G36" s="5"/>
      </tp>
    </main>
    <main first="bofaddin.rtdserver">
      <tp t="s">
        <v>#N/A</v>
        <stp/>
        <stp>BDP|17660614563163562769|222</stp>
        <stp>OQAF30 Comdty</stp>
        <stp>ASK</stp>
        <stp>Fill=#N/A</stp>
        <tr r="L59" s="1"/>
      </tp>
    </main>
    <main first="ice.rtd">
      <tp t="s">
        <v>Invalid Market: 57179020M22</v>
        <stp/>
        <stp>57179020M22:OI</stp>
        <tr r="T1569" s="5"/>
      </tp>
      <tp t="s">
        <v>Invalid Market: 57179020M23</v>
        <stp/>
        <stp>57179020M23:OI</stp>
        <tr r="T1570" s="5"/>
      </tp>
      <tp t="s">
        <v>Invalid Market: 57179020M20</v>
        <stp/>
        <stp>57179020M20:OI</stp>
        <tr r="T1567" s="5"/>
      </tp>
      <tp t="s">
        <v>Invalid Market: 57179020M21</v>
        <stp/>
        <stp>57179020M21:OI</stp>
        <tr r="T1568" s="5"/>
      </tp>
      <tp t="s">
        <v>Invalid Market: 57179020M24</v>
        <stp/>
        <stp>57179020M24:OI</stp>
        <tr r="T1571" s="5"/>
      </tp>
      <tp t="s">
        <v>Invalid Market: 57179020M18</v>
        <stp/>
        <stp>57179020M18:OI</stp>
        <tr r="T1565" s="5"/>
      </tp>
      <tp t="s">
        <v>Invalid Market: 57179020M19</v>
        <stp/>
        <stp>57179020M19:OI</stp>
        <tr r="T1566" s="5"/>
      </tp>
      <tp>
        <v>0</v>
        <stp/>
        <stp>57179020M12:OI</stp>
        <tr r="T1559" s="5"/>
      </tp>
      <tp>
        <v>0</v>
        <stp/>
        <stp>57179020M13:OI</stp>
        <tr r="T1560" s="5"/>
      </tp>
      <tp>
        <v>0</v>
        <stp/>
        <stp>57179020M10:OI</stp>
        <tr r="T1557" s="5"/>
      </tp>
      <tp>
        <v>0</v>
        <stp/>
        <stp>57179020M11:OI</stp>
        <tr r="T1558" s="5"/>
      </tp>
      <tp t="s">
        <v>Invalid Market: 57179020M16</v>
        <stp/>
        <stp>57179020M16:OI</stp>
        <tr r="T1563" s="5"/>
      </tp>
      <tp t="s">
        <v>Invalid Market: 57179020M17</v>
        <stp/>
        <stp>57179020M17:OI</stp>
        <tr r="T1564" s="5"/>
      </tp>
      <tp>
        <v>0</v>
        <stp/>
        <stp>57179020M14:OI</stp>
        <tr r="T1561" s="5"/>
      </tp>
      <tp>
        <v>0</v>
        <stp/>
        <stp>57179020M15:OI</stp>
        <tr r="T1562" s="5"/>
      </tp>
    </main>
    <main first="bofaddin.rtdserver">
      <tp t="s">
        <v>#N/A</v>
        <stp/>
        <stp>BDP|11226110158592657848|222</stp>
        <stp>MUCN29 Comdty</stp>
        <stp>BID</stp>
        <stp>Fill=#N/A</stp>
        <tr r="K53" s="1"/>
      </tp>
      <tp t="s">
        <v>#N/A</v>
        <stp/>
        <stp>BDP|16898467799993591926|222</stp>
        <stp>MUCF30 Comdty</stp>
        <stp>ASK</stp>
        <stp>Fill=#N/A</stp>
        <tr r="K59" s="1"/>
      </tp>
      <tp t="s">
        <v>#N/A</v>
        <stp/>
        <stp>BDP|18412619101037954404|222</stp>
        <stp>OQAU28 Comdty</stp>
        <stp>BID</stp>
        <stp>Fill=#N/A</stp>
        <tr r="L43" s="1"/>
      </tp>
      <tp t="s">
        <v>#N/A</v>
        <stp/>
        <stp>BDP|15687128236730146585|222</stp>
        <stp>OQAN29 Comdty</stp>
        <stp>ASK</stp>
        <stp>Fill=#N/A</stp>
        <tr r="L53" s="1"/>
      </tp>
      <tp t="s">
        <v>#N/A</v>
        <stp/>
        <stp>BDP|13773650178978716872|222</stp>
        <stp>OQAX29 Comdty</stp>
        <stp>ASK</stp>
        <stp>Fill=#N/A</stp>
        <tr r="L57" s="1"/>
      </tp>
    </main>
    <main first="ice.rtd">
      <tp>
        <v>3.1</v>
        <stp/>
        <stp>141587Y0:BstHitPrc</stp>
        <tr r="G75" s="5"/>
      </tp>
      <tp>
        <v>3.19</v>
        <stp/>
        <stp>141587Q0:BstHitPrc</stp>
        <tr r="G66" s="5"/>
      </tp>
      <tp>
        <v>-5.3</v>
        <stp/>
        <stp>141587M0:BstHitPrc</stp>
        <tr r="G41" s="5"/>
      </tp>
      <tp t="s">
        <v/>
        <stp/>
        <stp>266419M1:LstBlkPrc</stp>
        <tr r="K960" s="5"/>
      </tp>
      <tp t="s">
        <v/>
        <stp/>
        <stp>266419Q1:LstBlkPrc</stp>
        <tr r="K985" s="5"/>
      </tp>
      <tp t="s">
        <v/>
        <stp/>
        <stp>266419Y1:LstBlkPrc</stp>
        <tr r="K994" s="5"/>
      </tp>
      <tp t="s">
        <v/>
        <stp/>
        <stp>1840020882M16:LstBlkTime</stp>
        <tr r="M1598" s="5"/>
      </tp>
      <tp t="s">
        <v/>
        <stp/>
        <stp>1840020882M14:LstBlkTime</stp>
        <tr r="M1596" s="5"/>
      </tp>
      <tp t="s">
        <v/>
        <stp/>
        <stp>1840020882M15:LstBlkTime</stp>
        <tr r="M1597" s="5"/>
      </tp>
      <tp t="s">
        <v/>
        <stp/>
        <stp>1840020882M12:LstBlkTime</stp>
        <tr r="M1594" s="5"/>
      </tp>
      <tp t="s">
        <v/>
        <stp/>
        <stp>1840020882M13:LstBlkTime</stp>
        <tr r="M1595" s="5"/>
      </tp>
      <tp t="s">
        <v/>
        <stp/>
        <stp>1840020882M10:LstBlkTime</stp>
        <tr r="M1592" s="5"/>
      </tp>
      <tp t="s">
        <v/>
        <stp/>
        <stp>1840020882M11:LstBlkTime</stp>
        <tr r="M1593" s="5"/>
      </tp>
    </main>
    <main first="bofaddin.rtdserver">
      <tp t="s">
        <v>#N/A</v>
        <stp/>
        <stp>BDP|5468017716538723799|222</stp>
        <stp>COM0CON0 Comdty</stp>
        <stp>ASK</stp>
        <stp>Fill=#N/A</stp>
        <tr r="O65" s="1"/>
      </tp>
    </main>
    <main first="esrtd">
      <tp t="s">
        <v/>
        <stp/>
        <stp>BRN 26VP10500-ICE</stp>
        <stp>ImpVol</stp>
        <tr r="AK184" s="23"/>
      </tp>
      <tp t="s">
        <v/>
        <stp/>
        <stp>BRN 26VC10500-ICE</stp>
        <stp>ImpVol</stp>
        <tr r="AR184" s="23"/>
      </tp>
    </main>
    <main first="bofaddin.rtdserver">
      <tp>
        <v>36.25</v>
        <stp/>
        <stp>BDP|2282119266652858023|222</stp>
        <stp>QSH7QSJ7 Comdty</stp>
        <stp>BID</stp>
        <stp>Fill=#N/A</stp>
        <tr r="P26" s="1"/>
      </tp>
    </main>
    <main first="esrtd">
      <tp t="s">
        <v/>
        <stp/>
        <stp>BRN 26QP20000-ICE</stp>
        <stp>ImpVol</stp>
        <tr r="AK54" s="23"/>
      </tp>
      <tp t="s">
        <v/>
        <stp/>
        <stp>BRN 26QP30000-ICE</stp>
        <stp>ImpVol</stp>
        <tr r="AK57" s="23"/>
        <tr r="AK60" s="23"/>
        <tr r="AK69" s="23"/>
        <tr r="AK70" s="23"/>
        <tr r="AK67" s="23"/>
        <tr r="AK72" s="23"/>
        <tr r="AK58" s="23"/>
        <tr r="AK68" s="23"/>
        <tr r="AK56" s="23"/>
        <tr r="AK64" s="23"/>
        <tr r="AK59" s="23"/>
        <tr r="AK61" s="23"/>
        <tr r="AK62" s="23"/>
        <tr r="AK65" s="23"/>
        <tr r="AK66" s="23"/>
        <tr r="AK63" s="23"/>
        <tr r="AK71" s="23"/>
      </tp>
      <tp t="s">
        <v/>
        <stp/>
        <stp>BRN 26VP10750-ICE</stp>
        <stp>ImpVol</stp>
        <tr r="AK185" s="23"/>
      </tp>
      <tp t="s">
        <v/>
        <stp/>
        <stp>BRN 26QC20000-ICE</stp>
        <stp>ImpVol</stp>
        <tr r="AR54" s="23"/>
      </tp>
      <tp t="s">
        <v/>
        <stp/>
        <stp>BRN 26QC30000-ICE</stp>
        <stp>ImpVol</stp>
        <tr r="AR69" s="23"/>
        <tr r="AR62" s="23"/>
        <tr r="AR59" s="23"/>
        <tr r="AR61" s="23"/>
        <tr r="AR68" s="23"/>
        <tr r="AR56" s="23"/>
        <tr r="AR57" s="23"/>
        <tr r="AR63" s="23"/>
        <tr r="AR60" s="23"/>
        <tr r="AR70" s="23"/>
        <tr r="AR58" s="23"/>
        <tr r="AR67" s="23"/>
        <tr r="AR66" s="23"/>
        <tr r="AR71" s="23"/>
        <tr r="AR72" s="23"/>
        <tr r="AR64" s="23"/>
        <tr r="AR65" s="23"/>
      </tp>
      <tp t="s">
        <v/>
        <stp/>
        <stp>BRN 26VC10750-ICE</stp>
        <stp>ImpVol</stp>
        <tr r="AR185" s="23"/>
      </tp>
    </main>
    <main first="bofaddin.rtdserver">
      <tp>
        <v>5.19</v>
        <stp/>
        <stp>BDP|2727498086453909420|222</stp>
        <stp>XBX7XBZ7 Comdty</stp>
        <stp>ASK</stp>
        <stp>Fill=#N/A</stp>
        <tr r="R34" s="1"/>
      </tp>
    </main>
    <main first="esrtd">
      <tp t="s">
        <v/>
        <stp/>
        <stp>BRN 26VP20000-ICE</stp>
        <stp>ImpVol</stp>
        <tr r="AK199" s="23"/>
      </tp>
      <tp t="s">
        <v/>
        <stp/>
        <stp>BRN 26VP30000-ICE</stp>
        <stp>ImpVol</stp>
        <tr r="AK204" s="23"/>
        <tr r="AK206" s="23"/>
        <tr r="AK203" s="23"/>
        <tr r="AK202" s="23"/>
        <tr r="AK207" s="23"/>
        <tr r="AK201" s="23"/>
        <tr r="AK208" s="23"/>
        <tr r="AK205" s="23"/>
      </tp>
      <tp t="s">
        <v/>
        <stp/>
        <stp>BRN 26VC20000-ICE</stp>
        <stp>ImpVol</stp>
        <tr r="AR199" s="23"/>
      </tp>
      <tp t="s">
        <v/>
        <stp/>
        <stp>BRN 26VC30000-ICE</stp>
        <stp>ImpVol</stp>
        <tr r="AR202" s="23"/>
        <tr r="AR207" s="23"/>
        <tr r="AR203" s="23"/>
        <tr r="AR201" s="23"/>
        <tr r="AR208" s="23"/>
        <tr r="AR204" s="23"/>
        <tr r="AR205" s="23"/>
        <tr r="AR206" s="23"/>
      </tp>
    </main>
    <main first="bofaddin.rtdserver">
      <tp>
        <v>0.22</v>
        <stp/>
        <stp>BDP|7143718401096974463|222</stp>
        <stp>CLQ8CLU8 Comdty</stp>
        <stp>ASK</stp>
        <stp>Fill=#N/A</stp>
        <tr r="N43" s="1"/>
      </tp>
      <tp t="s">
        <v>#N/A</v>
        <stp/>
        <stp>BDP|17790445883879690514|222</stp>
        <stp>OQAQ7U7 Comdty</stp>
        <stp>BID</stp>
        <stp>Fill=#N/A</stp>
        <tr r="T31" s="1"/>
      </tp>
      <tp>
        <v>0.91</v>
        <stp/>
        <stp>BDP|9744483133359588136|222</stp>
        <stp>CLK7CLM7 Comdty</stp>
        <stp>ASK</stp>
        <stp>Fill=#N/A</stp>
        <tr r="N28" s="1"/>
      </tp>
    </main>
    <main first="esrtd">
      <tp t="s">
        <v/>
        <stp/>
        <stp>BRN 26UP10000-ICE</stp>
        <stp>ImpVol</stp>
        <tr r="AK112" s="23"/>
      </tp>
      <tp t="s">
        <v/>
        <stp/>
        <stp>BRN 26UP20000-ICE</stp>
        <stp>ImpVol</stp>
        <tr r="AK124" s="23"/>
      </tp>
      <tp t="s">
        <v/>
        <stp/>
        <stp>BRN 26UP30000-ICE</stp>
        <stp>ImpVol</stp>
        <tr r="AK139" s="23"/>
        <tr r="AK126" s="23"/>
        <tr r="AK134" s="23"/>
        <tr r="AK129" s="23"/>
        <tr r="AK137" s="23"/>
        <tr r="AK132" s="23"/>
        <tr r="AK140" s="23"/>
        <tr r="AK135" s="23"/>
        <tr r="AK138" s="23"/>
        <tr r="AK127" s="23"/>
        <tr r="AK131" s="23"/>
        <tr r="AK133" s="23"/>
        <tr r="AK130" s="23"/>
        <tr r="AK128" s="23"/>
        <tr r="AK136" s="23"/>
      </tp>
      <tp t="s">
        <v/>
        <stp/>
        <stp>BRN 26UC10000-ICE</stp>
        <stp>ImpVol</stp>
        <tr r="AR112" s="23"/>
      </tp>
      <tp t="s">
        <v/>
        <stp/>
        <stp>BRN 26UC20000-ICE</stp>
        <stp>ImpVol</stp>
        <tr r="AR124" s="23"/>
      </tp>
      <tp t="s">
        <v/>
        <stp/>
        <stp>BRN 26UC30000-ICE</stp>
        <stp>ImpVol</stp>
        <tr r="AR128" s="23"/>
        <tr r="AR136" s="23"/>
        <tr r="AR131" s="23"/>
        <tr r="AR139" s="23"/>
        <tr r="AR126" s="23"/>
        <tr r="AR134" s="23"/>
        <tr r="AR137" s="23"/>
        <tr r="AR132" s="23"/>
        <tr r="AR140" s="23"/>
        <tr r="AR135" s="23"/>
        <tr r="AR133" s="23"/>
        <tr r="AR130" s="23"/>
        <tr r="AR138" s="23"/>
        <tr r="AR127" s="23"/>
        <tr r="AR129" s="23"/>
      </tp>
    </main>
    <main first="bofaddin.rtdserver">
      <tp>
        <v>29.5</v>
        <stp/>
        <stp>BDP|3968704918549922068|222</stp>
        <stp>QSJ7QSK7 Comdty</stp>
        <stp>ASK</stp>
        <stp>Fill=#N/A</stp>
        <tr r="P27" s="1"/>
      </tp>
      <tp>
        <v>1.49</v>
        <stp/>
        <stp>BDP|6888456133690706149|222</stp>
        <stp>CLH7CLJ7 Comdty</stp>
        <stp>BID</stp>
        <stp>Fill=#N/A</stp>
        <tr r="N26" s="1"/>
      </tp>
      <tp>
        <v>0.4</v>
        <stp/>
        <stp>BDP|9543374033323977165|222</stp>
        <stp>COX7COZ7 Comdty</stp>
        <stp>BID</stp>
        <stp>Fill=#N/A</stp>
        <tr r="O34" s="1"/>
      </tp>
      <tp>
        <v>0.76</v>
        <stp/>
        <stp>BDP|2692253266146331977|222</stp>
        <stp>CLM7CLN7 Comdty</stp>
        <stp>ASK</stp>
        <stp>Fill=#N/A</stp>
        <tr r="N29" s="1"/>
      </tp>
      <tp>
        <v>2.25</v>
        <stp/>
        <stp>BDP|4507913214939462091|222</stp>
        <stp>QSF9QSG9 Comdty</stp>
        <stp>ASK</stp>
        <stp>Fill=#N/A</stp>
        <tr r="P48" s="1"/>
      </tp>
      <tp t="s">
        <v>#N/A</v>
        <stp/>
        <stp>BDP|9297908432120812400|222</stp>
        <stp>COH0COJ0 Comdty</stp>
        <stp>BID</stp>
        <stp>Fill=#N/A</stp>
        <tr r="O62" s="1"/>
      </tp>
      <tp>
        <v>0.17</v>
        <stp/>
        <stp>BDP|9923551107223783898|222</stp>
        <stp>CLH9CLJ9 Comdty</stp>
        <stp>BID</stp>
        <stp>Fill=#N/A</stp>
        <tr r="N50" s="1"/>
      </tp>
      <tp>
        <v>0.26</v>
        <stp/>
        <stp>BDP|3839718066599493062|222</stp>
        <stp>COK8COM8 Comdty</stp>
        <stp>BID</stp>
        <stp>Fill=#N/A</stp>
        <tr r="O40" s="1"/>
      </tp>
      <tp t="s">
        <v>#N/A</v>
        <stp/>
        <stp>BDP|6186004688952746421|222</stp>
        <stp>CLM9CLN9 Comdty</stp>
        <stp>BID</stp>
        <stp>Fill=#N/A</stp>
        <tr r="N53" s="1"/>
      </tp>
      <tp>
        <v>0.21</v>
        <stp/>
        <stp>BDP|4454309037523574321|222</stp>
        <stp>COU9COV9 Comdty</stp>
        <stp>ASK</stp>
        <stp>Fill=#N/A</stp>
        <tr r="O56" s="1"/>
      </tp>
      <tp>
        <v>0.75</v>
        <stp/>
        <stp>BDP|8424006567179664354|222</stp>
        <stp>QSQ9QSU9 Comdty</stp>
        <stp>BID</stp>
        <stp>Fill=#N/A</stp>
        <tr r="P55" s="1"/>
      </tp>
    </main>
    <main first="esrtd">
      <tp t="s">
        <v/>
        <stp/>
        <stp>BRN 26UP10900-ICE</stp>
        <stp>ImpVol</stp>
        <tr r="AK113" s="23"/>
      </tp>
      <tp t="s">
        <v/>
        <stp/>
        <stp>BRN 26UC10900-ICE</stp>
        <stp>ImpVol</stp>
        <tr r="AR113" s="23"/>
      </tp>
    </main>
    <main first="bofaddin.rtdserver">
      <tp>
        <v>0.18</v>
        <stp/>
        <stp>BDP|6196017129501597330|222</stp>
        <stp>CLV8CLX8 Comdty</stp>
        <stp>ASK</stp>
        <stp>Fill=#N/A</stp>
        <tr r="N45" s="1"/>
      </tp>
    </main>
    <main first="esrtd">
      <tp t="s">
        <v/>
        <stp/>
        <stp>BRN 26QP18000-ICE</stp>
        <stp>Delta</stp>
        <tr r="AI53" s="23"/>
      </tp>
      <tp t="s">
        <v/>
        <stp/>
        <stp>BRN 26QC18000-ICE</stp>
        <stp>Delta</stp>
        <tr r="AP53" s="23"/>
      </tp>
      <tp t="s">
        <v/>
        <stp/>
        <stp>BRN 26UP18000-ICE</stp>
        <stp>Delta</stp>
        <tr r="AI123" s="23"/>
      </tp>
      <tp t="s">
        <v/>
        <stp/>
        <stp>BRN 26UC18000-ICE</stp>
        <stp>Delta</stp>
        <tr r="AP123" s="23"/>
      </tp>
      <tp t="s">
        <v/>
        <stp/>
        <stp>BRN 26VP18000-ICE</stp>
        <stp>Delta</stp>
        <tr r="AI198" s="23"/>
      </tp>
      <tp t="s">
        <v/>
        <stp/>
        <stp>BRN 26VC18000-ICE</stp>
        <stp>Delta</stp>
        <tr r="AP198" s="23"/>
      </tp>
    </main>
    <main first="ice.rtd">
      <tp t="s">
        <v/>
        <stp/>
        <stp>266419M6:LstBlkVol</stp>
        <tr r="L965" s="5"/>
      </tp>
      <tp t="s">
        <v/>
        <stp/>
        <stp>266419Q6:LstBlkVol</stp>
        <tr r="L990" s="5"/>
      </tp>
      <tp t="s">
        <v/>
        <stp/>
        <stp>18871685M19:BstLiftPrc</stp>
        <tr r="H440" s="5"/>
      </tp>
      <tp t="s">
        <v/>
        <stp/>
        <stp>18871685M18:BstLiftPrc</stp>
        <tr r="H439" s="5"/>
      </tp>
      <tp>
        <v>50.5</v>
        <stp/>
        <stp>18871685M11:BstLiftPrc</stp>
        <tr r="H432" s="5"/>
      </tp>
      <tp>
        <v>52.25</v>
        <stp/>
        <stp>18871685M10:BstLiftPrc</stp>
        <tr r="H431" s="5"/>
      </tp>
      <tp>
        <v>47.75</v>
        <stp/>
        <stp>18871685M13:BstLiftPrc</stp>
        <tr r="H434" s="5"/>
      </tp>
      <tp>
        <v>49.25</v>
        <stp/>
        <stp>18871685M12:BstLiftPrc</stp>
        <tr r="H433" s="5"/>
      </tp>
      <tp>
        <v>45.75</v>
        <stp/>
        <stp>18871685M15:BstLiftPrc</stp>
        <tr r="H436" s="5"/>
      </tp>
      <tp>
        <v>46.5</v>
        <stp/>
        <stp>18871685M14:BstLiftPrc</stp>
        <tr r="H435" s="5"/>
      </tp>
      <tp t="s">
        <v/>
        <stp/>
        <stp>18871685M17:BstLiftPrc</stp>
        <tr r="H438" s="5"/>
      </tp>
      <tp t="s">
        <v/>
        <stp/>
        <stp>18871685M16:BstLiftPrc</stp>
        <tr r="H437" s="5"/>
      </tp>
      <tp t="s">
        <v/>
        <stp/>
        <stp>18871685M21:BstLiftPrc</stp>
        <tr r="H442" s="5"/>
      </tp>
      <tp t="s">
        <v/>
        <stp/>
        <stp>18871685M20:BstLiftPrc</stp>
        <tr r="H441" s="5"/>
      </tp>
      <tp t="s">
        <v/>
        <stp/>
        <stp>18871685M23:BstLiftPrc</stp>
        <tr r="H444" s="5"/>
      </tp>
      <tp t="s">
        <v/>
        <stp/>
        <stp>18871685M22:BstLiftPrc</stp>
        <tr r="H443" s="5"/>
      </tp>
      <tp t="s">
        <v/>
        <stp/>
        <stp>18871685M24:BstLiftPrc</stp>
        <tr r="H445" s="5"/>
      </tp>
      <tp t="s">
        <v/>
        <stp/>
        <stp>34364094M23:BstLiftPrc</stp>
        <tr r="H541" s="5"/>
      </tp>
      <tp t="s">
        <v/>
        <stp/>
        <stp>34374095M23:BstLiftPrc</stp>
        <tr r="H579" s="5"/>
      </tp>
      <tp t="s">
        <v/>
        <stp/>
        <stp>34364094M22:BstLiftPrc</stp>
        <tr r="H540" s="5"/>
      </tp>
      <tp t="s">
        <v/>
        <stp/>
        <stp>34374095M22:BstLiftPrc</stp>
        <tr r="H578" s="5"/>
      </tp>
      <tp t="s">
        <v/>
        <stp/>
        <stp>34364094M21:BstLiftPrc</stp>
        <tr r="H539" s="5"/>
      </tp>
      <tp t="s">
        <v/>
        <stp/>
        <stp>34374095M21:BstLiftPrc</stp>
        <tr r="H577" s="5"/>
      </tp>
      <tp t="s">
        <v/>
        <stp/>
        <stp>34364094M20:BstLiftPrc</stp>
        <tr r="H538" s="5"/>
      </tp>
      <tp t="s">
        <v/>
        <stp/>
        <stp>34374095M20:BstLiftPrc</stp>
        <tr r="H576" s="5"/>
      </tp>
      <tp t="s">
        <v/>
        <stp/>
        <stp>34364094M24:BstLiftPrc</stp>
        <tr r="H542" s="5"/>
      </tp>
      <tp t="s">
        <v/>
        <stp/>
        <stp>34374095M24:BstLiftPrc</stp>
        <tr r="H580" s="5"/>
      </tp>
      <tp t="s">
        <v/>
        <stp/>
        <stp>34364094M13:BstLiftPrc</stp>
        <tr r="H531" s="5"/>
      </tp>
      <tp t="s">
        <v/>
        <stp/>
        <stp>34374095M13:BstLiftPrc</stp>
        <tr r="H569" s="5"/>
      </tp>
      <tp t="s">
        <v/>
        <stp/>
        <stp>34364094M12:BstLiftPrc</stp>
        <tr r="H530" s="5"/>
      </tp>
      <tp t="s">
        <v/>
        <stp/>
        <stp>34374095M12:BstLiftPrc</stp>
        <tr r="H568" s="5"/>
      </tp>
      <tp t="s">
        <v/>
        <stp/>
        <stp>34364094M11:BstLiftPrc</stp>
        <tr r="H529" s="5"/>
      </tp>
      <tp t="s">
        <v/>
        <stp/>
        <stp>34374095M11:BstLiftPrc</stp>
        <tr r="H567" s="5"/>
      </tp>
      <tp t="s">
        <v/>
        <stp/>
        <stp>34364094M10:BstLiftPrc</stp>
        <tr r="H528" s="5"/>
      </tp>
      <tp t="s">
        <v/>
        <stp/>
        <stp>34374095M10:BstLiftPrc</stp>
        <tr r="H566" s="5"/>
      </tp>
      <tp t="s">
        <v/>
        <stp/>
        <stp>34364094M17:BstLiftPrc</stp>
        <tr r="H535" s="5"/>
      </tp>
      <tp t="s">
        <v/>
        <stp/>
        <stp>34374095M17:BstLiftPrc</stp>
        <tr r="H573" s="5"/>
      </tp>
      <tp t="s">
        <v/>
        <stp/>
        <stp>34364094M16:BstLiftPrc</stp>
        <tr r="H534" s="5"/>
      </tp>
      <tp t="s">
        <v/>
        <stp/>
        <stp>34374095M16:BstLiftPrc</stp>
        <tr r="H572" s="5"/>
      </tp>
      <tp t="s">
        <v/>
        <stp/>
        <stp>34364094M15:BstLiftPrc</stp>
        <tr r="H533" s="5"/>
      </tp>
      <tp t="s">
        <v/>
        <stp/>
        <stp>34374095M15:BstLiftPrc</stp>
        <tr r="H571" s="5"/>
      </tp>
      <tp t="s">
        <v/>
        <stp/>
        <stp>34364094M14:BstLiftPrc</stp>
        <tr r="H532" s="5"/>
      </tp>
      <tp t="s">
        <v/>
        <stp/>
        <stp>34374095M14:BstLiftPrc</stp>
        <tr r="H570" s="5"/>
      </tp>
      <tp t="s">
        <v/>
        <stp/>
        <stp>34364094M19:BstLiftPrc</stp>
        <tr r="H537" s="5"/>
      </tp>
      <tp t="s">
        <v/>
        <stp/>
        <stp>34374095M19:BstLiftPrc</stp>
        <tr r="H575" s="5"/>
      </tp>
      <tp t="s">
        <v/>
        <stp/>
        <stp>34364094M18:BstLiftPrc</stp>
        <tr r="H536" s="5"/>
      </tp>
      <tp t="s">
        <v/>
        <stp/>
        <stp>34374095M18:BstLiftPrc</stp>
        <tr r="H574" s="5"/>
      </tp>
    </main>
    <main first="esrtd">
      <tp t="s">
        <v/>
        <stp/>
        <stp>BRN 26UP11500-ICE</stp>
        <stp>Delta</stp>
        <tr r="AI117" s="23"/>
      </tp>
      <tp t="s">
        <v/>
        <stp/>
        <stp>BRN 26UC11500-ICE</stp>
        <stp>Delta</stp>
        <tr r="AP117" s="23"/>
      </tp>
      <tp t="s">
        <v/>
        <stp/>
        <stp>BRN 26VP11500-ICE</stp>
        <stp>Delta</stp>
        <tr r="AI188" s="23"/>
      </tp>
      <tp t="s">
        <v/>
        <stp/>
        <stp>BRN 26VC11500-ICE</stp>
        <stp>Delta</stp>
        <tr r="AP188" s="23"/>
      </tp>
      <tp t="s">
        <v/>
        <stp/>
        <stp>BRN 26UP11000-ICE</stp>
        <stp>Delta</stp>
        <tr r="AI114" s="23"/>
      </tp>
      <tp t="s">
        <v/>
        <stp/>
        <stp>BRN 26VP11300-ICE</stp>
        <stp>Delta</stp>
        <tr r="AI187" s="23"/>
      </tp>
      <tp t="s">
        <v/>
        <stp/>
        <stp>BRN 26UC11000-ICE</stp>
        <stp>Delta</stp>
        <tr r="AP114" s="23"/>
      </tp>
      <tp t="s">
        <v/>
        <stp/>
        <stp>BRN 26VC11300-ICE</stp>
        <stp>Delta</stp>
        <tr r="AP187" s="23"/>
      </tp>
      <tp t="s">
        <v/>
        <stp/>
        <stp>BRN 26UP11200-ICE</stp>
        <stp>Delta</stp>
        <tr r="AI115" s="23"/>
      </tp>
      <tp t="s">
        <v/>
        <stp/>
        <stp>BRN 26UC11200-ICE</stp>
        <stp>Delta</stp>
        <tr r="AP115" s="23"/>
      </tp>
      <tp t="s">
        <v/>
        <stp/>
        <stp>BRN 26UP11300-ICE</stp>
        <stp>Delta</stp>
        <tr r="AI116" s="23"/>
      </tp>
      <tp t="s">
        <v/>
        <stp/>
        <stp>BRN 26VP11000-ICE</stp>
        <stp>Delta</stp>
        <tr r="AI186" s="23"/>
      </tp>
      <tp t="s">
        <v/>
        <stp/>
        <stp>BRN 26UC11300-ICE</stp>
        <stp>Delta</stp>
        <tr r="AP116" s="23"/>
      </tp>
      <tp t="s">
        <v/>
        <stp/>
        <stp>BRN 26VC11000-ICE</stp>
        <stp>Delta</stp>
        <tr r="AP186" s="23"/>
      </tp>
      <tp t="s">
        <v/>
        <stp/>
        <stp>BRN 26VP10750-ICE</stp>
        <stp>Delta</stp>
        <tr r="AI185" s="23"/>
      </tp>
      <tp t="s">
        <v/>
        <stp/>
        <stp>BRN 26VC10750-ICE</stp>
        <stp>Delta</stp>
        <tr r="AP185" s="23"/>
      </tp>
      <tp t="s">
        <v/>
        <stp/>
        <stp>BRN 26VP10500-ICE</stp>
        <stp>Delta</stp>
        <tr r="AI184" s="23"/>
      </tp>
      <tp t="s">
        <v/>
        <stp/>
        <stp>BRN 26VC10500-ICE</stp>
        <stp>Delta</stp>
        <tr r="AP184" s="23"/>
      </tp>
      <tp t="s">
        <v/>
        <stp/>
        <stp>BRN 26UP10000-ICE</stp>
        <stp>Delta</stp>
        <tr r="AI112" s="23"/>
      </tp>
      <tp t="s">
        <v/>
        <stp/>
        <stp>BRN 26UC10000-ICE</stp>
        <stp>Delta</stp>
        <tr r="AP112" s="23"/>
      </tp>
      <tp t="s">
        <v/>
        <stp/>
        <stp>BRN 26UP10900-ICE</stp>
        <stp>Delta</stp>
        <tr r="AI113" s="23"/>
      </tp>
      <tp t="s">
        <v/>
        <stp/>
        <stp>BRN 26UC10900-ICE</stp>
        <stp>Delta</stp>
        <tr r="AP113" s="23"/>
      </tp>
    </main>
    <main first="ice.rtd">
      <tp t="s">
        <v/>
        <stp/>
        <stp>141587M7:LstBlkVol</stp>
        <tr r="L48" s="5"/>
      </tp>
      <tp t="s">
        <v/>
        <stp/>
        <stp>141587Q7:LstBlkVol</stp>
        <tr r="L73" s="5"/>
      </tp>
    </main>
    <main first="esrtd">
      <tp t="s">
        <v/>
        <stp/>
        <stp>BRN 26QP13000-ICE</stp>
        <stp>Delta</stp>
        <tr r="AI49" s="23"/>
      </tp>
      <tp t="s">
        <v/>
        <stp/>
        <stp>BRN 26QC13000-ICE</stp>
        <stp>Delta</stp>
        <tr r="AP49" s="23"/>
      </tp>
      <tp t="s">
        <v/>
        <stp/>
        <stp>BRN 26VP13500-ICE</stp>
        <stp>Delta</stp>
        <tr r="AI193" s="23"/>
      </tp>
      <tp t="s">
        <v/>
        <stp/>
        <stp>BRN 26VC13500-ICE</stp>
        <stp>Delta</stp>
        <tr r="AP193" s="23"/>
      </tp>
      <tp t="s">
        <v/>
        <stp/>
        <stp>BRN 26UP13000-ICE</stp>
        <stp>Delta</stp>
        <tr r="AI120" s="23"/>
      </tp>
      <tp t="s">
        <v/>
        <stp/>
        <stp>BRN 26UC13000-ICE</stp>
        <stp>Delta</stp>
        <tr r="AP120" s="23"/>
      </tp>
      <tp t="s">
        <v/>
        <stp/>
        <stp>BRN 26VP13100-ICE</stp>
        <stp>Delta</stp>
        <tr r="AI192" s="23"/>
      </tp>
      <tp t="s">
        <v/>
        <stp/>
        <stp>BRN 26VC13100-ICE</stp>
        <stp>Delta</stp>
        <tr r="AP192" s="23"/>
      </tp>
      <tp t="s">
        <v/>
        <stp/>
        <stp>BRN 26VP13000-ICE</stp>
        <stp>Delta</stp>
        <tr r="AI191" s="23"/>
      </tp>
      <tp t="s">
        <v/>
        <stp/>
        <stp>BRN 26VC13000-ICE</stp>
        <stp>Delta</stp>
        <tr r="AP191" s="23"/>
      </tp>
      <tp t="s">
        <v/>
        <stp/>
        <stp>BRN 26UP12500-ICE</stp>
        <stp>Delta</stp>
        <tr r="AI119" s="23"/>
      </tp>
      <tp t="s">
        <v/>
        <stp/>
        <stp>BRN 26UC12500-ICE</stp>
        <stp>Delta</stp>
        <tr r="AP119" s="23"/>
      </tp>
      <tp t="s">
        <v/>
        <stp/>
        <stp>BRN 26VP12500-ICE</stp>
        <stp>Delta</stp>
        <tr r="AI190" s="23"/>
      </tp>
      <tp t="s">
        <v/>
        <stp/>
        <stp>BRN 26VC12500-ICE</stp>
        <stp>Delta</stp>
        <tr r="AP190" s="23"/>
      </tp>
      <tp t="s">
        <v/>
        <stp/>
        <stp>BRN 26UP12000-ICE</stp>
        <stp>Delta</stp>
        <tr r="AI118" s="23"/>
      </tp>
      <tp t="s">
        <v/>
        <stp/>
        <stp>BRN 26UC12000-ICE</stp>
        <stp>Delta</stp>
        <tr r="AP118" s="23"/>
      </tp>
      <tp t="s">
        <v/>
        <stp/>
        <stp>BRN 26VP12000-ICE</stp>
        <stp>Delta</stp>
        <tr r="AI189" s="23"/>
      </tp>
      <tp t="s">
        <v/>
        <stp/>
        <stp>BRN 26VC12000-ICE</stp>
        <stp>Delta</stp>
        <tr r="AP189" s="23"/>
      </tp>
      <tp t="s">
        <v/>
        <stp/>
        <stp>BRN 26QP15000-ICE</stp>
        <stp>Delta</stp>
        <tr r="AI50" s="23"/>
      </tp>
      <tp t="s">
        <v/>
        <stp/>
        <stp>BRN 26QC15000-ICE</stp>
        <stp>Delta</stp>
        <tr r="AP50" s="23"/>
      </tp>
      <tp t="s">
        <v/>
        <stp/>
        <stp>BRN 26VP15000-ICE</stp>
        <stp>Delta</stp>
        <tr r="AI196" s="23"/>
      </tp>
      <tp t="s">
        <v/>
        <stp/>
        <stp>BRN 26VC15000-ICE</stp>
        <stp>Delta</stp>
        <tr r="AP196" s="23"/>
      </tp>
      <tp t="s">
        <v/>
        <stp/>
        <stp>BRN 26VP14500-ICE</stp>
        <stp>Delta</stp>
        <tr r="AI195" s="23"/>
      </tp>
      <tp t="s">
        <v/>
        <stp/>
        <stp>BRN 26VC14500-ICE</stp>
        <stp>Delta</stp>
        <tr r="AP195" s="23"/>
      </tp>
      <tp t="s">
        <v/>
        <stp/>
        <stp>BRN 26UP14000-ICE</stp>
        <stp>Delta</stp>
        <tr r="AI121" s="23"/>
      </tp>
      <tp t="s">
        <v/>
        <stp/>
        <stp>BRN 26UC14000-ICE</stp>
        <stp>Delta</stp>
        <tr r="AP121" s="23"/>
      </tp>
      <tp t="s">
        <v/>
        <stp/>
        <stp>BRN 26VP14000-ICE</stp>
        <stp>Delta</stp>
        <tr r="AI194" s="23"/>
      </tp>
      <tp t="s">
        <v/>
        <stp/>
        <stp>BRN 26VC14000-ICE</stp>
        <stp>Delta</stp>
        <tr r="AP194" s="23"/>
      </tp>
      <tp t="s">
        <v/>
        <stp/>
        <stp>BRN 26QP17000-ICE</stp>
        <stp>Delta</stp>
        <tr r="AI52" s="23"/>
      </tp>
      <tp t="s">
        <v/>
        <stp/>
        <stp>BRN 26QC17000-ICE</stp>
        <stp>Delta</stp>
        <tr r="AP52" s="23"/>
      </tp>
      <tp t="s">
        <v/>
        <stp/>
        <stp>BRN 26QP16000-ICE</stp>
        <stp>Delta</stp>
        <tr r="AI51" s="23"/>
      </tp>
      <tp t="s">
        <v/>
        <stp/>
        <stp>BRN 26QC16000-ICE</stp>
        <stp>Delta</stp>
        <tr r="AP51" s="23"/>
      </tp>
      <tp t="s">
        <v/>
        <stp/>
        <stp>BRN 26UP16000-ICE</stp>
        <stp>Delta</stp>
        <tr r="AI122" s="23"/>
      </tp>
      <tp t="s">
        <v/>
        <stp/>
        <stp>BRN 26UC16000-ICE</stp>
        <stp>Delta</stp>
        <tr r="AP122" s="23"/>
      </tp>
      <tp t="s">
        <v/>
        <stp/>
        <stp>BRN 26VP16000-ICE</stp>
        <stp>Delta</stp>
        <tr r="AI197" s="23"/>
      </tp>
      <tp t="s">
        <v/>
        <stp/>
        <stp>BRN 26VC16000-ICE</stp>
        <stp>Delta</stp>
        <tr r="AP197" s="23"/>
      </tp>
    </main>
    <main first="bofaddin.rtdserver">
      <tp t="s">
        <v>#N/A</v>
        <stp/>
        <stp>BDP|17603269569116996645|222</stp>
        <stp>OQAH28 Comdty</stp>
        <stp>ASK</stp>
        <stp>Fill=#N/A</stp>
        <tr r="L37" s="1"/>
      </tp>
    </main>
    <main first="ice.rtd">
      <tp>
        <v>6</v>
        <stp/>
        <stp>34344092M13:OI</stp>
        <tr r="T1276" s="5"/>
      </tp>
      <tp>
        <v>5760</v>
        <stp/>
        <stp>34354093M13:OI</stp>
        <tr r="T1314" s="5"/>
      </tp>
      <tp>
        <v>23</v>
        <stp/>
        <stp>34344092M12:OI</stp>
        <tr r="T1275" s="5"/>
      </tp>
      <tp>
        <v>6901</v>
        <stp/>
        <stp>34354093M12:OI</stp>
        <tr r="T1313" s="5"/>
      </tp>
      <tp>
        <v>24</v>
        <stp/>
        <stp>34344092M11:OI</stp>
        <tr r="T1274" s="5"/>
      </tp>
      <tp>
        <v>6886</v>
        <stp/>
        <stp>34354093M11:OI</stp>
        <tr r="T1312" s="5"/>
      </tp>
      <tp>
        <v>24</v>
        <stp/>
        <stp>34344092M10:OI</stp>
        <tr r="T1273" s="5"/>
      </tp>
      <tp>
        <v>6911</v>
        <stp/>
        <stp>34354093M10:OI</stp>
        <tr r="T1311" s="5"/>
      </tp>
      <tp>
        <v>0</v>
        <stp/>
        <stp>34344092M17:OI</stp>
        <tr r="T1280" s="5"/>
      </tp>
      <tp>
        <v>959</v>
        <stp/>
        <stp>34354093M17:OI</stp>
        <tr r="T1318" s="5"/>
      </tp>
      <tp>
        <v>0</v>
        <stp/>
        <stp>34344092M16:OI</stp>
        <tr r="T1279" s="5"/>
      </tp>
      <tp>
        <v>959</v>
        <stp/>
        <stp>34354093M16:OI</stp>
        <tr r="T1317" s="5"/>
      </tp>
      <tp>
        <v>6</v>
        <stp/>
        <stp>34344092M15:OI</stp>
        <tr r="T1278" s="5"/>
      </tp>
      <tp>
        <v>5735</v>
        <stp/>
        <stp>34354093M15:OI</stp>
        <tr r="T1316" s="5"/>
      </tp>
      <tp>
        <v>6</v>
        <stp/>
        <stp>34344092M14:OI</stp>
        <tr r="T1277" s="5"/>
      </tp>
      <tp>
        <v>5660</v>
        <stp/>
        <stp>34354093M14:OI</stp>
        <tr r="T1315" s="5"/>
      </tp>
      <tp>
        <v>0</v>
        <stp/>
        <stp>34344092M19:OI</stp>
        <tr r="T1282" s="5"/>
      </tp>
      <tp>
        <v>366</v>
        <stp/>
        <stp>34354093M19:OI</stp>
        <tr r="T1320" s="5"/>
      </tp>
      <tp>
        <v>0</v>
        <stp/>
        <stp>34344092M18:OI</stp>
        <tr r="T1281" s="5"/>
      </tp>
      <tp>
        <v>959</v>
        <stp/>
        <stp>34354093M18:OI</stp>
        <tr r="T1319" s="5"/>
      </tp>
      <tp>
        <v>0</v>
        <stp/>
        <stp>34344092M23:OI</stp>
        <tr r="T1286" s="5"/>
      </tp>
      <tp>
        <v>366</v>
        <stp/>
        <stp>34354093M23:OI</stp>
        <tr r="T1324" s="5"/>
      </tp>
      <tp>
        <v>0</v>
        <stp/>
        <stp>34344092M22:OI</stp>
        <tr r="T1285" s="5"/>
      </tp>
      <tp>
        <v>366</v>
        <stp/>
        <stp>34354093M22:OI</stp>
        <tr r="T1323" s="5"/>
      </tp>
      <tp>
        <v>0</v>
        <stp/>
        <stp>34344092M21:OI</stp>
        <tr r="T1284" s="5"/>
      </tp>
      <tp>
        <v>366</v>
        <stp/>
        <stp>34354093M21:OI</stp>
        <tr r="T1322" s="5"/>
      </tp>
      <tp>
        <v>0</v>
        <stp/>
        <stp>34344092M20:OI</stp>
        <tr r="T1283" s="5"/>
      </tp>
      <tp>
        <v>366</v>
        <stp/>
        <stp>34354093M20:OI</stp>
        <tr r="T1321" s="5"/>
      </tp>
      <tp>
        <v>0</v>
        <stp/>
        <stp>34344092M24:OI</stp>
        <tr r="T1287" s="5"/>
      </tp>
      <tp>
        <v>366</v>
        <stp/>
        <stp>34354093M24:OI</stp>
        <tr r="T1325" s="5"/>
      </tp>
      <tp t="s">
        <v/>
        <stp/>
        <stp>1517M9:LstBlkPrc</stp>
        <tr r="K12" s="5"/>
      </tp>
    </main>
    <main first="bofaddin.rtdserver">
      <tp t="s">
        <v>#N/A</v>
        <stp/>
        <stp>BDP|11034426891598915809|222</stp>
        <stp>OQAG27 Comdty</stp>
        <stp>BID</stp>
        <stp>Fill=#N/A</stp>
        <tr r="L24" s="1"/>
      </tp>
    </main>
    <main first="ice.rtd">
      <tp>
        <v>2.15</v>
        <stp/>
        <stp>141587M1:LstBlkPrc</stp>
        <tr r="K42" s="5"/>
      </tp>
      <tp>
        <v>3.9</v>
        <stp/>
        <stp>141587Q1:LstBlkPrc</stp>
        <tr r="K67" s="5"/>
      </tp>
      <tp t="s">
        <v/>
        <stp/>
        <stp>141587Y1:LstBlkPrc</stp>
        <tr r="K76" s="5"/>
      </tp>
      <tp t="s">
        <v/>
        <stp/>
        <stp>266419Y0:BstHitPrc</stp>
        <tr r="G993" s="5"/>
      </tp>
      <tp t="s">
        <v/>
        <stp/>
        <stp>266419Q0:BstHitPrc</stp>
        <tr r="G984" s="5"/>
      </tp>
      <tp t="s">
        <v/>
        <stp/>
        <stp>266419M0:BstHitPrc</stp>
        <tr r="G959" s="5"/>
      </tp>
      <tp>
        <v>0</v>
        <stp/>
        <stp>29243602M13:OI</stp>
        <tr r="T759" s="5"/>
      </tp>
      <tp>
        <v>0</v>
        <stp/>
        <stp>29243602M12:OI</stp>
        <tr r="T758" s="5"/>
      </tp>
      <tp>
        <v>0</v>
        <stp/>
        <stp>29243602M11:OI</stp>
        <tr r="T757" s="5"/>
      </tp>
      <tp>
        <v>0</v>
        <stp/>
        <stp>29243602M10:OI</stp>
        <tr r="T756" s="5"/>
      </tp>
      <tp>
        <v>0</v>
        <stp/>
        <stp>29243602M15:OI</stp>
        <tr r="T761" s="5"/>
      </tp>
      <tp>
        <v>0</v>
        <stp/>
        <stp>29243602M14:OI</stp>
        <tr r="T760" s="5"/>
      </tp>
    </main>
    <main first="bofaddin.rtdserver">
      <tp t="s">
        <v>#N/A</v>
        <stp/>
        <stp>BDP|17896235912263055763|222</stp>
        <stp>MUCK30 Comdty</stp>
        <stp>ASK</stp>
        <stp>Fill=#N/A</stp>
        <tr r="K63" s="1"/>
      </tp>
    </main>
    <main first="ice.rtd">
      <tp>
        <v>13</v>
        <stp/>
        <stp>18851683M21:OI</stp>
        <tr r="T214" s="5"/>
      </tp>
      <tp>
        <v>13</v>
        <stp/>
        <stp>18851683M20:OI</stp>
        <tr r="T213" s="5"/>
      </tp>
      <tp>
        <v>13</v>
        <stp/>
        <stp>18851683M23:OI</stp>
        <tr r="T216" s="5"/>
      </tp>
      <tp>
        <v>13</v>
        <stp/>
        <stp>18851683M22:OI</stp>
        <tr r="T215" s="5"/>
      </tp>
      <tp>
        <v>13</v>
        <stp/>
        <stp>18851683M24:OI</stp>
        <tr r="T217" s="5"/>
      </tp>
      <tp>
        <v>13</v>
        <stp/>
        <stp>18851683M19:OI</stp>
        <tr r="T212" s="5"/>
      </tp>
      <tp>
        <v>13</v>
        <stp/>
        <stp>18851683M18:OI</stp>
        <tr r="T211" s="5"/>
      </tp>
      <tp>
        <v>89</v>
        <stp/>
        <stp>18851683M11:OI</stp>
        <tr r="T204" s="5"/>
      </tp>
      <tp>
        <v>89</v>
        <stp/>
        <stp>18851683M10:OI</stp>
        <tr r="T203" s="5"/>
      </tp>
      <tp>
        <v>91</v>
        <stp/>
        <stp>18851683M13:OI</stp>
        <tr r="T206" s="5"/>
      </tp>
      <tp>
        <v>99</v>
        <stp/>
        <stp>18851683M12:OI</stp>
        <tr r="T205" s="5"/>
      </tp>
      <tp>
        <v>97</v>
        <stp/>
        <stp>18851683M15:OI</stp>
        <tr r="T208" s="5"/>
      </tp>
      <tp>
        <v>84</v>
        <stp/>
        <stp>18851683M14:OI</stp>
        <tr r="T207" s="5"/>
      </tp>
      <tp>
        <v>13</v>
        <stp/>
        <stp>18851683M17:OI</stp>
        <tr r="T210" s="5"/>
      </tp>
      <tp>
        <v>13</v>
        <stp/>
        <stp>18851683M16:OI</stp>
        <tr r="T209" s="5"/>
      </tp>
    </main>
    <main first="bofaddin.rtdserver">
      <tp t="s">
        <v>#N/A</v>
        <stp/>
        <stp>BDP|17850113535093341503|222</stp>
        <stp>OQAV27 Comdty</stp>
        <stp>ASK</stp>
        <stp>Fill=#N/A</stp>
        <tr r="L32" s="1"/>
      </tp>
      <tp>
        <v>92.59</v>
        <stp/>
        <stp>BDP|17492333618063328866|222</stp>
        <stp>MUCZ26 Comdty</stp>
        <stp>BID</stp>
        <stp>Fill=#N/A</stp>
        <tr r="K22" s="1"/>
      </tp>
      <tp t="s">
        <v>#N/A</v>
        <stp/>
        <stp>BDP|15425186729943420774|222</stp>
        <stp>OQAG30 Comdty</stp>
        <stp>ASK</stp>
        <stp>Fill=#N/A</stp>
        <tr r="L60" s="1"/>
      </tp>
    </main>
    <main first="ice.rtd">
      <tp t="s">
        <v/>
        <stp/>
        <stp>1517M9:BstHitPrc</stp>
        <tr r="G12" s="5"/>
      </tp>
      <tp>
        <v>926</v>
        <stp/>
        <stp>57409036M24:OI</stp>
        <tr r="T255" s="5"/>
      </tp>
      <tp>
        <v>926</v>
        <stp/>
        <stp>57409036M22:OI</stp>
        <tr r="T253" s="5"/>
      </tp>
      <tp>
        <v>926</v>
        <stp/>
        <stp>57409036M23:OI</stp>
        <tr r="T254" s="5"/>
      </tp>
      <tp>
        <v>1592</v>
        <stp/>
        <stp>57409036M20:OI</stp>
        <tr r="T251" s="5"/>
      </tp>
      <tp>
        <v>1592</v>
        <stp/>
        <stp>57409036M21:OI</stp>
        <tr r="T252" s="5"/>
      </tp>
      <tp>
        <v>1644</v>
        <stp/>
        <stp>57409036M18:OI</stp>
        <tr r="T249" s="5"/>
      </tp>
      <tp>
        <v>1592</v>
        <stp/>
        <stp>57409036M19:OI</stp>
        <tr r="T250" s="5"/>
      </tp>
      <tp>
        <v>1688</v>
        <stp/>
        <stp>57409036M16:OI</stp>
        <tr r="T247" s="5"/>
      </tp>
      <tp>
        <v>1632</v>
        <stp/>
        <stp>57409036M17:OI</stp>
        <tr r="T248" s="5"/>
      </tp>
      <tp>
        <v>2969</v>
        <stp/>
        <stp>57409036M14:OI</stp>
        <tr r="T245" s="5"/>
      </tp>
      <tp>
        <v>3355</v>
        <stp/>
        <stp>57409036M15:OI</stp>
        <tr r="T246" s="5"/>
      </tp>
      <tp>
        <v>3447</v>
        <stp/>
        <stp>57409036M12:OI</stp>
        <tr r="T243" s="5"/>
      </tp>
      <tp>
        <v>2957</v>
        <stp/>
        <stp>57409036M13:OI</stp>
        <tr r="T244" s="5"/>
      </tp>
      <tp>
        <v>3504</v>
        <stp/>
        <stp>57409036M10:OI</stp>
        <tr r="T241" s="5"/>
      </tp>
      <tp>
        <v>3514</v>
        <stp/>
        <stp>57409036M11:OI</stp>
        <tr r="T242" s="5"/>
      </tp>
    </main>
    <main first="bofaddin.rtdserver">
      <tp t="s">
        <v>#N/A</v>
        <stp/>
        <stp>BDP|10915632967721424011|222</stp>
        <stp>MUCF28 Comdty</stp>
        <stp>ASK</stp>
        <stp>Fill=#N/A</stp>
        <tr r="K35" s="1"/>
      </tp>
      <tp t="s">
        <v>#N/A</v>
        <stp/>
        <stp>BDP|10809494002391905986|222</stp>
        <stp>OQAN27 Comdty</stp>
        <stp>BID</stp>
        <stp>Fill=#N/A</stp>
        <tr r="L29" s="1"/>
      </tp>
      <tp t="s">
        <v>#N/A</v>
        <stp/>
        <stp>BDP|13660199172791574738|222</stp>
        <stp>OQAJ28 Comdty</stp>
        <stp>ASK</stp>
        <stp>Fill=#N/A</stp>
        <tr r="L38" s="1"/>
      </tp>
      <tp t="s">
        <v>#N/A</v>
        <stp/>
        <stp>BDP|11010620049745018849|222</stp>
        <stp>MUCG28 Comdty</stp>
        <stp>BID</stp>
        <stp>Fill=#N/A</stp>
        <tr r="K36" s="1"/>
      </tp>
    </main>
    <main first="ice.rtd">
      <tp>
        <v>1.9</v>
        <stp/>
        <stp>141587Y1:BstHitPrc</stp>
        <tr r="G76" s="5"/>
      </tp>
      <tp>
        <v>3.82</v>
        <stp/>
        <stp>141587Q1:BstHitPrc</stp>
        <tr r="G67" s="5"/>
      </tp>
      <tp>
        <v>1.96</v>
        <stp/>
        <stp>141587M1:BstHitPrc</stp>
        <tr r="G42" s="5"/>
      </tp>
      <tp t="s">
        <v/>
        <stp/>
        <stp>266419M0:LstBlkPrc</stp>
        <tr r="K959" s="5"/>
      </tp>
      <tp t="s">
        <v/>
        <stp/>
        <stp>266419Q0:LstBlkPrc</stp>
        <tr r="K984" s="5"/>
      </tp>
      <tp t="s">
        <v/>
        <stp/>
        <stp>266419Y0:LstBlkPrc</stp>
        <tr r="K993" s="5"/>
      </tp>
    </main>
    <main first="bofaddin.rtdserver">
      <tp t="s">
        <v>#N/A</v>
        <stp/>
        <stp>BDP|17285668039359551544|222</stp>
        <stp>MUCM29 Comdty</stp>
        <stp>BID</stp>
        <stp>Fill=#N/A</stp>
        <tr r="K52" s="1"/>
      </tp>
      <tp>
        <v>9.19</v>
        <stp/>
        <stp>BDP|6227982953557374036|222</stp>
        <stp>HOK7HOM7 Comdty</stp>
        <stp>BID</stp>
        <stp>Fill=#N/A</stp>
        <tr r="Q28" s="1"/>
      </tp>
    </main>
    <main first="esrtd">
      <tp t="s">
        <v/>
        <stp/>
        <stp>BRN 26VP11500-ICE</stp>
        <stp>ImpVol</stp>
        <tr r="AK188" s="23"/>
      </tp>
      <tp t="s">
        <v/>
        <stp/>
        <stp>BRN 26VC11500-ICE</stp>
        <stp>ImpVol</stp>
        <tr r="AR188" s="23"/>
      </tp>
    </main>
    <main first="bofaddin.rtdserver">
      <tp>
        <v>0.15</v>
        <stp/>
        <stp>BDP|2753182458295433736|222</stp>
        <stp>CLX8CLZ8 Comdty</stp>
        <stp>BID</stp>
        <stp>Fill=#N/A</stp>
        <tr r="N46" s="1"/>
      </tp>
    </main>
    <main first="esrtd">
      <tp t="s">
        <v/>
        <stp/>
        <stp>BRN 26UP11500-ICE</stp>
        <stp>ImpVol</stp>
        <tr r="AK117" s="23"/>
      </tp>
      <tp t="s">
        <v/>
        <stp/>
        <stp>BRN 26UC11500-ICE</stp>
        <stp>ImpVol</stp>
        <tr r="AR117" s="23"/>
      </tp>
      <tp t="s">
        <v/>
        <stp/>
        <stp>BRN 26UP11300-ICE</stp>
        <stp>ImpVol</stp>
        <tr r="AK116" s="23"/>
      </tp>
      <tp t="s">
        <v/>
        <stp/>
        <stp>BRN 26VP11000-ICE</stp>
        <stp>ImpVol</stp>
        <tr r="AK186" s="23"/>
      </tp>
      <tp t="s">
        <v/>
        <stp/>
        <stp>BRN 26UC11300-ICE</stp>
        <stp>ImpVol</stp>
        <tr r="AR116" s="23"/>
      </tp>
      <tp t="s">
        <v/>
        <stp/>
        <stp>BRN 26VC11000-ICE</stp>
        <stp>ImpVol</stp>
        <tr r="AR186" s="23"/>
      </tp>
      <tp t="s">
        <v/>
        <stp/>
        <stp>BRN 26UP11200-ICE</stp>
        <stp>ImpVol</stp>
        <tr r="AK115" s="23"/>
      </tp>
      <tp t="s">
        <v/>
        <stp/>
        <stp>BRN 26UC11200-ICE</stp>
        <stp>ImpVol</stp>
        <tr r="AR115" s="23"/>
      </tp>
    </main>
    <main first="bofaddin.rtdserver">
      <tp>
        <v>0.1</v>
        <stp/>
        <stp>BDP|6349435366707213486|222</stp>
        <stp>COM9CON9 Comdty</stp>
        <stp>BID</stp>
        <stp>Fill=#N/A</stp>
        <tr r="O53" s="1"/>
      </tp>
    </main>
    <main first="esrtd">
      <tp t="s">
        <v/>
        <stp/>
        <stp>BRN 26UP11000-ICE</stp>
        <stp>ImpVol</stp>
        <tr r="AK114" s="23"/>
      </tp>
      <tp t="s">
        <v/>
        <stp/>
        <stp>BRN 26VP11300-ICE</stp>
        <stp>ImpVol</stp>
        <tr r="AK187" s="23"/>
      </tp>
      <tp t="s">
        <v/>
        <stp/>
        <stp>BRN 26UC11000-ICE</stp>
        <stp>ImpVol</stp>
        <tr r="AR114" s="23"/>
      </tp>
      <tp t="s">
        <v/>
        <stp/>
        <stp>BRN 26VC11300-ICE</stp>
        <stp>ImpVol</stp>
        <tr r="AR187" s="23"/>
      </tp>
    </main>
    <main first="bofaddin.rtdserver">
      <tp t="s">
        <v>#N/A</v>
        <stp/>
        <stp>BDP|10463543061695351907|222</stp>
        <stp>OQAN0Q0 Comdty</stp>
        <stp>BID</stp>
        <stp>Fill=#N/A</stp>
        <tr r="T66" s="1"/>
      </tp>
      <tp t="s">
        <v>#N/A</v>
        <stp/>
        <stp>BDP|6377699572829816683|222</stp>
        <stp>XBK9XBM9 Comdty</stp>
        <stp>BID</stp>
        <stp>Fill=#N/A</stp>
        <tr r="R52" s="1"/>
      </tp>
      <tp t="s">
        <v>#N/A</v>
        <stp/>
        <stp>BDP|15854538530353969422|222</stp>
        <stp>MUCV9X9 Comdty</stp>
        <stp>ASK</stp>
        <stp>Fill=#N/A</stp>
        <tr r="S57" s="1"/>
      </tp>
      <tp>
        <v>-2.25</v>
        <stp/>
        <stp>BDP|8563559833080676369|222</stp>
        <stp>QSU9QSV9 Comdty</stp>
        <stp>BID</stp>
        <stp>Fill=#N/A</stp>
        <tr r="P56" s="1"/>
      </tp>
      <tp>
        <v>1.89</v>
        <stp/>
        <stp>BDP|4414649025667756319|222</stp>
        <stp>CLG7CLH7 Comdty</stp>
        <stp>ASK</stp>
        <stp>Fill=#N/A</stp>
        <tr r="N25" s="1"/>
      </tp>
      <tp>
        <v>6.67</v>
        <stp/>
        <stp>BDP|6106422561252715462|222</stp>
        <stp>XBV7XBX7 Comdty</stp>
        <stp>ASK</stp>
        <stp>Fill=#N/A</stp>
        <tr r="R33" s="1"/>
      </tp>
      <tp>
        <v>0.33</v>
        <stp/>
        <stp>BDP|7069231223681200922|222</stp>
        <stp>CLF8CLG8 Comdty</stp>
        <stp>BID</stp>
        <stp>Fill=#N/A</stp>
        <tr r="N36" s="1"/>
      </tp>
      <tp>
        <v>0.31</v>
        <stp/>
        <stp>BDP|4383493409002406769|222</stp>
        <stp>CLG8CLH8 Comdty</stp>
        <stp>ASK</stp>
        <stp>Fill=#N/A</stp>
        <tr r="N37" s="1"/>
      </tp>
      <tp>
        <v>8</v>
        <stp/>
        <stp>BDP|1028061845108121841|222</stp>
        <stp>QSM8QSN8 Comdty</stp>
        <stp>BID</stp>
        <stp>Fill=#N/A</stp>
        <tr r="P41" s="1"/>
      </tp>
      <tp>
        <v>-0.06</v>
        <stp/>
        <stp>BDP|3513396343533783657|222</stp>
        <stp>XBG7XBH7 Comdty</stp>
        <stp>BID</stp>
        <stp>Fill=#N/A</stp>
        <tr r="R25" s="1"/>
      </tp>
      <tp>
        <v>6.7596749999999997</v>
        <stp/>
        <stp>BFXFORWARD|9706248184761687398|222</stp>
        <stp>USDCNY</stp>
        <stp>1M</stp>
        <stp>MidOutright</stp>
        <tr r="BD21" s="1"/>
      </tp>
    </main>
    <main first="ice.rtd">
      <tp t="s">
        <v/>
        <stp/>
        <stp>15061297MM0:BstLiftPrc</stp>
        <tr r="H1683" s="5"/>
      </tp>
      <tp t="s">
        <v/>
        <stp/>
        <stp>15061297MM1:BstLiftPrc</stp>
        <tr r="H1684" s="5"/>
      </tp>
      <tp t="s">
        <v/>
        <stp/>
        <stp>15061297MM2:BstLiftPrc</stp>
        <tr r="H1685" s="5"/>
      </tp>
      <tp t="s">
        <v/>
        <stp/>
        <stp>15061297MM3:BstLiftPrc</stp>
        <tr r="H1686" s="5"/>
      </tp>
      <tp t="s">
        <v/>
        <stp/>
        <stp>15061297MM4:BstLiftPrc</stp>
        <tr r="H1687" s="5"/>
      </tp>
      <tp t="s">
        <v/>
        <stp/>
        <stp>15061297MM5:BstLiftPrc</stp>
        <tr r="H1688" s="5"/>
      </tp>
      <tp t="s">
        <v/>
        <stp/>
        <stp>15061297MM6:BstLiftPrc</stp>
        <tr r="H1689" s="5"/>
      </tp>
      <tp t="s">
        <v/>
        <stp/>
        <stp>15061297MM7:BstLiftPrc</stp>
        <tr r="H1690" s="5"/>
      </tp>
      <tp>
        <v>3.68</v>
        <stp/>
        <stp>15061297MM8:BstLiftPrc</stp>
        <tr r="H1691" s="5"/>
      </tp>
      <tp t="s">
        <v/>
        <stp/>
        <stp>15061297MM9:BstLiftPrc</stp>
        <tr r="H1692" s="5"/>
      </tp>
      <tp t="s">
        <v/>
        <stp/>
        <stp>266419M5:LstBlkVol</stp>
        <tr r="L964" s="5"/>
      </tp>
      <tp t="s">
        <v/>
        <stp/>
        <stp>266419Q5:LstBlkVol</stp>
        <tr r="L989" s="5"/>
      </tp>
      <tp t="s">
        <v/>
        <stp/>
        <stp>32623993M16:BstLiftPrc</stp>
        <tr r="H2006" s="5"/>
      </tp>
      <tp t="s">
        <v/>
        <stp/>
        <stp>32623993M17:BstLiftPrc</stp>
        <tr r="H2007" s="5"/>
      </tp>
      <tp t="s">
        <v/>
        <stp/>
        <stp>32623993M14:BstLiftPrc</stp>
        <tr r="H2004" s="5"/>
      </tp>
      <tp t="s">
        <v/>
        <stp/>
        <stp>32623993M15:BstLiftPrc</stp>
        <tr r="H2005" s="5"/>
      </tp>
      <tp t="s">
        <v/>
        <stp/>
        <stp>32623993M12:BstLiftPrc</stp>
        <tr r="H2002" s="5"/>
      </tp>
      <tp t="s">
        <v/>
        <stp/>
        <stp>32623993M13:BstLiftPrc</stp>
        <tr r="H2003" s="5"/>
      </tp>
      <tp t="s">
        <v/>
        <stp/>
        <stp>32623993M10:BstLiftPrc</stp>
        <tr r="H2000" s="5"/>
      </tp>
      <tp t="s">
        <v/>
        <stp/>
        <stp>32623993M11:BstLiftPrc</stp>
        <tr r="H2001" s="5"/>
      </tp>
      <tp t="s">
        <v/>
        <stp/>
        <stp>32623993M18:BstLiftPrc</stp>
        <tr r="H2008" s="5"/>
      </tp>
      <tp t="s">
        <v/>
        <stp/>
        <stp>32623993M19:BstLiftPrc</stp>
        <tr r="H2009" s="5"/>
      </tp>
      <tp t="s">
        <v/>
        <stp/>
        <stp>32623993M24:BstLiftPrc</stp>
        <tr r="H2014" s="5"/>
      </tp>
      <tp t="s">
        <v/>
        <stp/>
        <stp>32623993M22:BstLiftPrc</stp>
        <tr r="H2012" s="5"/>
      </tp>
      <tp t="s">
        <v/>
        <stp/>
        <stp>32623993M23:BstLiftPrc</stp>
        <tr r="H2013" s="5"/>
      </tp>
      <tp t="s">
        <v/>
        <stp/>
        <stp>32623993M20:BstLiftPrc</stp>
        <tr r="H2010" s="5"/>
      </tp>
      <tp t="s">
        <v/>
        <stp/>
        <stp>32623993M21:BstLiftPrc</stp>
        <tr r="H2011" s="5"/>
      </tp>
    </main>
    <main first="bofaddin.rtdserver">
      <tp>
        <v>6.6893739999999999</v>
        <stp/>
        <stp>BFXFORWARD|4548780825302315359|222</stp>
        <stp>USDCNY</stp>
        <stp>5M</stp>
        <stp>MidOutright</stp>
        <tr r="BD25" s="1"/>
      </tp>
    </main>
    <main first="ice.rtd">
      <tp t="s">
        <v/>
        <stp/>
        <stp>5162Q8:LstBlkVol</stp>
        <tr r="L802" s="5"/>
      </tp>
      <tp t="s">
        <v/>
        <stp/>
        <stp>5162M8:LstBlkVol</stp>
        <tr r="L777" s="5"/>
      </tp>
    </main>
    <main first="esrtd">
      <tp t="s">
        <v/>
        <stp/>
        <stp>BRN 26QP20000-ICE</stp>
        <stp>Delta</stp>
        <tr r="AI54" s="23"/>
      </tp>
      <tp t="s">
        <v/>
        <stp/>
        <stp>BRN 26QC20000-ICE</stp>
        <stp>Delta</stp>
        <tr r="AP54" s="23"/>
      </tp>
      <tp t="s">
        <v/>
        <stp/>
        <stp>BRN 26UP20000-ICE</stp>
        <stp>Delta</stp>
        <tr r="AI124" s="23"/>
      </tp>
      <tp t="s">
        <v/>
        <stp/>
        <stp>BRN 26UC20000-ICE</stp>
        <stp>Delta</stp>
        <tr r="AP124" s="23"/>
      </tp>
      <tp t="s">
        <v/>
        <stp/>
        <stp>BRN 26VP20000-ICE</stp>
        <stp>Delta</stp>
        <tr r="AI199" s="23"/>
      </tp>
      <tp t="s">
        <v/>
        <stp/>
        <stp>BRN 26VC20000-ICE</stp>
        <stp>Delta</stp>
        <tr r="AP199" s="23"/>
      </tp>
    </main>
    <main first="ice.rtd">
      <tp>
        <v>15</v>
        <stp/>
        <stp>141587M4:LstBlkVol</stp>
        <tr r="L45" s="5"/>
      </tp>
      <tp t="s">
        <v/>
        <stp/>
        <stp>141587Q4:LstBlkVol</stp>
        <tr r="L70" s="5"/>
      </tp>
    </main>
    <main first="esrtd">
      <tp t="s">
        <v/>
        <stp/>
        <stp>BRN 26QP25000-ICE</stp>
        <stp>Delta</stp>
        <tr r="AI55" s="23"/>
      </tp>
      <tp t="s">
        <v/>
        <stp/>
        <stp>BRN 26QC25000-ICE</stp>
        <stp>Delta</stp>
        <tr r="AP55" s="23"/>
      </tp>
      <tp t="s">
        <v/>
        <stp/>
        <stp>BRN 26UP25000-ICE</stp>
        <stp>Delta</stp>
        <tr r="AI125" s="23"/>
      </tp>
      <tp t="s">
        <v/>
        <stp/>
        <stp>BRN 26UC25000-ICE</stp>
        <stp>Delta</stp>
        <tr r="AP125" s="23"/>
      </tp>
      <tp t="s">
        <v/>
        <stp/>
        <stp>BRN 26VP25000-ICE</stp>
        <stp>Delta</stp>
        <tr r="AI200" s="23"/>
      </tp>
      <tp t="s">
        <v/>
        <stp/>
        <stp>BRN 26VC25000-ICE</stp>
        <stp>Delta</stp>
        <tr r="AP200" s="23"/>
      </tp>
    </main>
    <main first="ice.rtd">
      <tp>
        <v>3.78</v>
        <stp/>
        <stp>141587M2:LstBlkPrc</stp>
        <tr r="K43" s="5"/>
      </tp>
      <tp t="s">
        <v/>
        <stp/>
        <stp>141587Q2:LstBlkPrc</stp>
        <tr r="K68" s="5"/>
      </tp>
      <tp t="s">
        <v/>
        <stp/>
        <stp>141587Y2:LstBlkPrc</stp>
        <tr r="K77" s="5"/>
      </tp>
      <tp t="s">
        <v/>
        <stp/>
        <stp>266419Q3:BstHitPrc</stp>
        <tr r="G987" s="5"/>
      </tp>
      <tp t="s">
        <v/>
        <stp/>
        <stp>266419M3:BstHitPrc</stp>
        <tr r="G962" s="5"/>
      </tp>
      <tp t="s">
        <v/>
        <stp/>
        <stp>266M19:LstBlkPrc</stp>
        <tr r="K940" s="5"/>
      </tp>
    </main>
    <main first="esrtd">
      <tp t="s">
        <v/>
        <stp/>
        <stp>WHK 8!-IEU</stp>
        <stp>Block Price DT</stp>
        <tr r="M1925" s="5"/>
      </tp>
      <tp t="s">
        <v/>
        <stp/>
        <stp>WHK 9!-IEU</stp>
        <stp>Block Price DT</stp>
        <tr r="M1926" s="5"/>
      </tp>
      <tp t="s">
        <v/>
        <stp/>
        <stp>WHK 1!-IEU</stp>
        <stp>Block Price DT</stp>
        <tr r="M1918" s="5"/>
      </tp>
      <tp t="s">
        <v/>
        <stp/>
        <stp>WHK 2!-IEU</stp>
        <stp>Block Price DT</stp>
        <tr r="M1919" s="5"/>
      </tp>
      <tp t="s">
        <v/>
        <stp/>
        <stp>WHK 3!-IEU</stp>
        <stp>Block Price DT</stp>
        <tr r="M1920" s="5"/>
      </tp>
      <tp t="s">
        <v/>
        <stp/>
        <stp>WHK 4!-IEU</stp>
        <stp>Block Price DT</stp>
        <tr r="M1921" s="5"/>
      </tp>
      <tp t="s">
        <v/>
        <stp/>
        <stp>WHK 5!-IEU</stp>
        <stp>Block Price DT</stp>
        <tr r="M1922" s="5"/>
      </tp>
      <tp t="s">
        <v/>
        <stp/>
        <stp>WHK 6!-IEU</stp>
        <stp>Block Price DT</stp>
        <tr r="M1923" s="5"/>
      </tp>
      <tp t="s">
        <v/>
        <stp/>
        <stp>WHK 7!-IEU</stp>
        <stp>Block Price DT</stp>
        <tr r="M1924" s="5"/>
      </tp>
    </main>
    <main first="ice.rtd">
      <tp>
        <v>0</v>
        <stp/>
        <stp>41767893M17:OI</stp>
        <tr r="T497" s="5"/>
      </tp>
      <tp>
        <v>0</v>
        <stp/>
        <stp>41767893M16:OI</stp>
        <tr r="T496" s="5"/>
      </tp>
      <tp>
        <v>0</v>
        <stp/>
        <stp>41767893M15:OI</stp>
        <tr r="T495" s="5"/>
      </tp>
      <tp>
        <v>0</v>
        <stp/>
        <stp>41767893M14:OI</stp>
        <tr r="T494" s="5"/>
      </tp>
      <tp>
        <v>0</v>
        <stp/>
        <stp>41767893M13:OI</stp>
        <tr r="T493" s="5"/>
      </tp>
      <tp>
        <v>0</v>
        <stp/>
        <stp>41767893M12:OI</stp>
        <tr r="T492" s="5"/>
      </tp>
      <tp>
        <v>0</v>
        <stp/>
        <stp>41767893M11:OI</stp>
        <tr r="T491" s="5"/>
      </tp>
      <tp>
        <v>0</v>
        <stp/>
        <stp>41767893M10:OI</stp>
        <tr r="T490" s="5"/>
      </tp>
      <tp>
        <v>0</v>
        <stp/>
        <stp>41767893M19:OI</stp>
        <tr r="T499" s="5"/>
      </tp>
      <tp>
        <v>0</v>
        <stp/>
        <stp>41767893M18:OI</stp>
        <tr r="T498" s="5"/>
      </tp>
      <tp>
        <v>0</v>
        <stp/>
        <stp>41767893M24:OI</stp>
        <tr r="T504" s="5"/>
      </tp>
      <tp>
        <v>0</v>
        <stp/>
        <stp>41767893M23:OI</stp>
        <tr r="T503" s="5"/>
      </tp>
      <tp>
        <v>0</v>
        <stp/>
        <stp>41767893M22:OI</stp>
        <tr r="T502" s="5"/>
      </tp>
      <tp>
        <v>0</v>
        <stp/>
        <stp>41767893M21:OI</stp>
        <tr r="T501" s="5"/>
      </tp>
      <tp>
        <v>0</v>
        <stp/>
        <stp>41767893M20:OI</stp>
        <tr r="T500" s="5"/>
      </tp>
      <tp t="s">
        <v/>
        <stp/>
        <stp>15061297YY0:BstLiftPrc</stp>
        <tr r="H1713" s="5"/>
      </tp>
    </main>
    <main first="bofaddin.rtdserver">
      <tp t="s">
        <v>#N/A</v>
        <stp/>
        <stp>BDP|11268342591732479923|222</stp>
        <stp>OQAU27 Comdty</stp>
        <stp>ASK</stp>
        <stp>Fill=#N/A</stp>
        <tr r="L31" s="1"/>
      </tp>
      <tp t="s">
        <v>#N/A</v>
        <stp/>
        <stp>BDP|11638107379642476734|222</stp>
        <stp>MUCV28 Comdty</stp>
        <stp>ASK</stp>
        <stp>Fill=#N/A</stp>
        <tr r="K44" s="1"/>
      </tp>
      <tp t="s">
        <v>#N/A</v>
        <stp/>
        <stp>BDP|15195939659913229530|222</stp>
        <stp>OQAG28 Comdty</stp>
        <stp>BID</stp>
        <stp>Fill=#N/A</stp>
        <tr r="L36" s="1"/>
      </tp>
    </main>
    <main first="ice.rtd">
      <tp t="s">
        <v/>
        <stp/>
        <stp>141587Y2:BstHitPrc</stp>
        <tr r="G77" s="5"/>
      </tp>
      <tp>
        <v>3.32</v>
        <stp/>
        <stp>141587Q2:BstHitPrc</stp>
        <tr r="G68" s="5"/>
      </tp>
      <tp>
        <v>3.63</v>
        <stp/>
        <stp>141587M2:BstHitPrc</stp>
        <tr r="G43" s="5"/>
      </tp>
      <tp t="s">
        <v/>
        <stp/>
        <stp>266419M3:LstBlkPrc</stp>
        <tr r="K962" s="5"/>
      </tp>
      <tp t="s">
        <v/>
        <stp/>
        <stp>266419Q3:LstBlkPrc</stp>
        <tr r="K987" s="5"/>
      </tp>
      <tp t="s">
        <v/>
        <stp/>
        <stp>266M19:BstHitPrc</stp>
        <tr r="G940" s="5"/>
      </tp>
      <tp t="s">
        <v/>
        <stp/>
        <stp>15061297QQ0:BstLiftPrc</stp>
        <tr r="H1711" s="5"/>
      </tp>
      <tp t="s">
        <v/>
        <stp/>
        <stp>15061297QQ1:BstLiftPrc</stp>
        <tr r="H1712" s="5"/>
      </tp>
      <tp t="s">
        <v/>
        <stp/>
        <stp>5162M19:LstBlkTime</stp>
        <tr r="M788" s="5"/>
      </tp>
      <tp t="s">
        <v/>
        <stp/>
        <stp>5162M18:LstBlkTime</stp>
        <tr r="M787" s="5"/>
      </tp>
      <tp t="s">
        <v/>
        <stp/>
        <stp>5162M17:LstBlkTime</stp>
        <tr r="M786" s="5"/>
      </tp>
      <tp t="s">
        <v/>
        <stp/>
        <stp>5162M16:LstBlkTime</stp>
        <tr r="M785" s="5"/>
      </tp>
      <tp t="s">
        <v/>
        <stp/>
        <stp>5162M15:LstBlkTime</stp>
        <tr r="M784" s="5"/>
      </tp>
      <tp t="s">
        <v/>
        <stp/>
        <stp>5162M14:LstBlkTime</stp>
        <tr r="M783" s="5"/>
      </tp>
      <tp t="s">
        <v/>
        <stp/>
        <stp>5162M13:LstBlkTime</stp>
        <tr r="M782" s="5"/>
      </tp>
      <tp t="s">
        <v/>
        <stp/>
        <stp>5162M12:LstBlkTime</stp>
        <tr r="M781" s="5"/>
      </tp>
      <tp t="s">
        <v/>
        <stp/>
        <stp>5162M11:LstBlkTime</stp>
        <tr r="M780" s="5"/>
      </tp>
      <tp t="s">
        <v/>
        <stp/>
        <stp>5162M10:LstBlkTime</stp>
        <tr r="M779" s="5"/>
      </tp>
      <tp t="s">
        <v/>
        <stp/>
        <stp>5162M24:LstBlkTime</stp>
        <tr r="M793" s="5"/>
      </tp>
      <tp t="s">
        <v/>
        <stp/>
        <stp>5162M23:LstBlkTime</stp>
        <tr r="M792" s="5"/>
      </tp>
      <tp t="s">
        <v/>
        <stp/>
        <stp>5162M22:LstBlkTime</stp>
        <tr r="M791" s="5"/>
      </tp>
      <tp t="s">
        <v/>
        <stp/>
        <stp>5162M21:LstBlkTime</stp>
        <tr r="M790" s="5"/>
      </tp>
      <tp t="s">
        <v/>
        <stp/>
        <stp>5162M20:LstBlkTime</stp>
        <tr r="M789" s="5"/>
      </tp>
      <tp t="s">
        <v/>
        <stp/>
        <stp>1923422331M11:LstBlkTime</stp>
        <tr r="M1638" s="5"/>
      </tp>
      <tp t="s">
        <v/>
        <stp/>
        <stp>1923422331M10:LstBlkTime</stp>
        <tr r="M1637" s="5"/>
      </tp>
      <tp t="s">
        <v/>
        <stp/>
        <stp>1923422331M13:LstBlkTime</stp>
        <tr r="M1640" s="5"/>
      </tp>
      <tp t="s">
        <v/>
        <stp/>
        <stp>1923422331M12:LstBlkTime</stp>
        <tr r="M1639" s="5"/>
      </tp>
      <tp t="s">
        <v/>
        <stp/>
        <stp>1923422331M14:LstBlkTime</stp>
        <tr r="M1641" s="5"/>
      </tp>
      <tp t="s">
        <v/>
        <stp/>
        <stp>3124331018M14:LstBlkTime</stp>
        <tr r="M1619" s="5"/>
      </tp>
      <tp t="s">
        <v/>
        <stp/>
        <stp>3124331018M12:LstBlkTime</stp>
        <tr r="M1617" s="5"/>
      </tp>
      <tp t="s">
        <v/>
        <stp/>
        <stp>3124331018M13:LstBlkTime</stp>
        <tr r="M1618" s="5"/>
      </tp>
      <tp t="s">
        <v/>
        <stp/>
        <stp>3124331018M10:LstBlkTime</stp>
        <tr r="M1615" s="5"/>
      </tp>
      <tp t="s">
        <v/>
        <stp/>
        <stp>3124331018M11:LstBlkTime</stp>
        <tr r="M1616" s="5"/>
      </tp>
    </main>
    <main first="esrtd">
      <tp t="s">
        <v/>
        <stp/>
        <stp>BRN 26VP12500-ICE</stp>
        <stp>ImpVol</stp>
        <tr r="AK190" s="23"/>
      </tp>
      <tp t="s">
        <v/>
        <stp/>
        <stp>BRN 26VC12500-ICE</stp>
        <stp>ImpVol</stp>
        <tr r="AR190" s="23"/>
      </tp>
    </main>
    <main first="bofaddin.rtdserver">
      <tp>
        <v>0.2</v>
        <stp/>
        <stp>BDP|3099778672430461122|222</stp>
        <stp>CLG9CLH9 Comdty</stp>
        <stp>ASK</stp>
        <stp>Fill=#N/A</stp>
        <tr r="N49" s="1"/>
      </tp>
    </main>
    <main first="esrtd">
      <tp t="s">
        <v/>
        <stp/>
        <stp>BRN 26UP12500-ICE</stp>
        <stp>ImpVol</stp>
        <tr r="AK119" s="23"/>
      </tp>
      <tp t="s">
        <v/>
        <stp/>
        <stp>BRN 26UC12500-ICE</stp>
        <stp>ImpVol</stp>
        <tr r="AR119" s="23"/>
      </tp>
    </main>
    <main first="bofaddin.rtdserver">
      <tp>
        <v>0.52</v>
        <stp/>
        <stp>BDP|7228405040255021792|222</stp>
        <stp>CLQ7CLU7 Comdty</stp>
        <stp>BID</stp>
        <stp>Fill=#N/A</stp>
        <tr r="N31" s="1"/>
      </tp>
      <tp>
        <v>0.19</v>
        <stp/>
        <stp>BDP|7528831070262352474|222</stp>
        <stp>COF9COG9 Comdty</stp>
        <stp>BID</stp>
        <stp>Fill=#N/A</stp>
        <tr r="O48" s="1"/>
      </tp>
      <tp>
        <v>6.5</v>
        <stp/>
        <stp>BDP|4704293394830368315|222</stp>
        <stp>QSK9QSM9 Comdty</stp>
        <stp>ASK</stp>
        <stp>Fill=#N/A</stp>
        <tr r="P52" s="1"/>
      </tp>
    </main>
    <main first="esrtd">
      <tp t="s">
        <v/>
        <stp/>
        <stp>BRN 26VP12000-ICE</stp>
        <stp>ImpVol</stp>
        <tr r="AK189" s="23"/>
      </tp>
      <tp t="s">
        <v/>
        <stp/>
        <stp>BRN 26VC12000-ICE</stp>
        <stp>ImpVol</stp>
        <tr r="AR189" s="23"/>
      </tp>
    </main>
    <main first="bofaddin.rtdserver">
      <tp>
        <v>0.13</v>
        <stp/>
        <stp>BDP|8482161833727032058|222</stp>
        <stp>COQ9COU9 Comdty</stp>
        <stp>BID</stp>
        <stp>Fill=#N/A</stp>
        <tr r="O55" s="1"/>
      </tp>
      <tp t="s">
        <v>#N/A</v>
        <stp/>
        <stp>BDP|2250179080213669634|222</stp>
        <stp>COH0COJ0 Comdty</stp>
        <stp>ASK</stp>
        <stp>Fill=#N/A</stp>
        <tr r="O62" s="1"/>
      </tp>
    </main>
    <main first="esrtd">
      <tp t="s">
        <v/>
        <stp/>
        <stp>BRN 26UP12000-ICE</stp>
        <stp>ImpVol</stp>
        <tr r="AK118" s="23"/>
      </tp>
      <tp t="s">
        <v/>
        <stp/>
        <stp>BRN 26UC12000-ICE</stp>
        <stp>ImpVol</stp>
        <tr r="AR118" s="23"/>
      </tp>
    </main>
    <main first="bofaddin.rtdserver">
      <tp t="s">
        <v>#N/A</v>
        <stp/>
        <stp>BDP|8731934475066984790|222</stp>
        <stp>CLF0CLG0 Comdty</stp>
        <stp>ASK</stp>
        <stp>Fill=#N/A</stp>
        <tr r="N60" s="1"/>
      </tp>
      <tp>
        <v>48.86</v>
        <stp/>
        <stp>BDP|233966082096570239|22</stp>
        <stp>XBZ6XBZ7 Comdty</stp>
        <stp>ASK</stp>
        <tr r="F2" s="3"/>
      </tp>
      <tp>
        <v>0.45</v>
        <stp/>
        <stp>BDP|3722181243279221681|222</stp>
        <stp>CLU7CLV7 Comdty</stp>
        <stp>BID</stp>
        <stp>Fill=#N/A</stp>
        <tr r="N32" s="1"/>
      </tp>
      <tp>
        <v>13.51</v>
        <stp/>
        <stp>BDP|5191509969548469811|222</stp>
        <stp>XBU8XBV8 Comdty</stp>
        <stp>BID</stp>
        <stp>Fill=#N/A</stp>
        <tr r="R44" s="1"/>
      </tp>
      <tp>
        <v>0.22</v>
        <stp/>
        <stp>BDP|5980295541908781943|222</stp>
        <stp>CLF9CLG9 Comdty</stp>
        <stp>ASK</stp>
        <stp>Fill=#N/A</stp>
        <tr r="N48" s="1"/>
      </tp>
      <tp>
        <v>12</v>
        <stp/>
        <stp>BDP|6439142376976729229|222</stp>
        <stp>QSH8QSJ8 Comdty</stp>
        <stp>BID</stp>
        <stp>Fill=#N/A</stp>
        <tr r="P38" s="1"/>
      </tp>
      <tp>
        <v>5.95</v>
        <stp/>
        <stp>BDP|3004752089695429156|222</stp>
        <stp>XBV8XBX8 Comdty</stp>
        <stp>ASK</stp>
        <stp>Fill=#N/A</stp>
        <tr r="R45" s="1"/>
      </tp>
      <tp>
        <v>0.32</v>
        <stp/>
        <stp>BDP|8123893035245274695|222</stp>
        <stp>COG8COH8 Comdty</stp>
        <stp>ASK</stp>
        <stp>Fill=#N/A</stp>
        <tr r="O37" s="1"/>
      </tp>
      <tp>
        <v>-19.03</v>
        <stp/>
        <stp>BDP|6255375338746921606|222</stp>
        <stp>XBH7XBJ7 Comdty</stp>
        <stp>BID</stp>
        <stp>Fill=#N/A</stp>
        <tr r="R26" s="1"/>
      </tp>
      <tp t="s">
        <v>#N/A Invalid Security</v>
        <stp/>
        <stp>BDP|8333680706021274504|222</stp>
        <stp>HOJ0HOK0 Comdty</stp>
        <stp>BID</stp>
        <stp>Fill=#N/A</stp>
        <tr r="Q63" s="1"/>
      </tp>
      <tp>
        <v>1.88</v>
        <stp/>
        <stp>BDP|3680826335156334332|222</stp>
        <stp>CLG7CLH7 Comdty</stp>
        <stp>BID</stp>
        <stp>Fill=#N/A</stp>
        <tr r="N25" s="1"/>
      </tp>
      <tp>
        <v>-19</v>
        <stp/>
        <stp>BDP|2308549977964287004|222</stp>
        <stp>XBH7XBJ7 Comdty</stp>
        <stp>ASK</stp>
        <stp>Fill=#N/A</stp>
        <tr r="R26" s="1"/>
      </tp>
    </main>
    <main first="ice.rtd">
      <tp t="s">
        <v/>
        <stp/>
        <stp>41787896Q8:LstDate</stp>
        <tr r="J840" s="5"/>
      </tp>
      <tp t="s">
        <v/>
        <stp/>
        <stp>41787896Q1:LstDate</stp>
        <tr r="J833" s="5"/>
      </tp>
      <tp t="s">
        <v/>
        <stp/>
        <stp>41787896Q0:LstDate</stp>
        <tr r="J832" s="5"/>
      </tp>
      <tp t="s">
        <v/>
        <stp/>
        <stp>41787896Q3:LstDate</stp>
        <tr r="J835" s="5"/>
      </tp>
      <tp t="s">
        <v/>
        <stp/>
        <stp>41787896Q2:LstDate</stp>
        <tr r="J834" s="5"/>
      </tp>
      <tp t="s">
        <v/>
        <stp/>
        <stp>41787896Q5:LstDate</stp>
        <tr r="J837" s="5"/>
      </tp>
      <tp t="s">
        <v/>
        <stp/>
        <stp>41787896Q4:LstDate</stp>
        <tr r="J836" s="5"/>
      </tp>
      <tp t="s">
        <v/>
        <stp/>
        <stp>41787896Q7:LstDate</stp>
        <tr r="J839" s="5"/>
      </tp>
      <tp t="s">
        <v/>
        <stp/>
        <stp>41787896Q6:LstDate</stp>
        <tr r="J838" s="5"/>
      </tp>
      <tp t="s">
        <v/>
        <stp/>
        <stp>41787896Y1:LstDate</stp>
        <tr r="J842" s="5"/>
      </tp>
      <tp t="s">
        <v/>
        <stp/>
        <stp>41787896Y0:LstDate</stp>
        <tr r="J841" s="5"/>
      </tp>
      <tp t="s">
        <v/>
        <stp/>
        <stp>41787896Y2:LstDate</stp>
        <tr r="J843" s="5"/>
      </tp>
      <tp t="s">
        <v/>
        <stp/>
        <stp>41787896M9:LstDate</stp>
        <tr r="J816" s="5"/>
      </tp>
      <tp t="s">
        <v/>
        <stp/>
        <stp>41787896M8:LstDate</stp>
        <tr r="J815" s="5"/>
      </tp>
      <tp t="s">
        <v/>
        <stp/>
        <stp>41787896M1:LstDate</stp>
        <tr r="J808" s="5"/>
      </tp>
      <tp t="s">
        <v/>
        <stp/>
        <stp>41787896M0:LstDate</stp>
        <tr r="J807" s="5"/>
      </tp>
      <tp t="s">
        <v/>
        <stp/>
        <stp>41787896M3:LstDate</stp>
        <tr r="J810" s="5"/>
      </tp>
      <tp t="s">
        <v/>
        <stp/>
        <stp>41787896M2:LstDate</stp>
        <tr r="J809" s="5"/>
      </tp>
      <tp t="s">
        <v/>
        <stp/>
        <stp>41787896M5:LstDate</stp>
        <tr r="J812" s="5"/>
      </tp>
      <tp t="s">
        <v/>
        <stp/>
        <stp>41787896M4:LstDate</stp>
        <tr r="J811" s="5"/>
      </tp>
      <tp t="s">
        <v/>
        <stp/>
        <stp>41787896M7:LstDate</stp>
        <tr r="J814" s="5"/>
      </tp>
      <tp t="s">
        <v/>
        <stp/>
        <stp>41787896M6:LstDate</stp>
        <tr r="J813" s="5"/>
      </tp>
      <tp t="s">
        <v/>
        <stp/>
        <stp>30813691M18:BstLiftPrc</stp>
        <tr r="H1971" s="5"/>
      </tp>
      <tp t="s">
        <v/>
        <stp/>
        <stp>30813691M19:BstLiftPrc</stp>
        <tr r="H1972" s="5"/>
      </tp>
      <tp t="s">
        <v/>
        <stp/>
        <stp>30813691M10:BstLiftPrc</stp>
        <tr r="H1963" s="5"/>
      </tp>
      <tp t="s">
        <v/>
        <stp/>
        <stp>30813691M11:BstLiftPrc</stp>
        <tr r="H1964" s="5"/>
      </tp>
      <tp t="s">
        <v/>
        <stp/>
        <stp>30813691M12:BstLiftPrc</stp>
        <tr r="H1965" s="5"/>
      </tp>
      <tp t="s">
        <v/>
        <stp/>
        <stp>30813691M13:BstLiftPrc</stp>
        <tr r="H1966" s="5"/>
      </tp>
      <tp t="s">
        <v/>
        <stp/>
        <stp>30813691M14:BstLiftPrc</stp>
        <tr r="H1967" s="5"/>
      </tp>
      <tp t="s">
        <v/>
        <stp/>
        <stp>30813691M15:BstLiftPrc</stp>
        <tr r="H1968" s="5"/>
      </tp>
      <tp t="s">
        <v/>
        <stp/>
        <stp>30813691M16:BstLiftPrc</stp>
        <tr r="H1969" s="5"/>
      </tp>
      <tp t="s">
        <v/>
        <stp/>
        <stp>30813691M17:BstLiftPrc</stp>
        <tr r="H1970" s="5"/>
      </tp>
      <tp t="s">
        <v/>
        <stp/>
        <stp>266419M4:LstBlkVol</stp>
        <tr r="L963" s="5"/>
      </tp>
      <tp t="s">
        <v/>
        <stp/>
        <stp>266419Q4:LstBlkVol</stp>
        <tr r="L988" s="5"/>
      </tp>
      <tp t="s">
        <v/>
        <stp/>
        <stp>30813691M20:BstLiftPrc</stp>
        <tr r="H1973" s="5"/>
      </tp>
      <tp t="s">
        <v/>
        <stp/>
        <stp>30813691M21:BstLiftPrc</stp>
        <tr r="H1974" s="5"/>
      </tp>
      <tp t="s">
        <v/>
        <stp/>
        <stp>30813691M22:BstLiftPrc</stp>
        <tr r="H1975" s="5"/>
      </tp>
      <tp t="s">
        <v/>
        <stp/>
        <stp>30813691M23:BstLiftPrc</stp>
        <tr r="H1976" s="5"/>
      </tp>
      <tp t="s">
        <v/>
        <stp/>
        <stp>30813691M24:BstLiftPrc</stp>
        <tr r="H1977" s="5"/>
      </tp>
      <tp t="s">
        <v/>
        <stp/>
        <stp>16331513M19:BstLiftPrc</stp>
        <tr r="H1434" s="5"/>
      </tp>
      <tp t="s">
        <v/>
        <stp/>
        <stp>16341514M19:BstLiftPrc</stp>
        <tr r="H1472" s="5"/>
      </tp>
      <tp t="s">
        <v/>
        <stp/>
        <stp>16351515M19:BstLiftPrc</stp>
        <tr r="H1510" s="5"/>
      </tp>
      <tp t="s">
        <v/>
        <stp/>
        <stp>16331513M18:BstLiftPrc</stp>
        <tr r="H1433" s="5"/>
      </tp>
      <tp t="s">
        <v/>
        <stp/>
        <stp>16341514M18:BstLiftPrc</stp>
        <tr r="H1471" s="5"/>
      </tp>
      <tp t="s">
        <v/>
        <stp/>
        <stp>16351515M18:BstLiftPrc</stp>
        <tr r="H1509" s="5"/>
      </tp>
      <tp t="s">
        <v/>
        <stp/>
        <stp>16331513M13:BstLiftPrc</stp>
        <tr r="H1428" s="5"/>
      </tp>
      <tp t="s">
        <v/>
        <stp/>
        <stp>16341514M13:BstLiftPrc</stp>
        <tr r="H1466" s="5"/>
      </tp>
      <tp t="s">
        <v/>
        <stp/>
        <stp>16351515M13:BstLiftPrc</stp>
        <tr r="H1504" s="5"/>
      </tp>
      <tp t="s">
        <v/>
        <stp/>
        <stp>16331513M12:BstLiftPrc</stp>
        <tr r="H1427" s="5"/>
      </tp>
      <tp t="s">
        <v/>
        <stp/>
        <stp>16341514M12:BstLiftPrc</stp>
        <tr r="H1465" s="5"/>
      </tp>
      <tp t="s">
        <v/>
        <stp/>
        <stp>16351515M12:BstLiftPrc</stp>
        <tr r="H1503" s="5"/>
      </tp>
      <tp t="s">
        <v/>
        <stp/>
        <stp>16331513M11:BstLiftPrc</stp>
        <tr r="H1426" s="5"/>
      </tp>
      <tp t="s">
        <v/>
        <stp/>
        <stp>16341514M11:BstLiftPrc</stp>
        <tr r="H1464" s="5"/>
      </tp>
      <tp t="s">
        <v/>
        <stp/>
        <stp>16351515M11:BstLiftPrc</stp>
        <tr r="H1502" s="5"/>
      </tp>
      <tp t="s">
        <v/>
        <stp/>
        <stp>16331513M10:BstLiftPrc</stp>
        <tr r="H1425" s="5"/>
      </tp>
      <tp t="s">
        <v/>
        <stp/>
        <stp>16341514M10:BstLiftPrc</stp>
        <tr r="H1463" s="5"/>
      </tp>
      <tp t="s">
        <v/>
        <stp/>
        <stp>16351515M10:BstLiftPrc</stp>
        <tr r="H1501" s="5"/>
      </tp>
      <tp t="s">
        <v/>
        <stp/>
        <stp>16331513M17:BstLiftPrc</stp>
        <tr r="H1432" s="5"/>
      </tp>
      <tp t="s">
        <v/>
        <stp/>
        <stp>16341514M17:BstLiftPrc</stp>
        <tr r="H1470" s="5"/>
      </tp>
      <tp t="s">
        <v/>
        <stp/>
        <stp>16351515M17:BstLiftPrc</stp>
        <tr r="H1508" s="5"/>
      </tp>
      <tp t="s">
        <v/>
        <stp/>
        <stp>16331513M16:BstLiftPrc</stp>
        <tr r="H1431" s="5"/>
      </tp>
      <tp t="s">
        <v/>
        <stp/>
        <stp>16341514M16:BstLiftPrc</stp>
        <tr r="H1469" s="5"/>
      </tp>
      <tp t="s">
        <v/>
        <stp/>
        <stp>16351515M16:BstLiftPrc</stp>
        <tr r="H1507" s="5"/>
      </tp>
      <tp t="s">
        <v/>
        <stp/>
        <stp>16331513M15:BstLiftPrc</stp>
        <tr r="H1430" s="5"/>
      </tp>
      <tp t="s">
        <v/>
        <stp/>
        <stp>16341514M15:BstLiftPrc</stp>
        <tr r="H1468" s="5"/>
      </tp>
      <tp t="s">
        <v/>
        <stp/>
        <stp>16351515M15:BstLiftPrc</stp>
        <tr r="H1506" s="5"/>
      </tp>
      <tp t="s">
        <v/>
        <stp/>
        <stp>16331513M14:BstLiftPrc</stp>
        <tr r="H1429" s="5"/>
      </tp>
      <tp t="s">
        <v/>
        <stp/>
        <stp>16341514M14:BstLiftPrc</stp>
        <tr r="H1467" s="5"/>
      </tp>
      <tp t="s">
        <v/>
        <stp/>
        <stp>16351515M14:BstLiftPrc</stp>
        <tr r="H1505" s="5"/>
      </tp>
      <tp t="s">
        <v/>
        <stp/>
        <stp>16331513M23:BstLiftPrc</stp>
        <tr r="H1438" s="5"/>
      </tp>
      <tp t="s">
        <v/>
        <stp/>
        <stp>16341514M23:BstLiftPrc</stp>
        <tr r="H1476" s="5"/>
      </tp>
      <tp t="s">
        <v/>
        <stp/>
        <stp>16351515M23:BstLiftPrc</stp>
        <tr r="H1514" s="5"/>
      </tp>
      <tp t="s">
        <v/>
        <stp/>
        <stp>16331513M22:BstLiftPrc</stp>
        <tr r="H1437" s="5"/>
      </tp>
      <tp t="s">
        <v/>
        <stp/>
        <stp>16341514M22:BstLiftPrc</stp>
        <tr r="H1475" s="5"/>
      </tp>
      <tp t="s">
        <v/>
        <stp/>
        <stp>16351515M22:BstLiftPrc</stp>
        <tr r="H1513" s="5"/>
      </tp>
      <tp t="s">
        <v/>
        <stp/>
        <stp>16331513M21:BstLiftPrc</stp>
        <tr r="H1436" s="5"/>
      </tp>
      <tp t="s">
        <v/>
        <stp/>
        <stp>16341514M21:BstLiftPrc</stp>
        <tr r="H1474" s="5"/>
      </tp>
      <tp t="s">
        <v/>
        <stp/>
        <stp>16351515M21:BstLiftPrc</stp>
        <tr r="H1512" s="5"/>
      </tp>
      <tp t="s">
        <v/>
        <stp/>
        <stp>16331513M20:BstLiftPrc</stp>
        <tr r="H1435" s="5"/>
      </tp>
      <tp t="s">
        <v/>
        <stp/>
        <stp>16341514M20:BstLiftPrc</stp>
        <tr r="H1473" s="5"/>
      </tp>
      <tp t="s">
        <v/>
        <stp/>
        <stp>16351515M20:BstLiftPrc</stp>
        <tr r="H1511" s="5"/>
      </tp>
      <tp t="s">
        <v/>
        <stp/>
        <stp>16331513M24:BstLiftPrc</stp>
        <tr r="H1439" s="5"/>
      </tp>
      <tp t="s">
        <v/>
        <stp/>
        <stp>16341514M24:BstLiftPrc</stp>
        <tr r="H1477" s="5"/>
      </tp>
      <tp t="s">
        <v/>
        <stp/>
        <stp>16351515M24:BstLiftPrc</stp>
        <tr r="H1515" s="5"/>
      </tp>
      <tp t="s">
        <v/>
        <stp/>
        <stp>35534143M20:BstLiftPrc</stp>
        <tr r="H728" s="5"/>
      </tp>
      <tp t="s">
        <v/>
        <stp/>
        <stp>35544144M20:BstLiftPrc</stp>
        <tr r="H652" s="5"/>
      </tp>
      <tp t="s">
        <v/>
        <stp/>
        <stp>35554145M20:BstLiftPrc</stp>
        <tr r="H690" s="5"/>
      </tp>
      <tp t="s">
        <v/>
        <stp/>
        <stp>35534143M21:BstLiftPrc</stp>
        <tr r="H729" s="5"/>
      </tp>
      <tp t="s">
        <v/>
        <stp/>
        <stp>35544144M21:BstLiftPrc</stp>
        <tr r="H653" s="5"/>
      </tp>
      <tp t="s">
        <v/>
        <stp/>
        <stp>35554145M21:BstLiftPrc</stp>
        <tr r="H691" s="5"/>
      </tp>
      <tp t="s">
        <v/>
        <stp/>
        <stp>35534143M22:BstLiftPrc</stp>
        <tr r="H730" s="5"/>
      </tp>
      <tp t="s">
        <v/>
        <stp/>
        <stp>35544144M22:BstLiftPrc</stp>
        <tr r="H654" s="5"/>
      </tp>
      <tp t="s">
        <v/>
        <stp/>
        <stp>35554145M22:BstLiftPrc</stp>
        <tr r="H692" s="5"/>
      </tp>
      <tp t="s">
        <v/>
        <stp/>
        <stp>35534143M23:BstLiftPrc</stp>
        <tr r="H731" s="5"/>
      </tp>
      <tp t="s">
        <v/>
        <stp/>
        <stp>35544144M23:BstLiftPrc</stp>
        <tr r="H655" s="5"/>
      </tp>
      <tp t="s">
        <v/>
        <stp/>
        <stp>35554145M23:BstLiftPrc</stp>
        <tr r="H693" s="5"/>
      </tp>
      <tp t="s">
        <v/>
        <stp/>
        <stp>35534143M24:BstLiftPrc</stp>
        <tr r="H732" s="5"/>
      </tp>
      <tp t="s">
        <v/>
        <stp/>
        <stp>35544144M24:BstLiftPrc</stp>
        <tr r="H656" s="5"/>
      </tp>
      <tp t="s">
        <v/>
        <stp/>
        <stp>35554145M24:BstLiftPrc</stp>
        <tr r="H694" s="5"/>
      </tp>
      <tp t="s">
        <v/>
        <stp/>
        <stp>35534143M18:BstLiftPrc</stp>
        <tr r="H726" s="5"/>
      </tp>
      <tp t="s">
        <v/>
        <stp/>
        <stp>35544144M18:BstLiftPrc</stp>
        <tr r="H650" s="5"/>
      </tp>
      <tp t="s">
        <v/>
        <stp/>
        <stp>35554145M18:BstLiftPrc</stp>
        <tr r="H688" s="5"/>
      </tp>
      <tp t="s">
        <v/>
        <stp/>
        <stp>35534143M19:BstLiftPrc</stp>
        <tr r="H727" s="5"/>
      </tp>
      <tp t="s">
        <v/>
        <stp/>
        <stp>35544144M19:BstLiftPrc</stp>
        <tr r="H651" s="5"/>
      </tp>
      <tp t="s">
        <v/>
        <stp/>
        <stp>35554145M19:BstLiftPrc</stp>
        <tr r="H689" s="5"/>
      </tp>
      <tp t="s">
        <v/>
        <stp/>
        <stp>35534143M10:BstLiftPrc</stp>
        <tr r="H718" s="5"/>
      </tp>
      <tp t="s">
        <v/>
        <stp/>
        <stp>35544144M10:BstLiftPrc</stp>
        <tr r="H642" s="5"/>
      </tp>
      <tp t="s">
        <v/>
        <stp/>
        <stp>35554145M10:BstLiftPrc</stp>
        <tr r="H680" s="5"/>
      </tp>
      <tp t="s">
        <v/>
        <stp/>
        <stp>35534143M11:BstLiftPrc</stp>
        <tr r="H719" s="5"/>
      </tp>
      <tp t="s">
        <v/>
        <stp/>
        <stp>35544144M11:BstLiftPrc</stp>
        <tr r="H643" s="5"/>
      </tp>
      <tp t="s">
        <v/>
        <stp/>
        <stp>35554145M11:BstLiftPrc</stp>
        <tr r="H681" s="5"/>
      </tp>
      <tp t="s">
        <v/>
        <stp/>
        <stp>35534143M12:BstLiftPrc</stp>
        <tr r="H720" s="5"/>
      </tp>
      <tp t="s">
        <v/>
        <stp/>
        <stp>35544144M12:BstLiftPrc</stp>
        <tr r="H644" s="5"/>
      </tp>
      <tp t="s">
        <v/>
        <stp/>
        <stp>35554145M12:BstLiftPrc</stp>
        <tr r="H682" s="5"/>
      </tp>
      <tp t="s">
        <v/>
        <stp/>
        <stp>35534143M13:BstLiftPrc</stp>
        <tr r="H721" s="5"/>
      </tp>
      <tp t="s">
        <v/>
        <stp/>
        <stp>35544144M13:BstLiftPrc</stp>
        <tr r="H645" s="5"/>
      </tp>
      <tp t="s">
        <v/>
        <stp/>
        <stp>35554145M13:BstLiftPrc</stp>
        <tr r="H683" s="5"/>
      </tp>
      <tp t="s">
        <v/>
        <stp/>
        <stp>35534143M14:BstLiftPrc</stp>
        <tr r="H722" s="5"/>
      </tp>
      <tp t="s">
        <v/>
        <stp/>
        <stp>35544144M14:BstLiftPrc</stp>
        <tr r="H646" s="5"/>
      </tp>
      <tp t="s">
        <v/>
        <stp/>
        <stp>35554145M14:BstLiftPrc</stp>
        <tr r="H684" s="5"/>
      </tp>
      <tp t="s">
        <v/>
        <stp/>
        <stp>35534143M15:BstLiftPrc</stp>
        <tr r="H723" s="5"/>
      </tp>
      <tp t="s">
        <v/>
        <stp/>
        <stp>35544144M15:BstLiftPrc</stp>
        <tr r="H647" s="5"/>
      </tp>
      <tp t="s">
        <v/>
        <stp/>
        <stp>35554145M15:BstLiftPrc</stp>
        <tr r="H685" s="5"/>
      </tp>
      <tp t="s">
        <v/>
        <stp/>
        <stp>35534143M16:BstLiftPrc</stp>
        <tr r="H724" s="5"/>
      </tp>
      <tp t="s">
        <v/>
        <stp/>
        <stp>35544144M16:BstLiftPrc</stp>
        <tr r="H648" s="5"/>
      </tp>
      <tp t="s">
        <v/>
        <stp/>
        <stp>35554145M16:BstLiftPrc</stp>
        <tr r="H686" s="5"/>
      </tp>
      <tp t="s">
        <v/>
        <stp/>
        <stp>35534143M17:BstLiftPrc</stp>
        <tr r="H725" s="5"/>
      </tp>
      <tp t="s">
        <v/>
        <stp/>
        <stp>35544144M17:BstLiftPrc</stp>
        <tr r="H649" s="5"/>
      </tp>
      <tp t="s">
        <v/>
        <stp/>
        <stp>35554145M17:BstLiftPrc</stp>
        <tr r="H687" s="5"/>
      </tp>
      <tp t="s">
        <v/>
        <stp/>
        <stp>5162M9:LstBlkVol</stp>
        <tr r="L778" s="5"/>
      </tp>
    </main>
    <main first="esrtd">
      <tp t="s">
        <v/>
        <stp/>
        <stp>BRN 26QP30000-ICE</stp>
        <stp>Delta</stp>
        <tr r="AI59" s="23"/>
        <tr r="AI57" s="23"/>
        <tr r="AI70" s="23"/>
        <tr r="AI68" s="23"/>
        <tr r="AI61" s="23"/>
        <tr r="AI63" s="23"/>
        <tr r="AI60" s="23"/>
        <tr r="AI56" s="23"/>
        <tr r="AI62" s="23"/>
        <tr r="AI65" s="23"/>
        <tr r="AI66" s="23"/>
        <tr r="AI72" s="23"/>
        <tr r="AI58" s="23"/>
        <tr r="AI64" s="23"/>
        <tr r="AI71" s="23"/>
        <tr r="AI67" s="23"/>
        <tr r="AI69" s="23"/>
      </tp>
      <tp t="s">
        <v/>
        <stp/>
        <stp>BRN 26QC30000-ICE</stp>
        <stp>Delta</stp>
        <tr r="AP70" s="23"/>
        <tr r="AP59" s="23"/>
        <tr r="AP61" s="23"/>
        <tr r="AP65" s="23"/>
        <tr r="AP68" s="23"/>
        <tr r="AP60" s="23"/>
        <tr r="AP63" s="23"/>
        <tr r="AP69" s="23"/>
        <tr r="AP71" s="23"/>
        <tr r="AP64" s="23"/>
        <tr r="AP67" s="23"/>
        <tr r="AP57" s="23"/>
        <tr r="AP58" s="23"/>
        <tr r="AP62" s="23"/>
        <tr r="AP66" s="23"/>
        <tr r="AP56" s="23"/>
        <tr r="AP72" s="23"/>
      </tp>
      <tp t="s">
        <v/>
        <stp/>
        <stp>BRN 26UP30000-ICE</stp>
        <stp>Delta</stp>
        <tr r="AI126" s="23"/>
        <tr r="AI134" s="23"/>
        <tr r="AI131" s="23"/>
        <tr r="AI129" s="23"/>
        <tr r="AI137" s="23"/>
        <tr r="AI140" s="23"/>
        <tr r="AI132" s="23"/>
        <tr r="AI135" s="23"/>
        <tr r="AI130" s="23"/>
        <tr r="AI138" s="23"/>
        <tr r="AI133" s="23"/>
        <tr r="AI127" s="23"/>
        <tr r="AI128" s="23"/>
        <tr r="AI136" s="23"/>
        <tr r="AI139" s="23"/>
      </tp>
      <tp t="s">
        <v/>
        <stp/>
        <stp>BRN 26UC30000-ICE</stp>
        <stp>Delta</stp>
        <tr r="AP128" s="23"/>
        <tr r="AP131" s="23"/>
        <tr r="AP139" s="23"/>
        <tr r="AP126" s="23"/>
        <tr r="AP134" s="23"/>
        <tr r="AP136" s="23"/>
        <tr r="AP129" s="23"/>
        <tr r="AP137" s="23"/>
        <tr r="AP132" s="23"/>
        <tr r="AP140" s="23"/>
        <tr r="AP127" s="23"/>
        <tr r="AP135" s="23"/>
        <tr r="AP130" s="23"/>
        <tr r="AP138" s="23"/>
        <tr r="AP133" s="23"/>
      </tp>
      <tp t="s">
        <v/>
        <stp/>
        <stp>BRN 26VP30000-ICE</stp>
        <stp>Delta</stp>
        <tr r="AI204" s="23"/>
        <tr r="AI207" s="23"/>
        <tr r="AI206" s="23"/>
        <tr r="AI202" s="23"/>
        <tr r="AI203" s="23"/>
        <tr r="AI201" s="23"/>
        <tr r="AI205" s="23"/>
        <tr r="AI208" s="23"/>
      </tp>
      <tp t="s">
        <v/>
        <stp/>
        <stp>BRN 26VC30000-ICE</stp>
        <stp>Delta</stp>
        <tr r="AP203" s="23"/>
        <tr r="AP205" s="23"/>
        <tr r="AP206" s="23"/>
        <tr r="AP201" s="23"/>
        <tr r="AP202" s="23"/>
        <tr r="AP204" s="23"/>
        <tr r="AP208" s="23"/>
        <tr r="AP207" s="23"/>
      </tp>
    </main>
    <main first="ice.rtd">
      <tp>
        <v>5</v>
        <stp/>
        <stp>141587M5:LstBlkVol</stp>
        <tr r="L46" s="5"/>
      </tp>
      <tp t="s">
        <v/>
        <stp/>
        <stp>141587Q5:LstBlkVol</stp>
        <tr r="L71" s="5"/>
      </tp>
    </main>
    <main first="bofaddin.rtdserver">
      <tp>
        <v>6.6568315</v>
        <stp/>
        <stp>BFXFORWARD|7813787746580143119|222</stp>
        <stp>USDCNY</stp>
        <stp>7M</stp>
        <stp>MidOutright</stp>
        <tr r="BD27" s="1"/>
      </tp>
    </main>
    <main first="ice.rtd">
      <tp t="s">
        <v/>
        <stp/>
        <stp>46678127M19:BstLiftPrc</stp>
        <tr r="H364" s="5"/>
      </tp>
      <tp t="s">
        <v/>
        <stp/>
        <stp>46678127M18:BstLiftPrc</stp>
        <tr r="H363" s="5"/>
      </tp>
      <tp>
        <v>11.3</v>
        <stp/>
        <stp>46678127M15:BstLiftPrc</stp>
        <tr r="H360" s="5"/>
      </tp>
      <tp>
        <v>12.6</v>
        <stp/>
        <stp>46678127M14:BstLiftPrc</stp>
        <tr r="H359" s="5"/>
      </tp>
      <tp t="s">
        <v/>
        <stp/>
        <stp>46678127M17:BstLiftPrc</stp>
        <tr r="H362" s="5"/>
      </tp>
      <tp t="s">
        <v/>
        <stp/>
        <stp>46678127M16:BstLiftPrc</stp>
        <tr r="H361" s="5"/>
      </tp>
      <tp>
        <v>21.75</v>
        <stp/>
        <stp>46678127M11:BstLiftPrc</stp>
        <tr r="H356" s="5"/>
      </tp>
      <tp>
        <v>23.25</v>
        <stp/>
        <stp>46678127M10:BstLiftPrc</stp>
        <tr r="H355" s="5"/>
      </tp>
      <tp>
        <v>14.9</v>
        <stp/>
        <stp>46678127M13:BstLiftPrc</stp>
        <tr r="H358" s="5"/>
      </tp>
      <tp>
        <v>19.75</v>
        <stp/>
        <stp>46678127M12:BstLiftPrc</stp>
        <tr r="H357" s="5"/>
      </tp>
      <tp t="s">
        <v/>
        <stp/>
        <stp>46678127M24:BstLiftPrc</stp>
        <tr r="H369" s="5"/>
      </tp>
      <tp t="s">
        <v/>
        <stp/>
        <stp>46678127M21:BstLiftPrc</stp>
        <tr r="H366" s="5"/>
      </tp>
      <tp t="s">
        <v/>
        <stp/>
        <stp>46678127M20:BstLiftPrc</stp>
        <tr r="H365" s="5"/>
      </tp>
      <tp t="s">
        <v/>
        <stp/>
        <stp>46678127M23:BstLiftPrc</stp>
        <tr r="H368" s="5"/>
      </tp>
      <tp t="s">
        <v/>
        <stp/>
        <stp>46678127M22:BstLiftPrc</stp>
        <tr r="H367" s="5"/>
      </tp>
    </main>
    <main first="bofaddin.rtdserver">
      <tp t="s">
        <v>#N/A</v>
        <stp/>
        <stp>BDP|12400794340533361113|222</stp>
        <stp>MUCM27 Comdty</stp>
        <stp>ASK</stp>
        <stp>Fill=#N/A</stp>
        <tr r="K28" s="1"/>
      </tp>
      <tp>
        <v>98.67</v>
        <stp/>
        <stp>BDP|10387308143056888025|222</stp>
        <stp>OQAZ26 Comdty</stp>
        <stp>ASK</stp>
        <stp>Fill=#N/A</stp>
        <tr r="L22" s="1"/>
      </tp>
      <tp t="s">
        <v>#N/A</v>
        <stp/>
        <stp>BDP|17442344851523669164|222</stp>
        <stp>MUCQ28 Comdty</stp>
        <stp>ASK</stp>
        <stp>Fill=#N/A</stp>
        <tr r="K42" s="1"/>
      </tp>
    </main>
    <main first="ice.rtd">
      <tp>
        <v>4.0999999999999996</v>
        <stp/>
        <stp>141587M3:LstBlkPrc</stp>
        <tr r="K44" s="5"/>
      </tp>
      <tp t="s">
        <v/>
        <stp/>
        <stp>141587Q3:LstBlkPrc</stp>
        <tr r="K69" s="5"/>
      </tp>
      <tp t="s">
        <v/>
        <stp/>
        <stp>266419Y2:BstHitPrc</stp>
        <tr r="G995" s="5"/>
      </tp>
      <tp t="s">
        <v/>
        <stp/>
        <stp>266419Q2:BstHitPrc</stp>
        <tr r="G986" s="5"/>
      </tp>
      <tp t="s">
        <v/>
        <stp/>
        <stp>266419M2:BstHitPrc</stp>
        <tr r="G961" s="5"/>
      </tp>
      <tp t="s">
        <v/>
        <stp/>
        <stp>266M18:LstBlkPrc</stp>
        <tr r="K939" s="5"/>
      </tp>
    </main>
    <main first="esrtd">
      <tp t="s">
        <v/>
        <stp/>
        <stp>WMJ 8!-IEU</stp>
        <stp>Block Price DT</stp>
        <tr r="M1890" s="5"/>
      </tp>
      <tp t="s">
        <v/>
        <stp/>
        <stp>WMJ 9!-IEU</stp>
        <stp>Block Price DT</stp>
        <tr r="M1891" s="5"/>
      </tp>
      <tp t="s">
        <v/>
        <stp/>
        <stp>WMJ 1!-IEU</stp>
        <stp>Block Price DT</stp>
        <tr r="M1883" s="5"/>
      </tp>
      <tp t="s">
        <v/>
        <stp/>
        <stp>WMJ 2!-IEU</stp>
        <stp>Block Price DT</stp>
        <tr r="M1884" s="5"/>
      </tp>
      <tp t="s">
        <v/>
        <stp/>
        <stp>WMJ 3!-IEU</stp>
        <stp>Block Price DT</stp>
        <tr r="M1885" s="5"/>
      </tp>
      <tp t="s">
        <v/>
        <stp/>
        <stp>WMJ 4!-IEU</stp>
        <stp>Block Price DT</stp>
        <tr r="M1886" s="5"/>
      </tp>
      <tp t="s">
        <v/>
        <stp/>
        <stp>WMJ 5!-IEU</stp>
        <stp>Block Price DT</stp>
        <tr r="M1887" s="5"/>
      </tp>
      <tp t="s">
        <v/>
        <stp/>
        <stp>WMJ 6!-IEU</stp>
        <stp>Block Price DT</stp>
        <tr r="M1888" s="5"/>
      </tp>
      <tp t="s">
        <v/>
        <stp/>
        <stp>WMJ 7!-IEU</stp>
        <stp>Block Price DT</stp>
        <tr r="M1889" s="5"/>
      </tp>
    </main>
    <main first="bofaddin.rtdserver">
      <tp t="s">
        <v>#N/A</v>
        <stp/>
        <stp>BDP|12758262610644368438|222</stp>
        <stp>OQAQ27 Comdty</stp>
        <stp>ASK</stp>
        <stp>Fill=#N/A</stp>
        <tr r="L30" s="1"/>
      </tp>
    </main>
    <main first="ice.rtd">
      <tp>
        <v>3.1</v>
        <stp/>
        <stp>141587Q3:BstHitPrc</stp>
        <tr r="G69" s="5"/>
      </tp>
      <tp>
        <v>4.01</v>
        <stp/>
        <stp>141587M3:BstHitPrc</stp>
        <tr r="G44" s="5"/>
      </tp>
      <tp t="s">
        <v/>
        <stp/>
        <stp>266419M2:LstBlkPrc</stp>
        <tr r="K961" s="5"/>
      </tp>
      <tp t="s">
        <v/>
        <stp/>
        <stp>266419Q2:LstBlkPrc</stp>
        <tr r="K986" s="5"/>
      </tp>
      <tp t="s">
        <v/>
        <stp/>
        <stp>266419Y2:LstBlkPrc</stp>
        <tr r="K995" s="5"/>
      </tp>
      <tp t="s">
        <v/>
        <stp/>
        <stp>266M18:BstHitPrc</stp>
        <tr r="G939" s="5"/>
      </tp>
    </main>
    <main first="bofaddin.rtdserver">
      <tp>
        <v>14.69</v>
        <stp/>
        <stp>BDP|501314241396852527|22</stp>
        <stp>COZ6COZ7 Comdty</stp>
        <stp>BID</stp>
        <tr r="C2" s="3"/>
      </tp>
      <tp>
        <v>3.87</v>
        <stp/>
        <stp>BDP|1658076700227743811|222</stp>
        <stp>HOQ7HOU7 Comdty</stp>
        <stp>BID</stp>
        <stp>Fill=#N/A</stp>
        <tr r="Q31" s="1"/>
      </tp>
      <tp>
        <v>0.35</v>
        <stp/>
        <stp>BDP|8170421820421494166|222</stp>
        <stp>CLX7CLZ7 Comdty</stp>
        <stp>ASK</stp>
        <stp>Fill=#N/A</stp>
        <tr r="N34" s="1"/>
      </tp>
    </main>
    <main first="esrtd">
      <tp t="s">
        <v/>
        <stp/>
        <stp>BRN 26VP13500-ICE</stp>
        <stp>ImpVol</stp>
        <tr r="AK193" s="23"/>
      </tp>
      <tp t="s">
        <v/>
        <stp/>
        <stp>BRN 26VC13500-ICE</stp>
        <stp>ImpVol</stp>
        <tr r="AR193" s="23"/>
      </tp>
    </main>
    <main first="bofaddin.rtdserver">
      <tp>
        <v>0.16</v>
        <stp/>
        <stp>BDP|5444105072195300273|222</stp>
        <stp>HOU8HOV8 Comdty</stp>
        <stp>BID</stp>
        <stp>Fill=#N/A</stp>
        <tr r="Q44" s="1"/>
      </tp>
      <tp>
        <v>0.25</v>
        <stp/>
        <stp>BDP|8246155349514898361|222</stp>
        <stp>COU8COV8 Comdty</stp>
        <stp>ASK</stp>
        <stp>Fill=#N/A</stp>
        <tr r="O44" s="1"/>
      </tp>
    </main>
    <main first="esrtd">
      <tp t="s">
        <v/>
        <stp/>
        <stp>BRN 26QP13000-ICE</stp>
        <stp>ImpVol</stp>
        <tr r="AK49" s="23"/>
      </tp>
      <tp t="s">
        <v/>
        <stp/>
        <stp>BRN 26QC13000-ICE</stp>
        <stp>ImpVol</stp>
        <tr r="AR49" s="23"/>
      </tp>
    </main>
    <main first="bofaddin.rtdserver">
      <tp t="s">
        <v>#N/A</v>
        <stp/>
        <stp>BDP|3908530292433032157|222</stp>
        <stp>HOG9HOH9 Comdty</stp>
        <stp>ASK</stp>
        <stp>Fill=#N/A</stp>
        <tr r="Q49" s="1"/>
      </tp>
    </main>
    <main first="esrtd">
      <tp t="s">
        <v/>
        <stp/>
        <stp>BRN 26VP13000-ICE</stp>
        <stp>ImpVol</stp>
        <tr r="AK191" s="23"/>
      </tp>
      <tp t="s">
        <v/>
        <stp/>
        <stp>BRN 26VC13000-ICE</stp>
        <stp>ImpVol</stp>
        <tr r="AR191" s="23"/>
      </tp>
      <tp t="s">
        <v/>
        <stp/>
        <stp>BRN 26VP13100-ICE</stp>
        <stp>ImpVol</stp>
        <tr r="AK192" s="23"/>
      </tp>
      <tp t="s">
        <v/>
        <stp/>
        <stp>BRN 26VC13100-ICE</stp>
        <stp>ImpVol</stp>
        <tr r="AR192" s="23"/>
      </tp>
    </main>
    <main first="bofaddin.rtdserver">
      <tp t="s">
        <v>#N/A</v>
        <stp/>
        <stp>BDP|1748405490633737695|222</stp>
        <stp>HOV9HOX9 Comdty</stp>
        <stp>ASK</stp>
        <stp>Fill=#N/A</stp>
        <tr r="Q57" s="1"/>
      </tp>
      <tp>
        <v>0.26</v>
        <stp/>
        <stp>BDP|8122367471361518624|222</stp>
        <stp>COM8CON8 Comdty</stp>
        <stp>BID</stp>
        <stp>Fill=#N/A</stp>
        <tr r="O41" s="1"/>
      </tp>
    </main>
    <main first="esrtd">
      <tp t="s">
        <v/>
        <stp/>
        <stp>BRN 26UP13000-ICE</stp>
        <stp>ImpVol</stp>
        <tr r="AK120" s="23"/>
      </tp>
      <tp t="s">
        <v/>
        <stp/>
        <stp>BRN 26UC13000-ICE</stp>
        <stp>ImpVol</stp>
        <tr r="AR120" s="23"/>
      </tp>
    </main>
    <main first="bofaddin.rtdserver">
      <tp>
        <v>62.5</v>
        <stp/>
        <stp>BDP|4451708720423603754|222</stp>
        <stp>QSX6QSZ6 Comdty</stp>
        <stp>ASK</stp>
        <stp>Fill=#N/A</stp>
        <tr r="P22" s="1"/>
      </tp>
      <tp t="s">
        <v>#N/A</v>
        <stp/>
        <stp>BDP|12086937851729208890|222</stp>
        <stp>OQAV9X9 Comdty</stp>
        <stp>BID</stp>
        <stp>Fill=#N/A</stp>
        <tr r="T57" s="1"/>
      </tp>
      <tp>
        <v>2.4300000000000002</v>
        <stp/>
        <stp>BDP|8255612244057797368|222</stp>
        <stp>HOK8HOM8 Comdty</stp>
        <stp>BID</stp>
        <stp>Fill=#N/A</stp>
        <tr r="Q40" s="1"/>
      </tp>
      <tp t="s">
        <v>#N/A</v>
        <stp/>
        <stp>BDP|2706992429221984754|222</stp>
        <stp>QSM0QSN0 Comdty</stp>
        <stp>ASK</stp>
        <stp>Fill=#N/A</stp>
        <tr r="P65" s="1"/>
      </tp>
      <tp>
        <v>0.35</v>
        <stp/>
        <stp>BDP|2632690474326287249|222</stp>
        <stp>COF8COG8 Comdty</stp>
        <stp>BID</stp>
        <stp>Fill=#N/A</stp>
        <tr r="O36" s="1"/>
      </tp>
      <tp>
        <v>0.15</v>
        <stp/>
        <stp>BDP|3000484034113882990|222</stp>
        <stp>COX9COZ9 Comdty</stp>
        <stp>ASK</stp>
        <stp>Fill=#N/A</stp>
        <tr r="O58" s="1"/>
      </tp>
      <tp t="s">
        <v>#N/A</v>
        <stp/>
        <stp>BDP|5338090953832230189|222</stp>
        <stp>CLV9CLX9 Comdty</stp>
        <stp>ASK</stp>
        <stp>Fill=#N/A</stp>
        <tr r="N57" s="1"/>
      </tp>
      <tp>
        <v>5.09</v>
        <stp/>
        <stp>BDP|7546410480320002849|222</stp>
        <stp>HOJ8HOK8 Comdty</stp>
        <stp>ASK</stp>
        <stp>Fill=#N/A</stp>
        <tr r="Q39" s="1"/>
      </tp>
      <tp>
        <v>0.37</v>
        <stp/>
        <stp>BDP|9015659094530224331|222</stp>
        <stp>COF8COG8 Comdty</stp>
        <stp>ASK</stp>
        <stp>Fill=#N/A</stp>
        <tr r="O36" s="1"/>
      </tp>
      <tp>
        <v>0.27</v>
        <stp/>
        <stp>BDP|7536066738375624458|222</stp>
        <stp>COM8CON8 Comdty</stp>
        <stp>ASK</stp>
        <stp>Fill=#N/A</stp>
        <tr r="O41" s="1"/>
      </tp>
      <tp>
        <v>10.75</v>
        <stp/>
        <stp>BDP|9369436403396356438|222</stp>
        <stp>QSJ8QSK8 Comdty</stp>
        <stp>ASK</stp>
        <stp>Fill=#N/A</stp>
        <tr r="P39" s="1"/>
      </tp>
      <tp>
        <v>19.36</v>
        <stp/>
        <stp>BDP|9933207485503846608|222</stp>
        <stp>HOX6HOZ6 Comdty</stp>
        <stp>ASK</stp>
        <stp>Fill=#N/A</stp>
        <tr r="Q22" s="1"/>
      </tp>
      <tp t="s">
        <v>#N/A Invalid Security</v>
        <stp/>
        <stp>BDP|8354366359623354741|222</stp>
        <stp>CLJ0CLK0 Comdty</stp>
        <stp>BID</stp>
        <stp>Fill=#N/A</stp>
        <tr r="N63" s="1"/>
      </tp>
      <tp t="s">
        <v>#N/A Real Time</v>
        <stp/>
        <stp>BDP|1415183901986553385|22</stp>
        <stp>COQ6C 300.00 Comdty</stp>
        <stp>MID</stp>
        <tr r="E41" s="23"/>
      </tp>
    </main>
    <main first="ice.rtd">
      <tp>
        <v>0</v>
        <stp/>
        <stp>DBI1227YY0:Vol</stp>
        <tr r="N1681" s="5"/>
      </tp>
      <tp>
        <v>0</v>
        <stp/>
        <stp>DBJ29446BM0:OI</stp>
        <tr r="T1647" s="5"/>
      </tp>
    </main>
    <main first="bofaddin.rtdserver">
      <tp>
        <v>6.4599609999999998</v>
        <stp/>
        <stp>BFXFORWARD|7011096496909090391|222</stp>
        <stp>USDCNY</stp>
        <stp>20M</stp>
        <stp>MidOutright</stp>
        <tr r="BD40" s="1"/>
      </tp>
    </main>
    <main first="ice.rtd">
      <tp t="s">
        <v/>
        <stp/>
        <stp>266419M3:LstBlkVol</stp>
        <tr r="L962" s="5"/>
      </tp>
      <tp t="s">
        <v/>
        <stp/>
        <stp>266419Q3:LstBlkVol</stp>
        <tr r="L987" s="5"/>
      </tp>
      <tp t="s">
        <v/>
        <stp/>
        <stp>18901687M18:BstLiftPrc</stp>
        <tr r="H325" s="5"/>
      </tp>
      <tp t="s">
        <v/>
        <stp/>
        <stp>18901687M19:BstLiftPrc</stp>
        <tr r="H326" s="5"/>
      </tp>
      <tp>
        <v>23.25</v>
        <stp/>
        <stp>18901687M10:BstLiftPrc</stp>
        <tr r="H317" s="5"/>
      </tp>
      <tp>
        <v>21.75</v>
        <stp/>
        <stp>18901687M11:BstLiftPrc</stp>
        <tr r="H318" s="5"/>
      </tp>
      <tp>
        <v>19.75</v>
        <stp/>
        <stp>18901687M12:BstLiftPrc</stp>
        <tr r="H319" s="5"/>
      </tp>
      <tp>
        <v>14.9</v>
        <stp/>
        <stp>18901687M13:BstLiftPrc</stp>
        <tr r="H320" s="5"/>
      </tp>
      <tp>
        <v>12.6</v>
        <stp/>
        <stp>18901687M14:BstLiftPrc</stp>
        <tr r="H321" s="5"/>
      </tp>
      <tp>
        <v>11.3</v>
        <stp/>
        <stp>18901687M15:BstLiftPrc</stp>
        <tr r="H322" s="5"/>
      </tp>
      <tp t="s">
        <v/>
        <stp/>
        <stp>18901687M16:BstLiftPrc</stp>
        <tr r="H323" s="5"/>
      </tp>
      <tp t="s">
        <v/>
        <stp/>
        <stp>18901687M17:BstLiftPrc</stp>
        <tr r="H324" s="5"/>
      </tp>
      <tp t="s">
        <v/>
        <stp/>
        <stp>18901687M20:BstLiftPrc</stp>
        <tr r="H327" s="5"/>
      </tp>
      <tp t="s">
        <v/>
        <stp/>
        <stp>18901687M21:BstLiftPrc</stp>
        <tr r="H328" s="5"/>
      </tp>
      <tp t="s">
        <v/>
        <stp/>
        <stp>18901687M22:BstLiftPrc</stp>
        <tr r="H329" s="5"/>
      </tp>
      <tp t="s">
        <v/>
        <stp/>
        <stp>18901687M23:BstLiftPrc</stp>
        <tr r="H330" s="5"/>
      </tp>
      <tp t="s">
        <v/>
        <stp/>
        <stp>18901687M24:BstLiftPrc</stp>
        <tr r="H331" s="5"/>
      </tp>
      <tp t="s">
        <v/>
        <stp/>
        <stp>266M19:LstBlkVol</stp>
        <tr r="L940" s="5"/>
      </tp>
      <tp>
        <v>25</v>
        <stp/>
        <stp>141587M2:LstBlkVol</stp>
        <tr r="L43" s="5"/>
      </tp>
      <tp t="s">
        <v/>
        <stp/>
        <stp>141587Q2:LstBlkVol</stp>
        <tr r="L68" s="5"/>
      </tp>
      <tp t="s">
        <v/>
        <stp/>
        <stp>141587Y2:LstBlkVol</stp>
        <tr r="L77" s="5"/>
      </tp>
      <tp t="s">
        <v>Invalid Market: 57179020M18</v>
        <stp/>
        <stp>57179020M18:BstLiftPrc</stp>
        <tr r="H1565" s="5"/>
      </tp>
      <tp t="s">
        <v>Invalid Market: 57179020M19</v>
        <stp/>
        <stp>57179020M19:BstLiftPrc</stp>
        <tr r="H1566" s="5"/>
      </tp>
      <tp t="s">
        <v/>
        <stp/>
        <stp>57179020M12:BstLiftPrc</stp>
        <tr r="H1559" s="5"/>
      </tp>
      <tp t="s">
        <v/>
        <stp/>
        <stp>57179020M13:BstLiftPrc</stp>
        <tr r="H1560" s="5"/>
      </tp>
      <tp t="s">
        <v/>
        <stp/>
        <stp>57179020M10:BstLiftPrc</stp>
        <tr r="H1557" s="5"/>
      </tp>
      <tp t="s">
        <v/>
        <stp/>
        <stp>57179020M11:BstLiftPrc</stp>
        <tr r="H1558" s="5"/>
      </tp>
      <tp t="s">
        <v>Invalid Market: 57179020M16</v>
        <stp/>
        <stp>57179020M16:BstLiftPrc</stp>
        <tr r="H1563" s="5"/>
      </tp>
      <tp t="s">
        <v>Invalid Market: 57179020M17</v>
        <stp/>
        <stp>57179020M17:BstLiftPrc</stp>
        <tr r="H1564" s="5"/>
      </tp>
      <tp t="s">
        <v/>
        <stp/>
        <stp>57179020M14:BstLiftPrc</stp>
        <tr r="H1561" s="5"/>
      </tp>
      <tp t="s">
        <v/>
        <stp/>
        <stp>57179020M15:BstLiftPrc</stp>
        <tr r="H1562" s="5"/>
      </tp>
      <tp t="s">
        <v>Invalid Market: 57179020M22</v>
        <stp/>
        <stp>57179020M22:BstLiftPrc</stp>
        <tr r="H1569" s="5"/>
      </tp>
      <tp t="s">
        <v>Invalid Market: 57179020M23</v>
        <stp/>
        <stp>57179020M23:BstLiftPrc</stp>
        <tr r="H1570" s="5"/>
      </tp>
      <tp t="s">
        <v>Invalid Market: 57179020M20</v>
        <stp/>
        <stp>57179020M20:BstLiftPrc</stp>
        <tr r="H1567" s="5"/>
      </tp>
      <tp t="s">
        <v>Invalid Market: 57179020M21</v>
        <stp/>
        <stp>57179020M21:BstLiftPrc</stp>
        <tr r="H1568" s="5"/>
      </tp>
      <tp t="s">
        <v>Invalid Market: 57179020M24</v>
        <stp/>
        <stp>57179020M24:BstLiftPrc</stp>
        <tr r="H1571" s="5"/>
      </tp>
    </main>
    <main first="bofaddin.rtdserver">
      <tp t="s">
        <v>#N/A</v>
        <stp/>
        <stp>BDP|11792958828608171488|222</stp>
        <stp>OQAF29 Comdty</stp>
        <stp>ASK</stp>
        <stp>Fill=#N/A</stp>
        <tr r="L47" s="1"/>
      </tp>
      <tp t="s">
        <v>#N/A</v>
        <stp/>
        <stp>BDP|16148734976861876063|222</stp>
        <stp>OQAK30 Comdty</stp>
        <stp>ASK</stp>
        <stp>Fill=#N/A</stp>
        <tr r="L63" s="1"/>
      </tp>
    </main>
    <main first="ice.rtd">
      <tp>
        <v>4.12</v>
        <stp/>
        <stp>141587M4:LstBlkPrc</stp>
        <tr r="K45" s="5"/>
      </tp>
      <tp t="s">
        <v/>
        <stp/>
        <stp>141587Q4:LstBlkPrc</stp>
        <tr r="K70" s="5"/>
      </tp>
      <tp t="s">
        <v/>
        <stp/>
        <stp>266419Q5:BstHitPrc</stp>
        <tr r="G989" s="5"/>
      </tp>
      <tp t="s">
        <v/>
        <stp/>
        <stp>266419M5:BstHitPrc</stp>
        <tr r="G964" s="5"/>
      </tp>
      <tp>
        <v>0</v>
        <stp/>
        <stp>32613992M24:OI</stp>
        <tr r="T1249" s="5"/>
      </tp>
      <tp>
        <v>0</v>
        <stp/>
        <stp>32613992M22:OI</stp>
        <tr r="T1247" s="5"/>
      </tp>
      <tp>
        <v>0</v>
        <stp/>
        <stp>32613992M23:OI</stp>
        <tr r="T1248" s="5"/>
      </tp>
      <tp>
        <v>0</v>
        <stp/>
        <stp>32613992M20:OI</stp>
        <tr r="T1245" s="5"/>
      </tp>
      <tp>
        <v>0</v>
        <stp/>
        <stp>32613992M21:OI</stp>
        <tr r="T1246" s="5"/>
      </tp>
      <tp>
        <v>0</v>
        <stp/>
        <stp>32613992M16:OI</stp>
        <tr r="T1241" s="5"/>
      </tp>
      <tp>
        <v>0</v>
        <stp/>
        <stp>32613992M17:OI</stp>
        <tr r="T1242" s="5"/>
      </tp>
      <tp>
        <v>11</v>
        <stp/>
        <stp>32613992M14:OI</stp>
        <tr r="T1239" s="5"/>
      </tp>
      <tp>
        <v>20</v>
        <stp/>
        <stp>32613992M15:OI</stp>
        <tr r="T1240" s="5"/>
      </tp>
      <tp>
        <v>8</v>
        <stp/>
        <stp>32613992M12:OI</stp>
        <tr r="T1237" s="5"/>
      </tp>
      <tp>
        <v>11</v>
        <stp/>
        <stp>32613992M13:OI</stp>
        <tr r="T1238" s="5"/>
      </tp>
      <tp>
        <v>15</v>
        <stp/>
        <stp>32613992M10:OI</stp>
        <tr r="T1235" s="5"/>
      </tp>
      <tp>
        <v>8</v>
        <stp/>
        <stp>32613992M11:OI</stp>
        <tr r="T1236" s="5"/>
      </tp>
      <tp>
        <v>0</v>
        <stp/>
        <stp>32613992M18:OI</stp>
        <tr r="T1243" s="5"/>
      </tp>
      <tp>
        <v>0</v>
        <stp/>
        <stp>32613992M19:OI</stp>
        <tr r="T1244" s="5"/>
      </tp>
      <tp t="s">
        <v/>
        <stp/>
        <stp>5162Q8:LstBlkPrc</stp>
        <tr r="K802" s="5"/>
      </tp>
      <tp t="s">
        <v/>
        <stp/>
        <stp>5162M8:LstBlkPrc</stp>
        <tr r="K777" s="5"/>
      </tp>
    </main>
    <main first="bofaddin.rtdserver">
      <tp t="s">
        <v>#N/A</v>
        <stp/>
        <stp>BDP|15822079590275947093|222</stp>
        <stp>OQAF29 Comdty</stp>
        <stp>BID</stp>
        <stp>Fill=#N/A</stp>
        <tr r="L47" s="1"/>
      </tp>
      <tp t="s">
        <v>#N/A</v>
        <stp/>
        <stp>BDP|11837532818666005536|222</stp>
        <stp>OQAK27 Comdty</stp>
        <stp>ASK</stp>
        <stp>Fill=#N/A</stp>
        <tr r="L27" s="1"/>
      </tp>
      <tp t="s">
        <v>#N/A</v>
        <stp/>
        <stp>BDP|13241409742248811232|222</stp>
        <stp>OQAG29 Comdty</stp>
        <stp>BID</stp>
        <stp>Fill=#N/A</stp>
        <tr r="L48" s="1"/>
      </tp>
      <tp t="s">
        <v>#N/A</v>
        <stp/>
        <stp>BDP|17477185992302601406|222</stp>
        <stp>OQAQ28 Comdty</stp>
        <stp>BID</stp>
        <stp>Fill=#N/A</stp>
        <tr r="L42" s="1"/>
      </tp>
    </main>
    <main first="ice.rtd">
      <tp>
        <v>2.75</v>
        <stp/>
        <stp>141587Q4:BstHitPrc</stp>
        <tr r="G70" s="5"/>
      </tp>
      <tp>
        <v>4.03</v>
        <stp/>
        <stp>141587M4:BstHitPrc</stp>
        <tr r="G45" s="5"/>
      </tp>
      <tp t="s">
        <v/>
        <stp/>
        <stp>266419M5:LstBlkPrc</stp>
        <tr r="K964" s="5"/>
      </tp>
      <tp t="s">
        <v/>
        <stp/>
        <stp>266419Q5:LstBlkPrc</stp>
        <tr r="K989" s="5"/>
      </tp>
    </main>
    <main first="bofaddin.rtdserver">
      <tp t="s">
        <v>#N/A</v>
        <stp/>
        <stp>BDP|13706334446348667891|222</stp>
        <stp>MUCJ28 Comdty</stp>
        <stp>ASK</stp>
        <stp>Fill=#N/A</stp>
        <tr r="K38" s="1"/>
      </tp>
    </main>
    <main first="ice.rtd">
      <tp t="s">
        <v/>
        <stp/>
        <stp>5162M8:BstHitPrc</stp>
        <tr r="G777" s="5"/>
      </tp>
      <tp t="s">
        <v/>
        <stp/>
        <stp>5162Q8:BstHitPrc</stp>
        <tr r="G802" s="5"/>
      </tp>
      <tp t="s">
        <v/>
        <stp/>
        <stp>2755828679M18:LstBlkTime</stp>
        <tr r="M1015" s="5"/>
      </tp>
      <tp t="s">
        <v/>
        <stp/>
        <stp>2755828679M19:LstBlkTime</stp>
        <tr r="M1016" s="5"/>
      </tp>
      <tp t="s">
        <v/>
        <stp/>
        <stp>2755828679M12:LstBlkTime</stp>
        <tr r="M1009" s="5"/>
      </tp>
      <tp t="s">
        <v/>
        <stp/>
        <stp>2755828679M13:LstBlkTime</stp>
        <tr r="M1010" s="5"/>
      </tp>
      <tp t="s">
        <v/>
        <stp/>
        <stp>2755828679M10:LstBlkTime</stp>
        <tr r="M1007" s="5"/>
      </tp>
      <tp t="s">
        <v/>
        <stp/>
        <stp>2755828679M11:LstBlkTime</stp>
        <tr r="M1008" s="5"/>
      </tp>
      <tp t="s">
        <v/>
        <stp/>
        <stp>2755828679M16:LstBlkTime</stp>
        <tr r="M1013" s="5"/>
      </tp>
      <tp t="s">
        <v/>
        <stp/>
        <stp>2755828679M17:LstBlkTime</stp>
        <tr r="M1014" s="5"/>
      </tp>
      <tp t="s">
        <v/>
        <stp/>
        <stp>2755828679M14:LstBlkTime</stp>
        <tr r="M1011" s="5"/>
      </tp>
      <tp t="s">
        <v/>
        <stp/>
        <stp>2755828679M15:LstBlkTime</stp>
        <tr r="M1012" s="5"/>
      </tp>
      <tp t="s">
        <v/>
        <stp/>
        <stp>2755828679M22:LstBlkTime</stp>
        <tr r="M1019" s="5"/>
      </tp>
      <tp t="s">
        <v/>
        <stp/>
        <stp>2755828679M23:LstBlkTime</stp>
        <tr r="M1020" s="5"/>
      </tp>
      <tp t="s">
        <v/>
        <stp/>
        <stp>2755828679M20:LstBlkTime</stp>
        <tr r="M1017" s="5"/>
      </tp>
      <tp t="s">
        <v/>
        <stp/>
        <stp>2755828679M21:LstBlkTime</stp>
        <tr r="M1018" s="5"/>
      </tp>
      <tp t="s">
        <v/>
        <stp/>
        <stp>2755828679M24:LstBlkTime</stp>
        <tr r="M1021" s="5"/>
      </tp>
    </main>
    <main first="bofaddin.rtdserver">
      <tp t="s">
        <v>#N/A</v>
        <stp/>
        <stp>BDP|11614960648921298813|222</stp>
        <stp>MUCU8V8 Comdty</stp>
        <stp>ASK</stp>
        <stp>Fill=#N/A</stp>
        <tr r="S44" s="1"/>
      </tp>
    </main>
    <main first="esrtd">
      <tp t="s">
        <v/>
        <stp/>
        <stp>BRN 26VP14500-ICE</stp>
        <stp>ImpVol</stp>
        <tr r="AK195" s="23"/>
      </tp>
      <tp t="s">
        <v/>
        <stp/>
        <stp>BRN 26VC14500-ICE</stp>
        <stp>ImpVol</stp>
        <tr r="AR195" s="23"/>
      </tp>
    </main>
    <main first="bofaddin.rtdserver">
      <tp t="s">
        <v>#N/A</v>
        <stp/>
        <stp>BDP|5179368405971987376|222</stp>
        <stp>XBG9XBH9 Comdty</stp>
        <stp>BID</stp>
        <stp>Fill=#N/A</stp>
        <tr r="R49" s="1"/>
      </tp>
      <tp t="s">
        <v>#N/A</v>
        <stp/>
        <stp>BDP|8259930068010935870|222</stp>
        <stp>COJ0COK0 Comdty</stp>
        <stp>BID</stp>
        <stp>Fill=#N/A</stp>
        <tr r="O63" s="1"/>
      </tp>
      <tp>
        <v>17.309999999999999</v>
        <stp/>
        <stp>BDP|4318063480011420346|222</stp>
        <stp>HOV6HOX6 Comdty</stp>
        <stp>ASK</stp>
        <stp>Fill=#N/A</stp>
        <tr r="Q21" s="1"/>
      </tp>
    </main>
    <main first="esrtd">
      <tp t="s">
        <v/>
        <stp/>
        <stp>BRN 26VP14000-ICE</stp>
        <stp>ImpVol</stp>
        <tr r="AK194" s="23"/>
      </tp>
      <tp t="s">
        <v/>
        <stp/>
        <stp>BRN 26VC14000-ICE</stp>
        <stp>ImpVol</stp>
        <tr r="AR194" s="23"/>
      </tp>
    </main>
    <main first="bofaddin.rtdserver">
      <tp>
        <v>11.28</v>
        <stp/>
        <stp>BDP|6421639003581800947|222</stp>
        <stp>HOJ7HOK7 Comdty</stp>
        <stp>ASK</stp>
        <stp>Fill=#N/A</stp>
        <tr r="Q27" s="1"/>
      </tp>
      <tp t="s">
        <v>#N/A</v>
        <stp/>
        <stp>BDP|16078230255282645175|222</stp>
        <stp>MUCQ8U8 Comdty</stp>
        <stp>BID</stp>
        <stp>Fill=#N/A</stp>
        <tr r="S43" s="1"/>
      </tp>
    </main>
    <main first="esrtd">
      <tp t="s">
        <v/>
        <stp/>
        <stp>BRN 26UP14000-ICE</stp>
        <stp>ImpVol</stp>
        <tr r="AK121" s="23"/>
      </tp>
      <tp t="s">
        <v/>
        <stp/>
        <stp>BRN 26UC14000-ICE</stp>
        <stp>ImpVol</stp>
        <tr r="AR121" s="23"/>
      </tp>
    </main>
    <main first="bofaddin.rtdserver">
      <tp>
        <v>0.44</v>
        <stp/>
        <stp>BDP|6216249683756971711|222</stp>
        <stp>COV7COX7 Comdty</stp>
        <stp>BID</stp>
        <stp>Fill=#N/A</stp>
        <tr r="O33" s="1"/>
      </tp>
      <tp t="s">
        <v>#N/A Invalid Security</v>
        <stp/>
        <stp>BDP|5811550036475344739|222</stp>
        <stp>XBG0XBH0 Comdty</stp>
        <stp>BID</stp>
        <stp>Fill=#N/A</stp>
        <tr r="R61" s="1"/>
      </tp>
      <tp>
        <v>74</v>
        <stp/>
        <stp>BDP|5263875230800513941|222</stp>
        <stp>QSU6QSV6 Comdty</stp>
        <stp>ASK</stp>
        <stp>Fill=#N/A</stp>
        <tr r="P20" s="1"/>
      </tp>
      <tp t="s">
        <v>#N/A</v>
        <stp/>
        <stp>BDP|7493502093205151416|222</stp>
        <stp>XBX9XBZ9 Comdty</stp>
        <stp>ASK</stp>
        <stp>Fill=#N/A</stp>
        <tr r="R58" s="1"/>
      </tp>
    </main>
    <main first="ice.rtd">
      <tp t="s">
        <v/>
        <stp/>
        <stp>34404098Q4:LstDate</stp>
        <tr r="J623" s="5"/>
      </tp>
      <tp t="s">
        <v/>
        <stp/>
        <stp>34414099Q4:LstDate</stp>
        <tr r="J108" s="5"/>
      </tp>
      <tp t="s">
        <v/>
        <stp/>
        <stp>34404098Q5:LstDate</stp>
        <tr r="J624" s="5"/>
      </tp>
      <tp t="s">
        <v/>
        <stp/>
        <stp>34414099Q5:LstDate</stp>
        <tr r="J109" s="5"/>
      </tp>
      <tp t="s">
        <v/>
        <stp/>
        <stp>34404098Q6:LstDate</stp>
        <tr r="J625" s="5"/>
      </tp>
      <tp t="s">
        <v/>
        <stp/>
        <stp>34414099Q6:LstDate</stp>
        <tr r="J110" s="5"/>
      </tp>
      <tp t="s">
        <v/>
        <stp/>
        <stp>34404098Q7:LstDate</stp>
        <tr r="J626" s="5"/>
      </tp>
      <tp t="s">
        <v/>
        <stp/>
        <stp>34414099Q7:LstDate</stp>
        <tr r="J111" s="5"/>
      </tp>
      <tp t="s">
        <v/>
        <stp/>
        <stp>34404098Q0:LstDate</stp>
        <tr r="J619" s="5"/>
      </tp>
      <tp t="s">
        <v/>
        <stp/>
        <stp>34414099Q0:LstDate</stp>
        <tr r="J104" s="5"/>
      </tp>
      <tp t="s">
        <v/>
        <stp/>
        <stp>34404098Q1:LstDate</stp>
        <tr r="J620" s="5"/>
      </tp>
      <tp t="s">
        <v/>
        <stp/>
        <stp>34414099Q1:LstDate</stp>
        <tr r="J105" s="5"/>
      </tp>
      <tp t="s">
        <v/>
        <stp/>
        <stp>34404098Q2:LstDate</stp>
        <tr r="J621" s="5"/>
      </tp>
      <tp t="s">
        <v/>
        <stp/>
        <stp>34414099Q2:LstDate</stp>
        <tr r="J106" s="5"/>
      </tp>
      <tp t="s">
        <v/>
        <stp/>
        <stp>34404098Q3:LstDate</stp>
        <tr r="J622" s="5"/>
      </tp>
      <tp t="s">
        <v/>
        <stp/>
        <stp>34414099Q3:LstDate</stp>
        <tr r="J107" s="5"/>
      </tp>
      <tp t="s">
        <v/>
        <stp/>
        <stp>34404098Q8:LstDate</stp>
        <tr r="J627" s="5"/>
      </tp>
      <tp t="s">
        <v/>
        <stp/>
        <stp>34414099Q8:LstDate</stp>
        <tr r="J112" s="5"/>
      </tp>
      <tp t="s">
        <v/>
        <stp/>
        <stp>34404098Y0:LstDate</stp>
        <tr r="J628" s="5"/>
      </tp>
      <tp t="s">
        <v/>
        <stp/>
        <stp>34414099Y0:LstDate</stp>
        <tr r="J113" s="5"/>
      </tp>
      <tp t="s">
        <v/>
        <stp/>
        <stp>34404098Y1:LstDate</stp>
        <tr r="J629" s="5"/>
      </tp>
      <tp t="s">
        <v/>
        <stp/>
        <stp>34414099Y1:LstDate</stp>
        <tr r="J114" s="5"/>
      </tp>
      <tp t="s">
        <v>Invalid Market: 34404098Y2</v>
        <stp/>
        <stp>34404098Y2:LstDate</stp>
        <tr r="J630" s="5"/>
      </tp>
      <tp t="s">
        <v/>
        <stp/>
        <stp>34414099Y2:LstDate</stp>
        <tr r="J115" s="5"/>
      </tp>
      <tp t="s">
        <v/>
        <stp/>
        <stp>34404098M4:LstDate</stp>
        <tr r="J598" s="5"/>
      </tp>
      <tp t="s">
        <v/>
        <stp/>
        <stp>34414099M4:LstDate</stp>
        <tr r="J83" s="5"/>
      </tp>
      <tp t="s">
        <v/>
        <stp/>
        <stp>34404098M5:LstDate</stp>
        <tr r="J599" s="5"/>
      </tp>
      <tp t="s">
        <v/>
        <stp/>
        <stp>34414099M5:LstDate</stp>
        <tr r="J84" s="5"/>
      </tp>
      <tp t="s">
        <v/>
        <stp/>
        <stp>34404098M6:LstDate</stp>
        <tr r="J600" s="5"/>
      </tp>
      <tp t="s">
        <v/>
        <stp/>
        <stp>34414099M6:LstDate</stp>
        <tr r="J85" s="5"/>
      </tp>
      <tp t="s">
        <v/>
        <stp/>
        <stp>34404098M7:LstDate</stp>
        <tr r="J601" s="5"/>
      </tp>
      <tp t="s">
        <v/>
        <stp/>
        <stp>34414099M7:LstDate</stp>
        <tr r="J86" s="5"/>
      </tp>
      <tp t="s">
        <v/>
        <stp/>
        <stp>34404098M0:LstDate</stp>
        <tr r="J594" s="5"/>
      </tp>
      <tp t="s">
        <v/>
        <stp/>
        <stp>34414099M0:LstDate</stp>
        <tr r="J79" s="5"/>
      </tp>
      <tp t="s">
        <v/>
        <stp/>
        <stp>34404098M1:LstDate</stp>
        <tr r="J595" s="5"/>
      </tp>
      <tp t="s">
        <v/>
        <stp/>
        <stp>34414099M1:LstDate</stp>
        <tr r="J80" s="5"/>
      </tp>
      <tp t="s">
        <v/>
        <stp/>
        <stp>34404098M2:LstDate</stp>
        <tr r="J596" s="5"/>
      </tp>
      <tp t="s">
        <v/>
        <stp/>
        <stp>34414099M2:LstDate</stp>
        <tr r="J81" s="5"/>
      </tp>
      <tp t="s">
        <v/>
        <stp/>
        <stp>34404098M3:LstDate</stp>
        <tr r="J597" s="5"/>
      </tp>
      <tp t="s">
        <v/>
        <stp/>
        <stp>34414099M3:LstDate</stp>
        <tr r="J82" s="5"/>
      </tp>
      <tp t="s">
        <v/>
        <stp/>
        <stp>34404098M8:LstDate</stp>
        <tr r="J602" s="5"/>
      </tp>
      <tp t="s">
        <v/>
        <stp/>
        <stp>34414099M8:LstDate</stp>
        <tr r="J87" s="5"/>
      </tp>
      <tp t="s">
        <v/>
        <stp/>
        <stp>34404098M9:LstDate</stp>
        <tr r="J603" s="5"/>
      </tp>
      <tp t="s">
        <v/>
        <stp/>
        <stp>34414099M9:LstDate</stp>
        <tr r="J88" s="5"/>
      </tp>
      <tp t="s">
        <v/>
        <stp/>
        <stp>29243602M13:BstLiftPrc</stp>
        <tr r="H759" s="5"/>
      </tp>
      <tp t="s">
        <v/>
        <stp/>
        <stp>29243602M12:BstLiftPrc</stp>
        <tr r="H758" s="5"/>
      </tp>
      <tp t="s">
        <v/>
        <stp/>
        <stp>29243602M11:BstLiftPrc</stp>
        <tr r="H757" s="5"/>
      </tp>
      <tp t="s">
        <v/>
        <stp/>
        <stp>29243602M10:BstLiftPrc</stp>
        <tr r="H756" s="5"/>
      </tp>
      <tp t="s">
        <v/>
        <stp/>
        <stp>29243602M15:BstLiftPrc</stp>
        <tr r="H761" s="5"/>
      </tp>
      <tp t="s">
        <v/>
        <stp/>
        <stp>29243602M14:BstLiftPrc</stp>
        <tr r="H760" s="5"/>
      </tp>
      <tp t="s">
        <v/>
        <stp/>
        <stp>266419M2:LstBlkVol</stp>
        <tr r="L961" s="5"/>
      </tp>
      <tp t="s">
        <v/>
        <stp/>
        <stp>266419Q2:LstBlkVol</stp>
        <tr r="L986" s="5"/>
      </tp>
      <tp t="s">
        <v/>
        <stp/>
        <stp>266419Y2:LstBlkVol</stp>
        <tr r="L995" s="5"/>
      </tp>
      <tp t="s">
        <v/>
        <stp/>
        <stp>18851683M19:BstLiftPrc</stp>
        <tr r="H212" s="5"/>
      </tp>
      <tp t="s">
        <v/>
        <stp/>
        <stp>18851683M18:BstLiftPrc</stp>
        <tr r="H211" s="5"/>
      </tp>
      <tp>
        <v>-4.22</v>
        <stp/>
        <stp>18851683M11:BstLiftPrc</stp>
        <tr r="H204" s="5"/>
      </tp>
      <tp>
        <v>-4.05</v>
        <stp/>
        <stp>18851683M10:BstLiftPrc</stp>
        <tr r="H203" s="5"/>
      </tp>
      <tp>
        <v>-4.29</v>
        <stp/>
        <stp>18851683M13:BstLiftPrc</stp>
        <tr r="H206" s="5"/>
      </tp>
      <tp>
        <v>-4.3</v>
        <stp/>
        <stp>18851683M12:BstLiftPrc</stp>
        <tr r="H205" s="5"/>
      </tp>
      <tp>
        <v>-4.5</v>
        <stp/>
        <stp>18851683M15:BstLiftPrc</stp>
        <tr r="H208" s="5"/>
      </tp>
      <tp>
        <v>-4.38</v>
        <stp/>
        <stp>18851683M14:BstLiftPrc</stp>
        <tr r="H207" s="5"/>
      </tp>
      <tp t="s">
        <v/>
        <stp/>
        <stp>18851683M17:BstLiftPrc</stp>
        <tr r="H210" s="5"/>
      </tp>
      <tp t="s">
        <v/>
        <stp/>
        <stp>18851683M16:BstLiftPrc</stp>
        <tr r="H209" s="5"/>
      </tp>
      <tp t="s">
        <v/>
        <stp/>
        <stp>18851683M21:BstLiftPrc</stp>
        <tr r="H214" s="5"/>
      </tp>
      <tp t="s">
        <v/>
        <stp/>
        <stp>18851683M20:BstLiftPrc</stp>
        <tr r="H213" s="5"/>
      </tp>
      <tp t="s">
        <v/>
        <stp/>
        <stp>18851683M23:BstLiftPrc</stp>
        <tr r="H216" s="5"/>
      </tp>
      <tp t="s">
        <v/>
        <stp/>
        <stp>18851683M22:BstLiftPrc</stp>
        <tr r="H215" s="5"/>
      </tp>
      <tp t="s">
        <v/>
        <stp/>
        <stp>18851683M24:BstLiftPrc</stp>
        <tr r="H217" s="5"/>
      </tp>
      <tp t="s">
        <v/>
        <stp/>
        <stp>34344092M23:BstLiftPrc</stp>
        <tr r="H1286" s="5"/>
      </tp>
      <tp t="s">
        <v/>
        <stp/>
        <stp>34354093M23:BstLiftPrc</stp>
        <tr r="H1324" s="5"/>
      </tp>
      <tp t="s">
        <v/>
        <stp/>
        <stp>34344092M22:BstLiftPrc</stp>
        <tr r="H1285" s="5"/>
      </tp>
      <tp t="s">
        <v/>
        <stp/>
        <stp>34354093M22:BstLiftPrc</stp>
        <tr r="H1323" s="5"/>
      </tp>
      <tp t="s">
        <v/>
        <stp/>
        <stp>34344092M21:BstLiftPrc</stp>
        <tr r="H1284" s="5"/>
      </tp>
      <tp t="s">
        <v/>
        <stp/>
        <stp>34354093M21:BstLiftPrc</stp>
        <tr r="H1322" s="5"/>
      </tp>
      <tp t="s">
        <v/>
        <stp/>
        <stp>34344092M20:BstLiftPrc</stp>
        <tr r="H1283" s="5"/>
      </tp>
      <tp t="s">
        <v/>
        <stp/>
        <stp>34354093M20:BstLiftPrc</stp>
        <tr r="H1321" s="5"/>
      </tp>
      <tp t="s">
        <v/>
        <stp/>
        <stp>34344092M24:BstLiftPrc</stp>
        <tr r="H1287" s="5"/>
      </tp>
      <tp t="s">
        <v/>
        <stp/>
        <stp>34354093M24:BstLiftPrc</stp>
        <tr r="H1325" s="5"/>
      </tp>
      <tp t="s">
        <v/>
        <stp/>
        <stp>34344092M13:BstLiftPrc</stp>
        <tr r="H1276" s="5"/>
      </tp>
      <tp t="s">
        <v/>
        <stp/>
        <stp>34354093M13:BstLiftPrc</stp>
        <tr r="H1314" s="5"/>
      </tp>
      <tp t="s">
        <v/>
        <stp/>
        <stp>34344092M12:BstLiftPrc</stp>
        <tr r="H1275" s="5"/>
      </tp>
      <tp t="s">
        <v/>
        <stp/>
        <stp>34354093M12:BstLiftPrc</stp>
        <tr r="H1313" s="5"/>
      </tp>
      <tp t="s">
        <v/>
        <stp/>
        <stp>34344092M11:BstLiftPrc</stp>
        <tr r="H1274" s="5"/>
      </tp>
      <tp>
        <v>52.08</v>
        <stp/>
        <stp>34354093M11:BstLiftPrc</stp>
        <tr r="H1312" s="5"/>
      </tp>
      <tp t="s">
        <v/>
        <stp/>
        <stp>34344092M10:BstLiftPrc</stp>
        <tr r="H1273" s="5"/>
      </tp>
      <tp>
        <v>53.5</v>
        <stp/>
        <stp>34354093M10:BstLiftPrc</stp>
        <tr r="H1311" s="5"/>
      </tp>
      <tp t="s">
        <v/>
        <stp/>
        <stp>34344092M17:BstLiftPrc</stp>
        <tr r="H1280" s="5"/>
      </tp>
      <tp t="s">
        <v/>
        <stp/>
        <stp>34354093M17:BstLiftPrc</stp>
        <tr r="H1318" s="5"/>
      </tp>
      <tp t="s">
        <v/>
        <stp/>
        <stp>34344092M16:BstLiftPrc</stp>
        <tr r="H1279" s="5"/>
      </tp>
      <tp t="s">
        <v/>
        <stp/>
        <stp>34354093M16:BstLiftPrc</stp>
        <tr r="H1317" s="5"/>
      </tp>
      <tp t="s">
        <v/>
        <stp/>
        <stp>34344092M15:BstLiftPrc</stp>
        <tr r="H1278" s="5"/>
      </tp>
      <tp t="s">
        <v/>
        <stp/>
        <stp>34354093M15:BstLiftPrc</stp>
        <tr r="H1316" s="5"/>
      </tp>
      <tp t="s">
        <v/>
        <stp/>
        <stp>34344092M14:BstLiftPrc</stp>
        <tr r="H1277" s="5"/>
      </tp>
      <tp t="s">
        <v/>
        <stp/>
        <stp>34354093M14:BstLiftPrc</stp>
        <tr r="H1315" s="5"/>
      </tp>
      <tp t="s">
        <v/>
        <stp/>
        <stp>34344092M19:BstLiftPrc</stp>
        <tr r="H1282" s="5"/>
      </tp>
      <tp t="s">
        <v/>
        <stp/>
        <stp>34354093M19:BstLiftPrc</stp>
        <tr r="H1320" s="5"/>
      </tp>
      <tp t="s">
        <v/>
        <stp/>
        <stp>34344092M18:BstLiftPrc</stp>
        <tr r="H1281" s="5"/>
      </tp>
      <tp t="s">
        <v/>
        <stp/>
        <stp>34354093M18:BstLiftPrc</stp>
        <tr r="H1319" s="5"/>
      </tp>
      <tp t="s">
        <v/>
        <stp/>
        <stp>266M18:LstBlkVol</stp>
        <tr r="L939" s="5"/>
      </tp>
      <tp>
        <v>50</v>
        <stp/>
        <stp>141587M3:LstBlkVol</stp>
        <tr r="L44" s="5"/>
      </tp>
      <tp t="s">
        <v/>
        <stp/>
        <stp>141587Q3:LstBlkVol</stp>
        <tr r="L69" s="5"/>
      </tp>
      <tp t="s">
        <v/>
        <stp/>
        <stp>57409036M18:BstLiftPrc</stp>
        <tr r="H249" s="5"/>
      </tp>
      <tp t="s">
        <v/>
        <stp/>
        <stp>57409036M19:BstLiftPrc</stp>
        <tr r="H250" s="5"/>
      </tp>
      <tp t="s">
        <v/>
        <stp/>
        <stp>57409036M16:BstLiftPrc</stp>
        <tr r="H247" s="5"/>
      </tp>
      <tp t="s">
        <v/>
        <stp/>
        <stp>57409036M17:BstLiftPrc</stp>
        <tr r="H248" s="5"/>
      </tp>
      <tp>
        <v>-4.38</v>
        <stp/>
        <stp>57409036M14:BstLiftPrc</stp>
        <tr r="H245" s="5"/>
      </tp>
      <tp>
        <v>-4.5</v>
        <stp/>
        <stp>57409036M15:BstLiftPrc</stp>
        <tr r="H246" s="5"/>
      </tp>
      <tp>
        <v>-4.3</v>
        <stp/>
        <stp>57409036M12:BstLiftPrc</stp>
        <tr r="H243" s="5"/>
      </tp>
      <tp>
        <v>-4.29</v>
        <stp/>
        <stp>57409036M13:BstLiftPrc</stp>
        <tr r="H244" s="5"/>
      </tp>
      <tp>
        <v>-4.05</v>
        <stp/>
        <stp>57409036M10:BstLiftPrc</stp>
        <tr r="H241" s="5"/>
      </tp>
      <tp>
        <v>-4.22</v>
        <stp/>
        <stp>57409036M11:BstLiftPrc</stp>
        <tr r="H242" s="5"/>
      </tp>
      <tp t="s">
        <v/>
        <stp/>
        <stp>57409036M24:BstLiftPrc</stp>
        <tr r="H255" s="5"/>
      </tp>
      <tp t="s">
        <v/>
        <stp/>
        <stp>57409036M22:BstLiftPrc</stp>
        <tr r="H253" s="5"/>
      </tp>
      <tp t="s">
        <v/>
        <stp/>
        <stp>57409036M23:BstLiftPrc</stp>
        <tr r="H254" s="5"/>
      </tp>
      <tp t="s">
        <v/>
        <stp/>
        <stp>57409036M20:BstLiftPrc</stp>
        <tr r="H251" s="5"/>
      </tp>
      <tp t="s">
        <v/>
        <stp/>
        <stp>57409036M21:BstLiftPrc</stp>
        <tr r="H252" s="5"/>
      </tp>
    </main>
    <main first="bofaddin.rtdserver">
      <tp t="s">
        <v>#N/A</v>
        <stp/>
        <stp>BDP|13087253549633516108|222</stp>
        <stp>OQAM27 Comdty</stp>
        <stp>ASK</stp>
        <stp>Fill=#N/A</stp>
        <tr r="L28" s="1"/>
      </tp>
      <tp t="s">
        <v>#N/A</v>
        <stp/>
        <stp>BDP|16420537275680793301|222</stp>
        <stp>OQAV29 Comdty</stp>
        <stp>ASK</stp>
        <stp>Fill=#N/A</stp>
        <tr r="L56" s="1"/>
      </tp>
    </main>
    <main first="ice.rtd">
      <tp>
        <v>32</v>
        <stp/>
        <stp>34364094M13:OI</stp>
        <tr r="T531" s="5"/>
      </tp>
      <tp>
        <v>73</v>
        <stp/>
        <stp>34374095M13:OI</stp>
        <tr r="T569" s="5"/>
      </tp>
      <tp>
        <v>34</v>
        <stp/>
        <stp>34364094M12:OI</stp>
        <tr r="T530" s="5"/>
      </tp>
      <tp>
        <v>73</v>
        <stp/>
        <stp>34374095M12:OI</stp>
        <tr r="T568" s="5"/>
      </tp>
      <tp>
        <v>34</v>
        <stp/>
        <stp>34364094M11:OI</stp>
        <tr r="T529" s="5"/>
      </tp>
      <tp>
        <v>74</v>
        <stp/>
        <stp>34374095M11:OI</stp>
        <tr r="T567" s="5"/>
      </tp>
      <tp>
        <v>34</v>
        <stp/>
        <stp>34364094M10:OI</stp>
        <tr r="T528" s="5"/>
      </tp>
      <tp>
        <v>74</v>
        <stp/>
        <stp>34374095M10:OI</stp>
        <tr r="T566" s="5"/>
      </tp>
      <tp>
        <v>11</v>
        <stp/>
        <stp>34364094M17:OI</stp>
        <tr r="T535" s="5"/>
      </tp>
      <tp>
        <v>8</v>
        <stp/>
        <stp>34374095M17:OI</stp>
        <tr r="T573" s="5"/>
      </tp>
      <tp>
        <v>11</v>
        <stp/>
        <stp>34364094M16:OI</stp>
        <tr r="T534" s="5"/>
      </tp>
      <tp>
        <v>8</v>
        <stp/>
        <stp>34374095M16:OI</stp>
        <tr r="T572" s="5"/>
      </tp>
      <tp>
        <v>32</v>
        <stp/>
        <stp>34364094M15:OI</stp>
        <tr r="T533" s="5"/>
      </tp>
      <tp>
        <v>96</v>
        <stp/>
        <stp>34374095M15:OI</stp>
        <tr r="T571" s="5"/>
      </tp>
      <tp>
        <v>32</v>
        <stp/>
        <stp>34364094M14:OI</stp>
        <tr r="T532" s="5"/>
      </tp>
      <tp>
        <v>73</v>
        <stp/>
        <stp>34374095M14:OI</stp>
        <tr r="T570" s="5"/>
      </tp>
      <tp>
        <v>8</v>
        <stp/>
        <stp>34364094M19:OI</stp>
        <tr r="T537" s="5"/>
      </tp>
      <tp>
        <v>8</v>
        <stp/>
        <stp>34374095M19:OI</stp>
        <tr r="T575" s="5"/>
      </tp>
      <tp>
        <v>11</v>
        <stp/>
        <stp>34364094M18:OI</stp>
        <tr r="T536" s="5"/>
      </tp>
      <tp>
        <v>8</v>
        <stp/>
        <stp>34374095M18:OI</stp>
        <tr r="T574" s="5"/>
      </tp>
      <tp>
        <v>8</v>
        <stp/>
        <stp>34364094M23:OI</stp>
        <tr r="T541" s="5"/>
      </tp>
      <tp>
        <v>7</v>
        <stp/>
        <stp>34374095M23:OI</stp>
        <tr r="T579" s="5"/>
      </tp>
      <tp>
        <v>8</v>
        <stp/>
        <stp>34364094M22:OI</stp>
        <tr r="T540" s="5"/>
      </tp>
      <tp>
        <v>7</v>
        <stp/>
        <stp>34374095M22:OI</stp>
        <tr r="T578" s="5"/>
      </tp>
      <tp>
        <v>8</v>
        <stp/>
        <stp>34364094M21:OI</stp>
        <tr r="T539" s="5"/>
      </tp>
      <tp>
        <v>8</v>
        <stp/>
        <stp>34374095M21:OI</stp>
        <tr r="T577" s="5"/>
      </tp>
      <tp>
        <v>8</v>
        <stp/>
        <stp>34364094M20:OI</stp>
        <tr r="T538" s="5"/>
      </tp>
      <tp>
        <v>8</v>
        <stp/>
        <stp>34374095M20:OI</stp>
        <tr r="T576" s="5"/>
      </tp>
      <tp>
        <v>8</v>
        <stp/>
        <stp>34364094M24:OI</stp>
        <tr r="T542" s="5"/>
      </tp>
      <tp>
        <v>7</v>
        <stp/>
        <stp>34374095M24:OI</stp>
        <tr r="T580" s="5"/>
      </tp>
    </main>
    <main first="bofaddin.rtdserver">
      <tp t="s">
        <v>#N/A</v>
        <stp/>
        <stp>BDP|12437239670338117568|222</stp>
        <stp>MUCJ29 Comdty</stp>
        <stp>BID</stp>
        <stp>Fill=#N/A</stp>
        <tr r="K50" s="1"/>
      </tp>
      <tp t="s">
        <v>#N/A</v>
        <stp/>
        <stp>BDP|10402550178333212984|222</stp>
        <stp>OQAH29 Comdty</stp>
        <stp>BID</stp>
        <stp>Fill=#N/A</stp>
        <tr r="L49" s="1"/>
      </tp>
    </main>
    <main first="ice.rtd">
      <tp>
        <v>3.96</v>
        <stp/>
        <stp>141587M5:LstBlkPrc</stp>
        <tr r="K46" s="5"/>
      </tp>
      <tp t="s">
        <v/>
        <stp/>
        <stp>141587Q5:LstBlkPrc</stp>
        <tr r="K71" s="5"/>
      </tp>
      <tp t="s">
        <v/>
        <stp/>
        <stp>266419Q4:BstHitPrc</stp>
        <tr r="G988" s="5"/>
      </tp>
      <tp t="s">
        <v/>
        <stp/>
        <stp>266419M4:BstHitPrc</stp>
        <tr r="G963" s="5"/>
      </tp>
    </main>
    <main first="bofaddin.rtdserver">
      <tp t="s">
        <v>#N/A</v>
        <stp/>
        <stp>BDP|10658539031584633743|222</stp>
        <stp>MUCJ29 Comdty</stp>
        <stp>ASK</stp>
        <stp>Fill=#N/A</stp>
        <tr r="K50" s="1"/>
      </tp>
    </main>
    <main first="esrtd">
      <tp t="s">
        <v/>
        <stp/>
        <stp>TDL 9!-IEU</stp>
        <stp>Block Price DT</stp>
        <tr r="M1821" s="5"/>
      </tp>
      <tp t="s">
        <v/>
        <stp/>
        <stp>TDL 8!-IEU</stp>
        <stp>Block Price DT</stp>
        <tr r="M1820" s="5"/>
      </tp>
      <tp t="s">
        <v/>
        <stp/>
        <stp>TDL 3!-IEU</stp>
        <stp>Block Price DT</stp>
        <tr r="M1815" s="5"/>
      </tp>
      <tp t="s">
        <v/>
        <stp/>
        <stp>TDL 2!-IEU</stp>
        <stp>Block Price DT</stp>
        <tr r="M1814" s="5"/>
      </tp>
      <tp t="s">
        <v/>
        <stp/>
        <stp>TDL 1!-IEU</stp>
        <stp>Block Price DT</stp>
        <tr r="M1813" s="5"/>
      </tp>
      <tp t="s">
        <v/>
        <stp/>
        <stp>TDL 7!-IEU</stp>
        <stp>Block Price DT</stp>
        <tr r="M1819" s="5"/>
      </tp>
      <tp t="s">
        <v/>
        <stp/>
        <stp>TDL 6!-IEU</stp>
        <stp>Block Price DT</stp>
        <tr r="M1818" s="5"/>
      </tp>
      <tp t="s">
        <v/>
        <stp/>
        <stp>TDL 5!-IEU</stp>
        <stp>Block Price DT</stp>
        <tr r="M1817" s="5"/>
      </tp>
      <tp t="s">
        <v/>
        <stp/>
        <stp>TDL 4!-IEU</stp>
        <stp>Block Price DT</stp>
        <tr r="M1816" s="5"/>
      </tp>
    </main>
    <main first="ice.rtd">
      <tp>
        <v>70</v>
        <stp/>
        <stp>18871685M21:OI</stp>
        <tr r="T442" s="5"/>
      </tp>
      <tp>
        <v>70</v>
        <stp/>
        <stp>18871685M20:OI</stp>
        <tr r="T441" s="5"/>
      </tp>
      <tp>
        <v>70</v>
        <stp/>
        <stp>18871685M23:OI</stp>
        <tr r="T444" s="5"/>
      </tp>
      <tp>
        <v>70</v>
        <stp/>
        <stp>18871685M22:OI</stp>
        <tr r="T443" s="5"/>
      </tp>
      <tp>
        <v>70</v>
        <stp/>
        <stp>18871685M24:OI</stp>
        <tr r="T445" s="5"/>
      </tp>
      <tp>
        <v>70</v>
        <stp/>
        <stp>18871685M19:OI</stp>
        <tr r="T440" s="5"/>
      </tp>
      <tp>
        <v>76</v>
        <stp/>
        <stp>18871685M18:OI</stp>
        <tr r="T439" s="5"/>
      </tp>
      <tp>
        <v>246</v>
        <stp/>
        <stp>18871685M11:OI</stp>
        <tr r="T432" s="5"/>
      </tp>
      <tp>
        <v>204</v>
        <stp/>
        <stp>18871685M10:OI</stp>
        <tr r="T431" s="5"/>
      </tp>
      <tp>
        <v>358</v>
        <stp/>
        <stp>18871685M13:OI</stp>
        <tr r="T434" s="5"/>
      </tp>
      <tp>
        <v>372</v>
        <stp/>
        <stp>18871685M12:OI</stp>
        <tr r="T433" s="5"/>
      </tp>
      <tp>
        <v>290</v>
        <stp/>
        <stp>18871685M15:OI</stp>
        <tr r="T436" s="5"/>
      </tp>
      <tp>
        <v>284</v>
        <stp/>
        <stp>18871685M14:OI</stp>
        <tr r="T435" s="5"/>
      </tp>
      <tp>
        <v>76</v>
        <stp/>
        <stp>18871685M17:OI</stp>
        <tr r="T438" s="5"/>
      </tp>
      <tp>
        <v>92</v>
        <stp/>
        <stp>18871685M16:OI</stp>
        <tr r="T437" s="5"/>
      </tp>
      <tp t="s">
        <v/>
        <stp/>
        <stp>5162M9:LstBlkPrc</stp>
        <tr r="K778" s="5"/>
      </tp>
    </main>
    <main first="bofaddin.rtdserver">
      <tp t="s">
        <v>#N/A</v>
        <stp/>
        <stp>BDP|18383855224421010432|222</stp>
        <stp>OQAN27 Comdty</stp>
        <stp>ASK</stp>
        <stp>Fill=#N/A</stp>
        <tr r="L29" s="1"/>
      </tp>
      <tp t="s">
        <v>#N/A</v>
        <stp/>
        <stp>BDP|10094821094857662398|222</stp>
        <stp>MUCG29 Comdty</stp>
        <stp>ASK</stp>
        <stp>Fill=#N/A</stp>
        <tr r="K48" s="1"/>
      </tp>
      <tp t="s">
        <v>#N/A</v>
        <stp/>
        <stp>BDP|16955604038410189980|222</stp>
        <stp>MUCZ29 Comdty</stp>
        <stp>BID</stp>
        <stp>Fill=#N/A</stp>
        <tr r="K58" s="1"/>
      </tp>
    </main>
    <main first="ice.rtd">
      <tp>
        <v>2.2000000000000002</v>
        <stp/>
        <stp>141587Q5:BstHitPrc</stp>
        <tr r="G71" s="5"/>
      </tp>
      <tp>
        <v>3.86</v>
        <stp/>
        <stp>141587M5:BstHitPrc</stp>
        <tr r="G46" s="5"/>
      </tp>
      <tp t="s">
        <v/>
        <stp/>
        <stp>266419M4:LstBlkPrc</stp>
        <tr r="K963" s="5"/>
      </tp>
      <tp t="s">
        <v/>
        <stp/>
        <stp>266419Q4:LstBlkPrc</stp>
        <tr r="K988" s="5"/>
      </tp>
    </main>
    <main first="bofaddin.rtdserver">
      <tp t="s">
        <v>#N/A</v>
        <stp/>
        <stp>BDP|12320369479315705426|222</stp>
        <stp>OQAG28 Comdty</stp>
        <stp>ASK</stp>
        <stp>Fill=#N/A</stp>
        <tr r="L36" s="1"/>
      </tp>
    </main>
    <main first="ice.rtd">
      <tp t="s">
        <v/>
        <stp/>
        <stp>5162M9:BstHitPrc</stp>
        <tr r="G778" s="5"/>
      </tp>
      <tp t="s">
        <v/>
        <stp/>
        <stp>1986923076M18:LstBlkTime</stp>
        <tr r="M173" s="5"/>
      </tp>
      <tp t="s">
        <v/>
        <stp/>
        <stp>1986923076M19:LstBlkTime</stp>
        <tr r="M174" s="5"/>
      </tp>
      <tp t="s">
        <v/>
        <stp/>
        <stp>1986923076M10:LstBlkTime</stp>
        <tr r="M165" s="5"/>
      </tp>
      <tp t="s">
        <v/>
        <stp/>
        <stp>1986923076M11:LstBlkTime</stp>
        <tr r="M166" s="5"/>
      </tp>
      <tp t="s">
        <v/>
        <stp/>
        <stp>1986923076M12:LstBlkTime</stp>
        <tr r="M167" s="5"/>
      </tp>
      <tp t="s">
        <v/>
        <stp/>
        <stp>1986923076M13:LstBlkTime</stp>
        <tr r="M168" s="5"/>
      </tp>
      <tp t="s">
        <v/>
        <stp/>
        <stp>1986923076M14:LstBlkTime</stp>
        <tr r="M169" s="5"/>
      </tp>
      <tp t="s">
        <v/>
        <stp/>
        <stp>1986923076M15:LstBlkTime</stp>
        <tr r="M170" s="5"/>
      </tp>
      <tp t="s">
        <v/>
        <stp/>
        <stp>1986923076M16:LstBlkTime</stp>
        <tr r="M171" s="5"/>
      </tp>
      <tp t="s">
        <v/>
        <stp/>
        <stp>1986923076M17:LstBlkTime</stp>
        <tr r="M172" s="5"/>
      </tp>
      <tp t="s">
        <v/>
        <stp/>
        <stp>1986923076M20:LstBlkTime</stp>
        <tr r="M175" s="5"/>
      </tp>
      <tp t="s">
        <v/>
        <stp/>
        <stp>1986923076M21:LstBlkTime</stp>
        <tr r="M176" s="5"/>
      </tp>
      <tp t="s">
        <v/>
        <stp/>
        <stp>1986923076M22:LstBlkTime</stp>
        <tr r="M177" s="5"/>
      </tp>
      <tp t="s">
        <v/>
        <stp/>
        <stp>1986923076M23:LstBlkTime</stp>
        <tr r="M178" s="5"/>
      </tp>
      <tp t="s">
        <v/>
        <stp/>
        <stp>1986923076M24:LstBlkTime</stp>
        <tr r="M179" s="5"/>
      </tp>
      <tp t="s">
        <v>Invalid Market: 2972825746BM0</v>
        <stp/>
        <stp>2972825746BM0:LstBlkTime</stp>
        <tr r="M1714" s="5"/>
      </tp>
      <tp t="s">
        <v/>
        <stp/>
        <stp>2755728678M15:LstBlkTime</stp>
        <tr r="M1126" s="5"/>
      </tp>
      <tp t="s">
        <v/>
        <stp/>
        <stp>2755728678M14:LstBlkTime</stp>
        <tr r="M1125" s="5"/>
      </tp>
      <tp t="s">
        <v/>
        <stp/>
        <stp>2755728678M17:LstBlkTime</stp>
        <tr r="M1128" s="5"/>
      </tp>
      <tp t="s">
        <v/>
        <stp/>
        <stp>2755728678M16:LstBlkTime</stp>
        <tr r="M1127" s="5"/>
      </tp>
      <tp t="s">
        <v/>
        <stp/>
        <stp>2755728678M11:LstBlkTime</stp>
        <tr r="M1122" s="5"/>
      </tp>
      <tp t="s">
        <v/>
        <stp/>
        <stp>2755728678M10:LstBlkTime</stp>
        <tr r="M1121" s="5"/>
      </tp>
      <tp t="s">
        <v/>
        <stp/>
        <stp>2755728678M13:LstBlkTime</stp>
        <tr r="M1124" s="5"/>
      </tp>
      <tp t="s">
        <v/>
        <stp/>
        <stp>2755728678M12:LstBlkTime</stp>
        <tr r="M1123" s="5"/>
      </tp>
      <tp t="s">
        <v/>
        <stp/>
        <stp>2755728678M19:LstBlkTime</stp>
        <tr r="M1130" s="5"/>
      </tp>
      <tp t="s">
        <v/>
        <stp/>
        <stp>2755728678M18:LstBlkTime</stp>
        <tr r="M1129" s="5"/>
      </tp>
      <tp t="s">
        <v/>
        <stp/>
        <stp>2755728678M24:LstBlkTime</stp>
        <tr r="M1135" s="5"/>
      </tp>
      <tp t="s">
        <v/>
        <stp/>
        <stp>2755728678M21:LstBlkTime</stp>
        <tr r="M1132" s="5"/>
      </tp>
      <tp t="s">
        <v/>
        <stp/>
        <stp>2755728678M20:LstBlkTime</stp>
        <tr r="M1131" s="5"/>
      </tp>
      <tp t="s">
        <v/>
        <stp/>
        <stp>2755728678M23:LstBlkTime</stp>
        <tr r="M1134" s="5"/>
      </tp>
      <tp t="s">
        <v/>
        <stp/>
        <stp>2755728678M22:LstBlkTime</stp>
        <tr r="M1133" s="5"/>
      </tp>
    </main>
    <main first="bofaddin.rtdserver">
      <tp>
        <v>101.26</v>
        <stp/>
        <stp>BDP|755188712889024692|22</stp>
        <stp>HOZ6HOZ7 Comdty</stp>
        <stp>BID</stp>
        <tr r="E2" s="3"/>
      </tp>
      <tp t="s">
        <v>#N/A</v>
        <stp/>
        <stp>BDP|1026264511792905728|222</stp>
        <stp>CLG0CLH0 Comdty</stp>
        <stp>BID</stp>
        <stp>Fill=#N/A</stp>
        <tr r="N61" s="1"/>
      </tp>
      <tp>
        <v>8.25</v>
        <stp/>
        <stp>BDP|3900313795197101348|222</stp>
        <stp>QSM8QSN8 Comdty</stp>
        <stp>ASK</stp>
        <stp>Fill=#N/A</stp>
        <tr r="P41" s="1"/>
      </tp>
      <tp>
        <v>4.75</v>
        <stp/>
        <stp>BDP|3098997371439896649|222</stp>
        <stp>QSU9QSV9 Comdty</stp>
        <stp>ASK</stp>
        <stp>Fill=#N/A</stp>
        <tr r="P56" s="1"/>
      </tp>
      <tp>
        <v>9.75</v>
        <stp/>
        <stp>BDP|3671392900476651263|222</stp>
        <stp>QSF8QSG8 Comdty</stp>
        <stp>BID</stp>
        <stp>Fill=#N/A</stp>
        <tr r="P36" s="1"/>
      </tp>
      <tp t="s">
        <v>#N/A</v>
        <stp/>
        <stp>BDP|5078857107446671259|222</stp>
        <stp>CLM9CLN9 Comdty</stp>
        <stp>ASK</stp>
        <stp>Fill=#N/A</stp>
        <tr r="N53" s="1"/>
      </tp>
    </main>
    <main first="esrtd">
      <tp t="s">
        <v/>
        <stp/>
        <stp>BRN 26QP15000-ICE</stp>
        <stp>ImpVol</stp>
        <tr r="AK50" s="23"/>
      </tp>
      <tp t="s">
        <v/>
        <stp/>
        <stp>BRN 26QP25000-ICE</stp>
        <stp>ImpVol</stp>
        <tr r="AK55" s="23"/>
      </tp>
      <tp t="s">
        <v/>
        <stp/>
        <stp>BRN 26QC15000-ICE</stp>
        <stp>ImpVol</stp>
        <tr r="AR50" s="23"/>
      </tp>
      <tp t="s">
        <v/>
        <stp/>
        <stp>BRN 26QC25000-ICE</stp>
        <stp>ImpVol</stp>
        <tr r="AR55" s="23"/>
      </tp>
    </main>
    <main first="bofaddin.rtdserver">
      <tp>
        <v>0.21</v>
        <stp/>
        <stp>BDP|7359771576726895530|222</stp>
        <stp>CLU8CLV8 Comdty</stp>
        <stp>ASK</stp>
        <stp>Fill=#N/A</stp>
        <tr r="N44" s="1"/>
      </tp>
    </main>
    <main first="esrtd">
      <tp t="s">
        <v/>
        <stp/>
        <stp>BRN 26VP15000-ICE</stp>
        <stp>ImpVol</stp>
        <tr r="AK196" s="23"/>
      </tp>
      <tp t="s">
        <v/>
        <stp/>
        <stp>BRN 26VP25000-ICE</stp>
        <stp>ImpVol</stp>
        <tr r="AK200" s="23"/>
      </tp>
      <tp t="s">
        <v/>
        <stp/>
        <stp>BRN 26VC15000-ICE</stp>
        <stp>ImpVol</stp>
        <tr r="AR196" s="23"/>
      </tp>
      <tp t="s">
        <v/>
        <stp/>
        <stp>BRN 26VC25000-ICE</stp>
        <stp>ImpVol</stp>
        <tr r="AR200" s="23"/>
      </tp>
    </main>
    <main first="bofaddin.rtdserver">
      <tp>
        <v>1.85</v>
        <stp/>
        <stp>BDP|1084904547722859136|222</stp>
        <stp>XBV8XBX8 Comdty</stp>
        <stp>BID</stp>
        <stp>Fill=#N/A</stp>
        <tr r="R45" s="1"/>
      </tp>
      <tp>
        <v>0.16</v>
        <stp/>
        <stp>BDP|4708025324031641733|222</stp>
        <stp>CLQ9CLU9 Comdty</stp>
        <stp>BID</stp>
        <stp>Fill=#N/A</stp>
        <tr r="N55" s="1"/>
      </tp>
      <tp t="s">
        <v>#N/A</v>
        <stp/>
        <stp>BDP|9458435750617436400|222</stp>
        <stp>CLU9CLV9 Comdty</stp>
        <stp>BID</stp>
        <stp>Fill=#N/A</stp>
        <tr r="N56" s="1"/>
      </tp>
    </main>
    <main first="esrtd">
      <tp t="s">
        <v/>
        <stp/>
        <stp>BRN 26UP25000-ICE</stp>
        <stp>ImpVol</stp>
        <tr r="AK125" s="23"/>
      </tp>
      <tp t="s">
        <v/>
        <stp/>
        <stp>BRN 26UC25000-ICE</stp>
        <stp>ImpVol</stp>
        <tr r="AR125" s="23"/>
      </tp>
    </main>
    <main first="bofaddin.rtdserver">
      <tp t="s">
        <v>#N/A</v>
        <stp/>
        <stp>BDP|10869903508510469163|222</stp>
        <stp>MUCN7Q7 Comdty</stp>
        <stp>BID</stp>
        <stp>Fill=#N/A</stp>
        <tr r="S30" s="1"/>
      </tp>
      <tp>
        <v>1.25</v>
        <stp/>
        <stp>BDP|1113612701627103922|222</stp>
        <stp>HOV8HOX8 Comdty</stp>
        <stp>ASK</stp>
        <stp>Fill=#N/A</stp>
        <tr r="Q45" s="1"/>
      </tp>
      <tp t="s">
        <v>#N/A</v>
        <stp/>
        <stp>BDP|7932507335955091920|222</stp>
        <stp>QSH0QSJ0 Comdty</stp>
        <stp>BID</stp>
        <stp>Fill=#N/A</stp>
        <tr r="P62" s="1"/>
      </tp>
      <tp t="s">
        <v>#N/A</v>
        <stp/>
        <stp>BDP|18255388448876304039|222</stp>
        <stp>OQAX9Z9 Comdty</stp>
        <stp>ASK</stp>
        <stp>Fill=#N/A</stp>
        <tr r="T58" s="1"/>
      </tp>
      <tp t="s">
        <v>#N/A Invalid Security</v>
        <stp/>
        <stp>BDP|7805343580124052868|222</stp>
        <stp>CLK0CLM0 Comdty</stp>
        <stp>ASK</stp>
        <stp>Fill=#N/A</stp>
        <tr r="N64" s="1"/>
      </tp>
      <tp t="s">
        <v>#N/A</v>
        <stp/>
        <stp>BDP|9534511658309982512|222</stp>
        <stp>XBH9XBJ9 Comdty</stp>
        <stp>ASK</stp>
        <stp>Fill=#N/A</stp>
        <tr r="R50" s="1"/>
      </tp>
      <tp>
        <v>24.25</v>
        <stp/>
        <stp>BDP|2458435724687067900|222</stp>
        <stp>QSK7QSM7 Comdty</stp>
        <stp>BID</stp>
        <stp>Fill=#N/A</stp>
        <tr r="P28" s="1"/>
      </tp>
    </main>
    <main first="ice.rtd">
      <tp t="s">
        <v/>
        <stp/>
        <stp>15091310Q6:LstDate</stp>
        <tr r="J1408" s="5"/>
      </tp>
      <tp t="s">
        <v/>
        <stp/>
        <stp>15091310Q7:LstDate</stp>
        <tr r="J1409" s="5"/>
      </tp>
      <tp t="s">
        <v/>
        <stp/>
        <stp>15091310Q4:LstDate</stp>
        <tr r="J1406" s="5"/>
      </tp>
      <tp t="s">
        <v/>
        <stp/>
        <stp>15091310Q5:LstDate</stp>
        <tr r="J1407" s="5"/>
      </tp>
      <tp t="s">
        <v/>
        <stp/>
        <stp>15091310Q2:LstDate</stp>
        <tr r="J1404" s="5"/>
      </tp>
      <tp t="s">
        <v/>
        <stp/>
        <stp>15091310Q3:LstDate</stp>
        <tr r="J1405" s="5"/>
      </tp>
      <tp t="s">
        <v/>
        <stp/>
        <stp>15091310Q0:LstDate</stp>
        <tr r="J1402" s="5"/>
      </tp>
      <tp t="s">
        <v/>
        <stp/>
        <stp>15091310Q1:LstDate</stp>
        <tr r="J1403" s="5"/>
      </tp>
      <tp t="s">
        <v/>
        <stp/>
        <stp>15091310Q8:LstDate</stp>
        <tr r="J1410" s="5"/>
      </tp>
      <tp t="s">
        <v/>
        <stp/>
        <stp>15091310Y2:LstDate</stp>
        <tr r="J1413" s="5"/>
      </tp>
      <tp t="s">
        <v/>
        <stp/>
        <stp>15091310Y0:LstDate</stp>
        <tr r="J1411" s="5"/>
      </tp>
      <tp t="s">
        <v/>
        <stp/>
        <stp>15091310Y1:LstDate</stp>
        <tr r="J1412" s="5"/>
      </tp>
      <tp t="s">
        <v/>
        <stp/>
        <stp>15091310M6:LstDate</stp>
        <tr r="J1383" s="5"/>
      </tp>
      <tp t="s">
        <v/>
        <stp/>
        <stp>15091310M7:LstDate</stp>
        <tr r="J1384" s="5"/>
      </tp>
      <tp t="s">
        <v/>
        <stp/>
        <stp>15091310M4:LstDate</stp>
        <tr r="J1381" s="5"/>
      </tp>
      <tp t="s">
        <v/>
        <stp/>
        <stp>15091310M5:LstDate</stp>
        <tr r="J1382" s="5"/>
      </tp>
      <tp t="s">
        <v/>
        <stp/>
        <stp>15091310M2:LstDate</stp>
        <tr r="J1379" s="5"/>
      </tp>
      <tp t="s">
        <v/>
        <stp/>
        <stp>15091310M3:LstDate</stp>
        <tr r="J1380" s="5"/>
      </tp>
      <tp t="s">
        <v/>
        <stp/>
        <stp>15091310M0:LstDate</stp>
        <tr r="J1377" s="5"/>
      </tp>
      <tp t="s">
        <v/>
        <stp/>
        <stp>15091310M1:LstDate</stp>
        <tr r="J1378" s="5"/>
      </tp>
      <tp t="s">
        <v/>
        <stp/>
        <stp>15091310M8:LstDate</stp>
        <tr r="J1385" s="5"/>
      </tp>
      <tp t="s">
        <v/>
        <stp/>
        <stp>15091310M9:LstDate</stp>
        <tr r="J1386" s="5"/>
      </tp>
      <tp t="s">
        <v>DBI</v>
        <stp/>
        <stp>DBI1227YY0:PCC</stp>
        <tr r="B1681" s="5"/>
      </tp>
    </main>
    <main first="bofaddin.rtdserver">
      <tp>
        <v>6.5491000000000001</v>
        <stp/>
        <stp>BFXFORWARD|6098501827766556996|222</stp>
        <stp>USDCNY</stp>
        <stp>14M</stp>
        <stp>MidOutright</stp>
        <tr r="BD34" s="1"/>
      </tp>
    </main>
    <main first="ice.rtd">
      <tp t="s">
        <v/>
        <stp/>
        <stp>41767893M24:BstLiftPrc</stp>
        <tr r="H504" s="5"/>
      </tp>
      <tp t="s">
        <v/>
        <stp/>
        <stp>41767893M23:BstLiftPrc</stp>
        <tr r="H503" s="5"/>
      </tp>
      <tp t="s">
        <v/>
        <stp/>
        <stp>41767893M22:BstLiftPrc</stp>
        <tr r="H502" s="5"/>
      </tp>
      <tp t="s">
        <v/>
        <stp/>
        <stp>41767893M21:BstLiftPrc</stp>
        <tr r="H501" s="5"/>
      </tp>
      <tp t="s">
        <v/>
        <stp/>
        <stp>41767893M20:BstLiftPrc</stp>
        <tr r="H500" s="5"/>
      </tp>
      <tp t="s">
        <v/>
        <stp/>
        <stp>41767893M17:BstLiftPrc</stp>
        <tr r="H497" s="5"/>
      </tp>
      <tp t="s">
        <v/>
        <stp/>
        <stp>41767893M16:BstLiftPrc</stp>
        <tr r="H496" s="5"/>
      </tp>
      <tp t="s">
        <v/>
        <stp/>
        <stp>41767893M15:BstLiftPrc</stp>
        <tr r="H495" s="5"/>
      </tp>
      <tp t="s">
        <v/>
        <stp/>
        <stp>41767893M14:BstLiftPrc</stp>
        <tr r="H494" s="5"/>
      </tp>
      <tp t="s">
        <v/>
        <stp/>
        <stp>41767893M13:BstLiftPrc</stp>
        <tr r="H493" s="5"/>
      </tp>
      <tp t="s">
        <v/>
        <stp/>
        <stp>41767893M12:BstLiftPrc</stp>
        <tr r="H492" s="5"/>
      </tp>
      <tp t="s">
        <v/>
        <stp/>
        <stp>41767893M11:BstLiftPrc</stp>
        <tr r="H491" s="5"/>
      </tp>
      <tp t="s">
        <v/>
        <stp/>
        <stp>41767893M10:BstLiftPrc</stp>
        <tr r="H490" s="5"/>
      </tp>
      <tp t="s">
        <v/>
        <stp/>
        <stp>41767893M19:BstLiftPrc</stp>
        <tr r="H499" s="5"/>
      </tp>
      <tp t="s">
        <v/>
        <stp/>
        <stp>41767893M18:BstLiftPrc</stp>
        <tr r="H498" s="5"/>
      </tp>
      <tp>
        <v>0</v>
        <stp/>
        <stp>15061297YY0:OI</stp>
        <tr r="T1713" s="5"/>
      </tp>
      <tp t="s">
        <v/>
        <stp/>
        <stp>266419M1:LstBlkVol</stp>
        <tr r="L960" s="5"/>
      </tp>
      <tp t="s">
        <v/>
        <stp/>
        <stp>266419Q1:LstBlkVol</stp>
        <tr r="L985" s="5"/>
      </tp>
      <tp t="s">
        <v/>
        <stp/>
        <stp>266419Y1:LstBlkVol</stp>
        <tr r="L994" s="5"/>
      </tp>
      <tp>
        <v>0</v>
        <stp/>
        <stp>15061297QQ0:OI</stp>
        <tr r="T1711" s="5"/>
      </tp>
      <tp>
        <v>0</v>
        <stp/>
        <stp>15061297QQ1:OI</stp>
        <tr r="T1712" s="5"/>
      </tp>
      <tp t="s">
        <v/>
        <stp/>
        <stp>141587M0:LstBlkVol</stp>
        <tr r="L41" s="5"/>
      </tp>
      <tp t="s">
        <v/>
        <stp/>
        <stp>141587Q0:LstBlkVol</stp>
        <tr r="L66" s="5"/>
      </tp>
      <tp t="s">
        <v/>
        <stp/>
        <stp>141587Y0:LstBlkVol</stp>
        <tr r="L75" s="5"/>
      </tp>
      <tp t="s">
        <v/>
        <stp/>
        <stp>1517Q8:LstBlkVol</stp>
        <tr r="L36" s="5"/>
      </tp>
      <tp t="s">
        <v/>
        <stp/>
        <stp>1517M8:LstBlkVol</stp>
        <tr r="L11" s="5"/>
      </tp>
      <tp t="s">
        <v/>
        <stp/>
        <stp>141587M6:LstBlkPrc</stp>
        <tr r="K47" s="5"/>
      </tp>
      <tp t="s">
        <v/>
        <stp/>
        <stp>141587Q6:LstBlkPrc</stp>
        <tr r="K72" s="5"/>
      </tp>
      <tp t="s">
        <v/>
        <stp/>
        <stp>266419Q7:BstHitPrc</stp>
        <tr r="G991" s="5"/>
      </tp>
      <tp t="s">
        <v/>
        <stp/>
        <stp>266419M7:BstHitPrc</stp>
        <tr r="G966" s="5"/>
      </tp>
      <tp>
        <v>0</v>
        <stp/>
        <stp>15061297MM0:OI</stp>
        <tr r="T1683" s="5"/>
      </tp>
      <tp>
        <v>0</v>
        <stp/>
        <stp>15061297MM1:OI</stp>
        <tr r="T1684" s="5"/>
      </tp>
      <tp>
        <v>0</v>
        <stp/>
        <stp>15061297MM2:OI</stp>
        <tr r="T1685" s="5"/>
      </tp>
      <tp>
        <v>0</v>
        <stp/>
        <stp>15061297MM3:OI</stp>
        <tr r="T1686" s="5"/>
      </tp>
      <tp>
        <v>0</v>
        <stp/>
        <stp>15061297MM4:OI</stp>
        <tr r="T1687" s="5"/>
      </tp>
      <tp>
        <v>0</v>
        <stp/>
        <stp>15061297MM5:OI</stp>
        <tr r="T1688" s="5"/>
      </tp>
      <tp>
        <v>0</v>
        <stp/>
        <stp>15061297MM6:OI</stp>
        <tr r="T1689" s="5"/>
      </tp>
      <tp>
        <v>0</v>
        <stp/>
        <stp>15061297MM7:OI</stp>
        <tr r="T1690" s="5"/>
      </tp>
      <tp>
        <v>0</v>
        <stp/>
        <stp>15061297MM8:OI</stp>
        <tr r="T1691" s="5"/>
      </tp>
      <tp>
        <v>0</v>
        <stp/>
        <stp>15061297MM9:OI</stp>
        <tr r="T1692" s="5"/>
      </tp>
      <tp>
        <v>1</v>
        <stp/>
        <stp>32623993M24:OI</stp>
        <tr r="T2014" s="5"/>
      </tp>
      <tp>
        <v>1</v>
        <stp/>
        <stp>32623993M22:OI</stp>
        <tr r="T2012" s="5"/>
      </tp>
      <tp>
        <v>1</v>
        <stp/>
        <stp>32623993M23:OI</stp>
        <tr r="T2013" s="5"/>
      </tp>
      <tp>
        <v>1</v>
        <stp/>
        <stp>32623993M20:OI</stp>
        <tr r="T2010" s="5"/>
      </tp>
      <tp>
        <v>1</v>
        <stp/>
        <stp>32623993M21:OI</stp>
        <tr r="T2011" s="5"/>
      </tp>
      <tp>
        <v>1</v>
        <stp/>
        <stp>32623993M16:OI</stp>
        <tr r="T2006" s="5"/>
      </tp>
      <tp>
        <v>1</v>
        <stp/>
        <stp>32623993M17:OI</stp>
        <tr r="T2007" s="5"/>
      </tp>
      <tp>
        <v>81</v>
        <stp/>
        <stp>32623993M14:OI</stp>
        <tr r="T2004" s="5"/>
      </tp>
      <tp>
        <v>99</v>
        <stp/>
        <stp>32623993M15:OI</stp>
        <tr r="T2005" s="5"/>
      </tp>
      <tp>
        <v>50</v>
        <stp/>
        <stp>32623993M12:OI</stp>
        <tr r="T2002" s="5"/>
      </tp>
      <tp>
        <v>98</v>
        <stp/>
        <stp>32623993M13:OI</stp>
        <tr r="T2003" s="5"/>
      </tp>
      <tp>
        <v>68</v>
        <stp/>
        <stp>32623993M10:OI</stp>
        <tr r="T2000" s="5"/>
      </tp>
      <tp>
        <v>51</v>
        <stp/>
        <stp>32623993M11:OI</stp>
        <tr r="T2001" s="5"/>
      </tp>
      <tp>
        <v>1</v>
        <stp/>
        <stp>32623993M18:OI</stp>
        <tr r="T2008" s="5"/>
      </tp>
      <tp>
        <v>1</v>
        <stp/>
        <stp>32623993M19:OI</stp>
        <tr r="T2009" s="5"/>
      </tp>
    </main>
    <main first="bofaddin.rtdserver">
      <tp t="s">
        <v>#N/A</v>
        <stp/>
        <stp>BDP|14852024708430247307|222</stp>
        <stp>MUCG30 Comdty</stp>
        <stp>ASK</stp>
        <stp>Fill=#N/A</stp>
        <tr r="K60" s="1"/>
      </tp>
      <tp t="s">
        <v>#N/A</v>
        <stp/>
        <stp>BDP|17061801158925709600|222</stp>
        <stp>MUCJ28 Comdty</stp>
        <stp>BID</stp>
        <stp>Fill=#N/A</stp>
        <tr r="K38" s="1"/>
      </tp>
    </main>
    <main first="ice.rtd">
      <tp t="s">
        <v/>
        <stp/>
        <stp>141587Q6:BstHitPrc</stp>
        <tr r="G72" s="5"/>
      </tp>
      <tp>
        <v>3.65</v>
        <stp/>
        <stp>141587M6:BstHitPrc</stp>
        <tr r="G47" s="5"/>
      </tp>
      <tp t="s">
        <v/>
        <stp/>
        <stp>266419M7:LstBlkPrc</stp>
        <tr r="K966" s="5"/>
      </tp>
      <tp t="s">
        <v/>
        <stp/>
        <stp>266419Q7:LstBlkPrc</stp>
        <tr r="K991" s="5"/>
      </tp>
    </main>
    <main first="bofaddin.rtdserver">
      <tp t="s">
        <v>#N/A</v>
        <stp/>
        <stp>BDP|12057247175248538994|222</stp>
        <stp>MUCN28 Comdty</stp>
        <stp>ASK</stp>
        <stp>Fill=#N/A</stp>
        <tr r="K41" s="1"/>
      </tp>
    </main>
    <main first="ice.rtd">
      <tp t="s">
        <v/>
        <stp/>
        <stp>1986823075M19:LstBlkTime</stp>
        <tr r="M136" s="5"/>
      </tp>
      <tp t="s">
        <v/>
        <stp/>
        <stp>1986823075M18:LstBlkTime</stp>
        <tr r="M135" s="5"/>
      </tp>
      <tp t="s">
        <v/>
        <stp/>
        <stp>1986823075M11:LstBlkTime</stp>
        <tr r="M128" s="5"/>
      </tp>
      <tp t="s">
        <v/>
        <stp/>
        <stp>1986823075M10:LstBlkTime</stp>
        <tr r="M127" s="5"/>
      </tp>
      <tp t="s">
        <v/>
        <stp/>
        <stp>1986823075M13:LstBlkTime</stp>
        <tr r="M130" s="5"/>
      </tp>
      <tp t="s">
        <v/>
        <stp/>
        <stp>1986823075M12:LstBlkTime</stp>
        <tr r="M129" s="5"/>
      </tp>
      <tp t="s">
        <v/>
        <stp/>
        <stp>1986823075M15:LstBlkTime</stp>
        <tr r="M132" s="5"/>
      </tp>
      <tp t="s">
        <v/>
        <stp/>
        <stp>1986823075M14:LstBlkTime</stp>
        <tr r="M131" s="5"/>
      </tp>
      <tp t="s">
        <v/>
        <stp/>
        <stp>1986823075M17:LstBlkTime</stp>
        <tr r="M134" s="5"/>
      </tp>
      <tp t="s">
        <v/>
        <stp/>
        <stp>1986823075M16:LstBlkTime</stp>
        <tr r="M133" s="5"/>
      </tp>
      <tp t="s">
        <v/>
        <stp/>
        <stp>1986823075M21:LstBlkTime</stp>
        <tr r="M138" s="5"/>
      </tp>
      <tp t="s">
        <v/>
        <stp/>
        <stp>1986823075M20:LstBlkTime</stp>
        <tr r="M137" s="5"/>
      </tp>
      <tp t="s">
        <v/>
        <stp/>
        <stp>1986823075M23:LstBlkTime</stp>
        <tr r="M140" s="5"/>
      </tp>
      <tp t="s">
        <v/>
        <stp/>
        <stp>1986823075M22:LstBlkTime</stp>
        <tr r="M139" s="5"/>
      </tp>
      <tp t="s">
        <v/>
        <stp/>
        <stp>1986823075M24:LstBlkTime</stp>
        <tr r="M141" s="5"/>
      </tp>
      <tp t="s">
        <v/>
        <stp/>
        <stp>2427126288M24:LstBlkTime</stp>
        <tr r="M1059" s="5"/>
      </tp>
      <tp t="s">
        <v/>
        <stp/>
        <stp>2427126288M20:LstBlkTime</stp>
        <tr r="M1055" s="5"/>
      </tp>
      <tp t="s">
        <v/>
        <stp/>
        <stp>2427126288M21:LstBlkTime</stp>
        <tr r="M1056" s="5"/>
      </tp>
      <tp t="s">
        <v/>
        <stp/>
        <stp>2427126288M22:LstBlkTime</stp>
        <tr r="M1057" s="5"/>
      </tp>
      <tp t="s">
        <v/>
        <stp/>
        <stp>2427126288M23:LstBlkTime</stp>
        <tr r="M1058" s="5"/>
      </tp>
      <tp t="s">
        <v/>
        <stp/>
        <stp>2427126288M18:LstBlkTime</stp>
        <tr r="M1053" s="5"/>
      </tp>
      <tp t="s">
        <v/>
        <stp/>
        <stp>2427126288M19:LstBlkTime</stp>
        <tr r="M1054" s="5"/>
      </tp>
      <tp t="s">
        <v/>
        <stp/>
        <stp>2427126288M14:LstBlkTime</stp>
        <tr r="M1049" s="5"/>
      </tp>
      <tp t="s">
        <v/>
        <stp/>
        <stp>2427126288M15:LstBlkTime</stp>
        <tr r="M1050" s="5"/>
      </tp>
      <tp t="s">
        <v/>
        <stp/>
        <stp>2427126288M16:LstBlkTime</stp>
        <tr r="M1051" s="5"/>
      </tp>
      <tp t="s">
        <v/>
        <stp/>
        <stp>2427126288M17:LstBlkTime</stp>
        <tr r="M1052" s="5"/>
      </tp>
      <tp t="s">
        <v/>
        <stp/>
        <stp>2427126288M10:LstBlkTime</stp>
        <tr r="M1045" s="5"/>
      </tp>
      <tp t="s">
        <v/>
        <stp/>
        <stp>2427126288M11:LstBlkTime</stp>
        <tr r="M1046" s="5"/>
      </tp>
      <tp t="s">
        <v/>
        <stp/>
        <stp>2427126288M12:LstBlkTime</stp>
        <tr r="M1047" s="5"/>
      </tp>
      <tp t="s">
        <v/>
        <stp/>
        <stp>2427126288M13:LstBlkTime</stp>
        <tr r="M1048" s="5"/>
      </tp>
    </main>
    <main first="bofaddin.rtdserver">
      <tp>
        <v>1.53</v>
        <stp/>
        <stp>BDP|3145366907693659666|222</stp>
        <stp>XBX8XBZ8 Comdty</stp>
        <stp>BID</stp>
        <stp>Fill=#N/A</stp>
        <tr r="R46" s="1"/>
      </tp>
    </main>
    <main first="esrtd">
      <tp t="s">
        <v/>
        <stp/>
        <stp>BRN 26QP16000-ICE</stp>
        <stp>ImpVol</stp>
        <tr r="AK51" s="23"/>
      </tp>
      <tp t="s">
        <v/>
        <stp/>
        <stp>BRN 26QC16000-ICE</stp>
        <stp>ImpVol</stp>
        <tr r="AR51" s="23"/>
      </tp>
    </main>
    <main first="bofaddin.rtdserver">
      <tp t="s">
        <v>#N/A</v>
        <stp/>
        <stp>BDP|7781602857323450855|222</stp>
        <stp>XBU9XBV9 Comdty</stp>
        <stp>ASK</stp>
        <stp>Fill=#N/A</stp>
        <tr r="R56" s="1"/>
      </tp>
    </main>
    <main first="esrtd">
      <tp t="s">
        <v/>
        <stp/>
        <stp>BRN 26VP16000-ICE</stp>
        <stp>ImpVol</stp>
        <tr r="AK197" s="23"/>
      </tp>
      <tp t="s">
        <v/>
        <stp/>
        <stp>BRN 26VC16000-ICE</stp>
        <stp>ImpVol</stp>
        <tr r="AR197" s="23"/>
      </tp>
    </main>
    <main first="bofaddin.rtdserver">
      <tp t="s">
        <v>#N/A</v>
        <stp/>
        <stp>BDP|6838184696427526725|222</stp>
        <stp>XBV9XBX9 Comdty</stp>
        <stp>ASK</stp>
        <stp>Fill=#N/A</stp>
        <tr r="R57" s="1"/>
      </tp>
    </main>
    <main first="esrtd">
      <tp t="s">
        <v/>
        <stp/>
        <stp>BRN 26UP16000-ICE</stp>
        <stp>ImpVol</stp>
        <tr r="AK122" s="23"/>
      </tp>
      <tp t="s">
        <v/>
        <stp/>
        <stp>BRN 26UC16000-ICE</stp>
        <stp>ImpVol</stp>
        <tr r="AR122" s="23"/>
      </tp>
    </main>
    <main first="bofaddin.rtdserver">
      <tp>
        <v>0.98</v>
        <stp/>
        <stp>BDP|7858282638387651582|222</stp>
        <stp>COK7COM7 Comdty</stp>
        <stp>BID</stp>
        <stp>Fill=#N/A</stp>
        <tr r="O28" s="1"/>
      </tp>
      <tp>
        <v>1.38</v>
        <stp/>
        <stp>BDP|1981671298226036693|222</stp>
        <stp>XBF8XBG8 Comdty</stp>
        <stp>ASK</stp>
        <stp>Fill=#N/A</stp>
        <tr r="R36" s="1"/>
      </tp>
      <tp>
        <v>1.21</v>
        <stp/>
        <stp>BDP|3197987197830653827|222</stp>
        <stp>COJ7COK7 Comdty</stp>
        <stp>BID</stp>
        <stp>Fill=#N/A</stp>
        <tr r="O27" s="1"/>
      </tp>
      <tp t="s">
        <v>#N/A</v>
        <stp/>
        <stp>BDP|14499816284276345310|222</stp>
        <stp>OQAV8X8 Comdty</stp>
        <stp>ASK</stp>
        <stp>Fill=#N/A</stp>
        <tr r="T45" s="1"/>
      </tp>
      <tp t="s">
        <v>#N/A</v>
        <stp/>
        <stp>BDP|1744058075036123385|222</stp>
        <stp>XBV9XBX9 Comdty</stp>
        <stp>BID</stp>
        <stp>Fill=#N/A</stp>
        <tr r="R57" s="1"/>
      </tp>
      <tp>
        <v>0.33</v>
        <stp/>
        <stp>BDP|4774828328277692103|222</stp>
        <stp>CLX7CLZ7 Comdty</stp>
        <stp>BID</stp>
        <stp>Fill=#N/A</stp>
        <tr r="N34" s="1"/>
      </tp>
      <tp t="s">
        <v>#N/A</v>
        <stp/>
        <stp>BDP|8376417529470845546|222</stp>
        <stp>XBU9XBV9 Comdty</stp>
        <stp>BID</stp>
        <stp>Fill=#N/A</stp>
        <tr r="R56" s="1"/>
      </tp>
      <tp t="s">
        <v>#N/A Invalid Security</v>
        <stp/>
        <stp>BDP|8697235624193679621|222</stp>
        <stp>XBJ0XBK0 Comdty</stp>
        <stp>ASK</stp>
        <stp>Fill=#N/A</stp>
        <tr r="R63" s="1"/>
      </tp>
      <tp>
        <v>2.87</v>
        <stp/>
        <stp>BDP|1214191463322522546|222</stp>
        <stp>CLX6CLZ6 Comdty</stp>
        <stp>BID</stp>
        <stp>Fill=#N/A</stp>
        <tr r="N22" s="1"/>
      </tp>
      <tp t="s">
        <v>#N/A</v>
        <stp/>
        <stp>BDP|8198504046304928840|222</stp>
        <stp>QSK0QSM0 Comdty</stp>
        <stp>ASK</stp>
        <stp>Fill=#N/A</stp>
        <tr r="P64" s="1"/>
      </tp>
      <tp t="s">
        <v>#N/A</v>
        <stp/>
        <stp>BDP|10890083819394857790|222</stp>
        <stp>MUCV9X9 Comdty</stp>
        <stp>BID</stp>
        <stp>Fill=#N/A</stp>
        <tr r="S57" s="1"/>
      </tp>
    </main>
    <main first="ice.rtd">
      <tp>
        <v>0</v>
        <stp/>
        <stp>266419Q4:OI</stp>
        <tr r="T988" s="5"/>
      </tp>
      <tp>
        <v>0</v>
        <stp/>
        <stp>266419Q5:OI</stp>
        <tr r="T989" s="5"/>
      </tp>
      <tp>
        <v>0</v>
        <stp/>
        <stp>266419Q6:OI</stp>
        <tr r="T990" s="5"/>
      </tp>
      <tp>
        <v>0</v>
        <stp/>
        <stp>266419Q7:OI</stp>
        <tr r="T991" s="5"/>
      </tp>
      <tp>
        <v>0</v>
        <stp/>
        <stp>266419Q0:OI</stp>
        <tr r="T984" s="5"/>
      </tp>
      <tp>
        <v>0</v>
        <stp/>
        <stp>266419Q1:OI</stp>
        <tr r="T985" s="5"/>
      </tp>
      <tp>
        <v>0</v>
        <stp/>
        <stp>266419Q2:OI</stp>
        <tr r="T986" s="5"/>
      </tp>
      <tp>
        <v>0</v>
        <stp/>
        <stp>266419Q3:OI</stp>
        <tr r="T987" s="5"/>
      </tp>
      <tp>
        <v>0</v>
        <stp/>
        <stp>266419Q8:OI</stp>
        <tr r="T992" s="5"/>
      </tp>
      <tp>
        <v>0</v>
        <stp/>
        <stp>266419Y0:OI</stp>
        <tr r="T993" s="5"/>
      </tp>
      <tp>
        <v>0</v>
        <stp/>
        <stp>266419Y1:OI</stp>
        <tr r="T994" s="5"/>
      </tp>
      <tp>
        <v>0</v>
        <stp/>
        <stp>266419Y2:OI</stp>
        <tr r="T995" s="5"/>
      </tp>
      <tp>
        <v>37</v>
        <stp/>
        <stp>266419M4:OI</stp>
        <tr r="T963" s="5"/>
      </tp>
      <tp>
        <v>37</v>
        <stp/>
        <stp>266419M5:OI</stp>
        <tr r="T964" s="5"/>
      </tp>
      <tp>
        <v>37</v>
        <stp/>
        <stp>266419M6:OI</stp>
        <tr r="T965" s="5"/>
      </tp>
      <tp>
        <v>23</v>
        <stp/>
        <stp>266419M7:OI</stp>
        <tr r="T966" s="5"/>
      </tp>
      <tp>
        <v>593</v>
        <stp/>
        <stp>266419M0:OI</stp>
        <tr r="T959" s="5"/>
      </tp>
      <tp>
        <v>421</v>
        <stp/>
        <stp>266419M1:OI</stp>
        <tr r="T960" s="5"/>
      </tp>
      <tp>
        <v>157</v>
        <stp/>
        <stp>266419M2:OI</stp>
        <tr r="T961" s="5"/>
      </tp>
      <tp>
        <v>333</v>
        <stp/>
        <stp>266419M3:OI</stp>
        <tr r="T962" s="5"/>
      </tp>
      <tp>
        <v>23</v>
        <stp/>
        <stp>266419M8:OI</stp>
        <tr r="T967" s="5"/>
      </tp>
      <tp>
        <v>23</v>
        <stp/>
        <stp>266419M9:OI</stp>
        <tr r="T968" s="5"/>
      </tp>
      <tp t="s">
        <v/>
        <stp/>
        <stp>30793693Q6:LstDate</stp>
        <tr r="J914" s="5"/>
      </tp>
      <tp t="s">
        <v/>
        <stp/>
        <stp>30793693Q7:LstDate</stp>
        <tr r="J915" s="5"/>
      </tp>
      <tp t="s">
        <v/>
        <stp/>
        <stp>30793693Q4:LstDate</stp>
        <tr r="J912" s="5"/>
      </tp>
      <tp t="s">
        <v/>
        <stp/>
        <stp>30793693Q5:LstDate</stp>
        <tr r="J913" s="5"/>
      </tp>
      <tp t="s">
        <v/>
        <stp/>
        <stp>30793693Q2:LstDate</stp>
        <tr r="J910" s="5"/>
      </tp>
      <tp t="s">
        <v/>
        <stp/>
        <stp>30793693Q3:LstDate</stp>
        <tr r="J911" s="5"/>
      </tp>
      <tp t="s">
        <v/>
        <stp/>
        <stp>30793693Q0:LstDate</stp>
        <tr r="J908" s="5"/>
      </tp>
      <tp t="s">
        <v/>
        <stp/>
        <stp>30793693Q1:LstDate</stp>
        <tr r="J909" s="5"/>
      </tp>
      <tp t="s">
        <v/>
        <stp/>
        <stp>30793693Q8:LstDate</stp>
        <tr r="J916" s="5"/>
      </tp>
      <tp t="s">
        <v/>
        <stp/>
        <stp>30793693Y2:LstDate</stp>
        <tr r="J919" s="5"/>
      </tp>
      <tp t="s">
        <v/>
        <stp/>
        <stp>30793693Y0:LstDate</stp>
        <tr r="J917" s="5"/>
      </tp>
      <tp t="s">
        <v/>
        <stp/>
        <stp>30793693Y1:LstDate</stp>
        <tr r="J918" s="5"/>
      </tp>
      <tp t="s">
        <v/>
        <stp/>
        <stp>30793693M6:LstDate</stp>
        <tr r="J889" s="5"/>
      </tp>
      <tp t="s">
        <v/>
        <stp/>
        <stp>30793693M7:LstDate</stp>
        <tr r="J890" s="5"/>
      </tp>
      <tp t="s">
        <v/>
        <stp/>
        <stp>30793693M4:LstDate</stp>
        <tr r="J887" s="5"/>
      </tp>
      <tp t="s">
        <v/>
        <stp/>
        <stp>30793693M5:LstDate</stp>
        <tr r="J888" s="5"/>
      </tp>
      <tp t="s">
        <v/>
        <stp/>
        <stp>30793693M2:LstDate</stp>
        <tr r="J885" s="5"/>
      </tp>
      <tp t="s">
        <v/>
        <stp/>
        <stp>30793693M3:LstDate</stp>
        <tr r="J886" s="5"/>
      </tp>
      <tp t="s">
        <v/>
        <stp/>
        <stp>30793693M0:LstDate</stp>
        <tr r="J883" s="5"/>
      </tp>
      <tp>
        <v>46267.350876516204</v>
        <stp/>
        <stp>30793693M1:LstDate</stp>
        <tr r="J884" s="5"/>
      </tp>
      <tp t="s">
        <v/>
        <stp/>
        <stp>30793693M8:LstDate</stp>
        <tr r="J891" s="5"/>
      </tp>
      <tp t="s">
        <v/>
        <stp/>
        <stp>30793693M9:LstDate</stp>
        <tr r="J892" s="5"/>
      </tp>
    </main>
    <main first="bofaddin.rtdserver">
      <tp>
        <v>6.5076999999999998</v>
        <stp/>
        <stp>BFXFORWARD|1270406981628258722|222</stp>
        <stp>USDCNY</stp>
        <stp>17M</stp>
        <stp>MidOutright</stp>
        <tr r="BD37" s="1"/>
      </tp>
    </main>
    <main first="ice.rtd">
      <tp t="s">
        <v/>
        <stp/>
        <stp>266419M0:LstBlkVol</stp>
        <tr r="L959" s="5"/>
      </tp>
      <tp t="s">
        <v/>
        <stp/>
        <stp>266419Q0:LstBlkVol</stp>
        <tr r="L984" s="5"/>
      </tp>
      <tp t="s">
        <v/>
        <stp/>
        <stp>266419Y0:LstBlkVol</stp>
        <tr r="L993" s="5"/>
      </tp>
      <tp>
        <v>100</v>
        <stp/>
        <stp>141587M1:LstBlkVol</stp>
        <tr r="L42" s="5"/>
      </tp>
      <tp>
        <v>25</v>
        <stp/>
        <stp>141587Q1:LstBlkVol</stp>
        <tr r="L67" s="5"/>
      </tp>
      <tp t="s">
        <v/>
        <stp/>
        <stp>141587Y1:LstBlkVol</stp>
        <tr r="L76" s="5"/>
      </tp>
      <tp t="s">
        <v/>
        <stp/>
        <stp>1517M9:LstBlkVol</stp>
        <tr r="L12" s="5"/>
      </tp>
    </main>
    <main first="esrtd">
      <tp t="s">
        <v/>
        <stp/>
        <stp>WDF 19!-IEU</stp>
        <stp>Open Interest</stp>
        <tr r="T1796" s="5"/>
      </tp>
      <tp t="s">
        <v/>
        <stp/>
        <stp>WDF 18!-IEU</stp>
        <stp>Open Interest</stp>
        <tr r="T1795" s="5"/>
      </tp>
      <tp t="s">
        <v/>
        <stp/>
        <stp>WDF 13!-IEU</stp>
        <stp>Open Interest</stp>
        <tr r="T1790" s="5"/>
      </tp>
      <tp t="s">
        <v/>
        <stp/>
        <stp>WDF 12!-IEU</stp>
        <stp>Open Interest</stp>
        <tr r="T1789" s="5"/>
      </tp>
      <tp t="s">
        <v/>
        <stp/>
        <stp>WDF 11!-IEU</stp>
        <stp>Open Interest</stp>
        <tr r="T1788" s="5"/>
      </tp>
      <tp t="s">
        <v/>
        <stp/>
        <stp>WDF 10!-IEU</stp>
        <stp>Open Interest</stp>
        <tr r="T1787" s="5"/>
      </tp>
      <tp t="s">
        <v/>
        <stp/>
        <stp>WDF 17!-IEU</stp>
        <stp>Open Interest</stp>
        <tr r="T1794" s="5"/>
      </tp>
      <tp t="s">
        <v/>
        <stp/>
        <stp>WDF 16!-IEU</stp>
        <stp>Open Interest</stp>
        <tr r="T1793" s="5"/>
      </tp>
      <tp t="s">
        <v/>
        <stp/>
        <stp>WDF 15!-IEU</stp>
        <stp>Open Interest</stp>
        <tr r="T1792" s="5"/>
      </tp>
      <tp t="s">
        <v/>
        <stp/>
        <stp>WDF 14!-IEU</stp>
        <stp>Open Interest</stp>
        <tr r="T1791" s="5"/>
      </tp>
      <tp t="s">
        <v/>
        <stp/>
        <stp>WDF 30!-IEU</stp>
        <stp>Open Interest</stp>
        <tr r="T1807" s="5"/>
      </tp>
      <tp t="s">
        <v/>
        <stp/>
        <stp>WDF 29!-IEU</stp>
        <stp>Open Interest</stp>
        <tr r="T1806" s="5"/>
      </tp>
      <tp t="s">
        <v/>
        <stp/>
        <stp>WDF 28!-IEU</stp>
        <stp>Open Interest</stp>
        <tr r="T1805" s="5"/>
      </tp>
      <tp t="s">
        <v/>
        <stp/>
        <stp>WDF 23!-IEU</stp>
        <stp>Open Interest</stp>
        <tr r="T1800" s="5"/>
      </tp>
      <tp t="s">
        <v/>
        <stp/>
        <stp>WDF 22!-IEU</stp>
        <stp>Open Interest</stp>
        <tr r="T1799" s="5"/>
      </tp>
      <tp t="s">
        <v/>
        <stp/>
        <stp>WDF 21!-IEU</stp>
        <stp>Open Interest</stp>
        <tr r="T1798" s="5"/>
      </tp>
      <tp t="s">
        <v/>
        <stp/>
        <stp>WDF 20!-IEU</stp>
        <stp>Open Interest</stp>
        <tr r="T1797" s="5"/>
      </tp>
      <tp t="s">
        <v/>
        <stp/>
        <stp>WDF 27!-IEU</stp>
        <stp>Open Interest</stp>
        <tr r="T1804" s="5"/>
      </tp>
      <tp t="s">
        <v/>
        <stp/>
        <stp>WDF 26!-IEU</stp>
        <stp>Open Interest</stp>
        <tr r="T1803" s="5"/>
      </tp>
      <tp t="s">
        <v/>
        <stp/>
        <stp>WDF 25!-IEU</stp>
        <stp>Open Interest</stp>
        <tr r="T1802" s="5"/>
      </tp>
      <tp t="s">
        <v/>
        <stp/>
        <stp>WDF 24!-IEU</stp>
        <stp>Open Interest</stp>
        <tr r="T1801" s="5"/>
      </tp>
      <tp t="s">
        <v/>
        <stp/>
        <stp>WDF Q3!-IEU</stp>
        <stp>Open Interest</stp>
        <tr r="T1810" s="5"/>
      </tp>
      <tp t="s">
        <v/>
        <stp/>
        <stp>WDF Q2!-IEU</stp>
        <stp>Open Interest</stp>
        <tr r="T1809" s="5"/>
      </tp>
      <tp t="s">
        <v/>
        <stp/>
        <stp>WDF Q1!-IEU</stp>
        <stp>Open Interest</stp>
        <tr r="T1808" s="5"/>
      </tp>
      <tp t="s">
        <v/>
        <stp/>
        <stp>WDF Q4!-IEU</stp>
        <stp>Open Interest</stp>
        <tr r="T1811" s="5"/>
      </tp>
      <tp t="s">
        <v/>
        <stp/>
        <stp>WDF C2!-IEU</stp>
        <stp>Open Interest</stp>
        <tr r="T1812" s="5"/>
      </tp>
    </main>
    <main first="ice.rtd">
      <tp>
        <v>0</v>
        <stp/>
        <stp>35534143M18:OI</stp>
        <tr r="T726" s="5"/>
      </tp>
      <tp>
        <v>6</v>
        <stp/>
        <stp>35544144M18:OI</stp>
        <tr r="T650" s="5"/>
      </tp>
      <tp>
        <v>0</v>
        <stp/>
        <stp>35554145M18:OI</stp>
        <tr r="T688" s="5"/>
      </tp>
      <tp>
        <v>0</v>
        <stp/>
        <stp>35534143M19:OI</stp>
        <tr r="T727" s="5"/>
      </tp>
      <tp>
        <v>6</v>
        <stp/>
        <stp>35544144M19:OI</stp>
        <tr r="T651" s="5"/>
      </tp>
      <tp>
        <v>0</v>
        <stp/>
        <stp>35554145M19:OI</stp>
        <tr r="T689" s="5"/>
      </tp>
      <tp>
        <v>13</v>
        <stp/>
        <stp>35534143M10:OI</stp>
        <tr r="T718" s="5"/>
      </tp>
      <tp>
        <v>12</v>
        <stp/>
        <stp>35544144M10:OI</stp>
        <tr r="T642" s="5"/>
      </tp>
      <tp>
        <v>1</v>
        <stp/>
        <stp>35554145M10:OI</stp>
        <tr r="T680" s="5"/>
      </tp>
      <tp>
        <v>13</v>
        <stp/>
        <stp>35534143M11:OI</stp>
        <tr r="T719" s="5"/>
      </tp>
      <tp>
        <v>12</v>
        <stp/>
        <stp>35544144M11:OI</stp>
        <tr r="T643" s="5"/>
      </tp>
      <tp>
        <v>1</v>
        <stp/>
        <stp>35554145M11:OI</stp>
        <tr r="T681" s="5"/>
      </tp>
      <tp>
        <v>13</v>
        <stp/>
        <stp>35534143M12:OI</stp>
        <tr r="T720" s="5"/>
      </tp>
      <tp>
        <v>12</v>
        <stp/>
        <stp>35544144M12:OI</stp>
        <tr r="T644" s="5"/>
      </tp>
      <tp>
        <v>1</v>
        <stp/>
        <stp>35554145M12:OI</stp>
        <tr r="T682" s="5"/>
      </tp>
      <tp>
        <v>13</v>
        <stp/>
        <stp>35534143M13:OI</stp>
        <tr r="T721" s="5"/>
      </tp>
      <tp>
        <v>12</v>
        <stp/>
        <stp>35544144M13:OI</stp>
        <tr r="T645" s="5"/>
      </tp>
      <tp>
        <v>1</v>
        <stp/>
        <stp>35554145M13:OI</stp>
        <tr r="T683" s="5"/>
      </tp>
      <tp>
        <v>13</v>
        <stp/>
        <stp>35534143M14:OI</stp>
        <tr r="T722" s="5"/>
      </tp>
      <tp>
        <v>12</v>
        <stp/>
        <stp>35544144M14:OI</stp>
        <tr r="T646" s="5"/>
      </tp>
      <tp>
        <v>1</v>
        <stp/>
        <stp>35554145M14:OI</stp>
        <tr r="T684" s="5"/>
      </tp>
      <tp>
        <v>13</v>
        <stp/>
        <stp>35534143M15:OI</stp>
        <tr r="T723" s="5"/>
      </tp>
      <tp>
        <v>12</v>
        <stp/>
        <stp>35544144M15:OI</stp>
        <tr r="T647" s="5"/>
      </tp>
      <tp>
        <v>1</v>
        <stp/>
        <stp>35554145M15:OI</stp>
        <tr r="T685" s="5"/>
      </tp>
      <tp>
        <v>0</v>
        <stp/>
        <stp>35534143M16:OI</stp>
        <tr r="T724" s="5"/>
      </tp>
      <tp>
        <v>6</v>
        <stp/>
        <stp>35544144M16:OI</stp>
        <tr r="T648" s="5"/>
      </tp>
      <tp>
        <v>0</v>
        <stp/>
        <stp>35554145M16:OI</stp>
        <tr r="T686" s="5"/>
      </tp>
      <tp>
        <v>0</v>
        <stp/>
        <stp>35534143M17:OI</stp>
        <tr r="T725" s="5"/>
      </tp>
      <tp>
        <v>6</v>
        <stp/>
        <stp>35544144M17:OI</stp>
        <tr r="T649" s="5"/>
      </tp>
      <tp>
        <v>0</v>
        <stp/>
        <stp>35554145M17:OI</stp>
        <tr r="T687" s="5"/>
      </tp>
      <tp>
        <v>0</v>
        <stp/>
        <stp>35534143M20:OI</stp>
        <tr r="T728" s="5"/>
      </tp>
      <tp>
        <v>6</v>
        <stp/>
        <stp>35544144M20:OI</stp>
        <tr r="T652" s="5"/>
      </tp>
      <tp>
        <v>0</v>
        <stp/>
        <stp>35554145M20:OI</stp>
        <tr r="T690" s="5"/>
      </tp>
      <tp>
        <v>0</v>
        <stp/>
        <stp>35534143M21:OI</stp>
        <tr r="T729" s="5"/>
      </tp>
      <tp>
        <v>6</v>
        <stp/>
        <stp>35544144M21:OI</stp>
        <tr r="T653" s="5"/>
      </tp>
      <tp>
        <v>0</v>
        <stp/>
        <stp>35554145M21:OI</stp>
        <tr r="T691" s="5"/>
      </tp>
      <tp>
        <v>0</v>
        <stp/>
        <stp>35534143M22:OI</stp>
        <tr r="T730" s="5"/>
      </tp>
      <tp>
        <v>7</v>
        <stp/>
        <stp>35544144M22:OI</stp>
        <tr r="T654" s="5"/>
      </tp>
      <tp>
        <v>0</v>
        <stp/>
        <stp>35554145M22:OI</stp>
        <tr r="T692" s="5"/>
      </tp>
      <tp>
        <v>0</v>
        <stp/>
        <stp>35534143M23:OI</stp>
        <tr r="T731" s="5"/>
      </tp>
      <tp>
        <v>7</v>
        <stp/>
        <stp>35544144M23:OI</stp>
        <tr r="T655" s="5"/>
      </tp>
      <tp>
        <v>0</v>
        <stp/>
        <stp>35554145M23:OI</stp>
        <tr r="T693" s="5"/>
      </tp>
      <tp>
        <v>0</v>
        <stp/>
        <stp>35534143M24:OI</stp>
        <tr r="T732" s="5"/>
      </tp>
      <tp>
        <v>7</v>
        <stp/>
        <stp>35544144M24:OI</stp>
        <tr r="T656" s="5"/>
      </tp>
      <tp>
        <v>0</v>
        <stp/>
        <stp>35554145M24:OI</stp>
        <tr r="T694" s="5"/>
      </tp>
      <tp t="s">
        <v/>
        <stp/>
        <stp>141587M7:LstBlkPrc</stp>
        <tr r="K48" s="5"/>
      </tp>
      <tp t="s">
        <v/>
        <stp/>
        <stp>141587Q7:LstBlkPrc</stp>
        <tr r="K73" s="5"/>
      </tp>
      <tp t="s">
        <v/>
        <stp/>
        <stp>266419Q6:BstHitPrc</stp>
        <tr r="G990" s="5"/>
      </tp>
      <tp t="s">
        <v/>
        <stp/>
        <stp>266419M6:BstHitPrc</stp>
        <tr r="G965" s="5"/>
      </tp>
      <tp>
        <v>172</v>
        <stp/>
        <stp>16331513M23:OI</stp>
        <tr r="T1438" s="5"/>
      </tp>
      <tp>
        <v>145</v>
        <stp/>
        <stp>16341514M23:OI</stp>
        <tr r="T1476" s="5"/>
      </tp>
      <tp>
        <v>23</v>
        <stp/>
        <stp>16351515M23:OI</stp>
        <tr r="T1514" s="5"/>
      </tp>
      <tp>
        <v>172</v>
        <stp/>
        <stp>16331513M22:OI</stp>
        <tr r="T1437" s="5"/>
      </tp>
      <tp>
        <v>145</v>
        <stp/>
        <stp>16341514M22:OI</stp>
        <tr r="T1475" s="5"/>
      </tp>
      <tp>
        <v>23</v>
        <stp/>
        <stp>16351515M22:OI</stp>
        <tr r="T1513" s="5"/>
      </tp>
      <tp>
        <v>197</v>
        <stp/>
        <stp>16331513M21:OI</stp>
        <tr r="T1436" s="5"/>
      </tp>
      <tp>
        <v>125</v>
        <stp/>
        <stp>16341514M21:OI</stp>
        <tr r="T1474" s="5"/>
      </tp>
      <tp>
        <v>23</v>
        <stp/>
        <stp>16351515M21:OI</stp>
        <tr r="T1512" s="5"/>
      </tp>
      <tp>
        <v>197</v>
        <stp/>
        <stp>16331513M20:OI</stp>
        <tr r="T1435" s="5"/>
      </tp>
      <tp>
        <v>125</v>
        <stp/>
        <stp>16341514M20:OI</stp>
        <tr r="T1473" s="5"/>
      </tp>
      <tp>
        <v>23</v>
        <stp/>
        <stp>16351515M20:OI</stp>
        <tr r="T1511" s="5"/>
      </tp>
      <tp>
        <v>172</v>
        <stp/>
        <stp>16331513M24:OI</stp>
        <tr r="T1439" s="5"/>
      </tp>
      <tp>
        <v>145</v>
        <stp/>
        <stp>16341514M24:OI</stp>
        <tr r="T1477" s="5"/>
      </tp>
      <tp>
        <v>23</v>
        <stp/>
        <stp>16351515M24:OI</stp>
        <tr r="T1515" s="5"/>
      </tp>
      <tp>
        <v>197</v>
        <stp/>
        <stp>16331513M19:OI</stp>
        <tr r="T1434" s="5"/>
      </tp>
      <tp>
        <v>125</v>
        <stp/>
        <stp>16341514M19:OI</stp>
        <tr r="T1472" s="5"/>
      </tp>
      <tp>
        <v>34</v>
        <stp/>
        <stp>16351515M19:OI</stp>
        <tr r="T1510" s="5"/>
      </tp>
      <tp>
        <v>379</v>
        <stp/>
        <stp>16331513M18:OI</stp>
        <tr r="T1433" s="5"/>
      </tp>
      <tp>
        <v>125</v>
        <stp/>
        <stp>16341514M18:OI</stp>
        <tr r="T1471" s="5"/>
      </tp>
      <tp>
        <v>34</v>
        <stp/>
        <stp>16351515M18:OI</stp>
        <tr r="T1509" s="5"/>
      </tp>
      <tp>
        <v>1442</v>
        <stp/>
        <stp>16331513M13:OI</stp>
        <tr r="T1428" s="5"/>
      </tp>
      <tp>
        <v>274</v>
        <stp/>
        <stp>16341514M13:OI</stp>
        <tr r="T1466" s="5"/>
      </tp>
      <tp>
        <v>239</v>
        <stp/>
        <stp>16351515M13:OI</stp>
        <tr r="T1504" s="5"/>
      </tp>
      <tp>
        <v>1158</v>
        <stp/>
        <stp>16331513M12:OI</stp>
        <tr r="T1427" s="5"/>
      </tp>
      <tp>
        <v>286</v>
        <stp/>
        <stp>16341514M12:OI</stp>
        <tr r="T1465" s="5"/>
      </tp>
      <tp>
        <v>241</v>
        <stp/>
        <stp>16351515M12:OI</stp>
        <tr r="T1503" s="5"/>
      </tp>
      <tp>
        <v>1449</v>
        <stp/>
        <stp>16331513M11:OI</stp>
        <tr r="T1426" s="5"/>
      </tp>
      <tp>
        <v>286</v>
        <stp/>
        <stp>16341514M11:OI</stp>
        <tr r="T1464" s="5"/>
      </tp>
      <tp>
        <v>241</v>
        <stp/>
        <stp>16351515M11:OI</stp>
        <tr r="T1502" s="5"/>
      </tp>
      <tp>
        <v>1175</v>
        <stp/>
        <stp>16331513M10:OI</stp>
        <tr r="T1425" s="5"/>
      </tp>
      <tp>
        <v>286</v>
        <stp/>
        <stp>16341514M10:OI</stp>
        <tr r="T1463" s="5"/>
      </tp>
      <tp>
        <v>267</v>
        <stp/>
        <stp>16351515M10:OI</stp>
        <tr r="T1501" s="5"/>
      </tp>
      <tp>
        <v>379</v>
        <stp/>
        <stp>16331513M17:OI</stp>
        <tr r="T1432" s="5"/>
      </tp>
      <tp>
        <v>125</v>
        <stp/>
        <stp>16341514M17:OI</stp>
        <tr r="T1470" s="5"/>
      </tp>
      <tp>
        <v>34</v>
        <stp/>
        <stp>16351515M17:OI</stp>
        <tr r="T1508" s="5"/>
      </tp>
      <tp>
        <v>379</v>
        <stp/>
        <stp>16331513M16:OI</stp>
        <tr r="T1431" s="5"/>
      </tp>
      <tp>
        <v>126</v>
        <stp/>
        <stp>16341514M16:OI</stp>
        <tr r="T1469" s="5"/>
      </tp>
      <tp>
        <v>35</v>
        <stp/>
        <stp>16351515M16:OI</stp>
        <tr r="T1507" s="5"/>
      </tp>
      <tp>
        <v>1024</v>
        <stp/>
        <stp>16331513M15:OI</stp>
        <tr r="T1430" s="5"/>
      </tp>
      <tp>
        <v>274</v>
        <stp/>
        <stp>16341514M15:OI</stp>
        <tr r="T1468" s="5"/>
      </tp>
      <tp>
        <v>404</v>
        <stp/>
        <stp>16351515M15:OI</stp>
        <tr r="T1506" s="5"/>
      </tp>
      <tp>
        <v>1035</v>
        <stp/>
        <stp>16331513M14:OI</stp>
        <tr r="T1429" s="5"/>
      </tp>
      <tp>
        <v>273</v>
        <stp/>
        <stp>16341514M14:OI</stp>
        <tr r="T1467" s="5"/>
      </tp>
      <tp>
        <v>239</v>
        <stp/>
        <stp>16351515M14:OI</stp>
        <tr r="T1505" s="5"/>
      </tp>
      <tp>
        <v>0</v>
        <stp/>
        <stp>30813691M20:OI</stp>
        <tr r="T1973" s="5"/>
      </tp>
      <tp>
        <v>0</v>
        <stp/>
        <stp>30813691M21:OI</stp>
        <tr r="T1974" s="5"/>
      </tp>
      <tp>
        <v>0</v>
        <stp/>
        <stp>30813691M22:OI</stp>
        <tr r="T1975" s="5"/>
      </tp>
      <tp>
        <v>0</v>
        <stp/>
        <stp>30813691M23:OI</stp>
        <tr r="T1976" s="5"/>
      </tp>
      <tp>
        <v>0</v>
        <stp/>
        <stp>30813691M24:OI</stp>
        <tr r="T1977" s="5"/>
      </tp>
      <tp>
        <v>0</v>
        <stp/>
        <stp>30813691M18:OI</stp>
        <tr r="T1971" s="5"/>
      </tp>
      <tp>
        <v>0</v>
        <stp/>
        <stp>30813691M19:OI</stp>
        <tr r="T1972" s="5"/>
      </tp>
      <tp>
        <v>59</v>
        <stp/>
        <stp>30813691M10:OI</stp>
        <tr r="T1963" s="5"/>
      </tp>
      <tp>
        <v>59</v>
        <stp/>
        <stp>30813691M11:OI</stp>
        <tr r="T1964" s="5"/>
      </tp>
      <tp>
        <v>59</v>
        <stp/>
        <stp>30813691M12:OI</stp>
        <tr r="T1965" s="5"/>
      </tp>
      <tp>
        <v>60</v>
        <stp/>
        <stp>30813691M13:OI</stp>
        <tr r="T1966" s="5"/>
      </tp>
      <tp>
        <v>60</v>
        <stp/>
        <stp>30813691M14:OI</stp>
        <tr r="T1967" s="5"/>
      </tp>
      <tp>
        <v>60</v>
        <stp/>
        <stp>30813691M15:OI</stp>
        <tr r="T1968" s="5"/>
      </tp>
      <tp>
        <v>0</v>
        <stp/>
        <stp>30813691M16:OI</stp>
        <tr r="T1969" s="5"/>
      </tp>
      <tp>
        <v>0</v>
        <stp/>
        <stp>30813691M17:OI</stp>
        <tr r="T1970" s="5"/>
      </tp>
    </main>
    <main first="bofaddin.rtdserver">
      <tp t="s">
        <v>#N/A</v>
        <stp/>
        <stp>BDP|14868212834911125040|222</stp>
        <stp>OQAH30 Comdty</stp>
        <stp>ASK</stp>
        <stp>Fill=#N/A</stp>
        <tr r="L61" s="1"/>
      </tp>
      <tp t="s">
        <v>#N/A</v>
        <stp/>
        <stp>BDP|12005956662663354618|222</stp>
        <stp>MUCV29 Comdty</stp>
        <stp>BID</stp>
        <stp>Fill=#N/A</stp>
        <tr r="K56" s="1"/>
      </tp>
      <tp>
        <v>94.93</v>
        <stp/>
        <stp>BDP|17763087191948940121|222</stp>
        <stp>MUCF27 Comdty</stp>
        <stp>ASK</stp>
        <stp>Fill=#N/A</stp>
        <tr r="K23" s="1"/>
      </tp>
    </main>
    <main first="ice.rtd">
      <tp>
        <v>276</v>
        <stp/>
        <stp>46678127M24:OI</stp>
        <tr r="T369" s="5"/>
      </tp>
      <tp>
        <v>251</v>
        <stp/>
        <stp>46678127M21:OI</stp>
        <tr r="T366" s="5"/>
      </tp>
      <tp>
        <v>251</v>
        <stp/>
        <stp>46678127M20:OI</stp>
        <tr r="T365" s="5"/>
      </tp>
      <tp>
        <v>276</v>
        <stp/>
        <stp>46678127M23:OI</stp>
        <tr r="T368" s="5"/>
      </tp>
      <tp>
        <v>276</v>
        <stp/>
        <stp>46678127M22:OI</stp>
        <tr r="T367" s="5"/>
      </tp>
      <tp>
        <v>251</v>
        <stp/>
        <stp>46678127M19:OI</stp>
        <tr r="T364" s="5"/>
      </tp>
      <tp>
        <v>338</v>
        <stp/>
        <stp>46678127M18:OI</stp>
        <tr r="T363" s="5"/>
      </tp>
      <tp>
        <v>4351</v>
        <stp/>
        <stp>46678127M15:OI</stp>
        <tr r="T360" s="5"/>
      </tp>
      <tp>
        <v>1319</v>
        <stp/>
        <stp>46678127M14:OI</stp>
        <tr r="T359" s="5"/>
      </tp>
      <tp>
        <v>338</v>
        <stp/>
        <stp>46678127M17:OI</stp>
        <tr r="T362" s="5"/>
      </tp>
      <tp>
        <v>421</v>
        <stp/>
        <stp>46678127M16:OI</stp>
        <tr r="T361" s="5"/>
      </tp>
      <tp>
        <v>2635</v>
        <stp/>
        <stp>46678127M11:OI</stp>
        <tr r="T356" s="5"/>
      </tp>
      <tp>
        <v>2790</v>
        <stp/>
        <stp>46678127M10:OI</stp>
        <tr r="T355" s="5"/>
      </tp>
      <tp>
        <v>1369</v>
        <stp/>
        <stp>46678127M13:OI</stp>
        <tr r="T358" s="5"/>
      </tp>
      <tp>
        <v>3290</v>
        <stp/>
        <stp>46678127M12:OI</stp>
        <tr r="T357" s="5"/>
      </tp>
    </main>
    <main first="bofaddin.rtdserver">
      <tp t="s">
        <v>#N/A</v>
        <stp/>
        <stp>BDP|14557103256603530476|222</stp>
        <stp>MUCV27 Comdty</stp>
        <stp>ASK</stp>
        <stp>Fill=#N/A</stp>
        <tr r="K32" s="1"/>
      </tp>
    </main>
    <main first="ice.rtd">
      <tp t="s">
        <v/>
        <stp/>
        <stp>141587Q7:BstHitPrc</stp>
        <tr r="G73" s="5"/>
      </tp>
      <tp>
        <v>3.5</v>
        <stp/>
        <stp>141587M7:BstHitPrc</stp>
        <tr r="G48" s="5"/>
      </tp>
      <tp t="s">
        <v/>
        <stp/>
        <stp>266419M6:LstBlkPrc</stp>
        <tr r="K965" s="5"/>
      </tp>
      <tp t="s">
        <v/>
        <stp/>
        <stp>266419Q6:LstBlkPrc</stp>
        <tr r="K990" s="5"/>
      </tp>
    </main>
    <main first="bofaddin.rtdserver">
      <tp t="s">
        <v>#N/A</v>
        <stp/>
        <stp>BDP|16934440231883623736|222</stp>
        <stp>OQAQ28 Comdty</stp>
        <stp>ASK</stp>
        <stp>Fill=#N/A</stp>
        <tr r="L42" s="1"/>
      </tp>
    </main>
    <main first="ice.rtd">
      <tp t="s">
        <v/>
        <stp/>
        <stp>1517M18:LstBlkTime</stp>
        <tr r="M21" s="5"/>
      </tp>
      <tp t="s">
        <v/>
        <stp/>
        <stp>1517M19:LstBlkTime</stp>
        <tr r="M22" s="5"/>
      </tp>
      <tp t="s">
        <v/>
        <stp/>
        <stp>1517M10:LstBlkTime</stp>
        <tr r="M13" s="5"/>
      </tp>
      <tp t="s">
        <v/>
        <stp/>
        <stp>1517M11:LstBlkTime</stp>
        <tr r="M14" s="5"/>
      </tp>
      <tp t="s">
        <v/>
        <stp/>
        <stp>1517M12:LstBlkTime</stp>
        <tr r="M15" s="5"/>
      </tp>
      <tp t="s">
        <v/>
        <stp/>
        <stp>1517M13:LstBlkTime</stp>
        <tr r="M16" s="5"/>
      </tp>
      <tp t="s">
        <v/>
        <stp/>
        <stp>1517M14:LstBlkTime</stp>
        <tr r="M17" s="5"/>
      </tp>
      <tp t="s">
        <v/>
        <stp/>
        <stp>1517M15:LstBlkTime</stp>
        <tr r="M18" s="5"/>
      </tp>
      <tp t="s">
        <v/>
        <stp/>
        <stp>1517M16:LstBlkTime</stp>
        <tr r="M19" s="5"/>
      </tp>
      <tp t="s">
        <v/>
        <stp/>
        <stp>1517M17:LstBlkTime</stp>
        <tr r="M20" s="5"/>
      </tp>
      <tp t="s">
        <v/>
        <stp/>
        <stp>1517M20:LstBlkTime</stp>
        <tr r="M23" s="5"/>
      </tp>
      <tp t="s">
        <v/>
        <stp/>
        <stp>1517M21:LstBlkTime</stp>
        <tr r="M24" s="5"/>
      </tp>
      <tp t="s">
        <v/>
        <stp/>
        <stp>1517M22:LstBlkTime</stp>
        <tr r="M25" s="5"/>
      </tp>
      <tp t="s">
        <v/>
        <stp/>
        <stp>1517M23:LstBlkTime</stp>
        <tr r="M26" s="5"/>
      </tp>
      <tp t="s">
        <v/>
        <stp/>
        <stp>1517M24:LstBlkTime</stp>
        <tr r="M27" s="5"/>
      </tp>
    </main>
    <main first="bofaddin.rtdserver">
      <tp>
        <v>36.75</v>
        <stp/>
        <stp>BDP|9491843792594651723|222</stp>
        <stp>QSH7QSJ7 Comdty</stp>
        <stp>ASK</stp>
        <stp>Fill=#N/A</stp>
        <tr r="P26" s="1"/>
      </tp>
    </main>
    <main first="esrtd">
      <tp t="s">
        <v/>
        <stp/>
        <stp>BRN 26QP17000-ICE</stp>
        <stp>ImpVol</stp>
        <tr r="AK52" s="23"/>
      </tp>
      <tp t="s">
        <v/>
        <stp/>
        <stp>BRN 26QC17000-ICE</stp>
        <stp>ImpVol</stp>
        <tr r="AR52" s="23"/>
      </tp>
    </main>
    <main first="bofaddin.rtdserver">
      <tp>
        <v>-0.21</v>
        <stp/>
        <stp>BDP|2974550132823722868|222</stp>
        <stp>COF0COG0 Comdty</stp>
        <stp>BID</stp>
        <stp>Fill=#N/A</stp>
        <tr r="O60" s="1"/>
      </tp>
      <tp>
        <v>0.22</v>
        <stp/>
        <stp>BDP|9627298161139716347|222</stp>
        <stp>CLK8CLM8 Comdty</stp>
        <stp>ASK</stp>
        <stp>Fill=#N/A</stp>
        <tr r="N40" s="1"/>
      </tp>
      <tp>
        <v>0.19</v>
        <stp/>
        <stp>BDP|9827500697737290836|222</stp>
        <stp>CLJ9CLK9 Comdty</stp>
        <stp>ASK</stp>
        <stp>Fill=#N/A</stp>
        <tr r="N51" s="1"/>
      </tp>
      <tp>
        <v>3.73</v>
        <stp/>
        <stp>BDP|4783077950421808713|222</stp>
        <stp>HOU7HOV7 Comdty</stp>
        <stp>ASK</stp>
        <stp>Fill=#N/A</stp>
        <tr r="Q32" s="1"/>
      </tp>
    </main>
    <main first="ice.rtd">
      <tp t="s">
        <v/>
        <stp/>
        <stp>141587Y2:LstDate</stp>
        <tr r="J77" s="5"/>
      </tp>
      <tp t="s">
        <v/>
        <stp/>
        <stp>141587Y1:LstDate</stp>
        <tr r="J76" s="5"/>
      </tp>
      <tp t="s">
        <v/>
        <stp/>
        <stp>141587Y0:LstDate</stp>
        <tr r="J75" s="5"/>
      </tp>
      <tp t="s">
        <v/>
        <stp/>
        <stp>141587Q8:LstDate</stp>
        <tr r="J74" s="5"/>
      </tp>
      <tp t="s">
        <v/>
        <stp/>
        <stp>141587Q7:LstDate</stp>
        <tr r="J73" s="5"/>
      </tp>
      <tp t="s">
        <v/>
        <stp/>
        <stp>141587Q6:LstDate</stp>
        <tr r="J72" s="5"/>
      </tp>
      <tp t="s">
        <v/>
        <stp/>
        <stp>141587Q5:LstDate</stp>
        <tr r="J71" s="5"/>
      </tp>
      <tp t="s">
        <v/>
        <stp/>
        <stp>141587Q4:LstDate</stp>
        <tr r="J70" s="5"/>
      </tp>
      <tp t="s">
        <v/>
        <stp/>
        <stp>141587Q3:LstDate</stp>
        <tr r="J69" s="5"/>
      </tp>
      <tp>
        <v>46267.425805347222</v>
        <stp/>
        <stp>141587Q2:LstDate</stp>
        <tr r="J68" s="5"/>
      </tp>
      <tp>
        <v>46267.452870266206</v>
        <stp/>
        <stp>141587Q1:LstDate</stp>
        <tr r="J67" s="5"/>
      </tp>
      <tp>
        <v>46267.461666585645</v>
        <stp/>
        <stp>141587Q0:LstDate</stp>
        <tr r="J66" s="5"/>
      </tp>
      <tp t="s">
        <v/>
        <stp/>
        <stp>141587M9:LstDate</stp>
        <tr r="J50" s="5"/>
      </tp>
      <tp>
        <v>46267.425805347222</v>
        <stp/>
        <stp>141587M8:LstDate</stp>
        <tr r="J49" s="5"/>
      </tp>
      <tp>
        <v>46267.425805347222</v>
        <stp/>
        <stp>141587M7:LstDate</stp>
        <tr r="J48" s="5"/>
      </tp>
      <tp>
        <v>46267.452870277775</v>
        <stp/>
        <stp>141587M6:LstDate</stp>
        <tr r="J47" s="5"/>
      </tp>
      <tp>
        <v>46267.452870277775</v>
        <stp/>
        <stp>141587M5:LstDate</stp>
        <tr r="J46" s="5"/>
      </tp>
      <tp>
        <v>46267.459239664349</v>
        <stp/>
        <stp>141587M4:LstDate</stp>
        <tr r="J45" s="5"/>
      </tp>
      <tp>
        <v>46267.463381655092</v>
        <stp/>
        <stp>141587M3:LstDate</stp>
        <tr r="J44" s="5"/>
      </tp>
      <tp>
        <v>46267.463690590281</v>
        <stp/>
        <stp>141587M2:LstDate</stp>
        <tr r="J43" s="5"/>
      </tp>
      <tp>
        <v>46267.464289247684</v>
        <stp/>
        <stp>141587M1:LstDate</stp>
        <tr r="J42" s="5"/>
      </tp>
      <tp>
        <v>46267.395176273145</v>
        <stp/>
        <stp>141587M0:LstDate</stp>
        <tr r="J41" s="5"/>
      </tp>
      <tp>
        <v>11.98</v>
        <stp/>
        <stp>DBJ29446BM0:BstLiftPrc</stp>
        <tr r="H1647" s="5"/>
      </tp>
    </main>
    <main first="bofaddin.rtdserver">
      <tp t="s">
        <v>#N/A</v>
        <stp/>
        <stp>BDP|15783314805948241845|222</stp>
        <stp>SCPZ29 Comdty</stp>
        <stp>ASK</stp>
        <stp>Fill=#N/A</stp>
        <tr r="M58" s="1"/>
      </tp>
    </main>
    <main first="ice.rtd">
      <tp t="s">
        <v/>
        <stp/>
        <stp>41787896M23:BstHitPrc</stp>
        <tr r="G830" s="5"/>
      </tp>
      <tp t="s">
        <v/>
        <stp/>
        <stp>41787896M13:BstHitPrc</stp>
        <tr r="G820" s="5"/>
      </tp>
      <tp t="s">
        <v/>
        <stp/>
        <stp>41767893M13:LstBlkPrc</stp>
        <tr r="K493" s="5"/>
      </tp>
      <tp t="s">
        <v/>
        <stp/>
        <stp>41767893M23:LstBlkPrc</stp>
        <tr r="K503" s="5"/>
      </tp>
      <tp t="s">
        <v/>
        <stp/>
        <stp>34344092M17:LstBlkPrc</stp>
        <tr r="K1280" s="5"/>
      </tp>
      <tp t="s">
        <v/>
        <stp/>
        <stp>34354093M17:LstBlkPrc</stp>
        <tr r="K1318" s="5"/>
      </tp>
      <tp t="s">
        <v/>
        <stp/>
        <stp>30793693M13:BstHitPrc</stp>
        <tr r="G896" s="5"/>
      </tp>
      <tp t="s">
        <v/>
        <stp/>
        <stp>30793693M23:BstHitPrc</stp>
        <tr r="G906" s="5"/>
      </tp>
      <tp t="s">
        <v/>
        <stp/>
        <stp>46678127M19:LstBlkPrc</stp>
        <tr r="K364" s="5"/>
      </tp>
      <tp t="s">
        <v>Sep26/Jan27</v>
        <stp/>
        <stp>DBI1227MM3:Strip</stp>
        <tr r="E1654" s="5"/>
      </tp>
      <tp t="s">
        <v/>
        <stp/>
        <stp>32623993M22:LstBlkPrc</stp>
        <tr r="K2012" s="5"/>
      </tp>
      <tp t="s">
        <v/>
        <stp/>
        <stp>32623993M12:LstBlkPrc</stp>
        <tr r="K2002" s="5"/>
      </tp>
      <tp t="s">
        <v/>
        <stp/>
        <stp>15061297MM4:LstBlkPrc</stp>
        <tr r="K1687" s="5"/>
      </tp>
    </main>
    <main first="bofaddin.rtdserver">
      <tp t="s">
        <v>#N/A Invalid Security</v>
        <stp/>
        <stp>BDP|17092421199676057419|222</stp>
        <stp>SCPJ30 Comdty</stp>
        <stp>BID</stp>
        <stp>Fill=#N/A</stp>
        <tr r="M62" s="1"/>
      </tp>
    </main>
    <main first="ice.rtd">
      <tp t="s">
        <v/>
        <stp/>
        <stp>34404098M20:BstHitPrc</stp>
        <tr r="G614" s="5"/>
      </tp>
      <tp t="s">
        <v/>
        <stp/>
        <stp>34414099M20:BstHitPrc</stp>
        <tr r="G99" s="5"/>
      </tp>
      <tp t="s">
        <v/>
        <stp/>
        <stp>34404098M10:BstHitPrc</stp>
        <tr r="G604" s="5"/>
      </tp>
      <tp>
        <v>91.5</v>
        <stp/>
        <stp>34414099M10:BstHitPrc</stp>
        <tr r="G89" s="5"/>
      </tp>
      <tp t="s">
        <v/>
        <stp/>
        <stp>34364094M17:LstBlkPrc</stp>
        <tr r="K535" s="5"/>
      </tp>
      <tp t="s">
        <v/>
        <stp/>
        <stp>34374095M17:LstBlkPrc</stp>
        <tr r="K573" s="5"/>
      </tp>
      <tp t="s">
        <v/>
        <stp/>
        <stp>32613992M22:LstBlkPrc</stp>
        <tr r="K1247" s="5"/>
      </tp>
      <tp t="s">
        <v/>
        <stp/>
        <stp>32613992M12:LstBlkPrc</stp>
        <tr r="K1237" s="5"/>
      </tp>
      <tp t="s">
        <v/>
        <stp/>
        <stp>34344092M17:BstHitPrc</stp>
        <tr r="G1280" s="5"/>
      </tp>
      <tp t="s">
        <v/>
        <stp/>
        <stp>34354093M17:BstHitPrc</stp>
        <tr r="G1318" s="5"/>
      </tp>
    </main>
    <main first="bofaddin.rtdserver">
      <tp t="s">
        <v>#N/A</v>
        <stp/>
        <stp>BDP|13955834107763153092|222</stp>
        <stp>SCPM30 Comdty</stp>
        <stp>BID</stp>
        <stp>Fill=#N/A</stp>
        <tr r="M64" s="1"/>
      </tp>
    </main>
    <main first="ice.rtd">
      <tp t="s">
        <v/>
        <stp/>
        <stp>41787896M13:LstBlkPrc</stp>
        <tr r="K820" s="5"/>
      </tp>
      <tp t="s">
        <v/>
        <stp/>
        <stp>41787896M23:LstBlkPrc</stp>
        <tr r="K830" s="5"/>
      </tp>
    </main>
    <main first="bofaddin.rtdserver">
      <tp t="s">
        <v>#N/A Invalid Security</v>
        <stp/>
        <stp>BDP|11580982793316475156|222</stp>
        <stp>SCPJ28 Comdty</stp>
        <stp>ASK</stp>
        <stp>Fill=#N/A</stp>
        <tr r="M38" s="1"/>
      </tp>
    </main>
    <main first="ice.rtd">
      <tp t="s">
        <v/>
        <stp/>
        <stp>41767893M23:BstHitPrc</stp>
        <tr r="G503" s="5"/>
      </tp>
      <tp t="s">
        <v/>
        <stp/>
        <stp>41767893M13:BstHitPrc</stp>
        <tr r="G493" s="5"/>
      </tp>
      <tp t="s">
        <v/>
        <stp/>
        <stp>34364094M17:BstHitPrc</stp>
        <tr r="G535" s="5"/>
      </tp>
      <tp t="s">
        <v/>
        <stp/>
        <stp>34374095M17:BstHitPrc</stp>
        <tr r="G573" s="5"/>
      </tp>
      <tp t="s">
        <v/>
        <stp/>
        <stp>34404098M10:LstBlkPrc</stp>
        <tr r="K604" s="5"/>
      </tp>
      <tp t="s">
        <v/>
        <stp/>
        <stp>34414099M10:LstBlkPrc</stp>
        <tr r="K89" s="5"/>
      </tp>
      <tp t="s">
        <v/>
        <stp/>
        <stp>34404098M20:LstBlkPrc</stp>
        <tr r="K614" s="5"/>
      </tp>
      <tp t="s">
        <v/>
        <stp/>
        <stp>34414099M20:LstBlkPrc</stp>
        <tr r="K99" s="5"/>
      </tp>
      <tp t="s">
        <v/>
        <stp/>
        <stp>32613992M12:BstHitPrc</stp>
        <tr r="G1237" s="5"/>
      </tp>
      <tp t="s">
        <v/>
        <stp/>
        <stp>32613992M22:BstHitPrc</stp>
        <tr r="G1247" s="5"/>
      </tp>
      <tp t="s">
        <v/>
        <stp/>
        <stp>30793693M23:LstBlkPrc</stp>
        <tr r="K906" s="5"/>
      </tp>
      <tp t="s">
        <v/>
        <stp/>
        <stp>30793693M13:LstBlkPrc</stp>
        <tr r="K896" s="5"/>
      </tp>
      <tp t="s">
        <v/>
        <stp/>
        <stp>46678127M19:BstHitPrc</stp>
        <tr r="G364" s="5"/>
      </tp>
      <tp t="s">
        <v/>
        <stp/>
        <stp>32623993M12:BstHitPrc</stp>
        <tr r="G2002" s="5"/>
      </tp>
      <tp t="s">
        <v/>
        <stp/>
        <stp>32623993M22:BstHitPrc</stp>
        <tr r="G2012" s="5"/>
      </tp>
      <tp t="s">
        <v/>
        <stp/>
        <stp>15061297MM4:BstHitPrc</stp>
        <tr r="G1687" s="5"/>
      </tp>
      <tp t="s">
        <v/>
        <stp/>
        <stp>34404098M16:LstBlkVol</stp>
        <tr r="L610" s="5"/>
      </tp>
      <tp t="s">
        <v/>
        <stp/>
        <stp>34414099M16:LstBlkVol</stp>
        <tr r="L95" s="5"/>
      </tp>
      <tp t="s">
        <v/>
        <stp/>
        <stp>30793693M15:LstBlkVol</stp>
        <tr r="L898" s="5"/>
      </tp>
      <tp t="s">
        <v/>
        <stp/>
        <stp>41787896M15:LstBlkVol</stp>
        <tr r="L822" s="5"/>
      </tp>
      <tp t="s">
        <v/>
        <stp/>
        <stp>32623993M24:LstBlkVol</stp>
        <tr r="L2014" s="5"/>
      </tp>
      <tp t="s">
        <v/>
        <stp/>
        <stp>32623993M14:LstBlkVol</stp>
        <tr r="L2004" s="5"/>
      </tp>
      <tp t="s">
        <v/>
        <stp/>
        <stp>15061297MM2:LstBlkVol</stp>
        <tr r="L1685" s="5"/>
      </tp>
      <tp t="s">
        <v/>
        <stp/>
        <stp>16331513M19:LstBlkVol</stp>
        <tr r="L1434" s="5"/>
      </tp>
      <tp t="s">
        <v/>
        <stp/>
        <stp>16341514M19:LstBlkVol</stp>
        <tr r="L1472" s="5"/>
      </tp>
      <tp t="s">
        <v/>
        <stp/>
        <stp>16351515M19:LstBlkVol</stp>
        <tr r="L1510" s="5"/>
      </tp>
      <tp t="s">
        <v/>
        <stp/>
        <stp>32613992M24:LstBlkVol</stp>
        <tr r="L1249" s="5"/>
      </tp>
      <tp t="s">
        <v/>
        <stp/>
        <stp>32613992M14:LstBlkVol</stp>
        <tr r="L1239" s="5"/>
      </tp>
      <tp t="s">
        <v/>
        <stp/>
        <stp>34364094M11:LstBlkVol</stp>
        <tr r="L529" s="5"/>
      </tp>
      <tp t="s">
        <v/>
        <stp/>
        <stp>34374095M11:LstBlkVol</stp>
        <tr r="L567" s="5"/>
      </tp>
      <tp t="s">
        <v/>
        <stp/>
        <stp>34364094M21:LstBlkVol</stp>
        <tr r="L539" s="5"/>
      </tp>
      <tp t="s">
        <v/>
        <stp/>
        <stp>34374095M21:LstBlkVol</stp>
        <tr r="L577" s="5"/>
      </tp>
      <tp t="s">
        <v/>
        <stp/>
        <stp>41767893M15:LstBlkVol</stp>
        <tr r="L495" s="5"/>
      </tp>
      <tp t="s">
        <v>Invalid Market: 57179020M18</v>
        <stp/>
        <stp>57179020M18:LstBlkVol</stp>
        <tr r="L1565" s="5"/>
      </tp>
      <tp t="s">
        <v/>
        <stp/>
        <stp>34344092M11:LstBlkVol</stp>
        <tr r="L1274" s="5"/>
      </tp>
      <tp t="s">
        <v/>
        <stp/>
        <stp>34354093M11:LstBlkVol</stp>
        <tr r="L1312" s="5"/>
      </tp>
      <tp t="s">
        <v/>
        <stp/>
        <stp>34344092M21:LstBlkVol</stp>
        <tr r="L1284" s="5"/>
      </tp>
      <tp t="s">
        <v/>
        <stp/>
        <stp>34354093M21:LstBlkVol</stp>
        <tr r="L1322" s="5"/>
      </tp>
    </main>
    <main first="esrtd">
      <tp t="s">
        <v/>
        <stp/>
        <stp>BRN 26VC14000-ICE</stp>
        <stp>OldSettlement</stp>
        <tr r="AN194" s="23"/>
      </tp>
      <tp t="s">
        <v/>
        <stp/>
        <stp>BRN 26VP14000-ICE</stp>
        <stp>OldSettlement</stp>
        <tr r="AG194" s="23"/>
      </tp>
      <tp t="s">
        <v/>
        <stp/>
        <stp>BRN 26UC14000-ICE</stp>
        <stp>OldSettlement</stp>
        <tr r="AN121" s="23"/>
      </tp>
      <tp t="s">
        <v/>
        <stp/>
        <stp>BRN 26UP14000-ICE</stp>
        <stp>OldSettlement</stp>
        <tr r="AG121" s="23"/>
      </tp>
      <tp t="s">
        <v/>
        <stp/>
        <stp>BRN 26VC14500-ICE</stp>
        <stp>OldSettlement</stp>
        <tr r="AN195" s="23"/>
      </tp>
      <tp t="s">
        <v/>
        <stp/>
        <stp>BRN 26VP14500-ICE</stp>
        <stp>OldSettlement</stp>
        <tr r="AG195" s="23"/>
      </tp>
    </main>
    <main first="ice.rtd">
      <tp t="s">
        <v/>
        <stp/>
        <stp>266M7:LstBlkVol</stp>
        <tr r="L928" s="5"/>
      </tp>
      <tp t="s">
        <v/>
        <stp/>
        <stp>266Q7:LstBlkVol</stp>
        <tr r="L953" s="5"/>
      </tp>
    </main>
    <main first="esrtd">
      <tp t="s">
        <v/>
        <stp/>
        <stp>BRN 26VC15000-ICE</stp>
        <stp>OldSettlement</stp>
        <tr r="AN196" s="23"/>
      </tp>
      <tp t="s">
        <v/>
        <stp/>
        <stp>BRN 26VP15000-ICE</stp>
        <stp>OldSettlement</stp>
        <tr r="AG196" s="23"/>
      </tp>
      <tp t="s">
        <v/>
        <stp/>
        <stp>BRN 26QC15000-ICE</stp>
        <stp>OldSettlement</stp>
        <tr r="AN50" s="23"/>
      </tp>
      <tp t="s">
        <v/>
        <stp/>
        <stp>BRN 26QP15000-ICE</stp>
        <stp>OldSettlement</stp>
        <tr r="AG50" s="23"/>
      </tp>
      <tp t="s">
        <v/>
        <stp/>
        <stp>BRN 26VC16000-ICE</stp>
        <stp>OldSettlement</stp>
        <tr r="AN197" s="23"/>
      </tp>
      <tp t="s">
        <v/>
        <stp/>
        <stp>BRN 26VP16000-ICE</stp>
        <stp>OldSettlement</stp>
        <tr r="AG197" s="23"/>
      </tp>
      <tp t="s">
        <v/>
        <stp/>
        <stp>BRN 26UC16000-ICE</stp>
        <stp>OldSettlement</stp>
        <tr r="AN122" s="23"/>
      </tp>
      <tp t="s">
        <v/>
        <stp/>
        <stp>BRN 26UP16000-ICE</stp>
        <stp>OldSettlement</stp>
        <tr r="AG122" s="23"/>
      </tp>
      <tp t="s">
        <v/>
        <stp/>
        <stp>BRN 26QC16000-ICE</stp>
        <stp>OldSettlement</stp>
        <tr r="AN51" s="23"/>
      </tp>
      <tp t="s">
        <v/>
        <stp/>
        <stp>BRN 26QP16000-ICE</stp>
        <stp>OldSettlement</stp>
        <tr r="AG51" s="23"/>
      </tp>
      <tp t="s">
        <v/>
        <stp/>
        <stp>BRN 26QC17000-ICE</stp>
        <stp>OldSettlement</stp>
        <tr r="AN52" s="23"/>
      </tp>
      <tp t="s">
        <v/>
        <stp/>
        <stp>BRN 26QP17000-ICE</stp>
        <stp>OldSettlement</stp>
        <tr r="AG52" s="23"/>
      </tp>
      <tp t="s">
        <v/>
        <stp/>
        <stp>BRN 26UC10900-ICE</stp>
        <stp>OldSettlement</stp>
        <tr r="AN113" s="23"/>
      </tp>
      <tp t="s">
        <v/>
        <stp/>
        <stp>BRN 26UP10900-ICE</stp>
        <stp>OldSettlement</stp>
        <tr r="AG113" s="23"/>
      </tp>
      <tp t="s">
        <v/>
        <stp/>
        <stp>BRN 26UC10000-ICE</stp>
        <stp>OldSettlement</stp>
        <tr r="AN112" s="23"/>
      </tp>
      <tp t="s">
        <v/>
        <stp/>
        <stp>BRN 26UP10000-ICE</stp>
        <stp>OldSettlement</stp>
        <tr r="AG112" s="23"/>
      </tp>
      <tp t="s">
        <v/>
        <stp/>
        <stp>BRN 26VC10500-ICE</stp>
        <stp>OldSettlement</stp>
        <tr r="AN184" s="23"/>
      </tp>
      <tp t="s">
        <v/>
        <stp/>
        <stp>BRN 26VP10500-ICE</stp>
        <stp>OldSettlement</stp>
        <tr r="AG184" s="23"/>
      </tp>
      <tp t="s">
        <v/>
        <stp/>
        <stp>BRN 26VC10750-ICE</stp>
        <stp>OldSettlement</stp>
        <tr r="AN185" s="23"/>
      </tp>
      <tp t="s">
        <v/>
        <stp/>
        <stp>BRN 26VP10750-ICE</stp>
        <stp>OldSettlement</stp>
        <tr r="AG185" s="23"/>
      </tp>
      <tp t="s">
        <v/>
        <stp/>
        <stp>BRN 26UC11200-ICE</stp>
        <stp>OldSettlement</stp>
        <tr r="AN115" s="23"/>
      </tp>
      <tp t="s">
        <v/>
        <stp/>
        <stp>BRN 26UP11200-ICE</stp>
        <stp>OldSettlement</stp>
        <tr r="AG115" s="23"/>
      </tp>
      <tp t="s">
        <v/>
        <stp/>
        <stp>BRN 26UC11300-ICE</stp>
        <stp>OldSettlement</stp>
        <tr r="AN116" s="23"/>
      </tp>
      <tp t="s">
        <v/>
        <stp/>
        <stp>BRN 26VC11000-ICE</stp>
        <stp>OldSettlement</stp>
        <tr r="AN186" s="23"/>
      </tp>
      <tp t="s">
        <v/>
        <stp/>
        <stp>BRN 26UP11300-ICE</stp>
        <stp>OldSettlement</stp>
        <tr r="AG116" s="23"/>
      </tp>
      <tp t="s">
        <v/>
        <stp/>
        <stp>BRN 26VP11000-ICE</stp>
        <stp>OldSettlement</stp>
        <tr r="AG186" s="23"/>
      </tp>
      <tp t="s">
        <v/>
        <stp/>
        <stp>BRN 26UC11000-ICE</stp>
        <stp>OldSettlement</stp>
        <tr r="AN114" s="23"/>
      </tp>
      <tp t="s">
        <v/>
        <stp/>
        <stp>BRN 26VC11300-ICE</stp>
        <stp>OldSettlement</stp>
        <tr r="AN187" s="23"/>
      </tp>
      <tp t="s">
        <v/>
        <stp/>
        <stp>BRN 26UP11000-ICE</stp>
        <stp>OldSettlement</stp>
        <tr r="AG114" s="23"/>
      </tp>
      <tp t="s">
        <v/>
        <stp/>
        <stp>BRN 26VP11300-ICE</stp>
        <stp>OldSettlement</stp>
        <tr r="AG187" s="23"/>
      </tp>
      <tp t="s">
        <v/>
        <stp/>
        <stp>BRN 26VC11500-ICE</stp>
        <stp>OldSettlement</stp>
        <tr r="AN188" s="23"/>
      </tp>
      <tp t="s">
        <v/>
        <stp/>
        <stp>BRN 26VP11500-ICE</stp>
        <stp>OldSettlement</stp>
        <tr r="AG188" s="23"/>
      </tp>
      <tp t="s">
        <v/>
        <stp/>
        <stp>BRN 26UC11500-ICE</stp>
        <stp>OldSettlement</stp>
        <tr r="AN117" s="23"/>
      </tp>
      <tp t="s">
        <v/>
        <stp/>
        <stp>BRN 26UP11500-ICE</stp>
        <stp>OldSettlement</stp>
        <tr r="AG117" s="23"/>
      </tp>
      <tp t="s">
        <v/>
        <stp/>
        <stp>BRN 26VC12000-ICE</stp>
        <stp>OldSettlement</stp>
        <tr r="AN189" s="23"/>
      </tp>
      <tp t="s">
        <v/>
        <stp/>
        <stp>BRN 26VP12000-ICE</stp>
        <stp>OldSettlement</stp>
        <tr r="AG189" s="23"/>
      </tp>
      <tp t="s">
        <v/>
        <stp/>
        <stp>BRN 26UC12000-ICE</stp>
        <stp>OldSettlement</stp>
        <tr r="AN118" s="23"/>
      </tp>
      <tp t="s">
        <v/>
        <stp/>
        <stp>BRN 26UP12000-ICE</stp>
        <stp>OldSettlement</stp>
        <tr r="AG118" s="23"/>
      </tp>
      <tp t="s">
        <v/>
        <stp/>
        <stp>BRN 26VC12500-ICE</stp>
        <stp>OldSettlement</stp>
        <tr r="AN190" s="23"/>
      </tp>
      <tp t="s">
        <v/>
        <stp/>
        <stp>BRN 26VP12500-ICE</stp>
        <stp>OldSettlement</stp>
        <tr r="AG190" s="23"/>
      </tp>
      <tp t="s">
        <v/>
        <stp/>
        <stp>BRN 26UC12500-ICE</stp>
        <stp>OldSettlement</stp>
        <tr r="AN119" s="23"/>
      </tp>
      <tp t="s">
        <v/>
        <stp/>
        <stp>BRN 26UP12500-ICE</stp>
        <stp>OldSettlement</stp>
        <tr r="AG119" s="23"/>
      </tp>
      <tp t="s">
        <v/>
        <stp/>
        <stp>BRN 26VC13100-ICE</stp>
        <stp>OldSettlement</stp>
        <tr r="AN192" s="23"/>
      </tp>
      <tp t="s">
        <v/>
        <stp/>
        <stp>BRN 26VP13100-ICE</stp>
        <stp>OldSettlement</stp>
        <tr r="AG192" s="23"/>
      </tp>
    </main>
    <main first="ice.rtd">
      <tp t="s">
        <v/>
        <stp/>
        <stp>1581618115M13:LstBlkVol</stp>
        <tr r="L472" s="5"/>
      </tp>
    </main>
    <main first="esrtd">
      <tp t="s">
        <v/>
        <stp/>
        <stp>BRN 26VC13000-ICE</stp>
        <stp>OldSettlement</stp>
        <tr r="AN191" s="23"/>
      </tp>
      <tp t="s">
        <v/>
        <stp/>
        <stp>BRN 26VP13000-ICE</stp>
        <stp>OldSettlement</stp>
        <tr r="AG191" s="23"/>
      </tp>
      <tp t="s">
        <v/>
        <stp/>
        <stp>BRN 26UC13000-ICE</stp>
        <stp>OldSettlement</stp>
        <tr r="AN120" s="23"/>
      </tp>
      <tp t="s">
        <v/>
        <stp/>
        <stp>BRN 26UP13000-ICE</stp>
        <stp>OldSettlement</stp>
        <tr r="AG120" s="23"/>
      </tp>
      <tp t="s">
        <v/>
        <stp/>
        <stp>BRN 26VC13500-ICE</stp>
        <stp>OldSettlement</stp>
        <tr r="AN193" s="23"/>
      </tp>
      <tp t="s">
        <v/>
        <stp/>
        <stp>BRN 26VP13500-ICE</stp>
        <stp>OldSettlement</stp>
        <tr r="AG193" s="23"/>
      </tp>
      <tp t="s">
        <v/>
        <stp/>
        <stp>BRN 26QC13000-ICE</stp>
        <stp>OldSettlement</stp>
        <tr r="AN49" s="23"/>
      </tp>
      <tp t="s">
        <v/>
        <stp/>
        <stp>BRN 26QP13000-ICE</stp>
        <stp>OldSettlement</stp>
        <tr r="AG49" s="23"/>
      </tp>
    </main>
    <main first="bofaddin.rtdserver">
      <tp t="s">
        <v>#N/A Invalid Security</v>
        <stp/>
        <stp>BDP|2473779161722059154|222</stp>
        <stp>MUCQ0 Comdty</stp>
        <stp>BID</stp>
        <stp>Fill=#N/A</stp>
        <tr r="S67" s="1"/>
      </tp>
    </main>
    <main first="ice.rtd">
      <tp t="s">
        <v/>
        <stp/>
        <stp>2755828679M18:LstBlkVol</stp>
        <tr r="L1015" s="5"/>
      </tp>
      <tp t="s">
        <v/>
        <stp/>
        <stp>2755728678M17:LstBlkVol</stp>
        <tr r="L1128" s="5"/>
      </tp>
      <tp t="s">
        <v/>
        <stp/>
        <stp>1923422331M13:LstBlkVol</stp>
        <tr r="L1640" s="5"/>
      </tp>
    </main>
    <main first="esrtd">
      <tp t="s">
        <v/>
        <stp/>
        <stp>BRN 26VC18000-ICE</stp>
        <stp>OldSettlement</stp>
        <tr r="AN198" s="23"/>
      </tp>
      <tp t="s">
        <v/>
        <stp/>
        <stp>BRN 26VP18000-ICE</stp>
        <stp>OldSettlement</stp>
        <tr r="AG198" s="23"/>
      </tp>
      <tp t="s">
        <v/>
        <stp/>
        <stp>BRN 26UC18000-ICE</stp>
        <stp>OldSettlement</stp>
        <tr r="AN123" s="23"/>
      </tp>
      <tp t="s">
        <v/>
        <stp/>
        <stp>BRN 26UP18000-ICE</stp>
        <stp>OldSettlement</stp>
        <tr r="AG123" s="23"/>
      </tp>
    </main>
    <main first="ice.rtd">
      <tp t="s">
        <v/>
        <stp/>
        <stp>3124331018M14:LstBlkVol</stp>
        <tr r="L1619" s="5"/>
      </tp>
    </main>
    <main first="esrtd">
      <tp t="s">
        <v/>
        <stp/>
        <stp>BRN 26QC18000-ICE</stp>
        <stp>OldSettlement</stp>
        <tr r="AN53" s="23"/>
      </tp>
      <tp t="s">
        <v/>
        <stp/>
        <stp>BRN 26QP18000-ICE</stp>
        <stp>OldSettlement</stp>
        <tr r="AG53" s="23"/>
      </tp>
    </main>
    <main first="ice.rtd">
      <tp t="s">
        <v/>
        <stp/>
        <stp>2427026287M19:BstHitPrc</stp>
        <tr r="G1168" s="5"/>
      </tp>
    </main>
    <main first="bofaddin.rtdserver">
      <tp t="s">
        <v>#N/A</v>
        <stp/>
        <stp>BDP|12885687299748579807|222</stp>
        <stp>OQAZ9F0 Comdty</stp>
        <stp>BID</stp>
        <stp>Fill=#N/A</stp>
        <tr r="T59" s="1"/>
      </tp>
    </main>
    <main first="ice.rtd">
      <tp t="s">
        <v/>
        <stp/>
        <stp>3124331018M12:LstBlkPrc</stp>
        <tr r="K1617" s="5"/>
      </tp>
      <tp t="s">
        <v/>
        <stp/>
        <stp>2427126288M18:LstBlkPrc</stp>
        <tr r="K1053" s="5"/>
      </tp>
      <tp t="s">
        <v/>
        <stp/>
        <stp>2755728678M21:LstBlkPrc</stp>
        <tr r="K1132" s="5"/>
      </tp>
      <tp t="s">
        <v/>
        <stp/>
        <stp>2755728678M11:LstBlkPrc</stp>
        <tr r="K1122" s="5"/>
      </tp>
    </main>
    <main first="bofaddin.rtdserver">
      <tp>
        <v>2.83</v>
        <stp/>
        <stp>BDP|18108170945657245388|222</stp>
        <stp>MUCG7H7 Comdty</stp>
        <stp>ASK</stp>
        <stp>Fill=#N/A</stp>
        <tr r="S25" s="1"/>
      </tp>
    </main>
    <main first="ice.rtd">
      <tp t="s">
        <v/>
        <stp/>
        <stp>266Q1:BstHitPrc</stp>
        <tr r="G947" s="5"/>
      </tp>
      <tp t="s">
        <v/>
        <stp/>
        <stp>266Y1:BstHitPrc</stp>
        <tr r="G956" s="5"/>
      </tp>
      <tp t="s">
        <v/>
        <stp/>
        <stp>266M1:BstHitPrc</stp>
        <tr r="G922" s="5"/>
      </tp>
    </main>
    <main first="bofaddin.rtdserver">
      <tp t="s">
        <v>#N/A</v>
        <stp/>
        <stp>BDP|17515761659174065023|222</stp>
        <stp>MUCZ8F9 Comdty</stp>
        <stp>BID</stp>
        <stp>Fill=#N/A</stp>
        <tr r="S47" s="1"/>
      </tp>
      <tp t="s">
        <v>#N/A</v>
        <stp/>
        <stp>BDP|13299866949834704227|222</stp>
        <stp>OQAK0M0 Comdty</stp>
        <stp>ASK</stp>
        <stp>Fill=#N/A</stp>
        <tr r="T64" s="1"/>
      </tp>
      <tp>
        <v>0.21</v>
        <stp/>
        <stp>BDP|2911233746558094709|222</stp>
        <stp>COZ8COF9 Comdty</stp>
        <stp>BID</stp>
        <stp>Fill=#N/A</stp>
        <tr r="O47" s="1"/>
      </tp>
    </main>
    <main first="ice.rtd">
      <tp t="s">
        <v/>
        <stp/>
        <stp>2427026287M19:LstBlkPrc</stp>
        <tr r="K1168" s="5"/>
      </tp>
    </main>
    <main first="bofaddin.rtdserver">
      <tp t="s">
        <v>#N/A</v>
        <stp/>
        <stp>BDP|2386684556767980377|222</stp>
        <stp>CLN9CLQ9 Comdty</stp>
        <stp>BID</stp>
        <stp>Fill=#N/A</stp>
        <tr r="N54" s="1"/>
      </tp>
    </main>
    <main first="ice.rtd">
      <tp t="s">
        <v/>
        <stp/>
        <stp>3124331018M12:BstHitPrc</stp>
        <tr r="G1617" s="5"/>
      </tp>
      <tp t="s">
        <v/>
        <stp/>
        <stp>2755728678M11:BstHitPrc</stp>
        <tr r="G1122" s="5"/>
      </tp>
      <tp t="s">
        <v/>
        <stp/>
        <stp>2755728678M21:BstHitPrc</stp>
        <tr r="G1132" s="5"/>
      </tp>
    </main>
    <main first="bofaddin.rtdserver">
      <tp>
        <v>14.04</v>
        <stp/>
        <stp>BDP|2261425368682808892|222</stp>
        <stp>HOZ6HOF7 Comdty</stp>
        <stp>BID</stp>
        <stp>Fill=#N/A</stp>
        <tr r="Q23" s="1"/>
      </tp>
      <tp>
        <v>3.04</v>
        <stp/>
        <stp>BDP|2510480363722912260|222</stp>
        <stp>COZ6COF7 Comdty</stp>
        <stp>BID</stp>
        <stp>Fill=#N/A</stp>
        <tr r="O23" s="1"/>
      </tp>
      <tp t="s">
        <v>#N/A</v>
        <stp/>
        <stp>BDP|16222973394767655161|222</stp>
        <stp>OQAJ7K7 Comdty</stp>
        <stp>BID</stp>
        <stp>Fill=#N/A</stp>
        <tr r="T27" s="1"/>
      </tp>
    </main>
    <main first="ice.rtd">
      <tp t="s">
        <v/>
        <stp/>
        <stp>266M1:LstBlkPrc</stp>
        <tr r="K922" s="5"/>
      </tp>
      <tp t="s">
        <v/>
        <stp/>
        <stp>266Y1:LstBlkPrc</stp>
        <tr r="K956" s="5"/>
      </tp>
      <tp t="s">
        <v/>
        <stp/>
        <stp>266Q1:LstBlkPrc</stp>
        <tr r="K947" s="5"/>
      </tp>
      <tp t="s">
        <v/>
        <stp/>
        <stp>2427126288M18:BstHitPrc</stp>
        <tr r="G1053" s="5"/>
      </tp>
    </main>
    <main first="esrtd">
      <tp t="s">
        <v/>
        <stp/>
        <stp>TDL 1!-IEU</stp>
        <stp>Last</stp>
        <tr r="I1813" s="5"/>
      </tp>
      <tp t="s">
        <v/>
        <stp/>
        <stp>WDF 2!-IEU</stp>
        <stp>Last</stp>
        <tr r="I1779" s="5"/>
      </tp>
    </main>
    <main first="ice.rtd">
      <tp t="s">
        <v/>
        <stp/>
        <stp>161913535MM26:LstBlkPrc</stp>
        <tr r="K2053" s="5"/>
      </tp>
      <tp t="s">
        <v/>
        <stp/>
        <stp>161913535MM16:LstBlkPrc</stp>
        <tr r="K2043" s="5"/>
      </tp>
    </main>
    <main first="esrtd">
      <tp t="s">
        <v/>
        <stp/>
        <stp>WNS 2!-IEU</stp>
        <stp>Last</stp>
        <tr r="I1849" s="5"/>
      </tp>
    </main>
    <main first="ice.rtd">
      <tp t="s">
        <v/>
        <stp/>
        <stp>161913535MM16:BstHitPrc</stp>
        <tr r="G2043" s="5"/>
      </tp>
      <tp t="s">
        <v/>
        <stp/>
        <stp>161913535MM26:BstHitPrc</stp>
        <tr r="G2053" s="5"/>
      </tp>
    </main>
    <main first="esrtd">
      <tp t="s">
        <v/>
        <stp/>
        <stp>WMJ 2!-IEU</stp>
        <stp>Last</stp>
        <tr r="I1884" s="5"/>
      </tp>
      <tp t="s">
        <v/>
        <stp/>
        <stp>WHK 2!-IEU</stp>
        <stp>Last</stp>
        <tr r="I1919" s="5"/>
      </tp>
    </main>
    <main first="ice.rtd">
      <tp t="s">
        <v/>
        <stp/>
        <stp>161913535MM20:LstBlkVol</stp>
        <tr r="L2047" s="5"/>
      </tp>
      <tp t="s">
        <v/>
        <stp/>
        <stp>161913535MM10:LstBlkVol</stp>
        <tr r="L2037" s="5"/>
      </tp>
      <tp t="s">
        <v>10:52:22</v>
        <stp/>
        <stp>1987023077B0:LstBlkTime</stp>
        <tr r="M154" s="5"/>
      </tp>
      <tp t="s">
        <v>AIL</v>
        <stp/>
        <stp>1840020882M15:PCC</stp>
        <tr r="B1597" s="5"/>
      </tp>
      <tp t="s">
        <v>AIL</v>
        <stp/>
        <stp>1840020882M14:PCC</stp>
        <tr r="B1596" s="5"/>
      </tp>
      <tp t="s">
        <v>AIL</v>
        <stp/>
        <stp>1840020882M16:PCC</stp>
        <tr r="B1598" s="5"/>
      </tp>
      <tp t="s">
        <v>AIL</v>
        <stp/>
        <stp>1840020882M11:PCC</stp>
        <tr r="B1593" s="5"/>
      </tp>
      <tp t="s">
        <v>AIL</v>
        <stp/>
        <stp>1840020882M10:PCC</stp>
        <tr r="B1592" s="5"/>
      </tp>
      <tp t="s">
        <v>AIL</v>
        <stp/>
        <stp>1840020882M13:PCC</stp>
        <tr r="B1595" s="5"/>
      </tp>
      <tp t="s">
        <v>AIL</v>
        <stp/>
        <stp>1840020882M12:PCC</stp>
        <tr r="B1594" s="5"/>
      </tp>
      <tp t="s">
        <v>GST</v>
        <stp/>
        <stp>161913535MM21:PCC</stp>
        <tr r="B2048" s="5"/>
      </tp>
      <tp t="s">
        <v>GST</v>
        <stp/>
        <stp>161913535MM20:PCC</stp>
        <tr r="B2047" s="5"/>
      </tp>
      <tp t="s">
        <v>GST</v>
        <stp/>
        <stp>161913535MM23:PCC</stp>
        <tr r="B2050" s="5"/>
      </tp>
      <tp t="s">
        <v>GST</v>
        <stp/>
        <stp>161913535MM22:PCC</stp>
        <tr r="B2049" s="5"/>
      </tp>
      <tp t="s">
        <v>GST</v>
        <stp/>
        <stp>161913535MM25:PCC</stp>
        <tr r="B2052" s="5"/>
      </tp>
      <tp t="s">
        <v>GST</v>
        <stp/>
        <stp>161913535MM24:PCC</stp>
        <tr r="B2051" s="5"/>
      </tp>
      <tp t="s">
        <v>GST</v>
        <stp/>
        <stp>161913535MM27:PCC</stp>
        <tr r="B2054" s="5"/>
      </tp>
      <tp t="s">
        <v>GST</v>
        <stp/>
        <stp>161913535MM26:PCC</stp>
        <tr r="B2053" s="5"/>
      </tp>
      <tp t="s">
        <v>GST</v>
        <stp/>
        <stp>161913535MM11:PCC</stp>
        <tr r="B2038" s="5"/>
      </tp>
      <tp t="s">
        <v>GST</v>
        <stp/>
        <stp>161913535MM10:PCC</stp>
        <tr r="B2037" s="5"/>
      </tp>
      <tp t="s">
        <v>GST</v>
        <stp/>
        <stp>161913535MM13:PCC</stp>
        <tr r="B2040" s="5"/>
      </tp>
      <tp t="s">
        <v>GST</v>
        <stp/>
        <stp>161913535MM12:PCC</stp>
        <tr r="B2039" s="5"/>
      </tp>
      <tp t="s">
        <v>GST</v>
        <stp/>
        <stp>161913535MM15:PCC</stp>
        <tr r="B2042" s="5"/>
      </tp>
      <tp t="s">
        <v>GST</v>
        <stp/>
        <stp>161913535MM14:PCC</stp>
        <tr r="B2041" s="5"/>
      </tp>
      <tp t="s">
        <v>GST</v>
        <stp/>
        <stp>161913535MM17:PCC</stp>
        <tr r="B2044" s="5"/>
      </tp>
      <tp t="s">
        <v>GST</v>
        <stp/>
        <stp>161913535MM16:PCC</stp>
        <tr r="B2043" s="5"/>
      </tp>
      <tp t="s">
        <v>GST</v>
        <stp/>
        <stp>161913535MM19:PCC</stp>
        <tr r="B2046" s="5"/>
      </tp>
      <tp t="s">
        <v>GST</v>
        <stp/>
        <stp>161913535MM18:PCC</stp>
        <tr r="B2045" s="5"/>
      </tp>
      <tp t="s">
        <v/>
        <stp/>
        <stp>15061297MM19:LstPrc</stp>
        <tr r="I1702" s="5"/>
      </tp>
      <tp t="s">
        <v/>
        <stp/>
        <stp>15061297MM18:LstPrc</stp>
        <tr r="I1701" s="5"/>
      </tp>
      <tp t="s">
        <v/>
        <stp/>
        <stp>15061297MM15:LstPrc</stp>
        <tr r="I1698" s="5"/>
      </tp>
      <tp t="s">
        <v/>
        <stp/>
        <stp>15061297MM14:LstPrc</stp>
        <tr r="I1697" s="5"/>
      </tp>
      <tp t="s">
        <v/>
        <stp/>
        <stp>15061297MM17:LstPrc</stp>
        <tr r="I1700" s="5"/>
      </tp>
      <tp t="s">
        <v/>
        <stp/>
        <stp>15061297MM16:LstPrc</stp>
        <tr r="I1699" s="5"/>
      </tp>
      <tp t="s">
        <v/>
        <stp/>
        <stp>15061297MM11:LstPrc</stp>
        <tr r="I1694" s="5"/>
      </tp>
      <tp t="s">
        <v/>
        <stp/>
        <stp>15061297MM10:LstPrc</stp>
        <tr r="I1693" s="5"/>
      </tp>
      <tp t="s">
        <v/>
        <stp/>
        <stp>15061297MM13:LstPrc</stp>
        <tr r="I1696" s="5"/>
      </tp>
      <tp t="s">
        <v/>
        <stp/>
        <stp>15061297MM12:LstPrc</stp>
        <tr r="I1695" s="5"/>
      </tp>
      <tp t="s">
        <v/>
        <stp/>
        <stp>15061297MM25:LstPrc</stp>
        <tr r="I1708" s="5"/>
      </tp>
      <tp t="s">
        <v/>
        <stp/>
        <stp>15061297MM24:LstPrc</stp>
        <tr r="I1707" s="5"/>
      </tp>
      <tp t="s">
        <v/>
        <stp/>
        <stp>15061297MM27:LstPrc</stp>
        <tr r="I1710" s="5"/>
      </tp>
      <tp t="s">
        <v/>
        <stp/>
        <stp>15061297MM26:LstPrc</stp>
        <tr r="I1709" s="5"/>
      </tp>
      <tp t="s">
        <v/>
        <stp/>
        <stp>15061297MM21:LstPrc</stp>
        <tr r="I1704" s="5"/>
      </tp>
      <tp t="s">
        <v/>
        <stp/>
        <stp>15061297MM20:LstPrc</stp>
        <tr r="I1703" s="5"/>
      </tp>
      <tp t="s">
        <v/>
        <stp/>
        <stp>15061297MM23:LstPrc</stp>
        <tr r="I1706" s="5"/>
      </tp>
      <tp t="s">
        <v/>
        <stp/>
        <stp>15061297MM22:LstPrc</stp>
        <tr r="I1705" s="5"/>
      </tp>
      <tp t="s">
        <v/>
        <stp/>
        <stp>1923422331Q0:LstBlkTime</stp>
        <tr r="M1642" s="5"/>
      </tp>
      <tp t="s">
        <v/>
        <stp/>
        <stp>1923422331Q1:LstBlkTime</stp>
        <tr r="M1643" s="5"/>
      </tp>
      <tp t="s">
        <v/>
        <stp/>
        <stp>1923422331Q2:LstBlkTime</stp>
        <tr r="M1644" s="5"/>
      </tp>
      <tp t="s">
        <v/>
        <stp/>
        <stp>1923422331Q3:LstBlkTime</stp>
        <tr r="M1645" s="5"/>
      </tp>
      <tp t="s">
        <v/>
        <stp/>
        <stp>1923422331Y0:LstBlkTime</stp>
        <tr r="M1646" s="5"/>
      </tp>
      <tp t="s">
        <v/>
        <stp/>
        <stp>1923422331M8:LstBlkTime</stp>
        <tr r="M1635" s="5"/>
      </tp>
      <tp t="s">
        <v/>
        <stp/>
        <stp>1923422331M9:LstBlkTime</stp>
        <tr r="M1636" s="5"/>
      </tp>
      <tp t="s">
        <v/>
        <stp/>
        <stp>1923422331M4:LstBlkTime</stp>
        <tr r="M1631" s="5"/>
      </tp>
      <tp t="s">
        <v/>
        <stp/>
        <stp>1923422331M5:LstBlkTime</stp>
        <tr r="M1632" s="5"/>
      </tp>
      <tp t="s">
        <v/>
        <stp/>
        <stp>1923422331M6:LstBlkTime</stp>
        <tr r="M1633" s="5"/>
      </tp>
      <tp t="s">
        <v/>
        <stp/>
        <stp>1923422331M7:LstBlkTime</stp>
        <tr r="M1634" s="5"/>
      </tp>
      <tp t="s">
        <v/>
        <stp/>
        <stp>1923422331M0:LstBlkTime</stp>
        <tr r="M1627" s="5"/>
      </tp>
      <tp t="s">
        <v/>
        <stp/>
        <stp>1923422331M1:LstBlkTime</stp>
        <tr r="M1628" s="5"/>
      </tp>
      <tp t="s">
        <v/>
        <stp/>
        <stp>1923422331M2:LstBlkTime</stp>
        <tr r="M1629" s="5"/>
      </tp>
      <tp t="s">
        <v/>
        <stp/>
        <stp>1923422331M3:LstBlkTime</stp>
        <tr r="M1630" s="5"/>
      </tp>
      <tp t="s">
        <v/>
        <stp/>
        <stp>2185624628B0:LstBlkTime</stp>
        <tr r="M745" s="5"/>
      </tp>
      <tp t="s">
        <v/>
        <stp/>
        <stp>1581618115Q0:LstBlkTime</stp>
        <tr r="M474" s="5"/>
      </tp>
      <tp t="s">
        <v/>
        <stp/>
        <stp>1581618115Q1:LstBlkTime</stp>
        <tr r="M475" s="5"/>
      </tp>
      <tp t="s">
        <v/>
        <stp/>
        <stp>1581618115Q2:LstBlkTime</stp>
        <tr r="M476" s="5"/>
      </tp>
      <tp t="s">
        <v/>
        <stp/>
        <stp>1581618115Q3:LstBlkTime</stp>
        <tr r="M477" s="5"/>
      </tp>
      <tp t="s">
        <v/>
        <stp/>
        <stp>1581618115Y0:LstBlkTime</stp>
        <tr r="M478" s="5"/>
      </tp>
      <tp t="s">
        <v>Invalid Market: 1581618115B0</v>
        <stp/>
        <stp>1581618115B0:LstBlkTime</stp>
        <tr r="M458" s="5"/>
      </tp>
      <tp t="s">
        <v/>
        <stp/>
        <stp>1581618115M8:LstBlkTime</stp>
        <tr r="M467" s="5"/>
      </tp>
      <tp t="s">
        <v/>
        <stp/>
        <stp>1581618115M9:LstBlkTime</stp>
        <tr r="M468" s="5"/>
      </tp>
      <tp t="s">
        <v>08:18:23</v>
        <stp/>
        <stp>1581618115M4:LstBlkTime</stp>
        <tr r="M463" s="5"/>
      </tp>
      <tp t="s">
        <v/>
        <stp/>
        <stp>1581618115M5:LstBlkTime</stp>
        <tr r="M464" s="5"/>
      </tp>
      <tp t="s">
        <v/>
        <stp/>
        <stp>1581618115M6:LstBlkTime</stp>
        <tr r="M465" s="5"/>
      </tp>
      <tp t="s">
        <v/>
        <stp/>
        <stp>1581618115M7:LstBlkTime</stp>
        <tr r="M466" s="5"/>
      </tp>
      <tp t="s">
        <v/>
        <stp/>
        <stp>1581618115M0:LstBlkTime</stp>
        <tr r="M459" s="5"/>
      </tp>
      <tp t="s">
        <v>10:33:15</v>
        <stp/>
        <stp>1581618115M1:LstBlkTime</stp>
        <tr r="M460" s="5"/>
      </tp>
      <tp t="s">
        <v>11:05:51</v>
        <stp/>
        <stp>1581618115M2:LstBlkTime</stp>
        <tr r="M461" s="5"/>
      </tp>
      <tp t="s">
        <v>09:28:58</v>
        <stp/>
        <stp>1581618115M3:LstBlkTime</stp>
        <tr r="M462" s="5"/>
      </tp>
      <tp t="s">
        <v>MFR</v>
        <stp/>
        <stp>2427126288M19:PCC</stp>
        <tr r="B1054" s="5"/>
      </tp>
      <tp t="s">
        <v>MFT</v>
        <stp/>
        <stp>2427026287M18:PCC</stp>
        <tr r="B1167" s="5"/>
      </tp>
      <tp t="s">
        <v>MFR</v>
        <stp/>
        <stp>2427126288M18:PCC</stp>
        <tr r="B1053" s="5"/>
      </tp>
      <tp t="s">
        <v>MFT</v>
        <stp/>
        <stp>2427026287M19:PCC</stp>
        <tr r="B1168" s="5"/>
      </tp>
      <tp t="s">
        <v>MFR</v>
        <stp/>
        <stp>2427126288M17:PCC</stp>
        <tr r="B1052" s="5"/>
      </tp>
      <tp t="s">
        <v>MFT</v>
        <stp/>
        <stp>2427026287M16:PCC</stp>
        <tr r="B1165" s="5"/>
      </tp>
      <tp t="s">
        <v>MFR</v>
        <stp/>
        <stp>2427126288M16:PCC</stp>
        <tr r="B1051" s="5"/>
      </tp>
      <tp t="s">
        <v>MFT</v>
        <stp/>
        <stp>2427026287M17:PCC</stp>
        <tr r="B1166" s="5"/>
      </tp>
      <tp t="s">
        <v>MFR</v>
        <stp/>
        <stp>2427126288M15:PCC</stp>
        <tr r="B1050" s="5"/>
      </tp>
      <tp t="s">
        <v>MFT</v>
        <stp/>
        <stp>2427026287M14:PCC</stp>
        <tr r="B1163" s="5"/>
      </tp>
      <tp t="s">
        <v>MFR</v>
        <stp/>
        <stp>2427126288M14:PCC</stp>
        <tr r="B1049" s="5"/>
      </tp>
      <tp t="s">
        <v>MFT</v>
        <stp/>
        <stp>2427026287M15:PCC</stp>
        <tr r="B1164" s="5"/>
      </tp>
      <tp t="s">
        <v>MFR</v>
        <stp/>
        <stp>2427126288M13:PCC</stp>
        <tr r="B1048" s="5"/>
      </tp>
      <tp t="s">
        <v>MFT</v>
        <stp/>
        <stp>2427026287M12:PCC</stp>
        <tr r="B1161" s="5"/>
      </tp>
      <tp t="s">
        <v>MFR</v>
        <stp/>
        <stp>2427126288M12:PCC</stp>
        <tr r="B1047" s="5"/>
      </tp>
      <tp t="s">
        <v>MFT</v>
        <stp/>
        <stp>2427026287M13:PCC</stp>
        <tr r="B1162" s="5"/>
      </tp>
      <tp t="s">
        <v>MFR</v>
        <stp/>
        <stp>2427126288M11:PCC</stp>
        <tr r="B1046" s="5"/>
      </tp>
      <tp t="s">
        <v>MFT</v>
        <stp/>
        <stp>2427026287M10:PCC</stp>
        <tr r="B1159" s="5"/>
      </tp>
      <tp t="s">
        <v>MFR</v>
        <stp/>
        <stp>2427126288M10:PCC</stp>
        <tr r="B1045" s="5"/>
      </tp>
      <tp t="s">
        <v>MFT</v>
        <stp/>
        <stp>2427026287M11:PCC</stp>
        <tr r="B1160" s="5"/>
      </tp>
      <tp t="s">
        <v>MFT</v>
        <stp/>
        <stp>2427026287M24:PCC</stp>
        <tr r="B1173" s="5"/>
      </tp>
      <tp t="s">
        <v>MFR</v>
        <stp/>
        <stp>2427126288M24:PCC</stp>
        <tr r="B1059" s="5"/>
      </tp>
      <tp t="s">
        <v>MFR</v>
        <stp/>
        <stp>2427126288M23:PCC</stp>
        <tr r="B1058" s="5"/>
      </tp>
      <tp t="s">
        <v>MFT</v>
        <stp/>
        <stp>2427026287M22:PCC</stp>
        <tr r="B1171" s="5"/>
      </tp>
      <tp t="s">
        <v>MFR</v>
        <stp/>
        <stp>2427126288M22:PCC</stp>
        <tr r="B1057" s="5"/>
      </tp>
      <tp t="s">
        <v>MFT</v>
        <stp/>
        <stp>2427026287M23:PCC</stp>
        <tr r="B1172" s="5"/>
      </tp>
      <tp t="s">
        <v>MFR</v>
        <stp/>
        <stp>2427126288M21:PCC</stp>
        <tr r="B1056" s="5"/>
      </tp>
      <tp t="s">
        <v>MFT</v>
        <stp/>
        <stp>2427026287M20:PCC</stp>
        <tr r="B1169" s="5"/>
      </tp>
      <tp t="s">
        <v>MFR</v>
        <stp/>
        <stp>2427126288M20:PCC</stp>
        <tr r="B1055" s="5"/>
      </tp>
      <tp t="s">
        <v>MFT</v>
        <stp/>
        <stp>2427026287M21:PCC</stp>
        <tr r="B1170" s="5"/>
      </tp>
      <tp t="s">
        <v/>
        <stp/>
        <stp>41787896M22:BstHitPrc</stp>
        <tr r="G829" s="5"/>
      </tp>
      <tp t="s">
        <v/>
        <stp/>
        <stp>41787896M12:BstHitPrc</stp>
        <tr r="G819" s="5"/>
      </tp>
      <tp t="s">
        <v/>
        <stp/>
        <stp>41767893M12:LstBlkPrc</stp>
        <tr r="K492" s="5"/>
      </tp>
      <tp t="s">
        <v/>
        <stp/>
        <stp>41767893M22:LstBlkPrc</stp>
        <tr r="K502" s="5"/>
      </tp>
      <tp t="s">
        <v/>
        <stp/>
        <stp>34344092M16:LstBlkPrc</stp>
        <tr r="K1279" s="5"/>
      </tp>
      <tp t="s">
        <v/>
        <stp/>
        <stp>34354093M16:LstBlkPrc</stp>
        <tr r="K1317" s="5"/>
      </tp>
      <tp t="s">
        <v/>
        <stp/>
        <stp>30793693M12:BstHitPrc</stp>
        <tr r="G895" s="5"/>
      </tp>
      <tp t="s">
        <v/>
        <stp/>
        <stp>30793693M22:BstHitPrc</stp>
        <tr r="G905" s="5"/>
      </tp>
      <tp t="s">
        <v/>
        <stp/>
        <stp>46678127M18:LstBlkPrc</stp>
        <tr r="K363" s="5"/>
      </tp>
      <tp t="s">
        <v>Sep26/Dec26</v>
        <stp/>
        <stp>DBI1227MM2:Strip</stp>
        <tr r="E1653" s="5"/>
      </tp>
      <tp t="s">
        <v/>
        <stp/>
        <stp>32623993M23:LstBlkPrc</stp>
        <tr r="K2013" s="5"/>
      </tp>
      <tp t="s">
        <v/>
        <stp/>
        <stp>32623993M13:LstBlkPrc</stp>
        <tr r="K2003" s="5"/>
      </tp>
      <tp t="s">
        <v/>
        <stp/>
        <stp>15061297MM5:LstBlkPrc</stp>
        <tr r="K1688" s="5"/>
      </tp>
    </main>
    <main first="bofaddin.rtdserver">
      <tp>
        <v>574.5</v>
        <stp/>
        <stp>BDP|17572215257348929075|222</stp>
        <stp>SCPH27 Comdty</stp>
        <stp>BID</stp>
        <stp>Fill=#N/A</stp>
        <tr r="M25" s="1"/>
      </tp>
    </main>
    <main first="ice.rtd">
      <tp t="s">
        <v/>
        <stp/>
        <stp>34404098M21:BstHitPrc</stp>
        <tr r="G615" s="5"/>
      </tp>
      <tp t="s">
        <v/>
        <stp/>
        <stp>34414099M21:BstHitPrc</stp>
        <tr r="G100" s="5"/>
      </tp>
      <tp t="s">
        <v/>
        <stp/>
        <stp>34404098M11:BstHitPrc</stp>
        <tr r="G605" s="5"/>
      </tp>
      <tp t="s">
        <v/>
        <stp/>
        <stp>34414099M11:BstHitPrc</stp>
        <tr r="G90" s="5"/>
      </tp>
      <tp t="s">
        <v/>
        <stp/>
        <stp>34364094M16:LstBlkPrc</stp>
        <tr r="K534" s="5"/>
      </tp>
      <tp t="s">
        <v/>
        <stp/>
        <stp>34374095M16:LstBlkPrc</stp>
        <tr r="K572" s="5"/>
      </tp>
      <tp t="s">
        <v/>
        <stp/>
        <stp>32613992M23:LstBlkPrc</stp>
        <tr r="K1248" s="5"/>
      </tp>
      <tp t="s">
        <v/>
        <stp/>
        <stp>32613992M13:LstBlkPrc</stp>
        <tr r="K1238" s="5"/>
      </tp>
      <tp t="s">
        <v/>
        <stp/>
        <stp>34344092M16:BstHitPrc</stp>
        <tr r="G1279" s="5"/>
      </tp>
      <tp t="s">
        <v/>
        <stp/>
        <stp>34354093M16:BstHitPrc</stp>
        <tr r="G1317" s="5"/>
      </tp>
    </main>
    <main first="bofaddin.rtdserver">
      <tp>
        <v>524.9</v>
        <stp/>
        <stp>BDP|17066394309742822168|222</stp>
        <stp>SCPH28 Comdty</stp>
        <stp>ASK</stp>
        <stp>Fill=#N/A</stp>
        <tr r="M37" s="1"/>
      </tp>
    </main>
    <main first="ice.rtd">
      <tp t="s">
        <v/>
        <stp/>
        <stp>41787896M12:LstBlkPrc</stp>
        <tr r="K819" s="5"/>
      </tp>
      <tp t="s">
        <v/>
        <stp/>
        <stp>41787896M22:LstBlkPrc</stp>
        <tr r="K829" s="5"/>
      </tp>
      <tp t="s">
        <v/>
        <stp/>
        <stp>41767893M22:BstHitPrc</stp>
        <tr r="G502" s="5"/>
      </tp>
      <tp t="s">
        <v/>
        <stp/>
        <stp>41767893M12:BstHitPrc</stp>
        <tr r="G492" s="5"/>
      </tp>
    </main>
    <main first="bofaddin.rtdserver">
      <tp t="s">
        <v>#N/A Invalid Security</v>
        <stp/>
        <stp>BDP|14523580109558466190|222</stp>
        <stp>SCPK29 Comdty</stp>
        <stp>BID</stp>
        <stp>Fill=#N/A</stp>
        <tr r="M51" s="1"/>
      </tp>
      <tp>
        <v>508.5</v>
        <stp/>
        <stp>BDP|17828577703342620726|222</stp>
        <stp>SCPZ28 Comdty</stp>
        <stp>ASK</stp>
        <stp>Fill=#N/A</stp>
        <tr r="M46" s="1"/>
      </tp>
    </main>
    <main first="ice.rtd">
      <tp t="s">
        <v/>
        <stp/>
        <stp>34364094M16:BstHitPrc</stp>
        <tr r="G534" s="5"/>
      </tp>
      <tp t="s">
        <v/>
        <stp/>
        <stp>34374095M16:BstHitPrc</stp>
        <tr r="G572" s="5"/>
      </tp>
      <tp t="s">
        <v/>
        <stp/>
        <stp>34404098M11:LstBlkPrc</stp>
        <tr r="K605" s="5"/>
      </tp>
      <tp t="s">
        <v/>
        <stp/>
        <stp>34414099M11:LstBlkPrc</stp>
        <tr r="K90" s="5"/>
      </tp>
      <tp t="s">
        <v/>
        <stp/>
        <stp>34404098M21:LstBlkPrc</stp>
        <tr r="K615" s="5"/>
      </tp>
      <tp t="s">
        <v/>
        <stp/>
        <stp>34414099M21:LstBlkPrc</stp>
        <tr r="K100" s="5"/>
      </tp>
      <tp t="s">
        <v/>
        <stp/>
        <stp>32613992M13:BstHitPrc</stp>
        <tr r="G1238" s="5"/>
      </tp>
      <tp t="s">
        <v/>
        <stp/>
        <stp>32613992M23:BstHitPrc</stp>
        <tr r="G1248" s="5"/>
      </tp>
      <tp t="s">
        <v/>
        <stp/>
        <stp>30793693M22:LstBlkPrc</stp>
        <tr r="K905" s="5"/>
      </tp>
      <tp t="s">
        <v/>
        <stp/>
        <stp>30793693M12:LstBlkPrc</stp>
        <tr r="K895" s="5"/>
      </tp>
      <tp t="s">
        <v/>
        <stp/>
        <stp>46678127M18:BstHitPrc</stp>
        <tr r="G363" s="5"/>
      </tp>
      <tp t="s">
        <v/>
        <stp/>
        <stp>32623993M13:BstHitPrc</stp>
        <tr r="G2003" s="5"/>
      </tp>
      <tp t="s">
        <v/>
        <stp/>
        <stp>32623993M23:BstHitPrc</stp>
        <tr r="G2013" s="5"/>
      </tp>
      <tp t="s">
        <v/>
        <stp/>
        <stp>15061297MM5:BstHitPrc</stp>
        <tr r="G1688" s="5"/>
      </tp>
      <tp t="s">
        <v/>
        <stp/>
        <stp>34404098M17:LstBlkVol</stp>
        <tr r="L611" s="5"/>
      </tp>
      <tp t="s">
        <v/>
        <stp/>
        <stp>34414099M17:LstBlkVol</stp>
        <tr r="L96" s="5"/>
      </tp>
      <tp t="s">
        <v/>
        <stp/>
        <stp>30793693M24:LstBlkVol</stp>
        <tr r="L907" s="5"/>
      </tp>
      <tp t="s">
        <v/>
        <stp/>
        <stp>30793693M14:LstBlkVol</stp>
        <tr r="L897" s="5"/>
      </tp>
    </main>
    <main first="bofaddin.rtdserver">
      <tp t="s">
        <v>#N/A Real Time</v>
        <stp/>
        <stp>BDP|11199029111160017850|22</stp>
        <stp>QSQ6C 1300.00 Comdty</stp>
        <stp>GAMMA_LAST_RT</stp>
        <tr r="I82" s="23"/>
        <tr r="I52" s="23"/>
        <tr r="I54" s="23"/>
      </tp>
    </main>
    <main first="ice.rtd">
      <tp t="s">
        <v/>
        <stp/>
        <stp>41787896M14:LstBlkVol</stp>
        <tr r="L821" s="5"/>
      </tp>
      <tp t="s">
        <v/>
        <stp/>
        <stp>41787896M24:LstBlkVol</stp>
        <tr r="L831" s="5"/>
      </tp>
      <tp t="s">
        <v/>
        <stp/>
        <stp>32623993M15:LstBlkVol</stp>
        <tr r="L2005" s="5"/>
      </tp>
      <tp t="s">
        <v/>
        <stp/>
        <stp>15061297MM3:LstBlkVol</stp>
        <tr r="L1686" s="5"/>
      </tp>
      <tp t="s">
        <v/>
        <stp/>
        <stp>16331513M18:LstBlkVol</stp>
        <tr r="L1433" s="5"/>
      </tp>
      <tp t="s">
        <v/>
        <stp/>
        <stp>16341514M18:LstBlkVol</stp>
        <tr r="L1471" s="5"/>
      </tp>
      <tp t="s">
        <v/>
        <stp/>
        <stp>16351515M18:LstBlkVol</stp>
        <tr r="L1509" s="5"/>
      </tp>
      <tp t="s">
        <v/>
        <stp/>
        <stp>32613992M15:LstBlkVol</stp>
        <tr r="L1240" s="5"/>
      </tp>
      <tp t="s">
        <v/>
        <stp/>
        <stp>34364094M10:LstBlkVol</stp>
        <tr r="L528" s="5"/>
      </tp>
      <tp t="s">
        <v/>
        <stp/>
        <stp>34374095M10:LstBlkVol</stp>
        <tr r="L566" s="5"/>
      </tp>
      <tp t="s">
        <v/>
        <stp/>
        <stp>34364094M20:LstBlkVol</stp>
        <tr r="L538" s="5"/>
      </tp>
      <tp t="s">
        <v/>
        <stp/>
        <stp>34374095M20:LstBlkVol</stp>
        <tr r="L576" s="5"/>
      </tp>
      <tp t="s">
        <v/>
        <stp/>
        <stp>41767893M14:LstBlkVol</stp>
        <tr r="L494" s="5"/>
      </tp>
      <tp t="s">
        <v/>
        <stp/>
        <stp>41767893M24:LstBlkVol</stp>
        <tr r="L504" s="5"/>
      </tp>
      <tp t="s">
        <v>Invalid Market: 57179020M19</v>
        <stp/>
        <stp>57179020M19:LstBlkVol</stp>
        <tr r="L1566" s="5"/>
      </tp>
      <tp t="s">
        <v/>
        <stp/>
        <stp>34344092M10:LstBlkVol</stp>
        <tr r="L1273" s="5"/>
      </tp>
      <tp t="s">
        <v/>
        <stp/>
        <stp>34354093M10:LstBlkVol</stp>
        <tr r="L1311" s="5"/>
      </tp>
      <tp t="s">
        <v/>
        <stp/>
        <stp>34344092M20:LstBlkVol</stp>
        <tr r="L1283" s="5"/>
      </tp>
      <tp t="s">
        <v/>
        <stp/>
        <stp>34354093M20:LstBlkVol</stp>
        <tr r="L1321" s="5"/>
      </tp>
      <tp t="s">
        <v/>
        <stp/>
        <stp>266M6:LstBlkVol</stp>
        <tr r="L927" s="5"/>
      </tp>
      <tp t="s">
        <v/>
        <stp/>
        <stp>266Q6:LstBlkVol</stp>
        <tr r="L952" s="5"/>
      </tp>
      <tp t="s">
        <v/>
        <stp/>
        <stp>1581618115M12:LstBlkVol</stp>
        <tr r="L471" s="5"/>
      </tp>
      <tp t="s">
        <v/>
        <stp/>
        <stp>2755828679M19:LstBlkVol</stp>
        <tr r="L1016" s="5"/>
      </tp>
      <tp t="s">
        <v/>
        <stp/>
        <stp>2755728678M16:LstBlkVol</stp>
        <tr r="L1127" s="5"/>
      </tp>
      <tp t="s">
        <v/>
        <stp/>
        <stp>1923422331M12:LstBlkVol</stp>
        <tr r="L1639" s="5"/>
      </tp>
      <tp t="s">
        <v/>
        <stp/>
        <stp>2427026287M18:BstHitPrc</stp>
        <tr r="G1167" s="5"/>
      </tp>
      <tp>
        <v>-3.45</v>
        <stp/>
        <stp>1581618115M14:BstHitPrc</stp>
        <tr r="G473" s="5"/>
      </tp>
      <tp t="s">
        <v/>
        <stp/>
        <stp>3124331018M13:LstBlkPrc</stp>
        <tr r="K1618" s="5"/>
      </tp>
      <tp t="s">
        <v/>
        <stp/>
        <stp>1923422331M14:LstBlkPrc</stp>
        <tr r="K1641" s="5"/>
      </tp>
    </main>
    <main first="bofaddin.rtdserver">
      <tp>
        <v>-0.09</v>
        <stp/>
        <stp>BDP|7988108733154247443|222</stp>
        <stp>XBZ8XBF9 Comdty</stp>
        <stp>BID</stp>
        <stp>Fill=#N/A</stp>
        <tr r="R47" s="1"/>
      </tp>
    </main>
    <main first="ice.rtd">
      <tp t="s">
        <v/>
        <stp/>
        <stp>2427126288M19:LstBlkPrc</stp>
        <tr r="K1054" s="5"/>
      </tp>
    </main>
    <main first="bofaddin.rtdserver">
      <tp t="s">
        <v>#N/A</v>
        <stp/>
        <stp>BDP|10011942255184350648|222</stp>
        <stp>MUCZ9F0 Comdty</stp>
        <stp>ASK</stp>
        <stp>Fill=#N/A</stp>
        <tr r="S59" s="1"/>
      </tp>
    </main>
    <main first="ice.rtd">
      <tp t="s">
        <v/>
        <stp/>
        <stp>2755728678M20:LstBlkPrc</stp>
        <tr r="K1131" s="5"/>
      </tp>
      <tp t="s">
        <v/>
        <stp/>
        <stp>2755728678M10:LstBlkPrc</stp>
        <tr r="K1121" s="5"/>
      </tp>
      <tp t="s">
        <v/>
        <stp/>
        <stp>266Q0:BstHitPrc</stp>
        <tr r="G946" s="5"/>
      </tp>
      <tp t="s">
        <v/>
        <stp/>
        <stp>266Y0:BstHitPrc</stp>
        <tr r="G955" s="5"/>
      </tp>
      <tp t="s">
        <v/>
        <stp/>
        <stp>266M0:BstHitPrc</stp>
        <tr r="G921" s="5"/>
      </tp>
      <tp t="s">
        <v/>
        <stp/>
        <stp>2427026287M18:LstBlkPrc</stp>
        <tr r="K1167" s="5"/>
      </tp>
      <tp t="s">
        <v/>
        <stp/>
        <stp>1581618115M14:LstBlkPrc</stp>
        <tr r="K473" s="5"/>
      </tp>
    </main>
    <main first="bofaddin.rtdserver">
      <tp t="s">
        <v>#N/A</v>
        <stp/>
        <stp>BDP|12951338950687299602|222</stp>
        <stp>MUCF0G0 Comdty</stp>
        <stp>BID</stp>
        <stp>Fill=#N/A</stp>
        <tr r="S60" s="1"/>
      </tp>
    </main>
    <main first="ice.rtd">
      <tp t="s">
        <v/>
        <stp/>
        <stp>1923422331M14:BstHitPrc</stp>
        <tr r="G1641" s="5"/>
      </tp>
      <tp t="s">
        <v/>
        <stp/>
        <stp>3124331018M13:BstHitPrc</stp>
        <tr r="G1618" s="5"/>
      </tp>
      <tp t="s">
        <v/>
        <stp/>
        <stp>2755728678M10:BstHitPrc</stp>
        <tr r="G1121" s="5"/>
      </tp>
      <tp t="s">
        <v/>
        <stp/>
        <stp>2755728678M20:BstHitPrc</stp>
        <tr r="G1131" s="5"/>
      </tp>
      <tp t="s">
        <v/>
        <stp/>
        <stp>266M0:LstBlkPrc</stp>
        <tr r="K921" s="5"/>
      </tp>
      <tp t="s">
        <v/>
        <stp/>
        <stp>266Y0:LstBlkPrc</stp>
        <tr r="K955" s="5"/>
      </tp>
      <tp t="s">
        <v/>
        <stp/>
        <stp>266Q0:LstBlkPrc</stp>
        <tr r="K946" s="5"/>
      </tp>
    </main>
    <main first="bofaddin.rtdserver">
      <tp t="s">
        <v>#N/A</v>
        <stp/>
        <stp>BDP|14413387215757553979|222</stp>
        <stp>MUCJ9K9 Comdty</stp>
        <stp>ASK</stp>
        <stp>Fill=#N/A</stp>
        <tr r="S51" s="1"/>
      </tp>
    </main>
    <main first="ice.rtd">
      <tp t="s">
        <v/>
        <stp/>
        <stp>2427126288M19:BstHitPrc</stp>
        <tr r="G1054" s="5"/>
      </tp>
    </main>
    <main first="bofaddin.rtdserver">
      <tp>
        <v>3.36</v>
        <stp/>
        <stp>BDP|14544643333809412447|22</stp>
        <stp>COZ7COZ8 Comdty</stp>
        <stp>ASK</stp>
        <tr r="C3" s="3"/>
      </tp>
    </main>
    <main first="esrtd">
      <tp t="s">
        <v/>
        <stp/>
        <stp>WDF 3!-IEU</stp>
        <stp>Last</stp>
        <tr r="I1780" s="5"/>
      </tp>
    </main>
    <main first="ice.rtd">
      <tp t="s">
        <v/>
        <stp/>
        <stp>161913535MM27:LstBlkPrc</stp>
        <tr r="K2054" s="5"/>
      </tp>
      <tp t="s">
        <v/>
        <stp/>
        <stp>161913535MM17:LstBlkPrc</stp>
        <tr r="K2044" s="5"/>
      </tp>
    </main>
    <main first="esrtd">
      <tp t="s">
        <v/>
        <stp/>
        <stp>WNS 3!-IEU</stp>
        <stp>Last</stp>
        <tr r="I1850" s="5"/>
      </tp>
    </main>
    <main first="ice.rtd">
      <tp t="s">
        <v/>
        <stp/>
        <stp>161913535MM17:BstHitPrc</stp>
        <tr r="G2044" s="5"/>
      </tp>
      <tp t="s">
        <v/>
        <stp/>
        <stp>161913535MM27:BstHitPrc</stp>
        <tr r="G2054" s="5"/>
      </tp>
    </main>
    <main first="esrtd">
      <tp t="s">
        <v/>
        <stp/>
        <stp>WMJ 3!-IEU</stp>
        <stp>Last</stp>
        <tr r="I1885" s="5"/>
      </tp>
      <tp t="s">
        <v/>
        <stp/>
        <stp>WHK 3!-IEU</stp>
        <stp>Last</stp>
        <tr r="I1920" s="5"/>
      </tp>
    </main>
    <main first="ice.rtd">
      <tp>
        <v>0</v>
        <stp/>
        <stp>3124331018M12:Vol</stp>
        <tr r="N1617" s="5"/>
      </tp>
      <tp>
        <v>0</v>
        <stp/>
        <stp>3124331018M13:Vol</stp>
        <tr r="N1618" s="5"/>
      </tp>
      <tp>
        <v>0</v>
        <stp/>
        <stp>3124331018M10:Vol</stp>
        <tr r="N1615" s="5"/>
      </tp>
      <tp>
        <v>0</v>
        <stp/>
        <stp>3124331018M11:Vol</stp>
        <tr r="N1616" s="5"/>
      </tp>
      <tp>
        <v>0</v>
        <stp/>
        <stp>3124331018M14:Vol</stp>
        <tr r="N1619" s="5"/>
      </tp>
    </main>
    <main first="bofaddin.rtdserver">
      <tp t="s">
        <v>#N/A Invalid Security</v>
        <stp/>
        <stp>BDP|12757913727207486159|22</stp>
        <stp>XBZ9XBZ0 Comdty</stp>
        <stp>BID</stp>
        <tr r="F5" s="3"/>
      </tp>
    </main>
    <main first="ice.rtd">
      <tp t="s">
        <v/>
        <stp/>
        <stp>161913535MM21:LstBlkVol</stp>
        <tr r="L2048" s="5"/>
      </tp>
      <tp t="s">
        <v/>
        <stp/>
        <stp>161913535MM11:LstBlkVol</stp>
        <tr r="L2038" s="5"/>
      </tp>
      <tp t="s">
        <v/>
        <stp/>
        <stp>2326725628B0:LstBlkTime</stp>
        <tr r="M344" s="5"/>
      </tp>
      <tp t="s">
        <v/>
        <stp/>
        <stp>2325425615B0:LstBlkTime</stp>
        <tr r="M555" s="5"/>
      </tp>
      <tp t="s">
        <v/>
        <stp/>
        <stp>2180224575B0:LstBlkTime</stp>
        <tr r="M1224" s="5"/>
      </tp>
      <tp t="s">
        <v/>
        <stp/>
        <stp>41787896M21:BstHitPrc</stp>
        <tr r="G828" s="5"/>
      </tp>
      <tp t="s">
        <v/>
        <stp/>
        <stp>41787896M11:BstHitPrc</stp>
        <tr r="G818" s="5"/>
      </tp>
      <tp t="s">
        <v/>
        <stp/>
        <stp>41767893M11:LstBlkPrc</stp>
        <tr r="K491" s="5"/>
      </tp>
      <tp t="s">
        <v/>
        <stp/>
        <stp>41767893M21:LstBlkPrc</stp>
        <tr r="K501" s="5"/>
      </tp>
      <tp t="s">
        <v/>
        <stp/>
        <stp>57409036M18:LstBlkPrc</stp>
        <tr r="K249" s="5"/>
      </tp>
      <tp t="s">
        <v/>
        <stp/>
        <stp>34344092M15:LstBlkPrc</stp>
        <tr r="K1278" s="5"/>
      </tp>
      <tp t="s">
        <v/>
        <stp/>
        <stp>34354093M15:LstBlkPrc</stp>
        <tr r="K1316" s="5"/>
      </tp>
    </main>
    <main first="bofaddin.rtdserver">
      <tp t="s">
        <v>#N/A Invalid Security</v>
        <stp/>
        <stp>BDP|15981169116799055795|222</stp>
        <stp>SCPN28 Comdty</stp>
        <stp>BID</stp>
        <stp>Fill=#N/A</stp>
        <tr r="M41" s="1"/>
      </tp>
    </main>
    <main first="ice.rtd">
      <tp t="s">
        <v/>
        <stp/>
        <stp>30793693M11:BstHitPrc</stp>
        <tr r="G894" s="5"/>
      </tp>
      <tp t="s">
        <v/>
        <stp/>
        <stp>30793693M21:BstHitPrc</stp>
        <tr r="G904" s="5"/>
      </tp>
      <tp t="s">
        <v>Q1 27/Q2 27</v>
        <stp/>
        <stp>DBI1227QQ1:Strip</stp>
        <tr r="E1680" s="5"/>
      </tp>
      <tp t="s">
        <v>Sep26/Nov26</v>
        <stp/>
        <stp>DBI1227MM1:Strip</stp>
        <tr r="E1652" s="5"/>
      </tp>
      <tp t="s">
        <v/>
        <stp/>
        <stp>32623993M20:LstBlkPrc</stp>
        <tr r="K2010" s="5"/>
      </tp>
      <tp t="s">
        <v/>
        <stp/>
        <stp>32623993M10:LstBlkPrc</stp>
        <tr r="K2000" s="5"/>
      </tp>
      <tp t="s">
        <v/>
        <stp/>
        <stp>15061297MM6:LstBlkPrc</stp>
        <tr r="K1689" s="5"/>
      </tp>
    </main>
    <main first="bofaddin.rtdserver">
      <tp t="s">
        <v>#N/A Real Time</v>
        <stp/>
        <stp>BDP|5542775790830725141|22</stp>
        <stp>COQ6  Comdty</stp>
        <stp>MID</stp>
        <tr r="F42" s="23"/>
        <tr r="E42" s="23"/>
      </tp>
    </main>
    <main first="ice.rtd">
      <tp t="s">
        <v/>
        <stp/>
        <stp>34404098M22:BstHitPrc</stp>
        <tr r="G616" s="5"/>
      </tp>
      <tp t="s">
        <v/>
        <stp/>
        <stp>34414099M22:BstHitPrc</stp>
        <tr r="G101" s="5"/>
      </tp>
      <tp t="s">
        <v/>
        <stp/>
        <stp>34404098M12:BstHitPrc</stp>
        <tr r="G606" s="5"/>
      </tp>
      <tp t="s">
        <v/>
        <stp/>
        <stp>34414099M12:BstHitPrc</stp>
        <tr r="G91" s="5"/>
      </tp>
      <tp t="s">
        <v/>
        <stp/>
        <stp>34364094M15:LstBlkPrc</stp>
        <tr r="K533" s="5"/>
      </tp>
      <tp t="s">
        <v/>
        <stp/>
        <stp>34374095M15:LstBlkPrc</stp>
        <tr r="K571" s="5"/>
      </tp>
      <tp t="s">
        <v/>
        <stp/>
        <stp>32613992M20:LstBlkPrc</stp>
        <tr r="K1245" s="5"/>
      </tp>
      <tp t="s">
        <v/>
        <stp/>
        <stp>32613992M10:LstBlkPrc</stp>
        <tr r="K1235" s="5"/>
      </tp>
      <tp t="s">
        <v/>
        <stp/>
        <stp>34344092M15:BstHitPrc</stp>
        <tr r="G1278" s="5"/>
      </tp>
      <tp t="s">
        <v/>
        <stp/>
        <stp>34354093M15:BstHitPrc</stp>
        <tr r="G1316" s="5"/>
      </tp>
      <tp t="s">
        <v/>
        <stp/>
        <stp>57409036M18:BstHitPrc</stp>
        <tr r="G249" s="5"/>
      </tp>
      <tp t="s">
        <v/>
        <stp/>
        <stp>41787896M11:LstBlkPrc</stp>
        <tr r="K818" s="5"/>
      </tp>
      <tp t="s">
        <v/>
        <stp/>
        <stp>41787896M21:LstBlkPrc</stp>
        <tr r="K828" s="5"/>
      </tp>
      <tp t="s">
        <v/>
        <stp/>
        <stp>41767893M21:BstHitPrc</stp>
        <tr r="G501" s="5"/>
      </tp>
      <tp t="s">
        <v/>
        <stp/>
        <stp>41767893M11:BstHitPrc</stp>
        <tr r="G491" s="5"/>
      </tp>
      <tp t="s">
        <v/>
        <stp/>
        <stp>34364094M15:BstHitPrc</stp>
        <tr r="G533" s="5"/>
      </tp>
      <tp t="s">
        <v/>
        <stp/>
        <stp>34374095M15:BstHitPrc</stp>
        <tr r="G571" s="5"/>
      </tp>
      <tp t="s">
        <v/>
        <stp/>
        <stp>34404098M12:LstBlkPrc</stp>
        <tr r="K606" s="5"/>
      </tp>
      <tp t="s">
        <v/>
        <stp/>
        <stp>34414099M12:LstBlkPrc</stp>
        <tr r="K91" s="5"/>
      </tp>
      <tp t="s">
        <v/>
        <stp/>
        <stp>34404098M22:LstBlkPrc</stp>
        <tr r="K616" s="5"/>
      </tp>
      <tp t="s">
        <v/>
        <stp/>
        <stp>34414099M22:LstBlkPrc</stp>
        <tr r="K101" s="5"/>
      </tp>
      <tp t="s">
        <v/>
        <stp/>
        <stp>32613992M10:BstHitPrc</stp>
        <tr r="G1235" s="5"/>
      </tp>
      <tp t="s">
        <v/>
        <stp/>
        <stp>32613992M20:BstHitPrc</stp>
        <tr r="G1245" s="5"/>
      </tp>
      <tp t="s">
        <v/>
        <stp/>
        <stp>30793693M21:LstBlkPrc</stp>
        <tr r="K904" s="5"/>
      </tp>
      <tp t="s">
        <v/>
        <stp/>
        <stp>30793693M11:LstBlkPrc</stp>
        <tr r="K894" s="5"/>
      </tp>
      <tp t="s">
        <v/>
        <stp/>
        <stp>32623993M10:BstHitPrc</stp>
        <tr r="G2000" s="5"/>
      </tp>
      <tp t="s">
        <v/>
        <stp/>
        <stp>32623993M20:BstHitPrc</stp>
        <tr r="G2010" s="5"/>
      </tp>
      <tp t="s">
        <v/>
        <stp/>
        <stp>15061297MM6:BstHitPrc</stp>
        <tr r="G1689" s="5"/>
      </tp>
      <tp t="s">
        <v/>
        <stp/>
        <stp>15091310M18:LstBlkVol</stp>
        <tr r="L1395" s="5"/>
      </tp>
      <tp t="s">
        <v/>
        <stp/>
        <stp>34404098M14:LstBlkVol</stp>
        <tr r="L608" s="5"/>
      </tp>
      <tp t="s">
        <v/>
        <stp/>
        <stp>34414099M14:LstBlkVol</stp>
        <tr r="L93" s="5"/>
      </tp>
      <tp t="s">
        <v/>
        <stp/>
        <stp>34404098M24:LstBlkVol</stp>
        <tr r="L618" s="5"/>
      </tp>
      <tp t="s">
        <v/>
        <stp/>
        <stp>34414099M24:LstBlkVol</stp>
        <tr r="L103" s="5"/>
      </tp>
      <tp t="s">
        <v/>
        <stp/>
        <stp>30793693M17:LstBlkVol</stp>
        <tr r="L900" s="5"/>
      </tp>
    </main>
    <main first="esrtd">
      <tp t="s">
        <v/>
        <stp/>
        <stp>WNS 8!-IEU</stp>
        <stp>Block Price DT</stp>
        <tr r="M1855" s="5"/>
      </tp>
      <tp t="s">
        <v/>
        <stp/>
        <stp>WNS 9!-IEU</stp>
        <stp>Block Price DT</stp>
        <tr r="M1856" s="5"/>
      </tp>
      <tp t="s">
        <v/>
        <stp/>
        <stp>WNS 1!-IEU</stp>
        <stp>Block Price DT</stp>
        <tr r="M1848" s="5"/>
      </tp>
      <tp t="s">
        <v/>
        <stp/>
        <stp>WNS 2!-IEU</stp>
        <stp>Block Price DT</stp>
        <tr r="M1849" s="5"/>
      </tp>
      <tp t="s">
        <v/>
        <stp/>
        <stp>WNS 3!-IEU</stp>
        <stp>Block Price DT</stp>
        <tr r="M1850" s="5"/>
      </tp>
      <tp t="s">
        <v/>
        <stp/>
        <stp>WNS 4!-IEU</stp>
        <stp>Block Price DT</stp>
        <tr r="M1851" s="5"/>
      </tp>
      <tp t="s">
        <v/>
        <stp/>
        <stp>WNS 5!-IEU</stp>
        <stp>Block Price DT</stp>
        <tr r="M1852" s="5"/>
      </tp>
      <tp t="s">
        <v/>
        <stp/>
        <stp>WNS 6!-IEU</stp>
        <stp>Block Price DT</stp>
        <tr r="M1853" s="5"/>
      </tp>
      <tp t="s">
        <v/>
        <stp/>
        <stp>WNS 7!-IEU</stp>
        <stp>Block Price DT</stp>
        <tr r="M1854" s="5"/>
      </tp>
    </main>
    <main first="ice.rtd">
      <tp t="s">
        <v/>
        <stp/>
        <stp>41787896M17:LstBlkVol</stp>
        <tr r="L824" s="5"/>
      </tp>
      <tp t="s">
        <v/>
        <stp/>
        <stp>15061297YY0:LstBlkVol</stp>
        <tr r="L1713" s="5"/>
      </tp>
      <tp t="s">
        <v/>
        <stp/>
        <stp>15061297QQ0:LstBlkVol</stp>
        <tr r="L1711" s="5"/>
      </tp>
      <tp t="s">
        <v/>
        <stp/>
        <stp>32623993M16:LstBlkVol</stp>
        <tr r="L2006" s="5"/>
      </tp>
      <tp t="s">
        <v/>
        <stp/>
        <stp>15061297MM0:LstBlkVol</stp>
        <tr r="L1683" s="5"/>
      </tp>
      <tp t="s">
        <v/>
        <stp/>
        <stp>35534143M18:LstBlkVol</stp>
        <tr r="L726" s="5"/>
      </tp>
      <tp t="s">
        <v/>
        <stp/>
        <stp>35544144M18:LstBlkVol</stp>
        <tr r="L650" s="5"/>
      </tp>
      <tp t="s">
        <v/>
        <stp/>
        <stp>35554145M18:LstBlkVol</stp>
        <tr r="L688" s="5"/>
      </tp>
      <tp t="s">
        <v/>
        <stp/>
        <stp>30813691M18:LstBlkVol</stp>
        <tr r="L1971" s="5"/>
      </tp>
      <tp t="s">
        <v/>
        <stp/>
        <stp>32613992M16:LstBlkVol</stp>
        <tr r="L1241" s="5"/>
      </tp>
      <tp t="s">
        <v/>
        <stp/>
        <stp>34364094M13:LstBlkVol</stp>
        <tr r="L531" s="5"/>
      </tp>
      <tp t="s">
        <v/>
        <stp/>
        <stp>34374095M13:LstBlkVol</stp>
        <tr r="L569" s="5"/>
      </tp>
      <tp t="s">
        <v/>
        <stp/>
        <stp>34364094M23:LstBlkVol</stp>
        <tr r="L541" s="5"/>
      </tp>
      <tp t="s">
        <v/>
        <stp/>
        <stp>34374095M23:LstBlkVol</stp>
        <tr r="L579" s="5"/>
      </tp>
      <tp t="s">
        <v/>
        <stp/>
        <stp>18871685M19:LstBlkVol</stp>
        <tr r="L440" s="5"/>
      </tp>
      <tp t="s">
        <v/>
        <stp/>
        <stp>41767893M17:LstBlkVol</stp>
        <tr r="L497" s="5"/>
      </tp>
      <tp t="s">
        <v/>
        <stp/>
        <stp>18901687M18:LstBlkVol</stp>
        <tr r="L325" s="5"/>
      </tp>
      <tp t="s">
        <v/>
        <stp/>
        <stp>34344092M13:LstBlkVol</stp>
        <tr r="L1276" s="5"/>
      </tp>
      <tp t="s">
        <v/>
        <stp/>
        <stp>34354093M13:LstBlkVol</stp>
        <tr r="L1314" s="5"/>
      </tp>
      <tp t="s">
        <v/>
        <stp/>
        <stp>34344092M23:LstBlkVol</stp>
        <tr r="L1286" s="5"/>
      </tp>
      <tp t="s">
        <v/>
        <stp/>
        <stp>34354093M23:LstBlkVol</stp>
        <tr r="L1324" s="5"/>
      </tp>
      <tp t="s">
        <v/>
        <stp/>
        <stp>18851683M19:LstBlkVol</stp>
        <tr r="L212" s="5"/>
      </tp>
      <tp t="s">
        <v/>
        <stp/>
        <stp>266M5:LstBlkVol</stp>
        <tr r="L926" s="5"/>
      </tp>
      <tp t="s">
        <v/>
        <stp/>
        <stp>266Q5:LstBlkVol</stp>
        <tr r="L951" s="5"/>
      </tp>
    </main>
    <main first="esrtd">
      <tp t="s">
        <v/>
        <stp/>
        <stp>BRN 26VC30000-ICE</stp>
        <stp>OldSettlement</stp>
        <tr r="AN205" s="23"/>
        <tr r="AN208" s="23"/>
        <tr r="AN203" s="23"/>
        <tr r="AN202" s="23"/>
        <tr r="AN207" s="23"/>
        <tr r="AN206" s="23"/>
        <tr r="AN201" s="23"/>
        <tr r="AN204" s="23"/>
      </tp>
      <tp t="s">
        <v/>
        <stp/>
        <stp>BRN 26VP30000-ICE</stp>
        <stp>OldSettlement</stp>
        <tr r="AG204" s="23"/>
        <tr r="AG206" s="23"/>
        <tr r="AG207" s="23"/>
        <tr r="AG201" s="23"/>
        <tr r="AG208" s="23"/>
        <tr r="AG205" s="23"/>
        <tr r="AG203" s="23"/>
        <tr r="AG202" s="23"/>
      </tp>
      <tp t="s">
        <v/>
        <stp/>
        <stp>BRN 26UC30000-ICE</stp>
        <stp>OldSettlement</stp>
        <tr r="AN131" s="23"/>
        <tr r="AN139" s="23"/>
        <tr r="AN128" s="23"/>
        <tr r="AN126" s="23"/>
        <tr r="AN134" s="23"/>
        <tr r="AN129" s="23"/>
        <tr r="AN137" s="23"/>
        <tr r="AN132" s="23"/>
        <tr r="AN140" s="23"/>
        <tr r="AN135" s="23"/>
        <tr r="AN127" s="23"/>
        <tr r="AN138" s="23"/>
        <tr r="AN130" s="23"/>
        <tr r="AN133" s="23"/>
        <tr r="AN136" s="23"/>
      </tp>
      <tp t="s">
        <v/>
        <stp/>
        <stp>BRN 26UP30000-ICE</stp>
        <stp>OldSettlement</stp>
        <tr r="AG129" s="23"/>
        <tr r="AG137" s="23"/>
        <tr r="AG134" s="23"/>
        <tr r="AG132" s="23"/>
        <tr r="AG140" s="23"/>
        <tr r="AG135" s="23"/>
        <tr r="AG130" s="23"/>
        <tr r="AG138" s="23"/>
        <tr r="AG133" s="23"/>
        <tr r="AG128" s="23"/>
        <tr r="AG136" s="23"/>
        <tr r="AG126" s="23"/>
        <tr r="AG127" s="23"/>
        <tr r="AG131" s="23"/>
        <tr r="AG139" s="23"/>
      </tp>
      <tp t="s">
        <v/>
        <stp/>
        <stp>BRN 26QC30000-ICE</stp>
        <stp>OldSettlement</stp>
        <tr r="AN57" s="23"/>
        <tr r="AN67" s="23"/>
        <tr r="AN71" s="23"/>
        <tr r="AN58" s="23"/>
        <tr r="AN69" s="23"/>
        <tr r="AN62" s="23"/>
        <tr r="AN64" s="23"/>
        <tr r="AN66" s="23"/>
        <tr r="AN72" s="23"/>
        <tr r="AN61" s="23"/>
        <tr r="AN70" s="23"/>
        <tr r="AN63" s="23"/>
        <tr r="AN68" s="23"/>
        <tr r="AN59" s="23"/>
        <tr r="AN60" s="23"/>
        <tr r="AN56" s="23"/>
        <tr r="AN65" s="23"/>
      </tp>
      <tp t="s">
        <v/>
        <stp/>
        <stp>BRN 26QP30000-ICE</stp>
        <stp>OldSettlement</stp>
        <tr r="AG57" s="23"/>
        <tr r="AG58" s="23"/>
        <tr r="AG61" s="23"/>
        <tr r="AG72" s="23"/>
        <tr r="AG60" s="23"/>
        <tr r="AG63" s="23"/>
        <tr r="AG62" s="23"/>
        <tr r="AG65" s="23"/>
        <tr r="AG66" s="23"/>
        <tr r="AG70" s="23"/>
        <tr r="AG68" s="23"/>
        <tr r="AG67" s="23"/>
        <tr r="AG69" s="23"/>
        <tr r="AG56" s="23"/>
        <tr r="AG59" s="23"/>
        <tr r="AG64" s="23"/>
        <tr r="AG71" s="23"/>
      </tp>
    </main>
    <main first="ice.rtd">
      <tp t="s">
        <v/>
        <stp/>
        <stp>1581618115M11:LstBlkVol</stp>
        <tr r="L470" s="5"/>
      </tp>
      <tp t="s">
        <v/>
        <stp/>
        <stp>1986823075M19:LstBlkVol</stp>
        <tr r="L136" s="5"/>
      </tp>
      <tp t="s">
        <v/>
        <stp/>
        <stp>1986923076M18:LstBlkVol</stp>
        <tr r="L173" s="5"/>
      </tp>
      <tp t="s">
        <v/>
        <stp/>
        <stp>2755728678M15:LstBlkVol</stp>
        <tr r="L1126" s="5"/>
      </tp>
      <tp t="s">
        <v/>
        <stp/>
        <stp>1923422331M11:LstBlkVol</stp>
        <tr r="L1638" s="5"/>
      </tp>
    </main>
    <main first="bofaddin.rtdserver">
      <tp t="s">
        <v>#N/A</v>
        <stp/>
        <stp>BDP|2375867186659247638|222</stp>
        <stp>XBZ9XBF0 Comdty</stp>
        <stp>ASK</stp>
        <stp>Fill=#N/A</stp>
        <tr r="R59" s="1"/>
      </tp>
    </main>
    <main first="ice.rtd">
      <tp t="s">
        <v/>
        <stp/>
        <stp>3124331018M10:LstBlkPrc</stp>
        <tr r="K1615" s="5"/>
      </tp>
    </main>
    <main first="bofaddin.rtdserver">
      <tp t="s">
        <v>#N/A</v>
        <stp/>
        <stp>BDP|12253424640154074545|222</stp>
        <stp>MUCG9H9 Comdty</stp>
        <stp>BID</stp>
        <stp>Fill=#N/A</stp>
        <tr r="S49" s="1"/>
      </tp>
      <tp t="s">
        <v>#N/A</v>
        <stp/>
        <stp>BDP|17587309041783142671|222</stp>
        <stp>OQAH8J8 Comdty</stp>
        <stp>BID</stp>
        <stp>Fill=#N/A</stp>
        <tr r="T38" s="1"/>
      </tp>
    </main>
    <main first="ice.rtd">
      <tp t="s">
        <v/>
        <stp/>
        <stp>2755728678M23:LstBlkPrc</stp>
        <tr r="K1134" s="5"/>
      </tp>
      <tp t="s">
        <v/>
        <stp/>
        <stp>2755728678M13:LstBlkPrc</stp>
        <tr r="K1124" s="5"/>
      </tp>
      <tp t="s">
        <v>Invalid Market: 2044823525M19</v>
        <stp/>
        <stp>2044823525M19:BstHitPrc</stp>
        <tr r="G1766" s="5"/>
      </tp>
    </main>
    <main first="bofaddin.rtdserver">
      <tp>
        <v>0.24</v>
        <stp/>
        <stp>BDP|4280330909267037913|222</stp>
        <stp>COZ8COF9 Comdty</stp>
        <stp>ASK</stp>
        <stp>Fill=#N/A</stp>
        <tr r="O47" s="1"/>
      </tp>
      <tp t="s">
        <v>#N/A</v>
        <stp/>
        <stp>BDP|16635482543467459625|222</stp>
        <stp>MUCG9H9 Comdty</stp>
        <stp>ASK</stp>
        <stp>Fill=#N/A</stp>
        <tr r="S49" s="1"/>
      </tp>
      <tp t="s">
        <v>#N/A</v>
        <stp/>
        <stp>BDP|10577930255977666966|222</stp>
        <stp>OQAJ0K0 Comdty</stp>
        <stp>BID</stp>
        <stp>Fill=#N/A</stp>
        <tr r="T63" s="1"/>
      </tp>
    </main>
    <main first="ice.rtd">
      <tp t="s">
        <v/>
        <stp/>
        <stp>266Q3:BstHitPrc</stp>
        <tr r="G949" s="5"/>
      </tp>
      <tp t="s">
        <v/>
        <stp/>
        <stp>266M3:BstHitPrc</stp>
        <tr r="G924" s="5"/>
      </tp>
    </main>
    <main first="bofaddin.rtdserver">
      <tp t="s">
        <v>#N/A</v>
        <stp/>
        <stp>BDP|11225985991188098655|222</stp>
        <stp>MUCK9M9 Comdty</stp>
        <stp>ASK</stp>
        <stp>Fill=#N/A</stp>
        <tr r="S52" s="1"/>
      </tp>
    </main>
    <main first="ice.rtd">
      <tp t="s">
        <v/>
        <stp/>
        <stp>3124331018M10:BstHitPrc</stp>
        <tr r="G1615" s="5"/>
      </tp>
    </main>
    <main first="bofaddin.rtdserver">
      <tp t="s">
        <v>#N/A</v>
        <stp/>
        <stp>BDP|10550119802252843453|222</stp>
        <stp>MUCF8G8 Comdty</stp>
        <stp>BID</stp>
        <stp>Fill=#N/A</stp>
        <tr r="S36" s="1"/>
      </tp>
    </main>
    <main first="ice.rtd">
      <tp t="s">
        <v>Invalid Market: 2044823525M19</v>
        <stp/>
        <stp>2044823525M19:LstBlkPrc</stp>
        <tr r="K1766" s="5"/>
      </tp>
      <tp t="s">
        <v/>
        <stp/>
        <stp>2755728678M13:BstHitPrc</stp>
        <tr r="G1124" s="5"/>
      </tp>
      <tp t="s">
        <v/>
        <stp/>
        <stp>2755728678M23:BstHitPrc</stp>
        <tr r="G1134" s="5"/>
      </tp>
      <tp t="s">
        <v/>
        <stp/>
        <stp>266M3:LstBlkPrc</stp>
        <tr r="K924" s="5"/>
      </tp>
      <tp t="s">
        <v/>
        <stp/>
        <stp>266Q3:LstBlkPrc</stp>
        <tr r="K949" s="5"/>
      </tp>
      <tp t="s">
        <v/>
        <stp/>
        <stp>266Q4:LstDate</stp>
        <tr r="J950" s="5"/>
      </tp>
      <tp t="s">
        <v/>
        <stp/>
        <stp>266Q5:LstDate</stp>
        <tr r="J951" s="5"/>
      </tp>
      <tp t="s">
        <v/>
        <stp/>
        <stp>266Q6:LstDate</stp>
        <tr r="J952" s="5"/>
      </tp>
      <tp t="s">
        <v/>
        <stp/>
        <stp>266Q7:LstDate</stp>
        <tr r="J953" s="5"/>
      </tp>
      <tp t="s">
        <v/>
        <stp/>
        <stp>266Q0:LstDate</stp>
        <tr r="J946" s="5"/>
      </tp>
      <tp t="s">
        <v/>
        <stp/>
        <stp>266Q1:LstDate</stp>
        <tr r="J947" s="5"/>
      </tp>
      <tp t="s">
        <v/>
        <stp/>
        <stp>266Q2:LstDate</stp>
        <tr r="J948" s="5"/>
      </tp>
      <tp t="s">
        <v/>
        <stp/>
        <stp>266Q3:LstDate</stp>
        <tr r="J949" s="5"/>
      </tp>
      <tp t="s">
        <v/>
        <stp/>
        <stp>266Q8:LstDate</stp>
        <tr r="J954" s="5"/>
      </tp>
      <tp t="s">
        <v/>
        <stp/>
        <stp>34364094M5:LstBlkTime</stp>
        <tr r="M523" s="5"/>
      </tp>
      <tp t="s">
        <v/>
        <stp/>
        <stp>34374095M5:LstBlkTime</stp>
        <tr r="M561" s="5"/>
      </tp>
      <tp t="s">
        <v/>
        <stp/>
        <stp>34364094M4:LstBlkTime</stp>
        <tr r="M522" s="5"/>
      </tp>
      <tp t="s">
        <v/>
        <stp/>
        <stp>34374095M4:LstBlkTime</stp>
        <tr r="M560" s="5"/>
      </tp>
      <tp t="s">
        <v/>
        <stp/>
        <stp>34364094M7:LstBlkTime</stp>
        <tr r="M525" s="5"/>
      </tp>
      <tp t="s">
        <v/>
        <stp/>
        <stp>34374095M7:LstBlkTime</stp>
        <tr r="M563" s="5"/>
      </tp>
      <tp t="s">
        <v/>
        <stp/>
        <stp>34364094M6:LstBlkTime</stp>
        <tr r="M524" s="5"/>
      </tp>
      <tp t="s">
        <v/>
        <stp/>
        <stp>34374095M6:LstBlkTime</stp>
        <tr r="M562" s="5"/>
      </tp>
      <tp t="s">
        <v>10:50:44</v>
        <stp/>
        <stp>34364094M1:LstBlkTime</stp>
        <tr r="M519" s="5"/>
      </tp>
      <tp t="s">
        <v>10:50:32</v>
        <stp/>
        <stp>34374095M1:LstBlkTime</stp>
        <tr r="M557" s="5"/>
      </tp>
      <tp t="s">
        <v/>
        <stp/>
        <stp>34364094M0:LstBlkTime</stp>
        <tr r="M518" s="5"/>
      </tp>
      <tp t="s">
        <v/>
        <stp/>
        <stp>34374095M0:LstBlkTime</stp>
        <tr r="M556" s="5"/>
      </tp>
      <tp t="s">
        <v>10:59:58</v>
        <stp/>
        <stp>34364094M3:LstBlkTime</stp>
        <tr r="M521" s="5"/>
      </tp>
      <tp t="s">
        <v>10:58:10</v>
        <stp/>
        <stp>34374095M3:LstBlkTime</stp>
        <tr r="M559" s="5"/>
      </tp>
      <tp t="s">
        <v/>
        <stp/>
        <stp>34364094M2:LstBlkTime</stp>
        <tr r="M520" s="5"/>
      </tp>
      <tp t="s">
        <v>10:33:26</v>
        <stp/>
        <stp>34374095M2:LstBlkTime</stp>
        <tr r="M558" s="5"/>
      </tp>
      <tp t="s">
        <v/>
        <stp/>
        <stp>34364094M9:LstBlkTime</stp>
        <tr r="M527" s="5"/>
      </tp>
      <tp t="s">
        <v/>
        <stp/>
        <stp>34374095M9:LstBlkTime</stp>
        <tr r="M565" s="5"/>
      </tp>
      <tp t="s">
        <v/>
        <stp/>
        <stp>34364094M8:LstBlkTime</stp>
        <tr r="M526" s="5"/>
      </tp>
      <tp t="s">
        <v/>
        <stp/>
        <stp>34374095M8:LstBlkTime</stp>
        <tr r="M564" s="5"/>
      </tp>
      <tp t="s">
        <v/>
        <stp/>
        <stp>34364094Y1:LstBlkTime</stp>
        <tr r="M553" s="5"/>
      </tp>
      <tp t="s">
        <v/>
        <stp/>
        <stp>34374095Y1:LstBlkTime</stp>
        <tr r="M591" s="5"/>
      </tp>
      <tp t="s">
        <v/>
        <stp/>
        <stp>34364094Y0:LstBlkTime</stp>
        <tr r="M552" s="5"/>
      </tp>
      <tp t="s">
        <v/>
        <stp/>
        <stp>34374095Y0:LstBlkTime</stp>
        <tr r="M590" s="5"/>
      </tp>
      <tp t="s">
        <v/>
        <stp/>
        <stp>34364094Y2:LstBlkTime</stp>
        <tr r="M554" s="5"/>
      </tp>
      <tp t="s">
        <v/>
        <stp/>
        <stp>34374095Y2:LstBlkTime</stp>
        <tr r="M592" s="5"/>
      </tp>
      <tp t="s">
        <v/>
        <stp/>
        <stp>34364094Q5:LstBlkTime</stp>
        <tr r="M548" s="5"/>
      </tp>
      <tp t="s">
        <v/>
        <stp/>
        <stp>34374095Q5:LstBlkTime</stp>
        <tr r="M586" s="5"/>
      </tp>
      <tp t="s">
        <v/>
        <stp/>
        <stp>34364094Q4:LstBlkTime</stp>
        <tr r="M547" s="5"/>
      </tp>
      <tp t="s">
        <v/>
        <stp/>
        <stp>34374095Q4:LstBlkTime</stp>
        <tr r="M585" s="5"/>
      </tp>
      <tp t="s">
        <v/>
        <stp/>
        <stp>34364094Q7:LstBlkTime</stp>
        <tr r="M550" s="5"/>
      </tp>
      <tp t="s">
        <v/>
        <stp/>
        <stp>34374095Q7:LstBlkTime</stp>
        <tr r="M588" s="5"/>
      </tp>
      <tp t="s">
        <v/>
        <stp/>
        <stp>34364094Q6:LstBlkTime</stp>
        <tr r="M549" s="5"/>
      </tp>
      <tp t="s">
        <v/>
        <stp/>
        <stp>34374095Q6:LstBlkTime</stp>
        <tr r="M587" s="5"/>
      </tp>
      <tp t="s">
        <v/>
        <stp/>
        <stp>34364094Q1:LstBlkTime</stp>
        <tr r="M544" s="5"/>
      </tp>
      <tp t="s">
        <v/>
        <stp/>
        <stp>34374095Q1:LstBlkTime</stp>
        <tr r="M582" s="5"/>
      </tp>
      <tp t="s">
        <v/>
        <stp/>
        <stp>34364094Q0:LstBlkTime</stp>
        <tr r="M543" s="5"/>
      </tp>
      <tp t="s">
        <v/>
        <stp/>
        <stp>34374095Q0:LstBlkTime</stp>
        <tr r="M581" s="5"/>
      </tp>
      <tp t="s">
        <v/>
        <stp/>
        <stp>34364094Q3:LstBlkTime</stp>
        <tr r="M546" s="5"/>
      </tp>
      <tp t="s">
        <v/>
        <stp/>
        <stp>34374095Q3:LstBlkTime</stp>
        <tr r="M584" s="5"/>
      </tp>
      <tp t="s">
        <v/>
        <stp/>
        <stp>34364094Q2:LstBlkTime</stp>
        <tr r="M545" s="5"/>
      </tp>
      <tp t="s">
        <v/>
        <stp/>
        <stp>34374095Q2:LstBlkTime</stp>
        <tr r="M583" s="5"/>
      </tp>
      <tp t="s">
        <v/>
        <stp/>
        <stp>34364094Q8:LstBlkTime</stp>
        <tr r="M551" s="5"/>
      </tp>
      <tp t="s">
        <v/>
        <stp/>
        <stp>34374095Q8:LstBlkTime</stp>
        <tr r="M589" s="5"/>
      </tp>
    </main>
    <main first="esrtd">
      <tp t="s">
        <v/>
        <stp/>
        <stp>TDL 3!-IEU</stp>
        <stp>Last</stp>
        <tr r="I1815" s="5"/>
      </tp>
    </main>
    <main first="ice.rtd">
      <tp t="s">
        <v/>
        <stp/>
        <stp>161913535MM24:LstBlkPrc</stp>
        <tr r="K2051" s="5"/>
      </tp>
      <tp t="s">
        <v/>
        <stp/>
        <stp>161913535MM14:LstBlkPrc</stp>
        <tr r="K2041" s="5"/>
      </tp>
      <tp t="s">
        <v/>
        <stp/>
        <stp>34344092M5:LstBlkTime</stp>
        <tr r="M1268" s="5"/>
      </tp>
      <tp t="s">
        <v/>
        <stp/>
        <stp>34354093M5:LstBlkTime</stp>
        <tr r="M1306" s="5"/>
      </tp>
      <tp t="s">
        <v/>
        <stp/>
        <stp>34344092M4:LstBlkTime</stp>
        <tr r="M1267" s="5"/>
      </tp>
      <tp t="s">
        <v/>
        <stp/>
        <stp>34354093M4:LstBlkTime</stp>
        <tr r="M1305" s="5"/>
      </tp>
      <tp t="s">
        <v/>
        <stp/>
        <stp>34344092M7:LstBlkTime</stp>
        <tr r="M1270" s="5"/>
      </tp>
      <tp t="s">
        <v/>
        <stp/>
        <stp>34354093M7:LstBlkTime</stp>
        <tr r="M1308" s="5"/>
      </tp>
      <tp t="s">
        <v/>
        <stp/>
        <stp>34344092M6:LstBlkTime</stp>
        <tr r="M1269" s="5"/>
      </tp>
      <tp t="s">
        <v/>
        <stp/>
        <stp>34354093M6:LstBlkTime</stp>
        <tr r="M1307" s="5"/>
      </tp>
      <tp t="s">
        <v/>
        <stp/>
        <stp>34344092M1:LstBlkTime</stp>
        <tr r="M1264" s="5"/>
      </tp>
      <tp t="s">
        <v>11:00:04</v>
        <stp/>
        <stp>34354093M1:LstBlkTime</stp>
        <tr r="M1302" s="5"/>
      </tp>
      <tp t="s">
        <v/>
        <stp/>
        <stp>34344092M0:LstBlkTime</stp>
        <tr r="M1263" s="5"/>
      </tp>
      <tp t="s">
        <v/>
        <stp/>
        <stp>34354093M0:LstBlkTime</stp>
        <tr r="M1301" s="5"/>
      </tp>
      <tp t="s">
        <v/>
        <stp/>
        <stp>34344092M3:LstBlkTime</stp>
        <tr r="M1266" s="5"/>
      </tp>
      <tp t="s">
        <v/>
        <stp/>
        <stp>34354093M3:LstBlkTime</stp>
        <tr r="M1304" s="5"/>
      </tp>
      <tp t="s">
        <v/>
        <stp/>
        <stp>34344092M2:LstBlkTime</stp>
        <tr r="M1265" s="5"/>
      </tp>
      <tp t="s">
        <v/>
        <stp/>
        <stp>34354093M2:LstBlkTime</stp>
        <tr r="M1303" s="5"/>
      </tp>
      <tp t="s">
        <v/>
        <stp/>
        <stp>34344092M9:LstBlkTime</stp>
        <tr r="M1272" s="5"/>
      </tp>
      <tp t="s">
        <v/>
        <stp/>
        <stp>34354093M9:LstBlkTime</stp>
        <tr r="M1310" s="5"/>
      </tp>
      <tp t="s">
        <v/>
        <stp/>
        <stp>34344092M8:LstBlkTime</stp>
        <tr r="M1271" s="5"/>
      </tp>
      <tp t="s">
        <v/>
        <stp/>
        <stp>34354093M8:LstBlkTime</stp>
        <tr r="M1309" s="5"/>
      </tp>
      <tp t="s">
        <v/>
        <stp/>
        <stp>34344092Y1:LstBlkTime</stp>
        <tr r="M1298" s="5"/>
      </tp>
      <tp t="s">
        <v>10:07:49</v>
        <stp/>
        <stp>34354093Y1:LstBlkTime</stp>
        <tr r="M1336" s="5"/>
      </tp>
      <tp t="s">
        <v/>
        <stp/>
        <stp>34344092Y0:LstBlkTime</stp>
        <tr r="M1297" s="5"/>
      </tp>
      <tp t="s">
        <v>10:18:21</v>
        <stp/>
        <stp>34354093Y0:LstBlkTime</stp>
        <tr r="M1335" s="5"/>
      </tp>
      <tp t="s">
        <v/>
        <stp/>
        <stp>34344092Y2:LstBlkTime</stp>
        <tr r="M1299" s="5"/>
      </tp>
      <tp t="s">
        <v/>
        <stp/>
        <stp>34354093Y2:LstBlkTime</stp>
        <tr r="M1337" s="5"/>
      </tp>
      <tp t="s">
        <v/>
        <stp/>
        <stp>34344092Q5:LstBlkTime</stp>
        <tr r="M1293" s="5"/>
      </tp>
      <tp t="s">
        <v/>
        <stp/>
        <stp>34354093Q5:LstBlkTime</stp>
        <tr r="M1331" s="5"/>
      </tp>
      <tp t="s">
        <v/>
        <stp/>
        <stp>34344092Q4:LstBlkTime</stp>
        <tr r="M1292" s="5"/>
      </tp>
      <tp t="s">
        <v/>
        <stp/>
        <stp>34354093Q4:LstBlkTime</stp>
        <tr r="M1330" s="5"/>
      </tp>
      <tp t="s">
        <v/>
        <stp/>
        <stp>34344092Q7:LstBlkTime</stp>
        <tr r="M1295" s="5"/>
      </tp>
      <tp t="s">
        <v/>
        <stp/>
        <stp>34354093Q7:LstBlkTime</stp>
        <tr r="M1333" s="5"/>
      </tp>
      <tp t="s">
        <v/>
        <stp/>
        <stp>34344092Q6:LstBlkTime</stp>
        <tr r="M1294" s="5"/>
      </tp>
      <tp t="s">
        <v/>
        <stp/>
        <stp>34354093Q6:LstBlkTime</stp>
        <tr r="M1332" s="5"/>
      </tp>
      <tp t="s">
        <v/>
        <stp/>
        <stp>34344092Q1:LstBlkTime</stp>
        <tr r="M1289" s="5"/>
      </tp>
      <tp t="s">
        <v>11:01:07</v>
        <stp/>
        <stp>34354093Q1:LstBlkTime</stp>
        <tr r="M1327" s="5"/>
      </tp>
      <tp t="s">
        <v/>
        <stp/>
        <stp>34344092Q0:LstBlkTime</stp>
        <tr r="M1288" s="5"/>
      </tp>
      <tp t="s">
        <v>11:01:07</v>
        <stp/>
        <stp>34354093Q0:LstBlkTime</stp>
        <tr r="M1326" s="5"/>
      </tp>
      <tp t="s">
        <v/>
        <stp/>
        <stp>34344092Q3:LstBlkTime</stp>
        <tr r="M1291" s="5"/>
      </tp>
      <tp t="s">
        <v/>
        <stp/>
        <stp>34354093Q3:LstBlkTime</stp>
        <tr r="M1329" s="5"/>
      </tp>
      <tp t="s">
        <v/>
        <stp/>
        <stp>34344092Q2:LstBlkTime</stp>
        <tr r="M1290" s="5"/>
      </tp>
      <tp t="s">
        <v>11:01:07</v>
        <stp/>
        <stp>34354093Q2:LstBlkTime</stp>
        <tr r="M1328" s="5"/>
      </tp>
      <tp t="s">
        <v/>
        <stp/>
        <stp>34344092Q8:LstBlkTime</stp>
        <tr r="M1296" s="5"/>
      </tp>
      <tp t="s">
        <v/>
        <stp/>
        <stp>34354093Q8:LstBlkTime</stp>
        <tr r="M1334" s="5"/>
      </tp>
      <tp t="s">
        <v/>
        <stp/>
        <stp>266Y0:LstDate</stp>
        <tr r="J955" s="5"/>
      </tp>
      <tp t="s">
        <v/>
        <stp/>
        <stp>266Y1:LstDate</stp>
        <tr r="J956" s="5"/>
      </tp>
      <tp t="s">
        <v/>
        <stp/>
        <stp>266Y2:LstDate</stp>
        <tr r="J957" s="5"/>
      </tp>
      <tp t="s">
        <v/>
        <stp/>
        <stp>161913535MM14:BstHitPrc</stp>
        <tr r="G2041" s="5"/>
      </tp>
      <tp t="s">
        <v/>
        <stp/>
        <stp>161913535MM24:BstHitPrc</stp>
        <tr r="G2051" s="5"/>
      </tp>
      <tp>
        <v>0</v>
        <stp/>
        <stp>1923422331M14:Vol</stp>
        <tr r="N1641" s="5"/>
      </tp>
      <tp>
        <v>0</v>
        <stp/>
        <stp>1581618115M14:Vol</stp>
        <tr r="N473" s="5"/>
      </tp>
      <tp>
        <v>0</v>
        <stp/>
        <stp>1923422331M11:Vol</stp>
        <tr r="N1638" s="5"/>
      </tp>
      <tp>
        <v>0</v>
        <stp/>
        <stp>1581618115M11:Vol</stp>
        <tr r="N470" s="5"/>
      </tp>
      <tp>
        <v>0</v>
        <stp/>
        <stp>1923422331M10:Vol</stp>
        <tr r="N1637" s="5"/>
      </tp>
      <tp>
        <v>0</v>
        <stp/>
        <stp>1581618115M10:Vol</stp>
        <tr r="N469" s="5"/>
      </tp>
      <tp>
        <v>0</v>
        <stp/>
        <stp>1923422331M13:Vol</stp>
        <tr r="N1640" s="5"/>
      </tp>
      <tp>
        <v>0</v>
        <stp/>
        <stp>1581618115M13:Vol</stp>
        <tr r="N472" s="5"/>
      </tp>
      <tp>
        <v>0</v>
        <stp/>
        <stp>1923422331M12:Vol</stp>
        <tr r="N1639" s="5"/>
      </tp>
      <tp>
        <v>0</v>
        <stp/>
        <stp>1581618115M12:Vol</stp>
        <tr r="N471" s="5"/>
      </tp>
    </main>
    <main first="ice.rtd">
      <tp t="s">
        <v/>
        <stp/>
        <stp>266419M8:BstLiftPrc</stp>
        <tr r="H967" s="5"/>
      </tp>
      <tp t="s">
        <v/>
        <stp/>
        <stp>266419M9:BstLiftPrc</stp>
        <tr r="H968" s="5"/>
      </tp>
      <tp t="s">
        <v/>
        <stp/>
        <stp>266419M4:BstLiftPrc</stp>
        <tr r="H963" s="5"/>
      </tp>
      <tp t="s">
        <v/>
        <stp/>
        <stp>266419M5:BstLiftPrc</stp>
        <tr r="H964" s="5"/>
      </tp>
      <tp t="s">
        <v/>
        <stp/>
        <stp>266419M6:BstLiftPrc</stp>
        <tr r="H965" s="5"/>
      </tp>
      <tp t="s">
        <v/>
        <stp/>
        <stp>266419M7:BstLiftPrc</stp>
        <tr r="H966" s="5"/>
      </tp>
      <tp t="s">
        <v/>
        <stp/>
        <stp>266419M0:BstLiftPrc</stp>
        <tr r="H959" s="5"/>
      </tp>
      <tp t="s">
        <v/>
        <stp/>
        <stp>266419M1:BstLiftPrc</stp>
        <tr r="H960" s="5"/>
      </tp>
      <tp t="s">
        <v/>
        <stp/>
        <stp>266419M2:BstLiftPrc</stp>
        <tr r="H961" s="5"/>
      </tp>
      <tp>
        <v>8.75</v>
        <stp/>
        <stp>266419M3:BstLiftPrc</stp>
        <tr r="H962" s="5"/>
      </tp>
      <tp t="s">
        <v/>
        <stp/>
        <stp>266419Y0:BstLiftPrc</stp>
        <tr r="H993" s="5"/>
      </tp>
      <tp t="s">
        <v/>
        <stp/>
        <stp>266419Y1:BstLiftPrc</stp>
        <tr r="H994" s="5"/>
      </tp>
      <tp t="s">
        <v/>
        <stp/>
        <stp>266419Y2:BstLiftPrc</stp>
        <tr r="H995" s="5"/>
      </tp>
      <tp t="s">
        <v/>
        <stp/>
        <stp>266419Q8:BstLiftPrc</stp>
        <tr r="H992" s="5"/>
      </tp>
      <tp t="s">
        <v/>
        <stp/>
        <stp>266419Q4:BstLiftPrc</stp>
        <tr r="H988" s="5"/>
      </tp>
      <tp t="s">
        <v/>
        <stp/>
        <stp>266419Q5:BstLiftPrc</stp>
        <tr r="H989" s="5"/>
      </tp>
      <tp t="s">
        <v/>
        <stp/>
        <stp>266419Q6:BstLiftPrc</stp>
        <tr r="H990" s="5"/>
      </tp>
      <tp t="s">
        <v/>
        <stp/>
        <stp>266419Q7:BstLiftPrc</stp>
        <tr r="H991" s="5"/>
      </tp>
      <tp t="s">
        <v/>
        <stp/>
        <stp>266419Q0:BstLiftPrc</stp>
        <tr r="H984" s="5"/>
      </tp>
      <tp t="s">
        <v/>
        <stp/>
        <stp>266419Q1:BstLiftPrc</stp>
        <tr r="H985" s="5"/>
      </tp>
      <tp t="s">
        <v/>
        <stp/>
        <stp>266419Q2:BstLiftPrc</stp>
        <tr r="H986" s="5"/>
      </tp>
      <tp t="s">
        <v/>
        <stp/>
        <stp>266419Q3:BstLiftPrc</stp>
        <tr r="H987" s="5"/>
      </tp>
      <tp t="s">
        <v/>
        <stp/>
        <stp>266M4:LstDate</stp>
        <tr r="J925" s="5"/>
      </tp>
      <tp t="s">
        <v/>
        <stp/>
        <stp>266M5:LstDate</stp>
        <tr r="J926" s="5"/>
      </tp>
      <tp t="s">
        <v/>
        <stp/>
        <stp>266M6:LstDate</stp>
        <tr r="J927" s="5"/>
      </tp>
      <tp t="s">
        <v/>
        <stp/>
        <stp>266M7:LstDate</stp>
        <tr r="J928" s="5"/>
      </tp>
      <tp t="s">
        <v/>
        <stp/>
        <stp>266M0:LstDate</stp>
        <tr r="J921" s="5"/>
      </tp>
      <tp t="s">
        <v/>
        <stp/>
        <stp>266M1:LstDate</stp>
        <tr r="J922" s="5"/>
      </tp>
      <tp t="s">
        <v/>
        <stp/>
        <stp>266M2:LstDate</stp>
        <tr r="J923" s="5"/>
      </tp>
      <tp t="s">
        <v/>
        <stp/>
        <stp>266M3:LstDate</stp>
        <tr r="J924" s="5"/>
      </tp>
      <tp t="s">
        <v/>
        <stp/>
        <stp>266M8:LstDate</stp>
        <tr r="J929" s="5"/>
      </tp>
      <tp t="s">
        <v/>
        <stp/>
        <stp>266M9:LstDate</stp>
        <tr r="J930" s="5"/>
      </tp>
      <tp>
        <v>50</v>
        <stp/>
        <stp>161913535MM22:LstBlkVol</stp>
        <tr r="L2049" s="5"/>
      </tp>
      <tp>
        <v>60</v>
        <stp/>
        <stp>161913535MM12:LstBlkVol</stp>
        <tr r="L2039" s="5"/>
      </tp>
      <tp t="s">
        <v/>
        <stp/>
        <stp>2326425625B0:LstBlkTime</stp>
        <tr r="M1262" s="5"/>
      </tp>
      <tp t="s">
        <v/>
        <stp/>
        <stp>2324625607B0:LstBlkTime</stp>
        <tr r="M192" s="5"/>
      </tp>
      <tp t="s">
        <v/>
        <stp/>
        <stp>2049123570B0:LstBlkTime</stp>
        <tr r="M230" s="5"/>
      </tp>
      <tp t="s">
        <v/>
        <stp/>
        <stp>41787896M20:BstHitPrc</stp>
        <tr r="G827" s="5"/>
      </tp>
      <tp t="s">
        <v/>
        <stp/>
        <stp>41787896M10:BstHitPrc</stp>
        <tr r="G817" s="5"/>
      </tp>
      <tp t="s">
        <v/>
        <stp/>
        <stp>41767893M10:LstBlkPrc</stp>
        <tr r="K490" s="5"/>
      </tp>
      <tp t="s">
        <v/>
        <stp/>
        <stp>41767893M20:LstBlkPrc</stp>
        <tr r="K500" s="5"/>
      </tp>
      <tp t="s">
        <v/>
        <stp/>
        <stp>57409036M19:LstBlkPrc</stp>
        <tr r="K250" s="5"/>
      </tp>
      <tp t="s">
        <v/>
        <stp/>
        <stp>34344092M14:LstBlkPrc</stp>
        <tr r="K1277" s="5"/>
      </tp>
      <tp t="s">
        <v/>
        <stp/>
        <stp>34354093M14:LstBlkPrc</stp>
        <tr r="K1315" s="5"/>
      </tp>
      <tp t="s">
        <v/>
        <stp/>
        <stp>34344092M24:LstBlkPrc</stp>
        <tr r="K1287" s="5"/>
      </tp>
      <tp t="s">
        <v/>
        <stp/>
        <stp>34354093M24:LstBlkPrc</stp>
        <tr r="K1325" s="5"/>
      </tp>
      <tp t="s">
        <v/>
        <stp/>
        <stp>30793693M10:BstHitPrc</stp>
        <tr r="G893" s="5"/>
      </tp>
      <tp t="s">
        <v/>
        <stp/>
        <stp>30793693M20:BstHitPrc</stp>
        <tr r="G903" s="5"/>
      </tp>
      <tp t="s">
        <v/>
        <stp/>
        <stp>161913535MM6:LstBlkTime</stp>
        <tr r="M2033" s="5"/>
      </tp>
      <tp t="s">
        <v/>
        <stp/>
        <stp>161913535MM7:LstBlkTime</stp>
        <tr r="M2034" s="5"/>
      </tp>
      <tp t="s">
        <v/>
        <stp/>
        <stp>161913535MM4:LstBlkTime</stp>
        <tr r="M2031" s="5"/>
      </tp>
      <tp t="s">
        <v/>
        <stp/>
        <stp>161913535MM5:LstBlkTime</stp>
        <tr r="M2032" s="5"/>
      </tp>
      <tp t="s">
        <v/>
        <stp/>
        <stp>161913535MM2:LstBlkTime</stp>
        <tr r="M2029" s="5"/>
      </tp>
      <tp t="s">
        <v/>
        <stp/>
        <stp>161913535MM3:LstBlkTime</stp>
        <tr r="M2030" s="5"/>
      </tp>
      <tp t="s">
        <v/>
        <stp/>
        <stp>161913535MM0:LstBlkTime</stp>
        <tr r="M2027" s="5"/>
      </tp>
      <tp t="s">
        <v/>
        <stp/>
        <stp>161913535MM1:LstBlkTime</stp>
        <tr r="M2028" s="5"/>
      </tp>
      <tp t="s">
        <v/>
        <stp/>
        <stp>161913535MM8:LstBlkTime</stp>
        <tr r="M2035" s="5"/>
      </tp>
      <tp t="s">
        <v/>
        <stp/>
        <stp>161913535MM9:LstBlkTime</stp>
        <tr r="M2036" s="5"/>
      </tp>
      <tp t="s">
        <v>Cal 27/Cal 28</v>
        <stp/>
        <stp>DBI1227YY0:Strip</stp>
        <tr r="E1681" s="5"/>
      </tp>
      <tp t="s">
        <v>Q4 26/Q1 27</v>
        <stp/>
        <stp>DBI1227QQ0:Strip</stp>
        <tr r="E1679" s="5"/>
      </tp>
      <tp t="s">
        <v>Sep26/Oct26</v>
        <stp/>
        <stp>DBI1227MM0:Strip</stp>
        <tr r="E1648" s="5"/>
        <tr r="E1651" s="5"/>
      </tp>
      <tp t="s">
        <v/>
        <stp/>
        <stp>32623993M21:LstBlkPrc</stp>
        <tr r="K2011" s="5"/>
      </tp>
      <tp t="s">
        <v/>
        <stp/>
        <stp>32623993M11:LstBlkPrc</stp>
        <tr r="K2001" s="5"/>
      </tp>
      <tp t="s">
        <v/>
        <stp/>
        <stp>15061297MM7:LstBlkPrc</stp>
        <tr r="K1690" s="5"/>
      </tp>
      <tp t="s">
        <v/>
        <stp/>
        <stp>34404098M23:BstHitPrc</stp>
        <tr r="G617" s="5"/>
      </tp>
      <tp t="s">
        <v/>
        <stp/>
        <stp>34414099M23:BstHitPrc</stp>
        <tr r="G102" s="5"/>
      </tp>
      <tp t="s">
        <v/>
        <stp/>
        <stp>34404098M13:BstHitPrc</stp>
        <tr r="G607" s="5"/>
      </tp>
      <tp t="s">
        <v/>
        <stp/>
        <stp>34414099M13:BstHitPrc</stp>
        <tr r="G92" s="5"/>
      </tp>
      <tp t="s">
        <v/>
        <stp/>
        <stp>34364094M14:LstBlkPrc</stp>
        <tr r="K532" s="5"/>
      </tp>
      <tp t="s">
        <v/>
        <stp/>
        <stp>34374095M14:LstBlkPrc</stp>
        <tr r="K570" s="5"/>
      </tp>
      <tp t="s">
        <v/>
        <stp/>
        <stp>34364094M24:LstBlkPrc</stp>
        <tr r="K542" s="5"/>
      </tp>
      <tp t="s">
        <v/>
        <stp/>
        <stp>34374095M24:LstBlkPrc</stp>
        <tr r="K580" s="5"/>
      </tp>
    </main>
    <main first="bofaddin.rtdserver">
      <tp>
        <v>502.3</v>
        <stp/>
        <stp>BDP|16340462875877644853|222</stp>
        <stp>SCPM28 Comdty</stp>
        <stp>BID</stp>
        <stp>Fill=#N/A</stp>
        <tr r="M40" s="1"/>
      </tp>
      <tp>
        <v>506.1</v>
        <stp/>
        <stp>BDP|16277997304632384704|222</stp>
        <stp>SCPZ27 Comdty</stp>
        <stp>BID</stp>
        <stp>Fill=#N/A</stp>
        <tr r="M34" s="1"/>
      </tp>
    </main>
    <main first="ice.rtd">
      <tp t="s">
        <v/>
        <stp/>
        <stp>32613992M21:LstBlkPrc</stp>
        <tr r="K1246" s="5"/>
      </tp>
      <tp t="s">
        <v/>
        <stp/>
        <stp>32613992M11:LstBlkPrc</stp>
        <tr r="K1236" s="5"/>
      </tp>
      <tp t="s">
        <v/>
        <stp/>
        <stp>34344092M24:BstHitPrc</stp>
        <tr r="G1287" s="5"/>
      </tp>
      <tp t="s">
        <v/>
        <stp/>
        <stp>34354093M24:BstHitPrc</stp>
        <tr r="G1325" s="5"/>
      </tp>
      <tp t="s">
        <v/>
        <stp/>
        <stp>34344092M14:BstHitPrc</stp>
        <tr r="G1277" s="5"/>
      </tp>
      <tp t="s">
        <v/>
        <stp/>
        <stp>34354093M14:BstHitPrc</stp>
        <tr r="G1315" s="5"/>
      </tp>
      <tp t="s">
        <v/>
        <stp/>
        <stp>57409036M19:BstHitPrc</stp>
        <tr r="G250" s="5"/>
      </tp>
      <tp t="s">
        <v/>
        <stp/>
        <stp>41787896M10:LstBlkPrc</stp>
        <tr r="K817" s="5"/>
      </tp>
      <tp t="s">
        <v/>
        <stp/>
        <stp>41787896M20:LstBlkPrc</stp>
        <tr r="K827" s="5"/>
      </tp>
      <tp t="s">
        <v/>
        <stp/>
        <stp>41767893M20:BstHitPrc</stp>
        <tr r="G500" s="5"/>
      </tp>
      <tp t="s">
        <v/>
        <stp/>
        <stp>41767893M10:BstHitPrc</stp>
        <tr r="G490" s="5"/>
      </tp>
      <tp t="s">
        <v/>
        <stp/>
        <stp>34364094M24:BstHitPrc</stp>
        <tr r="G542" s="5"/>
      </tp>
      <tp t="s">
        <v/>
        <stp/>
        <stp>34374095M24:BstHitPrc</stp>
        <tr r="G580" s="5"/>
      </tp>
      <tp t="s">
        <v/>
        <stp/>
        <stp>34364094M14:BstHitPrc</stp>
        <tr r="G532" s="5"/>
      </tp>
      <tp t="s">
        <v/>
        <stp/>
        <stp>34374095M14:BstHitPrc</stp>
        <tr r="G570" s="5"/>
      </tp>
      <tp t="s">
        <v/>
        <stp/>
        <stp>34404098M13:LstBlkPrc</stp>
        <tr r="K607" s="5"/>
      </tp>
      <tp t="s">
        <v/>
        <stp/>
        <stp>34414099M13:LstBlkPrc</stp>
        <tr r="K92" s="5"/>
      </tp>
      <tp t="s">
        <v/>
        <stp/>
        <stp>34404098M23:LstBlkPrc</stp>
        <tr r="K617" s="5"/>
      </tp>
      <tp t="s">
        <v/>
        <stp/>
        <stp>34414099M23:LstBlkPrc</stp>
        <tr r="K102" s="5"/>
      </tp>
    </main>
    <main first="bofaddin.rtdserver">
      <tp>
        <v>532.29999999999995</v>
        <stp/>
        <stp>BDP|10443407067867137046|222</stp>
        <stp>SCPU27 Comdty</stp>
        <stp>ASK</stp>
        <stp>Fill=#N/A</stp>
        <tr r="M31" s="1"/>
      </tp>
    </main>
    <main first="ice.rtd">
      <tp t="s">
        <v/>
        <stp/>
        <stp>32613992M11:BstHitPrc</stp>
        <tr r="G1236" s="5"/>
      </tp>
      <tp t="s">
        <v/>
        <stp/>
        <stp>32613992M21:BstHitPrc</stp>
        <tr r="G1246" s="5"/>
      </tp>
      <tp t="s">
        <v/>
        <stp/>
        <stp>30793693M20:LstBlkPrc</stp>
        <tr r="K903" s="5"/>
      </tp>
      <tp t="s">
        <v/>
        <stp/>
        <stp>30793693M10:LstBlkPrc</stp>
        <tr r="K893" s="5"/>
      </tp>
      <tp t="s">
        <v>Invalid Market: 297449133BM0</v>
        <stp/>
        <stp>297449133BM0:LstBlkTime</stp>
        <tr r="M2026" s="5"/>
      </tp>
      <tp t="s">
        <v/>
        <stp/>
        <stp>32623993M11:BstHitPrc</stp>
        <tr r="G2001" s="5"/>
      </tp>
      <tp t="s">
        <v/>
        <stp/>
        <stp>32623993M21:BstHitPrc</stp>
        <tr r="G2011" s="5"/>
      </tp>
      <tp t="s">
        <v/>
        <stp/>
        <stp>15061297MM7:BstHitPrc</stp>
        <tr r="G1690" s="5"/>
      </tp>
      <tp t="s">
        <v/>
        <stp/>
        <stp>161913535YY0:LstBlkTime</stp>
        <tr r="M2057" s="5"/>
      </tp>
      <tp t="s">
        <v/>
        <stp/>
        <stp>15091310M19:LstBlkVol</stp>
        <tr r="L1396" s="5"/>
      </tp>
      <tp t="s">
        <v/>
        <stp/>
        <stp>34404098M15:LstBlkVol</stp>
        <tr r="L609" s="5"/>
      </tp>
      <tp t="s">
        <v/>
        <stp/>
        <stp>34414099M15:LstBlkVol</stp>
        <tr r="L94" s="5"/>
      </tp>
      <tp t="s">
        <v/>
        <stp/>
        <stp>30793693M16:LstBlkVol</stp>
        <tr r="L899" s="5"/>
      </tp>
      <tp t="s">
        <v/>
        <stp/>
        <stp>41787896M16:LstBlkVol</stp>
        <tr r="L823" s="5"/>
      </tp>
      <tp t="s">
        <v/>
        <stp/>
        <stp>161913535QQ0:LstBlkTime</stp>
        <tr r="M2055" s="5"/>
      </tp>
      <tp t="s">
        <v/>
        <stp/>
        <stp>161913535QQ1:LstBlkTime</stp>
        <tr r="M2056" s="5"/>
      </tp>
      <tp t="s">
        <v/>
        <stp/>
        <stp>15061297QQ1:LstBlkVol</stp>
        <tr r="L1712" s="5"/>
      </tp>
    </main>
    <main first="esrtd">
      <tp t="s">
        <v/>
        <stp/>
        <stp>WDF C2!-IEU</stp>
        <stp>Strip</stp>
        <tr r="E1812" s="5"/>
      </tp>
    </main>
    <main first="ice.rtd">
      <tp t="s">
        <v/>
        <stp/>
        <stp>32623993M17:LstBlkVol</stp>
        <tr r="L2007" s="5"/>
      </tp>
      <tp t="s">
        <v/>
        <stp/>
        <stp>15061297MM1:LstBlkVol</stp>
        <tr r="L1684" s="5"/>
      </tp>
    </main>
    <main first="esrtd">
      <tp t="s">
        <v/>
        <stp/>
        <stp>WDF Q4!-IEU</stp>
        <stp>Strip</stp>
        <tr r="E1811" s="5"/>
      </tp>
      <tp t="s">
        <v/>
        <stp/>
        <stp>WDF Q1!-IEU</stp>
        <stp>Strip</stp>
        <tr r="E1808" s="5"/>
      </tp>
      <tp t="s">
        <v/>
        <stp/>
        <stp>WDF Q2!-IEU</stp>
        <stp>Strip</stp>
        <tr r="E1809" s="5"/>
      </tp>
      <tp t="s">
        <v/>
        <stp/>
        <stp>WDF Q3!-IEU</stp>
        <stp>Strip</stp>
        <tr r="E1810" s="5"/>
      </tp>
      <tp t="s">
        <v/>
        <stp/>
        <stp>WDF 14!-IEU</stp>
        <stp>Strip</stp>
        <tr r="E1791" s="5"/>
      </tp>
      <tp t="s">
        <v/>
        <stp/>
        <stp>WDF 15!-IEU</stp>
        <stp>Strip</stp>
        <tr r="E1792" s="5"/>
      </tp>
      <tp t="s">
        <v/>
        <stp/>
        <stp>WDF 16!-IEU</stp>
        <stp>Strip</stp>
        <tr r="E1793" s="5"/>
      </tp>
      <tp t="s">
        <v/>
        <stp/>
        <stp>WDF 17!-IEU</stp>
        <stp>Strip</stp>
        <tr r="E1794" s="5"/>
      </tp>
      <tp t="s">
        <v/>
        <stp/>
        <stp>WDF 10!-IEU</stp>
        <stp>Strip</stp>
        <tr r="E1787" s="5"/>
      </tp>
      <tp t="s">
        <v/>
        <stp/>
        <stp>WDF 11!-IEU</stp>
        <stp>Strip</stp>
        <tr r="E1788" s="5"/>
      </tp>
      <tp t="s">
        <v/>
        <stp/>
        <stp>WDF 12!-IEU</stp>
        <stp>Strip</stp>
        <tr r="E1789" s="5"/>
      </tp>
      <tp t="s">
        <v/>
        <stp/>
        <stp>WDF 13!-IEU</stp>
        <stp>Strip</stp>
        <tr r="E1790" s="5"/>
      </tp>
      <tp t="s">
        <v/>
        <stp/>
        <stp>WDF 18!-IEU</stp>
        <stp>Strip</stp>
        <tr r="E1795" s="5"/>
      </tp>
      <tp t="s">
        <v/>
        <stp/>
        <stp>WDF 19!-IEU</stp>
        <stp>Strip</stp>
        <tr r="E1796" s="5"/>
      </tp>
      <tp t="s">
        <v/>
        <stp/>
        <stp>WDF 24!-IEU</stp>
        <stp>Strip</stp>
        <tr r="E1801" s="5"/>
      </tp>
      <tp t="s">
        <v/>
        <stp/>
        <stp>WDF 25!-IEU</stp>
        <stp>Strip</stp>
        <tr r="E1802" s="5"/>
      </tp>
      <tp t="s">
        <v/>
        <stp/>
        <stp>WDF 26!-IEU</stp>
        <stp>Strip</stp>
        <tr r="E1803" s="5"/>
      </tp>
      <tp t="s">
        <v/>
        <stp/>
        <stp>WDF 27!-IEU</stp>
        <stp>Strip</stp>
        <tr r="E1804" s="5"/>
      </tp>
      <tp t="s">
        <v/>
        <stp/>
        <stp>WDF 20!-IEU</stp>
        <stp>Strip</stp>
        <tr r="E1797" s="5"/>
      </tp>
      <tp t="s">
        <v/>
        <stp/>
        <stp>WDF 21!-IEU</stp>
        <stp>Strip</stp>
        <tr r="E1798" s="5"/>
      </tp>
      <tp t="s">
        <v/>
        <stp/>
        <stp>WDF 22!-IEU</stp>
        <stp>Strip</stp>
        <tr r="E1799" s="5"/>
      </tp>
      <tp t="s">
        <v/>
        <stp/>
        <stp>WDF 23!-IEU</stp>
        <stp>Strip</stp>
        <tr r="E1800" s="5"/>
      </tp>
      <tp t="s">
        <v/>
        <stp/>
        <stp>WDF 28!-IEU</stp>
        <stp>Strip</stp>
        <tr r="E1805" s="5"/>
      </tp>
      <tp t="s">
        <v/>
        <stp/>
        <stp>WDF 29!-IEU</stp>
        <stp>Strip</stp>
        <tr r="E1806" s="5"/>
      </tp>
      <tp t="s">
        <v/>
        <stp/>
        <stp>WDF 30!-IEU</stp>
        <stp>Strip</stp>
        <tr r="E1807" s="5"/>
      </tp>
    </main>
    <main first="ice.rtd">
      <tp t="s">
        <v/>
        <stp/>
        <stp>35534143M19:LstBlkVol</stp>
        <tr r="L727" s="5"/>
      </tp>
      <tp t="s">
        <v/>
        <stp/>
        <stp>35544144M19:LstBlkVol</stp>
        <tr r="L651" s="5"/>
      </tp>
      <tp t="s">
        <v/>
        <stp/>
        <stp>35554145M19:LstBlkVol</stp>
        <tr r="L689" s="5"/>
      </tp>
      <tp t="s">
        <v/>
        <stp/>
        <stp>30813691M19:LstBlkVol</stp>
        <tr r="L1972" s="5"/>
      </tp>
      <tp t="s">
        <v/>
        <stp/>
        <stp>32613992M17:LstBlkVol</stp>
        <tr r="L1242" s="5"/>
      </tp>
      <tp t="s">
        <v/>
        <stp/>
        <stp>34364094M12:LstBlkVol</stp>
        <tr r="L530" s="5"/>
      </tp>
      <tp t="s">
        <v/>
        <stp/>
        <stp>34374095M12:LstBlkVol</stp>
        <tr r="L568" s="5"/>
      </tp>
      <tp t="s">
        <v/>
        <stp/>
        <stp>34364094M22:LstBlkVol</stp>
        <tr r="L540" s="5"/>
      </tp>
      <tp t="s">
        <v/>
        <stp/>
        <stp>34374095M22:LstBlkVol</stp>
        <tr r="L578" s="5"/>
      </tp>
      <tp t="s">
        <v/>
        <stp/>
        <stp>18871685M18:LstBlkVol</stp>
        <tr r="L439" s="5"/>
      </tp>
      <tp t="s">
        <v/>
        <stp/>
        <stp>41767893M16:LstBlkVol</stp>
        <tr r="L496" s="5"/>
      </tp>
      <tp t="s">
        <v/>
        <stp/>
        <stp>18901687M19:LstBlkVol</stp>
        <tr r="L326" s="5"/>
      </tp>
      <tp t="s">
        <v/>
        <stp/>
        <stp>34344092M12:LstBlkVol</stp>
        <tr r="L1275" s="5"/>
      </tp>
      <tp t="s">
        <v/>
        <stp/>
        <stp>34354093M12:LstBlkVol</stp>
        <tr r="L1313" s="5"/>
      </tp>
      <tp t="s">
        <v/>
        <stp/>
        <stp>34344092M22:LstBlkVol</stp>
        <tr r="L1285" s="5"/>
      </tp>
      <tp t="s">
        <v/>
        <stp/>
        <stp>34354093M22:LstBlkVol</stp>
        <tr r="L1323" s="5"/>
      </tp>
      <tp t="s">
        <v/>
        <stp/>
        <stp>18851683M18:LstBlkVol</stp>
        <tr r="L211" s="5"/>
      </tp>
      <tp t="s">
        <v/>
        <stp/>
        <stp>266M4:LstBlkVol</stp>
        <tr r="L925" s="5"/>
      </tp>
      <tp t="s">
        <v/>
        <stp/>
        <stp>266Q4:LstBlkVol</stp>
        <tr r="L950" s="5"/>
      </tp>
    </main>
    <main first="esrtd">
      <tp t="s">
        <v/>
        <stp/>
        <stp>BRN 26VC25000-ICE</stp>
        <stp>OldSettlement</stp>
        <tr r="AN200" s="23"/>
      </tp>
      <tp t="s">
        <v/>
        <stp/>
        <stp>BRN 26VP25000-ICE</stp>
        <stp>OldSettlement</stp>
        <tr r="AG200" s="23"/>
      </tp>
      <tp t="s">
        <v/>
        <stp/>
        <stp>BRN 26UC25000-ICE</stp>
        <stp>OldSettlement</stp>
        <tr r="AN125" s="23"/>
      </tp>
      <tp t="s">
        <v/>
        <stp/>
        <stp>BRN 26UP25000-ICE</stp>
        <stp>OldSettlement</stp>
        <tr r="AG125" s="23"/>
      </tp>
      <tp t="s">
        <v/>
        <stp/>
        <stp>BRN 26QC25000-ICE</stp>
        <stp>OldSettlement</stp>
        <tr r="AN55" s="23"/>
      </tp>
      <tp t="s">
        <v/>
        <stp/>
        <stp>BRN 26QP25000-ICE</stp>
        <stp>OldSettlement</stp>
        <tr r="AG55" s="23"/>
      </tp>
      <tp t="s">
        <v/>
        <stp/>
        <stp>BRN 26VC20000-ICE</stp>
        <stp>OldSettlement</stp>
        <tr r="AN199" s="23"/>
      </tp>
      <tp t="s">
        <v/>
        <stp/>
        <stp>BRN 26VP20000-ICE</stp>
        <stp>OldSettlement</stp>
        <tr r="AG199" s="23"/>
      </tp>
      <tp t="s">
        <v/>
        <stp/>
        <stp>BRN 26UC20000-ICE</stp>
        <stp>OldSettlement</stp>
        <tr r="AN124" s="23"/>
      </tp>
      <tp t="s">
        <v/>
        <stp/>
        <stp>BRN 26UP20000-ICE</stp>
        <stp>OldSettlement</stp>
        <tr r="AG124" s="23"/>
      </tp>
      <tp t="s">
        <v/>
        <stp/>
        <stp>BRN 26QC20000-ICE</stp>
        <stp>OldSettlement</stp>
        <tr r="AN54" s="23"/>
      </tp>
      <tp t="s">
        <v/>
        <stp/>
        <stp>BRN 26QP20000-ICE</stp>
        <stp>OldSettlement</stp>
        <tr r="AG54" s="23"/>
      </tp>
    </main>
    <main first="ice.rtd">
      <tp t="s">
        <v/>
        <stp/>
        <stp>3016030250BM0:LstBlkVol</stp>
        <tr r="L1682" s="5"/>
      </tp>
      <tp t="s">
        <v/>
        <stp/>
        <stp>1581618115M10:LstBlkVol</stp>
        <tr r="L469" s="5"/>
      </tp>
    </main>
    <main first="bofaddin.rtdserver">
      <tp t="s">
        <v>#N/A Invalid Security</v>
        <stp/>
        <stp>BDP|4766476307124442474|222</stp>
        <stp>MUCQ0 Comdty</stp>
        <stp>ASK</stp>
        <stp>Fill=#N/A</stp>
        <tr r="S67" s="1"/>
      </tp>
    </main>
    <main first="ice.rtd">
      <tp t="s">
        <v/>
        <stp/>
        <stp>1986823075M18:LstBlkVol</stp>
        <tr r="L135" s="5"/>
      </tp>
      <tp t="s">
        <v/>
        <stp/>
        <stp>1986923076M19:LstBlkVol</stp>
        <tr r="L174" s="5"/>
      </tp>
      <tp t="s">
        <v/>
        <stp/>
        <stp>2755728678M24:LstBlkVol</stp>
        <tr r="L1135" s="5"/>
      </tp>
      <tp t="s">
        <v/>
        <stp/>
        <stp>2755728678M14:LstBlkVol</stp>
        <tr r="L1125" s="5"/>
      </tp>
      <tp t="s">
        <v/>
        <stp/>
        <stp>1923422331M10:LstBlkVol</stp>
        <tr r="L1637" s="5"/>
      </tp>
    </main>
    <main first="bofaddin.rtdserver">
      <tp t="s">
        <v>#N/A</v>
        <stp/>
        <stp>BDP|12530812716673669891|222</stp>
        <stp>OQAJ8K8 Comdty</stp>
        <stp>ASK</stp>
        <stp>Fill=#N/A</stp>
        <tr r="T39" s="1"/>
      </tp>
    </main>
    <main first="ice.rtd">
      <tp t="s">
        <v/>
        <stp/>
        <stp>3124331018M11:LstBlkPrc</stp>
        <tr r="K1616" s="5"/>
      </tp>
      <tp t="s">
        <v/>
        <stp/>
        <stp>2755728678M22:LstBlkPrc</stp>
        <tr r="K1133" s="5"/>
      </tp>
      <tp t="s">
        <v/>
        <stp/>
        <stp>2755728678M12:LstBlkPrc</stp>
        <tr r="K1123" s="5"/>
      </tp>
      <tp t="s">
        <v>Invalid Market: 2044823525M18</v>
        <stp/>
        <stp>2044823525M18:BstHitPrc</stp>
        <tr r="G1765" s="5"/>
      </tp>
      <tp t="s">
        <v/>
        <stp/>
        <stp>266Q2:BstHitPrc</stp>
        <tr r="G948" s="5"/>
      </tp>
      <tp t="s">
        <v/>
        <stp/>
        <stp>266Y2:BstHitPrc</stp>
        <tr r="G957" s="5"/>
      </tp>
      <tp t="s">
        <v/>
        <stp/>
        <stp>266M2:BstHitPrc</stp>
        <tr r="G923" s="5"/>
      </tp>
      <tp t="s">
        <v/>
        <stp/>
        <stp>3124331018M11:BstHitPrc</stp>
        <tr r="G1616" s="5"/>
      </tp>
      <tp t="s">
        <v>Invalid Market: 2044823525M18</v>
        <stp/>
        <stp>2044823525M18:LstBlkPrc</stp>
        <tr r="K1765" s="5"/>
      </tp>
      <tp t="s">
        <v/>
        <stp/>
        <stp>2755728678M12:BstHitPrc</stp>
        <tr r="G1123" s="5"/>
      </tp>
      <tp t="s">
        <v/>
        <stp/>
        <stp>2755728678M22:BstHitPrc</stp>
        <tr r="G1133" s="5"/>
      </tp>
      <tp t="s">
        <v/>
        <stp/>
        <stp>266M2:LstBlkPrc</stp>
        <tr r="K923" s="5"/>
      </tp>
      <tp t="s">
        <v/>
        <stp/>
        <stp>266Y2:LstBlkPrc</stp>
        <tr r="K957" s="5"/>
      </tp>
      <tp t="s">
        <v/>
        <stp/>
        <stp>266Q2:LstBlkPrc</stp>
        <tr r="K948" s="5"/>
      </tp>
    </main>
    <main first="bofaddin.rtdserver">
      <tp t="s">
        <v>#N/A</v>
        <stp/>
        <stp>BDP|12848069823338593846|222</stp>
        <stp>OQAH7J7 Comdty</stp>
        <stp>ASK</stp>
        <stp>Fill=#N/A</stp>
        <tr r="T26" s="1"/>
      </tp>
      <tp>
        <v>0.21</v>
        <stp/>
        <stp>BDP|1341776612756323003|222</stp>
        <stp>CLZ8CLF9 Comdty</stp>
        <stp>BID</stp>
        <stp>Fill=#N/A</stp>
        <tr r="N47" s="1"/>
      </tp>
    </main>
    <main first="esrtd">
      <tp t="s">
        <v/>
        <stp/>
        <stp>TDL 2!-IEU</stp>
        <stp>Last</stp>
        <tr r="I1814" s="5"/>
      </tp>
      <tp t="s">
        <v/>
        <stp/>
        <stp>WDF 1!-IEU</stp>
        <stp>Last</stp>
        <tr r="I1778" s="5"/>
      </tp>
    </main>
    <main first="ice.rtd">
      <tp>
        <v>18.399999999999999</v>
        <stp/>
        <stp>161913535MM25:LstBlkPrc</stp>
        <tr r="K2052" s="5"/>
      </tp>
      <tp t="s">
        <v/>
        <stp/>
        <stp>161913535MM15:LstBlkPrc</stp>
        <tr r="K2042" s="5"/>
      </tp>
    </main>
    <main first="esrtd">
      <tp t="s">
        <v/>
        <stp/>
        <stp>WNS 1!-IEU</stp>
        <stp>Last</stp>
        <tr r="I1848" s="5"/>
      </tp>
    </main>
    <main first="ice.rtd">
      <tp t="s">
        <v/>
        <stp/>
        <stp>161913535MM15:BstHitPrc</stp>
        <tr r="G2042" s="5"/>
      </tp>
      <tp t="s">
        <v/>
        <stp/>
        <stp>161913535MM25:BstHitPrc</stp>
        <tr r="G2052" s="5"/>
      </tp>
    </main>
    <main first="esrtd">
      <tp t="s">
        <v/>
        <stp/>
        <stp>WMJ 1!-IEU</stp>
        <stp>Last</stp>
        <tr r="I1883" s="5"/>
      </tp>
      <tp t="s">
        <v/>
        <stp/>
        <stp>WHK 1!-IEU</stp>
        <stp>Last</stp>
        <tr r="I1918" s="5"/>
      </tp>
    </main>
    <main first="bofaddin.rtdserver">
      <tp>
        <v>31.3</v>
        <stp/>
        <stp>BDP|16000265288942382068|22</stp>
        <stp>HOZ7HOZ8 Comdty</stp>
        <stp>BID</stp>
        <tr r="E3" s="3"/>
      </tp>
    </main>
    <main first="ice.rtd">
      <tp>
        <v>50</v>
        <stp/>
        <stp>161913535MM23:LstBlkVol</stp>
        <tr r="L2050" s="5"/>
      </tp>
      <tp t="s">
        <v/>
        <stp/>
        <stp>161913535MM13:LstBlkVol</stp>
        <tr r="L2040" s="5"/>
      </tp>
      <tp t="s">
        <v>Invalid Market: 2044823525M18</v>
        <stp/>
        <stp>2044823525M18:PCC</stp>
        <tr r="B1765" s="5"/>
      </tp>
      <tp t="s">
        <v>Invalid Market: 2044823525M19</v>
        <stp/>
        <stp>2044823525M19:PCC</stp>
        <tr r="B1766" s="5"/>
      </tp>
      <tp t="s">
        <v>ARV</v>
        <stp/>
        <stp>2044823525M14:PCC</stp>
        <tr r="B1761" s="5"/>
      </tp>
      <tp t="s">
        <v>Invalid Market: 2044823525M15</v>
        <stp/>
        <stp>2044823525M15:PCC</stp>
        <tr r="B1762" s="5"/>
      </tp>
      <tp t="s">
        <v>Invalid Market: 2044823525M16</v>
        <stp/>
        <stp>2044823525M16:PCC</stp>
        <tr r="B1763" s="5"/>
      </tp>
      <tp t="s">
        <v>Invalid Market: 2044823525M17</v>
        <stp/>
        <stp>2044823525M17:PCC</stp>
        <tr r="B1764" s="5"/>
      </tp>
      <tp t="s">
        <v>ARV</v>
        <stp/>
        <stp>2044823525M10:PCC</stp>
        <tr r="B1757" s="5"/>
      </tp>
      <tp t="s">
        <v>ARV</v>
        <stp/>
        <stp>2044823525M11:PCC</stp>
        <tr r="B1758" s="5"/>
      </tp>
      <tp t="s">
        <v>ARV</v>
        <stp/>
        <stp>2044823525M12:PCC</stp>
        <tr r="B1759" s="5"/>
      </tp>
      <tp t="s">
        <v>ARV</v>
        <stp/>
        <stp>2044823525M13:PCC</stp>
        <tr r="B1760" s="5"/>
      </tp>
      <tp t="s">
        <v>Invalid Market: 2044823525M20</v>
        <stp/>
        <stp>2044823525M20:PCC</stp>
        <tr r="B1767" s="5"/>
      </tp>
      <tp t="s">
        <v>Invalid Market: 2044823525M21</v>
        <stp/>
        <stp>2044823525M21:PCC</stp>
        <tr r="B1768" s="5"/>
      </tp>
      <tp t="s">
        <v>Invalid Market: 2044823525M22</v>
        <stp/>
        <stp>2044823525M22:PCC</stp>
        <tr r="B1769" s="5"/>
      </tp>
      <tp t="s">
        <v>08:58:31</v>
        <stp/>
        <stp>2326525626B0:LstBlkTime</stp>
        <tr r="M420" s="5"/>
      </tp>
    </main>
    <main first="bofaddin.rtdserver">
      <tp t="s">
        <v>#N/A Real Time</v>
        <stp/>
        <stp>BDP|1247513583399355907|22</stp>
        <stp>COU6  Comdty</stp>
        <stp>MID</stp>
        <tr r="B42" s="23"/>
      </tp>
      <tp>
        <v>547.29999999999995</v>
        <stp/>
        <stp>BDP|10708755557642632288|222</stp>
        <stp>SCPN27 Comdty</stp>
        <stp>ASK</stp>
        <stp>Fill=#N/A</stp>
        <tr r="M29" s="1"/>
      </tp>
      <tp t="s">
        <v>#N/A Invalid Security</v>
        <stp/>
        <stp>BDP|14231810051411090572|222</stp>
        <stp>SCPV29 Comdty</stp>
        <stp>BID</stp>
        <stp>Fill=#N/A</stp>
        <tr r="M56" s="1"/>
      </tp>
    </main>
    <main first="ice.rtd">
      <tp t="s">
        <v/>
        <stp/>
        <stp>41787896M17:BstHitPrc</stp>
        <tr r="G824" s="5"/>
      </tp>
      <tp t="s">
        <v/>
        <stp/>
        <stp>41767893M17:LstBlkPrc</stp>
        <tr r="K497" s="5"/>
      </tp>
      <tp t="s">
        <v/>
        <stp/>
        <stp>18851683M19:LstBlkPrc</stp>
        <tr r="K212" s="5"/>
      </tp>
      <tp t="s">
        <v/>
        <stp/>
        <stp>34344092M13:LstBlkPrc</stp>
        <tr r="K1276" s="5"/>
      </tp>
      <tp t="s">
        <v/>
        <stp/>
        <stp>34354093M13:LstBlkPrc</stp>
        <tr r="K1314" s="5"/>
      </tp>
      <tp t="s">
        <v/>
        <stp/>
        <stp>34344092M23:LstBlkPrc</stp>
        <tr r="K1286" s="5"/>
      </tp>
      <tp t="s">
        <v/>
        <stp/>
        <stp>34354093M23:LstBlkPrc</stp>
        <tr r="K1324" s="5"/>
      </tp>
      <tp t="s">
        <v/>
        <stp/>
        <stp>18901687M18:LstBlkPrc</stp>
        <tr r="K325" s="5"/>
      </tp>
    </main>
    <main first="bofaddin.rtdserver">
      <tp t="s">
        <v>#N/A Invalid Security</v>
        <stp/>
        <stp>BDP|14786963108262846212|222</stp>
        <stp>SCPX28 Comdty</stp>
        <stp>BID</stp>
        <stp>Fill=#N/A</stp>
        <tr r="M45" s="1"/>
      </tp>
    </main>
    <main first="ice.rtd">
      <tp t="s">
        <v/>
        <stp/>
        <stp>30793693M17:BstHitPrc</stp>
        <tr r="G900" s="5"/>
      </tp>
      <tp t="s">
        <v/>
        <stp/>
        <stp>30813691M18:LstBlkPrc</stp>
        <tr r="K1971" s="5"/>
      </tp>
      <tp t="s">
        <v/>
        <stp/>
        <stp>35534143M18:LstBlkPrc</stp>
        <tr r="K726" s="5"/>
      </tp>
      <tp t="s">
        <v/>
        <stp/>
        <stp>35544144M18:LstBlkPrc</stp>
        <tr r="K650" s="5"/>
      </tp>
      <tp t="s">
        <v/>
        <stp/>
        <stp>35554145M18:LstBlkPrc</stp>
        <tr r="K688" s="5"/>
      </tp>
      <tp t="s">
        <v>Sep26/May27</v>
        <stp/>
        <stp>DBI1227MM7:Strip</stp>
        <tr r="E1658" s="5"/>
      </tp>
      <tp t="s">
        <v/>
        <stp/>
        <stp>15061297QQ0:LstBlkPrc</stp>
        <tr r="K1711" s="5"/>
      </tp>
      <tp t="s">
        <v/>
        <stp/>
        <stp>15061297YY0:LstBlkPrc</stp>
        <tr r="K1713" s="5"/>
      </tp>
      <tp t="s">
        <v/>
        <stp/>
        <stp>32623993M16:LstBlkPrc</stp>
        <tr r="K2006" s="5"/>
      </tp>
      <tp t="s">
        <v/>
        <stp/>
        <stp>15061297MM0:LstBlkPrc</stp>
        <tr r="K1683" s="5"/>
      </tp>
      <tp t="s">
        <v/>
        <stp/>
        <stp>34404098M24:BstHitPrc</stp>
        <tr r="G618" s="5"/>
      </tp>
      <tp t="s">
        <v/>
        <stp/>
        <stp>34414099M24:BstHitPrc</stp>
        <tr r="G103" s="5"/>
      </tp>
      <tp t="s">
        <v/>
        <stp/>
        <stp>34404098M14:BstHitPrc</stp>
        <tr r="G608" s="5"/>
      </tp>
      <tp t="s">
        <v/>
        <stp/>
        <stp>34414099M14:BstHitPrc</stp>
        <tr r="G93" s="5"/>
      </tp>
      <tp t="s">
        <v/>
        <stp/>
        <stp>18871685M19:LstBlkPrc</stp>
        <tr r="K440" s="5"/>
      </tp>
      <tp t="s">
        <v/>
        <stp/>
        <stp>34364094M13:LstBlkPrc</stp>
        <tr r="K531" s="5"/>
      </tp>
      <tp t="s">
        <v/>
        <stp/>
        <stp>34374095M13:LstBlkPrc</stp>
        <tr r="K569" s="5"/>
      </tp>
      <tp t="s">
        <v/>
        <stp/>
        <stp>34364094M23:LstBlkPrc</stp>
        <tr r="K541" s="5"/>
      </tp>
      <tp t="s">
        <v/>
        <stp/>
        <stp>34374095M23:LstBlkPrc</stp>
        <tr r="K579" s="5"/>
      </tp>
      <tp t="s">
        <v/>
        <stp/>
        <stp>15091310M18:BstHitPrc</stp>
        <tr r="G1395" s="5"/>
      </tp>
      <tp t="s">
        <v/>
        <stp/>
        <stp>32613992M16:LstBlkPrc</stp>
        <tr r="K1241" s="5"/>
      </tp>
      <tp t="s">
        <v/>
        <stp/>
        <stp>18851683M19:BstHitPrc</stp>
        <tr r="G212" s="5"/>
      </tp>
      <tp t="s">
        <v/>
        <stp/>
        <stp>34344092M23:BstHitPrc</stp>
        <tr r="G1286" s="5"/>
      </tp>
      <tp t="s">
        <v/>
        <stp/>
        <stp>34354093M23:BstHitPrc</stp>
        <tr r="G1324" s="5"/>
      </tp>
      <tp t="s">
        <v/>
        <stp/>
        <stp>34344092M13:BstHitPrc</stp>
        <tr r="G1276" s="5"/>
      </tp>
      <tp t="s">
        <v/>
        <stp/>
        <stp>34354093M13:BstHitPrc</stp>
        <tr r="G1314" s="5"/>
      </tp>
      <tp t="s">
        <v/>
        <stp/>
        <stp>18901687M18:BstHitPrc</stp>
        <tr r="G325" s="5"/>
      </tp>
      <tp t="s">
        <v/>
        <stp/>
        <stp>41787896M17:LstBlkPrc</stp>
        <tr r="K824" s="5"/>
      </tp>
      <tp t="s">
        <v/>
        <stp/>
        <stp>41767893M17:BstHitPrc</stp>
        <tr r="G497" s="5"/>
      </tp>
      <tp t="s">
        <v/>
        <stp/>
        <stp>18871685M19:BstHitPrc</stp>
        <tr r="G440" s="5"/>
      </tp>
      <tp t="s">
        <v/>
        <stp/>
        <stp>34364094M23:BstHitPrc</stp>
        <tr r="G541" s="5"/>
      </tp>
      <tp t="s">
        <v/>
        <stp/>
        <stp>34374095M23:BstHitPrc</stp>
        <tr r="G579" s="5"/>
      </tp>
      <tp t="s">
        <v/>
        <stp/>
        <stp>34364094M13:BstHitPrc</stp>
        <tr r="G531" s="5"/>
      </tp>
      <tp t="s">
        <v/>
        <stp/>
        <stp>34374095M13:BstHitPrc</stp>
        <tr r="G569" s="5"/>
      </tp>
      <tp t="s">
        <v/>
        <stp/>
        <stp>34404098M14:LstBlkPrc</stp>
        <tr r="K608" s="5"/>
      </tp>
      <tp t="s">
        <v/>
        <stp/>
        <stp>34414099M14:LstBlkPrc</stp>
        <tr r="K93" s="5"/>
      </tp>
      <tp t="s">
        <v/>
        <stp/>
        <stp>34404098M24:LstBlkPrc</stp>
        <tr r="K618" s="5"/>
      </tp>
      <tp t="s">
        <v/>
        <stp/>
        <stp>34414099M24:LstBlkPrc</stp>
        <tr r="K103" s="5"/>
      </tp>
      <tp t="s">
        <v/>
        <stp/>
        <stp>32613992M16:BstHitPrc</stp>
        <tr r="G1241" s="5"/>
      </tp>
      <tp t="s">
        <v/>
        <stp/>
        <stp>15091310M18:LstBlkPrc</stp>
        <tr r="K1395" s="5"/>
      </tp>
      <tp t="s">
        <v/>
        <stp/>
        <stp>30813691M18:BstHitPrc</stp>
        <tr r="G1971" s="5"/>
      </tp>
      <tp t="s">
        <v/>
        <stp/>
        <stp>35534143M18:BstHitPrc</stp>
        <tr r="G726" s="5"/>
      </tp>
      <tp t="s">
        <v/>
        <stp/>
        <stp>35544144M18:BstHitPrc</stp>
        <tr r="G650" s="5"/>
      </tp>
      <tp t="s">
        <v/>
        <stp/>
        <stp>35554145M18:BstHitPrc</stp>
        <tr r="G688" s="5"/>
      </tp>
      <tp t="s">
        <v/>
        <stp/>
        <stp>30793693M17:LstBlkPrc</stp>
        <tr r="K900" s="5"/>
      </tp>
      <tp t="s">
        <v/>
        <stp/>
        <stp>15061297YY0:BstHitPrc</stp>
        <tr r="G1713" s="5"/>
      </tp>
      <tp t="s">
        <v/>
        <stp/>
        <stp>15061297QQ0:BstHitPrc</stp>
        <tr r="G1711" s="5"/>
      </tp>
      <tp t="s">
        <v/>
        <stp/>
        <stp>32623993M16:BstHitPrc</stp>
        <tr r="G2006" s="5"/>
      </tp>
      <tp>
        <v>1.7</v>
        <stp/>
        <stp>15061297MM0:BstHitPrc</stp>
        <tr r="G1683" s="5"/>
      </tp>
      <tp t="s">
        <v/>
        <stp/>
        <stp>34404098M12:LstBlkVol</stp>
        <tr r="L606" s="5"/>
      </tp>
      <tp t="s">
        <v/>
        <stp/>
        <stp>34414099M12:LstBlkVol</stp>
        <tr r="L91" s="5"/>
      </tp>
      <tp t="s">
        <v/>
        <stp/>
        <stp>34404098M22:LstBlkVol</stp>
        <tr r="L616" s="5"/>
      </tp>
      <tp t="s">
        <v/>
        <stp/>
        <stp>34414099M22:LstBlkVol</stp>
        <tr r="L101" s="5"/>
      </tp>
      <tp t="s">
        <v/>
        <stp/>
        <stp>30793693M21:LstBlkVol</stp>
        <tr r="L904" s="5"/>
      </tp>
      <tp t="s">
        <v/>
        <stp/>
        <stp>30793693M11:LstBlkVol</stp>
        <tr r="L894" s="5"/>
      </tp>
      <tp t="s">
        <v/>
        <stp/>
        <stp>41787896M11:LstBlkVol</stp>
        <tr r="L818" s="5"/>
      </tp>
      <tp t="s">
        <v/>
        <stp/>
        <stp>41787896M21:LstBlkVol</stp>
        <tr r="L828" s="5"/>
      </tp>
      <tp t="s">
        <v/>
        <stp/>
        <stp>32623993M20:LstBlkVol</stp>
        <tr r="L2010" s="5"/>
      </tp>
      <tp t="s">
        <v/>
        <stp/>
        <stp>32623993M10:LstBlkVol</stp>
        <tr r="L2000" s="5"/>
      </tp>
      <tp t="s">
        <v/>
        <stp/>
        <stp>15061297MM6:LstBlkVol</stp>
        <tr r="L1689" s="5"/>
      </tp>
      <tp t="s">
        <v/>
        <stp/>
        <stp>32613992M20:LstBlkVol</stp>
        <tr r="L1245" s="5"/>
      </tp>
      <tp t="s">
        <v/>
        <stp/>
        <stp>32613992M10:LstBlkVol</stp>
        <tr r="L1235" s="5"/>
      </tp>
      <tp t="s">
        <v/>
        <stp/>
        <stp>34364094M15:LstBlkVol</stp>
        <tr r="L533" s="5"/>
      </tp>
      <tp t="s">
        <v/>
        <stp/>
        <stp>34374095M15:LstBlkVol</stp>
        <tr r="L571" s="5"/>
      </tp>
      <tp t="s">
        <v/>
        <stp/>
        <stp>41767893M11:LstBlkVol</stp>
        <tr r="L491" s="5"/>
      </tp>
      <tp t="s">
        <v/>
        <stp/>
        <stp>41767893M21:LstBlkVol</stp>
        <tr r="L501" s="5"/>
      </tp>
      <tp>
        <v>0</v>
        <stp/>
        <stp>266419M24:OI</stp>
        <tr r="T983" s="5"/>
      </tp>
      <tp>
        <v>0</v>
        <stp/>
        <stp>266419M20:OI</stp>
        <tr r="T979" s="5"/>
      </tp>
      <tp>
        <v>0</v>
        <stp/>
        <stp>266419M21:OI</stp>
        <tr r="T980" s="5"/>
      </tp>
      <tp>
        <v>0</v>
        <stp/>
        <stp>266419M22:OI</stp>
        <tr r="T981" s="5"/>
      </tp>
      <tp>
        <v>0</v>
        <stp/>
        <stp>266419M23:OI</stp>
        <tr r="T982" s="5"/>
      </tp>
      <tp>
        <v>16</v>
        <stp/>
        <stp>266419M14:OI</stp>
        <tr r="T973" s="5"/>
      </tp>
      <tp>
        <v>16</v>
        <stp/>
        <stp>266419M15:OI</stp>
        <tr r="T974" s="5"/>
      </tp>
      <tp>
        <v>0</v>
        <stp/>
        <stp>266419M16:OI</stp>
        <tr r="T975" s="5"/>
      </tp>
      <tp>
        <v>0</v>
        <stp/>
        <stp>266419M17:OI</stp>
        <tr r="T976" s="5"/>
      </tp>
      <tp>
        <v>16</v>
        <stp/>
        <stp>266419M10:OI</stp>
        <tr r="T969" s="5"/>
      </tp>
      <tp>
        <v>16</v>
        <stp/>
        <stp>266419M11:OI</stp>
        <tr r="T970" s="5"/>
      </tp>
      <tp>
        <v>16</v>
        <stp/>
        <stp>266419M12:OI</stp>
        <tr r="T971" s="5"/>
      </tp>
      <tp>
        <v>16</v>
        <stp/>
        <stp>266419M13:OI</stp>
        <tr r="T972" s="5"/>
      </tp>
      <tp>
        <v>0</v>
        <stp/>
        <stp>266419M18:OI</stp>
        <tr r="T977" s="5"/>
      </tp>
      <tp>
        <v>0</v>
        <stp/>
        <stp>266419M19:OI</stp>
        <tr r="T978" s="5"/>
      </tp>
      <tp t="s">
        <v/>
        <stp/>
        <stp>34344092M15:LstBlkVol</stp>
        <tr r="L1278" s="5"/>
      </tp>
      <tp t="s">
        <v/>
        <stp/>
        <stp>34354093M15:LstBlkVol</stp>
        <tr r="L1316" s="5"/>
      </tp>
      <tp t="s">
        <v/>
        <stp/>
        <stp>57409036M18:LstBlkVol</stp>
        <tr r="L249" s="5"/>
      </tp>
      <tp t="s">
        <v/>
        <stp/>
        <stp>266M3:LstBlkVol</stp>
        <tr r="L924" s="5"/>
      </tp>
      <tp t="s">
        <v/>
        <stp/>
        <stp>266Q3:LstBlkVol</stp>
        <tr r="L949" s="5"/>
      </tp>
      <tp t="s">
        <v>Invalid Market: 2044823525M19</v>
        <stp/>
        <stp>2044823525M19:LstBlkVol</stp>
        <tr r="L1766" s="5"/>
      </tp>
      <tp t="s">
        <v/>
        <stp/>
        <stp>2755728678M23:LstBlkVol</stp>
        <tr r="L1134" s="5"/>
      </tp>
      <tp t="s">
        <v/>
        <stp/>
        <stp>2755728678M13:LstBlkVol</stp>
        <tr r="L1124" s="5"/>
      </tp>
      <tp t="s">
        <v/>
        <stp/>
        <stp>3124331018M10:LstBlkVol</stp>
        <tr r="L1615" s="5"/>
      </tp>
      <tp>
        <v>-9.15</v>
        <stp/>
        <stp>1581618115M11:BstHitPrc</stp>
        <tr r="G470" s="5"/>
      </tp>
    </main>
    <main first="bofaddin.rtdserver">
      <tp t="s">
        <v>#N/A</v>
        <stp/>
        <stp>BDP|13622874138859017360|222</stp>
        <stp>OQAM7N7 Comdty</stp>
        <stp>ASK</stp>
        <stp>Fill=#N/A</stp>
        <tr r="T29" s="1"/>
      </tp>
    </main>
    <main first="ice.rtd">
      <tp t="s">
        <v/>
        <stp/>
        <stp>1923422331M11:LstBlkPrc</stp>
        <tr r="K1638" s="5"/>
      </tp>
    </main>
    <main first="bofaddin.rtdserver">
      <tp t="s">
        <v>#N/A</v>
        <stp/>
        <stp>BDP|12986867459378198493|222</stp>
        <stp>MUCJ8K8 Comdty</stp>
        <stp>ASK</stp>
        <stp>Fill=#N/A</stp>
        <tr r="S39" s="1"/>
      </tp>
    </main>
    <main first="ice.rtd">
      <tp t="s">
        <v/>
        <stp/>
        <stp>1986823075M19:LstBlkPrc</stp>
        <tr r="K136" s="5"/>
      </tp>
    </main>
    <main first="bofaddin.rtdserver">
      <tp t="s">
        <v>#N/A</v>
        <stp/>
        <stp>BDP|17889799231629301010|222</stp>
        <stp>MUCG8H8 Comdty</stp>
        <stp>BID</stp>
        <stp>Fill=#N/A</stp>
        <tr r="S37" s="1"/>
      </tp>
    </main>
    <main first="ice.rtd">
      <tp t="s">
        <v/>
        <stp/>
        <stp>2755728678M15:LstBlkPrc</stp>
        <tr r="K1126" s="5"/>
      </tp>
      <tp t="s">
        <v/>
        <stp/>
        <stp>1986923076M18:LstBlkPrc</stp>
        <tr r="K173" s="5"/>
      </tp>
      <tp t="s">
        <v/>
        <stp/>
        <stp>266Q5:BstHitPrc</stp>
        <tr r="G951" s="5"/>
      </tp>
      <tp t="s">
        <v/>
        <stp/>
        <stp>266M5:BstHitPrc</stp>
        <tr r="G926" s="5"/>
      </tp>
    </main>
    <main first="bofaddin.rtdserver">
      <tp t="s">
        <v>#N/A Invalid Security</v>
        <stp/>
        <stp>BDP|6526455946417368315|222</stp>
        <stp>XBN0XBQ0 Comdty</stp>
        <stp>BID</stp>
        <stp>Fill=#N/A</stp>
        <tr r="R66" s="1"/>
      </tp>
    </main>
    <main first="ice.rtd">
      <tp t="s">
        <v/>
        <stp/>
        <stp>1581618115M11:LstBlkPrc</stp>
        <tr r="K470" s="5"/>
      </tp>
      <tp t="s">
        <v/>
        <stp/>
        <stp>1923422331M11:BstHitPrc</stp>
        <tr r="G1638" s="5"/>
      </tp>
      <tp t="s">
        <v/>
        <stp/>
        <stp>2755728678M15:BstHitPrc</stp>
        <tr r="G1126" s="5"/>
      </tp>
      <tp t="s">
        <v/>
        <stp/>
        <stp>1986923076M18:BstHitPrc</stp>
        <tr r="G173" s="5"/>
      </tp>
    </main>
    <main first="bofaddin.rtdserver">
      <tp t="s">
        <v>#N/A</v>
        <stp/>
        <stp>BDP|16395934596060214863|222</stp>
        <stp>MUCF8G8 Comdty</stp>
        <stp>ASK</stp>
        <stp>Fill=#N/A</stp>
        <tr r="S36" s="1"/>
      </tp>
      <tp t="s">
        <v>#N/A</v>
        <stp/>
        <stp>BDP|5065811528302202004|222</stp>
        <stp>CON0COQ0 Comdty</stp>
        <stp>BID</stp>
        <stp>Fill=#N/A</stp>
        <tr r="O66" s="1"/>
      </tp>
    </main>
    <main first="ice.rtd">
      <tp t="s">
        <v/>
        <stp/>
        <stp>266M5:LstBlkPrc</stp>
        <tr r="K926" s="5"/>
      </tp>
      <tp t="s">
        <v/>
        <stp/>
        <stp>266Q5:LstBlkPrc</stp>
        <tr r="K951" s="5"/>
      </tp>
    </main>
    <main first="bofaddin.rtdserver">
      <tp>
        <v>46.25</v>
        <stp/>
        <stp>BDP|9803634391810471707|222</stp>
        <stp>QSZ6QSF7 Comdty</stp>
        <stp>ASK</stp>
        <stp>Fill=#N/A</stp>
        <tr r="P23" s="1"/>
      </tp>
    </main>
    <main first="ice.rtd">
      <tp t="s">
        <v/>
        <stp/>
        <stp>1986823075M19:BstHitPrc</stp>
        <tr r="G136" s="5"/>
      </tp>
      <tp t="s">
        <v/>
        <stp/>
        <stp>17551596T3:LstBlkTime</stp>
        <tr r="M1540" s="5"/>
      </tp>
      <tp t="s">
        <v/>
        <stp/>
        <stp>17551596T2:LstBlkTime</stp>
        <tr r="M1539" s="5"/>
      </tp>
      <tp t="s">
        <v/>
        <stp/>
        <stp>17551596T1:LstBlkTime</stp>
        <tr r="M1538" s="5"/>
      </tp>
      <tp t="s">
        <v/>
        <stp/>
        <stp>17551596T0:LstBlkTime</stp>
        <tr r="M1537" s="5"/>
      </tp>
      <tp t="s">
        <v/>
        <stp/>
        <stp>17551596T7:LstBlkTime</stp>
        <tr r="M1544" s="5"/>
      </tp>
      <tp t="s">
        <v/>
        <stp/>
        <stp>17551596T6:LstBlkTime</stp>
        <tr r="M1543" s="5"/>
      </tp>
      <tp t="s">
        <v/>
        <stp/>
        <stp>17551596T5:LstBlkTime</stp>
        <tr r="M1542" s="5"/>
      </tp>
      <tp t="s">
        <v/>
        <stp/>
        <stp>17551596T4:LstBlkTime</stp>
        <tr r="M1541" s="5"/>
      </tp>
      <tp t="s">
        <v/>
        <stp/>
        <stp>17551596T8:LstBlkTime</stp>
        <tr r="M1546" s="5"/>
        <tr r="M1545" s="5"/>
      </tp>
    </main>
    <main first="esrtd">
      <tp t="s">
        <v/>
        <stp/>
        <stp>TDL 5!-IEU</stp>
        <stp>Last</stp>
        <tr r="I1817" s="5"/>
      </tp>
      <tp t="s">
        <v/>
        <stp/>
        <stp>WDF 6!-IEU</stp>
        <stp>Last</stp>
        <tr r="I1783" s="5"/>
      </tp>
    </main>
    <main first="ice.rtd">
      <tp>
        <v>5.2</v>
        <stp/>
        <stp>161913535MM22:LstBlkPrc</stp>
        <tr r="K2049" s="5"/>
      </tp>
      <tp>
        <v>6.3</v>
        <stp/>
        <stp>161913535MM12:LstBlkPrc</stp>
        <tr r="K2039" s="5"/>
      </tp>
    </main>
    <main first="esrtd">
      <tp t="s">
        <v/>
        <stp/>
        <stp>WNS 6!-IEU</stp>
        <stp>Last</stp>
        <tr r="I1853" s="5"/>
      </tp>
    </main>
    <main first="ice.rtd">
      <tp>
        <v>6.25</v>
        <stp/>
        <stp>161913535MM12:BstHitPrc</stp>
        <tr r="G2039" s="5"/>
      </tp>
      <tp>
        <v>4.91</v>
        <stp/>
        <stp>161913535MM22:BstHitPrc</stp>
        <tr r="G2049" s="5"/>
      </tp>
    </main>
    <main first="esrtd">
      <tp t="s">
        <v/>
        <stp/>
        <stp>WMJ 6!-IEU</stp>
        <stp>Last</stp>
        <tr r="I1888" s="5"/>
      </tp>
    </main>
    <main first="bofaddin.rtdserver">
      <tp t="s">
        <v>#N/A Invalid Security</v>
        <stp/>
        <stp>BDP|11812940384381169061|22</stp>
        <stp>XBZ9XBZ0 Comdty</stp>
        <stp>ASK</stp>
        <tr r="F5" s="3"/>
      </tp>
    </main>
    <main first="esrtd">
      <tp t="s">
        <v/>
        <stp/>
        <stp>WHK 6!-IEU</stp>
        <stp>Last</stp>
        <tr r="I1923" s="5"/>
      </tp>
    </main>
    <main first="ice.rtd">
      <tp t="s">
        <v/>
        <stp/>
        <stp>161913535MM24:LstBlkVol</stp>
        <tr r="L2051" s="5"/>
      </tp>
      <tp t="s">
        <v/>
        <stp/>
        <stp>161913535MM14:LstBlkVol</stp>
        <tr r="L2041" s="5"/>
      </tp>
      <tp t="s">
        <v/>
        <stp/>
        <stp>2755728678Y2:LstBlkTime</stp>
        <tr r="M1147" s="5"/>
      </tp>
      <tp t="s">
        <v/>
        <stp/>
        <stp>2755728678Y1:LstBlkTime</stp>
        <tr r="M1146" s="5"/>
      </tp>
      <tp t="s">
        <v/>
        <stp/>
        <stp>2755728678Y0:LstBlkTime</stp>
        <tr r="M1145" s="5"/>
      </tp>
      <tp t="s">
        <v/>
        <stp/>
        <stp>2755728678Q8:LstBlkTime</stp>
        <tr r="M1144" s="5"/>
      </tp>
      <tp t="s">
        <v/>
        <stp/>
        <stp>2755728678Q7:LstBlkTime</stp>
        <tr r="M1143" s="5"/>
      </tp>
      <tp t="s">
        <v/>
        <stp/>
        <stp>2755728678Q6:LstBlkTime</stp>
        <tr r="M1142" s="5"/>
      </tp>
      <tp t="s">
        <v/>
        <stp/>
        <stp>2755728678Q5:LstBlkTime</stp>
        <tr r="M1141" s="5"/>
      </tp>
      <tp t="s">
        <v/>
        <stp/>
        <stp>2755728678Q4:LstBlkTime</stp>
        <tr r="M1140" s="5"/>
      </tp>
      <tp t="s">
        <v/>
        <stp/>
        <stp>2755728678Q3:LstBlkTime</stp>
        <tr r="M1139" s="5"/>
      </tp>
      <tp t="s">
        <v/>
        <stp/>
        <stp>2755728678Q2:LstBlkTime</stp>
        <tr r="M1138" s="5"/>
      </tp>
      <tp t="s">
        <v/>
        <stp/>
        <stp>2755728678Q1:LstBlkTime</stp>
        <tr r="M1137" s="5"/>
      </tp>
      <tp t="s">
        <v/>
        <stp/>
        <stp>2755728678Q0:LstBlkTime</stp>
        <tr r="M1136" s="5"/>
      </tp>
      <tp t="s">
        <v/>
        <stp/>
        <stp>2755728678M9:LstBlkTime</stp>
        <tr r="M1120" s="5"/>
      </tp>
      <tp t="s">
        <v/>
        <stp/>
        <stp>2755728678M8:LstBlkTime</stp>
        <tr r="M1119" s="5"/>
      </tp>
      <tp t="s">
        <v/>
        <stp/>
        <stp>2755728678M7:LstBlkTime</stp>
        <tr r="M1118" s="5"/>
      </tp>
      <tp t="s">
        <v/>
        <stp/>
        <stp>2755728678M6:LstBlkTime</stp>
        <tr r="M1117" s="5"/>
      </tp>
      <tp t="s">
        <v/>
        <stp/>
        <stp>2755728678M5:LstBlkTime</stp>
        <tr r="M1116" s="5"/>
      </tp>
      <tp t="s">
        <v/>
        <stp/>
        <stp>2755728678M4:LstBlkTime</stp>
        <tr r="M1115" s="5"/>
      </tp>
      <tp t="s">
        <v/>
        <stp/>
        <stp>2755728678M3:LstBlkTime</stp>
        <tr r="M1114" s="5"/>
      </tp>
      <tp t="s">
        <v/>
        <stp/>
        <stp>2755728678M2:LstBlkTime</stp>
        <tr r="M1113" s="5"/>
      </tp>
      <tp t="s">
        <v>11:01:20</v>
        <stp/>
        <stp>2755728678M1:LstBlkTime</stp>
        <tr r="M1112" s="5"/>
      </tp>
      <tp t="s">
        <v/>
        <stp/>
        <stp>2755728678M0:LstBlkTime</stp>
        <tr r="M1111" s="5"/>
      </tp>
      <tp t="s">
        <v>Invalid Market: CALCM24</v>
        <stp/>
        <stp>CALCM24:LstDate</stp>
        <tr r="J1211" s="5"/>
        <tr r="J1363" s="5"/>
      </tp>
      <tp t="s">
        <v>Invalid Market: CALCM20</v>
        <stp/>
        <stp>CALCM20:LstDate</stp>
        <tr r="J1207" s="5"/>
        <tr r="J1359" s="5"/>
      </tp>
      <tp t="s">
        <v>Invalid Market: CALCM21</v>
        <stp/>
        <stp>CALCM21:LstDate</stp>
        <tr r="J1208" s="5"/>
        <tr r="J1360" s="5"/>
      </tp>
      <tp t="s">
        <v>Invalid Market: CALCM22</v>
        <stp/>
        <stp>CALCM22:LstDate</stp>
        <tr r="J1209" s="5"/>
        <tr r="J1361" s="5"/>
      </tp>
      <tp t="s">
        <v>Invalid Market: CALCM23</v>
        <stp/>
        <stp>CALCM23:LstDate</stp>
        <tr r="J1362" s="5"/>
        <tr r="J1210" s="5"/>
      </tp>
      <tp t="s">
        <v>Invalid Market: CALCM14</v>
        <stp/>
        <stp>CALCM14:LstDate</stp>
        <tr r="J1353" s="5"/>
        <tr r="J1201" s="5"/>
      </tp>
      <tp t="s">
        <v>Invalid Market: CALCM15</v>
        <stp/>
        <stp>CALCM15:LstDate</stp>
        <tr r="J1202" s="5"/>
        <tr r="J1354" s="5"/>
      </tp>
      <tp t="s">
        <v>Invalid Market: CALCM16</v>
        <stp/>
        <stp>CALCM16:LstDate</stp>
        <tr r="J1203" s="5"/>
        <tr r="J1355" s="5"/>
      </tp>
      <tp t="s">
        <v>Invalid Market: CALCM17</v>
        <stp/>
        <stp>CALCM17:LstDate</stp>
        <tr r="J1204" s="5"/>
        <tr r="J1356" s="5"/>
      </tp>
      <tp t="s">
        <v>Invalid Market: CALCM10</v>
        <stp/>
        <stp>CALCM10:LstDate</stp>
        <tr r="J1197" s="5"/>
        <tr r="J1349" s="5"/>
      </tp>
      <tp t="s">
        <v>Invalid Market: CALCM11</v>
        <stp/>
        <stp>CALCM11:LstDate</stp>
        <tr r="J1198" s="5"/>
        <tr r="J1350" s="5"/>
      </tp>
      <tp t="s">
        <v>Invalid Market: CALCM12</v>
        <stp/>
        <stp>CALCM12:LstDate</stp>
        <tr r="J1351" s="5"/>
        <tr r="J1199" s="5"/>
      </tp>
      <tp t="s">
        <v>Invalid Market: CALCM13</v>
        <stp/>
        <stp>CALCM13:LstDate</stp>
        <tr r="J1352" s="5"/>
        <tr r="J1200" s="5"/>
      </tp>
      <tp t="s">
        <v>Invalid Market: CALCM18</v>
        <stp/>
        <stp>CALCM18:LstDate</stp>
        <tr r="J1205" s="5"/>
        <tr r="J1357" s="5"/>
      </tp>
      <tp t="s">
        <v>Invalid Market: CALCM19</v>
        <stp/>
        <stp>CALCM19:LstDate</stp>
        <tr r="J1206" s="5"/>
        <tr r="J1358" s="5"/>
      </tp>
      <tp t="s">
        <v>GCQ</v>
        <stp/>
        <stp>1923422331M12:PCC</stp>
        <tr r="B1639" s="5"/>
      </tp>
      <tp t="s">
        <v>GDK</v>
        <stp/>
        <stp>1581618115M12:PCC</stp>
        <tr r="B471" s="5"/>
      </tp>
      <tp t="s">
        <v>GCQ</v>
        <stp/>
        <stp>1923422331M13:PCC</stp>
        <tr r="B1640" s="5"/>
      </tp>
      <tp t="s">
        <v>GDK</v>
        <stp/>
        <stp>1581618115M13:PCC</stp>
        <tr r="B472" s="5"/>
      </tp>
      <tp t="s">
        <v>GCQ</v>
        <stp/>
        <stp>1923422331M10:PCC</stp>
        <tr r="B1637" s="5"/>
      </tp>
      <tp t="s">
        <v>GDK</v>
        <stp/>
        <stp>1581618115M10:PCC</stp>
        <tr r="B469" s="5"/>
      </tp>
      <tp t="s">
        <v>GCQ</v>
        <stp/>
        <stp>1923422331M11:PCC</stp>
        <tr r="B1638" s="5"/>
      </tp>
      <tp t="s">
        <v>GDK</v>
        <stp/>
        <stp>1581618115M11:PCC</stp>
        <tr r="B470" s="5"/>
      </tp>
      <tp t="s">
        <v>GCQ</v>
        <stp/>
        <stp>1923422331M14:PCC</stp>
        <tr r="B1641" s="5"/>
      </tp>
      <tp t="s">
        <v>GDK</v>
        <stp/>
        <stp>1581618115M14:PCC</stp>
        <tr r="B473" s="5"/>
      </tp>
      <tp t="s">
        <v>09:54:05</v>
        <stp/>
        <stp>2185224624B0:LstBlkTime</stp>
        <tr r="M593" s="5"/>
      </tp>
      <tp t="s">
        <v>09:25:41</v>
        <stp/>
        <stp>2183024603B0:LstBlkTime</stp>
        <tr r="M1625" s="5"/>
      </tp>
      <tp t="s">
        <v/>
        <stp/>
        <stp>2181924592B0:LstBlkTime</stp>
        <tr r="M1490" s="5"/>
      </tp>
      <tp t="s">
        <v>11:00:04</v>
        <stp/>
        <stp>2326225623B0:LstBlkTime</stp>
        <tr r="M1300" s="5"/>
      </tp>
      <tp t="s">
        <v/>
        <stp/>
        <stp>2325125612B0:LstBlkTime</stp>
        <tr r="M669" s="5"/>
      </tp>
      <tp t="s">
        <v/>
        <stp/>
        <stp>41787896M16:BstHitPrc</stp>
        <tr r="G823" s="5"/>
      </tp>
      <tp t="s">
        <v/>
        <stp/>
        <stp>41767893M16:LstBlkPrc</stp>
        <tr r="K496" s="5"/>
      </tp>
      <tp t="s">
        <v/>
        <stp/>
        <stp>18851683M18:LstBlkPrc</stp>
        <tr r="K211" s="5"/>
      </tp>
      <tp t="s">
        <v/>
        <stp/>
        <stp>34344092M12:LstBlkPrc</stp>
        <tr r="K1275" s="5"/>
      </tp>
      <tp t="s">
        <v/>
        <stp/>
        <stp>34354093M12:LstBlkPrc</stp>
        <tr r="K1313" s="5"/>
      </tp>
      <tp t="s">
        <v/>
        <stp/>
        <stp>34344092M22:LstBlkPrc</stp>
        <tr r="K1285" s="5"/>
      </tp>
      <tp t="s">
        <v/>
        <stp/>
        <stp>34354093M22:LstBlkPrc</stp>
        <tr r="K1323" s="5"/>
      </tp>
      <tp t="s">
        <v/>
        <stp/>
        <stp>18901687M19:LstBlkPrc</stp>
        <tr r="K326" s="5"/>
      </tp>
      <tp t="s">
        <v/>
        <stp/>
        <stp>30793693M16:BstHitPrc</stp>
        <tr r="G899" s="5"/>
      </tp>
      <tp t="s">
        <v/>
        <stp/>
        <stp>30813691M19:LstBlkPrc</stp>
        <tr r="K1972" s="5"/>
      </tp>
      <tp t="s">
        <v/>
        <stp/>
        <stp>35534143M19:LstBlkPrc</stp>
        <tr r="K727" s="5"/>
      </tp>
      <tp t="s">
        <v/>
        <stp/>
        <stp>35544144M19:LstBlkPrc</stp>
        <tr r="K651" s="5"/>
      </tp>
      <tp t="s">
        <v/>
        <stp/>
        <stp>35554145M19:LstBlkPrc</stp>
        <tr r="K689" s="5"/>
      </tp>
      <tp t="s">
        <v>Sep26/Apr27</v>
        <stp/>
        <stp>DBI1227MM6:Strip</stp>
        <tr r="E1657" s="5"/>
      </tp>
      <tp t="s">
        <v/>
        <stp/>
        <stp>15061297QQ1:LstBlkPrc</stp>
        <tr r="K1712" s="5"/>
      </tp>
    </main>
    <main first="bofaddin.rtdserver">
      <tp>
        <v>693.4</v>
        <stp/>
        <stp>BDP|12740409847912909360|222</stp>
        <stp>SCPV26 Comdty</stp>
        <stp>ASK</stp>
        <stp>Fill=#N/A</stp>
        <tr r="M20" s="1"/>
      </tp>
    </main>
    <main first="ice.rtd">
      <tp t="s">
        <v/>
        <stp/>
        <stp>32623993M17:LstBlkPrc</stp>
        <tr r="K2007" s="5"/>
      </tp>
      <tp t="s">
        <v/>
        <stp/>
        <stp>15061297MM1:LstBlkPrc</stp>
        <tr r="K1684" s="5"/>
      </tp>
    </main>
    <main first="bofaddin.rtdserver">
      <tp t="s">
        <v>#N/A Real Time</v>
        <stp/>
        <stp>BDP|10512276016941137732|22</stp>
        <stp>QSQ6C 2000.00 Comdty</stp>
        <stp>THETA_LAST_RT</stp>
        <tr r="K86" s="23"/>
        <tr r="K58" s="23"/>
      </tp>
    </main>
    <main first="ice.rtd">
      <tp t="s">
        <v/>
        <stp/>
        <stp>34404098M15:BstHitPrc</stp>
        <tr r="G609" s="5"/>
      </tp>
      <tp t="s">
        <v/>
        <stp/>
        <stp>34414099M15:BstHitPrc</stp>
        <tr r="G94" s="5"/>
      </tp>
      <tp t="s">
        <v/>
        <stp/>
        <stp>18871685M18:LstBlkPrc</stp>
        <tr r="K439" s="5"/>
      </tp>
      <tp t="s">
        <v/>
        <stp/>
        <stp>34364094M12:LstBlkPrc</stp>
        <tr r="K530" s="5"/>
      </tp>
      <tp t="s">
        <v/>
        <stp/>
        <stp>34374095M12:LstBlkPrc</stp>
        <tr r="K568" s="5"/>
      </tp>
      <tp t="s">
        <v/>
        <stp/>
        <stp>34364094M22:LstBlkPrc</stp>
        <tr r="K540" s="5"/>
      </tp>
      <tp t="s">
        <v/>
        <stp/>
        <stp>34374095M22:LstBlkPrc</stp>
        <tr r="K578" s="5"/>
      </tp>
    </main>
    <main first="bofaddin.rtdserver">
      <tp>
        <v>510</v>
        <stp/>
        <stp>BDP|10071116293844911083|222</stp>
        <stp>SCPH28 Comdty</stp>
        <stp>BID</stp>
        <stp>Fill=#N/A</stp>
        <tr r="M37" s="1"/>
      </tp>
    </main>
    <main first="ice.rtd">
      <tp t="s">
        <v/>
        <stp/>
        <stp>15091310M19:BstHitPrc</stp>
        <tr r="G1396" s="5"/>
      </tp>
      <tp t="s">
        <v/>
        <stp/>
        <stp>32613992M17:LstBlkPrc</stp>
        <tr r="K1242" s="5"/>
      </tp>
      <tp t="s">
        <v/>
        <stp/>
        <stp>18851683M18:BstHitPrc</stp>
        <tr r="G211" s="5"/>
      </tp>
      <tp t="s">
        <v/>
        <stp/>
        <stp>34344092M22:BstHitPrc</stp>
        <tr r="G1285" s="5"/>
      </tp>
      <tp t="s">
        <v/>
        <stp/>
        <stp>34354093M22:BstHitPrc</stp>
        <tr r="G1323" s="5"/>
      </tp>
      <tp t="s">
        <v/>
        <stp/>
        <stp>34344092M12:BstHitPrc</stp>
        <tr r="G1275" s="5"/>
      </tp>
      <tp t="s">
        <v/>
        <stp/>
        <stp>34354093M12:BstHitPrc</stp>
        <tr r="G1313" s="5"/>
      </tp>
      <tp t="s">
        <v/>
        <stp/>
        <stp>18901687M19:BstHitPrc</stp>
        <tr r="G326" s="5"/>
      </tp>
      <tp t="s">
        <v/>
        <stp/>
        <stp>41787896M16:LstBlkPrc</stp>
        <tr r="K823" s="5"/>
      </tp>
      <tp t="s">
        <v/>
        <stp/>
        <stp>41767893M16:BstHitPrc</stp>
        <tr r="G496" s="5"/>
      </tp>
      <tp t="s">
        <v/>
        <stp/>
        <stp>18871685M18:BstHitPrc</stp>
        <tr r="G439" s="5"/>
      </tp>
      <tp t="s">
        <v/>
        <stp/>
        <stp>34364094M22:BstHitPrc</stp>
        <tr r="G540" s="5"/>
      </tp>
      <tp t="s">
        <v/>
        <stp/>
        <stp>34374095M22:BstHitPrc</stp>
        <tr r="G578" s="5"/>
      </tp>
      <tp t="s">
        <v/>
        <stp/>
        <stp>34364094M12:BstHitPrc</stp>
        <tr r="G530" s="5"/>
      </tp>
      <tp t="s">
        <v/>
        <stp/>
        <stp>34374095M12:BstHitPrc</stp>
        <tr r="G568" s="5"/>
      </tp>
      <tp t="s">
        <v/>
        <stp/>
        <stp>34404098M15:LstBlkPrc</stp>
        <tr r="K609" s="5"/>
      </tp>
      <tp t="s">
        <v/>
        <stp/>
        <stp>34414099M15:LstBlkPrc</stp>
        <tr r="K94" s="5"/>
      </tp>
    </main>
    <main first="bofaddin.rtdserver">
      <tp>
        <v>529.79999999999995</v>
        <stp/>
        <stp>BDP|10910184950134788303|222</stp>
        <stp>SCPQ27 Comdty</stp>
        <stp>ASK</stp>
        <stp>Fill=#N/A</stp>
        <tr r="M30" s="1"/>
      </tp>
    </main>
    <main first="ice.rtd">
      <tp t="s">
        <v/>
        <stp/>
        <stp>32613992M17:BstHitPrc</stp>
        <tr r="G1242" s="5"/>
      </tp>
      <tp t="s">
        <v/>
        <stp/>
        <stp>15091310M19:LstBlkPrc</stp>
        <tr r="K1396" s="5"/>
      </tp>
    </main>
    <main first="bofaddin.rtdserver">
      <tp t="s">
        <v>#N/A Invalid Security</v>
        <stp/>
        <stp>BDP|10837162428740368179|222</stp>
        <stp>SCPJ30 Comdty</stp>
        <stp>ASK</stp>
        <stp>Fill=#N/A</stp>
        <tr r="M62" s="1"/>
      </tp>
    </main>
    <main first="ice.rtd">
      <tp t="s">
        <v/>
        <stp/>
        <stp>30813691M19:BstHitPrc</stp>
        <tr r="G1972" s="5"/>
      </tp>
      <tp t="s">
        <v/>
        <stp/>
        <stp>35534143M19:BstHitPrc</stp>
        <tr r="G727" s="5"/>
      </tp>
      <tp t="s">
        <v/>
        <stp/>
        <stp>35544144M19:BstHitPrc</stp>
        <tr r="G651" s="5"/>
      </tp>
      <tp t="s">
        <v/>
        <stp/>
        <stp>35554145M19:BstHitPrc</stp>
        <tr r="G689" s="5"/>
      </tp>
      <tp t="s">
        <v/>
        <stp/>
        <stp>30793693M16:LstBlkPrc</stp>
        <tr r="K899" s="5"/>
      </tp>
      <tp t="s">
        <v/>
        <stp/>
        <stp>15061297QQ1:BstHitPrc</stp>
        <tr r="G1712" s="5"/>
      </tp>
      <tp t="s">
        <v/>
        <stp/>
        <stp>32623993M17:BstHitPrc</stp>
        <tr r="G2007" s="5"/>
      </tp>
      <tp t="s">
        <v/>
        <stp/>
        <stp>15061297MM1:BstHitPrc</stp>
        <tr r="G1684" s="5"/>
      </tp>
      <tp t="s">
        <v/>
        <stp/>
        <stp>34404098M13:LstBlkVol</stp>
        <tr r="L607" s="5"/>
      </tp>
      <tp t="s">
        <v/>
        <stp/>
        <stp>34414099M13:LstBlkVol</stp>
        <tr r="L92" s="5"/>
      </tp>
      <tp t="s">
        <v/>
        <stp/>
        <stp>34404098M23:LstBlkVol</stp>
        <tr r="L617" s="5"/>
      </tp>
      <tp t="s">
        <v/>
        <stp/>
        <stp>34414099M23:LstBlkVol</stp>
        <tr r="L102" s="5"/>
      </tp>
      <tp t="s">
        <v/>
        <stp/>
        <stp>30793693M20:LstBlkVol</stp>
        <tr r="L903" s="5"/>
      </tp>
      <tp t="s">
        <v/>
        <stp/>
        <stp>30793693M10:LstBlkVol</stp>
        <tr r="L893" s="5"/>
      </tp>
      <tp t="s">
        <v/>
        <stp/>
        <stp>41787896M10:LstBlkVol</stp>
        <tr r="L817" s="5"/>
      </tp>
      <tp t="s">
        <v/>
        <stp/>
        <stp>41787896M20:LstBlkVol</stp>
        <tr r="L827" s="5"/>
      </tp>
      <tp t="s">
        <v/>
        <stp/>
        <stp>32623993M21:LstBlkVol</stp>
        <tr r="L2011" s="5"/>
      </tp>
      <tp t="s">
        <v/>
        <stp/>
        <stp>32623993M11:LstBlkVol</stp>
        <tr r="L2001" s="5"/>
      </tp>
      <tp t="s">
        <v/>
        <stp/>
        <stp>15061297MM7:LstBlkVol</stp>
        <tr r="L1690" s="5"/>
      </tp>
      <tp t="s">
        <v/>
        <stp/>
        <stp>32613992M21:LstBlkVol</stp>
        <tr r="L1246" s="5"/>
      </tp>
      <tp t="s">
        <v/>
        <stp/>
        <stp>32613992M11:LstBlkVol</stp>
        <tr r="L1236" s="5"/>
      </tp>
      <tp t="s">
        <v/>
        <stp/>
        <stp>34364094M14:LstBlkVol</stp>
        <tr r="L532" s="5"/>
      </tp>
      <tp t="s">
        <v/>
        <stp/>
        <stp>34374095M14:LstBlkVol</stp>
        <tr r="L570" s="5"/>
      </tp>
      <tp t="s">
        <v/>
        <stp/>
        <stp>34364094M24:LstBlkVol</stp>
        <tr r="L542" s="5"/>
      </tp>
      <tp t="s">
        <v/>
        <stp/>
        <stp>34374095M24:LstBlkVol</stp>
        <tr r="L580" s="5"/>
      </tp>
      <tp t="s">
        <v/>
        <stp/>
        <stp>41767893M10:LstBlkVol</stp>
        <tr r="L490" s="5"/>
      </tp>
      <tp t="s">
        <v/>
        <stp/>
        <stp>41767893M20:LstBlkVol</stp>
        <tr r="L500" s="5"/>
      </tp>
      <tp t="s">
        <v/>
        <stp/>
        <stp>34344092M14:LstBlkVol</stp>
        <tr r="L1277" s="5"/>
      </tp>
      <tp t="s">
        <v/>
        <stp/>
        <stp>34354093M14:LstBlkVol</stp>
        <tr r="L1315" s="5"/>
      </tp>
      <tp t="s">
        <v/>
        <stp/>
        <stp>34344092M24:LstBlkVol</stp>
        <tr r="L1287" s="5"/>
      </tp>
      <tp t="s">
        <v/>
        <stp/>
        <stp>34354093M24:LstBlkVol</stp>
        <tr r="L1325" s="5"/>
      </tp>
      <tp t="s">
        <v/>
        <stp/>
        <stp>57409036M19:LstBlkVol</stp>
        <tr r="L250" s="5"/>
      </tp>
      <tp t="s">
        <v/>
        <stp/>
        <stp>266M2:LstBlkVol</stp>
        <tr r="L923" s="5"/>
      </tp>
      <tp t="s">
        <v/>
        <stp/>
        <stp>266Y2:LstBlkVol</stp>
        <tr r="L957" s="5"/>
      </tp>
      <tp t="s">
        <v/>
        <stp/>
        <stp>266Q2:LstBlkVol</stp>
        <tr r="L948" s="5"/>
      </tp>
      <tp t="s">
        <v>Invalid Market: 2044823525M18</v>
        <stp/>
        <stp>2044823525M18:LstBlkVol</stp>
        <tr r="L1765" s="5"/>
      </tp>
    </main>
    <main first="bofaddin.rtdserver">
      <tp t="s">
        <v>#N/A</v>
        <stp/>
        <stp>BDP|8447862762510882433|222</stp>
        <stp>OQAQ0 Comdty</stp>
        <stp>ASK</stp>
        <stp>Fill=#N/A</stp>
        <tr r="T67" s="1"/>
      </tp>
    </main>
    <main first="ice.rtd">
      <tp t="s">
        <v/>
        <stp/>
        <stp>2755728678M22:LstBlkVol</stp>
        <tr r="L1133" s="5"/>
      </tp>
      <tp t="s">
        <v/>
        <stp/>
        <stp>2755728678M12:LstBlkVol</stp>
        <tr r="L1123" s="5"/>
      </tp>
      <tp t="s">
        <v/>
        <stp/>
        <stp>3124331018M11:LstBlkVol</stp>
        <tr r="L1616" s="5"/>
      </tp>
      <tp>
        <v>-9.75</v>
        <stp/>
        <stp>1581618115M10:BstHitPrc</stp>
        <tr r="G469" s="5"/>
      </tp>
      <tp t="s">
        <v/>
        <stp/>
        <stp>1923422331M10:LstBlkPrc</stp>
        <tr r="K1637" s="5"/>
      </tp>
      <tp t="s">
        <v/>
        <stp/>
        <stp>3016030250BM0:BstHitPrc</stp>
        <tr r="G1682" s="5"/>
      </tp>
    </main>
    <main first="bofaddin.rtdserver">
      <tp t="s">
        <v>#N/A</v>
        <stp/>
        <stp>BDP|10279226211077727973|222</stp>
        <stp>MUCH9J9 Comdty</stp>
        <stp>BID</stp>
        <stp>Fill=#N/A</stp>
        <tr r="S50" s="1"/>
      </tp>
      <tp t="s">
        <v>#N/A</v>
        <stp/>
        <stp>BDP|12378183560882764933|222</stp>
        <stp>MUCJ0K0 Comdty</stp>
        <stp>ASK</stp>
        <stp>Fill=#N/A</stp>
        <tr r="S63" s="1"/>
      </tp>
      <tp>
        <v>-0.09</v>
        <stp/>
        <stp>BDP|6043642798932185475|222</stp>
        <stp>XBZ9XBF0 Comdty</stp>
        <stp>BID</stp>
        <stp>Fill=#N/A</stp>
        <tr r="R59" s="1"/>
      </tp>
      <tp>
        <v>4.6500000000000004</v>
        <stp/>
        <stp>BDP|11595367880036242633|222</stp>
        <stp>MUCZ6F7 Comdty</stp>
        <stp>ASK</stp>
        <stp>Fill=#N/A</stp>
        <tr r="S23" s="1"/>
      </tp>
    </main>
    <main first="ice.rtd">
      <tp t="s">
        <v/>
        <stp/>
        <stp>1986823075M18:LstBlkPrc</stp>
        <tr r="K135" s="5"/>
      </tp>
    </main>
    <main first="bofaddin.rtdserver">
      <tp t="s">
        <v>#N/A</v>
        <stp/>
        <stp>BDP|15988913131038071831|222</stp>
        <stp>OQAH0J0 Comdty</stp>
        <stp>ASK</stp>
        <stp>Fill=#N/A</stp>
        <tr r="T62" s="1"/>
      </tp>
    </main>
    <main first="ice.rtd">
      <tp t="s">
        <v/>
        <stp/>
        <stp>2755728678M24:LstBlkPrc</stp>
        <tr r="K1135" s="5"/>
      </tp>
      <tp t="s">
        <v/>
        <stp/>
        <stp>2755728678M14:LstBlkPrc</stp>
        <tr r="K1125" s="5"/>
      </tp>
      <tp t="s">
        <v/>
        <stp/>
        <stp>1986923076M19:LstBlkPrc</stp>
        <tr r="K174" s="5"/>
      </tp>
      <tp t="s">
        <v/>
        <stp/>
        <stp>266Q4:BstHitPrc</stp>
        <tr r="G950" s="5"/>
      </tp>
      <tp t="s">
        <v/>
        <stp/>
        <stp>266M4:BstHitPrc</stp>
        <tr r="G925" s="5"/>
      </tp>
      <tp t="s">
        <v/>
        <stp/>
        <stp>3016030250BM0:LstBlkPrc</stp>
        <tr r="K1682" s="5"/>
      </tp>
      <tp t="s">
        <v/>
        <stp/>
        <stp>1581618115M10:LstBlkPrc</stp>
        <tr r="K469" s="5"/>
      </tp>
    </main>
    <main first="bofaddin.rtdserver">
      <tp t="s">
        <v>#N/A</v>
        <stp/>
        <stp>BDP|16257042602342033265|222</stp>
        <stp>OQAK0M0 Comdty</stp>
        <stp>BID</stp>
        <stp>Fill=#N/A</stp>
        <tr r="T64" s="1"/>
      </tp>
    </main>
    <main first="ice.rtd">
      <tp t="s">
        <v/>
        <stp/>
        <stp>1923422331M10:BstHitPrc</stp>
        <tr r="G1637" s="5"/>
      </tp>
      <tp t="s">
        <v/>
        <stp/>
        <stp>2755728678M14:BstHitPrc</stp>
        <tr r="G1125" s="5"/>
      </tp>
      <tp t="s">
        <v/>
        <stp/>
        <stp>2755728678M24:BstHitPrc</stp>
        <tr r="G1135" s="5"/>
      </tp>
      <tp t="s">
        <v/>
        <stp/>
        <stp>1986923076M19:BstHitPrc</stp>
        <tr r="G174" s="5"/>
      </tp>
    </main>
    <main first="bofaddin.rtdserver">
      <tp>
        <v>0.64</v>
        <stp/>
        <stp>BDP|4841634399209781124|222</stp>
        <stp>CLN7CLQ7 Comdty</stp>
        <stp>ASK</stp>
        <stp>Fill=#N/A</stp>
        <tr r="N30" s="1"/>
      </tp>
    </main>
    <main first="ice.rtd">
      <tp t="s">
        <v/>
        <stp/>
        <stp>266M4:LstBlkPrc</stp>
        <tr r="K925" s="5"/>
      </tp>
      <tp t="s">
        <v/>
        <stp/>
        <stp>266Q4:LstBlkPrc</stp>
        <tr r="K950" s="5"/>
      </tp>
      <tp t="s">
        <v/>
        <stp/>
        <stp>1986823075M18:BstHitPrc</stp>
        <tr r="G135" s="5"/>
      </tp>
    </main>
    <main first="bofaddin.rtdserver">
      <tp>
        <v>11.5</v>
        <stp/>
        <stp>BDP|5754010835607143755|222</stp>
        <stp>QSZ7QSF8 Comdty</stp>
        <stp>BID</stp>
        <stp>Fill=#N/A</stp>
        <tr r="P35" s="1"/>
      </tp>
    </main>
    <main first="esrtd">
      <tp t="s">
        <v/>
        <stp/>
        <stp>TDL 4!-IEU</stp>
        <stp>Last</stp>
        <tr r="I1816" s="5"/>
      </tp>
      <tp t="s">
        <v/>
        <stp/>
        <stp>WDF 7!-IEU</stp>
        <stp>Last</stp>
        <tr r="I1784" s="5"/>
      </tp>
    </main>
    <main first="ice.rtd">
      <tp>
        <v>10.45</v>
        <stp/>
        <stp>161913535MM23:LstBlkPrc</stp>
        <tr r="K2050" s="5"/>
      </tp>
      <tp t="s">
        <v/>
        <stp/>
        <stp>161913535MM13:LstBlkPrc</stp>
        <tr r="K2040" s="5"/>
      </tp>
    </main>
    <main first="esrtd">
      <tp t="s">
        <v/>
        <stp/>
        <stp>WNS 7!-IEU</stp>
        <stp>Last</stp>
        <tr r="I1854" s="5"/>
      </tp>
    </main>
    <main first="ice.rtd">
      <tp t="s">
        <v/>
        <stp/>
        <stp>161913535MM13:BstHitPrc</stp>
        <tr r="G2040" s="5"/>
      </tp>
      <tp t="s">
        <v/>
        <stp/>
        <stp>161913535MM23:BstHitPrc</stp>
        <tr r="G2050" s="5"/>
      </tp>
      <tp t="s">
        <v/>
        <stp/>
        <stp>34404098M5:LstBlkTime</stp>
        <tr r="M599" s="5"/>
      </tp>
      <tp t="s">
        <v/>
        <stp/>
        <stp>34414099M5:LstBlkTime</stp>
        <tr r="M84" s="5"/>
      </tp>
      <tp t="s">
        <v/>
        <stp/>
        <stp>34404098M4:LstBlkTime</stp>
        <tr r="M598" s="5"/>
      </tp>
      <tp t="s">
        <v/>
        <stp/>
        <stp>34414099M4:LstBlkTime</stp>
        <tr r="M83" s="5"/>
      </tp>
      <tp t="s">
        <v/>
        <stp/>
        <stp>34404098M7:LstBlkTime</stp>
        <tr r="M601" s="5"/>
      </tp>
      <tp t="s">
        <v/>
        <stp/>
        <stp>34414099M7:LstBlkTime</stp>
        <tr r="M86" s="5"/>
      </tp>
      <tp t="s">
        <v/>
        <stp/>
        <stp>34404098M6:LstBlkTime</stp>
        <tr r="M600" s="5"/>
      </tp>
      <tp t="s">
        <v/>
        <stp/>
        <stp>34414099M6:LstBlkTime</stp>
        <tr r="M85" s="5"/>
      </tp>
      <tp t="s">
        <v/>
        <stp/>
        <stp>34404098M1:LstBlkTime</stp>
        <tr r="M595" s="5"/>
      </tp>
      <tp t="s">
        <v>10:12:29</v>
        <stp/>
        <stp>34414099M1:LstBlkTime</stp>
        <tr r="M80" s="5"/>
      </tp>
      <tp t="s">
        <v>09:44:08</v>
        <stp/>
        <stp>34404098M0:LstBlkTime</stp>
        <tr r="M594" s="5"/>
      </tp>
      <tp t="s">
        <v/>
        <stp/>
        <stp>34414099M0:LstBlkTime</stp>
        <tr r="M79" s="5"/>
      </tp>
      <tp t="s">
        <v/>
        <stp/>
        <stp>34404098M3:LstBlkTime</stp>
        <tr r="M597" s="5"/>
      </tp>
      <tp t="s">
        <v>09:25:54</v>
        <stp/>
        <stp>34414099M3:LstBlkTime</stp>
        <tr r="M82" s="5"/>
      </tp>
      <tp t="s">
        <v/>
        <stp/>
        <stp>34404098M2:LstBlkTime</stp>
        <tr r="M596" s="5"/>
      </tp>
      <tp t="s">
        <v/>
        <stp/>
        <stp>34414099M2:LstBlkTime</stp>
        <tr r="M81" s="5"/>
      </tp>
      <tp t="s">
        <v/>
        <stp/>
        <stp>34404098M9:LstBlkTime</stp>
        <tr r="M603" s="5"/>
      </tp>
      <tp t="s">
        <v/>
        <stp/>
        <stp>34414099M9:LstBlkTime</stp>
        <tr r="M88" s="5"/>
      </tp>
      <tp t="s">
        <v/>
        <stp/>
        <stp>34404098M8:LstBlkTime</stp>
        <tr r="M602" s="5"/>
      </tp>
      <tp t="s">
        <v/>
        <stp/>
        <stp>34414099M8:LstBlkTime</stp>
        <tr r="M87" s="5"/>
      </tp>
      <tp t="s">
        <v/>
        <stp/>
        <stp>34404098Y1:LstBlkTime</stp>
        <tr r="M629" s="5"/>
      </tp>
      <tp t="s">
        <v/>
        <stp/>
        <stp>34414099Y1:LstBlkTime</stp>
        <tr r="M114" s="5"/>
      </tp>
      <tp t="s">
        <v/>
        <stp/>
        <stp>34404098Y0:LstBlkTime</stp>
        <tr r="M628" s="5"/>
      </tp>
      <tp t="s">
        <v/>
        <stp/>
        <stp>34414099Y0:LstBlkTime</stp>
        <tr r="M113" s="5"/>
      </tp>
      <tp t="s">
        <v>Invalid Market: 34404098Y2</v>
        <stp/>
        <stp>34404098Y2:LstBlkTime</stp>
        <tr r="M630" s="5"/>
      </tp>
      <tp t="s">
        <v/>
        <stp/>
        <stp>34414099Y2:LstBlkTime</stp>
        <tr r="M115" s="5"/>
      </tp>
      <tp t="s">
        <v/>
        <stp/>
        <stp>34404098Q5:LstBlkTime</stp>
        <tr r="M624" s="5"/>
      </tp>
      <tp t="s">
        <v/>
        <stp/>
        <stp>34414099Q5:LstBlkTime</stp>
        <tr r="M109" s="5"/>
      </tp>
      <tp t="s">
        <v/>
        <stp/>
        <stp>34404098Q4:LstBlkTime</stp>
        <tr r="M623" s="5"/>
      </tp>
      <tp t="s">
        <v/>
        <stp/>
        <stp>34414099Q4:LstBlkTime</stp>
        <tr r="M108" s="5"/>
      </tp>
      <tp t="s">
        <v/>
        <stp/>
        <stp>34404098Q7:LstBlkTime</stp>
        <tr r="M626" s="5"/>
      </tp>
      <tp t="s">
        <v/>
        <stp/>
        <stp>34414099Q7:LstBlkTime</stp>
        <tr r="M111" s="5"/>
      </tp>
      <tp t="s">
        <v/>
        <stp/>
        <stp>34404098Q6:LstBlkTime</stp>
        <tr r="M625" s="5"/>
      </tp>
      <tp t="s">
        <v/>
        <stp/>
        <stp>34414099Q6:LstBlkTime</stp>
        <tr r="M110" s="5"/>
      </tp>
      <tp t="s">
        <v/>
        <stp/>
        <stp>34404098Q1:LstBlkTime</stp>
        <tr r="M620" s="5"/>
      </tp>
      <tp t="s">
        <v/>
        <stp/>
        <stp>34414099Q1:LstBlkTime</stp>
        <tr r="M105" s="5"/>
      </tp>
      <tp t="s">
        <v/>
        <stp/>
        <stp>34404098Q0:LstBlkTime</stp>
        <tr r="M619" s="5"/>
      </tp>
      <tp t="s">
        <v/>
        <stp/>
        <stp>34414099Q0:LstBlkTime</stp>
        <tr r="M104" s="5"/>
      </tp>
      <tp t="s">
        <v/>
        <stp/>
        <stp>34404098Q3:LstBlkTime</stp>
        <tr r="M622" s="5"/>
      </tp>
      <tp t="s">
        <v/>
        <stp/>
        <stp>34414099Q3:LstBlkTime</stp>
        <tr r="M107" s="5"/>
      </tp>
      <tp t="s">
        <v/>
        <stp/>
        <stp>34404098Q2:LstBlkTime</stp>
        <tr r="M621" s="5"/>
      </tp>
      <tp t="s">
        <v/>
        <stp/>
        <stp>34414099Q2:LstBlkTime</stp>
        <tr r="M106" s="5"/>
      </tp>
      <tp t="s">
        <v/>
        <stp/>
        <stp>34404098Q8:LstBlkTime</stp>
        <tr r="M627" s="5"/>
      </tp>
      <tp t="s">
        <v/>
        <stp/>
        <stp>34414099Q8:LstBlkTime</stp>
        <tr r="M112" s="5"/>
      </tp>
    </main>
    <main first="esrtd">
      <tp t="s">
        <v/>
        <stp/>
        <stp>WMJ 7!-IEU</stp>
        <stp>Last</stp>
        <tr r="I1889" s="5"/>
      </tp>
      <tp t="s">
        <v/>
        <stp/>
        <stp>WHK 7!-IEU</stp>
        <stp>Last</stp>
        <tr r="I1924" s="5"/>
      </tp>
    </main>
    <main first="ice.rtd">
      <tp>
        <v>0</v>
        <stp/>
        <stp>2044823525M13:Vol</stp>
        <tr r="N1760" s="5"/>
      </tp>
      <tp>
        <v>0</v>
        <stp/>
        <stp>2044823525M12:Vol</stp>
        <tr r="N1759" s="5"/>
      </tp>
      <tp>
        <v>0</v>
        <stp/>
        <stp>2044823525M11:Vol</stp>
        <tr r="N1758" s="5"/>
      </tp>
      <tp>
        <v>0</v>
        <stp/>
        <stp>2044823525M10:Vol</stp>
        <tr r="N1757" s="5"/>
      </tp>
      <tp t="s">
        <v>Invalid Market: 2044823525M17</v>
        <stp/>
        <stp>2044823525M17:Vol</stp>
        <tr r="N1764" s="5"/>
      </tp>
      <tp t="s">
        <v>Invalid Market: 2044823525M16</v>
        <stp/>
        <stp>2044823525M16:Vol</stp>
        <tr r="N1763" s="5"/>
      </tp>
      <tp t="s">
        <v>Invalid Market: 2044823525M15</v>
        <stp/>
        <stp>2044823525M15:Vol</stp>
        <tr r="N1762" s="5"/>
      </tp>
      <tp>
        <v>0</v>
        <stp/>
        <stp>2044823525M14:Vol</stp>
        <tr r="N1761" s="5"/>
      </tp>
      <tp t="s">
        <v>Invalid Market: 2044823525M19</v>
        <stp/>
        <stp>2044823525M19:Vol</stp>
        <tr r="N1766" s="5"/>
      </tp>
      <tp t="s">
        <v>Invalid Market: 2044823525M18</v>
        <stp/>
        <stp>2044823525M18:Vol</stp>
        <tr r="N1765" s="5"/>
      </tp>
      <tp t="s">
        <v>Invalid Market: 2044823525M22</v>
        <stp/>
        <stp>2044823525M22:Vol</stp>
        <tr r="N1769" s="5"/>
      </tp>
      <tp t="s">
        <v>Invalid Market: 2044823525M21</v>
        <stp/>
        <stp>2044823525M21:Vol</stp>
        <tr r="N1768" s="5"/>
      </tp>
      <tp t="s">
        <v>Invalid Market: 2044823525M20</v>
        <stp/>
        <stp>2044823525M20:Vol</stp>
        <tr r="N1767" s="5"/>
      </tp>
    </main>
    <main first="bofaddin.rtdserver">
      <tp t="s">
        <v>#N/A Real Time</v>
        <stp/>
        <stp>BDP|3049185487269969642|22</stp>
        <stp>COV6C 130.00 Comdty</stp>
        <stp>VEGA_MID_RT</stp>
        <tr r="D74" s="23"/>
        <tr r="D83" s="23"/>
        <tr r="D55" s="23"/>
      </tp>
    </main>
    <main first="ice.rtd">
      <tp>
        <v>25</v>
        <stp/>
        <stp>161913535MM25:LstBlkVol</stp>
        <tr r="L2052" s="5"/>
      </tp>
      <tp t="s">
        <v/>
        <stp/>
        <stp>161913535MM15:LstBlkVol</stp>
        <tr r="L2042" s="5"/>
      </tp>
      <tp t="s">
        <v/>
        <stp/>
        <stp>2323825599B0:LstBlkTime</stp>
        <tr r="M306" s="5"/>
      </tp>
      <tp t="s">
        <v/>
        <stp/>
        <stp>2326325624B0:LstBlkTime</stp>
        <tr r="M806" s="5"/>
      </tp>
      <tp t="s">
        <v/>
        <stp/>
        <stp>2185324625B0:LstBlkTime</stp>
        <tr r="M78" s="5"/>
      </tp>
      <tp t="s">
        <v/>
        <stp/>
        <stp>2505226937B0:LstBlkTime</stp>
        <tr r="M768" s="5"/>
      </tp>
      <tp t="s">
        <v/>
        <stp/>
        <stp>41787896M15:BstHitPrc</stp>
        <tr r="G822" s="5"/>
      </tp>
      <tp t="s">
        <v/>
        <stp/>
        <stp>41767893M15:LstBlkPrc</stp>
        <tr r="K495" s="5"/>
      </tp>
      <tp t="s">
        <v/>
        <stp/>
        <stp>34344092M11:LstBlkPrc</stp>
        <tr r="K1274" s="5"/>
      </tp>
      <tp t="s">
        <v/>
        <stp/>
        <stp>34354093M11:LstBlkPrc</stp>
        <tr r="K1312" s="5"/>
      </tp>
      <tp t="s">
        <v/>
        <stp/>
        <stp>34344092M21:LstBlkPrc</stp>
        <tr r="K1284" s="5"/>
      </tp>
      <tp t="s">
        <v/>
        <stp/>
        <stp>34354093M21:LstBlkPrc</stp>
        <tr r="K1322" s="5"/>
      </tp>
    </main>
    <main first="bofaddin.rtdserver">
      <tp t="s">
        <v>#N/A Invalid Security</v>
        <stp/>
        <stp>BDP|11188776302911229704|222</stp>
        <stp>SCPN29 Comdty</stp>
        <stp>ASK</stp>
        <stp>Fill=#N/A</stp>
        <tr r="M53" s="1"/>
      </tp>
    </main>
    <main first="ice.rtd">
      <tp t="s">
        <v>Invalid Market: 57179020M18</v>
        <stp/>
        <stp>57179020M18:LstBlkPrc</stp>
        <tr r="K1565" s="5"/>
      </tp>
      <tp t="s">
        <v/>
        <stp/>
        <stp>30793693M15:BstHitPrc</stp>
        <tr r="G898" s="5"/>
      </tp>
      <tp t="s">
        <v/>
        <stp/>
        <stp>16331513M19:LstBlkPrc</stp>
        <tr r="K1434" s="5"/>
      </tp>
      <tp t="s">
        <v/>
        <stp/>
        <stp>16341514M19:LstBlkPrc</stp>
        <tr r="K1472" s="5"/>
      </tp>
      <tp t="s">
        <v/>
        <stp/>
        <stp>16351515M19:LstBlkPrc</stp>
        <tr r="K1510" s="5"/>
      </tp>
      <tp t="s">
        <v>Sep26/Mar27</v>
        <stp/>
        <stp>DBI1227MM5:Strip</stp>
        <tr r="E1656" s="5"/>
      </tp>
      <tp t="s">
        <v/>
        <stp/>
        <stp>32623993M24:LstBlkPrc</stp>
        <tr r="K2014" s="5"/>
      </tp>
      <tp t="s">
        <v/>
        <stp/>
        <stp>32623993M14:LstBlkPrc</stp>
        <tr r="K2004" s="5"/>
      </tp>
      <tp t="s">
        <v/>
        <stp/>
        <stp>15061297MM2:LstBlkPrc</stp>
        <tr r="K1685" s="5"/>
      </tp>
    </main>
    <main first="bofaddin.rtdserver">
      <tp t="s">
        <v>#N/A Invalid Security</v>
        <stp/>
        <stp>BDP|17336730583985879285|222</stp>
        <stp>SCPX29 Comdty</stp>
        <stp>BID</stp>
        <stp>Fill=#N/A</stp>
        <tr r="M57" s="1"/>
      </tp>
    </main>
    <main first="ice.rtd">
      <tp t="s">
        <v/>
        <stp/>
        <stp>34404098M16:BstHitPrc</stp>
        <tr r="G610" s="5"/>
      </tp>
      <tp t="s">
        <v/>
        <stp/>
        <stp>34414099M16:BstHitPrc</stp>
        <tr r="G95" s="5"/>
      </tp>
      <tp t="s">
        <v/>
        <stp/>
        <stp>34364094M11:LstBlkPrc</stp>
        <tr r="K529" s="5"/>
      </tp>
      <tp t="s">
        <v/>
        <stp/>
        <stp>34374095M11:LstBlkPrc</stp>
        <tr r="K567" s="5"/>
      </tp>
      <tp t="s">
        <v/>
        <stp/>
        <stp>34364094M21:LstBlkPrc</stp>
        <tr r="K539" s="5"/>
      </tp>
      <tp t="s">
        <v/>
        <stp/>
        <stp>34374095M21:LstBlkPrc</stp>
        <tr r="K577" s="5"/>
      </tp>
      <tp t="s">
        <v/>
        <stp/>
        <stp>32613992M24:LstBlkPrc</stp>
        <tr r="K1249" s="5"/>
      </tp>
      <tp t="s">
        <v/>
        <stp/>
        <stp>32613992M14:LstBlkPrc</stp>
        <tr r="K1239" s="5"/>
      </tp>
    </main>
    <main first="bofaddin.rtdserver">
      <tp t="s">
        <v>#N/A Invalid Security</v>
        <stp/>
        <stp>BDP|11952796382087580734|222</stp>
        <stp>SCPG30 Comdty</stp>
        <stp>BID</stp>
        <stp>Fill=#N/A</stp>
        <tr r="M60" s="1"/>
      </tp>
    </main>
    <main first="ice.rtd">
      <tp t="s">
        <v/>
        <stp/>
        <stp>34344092M21:BstHitPrc</stp>
        <tr r="G1284" s="5"/>
      </tp>
      <tp t="s">
        <v/>
        <stp/>
        <stp>34354093M21:BstHitPrc</stp>
        <tr r="G1322" s="5"/>
      </tp>
      <tp t="s">
        <v/>
        <stp/>
        <stp>34344092M11:BstHitPrc</stp>
        <tr r="G1274" s="5"/>
      </tp>
      <tp>
        <v>51.63</v>
        <stp/>
        <stp>34354093M11:BstHitPrc</stp>
        <tr r="G1312" s="5"/>
      </tp>
      <tp t="s">
        <v>Invalid Market: 57179020M18</v>
        <stp/>
        <stp>57179020M18:BstHitPrc</stp>
        <tr r="G1565" s="5"/>
      </tp>
      <tp t="s">
        <v/>
        <stp/>
        <stp>41787896M15:LstBlkPrc</stp>
        <tr r="K822" s="5"/>
      </tp>
      <tp t="s">
        <v/>
        <stp/>
        <stp>41767893M15:BstHitPrc</stp>
        <tr r="G495" s="5"/>
      </tp>
      <tp t="s">
        <v/>
        <stp/>
        <stp>34364094M21:BstHitPrc</stp>
        <tr r="G539" s="5"/>
      </tp>
      <tp t="s">
        <v/>
        <stp/>
        <stp>34374095M21:BstHitPrc</stp>
        <tr r="G577" s="5"/>
      </tp>
      <tp t="s">
        <v/>
        <stp/>
        <stp>34364094M11:BstHitPrc</stp>
        <tr r="G529" s="5"/>
      </tp>
      <tp t="s">
        <v/>
        <stp/>
        <stp>34374095M11:BstHitPrc</stp>
        <tr r="G567" s="5"/>
      </tp>
      <tp t="s">
        <v/>
        <stp/>
        <stp>34404098M16:LstBlkPrc</stp>
        <tr r="K610" s="5"/>
      </tp>
      <tp t="s">
        <v/>
        <stp/>
        <stp>34414099M16:LstBlkPrc</stp>
        <tr r="K95" s="5"/>
      </tp>
      <tp t="s">
        <v/>
        <stp/>
        <stp>32613992M14:BstHitPrc</stp>
        <tr r="G1239" s="5"/>
      </tp>
      <tp t="s">
        <v/>
        <stp/>
        <stp>32613992M24:BstHitPrc</stp>
        <tr r="G1249" s="5"/>
      </tp>
      <tp t="s">
        <v/>
        <stp/>
        <stp>16331513M19:BstHitPrc</stp>
        <tr r="G1434" s="5"/>
      </tp>
      <tp t="s">
        <v/>
        <stp/>
        <stp>16341514M19:BstHitPrc</stp>
        <tr r="G1472" s="5"/>
      </tp>
      <tp t="s">
        <v/>
        <stp/>
        <stp>16351515M19:BstHitPrc</stp>
        <tr r="G1510" s="5"/>
      </tp>
      <tp t="s">
        <v/>
        <stp/>
        <stp>30793693M15:LstBlkPrc</stp>
        <tr r="K898" s="5"/>
      </tp>
      <tp t="s">
        <v/>
        <stp/>
        <stp>32623993M14:BstHitPrc</stp>
        <tr r="G2004" s="5"/>
      </tp>
      <tp t="s">
        <v/>
        <stp/>
        <stp>32623993M24:BstHitPrc</stp>
        <tr r="G2014" s="5"/>
      </tp>
      <tp t="s">
        <v/>
        <stp/>
        <stp>15061297MM2:BstHitPrc</stp>
        <tr r="G1685" s="5"/>
      </tp>
      <tp t="s">
        <v/>
        <stp/>
        <stp>34404098M10:LstBlkVol</stp>
        <tr r="L604" s="5"/>
      </tp>
      <tp t="s">
        <v/>
        <stp/>
        <stp>34414099M10:LstBlkVol</stp>
        <tr r="L89" s="5"/>
      </tp>
      <tp t="s">
        <v/>
        <stp/>
        <stp>34404098M20:LstBlkVol</stp>
        <tr r="L614" s="5"/>
      </tp>
      <tp t="s">
        <v/>
        <stp/>
        <stp>34414099M20:LstBlkVol</stp>
        <tr r="L99" s="5"/>
      </tp>
      <tp t="s">
        <v/>
        <stp/>
        <stp>30793693M23:LstBlkVol</stp>
        <tr r="L906" s="5"/>
      </tp>
      <tp t="s">
        <v/>
        <stp/>
        <stp>30793693M13:LstBlkVol</stp>
        <tr r="L896" s="5"/>
      </tp>
      <tp t="s">
        <v/>
        <stp/>
        <stp>41787896M13:LstBlkVol</stp>
        <tr r="L820" s="5"/>
      </tp>
      <tp t="s">
        <v/>
        <stp/>
        <stp>41787896M23:LstBlkVol</stp>
        <tr r="L830" s="5"/>
      </tp>
      <tp t="s">
        <v/>
        <stp/>
        <stp>32623993M22:LstBlkVol</stp>
        <tr r="L2012" s="5"/>
      </tp>
      <tp t="s">
        <v/>
        <stp/>
        <stp>32623993M12:LstBlkVol</stp>
        <tr r="L2002" s="5"/>
      </tp>
      <tp t="s">
        <v/>
        <stp/>
        <stp>15061297MM4:LstBlkVol</stp>
        <tr r="L1687" s="5"/>
      </tp>
      <tp t="s">
        <v/>
        <stp/>
        <stp>46678127M19:LstBlkVol</stp>
        <tr r="L364" s="5"/>
      </tp>
      <tp t="s">
        <v/>
        <stp/>
        <stp>32613992M22:LstBlkVol</stp>
        <tr r="L1247" s="5"/>
      </tp>
      <tp t="s">
        <v/>
        <stp/>
        <stp>32613992M12:LstBlkVol</stp>
        <tr r="L1237" s="5"/>
      </tp>
      <tp t="s">
        <v/>
        <stp/>
        <stp>34364094M17:LstBlkVol</stp>
        <tr r="L535" s="5"/>
      </tp>
      <tp t="s">
        <v/>
        <stp/>
        <stp>34374095M17:LstBlkVol</stp>
        <tr r="L573" s="5"/>
      </tp>
      <tp t="s">
        <v/>
        <stp/>
        <stp>41767893M13:LstBlkVol</stp>
        <tr r="L493" s="5"/>
      </tp>
      <tp t="s">
        <v/>
        <stp/>
        <stp>41767893M23:LstBlkVol</stp>
        <tr r="L503" s="5"/>
      </tp>
      <tp t="s">
        <v/>
        <stp/>
        <stp>34344092M17:LstBlkVol</stp>
        <tr r="L1280" s="5"/>
      </tp>
      <tp t="s">
        <v/>
        <stp/>
        <stp>34354093M17:LstBlkVol</stp>
        <tr r="L1318" s="5"/>
      </tp>
      <tp t="s">
        <v/>
        <stp/>
        <stp>266M1:LstBlkVol</stp>
        <tr r="L922" s="5"/>
      </tp>
      <tp t="s">
        <v/>
        <stp/>
        <stp>266Y1:LstBlkVol</stp>
        <tr r="L956" s="5"/>
      </tp>
      <tp t="s">
        <v/>
        <stp/>
        <stp>266Q1:LstBlkVol</stp>
        <tr r="L947" s="5"/>
      </tp>
      <tp t="s">
        <v/>
        <stp/>
        <stp>2427026287M19:LstBlkVol</stp>
        <tr r="L1168" s="5"/>
      </tp>
      <tp t="s">
        <v/>
        <stp/>
        <stp>2427126288M18:LstBlkVol</stp>
        <tr r="L1053" s="5"/>
      </tp>
      <tp t="s">
        <v/>
        <stp/>
        <stp>2755728678M21:LstBlkVol</stp>
        <tr r="L1132" s="5"/>
      </tp>
      <tp t="s">
        <v/>
        <stp/>
        <stp>2755728678M11:LstBlkVol</stp>
        <tr r="L1122" s="5"/>
      </tp>
      <tp t="s">
        <v/>
        <stp/>
        <stp>3124331018M12:LstBlkVol</stp>
        <tr r="L1617" s="5"/>
      </tp>
      <tp>
        <v>-4.3</v>
        <stp/>
        <stp>1581618115M13:BstHitPrc</stp>
        <tr r="G472" s="5"/>
      </tp>
    </main>
    <main first="bofaddin.rtdserver">
      <tp t="s">
        <v>#N/A</v>
        <stp/>
        <stp>BDP|17482952401247166114|222</stp>
        <stp>MUCF0G0 Comdty</stp>
        <stp>ASK</stp>
        <stp>Fill=#N/A</stp>
        <tr r="S60" s="1"/>
      </tp>
    </main>
    <main first="ice.rtd">
      <tp t="s">
        <v/>
        <stp/>
        <stp>3124331018M14:LstBlkPrc</stp>
        <tr r="K1619" s="5"/>
      </tp>
      <tp t="s">
        <v/>
        <stp/>
        <stp>1923422331M13:LstBlkPrc</stp>
        <tr r="K1640" s="5"/>
      </tp>
    </main>
    <main first="bofaddin.rtdserver">
      <tp t="s">
        <v>#N/A</v>
        <stp/>
        <stp>BDP|12902253555737242949|222</stp>
        <stp>MUCG0H0 Comdty</stp>
        <stp>ASK</stp>
        <stp>Fill=#N/A</stp>
        <tr r="S61" s="1"/>
      </tp>
      <tp t="s">
        <v>#N/A</v>
        <stp/>
        <stp>BDP|17171818158207185620|222</stp>
        <stp>OQAF8G8 Comdty</stp>
        <stp>BID</stp>
        <stp>Fill=#N/A</stp>
        <tr r="T36" s="1"/>
      </tp>
    </main>
    <main first="ice.rtd">
      <tp t="s">
        <v/>
        <stp/>
        <stp>2755728678M17:LstBlkPrc</stp>
        <tr r="K1128" s="5"/>
      </tp>
      <tp t="s">
        <v/>
        <stp/>
        <stp>2755828679M18:LstBlkPrc</stp>
        <tr r="K1015" s="5"/>
      </tp>
    </main>
    <main first="bofaddin.rtdserver">
      <tp>
        <v>9.3699999999999992</v>
        <stp/>
        <stp>BDP|3469430781469981504|222</stp>
        <stp>XBZ6XBF7 Comdty</stp>
        <stp>ASK</stp>
        <stp>Fill=#N/A</stp>
        <tr r="R23" s="1"/>
      </tp>
    </main>
    <main first="ice.rtd">
      <tp t="s">
        <v/>
        <stp/>
        <stp>266Q7:BstHitPrc</stp>
        <tr r="G953" s="5"/>
      </tp>
      <tp t="s">
        <v/>
        <stp/>
        <stp>266M7:BstHitPrc</stp>
        <tr r="G928" s="5"/>
      </tp>
      <tp t="s">
        <v/>
        <stp/>
        <stp>1581618115M13:LstBlkPrc</stp>
        <tr r="K472" s="5"/>
      </tp>
      <tp t="s">
        <v/>
        <stp/>
        <stp>1923422331M13:BstHitPrc</stp>
        <tr r="G1640" s="5"/>
      </tp>
      <tp t="s">
        <v/>
        <stp/>
        <stp>3124331018M14:BstHitPrc</stp>
        <tr r="G1619" s="5"/>
      </tp>
    </main>
    <main first="bofaddin.rtdserver">
      <tp>
        <v>0.22</v>
        <stp/>
        <stp>BDP|2500409223525555457|222</stp>
        <stp>CLZ8CLF9 Comdty</stp>
        <stp>ASK</stp>
        <stp>Fill=#N/A</stp>
        <tr r="N47" s="1"/>
      </tp>
      <tp t="s">
        <v>#N/A</v>
        <stp/>
        <stp>BDP|12611693586017688222|222</stp>
        <stp>MUCH9J9 Comdty</stp>
        <stp>ASK</stp>
        <stp>Fill=#N/A</stp>
        <tr r="S50" s="1"/>
      </tp>
    </main>
    <main first="ice.rtd">
      <tp t="s">
        <v/>
        <stp/>
        <stp>2755728678M17:BstHitPrc</stp>
        <tr r="G1128" s="5"/>
      </tp>
      <tp t="s">
        <v/>
        <stp/>
        <stp>2755828679M18:BstHitPrc</stp>
        <tr r="G1015" s="5"/>
      </tp>
      <tp t="s">
        <v/>
        <stp/>
        <stp>266M7:LstBlkPrc</stp>
        <tr r="K928" s="5"/>
      </tp>
      <tp t="s">
        <v/>
        <stp/>
        <stp>266Q7:LstBlkPrc</stp>
        <tr r="K953" s="5"/>
      </tp>
    </main>
    <main first="esrtd">
      <tp t="s">
        <v/>
        <stp/>
        <stp>TDL 7!-IEU</stp>
        <stp>Last</stp>
        <tr r="I1819" s="5"/>
      </tp>
      <tp t="s">
        <v/>
        <stp/>
        <stp>WDF 4!-IEU</stp>
        <stp>Last</stp>
        <tr r="I1781" s="5"/>
      </tp>
    </main>
    <main first="ice.rtd">
      <tp t="s">
        <v/>
        <stp/>
        <stp>161913535MM20:LstBlkPrc</stp>
        <tr r="K2047" s="5"/>
      </tp>
      <tp t="s">
        <v/>
        <stp/>
        <stp>161913535MM10:LstBlkPrc</stp>
        <tr r="K2037" s="5"/>
      </tp>
      <tp t="s">
        <v/>
        <stp/>
        <stp>41767893M8:LstBlkTime</stp>
        <tr r="M488" s="5"/>
      </tp>
      <tp t="s">
        <v/>
        <stp/>
        <stp>41767893M9:LstBlkTime</stp>
        <tr r="M489" s="5"/>
      </tp>
      <tp t="s">
        <v/>
        <stp/>
        <stp>41767893M0:LstBlkTime</stp>
        <tr r="M480" s="5"/>
      </tp>
      <tp t="s">
        <v>09:19:44</v>
        <stp/>
        <stp>41767893M1:LstBlkTime</stp>
        <tr r="M481" s="5"/>
      </tp>
      <tp t="s">
        <v>11:00:18</v>
        <stp/>
        <stp>41767893M2:LstBlkTime</stp>
        <tr r="M482" s="5"/>
      </tp>
      <tp t="s">
        <v>08:16:22</v>
        <stp/>
        <stp>41767893M3:LstBlkTime</stp>
        <tr r="M483" s="5"/>
      </tp>
      <tp t="s">
        <v/>
        <stp/>
        <stp>41767893M4:LstBlkTime</stp>
        <tr r="M484" s="5"/>
      </tp>
      <tp t="s">
        <v/>
        <stp/>
        <stp>41767893M5:LstBlkTime</stp>
        <tr r="M485" s="5"/>
      </tp>
      <tp t="s">
        <v/>
        <stp/>
        <stp>41767893M6:LstBlkTime</stp>
        <tr r="M486" s="5"/>
      </tp>
      <tp t="s">
        <v/>
        <stp/>
        <stp>41767893M7:LstBlkTime</stp>
        <tr r="M487" s="5"/>
      </tp>
      <tp t="s">
        <v>Invalid Market: 41767893B0</v>
        <stp/>
        <stp>41767893B0:LstBlkTime</stp>
        <tr r="M479" s="5"/>
      </tp>
      <tp t="s">
        <v/>
        <stp/>
        <stp>41767893Y0:LstBlkTime</stp>
        <tr r="M514" s="5"/>
      </tp>
      <tp t="s">
        <v/>
        <stp/>
        <stp>41767893Y1:LstBlkTime</stp>
        <tr r="M515" s="5"/>
      </tp>
      <tp t="s">
        <v>Invalid Market: 41767893Y2</v>
        <stp/>
        <stp>41767893Y2:LstBlkTime</stp>
        <tr r="M516" s="5"/>
      </tp>
      <tp t="s">
        <v/>
        <stp/>
        <stp>41767893Q8:LstBlkTime</stp>
        <tr r="M513" s="5"/>
      </tp>
      <tp t="s">
        <v>11:01:28</v>
        <stp/>
        <stp>41767893Q0:LstBlkTime</stp>
        <tr r="M505" s="5"/>
      </tp>
      <tp t="s">
        <v/>
        <stp/>
        <stp>41767893Q1:LstBlkTime</stp>
        <tr r="M506" s="5"/>
      </tp>
      <tp t="s">
        <v/>
        <stp/>
        <stp>41767893Q2:LstBlkTime</stp>
        <tr r="M507" s="5"/>
      </tp>
      <tp t="s">
        <v/>
        <stp/>
        <stp>41767893Q3:LstBlkTime</stp>
        <tr r="M508" s="5"/>
      </tp>
      <tp t="s">
        <v/>
        <stp/>
        <stp>41767893Q4:LstBlkTime</stp>
        <tr r="M509" s="5"/>
      </tp>
      <tp t="s">
        <v/>
        <stp/>
        <stp>41767893Q5:LstBlkTime</stp>
        <tr r="M510" s="5"/>
      </tp>
      <tp t="s">
        <v/>
        <stp/>
        <stp>41767893Q6:LstBlkTime</stp>
        <tr r="M511" s="5"/>
      </tp>
      <tp t="s">
        <v/>
        <stp/>
        <stp>41767893Q7:LstBlkTime</stp>
        <tr r="M512" s="5"/>
      </tp>
    </main>
    <main first="esrtd">
      <tp t="s">
        <v/>
        <stp/>
        <stp>WNS 4!-IEU</stp>
        <stp>Last</stp>
        <tr r="I1851" s="5"/>
      </tp>
    </main>
    <main first="ice.rtd">
      <tp t="s">
        <v/>
        <stp/>
        <stp>30793693M7:LstBlkTime</stp>
        <tr r="M890" s="5"/>
      </tp>
      <tp t="s">
        <v/>
        <stp/>
        <stp>30793693M6:LstBlkTime</stp>
        <tr r="M889" s="5"/>
      </tp>
      <tp t="s">
        <v/>
        <stp/>
        <stp>30793693M5:LstBlkTime</stp>
        <tr r="M888" s="5"/>
      </tp>
      <tp t="s">
        <v/>
        <stp/>
        <stp>30793693M4:LstBlkTime</stp>
        <tr r="M887" s="5"/>
      </tp>
      <tp t="s">
        <v>09:31:47</v>
        <stp/>
        <stp>30793693M3:LstBlkTime</stp>
        <tr r="M886" s="5"/>
      </tp>
      <tp t="s">
        <v>09:31:47</v>
        <stp/>
        <stp>30793693M2:LstBlkTime</stp>
        <tr r="M885" s="5"/>
      </tp>
      <tp t="s">
        <v/>
        <stp/>
        <stp>30793693M1:LstBlkTime</stp>
        <tr r="M884" s="5"/>
      </tp>
      <tp t="s">
        <v/>
        <stp/>
        <stp>30793693M0:LstBlkTime</stp>
        <tr r="M883" s="5"/>
      </tp>
      <tp t="s">
        <v/>
        <stp/>
        <stp>30793693M9:LstBlkTime</stp>
        <tr r="M892" s="5"/>
      </tp>
      <tp t="s">
        <v/>
        <stp/>
        <stp>30793693M8:LstBlkTime</stp>
        <tr r="M891" s="5"/>
      </tp>
      <tp t="s">
        <v/>
        <stp/>
        <stp>161913535MM10:BstHitPrc</stp>
        <tr r="G2037" s="5"/>
      </tp>
      <tp t="s">
        <v/>
        <stp/>
        <stp>161913535MM20:BstHitPrc</stp>
        <tr r="G2047" s="5"/>
      </tp>
      <tp t="s">
        <v/>
        <stp/>
        <stp>30793693Y2:LstBlkTime</stp>
        <tr r="M919" s="5"/>
      </tp>
      <tp t="s">
        <v/>
        <stp/>
        <stp>30793693Y1:LstBlkTime</stp>
        <tr r="M918" s="5"/>
      </tp>
      <tp t="s">
        <v/>
        <stp/>
        <stp>30793693Y0:LstBlkTime</stp>
        <tr r="M917" s="5"/>
      </tp>
      <tp t="s">
        <v/>
        <stp/>
        <stp>30793693Q7:LstBlkTime</stp>
        <tr r="M915" s="5"/>
      </tp>
      <tp t="s">
        <v/>
        <stp/>
        <stp>30793693Q6:LstBlkTime</stp>
        <tr r="M914" s="5"/>
      </tp>
      <tp t="s">
        <v/>
        <stp/>
        <stp>30793693Q5:LstBlkTime</stp>
        <tr r="M913" s="5"/>
      </tp>
      <tp t="s">
        <v/>
        <stp/>
        <stp>30793693Q4:LstBlkTime</stp>
        <tr r="M912" s="5"/>
      </tp>
      <tp t="s">
        <v/>
        <stp/>
        <stp>30793693Q3:LstBlkTime</stp>
        <tr r="M911" s="5"/>
      </tp>
      <tp t="s">
        <v/>
        <stp/>
        <stp>30793693Q2:LstBlkTime</stp>
        <tr r="M910" s="5"/>
      </tp>
      <tp t="s">
        <v/>
        <stp/>
        <stp>30793693Q1:LstBlkTime</stp>
        <tr r="M909" s="5"/>
      </tp>
      <tp t="s">
        <v/>
        <stp/>
        <stp>30793693Q0:LstBlkTime</stp>
        <tr r="M908" s="5"/>
      </tp>
      <tp t="s">
        <v/>
        <stp/>
        <stp>30793693Q8:LstBlkTime</stp>
        <tr r="M916" s="5"/>
      </tp>
    </main>
    <main first="esrtd">
      <tp t="s">
        <v/>
        <stp/>
        <stp>WMJ 4!-IEU</stp>
        <stp>Last</stp>
        <tr r="I1886" s="5"/>
      </tp>
    </main>
    <main first="ice.rtd">
      <tp t="s">
        <v/>
        <stp/>
        <stp>41787896M8:LstBlkTime</stp>
        <tr r="M815" s="5"/>
      </tp>
      <tp t="s">
        <v/>
        <stp/>
        <stp>41787896M9:LstBlkTime</stp>
        <tr r="M816" s="5"/>
      </tp>
      <tp t="s">
        <v/>
        <stp/>
        <stp>41787896M0:LstBlkTime</stp>
        <tr r="M807" s="5"/>
      </tp>
      <tp t="s">
        <v>09:44:18</v>
        <stp/>
        <stp>41787896M1:LstBlkTime</stp>
        <tr r="M808" s="5"/>
      </tp>
      <tp t="s">
        <v>09:37:54</v>
        <stp/>
        <stp>41787896M2:LstBlkTime</stp>
        <tr r="M809" s="5"/>
      </tp>
      <tp t="s">
        <v/>
        <stp/>
        <stp>41787896M3:LstBlkTime</stp>
        <tr r="M810" s="5"/>
      </tp>
      <tp t="s">
        <v/>
        <stp/>
        <stp>41787896M4:LstBlkTime</stp>
        <tr r="M811" s="5"/>
      </tp>
      <tp t="s">
        <v/>
        <stp/>
        <stp>41787896M5:LstBlkTime</stp>
        <tr r="M812" s="5"/>
      </tp>
      <tp t="s">
        <v/>
        <stp/>
        <stp>41787896M6:LstBlkTime</stp>
        <tr r="M813" s="5"/>
      </tp>
      <tp t="s">
        <v/>
        <stp/>
        <stp>41787896M7:LstBlkTime</stp>
        <tr r="M814" s="5"/>
      </tp>
      <tp t="s">
        <v/>
        <stp/>
        <stp>41787896Y0:LstBlkTime</stp>
        <tr r="M841" s="5"/>
      </tp>
      <tp t="s">
        <v/>
        <stp/>
        <stp>41787896Y1:LstBlkTime</stp>
        <tr r="M842" s="5"/>
      </tp>
      <tp t="s">
        <v/>
        <stp/>
        <stp>41787896Y2:LstBlkTime</stp>
        <tr r="M843" s="5"/>
      </tp>
      <tp t="s">
        <v/>
        <stp/>
        <stp>41787896Q8:LstBlkTime</stp>
        <tr r="M840" s="5"/>
      </tp>
      <tp t="s">
        <v/>
        <stp/>
        <stp>41787896Q0:LstBlkTime</stp>
        <tr r="M832" s="5"/>
      </tp>
      <tp t="s">
        <v/>
        <stp/>
        <stp>41787896Q1:LstBlkTime</stp>
        <tr r="M833" s="5"/>
      </tp>
      <tp t="s">
        <v/>
        <stp/>
        <stp>41787896Q2:LstBlkTime</stp>
        <tr r="M834" s="5"/>
      </tp>
      <tp t="s">
        <v/>
        <stp/>
        <stp>41787896Q3:LstBlkTime</stp>
        <tr r="M835" s="5"/>
      </tp>
      <tp t="s">
        <v/>
        <stp/>
        <stp>41787896Q4:LstBlkTime</stp>
        <tr r="M836" s="5"/>
      </tp>
      <tp t="s">
        <v/>
        <stp/>
        <stp>41787896Q5:LstBlkTime</stp>
        <tr r="M837" s="5"/>
      </tp>
      <tp t="s">
        <v/>
        <stp/>
        <stp>41787896Q6:LstBlkTime</stp>
        <tr r="M838" s="5"/>
      </tp>
      <tp t="s">
        <v/>
        <stp/>
        <stp>41787896Q7:LstBlkTime</stp>
        <tr r="M839" s="5"/>
      </tp>
    </main>
    <main first="esrtd">
      <tp t="s">
        <v/>
        <stp/>
        <stp>WHK 4!-IEU</stp>
        <stp>Last</stp>
        <tr r="I1921" s="5"/>
      </tp>
    </main>
    <main first="ice.rtd">
      <tp>
        <v>0</v>
        <stp/>
        <stp>2427126288M10:Vol</stp>
        <tr r="N1045" s="5"/>
      </tp>
      <tp>
        <v>0</v>
        <stp/>
        <stp>2427026287M11:Vol</stp>
        <tr r="N1160" s="5"/>
      </tp>
      <tp>
        <v>0</v>
        <stp/>
        <stp>2427126288M11:Vol</stp>
        <tr r="N1046" s="5"/>
      </tp>
      <tp>
        <v>0</v>
        <stp/>
        <stp>2427026287M10:Vol</stp>
        <tr r="N1159" s="5"/>
      </tp>
      <tp>
        <v>0</v>
        <stp/>
        <stp>2427126288M12:Vol</stp>
        <tr r="N1047" s="5"/>
      </tp>
      <tp>
        <v>0</v>
        <stp/>
        <stp>2427026287M13:Vol</stp>
        <tr r="N1162" s="5"/>
      </tp>
      <tp>
        <v>0</v>
        <stp/>
        <stp>2427126288M13:Vol</stp>
        <tr r="N1048" s="5"/>
      </tp>
      <tp>
        <v>0</v>
        <stp/>
        <stp>2427026287M12:Vol</stp>
        <tr r="N1161" s="5"/>
      </tp>
      <tp>
        <v>0</v>
        <stp/>
        <stp>2427126288M14:Vol</stp>
        <tr r="N1049" s="5"/>
      </tp>
      <tp>
        <v>0</v>
        <stp/>
        <stp>2427026287M15:Vol</stp>
        <tr r="N1164" s="5"/>
      </tp>
      <tp>
        <v>0</v>
        <stp/>
        <stp>2427126288M15:Vol</stp>
        <tr r="N1050" s="5"/>
      </tp>
      <tp>
        <v>0</v>
        <stp/>
        <stp>2427026287M14:Vol</stp>
        <tr r="N1163" s="5"/>
      </tp>
      <tp>
        <v>0</v>
        <stp/>
        <stp>2427126288M16:Vol</stp>
        <tr r="N1051" s="5"/>
      </tp>
      <tp>
        <v>0</v>
        <stp/>
        <stp>2427026287M17:Vol</stp>
        <tr r="N1166" s="5"/>
      </tp>
      <tp>
        <v>0</v>
        <stp/>
        <stp>2427126288M17:Vol</stp>
        <tr r="N1052" s="5"/>
      </tp>
      <tp>
        <v>0</v>
        <stp/>
        <stp>2427026287M16:Vol</stp>
        <tr r="N1165" s="5"/>
      </tp>
      <tp>
        <v>0</v>
        <stp/>
        <stp>2427126288M18:Vol</stp>
        <tr r="N1053" s="5"/>
      </tp>
      <tp>
        <v>0</v>
        <stp/>
        <stp>2427026287M19:Vol</stp>
        <tr r="N1168" s="5"/>
      </tp>
      <tp>
        <v>0</v>
        <stp/>
        <stp>2427126288M19:Vol</stp>
        <tr r="N1054" s="5"/>
      </tp>
      <tp>
        <v>0</v>
        <stp/>
        <stp>2427026287M18:Vol</stp>
        <tr r="N1167" s="5"/>
      </tp>
      <tp>
        <v>0</v>
        <stp/>
        <stp>2427126288M20:Vol</stp>
        <tr r="N1055" s="5"/>
      </tp>
      <tp>
        <v>0</v>
        <stp/>
        <stp>2427026287M21:Vol</stp>
        <tr r="N1170" s="5"/>
      </tp>
      <tp>
        <v>0</v>
        <stp/>
        <stp>2427126288M21:Vol</stp>
        <tr r="N1056" s="5"/>
      </tp>
      <tp>
        <v>0</v>
        <stp/>
        <stp>2427026287M20:Vol</stp>
        <tr r="N1169" s="5"/>
      </tp>
      <tp>
        <v>0</v>
        <stp/>
        <stp>2427126288M22:Vol</stp>
        <tr r="N1057" s="5"/>
      </tp>
      <tp>
        <v>0</v>
        <stp/>
        <stp>2427026287M23:Vol</stp>
        <tr r="N1172" s="5"/>
      </tp>
      <tp>
        <v>0</v>
        <stp/>
        <stp>2427126288M23:Vol</stp>
        <tr r="N1058" s="5"/>
      </tp>
      <tp>
        <v>0</v>
        <stp/>
        <stp>2427026287M22:Vol</stp>
        <tr r="N1171" s="5"/>
      </tp>
      <tp>
        <v>0</v>
        <stp/>
        <stp>2427126288M24:Vol</stp>
        <tr r="N1059" s="5"/>
      </tp>
      <tp>
        <v>0</v>
        <stp/>
        <stp>2427026287M24:Vol</stp>
        <tr r="N1173" s="5"/>
      </tp>
      <tp>
        <v>0</v>
        <stp/>
        <stp>1840020882M12:Vol</stp>
        <tr r="N1594" s="5"/>
      </tp>
      <tp>
        <v>0</v>
        <stp/>
        <stp>1840020882M13:Vol</stp>
        <tr r="N1595" s="5"/>
      </tp>
      <tp>
        <v>0</v>
        <stp/>
        <stp>1840020882M10:Vol</stp>
        <tr r="N1592" s="5"/>
      </tp>
      <tp>
        <v>0</v>
        <stp/>
        <stp>1840020882M11:Vol</stp>
        <tr r="N1593" s="5"/>
      </tp>
      <tp>
        <v>0</v>
        <stp/>
        <stp>1840020882M16:Vol</stp>
        <tr r="N1598" s="5"/>
      </tp>
      <tp>
        <v>0</v>
        <stp/>
        <stp>1840020882M14:Vol</stp>
        <tr r="N1596" s="5"/>
      </tp>
      <tp>
        <v>0</v>
        <stp/>
        <stp>1840020882M15:Vol</stp>
        <tr r="N1597" s="5"/>
      </tp>
      <tp>
        <v>0</v>
        <stp/>
        <stp>161913535MM26:Vol</stp>
        <tr r="N2053" s="5"/>
      </tp>
      <tp>
        <v>0</v>
        <stp/>
        <stp>161913535MM27:Vol</stp>
        <tr r="N2054" s="5"/>
      </tp>
      <tp>
        <v>0</v>
        <stp/>
        <stp>161913535MM24:Vol</stp>
        <tr r="N2051" s="5"/>
      </tp>
      <tp>
        <v>0</v>
        <stp/>
        <stp>161913535MM25:Vol</stp>
        <tr r="N2052" s="5"/>
      </tp>
      <tp>
        <v>200</v>
        <stp/>
        <stp>161913535MM22:Vol</stp>
        <tr r="N2049" s="5"/>
      </tp>
      <tp>
        <v>0</v>
        <stp/>
        <stp>161913535MM23:Vol</stp>
        <tr r="N2050" s="5"/>
      </tp>
      <tp>
        <v>0</v>
        <stp/>
        <stp>161913535MM20:Vol</stp>
        <tr r="N2047" s="5"/>
      </tp>
      <tp>
        <v>0</v>
        <stp/>
        <stp>161913535MM21:Vol</stp>
        <tr r="N2048" s="5"/>
      </tp>
      <tp t="s">
        <v/>
        <stp/>
        <stp>161913535MM26:LstBlkVol</stp>
        <tr r="L2053" s="5"/>
      </tp>
      <tp t="s">
        <v/>
        <stp/>
        <stp>161913535MM16:LstBlkVol</stp>
        <tr r="L2043" s="5"/>
      </tp>
      <tp>
        <v>0</v>
        <stp/>
        <stp>161913535MM18:Vol</stp>
        <tr r="N2045" s="5"/>
      </tp>
      <tp>
        <v>0</v>
        <stp/>
        <stp>161913535MM19:Vol</stp>
        <tr r="N2046" s="5"/>
      </tp>
      <tp>
        <v>0</v>
        <stp/>
        <stp>161913535MM16:Vol</stp>
        <tr r="N2043" s="5"/>
      </tp>
      <tp>
        <v>0</v>
        <stp/>
        <stp>161913535MM17:Vol</stp>
        <tr r="N2044" s="5"/>
      </tp>
      <tp>
        <v>0</v>
        <stp/>
        <stp>161913535MM14:Vol</stp>
        <tr r="N2041" s="5"/>
      </tp>
      <tp>
        <v>0</v>
        <stp/>
        <stp>161913535MM15:Vol</stp>
        <tr r="N2042" s="5"/>
      </tp>
      <tp>
        <v>150</v>
        <stp/>
        <stp>161913535MM12:Vol</stp>
        <tr r="N2039" s="5"/>
      </tp>
      <tp>
        <v>0</v>
        <stp/>
        <stp>161913535MM13:Vol</stp>
        <tr r="N2040" s="5"/>
      </tp>
      <tp>
        <v>0</v>
        <stp/>
        <stp>161913535MM10:Vol</stp>
        <tr r="N2037" s="5"/>
      </tp>
      <tp>
        <v>0</v>
        <stp/>
        <stp>161913535MM11:Vol</stp>
        <tr r="N2038" s="5"/>
      </tp>
      <tp>
        <v>0</v>
        <stp/>
        <stp>15061297MM12:BlkVol</stp>
        <tr r="O1695" s="5"/>
      </tp>
      <tp>
        <v>0</v>
        <stp/>
        <stp>15061297MM13:BlkVol</stp>
        <tr r="O1696" s="5"/>
      </tp>
      <tp>
        <v>0</v>
        <stp/>
        <stp>15061297MM10:BlkVol</stp>
        <tr r="O1693" s="5"/>
      </tp>
      <tp>
        <v>0</v>
        <stp/>
        <stp>15061297MM11:BlkVol</stp>
        <tr r="O1694" s="5"/>
      </tp>
      <tp>
        <v>0</v>
        <stp/>
        <stp>15061297MM16:BlkVol</stp>
        <tr r="O1699" s="5"/>
      </tp>
      <tp>
        <v>0</v>
        <stp/>
        <stp>15061297MM17:BlkVol</stp>
        <tr r="O1700" s="5"/>
      </tp>
      <tp>
        <v>0</v>
        <stp/>
        <stp>15061297MM14:BlkVol</stp>
        <tr r="O1697" s="5"/>
      </tp>
      <tp>
        <v>0</v>
        <stp/>
        <stp>15061297MM15:BlkVol</stp>
        <tr r="O1698" s="5"/>
      </tp>
      <tp>
        <v>0</v>
        <stp/>
        <stp>15061297MM18:BlkVol</stp>
        <tr r="O1701" s="5"/>
      </tp>
      <tp>
        <v>0</v>
        <stp/>
        <stp>15061297MM19:BlkVol</stp>
        <tr r="O1702" s="5"/>
      </tp>
      <tp>
        <v>0</v>
        <stp/>
        <stp>15061297MM22:BlkVol</stp>
        <tr r="O1705" s="5"/>
      </tp>
      <tp>
        <v>28</v>
        <stp/>
        <stp>15061297MM23:BlkVol</stp>
        <tr r="O1706" s="5"/>
      </tp>
      <tp>
        <v>0</v>
        <stp/>
        <stp>15061297MM20:BlkVol</stp>
        <tr r="O1703" s="5"/>
      </tp>
      <tp>
        <v>0</v>
        <stp/>
        <stp>15061297MM21:BlkVol</stp>
        <tr r="O1704" s="5"/>
      </tp>
      <tp>
        <v>0</v>
        <stp/>
        <stp>15061297MM26:BlkVol</stp>
        <tr r="O1709" s="5"/>
      </tp>
      <tp>
        <v>0</v>
        <stp/>
        <stp>15061297MM27:BlkVol</stp>
        <tr r="O1710" s="5"/>
      </tp>
      <tp>
        <v>0</v>
        <stp/>
        <stp>15061297MM24:BlkVol</stp>
        <tr r="O1707" s="5"/>
      </tp>
      <tp>
        <v>0</v>
        <stp/>
        <stp>15061297MM25:BlkVol</stp>
        <tr r="O1708" s="5"/>
      </tp>
      <tp t="s">
        <v/>
        <stp/>
        <stp>2325325614B0:LstBlkTime</stp>
        <tr r="M517" s="5"/>
      </tp>
      <tp t="s">
        <v/>
        <stp/>
        <stp>2324225603B0:LstBlkTime</stp>
        <tr r="M920" s="5"/>
      </tp>
      <tp t="s">
        <v/>
        <stp/>
        <stp>41787896M24:BstHitPrc</stp>
        <tr r="G831" s="5"/>
      </tp>
      <tp t="s">
        <v/>
        <stp/>
        <stp>41787896M14:BstHitPrc</stp>
        <tr r="G821" s="5"/>
      </tp>
      <tp t="s">
        <v/>
        <stp/>
        <stp>41767893M14:LstBlkPrc</stp>
        <tr r="K494" s="5"/>
      </tp>
      <tp t="s">
        <v/>
        <stp/>
        <stp>41767893M24:LstBlkPrc</stp>
        <tr r="K504" s="5"/>
      </tp>
      <tp t="s">
        <v/>
        <stp/>
        <stp>34344092M10:LstBlkPrc</stp>
        <tr r="K1273" s="5"/>
      </tp>
      <tp t="s">
        <v/>
        <stp/>
        <stp>34354093M10:LstBlkPrc</stp>
        <tr r="K1311" s="5"/>
      </tp>
      <tp t="s">
        <v/>
        <stp/>
        <stp>34344092M20:LstBlkPrc</stp>
        <tr r="K1283" s="5"/>
      </tp>
      <tp t="s">
        <v/>
        <stp/>
        <stp>34354093M20:LstBlkPrc</stp>
        <tr r="K1321" s="5"/>
      </tp>
    </main>
    <main first="bofaddin.rtdserver">
      <tp t="s">
        <v>#N/A Invalid Security</v>
        <stp/>
        <stp>BDP|10178203522849693835|222</stp>
        <stp>SCPV29 Comdty</stp>
        <stp>ASK</stp>
        <stp>Fill=#N/A</stp>
        <tr r="M56" s="1"/>
      </tp>
      <tp>
        <v>516</v>
        <stp/>
        <stp>BDP|13614791941461168089|222</stp>
        <stp>SCPU28 Comdty</stp>
        <stp>ASK</stp>
        <stp>Fill=#N/A</stp>
        <tr r="M43" s="1"/>
      </tp>
    </main>
    <main first="ice.rtd">
      <tp t="s">
        <v>Invalid Market: 57179020M19</v>
        <stp/>
        <stp>57179020M19:LstBlkPrc</stp>
        <tr r="K1566" s="5"/>
      </tp>
    </main>
    <main first="bofaddin.rtdserver">
      <tp t="s">
        <v>#N/A Invalid Security</v>
        <stp/>
        <stp>BDP|13004376147207445242|222</stp>
        <stp>SCPQ28 Comdty</stp>
        <stp>ASK</stp>
        <stp>Fill=#N/A</stp>
        <tr r="M42" s="1"/>
      </tp>
    </main>
    <main first="ice.rtd">
      <tp t="s">
        <v/>
        <stp/>
        <stp>30793693M14:BstHitPrc</stp>
        <tr r="G897" s="5"/>
      </tp>
      <tp t="s">
        <v/>
        <stp/>
        <stp>30793693M24:BstHitPrc</stp>
        <tr r="G907" s="5"/>
      </tp>
      <tp t="s">
        <v/>
        <stp/>
        <stp>16331513M18:LstBlkPrc</stp>
        <tr r="K1433" s="5"/>
      </tp>
      <tp t="s">
        <v/>
        <stp/>
        <stp>16341514M18:LstBlkPrc</stp>
        <tr r="K1471" s="5"/>
      </tp>
      <tp t="s">
        <v/>
        <stp/>
        <stp>16351515M18:LstBlkPrc</stp>
        <tr r="K1509" s="5"/>
      </tp>
      <tp t="s">
        <v>Sep26/Feb27</v>
        <stp/>
        <stp>DBI1227MM4:Strip</stp>
        <tr r="E1655" s="5"/>
      </tp>
      <tp t="s">
        <v/>
        <stp/>
        <stp>32623993M15:LstBlkPrc</stp>
        <tr r="K2005" s="5"/>
      </tp>
      <tp t="s">
        <v/>
        <stp/>
        <stp>15061297MM3:LstBlkPrc</stp>
        <tr r="K1686" s="5"/>
      </tp>
      <tp t="s">
        <v/>
        <stp/>
        <stp>34404098M17:BstHitPrc</stp>
        <tr r="G611" s="5"/>
      </tp>
      <tp t="s">
        <v/>
        <stp/>
        <stp>34414099M17:BstHitPrc</stp>
        <tr r="G96" s="5"/>
      </tp>
      <tp t="s">
        <v/>
        <stp/>
        <stp>34364094M10:LstBlkPrc</stp>
        <tr r="K528" s="5"/>
      </tp>
      <tp t="s">
        <v/>
        <stp/>
        <stp>34374095M10:LstBlkPrc</stp>
        <tr r="K566" s="5"/>
      </tp>
      <tp t="s">
        <v/>
        <stp/>
        <stp>34364094M20:LstBlkPrc</stp>
        <tr r="K538" s="5"/>
      </tp>
      <tp t="s">
        <v/>
        <stp/>
        <stp>34374095M20:LstBlkPrc</stp>
        <tr r="K576" s="5"/>
      </tp>
      <tp t="s">
        <v/>
        <stp/>
        <stp>32613992M15:LstBlkPrc</stp>
        <tr r="K1240" s="5"/>
      </tp>
      <tp t="s">
        <v/>
        <stp/>
        <stp>34344092M20:BstHitPrc</stp>
        <tr r="G1283" s="5"/>
      </tp>
      <tp t="s">
        <v/>
        <stp/>
        <stp>34354093M20:BstHitPrc</stp>
        <tr r="G1321" s="5"/>
      </tp>
      <tp t="s">
        <v/>
        <stp/>
        <stp>34344092M10:BstHitPrc</stp>
        <tr r="G1273" s="5"/>
      </tp>
      <tp>
        <v>52.78</v>
        <stp/>
        <stp>34354093M10:BstHitPrc</stp>
        <tr r="G1311" s="5"/>
      </tp>
      <tp t="s">
        <v>Invalid Market: 57179020M19</v>
        <stp/>
        <stp>57179020M19:BstHitPrc</stp>
        <tr r="G1566" s="5"/>
      </tp>
      <tp t="s">
        <v/>
        <stp/>
        <stp>41787896M14:LstBlkPrc</stp>
        <tr r="K821" s="5"/>
      </tp>
      <tp t="s">
        <v/>
        <stp/>
        <stp>41787896M24:LstBlkPrc</stp>
        <tr r="K831" s="5"/>
      </tp>
      <tp t="s">
        <v/>
        <stp/>
        <stp>41767893M24:BstHitPrc</stp>
        <tr r="G504" s="5"/>
      </tp>
      <tp t="s">
        <v/>
        <stp/>
        <stp>41767893M14:BstHitPrc</stp>
        <tr r="G494" s="5"/>
      </tp>
      <tp t="s">
        <v/>
        <stp/>
        <stp>34364094M20:BstHitPrc</stp>
        <tr r="G538" s="5"/>
      </tp>
      <tp t="s">
        <v/>
        <stp/>
        <stp>34374095M20:BstHitPrc</stp>
        <tr r="G576" s="5"/>
      </tp>
      <tp t="s">
        <v/>
        <stp/>
        <stp>34364094M10:BstHitPrc</stp>
        <tr r="G528" s="5"/>
      </tp>
      <tp t="s">
        <v/>
        <stp/>
        <stp>34374095M10:BstHitPrc</stp>
        <tr r="G566" s="5"/>
      </tp>
      <tp t="s">
        <v/>
        <stp/>
        <stp>34404098M17:LstBlkPrc</stp>
        <tr r="K611" s="5"/>
      </tp>
      <tp t="s">
        <v/>
        <stp/>
        <stp>34414099M17:LstBlkPrc</stp>
        <tr r="K96" s="5"/>
      </tp>
      <tp t="s">
        <v/>
        <stp/>
        <stp>32613992M15:BstHitPrc</stp>
        <tr r="G1240" s="5"/>
      </tp>
      <tp t="s">
        <v/>
        <stp/>
        <stp>16331513M18:BstHitPrc</stp>
        <tr r="G1433" s="5"/>
      </tp>
      <tp t="s">
        <v/>
        <stp/>
        <stp>16341514M18:BstHitPrc</stp>
        <tr r="G1471" s="5"/>
      </tp>
      <tp t="s">
        <v/>
        <stp/>
        <stp>16351515M18:BstHitPrc</stp>
        <tr r="G1509" s="5"/>
      </tp>
      <tp t="s">
        <v/>
        <stp/>
        <stp>30793693M24:LstBlkPrc</stp>
        <tr r="K907" s="5"/>
      </tp>
      <tp t="s">
        <v/>
        <stp/>
        <stp>30793693M14:LstBlkPrc</stp>
        <tr r="K897" s="5"/>
      </tp>
      <tp t="s">
        <v/>
        <stp/>
        <stp>32623993M15:BstHitPrc</stp>
        <tr r="G2005" s="5"/>
      </tp>
      <tp t="s">
        <v/>
        <stp/>
        <stp>15061297MM3:BstHitPrc</stp>
        <tr r="G1686" s="5"/>
      </tp>
      <tp t="s">
        <v/>
        <stp/>
        <stp>34404098M11:LstBlkVol</stp>
        <tr r="L605" s="5"/>
      </tp>
      <tp t="s">
        <v/>
        <stp/>
        <stp>34414099M11:LstBlkVol</stp>
        <tr r="L90" s="5"/>
      </tp>
      <tp t="s">
        <v/>
        <stp/>
        <stp>34404098M21:LstBlkVol</stp>
        <tr r="L615" s="5"/>
      </tp>
      <tp t="s">
        <v/>
        <stp/>
        <stp>34414099M21:LstBlkVol</stp>
        <tr r="L100" s="5"/>
      </tp>
      <tp t="s">
        <v/>
        <stp/>
        <stp>30793693M22:LstBlkVol</stp>
        <tr r="L905" s="5"/>
      </tp>
      <tp t="s">
        <v/>
        <stp/>
        <stp>30793693M12:LstBlkVol</stp>
        <tr r="L895" s="5"/>
      </tp>
      <tp t="s">
        <v/>
        <stp/>
        <stp>41787896M12:LstBlkVol</stp>
        <tr r="L819" s="5"/>
      </tp>
      <tp t="s">
        <v/>
        <stp/>
        <stp>41787896M22:LstBlkVol</stp>
        <tr r="L829" s="5"/>
      </tp>
      <tp t="s">
        <v/>
        <stp/>
        <stp>32623993M23:LstBlkVol</stp>
        <tr r="L2013" s="5"/>
      </tp>
      <tp t="s">
        <v/>
        <stp/>
        <stp>32623993M13:LstBlkVol</stp>
        <tr r="L2003" s="5"/>
      </tp>
      <tp t="s">
        <v/>
        <stp/>
        <stp>15061297MM5:LstBlkVol</stp>
        <tr r="L1688" s="5"/>
      </tp>
      <tp t="s">
        <v/>
        <stp/>
        <stp>46678127M18:LstBlkVol</stp>
        <tr r="L363" s="5"/>
      </tp>
      <tp t="s">
        <v/>
        <stp/>
        <stp>32613992M23:LstBlkVol</stp>
        <tr r="L1248" s="5"/>
      </tp>
      <tp t="s">
        <v/>
        <stp/>
        <stp>32613992M13:LstBlkVol</stp>
        <tr r="L1238" s="5"/>
      </tp>
      <tp t="s">
        <v/>
        <stp/>
        <stp>34364094M16:LstBlkVol</stp>
        <tr r="L534" s="5"/>
      </tp>
      <tp t="s">
        <v/>
        <stp/>
        <stp>34374095M16:LstBlkVol</stp>
        <tr r="L572" s="5"/>
      </tp>
      <tp t="s">
        <v/>
        <stp/>
        <stp>41767893M12:LstBlkVol</stp>
        <tr r="L492" s="5"/>
      </tp>
      <tp t="s">
        <v/>
        <stp/>
        <stp>41767893M22:LstBlkVol</stp>
        <tr r="L502" s="5"/>
      </tp>
      <tp t="s">
        <v/>
        <stp/>
        <stp>34344092M16:LstBlkVol</stp>
        <tr r="L1279" s="5"/>
      </tp>
      <tp t="s">
        <v/>
        <stp/>
        <stp>34354093M16:LstBlkVol</stp>
        <tr r="L1317" s="5"/>
      </tp>
      <tp t="s">
        <v/>
        <stp/>
        <stp>266M0:LstBlkVol</stp>
        <tr r="L921" s="5"/>
      </tp>
      <tp t="s">
        <v/>
        <stp/>
        <stp>266Y0:LstBlkVol</stp>
        <tr r="L955" s="5"/>
      </tp>
      <tp t="s">
        <v/>
        <stp/>
        <stp>266Q0:LstBlkVol</stp>
        <tr r="L946" s="5"/>
      </tp>
      <tp t="s">
        <v/>
        <stp/>
        <stp>1581618115M14:LstBlkVol</stp>
        <tr r="L473" s="5"/>
      </tp>
      <tp t="s">
        <v/>
        <stp/>
        <stp>2427026287M18:LstBlkVol</stp>
        <tr r="L1167" s="5"/>
      </tp>
      <tp t="s">
        <v/>
        <stp/>
        <stp>2427126288M19:LstBlkVol</stp>
        <tr r="L1054" s="5"/>
      </tp>
      <tp t="s">
        <v/>
        <stp/>
        <stp>2755728678M20:LstBlkVol</stp>
        <tr r="L1131" s="5"/>
      </tp>
      <tp t="s">
        <v/>
        <stp/>
        <stp>2755728678M10:LstBlkVol</stp>
        <tr r="L1121" s="5"/>
      </tp>
      <tp t="s">
        <v/>
        <stp/>
        <stp>1923422331M14:LstBlkVol</stp>
        <tr r="L1641" s="5"/>
      </tp>
      <tp t="s">
        <v/>
        <stp/>
        <stp>3124331018M13:LstBlkVol</stp>
        <tr r="L1618" s="5"/>
      </tp>
      <tp>
        <v>-8.1</v>
        <stp/>
        <stp>1581618115M12:BstHitPrc</stp>
        <tr r="G471" s="5"/>
      </tp>
      <tp t="s">
        <v/>
        <stp/>
        <stp>1923422331M12:LstBlkPrc</stp>
        <tr r="K1639" s="5"/>
      </tp>
    </main>
    <main first="bofaddin.rtdserver">
      <tp>
        <v>3.22</v>
        <stp/>
        <stp>BDP|2001673528977962333|222</stp>
        <stp>XBZ7XBF8 Comdty</stp>
        <stp>ASK</stp>
        <stp>Fill=#N/A</stp>
        <tr r="R35" s="1"/>
      </tp>
    </main>
    <main first="ice.rtd">
      <tp t="s">
        <v/>
        <stp/>
        <stp>2755728678M16:LstBlkPrc</stp>
        <tr r="K1127" s="5"/>
      </tp>
      <tp t="s">
        <v/>
        <stp/>
        <stp>2755828679M19:LstBlkPrc</stp>
        <tr r="K1016" s="5"/>
      </tp>
      <tp t="s">
        <v/>
        <stp/>
        <stp>266Q6:BstHitPrc</stp>
        <tr r="G952" s="5"/>
      </tp>
      <tp t="s">
        <v/>
        <stp/>
        <stp>266M6:BstHitPrc</stp>
        <tr r="G927" s="5"/>
      </tp>
      <tp t="s">
        <v/>
        <stp/>
        <stp>1581618115M12:LstBlkPrc</stp>
        <tr r="K471" s="5"/>
      </tp>
    </main>
    <main first="bofaddin.rtdserver">
      <tp t="s">
        <v>#N/A</v>
        <stp/>
        <stp>BDP|11595529237015544361|222</stp>
        <stp>OQAM7N7 Comdty</stp>
        <stp>BID</stp>
        <stp>Fill=#N/A</stp>
        <tr r="T29" s="1"/>
      </tp>
    </main>
    <main first="ice.rtd">
      <tp t="s">
        <v/>
        <stp/>
        <stp>1923422331M12:BstHitPrc</stp>
        <tr r="G1639" s="5"/>
      </tp>
      <tp t="s">
        <v/>
        <stp/>
        <stp>2755728678M16:BstHitPrc</stp>
        <tr r="G1127" s="5"/>
      </tp>
    </main>
    <main first="bofaddin.rtdserver">
      <tp t="s">
        <v>#N/A</v>
        <stp/>
        <stp>BDP|16400202027789052593|222</stp>
        <stp>OQAF7G7 Comdty</stp>
        <stp>BID</stp>
        <stp>Fill=#N/A</stp>
        <tr r="T24" s="1"/>
      </tp>
    </main>
    <main first="ice.rtd">
      <tp t="s">
        <v/>
        <stp/>
        <stp>2755828679M19:BstHitPrc</stp>
        <tr r="G1016" s="5"/>
      </tp>
      <tp t="s">
        <v/>
        <stp/>
        <stp>266M6:LstBlkPrc</stp>
        <tr r="K927" s="5"/>
      </tp>
      <tp t="s">
        <v/>
        <stp/>
        <stp>266Q6:LstBlkPrc</stp>
        <tr r="K952" s="5"/>
      </tp>
      <tp t="s">
        <v/>
        <stp/>
        <stp>32613992M8:LstBlkTime</stp>
        <tr r="M1233" s="5"/>
      </tp>
      <tp t="s">
        <v/>
        <stp/>
        <stp>32613992M9:LstBlkTime</stp>
        <tr r="M1234" s="5"/>
      </tp>
      <tp t="s">
        <v/>
        <stp/>
        <stp>32613992M2:LstBlkTime</stp>
        <tr r="M1227" s="5"/>
      </tp>
      <tp t="s">
        <v/>
        <stp/>
        <stp>32613992M3:LstBlkTime</stp>
        <tr r="M1228" s="5"/>
      </tp>
      <tp t="s">
        <v/>
        <stp/>
        <stp>32613992M0:LstBlkTime</stp>
        <tr r="M1225" s="5"/>
      </tp>
      <tp t="s">
        <v/>
        <stp/>
        <stp>32613992M1:LstBlkTime</stp>
        <tr r="M1226" s="5"/>
      </tp>
      <tp t="s">
        <v/>
        <stp/>
        <stp>32613992M6:LstBlkTime</stp>
        <tr r="M1231" s="5"/>
      </tp>
      <tp t="s">
        <v/>
        <stp/>
        <stp>32613992M7:LstBlkTime</stp>
        <tr r="M1232" s="5"/>
      </tp>
      <tp t="s">
        <v/>
        <stp/>
        <stp>32613992M4:LstBlkTime</stp>
        <tr r="M1229" s="5"/>
      </tp>
      <tp t="s">
        <v/>
        <stp/>
        <stp>32613992M5:LstBlkTime</stp>
        <tr r="M1230" s="5"/>
      </tp>
      <tp t="s">
        <v/>
        <stp/>
        <stp>32613992Y2:LstBlkTime</stp>
        <tr r="M1261" s="5"/>
      </tp>
      <tp t="s">
        <v/>
        <stp/>
        <stp>32613992Y0:LstBlkTime</stp>
        <tr r="M1259" s="5"/>
      </tp>
      <tp t="s">
        <v/>
        <stp/>
        <stp>32613992Y1:LstBlkTime</stp>
        <tr r="M1260" s="5"/>
      </tp>
      <tp t="s">
        <v/>
        <stp/>
        <stp>32613992Q8:LstBlkTime</stp>
        <tr r="M1258" s="5"/>
      </tp>
      <tp t="s">
        <v/>
        <stp/>
        <stp>32613992Q2:LstBlkTime</stp>
        <tr r="M1252" s="5"/>
      </tp>
      <tp t="s">
        <v/>
        <stp/>
        <stp>32613992Q3:LstBlkTime</stp>
        <tr r="M1253" s="5"/>
      </tp>
      <tp t="s">
        <v/>
        <stp/>
        <stp>32613992Q0:LstBlkTime</stp>
        <tr r="M1250" s="5"/>
      </tp>
      <tp t="s">
        <v/>
        <stp/>
        <stp>32613992Q1:LstBlkTime</stp>
        <tr r="M1251" s="5"/>
      </tp>
      <tp t="s">
        <v/>
        <stp/>
        <stp>32613992Q6:LstBlkTime</stp>
        <tr r="M1256" s="5"/>
      </tp>
      <tp t="s">
        <v/>
        <stp/>
        <stp>32613992Q7:LstBlkTime</stp>
        <tr r="M1257" s="5"/>
      </tp>
      <tp t="s">
        <v/>
        <stp/>
        <stp>32613992Q4:LstBlkTime</stp>
        <tr r="M1254" s="5"/>
      </tp>
      <tp t="s">
        <v/>
        <stp/>
        <stp>32613992Q5:LstBlkTime</stp>
        <tr r="M1255" s="5"/>
      </tp>
      <tp t="s">
        <v>10:16:12</v>
        <stp/>
        <stp>32623993M8:LstBlkTime</stp>
        <tr r="M1998" s="5"/>
      </tp>
      <tp t="s">
        <v>10:16:12</v>
        <stp/>
        <stp>32623993M9:LstBlkTime</stp>
        <tr r="M1999" s="5"/>
      </tp>
      <tp t="s">
        <v/>
        <stp/>
        <stp>32623993M2:LstBlkTime</stp>
        <tr r="M1992" s="5"/>
      </tp>
      <tp t="s">
        <v/>
        <stp/>
        <stp>32623993M3:LstBlkTime</stp>
        <tr r="M1993" s="5"/>
      </tp>
      <tp t="s">
        <v>09:53:00</v>
        <stp/>
        <stp>32623993M1:LstBlkTime</stp>
        <tr r="M1991" s="5"/>
      </tp>
      <tp t="s">
        <v/>
        <stp/>
        <stp>32623993M6:LstBlkTime</stp>
        <tr r="M1996" s="5"/>
      </tp>
      <tp t="s">
        <v/>
        <stp/>
        <stp>32623993M7:LstBlkTime</stp>
        <tr r="M1997" s="5"/>
      </tp>
      <tp t="s">
        <v/>
        <stp/>
        <stp>32623993M4:LstBlkTime</stp>
        <tr r="M1994" s="5"/>
      </tp>
      <tp t="s">
        <v/>
        <stp/>
        <stp>32623993M5:LstBlkTime</stp>
        <tr r="M1995" s="5"/>
      </tp>
      <tp t="s">
        <v>09:10:00</v>
        <stp/>
        <stp>32623993Y0:LstBlkTime</stp>
        <tr r="M2024" s="5"/>
      </tp>
      <tp t="s">
        <v/>
        <stp/>
        <stp>32623993Y1:LstBlkTime</stp>
        <tr r="M2025" s="5"/>
      </tp>
      <tp t="s">
        <v/>
        <stp/>
        <stp>32623993Q8:LstBlkTime</stp>
        <tr r="M2023" s="5"/>
      </tp>
      <tp t="s">
        <v/>
        <stp/>
        <stp>32623993Q2:LstBlkTime</stp>
        <tr r="M2017" s="5"/>
      </tp>
      <tp t="s">
        <v/>
        <stp/>
        <stp>32623993Q3:LstBlkTime</stp>
        <tr r="M2018" s="5"/>
      </tp>
      <tp t="s">
        <v/>
        <stp/>
        <stp>32623993Q0:LstBlkTime</stp>
        <tr r="M2015" s="5"/>
      </tp>
      <tp t="s">
        <v/>
        <stp/>
        <stp>32623993Q1:LstBlkTime</stp>
        <tr r="M2016" s="5"/>
      </tp>
      <tp t="s">
        <v/>
        <stp/>
        <stp>32623993Q6:LstBlkTime</stp>
        <tr r="M2021" s="5"/>
      </tp>
      <tp t="s">
        <v/>
        <stp/>
        <stp>32623993Q7:LstBlkTime</stp>
        <tr r="M2022" s="5"/>
      </tp>
      <tp t="s">
        <v/>
        <stp/>
        <stp>32623993Q4:LstBlkTime</stp>
        <tr r="M2019" s="5"/>
      </tp>
      <tp t="s">
        <v/>
        <stp/>
        <stp>32623993Q5:LstBlkTime</stp>
        <tr r="M2020" s="5"/>
      </tp>
    </main>
    <main first="esrtd">
      <tp t="s">
        <v/>
        <stp/>
        <stp>TDL 6!-IEU</stp>
        <stp>Last</stp>
        <tr r="I1818" s="5"/>
      </tp>
      <tp t="s">
        <v/>
        <stp/>
        <stp>WDF 5!-IEU</stp>
        <stp>Last</stp>
        <tr r="I1782" s="5"/>
      </tp>
    </main>
    <main first="ice.rtd">
      <tp t="s">
        <v/>
        <stp/>
        <stp>161913535MM21:LstBlkPrc</stp>
        <tr r="K2048" s="5"/>
      </tp>
      <tp t="s">
        <v/>
        <stp/>
        <stp>161913535MM11:LstBlkPrc</stp>
        <tr r="K2038" s="5"/>
      </tp>
    </main>
    <main first="esrtd">
      <tp t="s">
        <v/>
        <stp/>
        <stp>WNS 5!-IEU</stp>
        <stp>Last</stp>
        <tr r="I1852" s="5"/>
      </tp>
    </main>
    <main first="ice.rtd">
      <tp t="s">
        <v/>
        <stp/>
        <stp>161913535MM11:BstHitPrc</stp>
        <tr r="G2038" s="5"/>
      </tp>
      <tp t="s">
        <v/>
        <stp/>
        <stp>161913535MM21:BstHitPrc</stp>
        <tr r="G2048" s="5"/>
      </tp>
    </main>
    <main first="esrtd">
      <tp t="s">
        <v/>
        <stp/>
        <stp>WMJ 5!-IEU</stp>
        <stp>Last</stp>
        <tr r="I1887" s="5"/>
      </tp>
    </main>
    <main first="bofaddin.rtdserver">
      <tp>
        <v>101.84</v>
        <stp/>
        <stp>BDP|10370630185706792982|22</stp>
        <stp>HOZ6HOZ7 Comdty</stp>
        <stp>ASK</stp>
        <tr r="E2" s="3"/>
      </tp>
    </main>
    <main first="esrtd">
      <tp t="s">
        <v/>
        <stp/>
        <stp>WHK 5!-IEU</stp>
        <stp>Last</stp>
        <tr r="I1922" s="5"/>
      </tp>
    </main>
    <main first="bofaddin.rtdserver">
      <tp>
        <v>101.75</v>
        <stp/>
        <stp>BDP|15044738226216167706|22</stp>
        <stp>QSZ7QSZ8 Comdty</stp>
        <stp>BID</stp>
        <tr r="D3" s="3"/>
      </tp>
      <tp>
        <v>0.02</v>
        <stp/>
        <stp>BDP|18335612179573813076|22</stp>
        <stp>XBZ7XBZ8 Comdty</stp>
        <stp>BID</stp>
        <tr r="F3" s="3"/>
      </tp>
    </main>
    <main first="ice.rtd">
      <tp t="s">
        <v/>
        <stp/>
        <stp>161913535MM27:LstBlkVol</stp>
        <tr r="L2054" s="5"/>
      </tp>
      <tp t="s">
        <v/>
        <stp/>
        <stp>161913535MM17:LstBlkVol</stp>
        <tr r="L2044" s="5"/>
      </tp>
      <tp t="s">
        <v/>
        <stp/>
        <stp>1961122916B0:LstBlkTime</stp>
        <tr r="M1626" s="5"/>
      </tp>
      <tp t="s">
        <v/>
        <stp/>
        <stp>3124331018Q0:LstBlkTime</stp>
        <tr r="M1620" s="5"/>
      </tp>
      <tp t="s">
        <v/>
        <stp/>
        <stp>3124331018Q1:LstBlkTime</stp>
        <tr r="M1621" s="5"/>
      </tp>
      <tp t="s">
        <v/>
        <stp/>
        <stp>3124331018Q2:LstBlkTime</stp>
        <tr r="M1622" s="5"/>
      </tp>
      <tp t="s">
        <v/>
        <stp/>
        <stp>3124331018Q3:LstBlkTime</stp>
        <tr r="M1623" s="5"/>
      </tp>
      <tp t="s">
        <v/>
        <stp/>
        <stp>3124331018Y0:LstBlkTime</stp>
        <tr r="M1624" s="5"/>
      </tp>
      <tp t="s">
        <v/>
        <stp/>
        <stp>3124331018M8:LstBlkTime</stp>
        <tr r="M1613" s="5"/>
      </tp>
      <tp t="s">
        <v/>
        <stp/>
        <stp>3124331018M9:LstBlkTime</stp>
        <tr r="M1614" s="5"/>
      </tp>
      <tp t="s">
        <v/>
        <stp/>
        <stp>3124331018M0:LstBlkTime</stp>
        <tr r="M1605" s="5"/>
      </tp>
      <tp t="s">
        <v/>
        <stp/>
        <stp>3124331018M1:LstBlkTime</stp>
        <tr r="M1606" s="5"/>
      </tp>
      <tp t="s">
        <v/>
        <stp/>
        <stp>3124331018M2:LstBlkTime</stp>
        <tr r="M1607" s="5"/>
      </tp>
      <tp t="s">
        <v/>
        <stp/>
        <stp>3124331018M3:LstBlkTime</stp>
        <tr r="M1608" s="5"/>
      </tp>
      <tp t="s">
        <v/>
        <stp/>
        <stp>3124331018M4:LstBlkTime</stp>
        <tr r="M1609" s="5"/>
      </tp>
      <tp t="s">
        <v/>
        <stp/>
        <stp>3124331018M5:LstBlkTime</stp>
        <tr r="M1610" s="5"/>
      </tp>
      <tp t="s">
        <v/>
        <stp/>
        <stp>3124331018M6:LstBlkTime</stp>
        <tr r="M1611" s="5"/>
      </tp>
      <tp t="s">
        <v/>
        <stp/>
        <stp>3124331018M7:LstBlkTime</stp>
        <tr r="M1612" s="5"/>
      </tp>
      <tp t="s">
        <v>09:29:16</v>
        <stp/>
        <stp>2009523367B0:LstBlkTime</stp>
        <tr r="M116" s="5"/>
      </tp>
      <tp t="s">
        <v>GDX</v>
        <stp/>
        <stp>3124331018M14:PCC</stp>
        <tr r="B1619" s="5"/>
      </tp>
      <tp t="s">
        <v>GDX</v>
        <stp/>
        <stp>3124331018M11:PCC</stp>
        <tr r="B1616" s="5"/>
      </tp>
      <tp t="s">
        <v>GDX</v>
        <stp/>
        <stp>3124331018M10:PCC</stp>
        <tr r="B1615" s="5"/>
      </tp>
      <tp t="s">
        <v>GDX</v>
        <stp/>
        <stp>3124331018M13:PCC</stp>
        <tr r="B1618" s="5"/>
      </tp>
      <tp t="s">
        <v>GDX</v>
        <stp/>
        <stp>3124331018M12:PCC</stp>
        <tr r="B1617" s="5"/>
      </tp>
      <tp t="s">
        <v/>
        <stp/>
        <stp>2325225613B0:LstBlkTime</stp>
        <tr r="M631" s="5"/>
      </tp>
      <tp t="s">
        <v/>
        <stp/>
        <stp>3126131030B0:LstBlkTime</stp>
        <tr r="M1746" s="5"/>
      </tp>
      <tp t="s">
        <v/>
        <stp/>
        <stp>57409036M22:LstBlkPrc</stp>
        <tr r="K253" s="5"/>
      </tp>
      <tp t="s">
        <v/>
        <stp/>
        <stp>57409036M12:LstBlkPrc</stp>
        <tr r="K243" s="5"/>
      </tp>
      <tp t="s">
        <v/>
        <stp/>
        <stp>18851683M15:LstBlkPrc</stp>
        <tr r="K208" s="5"/>
      </tp>
      <tp t="s">
        <v>Invalid Market: 57179020M16</v>
        <stp/>
        <stp>57179020M16:LstBlkPrc</stp>
        <tr r="K1563" s="5"/>
      </tp>
      <tp t="s">
        <v/>
        <stp/>
        <stp>18901687M24:LstBlkPrc</stp>
        <tr r="K331" s="5"/>
      </tp>
      <tp t="s">
        <v/>
        <stp/>
        <stp>18901687M14:LstBlkPrc</stp>
        <tr r="K321" s="5"/>
      </tp>
      <tp t="s">
        <v/>
        <stp/>
        <stp>46678127M21:LstBlkPrc</stp>
        <tr r="K366" s="5"/>
      </tp>
      <tp t="s">
        <v/>
        <stp/>
        <stp>46678127M11:LstBlkPrc</stp>
        <tr r="K356" s="5"/>
      </tp>
      <tp t="s">
        <v/>
        <stp/>
        <stp>16331513M17:LstBlkPrc</stp>
        <tr r="K1432" s="5"/>
      </tp>
      <tp t="s">
        <v/>
        <stp/>
        <stp>16341514M17:LstBlkPrc</stp>
        <tr r="K1470" s="5"/>
      </tp>
      <tp t="s">
        <v/>
        <stp/>
        <stp>16351515M17:LstBlkPrc</stp>
        <tr r="K1508" s="5"/>
      </tp>
      <tp t="s">
        <v/>
        <stp/>
        <stp>30813691M24:LstBlkPrc</stp>
        <tr r="K1977" s="5"/>
      </tp>
      <tp t="s">
        <v/>
        <stp/>
        <stp>30813691M14:LstBlkPrc</stp>
        <tr r="K1967" s="5"/>
      </tp>
      <tp t="s">
        <v/>
        <stp/>
        <stp>35534143M14:LstBlkPrc</stp>
        <tr r="K722" s="5"/>
      </tp>
      <tp t="s">
        <v/>
        <stp/>
        <stp>35544144M14:LstBlkPrc</stp>
        <tr r="K646" s="5"/>
      </tp>
      <tp t="s">
        <v/>
        <stp/>
        <stp>35554145M14:LstBlkPrc</stp>
        <tr r="K684" s="5"/>
      </tp>
      <tp t="s">
        <v/>
        <stp/>
        <stp>35534143M24:LstBlkPrc</stp>
        <tr r="K732" s="5"/>
      </tp>
      <tp t="s">
        <v/>
        <stp/>
        <stp>35544144M24:LstBlkPrc</stp>
        <tr r="K656" s="5"/>
      </tp>
      <tp t="s">
        <v/>
        <stp/>
        <stp>35554145M24:LstBlkPrc</stp>
        <tr r="K694" s="5"/>
      </tp>
      <tp t="s">
        <v/>
        <stp/>
        <stp>34404098M18:BstHitPrc</stp>
        <tr r="G612" s="5"/>
      </tp>
      <tp t="s">
        <v/>
        <stp/>
        <stp>34414099M18:BstHitPrc</stp>
        <tr r="G97" s="5"/>
      </tp>
      <tp t="s">
        <v/>
        <stp/>
        <stp>18871685M15:LstBlkPrc</stp>
        <tr r="K436" s="5"/>
      </tp>
      <tp t="s">
        <v/>
        <stp/>
        <stp>15091310M14:BstHitPrc</stp>
        <tr r="G1391" s="5"/>
      </tp>
      <tp t="s">
        <v/>
        <stp/>
        <stp>15091310M24:BstHitPrc</stp>
        <tr r="G1401" s="5"/>
      </tp>
      <tp>
        <v>-11.69</v>
        <stp/>
        <stp>18851683M15:BstHitPrc</stp>
        <tr r="G208" s="5"/>
      </tp>
      <tp>
        <v>-11.49</v>
        <stp/>
        <stp>57409036M12:BstHitPrc</stp>
        <tr r="G243" s="5"/>
      </tp>
      <tp t="s">
        <v/>
        <stp/>
        <stp>57409036M22:BstHitPrc</stp>
        <tr r="G253" s="5"/>
      </tp>
      <tp>
        <v>11.4</v>
        <stp/>
        <stp>18901687M14:BstHitPrc</stp>
        <tr r="G321" s="5"/>
      </tp>
      <tp t="s">
        <v/>
        <stp/>
        <stp>18901687M24:BstHitPrc</stp>
        <tr r="G331" s="5"/>
      </tp>
      <tp t="s">
        <v>Invalid Market: 57179020M16</v>
        <stp/>
        <stp>57179020M16:BstHitPrc</stp>
        <tr r="G1563" s="5"/>
      </tp>
      <tp>
        <v>-2.25</v>
        <stp/>
        <stp>18871685M15:BstHitPrc</stp>
        <tr r="G436" s="5"/>
      </tp>
      <tp t="s">
        <v/>
        <stp/>
        <stp>34404098M18:LstBlkPrc</stp>
        <tr r="K612" s="5"/>
      </tp>
      <tp t="s">
        <v/>
        <stp/>
        <stp>34414099M18:LstBlkPrc</stp>
        <tr r="K97" s="5"/>
      </tp>
      <tp t="s">
        <v/>
        <stp/>
        <stp>15091310M24:LstBlkPrc</stp>
        <tr r="K1401" s="5"/>
      </tp>
      <tp t="s">
        <v/>
        <stp/>
        <stp>15091310M14:LstBlkPrc</stp>
        <tr r="K1391" s="5"/>
      </tp>
      <tp t="s">
        <v/>
        <stp/>
        <stp>30813691M14:BstHitPrc</stp>
        <tr r="G1967" s="5"/>
      </tp>
      <tp t="s">
        <v/>
        <stp/>
        <stp>30813691M24:BstHitPrc</stp>
        <tr r="G1977" s="5"/>
      </tp>
      <tp t="s">
        <v/>
        <stp/>
        <stp>16331513M17:BstHitPrc</stp>
        <tr r="G1432" s="5"/>
      </tp>
      <tp t="s">
        <v/>
        <stp/>
        <stp>16341514M17:BstHitPrc</stp>
        <tr r="G1470" s="5"/>
      </tp>
      <tp t="s">
        <v/>
        <stp/>
        <stp>16351515M17:BstHitPrc</stp>
        <tr r="G1508" s="5"/>
      </tp>
      <tp t="s">
        <v/>
        <stp/>
        <stp>35534143M24:BstHitPrc</stp>
        <tr r="G732" s="5"/>
      </tp>
      <tp t="s">
        <v/>
        <stp/>
        <stp>35544144M24:BstHitPrc</stp>
        <tr r="G656" s="5"/>
      </tp>
      <tp t="s">
        <v/>
        <stp/>
        <stp>35554145M24:BstHitPrc</stp>
        <tr r="G694" s="5"/>
      </tp>
      <tp t="s">
        <v/>
        <stp/>
        <stp>35534143M14:BstHitPrc</stp>
        <tr r="G722" s="5"/>
      </tp>
      <tp t="s">
        <v/>
        <stp/>
        <stp>35544144M14:BstHitPrc</stp>
        <tr r="G646" s="5"/>
      </tp>
      <tp t="s">
        <v/>
        <stp/>
        <stp>35554145M14:BstHitPrc</stp>
        <tr r="G684" s="5"/>
      </tp>
      <tp>
        <v>20.55</v>
        <stp/>
        <stp>46678127M11:BstHitPrc</stp>
        <tr r="G356" s="5"/>
      </tp>
      <tp t="s">
        <v/>
        <stp/>
        <stp>46678127M21:BstHitPrc</stp>
        <tr r="G366" s="5"/>
      </tp>
      <tp t="s">
        <v/>
        <stp/>
        <stp>15091310M22:LstBlkVol</stp>
        <tr r="L1399" s="5"/>
      </tp>
      <tp t="s">
        <v/>
        <stp/>
        <stp>15091310M12:LstBlkVol</stp>
        <tr r="L1389" s="5"/>
      </tp>
      <tp t="s">
        <v/>
        <stp/>
        <stp>35534143M12:LstBlkVol</stp>
        <tr r="L720" s="5"/>
      </tp>
      <tp t="s">
        <v/>
        <stp/>
        <stp>35544144M12:LstBlkVol</stp>
        <tr r="L644" s="5"/>
      </tp>
      <tp t="s">
        <v/>
        <stp/>
        <stp>35554145M12:LstBlkVol</stp>
        <tr r="L682" s="5"/>
      </tp>
      <tp t="s">
        <v/>
        <stp/>
        <stp>35534143M22:LstBlkVol</stp>
        <tr r="L730" s="5"/>
      </tp>
      <tp t="s">
        <v/>
        <stp/>
        <stp>35544144M22:LstBlkVol</stp>
        <tr r="L654" s="5"/>
      </tp>
      <tp t="s">
        <v/>
        <stp/>
        <stp>35554145M22:LstBlkVol</stp>
        <tr r="L692" s="5"/>
      </tp>
      <tp t="s">
        <v/>
        <stp/>
        <stp>16331513M21:LstBlkVol</stp>
        <tr r="L1436" s="5"/>
      </tp>
      <tp t="s">
        <v/>
        <stp/>
        <stp>16341514M21:LstBlkVol</stp>
        <tr r="L1474" s="5"/>
      </tp>
      <tp t="s">
        <v/>
        <stp/>
        <stp>16351515M21:LstBlkVol</stp>
        <tr r="L1512" s="5"/>
      </tp>
      <tp t="s">
        <v/>
        <stp/>
        <stp>16331513M11:LstBlkVol</stp>
        <tr r="L1426" s="5"/>
      </tp>
      <tp t="s">
        <v/>
        <stp/>
        <stp>16341514M11:LstBlkVol</stp>
        <tr r="L1464" s="5"/>
      </tp>
      <tp t="s">
        <v/>
        <stp/>
        <stp>16351515M11:LstBlkVol</stp>
        <tr r="L1502" s="5"/>
      </tp>
      <tp t="s">
        <v/>
        <stp/>
        <stp>30813691M22:LstBlkVol</stp>
        <tr r="L1975" s="5"/>
      </tp>
      <tp t="s">
        <v/>
        <stp/>
        <stp>30813691M12:LstBlkVol</stp>
        <tr r="L1965" s="5"/>
      </tp>
      <tp t="s">
        <v/>
        <stp/>
        <stp>46678127M17:LstBlkVol</stp>
        <tr r="L362" s="5"/>
      </tp>
      <tp>
        <v>73</v>
        <stp/>
        <stp>141587M24:OI</stp>
        <tr r="T65" s="5"/>
      </tp>
      <tp>
        <v>73</v>
        <stp/>
        <stp>141587M22:OI</stp>
        <tr r="T63" s="5"/>
      </tp>
      <tp>
        <v>73</v>
        <stp/>
        <stp>141587M23:OI</stp>
        <tr r="T64" s="5"/>
      </tp>
      <tp>
        <v>105</v>
        <stp/>
        <stp>141587M20:OI</stp>
        <tr r="T61" s="5"/>
      </tp>
      <tp>
        <v>105</v>
        <stp/>
        <stp>141587M21:OI</stp>
        <tr r="T62" s="5"/>
      </tp>
      <tp>
        <v>132</v>
        <stp/>
        <stp>141587M18:OI</stp>
        <tr r="T59" s="5"/>
      </tp>
      <tp>
        <v>105</v>
        <stp/>
        <stp>141587M19:OI</stp>
        <tr r="T60" s="5"/>
      </tp>
      <tp>
        <v>182</v>
        <stp/>
        <stp>141587M16:OI</stp>
        <tr r="T57" s="5"/>
      </tp>
      <tp>
        <v>132</v>
        <stp/>
        <stp>141587M17:OI</stp>
        <tr r="T58" s="5"/>
      </tp>
      <tp>
        <v>1622</v>
        <stp/>
        <stp>141587M14:OI</stp>
        <tr r="T55" s="5"/>
      </tp>
      <tp>
        <v>1843</v>
        <stp/>
        <stp>141587M15:OI</stp>
        <tr r="T56" s="5"/>
      </tp>
      <tp>
        <v>2934</v>
        <stp/>
        <stp>141587M12:OI</stp>
        <tr r="T53" s="5"/>
      </tp>
      <tp>
        <v>1708</v>
        <stp/>
        <stp>141587M13:OI</stp>
        <tr r="T54" s="5"/>
      </tp>
      <tp>
        <v>3019</v>
        <stp/>
        <stp>141587M10:OI</stp>
        <tr r="T51" s="5"/>
      </tp>
      <tp>
        <v>3118</v>
        <stp/>
        <stp>141587M11:OI</stp>
        <tr r="T52" s="5"/>
      </tp>
      <tp t="s">
        <v/>
        <stp/>
        <stp>34364094M19:LstBlkVol</stp>
        <tr r="L537" s="5"/>
      </tp>
      <tp t="s">
        <v/>
        <stp/>
        <stp>34374095M19:LstBlkVol</stp>
        <tr r="L575" s="5"/>
      </tp>
      <tp t="s">
        <v/>
        <stp/>
        <stp>18871685M23:LstBlkVol</stp>
        <tr r="L444" s="5"/>
      </tp>
      <tp t="s">
        <v/>
        <stp/>
        <stp>18871685M13:LstBlkVol</stp>
        <tr r="L434" s="5"/>
      </tp>
      <tp t="s">
        <v/>
        <stp/>
        <stp>18901687M22:LstBlkVol</stp>
        <tr r="L329" s="5"/>
      </tp>
      <tp t="s">
        <v/>
        <stp/>
        <stp>18901687M12:LstBlkVol</stp>
        <tr r="L319" s="5"/>
      </tp>
      <tp t="s">
        <v>Invalid Market: 57179020M20</v>
        <stp/>
        <stp>57179020M20:LstBlkVol</stp>
        <tr r="L1567" s="5"/>
      </tp>
      <tp t="s">
        <v/>
        <stp/>
        <stp>57179020M10:LstBlkVol</stp>
        <tr r="L1557" s="5"/>
      </tp>
      <tp t="s">
        <v/>
        <stp/>
        <stp>34344092M19:LstBlkVol</stp>
        <tr r="L1282" s="5"/>
      </tp>
      <tp t="s">
        <v/>
        <stp/>
        <stp>34354093M19:LstBlkVol</stp>
        <tr r="L1320" s="5"/>
      </tp>
      <tp t="s">
        <v/>
        <stp/>
        <stp>18851683M23:LstBlkVol</stp>
        <tr r="L216" s="5"/>
      </tp>
      <tp t="s">
        <v/>
        <stp/>
        <stp>18851683M13:LstBlkVol</stp>
        <tr r="L206" s="5"/>
      </tp>
      <tp t="s">
        <v/>
        <stp/>
        <stp>29243602M11:LstBlkVol</stp>
        <tr r="L757" s="5"/>
      </tp>
      <tp t="s">
        <v/>
        <stp/>
        <stp>57409036M24:LstBlkVol</stp>
        <tr r="L255" s="5"/>
      </tp>
      <tp t="s">
        <v/>
        <stp/>
        <stp>57409036M14:LstBlkVol</stp>
        <tr r="L245" s="5"/>
      </tp>
      <tp t="s">
        <v>Invalid Market: 2044823525M15</v>
        <stp/>
        <stp>2044823525M15:LstBlkVol</stp>
        <tr r="L1762" s="5"/>
      </tp>
      <tp t="s">
        <v/>
        <stp/>
        <stp>2427026287M17:LstBlkVol</stp>
        <tr r="L1166" s="5"/>
      </tp>
      <tp t="s">
        <v/>
        <stp/>
        <stp>1986823075M23:LstBlkVol</stp>
        <tr r="L140" s="5"/>
      </tp>
      <tp t="s">
        <v/>
        <stp/>
        <stp>1986823075M13:LstBlkVol</stp>
        <tr r="L130" s="5"/>
      </tp>
      <tp t="s">
        <v/>
        <stp/>
        <stp>2427126288M16:LstBlkVol</stp>
        <tr r="L1051" s="5"/>
      </tp>
      <tp t="s">
        <v/>
        <stp/>
        <stp>2755828679M20:LstBlkVol</stp>
        <tr r="L1017" s="5"/>
      </tp>
      <tp t="s">
        <v/>
        <stp/>
        <stp>2755828679M10:LstBlkVol</stp>
        <tr r="L1007" s="5"/>
      </tp>
      <tp t="s">
        <v/>
        <stp/>
        <stp>1986923076M22:LstBlkVol</stp>
        <tr r="L177" s="5"/>
      </tp>
      <tp t="s">
        <v/>
        <stp/>
        <stp>1986923076M12:LstBlkVol</stp>
        <tr r="L167" s="5"/>
      </tp>
      <tp t="s">
        <v/>
        <stp/>
        <stp>1840020882M14:LstBlkVol</stp>
        <tr r="L1596" s="5"/>
      </tp>
      <tp t="s">
        <v/>
        <stp/>
        <stp>2427026287M21:BstHitPrc</stp>
        <tr r="G1170" s="5"/>
      </tp>
      <tp t="s">
        <v/>
        <stp/>
        <stp>2427026287M11:BstHitPrc</stp>
        <tr r="G1160" s="5"/>
      </tp>
      <tp t="s">
        <v/>
        <stp/>
        <stp>1840020882M12:LstBlkPrc</stp>
        <tr r="K1594" s="5"/>
      </tp>
    </main>
    <main first="bofaddin.rtdserver">
      <tp t="s">
        <v>#N/A</v>
        <stp/>
        <stp>BDP|17962088745001502409|222</stp>
        <stp>MUCF9G9 Comdty</stp>
        <stp>BID</stp>
        <stp>Fill=#N/A</stp>
        <tr r="S48" s="1"/>
      </tp>
    </main>
    <main first="ice.rtd">
      <tp t="s">
        <v/>
        <stp/>
        <stp>2427126288M10:LstBlkPrc</stp>
        <tr r="K1045" s="5"/>
      </tp>
      <tp t="s">
        <v/>
        <stp/>
        <stp>2427126288M20:LstBlkPrc</stp>
        <tr r="K1055" s="5"/>
      </tp>
      <tp t="s">
        <v/>
        <stp/>
        <stp>1986823075M15:LstBlkPrc</stp>
        <tr r="K132" s="5"/>
      </tp>
      <tp t="s">
        <v/>
        <stp/>
        <stp>2755728678M19:LstBlkPrc</stp>
        <tr r="K1130" s="5"/>
      </tp>
      <tp t="s">
        <v/>
        <stp/>
        <stp>2044823525M13:BstHitPrc</stp>
        <tr r="G1760" s="5"/>
      </tp>
      <tp t="s">
        <v/>
        <stp/>
        <stp>1986923076M24:LstBlkPrc</stp>
        <tr r="K179" s="5"/>
      </tp>
      <tp t="s">
        <v/>
        <stp/>
        <stp>1986923076M14:LstBlkPrc</stp>
        <tr r="K169" s="5"/>
      </tp>
      <tp t="s">
        <v/>
        <stp/>
        <stp>2755828679M16:LstBlkPrc</stp>
        <tr r="K1013" s="5"/>
      </tp>
    </main>
    <main first="bofaddin.rtdserver">
      <tp t="s">
        <v>#N/A</v>
        <stp/>
        <stp>BDP|18339550092984111603|222</stp>
        <stp>OQAG7H7 Comdty</stp>
        <stp>ASK</stp>
        <stp>Fill=#N/A</stp>
        <tr r="T25" s="1"/>
      </tp>
    </main>
    <main first="ice.rtd">
      <tp t="s">
        <v/>
        <stp/>
        <stp>266M9:BstHitPrc</stp>
        <tr r="G930" s="5"/>
      </tp>
    </main>
    <main first="bofaddin.rtdserver">
      <tp>
        <v>15</v>
        <stp/>
        <stp>BDP|6042538568312221371|222</stp>
        <stp>QSN7QSQ7 Comdty</stp>
        <stp>BID</stp>
        <stp>Fill=#N/A</stp>
        <tr r="P30" s="1"/>
      </tp>
    </main>
    <main first="ice.rtd">
      <tp t="s">
        <v/>
        <stp/>
        <stp>1840020882M12:BstHitPrc</stp>
        <tr r="G1594" s="5"/>
      </tp>
      <tp t="s">
        <v/>
        <stp/>
        <stp>2427026287M11:LstBlkPrc</stp>
        <tr r="K1160" s="5"/>
      </tp>
      <tp t="s">
        <v/>
        <stp/>
        <stp>2427026287M21:LstBlkPrc</stp>
        <tr r="K1170" s="5"/>
      </tp>
      <tp t="s">
        <v/>
        <stp/>
        <stp>2044823525M13:LstBlkPrc</stp>
        <tr r="K1760" s="5"/>
      </tp>
      <tp t="s">
        <v/>
        <stp/>
        <stp>2755728678M19:BstHitPrc</stp>
        <tr r="G1130" s="5"/>
      </tp>
      <tp t="s">
        <v/>
        <stp/>
        <stp>1986923076M14:BstHitPrc</stp>
        <tr r="G169" s="5"/>
      </tp>
      <tp t="s">
        <v/>
        <stp/>
        <stp>1986923076M24:BstHitPrc</stp>
        <tr r="G179" s="5"/>
      </tp>
      <tp t="s">
        <v/>
        <stp/>
        <stp>2755828679M16:BstHitPrc</stp>
        <tr r="G1013" s="5"/>
      </tp>
      <tp t="s">
        <v/>
        <stp/>
        <stp>266M9:LstBlkPrc</stp>
        <tr r="K930" s="5"/>
      </tp>
      <tp t="s">
        <v/>
        <stp/>
        <stp>1986823075M15:BstHitPrc</stp>
        <tr r="G132" s="5"/>
      </tp>
      <tp t="s">
        <v/>
        <stp/>
        <stp>2427126288M20:BstHitPrc</stp>
        <tr r="G1055" s="5"/>
      </tp>
      <tp t="s">
        <v/>
        <stp/>
        <stp>2427126288M10:BstHitPrc</stp>
        <tr r="G1045" s="5"/>
      </tp>
      <tp t="s">
        <v/>
        <stp/>
        <stp>18871685M9:LstBlkTime</stp>
        <tr r="M430" s="5"/>
      </tp>
      <tp t="s">
        <v/>
        <stp/>
        <stp>18871685M8:LstBlkTime</stp>
        <tr r="M429" s="5"/>
      </tp>
      <tp t="s">
        <v/>
        <stp/>
        <stp>18871685M7:LstBlkTime</stp>
        <tr r="M428" s="5"/>
      </tp>
      <tp t="s">
        <v/>
        <stp/>
        <stp>18871685M6:LstBlkTime</stp>
        <tr r="M427" s="5"/>
      </tp>
      <tp t="s">
        <v/>
        <stp/>
        <stp>18871685M5:LstBlkTime</stp>
        <tr r="M426" s="5"/>
      </tp>
      <tp t="s">
        <v/>
        <stp/>
        <stp>18871685M4:LstBlkTime</stp>
        <tr r="M425" s="5"/>
      </tp>
      <tp t="s">
        <v/>
        <stp/>
        <stp>18871685M3:LstBlkTime</stp>
        <tr r="M424" s="5"/>
      </tp>
      <tp t="s">
        <v>09:55:10</v>
        <stp/>
        <stp>18871685M2:LstBlkTime</stp>
        <tr r="M423" s="5"/>
      </tp>
      <tp t="s">
        <v>10:48:26</v>
        <stp/>
        <stp>18871685M1:LstBlkTime</stp>
        <tr r="M422" s="5"/>
      </tp>
      <tp t="s">
        <v/>
        <stp/>
        <stp>18871685M0:LstBlkTime</stp>
        <tr r="M421" s="5"/>
      </tp>
      <tp t="s">
        <v>Invalid Market: 18871685Y2</v>
        <stp/>
        <stp>18871685Y2:LstBlkTime</stp>
        <tr r="M457" s="5"/>
      </tp>
      <tp t="s">
        <v/>
        <stp/>
        <stp>18871685Y1:LstBlkTime</stp>
        <tr r="M456" s="5"/>
      </tp>
      <tp t="s">
        <v>08:31:10</v>
        <stp/>
        <stp>18871685Y0:LstBlkTime</stp>
        <tr r="M455" s="5"/>
      </tp>
      <tp t="s">
        <v/>
        <stp/>
        <stp>18871685Q8:LstBlkTime</stp>
        <tr r="M454" s="5"/>
      </tp>
      <tp t="s">
        <v/>
        <stp/>
        <stp>18871685Q7:LstBlkTime</stp>
        <tr r="M453" s="5"/>
      </tp>
      <tp t="s">
        <v/>
        <stp/>
        <stp>18871685Q6:LstBlkTime</stp>
        <tr r="M452" s="5"/>
      </tp>
      <tp t="s">
        <v/>
        <stp/>
        <stp>18871685Q5:LstBlkTime</stp>
        <tr r="M451" s="5"/>
      </tp>
      <tp t="s">
        <v/>
        <stp/>
        <stp>18871685Q4:LstBlkTime</stp>
        <tr r="M450" s="5"/>
      </tp>
      <tp t="s">
        <v>08:48:05</v>
        <stp/>
        <stp>18871685Q3:LstBlkTime</stp>
        <tr r="M449" s="5"/>
      </tp>
      <tp t="s">
        <v>09:10:56</v>
        <stp/>
        <stp>18871685Q2:LstBlkTime</stp>
        <tr r="M448" s="5"/>
      </tp>
      <tp t="s">
        <v>09:47:36</v>
        <stp/>
        <stp>18871685Q1:LstBlkTime</stp>
        <tr r="M447" s="5"/>
      </tp>
      <tp t="s">
        <v>08:38:54</v>
        <stp/>
        <stp>18871685Q0:LstBlkTime</stp>
        <tr r="M446" s="5"/>
      </tp>
    </main>
    <main first="esrtd">
      <tp t="s">
        <v/>
        <stp/>
        <stp>TDL 9!-IEU</stp>
        <stp>Last</stp>
        <tr r="I1821" s="5"/>
      </tp>
    </main>
    <main first="ice.rtd">
      <tp t="s">
        <v/>
        <stp/>
        <stp>18851683M9:LstBlkTime</stp>
        <tr r="M202" s="5"/>
      </tp>
      <tp t="s">
        <v/>
        <stp/>
        <stp>18851683M8:LstBlkTime</stp>
        <tr r="M201" s="5"/>
      </tp>
      <tp t="s">
        <v/>
        <stp/>
        <stp>18851683M7:LstBlkTime</stp>
        <tr r="M200" s="5"/>
      </tp>
      <tp t="s">
        <v/>
        <stp/>
        <stp>18851683M6:LstBlkTime</stp>
        <tr r="M199" s="5"/>
      </tp>
      <tp t="s">
        <v/>
        <stp/>
        <stp>18851683M5:LstBlkTime</stp>
        <tr r="M198" s="5"/>
      </tp>
      <tp t="s">
        <v/>
        <stp/>
        <stp>18851683M4:LstBlkTime</stp>
        <tr r="M197" s="5"/>
      </tp>
      <tp t="s">
        <v/>
        <stp/>
        <stp>18851683M3:LstBlkTime</stp>
        <tr r="M196" s="5"/>
      </tp>
      <tp t="s">
        <v/>
        <stp/>
        <stp>18851683M2:LstBlkTime</stp>
        <tr r="M195" s="5"/>
      </tp>
      <tp t="s">
        <v>10:32:21</v>
        <stp/>
        <stp>18851683M1:LstBlkTime</stp>
        <tr r="M194" s="5"/>
      </tp>
      <tp t="s">
        <v/>
        <stp/>
        <stp>18851683M0:LstBlkTime</stp>
        <tr r="M193" s="5"/>
      </tp>
      <tp t="s">
        <v/>
        <stp/>
        <stp>18851683Y2:LstBlkTime</stp>
        <tr r="M229" s="5"/>
      </tp>
      <tp t="s">
        <v/>
        <stp/>
        <stp>18851683Y1:LstBlkTime</stp>
        <tr r="M228" s="5"/>
      </tp>
      <tp t="s">
        <v/>
        <stp/>
        <stp>18851683Y0:LstBlkTime</stp>
        <tr r="M227" s="5"/>
      </tp>
      <tp t="s">
        <v/>
        <stp/>
        <stp>18851683Q8:LstBlkTime</stp>
        <tr r="M226" s="5"/>
      </tp>
      <tp t="s">
        <v/>
        <stp/>
        <stp>18851683Q7:LstBlkTime</stp>
        <tr r="M225" s="5"/>
      </tp>
      <tp t="s">
        <v/>
        <stp/>
        <stp>18851683Q6:LstBlkTime</stp>
        <tr r="M224" s="5"/>
      </tp>
      <tp t="s">
        <v/>
        <stp/>
        <stp>18851683Q5:LstBlkTime</stp>
        <tr r="M223" s="5"/>
      </tp>
      <tp t="s">
        <v/>
        <stp/>
        <stp>18851683Q4:LstBlkTime</stp>
        <tr r="M222" s="5"/>
      </tp>
      <tp t="s">
        <v/>
        <stp/>
        <stp>18851683Q3:LstBlkTime</stp>
        <tr r="M221" s="5"/>
      </tp>
      <tp t="s">
        <v/>
        <stp/>
        <stp>18851683Q2:LstBlkTime</stp>
        <tr r="M220" s="5"/>
      </tp>
      <tp t="s">
        <v/>
        <stp/>
        <stp>18851683Q1:LstBlkTime</stp>
        <tr r="M219" s="5"/>
      </tp>
      <tp t="s">
        <v/>
        <stp/>
        <stp>18851683Q0:LstBlkTime</stp>
        <tr r="M218" s="5"/>
      </tp>
      <tp t="s">
        <v/>
        <stp/>
        <stp>15141311T7:LstBlkTime</stp>
        <tr r="M1535" s="5"/>
      </tp>
      <tp t="s">
        <v/>
        <stp/>
        <stp>15141311T6:LstBlkTime</stp>
        <tr r="M1534" s="5"/>
      </tp>
      <tp t="s">
        <v/>
        <stp/>
        <stp>15141311T5:LstBlkTime</stp>
        <tr r="M1533" s="5"/>
      </tp>
      <tp t="s">
        <v/>
        <stp/>
        <stp>15141311T4:LstBlkTime</stp>
        <tr r="M1532" s="5"/>
      </tp>
      <tp t="s">
        <v/>
        <stp/>
        <stp>15141311T3:LstBlkTime</stp>
        <tr r="M1531" s="5"/>
      </tp>
      <tp t="s">
        <v/>
        <stp/>
        <stp>15141311T2:LstBlkTime</stp>
        <tr r="M1530" s="5"/>
      </tp>
      <tp t="s">
        <v/>
        <stp/>
        <stp>15141311T1:LstBlkTime</stp>
        <tr r="M1529" s="5"/>
      </tp>
      <tp t="s">
        <v/>
        <stp/>
        <stp>15141311T0:LstBlkTime</stp>
        <tr r="M1528" s="5"/>
      </tp>
      <tp t="s">
        <v/>
        <stp/>
        <stp>15141311T8:LstBlkTime</stp>
        <tr r="M1536" s="5"/>
      </tp>
      <tp t="s">
        <v/>
        <stp/>
        <stp>366531MM22:LstPrc</stp>
        <tr r="I1737" s="5"/>
      </tp>
      <tp t="s">
        <v/>
        <stp/>
        <stp>366531MM23:LstPrc</stp>
        <tr r="I1738" s="5"/>
      </tp>
      <tp t="s">
        <v/>
        <stp/>
        <stp>366531MM20:LstPrc</stp>
        <tr r="I1735" s="5"/>
      </tp>
      <tp t="s">
        <v/>
        <stp/>
        <stp>366531MM21:LstPrc</stp>
        <tr r="I1736" s="5"/>
      </tp>
      <tp t="s">
        <v/>
        <stp/>
        <stp>366531MM26:LstPrc</stp>
        <tr r="I1741" s="5"/>
      </tp>
      <tp t="s">
        <v/>
        <stp/>
        <stp>366531MM27:LstPrc</stp>
        <tr r="I1742" s="5"/>
      </tp>
      <tp t="s">
        <v/>
        <stp/>
        <stp>366531MM24:LstPrc</stp>
        <tr r="I1739" s="5"/>
      </tp>
      <tp t="s">
        <v/>
        <stp/>
        <stp>366531MM25:LstPrc</stp>
        <tr r="I1740" s="5"/>
      </tp>
      <tp t="s">
        <v/>
        <stp/>
        <stp>366531MM12:LstPrc</stp>
        <tr r="I1727" s="5"/>
      </tp>
      <tp t="s">
        <v/>
        <stp/>
        <stp>366531MM13:LstPrc</stp>
        <tr r="I1728" s="5"/>
      </tp>
      <tp>
        <v>15</v>
        <stp/>
        <stp>366531MM10:LstPrc</stp>
        <tr r="I1725" s="5"/>
      </tp>
      <tp t="s">
        <v/>
        <stp/>
        <stp>366531MM11:LstPrc</stp>
        <tr r="I1726" s="5"/>
      </tp>
      <tp t="s">
        <v/>
        <stp/>
        <stp>366531MM16:LstPrc</stp>
        <tr r="I1731" s="5"/>
      </tp>
      <tp t="s">
        <v/>
        <stp/>
        <stp>366531MM17:LstPrc</stp>
        <tr r="I1732" s="5"/>
      </tp>
      <tp t="s">
        <v/>
        <stp/>
        <stp>366531MM14:LstPrc</stp>
        <tr r="I1729" s="5"/>
      </tp>
      <tp t="s">
        <v/>
        <stp/>
        <stp>366531MM15:LstPrc</stp>
        <tr r="I1730" s="5"/>
      </tp>
      <tp t="s">
        <v/>
        <stp/>
        <stp>366531MM18:LstPrc</stp>
        <tr r="I1733" s="5"/>
      </tp>
      <tp t="s">
        <v/>
        <stp/>
        <stp>366531MM19:LstPrc</stp>
        <tr r="I1734" s="5"/>
      </tp>
    </main>
    <main first="bofaddin.rtdserver">
      <tp>
        <v>13.53</v>
        <stp/>
        <stp>BDP|12663980765485663952|22</stp>
        <stp>CLZ6CLZ7 Comdty</stp>
        <stp>BID</stp>
        <tr r="B2" s="3"/>
      </tp>
    </main>
    <main first="ice.rtd">
      <tp t="s">
        <v/>
        <stp/>
        <stp>141587M9:BstLiftPrc</stp>
        <tr r="H50" s="5"/>
      </tp>
      <tp t="s">
        <v/>
        <stp/>
        <stp>141587M8:BstLiftPrc</stp>
        <tr r="H49" s="5"/>
      </tp>
      <tp>
        <v>3.97</v>
        <stp/>
        <stp>141587M5:BstLiftPrc</stp>
        <tr r="H46" s="5"/>
      </tp>
      <tp>
        <v>4.1100000000000003</v>
        <stp/>
        <stp>141587M4:BstLiftPrc</stp>
        <tr r="H45" s="5"/>
      </tp>
      <tp>
        <v>3.74</v>
        <stp/>
        <stp>141587M7:BstLiftPrc</stp>
        <tr r="H48" s="5"/>
      </tp>
      <tp>
        <v>3.84</v>
        <stp/>
        <stp>141587M6:BstLiftPrc</stp>
        <tr r="H47" s="5"/>
      </tp>
      <tp>
        <v>2</v>
        <stp/>
        <stp>141587M1:BstLiftPrc</stp>
        <tr r="H42" s="5"/>
      </tp>
      <tp>
        <v>-4.25</v>
        <stp/>
        <stp>141587M0:BstLiftPrc</stp>
        <tr r="H41" s="5"/>
      </tp>
      <tp>
        <v>4.05</v>
        <stp/>
        <stp>141587M3:BstLiftPrc</stp>
        <tr r="H44" s="5"/>
      </tp>
      <tp>
        <v>3.67</v>
        <stp/>
        <stp>141587M2:BstLiftPrc</stp>
        <tr r="H43" s="5"/>
      </tp>
      <tp t="s">
        <v>Invalid Market: B0</v>
        <stp/>
        <stp>B0:LstBlkTime</stp>
        <tr r="M1034" s="5"/>
        <tr r="M1148" s="5"/>
      </tp>
      <tp>
        <v>2.5</v>
        <stp/>
        <stp>141587Y1:BstLiftPrc</stp>
        <tr r="H76" s="5"/>
      </tp>
      <tp>
        <v>3.7</v>
        <stp/>
        <stp>141587Y0:BstLiftPrc</stp>
        <tr r="H75" s="5"/>
      </tp>
      <tp>
        <v>2.5</v>
        <stp/>
        <stp>141587Y2:BstLiftPrc</stp>
        <tr r="H77" s="5"/>
      </tp>
      <tp t="s">
        <v/>
        <stp/>
        <stp>141587Q8:BstLiftPrc</stp>
        <tr r="H74" s="5"/>
      </tp>
      <tp>
        <v>3.09</v>
        <stp/>
        <stp>141587Q5:BstLiftPrc</stp>
        <tr r="H71" s="5"/>
      </tp>
      <tp>
        <v>3.2</v>
        <stp/>
        <stp>141587Q4:BstLiftPrc</stp>
        <tr r="H70" s="5"/>
      </tp>
      <tp t="s">
        <v/>
        <stp/>
        <stp>141587Q7:BstLiftPrc</stp>
        <tr r="H73" s="5"/>
      </tp>
      <tp t="s">
        <v/>
        <stp/>
        <stp>141587Q6:BstLiftPrc</stp>
        <tr r="H72" s="5"/>
      </tp>
      <tp>
        <v>3.95</v>
        <stp/>
        <stp>141587Q1:BstLiftPrc</stp>
        <tr r="H67" s="5"/>
      </tp>
      <tp>
        <v>3.25</v>
        <stp/>
        <stp>141587Q0:BstLiftPrc</stp>
        <tr r="H66" s="5"/>
      </tp>
      <tp>
        <v>3.4</v>
        <stp/>
        <stp>141587Q3:BstLiftPrc</stp>
        <tr r="H69" s="5"/>
      </tp>
      <tp>
        <v>3.55</v>
        <stp/>
        <stp>141587Q2:BstLiftPrc</stp>
        <tr r="H68" s="5"/>
      </tp>
      <tp t="s">
        <v/>
        <stp/>
        <stp>161913535MM18:LstBlkVol</stp>
        <tr r="L2045" s="5"/>
      </tp>
      <tp t="s">
        <v/>
        <stp/>
        <stp>1986823075Y2:LstBlkTime</stp>
        <tr r="M153" s="5"/>
      </tp>
      <tp t="s">
        <v>08:12:45</v>
        <stp/>
        <stp>1986823075Y0:LstBlkTime</stp>
        <tr r="M151" s="5"/>
      </tp>
      <tp t="s">
        <v/>
        <stp/>
        <stp>1986823075Y1:LstBlkTime</stp>
        <tr r="M152" s="5"/>
      </tp>
      <tp t="s">
        <v/>
        <stp/>
        <stp>1986823075Q8:LstBlkTime</stp>
        <tr r="M150" s="5"/>
      </tp>
      <tp t="s">
        <v/>
        <stp/>
        <stp>1986823075Q2:LstBlkTime</stp>
        <tr r="M144" s="5"/>
      </tp>
      <tp t="s">
        <v/>
        <stp/>
        <stp>1986823075Q3:LstBlkTime</stp>
        <tr r="M145" s="5"/>
      </tp>
      <tp t="s">
        <v>09:10:48</v>
        <stp/>
        <stp>1986823075Q0:LstBlkTime</stp>
        <tr r="M142" s="5"/>
      </tp>
      <tp t="s">
        <v/>
        <stp/>
        <stp>1986823075Q1:LstBlkTime</stp>
        <tr r="M143" s="5"/>
      </tp>
      <tp t="s">
        <v/>
        <stp/>
        <stp>1986823075Q6:LstBlkTime</stp>
        <tr r="M148" s="5"/>
      </tp>
      <tp t="s">
        <v/>
        <stp/>
        <stp>1986823075Q7:LstBlkTime</stp>
        <tr r="M149" s="5"/>
      </tp>
      <tp t="s">
        <v/>
        <stp/>
        <stp>1986823075Q4:LstBlkTime</stp>
        <tr r="M146" s="5"/>
      </tp>
      <tp t="s">
        <v/>
        <stp/>
        <stp>1986823075Q5:LstBlkTime</stp>
        <tr r="M147" s="5"/>
      </tp>
      <tp t="s">
        <v/>
        <stp/>
        <stp>1986823075M8:LstBlkTime</stp>
        <tr r="M125" s="5"/>
      </tp>
      <tp t="s">
        <v/>
        <stp/>
        <stp>1986823075M9:LstBlkTime</stp>
        <tr r="M126" s="5"/>
      </tp>
      <tp t="s">
        <v>10:37:04</v>
        <stp/>
        <stp>1986823075M2:LstBlkTime</stp>
        <tr r="M119" s="5"/>
      </tp>
      <tp t="s">
        <v>10:37:04</v>
        <stp/>
        <stp>1986823075M3:LstBlkTime</stp>
        <tr r="M120" s="5"/>
      </tp>
      <tp t="s">
        <v/>
        <stp/>
        <stp>1986823075M0:LstBlkTime</stp>
        <tr r="M117" s="5"/>
      </tp>
      <tp t="s">
        <v>09:30:17</v>
        <stp/>
        <stp>1986823075M1:LstBlkTime</stp>
        <tr r="M118" s="5"/>
      </tp>
      <tp t="s">
        <v/>
        <stp/>
        <stp>1986823075M6:LstBlkTime</stp>
        <tr r="M123" s="5"/>
      </tp>
      <tp t="s">
        <v>10:37:24</v>
        <stp/>
        <stp>1986823075M7:LstBlkTime</stp>
        <tr r="M124" s="5"/>
      </tp>
      <tp t="s">
        <v>10:16:40</v>
        <stp/>
        <stp>1986823075M4:LstBlkTime</stp>
        <tr r="M121" s="5"/>
      </tp>
      <tp t="s">
        <v/>
        <stp/>
        <stp>1986823075M5:LstBlkTime</stp>
        <tr r="M122" s="5"/>
      </tp>
      <tp t="s">
        <v/>
        <stp/>
        <stp>2182524598B0:LstBlkTime</stp>
        <tr r="M1376" s="5"/>
      </tp>
      <tp t="s">
        <v>Invalid Market: 2972825746BM0</v>
        <stp/>
        <stp>2972825746BM0:PCC</stp>
        <tr r="B1714" s="5"/>
      </tp>
    </main>
    <main first="bofaddin.rtdserver">
      <tp>
        <v>537.4</v>
        <stp/>
        <stp>BDP|13445579156191918254|222</stp>
        <stp>SCPK27 Comdty</stp>
        <stp>BID</stp>
        <stp>Fill=#N/A</stp>
        <tr r="M27" s="1"/>
      </tp>
    </main>
    <main first="ice.rtd">
      <tp t="s">
        <v/>
        <stp/>
        <stp>57409036M23:LstBlkPrc</stp>
        <tr r="K254" s="5"/>
      </tp>
      <tp t="s">
        <v/>
        <stp/>
        <stp>57409036M13:LstBlkPrc</stp>
        <tr r="K244" s="5"/>
      </tp>
      <tp t="s">
        <v/>
        <stp/>
        <stp>18851683M24:LstBlkPrc</stp>
        <tr r="K217" s="5"/>
      </tp>
      <tp t="s">
        <v/>
        <stp/>
        <stp>18851683M14:LstBlkPrc</stp>
        <tr r="K207" s="5"/>
      </tp>
      <tp t="s">
        <v>Invalid Market: 57179020M17</v>
        <stp/>
        <stp>57179020M17:LstBlkPrc</stp>
        <tr r="K1564" s="5"/>
      </tp>
      <tp t="s">
        <v/>
        <stp/>
        <stp>18901687M15:LstBlkPrc</stp>
        <tr r="K322" s="5"/>
      </tp>
      <tp t="s">
        <v/>
        <stp/>
        <stp>46678127M20:LstBlkPrc</stp>
        <tr r="K365" s="5"/>
      </tp>
      <tp t="s">
        <v/>
        <stp/>
        <stp>46678127M10:LstBlkPrc</stp>
        <tr r="K355" s="5"/>
      </tp>
      <tp t="s">
        <v/>
        <stp/>
        <stp>16331513M16:LstBlkPrc</stp>
        <tr r="K1431" s="5"/>
      </tp>
      <tp t="s">
        <v/>
        <stp/>
        <stp>16341514M16:LstBlkPrc</stp>
        <tr r="K1469" s="5"/>
      </tp>
      <tp t="s">
        <v/>
        <stp/>
        <stp>16351515M16:LstBlkPrc</stp>
        <tr r="K1507" s="5"/>
      </tp>
      <tp t="s">
        <v/>
        <stp/>
        <stp>30813691M15:LstBlkPrc</stp>
        <tr r="K1968" s="5"/>
      </tp>
      <tp t="s">
        <v/>
        <stp/>
        <stp>35534143M15:LstBlkPrc</stp>
        <tr r="K723" s="5"/>
      </tp>
      <tp t="s">
        <v/>
        <stp/>
        <stp>35544144M15:LstBlkPrc</stp>
        <tr r="K647" s="5"/>
      </tp>
      <tp t="s">
        <v/>
        <stp/>
        <stp>35554145M15:LstBlkPrc</stp>
        <tr r="K685" s="5"/>
      </tp>
    </main>
    <main first="bofaddin.rtdserver">
      <tp t="s">
        <v>#N/A Real Time</v>
        <stp/>
        <stp>BDP|12492011233424902375|22</stp>
        <stp>QSQ6C 1300.00 Comdty</stp>
        <stp>DELTA_LAST_RT</stp>
        <tr r="I81" s="23"/>
      </tp>
    </main>
    <main first="ice.rtd">
      <tp t="s">
        <v/>
        <stp/>
        <stp>34404098M19:BstHitPrc</stp>
        <tr r="G613" s="5"/>
      </tp>
      <tp t="s">
        <v/>
        <stp/>
        <stp>34414099M19:BstHitPrc</stp>
        <tr r="G98" s="5"/>
      </tp>
      <tp t="s">
        <v/>
        <stp/>
        <stp>18871685M24:LstBlkPrc</stp>
        <tr r="K445" s="5"/>
      </tp>
      <tp t="s">
        <v/>
        <stp/>
        <stp>18871685M14:LstBlkPrc</stp>
        <tr r="K435" s="5"/>
      </tp>
      <tp t="s">
        <v/>
        <stp/>
        <stp>15091310M15:BstHitPrc</stp>
        <tr r="G1392" s="5"/>
      </tp>
      <tp>
        <v>-11.58</v>
        <stp/>
        <stp>18851683M14:BstHitPrc</stp>
        <tr r="G207" s="5"/>
      </tp>
      <tp t="s">
        <v/>
        <stp/>
        <stp>18851683M24:BstHitPrc</stp>
        <tr r="G217" s="5"/>
      </tp>
      <tp>
        <v>-11.49</v>
        <stp/>
        <stp>57409036M13:BstHitPrc</stp>
        <tr r="G244" s="5"/>
      </tp>
      <tp t="s">
        <v/>
        <stp/>
        <stp>57409036M23:BstHitPrc</stp>
        <tr r="G254" s="5"/>
      </tp>
      <tp>
        <v>10.1</v>
        <stp/>
        <stp>18901687M15:BstHitPrc</stp>
        <tr r="G322" s="5"/>
      </tp>
      <tp t="s">
        <v>Invalid Market: 57179020M17</v>
        <stp/>
        <stp>57179020M17:BstHitPrc</stp>
        <tr r="G1564" s="5"/>
      </tp>
      <tp>
        <v>-1.5</v>
        <stp/>
        <stp>18871685M14:BstHitPrc</stp>
        <tr r="G435" s="5"/>
      </tp>
      <tp t="s">
        <v/>
        <stp/>
        <stp>18871685M24:BstHitPrc</stp>
        <tr r="G445" s="5"/>
      </tp>
      <tp t="s">
        <v/>
        <stp/>
        <stp>34404098M19:LstBlkPrc</stp>
        <tr r="K613" s="5"/>
      </tp>
      <tp t="s">
        <v/>
        <stp/>
        <stp>34414099M19:LstBlkPrc</stp>
        <tr r="K98" s="5"/>
      </tp>
      <tp t="s">
        <v/>
        <stp/>
        <stp>15091310M15:LstBlkPrc</stp>
        <tr r="K1392" s="5"/>
      </tp>
      <tp t="s">
        <v/>
        <stp/>
        <stp>30813691M15:BstHitPrc</stp>
        <tr r="G1968" s="5"/>
      </tp>
      <tp t="s">
        <v/>
        <stp/>
        <stp>16331513M16:BstHitPrc</stp>
        <tr r="G1431" s="5"/>
      </tp>
      <tp t="s">
        <v/>
        <stp/>
        <stp>16341514M16:BstHitPrc</stp>
        <tr r="G1469" s="5"/>
      </tp>
      <tp t="s">
        <v/>
        <stp/>
        <stp>16351515M16:BstHitPrc</stp>
        <tr r="G1507" s="5"/>
      </tp>
      <tp t="s">
        <v/>
        <stp/>
        <stp>35534143M15:BstHitPrc</stp>
        <tr r="G723" s="5"/>
      </tp>
      <tp t="s">
        <v/>
        <stp/>
        <stp>35544144M15:BstHitPrc</stp>
        <tr r="G647" s="5"/>
      </tp>
      <tp t="s">
        <v/>
        <stp/>
        <stp>35554145M15:BstHitPrc</stp>
        <tr r="G685" s="5"/>
      </tp>
      <tp>
        <v>22.05</v>
        <stp/>
        <stp>46678127M10:BstHitPrc</stp>
        <tr r="G355" s="5"/>
      </tp>
      <tp t="s">
        <v/>
        <stp/>
        <stp>46678127M20:BstHitPrc</stp>
        <tr r="G365" s="5"/>
      </tp>
      <tp t="s">
        <v/>
        <stp/>
        <stp>15091310M23:LstBlkVol</stp>
        <tr r="L1400" s="5"/>
      </tp>
      <tp t="s">
        <v/>
        <stp/>
        <stp>15091310M13:LstBlkVol</stp>
        <tr r="L1390" s="5"/>
      </tp>
    </main>
    <main first="esrtd">
      <tp t="s">
        <v/>
        <stp/>
        <stp>TDL C2!-IEU</stp>
        <stp>Strip</stp>
        <tr r="E1847" s="5"/>
      </tp>
      <tp t="s">
        <v/>
        <stp/>
        <stp>TDL Q4!-IEU</stp>
        <stp>Strip</stp>
        <tr r="E1846" s="5"/>
      </tp>
      <tp t="s">
        <v/>
        <stp/>
        <stp>TDL Q1!-IEU</stp>
        <stp>Strip</stp>
        <tr r="E1843" s="5"/>
      </tp>
      <tp t="s">
        <v/>
        <stp/>
        <stp>TDL Q2!-IEU</stp>
        <stp>Strip</stp>
        <tr r="E1844" s="5"/>
      </tp>
      <tp t="s">
        <v/>
        <stp/>
        <stp>TDL Q3!-IEU</stp>
        <stp>Strip</stp>
        <tr r="E1845" s="5"/>
      </tp>
      <tp t="s">
        <v/>
        <stp/>
        <stp>TDL 30!-IEU</stp>
        <stp>Strip</stp>
        <tr r="E1842" s="5"/>
      </tp>
      <tp t="s">
        <v/>
        <stp/>
        <stp>TDL 24!-IEU</stp>
        <stp>Strip</stp>
        <tr r="E1836" s="5"/>
      </tp>
      <tp t="s">
        <v/>
        <stp/>
        <stp>TDL 25!-IEU</stp>
        <stp>Strip</stp>
        <tr r="E1837" s="5"/>
      </tp>
      <tp t="s">
        <v/>
        <stp/>
        <stp>TDL 26!-IEU</stp>
        <stp>Strip</stp>
        <tr r="E1838" s="5"/>
      </tp>
      <tp t="s">
        <v/>
        <stp/>
        <stp>TDL 27!-IEU</stp>
        <stp>Strip</stp>
        <tr r="E1839" s="5"/>
      </tp>
      <tp t="s">
        <v/>
        <stp/>
        <stp>TDL 20!-IEU</stp>
        <stp>Strip</stp>
        <tr r="E1832" s="5"/>
      </tp>
      <tp t="s">
        <v/>
        <stp/>
        <stp>TDL 21!-IEU</stp>
        <stp>Strip</stp>
        <tr r="E1833" s="5"/>
      </tp>
      <tp t="s">
        <v/>
        <stp/>
        <stp>TDL 22!-IEU</stp>
        <stp>Strip</stp>
        <tr r="E1834" s="5"/>
      </tp>
      <tp t="s">
        <v/>
        <stp/>
        <stp>TDL 23!-IEU</stp>
        <stp>Strip</stp>
        <tr r="E1835" s="5"/>
      </tp>
      <tp t="s">
        <v/>
        <stp/>
        <stp>TDL 28!-IEU</stp>
        <stp>Strip</stp>
        <tr r="E1840" s="5"/>
      </tp>
      <tp t="s">
        <v/>
        <stp/>
        <stp>TDL 29!-IEU</stp>
        <stp>Strip</stp>
        <tr r="E1841" s="5"/>
      </tp>
      <tp t="s">
        <v/>
        <stp/>
        <stp>TDL 14!-IEU</stp>
        <stp>Strip</stp>
        <tr r="E1826" s="5"/>
      </tp>
      <tp t="s">
        <v/>
        <stp/>
        <stp>TDL 15!-IEU</stp>
        <stp>Strip</stp>
        <tr r="E1827" s="5"/>
      </tp>
      <tp t="s">
        <v/>
        <stp/>
        <stp>TDL 16!-IEU</stp>
        <stp>Strip</stp>
        <tr r="E1828" s="5"/>
      </tp>
      <tp t="s">
        <v/>
        <stp/>
        <stp>TDL 17!-IEU</stp>
        <stp>Strip</stp>
        <tr r="E1829" s="5"/>
      </tp>
      <tp t="s">
        <v/>
        <stp/>
        <stp>TDL 10!-IEU</stp>
        <stp>Strip</stp>
        <tr r="E1822" s="5"/>
      </tp>
      <tp t="s">
        <v/>
        <stp/>
        <stp>TDL 11!-IEU</stp>
        <stp>Strip</stp>
        <tr r="E1823" s="5"/>
      </tp>
      <tp t="s">
        <v/>
        <stp/>
        <stp>TDL 12!-IEU</stp>
        <stp>Strip</stp>
        <tr r="E1824" s="5"/>
      </tp>
      <tp t="s">
        <v/>
        <stp/>
        <stp>TDL 13!-IEU</stp>
        <stp>Strip</stp>
        <tr r="E1825" s="5"/>
      </tp>
      <tp t="s">
        <v/>
        <stp/>
        <stp>TDL 18!-IEU</stp>
        <stp>Strip</stp>
        <tr r="E1830" s="5"/>
      </tp>
      <tp t="s">
        <v/>
        <stp/>
        <stp>TDL 19!-IEU</stp>
        <stp>Strip</stp>
        <tr r="E1831" s="5"/>
      </tp>
    </main>
    <main first="ice.rtd">
      <tp t="s">
        <v/>
        <stp/>
        <stp>35534143M13:LstBlkVol</stp>
        <tr r="L721" s="5"/>
      </tp>
      <tp t="s">
        <v/>
        <stp/>
        <stp>35544144M13:LstBlkVol</stp>
        <tr r="L645" s="5"/>
      </tp>
      <tp t="s">
        <v/>
        <stp/>
        <stp>35554145M13:LstBlkVol</stp>
        <tr r="L683" s="5"/>
      </tp>
      <tp t="s">
        <v/>
        <stp/>
        <stp>35534143M23:LstBlkVol</stp>
        <tr r="L731" s="5"/>
      </tp>
      <tp t="s">
        <v/>
        <stp/>
        <stp>35544144M23:LstBlkVol</stp>
        <tr r="L655" s="5"/>
      </tp>
      <tp t="s">
        <v/>
        <stp/>
        <stp>35554145M23:LstBlkVol</stp>
        <tr r="L693" s="5"/>
      </tp>
      <tp t="s">
        <v/>
        <stp/>
        <stp>16331513M20:LstBlkVol</stp>
        <tr r="L1435" s="5"/>
      </tp>
      <tp t="s">
        <v/>
        <stp/>
        <stp>16341514M20:LstBlkVol</stp>
        <tr r="L1473" s="5"/>
      </tp>
      <tp t="s">
        <v/>
        <stp/>
        <stp>16351515M20:LstBlkVol</stp>
        <tr r="L1511" s="5"/>
      </tp>
      <tp t="s">
        <v/>
        <stp/>
        <stp>16331513M10:LstBlkVol</stp>
        <tr r="L1425" s="5"/>
      </tp>
      <tp t="s">
        <v/>
        <stp/>
        <stp>16341514M10:LstBlkVol</stp>
        <tr r="L1463" s="5"/>
      </tp>
      <tp t="s">
        <v/>
        <stp/>
        <stp>16351515M10:LstBlkVol</stp>
        <tr r="L1501" s="5"/>
      </tp>
      <tp t="s">
        <v/>
        <stp/>
        <stp>30813691M23:LstBlkVol</stp>
        <tr r="L1976" s="5"/>
      </tp>
      <tp t="s">
        <v/>
        <stp/>
        <stp>30813691M13:LstBlkVol</stp>
        <tr r="L1966" s="5"/>
      </tp>
      <tp t="s">
        <v/>
        <stp/>
        <stp>46678127M16:LstBlkVol</stp>
        <tr r="L361" s="5"/>
      </tp>
      <tp t="s">
        <v/>
        <stp/>
        <stp>34364094M18:LstBlkVol</stp>
        <tr r="L536" s="5"/>
      </tp>
      <tp t="s">
        <v/>
        <stp/>
        <stp>34374095M18:LstBlkVol</stp>
        <tr r="L574" s="5"/>
      </tp>
      <tp t="s">
        <v/>
        <stp/>
        <stp>18871685M22:LstBlkVol</stp>
        <tr r="L443" s="5"/>
      </tp>
      <tp t="s">
        <v/>
        <stp/>
        <stp>18871685M12:LstBlkVol</stp>
        <tr r="L433" s="5"/>
      </tp>
      <tp t="s">
        <v/>
        <stp/>
        <stp>18901687M23:LstBlkVol</stp>
        <tr r="L330" s="5"/>
      </tp>
      <tp t="s">
        <v/>
        <stp/>
        <stp>18901687M13:LstBlkVol</stp>
        <tr r="L320" s="5"/>
      </tp>
      <tp t="s">
        <v>Invalid Market: 57179020M21</v>
        <stp/>
        <stp>57179020M21:LstBlkVol</stp>
        <tr r="L1568" s="5"/>
      </tp>
      <tp t="s">
        <v/>
        <stp/>
        <stp>57179020M11:LstBlkVol</stp>
        <tr r="L1558" s="5"/>
      </tp>
      <tp t="s">
        <v/>
        <stp/>
        <stp>266M24:BstLiftPrc</stp>
        <tr r="H945" s="5"/>
      </tp>
      <tp t="s">
        <v/>
        <stp/>
        <stp>266M23:BstLiftPrc</stp>
        <tr r="H944" s="5"/>
      </tp>
      <tp t="s">
        <v/>
        <stp/>
        <stp>266M22:BstLiftPrc</stp>
        <tr r="H943" s="5"/>
      </tp>
      <tp t="s">
        <v/>
        <stp/>
        <stp>266M21:BstLiftPrc</stp>
        <tr r="H942" s="5"/>
      </tp>
      <tp t="s">
        <v/>
        <stp/>
        <stp>266M20:BstLiftPrc</stp>
        <tr r="H941" s="5"/>
      </tp>
      <tp t="s">
        <v/>
        <stp/>
        <stp>266M17:BstLiftPrc</stp>
        <tr r="H938" s="5"/>
      </tp>
      <tp t="s">
        <v/>
        <stp/>
        <stp>266M16:BstLiftPrc</stp>
        <tr r="H937" s="5"/>
      </tp>
      <tp t="s">
        <v/>
        <stp/>
        <stp>266M15:BstLiftPrc</stp>
        <tr r="H936" s="5"/>
      </tp>
      <tp t="s">
        <v/>
        <stp/>
        <stp>266M14:BstLiftPrc</stp>
        <tr r="H935" s="5"/>
      </tp>
      <tp t="s">
        <v/>
        <stp/>
        <stp>266M13:BstLiftPrc</stp>
        <tr r="H934" s="5"/>
      </tp>
      <tp t="s">
        <v/>
        <stp/>
        <stp>266M12:BstLiftPrc</stp>
        <tr r="H933" s="5"/>
      </tp>
      <tp t="s">
        <v/>
        <stp/>
        <stp>266M11:BstLiftPrc</stp>
        <tr r="H932" s="5"/>
      </tp>
      <tp t="s">
        <v/>
        <stp/>
        <stp>266M10:BstLiftPrc</stp>
        <tr r="H931" s="5"/>
      </tp>
      <tp t="s">
        <v/>
        <stp/>
        <stp>266M19:BstLiftPrc</stp>
        <tr r="H940" s="5"/>
      </tp>
      <tp t="s">
        <v/>
        <stp/>
        <stp>266M18:BstLiftPrc</stp>
        <tr r="H939" s="5"/>
      </tp>
      <tp t="s">
        <v/>
        <stp/>
        <stp>34344092M18:LstBlkVol</stp>
        <tr r="L1281" s="5"/>
      </tp>
      <tp t="s">
        <v/>
        <stp/>
        <stp>34354093M18:LstBlkVol</stp>
        <tr r="L1319" s="5"/>
      </tp>
      <tp t="s">
        <v/>
        <stp/>
        <stp>18851683M22:LstBlkVol</stp>
        <tr r="L215" s="5"/>
      </tp>
      <tp t="s">
        <v/>
        <stp/>
        <stp>18851683M12:LstBlkVol</stp>
        <tr r="L205" s="5"/>
      </tp>
      <tp t="s">
        <v/>
        <stp/>
        <stp>29243602M10:LstBlkVol</stp>
        <tr r="L756" s="5"/>
      </tp>
      <tp t="s">
        <v/>
        <stp/>
        <stp>57409036M15:LstBlkVol</stp>
        <tr r="L246" s="5"/>
      </tp>
      <tp t="s">
        <v/>
        <stp/>
        <stp>2044823525M14:LstBlkVol</stp>
        <tr r="L1761" s="5"/>
      </tp>
      <tp t="s">
        <v/>
        <stp/>
        <stp>2427026287M16:LstBlkVol</stp>
        <tr r="L1165" s="5"/>
      </tp>
      <tp t="s">
        <v/>
        <stp/>
        <stp>1986823075M22:LstBlkVol</stp>
        <tr r="L139" s="5"/>
      </tp>
      <tp t="s">
        <v/>
        <stp/>
        <stp>1986823075M12:LstBlkVol</stp>
        <tr r="L129" s="5"/>
      </tp>
      <tp t="s">
        <v/>
        <stp/>
        <stp>2427126288M17:LstBlkVol</stp>
        <tr r="L1052" s="5"/>
      </tp>
      <tp t="s">
        <v/>
        <stp/>
        <stp>2755828679M21:LstBlkVol</stp>
        <tr r="L1018" s="5"/>
      </tp>
      <tp t="s">
        <v/>
        <stp/>
        <stp>2755828679M11:LstBlkVol</stp>
        <tr r="L1008" s="5"/>
      </tp>
      <tp t="s">
        <v/>
        <stp/>
        <stp>1986923076M23:LstBlkVol</stp>
        <tr r="L178" s="5"/>
      </tp>
      <tp t="s">
        <v/>
        <stp/>
        <stp>1986923076M13:LstBlkVol</stp>
        <tr r="L168" s="5"/>
      </tp>
      <tp t="s">
        <v/>
        <stp/>
        <stp>1840020882M15:LstBlkVol</stp>
        <tr r="L1597" s="5"/>
      </tp>
      <tp t="s">
        <v/>
        <stp/>
        <stp>2427026287M20:BstHitPrc</stp>
        <tr r="G1169" s="5"/>
      </tp>
      <tp t="s">
        <v/>
        <stp/>
        <stp>2427026287M10:BstHitPrc</stp>
        <tr r="G1159" s="5"/>
      </tp>
      <tp t="s">
        <v/>
        <stp/>
        <stp>1840020882M13:LstBlkPrc</stp>
        <tr r="K1595" s="5"/>
      </tp>
    </main>
    <main first="bofaddin.rtdserver">
      <tp>
        <v>11.75</v>
        <stp/>
        <stp>BDP|8133803119579851091|222</stp>
        <stp>QSZ7QSF8 Comdty</stp>
        <stp>ASK</stp>
        <stp>Fill=#N/A</stp>
        <tr r="P35" s="1"/>
      </tp>
    </main>
    <main first="ice.rtd">
      <tp t="s">
        <v/>
        <stp/>
        <stp>2427126288M11:LstBlkPrc</stp>
        <tr r="K1046" s="5"/>
      </tp>
      <tp t="s">
        <v/>
        <stp/>
        <stp>2427126288M21:LstBlkPrc</stp>
        <tr r="K1056" s="5"/>
      </tp>
      <tp t="s">
        <v/>
        <stp/>
        <stp>1986823075M24:LstBlkPrc</stp>
        <tr r="K141" s="5"/>
      </tp>
      <tp t="s">
        <v/>
        <stp/>
        <stp>1986823075M14:LstBlkPrc</stp>
        <tr r="K131" s="5"/>
      </tp>
      <tp t="s">
        <v/>
        <stp/>
        <stp>2755728678M18:LstBlkPrc</stp>
        <tr r="K1129" s="5"/>
      </tp>
      <tp t="s">
        <v>Invalid Market: 2044823525M22</v>
        <stp/>
        <stp>2044823525M22:BstHitPrc</stp>
        <tr r="G1769" s="5"/>
      </tp>
      <tp t="s">
        <v/>
        <stp/>
        <stp>2044823525M12:BstHitPrc</stp>
        <tr r="G1759" s="5"/>
      </tp>
      <tp t="s">
        <v/>
        <stp/>
        <stp>1986923076M15:LstBlkPrc</stp>
        <tr r="K170" s="5"/>
      </tp>
      <tp t="s">
        <v/>
        <stp/>
        <stp>2755828679M17:LstBlkPrc</stp>
        <tr r="K1014" s="5"/>
      </tp>
      <tp t="s">
        <v/>
        <stp/>
        <stp>266Q8:BstHitPrc</stp>
        <tr r="G954" s="5"/>
      </tp>
      <tp t="s">
        <v/>
        <stp/>
        <stp>266M8:BstHitPrc</stp>
        <tr r="G929" s="5"/>
      </tp>
      <tp t="s">
        <v/>
        <stp/>
        <stp>1840020882M13:BstHitPrc</stp>
        <tr r="G1595" s="5"/>
      </tp>
    </main>
    <main first="bofaddin.rtdserver">
      <tp t="s">
        <v>#N/A</v>
        <stp/>
        <stp>BDP|17983876966236362420|222</stp>
        <stp>MUCM9N9 Comdty</stp>
        <stp>BID</stp>
        <stp>Fill=#N/A</stp>
        <tr r="S53" s="1"/>
      </tp>
    </main>
    <main first="ice.rtd">
      <tp t="s">
        <v/>
        <stp/>
        <stp>2427026287M10:LstBlkPrc</stp>
        <tr r="K1159" s="5"/>
      </tp>
      <tp t="s">
        <v/>
        <stp/>
        <stp>2427026287M20:LstBlkPrc</stp>
        <tr r="K1169" s="5"/>
      </tp>
    </main>
    <main first="bofaddin.rtdserver">
      <tp t="s">
        <v>#N/A</v>
        <stp/>
        <stp>BDP|17297526188402001683|222</stp>
        <stp>MUCG8H8 Comdty</stp>
        <stp>ASK</stp>
        <stp>Fill=#N/A</stp>
        <tr r="S37" s="1"/>
      </tp>
    </main>
    <main first="ice.rtd">
      <tp t="s">
        <v/>
        <stp/>
        <stp>2044823525M12:LstBlkPrc</stp>
        <tr r="K1759" s="5"/>
      </tp>
      <tp t="s">
        <v>Invalid Market: 2044823525M22</v>
        <stp/>
        <stp>2044823525M22:LstBlkPrc</stp>
        <tr r="K1769" s="5"/>
      </tp>
      <tp t="s">
        <v/>
        <stp/>
        <stp>2755728678M18:BstHitPrc</stp>
        <tr r="G1129" s="5"/>
      </tp>
      <tp t="s">
        <v/>
        <stp/>
        <stp>1986923076M15:BstHitPrc</stp>
        <tr r="G170" s="5"/>
      </tp>
      <tp t="s">
        <v/>
        <stp/>
        <stp>2755828679M17:BstHitPrc</stp>
        <tr r="G1014" s="5"/>
      </tp>
      <tp t="s">
        <v/>
        <stp/>
        <stp>266M8:LstBlkPrc</stp>
        <tr r="K929" s="5"/>
      </tp>
      <tp t="s">
        <v/>
        <stp/>
        <stp>266Q8:LstBlkPrc</stp>
        <tr r="K954" s="5"/>
      </tp>
      <tp t="s">
        <v/>
        <stp/>
        <stp>1986823075M14:BstHitPrc</stp>
        <tr r="G131" s="5"/>
      </tp>
      <tp t="s">
        <v/>
        <stp/>
        <stp>1986823075M24:BstHitPrc</stp>
        <tr r="G141" s="5"/>
      </tp>
      <tp t="s">
        <v/>
        <stp/>
        <stp>2427126288M21:BstHitPrc</stp>
        <tr r="G1056" s="5"/>
      </tp>
      <tp t="s">
        <v/>
        <stp/>
        <stp>2427126288M11:BstHitPrc</stp>
        <tr r="G1046" s="5"/>
      </tp>
    </main>
    <main first="esrtd">
      <tp t="s">
        <v/>
        <stp/>
        <stp>TDL 8!-IEU</stp>
        <stp>Last</stp>
        <tr r="I1820" s="5"/>
      </tp>
    </main>
    <main first="ice.rtd">
      <tp t="s">
        <v/>
        <stp/>
        <stp>35534143M5:LstBlkTime</stp>
        <tr r="M713" s="5"/>
      </tp>
      <tp t="s">
        <v/>
        <stp/>
        <stp>35544144M5:LstBlkTime</stp>
        <tr r="M637" s="5"/>
      </tp>
      <tp t="s">
        <v/>
        <stp/>
        <stp>35554145M5:LstBlkTime</stp>
        <tr r="M675" s="5"/>
      </tp>
      <tp t="s">
        <v/>
        <stp/>
        <stp>35534143M4:LstBlkTime</stp>
        <tr r="M712" s="5"/>
      </tp>
      <tp t="s">
        <v/>
        <stp/>
        <stp>35544144M4:LstBlkTime</stp>
        <tr r="M636" s="5"/>
      </tp>
      <tp t="s">
        <v/>
        <stp/>
        <stp>35554145M4:LstBlkTime</stp>
        <tr r="M674" s="5"/>
      </tp>
      <tp t="s">
        <v/>
        <stp/>
        <stp>35534143M7:LstBlkTime</stp>
        <tr r="M715" s="5"/>
      </tp>
      <tp t="s">
        <v/>
        <stp/>
        <stp>35544144M7:LstBlkTime</stp>
        <tr r="M639" s="5"/>
      </tp>
      <tp t="s">
        <v/>
        <stp/>
        <stp>35554145M7:LstBlkTime</stp>
        <tr r="M677" s="5"/>
      </tp>
      <tp t="s">
        <v/>
        <stp/>
        <stp>35534143M6:LstBlkTime</stp>
        <tr r="M714" s="5"/>
      </tp>
      <tp t="s">
        <v/>
        <stp/>
        <stp>35544144M6:LstBlkTime</stp>
        <tr r="M638" s="5"/>
      </tp>
      <tp t="s">
        <v/>
        <stp/>
        <stp>35554145M6:LstBlkTime</stp>
        <tr r="M676" s="5"/>
      </tp>
      <tp t="s">
        <v>09:34:31</v>
        <stp/>
        <stp>35534143M1:LstBlkTime</stp>
        <tr r="M709" s="5"/>
      </tp>
      <tp t="s">
        <v/>
        <stp/>
        <stp>35544144M1:LstBlkTime</stp>
        <tr r="M633" s="5"/>
      </tp>
      <tp t="s">
        <v/>
        <stp/>
        <stp>35554145M1:LstBlkTime</stp>
        <tr r="M671" s="5"/>
      </tp>
      <tp t="s">
        <v/>
        <stp/>
        <stp>35534143M0:LstBlkTime</stp>
        <tr r="M708" s="5"/>
      </tp>
      <tp t="s">
        <v/>
        <stp/>
        <stp>35544144M0:LstBlkTime</stp>
        <tr r="M632" s="5"/>
      </tp>
      <tp t="s">
        <v/>
        <stp/>
        <stp>35554145M0:LstBlkTime</stp>
        <tr r="M670" s="5"/>
      </tp>
      <tp t="s">
        <v/>
        <stp/>
        <stp>35534143M3:LstBlkTime</stp>
        <tr r="M711" s="5"/>
      </tp>
      <tp t="s">
        <v/>
        <stp/>
        <stp>35544144M3:LstBlkTime</stp>
        <tr r="M635" s="5"/>
      </tp>
      <tp t="s">
        <v/>
        <stp/>
        <stp>35554145M3:LstBlkTime</stp>
        <tr r="M673" s="5"/>
      </tp>
      <tp t="s">
        <v/>
        <stp/>
        <stp>35534143M2:LstBlkTime</stp>
        <tr r="M710" s="5"/>
      </tp>
      <tp t="s">
        <v/>
        <stp/>
        <stp>35544144M2:LstBlkTime</stp>
        <tr r="M634" s="5"/>
      </tp>
      <tp t="s">
        <v/>
        <stp/>
        <stp>35554145M2:LstBlkTime</stp>
        <tr r="M672" s="5"/>
      </tp>
      <tp t="s">
        <v/>
        <stp/>
        <stp>35534143M9:LstBlkTime</stp>
        <tr r="M717" s="5"/>
      </tp>
      <tp t="s">
        <v/>
        <stp/>
        <stp>35544144M9:LstBlkTime</stp>
        <tr r="M641" s="5"/>
      </tp>
      <tp t="s">
        <v/>
        <stp/>
        <stp>35554145M9:LstBlkTime</stp>
        <tr r="M679" s="5"/>
      </tp>
      <tp t="s">
        <v/>
        <stp/>
        <stp>35534143M8:LstBlkTime</stp>
        <tr r="M716" s="5"/>
      </tp>
      <tp t="s">
        <v/>
        <stp/>
        <stp>35544144M8:LstBlkTime</stp>
        <tr r="M640" s="5"/>
      </tp>
      <tp t="s">
        <v/>
        <stp/>
        <stp>35554145M8:LstBlkTime</stp>
        <tr r="M678" s="5"/>
      </tp>
      <tp t="s">
        <v/>
        <stp/>
        <stp>30813691M7:LstBlkTime</stp>
        <tr r="M1960" s="5"/>
      </tp>
      <tp t="s">
        <v/>
        <stp/>
        <stp>30813691M6:LstBlkTime</stp>
        <tr r="M1959" s="5"/>
      </tp>
      <tp t="s">
        <v/>
        <stp/>
        <stp>30813691M5:LstBlkTime</stp>
        <tr r="M1958" s="5"/>
      </tp>
      <tp t="s">
        <v/>
        <stp/>
        <stp>30813691M4:LstBlkTime</stp>
        <tr r="M1957" s="5"/>
      </tp>
      <tp t="s">
        <v>11:02:53</v>
        <stp/>
        <stp>30813691M3:LstBlkTime</stp>
        <tr r="M1956" s="5"/>
      </tp>
      <tp t="s">
        <v/>
        <stp/>
        <stp>30813691M2:LstBlkTime</stp>
        <tr r="M1955" s="5"/>
      </tp>
      <tp t="s">
        <v>11:02:53</v>
        <stp/>
        <stp>30813691M1:LstBlkTime</stp>
        <tr r="M1954" s="5"/>
      </tp>
      <tp t="s">
        <v/>
        <stp/>
        <stp>30813691M0:LstBlkTime</stp>
        <tr r="M1953" s="5"/>
      </tp>
      <tp t="s">
        <v/>
        <stp/>
        <stp>30813691M9:LstBlkTime</stp>
        <tr r="M1962" s="5"/>
      </tp>
      <tp t="s">
        <v/>
        <stp/>
        <stp>30813691M8:LstBlkTime</stp>
        <tr r="M1961" s="5"/>
      </tp>
      <tp t="s">
        <v/>
        <stp/>
        <stp>30813691Y2:LstBlkTime</stp>
        <tr r="M1989" s="5"/>
      </tp>
      <tp t="s">
        <v/>
        <stp/>
        <stp>30813691Y1:LstBlkTime</stp>
        <tr r="M1988" s="5"/>
      </tp>
      <tp t="s">
        <v/>
        <stp/>
        <stp>30813691Y0:LstBlkTime</stp>
        <tr r="M1987" s="5"/>
      </tp>
      <tp t="s">
        <v/>
        <stp/>
        <stp>35534143Y1:LstBlkTime</stp>
        <tr r="M743" s="5"/>
      </tp>
      <tp t="s">
        <v/>
        <stp/>
        <stp>35544144Y1:LstBlkTime</stp>
        <tr r="M667" s="5"/>
      </tp>
      <tp t="s">
        <v/>
        <stp/>
        <stp>35554145Y1:LstBlkTime</stp>
        <tr r="M705" s="5"/>
      </tp>
      <tp t="s">
        <v/>
        <stp/>
        <stp>35534143Y0:LstBlkTime</stp>
        <tr r="M742" s="5"/>
      </tp>
      <tp t="s">
        <v/>
        <stp/>
        <stp>35544144Y0:LstBlkTime</stp>
        <tr r="M666" s="5"/>
      </tp>
      <tp t="s">
        <v/>
        <stp/>
        <stp>35554145Y0:LstBlkTime</stp>
        <tr r="M704" s="5"/>
      </tp>
      <tp t="s">
        <v/>
        <stp/>
        <stp>35534143Y2:LstBlkTime</stp>
        <tr r="M744" s="5"/>
      </tp>
      <tp t="s">
        <v/>
        <stp/>
        <stp>35544144Y2:LstBlkTime</stp>
        <tr r="M668" s="5"/>
      </tp>
      <tp t="s">
        <v/>
        <stp/>
        <stp>35554145Y2:LstBlkTime</stp>
        <tr r="M706" s="5"/>
      </tp>
      <tp t="s">
        <v/>
        <stp/>
        <stp>30813691Q7:LstBlkTime</stp>
        <tr r="M1985" s="5"/>
      </tp>
      <tp t="s">
        <v/>
        <stp/>
        <stp>30813691Q6:LstBlkTime</stp>
        <tr r="M1984" s="5"/>
      </tp>
      <tp t="s">
        <v/>
        <stp/>
        <stp>30813691Q5:LstBlkTime</stp>
        <tr r="M1983" s="5"/>
      </tp>
      <tp t="s">
        <v/>
        <stp/>
        <stp>30813691Q4:LstBlkTime</stp>
        <tr r="M1982" s="5"/>
      </tp>
      <tp t="s">
        <v/>
        <stp/>
        <stp>30813691Q3:LstBlkTime</stp>
        <tr r="M1981" s="5"/>
      </tp>
      <tp t="s">
        <v/>
        <stp/>
        <stp>30813691Q2:LstBlkTime</stp>
        <tr r="M1980" s="5"/>
      </tp>
      <tp t="s">
        <v/>
        <stp/>
        <stp>30813691Q1:LstBlkTime</stp>
        <tr r="M1979" s="5"/>
      </tp>
      <tp t="s">
        <v>08:45:33</v>
        <stp/>
        <stp>30813691Q0:LstBlkTime</stp>
        <tr r="M1978" s="5"/>
      </tp>
      <tp t="s">
        <v/>
        <stp/>
        <stp>30813691Q8:LstBlkTime</stp>
        <tr r="M1986" s="5"/>
      </tp>
      <tp t="s">
        <v/>
        <stp/>
        <stp>35534143Q5:LstBlkTime</stp>
        <tr r="M738" s="5"/>
      </tp>
      <tp t="s">
        <v/>
        <stp/>
        <stp>35544144Q5:LstBlkTime</stp>
        <tr r="M662" s="5"/>
      </tp>
      <tp t="s">
        <v/>
        <stp/>
        <stp>35554145Q5:LstBlkTime</stp>
        <tr r="M700" s="5"/>
      </tp>
      <tp t="s">
        <v/>
        <stp/>
        <stp>35534143Q4:LstBlkTime</stp>
        <tr r="M737" s="5"/>
      </tp>
      <tp t="s">
        <v/>
        <stp/>
        <stp>35544144Q4:LstBlkTime</stp>
        <tr r="M661" s="5"/>
      </tp>
      <tp t="s">
        <v/>
        <stp/>
        <stp>35554145Q4:LstBlkTime</stp>
        <tr r="M699" s="5"/>
      </tp>
      <tp t="s">
        <v/>
        <stp/>
        <stp>35534143Q7:LstBlkTime</stp>
        <tr r="M740" s="5"/>
      </tp>
      <tp t="s">
        <v/>
        <stp/>
        <stp>35544144Q7:LstBlkTime</stp>
        <tr r="M664" s="5"/>
      </tp>
      <tp t="s">
        <v/>
        <stp/>
        <stp>35554145Q7:LstBlkTime</stp>
        <tr r="M702" s="5"/>
      </tp>
      <tp t="s">
        <v/>
        <stp/>
        <stp>35534143Q6:LstBlkTime</stp>
        <tr r="M739" s="5"/>
      </tp>
      <tp t="s">
        <v/>
        <stp/>
        <stp>35544144Q6:LstBlkTime</stp>
        <tr r="M663" s="5"/>
      </tp>
      <tp t="s">
        <v/>
        <stp/>
        <stp>35554145Q6:LstBlkTime</stp>
        <tr r="M701" s="5"/>
      </tp>
      <tp t="s">
        <v/>
        <stp/>
        <stp>35534143Q1:LstBlkTime</stp>
        <tr r="M734" s="5"/>
      </tp>
      <tp t="s">
        <v/>
        <stp/>
        <stp>35544144Q1:LstBlkTime</stp>
        <tr r="M658" s="5"/>
      </tp>
      <tp t="s">
        <v/>
        <stp/>
        <stp>35554145Q1:LstBlkTime</stp>
        <tr r="M696" s="5"/>
      </tp>
      <tp t="s">
        <v/>
        <stp/>
        <stp>35534143Q0:LstBlkTime</stp>
        <tr r="M733" s="5"/>
      </tp>
      <tp t="s">
        <v/>
        <stp/>
        <stp>35544144Q0:LstBlkTime</stp>
        <tr r="M657" s="5"/>
      </tp>
      <tp t="s">
        <v/>
        <stp/>
        <stp>35554145Q0:LstBlkTime</stp>
        <tr r="M695" s="5"/>
      </tp>
      <tp t="s">
        <v/>
        <stp/>
        <stp>35534143Q3:LstBlkTime</stp>
        <tr r="M736" s="5"/>
      </tp>
      <tp t="s">
        <v/>
        <stp/>
        <stp>35544144Q3:LstBlkTime</stp>
        <tr r="M660" s="5"/>
      </tp>
      <tp t="s">
        <v/>
        <stp/>
        <stp>35554145Q3:LstBlkTime</stp>
        <tr r="M698" s="5"/>
      </tp>
      <tp t="s">
        <v/>
        <stp/>
        <stp>35534143Q2:LstBlkTime</stp>
        <tr r="M735" s="5"/>
      </tp>
      <tp t="s">
        <v/>
        <stp/>
        <stp>35544144Q2:LstBlkTime</stp>
        <tr r="M659" s="5"/>
      </tp>
      <tp t="s">
        <v/>
        <stp/>
        <stp>35554145Q2:LstBlkTime</stp>
        <tr r="M697" s="5"/>
      </tp>
      <tp t="s">
        <v/>
        <stp/>
        <stp>35534143Q8:LstBlkTime</stp>
        <tr r="M741" s="5"/>
      </tp>
      <tp t="s">
        <v/>
        <stp/>
        <stp>35544144Q8:LstBlkTime</stp>
        <tr r="M665" s="5"/>
      </tp>
      <tp t="s">
        <v/>
        <stp/>
        <stp>35554145Q8:LstBlkTime</stp>
        <tr r="M703" s="5"/>
      </tp>
      <tp t="s">
        <v/>
        <stp/>
        <stp>18901687M9:LstBlkTime</stp>
        <tr r="M316" s="5"/>
      </tp>
      <tp t="s">
        <v/>
        <stp/>
        <stp>18901687M8:LstBlkTime</stp>
        <tr r="M315" s="5"/>
      </tp>
      <tp t="s">
        <v/>
        <stp/>
        <stp>18901687M7:LstBlkTime</stp>
        <tr r="M314" s="5"/>
      </tp>
      <tp t="s">
        <v/>
        <stp/>
        <stp>18901687M6:LstBlkTime</stp>
        <tr r="M313" s="5"/>
      </tp>
      <tp t="s">
        <v/>
        <stp/>
        <stp>18901687M5:LstBlkTime</stp>
        <tr r="M312" s="5"/>
      </tp>
      <tp t="s">
        <v/>
        <stp/>
        <stp>18901687M4:LstBlkTime</stp>
        <tr r="M311" s="5"/>
      </tp>
      <tp t="s">
        <v/>
        <stp/>
        <stp>18901687M3:LstBlkTime</stp>
        <tr r="M310" s="5"/>
      </tp>
      <tp t="s">
        <v/>
        <stp/>
        <stp>18901687M2:LstBlkTime</stp>
        <tr r="M309" s="5"/>
      </tp>
      <tp t="s">
        <v>08:56:13</v>
        <stp/>
        <stp>18901687M1:LstBlkTime</stp>
        <tr r="M308" s="5"/>
      </tp>
      <tp t="s">
        <v/>
        <stp/>
        <stp>18901687M0:LstBlkTime</stp>
        <tr r="M307" s="5"/>
      </tp>
      <tp t="s">
        <v>Invalid Market: 18901687Y2</v>
        <stp/>
        <stp>18901687Y2:LstBlkTime</stp>
        <tr r="M343" s="5"/>
      </tp>
      <tp t="s">
        <v/>
        <stp/>
        <stp>18901687Y1:LstBlkTime</stp>
        <tr r="M342" s="5"/>
      </tp>
      <tp t="s">
        <v/>
        <stp/>
        <stp>18901687Y0:LstBlkTime</stp>
        <tr r="M341" s="5"/>
      </tp>
      <tp t="s">
        <v/>
        <stp/>
        <stp>18901687Q8:LstBlkTime</stp>
        <tr r="M340" s="5"/>
      </tp>
      <tp t="s">
        <v/>
        <stp/>
        <stp>18901687Q7:LstBlkTime</stp>
        <tr r="M339" s="5"/>
      </tp>
      <tp t="s">
        <v/>
        <stp/>
        <stp>18901687Q6:LstBlkTime</stp>
        <tr r="M338" s="5"/>
      </tp>
      <tp t="s">
        <v/>
        <stp/>
        <stp>18901687Q5:LstBlkTime</stp>
        <tr r="M337" s="5"/>
      </tp>
      <tp t="s">
        <v/>
        <stp/>
        <stp>18901687Q4:LstBlkTime</stp>
        <tr r="M336" s="5"/>
      </tp>
      <tp t="s">
        <v/>
        <stp/>
        <stp>18901687Q3:LstBlkTime</stp>
        <tr r="M335" s="5"/>
      </tp>
      <tp t="s">
        <v/>
        <stp/>
        <stp>18901687Q2:LstBlkTime</stp>
        <tr r="M334" s="5"/>
      </tp>
      <tp t="s">
        <v/>
        <stp/>
        <stp>18901687Q1:LstBlkTime</stp>
        <tr r="M333" s="5"/>
      </tp>
      <tp t="s">
        <v/>
        <stp/>
        <stp>18901687Q0:LstBlkTime</stp>
        <tr r="M332" s="5"/>
      </tp>
      <tp t="s">
        <v/>
        <stp/>
        <stp>15091310M7:LstBlkTime</stp>
        <tr r="M1384" s="5"/>
      </tp>
      <tp t="s">
        <v/>
        <stp/>
        <stp>15091310M6:LstBlkTime</stp>
        <tr r="M1383" s="5"/>
      </tp>
      <tp t="s">
        <v/>
        <stp/>
        <stp>15091310M5:LstBlkTime</stp>
        <tr r="M1382" s="5"/>
      </tp>
      <tp t="s">
        <v/>
        <stp/>
        <stp>15091310M4:LstBlkTime</stp>
        <tr r="M1381" s="5"/>
      </tp>
      <tp t="s">
        <v/>
        <stp/>
        <stp>15091310M3:LstBlkTime</stp>
        <tr r="M1380" s="5"/>
      </tp>
      <tp t="s">
        <v/>
        <stp/>
        <stp>15091310M2:LstBlkTime</stp>
        <tr r="M1379" s="5"/>
      </tp>
      <tp t="s">
        <v>10:13:02</v>
        <stp/>
        <stp>15091310M1:LstBlkTime</stp>
        <tr r="M1378" s="5"/>
      </tp>
      <tp t="s">
        <v/>
        <stp/>
        <stp>15091310M0:LstBlkTime</stp>
        <tr r="M1377" s="5"/>
      </tp>
      <tp t="s">
        <v/>
        <stp/>
        <stp>15091310M9:LstBlkTime</stp>
        <tr r="M1386" s="5"/>
      </tp>
      <tp t="s">
        <v/>
        <stp/>
        <stp>15091310M8:LstBlkTime</stp>
        <tr r="M1385" s="5"/>
      </tp>
      <tp t="s">
        <v/>
        <stp/>
        <stp>15091310Y2:LstBlkTime</stp>
        <tr r="M1413" s="5"/>
      </tp>
      <tp t="s">
        <v/>
        <stp/>
        <stp>15091310Y1:LstBlkTime</stp>
        <tr r="M1412" s="5"/>
      </tp>
      <tp t="s">
        <v/>
        <stp/>
        <stp>15091310Y0:LstBlkTime</stp>
        <tr r="M1411" s="5"/>
      </tp>
      <tp t="s">
        <v/>
        <stp/>
        <stp>15091310Q7:LstBlkTime</stp>
        <tr r="M1409" s="5"/>
      </tp>
      <tp t="s">
        <v/>
        <stp/>
        <stp>15091310Q6:LstBlkTime</stp>
        <tr r="M1408" s="5"/>
      </tp>
      <tp t="s">
        <v/>
        <stp/>
        <stp>15091310Q5:LstBlkTime</stp>
        <tr r="M1407" s="5"/>
      </tp>
      <tp t="s">
        <v/>
        <stp/>
        <stp>15091310Q4:LstBlkTime</stp>
        <tr r="M1406" s="5"/>
      </tp>
      <tp t="s">
        <v/>
        <stp/>
        <stp>15091310Q3:LstBlkTime</stp>
        <tr r="M1405" s="5"/>
      </tp>
      <tp t="s">
        <v/>
        <stp/>
        <stp>15091310Q2:LstBlkTime</stp>
        <tr r="M1404" s="5"/>
      </tp>
      <tp t="s">
        <v>09:07:29</v>
        <stp/>
        <stp>15091310Q1:LstBlkTime</stp>
        <tr r="M1403" s="5"/>
      </tp>
      <tp t="s">
        <v>09:10:29</v>
        <stp/>
        <stp>15091310Q0:LstBlkTime</stp>
        <tr r="M1402" s="5"/>
      </tp>
      <tp t="s">
        <v/>
        <stp/>
        <stp>15091310Q8:LstBlkTime</stp>
        <tr r="M1410" s="5"/>
      </tp>
      <tp>
        <v>0</v>
        <stp/>
        <stp>1986923076M24:Vol</stp>
        <tr r="N179" s="5"/>
      </tp>
      <tp>
        <v>0</v>
        <stp/>
        <stp>1986823075M24:Vol</stp>
        <tr r="N141" s="5"/>
      </tp>
      <tp>
        <v>0</v>
        <stp/>
        <stp>1986823075M21:Vol</stp>
        <tr r="N138" s="5"/>
      </tp>
      <tp>
        <v>0</v>
        <stp/>
        <stp>1986923076M20:Vol</stp>
        <tr r="N175" s="5"/>
      </tp>
      <tp>
        <v>0</v>
        <stp/>
        <stp>1986823075M20:Vol</stp>
        <tr r="N137" s="5"/>
      </tp>
      <tp>
        <v>0</v>
        <stp/>
        <stp>1986923076M21:Vol</stp>
        <tr r="N176" s="5"/>
      </tp>
      <tp>
        <v>0</v>
        <stp/>
        <stp>1986823075M23:Vol</stp>
        <tr r="N140" s="5"/>
      </tp>
      <tp>
        <v>0</v>
        <stp/>
        <stp>1986923076M22:Vol</stp>
        <tr r="N177" s="5"/>
      </tp>
      <tp>
        <v>0</v>
        <stp/>
        <stp>1986823075M22:Vol</stp>
        <tr r="N139" s="5"/>
      </tp>
      <tp>
        <v>0</v>
        <stp/>
        <stp>1986923076M23:Vol</stp>
        <tr r="N178" s="5"/>
      </tp>
      <tp>
        <v>0</v>
        <stp/>
        <stp>1986823075M15:Vol</stp>
        <tr r="N132" s="5"/>
      </tp>
      <tp>
        <v>0</v>
        <stp/>
        <stp>1986923076M14:Vol</stp>
        <tr r="N169" s="5"/>
      </tp>
      <tp>
        <v>0</v>
        <stp/>
        <stp>1986823075M14:Vol</stp>
        <tr r="N131" s="5"/>
      </tp>
      <tp>
        <v>0</v>
        <stp/>
        <stp>1986923076M15:Vol</stp>
        <tr r="N170" s="5"/>
      </tp>
      <tp>
        <v>0</v>
        <stp/>
        <stp>1986823075M17:Vol</stp>
        <tr r="N134" s="5"/>
      </tp>
      <tp>
        <v>0</v>
        <stp/>
        <stp>1986923076M16:Vol</stp>
        <tr r="N171" s="5"/>
      </tp>
      <tp>
        <v>0</v>
        <stp/>
        <stp>1986823075M16:Vol</stp>
        <tr r="N133" s="5"/>
      </tp>
      <tp>
        <v>0</v>
        <stp/>
        <stp>1986923076M17:Vol</stp>
        <tr r="N172" s="5"/>
      </tp>
      <tp>
        <v>0</v>
        <stp/>
        <stp>1986823075M11:Vol</stp>
        <tr r="N128" s="5"/>
      </tp>
      <tp>
        <v>0</v>
        <stp/>
        <stp>1986923076M10:Vol</stp>
        <tr r="N165" s="5"/>
      </tp>
      <tp>
        <v>0</v>
        <stp/>
        <stp>1986823075M10:Vol</stp>
        <tr r="N127" s="5"/>
      </tp>
      <tp>
        <v>0</v>
        <stp/>
        <stp>1986923076M11:Vol</stp>
        <tr r="N166" s="5"/>
      </tp>
      <tp>
        <v>0</v>
        <stp/>
        <stp>1986823075M13:Vol</stp>
        <tr r="N130" s="5"/>
      </tp>
      <tp>
        <v>0</v>
        <stp/>
        <stp>1986923076M12:Vol</stp>
        <tr r="N167" s="5"/>
      </tp>
      <tp>
        <v>0</v>
        <stp/>
        <stp>1986823075M12:Vol</stp>
        <tr r="N129" s="5"/>
      </tp>
      <tp>
        <v>0</v>
        <stp/>
        <stp>1986923076M13:Vol</stp>
        <tr r="N168" s="5"/>
      </tp>
      <tp>
        <v>0</v>
        <stp/>
        <stp>1986823075M19:Vol</stp>
        <tr r="N136" s="5"/>
      </tp>
      <tp>
        <v>0</v>
        <stp/>
        <stp>1986923076M18:Vol</stp>
        <tr r="N173" s="5"/>
      </tp>
      <tp>
        <v>0</v>
        <stp/>
        <stp>1986823075M18:Vol</stp>
        <tr r="N135" s="5"/>
      </tp>
      <tp>
        <v>0</v>
        <stp/>
        <stp>1986923076M19:Vol</stp>
        <tr r="N174" s="5"/>
      </tp>
      <tp t="s">
        <v/>
        <stp/>
        <stp>161913535MM19:LstBlkVol</stp>
        <tr r="L2046" s="5"/>
      </tp>
      <tp>
        <v>-9</v>
        <stp/>
        <stp>5162Q0:BstLiftPrc</stp>
        <tr r="H794" s="5"/>
      </tp>
      <tp>
        <v>-8.1999999999999993</v>
        <stp/>
        <stp>5162Q1:BstLiftPrc</stp>
        <tr r="H795" s="5"/>
      </tp>
      <tp t="s">
        <v/>
        <stp/>
        <stp>5162Q2:BstLiftPrc</stp>
        <tr r="H796" s="5"/>
      </tp>
      <tp t="s">
        <v/>
        <stp/>
        <stp>5162Q3:BstLiftPrc</stp>
        <tr r="H797" s="5"/>
      </tp>
      <tp t="s">
        <v/>
        <stp/>
        <stp>5162Q4:BstLiftPrc</stp>
        <tr r="H798" s="5"/>
      </tp>
      <tp t="s">
        <v/>
        <stp/>
        <stp>5162Q5:BstLiftPrc</stp>
        <tr r="H799" s="5"/>
      </tp>
      <tp t="s">
        <v/>
        <stp/>
        <stp>5162Q6:BstLiftPrc</stp>
        <tr r="H800" s="5"/>
      </tp>
      <tp t="s">
        <v/>
        <stp/>
        <stp>5162Q7:BstLiftPrc</stp>
        <tr r="H801" s="5"/>
      </tp>
      <tp t="s">
        <v/>
        <stp/>
        <stp>5162Q8:BstLiftPrc</stp>
        <tr r="H802" s="5"/>
      </tp>
      <tp t="s">
        <v/>
        <stp/>
        <stp>5162Y0:BstLiftPrc</stp>
        <tr r="H803" s="5"/>
      </tp>
      <tp t="s">
        <v/>
        <stp/>
        <stp>5162Y1:BstLiftPrc</stp>
        <tr r="H804" s="5"/>
      </tp>
      <tp t="s">
        <v/>
        <stp/>
        <stp>5162Y2:BstLiftPrc</stp>
        <tr r="H805" s="5"/>
      </tp>
      <tp t="s">
        <v/>
        <stp/>
        <stp>5162M0:BstLiftPrc</stp>
        <tr r="H769" s="5"/>
      </tp>
      <tp>
        <v>-11.85</v>
        <stp/>
        <stp>5162M1:BstLiftPrc</stp>
        <tr r="H770" s="5"/>
      </tp>
      <tp t="s">
        <v/>
        <stp/>
        <stp>5162M2:BstLiftPrc</stp>
        <tr r="H771" s="5"/>
      </tp>
      <tp>
        <v>-9.15</v>
        <stp/>
        <stp>5162M3:BstLiftPrc</stp>
        <tr r="H772" s="5"/>
      </tp>
      <tp t="s">
        <v/>
        <stp/>
        <stp>5162M4:BstLiftPrc</stp>
        <tr r="H773" s="5"/>
      </tp>
      <tp t="s">
        <v/>
        <stp/>
        <stp>5162M5:BstLiftPrc</stp>
        <tr r="H774" s="5"/>
      </tp>
      <tp t="s">
        <v/>
        <stp/>
        <stp>5162M6:BstLiftPrc</stp>
        <tr r="H775" s="5"/>
      </tp>
      <tp t="s">
        <v/>
        <stp/>
        <stp>5162M7:BstLiftPrc</stp>
        <tr r="H776" s="5"/>
      </tp>
      <tp t="s">
        <v/>
        <stp/>
        <stp>5162M8:BstLiftPrc</stp>
        <tr r="H777" s="5"/>
      </tp>
      <tp t="s">
        <v/>
        <stp/>
        <stp>5162M9:BstLiftPrc</stp>
        <tr r="H778" s="5"/>
      </tp>
      <tp>
        <v>0</v>
        <stp/>
        <stp>5162M23:Vol</stp>
        <tr r="N792" s="5"/>
      </tp>
      <tp>
        <v>0</v>
        <stp/>
        <stp>5162M22:Vol</stp>
        <tr r="N791" s="5"/>
      </tp>
      <tp>
        <v>0</v>
        <stp/>
        <stp>5162M21:Vol</stp>
        <tr r="N790" s="5"/>
      </tp>
      <tp>
        <v>0</v>
        <stp/>
        <stp>5162M20:Vol</stp>
        <tr r="N789" s="5"/>
      </tp>
      <tp>
        <v>0</v>
        <stp/>
        <stp>5162M24:Vol</stp>
        <tr r="N793" s="5"/>
      </tp>
      <tp>
        <v>0</v>
        <stp/>
        <stp>5162M13:Vol</stp>
        <tr r="N782" s="5"/>
      </tp>
      <tp>
        <v>0</v>
        <stp/>
        <stp>5162M12:Vol</stp>
        <tr r="N781" s="5"/>
      </tp>
      <tp>
        <v>0</v>
        <stp/>
        <stp>5162M11:Vol</stp>
        <tr r="N780" s="5"/>
      </tp>
      <tp>
        <v>0</v>
        <stp/>
        <stp>5162M10:Vol</stp>
        <tr r="N779" s="5"/>
      </tp>
      <tp>
        <v>0</v>
        <stp/>
        <stp>5162M17:Vol</stp>
        <tr r="N786" s="5"/>
      </tp>
      <tp>
        <v>0</v>
        <stp/>
        <stp>5162M16:Vol</stp>
        <tr r="N785" s="5"/>
      </tp>
      <tp>
        <v>0</v>
        <stp/>
        <stp>5162M15:Vol</stp>
        <tr r="N784" s="5"/>
      </tp>
      <tp>
        <v>0</v>
        <stp/>
        <stp>5162M14:Vol</stp>
        <tr r="N783" s="5"/>
      </tp>
      <tp>
        <v>0</v>
        <stp/>
        <stp>5162M19:Vol</stp>
        <tr r="N788" s="5"/>
      </tp>
      <tp>
        <v>0</v>
        <stp/>
        <stp>5162M18:Vol</stp>
        <tr r="N787" s="5"/>
      </tp>
      <tp t="s">
        <v>DBI</v>
        <stp/>
        <stp>DBI1227MM2:PCC</stp>
        <tr r="B1653" s="5"/>
      </tp>
      <tp t="s">
        <v>DBI</v>
        <stp/>
        <stp>DBI1227MM3:PCC</stp>
        <tr r="B1654" s="5"/>
      </tp>
      <tp t="s">
        <v>DBI</v>
        <stp/>
        <stp>DBI1227MM0:PCC</stp>
        <tr r="B1648" s="5"/>
        <tr r="B1651" s="5"/>
      </tp>
      <tp t="s">
        <v>DBI</v>
        <stp/>
        <stp>DBI1227MM1:PCC</stp>
        <tr r="B1652" s="5"/>
      </tp>
      <tp t="s">
        <v>DBI</v>
        <stp/>
        <stp>DBI1227MM6:PCC</stp>
        <tr r="B1657" s="5"/>
      </tp>
      <tp t="s">
        <v>DBI</v>
        <stp/>
        <stp>DBI1227MM7:PCC</stp>
        <tr r="B1658" s="5"/>
      </tp>
      <tp t="s">
        <v>DBI</v>
        <stp/>
        <stp>DBI1227MM4:PCC</stp>
        <tr r="B1655" s="5"/>
      </tp>
      <tp t="s">
        <v>DBI</v>
        <stp/>
        <stp>DBI1227MM5:PCC</stp>
        <tr r="B1656" s="5"/>
      </tp>
      <tp t="s">
        <v>DBI</v>
        <stp/>
        <stp>DBI1227MM8:PCC</stp>
        <tr r="B1659" s="5"/>
      </tp>
      <tp t="s">
        <v>DBI</v>
        <stp/>
        <stp>DBI1227MM9:PCC</stp>
        <tr r="B1660" s="5"/>
      </tp>
      <tp t="s">
        <v/>
        <stp/>
        <stp>1986923076Y2:LstBlkTime</stp>
        <tr r="M191" s="5"/>
      </tp>
      <tp t="s">
        <v/>
        <stp/>
        <stp>1986923076Y0:LstBlkTime</stp>
        <tr r="M189" s="5"/>
      </tp>
      <tp t="s">
        <v/>
        <stp/>
        <stp>1986923076Y1:LstBlkTime</stp>
        <tr r="M190" s="5"/>
      </tp>
      <tp t="s">
        <v/>
        <stp/>
        <stp>1986923076Q8:LstBlkTime</stp>
        <tr r="M188" s="5"/>
      </tp>
      <tp t="s">
        <v/>
        <stp/>
        <stp>1986923076Q2:LstBlkTime</stp>
        <tr r="M182" s="5"/>
      </tp>
      <tp t="s">
        <v/>
        <stp/>
        <stp>1986923076Q3:LstBlkTime</stp>
        <tr r="M183" s="5"/>
      </tp>
      <tp t="s">
        <v/>
        <stp/>
        <stp>1986923076Q0:LstBlkTime</stp>
        <tr r="M180" s="5"/>
      </tp>
      <tp t="s">
        <v/>
        <stp/>
        <stp>1986923076Q1:LstBlkTime</stp>
        <tr r="M181" s="5"/>
      </tp>
      <tp t="s">
        <v/>
        <stp/>
        <stp>1986923076Q6:LstBlkTime</stp>
        <tr r="M186" s="5"/>
      </tp>
      <tp t="s">
        <v/>
        <stp/>
        <stp>1986923076Q7:LstBlkTime</stp>
        <tr r="M187" s="5"/>
      </tp>
      <tp t="s">
        <v/>
        <stp/>
        <stp>1986923076Q4:LstBlkTime</stp>
        <tr r="M184" s="5"/>
      </tp>
      <tp t="s">
        <v/>
        <stp/>
        <stp>1986923076Q5:LstBlkTime</stp>
        <tr r="M185" s="5"/>
      </tp>
      <tp t="s">
        <v/>
        <stp/>
        <stp>1986923076M8:LstBlkTime</stp>
        <tr r="M163" s="5"/>
      </tp>
      <tp t="s">
        <v/>
        <stp/>
        <stp>1986923076M9:LstBlkTime</stp>
        <tr r="M164" s="5"/>
      </tp>
      <tp t="s">
        <v>10:50:22</v>
        <stp/>
        <stp>1986923076M2:LstBlkTime</stp>
        <tr r="M157" s="5"/>
      </tp>
      <tp t="s">
        <v/>
        <stp/>
        <stp>1986923076M3:LstBlkTime</stp>
        <tr r="M158" s="5"/>
      </tp>
      <tp t="s">
        <v/>
        <stp/>
        <stp>1986923076M0:LstBlkTime</stp>
        <tr r="M155" s="5"/>
      </tp>
      <tp t="s">
        <v>11:00:14</v>
        <stp/>
        <stp>1986923076M1:LstBlkTime</stp>
        <tr r="M156" s="5"/>
      </tp>
      <tp t="s">
        <v/>
        <stp/>
        <stp>1986923076M6:LstBlkTime</stp>
        <tr r="M161" s="5"/>
      </tp>
      <tp t="s">
        <v/>
        <stp/>
        <stp>1986923076M7:LstBlkTime</stp>
        <tr r="M162" s="5"/>
      </tp>
      <tp t="s">
        <v>08:52:39</v>
        <stp/>
        <stp>1986923076M4:LstBlkTime</stp>
        <tr r="M159" s="5"/>
      </tp>
      <tp t="s">
        <v/>
        <stp/>
        <stp>1986923076M5:LstBlkTime</stp>
        <tr r="M160" s="5"/>
      </tp>
      <tp t="s">
        <v/>
        <stp/>
        <stp>2181524588B0:LstBlkTime</stp>
        <tr r="M1452" s="5"/>
      </tp>
      <tp t="s">
        <v>TEN</v>
        <stp/>
        <stp>2755728678M24:PCC</stp>
        <tr r="B1135" s="5"/>
      </tp>
      <tp t="s">
        <v>TEN</v>
        <stp/>
        <stp>2755728678M22:PCC</stp>
        <tr r="B1133" s="5"/>
      </tp>
      <tp t="s">
        <v>TEN</v>
        <stp/>
        <stp>2755728678M23:PCC</stp>
        <tr r="B1134" s="5"/>
      </tp>
      <tp t="s">
        <v>TEN</v>
        <stp/>
        <stp>2755728678M20:PCC</stp>
        <tr r="B1131" s="5"/>
      </tp>
      <tp t="s">
        <v>TEN</v>
        <stp/>
        <stp>2755728678M21:PCC</stp>
        <tr r="B1132" s="5"/>
      </tp>
      <tp t="s">
        <v>TEO</v>
        <stp/>
        <stp>2755828679M21:PCC</stp>
        <tr r="B1018" s="5"/>
      </tp>
      <tp t="s">
        <v>TEO</v>
        <stp/>
        <stp>2755828679M20:PCC</stp>
        <tr r="B1017" s="5"/>
      </tp>
      <tp t="s">
        <v>TEO</v>
        <stp/>
        <stp>2755828679M23:PCC</stp>
        <tr r="B1020" s="5"/>
      </tp>
      <tp t="s">
        <v>TEO</v>
        <stp/>
        <stp>2755828679M22:PCC</stp>
        <tr r="B1019" s="5"/>
      </tp>
      <tp t="s">
        <v>TEO</v>
        <stp/>
        <stp>2755828679M24:PCC</stp>
        <tr r="B1021" s="5"/>
      </tp>
      <tp t="s">
        <v>TEN</v>
        <stp/>
        <stp>2755728678M16:PCC</stp>
        <tr r="B1127" s="5"/>
      </tp>
      <tp t="s">
        <v>TEO</v>
        <stp/>
        <stp>2755828679M19:PCC</stp>
        <tr r="B1016" s="5"/>
      </tp>
      <tp t="s">
        <v>TEN</v>
        <stp/>
        <stp>2755728678M17:PCC</stp>
        <tr r="B1128" s="5"/>
      </tp>
      <tp t="s">
        <v>TEO</v>
        <stp/>
        <stp>2755828679M18:PCC</stp>
        <tr r="B1015" s="5"/>
      </tp>
      <tp t="s">
        <v>TEN</v>
        <stp/>
        <stp>2755728678M14:PCC</stp>
        <tr r="B1125" s="5"/>
      </tp>
      <tp t="s">
        <v>TEN</v>
        <stp/>
        <stp>2755728678M15:PCC</stp>
        <tr r="B1126" s="5"/>
      </tp>
      <tp t="s">
        <v>TEN</v>
        <stp/>
        <stp>2755728678M12:PCC</stp>
        <tr r="B1123" s="5"/>
      </tp>
      <tp t="s">
        <v>TEN</v>
        <stp/>
        <stp>2755728678M13:PCC</stp>
        <tr r="B1124" s="5"/>
      </tp>
      <tp t="s">
        <v>TEN</v>
        <stp/>
        <stp>2755728678M10:PCC</stp>
        <tr r="B1121" s="5"/>
      </tp>
      <tp t="s">
        <v>TEN</v>
        <stp/>
        <stp>2755728678M11:PCC</stp>
        <tr r="B1122" s="5"/>
      </tp>
      <tp t="s">
        <v>TEO</v>
        <stp/>
        <stp>2755828679M11:PCC</stp>
        <tr r="B1008" s="5"/>
      </tp>
      <tp t="s">
        <v>TEO</v>
        <stp/>
        <stp>2755828679M10:PCC</stp>
        <tr r="B1007" s="5"/>
      </tp>
      <tp t="s">
        <v>TEO</v>
        <stp/>
        <stp>2755828679M13:PCC</stp>
        <tr r="B1010" s="5"/>
      </tp>
      <tp t="s">
        <v>TEO</v>
        <stp/>
        <stp>2755828679M12:PCC</stp>
        <tr r="B1009" s="5"/>
      </tp>
      <tp t="s">
        <v>TEO</v>
        <stp/>
        <stp>2755828679M15:PCC</stp>
        <tr r="B1012" s="5"/>
      </tp>
      <tp t="s">
        <v>TEO</v>
        <stp/>
        <stp>2755828679M14:PCC</stp>
        <tr r="B1011" s="5"/>
      </tp>
      <tp t="s">
        <v>TEN</v>
        <stp/>
        <stp>2755728678M18:PCC</stp>
        <tr r="B1129" s="5"/>
      </tp>
      <tp t="s">
        <v>TEO</v>
        <stp/>
        <stp>2755828679M17:PCC</stp>
        <tr r="B1014" s="5"/>
      </tp>
      <tp t="s">
        <v>TEN</v>
        <stp/>
        <stp>2755728678M19:PCC</stp>
        <tr r="B1130" s="5"/>
      </tp>
      <tp t="s">
        <v>TEO</v>
        <stp/>
        <stp>2755828679M16:PCC</stp>
        <tr r="B1013" s="5"/>
      </tp>
      <tp t="s">
        <v/>
        <stp/>
        <stp>41787896M19:BstHitPrc</stp>
        <tr r="G826" s="5"/>
      </tp>
      <tp t="s">
        <v>CFS</v>
        <stp/>
        <stp>3016030250BM0:PCC</stp>
        <tr r="B1682" s="5"/>
      </tp>
      <tp t="s">
        <v/>
        <stp/>
        <stp>41767893M19:LstBlkPrc</stp>
        <tr r="K499" s="5"/>
      </tp>
      <tp t="s">
        <v/>
        <stp/>
        <stp>57409036M20:LstBlkPrc</stp>
        <tr r="K251" s="5"/>
      </tp>
      <tp t="s">
        <v/>
        <stp/>
        <stp>57409036M10:LstBlkPrc</stp>
        <tr r="K241" s="5"/>
      </tp>
      <tp t="s">
        <v/>
        <stp/>
        <stp>29243602M15:LstBlkPrc</stp>
        <tr r="K761" s="5"/>
      </tp>
      <tp t="s">
        <v/>
        <stp/>
        <stp>18851683M17:LstBlkPrc</stp>
        <tr r="K210" s="5"/>
      </tp>
      <tp t="s">
        <v>Invalid Market: 57179020M24</v>
        <stp/>
        <stp>57179020M24:LstBlkPrc</stp>
        <tr r="K1571" s="5"/>
      </tp>
      <tp t="s">
        <v/>
        <stp/>
        <stp>57179020M14:LstBlkPrc</stp>
        <tr r="K1561" s="5"/>
      </tp>
      <tp t="s">
        <v/>
        <stp/>
        <stp>18901687M16:LstBlkPrc</stp>
        <tr r="K323" s="5"/>
      </tp>
      <tp t="s">
        <v/>
        <stp/>
        <stp>30793693M19:BstHitPrc</stp>
        <tr r="G902" s="5"/>
      </tp>
      <tp t="s">
        <v/>
        <stp/>
        <stp>46678127M23:LstBlkPrc</stp>
        <tr r="K368" s="5"/>
      </tp>
      <tp t="s">
        <v/>
        <stp/>
        <stp>46678127M13:LstBlkPrc</stp>
        <tr r="K358" s="5"/>
      </tp>
      <tp t="s">
        <v/>
        <stp/>
        <stp>16331513M15:LstBlkPrc</stp>
        <tr r="K1430" s="5"/>
      </tp>
      <tp t="s">
        <v/>
        <stp/>
        <stp>16341514M15:LstBlkPrc</stp>
        <tr r="K1468" s="5"/>
      </tp>
      <tp t="s">
        <v/>
        <stp/>
        <stp>16351515M15:LstBlkPrc</stp>
        <tr r="K1506" s="5"/>
      </tp>
      <tp t="s">
        <v/>
        <stp/>
        <stp>30813691M16:LstBlkPrc</stp>
        <tr r="K1969" s="5"/>
      </tp>
      <tp t="s">
        <v/>
        <stp/>
        <stp>35534143M16:LstBlkPrc</stp>
        <tr r="K724" s="5"/>
      </tp>
      <tp t="s">
        <v/>
        <stp/>
        <stp>35544144M16:LstBlkPrc</stp>
        <tr r="K648" s="5"/>
      </tp>
      <tp t="s">
        <v/>
        <stp/>
        <stp>35554145M16:LstBlkPrc</stp>
        <tr r="K686" s="5"/>
      </tp>
      <tp t="s">
        <v>Oct26/Dec26</v>
        <stp/>
        <stp>DBI1227MM9:Strip</stp>
        <tr r="E1660" s="5"/>
      </tp>
    </main>
    <main first="bofaddin.rtdserver">
      <tp>
        <v>652.1</v>
        <stp/>
        <stp>BDP|16831334166040252009|222</stp>
        <stp>SCPX26 Comdty</stp>
        <stp>BID</stp>
        <stp>Fill=#N/A</stp>
        <tr r="M21" s="1"/>
      </tp>
    </main>
    <main first="ice.rtd">
      <tp t="s">
        <v/>
        <stp/>
        <stp>32623993M18:LstBlkPrc</stp>
        <tr r="K2008" s="5"/>
      </tp>
      <tp t="s">
        <v/>
        <stp/>
        <stp>18871685M17:LstBlkPrc</stp>
        <tr r="K438" s="5"/>
      </tp>
      <tp t="s">
        <v/>
        <stp/>
        <stp>15091310M16:BstHitPrc</stp>
        <tr r="G1393" s="5"/>
      </tp>
      <tp t="s">
        <v/>
        <stp/>
        <stp>32613992M18:LstBlkPrc</stp>
        <tr r="K1243" s="5"/>
      </tp>
      <tp t="s">
        <v/>
        <stp/>
        <stp>18851683M17:BstHitPrc</stp>
        <tr r="G210" s="5"/>
      </tp>
      <tp t="s">
        <v/>
        <stp/>
        <stp>29243602M15:BstHitPrc</stp>
        <tr r="G761" s="5"/>
      </tp>
      <tp>
        <v>-11.24</v>
        <stp/>
        <stp>57409036M10:BstHitPrc</stp>
        <tr r="G241" s="5"/>
      </tp>
      <tp t="s">
        <v/>
        <stp/>
        <stp>57409036M20:BstHitPrc</stp>
        <tr r="G251" s="5"/>
      </tp>
      <tp t="s">
        <v/>
        <stp/>
        <stp>18901687M16:BstHitPrc</stp>
        <tr r="G323" s="5"/>
      </tp>
      <tp t="s">
        <v/>
        <stp/>
        <stp>57179020M14:BstHitPrc</stp>
        <tr r="G1561" s="5"/>
      </tp>
      <tp t="s">
        <v>Invalid Market: 57179020M24</v>
        <stp/>
        <stp>57179020M24:BstHitPrc</stp>
        <tr r="G1571" s="5"/>
      </tp>
      <tp t="s">
        <v/>
        <stp/>
        <stp>41787896M19:LstBlkPrc</stp>
        <tr r="K826" s="5"/>
      </tp>
    </main>
    <main first="bofaddin.rtdserver">
      <tp>
        <v>539.1</v>
        <stp/>
        <stp>BDP|12241261355272792461|222</stp>
        <stp>SCPM27 Comdty</stp>
        <stp>BID</stp>
        <stp>Fill=#N/A</stp>
        <tr r="M28" s="1"/>
      </tp>
    </main>
    <main first="ice.rtd">
      <tp t="s">
        <v/>
        <stp/>
        <stp>41767893M19:BstHitPrc</stp>
        <tr r="G499" s="5"/>
      </tp>
      <tp t="s">
        <v/>
        <stp/>
        <stp>18871685M17:BstHitPrc</stp>
        <tr r="G438" s="5"/>
      </tp>
    </main>
    <main first="bofaddin.rtdserver">
      <tp>
        <v>605.5</v>
        <stp/>
        <stp>BDP|12737551475202218138|222</stp>
        <stp>SCPF27 Comdty</stp>
        <stp>BID</stp>
        <stp>Fill=#N/A</stp>
        <tr r="M23" s="1"/>
      </tp>
    </main>
    <main first="ice.rtd">
      <tp t="s">
        <v/>
        <stp/>
        <stp>32613992M18:BstHitPrc</stp>
        <tr r="G1243" s="5"/>
      </tp>
      <tp t="s">
        <v/>
        <stp/>
        <stp>15091310M16:LstBlkPrc</stp>
        <tr r="K1393" s="5"/>
      </tp>
      <tp t="s">
        <v/>
        <stp/>
        <stp>30813691M16:BstHitPrc</stp>
        <tr r="G1969" s="5"/>
      </tp>
      <tp t="s">
        <v/>
        <stp/>
        <stp>16331513M15:BstHitPrc</stp>
        <tr r="G1430" s="5"/>
      </tp>
      <tp t="s">
        <v/>
        <stp/>
        <stp>16341514M15:BstHitPrc</stp>
        <tr r="G1468" s="5"/>
      </tp>
      <tp t="s">
        <v/>
        <stp/>
        <stp>16351515M15:BstHitPrc</stp>
        <tr r="G1506" s="5"/>
      </tp>
      <tp>
        <v>0</v>
        <stp/>
        <stp>35534143M16:BstHitPrc</stp>
        <tr r="G724" s="5"/>
      </tp>
      <tp t="s">
        <v/>
        <stp/>
        <stp>35544144M16:BstHitPrc</stp>
        <tr r="G648" s="5"/>
      </tp>
      <tp t="s">
        <v/>
        <stp/>
        <stp>35554145M16:BstHitPrc</stp>
        <tr r="G686" s="5"/>
      </tp>
      <tp t="s">
        <v/>
        <stp/>
        <stp>30793693M19:LstBlkPrc</stp>
        <tr r="K902" s="5"/>
      </tp>
      <tp>
        <v>13.7</v>
        <stp/>
        <stp>46678127M13:BstHitPrc</stp>
        <tr r="G358" s="5"/>
      </tp>
      <tp t="s">
        <v/>
        <stp/>
        <stp>46678127M23:BstHitPrc</stp>
        <tr r="G368" s="5"/>
      </tp>
    </main>
    <main first="bofaddin.rtdserver">
      <tp>
        <v>514.9</v>
        <stp/>
        <stp>BDP|10581810266891004393|222</stp>
        <stp>SCPM28 Comdty</stp>
        <stp>ASK</stp>
        <stp>Fill=#N/A</stp>
        <tr r="M40" s="1"/>
      </tp>
    </main>
    <main first="ice.rtd">
      <tp t="s">
        <v/>
        <stp/>
        <stp>32623993M18:BstHitPrc</stp>
        <tr r="G2008" s="5"/>
      </tp>
      <tp t="s">
        <v/>
        <stp/>
        <stp>15091310M20:LstBlkVol</stp>
        <tr r="L1397" s="5"/>
      </tp>
      <tp t="s">
        <v/>
        <stp/>
        <stp>15091310M10:LstBlkVol</stp>
        <tr r="L1387" s="5"/>
      </tp>
    </main>
    <main first="esrtd">
      <tp t="s">
        <v/>
        <stp/>
        <stp>WNS 11!-IEU</stp>
        <stp>Open Interest</stp>
        <tr r="T1858" s="5"/>
      </tp>
      <tp t="s">
        <v/>
        <stp/>
        <stp>WNS 10!-IEU</stp>
        <stp>Open Interest</stp>
        <tr r="T1857" s="5"/>
      </tp>
      <tp t="s">
        <v/>
        <stp/>
        <stp>WNS 13!-IEU</stp>
        <stp>Open Interest</stp>
        <tr r="T1860" s="5"/>
      </tp>
      <tp t="s">
        <v/>
        <stp/>
        <stp>WNS 12!-IEU</stp>
        <stp>Open Interest</stp>
        <tr r="T1859" s="5"/>
      </tp>
      <tp t="s">
        <v/>
        <stp/>
        <stp>WNS 15!-IEU</stp>
        <stp>Open Interest</stp>
        <tr r="T1862" s="5"/>
      </tp>
      <tp t="s">
        <v/>
        <stp/>
        <stp>WNS 14!-IEU</stp>
        <stp>Open Interest</stp>
        <tr r="T1861" s="5"/>
      </tp>
      <tp t="s">
        <v/>
        <stp/>
        <stp>WNS 17!-IEU</stp>
        <stp>Open Interest</stp>
        <tr r="T1864" s="5"/>
      </tp>
      <tp t="s">
        <v/>
        <stp/>
        <stp>WNS 16!-IEU</stp>
        <stp>Open Interest</stp>
        <tr r="T1863" s="5"/>
      </tp>
      <tp t="s">
        <v/>
        <stp/>
        <stp>WNS 19!-IEU</stp>
        <stp>Open Interest</stp>
        <tr r="T1866" s="5"/>
      </tp>
      <tp t="s">
        <v/>
        <stp/>
        <stp>WNS 18!-IEU</stp>
        <stp>Open Interest</stp>
        <tr r="T1865" s="5"/>
      </tp>
      <tp t="s">
        <v/>
        <stp/>
        <stp>WNS 30!-IEU</stp>
        <stp>Open Interest</stp>
        <tr r="T1877" s="5"/>
      </tp>
      <tp t="s">
        <v/>
        <stp/>
        <stp>WNS 21!-IEU</stp>
        <stp>Open Interest</stp>
        <tr r="T1868" s="5"/>
      </tp>
      <tp t="s">
        <v/>
        <stp/>
        <stp>WNS 20!-IEU</stp>
        <stp>Open Interest</stp>
        <tr r="T1867" s="5"/>
      </tp>
      <tp t="s">
        <v/>
        <stp/>
        <stp>WNS 23!-IEU</stp>
        <stp>Open Interest</stp>
        <tr r="T1870" s="5"/>
      </tp>
      <tp t="s">
        <v/>
        <stp/>
        <stp>WNS 22!-IEU</stp>
        <stp>Open Interest</stp>
        <tr r="T1869" s="5"/>
      </tp>
      <tp t="s">
        <v/>
        <stp/>
        <stp>WNS 25!-IEU</stp>
        <stp>Open Interest</stp>
        <tr r="T1872" s="5"/>
      </tp>
      <tp t="s">
        <v/>
        <stp/>
        <stp>WNS 24!-IEU</stp>
        <stp>Open Interest</stp>
        <tr r="T1871" s="5"/>
      </tp>
      <tp t="s">
        <v/>
        <stp/>
        <stp>WNS 27!-IEU</stp>
        <stp>Open Interest</stp>
        <tr r="T1874" s="5"/>
      </tp>
      <tp t="s">
        <v/>
        <stp/>
        <stp>WNS 26!-IEU</stp>
        <stp>Open Interest</stp>
        <tr r="T1873" s="5"/>
      </tp>
      <tp t="s">
        <v/>
        <stp/>
        <stp>WNS 29!-IEU</stp>
        <stp>Open Interest</stp>
        <tr r="T1876" s="5"/>
      </tp>
      <tp t="s">
        <v/>
        <stp/>
        <stp>WNS 28!-IEU</stp>
        <stp>Open Interest</stp>
        <tr r="T1875" s="5"/>
      </tp>
      <tp t="s">
        <v/>
        <stp/>
        <stp>WNS Q1!-IEU</stp>
        <stp>Open Interest</stp>
        <tr r="T1878" s="5"/>
      </tp>
      <tp t="s">
        <v/>
        <stp/>
        <stp>WNS Q3!-IEU</stp>
        <stp>Open Interest</stp>
        <tr r="T1880" s="5"/>
      </tp>
      <tp t="s">
        <v/>
        <stp/>
        <stp>WNS Q2!-IEU</stp>
        <stp>Open Interest</stp>
        <tr r="T1879" s="5"/>
      </tp>
      <tp t="s">
        <v/>
        <stp/>
        <stp>WNS Q4!-IEU</stp>
        <stp>Open Interest</stp>
        <tr r="T1881" s="5"/>
      </tp>
      <tp t="s">
        <v/>
        <stp/>
        <stp>WNS C2!-IEU</stp>
        <stp>Open Interest</stp>
        <tr r="T1882" s="5"/>
      </tp>
    </main>
    <main first="ice.rtd">
      <tp>
        <v>152</v>
        <stp/>
        <stp>15061297MM8:LstBlkVol</stp>
        <tr r="L1691" s="5"/>
      </tp>
      <tp t="s">
        <v/>
        <stp/>
        <stp>35534143M10:LstBlkVol</stp>
        <tr r="L718" s="5"/>
      </tp>
      <tp t="s">
        <v/>
        <stp/>
        <stp>35544144M10:LstBlkVol</stp>
        <tr r="L642" s="5"/>
      </tp>
      <tp t="s">
        <v/>
        <stp/>
        <stp>35554145M10:LstBlkVol</stp>
        <tr r="L680" s="5"/>
      </tp>
      <tp t="s">
        <v/>
        <stp/>
        <stp>35534143M20:LstBlkVol</stp>
        <tr r="L728" s="5"/>
      </tp>
      <tp t="s">
        <v/>
        <stp/>
        <stp>35544144M20:LstBlkVol</stp>
        <tr r="L652" s="5"/>
      </tp>
      <tp t="s">
        <v/>
        <stp/>
        <stp>35554145M20:LstBlkVol</stp>
        <tr r="L690" s="5"/>
      </tp>
      <tp t="s">
        <v/>
        <stp/>
        <stp>16331513M23:LstBlkVol</stp>
        <tr r="L1438" s="5"/>
      </tp>
      <tp t="s">
        <v/>
        <stp/>
        <stp>16341514M23:LstBlkVol</stp>
        <tr r="L1476" s="5"/>
      </tp>
      <tp t="s">
        <v/>
        <stp/>
        <stp>16351515M23:LstBlkVol</stp>
        <tr r="L1514" s="5"/>
      </tp>
      <tp t="s">
        <v/>
        <stp/>
        <stp>16331513M13:LstBlkVol</stp>
        <tr r="L1428" s="5"/>
      </tp>
      <tp t="s">
        <v/>
        <stp/>
        <stp>16341514M13:LstBlkVol</stp>
        <tr r="L1466" s="5"/>
      </tp>
      <tp t="s">
        <v/>
        <stp/>
        <stp>16351515M13:LstBlkVol</stp>
        <tr r="L1504" s="5"/>
      </tp>
      <tp t="s">
        <v/>
        <stp/>
        <stp>30813691M20:LstBlkVol</stp>
        <tr r="L1973" s="5"/>
      </tp>
      <tp t="s">
        <v/>
        <stp/>
        <stp>30813691M10:LstBlkVol</stp>
        <tr r="L1963" s="5"/>
      </tp>
      <tp t="s">
        <v/>
        <stp/>
        <stp>46678127M15:LstBlkVol</stp>
        <tr r="L360" s="5"/>
      </tp>
      <tp t="s">
        <v/>
        <stp/>
        <stp>18871685M21:LstBlkVol</stp>
        <tr r="L442" s="5"/>
      </tp>
      <tp t="s">
        <v/>
        <stp/>
        <stp>18871685M11:LstBlkVol</stp>
        <tr r="L432" s="5"/>
      </tp>
      <tp t="s">
        <v/>
        <stp/>
        <stp>18901687M20:LstBlkVol</stp>
        <tr r="L327" s="5"/>
      </tp>
      <tp t="s">
        <v/>
        <stp/>
        <stp>18901687M10:LstBlkVol</stp>
        <tr r="L317" s="5"/>
      </tp>
      <tp t="s">
        <v>Invalid Market: 57179020M22</v>
        <stp/>
        <stp>57179020M22:LstBlkVol</stp>
        <tr r="L1569" s="5"/>
      </tp>
      <tp t="s">
        <v/>
        <stp/>
        <stp>57179020M12:LstBlkVol</stp>
        <tr r="L1559" s="5"/>
      </tp>
      <tp t="s">
        <v/>
        <stp/>
        <stp>18851683M21:LstBlkVol</stp>
        <tr r="L214" s="5"/>
      </tp>
      <tp t="s">
        <v/>
        <stp/>
        <stp>18851683M11:LstBlkVol</stp>
        <tr r="L204" s="5"/>
      </tp>
      <tp t="s">
        <v/>
        <stp/>
        <stp>29243602M13:LstBlkVol</stp>
        <tr r="L759" s="5"/>
      </tp>
      <tp t="s">
        <v/>
        <stp/>
        <stp>57409036M16:LstBlkVol</stp>
        <tr r="L247" s="5"/>
      </tp>
      <tp t="s">
        <v>Invalid Market: 2044823525M17</v>
        <stp/>
        <stp>2044823525M17:LstBlkVol</stp>
        <tr r="L1764" s="5"/>
      </tp>
      <tp t="s">
        <v/>
        <stp/>
        <stp>2427026287M15:LstBlkVol</stp>
        <tr r="L1164" s="5"/>
      </tp>
      <tp t="s">
        <v/>
        <stp/>
        <stp>1986823075M21:LstBlkVol</stp>
        <tr r="L138" s="5"/>
      </tp>
      <tp t="s">
        <v/>
        <stp/>
        <stp>1986823075M11:LstBlkVol</stp>
        <tr r="L128" s="5"/>
      </tp>
      <tp t="s">
        <v/>
        <stp/>
        <stp>2427126288M14:LstBlkVol</stp>
        <tr r="L1049" s="5"/>
      </tp>
      <tp t="s">
        <v/>
        <stp/>
        <stp>2427126288M24:LstBlkVol</stp>
        <tr r="L1059" s="5"/>
      </tp>
      <tp t="s">
        <v/>
        <stp/>
        <stp>2755828679M22:LstBlkVol</stp>
        <tr r="L1019" s="5"/>
      </tp>
      <tp t="s">
        <v/>
        <stp/>
        <stp>2755828679M12:LstBlkVol</stp>
        <tr r="L1009" s="5"/>
      </tp>
      <tp t="s">
        <v/>
        <stp/>
        <stp>1986923076M20:LstBlkVol</stp>
        <tr r="L175" s="5"/>
      </tp>
      <tp t="s">
        <v/>
        <stp/>
        <stp>1986923076M10:LstBlkVol</stp>
        <tr r="L165" s="5"/>
      </tp>
      <tp t="s">
        <v/>
        <stp/>
        <stp>1840020882M16:LstBlkVol</stp>
        <tr r="L1598" s="5"/>
      </tp>
      <tp t="s">
        <v/>
        <stp/>
        <stp>2427026287M23:BstHitPrc</stp>
        <tr r="G1172" s="5"/>
      </tp>
      <tp t="s">
        <v/>
        <stp/>
        <stp>2427026287M13:BstHitPrc</stp>
        <tr r="G1162" s="5"/>
      </tp>
    </main>
    <main first="bofaddin.rtdserver">
      <tp t="s">
        <v>#N/A</v>
        <stp/>
        <stp>BDP|16874307071577771883|222</stp>
        <stp>OQAZ7F8 Comdty</stp>
        <stp>BID</stp>
        <stp>Fill=#N/A</stp>
        <tr r="T35" s="1"/>
      </tp>
    </main>
    <main first="ice.rtd">
      <tp t="s">
        <v/>
        <stp/>
        <stp>1840020882M10:LstBlkPrc</stp>
        <tr r="K1592" s="5"/>
      </tp>
    </main>
    <main first="bofaddin.rtdserver">
      <tp t="s">
        <v>#N/A</v>
        <stp/>
        <stp>BDP|10348651742170536644|222</stp>
        <stp>OQAH8J8 Comdty</stp>
        <stp>ASK</stp>
        <stp>Fill=#N/A</stp>
        <tr r="T38" s="1"/>
      </tp>
    </main>
    <main first="ice.rtd">
      <tp t="s">
        <v>Invalid Market: CALCM18</v>
        <stp/>
        <stp>CALCM18:BlkVol</stp>
        <tr r="O1205" s="5"/>
        <tr r="O1357" s="5"/>
      </tp>
      <tp t="s">
        <v>Invalid Market: CALCM19</v>
        <stp/>
        <stp>CALCM19:BlkVol</stp>
        <tr r="O1206" s="5"/>
        <tr r="O1358" s="5"/>
      </tp>
      <tp t="s">
        <v>Invalid Market: CALCM16</v>
        <stp/>
        <stp>CALCM16:BlkVol</stp>
        <tr r="O1203" s="5"/>
        <tr r="O1355" s="5"/>
      </tp>
      <tp t="s">
        <v>Invalid Market: CALCM17</v>
        <stp/>
        <stp>CALCM17:BlkVol</stp>
        <tr r="O1356" s="5"/>
        <tr r="O1204" s="5"/>
      </tp>
      <tp t="s">
        <v>Invalid Market: CALCM14</v>
        <stp/>
        <stp>CALCM14:BlkVol</stp>
        <tr r="O1201" s="5"/>
        <tr r="O1353" s="5"/>
      </tp>
      <tp t="s">
        <v>Invalid Market: CALCM15</v>
        <stp/>
        <stp>CALCM15:BlkVol</stp>
        <tr r="O1354" s="5"/>
        <tr r="O1202" s="5"/>
      </tp>
      <tp t="s">
        <v>Invalid Market: CALCM12</v>
        <stp/>
        <stp>CALCM12:BlkVol</stp>
        <tr r="O1199" s="5"/>
        <tr r="O1351" s="5"/>
      </tp>
      <tp t="s">
        <v>Invalid Market: CALCM13</v>
        <stp/>
        <stp>CALCM13:BlkVol</stp>
        <tr r="O1200" s="5"/>
        <tr r="O1352" s="5"/>
      </tp>
      <tp t="s">
        <v>Invalid Market: CALCM10</v>
        <stp/>
        <stp>CALCM10:BlkVol</stp>
        <tr r="O1349" s="5"/>
        <tr r="O1197" s="5"/>
      </tp>
      <tp t="s">
        <v>Invalid Market: CALCM11</v>
        <stp/>
        <stp>CALCM11:BlkVol</stp>
        <tr r="O1198" s="5"/>
        <tr r="O1350" s="5"/>
      </tp>
      <tp t="s">
        <v>Invalid Market: CALCM24</v>
        <stp/>
        <stp>CALCM24:BlkVol</stp>
        <tr r="O1363" s="5"/>
        <tr r="O1211" s="5"/>
      </tp>
      <tp t="s">
        <v>Invalid Market: CALCM22</v>
        <stp/>
        <stp>CALCM22:BlkVol</stp>
        <tr r="O1209" s="5"/>
        <tr r="O1361" s="5"/>
      </tp>
      <tp t="s">
        <v>Invalid Market: CALCM23</v>
        <stp/>
        <stp>CALCM23:BlkVol</stp>
        <tr r="O1210" s="5"/>
        <tr r="O1362" s="5"/>
      </tp>
      <tp t="s">
        <v>Invalid Market: CALCM20</v>
        <stp/>
        <stp>CALCM20:BlkVol</stp>
        <tr r="O1207" s="5"/>
        <tr r="O1359" s="5"/>
      </tp>
      <tp t="s">
        <v>Invalid Market: CALCM21</v>
        <stp/>
        <stp>CALCM21:BlkVol</stp>
        <tr r="O1208" s="5"/>
        <tr r="O1360" s="5"/>
      </tp>
      <tp t="s">
        <v/>
        <stp/>
        <stp>2427126288M12:LstBlkPrc</stp>
        <tr r="K1047" s="5"/>
      </tp>
      <tp t="s">
        <v/>
        <stp/>
        <stp>2427126288M22:LstBlkPrc</stp>
        <tr r="K1057" s="5"/>
      </tp>
      <tp t="s">
        <v/>
        <stp/>
        <stp>1986823075M17:LstBlkPrc</stp>
        <tr r="K134" s="5"/>
      </tp>
      <tp t="s">
        <v>Invalid Market: 2044823525M21</v>
        <stp/>
        <stp>2044823525M21:BstHitPrc</stp>
        <tr r="G1768" s="5"/>
      </tp>
      <tp t="s">
        <v/>
        <stp/>
        <stp>2044823525M11:BstHitPrc</stp>
        <tr r="G1758" s="5"/>
      </tp>
      <tp t="s">
        <v/>
        <stp/>
        <stp>1986923076M16:LstBlkPrc</stp>
        <tr r="K171" s="5"/>
      </tp>
      <tp t="s">
        <v/>
        <stp/>
        <stp>2755828679M24:LstBlkPrc</stp>
        <tr r="K1021" s="5"/>
      </tp>
      <tp t="s">
        <v/>
        <stp/>
        <stp>2755828679M14:LstBlkPrc</stp>
        <tr r="K1011" s="5"/>
      </tp>
    </main>
    <main first="bofaddin.rtdserver">
      <tp t="s">
        <v>#N/A</v>
        <stp/>
        <stp>BDP|11034138253026099167|222</stp>
        <stp>MUCK8M8 Comdty</stp>
        <stp>ASK</stp>
        <stp>Fill=#N/A</stp>
        <tr r="S40" s="1"/>
      </tp>
      <tp t="s">
        <v>#N/A</v>
        <stp/>
        <stp>BDP|17025416376072372721|222</stp>
        <stp>MUCK0M0 Comdty</stp>
        <stp>ASK</stp>
        <stp>Fill=#N/A</stp>
        <tr r="S64" s="1"/>
      </tp>
    </main>
    <main first="ice.rtd">
      <tp t="s">
        <v/>
        <stp/>
        <stp>1840020882M10:BstHitPrc</stp>
        <tr r="G1592" s="5"/>
      </tp>
      <tp t="s">
        <v/>
        <stp/>
        <stp>2427026287M13:LstBlkPrc</stp>
        <tr r="K1162" s="5"/>
      </tp>
      <tp t="s">
        <v/>
        <stp/>
        <stp>2427026287M23:LstBlkPrc</stp>
        <tr r="K1172" s="5"/>
      </tp>
      <tp t="s">
        <v/>
        <stp/>
        <stp>2044823525M11:LstBlkPrc</stp>
        <tr r="K1758" s="5"/>
      </tp>
      <tp t="s">
        <v>Invalid Market: 2044823525M21</v>
        <stp/>
        <stp>2044823525M21:LstBlkPrc</stp>
        <tr r="K1768" s="5"/>
      </tp>
      <tp t="s">
        <v/>
        <stp/>
        <stp>1986923076M16:BstHitPrc</stp>
        <tr r="G171" s="5"/>
      </tp>
      <tp t="s">
        <v/>
        <stp/>
        <stp>2755828679M14:BstHitPrc</stp>
        <tr r="G1011" s="5"/>
      </tp>
      <tp t="s">
        <v/>
        <stp/>
        <stp>2755828679M24:BstHitPrc</stp>
        <tr r="G1021" s="5"/>
      </tp>
    </main>
    <main first="bofaddin.rtdserver">
      <tp t="s">
        <v>#N/A</v>
        <stp/>
        <stp>BDP|13477406113823065658|222</stp>
        <stp>MUCZ9F0 Comdty</stp>
        <stp>BID</stp>
        <stp>Fill=#N/A</stp>
        <tr r="S59" s="1"/>
      </tp>
    </main>
    <main first="ice.rtd">
      <tp t="s">
        <v/>
        <stp/>
        <stp>1986823075M17:BstHitPrc</stp>
        <tr r="G134" s="5"/>
      </tp>
      <tp t="s">
        <v/>
        <stp/>
        <stp>2427126288M22:BstHitPrc</stp>
        <tr r="G1057" s="5"/>
      </tp>
      <tp t="s">
        <v/>
        <stp/>
        <stp>2427126288M12:BstHitPrc</stp>
        <tr r="G1047" s="5"/>
      </tp>
    </main>
    <main first="esrtd">
      <tp t="s">
        <v/>
        <stp/>
        <stp>WDF 8!-IEU</stp>
        <stp>Last</stp>
        <tr r="I1785" s="5"/>
      </tp>
    </main>
    <main first="bofaddin.rtdserver">
      <tp t="s">
        <v>#N/A Invalid Security</v>
        <stp/>
        <stp>BDP|11454724447089716436|22</stp>
        <stp>HOZ9HOZ0 Comdty</stp>
        <stp>ASK</stp>
        <tr r="E5" s="3"/>
      </tp>
    </main>
    <main first="ice.rtd">
      <tp t="s">
        <v/>
        <stp/>
        <stp>16331513M2:LstBlkTime</stp>
        <tr r="M1417" s="5"/>
      </tp>
      <tp t="s">
        <v/>
        <stp/>
        <stp>16341514M2:LstBlkTime</stp>
        <tr r="M1455" s="5"/>
      </tp>
      <tp t="s">
        <v/>
        <stp/>
        <stp>16351515M2:LstBlkTime</stp>
        <tr r="M1493" s="5"/>
      </tp>
      <tp t="s">
        <v/>
        <stp/>
        <stp>16331513M3:LstBlkTime</stp>
        <tr r="M1418" s="5"/>
      </tp>
      <tp t="s">
        <v/>
        <stp/>
        <stp>16341514M3:LstBlkTime</stp>
        <tr r="M1456" s="5"/>
      </tp>
      <tp t="s">
        <v/>
        <stp/>
        <stp>16351515M3:LstBlkTime</stp>
        <tr r="M1494" s="5"/>
      </tp>
      <tp t="s">
        <v/>
        <stp/>
        <stp>16331513M0:LstBlkTime</stp>
        <tr r="M1415" s="5"/>
      </tp>
      <tp t="s">
        <v/>
        <stp/>
        <stp>16341514M0:LstBlkTime</stp>
        <tr r="M1453" s="5"/>
      </tp>
      <tp t="s">
        <v/>
        <stp/>
        <stp>16351515M0:LstBlkTime</stp>
        <tr r="M1491" s="5"/>
      </tp>
      <tp t="s">
        <v/>
        <stp/>
        <stp>16331513M1:LstBlkTime</stp>
        <tr r="M1416" s="5"/>
      </tp>
      <tp t="s">
        <v/>
        <stp/>
        <stp>16341514M1:LstBlkTime</stp>
        <tr r="M1454" s="5"/>
      </tp>
      <tp t="s">
        <v/>
        <stp/>
        <stp>16351515M1:LstBlkTime</stp>
        <tr r="M1492" s="5"/>
      </tp>
      <tp t="s">
        <v/>
        <stp/>
        <stp>16331513M6:LstBlkTime</stp>
        <tr r="M1421" s="5"/>
      </tp>
      <tp t="s">
        <v/>
        <stp/>
        <stp>16341514M6:LstBlkTime</stp>
        <tr r="M1459" s="5"/>
      </tp>
      <tp t="s">
        <v/>
        <stp/>
        <stp>16351515M6:LstBlkTime</stp>
        <tr r="M1497" s="5"/>
      </tp>
      <tp t="s">
        <v/>
        <stp/>
        <stp>16331513M7:LstBlkTime</stp>
        <tr r="M1422" s="5"/>
      </tp>
      <tp t="s">
        <v/>
        <stp/>
        <stp>16341514M7:LstBlkTime</stp>
        <tr r="M1460" s="5"/>
      </tp>
      <tp t="s">
        <v/>
        <stp/>
        <stp>16351515M7:LstBlkTime</stp>
        <tr r="M1498" s="5"/>
      </tp>
      <tp t="s">
        <v/>
        <stp/>
        <stp>16331513M4:LstBlkTime</stp>
        <tr r="M1419" s="5"/>
      </tp>
      <tp t="s">
        <v/>
        <stp/>
        <stp>16341514M4:LstBlkTime</stp>
        <tr r="M1457" s="5"/>
      </tp>
      <tp t="s">
        <v/>
        <stp/>
        <stp>16351515M4:LstBlkTime</stp>
        <tr r="M1495" s="5"/>
      </tp>
      <tp t="s">
        <v/>
        <stp/>
        <stp>16331513M5:LstBlkTime</stp>
        <tr r="M1420" s="5"/>
      </tp>
      <tp t="s">
        <v/>
        <stp/>
        <stp>16341514M5:LstBlkTime</stp>
        <tr r="M1458" s="5"/>
      </tp>
      <tp t="s">
        <v/>
        <stp/>
        <stp>16351515M5:LstBlkTime</stp>
        <tr r="M1496" s="5"/>
      </tp>
      <tp t="s">
        <v/>
        <stp/>
        <stp>16331513M8:LstBlkTime</stp>
        <tr r="M1423" s="5"/>
      </tp>
      <tp t="s">
        <v/>
        <stp/>
        <stp>16341514M8:LstBlkTime</stp>
        <tr r="M1461" s="5"/>
      </tp>
      <tp t="s">
        <v/>
        <stp/>
        <stp>16351515M8:LstBlkTime</stp>
        <tr r="M1499" s="5"/>
      </tp>
      <tp t="s">
        <v/>
        <stp/>
        <stp>16331513M9:LstBlkTime</stp>
        <tr r="M1424" s="5"/>
      </tp>
      <tp t="s">
        <v/>
        <stp/>
        <stp>16341514M9:LstBlkTime</stp>
        <tr r="M1462" s="5"/>
      </tp>
      <tp t="s">
        <v/>
        <stp/>
        <stp>16351515M9:LstBlkTime</stp>
        <tr r="M1500" s="5"/>
      </tp>
      <tp t="s">
        <v/>
        <stp/>
        <stp>16331513Y2:LstBlkTime</stp>
        <tr r="M1451" s="5"/>
      </tp>
      <tp t="s">
        <v/>
        <stp/>
        <stp>16341514Y2:LstBlkTime</stp>
        <tr r="M1489" s="5"/>
      </tp>
      <tp t="s">
        <v/>
        <stp/>
        <stp>16351515Y2:LstBlkTime</stp>
        <tr r="M1527" s="5"/>
      </tp>
      <tp t="s">
        <v/>
        <stp/>
        <stp>16331513Y0:LstBlkTime</stp>
        <tr r="M1449" s="5"/>
      </tp>
      <tp t="s">
        <v/>
        <stp/>
        <stp>16341514Y0:LstBlkTime</stp>
        <tr r="M1487" s="5"/>
      </tp>
      <tp t="s">
        <v/>
        <stp/>
        <stp>16351515Y0:LstBlkTime</stp>
        <tr r="M1525" s="5"/>
      </tp>
      <tp t="s">
        <v/>
        <stp/>
        <stp>16331513Y1:LstBlkTime</stp>
        <tr r="M1450" s="5"/>
      </tp>
      <tp t="s">
        <v/>
        <stp/>
        <stp>16341514Y1:LstBlkTime</stp>
        <tr r="M1488" s="5"/>
      </tp>
      <tp t="s">
        <v/>
        <stp/>
        <stp>16351515Y1:LstBlkTime</stp>
        <tr r="M1526" s="5"/>
      </tp>
      <tp t="s">
        <v/>
        <stp/>
        <stp>16331513Q2:LstBlkTime</stp>
        <tr r="M1442" s="5"/>
      </tp>
      <tp t="s">
        <v/>
        <stp/>
        <stp>16341514Q2:LstBlkTime</stp>
        <tr r="M1480" s="5"/>
      </tp>
      <tp t="s">
        <v/>
        <stp/>
        <stp>16351515Q2:LstBlkTime</stp>
        <tr r="M1518" s="5"/>
      </tp>
      <tp t="s">
        <v/>
        <stp/>
        <stp>16331513Q3:LstBlkTime</stp>
        <tr r="M1443" s="5"/>
      </tp>
      <tp t="s">
        <v/>
        <stp/>
        <stp>16341514Q3:LstBlkTime</stp>
        <tr r="M1481" s="5"/>
      </tp>
      <tp t="s">
        <v/>
        <stp/>
        <stp>16351515Q3:LstBlkTime</stp>
        <tr r="M1519" s="5"/>
      </tp>
      <tp t="s">
        <v/>
        <stp/>
        <stp>16331513Q0:LstBlkTime</stp>
        <tr r="M1440" s="5"/>
      </tp>
      <tp t="s">
        <v/>
        <stp/>
        <stp>16341514Q0:LstBlkTime</stp>
        <tr r="M1478" s="5"/>
      </tp>
      <tp t="s">
        <v/>
        <stp/>
        <stp>16351515Q0:LstBlkTime</stp>
        <tr r="M1516" s="5"/>
      </tp>
      <tp t="s">
        <v/>
        <stp/>
        <stp>16331513Q1:LstBlkTime</stp>
        <tr r="M1441" s="5"/>
      </tp>
      <tp t="s">
        <v/>
        <stp/>
        <stp>16341514Q1:LstBlkTime</stp>
        <tr r="M1479" s="5"/>
      </tp>
      <tp t="s">
        <v/>
        <stp/>
        <stp>16351515Q1:LstBlkTime</stp>
        <tr r="M1517" s="5"/>
      </tp>
      <tp t="s">
        <v/>
        <stp/>
        <stp>16331513Q6:LstBlkTime</stp>
        <tr r="M1446" s="5"/>
      </tp>
      <tp t="s">
        <v/>
        <stp/>
        <stp>16341514Q6:LstBlkTime</stp>
        <tr r="M1484" s="5"/>
      </tp>
      <tp t="s">
        <v/>
        <stp/>
        <stp>16351515Q6:LstBlkTime</stp>
        <tr r="M1522" s="5"/>
      </tp>
      <tp t="s">
        <v/>
        <stp/>
        <stp>16331513Q7:LstBlkTime</stp>
        <tr r="M1447" s="5"/>
      </tp>
      <tp t="s">
        <v/>
        <stp/>
        <stp>16341514Q7:LstBlkTime</stp>
        <tr r="M1485" s="5"/>
      </tp>
      <tp t="s">
        <v/>
        <stp/>
        <stp>16351515Q7:LstBlkTime</stp>
        <tr r="M1523" s="5"/>
      </tp>
      <tp t="s">
        <v/>
        <stp/>
        <stp>16331513Q4:LstBlkTime</stp>
        <tr r="M1444" s="5"/>
      </tp>
      <tp t="s">
        <v/>
        <stp/>
        <stp>16341514Q4:LstBlkTime</stp>
        <tr r="M1482" s="5"/>
      </tp>
      <tp t="s">
        <v/>
        <stp/>
        <stp>16351515Q4:LstBlkTime</stp>
        <tr r="M1520" s="5"/>
      </tp>
      <tp t="s">
        <v/>
        <stp/>
        <stp>16331513Q5:LstBlkTime</stp>
        <tr r="M1445" s="5"/>
      </tp>
      <tp t="s">
        <v/>
        <stp/>
        <stp>16341514Q5:LstBlkTime</stp>
        <tr r="M1483" s="5"/>
      </tp>
      <tp t="s">
        <v/>
        <stp/>
        <stp>16351515Q5:LstBlkTime</stp>
        <tr r="M1521" s="5"/>
      </tp>
      <tp t="s">
        <v/>
        <stp/>
        <stp>16331513Q8:LstBlkTime</stp>
        <tr r="M1448" s="5"/>
      </tp>
      <tp t="s">
        <v/>
        <stp/>
        <stp>16341514Q8:LstBlkTime</stp>
        <tr r="M1486" s="5"/>
      </tp>
      <tp t="s">
        <v/>
        <stp/>
        <stp>16351515Q8:LstBlkTime</stp>
        <tr r="M1524" s="5"/>
      </tp>
      <tp t="s">
        <v/>
        <stp/>
        <stp>29243602M8:LstBlkTime</stp>
        <tr r="M754" s="5"/>
      </tp>
      <tp t="s">
        <v/>
        <stp/>
        <stp>29243602M9:LstBlkTime</stp>
        <tr r="M755" s="5"/>
      </tp>
      <tp t="s">
        <v/>
        <stp/>
        <stp>29243602M6:LstBlkTime</stp>
        <tr r="M752" s="5"/>
      </tp>
      <tp t="s">
        <v/>
        <stp/>
        <stp>29243602M7:LstBlkTime</stp>
        <tr r="M753" s="5"/>
      </tp>
      <tp t="s">
        <v/>
        <stp/>
        <stp>29243602M4:LstBlkTime</stp>
        <tr r="M750" s="5"/>
      </tp>
      <tp t="s">
        <v/>
        <stp/>
        <stp>29243602M5:LstBlkTime</stp>
        <tr r="M751" s="5"/>
      </tp>
      <tp t="s">
        <v/>
        <stp/>
        <stp>29243602M2:LstBlkTime</stp>
        <tr r="M748" s="5"/>
      </tp>
      <tp t="s">
        <v/>
        <stp/>
        <stp>29243602M3:LstBlkTime</stp>
        <tr r="M749" s="5"/>
      </tp>
      <tp t="s">
        <v/>
        <stp/>
        <stp>29243602M0:LstBlkTime</stp>
        <tr r="M746" s="5"/>
      </tp>
      <tp t="s">
        <v/>
        <stp/>
        <stp>29243602M1:LstBlkTime</stp>
        <tr r="M747" s="5"/>
      </tp>
      <tp t="s">
        <v/>
        <stp/>
        <stp>29243602Y0:LstBlkTime</stp>
        <tr r="M767" s="5"/>
      </tp>
      <tp t="s">
        <v/>
        <stp/>
        <stp>29243602Q4:LstBlkTime</stp>
        <tr r="M766" s="5"/>
      </tp>
      <tp t="s">
        <v/>
        <stp/>
        <stp>29243602Q2:LstBlkTime</stp>
        <tr r="M764" s="5"/>
      </tp>
      <tp t="s">
        <v/>
        <stp/>
        <stp>29243602Q3:LstBlkTime</stp>
        <tr r="M765" s="5"/>
      </tp>
      <tp t="s">
        <v/>
        <stp/>
        <stp>29243602Q0:LstBlkTime</stp>
        <tr r="M762" s="5"/>
      </tp>
      <tp t="s">
        <v/>
        <stp/>
        <stp>29243602Q1:LstBlkTime</stp>
        <tr r="M763" s="5"/>
      </tp>
    </main>
    <main first="esrtd">
      <tp t="s">
        <v/>
        <stp/>
        <stp>WNS 8!-IEU</stp>
        <stp>Last</stp>
        <tr r="I1855" s="5"/>
      </tp>
      <tp t="s">
        <v/>
        <stp/>
        <stp>WMJ 8!-IEU</stp>
        <stp>Last</stp>
        <tr r="I1890" s="5"/>
      </tp>
      <tp t="s">
        <v/>
        <stp/>
        <stp>WHK 8!-IEU</stp>
        <stp>Last</stp>
        <tr r="I1925" s="5"/>
      </tp>
    </main>
    <main first="ice.rtd">
      <tp t="s">
        <v/>
        <stp/>
        <stp>2181724590B0:LstBlkTime</stp>
        <tr r="M1414" s="5"/>
      </tp>
      <tp t="s">
        <v/>
        <stp/>
        <stp>41787896M18:BstHitPrc</stp>
        <tr r="G825" s="5"/>
      </tp>
      <tp t="s">
        <v/>
        <stp/>
        <stp>41767893M18:LstBlkPrc</stp>
        <tr r="K498" s="5"/>
      </tp>
      <tp t="s">
        <v/>
        <stp/>
        <stp>57409036M21:LstBlkPrc</stp>
        <tr r="K252" s="5"/>
      </tp>
      <tp t="s">
        <v/>
        <stp/>
        <stp>57409036M11:LstBlkPrc</stp>
        <tr r="K242" s="5"/>
      </tp>
      <tp t="s">
        <v/>
        <stp/>
        <stp>29243602M14:LstBlkPrc</stp>
        <tr r="K760" s="5"/>
      </tp>
      <tp t="s">
        <v/>
        <stp/>
        <stp>18851683M16:LstBlkPrc</stp>
        <tr r="K209" s="5"/>
      </tp>
      <tp t="s">
        <v/>
        <stp/>
        <stp>57179020M15:LstBlkPrc</stp>
        <tr r="K1562" s="5"/>
      </tp>
      <tp t="s">
        <v/>
        <stp/>
        <stp>18901687M17:LstBlkPrc</stp>
        <tr r="K324" s="5"/>
      </tp>
      <tp t="s">
        <v/>
        <stp/>
        <stp>30793693M18:BstHitPrc</stp>
        <tr r="G901" s="5"/>
      </tp>
      <tp t="s">
        <v/>
        <stp/>
        <stp>46678127M22:LstBlkPrc</stp>
        <tr r="K367" s="5"/>
      </tp>
      <tp t="s">
        <v/>
        <stp/>
        <stp>46678127M12:LstBlkPrc</stp>
        <tr r="K357" s="5"/>
      </tp>
      <tp t="s">
        <v/>
        <stp/>
        <stp>16331513M24:LstBlkPrc</stp>
        <tr r="K1439" s="5"/>
      </tp>
      <tp t="s">
        <v/>
        <stp/>
        <stp>16341514M24:LstBlkPrc</stp>
        <tr r="K1477" s="5"/>
      </tp>
      <tp t="s">
        <v/>
        <stp/>
        <stp>16351515M24:LstBlkPrc</stp>
        <tr r="K1515" s="5"/>
      </tp>
      <tp t="s">
        <v/>
        <stp/>
        <stp>16331513M14:LstBlkPrc</stp>
        <tr r="K1429" s="5"/>
      </tp>
      <tp t="s">
        <v/>
        <stp/>
        <stp>16341514M14:LstBlkPrc</stp>
        <tr r="K1467" s="5"/>
      </tp>
      <tp t="s">
        <v/>
        <stp/>
        <stp>16351515M14:LstBlkPrc</stp>
        <tr r="K1505" s="5"/>
      </tp>
      <tp t="s">
        <v/>
        <stp/>
        <stp>30813691M17:LstBlkPrc</stp>
        <tr r="K1970" s="5"/>
      </tp>
      <tp t="s">
        <v/>
        <stp/>
        <stp>35534143M17:LstBlkPrc</stp>
        <tr r="K725" s="5"/>
      </tp>
      <tp t="s">
        <v/>
        <stp/>
        <stp>35544144M17:LstBlkPrc</stp>
        <tr r="K649" s="5"/>
      </tp>
      <tp t="s">
        <v/>
        <stp/>
        <stp>35554145M17:LstBlkPrc</stp>
        <tr r="K687" s="5"/>
      </tp>
      <tp t="s">
        <v>Oct26/Nov26</v>
        <stp/>
        <stp>DBI1227MM8:Strip</stp>
        <tr r="E1659" s="5"/>
      </tp>
      <tp t="s">
        <v/>
        <stp/>
        <stp>32623993M19:LstBlkPrc</stp>
        <tr r="K2009" s="5"/>
      </tp>
      <tp t="s">
        <v/>
        <stp/>
        <stp>18871685M16:LstBlkPrc</stp>
        <tr r="K437" s="5"/>
      </tp>
      <tp t="s">
        <v/>
        <stp/>
        <stp>15091310M17:BstHitPrc</stp>
        <tr r="G1394" s="5"/>
      </tp>
      <tp t="s">
        <v/>
        <stp/>
        <stp>32613992M19:LstBlkPrc</stp>
        <tr r="K1244" s="5"/>
      </tp>
      <tp t="s">
        <v/>
        <stp/>
        <stp>18851683M16:BstHitPrc</stp>
        <tr r="G209" s="5"/>
      </tp>
      <tp t="s">
        <v/>
        <stp/>
        <stp>29243602M14:BstHitPrc</stp>
        <tr r="G760" s="5"/>
      </tp>
      <tp>
        <v>-11.41</v>
        <stp/>
        <stp>57409036M11:BstHitPrc</stp>
        <tr r="G242" s="5"/>
      </tp>
      <tp t="s">
        <v/>
        <stp/>
        <stp>57409036M21:BstHitPrc</stp>
        <tr r="G252" s="5"/>
      </tp>
      <tp t="s">
        <v/>
        <stp/>
        <stp>18901687M17:BstHitPrc</stp>
        <tr r="G324" s="5"/>
      </tp>
      <tp t="s">
        <v/>
        <stp/>
        <stp>57179020M15:BstHitPrc</stp>
        <tr r="G1562" s="5"/>
      </tp>
      <tp t="s">
        <v/>
        <stp/>
        <stp>41787896M18:LstBlkPrc</stp>
        <tr r="K825" s="5"/>
      </tp>
      <tp t="s">
        <v/>
        <stp/>
        <stp>41767893M18:BstHitPrc</stp>
        <tr r="G498" s="5"/>
      </tp>
      <tp t="s">
        <v/>
        <stp/>
        <stp>18871685M16:BstHitPrc</stp>
        <tr r="G437" s="5"/>
      </tp>
      <tp t="s">
        <v/>
        <stp/>
        <stp>32613992M19:BstHitPrc</stp>
        <tr r="G1244" s="5"/>
      </tp>
      <tp t="s">
        <v/>
        <stp/>
        <stp>15091310M17:LstBlkPrc</stp>
        <tr r="K1394" s="5"/>
      </tp>
      <tp t="s">
        <v/>
        <stp/>
        <stp>30813691M17:BstHitPrc</stp>
        <tr r="G1970" s="5"/>
      </tp>
      <tp t="s">
        <v/>
        <stp/>
        <stp>16331513M14:BstHitPrc</stp>
        <tr r="G1429" s="5"/>
      </tp>
      <tp t="s">
        <v/>
        <stp/>
        <stp>16341514M14:BstHitPrc</stp>
        <tr r="G1467" s="5"/>
      </tp>
      <tp t="s">
        <v/>
        <stp/>
        <stp>16351515M14:BstHitPrc</stp>
        <tr r="G1505" s="5"/>
      </tp>
      <tp t="s">
        <v/>
        <stp/>
        <stp>16331513M24:BstHitPrc</stp>
        <tr r="G1439" s="5"/>
      </tp>
      <tp t="s">
        <v/>
        <stp/>
        <stp>16341514M24:BstHitPrc</stp>
        <tr r="G1477" s="5"/>
      </tp>
      <tp t="s">
        <v/>
        <stp/>
        <stp>16351515M24:BstHitPrc</stp>
        <tr r="G1515" s="5"/>
      </tp>
      <tp t="s">
        <v/>
        <stp/>
        <stp>35534143M17:BstHitPrc</stp>
        <tr r="G725" s="5"/>
      </tp>
      <tp t="s">
        <v/>
        <stp/>
        <stp>35544144M17:BstHitPrc</stp>
        <tr r="G649" s="5"/>
      </tp>
      <tp t="s">
        <v/>
        <stp/>
        <stp>35554145M17:BstHitPrc</stp>
        <tr r="G687" s="5"/>
      </tp>
      <tp t="s">
        <v/>
        <stp/>
        <stp>30793693M18:LstBlkPrc</stp>
        <tr r="K901" s="5"/>
      </tp>
      <tp>
        <v>18.55</v>
        <stp/>
        <stp>46678127M12:BstHitPrc</stp>
        <tr r="G357" s="5"/>
      </tp>
      <tp t="s">
        <v/>
        <stp/>
        <stp>46678127M22:BstHitPrc</stp>
        <tr r="G367" s="5"/>
      </tp>
      <tp t="s">
        <v/>
        <stp/>
        <stp>32623993M19:BstHitPrc</stp>
        <tr r="G2009" s="5"/>
      </tp>
      <tp t="s">
        <v/>
        <stp/>
        <stp>15091310M21:LstBlkVol</stp>
        <tr r="L1398" s="5"/>
      </tp>
      <tp t="s">
        <v/>
        <stp/>
        <stp>15091310M11:LstBlkVol</stp>
        <tr r="L1388" s="5"/>
      </tp>
      <tp>
        <v>12.462000000000003</v>
        <stp/>
        <stp>DBI1227MM13:Settle</stp>
        <tr r="U1664" s="5"/>
      </tp>
      <tp>
        <v>11.576999999999998</v>
        <stp/>
        <stp>DBI1227MM12:Settle</stp>
        <tr r="U1663" s="5"/>
      </tp>
      <tp>
        <v>10.497</v>
        <stp/>
        <stp>DBI1227MM11:Settle</stp>
        <tr r="U1662" s="5"/>
      </tp>
      <tp>
        <v>9.1069999999999993</v>
        <stp/>
        <stp>DBI1227MM10:Settle</stp>
        <tr r="U1661" s="5"/>
        <tr r="U1649" s="5"/>
      </tp>
      <tp>
        <v>6.1329999999999956</v>
        <stp/>
        <stp>DBI1227MM17:Settle</stp>
        <tr r="U1668" s="5"/>
      </tp>
      <tp>
        <v>4.742999999999995</v>
        <stp/>
        <stp>DBI1227MM16:Settle</stp>
        <tr r="U1667" s="5"/>
      </tp>
      <tp>
        <v>2.813999999999993</v>
        <stp/>
        <stp>DBI1227MM15:Settle</stp>
        <tr r="U1666" s="5"/>
      </tp>
      <tp>
        <v>14.388000000000005</v>
        <stp/>
        <stp>DBI1227MM14:Settle</stp>
        <tr r="U1665" s="5"/>
      </tp>
      <tp>
        <v>8.097999999999999</v>
        <stp/>
        <stp>DBI1227MM19:Settle</stp>
        <tr r="U1650" s="5"/>
        <tr r="U1670" s="5"/>
      </tp>
      <tp>
        <v>7.2129999999999939</v>
        <stp/>
        <stp>DBI1227MM18:Settle</stp>
        <tr r="U1669" s="5"/>
      </tp>
      <tp>
        <v>1.929000000000002</v>
        <stp/>
        <stp>DBI1227MM23:Settle</stp>
        <tr r="U1674" s="5"/>
      </tp>
      <tp>
        <v>11.646000000000001</v>
        <stp/>
        <stp>DBI1227MM22:Settle</stp>
        <tr r="U1673" s="5"/>
      </tp>
      <tp>
        <v>11.305999999999997</v>
        <stp/>
        <stp>DBI1227MM21:Settle</stp>
        <tr r="U1672" s="5"/>
      </tp>
      <tp>
        <v>9.4189999999999969</v>
        <stp/>
        <stp>DBI1227MM20:Settle</stp>
        <tr r="U1671" s="5"/>
      </tp>
      <tp>
        <v>6.605000000000004</v>
        <stp/>
        <stp>DBI1227MM27:Settle</stp>
        <tr r="U1678" s="5"/>
      </tp>
      <tp>
        <v>5.284000000000006</v>
        <stp/>
        <stp>DBI1227MM26:Settle</stp>
        <tr r="U1677" s="5"/>
      </tp>
      <tp>
        <v>4.3990000000000009</v>
        <stp/>
        <stp>DBI1227MM25:Settle</stp>
        <tr r="U1676" s="5"/>
      </tp>
      <tp>
        <v>3.3190000000000026</v>
        <stp/>
        <stp>DBI1227MM24:Settle</stp>
        <tr r="U1675" s="5"/>
      </tp>
      <tp t="s">
        <v/>
        <stp/>
        <stp>15061297MM9:LstBlkVol</stp>
        <tr r="L1692" s="5"/>
      </tp>
      <tp t="s">
        <v/>
        <stp/>
        <stp>35534143M11:LstBlkVol</stp>
        <tr r="L719" s="5"/>
      </tp>
      <tp t="s">
        <v/>
        <stp/>
        <stp>35544144M11:LstBlkVol</stp>
        <tr r="L643" s="5"/>
      </tp>
      <tp t="s">
        <v/>
        <stp/>
        <stp>35554145M11:LstBlkVol</stp>
        <tr r="L681" s="5"/>
      </tp>
      <tp t="s">
        <v/>
        <stp/>
        <stp>35534143M21:LstBlkVol</stp>
        <tr r="L729" s="5"/>
      </tp>
      <tp t="s">
        <v/>
        <stp/>
        <stp>35544144M21:LstBlkVol</stp>
        <tr r="L653" s="5"/>
      </tp>
      <tp t="s">
        <v/>
        <stp/>
        <stp>35554145M21:LstBlkVol</stp>
        <tr r="L691" s="5"/>
      </tp>
      <tp t="s">
        <v/>
        <stp/>
        <stp>16331513M22:LstBlkVol</stp>
        <tr r="L1437" s="5"/>
      </tp>
      <tp t="s">
        <v/>
        <stp/>
        <stp>16341514M22:LstBlkVol</stp>
        <tr r="L1475" s="5"/>
      </tp>
      <tp t="s">
        <v/>
        <stp/>
        <stp>16351515M22:LstBlkVol</stp>
        <tr r="L1513" s="5"/>
      </tp>
      <tp t="s">
        <v/>
        <stp/>
        <stp>16331513M12:LstBlkVol</stp>
        <tr r="L1427" s="5"/>
      </tp>
      <tp t="s">
        <v/>
        <stp/>
        <stp>16341514M12:LstBlkVol</stp>
        <tr r="L1465" s="5"/>
      </tp>
      <tp t="s">
        <v/>
        <stp/>
        <stp>16351515M12:LstBlkVol</stp>
        <tr r="L1503" s="5"/>
      </tp>
      <tp t="s">
        <v/>
        <stp/>
        <stp>30813691M21:LstBlkVol</stp>
        <tr r="L1974" s="5"/>
      </tp>
      <tp t="s">
        <v/>
        <stp/>
        <stp>30813691M11:LstBlkVol</stp>
        <tr r="L1964" s="5"/>
      </tp>
      <tp t="s">
        <v/>
        <stp/>
        <stp>46678127M24:LstBlkVol</stp>
        <tr r="L369" s="5"/>
      </tp>
      <tp t="s">
        <v/>
        <stp/>
        <stp>46678127M14:LstBlkVol</stp>
        <tr r="L359" s="5"/>
      </tp>
      <tp t="s">
        <v/>
        <stp/>
        <stp>18871685M20:LstBlkVol</stp>
        <tr r="L441" s="5"/>
      </tp>
      <tp t="s">
        <v/>
        <stp/>
        <stp>18871685M10:LstBlkVol</stp>
        <tr r="L431" s="5"/>
      </tp>
      <tp t="s">
        <v/>
        <stp/>
        <stp>18901687M21:LstBlkVol</stp>
        <tr r="L328" s="5"/>
      </tp>
      <tp t="s">
        <v/>
        <stp/>
        <stp>18901687M11:LstBlkVol</stp>
        <tr r="L318" s="5"/>
      </tp>
      <tp t="s">
        <v>Invalid Market: 57179020M23</v>
        <stp/>
        <stp>57179020M23:LstBlkVol</stp>
        <tr r="L1570" s="5"/>
      </tp>
      <tp t="s">
        <v/>
        <stp/>
        <stp>57179020M13:LstBlkVol</stp>
        <tr r="L1560" s="5"/>
      </tp>
      <tp t="s">
        <v/>
        <stp/>
        <stp>18851683M20:LstBlkVol</stp>
        <tr r="L213" s="5"/>
      </tp>
      <tp t="s">
        <v/>
        <stp/>
        <stp>18851683M10:LstBlkVol</stp>
        <tr r="L203" s="5"/>
      </tp>
      <tp t="s">
        <v/>
        <stp/>
        <stp>29243602M12:LstBlkVol</stp>
        <tr r="L758" s="5"/>
      </tp>
      <tp t="s">
        <v/>
        <stp/>
        <stp>57409036M17:LstBlkVol</stp>
        <tr r="L248" s="5"/>
      </tp>
      <tp t="s">
        <v>Invalid Market: 2044823525M16</v>
        <stp/>
        <stp>2044823525M16:LstBlkVol</stp>
        <tr r="L1763" s="5"/>
      </tp>
      <tp t="s">
        <v/>
        <stp/>
        <stp>2427026287M14:LstBlkVol</stp>
        <tr r="L1163" s="5"/>
      </tp>
      <tp t="s">
        <v/>
        <stp/>
        <stp>2427026287M24:LstBlkVol</stp>
        <tr r="L1173" s="5"/>
      </tp>
      <tp t="s">
        <v/>
        <stp/>
        <stp>1986823075M20:LstBlkVol</stp>
        <tr r="L137" s="5"/>
      </tp>
      <tp t="s">
        <v/>
        <stp/>
        <stp>1986823075M10:LstBlkVol</stp>
        <tr r="L127" s="5"/>
      </tp>
      <tp t="s">
        <v/>
        <stp/>
        <stp>2427126288M15:LstBlkVol</stp>
        <tr r="L1050" s="5"/>
      </tp>
      <tp t="s">
        <v/>
        <stp/>
        <stp>2755828679M23:LstBlkVol</stp>
        <tr r="L1020" s="5"/>
      </tp>
      <tp t="s">
        <v/>
        <stp/>
        <stp>2755828679M13:LstBlkVol</stp>
        <tr r="L1010" s="5"/>
      </tp>
      <tp t="s">
        <v/>
        <stp/>
        <stp>1986923076M21:LstBlkVol</stp>
        <tr r="L176" s="5"/>
      </tp>
      <tp t="s">
        <v/>
        <stp/>
        <stp>1986923076M11:LstBlkVol</stp>
        <tr r="L166" s="5"/>
      </tp>
      <tp t="s">
        <v>Invalid Market: 2972825746BM0</v>
        <stp/>
        <stp>2972825746BM0:LstBlkVol</stp>
        <tr r="L1714" s="5"/>
      </tp>
      <tp t="s">
        <v/>
        <stp/>
        <stp>2427026287M22:BstHitPrc</stp>
        <tr r="G1171" s="5"/>
      </tp>
      <tp t="s">
        <v/>
        <stp/>
        <stp>2427026287M12:BstHitPrc</stp>
        <tr r="G1161" s="5"/>
      </tp>
    </main>
    <main first="bofaddin.rtdserver">
      <tp t="s">
        <v>#N/A</v>
        <stp/>
        <stp>BDP|15152382095910381036|222</stp>
        <stp>OQAK9M9 Comdty</stp>
        <stp>BID</stp>
        <stp>Fill=#N/A</stp>
        <tr r="T52" s="1"/>
      </tp>
      <tp t="s">
        <v>#N/A</v>
        <stp/>
        <stp>BDP|13518515796358766731|222</stp>
        <stp>OQAG9H9 Comdty</stp>
        <stp>ASK</stp>
        <stp>Fill=#N/A</stp>
        <tr r="T49" s="1"/>
      </tp>
    </main>
    <main first="ice.rtd">
      <tp t="s">
        <v/>
        <stp/>
        <stp>1840020882M11:LstBlkPrc</stp>
        <tr r="K1593" s="5"/>
      </tp>
    </main>
    <main first="bofaddin.rtdserver">
      <tp>
        <v>2.58</v>
        <stp/>
        <stp>BDP|18347824431015294207|222</stp>
        <stp>MUCF7G7 Comdty</stp>
        <stp>BID</stp>
        <stp>Fill=#N/A</stp>
        <tr r="S24" s="1"/>
      </tp>
    </main>
    <main first="ice.rtd">
      <tp t="s">
        <v/>
        <stp/>
        <stp>2427126288M13:LstBlkPrc</stp>
        <tr r="K1048" s="5"/>
      </tp>
      <tp t="s">
        <v/>
        <stp/>
        <stp>2427126288M23:LstBlkPrc</stp>
        <tr r="K1058" s="5"/>
      </tp>
      <tp t="s">
        <v/>
        <stp/>
        <stp>1986823075M16:LstBlkPrc</stp>
        <tr r="K133" s="5"/>
      </tp>
      <tp t="s">
        <v>Invalid Market: 2044823525M20</v>
        <stp/>
        <stp>2044823525M20:BstHitPrc</stp>
        <tr r="G1767" s="5"/>
      </tp>
      <tp t="s">
        <v/>
        <stp/>
        <stp>2044823525M10:BstHitPrc</stp>
        <tr r="G1757" s="5"/>
      </tp>
      <tp t="s">
        <v/>
        <stp/>
        <stp>1986923076M17:LstBlkPrc</stp>
        <tr r="K172" s="5"/>
      </tp>
    </main>
    <main first="bofaddin.rtdserver">
      <tp t="s">
        <v>#N/A</v>
        <stp/>
        <stp>BDP|10135791439874057189|222</stp>
        <stp>OQAF8G8 Comdty</stp>
        <stp>ASK</stp>
        <stp>Fill=#N/A</stp>
        <tr r="T36" s="1"/>
      </tp>
    </main>
    <main first="ice.rtd">
      <tp t="s">
        <v/>
        <stp/>
        <stp>2755828679M15:LstBlkPrc</stp>
        <tr r="K1012" s="5"/>
      </tp>
      <tp t="s">
        <v/>
        <stp/>
        <stp>1840020882M11:BstHitPrc</stp>
        <tr r="G1593" s="5"/>
      </tp>
      <tp t="s">
        <v/>
        <stp/>
        <stp>2427026287M12:LstBlkPrc</stp>
        <tr r="K1161" s="5"/>
      </tp>
      <tp t="s">
        <v/>
        <stp/>
        <stp>2427026287M22:LstBlkPrc</stp>
        <tr r="K1171" s="5"/>
      </tp>
    </main>
    <main first="bofaddin.rtdserver">
      <tp t="s">
        <v>#N/A</v>
        <stp/>
        <stp>BDP|17546583921360448880|222</stp>
        <stp>MUCH0J0 Comdty</stp>
        <stp>ASK</stp>
        <stp>Fill=#N/A</stp>
        <tr r="S62" s="1"/>
      </tp>
    </main>
    <main first="ice.rtd">
      <tp t="s">
        <v/>
        <stp/>
        <stp>2044823525M10:LstBlkPrc</stp>
        <tr r="K1757" s="5"/>
      </tp>
      <tp t="s">
        <v>Invalid Market: 2044823525M20</v>
        <stp/>
        <stp>2044823525M20:LstBlkPrc</stp>
        <tr r="K1767" s="5"/>
      </tp>
      <tp t="s">
        <v/>
        <stp/>
        <stp>1986923076M17:BstHitPrc</stp>
        <tr r="G172" s="5"/>
      </tp>
      <tp t="s">
        <v/>
        <stp/>
        <stp>2755828679M15:BstHitPrc</stp>
        <tr r="G1012" s="5"/>
      </tp>
      <tp t="s">
        <v/>
        <stp/>
        <stp>1986823075M16:BstHitPrc</stp>
        <tr r="G133" s="5"/>
      </tp>
      <tp t="s">
        <v/>
        <stp/>
        <stp>2427126288M23:BstHitPrc</stp>
        <tr r="G1058" s="5"/>
      </tp>
      <tp t="s">
        <v/>
        <stp/>
        <stp>2427126288M13:BstHitPrc</stp>
        <tr r="G1048" s="5"/>
      </tp>
    </main>
    <main first="esrtd">
      <tp t="s">
        <v/>
        <stp/>
        <stp>WDF 9!-IEU</stp>
        <stp>Last</stp>
        <tr r="I1786" s="5"/>
      </tp>
    </main>
    <main first="ice.rtd">
      <tp t="s">
        <v/>
        <stp/>
        <stp>57179020M6:LstBlkTime</stp>
        <tr r="M1553" s="5"/>
      </tp>
      <tp t="s">
        <v/>
        <stp/>
        <stp>57179020M7:LstBlkTime</stp>
        <tr r="M1554" s="5"/>
      </tp>
      <tp t="s">
        <v/>
        <stp/>
        <stp>57179020M4:LstBlkTime</stp>
        <tr r="M1551" s="5"/>
      </tp>
      <tp t="s">
        <v/>
        <stp/>
        <stp>57179020M5:LstBlkTime</stp>
        <tr r="M1552" s="5"/>
      </tp>
      <tp t="s">
        <v/>
        <stp/>
        <stp>57179020M2:LstBlkTime</stp>
        <tr r="M1549" s="5"/>
      </tp>
      <tp t="s">
        <v/>
        <stp/>
        <stp>57179020M3:LstBlkTime</stp>
        <tr r="M1550" s="5"/>
      </tp>
      <tp t="s">
        <v/>
        <stp/>
        <stp>57179020M0:LstBlkTime</stp>
        <tr r="M1547" s="5"/>
      </tp>
      <tp t="s">
        <v/>
        <stp/>
        <stp>57179020M1:LstBlkTime</stp>
        <tr r="M1548" s="5"/>
      </tp>
      <tp t="s">
        <v/>
        <stp/>
        <stp>57179020M8:LstBlkTime</stp>
        <tr r="M1555" s="5"/>
      </tp>
      <tp t="s">
        <v/>
        <stp/>
        <stp>57179020M9:LstBlkTime</stp>
        <tr r="M1556" s="5"/>
      </tp>
      <tp t="s">
        <v>Invalid Market: 57179020Q6</v>
        <stp/>
        <stp>57179020Q6:LstBlkTime</stp>
        <tr r="M1578" s="5"/>
      </tp>
      <tp t="s">
        <v>Invalid Market: 57179020Q7</v>
        <stp/>
        <stp>57179020Q7:LstBlkTime</stp>
        <tr r="M1579" s="5"/>
      </tp>
      <tp t="s">
        <v/>
        <stp/>
        <stp>57179020Q4:LstBlkTime</stp>
        <tr r="M1576" s="5"/>
      </tp>
      <tp t="s">
        <v>Invalid Market: 57179020Q5</v>
        <stp/>
        <stp>57179020Q5:LstBlkTime</stp>
        <tr r="M1577" s="5"/>
      </tp>
      <tp t="s">
        <v/>
        <stp/>
        <stp>57179020Q2:LstBlkTime</stp>
        <tr r="M1574" s="5"/>
      </tp>
      <tp t="s">
        <v/>
        <stp/>
        <stp>57179020Q3:LstBlkTime</stp>
        <tr r="M1575" s="5"/>
      </tp>
      <tp t="s">
        <v/>
        <stp/>
        <stp>57179020Q0:LstBlkTime</stp>
        <tr r="M1572" s="5"/>
      </tp>
      <tp t="s">
        <v/>
        <stp/>
        <stp>57179020Q1:LstBlkTime</stp>
        <tr r="M1573" s="5"/>
      </tp>
      <tp t="s">
        <v/>
        <stp/>
        <stp>57179020Y0:LstBlkTime</stp>
        <tr r="M1580" s="5"/>
      </tp>
      <tp t="s">
        <v>Invalid Market: 57179020Y1</v>
        <stp/>
        <stp>57179020Y1:LstBlkTime</stp>
        <tr r="M1581" s="5"/>
      </tp>
      <tp t="s">
        <v>DBF</v>
        <stp/>
        <stp>1517M23:PCC</stp>
        <tr r="B26" s="5"/>
      </tp>
      <tp t="s">
        <v>DBF</v>
        <stp/>
        <stp>1517M22:PCC</stp>
        <tr r="B25" s="5"/>
      </tp>
      <tp t="s">
        <v>DBF</v>
        <stp/>
        <stp>1517M21:PCC</stp>
        <tr r="B24" s="5"/>
      </tp>
      <tp t="s">
        <v>DBF</v>
        <stp/>
        <stp>1517M20:PCC</stp>
        <tr r="B23" s="5"/>
      </tp>
      <tp t="s">
        <v>DBF</v>
        <stp/>
        <stp>1517M24:PCC</stp>
        <tr r="B27" s="5"/>
      </tp>
      <tp t="s">
        <v>DBF</v>
        <stp/>
        <stp>1517M19:PCC</stp>
        <tr r="B22" s="5"/>
      </tp>
      <tp t="s">
        <v>DBF</v>
        <stp/>
        <stp>1517M18:PCC</stp>
        <tr r="B21" s="5"/>
      </tp>
      <tp t="s">
        <v>DBF</v>
        <stp/>
        <stp>1517M13:PCC</stp>
        <tr r="B16" s="5"/>
      </tp>
      <tp t="s">
        <v>DBF</v>
        <stp/>
        <stp>1517M12:PCC</stp>
        <tr r="B15" s="5"/>
      </tp>
      <tp t="s">
        <v>DBF</v>
        <stp/>
        <stp>1517M11:PCC</stp>
        <tr r="B14" s="5"/>
      </tp>
      <tp t="s">
        <v>DBF</v>
        <stp/>
        <stp>1517M10:PCC</stp>
        <tr r="B13" s="5"/>
      </tp>
      <tp t="s">
        <v>DBF</v>
        <stp/>
        <stp>1517M17:PCC</stp>
        <tr r="B20" s="5"/>
      </tp>
      <tp t="s">
        <v>DBF</v>
        <stp/>
        <stp>1517M16:PCC</stp>
        <tr r="B19" s="5"/>
      </tp>
      <tp t="s">
        <v>DBF</v>
        <stp/>
        <stp>1517M15:PCC</stp>
        <tr r="B18" s="5"/>
      </tp>
      <tp t="s">
        <v>DBF</v>
        <stp/>
        <stp>1517M14:PCC</stp>
        <tr r="B17" s="5"/>
      </tp>
      <tp>
        <v>0</v>
        <stp/>
        <stp>DBI1227QQ0:BlkVol</stp>
        <tr r="O1679" s="5"/>
      </tp>
      <tp>
        <v>0</v>
        <stp/>
        <stp>DBI1227QQ1:BlkVol</stp>
        <tr r="O1680" s="5"/>
      </tp>
    </main>
    <main first="esrtd">
      <tp t="s">
        <v/>
        <stp/>
        <stp>WNS 9!-IEU</stp>
        <stp>Last</stp>
        <tr r="I1856" s="5"/>
      </tp>
    </main>
    <main first="bofaddin.rtdserver">
      <tp>
        <v>22.5</v>
        <stp/>
        <stp>BDP|11742138323592187552|22</stp>
        <stp>HOZ8HOZ9 Comdty</stp>
        <stp>ASK</stp>
        <tr r="E4" s="3"/>
      </tp>
    </main>
    <main first="ice.rtd">
      <tp>
        <v>0</v>
        <stp/>
        <stp>366531MM18:Vol</stp>
        <tr r="N1733" s="5"/>
      </tp>
      <tp>
        <v>0</v>
        <stp/>
        <stp>366531MM19:Vol</stp>
        <tr r="N1734" s="5"/>
      </tp>
      <tp>
        <v>0</v>
        <stp/>
        <stp>366531MM12:Vol</stp>
        <tr r="N1727" s="5"/>
      </tp>
      <tp>
        <v>0</v>
        <stp/>
        <stp>366531MM13:Vol</stp>
        <tr r="N1728" s="5"/>
      </tp>
      <tp>
        <v>90</v>
        <stp/>
        <stp>366531MM10:Vol</stp>
        <tr r="N1725" s="5"/>
      </tp>
      <tp>
        <v>0</v>
        <stp/>
        <stp>366531MM11:Vol</stp>
        <tr r="N1726" s="5"/>
      </tp>
      <tp>
        <v>0</v>
        <stp/>
        <stp>366531MM16:Vol</stp>
        <tr r="N1731" s="5"/>
      </tp>
      <tp>
        <v>0</v>
        <stp/>
        <stp>366531MM17:Vol</stp>
        <tr r="N1732" s="5"/>
      </tp>
      <tp>
        <v>0</v>
        <stp/>
        <stp>366531MM14:Vol</stp>
        <tr r="N1729" s="5"/>
      </tp>
      <tp>
        <v>0</v>
        <stp/>
        <stp>366531MM15:Vol</stp>
        <tr r="N1730" s="5"/>
      </tp>
      <tp>
        <v>0</v>
        <stp/>
        <stp>366531MM22:Vol</stp>
        <tr r="N1737" s="5"/>
      </tp>
      <tp>
        <v>0</v>
        <stp/>
        <stp>366531MM23:Vol</stp>
        <tr r="N1738" s="5"/>
      </tp>
      <tp>
        <v>0</v>
        <stp/>
        <stp>366531MM20:Vol</stp>
        <tr r="N1735" s="5"/>
      </tp>
      <tp>
        <v>0</v>
        <stp/>
        <stp>366531MM21:Vol</stp>
        <tr r="N1736" s="5"/>
      </tp>
      <tp>
        <v>0</v>
        <stp/>
        <stp>366531MM26:Vol</stp>
        <tr r="N1741" s="5"/>
      </tp>
      <tp>
        <v>0</v>
        <stp/>
        <stp>366531MM27:Vol</stp>
        <tr r="N1742" s="5"/>
      </tp>
      <tp>
        <v>0</v>
        <stp/>
        <stp>366531MM24:Vol</stp>
        <tr r="N1739" s="5"/>
      </tp>
      <tp>
        <v>0</v>
        <stp/>
        <stp>366531MM25:Vol</stp>
        <tr r="N1740" s="5"/>
      </tp>
    </main>
    <main first="esrtd">
      <tp t="s">
        <v/>
        <stp/>
        <stp>WMJ 9!-IEU</stp>
        <stp>Last</stp>
        <tr r="I1891" s="5"/>
      </tp>
      <tp t="s">
        <v/>
        <stp/>
        <stp>WHK 9!-IEU</stp>
        <stp>Last</stp>
        <tr r="I1926" s="5"/>
      </tp>
    </main>
    <main first="bofaddin.rtdserver">
      <tp>
        <v>35.42</v>
        <stp/>
        <stp>BDP|13009200033022064336|22</stp>
        <stp>HOZ7HOZ8 Comdty</stp>
        <stp>ASK</stp>
        <tr r="E3" s="3"/>
      </tp>
    </main>
    <main first="ice.rtd">
      <tp>
        <v>0</v>
        <stp/>
        <stp>DBI1227YY0:BlkVol</stp>
        <tr r="O1681" s="5"/>
      </tp>
      <tp>
        <v>100</v>
        <stp/>
        <stp>DBI1227MM8:BlkVol</stp>
        <tr r="O1659" s="5"/>
      </tp>
      <tp>
        <v>1250</v>
        <stp/>
        <stp>DBI1227MM9:BlkVol</stp>
        <tr r="O1660" s="5"/>
      </tp>
      <tp>
        <v>0</v>
        <stp/>
        <stp>DBI1227MM2:BlkVol</stp>
        <tr r="O1653" s="5"/>
      </tp>
      <tp>
        <v>0</v>
        <stp/>
        <stp>DBI1227MM3:BlkVol</stp>
        <tr r="O1654" s="5"/>
      </tp>
      <tp>
        <v>180</v>
        <stp/>
        <stp>DBI1227MM0:BlkVol</stp>
        <tr r="O1651" s="5"/>
        <tr r="O1648" s="5"/>
      </tp>
      <tp>
        <v>0</v>
        <stp/>
        <stp>DBI1227MM1:BlkVol</stp>
        <tr r="O1652" s="5"/>
      </tp>
      <tp>
        <v>0</v>
        <stp/>
        <stp>DBI1227MM6:BlkVol</stp>
        <tr r="O1657" s="5"/>
      </tp>
      <tp>
        <v>0</v>
        <stp/>
        <stp>DBI1227MM7:BlkVol</stp>
        <tr r="O1658" s="5"/>
      </tp>
      <tp>
        <v>0</v>
        <stp/>
        <stp>DBI1227MM4:BlkVol</stp>
        <tr r="O1655" s="5"/>
      </tp>
      <tp>
        <v>0</v>
        <stp/>
        <stp>DBI1227MM5:BlkVol</stp>
        <tr r="O1656" s="5"/>
      </tp>
      <tp t="s">
        <v/>
        <stp/>
        <stp>2755828679Y2:LstBlkTime</stp>
        <tr r="M1033" s="5"/>
      </tp>
      <tp t="s">
        <v/>
        <stp/>
        <stp>2755828679Y1:LstBlkTime</stp>
        <tr r="M1032" s="5"/>
      </tp>
      <tp t="s">
        <v/>
        <stp/>
        <stp>2755828679Y0:LstBlkTime</stp>
        <tr r="M1031" s="5"/>
      </tp>
      <tp t="s">
        <v/>
        <stp/>
        <stp>2755828679Q8:LstBlkTime</stp>
        <tr r="M1030" s="5"/>
      </tp>
      <tp t="s">
        <v/>
        <stp/>
        <stp>2755828679Q7:LstBlkTime</stp>
        <tr r="M1029" s="5"/>
      </tp>
      <tp t="s">
        <v/>
        <stp/>
        <stp>2755828679Q6:LstBlkTime</stp>
        <tr r="M1028" s="5"/>
      </tp>
      <tp t="s">
        <v/>
        <stp/>
        <stp>2755828679Q5:LstBlkTime</stp>
        <tr r="M1027" s="5"/>
      </tp>
      <tp t="s">
        <v/>
        <stp/>
        <stp>2755828679Q4:LstBlkTime</stp>
        <tr r="M1026" s="5"/>
      </tp>
      <tp t="s">
        <v/>
        <stp/>
        <stp>2755828679Q3:LstBlkTime</stp>
        <tr r="M1025" s="5"/>
      </tp>
      <tp t="s">
        <v/>
        <stp/>
        <stp>2755828679Q2:LstBlkTime</stp>
        <tr r="M1024" s="5"/>
      </tp>
      <tp t="s">
        <v/>
        <stp/>
        <stp>2755828679Q1:LstBlkTime</stp>
        <tr r="M1023" s="5"/>
      </tp>
      <tp t="s">
        <v/>
        <stp/>
        <stp>2755828679Q0:LstBlkTime</stp>
        <tr r="M1022" s="5"/>
      </tp>
      <tp t="s">
        <v/>
        <stp/>
        <stp>2755828679M9:LstBlkTime</stp>
        <tr r="M1006" s="5"/>
      </tp>
      <tp t="s">
        <v/>
        <stp/>
        <stp>2755828679M8:LstBlkTime</stp>
        <tr r="M1005" s="5"/>
      </tp>
      <tp t="s">
        <v/>
        <stp/>
        <stp>2755828679M7:LstBlkTime</stp>
        <tr r="M1004" s="5"/>
      </tp>
      <tp t="s">
        <v/>
        <stp/>
        <stp>2755828679M6:LstBlkTime</stp>
        <tr r="M1003" s="5"/>
      </tp>
      <tp t="s">
        <v/>
        <stp/>
        <stp>2755828679M5:LstBlkTime</stp>
        <tr r="M1002" s="5"/>
      </tp>
      <tp t="s">
        <v/>
        <stp/>
        <stp>2755828679M4:LstBlkTime</stp>
        <tr r="M1001" s="5"/>
      </tp>
      <tp t="s">
        <v>10:52:00</v>
        <stp/>
        <stp>2755828679M3:LstBlkTime</stp>
        <tr r="M1000" s="5"/>
      </tp>
      <tp t="s">
        <v/>
        <stp/>
        <stp>2755828679M2:LstBlkTime</stp>
        <tr r="M999" s="5"/>
      </tp>
      <tp t="s">
        <v>09:55:59</v>
        <stp/>
        <stp>2755828679M1:LstBlkTime</stp>
        <tr r="M998" s="5"/>
      </tp>
      <tp t="s">
        <v/>
        <stp/>
        <stp>2755828679M0:LstBlkTime</stp>
        <tr r="M997" s="5"/>
      </tp>
      <tp t="s">
        <v>09:52:38</v>
        <stp/>
        <stp>2322725588B0:LstBlkTime</stp>
        <tr r="M2" s="5"/>
      </tp>
    </main>
    <main first="esrtd">
      <tp t="s">
        <v/>
        <stp/>
        <stp>WHK 21!-IEU</stp>
        <stp>Last Trade Time</stp>
        <tr r="J1938" s="5"/>
      </tp>
      <tp t="s">
        <v/>
        <stp/>
        <stp>WMJ 24!-IEU</stp>
        <stp>Last Trade Time</stp>
        <tr r="J1906" s="5"/>
      </tp>
      <tp t="s">
        <v/>
        <stp/>
        <stp>WNS 27!-IEU</stp>
        <stp>Last Trade Time</stp>
        <tr r="J1874" s="5"/>
      </tp>
    </main>
    <main first="bofaddin.rtdserver">
      <tp>
        <v>490.1</v>
        <stp/>
        <stp>BDP|17282300443055182047|222</stp>
        <stp>SCPM29 Comdty</stp>
        <stp>BID</stp>
        <stp>Fill=#N/A</stp>
        <tr r="M52" s="1"/>
      </tp>
    </main>
    <main first="esrtd">
      <tp t="s">
        <v/>
        <stp/>
        <stp>WHK 20!-IEU</stp>
        <stp>Last Trade Time</stp>
        <tr r="J1937" s="5"/>
      </tp>
      <tp t="s">
        <v/>
        <stp/>
        <stp>WMJ 25!-IEU</stp>
        <stp>Last Trade Time</stp>
        <tr r="J1907" s="5"/>
      </tp>
      <tp t="s">
        <v/>
        <stp/>
        <stp>WNS 26!-IEU</stp>
        <stp>Last Trade Time</stp>
        <tr r="J1873" s="5"/>
      </tp>
    </main>
    <main first="ice.rtd">
      <tp>
        <v>0</v>
        <stp/>
        <stp>366531QQ1:OI</stp>
        <tr r="T1744" s="5"/>
      </tp>
      <tp>
        <v>0</v>
        <stp/>
        <stp>366531QQ0:OI</stp>
        <tr r="T1743" s="5"/>
      </tp>
    </main>
    <main first="esrtd">
      <tp t="s">
        <v/>
        <stp/>
        <stp>WHK 23!-IEU</stp>
        <stp>Last Trade Time</stp>
        <tr r="J1940" s="5"/>
      </tp>
      <tp t="s">
        <v/>
        <stp/>
        <stp>WMJ 26!-IEU</stp>
        <stp>Last Trade Time</stp>
        <tr r="J1908" s="5"/>
      </tp>
      <tp t="s">
        <v/>
        <stp/>
        <stp>WNS 25!-IEU</stp>
        <stp>Last Trade Time</stp>
        <tr r="J1872" s="5"/>
      </tp>
    </main>
    <main first="ice.rtd">
      <tp t="s">
        <v/>
        <stp/>
        <stp>57409036M16:LstBlkPrc</stp>
        <tr r="K247" s="5"/>
      </tp>
      <tp t="s">
        <v/>
        <stp/>
        <stp>29243602M13:LstBlkPrc</stp>
        <tr r="K759" s="5"/>
      </tp>
      <tp t="s">
        <v/>
        <stp/>
        <stp>18851683M21:LstBlkPrc</stp>
        <tr r="K214" s="5"/>
      </tp>
      <tp t="s">
        <v/>
        <stp/>
        <stp>18851683M11:LstBlkPrc</stp>
        <tr r="K204" s="5"/>
      </tp>
    </main>
    <main first="esrtd">
      <tp t="s">
        <v/>
        <stp/>
        <stp>WHK 22!-IEU</stp>
        <stp>Last Trade Time</stp>
        <tr r="J1939" s="5"/>
      </tp>
      <tp t="s">
        <v/>
        <stp/>
        <stp>WMJ 27!-IEU</stp>
        <stp>Last Trade Time</stp>
        <tr r="J1909" s="5"/>
      </tp>
      <tp t="s">
        <v/>
        <stp/>
        <stp>WNS 24!-IEU</stp>
        <stp>Last Trade Time</stp>
        <tr r="J1871" s="5"/>
      </tp>
    </main>
    <main first="ice.rtd">
      <tp t="s">
        <v>Invalid Market: 57179020M22</v>
        <stp/>
        <stp>57179020M22:LstBlkPrc</stp>
        <tr r="K1569" s="5"/>
      </tp>
      <tp t="s">
        <v/>
        <stp/>
        <stp>57179020M12:LstBlkPrc</stp>
        <tr r="K1559" s="5"/>
      </tp>
      <tp t="s">
        <v/>
        <stp/>
        <stp>18901687M20:LstBlkPrc</stp>
        <tr r="K327" s="5"/>
      </tp>
      <tp t="s">
        <v/>
        <stp/>
        <stp>18901687M10:LstBlkPrc</stp>
        <tr r="K317" s="5"/>
      </tp>
    </main>
    <main first="esrtd">
      <tp t="s">
        <v/>
        <stp/>
        <stp>WDF 29!-IEU</stp>
        <stp>Last Trade Time</stp>
        <tr r="J1806" s="5"/>
      </tp>
      <tp t="s">
        <v/>
        <stp/>
        <stp>WHK 25!-IEU</stp>
        <stp>Last Trade Time</stp>
        <tr r="J1942" s="5"/>
      </tp>
      <tp t="s">
        <v/>
        <stp/>
        <stp>WMJ 20!-IEU</stp>
        <stp>Last Trade Time</stp>
        <tr r="J1902" s="5"/>
      </tp>
      <tp t="s">
        <v/>
        <stp/>
        <stp>TDL 19!-IEU</stp>
        <stp>Last Trade Time</stp>
        <tr r="J1831" s="5"/>
      </tp>
      <tp t="s">
        <v/>
        <stp/>
        <stp>WNS 23!-IEU</stp>
        <stp>Last Trade Time</stp>
        <tr r="J1870" s="5"/>
      </tp>
    </main>
    <main first="ice.rtd">
      <tp t="s">
        <v/>
        <stp/>
        <stp>46678127M15:LstBlkPrc</stp>
        <tr r="K360" s="5"/>
      </tp>
      <tp t="s">
        <v/>
        <stp/>
        <stp>16331513M23:LstBlkPrc</stp>
        <tr r="K1438" s="5"/>
      </tp>
      <tp t="s">
        <v/>
        <stp/>
        <stp>16341514M23:LstBlkPrc</stp>
        <tr r="K1476" s="5"/>
      </tp>
      <tp t="s">
        <v/>
        <stp/>
        <stp>16351515M23:LstBlkPrc</stp>
        <tr r="K1514" s="5"/>
      </tp>
      <tp t="s">
        <v/>
        <stp/>
        <stp>16331513M13:LstBlkPrc</stp>
        <tr r="K1428" s="5"/>
      </tp>
      <tp t="s">
        <v/>
        <stp/>
        <stp>16341514M13:LstBlkPrc</stp>
        <tr r="K1466" s="5"/>
      </tp>
      <tp t="s">
        <v/>
        <stp/>
        <stp>16351515M13:LstBlkPrc</stp>
        <tr r="K1504" s="5"/>
      </tp>
      <tp t="s">
        <v/>
        <stp/>
        <stp>30813691M20:LstBlkPrc</stp>
        <tr r="K1973" s="5"/>
      </tp>
      <tp t="s">
        <v/>
        <stp/>
        <stp>30813691M10:LstBlkPrc</stp>
        <tr r="K1963" s="5"/>
      </tp>
      <tp t="s">
        <v/>
        <stp/>
        <stp>35534143M10:LstBlkPrc</stp>
        <tr r="K718" s="5"/>
      </tp>
      <tp t="s">
        <v/>
        <stp/>
        <stp>35544144M10:LstBlkPrc</stp>
        <tr r="K642" s="5"/>
      </tp>
      <tp t="s">
        <v/>
        <stp/>
        <stp>35554145M10:LstBlkPrc</stp>
        <tr r="K680" s="5"/>
      </tp>
      <tp t="s">
        <v/>
        <stp/>
        <stp>35534143M20:LstBlkPrc</stp>
        <tr r="K728" s="5"/>
      </tp>
      <tp t="s">
        <v/>
        <stp/>
        <stp>35544144M20:LstBlkPrc</stp>
        <tr r="K652" s="5"/>
      </tp>
      <tp t="s">
        <v/>
        <stp/>
        <stp>35554145M20:LstBlkPrc</stp>
        <tr r="K690" s="5"/>
      </tp>
    </main>
    <main first="esrtd">
      <tp t="s">
        <v/>
        <stp/>
        <stp>WDF 28!-IEU</stp>
        <stp>Last Trade Time</stp>
        <tr r="J1805" s="5"/>
      </tp>
      <tp t="s">
        <v/>
        <stp/>
        <stp>WHK 24!-IEU</stp>
        <stp>Last Trade Time</stp>
        <tr r="J1941" s="5"/>
      </tp>
      <tp t="s">
        <v/>
        <stp/>
        <stp>WMJ 21!-IEU</stp>
        <stp>Last Trade Time</stp>
        <tr r="J1903" s="5"/>
      </tp>
      <tp t="s">
        <v/>
        <stp/>
        <stp>TDL 18!-IEU</stp>
        <stp>Last Trade Time</stp>
        <tr r="J1830" s="5"/>
      </tp>
      <tp t="s">
        <v/>
        <stp/>
        <stp>WNS 22!-IEU</stp>
        <stp>Last Trade Time</stp>
        <tr r="J1869" s="5"/>
      </tp>
    </main>
    <main first="ice.rtd">
      <tp>
        <v>3.43</v>
        <stp/>
        <stp>15061297MM8:LstBlkPrc</stp>
        <tr r="K1691" s="5"/>
      </tp>
    </main>
    <main first="esrtd">
      <tp t="s">
        <v/>
        <stp/>
        <stp>WHK 27!-IEU</stp>
        <stp>Last Trade Time</stp>
        <tr r="J1944" s="5"/>
      </tp>
      <tp t="s">
        <v/>
        <stp/>
        <stp>WMJ 22!-IEU</stp>
        <stp>Last Trade Time</stp>
        <tr r="J1904" s="5"/>
      </tp>
      <tp t="s">
        <v/>
        <stp/>
        <stp>WNS 21!-IEU</stp>
        <stp>Last Trade Time</stp>
        <tr r="J1868" s="5"/>
      </tp>
    </main>
    <main first="ice.rtd">
      <tp t="s">
        <v/>
        <stp/>
        <stp>18871685M21:LstBlkPrc</stp>
        <tr r="K442" s="5"/>
      </tp>
      <tp t="s">
        <v/>
        <stp/>
        <stp>18871685M11:LstBlkPrc</stp>
        <tr r="K432" s="5"/>
      </tp>
    </main>
    <main first="esrtd">
      <tp t="s">
        <v/>
        <stp/>
        <stp>WHK 26!-IEU</stp>
        <stp>Last Trade Time</stp>
        <tr r="J1943" s="5"/>
      </tp>
      <tp t="s">
        <v/>
        <stp/>
        <stp>WMJ 23!-IEU</stp>
        <stp>Last Trade Time</stp>
        <tr r="J1905" s="5"/>
      </tp>
      <tp t="s">
        <v/>
        <stp/>
        <stp>WNS 20!-IEU</stp>
        <stp>Last Trade Time</stp>
        <tr r="J1867" s="5"/>
      </tp>
    </main>
    <main first="ice.rtd">
      <tp t="s">
        <v/>
        <stp/>
        <stp>15091310M10:BstHitPrc</stp>
        <tr r="G1387" s="5"/>
      </tp>
      <tp t="s">
        <v/>
        <stp/>
        <stp>15091310M20:BstHitPrc</stp>
        <tr r="G1397" s="5"/>
      </tp>
    </main>
    <main first="esrtd">
      <tp t="s">
        <v/>
        <stp/>
        <stp>WDF 25!-IEU</stp>
        <stp>Last Trade Time</stp>
        <tr r="J1802" s="5"/>
      </tp>
      <tp t="s">
        <v/>
        <stp/>
        <stp>WHK 29!-IEU</stp>
        <stp>Last Trade Time</stp>
        <tr r="J1946" s="5"/>
      </tp>
      <tp t="s">
        <v/>
        <stp/>
        <stp>TDL 15!-IEU</stp>
        <stp>Last Trade Time</stp>
        <tr r="J1827" s="5"/>
      </tp>
    </main>
    <main first="ice.rtd">
      <tp>
        <v>-11.41</v>
        <stp/>
        <stp>18851683M11:BstHitPrc</stp>
        <tr r="G204" s="5"/>
      </tp>
      <tp t="s">
        <v/>
        <stp/>
        <stp>18851683M21:BstHitPrc</stp>
        <tr r="G214" s="5"/>
      </tp>
      <tp t="s">
        <v/>
        <stp/>
        <stp>29243602M13:BstHitPrc</stp>
        <tr r="G759" s="5"/>
      </tp>
      <tp t="s">
        <v/>
        <stp/>
        <stp>57409036M16:BstHitPrc</stp>
        <tr r="G247" s="5"/>
      </tp>
    </main>
    <main first="esrtd">
      <tp t="s">
        <v/>
        <stp/>
        <stp>WDF 24!-IEU</stp>
        <stp>Last Trade Time</stp>
        <tr r="J1801" s="5"/>
      </tp>
      <tp t="s">
        <v/>
        <stp/>
        <stp>WHK 28!-IEU</stp>
        <stp>Last Trade Time</stp>
        <tr r="J1945" s="5"/>
      </tp>
      <tp t="s">
        <v/>
        <stp/>
        <stp>TDL 14!-IEU</stp>
        <stp>Last Trade Time</stp>
        <tr r="J1826" s="5"/>
      </tp>
    </main>
    <main first="ice.rtd">
      <tp>
        <v>22.05</v>
        <stp/>
        <stp>18901687M10:BstHitPrc</stp>
        <tr r="G317" s="5"/>
      </tp>
      <tp t="s">
        <v/>
        <stp/>
        <stp>18901687M20:BstHitPrc</stp>
        <tr r="G327" s="5"/>
      </tp>
      <tp t="s">
        <v/>
        <stp/>
        <stp>57179020M12:BstHitPrc</stp>
        <tr r="G1559" s="5"/>
      </tp>
      <tp t="s">
        <v>Invalid Market: 57179020M22</v>
        <stp/>
        <stp>57179020M22:BstHitPrc</stp>
        <tr r="G1569" s="5"/>
      </tp>
      <tp>
        <v>0</v>
        <stp/>
        <stp>366531YY0:OI</stp>
        <tr r="T1745" s="5"/>
      </tp>
    </main>
    <main first="esrtd">
      <tp t="s">
        <v/>
        <stp/>
        <stp>WDF 27!-IEU</stp>
        <stp>Last Trade Time</stp>
        <tr r="J1804" s="5"/>
      </tp>
      <tp t="s">
        <v/>
        <stp/>
        <stp>TDL 17!-IEU</stp>
        <stp>Last Trade Time</stp>
        <tr r="J1829" s="5"/>
      </tp>
      <tp t="s">
        <v/>
        <stp/>
        <stp>WDF 26!-IEU</stp>
        <stp>Last Trade Time</stp>
        <tr r="J1803" s="5"/>
      </tp>
      <tp t="s">
        <v/>
        <stp/>
        <stp>TDL 16!-IEU</stp>
        <stp>Last Trade Time</stp>
        <tr r="J1828" s="5"/>
      </tp>
      <tp t="s">
        <v/>
        <stp/>
        <stp>WDF 21!-IEU</stp>
        <stp>Last Trade Time</stp>
        <tr r="J1798" s="5"/>
      </tp>
      <tp t="s">
        <v/>
        <stp/>
        <stp>WMJ 28!-IEU</stp>
        <stp>Last Trade Time</stp>
        <tr r="J1910" s="5"/>
      </tp>
      <tp t="s">
        <v/>
        <stp/>
        <stp>TDL 11!-IEU</stp>
        <stp>Last Trade Time</stp>
        <tr r="J1823" s="5"/>
      </tp>
    </main>
    <main first="ice.rtd">
      <tp>
        <v>2.5</v>
        <stp/>
        <stp>18871685M11:BstHitPrc</stp>
        <tr r="G432" s="5"/>
      </tp>
      <tp t="s">
        <v/>
        <stp/>
        <stp>18871685M21:BstHitPrc</stp>
        <tr r="G442" s="5"/>
      </tp>
    </main>
    <main first="esrtd">
      <tp t="s">
        <v/>
        <stp/>
        <stp>WDF 20!-IEU</stp>
        <stp>Last Trade Time</stp>
        <tr r="J1797" s="5"/>
      </tp>
      <tp t="s">
        <v/>
        <stp/>
        <stp>WMJ 29!-IEU</stp>
        <stp>Last Trade Time</stp>
        <tr r="J1911" s="5"/>
      </tp>
      <tp t="s">
        <v/>
        <stp/>
        <stp>TDL 10!-IEU</stp>
        <stp>Last Trade Time</stp>
        <tr r="J1822" s="5"/>
      </tp>
    </main>
    <main first="ice.rtd">
      <tp t="s">
        <v/>
        <stp/>
        <stp>15091310M20:LstBlkPrc</stp>
        <tr r="K1397" s="5"/>
      </tp>
      <tp t="s">
        <v/>
        <stp/>
        <stp>15091310M10:LstBlkPrc</stp>
        <tr r="K1387" s="5"/>
      </tp>
    </main>
    <main first="esrtd">
      <tp t="s">
        <v/>
        <stp/>
        <stp>WDF 23!-IEU</stp>
        <stp>Last Trade Time</stp>
        <tr r="J1800" s="5"/>
      </tp>
      <tp t="s">
        <v/>
        <stp/>
        <stp>TDL 13!-IEU</stp>
        <stp>Last Trade Time</stp>
        <tr r="J1825" s="5"/>
      </tp>
      <tp t="s">
        <v/>
        <stp/>
        <stp>WNS 29!-IEU</stp>
        <stp>Last Trade Time</stp>
        <tr r="J1876" s="5"/>
      </tp>
    </main>
    <main first="ice.rtd">
      <tp t="s">
        <v/>
        <stp/>
        <stp>30813691M10:BstHitPrc</stp>
        <tr r="G1963" s="5"/>
      </tp>
      <tp t="s">
        <v/>
        <stp/>
        <stp>30813691M20:BstHitPrc</stp>
        <tr r="G1973" s="5"/>
      </tp>
      <tp t="s">
        <v/>
        <stp/>
        <stp>16331513M13:BstHitPrc</stp>
        <tr r="G1428" s="5"/>
      </tp>
      <tp t="s">
        <v/>
        <stp/>
        <stp>16341514M13:BstHitPrc</stp>
        <tr r="G1466" s="5"/>
      </tp>
      <tp t="s">
        <v/>
        <stp/>
        <stp>16351515M13:BstHitPrc</stp>
        <tr r="G1504" s="5"/>
      </tp>
      <tp t="s">
        <v/>
        <stp/>
        <stp>16331513M23:BstHitPrc</stp>
        <tr r="G1438" s="5"/>
      </tp>
      <tp t="s">
        <v/>
        <stp/>
        <stp>16341514M23:BstHitPrc</stp>
        <tr r="G1476" s="5"/>
      </tp>
      <tp t="s">
        <v/>
        <stp/>
        <stp>16351515M23:BstHitPrc</stp>
        <tr r="G1514" s="5"/>
      </tp>
      <tp t="s">
        <v/>
        <stp/>
        <stp>35534143M20:BstHitPrc</stp>
        <tr r="G728" s="5"/>
      </tp>
      <tp t="s">
        <v/>
        <stp/>
        <stp>35544144M20:BstHitPrc</stp>
        <tr r="G652" s="5"/>
      </tp>
      <tp t="s">
        <v/>
        <stp/>
        <stp>35554145M20:BstHitPrc</stp>
        <tr r="G690" s="5"/>
      </tp>
      <tp t="s">
        <v/>
        <stp/>
        <stp>35534143M10:BstHitPrc</stp>
        <tr r="G718" s="5"/>
      </tp>
      <tp t="s">
        <v/>
        <stp/>
        <stp>35544144M10:BstHitPrc</stp>
        <tr r="G642" s="5"/>
      </tp>
      <tp t="s">
        <v/>
        <stp/>
        <stp>35554145M10:BstHitPrc</stp>
        <tr r="G680" s="5"/>
      </tp>
      <tp>
        <v>10.1</v>
        <stp/>
        <stp>46678127M15:BstHitPrc</stp>
        <tr r="G360" s="5"/>
      </tp>
    </main>
    <main first="esrtd">
      <tp t="s">
        <v/>
        <stp/>
        <stp>WDF 22!-IEU</stp>
        <stp>Last Trade Time</stp>
        <tr r="J1799" s="5"/>
      </tp>
      <tp t="s">
        <v/>
        <stp/>
        <stp>TDL 12!-IEU</stp>
        <stp>Last Trade Time</stp>
        <tr r="J1824" s="5"/>
      </tp>
      <tp t="s">
        <v/>
        <stp/>
        <stp>WNS 28!-IEU</stp>
        <stp>Last Trade Time</stp>
        <tr r="J1875" s="5"/>
      </tp>
    </main>
    <main first="ice.rtd">
      <tp>
        <v>3.45</v>
        <stp/>
        <stp>15061297MM8:BstHitPrc</stp>
        <tr r="G1691" s="5"/>
      </tp>
      <tp t="s">
        <v/>
        <stp/>
        <stp>15091310M16:LstBlkVol</stp>
        <tr r="L1393" s="5"/>
      </tp>
      <tp t="s">
        <v/>
        <stp/>
        <stp>30793693M19:LstBlkVol</stp>
        <tr r="L902" s="5"/>
      </tp>
      <tp t="s">
        <v/>
        <stp/>
        <stp>41787896M19:LstBlkVol</stp>
        <tr r="L826" s="5"/>
      </tp>
      <tp t="s">
        <v/>
        <stp/>
        <stp>32623993M18:LstBlkVol</stp>
        <tr r="L2008" s="5"/>
      </tp>
      <tp t="s">
        <v/>
        <stp/>
        <stp>35534143M16:LstBlkVol</stp>
        <tr r="L724" s="5"/>
      </tp>
      <tp t="s">
        <v/>
        <stp/>
        <stp>35544144M16:LstBlkVol</stp>
        <tr r="L648" s="5"/>
      </tp>
      <tp t="s">
        <v/>
        <stp/>
        <stp>35554145M16:LstBlkVol</stp>
        <tr r="L686" s="5"/>
      </tp>
      <tp t="s">
        <v/>
        <stp/>
        <stp>16331513M15:LstBlkVol</stp>
        <tr r="L1430" s="5"/>
      </tp>
      <tp t="s">
        <v/>
        <stp/>
        <stp>16341514M15:LstBlkVol</stp>
        <tr r="L1468" s="5"/>
      </tp>
      <tp t="s">
        <v/>
        <stp/>
        <stp>16351515M15:LstBlkVol</stp>
        <tr r="L1506" s="5"/>
      </tp>
      <tp t="s">
        <v/>
        <stp/>
        <stp>30813691M16:LstBlkVol</stp>
        <tr r="L1969" s="5"/>
      </tp>
      <tp t="s">
        <v/>
        <stp/>
        <stp>46678127M23:LstBlkVol</stp>
        <tr r="L368" s="5"/>
      </tp>
      <tp t="s">
        <v/>
        <stp/>
        <stp>46678127M13:LstBlkVol</stp>
        <tr r="L358" s="5"/>
      </tp>
      <tp t="s">
        <v/>
        <stp/>
        <stp>32613992M18:LstBlkVol</stp>
        <tr r="L1243" s="5"/>
      </tp>
      <tp t="s">
        <v/>
        <stp/>
        <stp>18871685M17:LstBlkVol</stp>
        <tr r="L438" s="5"/>
      </tp>
      <tp t="s">
        <v/>
        <stp/>
        <stp>41767893M19:LstBlkVol</stp>
        <tr r="L499" s="5"/>
      </tp>
      <tp>
        <v>0</v>
        <stp/>
        <stp>366531MM7:OI</stp>
        <tr r="T1722" s="5"/>
      </tp>
      <tp>
        <v>0</v>
        <stp/>
        <stp>366531MM6:OI</stp>
        <tr r="T1721" s="5"/>
      </tp>
      <tp>
        <v>0</v>
        <stp/>
        <stp>366531MM5:OI</stp>
        <tr r="T1720" s="5"/>
      </tp>
      <tp>
        <v>0</v>
        <stp/>
        <stp>366531MM4:OI</stp>
        <tr r="T1719" s="5"/>
      </tp>
      <tp>
        <v>0</v>
        <stp/>
        <stp>366531MM3:OI</stp>
        <tr r="T1718" s="5"/>
      </tp>
      <tp>
        <v>0</v>
        <stp/>
        <stp>366531MM2:OI</stp>
        <tr r="T1717" s="5"/>
      </tp>
      <tp>
        <v>0</v>
        <stp/>
        <stp>366531MM1:OI</stp>
        <tr r="T1716" s="5"/>
      </tp>
      <tp>
        <v>0</v>
        <stp/>
        <stp>366531MM0:OI</stp>
        <tr r="T1715" s="5"/>
      </tp>
      <tp>
        <v>0</v>
        <stp/>
        <stp>366531MM9:OI</stp>
        <tr r="T1724" s="5"/>
      </tp>
      <tp>
        <v>0</v>
        <stp/>
        <stp>366531MM8:OI</stp>
        <tr r="T1723" s="5"/>
      </tp>
      <tp t="s">
        <v/>
        <stp/>
        <stp>18901687M16:LstBlkVol</stp>
        <tr r="L323" s="5"/>
      </tp>
      <tp t="s">
        <v>Invalid Market: 57179020M24</v>
        <stp/>
        <stp>57179020M24:LstBlkVol</stp>
        <tr r="L1571" s="5"/>
      </tp>
      <tp t="s">
        <v/>
        <stp/>
        <stp>57179020M14:LstBlkVol</stp>
        <tr r="L1561" s="5"/>
      </tp>
      <tp t="s">
        <v/>
        <stp/>
        <stp>18851683M17:LstBlkVol</stp>
        <tr r="L210" s="5"/>
      </tp>
      <tp t="s">
        <v/>
        <stp/>
        <stp>29243602M15:LstBlkVol</stp>
        <tr r="L761" s="5"/>
      </tp>
      <tp t="s">
        <v/>
        <stp/>
        <stp>57409036M20:LstBlkVol</stp>
        <tr r="L251" s="5"/>
      </tp>
      <tp t="s">
        <v/>
        <stp/>
        <stp>57409036M10:LstBlkVol</stp>
        <tr r="L241" s="5"/>
      </tp>
      <tp t="s">
        <v/>
        <stp/>
        <stp>2044823525M11:LstBlkVol</stp>
        <tr r="L1758" s="5"/>
      </tp>
      <tp t="s">
        <v>Invalid Market: 2044823525M21</v>
        <stp/>
        <stp>2044823525M21:LstBlkVol</stp>
        <tr r="L1768" s="5"/>
      </tp>
      <tp t="s">
        <v/>
        <stp/>
        <stp>2427026287M13:LstBlkVol</stp>
        <tr r="L1162" s="5"/>
      </tp>
      <tp t="s">
        <v/>
        <stp/>
        <stp>2427026287M23:LstBlkVol</stp>
        <tr r="L1172" s="5"/>
      </tp>
      <tp t="s">
        <v>Invalid Market: CALCM11</v>
        <stp/>
        <stp>CALCM11:LstPrc</stp>
        <tr r="I1198" s="5"/>
        <tr r="I1350" s="5"/>
      </tp>
      <tp t="s">
        <v>Invalid Market: CALCM10</v>
        <stp/>
        <stp>CALCM10:LstPrc</stp>
        <tr r="I1197" s="5"/>
        <tr r="I1349" s="5"/>
      </tp>
      <tp t="s">
        <v>Invalid Market: CALCM13</v>
        <stp/>
        <stp>CALCM13:LstPrc</stp>
        <tr r="I1200" s="5"/>
        <tr r="I1352" s="5"/>
      </tp>
      <tp t="s">
        <v>Invalid Market: CALCM12</v>
        <stp/>
        <stp>CALCM12:LstPrc</stp>
        <tr r="I1199" s="5"/>
        <tr r="I1351" s="5"/>
      </tp>
      <tp t="s">
        <v>Invalid Market: CALCM15</v>
        <stp/>
        <stp>CALCM15:LstPrc</stp>
        <tr r="I1202" s="5"/>
        <tr r="I1354" s="5"/>
      </tp>
      <tp t="s">
        <v>Invalid Market: CALCM14</v>
        <stp/>
        <stp>CALCM14:LstPrc</stp>
        <tr r="I1353" s="5"/>
        <tr r="I1201" s="5"/>
      </tp>
      <tp t="s">
        <v>Invalid Market: CALCM17</v>
        <stp/>
        <stp>CALCM17:LstPrc</stp>
        <tr r="I1204" s="5"/>
        <tr r="I1356" s="5"/>
      </tp>
      <tp t="s">
        <v>Invalid Market: CALCM16</v>
        <stp/>
        <stp>CALCM16:LstPrc</stp>
        <tr r="I1355" s="5"/>
        <tr r="I1203" s="5"/>
      </tp>
      <tp t="s">
        <v>Invalid Market: CALCM19</v>
        <stp/>
        <stp>CALCM19:LstPrc</stp>
        <tr r="I1358" s="5"/>
        <tr r="I1206" s="5"/>
      </tp>
      <tp t="s">
        <v>Invalid Market: CALCM18</v>
        <stp/>
        <stp>CALCM18:LstPrc</stp>
        <tr r="I1357" s="5"/>
        <tr r="I1205" s="5"/>
      </tp>
      <tp t="s">
        <v>Invalid Market: CALCM21</v>
        <stp/>
        <stp>CALCM21:LstPrc</stp>
        <tr r="I1360" s="5"/>
        <tr r="I1208" s="5"/>
      </tp>
      <tp t="s">
        <v>Invalid Market: CALCM20</v>
        <stp/>
        <stp>CALCM20:LstPrc</stp>
        <tr r="I1207" s="5"/>
        <tr r="I1359" s="5"/>
      </tp>
      <tp t="s">
        <v>Invalid Market: CALCM23</v>
        <stp/>
        <stp>CALCM23:LstPrc</stp>
        <tr r="I1210" s="5"/>
        <tr r="I1362" s="5"/>
      </tp>
      <tp t="s">
        <v>Invalid Market: CALCM22</v>
        <stp/>
        <stp>CALCM22:LstPrc</stp>
        <tr r="I1209" s="5"/>
        <tr r="I1361" s="5"/>
      </tp>
      <tp t="s">
        <v>Invalid Market: CALCM24</v>
        <stp/>
        <stp>CALCM24:LstPrc</stp>
        <tr r="I1211" s="5"/>
        <tr r="I1363" s="5"/>
      </tp>
      <tp t="s">
        <v/>
        <stp/>
        <stp>1986823075M17:LstBlkVol</stp>
        <tr r="L134" s="5"/>
      </tp>
      <tp t="s">
        <v/>
        <stp/>
        <stp>2427126288M12:LstBlkVol</stp>
        <tr r="L1047" s="5"/>
      </tp>
      <tp t="s">
        <v/>
        <stp/>
        <stp>2427126288M22:LstBlkVol</stp>
        <tr r="L1057" s="5"/>
      </tp>
      <tp t="s">
        <v/>
        <stp/>
        <stp>2755828679M24:LstBlkVol</stp>
        <tr r="L1021" s="5"/>
      </tp>
      <tp t="s">
        <v/>
        <stp/>
        <stp>2755828679M14:LstBlkVol</stp>
        <tr r="L1011" s="5"/>
      </tp>
      <tp t="s">
        <v/>
        <stp/>
        <stp>1986923076M16:LstBlkVol</stp>
        <tr r="L171" s="5"/>
      </tp>
      <tp>
        <v>0</v>
        <stp/>
        <stp>3016030250BM0:Vol</stp>
        <tr r="N1682" s="5"/>
      </tp>
      <tp t="s">
        <v/>
        <stp/>
        <stp>1840020882M10:LstBlkVol</stp>
        <tr r="L1592" s="5"/>
      </tp>
      <tp t="s">
        <v/>
        <stp/>
        <stp>2427026287M15:BstHitPrc</stp>
        <tr r="G1164" s="5"/>
      </tp>
    </main>
    <main first="bofaddin.rtdserver">
      <tp t="s">
        <v>#N/A</v>
        <stp/>
        <stp>BDP|13125531868767891521|222</stp>
        <stp>MUCK7M7 Comdty</stp>
        <stp>ASK</stp>
        <stp>Fill=#N/A</stp>
        <tr r="S28" s="1"/>
      </tp>
    </main>
    <main first="ice.rtd">
      <tp t="s">
        <v/>
        <stp/>
        <stp>1840020882M16:LstBlkPrc</stp>
        <tr r="K1598" s="5"/>
      </tp>
    </main>
    <main first="bofaddin.rtdserver">
      <tp t="s">
        <v>#N/A</v>
        <stp/>
        <stp>BDP|15619391652224767740|222</stp>
        <stp>OQAG8H8 Comdty</stp>
        <stp>BID</stp>
        <stp>Fill=#N/A</stp>
        <tr r="T37" s="1"/>
      </tp>
    </main>
    <main first="ice.rtd">
      <tp t="s">
        <v/>
        <stp/>
        <stp>2427126288M14:LstBlkPrc</stp>
        <tr r="K1049" s="5"/>
      </tp>
      <tp t="s">
        <v/>
        <stp/>
        <stp>2427126288M24:LstBlkPrc</stp>
        <tr r="K1059" s="5"/>
      </tp>
      <tp t="s">
        <v/>
        <stp/>
        <stp>1986823075M21:LstBlkPrc</stp>
        <tr r="K138" s="5"/>
      </tp>
      <tp t="s">
        <v/>
        <stp/>
        <stp>1986823075M11:LstBlkPrc</stp>
        <tr r="K128" s="5"/>
      </tp>
      <tp t="s">
        <v>Invalid Market: 2044823525M17</v>
        <stp/>
        <stp>2044823525M17:BstHitPrc</stp>
        <tr r="G1764" s="5"/>
      </tp>
      <tp t="s">
        <v/>
        <stp/>
        <stp>1986923076M20:LstBlkPrc</stp>
        <tr r="K175" s="5"/>
      </tp>
      <tp t="s">
        <v/>
        <stp/>
        <stp>1986923076M10:LstBlkPrc</stp>
        <tr r="K165" s="5"/>
      </tp>
    </main>
    <main first="bofaddin.rtdserver">
      <tp t="s">
        <v>#N/A Invalid Security</v>
        <stp/>
        <stp>BDP|7875344965236716207|222</stp>
        <stp>XBN0XBQ0 Comdty</stp>
        <stp>ASK</stp>
        <stp>Fill=#N/A</stp>
        <tr r="R66" s="1"/>
      </tp>
    </main>
    <main first="ice.rtd">
      <tp t="s">
        <v/>
        <stp/>
        <stp>2755828679M22:LstBlkPrc</stp>
        <tr r="K1019" s="5"/>
      </tp>
      <tp t="s">
        <v/>
        <stp/>
        <stp>2755828679M12:LstBlkPrc</stp>
        <tr r="K1009" s="5"/>
      </tp>
    </main>
    <main first="bofaddin.rtdserver">
      <tp t="s">
        <v>#N/A</v>
        <stp/>
        <stp>BDP|10481795032183977694|222</stp>
        <stp>OQAZ9F0 Comdty</stp>
        <stp>ASK</stp>
        <stp>Fill=#N/A</stp>
        <tr r="T59" s="1"/>
      </tp>
    </main>
    <main first="ice.rtd">
      <tp t="s">
        <v/>
        <stp/>
        <stp>1840020882M16:BstHitPrc</stp>
        <tr r="G1598" s="5"/>
      </tp>
      <tp t="s">
        <v/>
        <stp/>
        <stp>2427026287M15:LstBlkPrc</stp>
        <tr r="K1164" s="5"/>
      </tp>
      <tp t="s">
        <v>Invalid Market: 2044823525M17</v>
        <stp/>
        <stp>2044823525M17:LstBlkPrc</stp>
        <tr r="K1764" s="5"/>
      </tp>
      <tp t="s">
        <v/>
        <stp/>
        <stp>1986923076M10:BstHitPrc</stp>
        <tr r="G165" s="5"/>
      </tp>
      <tp t="s">
        <v/>
        <stp/>
        <stp>1986923076M20:BstHitPrc</stp>
        <tr r="G175" s="5"/>
      </tp>
    </main>
    <main first="bofaddin.rtdserver">
      <tp t="s">
        <v>#N/A</v>
        <stp/>
        <stp>BDP|6166810386159223362|222</stp>
        <stp>QSN0QSQ0 Comdty</stp>
        <stp>ASK</stp>
        <stp>Fill=#N/A</stp>
        <tr r="P66" s="1"/>
      </tp>
    </main>
    <main first="ice.rtd">
      <tp t="s">
        <v/>
        <stp/>
        <stp>2755828679M12:BstHitPrc</stp>
        <tr r="G1009" s="5"/>
      </tp>
      <tp t="s">
        <v/>
        <stp/>
        <stp>2755828679M22:BstHitPrc</stp>
        <tr r="G1019" s="5"/>
      </tp>
    </main>
    <main first="bofaddin.rtdserver">
      <tp>
        <v>3.63</v>
        <stp/>
        <stp>BDP|8949657135510584915|222</stp>
        <stp>HOZ7HOF8 Comdty</stp>
        <stp>BID</stp>
        <stp>Fill=#N/A</stp>
        <tr r="Q35" s="1"/>
      </tp>
    </main>
    <main first="ice.rtd">
      <tp t="s">
        <v/>
        <stp/>
        <stp>1986823075M11:BstHitPrc</stp>
        <tr r="G128" s="5"/>
      </tp>
      <tp t="s">
        <v/>
        <stp/>
        <stp>1986823075M21:BstHitPrc</stp>
        <tr r="G138" s="5"/>
      </tp>
      <tp t="s">
        <v/>
        <stp/>
        <stp>2427126288M24:BstHitPrc</stp>
        <tr r="G1059" s="5"/>
      </tp>
      <tp t="s">
        <v/>
        <stp/>
        <stp>2427126288M14:BstHitPrc</stp>
        <tr r="G1049" s="5"/>
      </tp>
    </main>
    <main first="bofaddin.rtdserver">
      <tp t="s">
        <v>#N/A</v>
        <stp/>
        <stp>BDP|16822374580627185428|222</stp>
        <stp>OQAH7J7 Comdty</stp>
        <stp>BID</stp>
        <stp>Fill=#N/A</stp>
        <tr r="T26" s="1"/>
      </tp>
    </main>
    <main first="ice.rtd">
      <tp t="s">
        <v/>
        <stp/>
        <stp>46678127M6:LstBlkTime</stp>
        <tr r="M351" s="5"/>
      </tp>
      <tp t="s">
        <v>08:44:21</v>
        <stp/>
        <stp>46678127M7:LstBlkTime</stp>
        <tr r="M352" s="5"/>
      </tp>
      <tp t="s">
        <v>08:44:21</v>
        <stp/>
        <stp>46678127M4:LstBlkTime</stp>
        <tr r="M349" s="5"/>
      </tp>
      <tp t="s">
        <v/>
        <stp/>
        <stp>46678127M5:LstBlkTime</stp>
        <tr r="M350" s="5"/>
      </tp>
      <tp t="s">
        <v>10:15:50</v>
        <stp/>
        <stp>46678127M2:LstBlkTime</stp>
        <tr r="M347" s="5"/>
      </tp>
      <tp t="s">
        <v/>
        <stp/>
        <stp>46678127M3:LstBlkTime</stp>
        <tr r="M348" s="5"/>
      </tp>
      <tp t="s">
        <v/>
        <stp/>
        <stp>46678127M0:LstBlkTime</stp>
        <tr r="M345" s="5"/>
      </tp>
      <tp t="s">
        <v>10:48:37</v>
        <stp/>
        <stp>46678127M1:LstBlkTime</stp>
        <tr r="M346" s="5"/>
      </tp>
      <tp t="s">
        <v/>
        <stp/>
        <stp>46678127M8:LstBlkTime</stp>
        <tr r="M353" s="5"/>
      </tp>
      <tp t="s">
        <v/>
        <stp/>
        <stp>46678127M9:LstBlkTime</stp>
        <tr r="M354" s="5"/>
      </tp>
      <tp t="s">
        <v/>
        <stp/>
        <stp>46678127Q6:LstBlkTime</stp>
        <tr r="M376" s="5"/>
      </tp>
      <tp t="s">
        <v/>
        <stp/>
        <stp>46678127Q7:LstBlkTime</stp>
        <tr r="M377" s="5"/>
      </tp>
      <tp t="s">
        <v/>
        <stp/>
        <stp>46678127Q4:LstBlkTime</stp>
        <tr r="M374" s="5"/>
      </tp>
      <tp t="s">
        <v/>
        <stp/>
        <stp>46678127Q5:LstBlkTime</stp>
        <tr r="M375" s="5"/>
      </tp>
      <tp t="s">
        <v>10:20:37</v>
        <stp/>
        <stp>46678127Q2:LstBlkTime</stp>
        <tr r="M372" s="5"/>
      </tp>
      <tp t="s">
        <v>10:16:44</v>
        <stp/>
        <stp>46678127Q3:LstBlkTime</stp>
        <tr r="M373" s="5"/>
      </tp>
      <tp t="s">
        <v>10:48:16</v>
        <stp/>
        <stp>46678127Q0:LstBlkTime</stp>
        <tr r="M370" s="5"/>
      </tp>
      <tp t="s">
        <v>10:55:05</v>
        <stp/>
        <stp>46678127Q1:LstBlkTime</stp>
        <tr r="M371" s="5"/>
      </tp>
      <tp t="s">
        <v/>
        <stp/>
        <stp>46678127Q8:LstBlkTime</stp>
        <tr r="M378" s="5"/>
      </tp>
      <tp t="s">
        <v>Invalid Market: 46678127Y2</v>
        <stp/>
        <stp>46678127Y2:LstBlkTime</stp>
        <tr r="M381" s="5"/>
      </tp>
      <tp t="s">
        <v/>
        <stp/>
        <stp>46678127Y0:LstBlkTime</stp>
        <tr r="M379" s="5"/>
      </tp>
      <tp t="s">
        <v/>
        <stp/>
        <stp>46678127Y1:LstBlkTime</stp>
        <tr r="M380" s="5"/>
      </tp>
      <tp t="s">
        <v>Invalid Market: B0</v>
        <stp/>
        <stp>B0:LstDate</stp>
        <tr r="J1148" s="5"/>
        <tr r="J1034" s="5"/>
      </tp>
      <tp t="s">
        <v/>
        <stp/>
        <stp>2181024583B0:LstBlkTime</stp>
        <tr r="M1990" s="5"/>
      </tp>
      <tp t="s">
        <v/>
        <stp/>
        <stp>2427026287Q8:LstBlkTime</stp>
        <tr r="M1182" s="5"/>
      </tp>
      <tp t="s">
        <v/>
        <stp/>
        <stp>2427026287Q1:LstBlkTime</stp>
        <tr r="M1175" s="5"/>
      </tp>
      <tp t="s">
        <v/>
        <stp/>
        <stp>2427026287Q0:LstBlkTime</stp>
        <tr r="M1174" s="5"/>
      </tp>
      <tp t="s">
        <v/>
        <stp/>
        <stp>2427026287Q3:LstBlkTime</stp>
        <tr r="M1177" s="5"/>
      </tp>
      <tp t="s">
        <v/>
        <stp/>
        <stp>2427026287Q2:LstBlkTime</stp>
        <tr r="M1176" s="5"/>
      </tp>
      <tp t="s">
        <v/>
        <stp/>
        <stp>2427026287Q5:LstBlkTime</stp>
        <tr r="M1179" s="5"/>
      </tp>
      <tp t="s">
        <v/>
        <stp/>
        <stp>2427026287Q4:LstBlkTime</stp>
        <tr r="M1178" s="5"/>
      </tp>
      <tp t="s">
        <v/>
        <stp/>
        <stp>2427026287Q7:LstBlkTime</stp>
        <tr r="M1181" s="5"/>
      </tp>
      <tp t="s">
        <v/>
        <stp/>
        <stp>2427026287Q6:LstBlkTime</stp>
        <tr r="M1180" s="5"/>
      </tp>
      <tp t="s">
        <v/>
        <stp/>
        <stp>2427026287Y1:LstBlkTime</stp>
        <tr r="M1184" s="5"/>
      </tp>
      <tp t="s">
        <v/>
        <stp/>
        <stp>2427026287Y0:LstBlkTime</stp>
        <tr r="M1183" s="5"/>
      </tp>
      <tp t="s">
        <v/>
        <stp/>
        <stp>2427026287Y2:LstBlkTime</stp>
        <tr r="M1185" s="5"/>
      </tp>
      <tp t="s">
        <v/>
        <stp/>
        <stp>2324925610B0:LstBlkTime</stp>
        <tr r="M882" s="5"/>
      </tp>
      <tp t="s">
        <v/>
        <stp/>
        <stp>2427026287M9:LstBlkTime</stp>
        <tr r="M1158" s="5"/>
      </tp>
      <tp t="s">
        <v/>
        <stp/>
        <stp>2427026287M8:LstBlkTime</stp>
        <tr r="M1157" s="5"/>
      </tp>
      <tp t="s">
        <v/>
        <stp/>
        <stp>2427026287M1:LstBlkTime</stp>
        <tr r="M1150" s="5"/>
      </tp>
      <tp t="s">
        <v/>
        <stp/>
        <stp>2427026287M0:LstBlkTime</stp>
        <tr r="M1149" s="5"/>
      </tp>
      <tp t="s">
        <v/>
        <stp/>
        <stp>2427026287M3:LstBlkTime</stp>
        <tr r="M1152" s="5"/>
      </tp>
      <tp t="s">
        <v/>
        <stp/>
        <stp>2427026287M2:LstBlkTime</stp>
        <tr r="M1151" s="5"/>
      </tp>
      <tp t="s">
        <v/>
        <stp/>
        <stp>2427026287M5:LstBlkTime</stp>
        <tr r="M1154" s="5"/>
      </tp>
      <tp t="s">
        <v/>
        <stp/>
        <stp>2427026287M4:LstBlkTime</stp>
        <tr r="M1153" s="5"/>
      </tp>
      <tp t="s">
        <v/>
        <stp/>
        <stp>2427026287M7:LstBlkTime</stp>
        <tr r="M1156" s="5"/>
      </tp>
      <tp t="s">
        <v/>
        <stp/>
        <stp>2427026287M6:LstBlkTime</stp>
        <tr r="M1155" s="5"/>
      </tp>
      <tp t="s">
        <v/>
        <stp/>
        <stp>2888129698B0:LstBlkTime</stp>
        <tr r="M1110" s="5"/>
      </tp>
    </main>
    <main first="esrtd">
      <tp t="s">
        <v/>
        <stp/>
        <stp>WHK 30!-IEU</stp>
        <stp>Last Trade Time</stp>
        <tr r="J1947" s="5"/>
      </tp>
    </main>
    <main first="ice.rtd">
      <tp t="s">
        <v/>
        <stp/>
        <stp>57409036M17:LstBlkPrc</stp>
        <tr r="K248" s="5"/>
      </tp>
      <tp t="s">
        <v/>
        <stp/>
        <stp>29243602M12:LstBlkPrc</stp>
        <tr r="K758" s="5"/>
      </tp>
      <tp t="s">
        <v/>
        <stp/>
        <stp>18851683M20:LstBlkPrc</stp>
        <tr r="K213" s="5"/>
      </tp>
      <tp t="s">
        <v/>
        <stp/>
        <stp>18851683M10:LstBlkPrc</stp>
        <tr r="K203" s="5"/>
      </tp>
      <tp t="s">
        <v>Invalid Market: 57179020M23</v>
        <stp/>
        <stp>57179020M23:LstBlkPrc</stp>
        <tr r="K1570" s="5"/>
      </tp>
      <tp t="s">
        <v/>
        <stp/>
        <stp>57179020M13:LstBlkPrc</stp>
        <tr r="K1560" s="5"/>
      </tp>
      <tp t="s">
        <v/>
        <stp/>
        <stp>18901687M21:LstBlkPrc</stp>
        <tr r="K328" s="5"/>
      </tp>
      <tp t="s">
        <v/>
        <stp/>
        <stp>18901687M11:LstBlkPrc</stp>
        <tr r="K318" s="5"/>
      </tp>
    </main>
    <main first="esrtd">
      <tp t="s">
        <v/>
        <stp/>
        <stp>WMJ 30!-IEU</stp>
        <stp>Last Trade Time</stp>
        <tr r="J1912" s="5"/>
      </tp>
    </main>
    <main first="ice.rtd">
      <tp t="s">
        <v/>
        <stp/>
        <stp>46678127M24:LstBlkPrc</stp>
        <tr r="K369" s="5"/>
      </tp>
      <tp t="s">
        <v/>
        <stp/>
        <stp>46678127M14:LstBlkPrc</stp>
        <tr r="K359" s="5"/>
      </tp>
      <tp t="s">
        <v/>
        <stp/>
        <stp>16331513M22:LstBlkPrc</stp>
        <tr r="K1437" s="5"/>
      </tp>
      <tp t="s">
        <v/>
        <stp/>
        <stp>16341514M22:LstBlkPrc</stp>
        <tr r="K1475" s="5"/>
      </tp>
      <tp t="s">
        <v/>
        <stp/>
        <stp>16351515M22:LstBlkPrc</stp>
        <tr r="K1513" s="5"/>
      </tp>
      <tp t="s">
        <v/>
        <stp/>
        <stp>16331513M12:LstBlkPrc</stp>
        <tr r="K1427" s="5"/>
      </tp>
      <tp t="s">
        <v/>
        <stp/>
        <stp>16341514M12:LstBlkPrc</stp>
        <tr r="K1465" s="5"/>
      </tp>
      <tp t="s">
        <v/>
        <stp/>
        <stp>16351515M12:LstBlkPrc</stp>
        <tr r="K1503" s="5"/>
      </tp>
      <tp t="s">
        <v/>
        <stp/>
        <stp>30813691M21:LstBlkPrc</stp>
        <tr r="K1974" s="5"/>
      </tp>
      <tp t="s">
        <v/>
        <stp/>
        <stp>30813691M11:LstBlkPrc</stp>
        <tr r="K1964" s="5"/>
      </tp>
      <tp t="s">
        <v/>
        <stp/>
        <stp>35534143M11:LstBlkPrc</stp>
        <tr r="K719" s="5"/>
      </tp>
      <tp t="s">
        <v/>
        <stp/>
        <stp>35544144M11:LstBlkPrc</stp>
        <tr r="K643" s="5"/>
      </tp>
      <tp t="s">
        <v/>
        <stp/>
        <stp>35554145M11:LstBlkPrc</stp>
        <tr r="K681" s="5"/>
      </tp>
      <tp t="s">
        <v/>
        <stp/>
        <stp>35534143M21:LstBlkPrc</stp>
        <tr r="K729" s="5"/>
      </tp>
      <tp t="s">
        <v/>
        <stp/>
        <stp>35544144M21:LstBlkPrc</stp>
        <tr r="K653" s="5"/>
      </tp>
      <tp t="s">
        <v/>
        <stp/>
        <stp>35554145M21:LstBlkPrc</stp>
        <tr r="K691" s="5"/>
      </tp>
      <tp t="s">
        <v/>
        <stp/>
        <stp>15061297MM9:LstBlkPrc</stp>
        <tr r="K1692" s="5"/>
      </tp>
      <tp t="s">
        <v/>
        <stp/>
        <stp>18871685M20:LstBlkPrc</stp>
        <tr r="K441" s="5"/>
      </tp>
      <tp t="s">
        <v/>
        <stp/>
        <stp>18871685M10:LstBlkPrc</stp>
        <tr r="K431" s="5"/>
      </tp>
    </main>
    <main first="esrtd">
      <tp t="s">
        <v/>
        <stp/>
        <stp>WNS 30!-IEU</stp>
        <stp>Last Trade Time</stp>
        <tr r="J1877" s="5"/>
      </tp>
    </main>
    <main first="ice.rtd">
      <tp t="s">
        <v/>
        <stp/>
        <stp>15091310M11:BstHitPrc</stp>
        <tr r="G1388" s="5"/>
      </tp>
      <tp t="s">
        <v/>
        <stp/>
        <stp>15091310M21:BstHitPrc</stp>
        <tr r="G1398" s="5"/>
      </tp>
      <tp>
        <v>-11.24</v>
        <stp/>
        <stp>18851683M10:BstHitPrc</stp>
        <tr r="G203" s="5"/>
      </tp>
      <tp t="s">
        <v/>
        <stp/>
        <stp>18851683M20:BstHitPrc</stp>
        <tr r="G213" s="5"/>
      </tp>
      <tp t="s">
        <v/>
        <stp/>
        <stp>29243602M12:BstHitPrc</stp>
        <tr r="G758" s="5"/>
      </tp>
      <tp t="s">
        <v/>
        <stp/>
        <stp>57409036M17:BstHitPrc</stp>
        <tr r="G248" s="5"/>
      </tp>
      <tp>
        <v>20.55</v>
        <stp/>
        <stp>18901687M11:BstHitPrc</stp>
        <tr r="G318" s="5"/>
      </tp>
      <tp t="s">
        <v/>
        <stp/>
        <stp>18901687M21:BstHitPrc</stp>
        <tr r="G328" s="5"/>
      </tp>
      <tp t="s">
        <v/>
        <stp/>
        <stp>57179020M13:BstHitPrc</stp>
        <tr r="G1560" s="5"/>
      </tp>
      <tp t="s">
        <v>Invalid Market: 57179020M23</v>
        <stp/>
        <stp>57179020M23:BstHitPrc</stp>
        <tr r="G1570" s="5"/>
      </tp>
      <tp>
        <v>4.25</v>
        <stp/>
        <stp>18871685M10:BstHitPrc</stp>
        <tr r="G431" s="5"/>
      </tp>
      <tp t="s">
        <v/>
        <stp/>
        <stp>18871685M20:BstHitPrc</stp>
        <tr r="G441" s="5"/>
      </tp>
    </main>
    <main first="esrtd">
      <tp t="s">
        <v/>
        <stp/>
        <stp>WDF 30!-IEU</stp>
        <stp>Last Trade Time</stp>
        <tr r="J1807" s="5"/>
      </tp>
    </main>
    <main first="ice.rtd">
      <tp t="s">
        <v/>
        <stp/>
        <stp>15091310M21:LstBlkPrc</stp>
        <tr r="K1398" s="5"/>
      </tp>
      <tp t="s">
        <v/>
        <stp/>
        <stp>15091310M11:LstBlkPrc</stp>
        <tr r="K1388" s="5"/>
      </tp>
      <tp t="s">
        <v/>
        <stp/>
        <stp>30813691M11:BstHitPrc</stp>
        <tr r="G1964" s="5"/>
      </tp>
      <tp t="s">
        <v/>
        <stp/>
        <stp>30813691M21:BstHitPrc</stp>
        <tr r="G1974" s="5"/>
      </tp>
      <tp t="s">
        <v/>
        <stp/>
        <stp>16331513M12:BstHitPrc</stp>
        <tr r="G1427" s="5"/>
      </tp>
      <tp t="s">
        <v/>
        <stp/>
        <stp>16341514M12:BstHitPrc</stp>
        <tr r="G1465" s="5"/>
      </tp>
      <tp t="s">
        <v/>
        <stp/>
        <stp>16351515M12:BstHitPrc</stp>
        <tr r="G1503" s="5"/>
      </tp>
      <tp t="s">
        <v/>
        <stp/>
        <stp>16331513M22:BstHitPrc</stp>
        <tr r="G1437" s="5"/>
      </tp>
      <tp t="s">
        <v/>
        <stp/>
        <stp>16341514M22:BstHitPrc</stp>
        <tr r="G1475" s="5"/>
      </tp>
      <tp t="s">
        <v/>
        <stp/>
        <stp>16351515M22:BstHitPrc</stp>
        <tr r="G1513" s="5"/>
      </tp>
      <tp t="s">
        <v/>
        <stp/>
        <stp>35534143M21:BstHitPrc</stp>
        <tr r="G729" s="5"/>
      </tp>
      <tp t="s">
        <v/>
        <stp/>
        <stp>35544144M21:BstHitPrc</stp>
        <tr r="G653" s="5"/>
      </tp>
      <tp t="s">
        <v/>
        <stp/>
        <stp>35554145M21:BstHitPrc</stp>
        <tr r="G691" s="5"/>
      </tp>
      <tp t="s">
        <v/>
        <stp/>
        <stp>35534143M11:BstHitPrc</stp>
        <tr r="G719" s="5"/>
      </tp>
      <tp t="s">
        <v/>
        <stp/>
        <stp>35544144M11:BstHitPrc</stp>
        <tr r="G643" s="5"/>
      </tp>
      <tp t="s">
        <v/>
        <stp/>
        <stp>35554145M11:BstHitPrc</stp>
        <tr r="G681" s="5"/>
      </tp>
      <tp>
        <v>11.4</v>
        <stp/>
        <stp>46678127M14:BstHitPrc</stp>
        <tr r="G359" s="5"/>
      </tp>
      <tp t="s">
        <v/>
        <stp/>
        <stp>46678127M24:BstHitPrc</stp>
        <tr r="G369" s="5"/>
      </tp>
      <tp t="s">
        <v/>
        <stp/>
        <stp>15061297MM9:BstHitPrc</stp>
        <tr r="G1692" s="5"/>
      </tp>
      <tp t="s">
        <v/>
        <stp/>
        <stp>15091310M17:LstBlkVol</stp>
        <tr r="L1394" s="5"/>
      </tp>
      <tp t="s">
        <v/>
        <stp/>
        <stp>30793693M18:LstBlkVol</stp>
        <tr r="L901" s="5"/>
      </tp>
      <tp t="s">
        <v/>
        <stp/>
        <stp>41787896M18:LstBlkVol</stp>
        <tr r="L825" s="5"/>
      </tp>
      <tp t="s">
        <v/>
        <stp/>
        <stp>32623993M19:LstBlkVol</stp>
        <tr r="L2009" s="5"/>
      </tp>
      <tp t="s">
        <v/>
        <stp/>
        <stp>35534143M17:LstBlkVol</stp>
        <tr r="L725" s="5"/>
      </tp>
      <tp t="s">
        <v/>
        <stp/>
        <stp>35544144M17:LstBlkVol</stp>
        <tr r="L649" s="5"/>
      </tp>
      <tp t="s">
        <v/>
        <stp/>
        <stp>35554145M17:LstBlkVol</stp>
        <tr r="L687" s="5"/>
      </tp>
      <tp t="s">
        <v/>
        <stp/>
        <stp>16331513M24:LstBlkVol</stp>
        <tr r="L1439" s="5"/>
      </tp>
      <tp t="s">
        <v/>
        <stp/>
        <stp>16341514M24:LstBlkVol</stp>
        <tr r="L1477" s="5"/>
      </tp>
      <tp t="s">
        <v/>
        <stp/>
        <stp>16351515M24:LstBlkVol</stp>
        <tr r="L1515" s="5"/>
      </tp>
      <tp t="s">
        <v/>
        <stp/>
        <stp>16331513M14:LstBlkVol</stp>
        <tr r="L1429" s="5"/>
      </tp>
      <tp t="s">
        <v/>
        <stp/>
        <stp>16341514M14:LstBlkVol</stp>
        <tr r="L1467" s="5"/>
      </tp>
      <tp t="s">
        <v/>
        <stp/>
        <stp>16351515M14:LstBlkVol</stp>
        <tr r="L1505" s="5"/>
      </tp>
      <tp t="s">
        <v/>
        <stp/>
        <stp>30813691M17:LstBlkVol</stp>
        <tr r="L1970" s="5"/>
      </tp>
      <tp t="s">
        <v/>
        <stp/>
        <stp>46678127M22:LstBlkVol</stp>
        <tr r="L367" s="5"/>
      </tp>
      <tp t="s">
        <v/>
        <stp/>
        <stp>46678127M12:LstBlkVol</stp>
        <tr r="L357" s="5"/>
      </tp>
      <tp t="s">
        <v/>
        <stp/>
        <stp>32613992M19:LstBlkVol</stp>
        <tr r="L1244" s="5"/>
      </tp>
      <tp t="s">
        <v/>
        <stp/>
        <stp>18871685M16:LstBlkVol</stp>
        <tr r="L437" s="5"/>
      </tp>
      <tp t="s">
        <v/>
        <stp/>
        <stp>41767893M18:LstBlkVol</stp>
        <tr r="L498" s="5"/>
      </tp>
      <tp t="s">
        <v/>
        <stp/>
        <stp>18901687M17:LstBlkVol</stp>
        <tr r="L324" s="5"/>
      </tp>
      <tp t="s">
        <v/>
        <stp/>
        <stp>57179020M15:LstBlkVol</stp>
        <tr r="L1562" s="5"/>
      </tp>
      <tp t="s">
        <v/>
        <stp/>
        <stp>18851683M16:LstBlkVol</stp>
        <tr r="L209" s="5"/>
      </tp>
      <tp t="s">
        <v/>
        <stp/>
        <stp>29243602M14:LstBlkVol</stp>
        <tr r="L760" s="5"/>
      </tp>
      <tp t="s">
        <v/>
        <stp/>
        <stp>57409036M21:LstBlkVol</stp>
        <tr r="L252" s="5"/>
      </tp>
      <tp t="s">
        <v/>
        <stp/>
        <stp>57409036M11:LstBlkVol</stp>
        <tr r="L242" s="5"/>
      </tp>
      <tp t="s">
        <v/>
        <stp/>
        <stp>2044823525M10:LstBlkVol</stp>
        <tr r="L1757" s="5"/>
      </tp>
      <tp t="s">
        <v>Invalid Market: 2044823525M20</v>
        <stp/>
        <stp>2044823525M20:LstBlkVol</stp>
        <tr r="L1767" s="5"/>
      </tp>
      <tp t="s">
        <v/>
        <stp/>
        <stp>2427026287M12:LstBlkVol</stp>
        <tr r="L1161" s="5"/>
      </tp>
      <tp t="s">
        <v/>
        <stp/>
        <stp>2427026287M22:LstBlkVol</stp>
        <tr r="L1171" s="5"/>
      </tp>
      <tp t="s">
        <v/>
        <stp/>
        <stp>1986823075M16:LstBlkVol</stp>
        <tr r="L133" s="5"/>
      </tp>
      <tp t="s">
        <v/>
        <stp/>
        <stp>2427126288M13:LstBlkVol</stp>
        <tr r="L1048" s="5"/>
      </tp>
      <tp t="s">
        <v/>
        <stp/>
        <stp>2427126288M23:LstBlkVol</stp>
        <tr r="L1058" s="5"/>
      </tp>
      <tp t="s">
        <v/>
        <stp/>
        <stp>2755828679M15:LstBlkVol</stp>
        <tr r="L1012" s="5"/>
      </tp>
      <tp t="s">
        <v/>
        <stp/>
        <stp>1986923076M17:LstBlkVol</stp>
        <tr r="L172" s="5"/>
      </tp>
      <tp t="s">
        <v/>
        <stp/>
        <stp>1840020882M11:LstBlkVol</stp>
        <tr r="L1593" s="5"/>
      </tp>
      <tp t="s">
        <v/>
        <stp/>
        <stp>2427026287M24:BstHitPrc</stp>
        <tr r="G1173" s="5"/>
      </tp>
      <tp t="s">
        <v/>
        <stp/>
        <stp>2427026287M14:BstHitPrc</stp>
        <tr r="G1163" s="5"/>
      </tp>
    </main>
    <main first="bofaddin.rtdserver">
      <tp>
        <v>3.06</v>
        <stp/>
        <stp>BDP|6194798943800853959|222</stp>
        <stp>COZ6COF7 Comdty</stp>
        <stp>ASK</stp>
        <stp>Fill=#N/A</stp>
        <tr r="O23" s="1"/>
      </tp>
      <tp t="s">
        <v>#N/A</v>
        <stp/>
        <stp>BDP|12493172565697629986|222</stp>
        <stp>MUCJ0K0 Comdty</stp>
        <stp>BID</stp>
        <stp>Fill=#N/A</stp>
        <tr r="S63" s="1"/>
      </tp>
    </main>
    <main first="ice.rtd">
      <tp t="s">
        <v/>
        <stp/>
        <stp>2427126288M15:LstBlkPrc</stp>
        <tr r="K1050" s="5"/>
      </tp>
      <tp t="s">
        <v/>
        <stp/>
        <stp>1986823075M20:LstBlkPrc</stp>
        <tr r="K137" s="5"/>
      </tp>
      <tp t="s">
        <v/>
        <stp/>
        <stp>1986823075M10:LstBlkPrc</stp>
        <tr r="K127" s="5"/>
      </tp>
      <tp t="s">
        <v>Invalid Market: 2972825746BM0</v>
        <stp/>
        <stp>2972825746BM0:LstBlkPrc</stp>
        <tr r="K1714" s="5"/>
      </tp>
      <tp t="s">
        <v>Invalid Market: 2044823525M16</v>
        <stp/>
        <stp>2044823525M16:BstHitPrc</stp>
        <tr r="G1763" s="5"/>
      </tp>
      <tp t="s">
        <v/>
        <stp/>
        <stp>1986923076M21:LstBlkPrc</stp>
        <tr r="K176" s="5"/>
      </tp>
      <tp t="s">
        <v/>
        <stp/>
        <stp>1986923076M11:LstBlkPrc</stp>
        <tr r="K166" s="5"/>
      </tp>
      <tp t="s">
        <v/>
        <stp/>
        <stp>2755828679M23:LstBlkPrc</stp>
        <tr r="K1020" s="5"/>
      </tp>
      <tp t="s">
        <v/>
        <stp/>
        <stp>2755828679M13:LstBlkPrc</stp>
        <tr r="K1010" s="5"/>
      </tp>
    </main>
    <main first="bofaddin.rtdserver">
      <tp t="s">
        <v>#N/A</v>
        <stp/>
        <stp>BDP|8628496633194770134|222</stp>
        <stp>CON0COQ0 Comdty</stp>
        <stp>ASK</stp>
        <stp>Fill=#N/A</stp>
        <tr r="O66" s="1"/>
      </tp>
    </main>
    <main first="ice.rtd">
      <tp t="s">
        <v/>
        <stp/>
        <stp>2427026287M14:LstBlkPrc</stp>
        <tr r="K1163" s="5"/>
      </tp>
      <tp t="s">
        <v/>
        <stp/>
        <stp>2427026287M24:LstBlkPrc</stp>
        <tr r="K1173" s="5"/>
      </tp>
      <tp t="s">
        <v>Invalid Market: 2044823525M16</v>
        <stp/>
        <stp>2044823525M16:LstBlkPrc</stp>
        <tr r="K1763" s="5"/>
      </tp>
      <tp t="s">
        <v>Invalid Market: 2972825746BM0</v>
        <stp/>
        <stp>2972825746BM0:BstHitPrc</stp>
        <tr r="G1714" s="5"/>
      </tp>
      <tp t="s">
        <v/>
        <stp/>
        <stp>1986923076M11:BstHitPrc</stp>
        <tr r="G166" s="5"/>
      </tp>
      <tp t="s">
        <v/>
        <stp/>
        <stp>1986923076M21:BstHitPrc</stp>
        <tr r="G176" s="5"/>
      </tp>
      <tp t="s">
        <v/>
        <stp/>
        <stp>2755828679M13:BstHitPrc</stp>
        <tr r="G1010" s="5"/>
      </tp>
      <tp t="s">
        <v/>
        <stp/>
        <stp>2755828679M23:BstHitPrc</stp>
        <tr r="G1020" s="5"/>
      </tp>
      <tp t="s">
        <v/>
        <stp/>
        <stp>1986823075M10:BstHitPrc</stp>
        <tr r="G127" s="5"/>
      </tp>
      <tp t="s">
        <v/>
        <stp/>
        <stp>1986823075M20:BstHitPrc</stp>
        <tr r="G137" s="5"/>
      </tp>
      <tp t="s">
        <v/>
        <stp/>
        <stp>2427126288M15:BstHitPrc</stp>
        <tr r="G1050" s="5"/>
      </tp>
    </main>
    <main first="bofaddin.rtdserver">
      <tp>
        <v>5.68</v>
        <stp/>
        <stp>BDP|5839250923470647325|222</stp>
        <stp>XBN7XBQ7 Comdty</stp>
        <stp>ASK</stp>
        <stp>Fill=#N/A</stp>
        <tr r="R30" s="1"/>
      </tp>
      <tp t="s">
        <v>#N/A Invalid Security</v>
        <stp/>
        <stp>BDP|6574685136650680665|222</stp>
        <stp>CLN0CLQ0 Comdty</stp>
        <stp>BID</stp>
        <stp>Fill=#N/A</stp>
        <tr r="N66" s="1"/>
      </tp>
    </main>
    <main first="ice.rtd">
      <tp t="s">
        <v/>
        <stp/>
        <stp>DBI1227MM5:LstPrc</stp>
        <tr r="I1656" s="5"/>
      </tp>
      <tp t="s">
        <v/>
        <stp/>
        <stp>DBI1227MM4:LstPrc</stp>
        <tr r="I1655" s="5"/>
      </tp>
      <tp t="s">
        <v/>
        <stp/>
        <stp>DBI1227MM7:LstPrc</stp>
        <tr r="I1658" s="5"/>
      </tp>
      <tp t="s">
        <v/>
        <stp/>
        <stp>DBI1227MM6:LstPrc</stp>
        <tr r="I1657" s="5"/>
      </tp>
      <tp t="s">
        <v/>
        <stp/>
        <stp>DBI1227MM1:LstPrc</stp>
        <tr r="I1652" s="5"/>
      </tp>
      <tp>
        <v>10.5</v>
        <stp/>
        <stp>DBI1227MM0:LstPrc</stp>
        <tr r="I1648" s="5"/>
        <tr r="I1651" s="5"/>
      </tp>
      <tp t="s">
        <v/>
        <stp/>
        <stp>DBI1227MM3:LstPrc</stp>
        <tr r="I1654" s="5"/>
      </tp>
      <tp t="s">
        <v/>
        <stp/>
        <stp>DBI1227MM2:LstPrc</stp>
        <tr r="I1653" s="5"/>
      </tp>
      <tp>
        <v>7.67</v>
        <stp/>
        <stp>DBI1227MM9:LstPrc</stp>
        <tr r="I1660" s="5"/>
      </tp>
      <tp>
        <v>4.7300000000000004</v>
        <stp/>
        <stp>DBI1227MM8:LstPrc</stp>
        <tr r="I1659" s="5"/>
      </tp>
      <tp t="s">
        <v/>
        <stp/>
        <stp>DBI1227QQ1:LstPrc</stp>
        <tr r="I1680" s="5"/>
      </tp>
      <tp t="s">
        <v/>
        <stp/>
        <stp>DBI1227QQ0:LstPrc</stp>
        <tr r="I1679" s="5"/>
      </tp>
    </main>
    <main first="bofaddin.rtdserver">
      <tp>
        <v>47.75</v>
        <stp/>
        <stp>BDP|12681927213506349256|22</stp>
        <stp>XBZ6XBZ7 Comdty</stp>
        <stp>BID</stp>
        <tr r="F2" s="3"/>
      </tp>
    </main>
    <main first="ice.rtd">
      <tp t="s">
        <v/>
        <stp/>
        <stp>DBI1227YY0:LstPrc</stp>
        <tr r="I1681" s="5"/>
      </tp>
      <tp t="s">
        <v>SYS</v>
        <stp/>
        <stp>366531MM15:PCC</stp>
        <tr r="B1730" s="5"/>
      </tp>
      <tp t="s">
        <v>SYS</v>
        <stp/>
        <stp>366531MM14:PCC</stp>
        <tr r="B1729" s="5"/>
      </tp>
      <tp t="s">
        <v>SYS</v>
        <stp/>
        <stp>366531MM17:PCC</stp>
        <tr r="B1732" s="5"/>
      </tp>
      <tp t="s">
        <v>SYS</v>
        <stp/>
        <stp>366531MM16:PCC</stp>
        <tr r="B1731" s="5"/>
      </tp>
      <tp t="s">
        <v>SYS</v>
        <stp/>
        <stp>366531MM11:PCC</stp>
        <tr r="B1726" s="5"/>
      </tp>
      <tp t="s">
        <v>SYS</v>
        <stp/>
        <stp>366531MM10:PCC</stp>
        <tr r="B1725" s="5"/>
      </tp>
      <tp t="s">
        <v>SYS</v>
        <stp/>
        <stp>366531MM13:PCC</stp>
        <tr r="B1728" s="5"/>
      </tp>
      <tp t="s">
        <v>SYS</v>
        <stp/>
        <stp>366531MM12:PCC</stp>
        <tr r="B1727" s="5"/>
      </tp>
      <tp t="s">
        <v>SYS</v>
        <stp/>
        <stp>366531MM19:PCC</stp>
        <tr r="B1734" s="5"/>
      </tp>
      <tp t="s">
        <v>SYS</v>
        <stp/>
        <stp>366531MM18:PCC</stp>
        <tr r="B1733" s="5"/>
      </tp>
      <tp t="s">
        <v>SYS</v>
        <stp/>
        <stp>366531MM25:PCC</stp>
        <tr r="B1740" s="5"/>
      </tp>
      <tp t="s">
        <v>SYS</v>
        <stp/>
        <stp>366531MM24:PCC</stp>
        <tr r="B1739" s="5"/>
      </tp>
      <tp t="s">
        <v>SYS</v>
        <stp/>
        <stp>366531MM27:PCC</stp>
        <tr r="B1742" s="5"/>
      </tp>
      <tp t="s">
        <v>SYS</v>
        <stp/>
        <stp>366531MM26:PCC</stp>
        <tr r="B1741" s="5"/>
      </tp>
      <tp t="s">
        <v>SYS</v>
        <stp/>
        <stp>366531MM21:PCC</stp>
        <tr r="B1736" s="5"/>
      </tp>
      <tp t="s">
        <v>SYS</v>
        <stp/>
        <stp>366531MM20:PCC</stp>
        <tr r="B1735" s="5"/>
      </tp>
      <tp t="s">
        <v>SYS</v>
        <stp/>
        <stp>366531MM23:PCC</stp>
        <tr r="B1738" s="5"/>
      </tp>
      <tp t="s">
        <v>SYS</v>
        <stp/>
        <stp>366531MM22:PCC</stp>
        <tr r="B1737" s="5"/>
      </tp>
      <tp>
        <v>5</v>
        <stp/>
        <stp>1517M24:Vol</stp>
        <tr r="N27" s="5"/>
      </tp>
      <tp>
        <v>2</v>
        <stp/>
        <stp>1517M20:Vol</stp>
        <tr r="N23" s="5"/>
      </tp>
      <tp>
        <v>2</v>
        <stp/>
        <stp>1517M21:Vol</stp>
        <tr r="N24" s="5"/>
      </tp>
      <tp>
        <v>5</v>
        <stp/>
        <stp>1517M22:Vol</stp>
        <tr r="N25" s="5"/>
      </tp>
      <tp>
        <v>5</v>
        <stp/>
        <stp>1517M23:Vol</stp>
        <tr r="N26" s="5"/>
      </tp>
      <tp>
        <v>20</v>
        <stp/>
        <stp>1517M14:Vol</stp>
        <tr r="N17" s="5"/>
      </tp>
      <tp>
        <v>20</v>
        <stp/>
        <stp>1517M15:Vol</stp>
        <tr r="N18" s="5"/>
      </tp>
      <tp>
        <v>0</v>
        <stp/>
        <stp>1517M16:Vol</stp>
        <tr r="N19" s="5"/>
      </tp>
      <tp>
        <v>0</v>
        <stp/>
        <stp>1517M17:Vol</stp>
        <tr r="N20" s="5"/>
      </tp>
      <tp>
        <v>0</v>
        <stp/>
        <stp>1517M10:Vol</stp>
        <tr r="N13" s="5"/>
      </tp>
      <tp>
        <v>10</v>
        <stp/>
        <stp>1517M11:Vol</stp>
        <tr r="N14" s="5"/>
      </tp>
      <tp>
        <v>10</v>
        <stp/>
        <stp>1517M12:Vol</stp>
        <tr r="N15" s="5"/>
      </tp>
      <tp>
        <v>20</v>
        <stp/>
        <stp>1517M13:Vol</stp>
        <tr r="N16" s="5"/>
      </tp>
      <tp>
        <v>0</v>
        <stp/>
        <stp>1517M18:Vol</stp>
        <tr r="N21" s="5"/>
      </tp>
      <tp>
        <v>2</v>
        <stp/>
        <stp>1517M19:Vol</stp>
        <tr r="N22" s="5"/>
      </tp>
      <tp t="s">
        <v/>
        <stp/>
        <stp>2888029697B0:LstBlkTime</stp>
        <tr r="M996" s="5"/>
      </tp>
      <tp t="s">
        <v/>
        <stp/>
        <stp>2427126288Q8:LstBlkTime</stp>
        <tr r="M1068" s="5"/>
      </tp>
      <tp t="s">
        <v/>
        <stp/>
        <stp>2427126288Q1:LstBlkTime</stp>
        <tr r="M1061" s="5"/>
      </tp>
      <tp t="s">
        <v/>
        <stp/>
        <stp>2427126288Q0:LstBlkTime</stp>
        <tr r="M1060" s="5"/>
      </tp>
      <tp t="s">
        <v/>
        <stp/>
        <stp>2427126288Q3:LstBlkTime</stp>
        <tr r="M1063" s="5"/>
      </tp>
      <tp t="s">
        <v/>
        <stp/>
        <stp>2427126288Q2:LstBlkTime</stp>
        <tr r="M1062" s="5"/>
      </tp>
      <tp t="s">
        <v/>
        <stp/>
        <stp>2427126288Q5:LstBlkTime</stp>
        <tr r="M1065" s="5"/>
      </tp>
      <tp t="s">
        <v/>
        <stp/>
        <stp>2427126288Q4:LstBlkTime</stp>
        <tr r="M1064" s="5"/>
      </tp>
      <tp t="s">
        <v/>
        <stp/>
        <stp>2427126288Q7:LstBlkTime</stp>
        <tr r="M1067" s="5"/>
      </tp>
      <tp t="s">
        <v/>
        <stp/>
        <stp>2427126288Q6:LstBlkTime</stp>
        <tr r="M1066" s="5"/>
      </tp>
      <tp t="s">
        <v/>
        <stp/>
        <stp>2427126288Y1:LstBlkTime</stp>
        <tr r="M1070" s="5"/>
      </tp>
      <tp t="s">
        <v/>
        <stp/>
        <stp>2427126288Y0:LstBlkTime</stp>
        <tr r="M1069" s="5"/>
      </tp>
      <tp t="s">
        <v/>
        <stp/>
        <stp>2427126288Y2:LstBlkTime</stp>
        <tr r="M1071" s="5"/>
      </tp>
      <tp t="s">
        <v/>
        <stp/>
        <stp>2427126288M9:LstBlkTime</stp>
        <tr r="M1044" s="5"/>
      </tp>
      <tp t="s">
        <v/>
        <stp/>
        <stp>2427126288M8:LstBlkTime</stp>
        <tr r="M1043" s="5"/>
      </tp>
      <tp t="s">
        <v/>
        <stp/>
        <stp>2427126288M1:LstBlkTime</stp>
        <tr r="M1036" s="5"/>
      </tp>
      <tp t="s">
        <v/>
        <stp/>
        <stp>2427126288M0:LstBlkTime</stp>
        <tr r="M1035" s="5"/>
      </tp>
      <tp t="s">
        <v>09:22:44</v>
        <stp/>
        <stp>2427126288M3:LstBlkTime</stp>
        <tr r="M1038" s="5"/>
      </tp>
      <tp t="s">
        <v/>
        <stp/>
        <stp>2427126288M2:LstBlkTime</stp>
        <tr r="M1037" s="5"/>
      </tp>
      <tp t="s">
        <v/>
        <stp/>
        <stp>2427126288M5:LstBlkTime</stp>
        <tr r="M1040" s="5"/>
      </tp>
      <tp t="s">
        <v/>
        <stp/>
        <stp>2427126288M4:LstBlkTime</stp>
        <tr r="M1039" s="5"/>
      </tp>
      <tp t="s">
        <v/>
        <stp/>
        <stp>2427126288M7:LstBlkTime</stp>
        <tr r="M1042" s="5"/>
      </tp>
      <tp t="s">
        <v/>
        <stp/>
        <stp>2427126288M6:LstBlkTime</stp>
        <tr r="M1041" s="5"/>
      </tp>
      <tp t="s">
        <v/>
        <stp/>
        <stp>2325825619B0:LstBlkTime</stp>
        <tr r="M40" s="5"/>
      </tp>
    </main>
    <main first="bofaddin.rtdserver">
      <tp>
        <v>693.2</v>
        <stp/>
        <stp>BDP|11921564885458451349|222</stp>
        <stp>SCPV26 Comdty</stp>
        <stp>BID</stp>
        <stp>Fill=#N/A</stp>
        <tr r="M20" s="1"/>
      </tp>
    </main>
    <main first="ice.rtd">
      <tp t="s">
        <v/>
        <stp/>
        <stp>57409036M24:LstBlkPrc</stp>
        <tr r="K255" s="5"/>
      </tp>
      <tp t="s">
        <v/>
        <stp/>
        <stp>57409036M14:LstBlkPrc</stp>
        <tr r="K245" s="5"/>
      </tp>
      <tp t="s">
        <v/>
        <stp/>
        <stp>29243602M11:LstBlkPrc</stp>
        <tr r="K757" s="5"/>
      </tp>
      <tp t="s">
        <v/>
        <stp/>
        <stp>18851683M23:LstBlkPrc</stp>
        <tr r="K216" s="5"/>
      </tp>
      <tp t="s">
        <v/>
        <stp/>
        <stp>18851683M13:LstBlkPrc</stp>
        <tr r="K206" s="5"/>
      </tp>
      <tp t="s">
        <v/>
        <stp/>
        <stp>34344092M19:LstBlkPrc</stp>
        <tr r="K1282" s="5"/>
      </tp>
      <tp t="s">
        <v/>
        <stp/>
        <stp>34354093M19:LstBlkPrc</stp>
        <tr r="K1320" s="5"/>
      </tp>
      <tp t="s">
        <v>Invalid Market: 57179020M20</v>
        <stp/>
        <stp>57179020M20:LstBlkPrc</stp>
        <tr r="K1567" s="5"/>
      </tp>
      <tp t="s">
        <v/>
        <stp/>
        <stp>57179020M10:LstBlkPrc</stp>
        <tr r="K1557" s="5"/>
      </tp>
      <tp t="s">
        <v/>
        <stp/>
        <stp>18901687M22:LstBlkPrc</stp>
        <tr r="K329" s="5"/>
      </tp>
      <tp t="s">
        <v/>
        <stp/>
        <stp>18901687M12:LstBlkPrc</stp>
        <tr r="K319" s="5"/>
      </tp>
      <tp t="s">
        <v/>
        <stp/>
        <stp>46678127M17:LstBlkPrc</stp>
        <tr r="K362" s="5"/>
      </tp>
      <tp t="s">
        <v/>
        <stp/>
        <stp>16331513M21:LstBlkPrc</stp>
        <tr r="K1436" s="5"/>
      </tp>
      <tp t="s">
        <v/>
        <stp/>
        <stp>16341514M21:LstBlkPrc</stp>
        <tr r="K1474" s="5"/>
      </tp>
      <tp t="s">
        <v/>
        <stp/>
        <stp>16351515M21:LstBlkPrc</stp>
        <tr r="K1512" s="5"/>
      </tp>
      <tp t="s">
        <v/>
        <stp/>
        <stp>16331513M11:LstBlkPrc</stp>
        <tr r="K1426" s="5"/>
      </tp>
      <tp t="s">
        <v/>
        <stp/>
        <stp>16341514M11:LstBlkPrc</stp>
        <tr r="K1464" s="5"/>
      </tp>
      <tp t="s">
        <v/>
        <stp/>
        <stp>16351515M11:LstBlkPrc</stp>
        <tr r="K1502" s="5"/>
      </tp>
      <tp t="s">
        <v/>
        <stp/>
        <stp>30813691M22:LstBlkPrc</stp>
        <tr r="K1975" s="5"/>
      </tp>
      <tp t="s">
        <v/>
        <stp/>
        <stp>30813691M12:LstBlkPrc</stp>
        <tr r="K1965" s="5"/>
      </tp>
      <tp t="s">
        <v/>
        <stp/>
        <stp>35534143M12:LstBlkPrc</stp>
        <tr r="K720" s="5"/>
      </tp>
      <tp t="s">
        <v/>
        <stp/>
        <stp>35544144M12:LstBlkPrc</stp>
        <tr r="K644" s="5"/>
      </tp>
      <tp t="s">
        <v/>
        <stp/>
        <stp>35554145M12:LstBlkPrc</stp>
        <tr r="K682" s="5"/>
      </tp>
      <tp t="s">
        <v/>
        <stp/>
        <stp>35534143M22:LstBlkPrc</stp>
        <tr r="K730" s="5"/>
      </tp>
      <tp t="s">
        <v/>
        <stp/>
        <stp>35544144M22:LstBlkPrc</stp>
        <tr r="K654" s="5"/>
      </tp>
      <tp t="s">
        <v/>
        <stp/>
        <stp>35554145M22:LstBlkPrc</stp>
        <tr r="K692" s="5"/>
      </tp>
      <tp t="s">
        <v/>
        <stp/>
        <stp>18871685M23:LstBlkPrc</stp>
        <tr r="K444" s="5"/>
      </tp>
      <tp t="s">
        <v/>
        <stp/>
        <stp>18871685M13:LstBlkPrc</stp>
        <tr r="K434" s="5"/>
      </tp>
      <tp t="s">
        <v/>
        <stp/>
        <stp>34364094M19:LstBlkPrc</stp>
        <tr r="K537" s="5"/>
      </tp>
      <tp t="s">
        <v/>
        <stp/>
        <stp>34374095M19:LstBlkPrc</stp>
        <tr r="K575" s="5"/>
      </tp>
      <tp t="s">
        <v/>
        <stp/>
        <stp>15091310M12:BstHitPrc</stp>
        <tr r="G1389" s="5"/>
      </tp>
      <tp t="s">
        <v/>
        <stp/>
        <stp>15091310M22:BstHitPrc</stp>
        <tr r="G1399" s="5"/>
      </tp>
    </main>
    <main first="bofaddin.rtdserver">
      <tp t="s">
        <v>#N/A</v>
        <stp/>
        <stp>BDP|13922272029315356193|222</stp>
        <stp>SCPZ29 Comdty</stp>
        <stp>BID</stp>
        <stp>Fill=#N/A</stp>
        <tr r="M58" s="1"/>
      </tp>
    </main>
    <main first="ice.rtd">
      <tp>
        <v>-11.49</v>
        <stp/>
        <stp>18851683M13:BstHitPrc</stp>
        <tr r="G206" s="5"/>
      </tp>
      <tp t="s">
        <v/>
        <stp/>
        <stp>18851683M23:BstHitPrc</stp>
        <tr r="G216" s="5"/>
      </tp>
      <tp t="s">
        <v/>
        <stp/>
        <stp>29243602M11:BstHitPrc</stp>
        <tr r="G757" s="5"/>
      </tp>
      <tp t="s">
        <v/>
        <stp/>
        <stp>34344092M19:BstHitPrc</stp>
        <tr r="G1282" s="5"/>
      </tp>
      <tp t="s">
        <v/>
        <stp/>
        <stp>34354093M19:BstHitPrc</stp>
        <tr r="G1320" s="5"/>
      </tp>
      <tp>
        <v>-11.58</v>
        <stp/>
        <stp>57409036M14:BstHitPrc</stp>
        <tr r="G245" s="5"/>
      </tp>
      <tp t="s">
        <v/>
        <stp/>
        <stp>57409036M24:BstHitPrc</stp>
        <tr r="G255" s="5"/>
      </tp>
      <tp>
        <v>18.55</v>
        <stp/>
        <stp>18901687M12:BstHitPrc</stp>
        <tr r="G319" s="5"/>
      </tp>
      <tp t="s">
        <v/>
        <stp/>
        <stp>18901687M22:BstHitPrc</stp>
        <tr r="G329" s="5"/>
      </tp>
      <tp t="s">
        <v/>
        <stp/>
        <stp>57179020M10:BstHitPrc</stp>
        <tr r="G1557" s="5"/>
      </tp>
      <tp t="s">
        <v>Invalid Market: 57179020M20</v>
        <stp/>
        <stp>57179020M20:BstHitPrc</stp>
        <tr r="G1567" s="5"/>
      </tp>
      <tp>
        <v>-0.25</v>
        <stp/>
        <stp>18871685M13:BstHitPrc</stp>
        <tr r="G434" s="5"/>
      </tp>
      <tp t="s">
        <v/>
        <stp/>
        <stp>18871685M23:BstHitPrc</stp>
        <tr r="G444" s="5"/>
      </tp>
      <tp t="s">
        <v/>
        <stp/>
        <stp>34364094M19:BstHitPrc</stp>
        <tr r="G537" s="5"/>
      </tp>
      <tp t="s">
        <v/>
        <stp/>
        <stp>34374095M19:BstHitPrc</stp>
        <tr r="G575" s="5"/>
      </tp>
    </main>
    <main first="esrtd">
      <tp t="s">
        <v/>
        <stp/>
        <stp>TDL 30!-IEU</stp>
        <stp>Last Trade Time</stp>
        <tr r="J1842" s="5"/>
      </tp>
    </main>
    <main first="ice.rtd">
      <tp t="s">
        <v/>
        <stp/>
        <stp>15091310M22:LstBlkPrc</stp>
        <tr r="K1399" s="5"/>
      </tp>
      <tp t="s">
        <v/>
        <stp/>
        <stp>15091310M12:LstBlkPrc</stp>
        <tr r="K1389" s="5"/>
      </tp>
      <tp t="s">
        <v/>
        <stp/>
        <stp>30813691M12:BstHitPrc</stp>
        <tr r="G1965" s="5"/>
      </tp>
      <tp t="s">
        <v/>
        <stp/>
        <stp>30813691M22:BstHitPrc</stp>
        <tr r="G1975" s="5"/>
      </tp>
      <tp t="s">
        <v/>
        <stp/>
        <stp>16331513M11:BstHitPrc</stp>
        <tr r="G1426" s="5"/>
      </tp>
      <tp t="s">
        <v/>
        <stp/>
        <stp>16341514M11:BstHitPrc</stp>
        <tr r="G1464" s="5"/>
      </tp>
      <tp t="s">
        <v/>
        <stp/>
        <stp>16351515M11:BstHitPrc</stp>
        <tr r="G1502" s="5"/>
      </tp>
      <tp t="s">
        <v/>
        <stp/>
        <stp>16331513M21:BstHitPrc</stp>
        <tr r="G1436" s="5"/>
      </tp>
      <tp t="s">
        <v/>
        <stp/>
        <stp>16341514M21:BstHitPrc</stp>
        <tr r="G1474" s="5"/>
      </tp>
      <tp t="s">
        <v/>
        <stp/>
        <stp>16351515M21:BstHitPrc</stp>
        <tr r="G1512" s="5"/>
      </tp>
      <tp>
        <v>0</v>
        <stp/>
        <stp>35534143M22:BstHitPrc</stp>
        <tr r="G730" s="5"/>
      </tp>
      <tp t="s">
        <v/>
        <stp/>
        <stp>35544144M22:BstHitPrc</stp>
        <tr r="G654" s="5"/>
      </tp>
      <tp t="s">
        <v/>
        <stp/>
        <stp>35554145M22:BstHitPrc</stp>
        <tr r="G692" s="5"/>
      </tp>
      <tp t="s">
        <v/>
        <stp/>
        <stp>35534143M12:BstHitPrc</stp>
        <tr r="G720" s="5"/>
      </tp>
      <tp t="s">
        <v/>
        <stp/>
        <stp>35544144M12:BstHitPrc</stp>
        <tr r="G644" s="5"/>
      </tp>
      <tp t="s">
        <v/>
        <stp/>
        <stp>35554145M12:BstHitPrc</stp>
        <tr r="G682" s="5"/>
      </tp>
      <tp t="s">
        <v/>
        <stp/>
        <stp>46678127M17:BstHitPrc</stp>
        <tr r="G362" s="5"/>
      </tp>
    </main>
    <main first="bofaddin.rtdserver">
      <tp>
        <v>584.70000000000005</v>
        <stp/>
        <stp>BDP|18382354243635438259|222</stp>
        <stp>SCPH27 Comdty</stp>
        <stp>ASK</stp>
        <stp>Fill=#N/A</stp>
        <tr r="M25" s="1"/>
      </tp>
    </main>
    <main first="ice.rtd">
      <tp t="s">
        <v/>
        <stp/>
        <stp>15091310M24:LstBlkVol</stp>
        <tr r="L1401" s="5"/>
      </tp>
      <tp t="s">
        <v/>
        <stp/>
        <stp>15091310M14:LstBlkVol</stp>
        <tr r="L1391" s="5"/>
      </tp>
      <tp t="s">
        <v/>
        <stp/>
        <stp>34404098M18:LstBlkVol</stp>
        <tr r="L612" s="5"/>
      </tp>
      <tp t="s">
        <v/>
        <stp/>
        <stp>34414099M18:LstBlkVol</stp>
        <tr r="L97" s="5"/>
      </tp>
    </main>
    <main first="esrtd">
      <tp t="s">
        <v/>
        <stp/>
        <stp>WHK C2!-IEU</stp>
        <stp>Strip</stp>
        <tr r="E1952" s="5"/>
      </tp>
      <tp t="s">
        <v/>
        <stp/>
        <stp>WHK Q1!-IEU</stp>
        <stp>Strip</stp>
        <tr r="E1948" s="5"/>
      </tp>
      <tp t="s">
        <v/>
        <stp/>
        <stp>WHK Q2!-IEU</stp>
        <stp>Strip</stp>
        <tr r="E1949" s="5"/>
      </tp>
      <tp t="s">
        <v/>
        <stp/>
        <stp>WHK Q3!-IEU</stp>
        <stp>Strip</stp>
        <tr r="E1950" s="5"/>
      </tp>
      <tp t="s">
        <v/>
        <stp/>
        <stp>WHK Q4!-IEU</stp>
        <stp>Strip</stp>
        <tr r="E1951" s="5"/>
      </tp>
      <tp t="s">
        <v/>
        <stp/>
        <stp>WHK 18!-IEU</stp>
        <stp>Strip</stp>
        <tr r="E1935" s="5"/>
      </tp>
      <tp t="s">
        <v/>
        <stp/>
        <stp>WHK 19!-IEU</stp>
        <stp>Strip</stp>
        <tr r="E1936" s="5"/>
      </tp>
      <tp t="s">
        <v/>
        <stp/>
        <stp>WHK 10!-IEU</stp>
        <stp>Strip</stp>
        <tr r="E1927" s="5"/>
      </tp>
      <tp t="s">
        <v/>
        <stp/>
        <stp>WHK 11!-IEU</stp>
        <stp>Strip</stp>
        <tr r="E1928" s="5"/>
      </tp>
      <tp t="s">
        <v/>
        <stp/>
        <stp>WHK 12!-IEU</stp>
        <stp>Strip</stp>
        <tr r="E1929" s="5"/>
      </tp>
      <tp t="s">
        <v/>
        <stp/>
        <stp>WHK 13!-IEU</stp>
        <stp>Strip</stp>
        <tr r="E1930" s="5"/>
      </tp>
      <tp t="s">
        <v/>
        <stp/>
        <stp>WHK 14!-IEU</stp>
        <stp>Strip</stp>
        <tr r="E1931" s="5"/>
      </tp>
      <tp t="s">
        <v/>
        <stp/>
        <stp>WHK 15!-IEU</stp>
        <stp>Strip</stp>
        <tr r="E1932" s="5"/>
      </tp>
      <tp t="s">
        <v/>
        <stp/>
        <stp>WHK 16!-IEU</stp>
        <stp>Strip</stp>
        <tr r="E1933" s="5"/>
      </tp>
      <tp t="s">
        <v/>
        <stp/>
        <stp>WHK 17!-IEU</stp>
        <stp>Strip</stp>
        <tr r="E1934" s="5"/>
      </tp>
      <tp t="s">
        <v/>
        <stp/>
        <stp>WHK 28!-IEU</stp>
        <stp>Strip</stp>
        <tr r="E1945" s="5"/>
      </tp>
      <tp t="s">
        <v/>
        <stp/>
        <stp>WHK 29!-IEU</stp>
        <stp>Strip</stp>
        <tr r="E1946" s="5"/>
      </tp>
      <tp t="s">
        <v/>
        <stp/>
        <stp>WHK 20!-IEU</stp>
        <stp>Strip</stp>
        <tr r="E1937" s="5"/>
      </tp>
      <tp t="s">
        <v/>
        <stp/>
        <stp>WHK 21!-IEU</stp>
        <stp>Strip</stp>
        <tr r="E1938" s="5"/>
      </tp>
      <tp t="s">
        <v/>
        <stp/>
        <stp>WHK 22!-IEU</stp>
        <stp>Strip</stp>
        <tr r="E1939" s="5"/>
      </tp>
      <tp t="s">
        <v/>
        <stp/>
        <stp>WHK 23!-IEU</stp>
        <stp>Strip</stp>
        <tr r="E1940" s="5"/>
      </tp>
      <tp t="s">
        <v/>
        <stp/>
        <stp>WHK 24!-IEU</stp>
        <stp>Strip</stp>
        <tr r="E1941" s="5"/>
      </tp>
      <tp t="s">
        <v/>
        <stp/>
        <stp>WHK 25!-IEU</stp>
        <stp>Strip</stp>
        <tr r="E1942" s="5"/>
      </tp>
      <tp t="s">
        <v/>
        <stp/>
        <stp>WHK 26!-IEU</stp>
        <stp>Strip</stp>
        <tr r="E1943" s="5"/>
      </tp>
      <tp t="s">
        <v/>
        <stp/>
        <stp>WHK 27!-IEU</stp>
        <stp>Strip</stp>
        <tr r="E1944" s="5"/>
      </tp>
      <tp t="s">
        <v/>
        <stp/>
        <stp>WHK 30!-IEU</stp>
        <stp>Strip</stp>
        <tr r="E1947" s="5"/>
      </tp>
    </main>
    <main first="ice.rtd">
      <tp t="s">
        <v/>
        <stp/>
        <stp>35534143M14:LstBlkVol</stp>
        <tr r="L722" s="5"/>
      </tp>
      <tp t="s">
        <v/>
        <stp/>
        <stp>35544144M14:LstBlkVol</stp>
        <tr r="L646" s="5"/>
      </tp>
      <tp t="s">
        <v/>
        <stp/>
        <stp>35554145M14:LstBlkVol</stp>
        <tr r="L684" s="5"/>
      </tp>
      <tp t="s">
        <v/>
        <stp/>
        <stp>35534143M24:LstBlkVol</stp>
        <tr r="L732" s="5"/>
      </tp>
      <tp t="s">
        <v/>
        <stp/>
        <stp>35544144M24:LstBlkVol</stp>
        <tr r="L656" s="5"/>
      </tp>
      <tp t="s">
        <v/>
        <stp/>
        <stp>35554145M24:LstBlkVol</stp>
        <tr r="L694" s="5"/>
      </tp>
      <tp t="s">
        <v/>
        <stp/>
        <stp>16331513M17:LstBlkVol</stp>
        <tr r="L1432" s="5"/>
      </tp>
      <tp t="s">
        <v/>
        <stp/>
        <stp>16341514M17:LstBlkVol</stp>
        <tr r="L1470" s="5"/>
      </tp>
      <tp t="s">
        <v/>
        <stp/>
        <stp>16351515M17:LstBlkVol</stp>
        <tr r="L1508" s="5"/>
      </tp>
      <tp t="s">
        <v/>
        <stp/>
        <stp>30813691M24:LstBlkVol</stp>
        <tr r="L1977" s="5"/>
      </tp>
      <tp t="s">
        <v/>
        <stp/>
        <stp>30813691M14:LstBlkVol</stp>
        <tr r="L1967" s="5"/>
      </tp>
      <tp t="s">
        <v/>
        <stp/>
        <stp>46678127M21:LstBlkVol</stp>
        <tr r="L366" s="5"/>
      </tp>
      <tp t="s">
        <v/>
        <stp/>
        <stp>46678127M11:LstBlkVol</stp>
        <tr r="L356" s="5"/>
      </tp>
      <tp t="s">
        <v/>
        <stp/>
        <stp>18871685M15:LstBlkVol</stp>
        <tr r="L436" s="5"/>
      </tp>
      <tp t="s">
        <v/>
        <stp/>
        <stp>18901687M24:LstBlkVol</stp>
        <tr r="L331" s="5"/>
      </tp>
      <tp t="s">
        <v/>
        <stp/>
        <stp>18901687M14:LstBlkVol</stp>
        <tr r="L321" s="5"/>
      </tp>
      <tp t="s">
        <v>Invalid Market: 57179020M16</v>
        <stp/>
        <stp>57179020M16:LstBlkVol</stp>
        <tr r="L1563" s="5"/>
      </tp>
      <tp t="s">
        <v/>
        <stp/>
        <stp>18851683M15:LstBlkVol</stp>
        <tr r="L208" s="5"/>
      </tp>
      <tp t="s">
        <v/>
        <stp/>
        <stp>57409036M22:LstBlkVol</stp>
        <tr r="L253" s="5"/>
      </tp>
      <tp t="s">
        <v/>
        <stp/>
        <stp>57409036M12:LstBlkVol</stp>
        <tr r="L243" s="5"/>
      </tp>
      <tp t="s">
        <v/>
        <stp/>
        <stp>266M9:LstBlkVol</stp>
        <tr r="L930" s="5"/>
      </tp>
      <tp t="s">
        <v/>
        <stp/>
        <stp>2044823525M13:LstBlkVol</stp>
        <tr r="L1760" s="5"/>
      </tp>
      <tp t="s">
        <v/>
        <stp/>
        <stp>2427026287M11:LstBlkVol</stp>
        <tr r="L1160" s="5"/>
      </tp>
      <tp t="s">
        <v/>
        <stp/>
        <stp>2427026287M21:LstBlkVol</stp>
        <tr r="L1170" s="5"/>
      </tp>
      <tp t="s">
        <v/>
        <stp/>
        <stp>1986823075M15:LstBlkVol</stp>
        <tr r="L132" s="5"/>
      </tp>
      <tp t="s">
        <v/>
        <stp/>
        <stp>2427126288M10:LstBlkVol</stp>
        <tr r="L1045" s="5"/>
      </tp>
      <tp t="s">
        <v/>
        <stp/>
        <stp>2427126288M20:LstBlkVol</stp>
        <tr r="L1055" s="5"/>
      </tp>
      <tp t="s">
        <v/>
        <stp/>
        <stp>2755828679M16:LstBlkVol</stp>
        <tr r="L1013" s="5"/>
      </tp>
      <tp t="s">
        <v/>
        <stp/>
        <stp>1986923076M24:LstBlkVol</stp>
        <tr r="L179" s="5"/>
      </tp>
      <tp t="s">
        <v/>
        <stp/>
        <stp>1986923076M14:LstBlkVol</stp>
        <tr r="L169" s="5"/>
      </tp>
      <tp t="s">
        <v/>
        <stp/>
        <stp>2755728678M19:LstBlkVol</stp>
        <tr r="L1130" s="5"/>
      </tp>
      <tp t="s">
        <v/>
        <stp/>
        <stp>1840020882M12:LstBlkVol</stp>
        <tr r="L1594" s="5"/>
      </tp>
      <tp t="s">
        <v/>
        <stp/>
        <stp>2427026287M17:BstHitPrc</stp>
        <tr r="G1166" s="5"/>
      </tp>
    </main>
    <main first="bofaddin.rtdserver">
      <tp t="s">
        <v>#N/A</v>
        <stp/>
        <stp>BDP|11459856684832226568|222</stp>
        <stp>OQAH9J9 Comdty</stp>
        <stp>ASK</stp>
        <stp>Fill=#N/A</stp>
        <tr r="T50" s="1"/>
      </tp>
      <tp t="s">
        <v>#N/A</v>
        <stp/>
        <stp>BDP|11569317018102993285|222</stp>
        <stp>MUCK7M7 Comdty</stp>
        <stp>BID</stp>
        <stp>Fill=#N/A</stp>
        <tr r="S28" s="1"/>
      </tp>
      <tp>
        <v>9.35</v>
        <stp/>
        <stp>BDP|1538996264878222826|222</stp>
        <stp>XBZ6XBF7 Comdty</stp>
        <stp>BID</stp>
        <stp>Fill=#N/A</stp>
        <tr r="R23" s="1"/>
      </tp>
    </main>
    <main first="ice.rtd">
      <tp t="s">
        <v/>
        <stp/>
        <stp>1840020882M14:LstBlkPrc</stp>
        <tr r="K1596" s="5"/>
      </tp>
      <tp t="s">
        <v/>
        <stp/>
        <stp>2427126288M16:LstBlkPrc</stp>
        <tr r="K1051" s="5"/>
      </tp>
      <tp t="s">
        <v/>
        <stp/>
        <stp>1986823075M23:LstBlkPrc</stp>
        <tr r="K140" s="5"/>
      </tp>
      <tp t="s">
        <v/>
        <stp/>
        <stp>1986823075M13:LstBlkPrc</stp>
        <tr r="K130" s="5"/>
      </tp>
      <tp t="s">
        <v>Invalid Market: 2044823525M15</v>
        <stp/>
        <stp>2044823525M15:BstHitPrc</stp>
        <tr r="G1762" s="5"/>
      </tp>
      <tp t="s">
        <v/>
        <stp/>
        <stp>1986923076M22:LstBlkPrc</stp>
        <tr r="K177" s="5"/>
      </tp>
      <tp t="s">
        <v/>
        <stp/>
        <stp>1986923076M12:LstBlkPrc</stp>
        <tr r="K167" s="5"/>
      </tp>
      <tp t="s">
        <v/>
        <stp/>
        <stp>2755828679M20:LstBlkPrc</stp>
        <tr r="K1017" s="5"/>
      </tp>
      <tp t="s">
        <v/>
        <stp/>
        <stp>2755828679M10:LstBlkPrc</stp>
        <tr r="K1007" s="5"/>
      </tp>
      <tp t="s">
        <v/>
        <stp/>
        <stp>1840020882M14:BstHitPrc</stp>
        <tr r="G1596" s="5"/>
      </tp>
    </main>
    <main first="bofaddin.rtdserver">
      <tp t="s">
        <v>#N/A Invalid Security</v>
        <stp/>
        <stp>BDP|9500303346805015570|222</stp>
        <stp>HON0HOQ0 Comdty</stp>
        <stp>BID</stp>
        <stp>Fill=#N/A</stp>
        <tr r="Q66" s="1"/>
      </tp>
      <tp>
        <v>-1.5</v>
        <stp/>
        <stp>BDP|9901469569800382733|222</stp>
        <stp>QSN9QSQ9 Comdty</stp>
        <stp>BID</stp>
        <stp>Fill=#N/A</stp>
        <tr r="P54" s="1"/>
      </tp>
    </main>
    <main first="ice.rtd">
      <tp t="s">
        <v/>
        <stp/>
        <stp>2427026287M17:LstBlkPrc</stp>
        <tr r="K1166" s="5"/>
      </tp>
    </main>
    <main first="bofaddin.rtdserver">
      <tp t="s">
        <v>#N/A</v>
        <stp/>
        <stp>BDP|12049463840072240211|222</stp>
        <stp>OQAM0N0 Comdty</stp>
        <stp>ASK</stp>
        <stp>Fill=#N/A</stp>
        <tr r="T65" s="1"/>
      </tp>
    </main>
    <main first="ice.rtd">
      <tp t="s">
        <v>Invalid Market: 2044823525M15</v>
        <stp/>
        <stp>2044823525M15:LstBlkPrc</stp>
        <tr r="K1762" s="5"/>
      </tp>
      <tp t="s">
        <v/>
        <stp/>
        <stp>1986923076M12:BstHitPrc</stp>
        <tr r="G167" s="5"/>
      </tp>
      <tp t="s">
        <v/>
        <stp/>
        <stp>1986923076M22:BstHitPrc</stp>
        <tr r="G177" s="5"/>
      </tp>
    </main>
    <main first="bofaddin.rtdserver">
      <tp t="s">
        <v>#N/A</v>
        <stp/>
        <stp>BDP|17115720675765694352|222</stp>
        <stp>OQAM9N9 Comdty</stp>
        <stp>ASK</stp>
        <stp>Fill=#N/A</stp>
        <tr r="T53" s="1"/>
      </tp>
    </main>
    <main first="ice.rtd">
      <tp t="s">
        <v/>
        <stp/>
        <stp>2755828679M10:BstHitPrc</stp>
        <tr r="G1007" s="5"/>
      </tp>
      <tp t="s">
        <v/>
        <stp/>
        <stp>2755828679M20:BstHitPrc</stp>
        <tr r="G1017" s="5"/>
      </tp>
      <tp t="s">
        <v/>
        <stp/>
        <stp>1986823075M13:BstHitPrc</stp>
        <tr r="G130" s="5"/>
      </tp>
      <tp t="s">
        <v/>
        <stp/>
        <stp>1986823075M23:BstHitPrc</stp>
        <tr r="G140" s="5"/>
      </tp>
      <tp t="s">
        <v/>
        <stp/>
        <stp>2427126288M16:BstHitPrc</stp>
        <tr r="G1051" s="5"/>
      </tp>
      <tp t="s">
        <v/>
        <stp/>
        <stp>161913535MM18:LstBlkPrc</stp>
        <tr r="K2045" s="5"/>
      </tp>
      <tp t="s">
        <v/>
        <stp/>
        <stp>161913535MM18:BstHitPrc</stp>
        <tr r="G2045" s="5"/>
      </tp>
    </main>
    <main first="bofaddin.rtdserver">
      <tp t="s">
        <v>#N/A Real Time</v>
        <stp/>
        <stp>BDP|1803000671794655352|22</stp>
        <stp>COQ6C 300.00 Comdty</stp>
        <stp>VEGA_MID_RT</stp>
        <tr r="E74" s="23"/>
        <tr r="E55" s="23"/>
        <tr r="E83" s="23"/>
      </tp>
    </main>
    <main first="ice.rtd">
      <tp>
        <v>0</v>
        <stp/>
        <stp>366531MM25:BlkVol</stp>
        <tr r="O1740" s="5"/>
      </tp>
      <tp>
        <v>0</v>
        <stp/>
        <stp>366531MM24:BlkVol</stp>
        <tr r="O1739" s="5"/>
      </tp>
      <tp>
        <v>0</v>
        <stp/>
        <stp>366531MM27:BlkVol</stp>
        <tr r="O1742" s="5"/>
      </tp>
      <tp>
        <v>0</v>
        <stp/>
        <stp>366531MM26:BlkVol</stp>
        <tr r="O1741" s="5"/>
      </tp>
      <tp>
        <v>0</v>
        <stp/>
        <stp>366531MM21:BlkVol</stp>
        <tr r="O1736" s="5"/>
      </tp>
      <tp>
        <v>0</v>
        <stp/>
        <stp>366531MM20:BlkVol</stp>
        <tr r="O1735" s="5"/>
      </tp>
      <tp>
        <v>0</v>
        <stp/>
        <stp>366531MM23:BlkVol</stp>
        <tr r="O1738" s="5"/>
      </tp>
      <tp>
        <v>0</v>
        <stp/>
        <stp>366531MM22:BlkVol</stp>
        <tr r="O1737" s="5"/>
      </tp>
      <tp>
        <v>0</v>
        <stp/>
        <stp>366531MM19:BlkVol</stp>
        <tr r="O1734" s="5"/>
      </tp>
      <tp>
        <v>0</v>
        <stp/>
        <stp>366531MM18:BlkVol</stp>
        <tr r="O1733" s="5"/>
      </tp>
      <tp>
        <v>0</v>
        <stp/>
        <stp>366531MM15:BlkVol</stp>
        <tr r="O1730" s="5"/>
      </tp>
      <tp>
        <v>0</v>
        <stp/>
        <stp>366531MM14:BlkVol</stp>
        <tr r="O1729" s="5"/>
      </tp>
      <tp>
        <v>80</v>
        <stp/>
        <stp>366531MM17:BlkVol</stp>
        <tr r="O1732" s="5"/>
      </tp>
      <tp>
        <v>0</v>
        <stp/>
        <stp>366531MM16:BlkVol</stp>
        <tr r="O1731" s="5"/>
      </tp>
      <tp>
        <v>215</v>
        <stp/>
        <stp>366531MM11:BlkVol</stp>
        <tr r="O1726" s="5"/>
      </tp>
      <tp>
        <v>307</v>
        <stp/>
        <stp>366531MM10:BlkVol</stp>
        <tr r="O1725" s="5"/>
      </tp>
      <tp>
        <v>0</v>
        <stp/>
        <stp>366531MM13:BlkVol</stp>
        <tr r="O1728" s="5"/>
      </tp>
      <tp>
        <v>0</v>
        <stp/>
        <stp>366531MM12:BlkVol</stp>
        <tr r="O1727" s="5"/>
      </tp>
      <tp>
        <v>0.5</v>
        <stp/>
        <stp>1517Q4:BstLiftPrc</stp>
        <tr r="H32" s="5"/>
      </tp>
      <tp t="s">
        <v/>
        <stp/>
        <stp>1517Q5:BstLiftPrc</stp>
        <tr r="H33" s="5"/>
      </tp>
      <tp t="s">
        <v/>
        <stp/>
        <stp>1517Q6:BstLiftPrc</stp>
        <tr r="H34" s="5"/>
      </tp>
      <tp t="s">
        <v/>
        <stp/>
        <stp>1517Q7:BstLiftPrc</stp>
        <tr r="H35" s="5"/>
      </tp>
      <tp t="s">
        <v/>
        <stp/>
        <stp>1517Q0:BstLiftPrc</stp>
        <tr r="H28" s="5"/>
      </tp>
      <tp t="s">
        <v/>
        <stp/>
        <stp>1517Q1:BstLiftPrc</stp>
        <tr r="H29" s="5"/>
      </tp>
      <tp>
        <v>1.2</v>
        <stp/>
        <stp>1517Q2:BstLiftPrc</stp>
        <tr r="H30" s="5"/>
      </tp>
      <tp>
        <v>0.69</v>
        <stp/>
        <stp>1517Q3:BstLiftPrc</stp>
        <tr r="H31" s="5"/>
      </tp>
      <tp t="s">
        <v/>
        <stp/>
        <stp>1517Q8:BstLiftPrc</stp>
        <tr r="H36" s="5"/>
      </tp>
      <tp t="s">
        <v/>
        <stp/>
        <stp>1517Y0:BstLiftPrc</stp>
        <tr r="H37" s="5"/>
      </tp>
      <tp t="s">
        <v/>
        <stp/>
        <stp>1517Y1:BstLiftPrc</stp>
        <tr r="H38" s="5"/>
      </tp>
      <tp t="s">
        <v/>
        <stp/>
        <stp>1517Y2:BstLiftPrc</stp>
        <tr r="H39" s="5"/>
      </tp>
      <tp>
        <v>2.2999999999999998</v>
        <stp/>
        <stp>1517M4:BstLiftPrc</stp>
        <tr r="H7" s="5"/>
      </tp>
      <tp t="s">
        <v/>
        <stp/>
        <stp>1517M5:BstLiftPrc</stp>
        <tr r="H8" s="5"/>
      </tp>
      <tp t="s">
        <v/>
        <stp/>
        <stp>1517M6:BstLiftPrc</stp>
        <tr r="H9" s="5"/>
      </tp>
      <tp t="s">
        <v/>
        <stp/>
        <stp>1517M7:BstLiftPrc</stp>
        <tr r="H10" s="5"/>
      </tp>
      <tp>
        <v>3.5</v>
        <stp/>
        <stp>1517M0:BstLiftPrc</stp>
        <tr r="H3" s="5"/>
      </tp>
      <tp>
        <v>3.89</v>
        <stp/>
        <stp>1517M1:BstLiftPrc</stp>
        <tr r="H4" s="5"/>
      </tp>
      <tp>
        <v>3.36</v>
        <stp/>
        <stp>1517M2:BstLiftPrc</stp>
        <tr r="H5" s="5"/>
      </tp>
      <tp>
        <v>2.95</v>
        <stp/>
        <stp>1517M3:BstLiftPrc</stp>
        <tr r="H6" s="5"/>
      </tp>
      <tp t="s">
        <v/>
        <stp/>
        <stp>1517M8:BstLiftPrc</stp>
        <tr r="H11" s="5"/>
      </tp>
      <tp t="s">
        <v/>
        <stp/>
        <stp>1517M9:BstLiftPrc</stp>
        <tr r="H12" s="5"/>
      </tp>
      <tp t="s">
        <v>09:01:50</v>
        <stp/>
        <stp>2323325594B0:LstBlkTime</stp>
        <tr r="M958" s="5"/>
      </tp>
      <tp t="s">
        <v>Invalid Market: 2044823525Q5</v>
        <stp/>
        <stp>2044823525Q5:LstBlkTime</stp>
        <tr r="M1775" s="5"/>
      </tp>
      <tp t="s">
        <v/>
        <stp/>
        <stp>2044823525Q4:LstBlkTime</stp>
        <tr r="M1774" s="5"/>
      </tp>
      <tp t="s">
        <v>Invalid Market: 2044823525Q6</v>
        <stp/>
        <stp>2044823525Q6:LstBlkTime</stp>
        <tr r="M1776" s="5"/>
      </tp>
      <tp t="s">
        <v/>
        <stp/>
        <stp>2044823525Q1:LstBlkTime</stp>
        <tr r="M1771" s="5"/>
      </tp>
      <tp t="s">
        <v/>
        <stp/>
        <stp>2044823525Q0:LstBlkTime</stp>
        <tr r="M1770" s="5"/>
      </tp>
      <tp t="s">
        <v/>
        <stp/>
        <stp>2044823525Q3:LstBlkTime</stp>
        <tr r="M1773" s="5"/>
      </tp>
      <tp t="s">
        <v/>
        <stp/>
        <stp>2044823525Q2:LstBlkTime</stp>
        <tr r="M1772" s="5"/>
      </tp>
      <tp t="s">
        <v/>
        <stp/>
        <stp>2044823525Y0:LstBlkTime</stp>
        <tr r="M1777" s="5"/>
      </tp>
      <tp t="s">
        <v/>
        <stp/>
        <stp>2044823525M9:LstBlkTime</stp>
        <tr r="M1756" s="5"/>
      </tp>
      <tp t="s">
        <v/>
        <stp/>
        <stp>2044823525M8:LstBlkTime</stp>
        <tr r="M1755" s="5"/>
      </tp>
      <tp t="s">
        <v/>
        <stp/>
        <stp>2044823525M5:LstBlkTime</stp>
        <tr r="M1752" s="5"/>
      </tp>
      <tp t="s">
        <v/>
        <stp/>
        <stp>2044823525M4:LstBlkTime</stp>
        <tr r="M1751" s="5"/>
      </tp>
      <tp t="s">
        <v/>
        <stp/>
        <stp>2044823525M7:LstBlkTime</stp>
        <tr r="M1754" s="5"/>
      </tp>
      <tp t="s">
        <v/>
        <stp/>
        <stp>2044823525M6:LstBlkTime</stp>
        <tr r="M1753" s="5"/>
      </tp>
      <tp t="s">
        <v/>
        <stp/>
        <stp>2044823525M1:LstBlkTime</stp>
        <tr r="M1748" s="5"/>
      </tp>
      <tp t="s">
        <v/>
        <stp/>
        <stp>2044823525M0:LstBlkTime</stp>
        <tr r="M1747" s="5"/>
      </tp>
      <tp t="s">
        <v/>
        <stp/>
        <stp>2044823525M3:LstBlkTime</stp>
        <tr r="M1750" s="5"/>
      </tp>
      <tp t="s">
        <v/>
        <stp/>
        <stp>2044823525M2:LstBlkTime</stp>
        <tr r="M1749" s="5"/>
      </tp>
    </main>
    <main first="esrtd">
      <tp t="s">
        <v/>
        <stp/>
        <stp>WHK 11!-IEU</stp>
        <stp>Last Trade Time</stp>
        <tr r="J1928" s="5"/>
      </tp>
      <tp t="s">
        <v/>
        <stp/>
        <stp>WMJ 14!-IEU</stp>
        <stp>Last Trade Time</stp>
        <tr r="J1896" s="5"/>
      </tp>
      <tp t="s">
        <v/>
        <stp/>
        <stp>WNS 17!-IEU</stp>
        <stp>Last Trade Time</stp>
        <tr r="J1864" s="5"/>
      </tp>
      <tp t="s">
        <v/>
        <stp/>
        <stp>WHK 10!-IEU</stp>
        <stp>Last Trade Time</stp>
        <tr r="J1927" s="5"/>
      </tp>
      <tp t="s">
        <v/>
        <stp/>
        <stp>WMJ 15!-IEU</stp>
        <stp>Last Trade Time</stp>
        <tr r="J1897" s="5"/>
      </tp>
      <tp t="s">
        <v/>
        <stp/>
        <stp>WNS 16!-IEU</stp>
        <stp>Last Trade Time</stp>
        <tr r="J1863" s="5"/>
      </tp>
      <tp t="s">
        <v/>
        <stp/>
        <stp>WHK 13!-IEU</stp>
        <stp>Last Trade Time</stp>
        <tr r="J1930" s="5"/>
      </tp>
      <tp t="s">
        <v/>
        <stp/>
        <stp>WMJ 16!-IEU</stp>
        <stp>Last Trade Time</stp>
        <tr r="J1898" s="5"/>
      </tp>
      <tp t="s">
        <v/>
        <stp/>
        <stp>WNS 15!-IEU</stp>
        <stp>Last Trade Time</stp>
        <tr r="J1862" s="5"/>
      </tp>
    </main>
    <main first="ice.rtd">
      <tp t="s">
        <v/>
        <stp/>
        <stp>57409036M15:LstBlkPrc</stp>
        <tr r="K246" s="5"/>
      </tp>
      <tp t="s">
        <v/>
        <stp/>
        <stp>29243602M10:LstBlkPrc</stp>
        <tr r="K756" s="5"/>
      </tp>
      <tp t="s">
        <v/>
        <stp/>
        <stp>18851683M22:LstBlkPrc</stp>
        <tr r="K215" s="5"/>
      </tp>
      <tp t="s">
        <v/>
        <stp/>
        <stp>18851683M12:LstBlkPrc</stp>
        <tr r="K205" s="5"/>
      </tp>
      <tp t="s">
        <v/>
        <stp/>
        <stp>34344092M18:LstBlkPrc</stp>
        <tr r="K1281" s="5"/>
      </tp>
      <tp t="s">
        <v/>
        <stp/>
        <stp>34354093M18:LstBlkPrc</stp>
        <tr r="K1319" s="5"/>
      </tp>
    </main>
    <main first="esrtd">
      <tp t="s">
        <v/>
        <stp/>
        <stp>WHK 12!-IEU</stp>
        <stp>Last Trade Time</stp>
        <tr r="J1929" s="5"/>
      </tp>
      <tp t="s">
        <v/>
        <stp/>
        <stp>WMJ 17!-IEU</stp>
        <stp>Last Trade Time</stp>
        <tr r="J1899" s="5"/>
      </tp>
      <tp t="s">
        <v/>
        <stp/>
        <stp>WNS 14!-IEU</stp>
        <stp>Last Trade Time</stp>
        <tr r="J1861" s="5"/>
      </tp>
    </main>
    <main first="ice.rtd">
      <tp t="s">
        <v>Invalid Market: 57179020M21</v>
        <stp/>
        <stp>57179020M21:LstBlkPrc</stp>
        <tr r="K1568" s="5"/>
      </tp>
      <tp t="s">
        <v/>
        <stp/>
        <stp>57179020M11:LstBlkPrc</stp>
        <tr r="K1558" s="5"/>
      </tp>
      <tp t="s">
        <v/>
        <stp/>
        <stp>18901687M23:LstBlkPrc</stp>
        <tr r="K330" s="5"/>
      </tp>
      <tp t="s">
        <v/>
        <stp/>
        <stp>18901687M13:LstBlkPrc</stp>
        <tr r="K320" s="5"/>
      </tp>
    </main>
    <main first="esrtd">
      <tp t="s">
        <v/>
        <stp/>
        <stp>WDF 19!-IEU</stp>
        <stp>Last Trade Time</stp>
        <tr r="J1796" s="5"/>
      </tp>
      <tp t="s">
        <v/>
        <stp/>
        <stp>WHK 15!-IEU</stp>
        <stp>Last Trade Time</stp>
        <tr r="J1932" s="5"/>
      </tp>
      <tp t="s">
        <v/>
        <stp/>
        <stp>WMJ 10!-IEU</stp>
        <stp>Last Trade Time</stp>
        <tr r="J1892" s="5"/>
      </tp>
      <tp t="s">
        <v/>
        <stp/>
        <stp>TDL 29!-IEU</stp>
        <stp>Last Trade Time</stp>
        <tr r="J1841" s="5"/>
      </tp>
      <tp t="s">
        <v/>
        <stp/>
        <stp>WNS 13!-IEU</stp>
        <stp>Last Trade Time</stp>
        <tr r="J1860" s="5"/>
      </tp>
    </main>
    <main first="ice.rtd">
      <tp t="s">
        <v/>
        <stp/>
        <stp>46678127M16:LstBlkPrc</stp>
        <tr r="K361" s="5"/>
      </tp>
      <tp t="s">
        <v/>
        <stp/>
        <stp>16331513M20:LstBlkPrc</stp>
        <tr r="K1435" s="5"/>
      </tp>
      <tp t="s">
        <v/>
        <stp/>
        <stp>16341514M20:LstBlkPrc</stp>
        <tr r="K1473" s="5"/>
      </tp>
      <tp t="s">
        <v/>
        <stp/>
        <stp>16351515M20:LstBlkPrc</stp>
        <tr r="K1511" s="5"/>
      </tp>
      <tp t="s">
        <v/>
        <stp/>
        <stp>16331513M10:LstBlkPrc</stp>
        <tr r="K1425" s="5"/>
      </tp>
      <tp t="s">
        <v/>
        <stp/>
        <stp>16341514M10:LstBlkPrc</stp>
        <tr r="K1463" s="5"/>
      </tp>
      <tp t="s">
        <v/>
        <stp/>
        <stp>16351515M10:LstBlkPrc</stp>
        <tr r="K1501" s="5"/>
      </tp>
      <tp t="s">
        <v/>
        <stp/>
        <stp>30813691M23:LstBlkPrc</stp>
        <tr r="K1976" s="5"/>
      </tp>
      <tp t="s">
        <v/>
        <stp/>
        <stp>30813691M13:LstBlkPrc</stp>
        <tr r="K1966" s="5"/>
      </tp>
      <tp t="s">
        <v/>
        <stp/>
        <stp>35534143M13:LstBlkPrc</stp>
        <tr r="K721" s="5"/>
      </tp>
      <tp t="s">
        <v/>
        <stp/>
        <stp>35544144M13:LstBlkPrc</stp>
        <tr r="K645" s="5"/>
      </tp>
      <tp t="s">
        <v/>
        <stp/>
        <stp>35554145M13:LstBlkPrc</stp>
        <tr r="K683" s="5"/>
      </tp>
      <tp t="s">
        <v/>
        <stp/>
        <stp>35534143M23:LstBlkPrc</stp>
        <tr r="K731" s="5"/>
      </tp>
      <tp t="s">
        <v/>
        <stp/>
        <stp>35544144M23:LstBlkPrc</stp>
        <tr r="K655" s="5"/>
      </tp>
      <tp t="s">
        <v/>
        <stp/>
        <stp>35554145M23:LstBlkPrc</stp>
        <tr r="K693" s="5"/>
      </tp>
    </main>
    <main first="esrtd">
      <tp t="s">
        <v/>
        <stp/>
        <stp>WDF 18!-IEU</stp>
        <stp>Last Trade Time</stp>
        <tr r="J1795" s="5"/>
      </tp>
      <tp t="s">
        <v/>
        <stp/>
        <stp>WHK 14!-IEU</stp>
        <stp>Last Trade Time</stp>
        <tr r="J1931" s="5"/>
      </tp>
      <tp t="s">
        <v/>
        <stp/>
        <stp>WMJ 11!-IEU</stp>
        <stp>Last Trade Time</stp>
        <tr r="J1893" s="5"/>
      </tp>
      <tp t="s">
        <v/>
        <stp/>
        <stp>TDL 28!-IEU</stp>
        <stp>Last Trade Time</stp>
        <tr r="J1840" s="5"/>
      </tp>
      <tp t="s">
        <v/>
        <stp/>
        <stp>WNS 12!-IEU</stp>
        <stp>Last Trade Time</stp>
        <tr r="J1859" s="5"/>
      </tp>
      <tp t="s">
        <v/>
        <stp/>
        <stp>WHK 17!-IEU</stp>
        <stp>Last Trade Time</stp>
        <tr r="J1934" s="5"/>
      </tp>
      <tp t="s">
        <v/>
        <stp/>
        <stp>WMJ 12!-IEU</stp>
        <stp>Last Trade Time</stp>
        <tr r="J1894" s="5"/>
      </tp>
      <tp t="s">
        <v/>
        <stp/>
        <stp>WNS 11!-IEU</stp>
        <stp>Last Trade Time</stp>
        <tr r="J1858" s="5"/>
      </tp>
    </main>
    <main first="ice.rtd">
      <tp t="s">
        <v/>
        <stp/>
        <stp>18871685M22:LstBlkPrc</stp>
        <tr r="K443" s="5"/>
      </tp>
      <tp t="s">
        <v/>
        <stp/>
        <stp>18871685M12:LstBlkPrc</stp>
        <tr r="K433" s="5"/>
      </tp>
      <tp t="s">
        <v/>
        <stp/>
        <stp>34364094M18:LstBlkPrc</stp>
        <tr r="K536" s="5"/>
      </tp>
      <tp t="s">
        <v/>
        <stp/>
        <stp>34374095M18:LstBlkPrc</stp>
        <tr r="K574" s="5"/>
      </tp>
    </main>
    <main first="esrtd">
      <tp t="s">
        <v/>
        <stp/>
        <stp>WHK 16!-IEU</stp>
        <stp>Last Trade Time</stp>
        <tr r="J1933" s="5"/>
      </tp>
      <tp t="s">
        <v/>
        <stp/>
        <stp>WMJ 13!-IEU</stp>
        <stp>Last Trade Time</stp>
        <tr r="J1895" s="5"/>
      </tp>
      <tp t="s">
        <v/>
        <stp/>
        <stp>WNS 10!-IEU</stp>
        <stp>Last Trade Time</stp>
        <tr r="J1857" s="5"/>
      </tp>
    </main>
    <main first="ice.rtd">
      <tp t="s">
        <v/>
        <stp/>
        <stp>15091310M13:BstHitPrc</stp>
        <tr r="G1390" s="5"/>
      </tp>
      <tp t="s">
        <v/>
        <stp/>
        <stp>15091310M23:BstHitPrc</stp>
        <tr r="G1400" s="5"/>
      </tp>
    </main>
    <main first="esrtd">
      <tp t="s">
        <v/>
        <stp/>
        <stp>WDF 15!-IEU</stp>
        <stp>Last Trade Time</stp>
        <tr r="J1792" s="5"/>
      </tp>
      <tp t="s">
        <v/>
        <stp/>
        <stp>WHK 19!-IEU</stp>
        <stp>Last Trade Time</stp>
        <tr r="J1936" s="5"/>
      </tp>
      <tp t="s">
        <v/>
        <stp/>
        <stp>TDL 25!-IEU</stp>
        <stp>Last Trade Time</stp>
        <tr r="J1837" s="5"/>
      </tp>
    </main>
    <main first="ice.rtd">
      <tp>
        <v>-11.49</v>
        <stp/>
        <stp>18851683M12:BstHitPrc</stp>
        <tr r="G205" s="5"/>
      </tp>
      <tp t="s">
        <v/>
        <stp/>
        <stp>18851683M22:BstHitPrc</stp>
        <tr r="G215" s="5"/>
      </tp>
      <tp t="s">
        <v/>
        <stp/>
        <stp>29243602M10:BstHitPrc</stp>
        <tr r="G756" s="5"/>
      </tp>
      <tp t="s">
        <v/>
        <stp/>
        <stp>34344092M18:BstHitPrc</stp>
        <tr r="G1281" s="5"/>
      </tp>
      <tp t="s">
        <v/>
        <stp/>
        <stp>34354093M18:BstHitPrc</stp>
        <tr r="G1319" s="5"/>
      </tp>
      <tp>
        <v>-11.69</v>
        <stp/>
        <stp>57409036M15:BstHitPrc</stp>
        <tr r="G246" s="5"/>
      </tp>
    </main>
    <main first="esrtd">
      <tp t="s">
        <v/>
        <stp/>
        <stp>WDF 14!-IEU</stp>
        <stp>Last Trade Time</stp>
        <tr r="J1791" s="5"/>
      </tp>
      <tp t="s">
        <v/>
        <stp/>
        <stp>WHK 18!-IEU</stp>
        <stp>Last Trade Time</stp>
        <tr r="J1935" s="5"/>
      </tp>
      <tp t="s">
        <v/>
        <stp/>
        <stp>TDL 24!-IEU</stp>
        <stp>Last Trade Time</stp>
        <tr r="J1836" s="5"/>
      </tp>
    </main>
    <main first="ice.rtd">
      <tp>
        <v>13.7</v>
        <stp/>
        <stp>18901687M13:BstHitPrc</stp>
        <tr r="G320" s="5"/>
      </tp>
      <tp t="s">
        <v/>
        <stp/>
        <stp>18901687M23:BstHitPrc</stp>
        <tr r="G330" s="5"/>
      </tp>
      <tp t="s">
        <v/>
        <stp/>
        <stp>57179020M11:BstHitPrc</stp>
        <tr r="G1558" s="5"/>
      </tp>
      <tp t="s">
        <v>Invalid Market: 57179020M21</v>
        <stp/>
        <stp>57179020M21:BstHitPrc</stp>
        <tr r="G1568" s="5"/>
      </tp>
    </main>
    <main first="esrtd">
      <tp t="s">
        <v/>
        <stp/>
        <stp>WDF 17!-IEU</stp>
        <stp>Last Trade Time</stp>
        <tr r="J1794" s="5"/>
      </tp>
      <tp t="s">
        <v/>
        <stp/>
        <stp>TDL 27!-IEU</stp>
        <stp>Last Trade Time</stp>
        <tr r="J1839" s="5"/>
      </tp>
      <tp t="s">
        <v/>
        <stp/>
        <stp>WDF 16!-IEU</stp>
        <stp>Last Trade Time</stp>
        <tr r="J1793" s="5"/>
      </tp>
      <tp t="s">
        <v/>
        <stp/>
        <stp>TDL 26!-IEU</stp>
        <stp>Last Trade Time</stp>
        <tr r="J1838" s="5"/>
      </tp>
      <tp t="s">
        <v/>
        <stp/>
        <stp>WDF 11!-IEU</stp>
        <stp>Last Trade Time</stp>
        <tr r="J1788" s="5"/>
      </tp>
      <tp t="s">
        <v/>
        <stp/>
        <stp>WMJ 18!-IEU</stp>
        <stp>Last Trade Time</stp>
        <tr r="J1900" s="5"/>
      </tp>
      <tp t="s">
        <v/>
        <stp/>
        <stp>TDL 21!-IEU</stp>
        <stp>Last Trade Time</stp>
        <tr r="J1833" s="5"/>
      </tp>
    </main>
    <main first="ice.rtd">
      <tp>
        <v>1.25</v>
        <stp/>
        <stp>18871685M12:BstHitPrc</stp>
        <tr r="G433" s="5"/>
      </tp>
      <tp t="s">
        <v/>
        <stp/>
        <stp>18871685M22:BstHitPrc</stp>
        <tr r="G443" s="5"/>
      </tp>
      <tp t="s">
        <v/>
        <stp/>
        <stp>34364094M18:BstHitPrc</stp>
        <tr r="G536" s="5"/>
      </tp>
      <tp t="s">
        <v/>
        <stp/>
        <stp>34374095M18:BstHitPrc</stp>
        <tr r="G574" s="5"/>
      </tp>
    </main>
    <main first="esrtd">
      <tp t="s">
        <v/>
        <stp/>
        <stp>WDF 10!-IEU</stp>
        <stp>Last Trade Time</stp>
        <tr r="J1787" s="5"/>
      </tp>
      <tp t="s">
        <v/>
        <stp/>
        <stp>WMJ 19!-IEU</stp>
        <stp>Last Trade Time</stp>
        <tr r="J1901" s="5"/>
      </tp>
      <tp t="s">
        <v/>
        <stp/>
        <stp>TDL 20!-IEU</stp>
        <stp>Last Trade Time</stp>
        <tr r="J1832" s="5"/>
      </tp>
    </main>
    <main first="ice.rtd">
      <tp t="s">
        <v/>
        <stp/>
        <stp>15091310M23:LstBlkPrc</stp>
        <tr r="K1400" s="5"/>
      </tp>
      <tp t="s">
        <v/>
        <stp/>
        <stp>15091310M13:LstBlkPrc</stp>
        <tr r="K1390" s="5"/>
      </tp>
    </main>
    <main first="esrtd">
      <tp t="s">
        <v/>
        <stp/>
        <stp>WDF 13!-IEU</stp>
        <stp>Last Trade Time</stp>
        <tr r="J1790" s="5"/>
      </tp>
      <tp t="s">
        <v/>
        <stp/>
        <stp>TDL 23!-IEU</stp>
        <stp>Last Trade Time</stp>
        <tr r="J1835" s="5"/>
      </tp>
      <tp t="s">
        <v/>
        <stp/>
        <stp>WNS 19!-IEU</stp>
        <stp>Last Trade Time</stp>
        <tr r="J1866" s="5"/>
      </tp>
    </main>
    <main first="ice.rtd">
      <tp t="s">
        <v/>
        <stp/>
        <stp>30813691M13:BstHitPrc</stp>
        <tr r="G1966" s="5"/>
      </tp>
      <tp t="s">
        <v/>
        <stp/>
        <stp>30813691M23:BstHitPrc</stp>
        <tr r="G1976" s="5"/>
      </tp>
      <tp t="s">
        <v/>
        <stp/>
        <stp>16331513M10:BstHitPrc</stp>
        <tr r="G1425" s="5"/>
      </tp>
      <tp t="s">
        <v/>
        <stp/>
        <stp>16341514M10:BstHitPrc</stp>
        <tr r="G1463" s="5"/>
      </tp>
      <tp t="s">
        <v/>
        <stp/>
        <stp>16351515M10:BstHitPrc</stp>
        <tr r="G1501" s="5"/>
      </tp>
      <tp t="s">
        <v/>
        <stp/>
        <stp>16331513M20:BstHitPrc</stp>
        <tr r="G1435" s="5"/>
      </tp>
      <tp t="s">
        <v/>
        <stp/>
        <stp>16341514M20:BstHitPrc</stp>
        <tr r="G1473" s="5"/>
      </tp>
      <tp t="s">
        <v/>
        <stp/>
        <stp>16351515M20:BstHitPrc</stp>
        <tr r="G1511" s="5"/>
      </tp>
      <tp t="s">
        <v/>
        <stp/>
        <stp>35534143M23:BstHitPrc</stp>
        <tr r="G731" s="5"/>
      </tp>
      <tp t="s">
        <v/>
        <stp/>
        <stp>35544144M23:BstHitPrc</stp>
        <tr r="G655" s="5"/>
      </tp>
      <tp t="s">
        <v/>
        <stp/>
        <stp>35554145M23:BstHitPrc</stp>
        <tr r="G693" s="5"/>
      </tp>
      <tp t="s">
        <v/>
        <stp/>
        <stp>35534143M13:BstHitPrc</stp>
        <tr r="G721" s="5"/>
      </tp>
      <tp t="s">
        <v/>
        <stp/>
        <stp>35544144M13:BstHitPrc</stp>
        <tr r="G645" s="5"/>
      </tp>
      <tp t="s">
        <v/>
        <stp/>
        <stp>35554145M13:BstHitPrc</stp>
        <tr r="G683" s="5"/>
      </tp>
      <tp t="s">
        <v/>
        <stp/>
        <stp>46678127M16:BstHitPrc</stp>
        <tr r="G361" s="5"/>
      </tp>
    </main>
    <main first="esrtd">
      <tp t="s">
        <v/>
        <stp/>
        <stp>WDF 12!-IEU</stp>
        <stp>Last Trade Time</stp>
        <tr r="J1789" s="5"/>
      </tp>
      <tp t="s">
        <v/>
        <stp/>
        <stp>TDL 22!-IEU</stp>
        <stp>Last Trade Time</stp>
        <tr r="J1834" s="5"/>
      </tp>
      <tp t="s">
        <v/>
        <stp/>
        <stp>WNS 18!-IEU</stp>
        <stp>Last Trade Time</stp>
        <tr r="J1865" s="5"/>
      </tp>
    </main>
    <main first="ice.rtd">
      <tp t="s">
        <v/>
        <stp/>
        <stp>15091310M15:LstBlkVol</stp>
        <tr r="L1392" s="5"/>
      </tp>
      <tp t="s">
        <v/>
        <stp/>
        <stp>34404098M19:LstBlkVol</stp>
        <tr r="L613" s="5"/>
      </tp>
      <tp t="s">
        <v/>
        <stp/>
        <stp>34414099M19:LstBlkVol</stp>
        <tr r="L98" s="5"/>
      </tp>
    </main>
    <main first="esrtd">
      <tp t="s">
        <v/>
        <stp/>
        <stp>WMJ C2!-IEU</stp>
        <stp>Strip</stp>
        <tr r="E1917" s="5"/>
      </tp>
      <tp t="s">
        <v/>
        <stp/>
        <stp>WMJ Q4!-IEU</stp>
        <stp>Strip</stp>
        <tr r="E1916" s="5"/>
      </tp>
      <tp t="s">
        <v/>
        <stp/>
        <stp>WMJ Q1!-IEU</stp>
        <stp>Strip</stp>
        <tr r="E1913" s="5"/>
      </tp>
      <tp t="s">
        <v/>
        <stp/>
        <stp>WMJ Q3!-IEU</stp>
        <stp>Strip</stp>
        <tr r="E1915" s="5"/>
      </tp>
      <tp t="s">
        <v/>
        <stp/>
        <stp>WMJ Q2!-IEU</stp>
        <stp>Strip</stp>
        <tr r="E1914" s="5"/>
      </tp>
      <tp t="s">
        <v/>
        <stp/>
        <stp>WMJ 19!-IEU</stp>
        <stp>Strip</stp>
        <tr r="E1901" s="5"/>
      </tp>
      <tp t="s">
        <v/>
        <stp/>
        <stp>WMJ 18!-IEU</stp>
        <stp>Strip</stp>
        <tr r="E1900" s="5"/>
      </tp>
      <tp t="s">
        <v/>
        <stp/>
        <stp>WMJ 15!-IEU</stp>
        <stp>Strip</stp>
        <tr r="E1897" s="5"/>
      </tp>
      <tp t="s">
        <v/>
        <stp/>
        <stp>WMJ 14!-IEU</stp>
        <stp>Strip</stp>
        <tr r="E1896" s="5"/>
      </tp>
      <tp t="s">
        <v/>
        <stp/>
        <stp>WMJ 17!-IEU</stp>
        <stp>Strip</stp>
        <tr r="E1899" s="5"/>
      </tp>
      <tp t="s">
        <v/>
        <stp/>
        <stp>WMJ 16!-IEU</stp>
        <stp>Strip</stp>
        <tr r="E1898" s="5"/>
      </tp>
      <tp t="s">
        <v/>
        <stp/>
        <stp>WMJ 11!-IEU</stp>
        <stp>Strip</stp>
        <tr r="E1893" s="5"/>
      </tp>
      <tp t="s">
        <v/>
        <stp/>
        <stp>WMJ 10!-IEU</stp>
        <stp>Strip</stp>
        <tr r="E1892" s="5"/>
      </tp>
      <tp t="s">
        <v/>
        <stp/>
        <stp>WMJ 13!-IEU</stp>
        <stp>Strip</stp>
        <tr r="E1895" s="5"/>
      </tp>
      <tp t="s">
        <v/>
        <stp/>
        <stp>WMJ 12!-IEU</stp>
        <stp>Strip</stp>
        <tr r="E1894" s="5"/>
      </tp>
      <tp t="s">
        <v/>
        <stp/>
        <stp>WMJ 29!-IEU</stp>
        <stp>Strip</stp>
        <tr r="E1911" s="5"/>
      </tp>
      <tp t="s">
        <v/>
        <stp/>
        <stp>WMJ 28!-IEU</stp>
        <stp>Strip</stp>
        <tr r="E1910" s="5"/>
      </tp>
      <tp t="s">
        <v/>
        <stp/>
        <stp>WMJ 25!-IEU</stp>
        <stp>Strip</stp>
        <tr r="E1907" s="5"/>
      </tp>
      <tp t="s">
        <v/>
        <stp/>
        <stp>WMJ 24!-IEU</stp>
        <stp>Strip</stp>
        <tr r="E1906" s="5"/>
      </tp>
      <tp t="s">
        <v/>
        <stp/>
        <stp>WMJ 27!-IEU</stp>
        <stp>Strip</stp>
        <tr r="E1909" s="5"/>
      </tp>
      <tp t="s">
        <v/>
        <stp/>
        <stp>WMJ 26!-IEU</stp>
        <stp>Strip</stp>
        <tr r="E1908" s="5"/>
      </tp>
      <tp t="s">
        <v/>
        <stp/>
        <stp>WMJ 21!-IEU</stp>
        <stp>Strip</stp>
        <tr r="E1903" s="5"/>
      </tp>
      <tp t="s">
        <v/>
        <stp/>
        <stp>WMJ 20!-IEU</stp>
        <stp>Strip</stp>
        <tr r="E1902" s="5"/>
      </tp>
      <tp t="s">
        <v/>
        <stp/>
        <stp>WMJ 23!-IEU</stp>
        <stp>Strip</stp>
        <tr r="E1905" s="5"/>
      </tp>
      <tp t="s">
        <v/>
        <stp/>
        <stp>WMJ 22!-IEU</stp>
        <stp>Strip</stp>
        <tr r="E1904" s="5"/>
      </tp>
      <tp t="s">
        <v/>
        <stp/>
        <stp>WMJ 30!-IEU</stp>
        <stp>Strip</stp>
        <tr r="E1912" s="5"/>
      </tp>
    </main>
    <main first="ice.rtd">
      <tp t="s">
        <v/>
        <stp/>
        <stp>35534143M15:LstBlkVol</stp>
        <tr r="L723" s="5"/>
      </tp>
      <tp t="s">
        <v/>
        <stp/>
        <stp>35544144M15:LstBlkVol</stp>
        <tr r="L647" s="5"/>
      </tp>
      <tp t="s">
        <v/>
        <stp/>
        <stp>35554145M15:LstBlkVol</stp>
        <tr r="L685" s="5"/>
      </tp>
      <tp t="s">
        <v/>
        <stp/>
        <stp>16331513M16:LstBlkVol</stp>
        <tr r="L1431" s="5"/>
      </tp>
      <tp t="s">
        <v/>
        <stp/>
        <stp>16341514M16:LstBlkVol</stp>
        <tr r="L1469" s="5"/>
      </tp>
      <tp t="s">
        <v/>
        <stp/>
        <stp>16351515M16:LstBlkVol</stp>
        <tr r="L1507" s="5"/>
      </tp>
      <tp t="s">
        <v/>
        <stp/>
        <stp>30813691M15:LstBlkVol</stp>
        <tr r="L1968" s="5"/>
      </tp>
      <tp t="s">
        <v/>
        <stp/>
        <stp>46678127M20:LstBlkVol</stp>
        <tr r="L365" s="5"/>
      </tp>
      <tp t="s">
        <v/>
        <stp/>
        <stp>46678127M10:LstBlkVol</stp>
        <tr r="L355" s="5"/>
      </tp>
      <tp t="s">
        <v/>
        <stp/>
        <stp>18871685M24:LstBlkVol</stp>
        <tr r="L445" s="5"/>
      </tp>
      <tp t="s">
        <v/>
        <stp/>
        <stp>18871685M14:LstBlkVol</stp>
        <tr r="L435" s="5"/>
      </tp>
      <tp t="s">
        <v/>
        <stp/>
        <stp>18901687M15:LstBlkVol</stp>
        <tr r="L322" s="5"/>
      </tp>
      <tp t="s">
        <v>Invalid Market: 57179020M17</v>
        <stp/>
        <stp>57179020M17:LstBlkVol</stp>
        <tr r="L1564" s="5"/>
      </tp>
      <tp t="s">
        <v/>
        <stp/>
        <stp>18851683M24:LstBlkVol</stp>
        <tr r="L217" s="5"/>
      </tp>
      <tp t="s">
        <v/>
        <stp/>
        <stp>18851683M14:LstBlkVol</stp>
        <tr r="L207" s="5"/>
      </tp>
      <tp t="s">
        <v/>
        <stp/>
        <stp>57409036M23:LstBlkVol</stp>
        <tr r="L254" s="5"/>
      </tp>
      <tp t="s">
        <v/>
        <stp/>
        <stp>57409036M13:LstBlkVol</stp>
        <tr r="L244" s="5"/>
      </tp>
      <tp t="s">
        <v/>
        <stp/>
        <stp>266M8:LstBlkVol</stp>
        <tr r="L929" s="5"/>
      </tp>
      <tp t="s">
        <v/>
        <stp/>
        <stp>266Q8:LstBlkVol</stp>
        <tr r="L954" s="5"/>
      </tp>
      <tp t="s">
        <v/>
        <stp/>
        <stp>2044823525M12:LstBlkVol</stp>
        <tr r="L1759" s="5"/>
      </tp>
      <tp t="s">
        <v>Invalid Market: 2044823525M22</v>
        <stp/>
        <stp>2044823525M22:LstBlkVol</stp>
        <tr r="L1769" s="5"/>
      </tp>
      <tp t="s">
        <v/>
        <stp/>
        <stp>2427026287M10:LstBlkVol</stp>
        <tr r="L1159" s="5"/>
      </tp>
      <tp t="s">
        <v/>
        <stp/>
        <stp>2427026287M20:LstBlkVol</stp>
        <tr r="L1169" s="5"/>
      </tp>
      <tp t="s">
        <v/>
        <stp/>
        <stp>1986823075M24:LstBlkVol</stp>
        <tr r="L141" s="5"/>
      </tp>
      <tp t="s">
        <v/>
        <stp/>
        <stp>1986823075M14:LstBlkVol</stp>
        <tr r="L131" s="5"/>
      </tp>
      <tp t="s">
        <v/>
        <stp/>
        <stp>2427126288M11:LstBlkVol</stp>
        <tr r="L1046" s="5"/>
      </tp>
      <tp t="s">
        <v/>
        <stp/>
        <stp>2427126288M21:LstBlkVol</stp>
        <tr r="L1056" s="5"/>
      </tp>
    </main>
    <main first="bofaddin.rtdserver">
      <tp t="s">
        <v>#N/A</v>
        <stp/>
        <stp>BDP|1414746455448582646|222</stp>
        <stp>OQAQ0 Comdty</stp>
        <stp>BID</stp>
        <stp>Fill=#N/A</stp>
        <tr r="T67" s="1"/>
      </tp>
    </main>
    <main first="ice.rtd">
      <tp t="s">
        <v/>
        <stp/>
        <stp>2755828679M17:LstBlkVol</stp>
        <tr r="L1014" s="5"/>
      </tp>
      <tp t="s">
        <v/>
        <stp/>
        <stp>1986923076M15:LstBlkVol</stp>
        <tr r="L170" s="5"/>
      </tp>
      <tp t="s">
        <v/>
        <stp/>
        <stp>2755728678M18:LstBlkVol</stp>
        <tr r="L1129" s="5"/>
      </tp>
      <tp t="s">
        <v>Invalid Market: 2972825746BM0</v>
        <stp/>
        <stp>2972825746BM0:Vol</stp>
        <tr r="N1714" s="5"/>
      </tp>
      <tp t="s">
        <v/>
        <stp/>
        <stp>1840020882M13:LstBlkVol</stp>
        <tr r="L1595" s="5"/>
      </tp>
      <tp t="s">
        <v/>
        <stp/>
        <stp>2427026287M16:BstHitPrc</stp>
        <tr r="G1165" s="5"/>
      </tp>
      <tp t="s">
        <v/>
        <stp/>
        <stp>1840020882M15:LstBlkPrc</stp>
        <tr r="K1597" s="5"/>
      </tp>
      <tp t="s">
        <v/>
        <stp/>
        <stp>2427126288M17:LstBlkPrc</stp>
        <tr r="K1052" s="5"/>
      </tp>
      <tp t="s">
        <v/>
        <stp/>
        <stp>1986823075M22:LstBlkPrc</stp>
        <tr r="K139" s="5"/>
      </tp>
      <tp t="s">
        <v/>
        <stp/>
        <stp>1986823075M12:LstBlkPrc</stp>
        <tr r="K129" s="5"/>
      </tp>
    </main>
    <main first="bofaddin.rtdserver">
      <tp t="s">
        <v>#N/A</v>
        <stp/>
        <stp>BDP|16526815973965853703|222</stp>
        <stp>MUCM7N7 Comdty</stp>
        <stp>BID</stp>
        <stp>Fill=#N/A</stp>
        <tr r="S29" s="1"/>
      </tp>
    </main>
    <main first="ice.rtd">
      <tp t="s">
        <v/>
        <stp/>
        <stp>2044823525M14:BstHitPrc</stp>
        <tr r="G1761" s="5"/>
      </tp>
      <tp t="s">
        <v/>
        <stp/>
        <stp>1986923076M23:LstBlkPrc</stp>
        <tr r="K178" s="5"/>
      </tp>
      <tp t="s">
        <v/>
        <stp/>
        <stp>1986923076M13:LstBlkPrc</stp>
        <tr r="K168" s="5"/>
      </tp>
      <tp t="s">
        <v/>
        <stp/>
        <stp>2755828679M21:LstBlkPrc</stp>
        <tr r="K1018" s="5"/>
      </tp>
      <tp t="s">
        <v/>
        <stp/>
        <stp>2755828679M11:LstBlkPrc</stp>
        <tr r="K1008" s="5"/>
      </tp>
      <tp t="s">
        <v/>
        <stp/>
        <stp>1840020882M15:BstHitPrc</stp>
        <tr r="G1597" s="5"/>
      </tp>
      <tp t="s">
        <v/>
        <stp/>
        <stp>2427026287M16:LstBlkPrc</stp>
        <tr r="K1165" s="5"/>
      </tp>
    </main>
    <main first="bofaddin.rtdserver">
      <tp t="s">
        <v>#N/A</v>
        <stp/>
        <stp>BDP|13390872404302501698|222</stp>
        <stp>MUCK0M0 Comdty</stp>
        <stp>BID</stp>
        <stp>Fill=#N/A</stp>
        <tr r="S64" s="1"/>
      </tp>
      <tp t="s">
        <v>#N/A</v>
        <stp/>
        <stp>BDP|10725555873263082084|222</stp>
        <stp>MUCF9G9 Comdty</stp>
        <stp>ASK</stp>
        <stp>Fill=#N/A</stp>
        <tr r="S48" s="1"/>
      </tp>
    </main>
    <main first="ice.rtd">
      <tp t="s">
        <v/>
        <stp/>
        <stp>2044823525M14:LstBlkPrc</stp>
        <tr r="K1761" s="5"/>
      </tp>
      <tp t="s">
        <v/>
        <stp/>
        <stp>1986923076M13:BstHitPrc</stp>
        <tr r="G168" s="5"/>
      </tp>
      <tp t="s">
        <v/>
        <stp/>
        <stp>1986923076M23:BstHitPrc</stp>
        <tr r="G178" s="5"/>
      </tp>
      <tp t="s">
        <v/>
        <stp/>
        <stp>2755828679M11:BstHitPrc</stp>
        <tr r="G1008" s="5"/>
      </tp>
      <tp t="s">
        <v/>
        <stp/>
        <stp>2755828679M21:BstHitPrc</stp>
        <tr r="G1018" s="5"/>
      </tp>
      <tp t="s">
        <v/>
        <stp/>
        <stp>1986823075M12:BstHitPrc</stp>
        <tr r="G129" s="5"/>
      </tp>
      <tp t="s">
        <v/>
        <stp/>
        <stp>1986823075M22:BstHitPrc</stp>
        <tr r="G139" s="5"/>
      </tp>
      <tp t="s">
        <v/>
        <stp/>
        <stp>2427126288M17:BstHitPrc</stp>
        <tr r="G1052" s="5"/>
      </tp>
      <tp t="s">
        <v>BOB</v>
        <stp/>
        <stp>5162M24:PCC</stp>
        <tr r="B793" s="5"/>
      </tp>
      <tp t="s">
        <v>BOB</v>
        <stp/>
        <stp>5162M20:PCC</stp>
        <tr r="B789" s="5"/>
      </tp>
      <tp t="s">
        <v>BOB</v>
        <stp/>
        <stp>5162M21:PCC</stp>
        <tr r="B790" s="5"/>
      </tp>
      <tp t="s">
        <v>BOB</v>
        <stp/>
        <stp>5162M22:PCC</stp>
        <tr r="B791" s="5"/>
      </tp>
      <tp t="s">
        <v>BOB</v>
        <stp/>
        <stp>5162M23:PCC</stp>
        <tr r="B792" s="5"/>
      </tp>
      <tp t="s">
        <v>BOB</v>
        <stp/>
        <stp>5162M18:PCC</stp>
        <tr r="B787" s="5"/>
      </tp>
      <tp t="s">
        <v>BOB</v>
        <stp/>
        <stp>5162M19:PCC</stp>
        <tr r="B788" s="5"/>
      </tp>
      <tp t="s">
        <v>BOB</v>
        <stp/>
        <stp>5162M14:PCC</stp>
        <tr r="B783" s="5"/>
      </tp>
      <tp t="s">
        <v>BOB</v>
        <stp/>
        <stp>5162M15:PCC</stp>
        <tr r="B784" s="5"/>
      </tp>
      <tp t="s">
        <v>BOB</v>
        <stp/>
        <stp>5162M16:PCC</stp>
        <tr r="B785" s="5"/>
      </tp>
      <tp t="s">
        <v>BOB</v>
        <stp/>
        <stp>5162M17:PCC</stp>
        <tr r="B786" s="5"/>
      </tp>
      <tp t="s">
        <v>BOB</v>
        <stp/>
        <stp>5162M10:PCC</stp>
        <tr r="B779" s="5"/>
      </tp>
      <tp t="s">
        <v>BOB</v>
        <stp/>
        <stp>5162M11:PCC</stp>
        <tr r="B780" s="5"/>
      </tp>
      <tp t="s">
        <v>BOB</v>
        <stp/>
        <stp>5162M12:PCC</stp>
        <tr r="B781" s="5"/>
      </tp>
      <tp t="s">
        <v>BOB</v>
        <stp/>
        <stp>5162M13:PCC</stp>
        <tr r="B782" s="5"/>
      </tp>
      <tp t="s">
        <v/>
        <stp/>
        <stp>161913535MM19:LstBlkPrc</stp>
        <tr r="K2046" s="5"/>
      </tp>
      <tp>
        <v>343</v>
        <stp/>
        <stp>DBI1227MM9:Vol</stp>
        <tr r="N1660" s="5"/>
      </tp>
      <tp>
        <v>7126</v>
        <stp/>
        <stp>DBI1227MM8:Vol</stp>
        <tr r="N1659" s="5"/>
      </tp>
      <tp>
        <v>0</v>
        <stp/>
        <stp>DBI1227MM5:Vol</stp>
        <tr r="N1656" s="5"/>
      </tp>
      <tp>
        <v>0</v>
        <stp/>
        <stp>DBI1227MM4:Vol</stp>
        <tr r="N1655" s="5"/>
      </tp>
      <tp>
        <v>0</v>
        <stp/>
        <stp>DBI1227MM7:Vol</stp>
        <tr r="N1658" s="5"/>
      </tp>
      <tp>
        <v>0</v>
        <stp/>
        <stp>DBI1227MM6:Vol</stp>
        <tr r="N1657" s="5"/>
      </tp>
      <tp>
        <v>0</v>
        <stp/>
        <stp>DBI1227MM1:Vol</stp>
        <tr r="N1652" s="5"/>
      </tp>
      <tp>
        <v>112</v>
        <stp/>
        <stp>DBI1227MM0:Vol</stp>
        <tr r="N1651" s="5"/>
        <tr r="N1648" s="5"/>
      </tp>
      <tp>
        <v>0</v>
        <stp/>
        <stp>DBI1227MM3:Vol</stp>
        <tr r="N1654" s="5"/>
      </tp>
      <tp>
        <v>0</v>
        <stp/>
        <stp>DBI1227MM2:Vol</stp>
        <tr r="N1653" s="5"/>
      </tp>
      <tp t="s">
        <v>08:28:54</v>
        <stp/>
        <stp>57409036M6:LstBlkTime</stp>
        <tr r="M237" s="5"/>
      </tp>
      <tp t="s">
        <v>08:28:54</v>
        <stp/>
        <stp>57409036M7:LstBlkTime</stp>
        <tr r="M238" s="5"/>
      </tp>
      <tp t="s">
        <v/>
        <stp/>
        <stp>57409036M4:LstBlkTime</stp>
        <tr r="M235" s="5"/>
      </tp>
      <tp t="s">
        <v/>
        <stp/>
        <stp>57409036M5:LstBlkTime</stp>
        <tr r="M236" s="5"/>
      </tp>
      <tp t="s">
        <v/>
        <stp/>
        <stp>57409036M2:LstBlkTime</stp>
        <tr r="M233" s="5"/>
      </tp>
      <tp t="s">
        <v>11:03:13</v>
        <stp/>
        <stp>57409036M3:LstBlkTime</stp>
        <tr r="M234" s="5"/>
      </tp>
      <tp t="s">
        <v/>
        <stp/>
        <stp>57409036M0:LstBlkTime</stp>
        <tr r="M231" s="5"/>
      </tp>
      <tp t="s">
        <v>10:48:20</v>
        <stp/>
        <stp>57409036M1:LstBlkTime</stp>
        <tr r="M232" s="5"/>
      </tp>
      <tp t="s">
        <v/>
        <stp/>
        <stp>57409036M8:LstBlkTime</stp>
        <tr r="M239" s="5"/>
      </tp>
      <tp t="s">
        <v/>
        <stp/>
        <stp>57409036M9:LstBlkTime</stp>
        <tr r="M240" s="5"/>
      </tp>
      <tp t="s">
        <v/>
        <stp/>
        <stp>57409036Q6:LstBlkTime</stp>
        <tr r="M262" s="5"/>
      </tp>
      <tp t="s">
        <v/>
        <stp/>
        <stp>57409036Q7:LstBlkTime</stp>
        <tr r="M263" s="5"/>
      </tp>
      <tp t="s">
        <v>10:00:22</v>
        <stp/>
        <stp>57409036Q4:LstBlkTime</stp>
        <tr r="M260" s="5"/>
      </tp>
      <tp t="s">
        <v/>
        <stp/>
        <stp>57409036Q5:LstBlkTime</stp>
        <tr r="M261" s="5"/>
      </tp>
      <tp t="s">
        <v>10:31:30</v>
        <stp/>
        <stp>57409036Q2:LstBlkTime</stp>
        <tr r="M258" s="5"/>
      </tp>
      <tp t="s">
        <v>10:31:30</v>
        <stp/>
        <stp>57409036Q3:LstBlkTime</stp>
        <tr r="M259" s="5"/>
      </tp>
      <tp t="s">
        <v>11:03:13</v>
        <stp/>
        <stp>57409036Q0:LstBlkTime</stp>
        <tr r="M256" s="5"/>
      </tp>
      <tp t="s">
        <v>10:23:22</v>
        <stp/>
        <stp>57409036Q1:LstBlkTime</stp>
        <tr r="M257" s="5"/>
      </tp>
      <tp t="s">
        <v/>
        <stp/>
        <stp>57409036Q8:LstBlkTime</stp>
        <tr r="M264" s="5"/>
      </tp>
      <tp t="s">
        <v/>
        <stp/>
        <stp>57409036Y2:LstBlkTime</stp>
        <tr r="M267" s="5"/>
      </tp>
      <tp t="s">
        <v>09:24:10</v>
        <stp/>
        <stp>57409036Y0:LstBlkTime</stp>
        <tr r="M265" s="5"/>
      </tp>
      <tp t="s">
        <v>10:30:50</v>
        <stp/>
        <stp>57409036Y1:LstBlkTime</stp>
        <tr r="M266" s="5"/>
      </tp>
      <tp t="s">
        <v/>
        <stp/>
        <stp>161913535MM19:BstHitPrc</stp>
        <tr r="G2046" s="5"/>
      </tp>
    </main>
    <main first="bofaddin.rtdserver">
      <tp t="s">
        <v>#N/A Real Time</v>
        <stp/>
        <stp>BDP|4161375916407690025|22</stp>
        <stp>COV6C 110.00 Comdty</stp>
        <stp>VEGA_MID_RT</stp>
        <tr r="C74" s="23"/>
        <tr r="C55" s="23"/>
        <tr r="C83" s="23"/>
      </tp>
    </main>
    <main first="ice.rtd">
      <tp>
        <v>0</v>
        <stp/>
        <stp>2755828679M24:Vol</stp>
        <tr r="N1021" s="5"/>
      </tp>
      <tp>
        <v>0</v>
        <stp/>
        <stp>2755828679M22:Vol</stp>
        <tr r="N1019" s="5"/>
      </tp>
      <tp>
        <v>0</v>
        <stp/>
        <stp>2755828679M23:Vol</stp>
        <tr r="N1020" s="5"/>
      </tp>
      <tp>
        <v>0</v>
        <stp/>
        <stp>2755828679M20:Vol</stp>
        <tr r="N1017" s="5"/>
      </tp>
      <tp>
        <v>0</v>
        <stp/>
        <stp>2755828679M21:Vol</stp>
        <tr r="N1018" s="5"/>
      </tp>
      <tp>
        <v>0</v>
        <stp/>
        <stp>2755728678M21:Vol</stp>
        <tr r="N1132" s="5"/>
      </tp>
      <tp>
        <v>0</v>
        <stp/>
        <stp>2755728678M20:Vol</stp>
        <tr r="N1131" s="5"/>
      </tp>
      <tp>
        <v>0</v>
        <stp/>
        <stp>2755728678M23:Vol</stp>
        <tr r="N1134" s="5"/>
      </tp>
      <tp>
        <v>0</v>
        <stp/>
        <stp>2755728678M22:Vol</stp>
        <tr r="N1133" s="5"/>
      </tp>
      <tp>
        <v>0</v>
        <stp/>
        <stp>2755728678M24:Vol</stp>
        <tr r="N1135" s="5"/>
      </tp>
      <tp>
        <v>0</v>
        <stp/>
        <stp>2755728678M19:Vol</stp>
        <tr r="N1130" s="5"/>
      </tp>
      <tp>
        <v>0</v>
        <stp/>
        <stp>2755828679M16:Vol</stp>
        <tr r="N1013" s="5"/>
      </tp>
      <tp>
        <v>0</v>
        <stp/>
        <stp>2755728678M18:Vol</stp>
        <tr r="N1129" s="5"/>
      </tp>
      <tp>
        <v>0</v>
        <stp/>
        <stp>2755828679M17:Vol</stp>
        <tr r="N1014" s="5"/>
      </tp>
      <tp>
        <v>0</v>
        <stp/>
        <stp>2755828679M14:Vol</stp>
        <tr r="N1011" s="5"/>
      </tp>
      <tp>
        <v>0</v>
        <stp/>
        <stp>2755828679M15:Vol</stp>
        <tr r="N1012" s="5"/>
      </tp>
      <tp>
        <v>0</v>
        <stp/>
        <stp>2755828679M12:Vol</stp>
        <tr r="N1009" s="5"/>
      </tp>
      <tp>
        <v>0</v>
        <stp/>
        <stp>2755828679M13:Vol</stp>
        <tr r="N1010" s="5"/>
      </tp>
      <tp>
        <v>0</v>
        <stp/>
        <stp>2755828679M10:Vol</stp>
        <tr r="N1007" s="5"/>
      </tp>
      <tp>
        <v>0</v>
        <stp/>
        <stp>2755828679M11:Vol</stp>
        <tr r="N1008" s="5"/>
      </tp>
      <tp>
        <v>0</v>
        <stp/>
        <stp>2755728678M11:Vol</stp>
        <tr r="N1122" s="5"/>
      </tp>
      <tp>
        <v>0</v>
        <stp/>
        <stp>2755728678M10:Vol</stp>
        <tr r="N1121" s="5"/>
      </tp>
      <tp>
        <v>0</v>
        <stp/>
        <stp>2755728678M13:Vol</stp>
        <tr r="N1124" s="5"/>
      </tp>
      <tp>
        <v>0</v>
        <stp/>
        <stp>2755728678M12:Vol</stp>
        <tr r="N1123" s="5"/>
      </tp>
      <tp>
        <v>0</v>
        <stp/>
        <stp>2755728678M15:Vol</stp>
        <tr r="N1126" s="5"/>
      </tp>
      <tp>
        <v>0</v>
        <stp/>
        <stp>2755728678M14:Vol</stp>
        <tr r="N1125" s="5"/>
      </tp>
      <tp>
        <v>0</v>
        <stp/>
        <stp>2755728678M17:Vol</stp>
        <tr r="N1128" s="5"/>
      </tp>
      <tp>
        <v>0</v>
        <stp/>
        <stp>2755828679M18:Vol</stp>
        <tr r="N1015" s="5"/>
      </tp>
      <tp>
        <v>0</v>
        <stp/>
        <stp>2755728678M16:Vol</stp>
        <tr r="N1127" s="5"/>
      </tp>
      <tp>
        <v>0</v>
        <stp/>
        <stp>2755828679M19:Vol</stp>
        <tr r="N1016" s="5"/>
      </tp>
      <tp t="s">
        <v/>
        <stp/>
        <stp>1840020882Q4:LstBlkTime</stp>
        <tr r="M1603" s="5"/>
      </tp>
      <tp t="s">
        <v/>
        <stp/>
        <stp>1840020882Q0:LstBlkTime</stp>
        <tr r="M1599" s="5"/>
      </tp>
      <tp t="s">
        <v/>
        <stp/>
        <stp>1840020882Q1:LstBlkTime</stp>
        <tr r="M1600" s="5"/>
      </tp>
      <tp t="s">
        <v/>
        <stp/>
        <stp>1840020882Q2:LstBlkTime</stp>
        <tr r="M1601" s="5"/>
      </tp>
      <tp t="s">
        <v/>
        <stp/>
        <stp>1840020882Q3:LstBlkTime</stp>
        <tr r="M1602" s="5"/>
      </tp>
      <tp t="s">
        <v/>
        <stp/>
        <stp>1840020882Y0:LstBlkTime</stp>
        <tr r="M1604" s="5"/>
      </tp>
      <tp t="s">
        <v/>
        <stp/>
        <stp>1840020882M4:LstBlkTime</stp>
        <tr r="M1586" s="5"/>
      </tp>
      <tp t="s">
        <v/>
        <stp/>
        <stp>1840020882M5:LstBlkTime</stp>
        <tr r="M1587" s="5"/>
      </tp>
      <tp t="s">
        <v/>
        <stp/>
        <stp>1840020882M6:LstBlkTime</stp>
        <tr r="M1588" s="5"/>
      </tp>
      <tp t="s">
        <v/>
        <stp/>
        <stp>1840020882M7:LstBlkTime</stp>
        <tr r="M1589" s="5"/>
      </tp>
      <tp t="s">
        <v/>
        <stp/>
        <stp>1840020882M0:LstBlkTime</stp>
        <tr r="M1582" s="5"/>
      </tp>
      <tp t="s">
        <v/>
        <stp/>
        <stp>1840020882M1:LstBlkTime</stp>
        <tr r="M1583" s="5"/>
      </tp>
      <tp t="s">
        <v/>
        <stp/>
        <stp>1840020882M2:LstBlkTime</stp>
        <tr r="M1584" s="5"/>
      </tp>
      <tp t="s">
        <v/>
        <stp/>
        <stp>1840020882M3:LstBlkTime</stp>
        <tr r="M1585" s="5"/>
      </tp>
      <tp t="s">
        <v/>
        <stp/>
        <stp>1840020882M8:LstBlkTime</stp>
        <tr r="M1590" s="5"/>
      </tp>
      <tp t="s">
        <v/>
        <stp/>
        <stp>1840020882M9:LstBlkTime</stp>
        <tr r="M1591" s="5"/>
      </tp>
      <tp t="s">
        <v>BAP</v>
        <stp/>
        <stp>1986823075M22:PCC</stp>
        <tr r="B139" s="5"/>
      </tp>
      <tp t="s">
        <v>BAQ</v>
        <stp/>
        <stp>1986923076M23:PCC</stp>
        <tr r="B178" s="5"/>
      </tp>
      <tp t="s">
        <v>BAP</v>
        <stp/>
        <stp>1986823075M23:PCC</stp>
        <tr r="B140" s="5"/>
      </tp>
      <tp t="s">
        <v>BAQ</v>
        <stp/>
        <stp>1986923076M22:PCC</stp>
        <tr r="B177" s="5"/>
      </tp>
      <tp t="s">
        <v>BAP</v>
        <stp/>
        <stp>1986823075M20:PCC</stp>
        <tr r="B137" s="5"/>
      </tp>
      <tp t="s">
        <v>BAQ</v>
        <stp/>
        <stp>1986923076M21:PCC</stp>
        <tr r="B176" s="5"/>
      </tp>
      <tp t="s">
        <v>BAP</v>
        <stp/>
        <stp>1986823075M21:PCC</stp>
        <tr r="B138" s="5"/>
      </tp>
      <tp t="s">
        <v>BAQ</v>
        <stp/>
        <stp>1986923076M20:PCC</stp>
        <tr r="B175" s="5"/>
      </tp>
      <tp t="s">
        <v>BAP</v>
        <stp/>
        <stp>1986823075M24:PCC</stp>
        <tr r="B141" s="5"/>
      </tp>
      <tp t="s">
        <v>BAQ</v>
        <stp/>
        <stp>1986923076M24:PCC</stp>
        <tr r="B179" s="5"/>
      </tp>
      <tp t="s">
        <v>09:34:31</v>
        <stp/>
        <stp>2184924621B0:LstBlkTime</stp>
        <tr r="M707" s="5"/>
      </tp>
      <tp t="s">
        <v>BAP</v>
        <stp/>
        <stp>1986823075M18:PCC</stp>
        <tr r="B135" s="5"/>
      </tp>
      <tp t="s">
        <v>BAQ</v>
        <stp/>
        <stp>1986923076M19:PCC</stp>
        <tr r="B174" s="5"/>
      </tp>
      <tp t="s">
        <v>BAP</v>
        <stp/>
        <stp>1986823075M19:PCC</stp>
        <tr r="B136" s="5"/>
      </tp>
      <tp t="s">
        <v>BAQ</v>
        <stp/>
        <stp>1986923076M18:PCC</stp>
        <tr r="B173" s="5"/>
      </tp>
      <tp t="s">
        <v>BAP</v>
        <stp/>
        <stp>1986823075M12:PCC</stp>
        <tr r="B129" s="5"/>
      </tp>
      <tp t="s">
        <v>BAQ</v>
        <stp/>
        <stp>1986923076M13:PCC</stp>
        <tr r="B168" s="5"/>
      </tp>
      <tp t="s">
        <v>BAP</v>
        <stp/>
        <stp>1986823075M13:PCC</stp>
        <tr r="B130" s="5"/>
      </tp>
      <tp t="s">
        <v>BAQ</v>
        <stp/>
        <stp>1986923076M12:PCC</stp>
        <tr r="B167" s="5"/>
      </tp>
      <tp t="s">
        <v>BAP</v>
        <stp/>
        <stp>1986823075M10:PCC</stp>
        <tr r="B127" s="5"/>
      </tp>
      <tp t="s">
        <v>BAQ</v>
        <stp/>
        <stp>1986923076M11:PCC</stp>
        <tr r="B166" s="5"/>
      </tp>
      <tp t="s">
        <v>BAP</v>
        <stp/>
        <stp>1986823075M11:PCC</stp>
        <tr r="B128" s="5"/>
      </tp>
      <tp t="s">
        <v>BAQ</v>
        <stp/>
        <stp>1986923076M10:PCC</stp>
        <tr r="B165" s="5"/>
      </tp>
      <tp t="s">
        <v>BAP</v>
        <stp/>
        <stp>1986823075M16:PCC</stp>
        <tr r="B133" s="5"/>
      </tp>
      <tp t="s">
        <v>BAQ</v>
        <stp/>
        <stp>1986923076M17:PCC</stp>
        <tr r="B172" s="5"/>
      </tp>
      <tp t="s">
        <v>BAP</v>
        <stp/>
        <stp>1986823075M17:PCC</stp>
        <tr r="B134" s="5"/>
      </tp>
      <tp t="s">
        <v>BAQ</v>
        <stp/>
        <stp>1986923076M16:PCC</stp>
        <tr r="B171" s="5"/>
      </tp>
      <tp t="s">
        <v>BAP</v>
        <stp/>
        <stp>1986823075M14:PCC</stp>
        <tr r="B131" s="5"/>
      </tp>
      <tp t="s">
        <v>BAQ</v>
        <stp/>
        <stp>1986923076M15:PCC</stp>
        <tr r="B170" s="5"/>
      </tp>
      <tp t="s">
        <v>BAP</v>
        <stp/>
        <stp>1986823075M15:PCC</stp>
        <tr r="B132" s="5"/>
      </tp>
      <tp t="s">
        <v>BAQ</v>
        <stp/>
        <stp>1986923076M14:PCC</stp>
        <tr r="B169" s="5"/>
      </tp>
      <tp t="s">
        <v>CFD</v>
        <stp/>
        <stp>15141311T4:PCC</stp>
        <tr r="B1532" s="5"/>
      </tp>
      <tp t="s">
        <v>CFD</v>
        <stp/>
        <stp>15141311T5:PCC</stp>
        <tr r="B1533" s="5"/>
      </tp>
      <tp t="s">
        <v>CFD</v>
        <stp/>
        <stp>15141311T6:PCC</stp>
        <tr r="B1534" s="5"/>
      </tp>
      <tp t="s">
        <v>CFD</v>
        <stp/>
        <stp>15141311T7:PCC</stp>
        <tr r="B1535" s="5"/>
      </tp>
      <tp t="s">
        <v>CFD</v>
        <stp/>
        <stp>15141311T0:PCC</stp>
        <tr r="B1528" s="5"/>
      </tp>
      <tp t="s">
        <v>CFD</v>
        <stp/>
        <stp>15141311T1:PCC</stp>
        <tr r="B1529" s="5"/>
      </tp>
      <tp t="s">
        <v>CFD</v>
        <stp/>
        <stp>15141311T2:PCC</stp>
        <tr r="B1530" s="5"/>
      </tp>
      <tp t="s">
        <v>CFD</v>
        <stp/>
        <stp>15141311T3:PCC</stp>
        <tr r="B1531" s="5"/>
      </tp>
      <tp t="s">
        <v>CFD</v>
        <stp/>
        <stp>15141311T8:PCC</stp>
        <tr r="B1536" s="5"/>
      </tp>
      <tp t="s">
        <v>Dec26/Jan27</v>
        <stp/>
        <stp>366531MM24:Strip</stp>
        <tr r="E1739" s="5"/>
      </tp>
      <tp t="s">
        <v>Oct26/Mar27</v>
        <stp/>
        <stp>366531MM14:Strip</stp>
        <tr r="E1729" s="5"/>
      </tp>
      <tp t="s">
        <v/>
        <stp/>
        <stp>2755828679Q8:LstPrc</stp>
        <tr r="I1030" s="5"/>
      </tp>
      <tp t="s">
        <v/>
        <stp/>
        <stp>2755828679Q7:LstPrc</stp>
        <tr r="I1029" s="5"/>
      </tp>
      <tp t="s">
        <v/>
        <stp/>
        <stp>2755828679Q6:LstPrc</stp>
        <tr r="I1028" s="5"/>
      </tp>
      <tp t="s">
        <v/>
        <stp/>
        <stp>2755828679Q5:LstPrc</stp>
        <tr r="I1027" s="5"/>
      </tp>
      <tp t="s">
        <v/>
        <stp/>
        <stp>2755828679Q4:LstPrc</stp>
        <tr r="I1026" s="5"/>
      </tp>
      <tp t="s">
        <v/>
        <stp/>
        <stp>2755828679Q3:LstPrc</stp>
        <tr r="I1025" s="5"/>
      </tp>
      <tp t="s">
        <v/>
        <stp/>
        <stp>2755828679Q2:LstPrc</stp>
        <tr r="I1024" s="5"/>
      </tp>
      <tp t="s">
        <v/>
        <stp/>
        <stp>2755828679Q1:LstPrc</stp>
        <tr r="I1023" s="5"/>
      </tp>
      <tp t="s">
        <v/>
        <stp/>
        <stp>2755828679Q0:LstPrc</stp>
        <tr r="I1022" s="5"/>
      </tp>
    </main>
    <main first="bofaddin.rtdserver">
      <tp t="s">
        <v>#N/A</v>
        <stp/>
        <stp>BDP|9167623328415051433|222</stp>
        <stp>MUCH8J8 Comdty</stp>
        <stp>ASK</stp>
        <stp>Fill=#N/A</stp>
        <tr r="S38" s="1"/>
      </tp>
    </main>
    <main first="ice.rtd">
      <tp t="s">
        <v/>
        <stp/>
        <stp>2755828679Y2:LstPrc</stp>
        <tr r="I1033" s="5"/>
      </tp>
      <tp t="s">
        <v/>
        <stp/>
        <stp>2755828679Y1:LstPrc</stp>
        <tr r="I1032" s="5"/>
      </tp>
      <tp t="s">
        <v/>
        <stp/>
        <stp>2755828679Y0:LstPrc</stp>
        <tr r="I1031" s="5"/>
      </tp>
      <tp t="s">
        <v/>
        <stp/>
        <stp>2755828679M9:LstPrc</stp>
        <tr r="I1006" s="5"/>
      </tp>
      <tp t="s">
        <v/>
        <stp/>
        <stp>2755828679M8:LstPrc</stp>
        <tr r="I1005" s="5"/>
      </tp>
      <tp t="s">
        <v/>
        <stp/>
        <stp>2755828679M7:LstPrc</stp>
        <tr r="I1004" s="5"/>
      </tp>
      <tp t="s">
        <v/>
        <stp/>
        <stp>2755828679M6:LstPrc</stp>
        <tr r="I1003" s="5"/>
      </tp>
      <tp t="s">
        <v/>
        <stp/>
        <stp>2755828679M5:LstPrc</stp>
        <tr r="I1002" s="5"/>
      </tp>
      <tp t="s">
        <v/>
        <stp/>
        <stp>2755828679M4:LstPrc</stp>
        <tr r="I1001" s="5"/>
      </tp>
      <tp t="s">
        <v/>
        <stp/>
        <stp>2755828679M3:LstPrc</stp>
        <tr r="I1000" s="5"/>
      </tp>
      <tp t="s">
        <v/>
        <stp/>
        <stp>2755828679M2:LstPrc</stp>
        <tr r="I999" s="5"/>
      </tp>
      <tp t="s">
        <v/>
        <stp/>
        <stp>2755828679M1:LstPrc</stp>
        <tr r="I998" s="5"/>
      </tp>
      <tp t="s">
        <v/>
        <stp/>
        <stp>2755828679M0:LstPrc</stp>
        <tr r="I997" s="5"/>
      </tp>
    </main>
    <main first="bofaddin.rtdserver">
      <tp t="s">
        <v>#N/A</v>
        <stp/>
        <stp>BDP|2484348077702428856|222</stp>
        <stp>MUCJ9K9 Comdty</stp>
        <stp>BID</stp>
        <stp>Fill=#N/A</stp>
        <tr r="S51" s="1"/>
      </tp>
    </main>
    <main first="ice.rtd">
      <tp t="s">
        <v>SMD</v>
        <stp/>
        <stp>41767893Q8:PCC</stp>
        <tr r="B513" s="5"/>
      </tp>
      <tp t="s">
        <v>SMD</v>
        <stp/>
        <stp>41767893Q3:PCC</stp>
        <tr r="B508" s="5"/>
      </tp>
      <tp t="s">
        <v>SMD</v>
        <stp/>
        <stp>41767893Q2:PCC</stp>
        <tr r="B507" s="5"/>
      </tp>
      <tp t="s">
        <v>SMD</v>
        <stp/>
        <stp>41767893Q1:PCC</stp>
        <tr r="B506" s="5"/>
      </tp>
      <tp t="s">
        <v>SMD</v>
        <stp/>
        <stp>41767893Q0:PCC</stp>
        <tr r="B505" s="5"/>
      </tp>
      <tp t="s">
        <v>SMD</v>
        <stp/>
        <stp>41767893Q7:PCC</stp>
        <tr r="B512" s="5"/>
      </tp>
      <tp>
        <v>3.2</v>
        <stp/>
        <stp>2322725588B0:LstPrc</stp>
        <tr r="I2" s="5"/>
      </tp>
      <tp t="s">
        <v>SMD</v>
        <stp/>
        <stp>41767893Q6:PCC</stp>
        <tr r="B511" s="5"/>
      </tp>
      <tp t="s">
        <v>SMD</v>
        <stp/>
        <stp>41767893Q5:PCC</stp>
        <tr r="B510" s="5"/>
      </tp>
      <tp t="s">
        <v>SMD</v>
        <stp/>
        <stp>41767893Q4:PCC</stp>
        <tr r="B509" s="5"/>
      </tp>
    </main>
    <main first="bofaddin.rtdserver">
      <tp>
        <v>2.68</v>
        <stp/>
        <stp>BDP|2129933946569960962|222</stp>
        <stp>MUCZ6F7 Comdty</stp>
        <stp>BID</stp>
        <stp>Fill=#N/A</stp>
        <tr r="S23" s="1"/>
      </tp>
      <tp t="s">
        <v>#N/A</v>
        <stp/>
        <stp>BDP|9962592422824267419|222</stp>
        <stp>OQAF0G0 Comdty</stp>
        <stp>ASK</stp>
        <stp>Fill=#N/A</stp>
        <tr r="T60" s="1"/>
      </tp>
      <tp t="s">
        <v>#N/A</v>
        <stp/>
        <stp>BDP|2793451479532630196|222</stp>
        <stp>OQAK8M8 Comdty</stp>
        <stp>BID</stp>
        <stp>Fill=#N/A</stp>
        <tr r="T40" s="1"/>
      </tp>
    </main>
    <main first="ice.rtd">
      <tp t="s">
        <v>Invalid Market: 41767893Y2</v>
        <stp/>
        <stp>41767893Y2:PCC</stp>
        <tr r="B516" s="5"/>
      </tp>
      <tp t="s">
        <v>SMD</v>
        <stp/>
        <stp>41767893Y1:PCC</stp>
        <tr r="B515" s="5"/>
      </tp>
      <tp t="s">
        <v>SMD</v>
        <stp/>
        <stp>41767893Y0:PCC</stp>
        <tr r="B514" s="5"/>
      </tp>
    </main>
    <main first="bofaddin.rtdserver">
      <tp t="s">
        <v>#N/A N/A</v>
        <stp/>
        <stp>BDH|4145376603338802377</stp>
        <tr r="AZ43" s="1"/>
      </tp>
      <tp t="s">
        <v>#N/A N/A</v>
        <stp/>
        <stp>BDH|8070607239122790344</stp>
        <tr r="H38" s="16"/>
      </tp>
      <tp t="s">
        <v>#N/A N/A</v>
        <stp/>
        <stp>BDH|7229168394126827525</stp>
        <tr r="K52" s="16"/>
      </tp>
    </main>
    <main first="ice.rtd">
      <tp>
        <v>0</v>
        <stp/>
        <stp>2888029697B0:BlkVol</stp>
        <tr r="O996" s="5"/>
      </tp>
    </main>
    <main first="bofaddin.rtdserver">
      <tp t="s">
        <v>#N/A N/A</v>
        <stp/>
        <stp>BDH|1085574669958395664</stp>
        <tr r="I37" s="14"/>
      </tp>
    </main>
    <main first="ice.rtd">
      <tp>
        <v>100</v>
        <stp/>
        <stp>2427126288M6:BlkVol</stp>
        <tr r="O1041" s="5"/>
      </tp>
      <tp>
        <v>100</v>
        <stp/>
        <stp>2427126288M7:BlkVol</stp>
        <tr r="O1042" s="5"/>
      </tp>
      <tp>
        <v>100</v>
        <stp/>
        <stp>2427126288M4:BlkVol</stp>
        <tr r="O1039" s="5"/>
      </tp>
      <tp>
        <v>100</v>
        <stp/>
        <stp>2427126288M5:BlkVol</stp>
        <tr r="O1040" s="5"/>
      </tp>
      <tp>
        <v>0</v>
        <stp/>
        <stp>2427126288M2:BlkVol</stp>
        <tr r="O1037" s="5"/>
      </tp>
      <tp>
        <v>50</v>
        <stp/>
        <stp>2427126288M3:BlkVol</stp>
        <tr r="O1038" s="5"/>
      </tp>
      <tp>
        <v>0</v>
        <stp/>
        <stp>2427126288M0:BlkVol</stp>
        <tr r="O1035" s="5"/>
      </tp>
      <tp>
        <v>0</v>
        <stp/>
        <stp>2427126288M1:BlkVol</stp>
        <tr r="O1036" s="5"/>
      </tp>
      <tp>
        <v>100</v>
        <stp/>
        <stp>2427126288M8:BlkVol</stp>
        <tr r="O1043" s="5"/>
      </tp>
      <tp>
        <v>100</v>
        <stp/>
        <stp>2427126288M9:BlkVol</stp>
        <tr r="O1044" s="5"/>
      </tp>
    </main>
    <main first="bofaddin.rtdserver">
      <tp t="s">
        <v>#N/A Requesting Data...3891173018</v>
        <stp/>
        <stp>BDP|1992884545011595091</stp>
        <tr r="AF123" s="23"/>
      </tp>
    </main>
    <main first="ice.rtd">
      <tp>
        <v>0</v>
        <stp/>
        <stp>2427126288Y2:BlkVol</stp>
        <tr r="O1071" s="5"/>
      </tp>
      <tp>
        <v>0</v>
        <stp/>
        <stp>2427126288Y0:BlkVol</stp>
        <tr r="O1069" s="5"/>
      </tp>
      <tp>
        <v>0</v>
        <stp/>
        <stp>2427126288Y1:BlkVol</stp>
        <tr r="O1070" s="5"/>
      </tp>
    </main>
    <main first="bofaddin.rtdserver">
      <tp t="s">
        <v>#N/A N/A</v>
        <stp/>
        <stp>BDH|2896109297207545122</stp>
        <tr r="BA60" s="1"/>
        <tr r="BA60" s="1"/>
      </tp>
      <tp t="s">
        <v>#N/A N/A</v>
        <stp/>
        <stp>BDH|9003759119823001048</stp>
        <tr r="AV58" s="1"/>
      </tp>
    </main>
    <main first="ice.rtd">
      <tp>
        <v>0</v>
        <stp/>
        <stp>2427126288Q6:BlkVol</stp>
        <tr r="O1066" s="5"/>
      </tp>
      <tp>
        <v>0</v>
        <stp/>
        <stp>2427126288Q7:BlkVol</stp>
        <tr r="O1067" s="5"/>
      </tp>
      <tp>
        <v>0</v>
        <stp/>
        <stp>2427126288Q4:BlkVol</stp>
        <tr r="O1064" s="5"/>
      </tp>
      <tp>
        <v>0</v>
        <stp/>
        <stp>2427126288Q5:BlkVol</stp>
        <tr r="O1065" s="5"/>
      </tp>
      <tp>
        <v>0</v>
        <stp/>
        <stp>2427126288Q2:BlkVol</stp>
        <tr r="O1062" s="5"/>
      </tp>
      <tp>
        <v>0</v>
        <stp/>
        <stp>2427126288Q3:BlkVol</stp>
        <tr r="O1063" s="5"/>
      </tp>
      <tp>
        <v>0</v>
        <stp/>
        <stp>2427126288Q0:BlkVol</stp>
        <tr r="O1060" s="5"/>
      </tp>
      <tp>
        <v>0</v>
        <stp/>
        <stp>2427126288Q1:BlkVol</stp>
        <tr r="O1061" s="5"/>
      </tp>
      <tp>
        <v>0</v>
        <stp/>
        <stp>2427126288Q8:BlkVol</stp>
        <tr r="O1068" s="5"/>
      </tp>
    </main>
    <main first="bofaddin.rtdserver">
      <tp t="s">
        <v>#N/A Requesting Data...4181405413</v>
        <stp/>
        <stp>BDP|8271570102189786897</stp>
        <tr r="AM53" s="23"/>
      </tp>
      <tp t="s">
        <v>#N/A Requesting Data...3865440967</v>
        <stp/>
        <stp>BDP|2811177193393591505</stp>
        <tr r="AM49" s="23"/>
      </tp>
      <tp t="s">
        <v>#N/A N/A</v>
        <stp/>
        <stp>BDH|4838982201491084082</stp>
        <tr r="G95" s="16"/>
      </tp>
    </main>
    <main first="ice.rtd">
      <tp>
        <v>0</v>
        <stp/>
        <stp>2325825619B0:BlkVol</stp>
        <tr r="O40" s="5"/>
      </tp>
    </main>
    <main first="bofaddin.rtdserver">
      <tp t="s">
        <v>#N/A N/A</v>
        <stp/>
        <stp>BDH|9641390292648000739</stp>
        <tr r="BB36" s="1"/>
      </tp>
      <tp t="s">
        <v>#N/A N/A</v>
        <stp/>
        <stp>BDH|5985703817389887695</stp>
        <tr r="J36" s="16"/>
      </tp>
      <tp t="s">
        <v>#N/A N/A</v>
        <stp/>
        <stp>BDH|1330890673401719312</stp>
        <tr r="AZ34" s="1"/>
      </tp>
      <tp t="s">
        <v>#N/A N/A</v>
        <stp/>
        <stp>BDH|6045536719886206873</stp>
        <tr r="AZ46" s="1"/>
      </tp>
    </main>
    <main first="ice.rtd">
      <tp t="s">
        <v>Invalid Market: 41767893B0</v>
        <stp/>
        <stp>41767893B0:PCC</stp>
        <tr r="B479" s="5"/>
      </tp>
    </main>
    <main first="bofaddin.rtdserver">
      <tp t="s">
        <v>#N/A N/A</v>
        <stp/>
        <stp>BDH|9796236108996457142</stp>
        <tr r="C35" s="14"/>
      </tp>
      <tp t="s">
        <v>#N/A N/A</v>
        <stp/>
        <stp>BDH|2239236791150877547</stp>
        <tr r="M77" s="16"/>
      </tp>
      <tp t="s">
        <v>#N/A Requesting Data...3726590878</v>
        <stp/>
        <stp>BDP|9945921496284599157</stp>
        <tr r="AF73" s="23"/>
        <tr r="B26" s="23"/>
        <tr r="B72" s="23"/>
      </tp>
      <tp t="b">
        <v>0</v>
        <stp/>
        <stp>BDH|7376834957534211281</stp>
        <tr r="N22" s="25"/>
        <tr r="N22" s="25"/>
      </tp>
      <tp t="s">
        <v>#N/A N/A</v>
        <stp/>
        <stp>BDH|2392757598312839246</stp>
        <tr r="L81" s="16"/>
      </tp>
      <tp t="s">
        <v>#N/A N/A</v>
        <stp/>
        <stp>BDH|6090540796734354234</stp>
        <tr r="N36" s="16"/>
      </tp>
      <tp t="s">
        <v>#N/A Requesting Data...3564558154</v>
        <stp/>
        <stp>BDP|3789423885253379004</stp>
        <tr r="AF190" s="23"/>
      </tp>
      <tp t="s">
        <v>#N/A N/A</v>
        <stp/>
        <stp>BDH|4310991827682913171</stp>
        <tr r="BA33" s="1"/>
        <tr r="BA33" s="1"/>
      </tp>
    </main>
    <main first="ice.rtd">
      <tp t="s">
        <v>SMD</v>
        <stp/>
        <stp>41767893M9:PCC</stp>
        <tr r="B489" s="5"/>
      </tp>
    </main>
    <main first="bofaddin.rtdserver">
      <tp t="s">
        <v>#N/A N/A</v>
        <stp/>
        <stp>BDH|1154786935439479083</stp>
        <tr r="BA29" s="1"/>
        <tr r="BA29" s="1"/>
      </tp>
    </main>
    <main first="ice.rtd">
      <tp t="s">
        <v>SMD</v>
        <stp/>
        <stp>41767893M8:PCC</stp>
        <tr r="B488" s="5"/>
      </tp>
    </main>
    <main first="bofaddin.rtdserver">
      <tp t="s">
        <v>#N/A N/A</v>
        <stp/>
        <stp>BDH|1703098619965604917</stp>
        <tr r="BB35" s="1"/>
      </tp>
    </main>
    <main first="ice.rtd">
      <tp t="s">
        <v>SMD</v>
        <stp/>
        <stp>41767893M3:PCC</stp>
        <tr r="B483" s="5"/>
      </tp>
      <tp t="s">
        <v>SMD</v>
        <stp/>
        <stp>41767893M2:PCC</stp>
        <tr r="B482" s="5"/>
      </tp>
      <tp t="s">
        <v>SMD</v>
        <stp/>
        <stp>41767893M1:PCC</stp>
        <tr r="B481" s="5"/>
      </tp>
      <tp t="s">
        <v>SMD</v>
        <stp/>
        <stp>41767893M0:PCC</stp>
        <tr r="B480" s="5"/>
      </tp>
      <tp t="s">
        <v>SMD</v>
        <stp/>
        <stp>41767893M7:PCC</stp>
        <tr r="B487" s="5"/>
      </tp>
      <tp t="s">
        <v>SMD</v>
        <stp/>
        <stp>41767893M6:PCC</stp>
        <tr r="B486" s="5"/>
      </tp>
      <tp t="s">
        <v>SMD</v>
        <stp/>
        <stp>41767893M5:PCC</stp>
        <tr r="B485" s="5"/>
      </tp>
      <tp t="s">
        <v>SMD</v>
        <stp/>
        <stp>41767893M4:PCC</stp>
        <tr r="B484" s="5"/>
      </tp>
    </main>
    <main first="bofaddin.rtdserver">
      <tp t="s">
        <v>#N/A N/A</v>
        <stp/>
        <stp>BDH|3227216424257487828</stp>
        <tr r="BC44" s="1"/>
        <tr r="BC44" s="1"/>
      </tp>
      <tp t="s">
        <v>#N/A N/A</v>
        <stp/>
        <stp>BDH|2820587147869078613</stp>
        <tr r="AV40" s="1"/>
      </tp>
      <tp t="s">
        <v>#N/A Requesting Data...4104665006</v>
        <stp/>
        <stp>BDP|7548046192031024344</stp>
        <tr r="E36" s="23"/>
      </tp>
      <tp t="s">
        <v>#N/A N/A</v>
        <stp/>
        <stp>BDH|1437250157302893896</stp>
        <tr r="AW48" s="1"/>
      </tp>
      <tp t="s">
        <v>#N/A N/A</v>
        <stp/>
        <stp>BDH|8356748040333795446</stp>
        <tr r="I44" s="14"/>
      </tp>
      <tp t="s">
        <v>#N/A N/A</v>
        <stp/>
        <stp>BDH|5082179581673033333</stp>
        <tr r="N42" s="16"/>
      </tp>
    </main>
    <main first="ice.rtd">
      <tp>
        <v>0</v>
        <stp/>
        <stp>32613992Y2:Vol</stp>
        <tr r="N1261" s="5"/>
      </tp>
      <tp>
        <v>0</v>
        <stp/>
        <stp>32613992Y0:Vol</stp>
        <tr r="N1259" s="5"/>
      </tp>
      <tp>
        <v>0</v>
        <stp/>
        <stp>32613992Y1:Vol</stp>
        <tr r="N1260" s="5"/>
      </tp>
    </main>
    <main first="bofaddin.rtdserver">
      <tp>
        <v>200</v>
        <stp/>
        <stp>BDP|11215753161864623804|222</stp>
        <stp>XBQ9 Comdty</stp>
        <stp>BID</stp>
        <stp>Fill=#N/A</stp>
        <tr r="J54" s="1"/>
      </tp>
      <tp t="s">
        <v>#N/A</v>
        <stp/>
        <stp>BDP|12983316499013757143|222</stp>
        <stp>XBU8 Comdty</stp>
        <stp>BID</stp>
        <stp>Fill=#N/A</stp>
        <tr r="J43" s="1"/>
      </tp>
      <tp>
        <v>241.02</v>
        <stp/>
        <stp>BDP|18230876567334197095|222</stp>
        <stp>XBX7 Comdty</stp>
        <stp>ASK</stp>
        <stp>Fill=#N/A</stp>
        <tr r="J33" s="1"/>
      </tp>
    </main>
    <main first="ice.rtd">
      <tp>
        <v>0</v>
        <stp/>
        <stp>32613992Q6:Vol</stp>
        <tr r="N1256" s="5"/>
      </tp>
    </main>
    <main first="bofaddin.rtdserver">
      <tp>
        <v>72.63</v>
        <stp/>
        <stp>BDP|11354576678055737108|222</stp>
        <stp>CLU7 Comdty</stp>
        <stp>BID</stp>
        <stp>Fill=#N/A</stp>
        <tr r="F31" s="1"/>
      </tp>
    </main>
    <main first="ice.rtd">
      <tp>
        <v>0</v>
        <stp/>
        <stp>32613992Q7:Vol</stp>
        <tr r="N1257" s="5"/>
      </tp>
      <tp>
        <v>0</v>
        <stp/>
        <stp>32613992Q4:Vol</stp>
        <tr r="N1254" s="5"/>
      </tp>
      <tp>
        <v>0</v>
        <stp/>
        <stp>32613992Q5:Vol</stp>
        <tr r="N1255" s="5"/>
      </tp>
      <tp>
        <v>0</v>
        <stp/>
        <stp>32613992Q2:Vol</stp>
        <tr r="N1252" s="5"/>
      </tp>
      <tp>
        <v>0</v>
        <stp/>
        <stp>32613992Q3:Vol</stp>
        <tr r="N1253" s="5"/>
      </tp>
      <tp>
        <v>0</v>
        <stp/>
        <stp>32613992Q0:Vol</stp>
        <tr r="N1250" s="5"/>
      </tp>
      <tp>
        <v>0</v>
        <stp/>
        <stp>32613992Q1:Vol</stp>
        <tr r="N1251" s="5"/>
      </tp>
    </main>
    <main first="bofaddin.rtdserver">
      <tp>
        <v>75.05</v>
        <stp/>
        <stp>BDP|17058707679898598630|222</stp>
        <stp>COQ8 Comdty</stp>
        <stp>ASK</stp>
        <stp>Fill=#N/A</stp>
        <tr r="G42" s="1"/>
      </tp>
    </main>
    <main first="ice.rtd">
      <tp>
        <v>0</v>
        <stp/>
        <stp>32613992Q8:Vol</stp>
        <tr r="N1258" s="5"/>
      </tp>
    </main>
    <main first="bofaddin.rtdserver">
      <tp t="s">
        <v>#N/A Invalid Security</v>
        <stp/>
        <stp>BDP|12954974318360624463|222</stp>
        <stp>XBQ0 Comdty</stp>
        <stp>ASK</stp>
        <stp>Fill=#N/A</stp>
        <tr r="J66" s="1"/>
      </tp>
      <tp>
        <v>465.73</v>
        <stp/>
        <stp>BDP|17067892191956590740|222</stp>
        <stp>HOV6 Comdty</stp>
        <stp>ASK</stp>
        <stp>Fill=#N/A</stp>
        <tr r="I20" s="1"/>
      </tp>
    </main>
    <main first="ice.rtd">
      <tp>
        <v>0</v>
        <stp/>
        <stp>17551596T8:Vol</stp>
        <tr r="N1545" s="5"/>
        <tr r="N1546" s="5"/>
      </tp>
      <tp>
        <v>0</v>
        <stp/>
        <stp>17551596T7:Vol</stp>
        <tr r="N1544" s="5"/>
      </tp>
      <tp>
        <v>0</v>
        <stp/>
        <stp>17551596T6:Vol</stp>
        <tr r="N1543" s="5"/>
      </tp>
      <tp>
        <v>0</v>
        <stp/>
        <stp>17551596T5:Vol</stp>
        <tr r="N1542" s="5"/>
      </tp>
      <tp>
        <v>0</v>
        <stp/>
        <stp>17551596T4:Vol</stp>
        <tr r="N1541" s="5"/>
      </tp>
      <tp>
        <v>0</v>
        <stp/>
        <stp>17551596T3:Vol</stp>
        <tr r="N1540" s="5"/>
      </tp>
      <tp>
        <v>0</v>
        <stp/>
        <stp>17551596T2:Vol</stp>
        <tr r="N1539" s="5"/>
      </tp>
      <tp>
        <v>0</v>
        <stp/>
        <stp>17551596T1:Vol</stp>
        <tr r="N1538" s="5"/>
      </tp>
      <tp>
        <v>0</v>
        <stp/>
        <stp>17551596T0:Vol</stp>
        <tr r="N1537" s="5"/>
      </tp>
      <tp t="s">
        <v/>
        <stp/>
        <stp>57179020M2:LstPrc</stp>
        <tr r="I1549" s="5"/>
      </tp>
      <tp t="s">
        <v/>
        <stp/>
        <stp>57179020M3:LstPrc</stp>
        <tr r="I1550" s="5"/>
      </tp>
      <tp t="s">
        <v/>
        <stp/>
        <stp>57179020M0:LstPrc</stp>
        <tr r="I1547" s="5"/>
      </tp>
      <tp t="s">
        <v/>
        <stp/>
        <stp>57179020M1:LstPrc</stp>
        <tr r="I1548" s="5"/>
      </tp>
      <tp t="s">
        <v/>
        <stp/>
        <stp>57179020M6:LstPrc</stp>
        <tr r="I1553" s="5"/>
      </tp>
      <tp t="s">
        <v/>
        <stp/>
        <stp>57179020M7:LstPrc</stp>
        <tr r="I1554" s="5"/>
      </tp>
      <tp t="s">
        <v/>
        <stp/>
        <stp>57179020M4:LstPrc</stp>
        <tr r="I1551" s="5"/>
      </tp>
      <tp t="s">
        <v/>
        <stp/>
        <stp>57179020M5:LstPrc</stp>
        <tr r="I1552" s="5"/>
      </tp>
      <tp t="s">
        <v/>
        <stp/>
        <stp>57179020M8:LstPrc</stp>
        <tr r="I1555" s="5"/>
      </tp>
      <tp t="s">
        <v/>
        <stp/>
        <stp>57179020M9:LstPrc</stp>
        <tr r="I1556" s="5"/>
      </tp>
      <tp t="s">
        <v/>
        <stp/>
        <stp>57179020Y0:LstPrc</stp>
        <tr r="I1580" s="5"/>
      </tp>
      <tp t="s">
        <v>Invalid Market: 57179020Y1</v>
        <stp/>
        <stp>57179020Y1:LstPrc</stp>
        <tr r="I1581" s="5"/>
      </tp>
      <tp t="s">
        <v/>
        <stp/>
        <stp>57179020Q2:LstPrc</stp>
        <tr r="I1574" s="5"/>
      </tp>
      <tp t="s">
        <v/>
        <stp/>
        <stp>57179020Q3:LstPrc</stp>
        <tr r="I1575" s="5"/>
      </tp>
      <tp t="s">
        <v/>
        <stp/>
        <stp>57179020Q0:LstPrc</stp>
        <tr r="I1572" s="5"/>
      </tp>
      <tp t="s">
        <v/>
        <stp/>
        <stp>57179020Q1:LstPrc</stp>
        <tr r="I1573" s="5"/>
      </tp>
      <tp t="s">
        <v>Invalid Market: 57179020Q6</v>
        <stp/>
        <stp>57179020Q6:LstPrc</stp>
        <tr r="I1578" s="5"/>
      </tp>
      <tp t="s">
        <v>Invalid Market: 57179020Q7</v>
        <stp/>
        <stp>57179020Q7:LstPrc</stp>
        <tr r="I1579" s="5"/>
      </tp>
      <tp t="s">
        <v/>
        <stp/>
        <stp>57179020Q4:LstPrc</stp>
        <tr r="I1576" s="5"/>
      </tp>
      <tp t="s">
        <v>Invalid Market: 57179020Q5</v>
        <stp/>
        <stp>57179020Q5:LstPrc</stp>
        <tr r="I1577" s="5"/>
      </tp>
      <tp>
        <v>0</v>
        <stp/>
        <stp>32613992M6:Vol</stp>
        <tr r="N1231" s="5"/>
      </tp>
      <tp>
        <v>0</v>
        <stp/>
        <stp>32613992M7:Vol</stp>
        <tr r="N1232" s="5"/>
      </tp>
      <tp>
        <v>0</v>
        <stp/>
        <stp>32613992M4:Vol</stp>
        <tr r="N1229" s="5"/>
      </tp>
      <tp>
        <v>0</v>
        <stp/>
        <stp>32613992M5:Vol</stp>
        <tr r="N1230" s="5"/>
      </tp>
      <tp>
        <v>0</v>
        <stp/>
        <stp>32613992M2:Vol</stp>
        <tr r="N1227" s="5"/>
      </tp>
      <tp>
        <v>0</v>
        <stp/>
        <stp>32613992M3:Vol</stp>
        <tr r="N1228" s="5"/>
      </tp>
      <tp>
        <v>0</v>
        <stp/>
        <stp>32613992M0:Vol</stp>
        <tr r="N1225" s="5"/>
      </tp>
      <tp>
        <v>0</v>
        <stp/>
        <stp>32613992M1:Vol</stp>
        <tr r="N1226" s="5"/>
      </tp>
      <tp>
        <v>0</v>
        <stp/>
        <stp>32613992M8:Vol</stp>
        <tr r="N1233" s="5"/>
      </tp>
      <tp>
        <v>0</v>
        <stp/>
        <stp>32613992M9:Vol</stp>
        <tr r="N1234" s="5"/>
      </tp>
      <tp>
        <v>12.105</v>
        <stp/>
        <stp>18901687M24:Settle</stp>
        <tr r="U331" s="5"/>
      </tp>
      <tp>
        <v>14.867000000000001</v>
        <stp/>
        <stp>18901687M20:Settle</stp>
        <tr r="U327" s="5"/>
      </tp>
      <tp>
        <v>14.616000000000001</v>
        <stp/>
        <stp>18901687M21:Settle</stp>
        <tr r="U328" s="5"/>
      </tp>
      <tp>
        <v>14.056000000000001</v>
        <stp/>
        <stp>18901687M22:Settle</stp>
        <tr r="U329" s="5"/>
      </tp>
      <tp>
        <v>13.365</v>
        <stp/>
        <stp>18901687M23:Settle</stp>
        <tr r="U330" s="5"/>
      </tp>
      <tp>
        <v>10.826000000000001</v>
        <stp/>
        <stp>18901687M18:Settle</stp>
        <tr r="U325" s="5"/>
      </tp>
      <tp>
        <v>14.741000000000001</v>
        <stp/>
        <stp>18901687M19:Settle</stp>
        <tr r="U326" s="5"/>
      </tp>
      <tp>
        <v>12.013</v>
        <stp/>
        <stp>18901687M14:Settle</stp>
        <tr r="U321" s="5"/>
      </tp>
      <tp>
        <v>10.735000000000001</v>
        <stp/>
        <stp>18901687M15:Settle</stp>
        <tr r="U322" s="5"/>
      </tp>
      <tp>
        <v>10.549000000000001</v>
        <stp/>
        <stp>18901687M16:Settle</stp>
        <tr r="U323" s="5"/>
      </tp>
      <tp>
        <v>10.558</v>
        <stp/>
        <stp>18901687M17:Settle</stp>
        <tr r="U324" s="5"/>
      </tp>
      <tp>
        <v>22.205000000000002</v>
        <stp/>
        <stp>18901687M10:Settle</stp>
        <tr r="U317" s="5"/>
      </tp>
      <tp>
        <v>20.881</v>
        <stp/>
        <stp>18901687M11:Settle</stp>
        <tr r="U318" s="5"/>
      </tp>
      <tp>
        <v>18.988</v>
        <stp/>
        <stp>18901687M12:Settle</stp>
        <tr r="U319" s="5"/>
      </tp>
      <tp>
        <v>14.266</v>
        <stp/>
        <stp>18901687M13:Settle</stp>
        <tr r="U320" s="5"/>
      </tp>
      <tp>
        <v>75</v>
        <stp/>
        <stp>DBI1227MM15:LstBlkVol</stp>
        <tr r="L1666" s="5"/>
      </tp>
      <tp t="s">
        <v/>
        <stp/>
        <stp>DBI1227MM25:LstBlkVol</stp>
        <tr r="L1676" s="5"/>
      </tp>
      <tp t="s">
        <v>Invalid Market: 57179020M24</v>
        <stp/>
        <stp>57179020M24:Settle</stp>
        <tr r="U1571" s="5"/>
      </tp>
      <tp t="s">
        <v>Invalid Market: 57179020M22</v>
        <stp/>
        <stp>57179020M22:Settle</stp>
        <tr r="U1569" s="5"/>
      </tp>
      <tp t="s">
        <v>Invalid Market: 57179020M23</v>
        <stp/>
        <stp>57179020M23:Settle</stp>
        <tr r="U1570" s="5"/>
      </tp>
      <tp t="s">
        <v>Invalid Market: 57179020M20</v>
        <stp/>
        <stp>57179020M20:Settle</stp>
        <tr r="U1567" s="5"/>
      </tp>
      <tp t="s">
        <v>Invalid Market: 57179020M21</v>
        <stp/>
        <stp>57179020M21:Settle</stp>
        <tr r="U1568" s="5"/>
      </tp>
      <tp t="s">
        <v>Invalid Market: 57179020M18</v>
        <stp/>
        <stp>57179020M18:Settle</stp>
        <tr r="U1565" s="5"/>
      </tp>
      <tp t="s">
        <v>Invalid Market: 57179020M19</v>
        <stp/>
        <stp>57179020M19:Settle</stp>
        <tr r="U1566" s="5"/>
      </tp>
      <tp t="s">
        <v>Invalid Market: 57179020M16</v>
        <stp/>
        <stp>57179020M16:Settle</stp>
        <tr r="U1563" s="5"/>
      </tp>
      <tp t="s">
        <v>Invalid Market: 57179020M17</v>
        <stp/>
        <stp>57179020M17:Settle</stp>
        <tr r="U1564" s="5"/>
      </tp>
      <tp>
        <v>1.2250000000000001</v>
        <stp/>
        <stp>57179020M14:Settle</stp>
        <tr r="U1561" s="5"/>
      </tp>
      <tp>
        <v>1.214</v>
        <stp/>
        <stp>57179020M15:Settle</stp>
        <tr r="U1562" s="5"/>
      </tp>
      <tp>
        <v>1.2210000000000001</v>
        <stp/>
        <stp>57179020M12:Settle</stp>
        <tr r="U1559" s="5"/>
      </tp>
      <tp>
        <v>1.22</v>
        <stp/>
        <stp>57179020M13:Settle</stp>
        <tr r="U1560" s="5"/>
      </tp>
      <tp>
        <v>1.216</v>
        <stp/>
        <stp>57179020M10:Settle</stp>
        <tr r="U1557" s="5"/>
      </tp>
      <tp>
        <v>1.218</v>
        <stp/>
        <stp>57179020M11:Settle</stp>
        <tr r="U1558" s="5"/>
      </tp>
      <tp>
        <v>12.5</v>
        <stp/>
        <stp>266419M20:Settle</stp>
        <tr r="U979" s="5"/>
      </tp>
      <tp>
        <v>12.5</v>
        <stp/>
        <stp>266419M21:Settle</stp>
        <tr r="U980" s="5"/>
      </tp>
      <tp>
        <v>13</v>
        <stp/>
        <stp>266419M22:Settle</stp>
        <tr r="U981" s="5"/>
      </tp>
      <tp>
        <v>13</v>
        <stp/>
        <stp>266419M23:Settle</stp>
        <tr r="U982" s="5"/>
      </tp>
      <tp>
        <v>13</v>
        <stp/>
        <stp>266419M24:Settle</stp>
        <tr r="U983" s="5"/>
      </tp>
      <tp>
        <v>12</v>
        <stp/>
        <stp>266419M10:Settle</stp>
        <tr r="U969" s="5"/>
      </tp>
      <tp>
        <v>12</v>
        <stp/>
        <stp>266419M11:Settle</stp>
        <tr r="U970" s="5"/>
      </tp>
      <tp>
        <v>12</v>
        <stp/>
        <stp>266419M12:Settle</stp>
        <tr r="U971" s="5"/>
      </tp>
      <tp>
        <v>12</v>
        <stp/>
        <stp>266419M13:Settle</stp>
        <tr r="U972" s="5"/>
      </tp>
      <tp>
        <v>12.25</v>
        <stp/>
        <stp>266419M14:Settle</stp>
        <tr r="U973" s="5"/>
      </tp>
      <tp>
        <v>12.5</v>
        <stp/>
        <stp>266419M15:Settle</stp>
        <tr r="U974" s="5"/>
      </tp>
      <tp>
        <v>11.75</v>
        <stp/>
        <stp>266419M16:Settle</stp>
        <tr r="U975" s="5"/>
      </tp>
      <tp>
        <v>12.75</v>
        <stp/>
        <stp>266419M17:Settle</stp>
        <tr r="U976" s="5"/>
      </tp>
      <tp>
        <v>12.75</v>
        <stp/>
        <stp>266419M18:Settle</stp>
        <tr r="U977" s="5"/>
      </tp>
      <tp>
        <v>12.5</v>
        <stp/>
        <stp>266419M19:Settle</stp>
        <tr r="U978" s="5"/>
      </tp>
      <tp t="s">
        <v>Apr27</v>
        <stp/>
        <stp>34364094M7:Strip</stp>
        <tr r="E525" s="5"/>
      </tp>
      <tp t="s">
        <v>Apr27</v>
        <stp/>
        <stp>34374095M7:Strip</stp>
        <tr r="E563" s="5"/>
      </tp>
      <tp t="s">
        <v>Q3 28</v>
        <stp/>
        <stp>34364094Q7:Strip</stp>
        <tr r="E550" s="5"/>
      </tp>
      <tp t="s">
        <v>Q3 28</v>
        <stp/>
        <stp>34374095Q7:Strip</stp>
        <tr r="E588" s="5"/>
      </tp>
      <tp t="s">
        <v>Apr27</v>
        <stp/>
        <stp>34344092M7:Strip</stp>
        <tr r="E1270" s="5"/>
      </tp>
      <tp t="s">
        <v>Apr27</v>
        <stp/>
        <stp>34354093M7:Strip</stp>
        <tr r="E1308" s="5"/>
      </tp>
      <tp t="s">
        <v>Q3 28</v>
        <stp/>
        <stp>34344092Q7:Strip</stp>
        <tr r="E1295" s="5"/>
      </tp>
      <tp t="s">
        <v>Q3 28</v>
        <stp/>
        <stp>34354093Q7:Strip</stp>
        <tr r="E1333" s="5"/>
      </tp>
      <tp t="s">
        <v>Sep26/Nov26</v>
        <stp/>
        <stp>161913535MM1:Strip</stp>
        <tr r="E2028" s="5"/>
      </tp>
      <tp t="s">
        <v>Q1 27/Q2 27</v>
        <stp/>
        <stp>161913535QQ1:Strip</stp>
        <tr r="E2056" s="5"/>
      </tp>
      <tp>
        <v>1.86</v>
        <stp/>
        <stp>DBI1227MM23:BstHitPrc</stp>
        <tr r="G1674" s="5"/>
      </tp>
      <tp>
        <v>12.68</v>
        <stp/>
        <stp>DBI1227MM13:BstHitPrc</stp>
        <tr r="G1664" s="5"/>
      </tp>
      <tp t="s">
        <v>Feb27</v>
        <stp/>
        <stp>30793693M5:Strip</stp>
        <tr r="E888" s="5"/>
      </tp>
      <tp t="s">
        <v>Q1 28</v>
        <stp/>
        <stp>30793693Q5:Strip</stp>
        <tr r="E913" s="5"/>
      </tp>
      <tp t="s">
        <v>May27</v>
        <stp/>
        <stp>32623993M8:Strip</stp>
        <tr r="E1998" s="5"/>
      </tp>
      <tp t="s">
        <v>Q4 28</v>
        <stp/>
        <stp>32623993Q8:Strip</stp>
        <tr r="E2023" s="5"/>
      </tp>
      <tp t="s">
        <v>May27</v>
        <stp/>
        <stp>32613992M8:Strip</stp>
        <tr r="E1233" s="5"/>
      </tp>
      <tp t="s">
        <v>Q4 28</v>
        <stp/>
        <stp>32613992Q8:Strip</stp>
        <tr r="E1258" s="5"/>
      </tp>
      <tp t="s">
        <v>Q4 28</v>
        <stp/>
        <stp>2755728678Q8:Strip</stp>
        <tr r="E1144" s="5"/>
      </tp>
      <tp t="s">
        <v>May27</v>
        <stp/>
        <stp>2755728678M8:Strip</stp>
        <tr r="E1119" s="5"/>
      </tp>
      <tp t="s">
        <v>Sep14-Sep18 (Dec)</v>
        <stp/>
        <stp>17551596T1:Strip</stp>
        <tr r="E1538" s="5"/>
      </tp>
      <tp t="s">
        <v>Apr27</v>
        <stp/>
        <stp>34404098M7:Strip</stp>
        <tr r="E601" s="5"/>
      </tp>
      <tp t="s">
        <v>Apr27</v>
        <stp/>
        <stp>34414099M7:Strip</stp>
        <tr r="E86" s="5"/>
      </tp>
      <tp t="s">
        <v>Q3 28</v>
        <stp/>
        <stp>34404098Q7:Strip</stp>
        <tr r="E626" s="5"/>
      </tp>
      <tp t="s">
        <v>Q3 28</v>
        <stp/>
        <stp>34414099Q7:Strip</stp>
        <tr r="E111" s="5"/>
      </tp>
      <tp t="s">
        <v>Sep26</v>
        <stp/>
        <stp>16331513M0:Strip</stp>
        <tr r="E1415" s="5"/>
      </tp>
      <tp t="s">
        <v>Sep26</v>
        <stp/>
        <stp>16341514M0:Strip</stp>
        <tr r="E1453" s="5"/>
      </tp>
      <tp t="s">
        <v>Sep26</v>
        <stp/>
        <stp>16351515M0:Strip</stp>
        <tr r="E1491" s="5"/>
      </tp>
      <tp t="s">
        <v>Q4 26</v>
        <stp/>
        <stp>16331513Q0:Strip</stp>
        <tr r="E1440" s="5"/>
      </tp>
      <tp t="s">
        <v>Q4 26</v>
        <stp/>
        <stp>16341514Q0:Strip</stp>
        <tr r="E1478" s="5"/>
      </tp>
      <tp t="s">
        <v>Q4 26</v>
        <stp/>
        <stp>16351515Q0:Strip</stp>
        <tr r="E1516" s="5"/>
      </tp>
      <tp t="s">
        <v>Cal 27</v>
        <stp/>
        <stp>16331513Y0:Strip</stp>
        <tr r="E1449" s="5"/>
      </tp>
      <tp t="s">
        <v>Cal 27</v>
        <stp/>
        <stp>16341514Y0:Strip</stp>
        <tr r="E1487" s="5"/>
      </tp>
      <tp t="s">
        <v>Cal 27</v>
        <stp/>
        <stp>16351515Y0:Strip</stp>
        <tr r="E1525" s="5"/>
      </tp>
      <tp t="s">
        <v/>
        <stp/>
        <stp>DBI1227MM13:LstBlkPrc</stp>
        <tr r="K1664" s="5"/>
      </tp>
      <tp>
        <v>1.87</v>
        <stp/>
        <stp>DBI1227MM23:LstBlkPrc</stp>
        <tr r="K1674" s="5"/>
      </tp>
      <tp t="s">
        <v>Q4 28</v>
        <stp/>
        <stp>2755828679Q8:Strip</stp>
        <tr r="E1030" s="5"/>
      </tp>
      <tp t="s">
        <v>May27</v>
        <stp/>
        <stp>2755828679M8:Strip</stp>
        <tr r="E1005" s="5"/>
      </tp>
      <tp t="s">
        <v>Jan27</v>
        <stp/>
        <stp>57179020M4:Strip</stp>
        <tr r="E1551" s="5"/>
      </tp>
      <tp t="s">
        <v>Q4 27</v>
        <stp/>
        <stp>57179020Q4:Strip</stp>
        <tr r="E1576" s="5"/>
      </tp>
      <tp t="s">
        <v>Oct19-Oct23 (Dec)</v>
        <stp/>
        <stp>15141311T5:Strip</stp>
        <tr r="E1533" s="5"/>
      </tp>
      <tp t="s">
        <v>Feb27</v>
        <stp/>
        <stp>15091310M5:Strip</stp>
        <tr r="E1382" s="5"/>
      </tp>
      <tp t="s">
        <v>Q1 28</v>
        <stp/>
        <stp>15091310Q5:Strip</stp>
        <tr r="E1407" s="5"/>
      </tp>
      <tp t="s">
        <v>Apr27</v>
        <stp/>
        <stp>35534143M7:Strip</stp>
        <tr r="E715" s="5"/>
      </tp>
      <tp t="s">
        <v>Apr27</v>
        <stp/>
        <stp>35544144M7:Strip</stp>
        <tr r="E639" s="5"/>
      </tp>
      <tp t="s">
        <v>Apr27</v>
        <stp/>
        <stp>35554145M7:Strip</stp>
        <tr r="E677" s="5"/>
      </tp>
      <tp t="s">
        <v>Feb27</v>
        <stp/>
        <stp>30813691M5:Strip</stp>
        <tr r="E1958" s="5"/>
      </tp>
      <tp t="s">
        <v>Q1 28</v>
        <stp/>
        <stp>30813691Q5:Strip</stp>
        <tr r="E1983" s="5"/>
      </tp>
      <tp t="s">
        <v>Q3 28</v>
        <stp/>
        <stp>35534143Q7:Strip</stp>
        <tr r="E740" s="5"/>
      </tp>
      <tp t="s">
        <v>Q3 28</v>
        <stp/>
        <stp>35544144Q7:Strip</stp>
        <tr r="E664" s="5"/>
      </tp>
      <tp t="s">
        <v>Q3 28</v>
        <stp/>
        <stp>35554145Q7:Strip</stp>
        <tr r="E702" s="5"/>
      </tp>
      <tp t="s">
        <v>Q3 27</v>
        <stp/>
        <stp>1840020882Q3:Strip</stp>
        <tr r="E1602" s="5"/>
      </tp>
      <tp t="s">
        <v>Dec26</v>
        <stp/>
        <stp>1840020882M3:Strip</stp>
        <tr r="E1585" s="5"/>
      </tp>
      <tp t="s">
        <v>Jan27</v>
        <stp/>
        <stp>57409036M4:Strip</stp>
        <tr r="E235" s="5"/>
      </tp>
      <tp t="s">
        <v>Q4 27</v>
        <stp/>
        <stp>57409036Q4:Strip</stp>
        <tr r="E260" s="5"/>
      </tp>
      <tp t="s">
        <v>Jan27</v>
        <stp/>
        <stp>46678127M4:Strip</stp>
        <tr r="E349" s="5"/>
      </tp>
      <tp t="s">
        <v>Q4 27</v>
        <stp/>
        <stp>46678127Q4:Strip</stp>
        <tr r="E374" s="5"/>
      </tp>
      <tp t="s">
        <v>Dec26/Feb27</v>
        <stp/>
        <stp>366531MM25:Strip</stp>
        <tr r="E1740" s="5"/>
      </tp>
      <tp t="s">
        <v>Oct26/Apr27</v>
        <stp/>
        <stp>366531MM15:Strip</stp>
        <tr r="E1730" s="5"/>
      </tp>
    </main>
    <main first="bofaddin.rtdserver">
      <tp t="s">
        <v>#N/A</v>
        <stp/>
        <stp>BDP|8287419527365166741|222</stp>
        <stp>OQAZ8F9 Comdty</stp>
        <stp>ASK</stp>
        <stp>Fill=#N/A</stp>
        <tr r="T47" s="1"/>
      </tp>
      <tp t="s">
        <v>#N/A</v>
        <stp/>
        <stp>BDP|5583496996437859272|222</stp>
        <stp>MUCZ8F9 Comdty</stp>
        <stp>ASK</stp>
        <stp>Fill=#N/A</stp>
        <tr r="S47" s="1"/>
      </tp>
      <tp t="s">
        <v>#N/A</v>
        <stp/>
        <stp>BDP|1092586883721492370|222</stp>
        <stp>MUCJ7K7 Comdty</stp>
        <stp>ASK</stp>
        <stp>Fill=#N/A</stp>
        <tr r="S27" s="1"/>
      </tp>
    </main>
    <main first="ice.rtd">
      <tp t="s">
        <v/>
        <stp/>
        <stp>2181724590B0:LstPrc</stp>
        <tr r="I1414" s="5"/>
      </tp>
    </main>
    <main first="bofaddin.rtdserver">
      <tp t="s">
        <v>#N/A</v>
        <stp/>
        <stp>BDP|8656547227130896432|222</stp>
        <stp>OQAZ8F9 Comdty</stp>
        <stp>BID</stp>
        <stp>Fill=#N/A</stp>
        <tr r="T47" s="1"/>
      </tp>
      <tp t="s">
        <v>#N/A N/A</v>
        <stp/>
        <stp>BDH|2138581603172756873</stp>
        <tr r="K39" s="16"/>
      </tp>
      <tp t="s">
        <v>#N/A N/A</v>
        <stp/>
        <stp>BDH|8386194550340327137</stp>
        <tr r="AV47" s="1"/>
      </tp>
      <tp t="s">
        <v>#N/A N/A</v>
        <stp/>
        <stp>BDH|4924918627542673037</stp>
        <tr r="J87" s="16"/>
      </tp>
      <tp t="s">
        <v>#N/A N/A</v>
        <stp/>
        <stp>BDH|1484875728525404346</stp>
        <tr r="BB21" s="1"/>
      </tp>
      <tp t="s">
        <v>#N/A N/A</v>
        <stp/>
        <stp>BDH|4972874305486217715</stp>
        <tr r="AV45" s="1"/>
      </tp>
      <tp t="s">
        <v>#N/A N/A</v>
        <stp/>
        <stp>BDH|4509690091236154041</stp>
        <tr r="AW43" s="1"/>
      </tp>
      <tp t="s">
        <v>#N/A N/A</v>
        <stp/>
        <stp>BDH|4707665015946465882</stp>
        <tr r="BA24" s="1"/>
      </tp>
      <tp t="s">
        <v>#N/A Requesting Data...3168770764</v>
        <stp/>
        <stp>BDP|9212829702009270592</stp>
        <tr r="AF200" s="23"/>
      </tp>
      <tp t="s">
        <v>#N/A N/A</v>
        <stp/>
        <stp>BDH|8794294786689620678</stp>
        <tr r="AY62" s="1"/>
      </tp>
      <tp t="s">
        <v>#N/A N/A</v>
        <stp/>
        <stp>BDH|6608132427460990827</stp>
        <tr r="M93" s="16"/>
      </tp>
      <tp t="s">
        <v>#N/A N/A</v>
        <stp/>
        <stp>BDH|4043451075603078999</stp>
        <tr r="G77" s="16"/>
      </tp>
      <tp t="s">
        <v>#N/A N/A</v>
        <stp/>
        <stp>BDH|5617863929531699316</stp>
        <tr r="AY24" s="1"/>
      </tp>
      <tp t="s">
        <v>#N/A Requesting Data...3946865114</v>
        <stp/>
        <stp>BDP|1982659799503228082</stp>
        <tr r="K30" s="23"/>
        <tr r="K74" s="23"/>
      </tp>
      <tp t="s">
        <v>#N/A N/A</v>
        <stp/>
        <stp>BDH|4453902239157741456</stp>
        <tr r="BA35" s="1"/>
        <tr r="BA35" s="1"/>
      </tp>
      <tp t="s">
        <v>#N/A Requesting Data...4144804180</v>
        <stp/>
        <stp>BDP|7117776915739846579</stp>
        <tr r="AX16" s="1"/>
      </tp>
      <tp t="s">
        <v>#N/A N/A</v>
        <stp/>
        <stp>BDH|6261805309281480239</stp>
        <tr r="G39" s="16"/>
      </tp>
      <tp t="s">
        <v>#N/A N/A</v>
        <stp/>
        <stp>BDH|8569688011935010704</stp>
        <tr r="AY37" s="1"/>
      </tp>
      <tp t="s">
        <v>#N/A N/A</v>
        <stp/>
        <stp>BDH|5109303986647229499</stp>
        <tr r="I79" s="16"/>
      </tp>
      <tp t="s">
        <v>#N/A N/A</v>
        <stp/>
        <stp>BDH|9018674645064690282</stp>
        <tr r="BC39" s="1"/>
        <tr r="BC39" s="1"/>
      </tp>
      <tp t="s">
        <v>#N/A Requesting Data...3844550611</v>
        <stp/>
        <stp>BDP|7978829333862396366</stp>
        <tr r="AM194" s="23"/>
      </tp>
      <tp t="s">
        <v>#N/A Requesting Data...4258695189</v>
        <stp/>
        <stp>BDP|8109217983848894768</stp>
        <tr r="AF113" s="23"/>
      </tp>
      <tp t="b">
        <v>0</v>
        <stp/>
        <stp>BDH|8655836584773549660</stp>
        <tr r="O22" s="25"/>
        <tr r="O22" s="25"/>
      </tp>
      <tp t="s">
        <v>#N/A N/A</v>
        <stp/>
        <stp>BDH|7356123503039328236</stp>
        <tr r="H86" s="16"/>
      </tp>
      <tp t="s">
        <v>#N/A N/A</v>
        <stp/>
        <stp>BDH|1801208260350273884</stp>
        <tr r="BC49" s="1"/>
      </tp>
      <tp t="s">
        <v>#N/A N/A</v>
        <stp/>
        <stp>BDH|5076935854277272366</stp>
        <tr r="G31" s="16"/>
      </tp>
      <tp t="s">
        <v>#N/A N/A</v>
        <stp/>
        <stp>BDH|4221271485525366631</stp>
        <tr r="BB50" s="1"/>
      </tp>
      <tp t="s">
        <v>#N/A N/A</v>
        <stp/>
        <stp>BDH|9994216668797091702</stp>
        <tr r="AX34" s="1"/>
      </tp>
      <tp t="s">
        <v>#N/A N/A</v>
        <stp/>
        <stp>BDH|2012722571528169725</stp>
        <tr r="L79" s="16"/>
      </tp>
      <tp t="s">
        <v>#N/A N/A</v>
        <stp/>
        <stp>BDH|1383167294096820299</stp>
        <tr r="AY63" s="1"/>
      </tp>
      <tp t="s">
        <v>#N/A N/A</v>
        <stp/>
        <stp>BDH|1552833024200415662</stp>
        <tr r="H87" s="16"/>
      </tp>
      <tp t="s">
        <v>#N/A N/A</v>
        <stp/>
        <stp>BDH|2023298093466873223</stp>
        <tr r="H56" s="16"/>
      </tp>
      <tp t="s">
        <v>#N/A N/A</v>
        <stp/>
        <stp>BDH|6151668925358488769</stp>
        <tr r="AW20" s="1"/>
      </tp>
      <tp t="s">
        <v>#N/A N/A</v>
        <stp/>
        <stp>BDH|6384839895822108846</stp>
        <tr r="BC19" s="1"/>
        <tr r="BC19" s="1"/>
      </tp>
      <tp t="s">
        <v>#N/A N/A</v>
        <stp/>
        <stp>BDH|1084503407011661808</stp>
        <tr r="J64" s="16"/>
      </tp>
    </main>
    <main first="ice.rtd">
      <tp>
        <v>0</v>
        <stp/>
        <stp>2181024583B0:BlkVol</stp>
        <tr r="O1990" s="5"/>
      </tp>
    </main>
    <main first="bofaddin.rtdserver">
      <tp t="s">
        <v>#N/A N/A</v>
        <stp/>
        <stp>BDH|6328387419659799031</stp>
        <tr r="BA30" s="1"/>
        <tr r="BA30" s="1"/>
      </tp>
      <tp t="s">
        <v>#N/A N/A</v>
        <stp/>
        <stp>BDH|1428830376386492537</stp>
        <tr r="BA27" s="1"/>
        <tr r="BA27" s="1"/>
      </tp>
      <tp t="s">
        <v>#N/A N/A</v>
        <stp/>
        <stp>BDH|2154937034364798177</stp>
        <tr r="AV54" s="1"/>
      </tp>
    </main>
    <main first="ice.rtd">
      <tp>
        <v>0</v>
        <stp/>
        <stp>2427026287M6:BlkVol</stp>
        <tr r="O1155" s="5"/>
      </tp>
      <tp>
        <v>0</v>
        <stp/>
        <stp>2427026287M7:BlkVol</stp>
        <tr r="O1156" s="5"/>
      </tp>
      <tp>
        <v>0</v>
        <stp/>
        <stp>2427026287M4:BlkVol</stp>
        <tr r="O1153" s="5"/>
      </tp>
      <tp>
        <v>0</v>
        <stp/>
        <stp>2427026287M5:BlkVol</stp>
        <tr r="O1154" s="5"/>
      </tp>
      <tp>
        <v>0</v>
        <stp/>
        <stp>2427026287M2:BlkVol</stp>
        <tr r="O1151" s="5"/>
      </tp>
      <tp>
        <v>0</v>
        <stp/>
        <stp>2427026287M3:BlkVol</stp>
        <tr r="O1152" s="5"/>
      </tp>
      <tp>
        <v>0</v>
        <stp/>
        <stp>2427026287M0:BlkVol</stp>
        <tr r="O1149" s="5"/>
      </tp>
      <tp>
        <v>224</v>
        <stp/>
        <stp>2427026287M1:BlkVol</stp>
        <tr r="O1150" s="5"/>
      </tp>
      <tp>
        <v>0</v>
        <stp/>
        <stp>2427026287M8:BlkVol</stp>
        <tr r="O1157" s="5"/>
      </tp>
      <tp>
        <v>0</v>
        <stp/>
        <stp>2427026287M9:BlkVol</stp>
        <tr r="O1158" s="5"/>
      </tp>
      <tp>
        <v>0</v>
        <stp/>
        <stp>2324925610B0:BlkVol</stp>
        <tr r="O882" s="5"/>
      </tp>
    </main>
    <main first="bofaddin.rtdserver">
      <tp t="s">
        <v>#N/A N/A</v>
        <stp/>
        <stp>BDH|9390744750437927198</stp>
        <tr r="AW34" s="1"/>
      </tp>
    </main>
    <main first="ice.rtd">
      <tp>
        <v>0</v>
        <stp/>
        <stp>2427026287Y2:BlkVol</stp>
        <tr r="O1185" s="5"/>
      </tp>
      <tp>
        <v>0</v>
        <stp/>
        <stp>2427026287Y0:BlkVol</stp>
        <tr r="O1183" s="5"/>
      </tp>
      <tp>
        <v>0</v>
        <stp/>
        <stp>2427026287Y1:BlkVol</stp>
        <tr r="O1184" s="5"/>
      </tp>
    </main>
    <main first="ice.rtd">
      <tp>
        <v>0</v>
        <stp/>
        <stp>2427026287Q6:BlkVol</stp>
        <tr r="O1180" s="5"/>
      </tp>
      <tp>
        <v>0</v>
        <stp/>
        <stp>2427026287Q7:BlkVol</stp>
        <tr r="O1181" s="5"/>
      </tp>
      <tp>
        <v>0</v>
        <stp/>
        <stp>2427026287Q4:BlkVol</stp>
        <tr r="O1178" s="5"/>
      </tp>
      <tp>
        <v>0</v>
        <stp/>
        <stp>2427026287Q5:BlkVol</stp>
        <tr r="O1179" s="5"/>
      </tp>
      <tp>
        <v>0</v>
        <stp/>
        <stp>2427026287Q2:BlkVol</stp>
        <tr r="O1176" s="5"/>
      </tp>
      <tp>
        <v>0</v>
        <stp/>
        <stp>2427026287Q3:BlkVol</stp>
        <tr r="O1177" s="5"/>
      </tp>
      <tp>
        <v>0</v>
        <stp/>
        <stp>2427026287Q0:BlkVol</stp>
        <tr r="O1174" s="5"/>
      </tp>
      <tp>
        <v>0</v>
        <stp/>
        <stp>2427026287Q1:BlkVol</stp>
        <tr r="O1175" s="5"/>
      </tp>
      <tp>
        <v>0</v>
        <stp/>
        <stp>2427026287Q8:BlkVol</stp>
        <tr r="O1182" s="5"/>
      </tp>
    </main>
    <main first="bofaddin.rtdserver">
      <tp t="s">
        <v>#N/A Requesting Data...4272206758</v>
        <stp/>
        <stp>BDP|9287529631643037154</stp>
        <tr r="H6" s="18"/>
      </tp>
    </main>
    <main first="ice.rtd">
      <tp>
        <v>0</v>
        <stp/>
        <stp>2888129698B0:BlkVol</stp>
        <tr r="O1110" s="5"/>
      </tp>
    </main>
    <main first="bofaddin.rtdserver">
      <tp t="s">
        <v>#N/A N/A</v>
        <stp/>
        <stp>BDH|5358756686026503118</stp>
        <tr r="J46" s="14"/>
      </tp>
      <tp t="s">
        <v>#N/A N/A</v>
        <stp/>
        <stp>BDH|3922206047630945826</stp>
        <tr r="J77" s="16"/>
      </tp>
      <tp t="s">
        <v>#N/A N/A</v>
        <stp/>
        <stp>BDH|7556589678959962193</stp>
        <tr r="K88" s="16"/>
      </tp>
      <tp t="s">
        <v>#N/A N/A</v>
        <stp/>
        <stp>BDH|8005573414031222042</stp>
        <tr r="AV45" s="1"/>
      </tp>
      <tp t="s">
        <v>#N/A N/A</v>
        <stp/>
        <stp>BDH|8573152255217264623</stp>
        <tr r="AX53" s="1"/>
      </tp>
      <tp t="s">
        <v>#N/A N/A</v>
        <stp/>
        <stp>BDH|7303606343258382062</stp>
        <tr r="AV59" s="1"/>
      </tp>
      <tp t="s">
        <v>#N/A</v>
        <stp/>
        <stp>BDP|13333775350570921178|222</stp>
        <stp>XBZ9 Comdty</stp>
        <stp>ASK</stp>
        <stp>Fill=#N/A</stp>
        <tr r="J58" s="1"/>
      </tp>
    </main>
    <main first="ice.rtd">
      <tp t="s">
        <v>Invalid Market: 18871685Y2</v>
        <stp/>
        <stp>18871685Y2:Vol</stp>
        <tr r="N457" s="5"/>
      </tp>
      <tp>
        <v>0</v>
        <stp/>
        <stp>18871685Y1:Vol</stp>
        <tr r="N456" s="5"/>
      </tp>
      <tp>
        <v>0</v>
        <stp/>
        <stp>18871685Y0:Vol</stp>
        <tr r="N455" s="5"/>
      </tp>
    </main>
    <main first="bofaddin.rtdserver">
      <tp>
        <v>327.75</v>
        <stp/>
        <stp>BDP|16276776915110886211|222</stp>
        <stp>HOZ7 Comdty</stp>
        <stp>ASK</stp>
        <stp>Fill=#N/A</stp>
        <tr r="I34" s="1"/>
      </tp>
      <tp>
        <v>72.260000000000005</v>
        <stp/>
        <stp>BDP|14872802750961708467|222</stp>
        <stp>CLX7 Comdty</stp>
        <stp>ASK</stp>
        <stp>Fill=#N/A</stp>
        <tr r="F33" s="1"/>
      </tp>
    </main>
    <main first="ice.rtd">
      <tp>
        <v>0</v>
        <stp/>
        <stp>34364094Y1:Vol</stp>
        <tr r="N553" s="5"/>
      </tp>
      <tp>
        <v>0</v>
        <stp/>
        <stp>34374095Y1:Vol</stp>
        <tr r="N591" s="5"/>
      </tp>
      <tp>
        <v>0</v>
        <stp/>
        <stp>34364094Y0:Vol</stp>
        <tr r="N552" s="5"/>
      </tp>
      <tp>
        <v>0</v>
        <stp/>
        <stp>34374095Y0:Vol</stp>
        <tr r="N590" s="5"/>
      </tp>
      <tp>
        <v>0</v>
        <stp/>
        <stp>34364094Y2:Vol</stp>
        <tr r="N554" s="5"/>
      </tp>
      <tp>
        <v>0</v>
        <stp/>
        <stp>34374095Y2:Vol</stp>
        <tr r="N592" s="5"/>
      </tp>
      <tp>
        <v>0</v>
        <stp/>
        <stp>46678127Y1:BlkVol</stp>
        <tr r="O380" s="5"/>
      </tp>
      <tp>
        <v>0</v>
        <stp/>
        <stp>46678127Y0:BlkVol</stp>
        <tr r="O379" s="5"/>
      </tp>
      <tp t="s">
        <v>Invalid Market: 46678127Y2</v>
        <stp/>
        <stp>46678127Y2:BlkVol</stp>
        <tr r="O381" s="5"/>
      </tp>
      <tp>
        <v>0</v>
        <stp/>
        <stp>46678127Q8:BlkVol</stp>
        <tr r="O378" s="5"/>
      </tp>
      <tp>
        <v>0</v>
        <stp/>
        <stp>46678127Q5:BlkVol</stp>
        <tr r="O375" s="5"/>
      </tp>
      <tp>
        <v>0</v>
        <stp/>
        <stp>46678127Q4:BlkVol</stp>
        <tr r="O374" s="5"/>
      </tp>
      <tp>
        <v>0</v>
        <stp/>
        <stp>46678127Q7:BlkVol</stp>
        <tr r="O377" s="5"/>
      </tp>
      <tp>
        <v>0</v>
        <stp/>
        <stp>46678127Q6:BlkVol</stp>
        <tr r="O376" s="5"/>
      </tp>
      <tp>
        <v>60</v>
        <stp/>
        <stp>46678127Q1:BlkVol</stp>
        <tr r="O371" s="5"/>
      </tp>
      <tp>
        <v>60</v>
        <stp/>
        <stp>46678127Q0:BlkVol</stp>
        <tr r="O370" s="5"/>
      </tp>
      <tp>
        <v>50</v>
        <stp/>
        <stp>46678127Q3:BlkVol</stp>
        <tr r="O373" s="5"/>
      </tp>
      <tp>
        <v>75</v>
        <stp/>
        <stp>46678127Q2:BlkVol</stp>
        <tr r="O372" s="5"/>
      </tp>
      <tp>
        <v>75</v>
        <stp/>
        <stp>46678127M9:BlkVol</stp>
        <tr r="O354" s="5"/>
      </tp>
      <tp>
        <v>75</v>
        <stp/>
        <stp>46678127M8:BlkVol</stp>
        <tr r="O353" s="5"/>
      </tp>
      <tp>
        <v>60</v>
        <stp/>
        <stp>46678127M5:BlkVol</stp>
        <tr r="O350" s="5"/>
      </tp>
      <tp>
        <v>85</v>
        <stp/>
        <stp>46678127M4:BlkVol</stp>
        <tr r="O349" s="5"/>
      </tp>
      <tp>
        <v>100</v>
        <stp/>
        <stp>46678127M7:BlkVol</stp>
        <tr r="O352" s="5"/>
      </tp>
      <tp>
        <v>60</v>
        <stp/>
        <stp>46678127M6:BlkVol</stp>
        <tr r="O351" s="5"/>
      </tp>
      <tp>
        <v>1117</v>
        <stp/>
        <stp>46678127M1:BlkVol</stp>
        <tr r="O346" s="5"/>
      </tp>
      <tp>
        <v>0</v>
        <stp/>
        <stp>46678127M0:BlkVol</stp>
        <tr r="O345" s="5"/>
      </tp>
      <tp>
        <v>60</v>
        <stp/>
        <stp>46678127M3:BlkVol</stp>
        <tr r="O348" s="5"/>
      </tp>
      <tp>
        <v>355</v>
        <stp/>
        <stp>46678127M2:BlkVol</stp>
        <tr r="O347" s="5"/>
      </tp>
      <tp>
        <v>0</v>
        <stp/>
        <stp>18871685Q3:Vol</stp>
        <tr r="N449" s="5"/>
      </tp>
      <tp>
        <v>0</v>
        <stp/>
        <stp>18871685Q2:Vol</stp>
        <tr r="N448" s="5"/>
      </tp>
      <tp>
        <v>0</v>
        <stp/>
        <stp>18871685Q1:Vol</stp>
        <tr r="N447" s="5"/>
      </tp>
      <tp>
        <v>0</v>
        <stp/>
        <stp>18871685Q0:Vol</stp>
        <tr r="N446" s="5"/>
      </tp>
      <tp>
        <v>0</v>
        <stp/>
        <stp>18871685Q7:Vol</stp>
        <tr r="N453" s="5"/>
      </tp>
      <tp>
        <v>0</v>
        <stp/>
        <stp>18871685Q6:Vol</stp>
        <tr r="N452" s="5"/>
      </tp>
      <tp>
        <v>0</v>
        <stp/>
        <stp>18871685Q5:Vol</stp>
        <tr r="N451" s="5"/>
      </tp>
      <tp>
        <v>0</v>
        <stp/>
        <stp>18871685Q4:Vol</stp>
        <tr r="N450" s="5"/>
      </tp>
      <tp>
        <v>0</v>
        <stp/>
        <stp>18871685Q8:Vol</stp>
        <tr r="N454" s="5"/>
      </tp>
      <tp>
        <v>0</v>
        <stp/>
        <stp>34364094Q8:Vol</stp>
        <tr r="N551" s="5"/>
      </tp>
      <tp>
        <v>0</v>
        <stp/>
        <stp>34374095Q8:Vol</stp>
        <tr r="N589" s="5"/>
      </tp>
      <tp>
        <v>0</v>
        <stp/>
        <stp>34364094Q1:Vol</stp>
        <tr r="N544" s="5"/>
      </tp>
      <tp>
        <v>0</v>
        <stp/>
        <stp>34374095Q1:Vol</stp>
        <tr r="N582" s="5"/>
      </tp>
      <tp>
        <v>0</v>
        <stp/>
        <stp>34364094Q0:Vol</stp>
        <tr r="N543" s="5"/>
      </tp>
      <tp>
        <v>0</v>
        <stp/>
        <stp>34374095Q0:Vol</stp>
        <tr r="N581" s="5"/>
      </tp>
      <tp>
        <v>0</v>
        <stp/>
        <stp>34364094Q3:Vol</stp>
        <tr r="N546" s="5"/>
      </tp>
      <tp>
        <v>0</v>
        <stp/>
        <stp>34374095Q3:Vol</stp>
        <tr r="N584" s="5"/>
      </tp>
      <tp>
        <v>0</v>
        <stp/>
        <stp>34364094Q2:Vol</stp>
        <tr r="N545" s="5"/>
      </tp>
      <tp>
        <v>0</v>
        <stp/>
        <stp>34374095Q2:Vol</stp>
        <tr r="N583" s="5"/>
      </tp>
      <tp>
        <v>0</v>
        <stp/>
        <stp>34364094Q5:Vol</stp>
        <tr r="N548" s="5"/>
      </tp>
      <tp>
        <v>0</v>
        <stp/>
        <stp>34374095Q5:Vol</stp>
        <tr r="N586" s="5"/>
      </tp>
      <tp>
        <v>0</v>
        <stp/>
        <stp>34364094Q4:Vol</stp>
        <tr r="N547" s="5"/>
      </tp>
      <tp>
        <v>0</v>
        <stp/>
        <stp>34374095Q4:Vol</stp>
        <tr r="N585" s="5"/>
      </tp>
      <tp>
        <v>0</v>
        <stp/>
        <stp>34364094Q7:Vol</stp>
        <tr r="N550" s="5"/>
      </tp>
      <tp>
        <v>0</v>
        <stp/>
        <stp>34374095Q7:Vol</stp>
        <tr r="N588" s="5"/>
      </tp>
      <tp>
        <v>0</v>
        <stp/>
        <stp>34364094Q6:Vol</stp>
        <tr r="N549" s="5"/>
      </tp>
      <tp>
        <v>0</v>
        <stp/>
        <stp>34374095Q6:Vol</stp>
        <tr r="N587" s="5"/>
      </tp>
    </main>
    <main first="ice.rtd">
      <tp t="s">
        <v/>
        <stp/>
        <stp>29243602M8:LstPrc</stp>
        <tr r="I754" s="5"/>
      </tp>
      <tp t="s">
        <v/>
        <stp/>
        <stp>29243602M9:LstPrc</stp>
        <tr r="I755" s="5"/>
      </tp>
      <tp t="s">
        <v/>
        <stp/>
        <stp>29243602M2:LstPrc</stp>
        <tr r="I748" s="5"/>
      </tp>
      <tp t="s">
        <v/>
        <stp/>
        <stp>29243602M3:LstPrc</stp>
        <tr r="I749" s="5"/>
      </tp>
      <tp t="s">
        <v/>
        <stp/>
        <stp>29243602M0:LstPrc</stp>
        <tr r="I746" s="5"/>
      </tp>
      <tp t="s">
        <v/>
        <stp/>
        <stp>29243602M1:LstPrc</stp>
        <tr r="I747" s="5"/>
      </tp>
      <tp t="s">
        <v/>
        <stp/>
        <stp>29243602M6:LstPrc</stp>
        <tr r="I752" s="5"/>
      </tp>
      <tp t="s">
        <v/>
        <stp/>
        <stp>29243602M7:LstPrc</stp>
        <tr r="I753" s="5"/>
      </tp>
      <tp t="s">
        <v/>
        <stp/>
        <stp>29243602M4:LstPrc</stp>
        <tr r="I750" s="5"/>
      </tp>
      <tp t="s">
        <v/>
        <stp/>
        <stp>29243602M5:LstPrc</stp>
        <tr r="I751" s="5"/>
      </tp>
      <tp>
        <v>0</v>
        <stp/>
        <stp>34364094M9:Vol</stp>
        <tr r="N527" s="5"/>
      </tp>
      <tp>
        <v>0</v>
        <stp/>
        <stp>34374095M9:Vol</stp>
        <tr r="N565" s="5"/>
      </tp>
      <tp>
        <v>0</v>
        <stp/>
        <stp>34364094M8:Vol</stp>
        <tr r="N526" s="5"/>
      </tp>
      <tp>
        <v>0</v>
        <stp/>
        <stp>34374095M8:Vol</stp>
        <tr r="N564" s="5"/>
      </tp>
      <tp t="s">
        <v/>
        <stp/>
        <stp>29243602Q2:LstPrc</stp>
        <tr r="I764" s="5"/>
      </tp>
      <tp t="s">
        <v/>
        <stp/>
        <stp>29243602Q3:LstPrc</stp>
        <tr r="I765" s="5"/>
      </tp>
      <tp t="s">
        <v/>
        <stp/>
        <stp>29243602Q0:LstPrc</stp>
        <tr r="I762" s="5"/>
      </tp>
      <tp t="s">
        <v/>
        <stp/>
        <stp>29243602Q1:LstPrc</stp>
        <tr r="I763" s="5"/>
      </tp>
      <tp t="s">
        <v/>
        <stp/>
        <stp>29243602Q4:LstPrc</stp>
        <tr r="I766" s="5"/>
      </tp>
      <tp>
        <v>0</v>
        <stp/>
        <stp>34364094M1:Vol</stp>
        <tr r="N519" s="5"/>
      </tp>
      <tp>
        <v>0</v>
        <stp/>
        <stp>34374095M1:Vol</stp>
        <tr r="N557" s="5"/>
      </tp>
      <tp>
        <v>0</v>
        <stp/>
        <stp>34364094M0:Vol</stp>
        <tr r="N518" s="5"/>
      </tp>
      <tp>
        <v>0</v>
        <stp/>
        <stp>34374095M0:Vol</stp>
        <tr r="N556" s="5"/>
      </tp>
      <tp>
        <v>0</v>
        <stp/>
        <stp>34364094M3:Vol</stp>
        <tr r="N521" s="5"/>
      </tp>
      <tp>
        <v>0</v>
        <stp/>
        <stp>34374095M3:Vol</stp>
        <tr r="N559" s="5"/>
      </tp>
      <tp>
        <v>0</v>
        <stp/>
        <stp>34364094M2:Vol</stp>
        <tr r="N520" s="5"/>
      </tp>
      <tp>
        <v>0</v>
        <stp/>
        <stp>34374095M2:Vol</stp>
        <tr r="N558" s="5"/>
      </tp>
      <tp>
        <v>0</v>
        <stp/>
        <stp>34364094M5:Vol</stp>
        <tr r="N523" s="5"/>
      </tp>
      <tp>
        <v>0</v>
        <stp/>
        <stp>34374095M5:Vol</stp>
        <tr r="N561" s="5"/>
      </tp>
      <tp>
        <v>0</v>
        <stp/>
        <stp>34364094M4:Vol</stp>
        <tr r="N522" s="5"/>
      </tp>
      <tp>
        <v>0</v>
        <stp/>
        <stp>34374095M4:Vol</stp>
        <tr r="N560" s="5"/>
      </tp>
      <tp>
        <v>0</v>
        <stp/>
        <stp>34364094M7:Vol</stp>
        <tr r="N525" s="5"/>
      </tp>
      <tp>
        <v>0</v>
        <stp/>
        <stp>34374095M7:Vol</stp>
        <tr r="N563" s="5"/>
      </tp>
      <tp>
        <v>0</v>
        <stp/>
        <stp>34364094M6:Vol</stp>
        <tr r="N524" s="5"/>
      </tp>
      <tp>
        <v>0</v>
        <stp/>
        <stp>34374095M6:Vol</stp>
        <tr r="N562" s="5"/>
      </tp>
      <tp t="s">
        <v/>
        <stp/>
        <stp>29243602Y0:LstPrc</stp>
        <tr r="I767" s="5"/>
      </tp>
      <tp t="s">
        <v/>
        <stp/>
        <stp>16331513M6:LstPrc</stp>
        <tr r="I1421" s="5"/>
      </tp>
      <tp t="s">
        <v/>
        <stp/>
        <stp>16341514M6:LstPrc</stp>
        <tr r="I1459" s="5"/>
      </tp>
      <tp t="s">
        <v/>
        <stp/>
        <stp>16351515M6:LstPrc</stp>
        <tr r="I1497" s="5"/>
      </tp>
      <tp t="s">
        <v/>
        <stp/>
        <stp>16331513M7:LstPrc</stp>
        <tr r="I1422" s="5"/>
      </tp>
      <tp t="s">
        <v/>
        <stp/>
        <stp>16341514M7:LstPrc</stp>
        <tr r="I1460" s="5"/>
      </tp>
      <tp t="s">
        <v/>
        <stp/>
        <stp>16351515M7:LstPrc</stp>
        <tr r="I1498" s="5"/>
      </tp>
      <tp t="s">
        <v/>
        <stp/>
        <stp>16331513M4:LstPrc</stp>
        <tr r="I1419" s="5"/>
      </tp>
      <tp t="s">
        <v/>
        <stp/>
        <stp>16341514M4:LstPrc</stp>
        <tr r="I1457" s="5"/>
      </tp>
      <tp t="s">
        <v/>
        <stp/>
        <stp>16351515M4:LstPrc</stp>
        <tr r="I1495" s="5"/>
      </tp>
      <tp t="s">
        <v/>
        <stp/>
        <stp>16331513M5:LstPrc</stp>
        <tr r="I1420" s="5"/>
      </tp>
      <tp t="s">
        <v/>
        <stp/>
        <stp>16341514M5:LstPrc</stp>
        <tr r="I1458" s="5"/>
      </tp>
      <tp t="s">
        <v/>
        <stp/>
        <stp>16351515M5:LstPrc</stp>
        <tr r="I1496" s="5"/>
      </tp>
      <tp t="s">
        <v/>
        <stp/>
        <stp>16331513M2:LstPrc</stp>
        <tr r="I1417" s="5"/>
      </tp>
      <tp t="s">
        <v/>
        <stp/>
        <stp>16341514M2:LstPrc</stp>
        <tr r="I1455" s="5"/>
      </tp>
      <tp t="s">
        <v/>
        <stp/>
        <stp>16351515M2:LstPrc</stp>
        <tr r="I1493" s="5"/>
      </tp>
      <tp t="s">
        <v/>
        <stp/>
        <stp>16331513M3:LstPrc</stp>
        <tr r="I1418" s="5"/>
      </tp>
      <tp t="s">
        <v/>
        <stp/>
        <stp>16341514M3:LstPrc</stp>
        <tr r="I1456" s="5"/>
      </tp>
      <tp t="s">
        <v/>
        <stp/>
        <stp>16351515M3:LstPrc</stp>
        <tr r="I1494" s="5"/>
      </tp>
      <tp t="s">
        <v/>
        <stp/>
        <stp>16331513M0:LstPrc</stp>
        <tr r="I1415" s="5"/>
      </tp>
      <tp t="s">
        <v/>
        <stp/>
        <stp>16341514M0:LstPrc</stp>
        <tr r="I1453" s="5"/>
      </tp>
      <tp t="s">
        <v/>
        <stp/>
        <stp>16351515M0:LstPrc</stp>
        <tr r="I1491" s="5"/>
      </tp>
      <tp t="s">
        <v/>
        <stp/>
        <stp>16331513M1:LstPrc</stp>
        <tr r="I1416" s="5"/>
      </tp>
      <tp t="s">
        <v/>
        <stp/>
        <stp>16341514M1:LstPrc</stp>
        <tr r="I1454" s="5"/>
      </tp>
      <tp t="s">
        <v/>
        <stp/>
        <stp>16351515M1:LstPrc</stp>
        <tr r="I1492" s="5"/>
      </tp>
      <tp t="s">
        <v/>
        <stp/>
        <stp>16331513M8:LstPrc</stp>
        <tr r="I1423" s="5"/>
      </tp>
      <tp t="s">
        <v/>
        <stp/>
        <stp>16341514M8:LstPrc</stp>
        <tr r="I1461" s="5"/>
      </tp>
      <tp t="s">
        <v/>
        <stp/>
        <stp>16351515M8:LstPrc</stp>
        <tr r="I1499" s="5"/>
      </tp>
      <tp t="s">
        <v/>
        <stp/>
        <stp>16331513M9:LstPrc</stp>
        <tr r="I1424" s="5"/>
      </tp>
      <tp t="s">
        <v/>
        <stp/>
        <stp>16341514M9:LstPrc</stp>
        <tr r="I1462" s="5"/>
      </tp>
      <tp t="s">
        <v/>
        <stp/>
        <stp>16351515M9:LstPrc</stp>
        <tr r="I1500" s="5"/>
      </tp>
      <tp t="s">
        <v/>
        <stp/>
        <stp>16331513Q6:LstPrc</stp>
        <tr r="I1446" s="5"/>
      </tp>
      <tp t="s">
        <v/>
        <stp/>
        <stp>16341514Q6:LstPrc</stp>
        <tr r="I1484" s="5"/>
      </tp>
      <tp t="s">
        <v/>
        <stp/>
        <stp>16351515Q6:LstPrc</stp>
        <tr r="I1522" s="5"/>
      </tp>
      <tp t="s">
        <v/>
        <stp/>
        <stp>16331513Q7:LstPrc</stp>
        <tr r="I1447" s="5"/>
      </tp>
      <tp t="s">
        <v/>
        <stp/>
        <stp>16341514Q7:LstPrc</stp>
        <tr r="I1485" s="5"/>
      </tp>
      <tp t="s">
        <v/>
        <stp/>
        <stp>16351515Q7:LstPrc</stp>
        <tr r="I1523" s="5"/>
      </tp>
      <tp t="s">
        <v/>
        <stp/>
        <stp>16331513Q4:LstPrc</stp>
        <tr r="I1444" s="5"/>
      </tp>
      <tp t="s">
        <v/>
        <stp/>
        <stp>16341514Q4:LstPrc</stp>
        <tr r="I1482" s="5"/>
      </tp>
      <tp t="s">
        <v/>
        <stp/>
        <stp>16351515Q4:LstPrc</stp>
        <tr r="I1520" s="5"/>
      </tp>
      <tp t="s">
        <v/>
        <stp/>
        <stp>16331513Q5:LstPrc</stp>
        <tr r="I1445" s="5"/>
      </tp>
      <tp t="s">
        <v/>
        <stp/>
        <stp>16341514Q5:LstPrc</stp>
        <tr r="I1483" s="5"/>
      </tp>
      <tp t="s">
        <v/>
        <stp/>
        <stp>16351515Q5:LstPrc</stp>
        <tr r="I1521" s="5"/>
      </tp>
      <tp t="s">
        <v/>
        <stp/>
        <stp>16331513Q2:LstPrc</stp>
        <tr r="I1442" s="5"/>
      </tp>
      <tp t="s">
        <v/>
        <stp/>
        <stp>16341514Q2:LstPrc</stp>
        <tr r="I1480" s="5"/>
      </tp>
      <tp t="s">
        <v/>
        <stp/>
        <stp>16351515Q2:LstPrc</stp>
        <tr r="I1518" s="5"/>
      </tp>
      <tp t="s">
        <v/>
        <stp/>
        <stp>16331513Q3:LstPrc</stp>
        <tr r="I1443" s="5"/>
      </tp>
      <tp t="s">
        <v/>
        <stp/>
        <stp>16341514Q3:LstPrc</stp>
        <tr r="I1481" s="5"/>
      </tp>
      <tp t="s">
        <v/>
        <stp/>
        <stp>16351515Q3:LstPrc</stp>
        <tr r="I1519" s="5"/>
      </tp>
      <tp t="s">
        <v/>
        <stp/>
        <stp>16331513Q0:LstPrc</stp>
        <tr r="I1440" s="5"/>
      </tp>
      <tp t="s">
        <v/>
        <stp/>
        <stp>16341514Q0:LstPrc</stp>
        <tr r="I1478" s="5"/>
      </tp>
      <tp t="s">
        <v/>
        <stp/>
        <stp>16351515Q0:LstPrc</stp>
        <tr r="I1516" s="5"/>
      </tp>
      <tp t="s">
        <v/>
        <stp/>
        <stp>16331513Q1:LstPrc</stp>
        <tr r="I1441" s="5"/>
      </tp>
      <tp t="s">
        <v/>
        <stp/>
        <stp>16341514Q1:LstPrc</stp>
        <tr r="I1479" s="5"/>
      </tp>
      <tp t="s">
        <v/>
        <stp/>
        <stp>16351515Q1:LstPrc</stp>
        <tr r="I1517" s="5"/>
      </tp>
      <tp t="s">
        <v/>
        <stp/>
        <stp>16331513Q8:LstPrc</stp>
        <tr r="I1448" s="5"/>
      </tp>
      <tp t="s">
        <v/>
        <stp/>
        <stp>16341514Q8:LstPrc</stp>
        <tr r="I1486" s="5"/>
      </tp>
      <tp t="s">
        <v/>
        <stp/>
        <stp>16351515Q8:LstPrc</stp>
        <tr r="I1524" s="5"/>
      </tp>
      <tp t="s">
        <v/>
        <stp/>
        <stp>16331513Y2:LstPrc</stp>
        <tr r="I1451" s="5"/>
      </tp>
      <tp t="s">
        <v/>
        <stp/>
        <stp>16341514Y2:LstPrc</stp>
        <tr r="I1489" s="5"/>
      </tp>
      <tp t="s">
        <v/>
        <stp/>
        <stp>16351515Y2:LstPrc</stp>
        <tr r="I1527" s="5"/>
      </tp>
      <tp t="s">
        <v/>
        <stp/>
        <stp>16331513Y0:LstPrc</stp>
        <tr r="I1449" s="5"/>
      </tp>
      <tp t="s">
        <v/>
        <stp/>
        <stp>16341514Y0:LstPrc</stp>
        <tr r="I1487" s="5"/>
      </tp>
      <tp t="s">
        <v/>
        <stp/>
        <stp>16351515Y0:LstPrc</stp>
        <tr r="I1525" s="5"/>
      </tp>
      <tp t="s">
        <v/>
        <stp/>
        <stp>16331513Y1:LstPrc</stp>
        <tr r="I1450" s="5"/>
      </tp>
      <tp t="s">
        <v/>
        <stp/>
        <stp>16341514Y1:LstPrc</stp>
        <tr r="I1488" s="5"/>
      </tp>
      <tp t="s">
        <v/>
        <stp/>
        <stp>16351515Y1:LstPrc</stp>
        <tr r="I1526" s="5"/>
      </tp>
      <tp>
        <v>0</v>
        <stp/>
        <stp>18871685M3:Vol</stp>
        <tr r="N424" s="5"/>
      </tp>
      <tp>
        <v>0</v>
        <stp/>
        <stp>18871685M2:Vol</stp>
        <tr r="N423" s="5"/>
      </tp>
      <tp>
        <v>0</v>
        <stp/>
        <stp>18871685M1:Vol</stp>
        <tr r="N422" s="5"/>
      </tp>
      <tp>
        <v>0</v>
        <stp/>
        <stp>18871685M0:Vol</stp>
        <tr r="N421" s="5"/>
      </tp>
      <tp>
        <v>0</v>
        <stp/>
        <stp>18871685M7:Vol</stp>
        <tr r="N428" s="5"/>
      </tp>
      <tp>
        <v>0</v>
        <stp/>
        <stp>18871685M6:Vol</stp>
        <tr r="N427" s="5"/>
      </tp>
      <tp>
        <v>0</v>
        <stp/>
        <stp>18871685M5:Vol</stp>
        <tr r="N426" s="5"/>
      </tp>
      <tp>
        <v>0</v>
        <stp/>
        <stp>18871685M4:Vol</stp>
        <tr r="N425" s="5"/>
      </tp>
      <tp>
        <v>0</v>
        <stp/>
        <stp>18871685M9:Vol</stp>
        <tr r="N430" s="5"/>
      </tp>
      <tp>
        <v>0</v>
        <stp/>
        <stp>18871685M8:Vol</stp>
        <tr r="N429" s="5"/>
      </tp>
      <tp>
        <v>42.936300000000003</v>
        <stp/>
        <stp>34344092M17:Settle</stp>
        <tr r="U1280" s="5"/>
      </tp>
      <tp>
        <v>42.936300000000003</v>
        <stp/>
        <stp>34354093M17:Settle</stp>
        <tr r="U1318" s="5"/>
      </tp>
      <tp>
        <v>43.9696</v>
        <stp/>
        <stp>34344092M16:Settle</stp>
        <tr r="U1279" s="5"/>
      </tp>
      <tp>
        <v>43.9696</v>
        <stp/>
        <stp>34354093M16:Settle</stp>
        <tr r="U1317" s="5"/>
      </tp>
      <tp>
        <v>44.964500000000001</v>
        <stp/>
        <stp>34344092M15:Settle</stp>
        <tr r="U1278" s="5"/>
      </tp>
      <tp>
        <v>44.964500000000001</v>
        <stp/>
        <stp>34354093M15:Settle</stp>
        <tr r="U1316" s="5"/>
      </tp>
      <tp>
        <v>46.417300000000004</v>
        <stp/>
        <stp>34344092M14:Settle</stp>
        <tr r="U1277" s="5"/>
      </tp>
      <tp>
        <v>46.417300000000004</v>
        <stp/>
        <stp>34354093M14:Settle</stp>
        <tr r="U1315" s="5"/>
      </tp>
      <tp>
        <v>48.037100000000002</v>
        <stp/>
        <stp>34344092M13:Settle</stp>
        <tr r="U1276" s="5"/>
      </tp>
      <tp>
        <v>48.037100000000002</v>
        <stp/>
        <stp>34354093M13:Settle</stp>
        <tr r="U1314" s="5"/>
      </tp>
      <tp>
        <v>49.441300000000005</v>
        <stp/>
        <stp>34344092M12:Settle</stp>
        <tr r="U1275" s="5"/>
      </tp>
      <tp>
        <v>49.441300000000005</v>
        <stp/>
        <stp>34354093M12:Settle</stp>
        <tr r="U1313" s="5"/>
      </tp>
      <tp>
        <v>50.697500000000005</v>
        <stp/>
        <stp>34344092M11:Settle</stp>
        <tr r="U1274" s="5"/>
      </tp>
      <tp>
        <v>50.697500000000005</v>
        <stp/>
        <stp>34354093M11:Settle</stp>
        <tr r="U1312" s="5"/>
      </tp>
      <tp>
        <v>51.9649</v>
        <stp/>
        <stp>34344092M10:Settle</stp>
        <tr r="U1273" s="5"/>
      </tp>
      <tp>
        <v>51.9649</v>
        <stp/>
        <stp>34354093M10:Settle</stp>
        <tr r="U1311" s="5"/>
      </tp>
      <tp>
        <v>40.600200000000001</v>
        <stp/>
        <stp>34344092M19:Settle</stp>
        <tr r="U1282" s="5"/>
      </tp>
      <tp>
        <v>40.600200000000001</v>
        <stp/>
        <stp>34354093M19:Settle</stp>
        <tr r="U1320" s="5"/>
      </tp>
      <tp>
        <v>41.655200000000001</v>
        <stp/>
        <stp>34344092M18:Settle</stp>
        <tr r="U1281" s="5"/>
      </tp>
      <tp>
        <v>41.655200000000001</v>
        <stp/>
        <stp>34354093M18:Settle</stp>
        <tr r="U1319" s="5"/>
      </tp>
      <tp>
        <v>37.255299999999998</v>
        <stp/>
        <stp>34344092M24:Settle</stp>
        <tr r="U1287" s="5"/>
      </tp>
      <tp>
        <v>37.255299999999998</v>
        <stp/>
        <stp>34354093M24:Settle</stp>
        <tr r="U1325" s="5"/>
      </tp>
      <tp>
        <v>37.586800000000004</v>
        <stp/>
        <stp>34344092M23:Settle</stp>
        <tr r="U1286" s="5"/>
      </tp>
      <tp>
        <v>37.586800000000004</v>
        <stp/>
        <stp>34354093M23:Settle</stp>
        <tr r="U1324" s="5"/>
      </tp>
      <tp>
        <v>38.117600000000003</v>
        <stp/>
        <stp>34344092M22:Settle</stp>
        <tr r="U1285" s="5"/>
      </tp>
      <tp>
        <v>38.117600000000003</v>
        <stp/>
        <stp>34354093M22:Settle</stp>
        <tr r="U1323" s="5"/>
      </tp>
      <tp>
        <v>38.7258</v>
        <stp/>
        <stp>34344092M21:Settle</stp>
        <tr r="U1284" s="5"/>
      </tp>
      <tp>
        <v>38.7258</v>
        <stp/>
        <stp>34354093M21:Settle</stp>
        <tr r="U1322" s="5"/>
      </tp>
      <tp>
        <v>39.550000000000004</v>
        <stp/>
        <stp>34344092M20:Settle</stp>
        <tr r="U1283" s="5"/>
      </tp>
      <tp>
        <v>39.550000000000004</v>
        <stp/>
        <stp>34354093M20:Settle</stp>
        <tr r="U1321" s="5"/>
      </tp>
      <tp>
        <v>-0.14800000000000002</v>
        <stp/>
        <stp>29243602M15:Settle</stp>
        <tr r="U761" s="5"/>
      </tp>
      <tp>
        <v>-0.128</v>
        <stp/>
        <stp>29243602M14:Settle</stp>
        <tr r="U760" s="5"/>
      </tp>
      <tp>
        <v>-0.1105</v>
        <stp/>
        <stp>29243602M13:Settle</stp>
        <tr r="U759" s="5"/>
      </tp>
      <tp>
        <v>-7.5499999999999998E-2</v>
        <stp/>
        <stp>29243602M12:Settle</stp>
        <tr r="U758" s="5"/>
      </tp>
      <tp>
        <v>-8.2799999999999999E-2</v>
        <stp/>
        <stp>29243602M11:Settle</stp>
        <tr r="U757" s="5"/>
      </tp>
      <tp>
        <v>-8.3500000000000005E-2</v>
        <stp/>
        <stp>29243602M10:Settle</stp>
        <tr r="U756" s="5"/>
      </tp>
      <tp>
        <v>-9.0530000000000008</v>
        <stp/>
        <stp>18851683M24:Settle</stp>
        <tr r="U217" s="5"/>
      </tp>
      <tp>
        <v>-9.2490000000000006</v>
        <stp/>
        <stp>18851683M21:Settle</stp>
        <tr r="U214" s="5"/>
      </tp>
      <tp>
        <v>-9.1159999999999997</v>
        <stp/>
        <stp>18851683M20:Settle</stp>
        <tr r="U213" s="5"/>
      </tp>
      <tp>
        <v>-9.1810000000000009</v>
        <stp/>
        <stp>18851683M23:Settle</stp>
        <tr r="U216" s="5"/>
      </tp>
      <tp>
        <v>-9.2520000000000007</v>
        <stp/>
        <stp>18851683M22:Settle</stp>
        <tr r="U215" s="5"/>
      </tp>
      <tp>
        <v>-8.8580000000000005</v>
        <stp/>
        <stp>18851683M19:Settle</stp>
        <tr r="U212" s="5"/>
      </tp>
      <tp>
        <v>-8.4390000000000001</v>
        <stp/>
        <stp>18851683M18:Settle</stp>
        <tr r="U211" s="5"/>
      </tp>
      <tp>
        <v>-8.1910000000000007</v>
        <stp/>
        <stp>18851683M15:Settle</stp>
        <tr r="U208" s="5"/>
      </tp>
      <tp>
        <v>-8.0590000000000011</v>
        <stp/>
        <stp>18851683M14:Settle</stp>
        <tr r="U207" s="5"/>
      </tp>
      <tp>
        <v>-8.1750000000000007</v>
        <stp/>
        <stp>18851683M17:Settle</stp>
        <tr r="U210" s="5"/>
      </tp>
      <tp>
        <v>-8.0630000000000006</v>
        <stp/>
        <stp>18851683M16:Settle</stp>
        <tr r="U209" s="5"/>
      </tp>
      <tp>
        <v>-7.907</v>
        <stp/>
        <stp>18851683M11:Settle</stp>
        <tr r="U204" s="5"/>
      </tp>
      <tp>
        <v>-7.7130000000000001</v>
        <stp/>
        <stp>18851683M10:Settle</stp>
        <tr r="U203" s="5"/>
      </tp>
      <tp>
        <v>-7.9720000000000004</v>
        <stp/>
        <stp>18851683M13:Settle</stp>
        <tr r="U206" s="5"/>
      </tp>
      <tp>
        <v>-7.99</v>
        <stp/>
        <stp>18851683M12:Settle</stp>
        <tr r="U205" s="5"/>
      </tp>
      <tp t="s">
        <v/>
        <stp/>
        <stp>DBI1227MM14:LstBlkVol</stp>
        <tr r="L1665" s="5"/>
      </tp>
      <tp t="s">
        <v/>
        <stp/>
        <stp>DBI1227MM24:LstBlkVol</stp>
        <tr r="L1675" s="5"/>
      </tp>
      <tp>
        <v>-9.2520000000000007</v>
        <stp/>
        <stp>57409036M22:Settle</stp>
        <tr r="U253" s="5"/>
      </tp>
      <tp>
        <v>-9.1810000000000009</v>
        <stp/>
        <stp>57409036M23:Settle</stp>
        <tr r="U254" s="5"/>
      </tp>
      <tp>
        <v>-9.1159999999999997</v>
        <stp/>
        <stp>57409036M20:Settle</stp>
        <tr r="U251" s="5"/>
      </tp>
      <tp>
        <v>-9.2490000000000006</v>
        <stp/>
        <stp>57409036M21:Settle</stp>
        <tr r="U252" s="5"/>
      </tp>
      <tp>
        <v>-9.0530000000000008</v>
        <stp/>
        <stp>57409036M24:Settle</stp>
        <tr r="U255" s="5"/>
      </tp>
      <tp>
        <v>-8.4390000000000001</v>
        <stp/>
        <stp>57409036M18:Settle</stp>
        <tr r="U249" s="5"/>
      </tp>
      <tp>
        <v>-8.8580000000000005</v>
        <stp/>
        <stp>57409036M19:Settle</stp>
        <tr r="U250" s="5"/>
      </tp>
      <tp>
        <v>-7.99</v>
        <stp/>
        <stp>57409036M12:Settle</stp>
        <tr r="U243" s="5"/>
      </tp>
      <tp>
        <v>-7.9720000000000004</v>
        <stp/>
        <stp>57409036M13:Settle</stp>
        <tr r="U244" s="5"/>
      </tp>
      <tp>
        <v>-7.7130000000000001</v>
        <stp/>
        <stp>57409036M10:Settle</stp>
        <tr r="U241" s="5"/>
      </tp>
      <tp>
        <v>-7.907</v>
        <stp/>
        <stp>57409036M11:Settle</stp>
        <tr r="U242" s="5"/>
      </tp>
      <tp>
        <v>-8.0630000000000006</v>
        <stp/>
        <stp>57409036M16:Settle</stp>
        <tr r="U247" s="5"/>
      </tp>
      <tp>
        <v>-8.1750000000000007</v>
        <stp/>
        <stp>57409036M17:Settle</stp>
        <tr r="U248" s="5"/>
      </tp>
      <tp>
        <v>-8.0590000000000011</v>
        <stp/>
        <stp>57409036M14:Settle</stp>
        <tr r="U245" s="5"/>
      </tp>
      <tp>
        <v>-8.1910000000000007</v>
        <stp/>
        <stp>57409036M15:Settle</stp>
        <tr r="U246" s="5"/>
      </tp>
    </main>
    <main first="bofaddin.rtdserver">
      <tp t="s">
        <v>#N/A N/A</v>
        <stp/>
        <stp>BDH|84746478381857197</stp>
        <tr r="AX38" s="1"/>
      </tp>
    </main>
    <main first="ice.rtd">
      <tp t="s">
        <v>Mar27</v>
        <stp/>
        <stp>34364094M6:Strip</stp>
        <tr r="E524" s="5"/>
      </tp>
      <tp t="s">
        <v>Mar27</v>
        <stp/>
        <stp>34374095M6:Strip</stp>
        <tr r="E562" s="5"/>
      </tp>
      <tp t="s">
        <v>Q2 28</v>
        <stp/>
        <stp>34364094Q6:Strip</stp>
        <tr r="E549" s="5"/>
      </tp>
      <tp t="s">
        <v>Q2 28</v>
        <stp/>
        <stp>34374095Q6:Strip</stp>
        <tr r="E587" s="5"/>
      </tp>
      <tp t="s">
        <v>Mar27</v>
        <stp/>
        <stp>34344092M6:Strip</stp>
        <tr r="E1269" s="5"/>
      </tp>
      <tp t="s">
        <v>Mar27</v>
        <stp/>
        <stp>34354093M6:Strip</stp>
        <tr r="E1307" s="5"/>
      </tp>
      <tp t="s">
        <v>Q2 28</v>
        <stp/>
        <stp>34344092Q6:Strip</stp>
        <tr r="E1294" s="5"/>
      </tp>
      <tp t="s">
        <v>Q2 28</v>
        <stp/>
        <stp>34354093Q6:Strip</stp>
        <tr r="E1332" s="5"/>
      </tp>
      <tp t="s">
        <v>Sep26/Oct26</v>
        <stp/>
        <stp>161913535MM0:Strip</stp>
        <tr r="E2027" s="5"/>
      </tp>
      <tp t="s">
        <v>Q4 26/Q1 27</v>
        <stp/>
        <stp>161913535QQ0:Strip</stp>
        <tr r="E2055" s="5"/>
      </tp>
      <tp t="s">
        <v>Cal 27/Cal 28</v>
        <stp/>
        <stp>161913535YY0:Strip</stp>
        <tr r="E2057" s="5"/>
      </tp>
      <tp t="s">
        <v/>
        <stp/>
        <stp>DBI1227MM22:BstHitPrc</stp>
        <tr r="G1673" s="5"/>
      </tp>
      <tp>
        <v>11.86</v>
        <stp/>
        <stp>DBI1227MM12:BstHitPrc</stp>
        <tr r="G1663" s="5"/>
      </tp>
      <tp t="s">
        <v>Jan27</v>
        <stp/>
        <stp>30793693M4:Strip</stp>
        <tr r="E887" s="5"/>
      </tp>
      <tp t="s">
        <v>Q4 27</v>
        <stp/>
        <stp>30793693Q4:Strip</stp>
        <tr r="E912" s="5"/>
      </tp>
      <tp t="s">
        <v>Bal Month</v>
        <stp/>
        <stp>2009523367B0:Strip</stp>
        <tr r="E116" s="5"/>
      </tp>
      <tp t="s">
        <v>Jun27</v>
        <stp/>
        <stp>32623993M9:Strip</stp>
        <tr r="E1999" s="5"/>
      </tp>
      <tp t="s">
        <v>Jun27</v>
        <stp/>
        <stp>32613992M9:Strip</stp>
        <tr r="E1234" s="5"/>
      </tp>
      <tp t="s">
        <v>Jun27</v>
        <stp/>
        <stp>2755728678M9:Strip</stp>
        <tr r="E1120" s="5"/>
      </tp>
      <tp t="s">
        <v>Sep7-Sep11 (Dec)</v>
        <stp/>
        <stp>17551596T0:Strip</stp>
        <tr r="E1537" s="5"/>
      </tp>
      <tp t="s">
        <v>Mar27</v>
        <stp/>
        <stp>34404098M6:Strip</stp>
        <tr r="E600" s="5"/>
      </tp>
      <tp t="s">
        <v>Mar27</v>
        <stp/>
        <stp>34414099M6:Strip</stp>
        <tr r="E85" s="5"/>
      </tp>
      <tp t="s">
        <v>Q2 28</v>
        <stp/>
        <stp>34404098Q6:Strip</stp>
        <tr r="E625" s="5"/>
      </tp>
      <tp t="s">
        <v>Q2 28</v>
        <stp/>
        <stp>34414099Q6:Strip</stp>
        <tr r="E110" s="5"/>
      </tp>
      <tp t="s">
        <v>Oct26</v>
        <stp/>
        <stp>16331513M1:Strip</stp>
        <tr r="E1416" s="5"/>
      </tp>
      <tp t="s">
        <v>Oct26</v>
        <stp/>
        <stp>16341514M1:Strip</stp>
        <tr r="E1454" s="5"/>
      </tp>
      <tp t="s">
        <v>Oct26</v>
        <stp/>
        <stp>16351515M1:Strip</stp>
        <tr r="E1492" s="5"/>
      </tp>
      <tp t="s">
        <v>Q1 27</v>
        <stp/>
        <stp>16331513Q1:Strip</stp>
        <tr r="E1441" s="5"/>
      </tp>
      <tp t="s">
        <v>Q1 27</v>
        <stp/>
        <stp>16341514Q1:Strip</stp>
        <tr r="E1479" s="5"/>
      </tp>
      <tp t="s">
        <v>Q1 27</v>
        <stp/>
        <stp>16351515Q1:Strip</stp>
        <tr r="E1517" s="5"/>
      </tp>
      <tp t="s">
        <v>Cal 28</v>
        <stp/>
        <stp>16331513Y1:Strip</stp>
        <tr r="E1450" s="5"/>
      </tp>
      <tp t="s">
        <v>Cal 28</v>
        <stp/>
        <stp>16341514Y1:Strip</stp>
        <tr r="E1488" s="5"/>
      </tp>
      <tp t="s">
        <v>Cal 28</v>
        <stp/>
        <stp>16351515Y1:Strip</stp>
        <tr r="E1526" s="5"/>
      </tp>
      <tp t="s">
        <v/>
        <stp/>
        <stp>DBI1227MM12:LstBlkPrc</stp>
        <tr r="K1663" s="5"/>
      </tp>
      <tp t="s">
        <v/>
        <stp/>
        <stp>DBI1227MM22:LstBlkPrc</stp>
        <tr r="K1673" s="5"/>
      </tp>
      <tp t="s">
        <v>Jun27</v>
        <stp/>
        <stp>2755828679M9:Strip</stp>
        <tr r="E1006" s="5"/>
      </tp>
      <tp t="s">
        <v>Feb27</v>
        <stp/>
        <stp>57179020M5:Strip</stp>
        <tr r="E1552" s="5"/>
      </tp>
      <tp t="s">
        <v>Invalid Market: 57179020Q5</v>
        <stp/>
        <stp>57179020Q5:Strip</stp>
        <tr r="E1577" s="5"/>
      </tp>
      <tp t="s">
        <v>Oct12-Oct16 (Dec)</v>
        <stp/>
        <stp>15141311T4:Strip</stp>
        <tr r="E1532" s="5"/>
      </tp>
      <tp t="s">
        <v>Jan27</v>
        <stp/>
        <stp>15091310M4:Strip</stp>
        <tr r="E1381" s="5"/>
      </tp>
      <tp t="s">
        <v>Q4 27</v>
        <stp/>
        <stp>15091310Q4:Strip</stp>
        <tr r="E1406" s="5"/>
      </tp>
      <tp t="s">
        <v>Mar27</v>
        <stp/>
        <stp>35534143M6:Strip</stp>
        <tr r="E714" s="5"/>
      </tp>
      <tp t="s">
        <v>Mar27</v>
        <stp/>
        <stp>35544144M6:Strip</stp>
        <tr r="E638" s="5"/>
      </tp>
      <tp t="s">
        <v>Mar27</v>
        <stp/>
        <stp>35554145M6:Strip</stp>
        <tr r="E676" s="5"/>
      </tp>
      <tp t="s">
        <v>Jan27</v>
        <stp/>
        <stp>30813691M4:Strip</stp>
        <tr r="E1957" s="5"/>
      </tp>
      <tp t="s">
        <v>Q4 27</v>
        <stp/>
        <stp>30813691Q4:Strip</stp>
        <tr r="E1982" s="5"/>
      </tp>
      <tp t="s">
        <v>Q2 28</v>
        <stp/>
        <stp>35534143Q6:Strip</stp>
        <tr r="E739" s="5"/>
      </tp>
      <tp t="s">
        <v>Q2 28</v>
        <stp/>
        <stp>35544144Q6:Strip</stp>
        <tr r="E663" s="5"/>
      </tp>
      <tp t="s">
        <v>Q2 28</v>
        <stp/>
        <stp>35554145Q6:Strip</stp>
        <tr r="E701" s="5"/>
      </tp>
      <tp t="s">
        <v>Q2 27</v>
        <stp/>
        <stp>1840020882Q2:Strip</stp>
        <tr r="E1601" s="5"/>
      </tp>
      <tp t="s">
        <v>Nov26</v>
        <stp/>
        <stp>1840020882M2:Strip</stp>
        <tr r="E1584" s="5"/>
      </tp>
      <tp t="s">
        <v>Feb27</v>
        <stp/>
        <stp>57409036M5:Strip</stp>
        <tr r="E236" s="5"/>
      </tp>
      <tp t="s">
        <v>Q1 28</v>
        <stp/>
        <stp>57409036Q5:Strip</stp>
        <tr r="E261" s="5"/>
      </tp>
      <tp t="s">
        <v>Feb27</v>
        <stp/>
        <stp>46678127M5:Strip</stp>
        <tr r="E350" s="5"/>
      </tp>
      <tp t="s">
        <v>Q1 28</v>
        <stp/>
        <stp>46678127Q5:Strip</stp>
        <tr r="E375" s="5"/>
      </tp>
      <tp t="s">
        <v>Dec26/Mar27</v>
        <stp/>
        <stp>366531MM26:Strip</stp>
        <tr r="E1741" s="5"/>
      </tp>
      <tp t="s">
        <v>Oct26/May27</v>
        <stp/>
        <stp>366531MM16:Strip</stp>
        <tr r="E1731" s="5"/>
      </tp>
      <tp t="s">
        <v>Invalid Market: 57179020Y1</v>
        <stp/>
        <stp>57179020Y1:PCC</stp>
        <tr r="B1581" s="5"/>
      </tp>
      <tp t="s">
        <v>MLT</v>
        <stp/>
        <stp>57179020Y0:PCC</stp>
        <tr r="B1580" s="5"/>
      </tp>
      <tp t="s">
        <v/>
        <stp/>
        <stp>1986923076Q8:LstPrc</stp>
        <tr r="I188" s="5"/>
      </tp>
      <tp t="s">
        <v/>
        <stp/>
        <stp>1986923076Q2:LstPrc</stp>
        <tr r="I182" s="5"/>
      </tp>
      <tp t="s">
        <v/>
        <stp/>
        <stp>1986923076Q3:LstPrc</stp>
        <tr r="I183" s="5"/>
      </tp>
      <tp t="s">
        <v/>
        <stp/>
        <stp>1986923076Q0:LstPrc</stp>
        <tr r="I180" s="5"/>
      </tp>
      <tp t="s">
        <v/>
        <stp/>
        <stp>1986923076Q1:LstPrc</stp>
        <tr r="I181" s="5"/>
      </tp>
      <tp t="s">
        <v/>
        <stp/>
        <stp>1986923076Q6:LstPrc</stp>
        <tr r="I186" s="5"/>
      </tp>
      <tp t="s">
        <v/>
        <stp/>
        <stp>1986923076Q7:LstPrc</stp>
        <tr r="I187" s="5"/>
      </tp>
      <tp t="s">
        <v/>
        <stp/>
        <stp>1986923076Q4:LstPrc</stp>
        <tr r="I184" s="5"/>
      </tp>
      <tp t="s">
        <v/>
        <stp/>
        <stp>1986923076Q5:LstPrc</stp>
        <tr r="I185" s="5"/>
      </tp>
      <tp t="s">
        <v/>
        <stp/>
        <stp>1986923076Y2:LstPrc</stp>
        <tr r="I191" s="5"/>
      </tp>
      <tp t="s">
        <v/>
        <stp/>
        <stp>1986923076Y0:LstPrc</stp>
        <tr r="I189" s="5"/>
      </tp>
      <tp t="s">
        <v/>
        <stp/>
        <stp>1986923076Y1:LstPrc</stp>
        <tr r="I190" s="5"/>
      </tp>
      <tp t="s">
        <v/>
        <stp/>
        <stp>1986923076M8:LstPrc</stp>
        <tr r="I163" s="5"/>
      </tp>
      <tp t="s">
        <v/>
        <stp/>
        <stp>1986923076M9:LstPrc</stp>
        <tr r="I164" s="5"/>
      </tp>
      <tp>
        <v>0.25</v>
        <stp/>
        <stp>1986923076M2:LstPrc</stp>
        <tr r="I157" s="5"/>
      </tp>
      <tp>
        <v>2.7</v>
        <stp/>
        <stp>1986923076M3:LstPrc</stp>
        <tr r="I158" s="5"/>
      </tp>
      <tp>
        <v>-5.5</v>
        <stp/>
        <stp>1986923076M0:LstPrc</stp>
        <tr r="I155" s="5"/>
      </tp>
      <tp>
        <v>-1.6</v>
        <stp/>
        <stp>1986923076M1:LstPrc</stp>
        <tr r="I156" s="5"/>
      </tp>
      <tp t="s">
        <v/>
        <stp/>
        <stp>1986923076M6:LstPrc</stp>
        <tr r="I161" s="5"/>
      </tp>
      <tp t="s">
        <v/>
        <stp/>
        <stp>1986923076M7:LstPrc</stp>
        <tr r="I162" s="5"/>
      </tp>
      <tp t="s">
        <v/>
        <stp/>
        <stp>1986923076M4:LstPrc</stp>
        <tr r="I159" s="5"/>
      </tp>
      <tp t="s">
        <v/>
        <stp/>
        <stp>1986923076M5:LstPrc</stp>
        <tr r="I160" s="5"/>
      </tp>
      <tp t="s">
        <v/>
        <stp/>
        <stp>2181524588B0:LstPrc</stp>
        <tr r="I1452" s="5"/>
      </tp>
      <tp t="s">
        <v/>
        <stp/>
        <stp>5162M24:LstDate</stp>
        <tr r="J793" s="5"/>
      </tp>
      <tp t="s">
        <v/>
        <stp/>
        <stp>5162M22:LstDate</stp>
        <tr r="J791" s="5"/>
      </tp>
      <tp t="s">
        <v/>
        <stp/>
        <stp>5162M23:LstDate</stp>
        <tr r="J792" s="5"/>
      </tp>
      <tp t="s">
        <v/>
        <stp/>
        <stp>5162M20:LstDate</stp>
        <tr r="J789" s="5"/>
      </tp>
      <tp t="s">
        <v/>
        <stp/>
        <stp>5162M21:LstDate</stp>
        <tr r="J790" s="5"/>
      </tp>
      <tp t="s">
        <v>EOB</v>
        <stp/>
        <stp>18901687Q8:PCC</stp>
        <tr r="B340" s="5"/>
      </tp>
      <tp t="s">
        <v>EOB</v>
        <stp/>
        <stp>18901687Q4:PCC</stp>
        <tr r="B336" s="5"/>
      </tp>
      <tp t="s">
        <v>EOB</v>
        <stp/>
        <stp>18901687Q5:PCC</stp>
        <tr r="B337" s="5"/>
      </tp>
      <tp t="s">
        <v>EOB</v>
        <stp/>
        <stp>18901687Q6:PCC</stp>
        <tr r="B338" s="5"/>
      </tp>
      <tp t="s">
        <v>EOB</v>
        <stp/>
        <stp>18901687Q7:PCC</stp>
        <tr r="B339" s="5"/>
      </tp>
      <tp t="s">
        <v>EOB</v>
        <stp/>
        <stp>18901687Q0:PCC</stp>
        <tr r="B332" s="5"/>
      </tp>
      <tp t="s">
        <v>EOB</v>
        <stp/>
        <stp>18901687Q1:PCC</stp>
        <tr r="B333" s="5"/>
      </tp>
      <tp t="s">
        <v>EOB</v>
        <stp/>
        <stp>18901687Q2:PCC</stp>
        <tr r="B334" s="5"/>
      </tp>
      <tp t="s">
        <v>EOB</v>
        <stp/>
        <stp>18901687Q3:PCC</stp>
        <tr r="B335" s="5"/>
      </tp>
      <tp t="s">
        <v/>
        <stp/>
        <stp>5162M18:LstDate</stp>
        <tr r="J787" s="5"/>
      </tp>
      <tp t="s">
        <v/>
        <stp/>
        <stp>5162M19:LstDate</stp>
        <tr r="J788" s="5"/>
      </tp>
      <tp t="s">
        <v/>
        <stp/>
        <stp>5162M16:LstDate</stp>
        <tr r="J785" s="5"/>
      </tp>
      <tp t="s">
        <v/>
        <stp/>
        <stp>5162M17:LstDate</stp>
        <tr r="J786" s="5"/>
      </tp>
      <tp t="s">
        <v/>
        <stp/>
        <stp>5162M14:LstDate</stp>
        <tr r="J783" s="5"/>
      </tp>
      <tp t="s">
        <v/>
        <stp/>
        <stp>5162M15:LstDate</stp>
        <tr r="J784" s="5"/>
      </tp>
      <tp t="s">
        <v/>
        <stp/>
        <stp>5162M12:LstDate</stp>
        <tr r="J781" s="5"/>
      </tp>
      <tp t="s">
        <v/>
        <stp/>
        <stp>5162M13:LstDate</stp>
        <tr r="J782" s="5"/>
      </tp>
      <tp t="s">
        <v/>
        <stp/>
        <stp>5162M10:LstDate</stp>
        <tr r="J779" s="5"/>
      </tp>
      <tp t="s">
        <v/>
        <stp/>
        <stp>5162M11:LstDate</stp>
        <tr r="J780" s="5"/>
      </tp>
    </main>
    <main first="bofaddin.rtdserver">
      <tp t="s">
        <v>#N/A</v>
        <stp/>
        <stp>BDP|4594572656887419902|222</stp>
        <stp>OQAJ8K8 Comdty</stp>
        <stp>BID</stp>
        <stp>Fill=#N/A</stp>
        <tr r="T39" s="1"/>
      </tp>
    </main>
    <main first="ice.rtd">
      <tp t="s">
        <v>Nov26/Dec26</v>
        <stp/>
        <stp>15061297MM18:Strip</stp>
        <tr r="E1701" s="5"/>
      </tp>
      <tp t="s">
        <v>Invalid Market: 57179020Q5</v>
        <stp/>
        <stp>57179020Q5:PCC</stp>
        <tr r="B1577" s="5"/>
      </tp>
      <tp t="s">
        <v>MLT</v>
        <stp/>
        <stp>57179020Q4:PCC</stp>
        <tr r="B1576" s="5"/>
      </tp>
      <tp t="s">
        <v>Invalid Market: 57179020Q7</v>
        <stp/>
        <stp>57179020Q7:PCC</stp>
        <tr r="B1579" s="5"/>
      </tp>
      <tp t="s">
        <v>Invalid Market: 57179020Q6</v>
        <stp/>
        <stp>57179020Q6:PCC</stp>
        <tr r="B1578" s="5"/>
      </tp>
      <tp t="s">
        <v>MLT</v>
        <stp/>
        <stp>57179020Q1:PCC</stp>
        <tr r="B1573" s="5"/>
      </tp>
      <tp t="s">
        <v>MLT</v>
        <stp/>
        <stp>57179020Q0:PCC</stp>
        <tr r="B1572" s="5"/>
      </tp>
      <tp t="s">
        <v>MLT</v>
        <stp/>
        <stp>57179020Q3:PCC</stp>
        <tr r="B1575" s="5"/>
      </tp>
      <tp t="s">
        <v>MLT</v>
        <stp/>
        <stp>57179020Q2:PCC</stp>
        <tr r="B1574" s="5"/>
      </tp>
    </main>
    <main first="bofaddin.rtdserver">
      <tp>
        <v>1.68</v>
        <stp/>
        <stp>BDP|3274820404221151721|222</stp>
        <stp>MUCG7H7 Comdty</stp>
        <stp>BID</stp>
        <stp>Fill=#N/A</stp>
        <tr r="S25" s="1"/>
      </tp>
    </main>
    <main first="ice.rtd">
      <tp t="s">
        <v>EOB</v>
        <stp/>
        <stp>18901687Y0:PCC</stp>
        <tr r="B341" s="5"/>
      </tp>
      <tp t="s">
        <v>EOB</v>
        <stp/>
        <stp>18901687Y1:PCC</stp>
        <tr r="B342" s="5"/>
      </tp>
      <tp t="s">
        <v>Invalid Market: 18901687Y2</v>
        <stp/>
        <stp>18901687Y2:PCC</stp>
        <tr r="B343" s="5"/>
      </tp>
    </main>
    <main first="bofaddin.rtdserver">
      <tp t="s">
        <v>#N/A</v>
        <stp/>
        <stp>BDP|3554341958827808405|222</stp>
        <stp>OQAH9J9 Comdty</stp>
        <stp>BID</stp>
        <stp>Fill=#N/A</stp>
        <tr r="T50" s="1"/>
      </tp>
      <tp t="s">
        <v>#N/A Requesting Data...4185557230</v>
        <stp/>
        <stp>BDP|1259600805208853150</stp>
        <tr r="D12" s="23"/>
      </tp>
      <tp t="s">
        <v>#N/A N/A</v>
        <stp/>
        <stp>BDH|9568261204411472490</stp>
        <tr r="J38" s="14"/>
      </tp>
      <tp t="s">
        <v>#N/A N/A</v>
        <stp/>
        <stp>BDH|8168887278289180082</stp>
        <tr r="BC60" s="1"/>
        <tr r="BC60" s="1"/>
      </tp>
      <tp t="s">
        <v>#N/A N/A</v>
        <stp/>
        <stp>BDH|7216334680813027192</stp>
        <tr r="G32" s="16"/>
      </tp>
      <tp t="s">
        <v>#N/A Requesting Data...4241335982</v>
        <stp/>
        <stp>BDP|5413615528776030941</stp>
        <tr r="AM186" s="23"/>
        <tr r="C26" s="23"/>
        <tr r="C72" s="23"/>
      </tp>
      <tp t="s">
        <v>#N/A N/A</v>
        <stp/>
        <stp>BDH|6067220787196960457</stp>
        <tr r="AX28" s="1"/>
      </tp>
      <tp t="s">
        <v>#N/A N/A</v>
        <stp/>
        <stp>BDH|5809527974310085972</stp>
        <tr r="L55" s="16"/>
      </tp>
    </main>
    <main first="ice.rtd">
      <tp>
        <v>0</v>
        <stp/>
        <stp>1840020882M9:BlkVol</stp>
        <tr r="O1591" s="5"/>
      </tp>
      <tp>
        <v>0</v>
        <stp/>
        <stp>1840020882M8:BlkVol</stp>
        <tr r="O1590" s="5"/>
      </tp>
      <tp>
        <v>0</v>
        <stp/>
        <stp>1840020882M3:BlkVol</stp>
        <tr r="O1585" s="5"/>
      </tp>
      <tp>
        <v>0</v>
        <stp/>
        <stp>1840020882M2:BlkVol</stp>
        <tr r="O1584" s="5"/>
      </tp>
      <tp>
        <v>0</v>
        <stp/>
        <stp>1840020882M1:BlkVol</stp>
        <tr r="O1583" s="5"/>
      </tp>
      <tp>
        <v>0</v>
        <stp/>
        <stp>1840020882M0:BlkVol</stp>
        <tr r="O1582" s="5"/>
      </tp>
      <tp>
        <v>0</v>
        <stp/>
        <stp>1840020882M7:BlkVol</stp>
        <tr r="O1589" s="5"/>
      </tp>
      <tp>
        <v>0</v>
        <stp/>
        <stp>1840020882M6:BlkVol</stp>
        <tr r="O1588" s="5"/>
      </tp>
      <tp>
        <v>0</v>
        <stp/>
        <stp>1840020882M5:BlkVol</stp>
        <tr r="O1587" s="5"/>
      </tp>
      <tp>
        <v>0</v>
        <stp/>
        <stp>1840020882M4:BlkVol</stp>
        <tr r="O1586" s="5"/>
      </tp>
    </main>
    <main first="bofaddin.rtdserver">
      <tp t="s">
        <v>#N/A N/A</v>
        <stp/>
        <stp>BDH|9665358270923831056</stp>
        <tr r="BB30" s="1"/>
      </tp>
    </main>
    <main first="ice.rtd">
      <tp>
        <v>0</v>
        <stp/>
        <stp>1840020882Y0:BlkVol</stp>
        <tr r="O1604" s="5"/>
      </tp>
    </main>
    <main first="ice.rtd">
      <tp>
        <v>0</v>
        <stp/>
        <stp>1840020882Q3:BlkVol</stp>
        <tr r="O1602" s="5"/>
      </tp>
      <tp>
        <v>0</v>
        <stp/>
        <stp>1840020882Q2:BlkVol</stp>
        <tr r="O1601" s="5"/>
      </tp>
      <tp>
        <v>0</v>
        <stp/>
        <stp>1840020882Q1:BlkVol</stp>
        <tr r="O1600" s="5"/>
      </tp>
      <tp>
        <v>0</v>
        <stp/>
        <stp>1840020882Q0:BlkVol</stp>
        <tr r="O1599" s="5"/>
      </tp>
      <tp>
        <v>0</v>
        <stp/>
        <stp>1840020882Q4:BlkVol</stp>
        <tr r="O1603" s="5"/>
      </tp>
    </main>
    <main first="bofaddin.rtdserver">
      <tp t="s">
        <v>#N/A N/A</v>
        <stp/>
        <stp>BDH|7736595892913319611</stp>
        <tr r="J52" s="16"/>
      </tp>
    </main>
    <main first="ice.rtd">
      <tp t="s">
        <v>MLT</v>
        <stp/>
        <stp>57179020M5:PCC</stp>
        <tr r="B1552" s="5"/>
      </tp>
      <tp t="s">
        <v>MLT</v>
        <stp/>
        <stp>57179020M4:PCC</stp>
        <tr r="B1551" s="5"/>
      </tp>
      <tp t="s">
        <v>MLT</v>
        <stp/>
        <stp>57179020M7:PCC</stp>
        <tr r="B1554" s="5"/>
      </tp>
    </main>
    <main first="bofaddin.rtdserver">
      <tp t="s">
        <v>#N/A N/A</v>
        <stp/>
        <stp>BDH|2376986322471403626</stp>
        <tr r="AY54" s="1"/>
      </tp>
    </main>
    <main first="ice.rtd">
      <tp t="s">
        <v>MLT</v>
        <stp/>
        <stp>57179020M6:PCC</stp>
        <tr r="B1553" s="5"/>
      </tp>
      <tp t="s">
        <v>MLT</v>
        <stp/>
        <stp>57179020M1:PCC</stp>
        <tr r="B1548" s="5"/>
      </tp>
      <tp t="s">
        <v>MLT</v>
        <stp/>
        <stp>57179020M0:PCC</stp>
        <tr r="B1547" s="5"/>
      </tp>
      <tp t="s">
        <v>MLT</v>
        <stp/>
        <stp>57179020M3:PCC</stp>
        <tr r="B1550" s="5"/>
      </tp>
      <tp t="s">
        <v>MLT</v>
        <stp/>
        <stp>57179020M2:PCC</stp>
        <tr r="B1549" s="5"/>
      </tp>
      <tp t="s">
        <v>MLT</v>
        <stp/>
        <stp>57179020M9:PCC</stp>
        <tr r="B1556" s="5"/>
      </tp>
      <tp t="s">
        <v>MLT</v>
        <stp/>
        <stp>57179020M8:PCC</stp>
        <tr r="B1555" s="5"/>
      </tp>
    </main>
    <main first="bofaddin.rtdserver">
      <tp t="s">
        <v>#N/A N/A</v>
        <stp/>
        <stp>BDH|8502484170385472048</stp>
        <tr r="AZ20" s="1"/>
      </tp>
      <tp t="s">
        <v>#N/A Requesting Data...4005854800</v>
        <stp/>
        <stp>BDP|4578918733913360363</stp>
        <tr r="E27" s="23"/>
        <tr r="E73" s="23"/>
      </tp>
      <tp t="s">
        <v>#N/A N/A</v>
        <stp/>
        <stp>BDH|5384608821818498740</stp>
        <tr r="BA51" s="1"/>
        <tr r="BA51" s="1"/>
      </tp>
      <tp t="s">
        <v>#N/A N/A</v>
        <stp/>
        <stp>BDH|9363063992046056856</stp>
        <tr r="AV62" s="1"/>
      </tp>
      <tp t="s">
        <v>#N/A Requesting Data...4258936652</v>
        <stp/>
        <stp>BDP|7470227094622527043</stp>
        <tr r="F36" s="23"/>
      </tp>
      <tp t="s">
        <v>#N/A N/A</v>
        <stp/>
        <stp>BDH|3194907423240957688</stp>
        <tr r="C57" s="14"/>
      </tp>
    </main>
    <main first="ice.rtd">
      <tp t="s">
        <v>EOB</v>
        <stp/>
        <stp>18901687M8:PCC</stp>
        <tr r="B315" s="5"/>
      </tp>
    </main>
    <main first="bofaddin.rtdserver">
      <tp t="s">
        <v>#N/A N/A</v>
        <stp/>
        <stp>BDH|8009751924640537371</stp>
        <tr r="C42" s="14"/>
      </tp>
    </main>
    <main first="ice.rtd">
      <tp t="s">
        <v>EOB</v>
        <stp/>
        <stp>18901687M9:PCC</stp>
        <tr r="B316" s="5"/>
      </tp>
    </main>
    <main first="ice.rtd">
      <tp t="s">
        <v>EOB</v>
        <stp/>
        <stp>18901687M4:PCC</stp>
        <tr r="B311" s="5"/>
      </tp>
      <tp t="s">
        <v>EOB</v>
        <stp/>
        <stp>18901687M5:PCC</stp>
        <tr r="B312" s="5"/>
      </tp>
      <tp t="s">
        <v>EOB</v>
        <stp/>
        <stp>18901687M6:PCC</stp>
        <tr r="B313" s="5"/>
      </tp>
      <tp t="s">
        <v>EOB</v>
        <stp/>
        <stp>18901687M7:PCC</stp>
        <tr r="B314" s="5"/>
      </tp>
    </main>
    <main first="bofaddin.rtdserver">
      <tp t="s">
        <v>#N/A N/A</v>
        <stp/>
        <stp>BDH|6361924564814446324</stp>
        <tr r="BC51" s="1"/>
        <tr r="BC51" s="1"/>
      </tp>
      <tp t="s">
        <v>#N/A N/A</v>
        <stp/>
        <stp>BDH|6522788141379608293</stp>
        <tr r="AW57" s="1"/>
      </tp>
    </main>
    <main first="ice.rtd">
      <tp t="s">
        <v>EOB</v>
        <stp/>
        <stp>18901687M0:PCC</stp>
        <tr r="B307" s="5"/>
      </tp>
    </main>
    <main first="bofaddin.rtdserver">
      <tp t="s">
        <v>#N/A N/A</v>
        <stp/>
        <stp>BDH|3689792554827999816</stp>
        <tr r="H79" s="16"/>
      </tp>
    </main>
    <main first="ice.rtd">
      <tp t="s">
        <v>EOB</v>
        <stp/>
        <stp>18901687M1:PCC</stp>
        <tr r="B308" s="5"/>
      </tp>
      <tp t="s">
        <v>EOB</v>
        <stp/>
        <stp>18901687M2:PCC</stp>
        <tr r="B309" s="5"/>
      </tp>
      <tp t="s">
        <v>EOB</v>
        <stp/>
        <stp>18901687M3:PCC</stp>
        <tr r="B310" s="5"/>
      </tp>
    </main>
    <main first="bofaddin.rtdserver">
      <tp t="s">
        <v>#N/A N/A</v>
        <stp/>
        <stp>BDH|5184739531499242604</stp>
        <tr r="BC34" s="1"/>
      </tp>
      <tp t="s">
        <v>#N/A N/A</v>
        <stp/>
        <stp>BDH|7845037953158636480</stp>
        <tr r="AY41" s="1"/>
      </tp>
      <tp t="s">
        <v>#N/A N/A</v>
        <stp/>
        <stp>BDH|7685487241101909807</stp>
        <tr r="AZ61" s="1"/>
      </tp>
      <tp t="s">
        <v>#N/A N/A</v>
        <stp/>
        <stp>BDH|3037540466597210968</stp>
        <tr r="J35" s="14"/>
      </tp>
      <tp t="s">
        <v>#N/A N/A</v>
        <stp/>
        <stp>BDH|9768103005403027554</stp>
        <tr r="BB23" s="1"/>
      </tp>
      <tp t="s">
        <v>#N/A N/A</v>
        <stp/>
        <stp>BDH|9532294209503793654</stp>
        <tr r="H76" s="16"/>
      </tp>
    </main>
    <main first="ice.rtd">
      <tp>
        <v>4</v>
        <stp/>
        <stp>2184924621B0:BlkVol</stp>
        <tr r="O707" s="5"/>
      </tp>
    </main>
    <main first="bofaddin.rtdserver">
      <tp t="s">
        <v>#N/A N/A</v>
        <stp/>
        <stp>BDH|5313104927770853883</stp>
        <tr r="BC50" s="1"/>
        <tr r="BC50" s="1"/>
      </tp>
      <tp t="s">
        <v>#N/A N/A</v>
        <stp/>
        <stp>BDH|6442210653439175621</stp>
        <tr r="J53" s="14"/>
      </tp>
      <tp t="s">
        <v>#N/A N/A</v>
        <stp/>
        <stp>BDH|8670551919844902660</stp>
        <tr r="I5" s="14"/>
      </tp>
    </main>
    <main first="ice.rtd">
      <tp>
        <v>40</v>
        <stp/>
        <stp>57409036Y1:BlkVol</stp>
        <tr r="O266" s="5"/>
      </tp>
      <tp>
        <v>19</v>
        <stp/>
        <stp>57409036Y0:BlkVol</stp>
        <tr r="O265" s="5"/>
      </tp>
      <tp>
        <v>0</v>
        <stp/>
        <stp>57409036Y2:BlkVol</stp>
        <tr r="O267" s="5"/>
      </tp>
    </main>
    <main first="bofaddin.rtdserver">
      <tp>
        <v>297.37</v>
        <stp/>
        <stp>BDP|10090625994085618025|222</stp>
        <stp>XBX6 Comdty</stp>
        <stp>ASK</stp>
        <stp>Fill=#N/A</stp>
        <tr r="J21" s="1"/>
      </tp>
    </main>
    <main first="ice.rtd">
      <tp>
        <v>0</v>
        <stp/>
        <stp>57409036Q8:BlkVol</stp>
        <tr r="O264" s="5"/>
      </tp>
      <tp>
        <v>0</v>
        <stp/>
        <stp>57409036Q5:BlkVol</stp>
        <tr r="O261" s="5"/>
      </tp>
      <tp>
        <v>39</v>
        <stp/>
        <stp>57409036Q4:BlkVol</stp>
        <tr r="O260" s="5"/>
      </tp>
      <tp>
        <v>0</v>
        <stp/>
        <stp>57409036Q7:BlkVol</stp>
        <tr r="O263" s="5"/>
      </tp>
      <tp>
        <v>0</v>
        <stp/>
        <stp>57409036Q6:BlkVol</stp>
        <tr r="O262" s="5"/>
      </tp>
      <tp>
        <v>70</v>
        <stp/>
        <stp>57409036Q1:BlkVol</stp>
        <tr r="O257" s="5"/>
      </tp>
      <tp>
        <v>110</v>
        <stp/>
        <stp>57409036Q0:BlkVol</stp>
        <tr r="O256" s="5"/>
      </tp>
      <tp>
        <v>104</v>
        <stp/>
        <stp>57409036Q3:BlkVol</stp>
        <tr r="O259" s="5"/>
      </tp>
      <tp>
        <v>135</v>
        <stp/>
        <stp>57409036Q2:BlkVol</stp>
        <tr r="O258" s="5"/>
      </tp>
      <tp>
        <v>0</v>
        <stp/>
        <stp>32623993Y0:Vol</stp>
        <tr r="N2024" s="5"/>
      </tp>
      <tp>
        <v>154</v>
        <stp/>
        <stp>57409036M9:BlkVol</stp>
        <tr r="O240" s="5"/>
      </tp>
      <tp>
        <v>154</v>
        <stp/>
        <stp>57409036M8:BlkVol</stp>
        <tr r="O239" s="5"/>
      </tp>
      <tp>
        <v>89</v>
        <stp/>
        <stp>57409036M5:BlkVol</stp>
        <tr r="O236" s="5"/>
      </tp>
      <tp>
        <v>89</v>
        <stp/>
        <stp>57409036M4:BlkVol</stp>
        <tr r="O235" s="5"/>
      </tp>
      <tp>
        <v>359</v>
        <stp/>
        <stp>57409036M7:BlkVol</stp>
        <tr r="O238" s="5"/>
      </tp>
      <tp>
        <v>294</v>
        <stp/>
        <stp>57409036M6:BlkVol</stp>
        <tr r="O237" s="5"/>
      </tp>
      <tp>
        <v>540</v>
        <stp/>
        <stp>57409036M1:BlkVol</stp>
        <tr r="O232" s="5"/>
      </tp>
      <tp>
        <v>0</v>
        <stp/>
        <stp>57409036M0:BlkVol</stp>
        <tr r="O231" s="5"/>
      </tp>
      <tp>
        <v>260</v>
        <stp/>
        <stp>57409036M3:BlkVol</stp>
        <tr r="O234" s="5"/>
      </tp>
      <tp>
        <v>110</v>
        <stp/>
        <stp>57409036M2:BlkVol</stp>
        <tr r="O233" s="5"/>
      </tp>
      <tp>
        <v>0</v>
        <stp/>
        <stp>32623993Y1:Vol</stp>
        <tr r="N2025" s="5"/>
      </tp>
    </main>
    <main first="bofaddin.rtdserver">
      <tp>
        <v>74.69</v>
        <stp/>
        <stp>BDP|10931470173237267432|222</stp>
        <stp>COU8 Comdty</stp>
        <stp>ASK</stp>
        <stp>Fill=#N/A</stp>
        <tr r="G43" s="1"/>
      </tp>
      <tp t="s">
        <v>#N/A Invalid Security</v>
        <stp/>
        <stp>BDP|15431630122975232120|222</stp>
        <stp>CLV8 Comdty</stp>
        <stp>BID</stp>
        <stp>Fill=#N/A</stp>
        <tr r="F44" s="1"/>
      </tp>
      <tp t="s">
        <v>#N/A Invalid Security</v>
        <stp/>
        <stp>BDP|12944007461282660659|222</stp>
        <stp>XBQ0 Comdty</stp>
        <stp>BID</stp>
        <stp>Fill=#N/A</stp>
        <tr r="J66" s="1"/>
      </tp>
    </main>
    <main first="ice.rtd">
      <tp>
        <v>0</v>
        <stp/>
        <stp>32623993Q6:Vol</stp>
        <tr r="N2021" s="5"/>
      </tp>
      <tp>
        <v>0</v>
        <stp/>
        <stp>32623993Q7:Vol</stp>
        <tr r="N2022" s="5"/>
      </tp>
      <tp>
        <v>0</v>
        <stp/>
        <stp>32623993Q4:Vol</stp>
        <tr r="N2019" s="5"/>
      </tp>
      <tp>
        <v>0</v>
        <stp/>
        <stp>32623993Q5:Vol</stp>
        <tr r="N2020" s="5"/>
      </tp>
      <tp>
        <v>0</v>
        <stp/>
        <stp>32623993Q2:Vol</stp>
        <tr r="N2017" s="5"/>
      </tp>
      <tp>
        <v>0</v>
        <stp/>
        <stp>32623993Q3:Vol</stp>
        <tr r="N2018" s="5"/>
      </tp>
      <tp>
        <v>0</v>
        <stp/>
        <stp>32623993Q0:Vol</stp>
        <tr r="N2015" s="5"/>
      </tp>
      <tp>
        <v>0</v>
        <stp/>
        <stp>32623993Q1:Vol</stp>
        <tr r="N2016" s="5"/>
      </tp>
      <tp>
        <v>0</v>
        <stp/>
        <stp>32623993Q8:Vol</stp>
        <tr r="N2023" s="5"/>
      </tp>
    </main>
    <main first="bofaddin.rtdserver">
      <tp>
        <v>838</v>
        <stp/>
        <stp>BDP|10117948201003488329|222</stp>
        <stp>QSX8 Comdty</stp>
        <stp>ASK</stp>
        <stp>Fill=#N/A</stp>
        <tr r="H45" s="1"/>
      </tp>
      <tp>
        <v>6.5932374999999999</v>
        <stp/>
        <stp>BFXFORWARD|12520462333353219879|222</stp>
        <stp>USDCNY</stp>
        <stp>11M</stp>
        <stp>MidOutright</stp>
        <tr r="BD31" s="1"/>
      </tp>
    </main>
    <main first="ice.rtd">
      <tp t="s">
        <v/>
        <stp/>
        <stp>18901687M9:LstPrc</stp>
        <tr r="I316" s="5"/>
      </tp>
      <tp t="s">
        <v/>
        <stp/>
        <stp>18901687M8:LstPrc</stp>
        <tr r="I315" s="5"/>
      </tp>
      <tp t="s">
        <v/>
        <stp/>
        <stp>18901687M3:LstPrc</stp>
        <tr r="I310" s="5"/>
      </tp>
      <tp t="s">
        <v/>
        <stp/>
        <stp>18901687M2:LstPrc</stp>
        <tr r="I309" s="5"/>
      </tp>
      <tp t="s">
        <v/>
        <stp/>
        <stp>18901687M1:LstPrc</stp>
        <tr r="I308" s="5"/>
      </tp>
      <tp t="s">
        <v/>
        <stp/>
        <stp>18901687M0:LstPrc</stp>
        <tr r="I307" s="5"/>
      </tp>
      <tp t="s">
        <v/>
        <stp/>
        <stp>18901687M7:LstPrc</stp>
        <tr r="I314" s="5"/>
      </tp>
      <tp t="s">
        <v/>
        <stp/>
        <stp>18901687M6:LstPrc</stp>
        <tr r="I313" s="5"/>
      </tp>
      <tp t="s">
        <v/>
        <stp/>
        <stp>18901687M5:LstPrc</stp>
        <tr r="I312" s="5"/>
      </tp>
      <tp t="s">
        <v/>
        <stp/>
        <stp>18901687M4:LstPrc</stp>
        <tr r="I311" s="5"/>
      </tp>
      <tp t="s">
        <v/>
        <stp/>
        <stp>18901687Q8:LstPrc</stp>
        <tr r="I340" s="5"/>
      </tp>
      <tp t="s">
        <v/>
        <stp/>
        <stp>18901687Q3:LstPrc</stp>
        <tr r="I335" s="5"/>
      </tp>
      <tp t="s">
        <v/>
        <stp/>
        <stp>18901687Q2:LstPrc</stp>
        <tr r="I334" s="5"/>
      </tp>
      <tp t="s">
        <v/>
        <stp/>
        <stp>18901687Q1:LstPrc</stp>
        <tr r="I333" s="5"/>
      </tp>
      <tp t="s">
        <v/>
        <stp/>
        <stp>18901687Q0:LstPrc</stp>
        <tr r="I332" s="5"/>
      </tp>
      <tp t="s">
        <v/>
        <stp/>
        <stp>18901687Q7:LstPrc</stp>
        <tr r="I339" s="5"/>
      </tp>
      <tp t="s">
        <v/>
        <stp/>
        <stp>18901687Q6:LstPrc</stp>
        <tr r="I338" s="5"/>
      </tp>
      <tp t="s">
        <v/>
        <stp/>
        <stp>18901687Q5:LstPrc</stp>
        <tr r="I337" s="5"/>
      </tp>
      <tp t="s">
        <v/>
        <stp/>
        <stp>18901687Q4:LstPrc</stp>
        <tr r="I336" s="5"/>
      </tp>
      <tp t="s">
        <v>Invalid Market: 18901687Y2</v>
        <stp/>
        <stp>18901687Y2:LstPrc</stp>
        <tr r="I343" s="5"/>
      </tp>
      <tp t="s">
        <v/>
        <stp/>
        <stp>18901687Y1:LstPrc</stp>
        <tr r="I342" s="5"/>
      </tp>
      <tp t="s">
        <v/>
        <stp/>
        <stp>18901687Y0:LstPrc</stp>
        <tr r="I341" s="5"/>
      </tp>
      <tp t="s">
        <v/>
        <stp/>
        <stp>30813691M3:LstPrc</stp>
        <tr r="I1956" s="5"/>
      </tp>
      <tp t="s">
        <v/>
        <stp/>
        <stp>30813691M2:LstPrc</stp>
        <tr r="I1955" s="5"/>
      </tp>
      <tp>
        <v>-5.9</v>
        <stp/>
        <stp>30813691M1:LstPrc</stp>
        <tr r="I1954" s="5"/>
      </tp>
      <tp t="s">
        <v/>
        <stp/>
        <stp>30813691M0:LstPrc</stp>
        <tr r="I1953" s="5"/>
      </tp>
      <tp t="s">
        <v/>
        <stp/>
        <stp>30813691M7:LstPrc</stp>
        <tr r="I1960" s="5"/>
      </tp>
      <tp t="s">
        <v/>
        <stp/>
        <stp>30813691M6:LstPrc</stp>
        <tr r="I1959" s="5"/>
      </tp>
      <tp t="s">
        <v/>
        <stp/>
        <stp>30813691M5:LstPrc</stp>
        <tr r="I1958" s="5"/>
      </tp>
      <tp t="s">
        <v/>
        <stp/>
        <stp>30813691M4:LstPrc</stp>
        <tr r="I1957" s="5"/>
      </tp>
      <tp t="s">
        <v/>
        <stp/>
        <stp>30813691M9:LstPrc</stp>
        <tr r="I1962" s="5"/>
      </tp>
      <tp t="s">
        <v/>
        <stp/>
        <stp>30813691M8:LstPrc</stp>
        <tr r="I1961" s="5"/>
      </tp>
      <tp t="s">
        <v/>
        <stp/>
        <stp>35534143M1:LstPrc</stp>
        <tr r="I709" s="5"/>
      </tp>
      <tp t="s">
        <v/>
        <stp/>
        <stp>35544144M1:LstPrc</stp>
        <tr r="I633" s="5"/>
      </tp>
      <tp t="s">
        <v/>
        <stp/>
        <stp>35554145M1:LstPrc</stp>
        <tr r="I671" s="5"/>
      </tp>
      <tp t="s">
        <v/>
        <stp/>
        <stp>35534143M0:LstPrc</stp>
        <tr r="I708" s="5"/>
      </tp>
      <tp t="s">
        <v/>
        <stp/>
        <stp>35544144M0:LstPrc</stp>
        <tr r="I632" s="5"/>
      </tp>
      <tp t="s">
        <v/>
        <stp/>
        <stp>35554145M0:LstPrc</stp>
        <tr r="I670" s="5"/>
      </tp>
      <tp t="s">
        <v/>
        <stp/>
        <stp>35534143M3:LstPrc</stp>
        <tr r="I711" s="5"/>
      </tp>
      <tp t="s">
        <v/>
        <stp/>
        <stp>35544144M3:LstPrc</stp>
        <tr r="I635" s="5"/>
      </tp>
      <tp t="s">
        <v/>
        <stp/>
        <stp>35554145M3:LstPrc</stp>
        <tr r="I673" s="5"/>
      </tp>
      <tp t="s">
        <v/>
        <stp/>
        <stp>35534143M2:LstPrc</stp>
        <tr r="I710" s="5"/>
      </tp>
      <tp t="s">
        <v/>
        <stp/>
        <stp>35544144M2:LstPrc</stp>
        <tr r="I634" s="5"/>
      </tp>
      <tp t="s">
        <v/>
        <stp/>
        <stp>35554145M2:LstPrc</stp>
        <tr r="I672" s="5"/>
      </tp>
      <tp t="s">
        <v/>
        <stp/>
        <stp>35534143M5:LstPrc</stp>
        <tr r="I713" s="5"/>
      </tp>
      <tp t="s">
        <v/>
        <stp/>
        <stp>35544144M5:LstPrc</stp>
        <tr r="I637" s="5"/>
      </tp>
      <tp t="s">
        <v/>
        <stp/>
        <stp>35554145M5:LstPrc</stp>
        <tr r="I675" s="5"/>
      </tp>
      <tp t="s">
        <v/>
        <stp/>
        <stp>35534143M4:LstPrc</stp>
        <tr r="I712" s="5"/>
      </tp>
      <tp t="s">
        <v/>
        <stp/>
        <stp>35544144M4:LstPrc</stp>
        <tr r="I636" s="5"/>
      </tp>
      <tp t="s">
        <v/>
        <stp/>
        <stp>35554145M4:LstPrc</stp>
        <tr r="I674" s="5"/>
      </tp>
      <tp t="s">
        <v/>
        <stp/>
        <stp>35534143M7:LstPrc</stp>
        <tr r="I715" s="5"/>
      </tp>
      <tp t="s">
        <v/>
        <stp/>
        <stp>35544144M7:LstPrc</stp>
        <tr r="I639" s="5"/>
      </tp>
      <tp t="s">
        <v/>
        <stp/>
        <stp>35554145M7:LstPrc</stp>
        <tr r="I677" s="5"/>
      </tp>
      <tp t="s">
        <v/>
        <stp/>
        <stp>35534143M6:LstPrc</stp>
        <tr r="I714" s="5"/>
      </tp>
      <tp t="s">
        <v/>
        <stp/>
        <stp>35544144M6:LstPrc</stp>
        <tr r="I638" s="5"/>
      </tp>
      <tp t="s">
        <v/>
        <stp/>
        <stp>35554145M6:LstPrc</stp>
        <tr r="I676" s="5"/>
      </tp>
      <tp t="s">
        <v/>
        <stp/>
        <stp>35534143M9:LstPrc</stp>
        <tr r="I717" s="5"/>
      </tp>
      <tp t="s">
        <v/>
        <stp/>
        <stp>35544144M9:LstPrc</stp>
        <tr r="I641" s="5"/>
      </tp>
      <tp t="s">
        <v/>
        <stp/>
        <stp>35554145M9:LstPrc</stp>
        <tr r="I679" s="5"/>
      </tp>
      <tp t="s">
        <v/>
        <stp/>
        <stp>35534143M8:LstPrc</stp>
        <tr r="I716" s="5"/>
      </tp>
      <tp t="s">
        <v/>
        <stp/>
        <stp>35544144M8:LstPrc</stp>
        <tr r="I640" s="5"/>
      </tp>
      <tp t="s">
        <v/>
        <stp/>
        <stp>35554145M8:LstPrc</stp>
        <tr r="I678" s="5"/>
      </tp>
      <tp t="s">
        <v/>
        <stp/>
        <stp>35534143Q1:LstPrc</stp>
        <tr r="I734" s="5"/>
      </tp>
      <tp t="s">
        <v/>
        <stp/>
        <stp>35544144Q1:LstPrc</stp>
        <tr r="I658" s="5"/>
      </tp>
      <tp t="s">
        <v/>
        <stp/>
        <stp>35554145Q1:LstPrc</stp>
        <tr r="I696" s="5"/>
      </tp>
      <tp t="s">
        <v/>
        <stp/>
        <stp>35534143Q0:LstPrc</stp>
        <tr r="I733" s="5"/>
      </tp>
      <tp t="s">
        <v/>
        <stp/>
        <stp>35544144Q0:LstPrc</stp>
        <tr r="I657" s="5"/>
      </tp>
      <tp t="s">
        <v/>
        <stp/>
        <stp>35554145Q0:LstPrc</stp>
        <tr r="I695" s="5"/>
      </tp>
      <tp t="s">
        <v/>
        <stp/>
        <stp>35534143Q3:LstPrc</stp>
        <tr r="I736" s="5"/>
      </tp>
      <tp t="s">
        <v/>
        <stp/>
        <stp>35544144Q3:LstPrc</stp>
        <tr r="I660" s="5"/>
      </tp>
      <tp t="s">
        <v/>
        <stp/>
        <stp>35554145Q3:LstPrc</stp>
        <tr r="I698" s="5"/>
      </tp>
      <tp t="s">
        <v/>
        <stp/>
        <stp>35534143Q2:LstPrc</stp>
        <tr r="I735" s="5"/>
      </tp>
      <tp t="s">
        <v/>
        <stp/>
        <stp>35544144Q2:LstPrc</stp>
        <tr r="I659" s="5"/>
      </tp>
      <tp t="s">
        <v/>
        <stp/>
        <stp>35554145Q2:LstPrc</stp>
        <tr r="I697" s="5"/>
      </tp>
      <tp t="s">
        <v/>
        <stp/>
        <stp>35534143Q5:LstPrc</stp>
        <tr r="I738" s="5"/>
      </tp>
      <tp t="s">
        <v/>
        <stp/>
        <stp>35544144Q5:LstPrc</stp>
        <tr r="I662" s="5"/>
      </tp>
      <tp t="s">
        <v/>
        <stp/>
        <stp>35554145Q5:LstPrc</stp>
        <tr r="I700" s="5"/>
      </tp>
      <tp t="s">
        <v/>
        <stp/>
        <stp>35534143Q4:LstPrc</stp>
        <tr r="I737" s="5"/>
      </tp>
      <tp t="s">
        <v/>
        <stp/>
        <stp>35544144Q4:LstPrc</stp>
        <tr r="I661" s="5"/>
      </tp>
      <tp t="s">
        <v/>
        <stp/>
        <stp>35554145Q4:LstPrc</stp>
        <tr r="I699" s="5"/>
      </tp>
      <tp t="s">
        <v/>
        <stp/>
        <stp>35534143Q7:LstPrc</stp>
        <tr r="I740" s="5"/>
      </tp>
      <tp t="s">
        <v/>
        <stp/>
        <stp>35544144Q7:LstPrc</stp>
        <tr r="I664" s="5"/>
      </tp>
      <tp t="s">
        <v/>
        <stp/>
        <stp>35554145Q7:LstPrc</stp>
        <tr r="I702" s="5"/>
      </tp>
      <tp t="s">
        <v/>
        <stp/>
        <stp>35534143Q6:LstPrc</stp>
        <tr r="I739" s="5"/>
      </tp>
      <tp t="s">
        <v/>
        <stp/>
        <stp>35544144Q6:LstPrc</stp>
        <tr r="I663" s="5"/>
      </tp>
      <tp t="s">
        <v/>
        <stp/>
        <stp>35554145Q6:LstPrc</stp>
        <tr r="I701" s="5"/>
      </tp>
      <tp t="s">
        <v/>
        <stp/>
        <stp>35534143Q8:LstPrc</stp>
        <tr r="I741" s="5"/>
      </tp>
      <tp t="s">
        <v/>
        <stp/>
        <stp>35544144Q8:LstPrc</stp>
        <tr r="I665" s="5"/>
      </tp>
      <tp t="s">
        <v/>
        <stp/>
        <stp>35554145Q8:LstPrc</stp>
        <tr r="I703" s="5"/>
      </tp>
      <tp t="s">
        <v/>
        <stp/>
        <stp>30813691Q3:LstPrc</stp>
        <tr r="I1981" s="5"/>
      </tp>
      <tp>
        <v>-4.3</v>
        <stp/>
        <stp>30813691Q2:LstPrc</stp>
        <tr r="I1980" s="5"/>
      </tp>
      <tp t="s">
        <v/>
        <stp/>
        <stp>30813691Q1:LstPrc</stp>
        <tr r="I1979" s="5"/>
      </tp>
      <tp t="s">
        <v/>
        <stp/>
        <stp>30813691Q0:LstPrc</stp>
        <tr r="I1978" s="5"/>
      </tp>
      <tp t="s">
        <v/>
        <stp/>
        <stp>30813691Q7:LstPrc</stp>
        <tr r="I1985" s="5"/>
      </tp>
      <tp t="s">
        <v/>
        <stp/>
        <stp>30813691Q6:LstPrc</stp>
        <tr r="I1984" s="5"/>
      </tp>
      <tp t="s">
        <v/>
        <stp/>
        <stp>30813691Q5:LstPrc</stp>
        <tr r="I1983" s="5"/>
      </tp>
      <tp t="s">
        <v/>
        <stp/>
        <stp>30813691Q4:LstPrc</stp>
        <tr r="I1982" s="5"/>
      </tp>
      <tp t="s">
        <v/>
        <stp/>
        <stp>30813691Q8:LstPrc</stp>
        <tr r="I1986" s="5"/>
      </tp>
      <tp t="s">
        <v/>
        <stp/>
        <stp>35534143Y1:LstPrc</stp>
        <tr r="I743" s="5"/>
      </tp>
      <tp t="s">
        <v/>
        <stp/>
        <stp>35544144Y1:LstPrc</stp>
        <tr r="I667" s="5"/>
      </tp>
      <tp t="s">
        <v/>
        <stp/>
        <stp>35554145Y1:LstPrc</stp>
        <tr r="I705" s="5"/>
      </tp>
      <tp t="s">
        <v/>
        <stp/>
        <stp>35534143Y0:LstPrc</stp>
        <tr r="I742" s="5"/>
      </tp>
      <tp t="s">
        <v/>
        <stp/>
        <stp>35544144Y0:LstPrc</stp>
        <tr r="I666" s="5"/>
      </tp>
      <tp t="s">
        <v/>
        <stp/>
        <stp>35554145Y0:LstPrc</stp>
        <tr r="I704" s="5"/>
      </tp>
      <tp t="s">
        <v/>
        <stp/>
        <stp>35534143Y2:LstPrc</stp>
        <tr r="I744" s="5"/>
      </tp>
      <tp t="s">
        <v/>
        <stp/>
        <stp>35544144Y2:LstPrc</stp>
        <tr r="I668" s="5"/>
      </tp>
      <tp t="s">
        <v/>
        <stp/>
        <stp>35554145Y2:LstPrc</stp>
        <tr r="I706" s="5"/>
      </tp>
      <tp t="s">
        <v/>
        <stp/>
        <stp>30813691Y2:LstPrc</stp>
        <tr r="I1989" s="5"/>
      </tp>
      <tp t="s">
        <v/>
        <stp/>
        <stp>30813691Y1:LstPrc</stp>
        <tr r="I1988" s="5"/>
      </tp>
      <tp t="s">
        <v/>
        <stp/>
        <stp>30813691Y0:LstPrc</stp>
        <tr r="I1987" s="5"/>
      </tp>
      <tp>
        <v>0</v>
        <stp/>
        <stp>32623993M6:Vol</stp>
        <tr r="N1996" s="5"/>
      </tp>
      <tp>
        <v>0</v>
        <stp/>
        <stp>32623993M7:Vol</stp>
        <tr r="N1997" s="5"/>
      </tp>
      <tp>
        <v>0</v>
        <stp/>
        <stp>32623993M4:Vol</stp>
        <tr r="N1994" s="5"/>
      </tp>
      <tp>
        <v>0</v>
        <stp/>
        <stp>32623993M5:Vol</stp>
        <tr r="N1995" s="5"/>
      </tp>
      <tp>
        <v>0</v>
        <stp/>
        <stp>32623993M2:Vol</stp>
        <tr r="N1992" s="5"/>
      </tp>
      <tp>
        <v>0</v>
        <stp/>
        <stp>32623993M3:Vol</stp>
        <tr r="N1993" s="5"/>
      </tp>
      <tp>
        <v>0</v>
        <stp/>
        <stp>32623993M1:Vol</stp>
        <tr r="N1991" s="5"/>
      </tp>
      <tp>
        <v>0</v>
        <stp/>
        <stp>32623993M8:Vol</stp>
        <tr r="N1998" s="5"/>
      </tp>
      <tp>
        <v>0</v>
        <stp/>
        <stp>32623993M9:Vol</stp>
        <tr r="N1999" s="5"/>
      </tp>
    </main>
    <main first="bofaddin.rtdserver">
      <tp t="s">
        <v>#N/A Real Time</v>
        <stp/>
        <stp>BDP|5955704610304838854|22</stp>
        <stp>COQ6C 300.00 Comdty</stp>
        <stp>DELTA_MID_RT</stp>
        <tr r="E72" s="23"/>
        <tr r="E81" s="23"/>
        <tr r="E51" s="23"/>
        <tr r="E11" s="23"/>
        <tr r="E53" s="23"/>
      </tp>
    </main>
    <main first="ice.rtd">
      <tp t="s">
        <v/>
        <stp/>
        <stp>1986823075M20:LstDate</stp>
        <tr r="J137" s="5"/>
      </tp>
      <tp t="s">
        <v/>
        <stp/>
        <stp>1986923076M21:LstDate</stp>
        <tr r="J176" s="5"/>
      </tp>
      <tp t="s">
        <v/>
        <stp/>
        <stp>1986823075M21:LstDate</stp>
        <tr r="J138" s="5"/>
      </tp>
      <tp t="s">
        <v/>
        <stp/>
        <stp>1986923076M20:LstDate</stp>
        <tr r="J175" s="5"/>
      </tp>
      <tp t="s">
        <v/>
        <stp/>
        <stp>1986823075M22:LstDate</stp>
        <tr r="J139" s="5"/>
      </tp>
      <tp t="s">
        <v/>
        <stp/>
        <stp>1986923076M23:LstDate</stp>
        <tr r="J178" s="5"/>
      </tp>
      <tp t="s">
        <v/>
        <stp/>
        <stp>1986823075M23:LstDate</stp>
        <tr r="J140" s="5"/>
      </tp>
      <tp t="s">
        <v/>
        <stp/>
        <stp>1986923076M22:LstDate</stp>
        <tr r="J177" s="5"/>
      </tp>
      <tp t="s">
        <v/>
        <stp/>
        <stp>1986823075M24:LstDate</stp>
        <tr r="J141" s="5"/>
      </tp>
      <tp t="s">
        <v/>
        <stp/>
        <stp>1986923076M24:LstDate</stp>
        <tr r="J179" s="5"/>
      </tp>
      <tp t="s">
        <v/>
        <stp/>
        <stp>15091310M3:LstPrc</stp>
        <tr r="I1380" s="5"/>
      </tp>
      <tp t="s">
        <v/>
        <stp/>
        <stp>15091310M2:LstPrc</stp>
        <tr r="I1379" s="5"/>
      </tp>
      <tp t="s">
        <v/>
        <stp/>
        <stp>15091310M1:LstPrc</stp>
        <tr r="I1378" s="5"/>
      </tp>
      <tp t="s">
        <v/>
        <stp/>
        <stp>15091310M0:LstPrc</stp>
        <tr r="I1377" s="5"/>
      </tp>
      <tp t="s">
        <v/>
        <stp/>
        <stp>15091310M7:LstPrc</stp>
        <tr r="I1384" s="5"/>
      </tp>
      <tp t="s">
        <v/>
        <stp/>
        <stp>15091310M6:LstPrc</stp>
        <tr r="I1383" s="5"/>
      </tp>
      <tp t="s">
        <v/>
        <stp/>
        <stp>15091310M5:LstPrc</stp>
        <tr r="I1382" s="5"/>
      </tp>
      <tp t="s">
        <v/>
        <stp/>
        <stp>15091310M4:LstPrc</stp>
        <tr r="I1381" s="5"/>
      </tp>
      <tp t="s">
        <v/>
        <stp/>
        <stp>15091310M9:LstPrc</stp>
        <tr r="I1386" s="5"/>
      </tp>
      <tp t="s">
        <v/>
        <stp/>
        <stp>15091310M8:LstPrc</stp>
        <tr r="I1385" s="5"/>
      </tp>
      <tp t="s">
        <v/>
        <stp/>
        <stp>15091310Q3:LstPrc</stp>
        <tr r="I1405" s="5"/>
      </tp>
      <tp t="s">
        <v/>
        <stp/>
        <stp>15091310Q2:LstPrc</stp>
        <tr r="I1404" s="5"/>
      </tp>
      <tp t="s">
        <v/>
        <stp/>
        <stp>15091310Q1:LstPrc</stp>
        <tr r="I1403" s="5"/>
      </tp>
      <tp t="s">
        <v/>
        <stp/>
        <stp>15091310Q0:LstPrc</stp>
        <tr r="I1402" s="5"/>
      </tp>
      <tp t="s">
        <v/>
        <stp/>
        <stp>15091310Q7:LstPrc</stp>
        <tr r="I1409" s="5"/>
      </tp>
      <tp t="s">
        <v/>
        <stp/>
        <stp>15091310Q6:LstPrc</stp>
        <tr r="I1408" s="5"/>
      </tp>
      <tp t="s">
        <v/>
        <stp/>
        <stp>15091310Q5:LstPrc</stp>
        <tr r="I1407" s="5"/>
      </tp>
      <tp t="s">
        <v/>
        <stp/>
        <stp>15091310Q4:LstPrc</stp>
        <tr r="I1406" s="5"/>
      </tp>
      <tp t="s">
        <v/>
        <stp/>
        <stp>15091310Q8:LstPrc</stp>
        <tr r="I1410" s="5"/>
      </tp>
      <tp t="s">
        <v/>
        <stp/>
        <stp>15091310Y2:LstPrc</stp>
        <tr r="I1413" s="5"/>
      </tp>
      <tp t="s">
        <v/>
        <stp/>
        <stp>15091310Y1:LstPrc</stp>
        <tr r="I1412" s="5"/>
      </tp>
      <tp t="s">
        <v/>
        <stp/>
        <stp>15091310Y0:LstPrc</stp>
        <tr r="I1411" s="5"/>
      </tp>
      <tp t="s">
        <v/>
        <stp/>
        <stp>1986823075M18:LstDate</stp>
        <tr r="J135" s="5"/>
      </tp>
      <tp t="s">
        <v/>
        <stp/>
        <stp>1986923076M19:LstDate</stp>
        <tr r="J174" s="5"/>
      </tp>
      <tp t="s">
        <v/>
        <stp/>
        <stp>1986823075M19:LstDate</stp>
        <tr r="J136" s="5"/>
      </tp>
      <tp t="s">
        <v/>
        <stp/>
        <stp>1986923076M18:LstDate</stp>
        <tr r="J173" s="5"/>
      </tp>
      <tp t="s">
        <v/>
        <stp/>
        <stp>1986823075M10:LstDate</stp>
        <tr r="J127" s="5"/>
      </tp>
      <tp t="s">
        <v/>
        <stp/>
        <stp>1986923076M11:LstDate</stp>
        <tr r="J166" s="5"/>
      </tp>
      <tp t="s">
        <v/>
        <stp/>
        <stp>1986823075M11:LstDate</stp>
        <tr r="J128" s="5"/>
      </tp>
      <tp t="s">
        <v/>
        <stp/>
        <stp>1986923076M10:LstDate</stp>
        <tr r="J165" s="5"/>
      </tp>
      <tp t="s">
        <v/>
        <stp/>
        <stp>1986823075M12:LstDate</stp>
        <tr r="J129" s="5"/>
      </tp>
      <tp t="s">
        <v/>
        <stp/>
        <stp>1986923076M13:LstDate</stp>
        <tr r="J168" s="5"/>
      </tp>
      <tp t="s">
        <v/>
        <stp/>
        <stp>1986823075M13:LstDate</stp>
        <tr r="J130" s="5"/>
      </tp>
      <tp t="s">
        <v/>
        <stp/>
        <stp>1986923076M12:LstDate</stp>
        <tr r="J167" s="5"/>
      </tp>
      <tp t="s">
        <v/>
        <stp/>
        <stp>1986823075M14:LstDate</stp>
        <tr r="J131" s="5"/>
      </tp>
      <tp t="s">
        <v/>
        <stp/>
        <stp>1986923076M15:LstDate</stp>
        <tr r="J170" s="5"/>
      </tp>
      <tp t="s">
        <v/>
        <stp/>
        <stp>1986823075M15:LstDate</stp>
        <tr r="J132" s="5"/>
      </tp>
      <tp t="s">
        <v/>
        <stp/>
        <stp>1986923076M14:LstDate</stp>
        <tr r="J169" s="5"/>
      </tp>
      <tp t="s">
        <v/>
        <stp/>
        <stp>1986823075M16:LstDate</stp>
        <tr r="J133" s="5"/>
      </tp>
      <tp t="s">
        <v/>
        <stp/>
        <stp>1986923076M17:LstDate</stp>
        <tr r="J172" s="5"/>
      </tp>
      <tp t="s">
        <v/>
        <stp/>
        <stp>1986823075M17:LstDate</stp>
        <tr r="J134" s="5"/>
      </tp>
      <tp t="s">
        <v/>
        <stp/>
        <stp>1986923076M16:LstDate</stp>
        <tr r="J171" s="5"/>
      </tp>
    </main>
    <main first="bofaddin.rtdserver">
      <tp>
        <v>269.25</v>
        <stp/>
        <stp>BDP|14377047054738101|222</stp>
        <stp>XBG7 Comdty</stp>
        <stp>ASK</stp>
        <stp>Fill=#N/A</stp>
        <tr r="J24" s="1"/>
      </tp>
    </main>
    <main first="ice.rtd">
      <tp t="s">
        <v/>
        <stp/>
        <stp>DBI1227MM17:LstBlkVol</stp>
        <tr r="L1668" s="5"/>
      </tp>
      <tp t="s">
        <v/>
        <stp/>
        <stp>DBI1227MM27:LstBlkVol</stp>
        <tr r="L1678" s="5"/>
      </tp>
      <tp>
        <v>2</v>
        <stp/>
        <stp>41767893M13:Settle</stp>
        <tr r="U493" s="5"/>
      </tp>
      <tp>
        <v>2</v>
        <stp/>
        <stp>41767893M12:Settle</stp>
        <tr r="U492" s="5"/>
      </tp>
      <tp>
        <v>2</v>
        <stp/>
        <stp>41767893M11:Settle</stp>
        <tr r="U491" s="5"/>
      </tp>
      <tp>
        <v>2</v>
        <stp/>
        <stp>41767893M10:Settle</stp>
        <tr r="U490" s="5"/>
      </tp>
      <tp>
        <v>2</v>
        <stp/>
        <stp>41767893M17:Settle</stp>
        <tr r="U497" s="5"/>
      </tp>
      <tp>
        <v>2</v>
        <stp/>
        <stp>41767893M16:Settle</stp>
        <tr r="U496" s="5"/>
      </tp>
      <tp>
        <v>2</v>
        <stp/>
        <stp>41767893M15:Settle</stp>
        <tr r="U495" s="5"/>
      </tp>
      <tp>
        <v>2</v>
        <stp/>
        <stp>41767893M14:Settle</stp>
        <tr r="U494" s="5"/>
      </tp>
      <tp>
        <v>2</v>
        <stp/>
        <stp>41767893M19:Settle</stp>
        <tr r="U499" s="5"/>
      </tp>
      <tp>
        <v>2</v>
        <stp/>
        <stp>41767893M18:Settle</stp>
        <tr r="U498" s="5"/>
      </tp>
      <tp>
        <v>2</v>
        <stp/>
        <stp>41767893M23:Settle</stp>
        <tr r="U503" s="5"/>
      </tp>
      <tp>
        <v>2</v>
        <stp/>
        <stp>41767893M22:Settle</stp>
        <tr r="U502" s="5"/>
      </tp>
      <tp>
        <v>2</v>
        <stp/>
        <stp>41767893M21:Settle</stp>
        <tr r="U501" s="5"/>
      </tp>
      <tp>
        <v>2</v>
        <stp/>
        <stp>41767893M20:Settle</stp>
        <tr r="U500" s="5"/>
      </tp>
      <tp>
        <v>2</v>
        <stp/>
        <stp>41767893M24:Settle</stp>
        <tr r="U504" s="5"/>
      </tp>
      <tp t="s">
        <v>Feb27</v>
        <stp/>
        <stp>34364094M5:Strip</stp>
        <tr r="E523" s="5"/>
      </tp>
      <tp t="s">
        <v>Feb27</v>
        <stp/>
        <stp>34374095M5:Strip</stp>
        <tr r="E561" s="5"/>
      </tp>
      <tp t="s">
        <v>Q1 28</v>
        <stp/>
        <stp>34364094Q5:Strip</stp>
        <tr r="E548" s="5"/>
      </tp>
      <tp t="s">
        <v>Q1 28</v>
        <stp/>
        <stp>34374095Q5:Strip</stp>
        <tr r="E586" s="5"/>
      </tp>
      <tp t="s">
        <v>Feb27</v>
        <stp/>
        <stp>34344092M5:Strip</stp>
        <tr r="E1268" s="5"/>
      </tp>
      <tp t="s">
        <v>Feb27</v>
        <stp/>
        <stp>34354093M5:Strip</stp>
        <tr r="E1306" s="5"/>
      </tp>
      <tp t="s">
        <v>Q1 28</v>
        <stp/>
        <stp>34344092Q5:Strip</stp>
        <tr r="E1293" s="5"/>
      </tp>
      <tp t="s">
        <v>Q1 28</v>
        <stp/>
        <stp>34354093Q5:Strip</stp>
        <tr r="E1331" s="5"/>
      </tp>
      <tp t="s">
        <v>Sep26/Jan27</v>
        <stp/>
        <stp>161913535MM3:Strip</stp>
        <tr r="E2030" s="5"/>
      </tp>
      <tp t="s">
        <v>Jun27</v>
        <stp/>
        <stp>1581618115M9:Strip</stp>
        <tr r="E468" s="5"/>
      </tp>
      <tp t="s">
        <v>Jun27</v>
        <stp/>
        <stp>1923422331M9:Strip</stp>
        <tr r="E1636" s="5"/>
      </tp>
      <tp t="s">
        <v/>
        <stp/>
        <stp>DBI1227MM21:BstHitPrc</stp>
        <tr r="G1672" s="5"/>
      </tp>
      <tp>
        <v>10.81</v>
        <stp/>
        <stp>DBI1227MM11:BstHitPrc</stp>
        <tr r="G1662" s="5"/>
      </tp>
      <tp t="s">
        <v>Apr27</v>
        <stp/>
        <stp>30793693M7:Strip</stp>
        <tr r="E890" s="5"/>
      </tp>
      <tp t="s">
        <v>Q3 28</v>
        <stp/>
        <stp>30793693Q7:Strip</stp>
        <tr r="E915" s="5"/>
      </tp>
      <tp t="s">
        <v>May27</v>
        <stp/>
        <stp>41787896M8:Strip</stp>
        <tr r="E815" s="5"/>
      </tp>
      <tp t="s">
        <v>Q4 28</v>
        <stp/>
        <stp>41787896Q8:Strip</stp>
        <tr r="E840" s="5"/>
      </tp>
      <tp t="s">
        <v>May27</v>
        <stp/>
        <stp>41767893M8:Strip</stp>
        <tr r="E488" s="5"/>
      </tp>
      <tp t="s">
        <v>Q4 28</v>
        <stp/>
        <stp>41767893Q8:Strip</stp>
        <tr r="E513" s="5"/>
      </tp>
      <tp t="s">
        <v>Sep28-Oct2 (Dec)</v>
        <stp/>
        <stp>17551596T3:Strip</stp>
        <tr r="E1540" s="5"/>
      </tp>
      <tp t="s">
        <v>Feb27</v>
        <stp/>
        <stp>34404098M5:Strip</stp>
        <tr r="E599" s="5"/>
      </tp>
      <tp t="s">
        <v>Feb27</v>
        <stp/>
        <stp>34414099M5:Strip</stp>
        <tr r="E84" s="5"/>
      </tp>
      <tp t="s">
        <v>Q1 28</v>
        <stp/>
        <stp>34404098Q5:Strip</stp>
        <tr r="E624" s="5"/>
      </tp>
      <tp t="s">
        <v>Q1 28</v>
        <stp/>
        <stp>34414099Q5:Strip</stp>
        <tr r="E109" s="5"/>
      </tp>
      <tp t="s">
        <v>Nov26</v>
        <stp/>
        <stp>16331513M2:Strip</stp>
        <tr r="E1417" s="5"/>
      </tp>
      <tp t="s">
        <v>Nov26</v>
        <stp/>
        <stp>16341514M2:Strip</stp>
        <tr r="E1455" s="5"/>
      </tp>
      <tp t="s">
        <v>Nov26</v>
        <stp/>
        <stp>16351515M2:Strip</stp>
        <tr r="E1493" s="5"/>
      </tp>
      <tp t="s">
        <v>Q2 27</v>
        <stp/>
        <stp>16331513Q2:Strip</stp>
        <tr r="E1442" s="5"/>
      </tp>
      <tp t="s">
        <v>Q2 27</v>
        <stp/>
        <stp>16341514Q2:Strip</stp>
        <tr r="E1480" s="5"/>
      </tp>
      <tp t="s">
        <v>Q2 27</v>
        <stp/>
        <stp>16351515Q2:Strip</stp>
        <tr r="E1518" s="5"/>
      </tp>
      <tp t="s">
        <v>Cal 29</v>
        <stp/>
        <stp>16331513Y2:Strip</stp>
        <tr r="E1451" s="5"/>
      </tp>
      <tp t="s">
        <v>Cal 29</v>
        <stp/>
        <stp>16341514Y2:Strip</stp>
        <tr r="E1489" s="5"/>
      </tp>
      <tp t="s">
        <v>Cal 29</v>
        <stp/>
        <stp>16351515Y2:Strip</stp>
        <tr r="E1527" s="5"/>
      </tp>
      <tp t="s">
        <v/>
        <stp/>
        <stp>DBI1227MM11:LstBlkPrc</stp>
        <tr r="K1662" s="5"/>
      </tp>
      <tp t="s">
        <v/>
        <stp/>
        <stp>DBI1227MM21:LstBlkPrc</stp>
        <tr r="K1672" s="5"/>
      </tp>
    </main>
    <main first="bofaddin.rtdserver">
      <tp t="s">
        <v>#N/A Real Time</v>
        <stp/>
        <stp>BDP|11735716848458263785|22</stp>
        <stp>COQ6P 85.00 Comdty</stp>
        <stp>MID</stp>
        <tr r="F41" s="23"/>
      </tp>
    </main>
    <main first="ice.rtd">
      <tp t="s">
        <v>Mar27</v>
        <stp/>
        <stp>57179020M6:Strip</stp>
        <tr r="E1553" s="5"/>
      </tp>
      <tp t="s">
        <v>Invalid Market: 57179020Q6</v>
        <stp/>
        <stp>57179020Q6:Strip</stp>
        <tr r="E1578" s="5"/>
      </tp>
      <tp t="s">
        <v>Nov2-Nov6 (Jan)</v>
        <stp/>
        <stp>15141311T7:Strip</stp>
        <tr r="E1535" s="5"/>
      </tp>
      <tp t="s">
        <v>Apr27</v>
        <stp/>
        <stp>15091310M7:Strip</stp>
        <tr r="E1384" s="5"/>
      </tp>
      <tp t="s">
        <v>Q3 28</v>
        <stp/>
        <stp>15091310Q7:Strip</stp>
        <tr r="E1409" s="5"/>
      </tp>
      <tp t="s">
        <v>Feb27</v>
        <stp/>
        <stp>35534143M5:Strip</stp>
        <tr r="E713" s="5"/>
      </tp>
      <tp t="s">
        <v>Feb27</v>
        <stp/>
        <stp>35544144M5:Strip</stp>
        <tr r="E637" s="5"/>
      </tp>
      <tp t="s">
        <v>Feb27</v>
        <stp/>
        <stp>35554145M5:Strip</stp>
        <tr r="E675" s="5"/>
      </tp>
      <tp t="s">
        <v>Apr27</v>
        <stp/>
        <stp>30813691M7:Strip</stp>
        <tr r="E1960" s="5"/>
      </tp>
      <tp t="s">
        <v>Q3 28</v>
        <stp/>
        <stp>30813691Q7:Strip</stp>
        <tr r="E1985" s="5"/>
      </tp>
      <tp t="s">
        <v>Q1 28</v>
        <stp/>
        <stp>35534143Q5:Strip</stp>
        <tr r="E738" s="5"/>
      </tp>
      <tp t="s">
        <v>Q1 28</v>
        <stp/>
        <stp>35544144Q5:Strip</stp>
        <tr r="E662" s="5"/>
      </tp>
      <tp t="s">
        <v>Q1 28</v>
        <stp/>
        <stp>35554145Q5:Strip</stp>
        <tr r="E700" s="5"/>
      </tp>
      <tp t="s">
        <v>Jun27</v>
        <stp/>
        <stp>2044823525M8:Strip</stp>
        <tr r="E1755" s="5"/>
      </tp>
      <tp t="s">
        <v>Q1 27</v>
        <stp/>
        <stp>1840020882Q1:Strip</stp>
        <tr r="E1600" s="5"/>
      </tp>
      <tp t="s">
        <v>Oct26</v>
        <stp/>
        <stp>1840020882M1:Strip</stp>
        <tr r="E1583" s="5"/>
      </tp>
      <tp t="s">
        <v>Mar27</v>
        <stp/>
        <stp>57409036M6:Strip</stp>
        <tr r="E237" s="5"/>
      </tp>
      <tp t="s">
        <v>Q2 28</v>
        <stp/>
        <stp>57409036Q6:Strip</stp>
        <tr r="E262" s="5"/>
      </tp>
      <tp t="s">
        <v>Mar27</v>
        <stp/>
        <stp>46678127M6:Strip</stp>
        <tr r="E351" s="5"/>
      </tp>
      <tp t="s">
        <v>Q2 28</v>
        <stp/>
        <stp>46678127Q6:Strip</stp>
        <tr r="E376" s="5"/>
      </tp>
      <tp>
        <v>9.9499999999999993</v>
        <stp/>
        <stp>DBJ29446BM0:LstBlkPrc</stp>
        <tr r="K1647" s="5"/>
      </tp>
      <tp t="s">
        <v>Dec26/Apr27</v>
        <stp/>
        <stp>366531MM27:Strip</stp>
        <tr r="E1742" s="5"/>
      </tp>
      <tp t="s">
        <v>Nov26/Dec26</v>
        <stp/>
        <stp>366531MM17:Strip</stp>
        <tr r="E1732" s="5"/>
      </tp>
      <tp t="s">
        <v/>
        <stp/>
        <stp>1986823075Q8:LstPrc</stp>
        <tr r="I150" s="5"/>
      </tp>
      <tp t="s">
        <v/>
        <stp/>
        <stp>1986823075Q2:LstPrc</stp>
        <tr r="I144" s="5"/>
      </tp>
      <tp t="s">
        <v/>
        <stp/>
        <stp>1986823075Q3:LstPrc</stp>
        <tr r="I145" s="5"/>
      </tp>
      <tp t="s">
        <v/>
        <stp/>
        <stp>1986823075Q0:LstPrc</stp>
        <tr r="I142" s="5"/>
      </tp>
      <tp t="s">
        <v/>
        <stp/>
        <stp>1986823075Q1:LstPrc</stp>
        <tr r="I143" s="5"/>
      </tp>
      <tp t="s">
        <v/>
        <stp/>
        <stp>1986823075Q6:LstPrc</stp>
        <tr r="I148" s="5"/>
      </tp>
      <tp t="s">
        <v/>
        <stp/>
        <stp>1986823075Q7:LstPrc</stp>
        <tr r="I149" s="5"/>
      </tp>
      <tp t="s">
        <v/>
        <stp/>
        <stp>1986823075Q4:LstPrc</stp>
        <tr r="I146" s="5"/>
      </tp>
      <tp t="s">
        <v/>
        <stp/>
        <stp>1986823075Q5:LstPrc</stp>
        <tr r="I147" s="5"/>
      </tp>
      <tp t="s">
        <v/>
        <stp/>
        <stp>1986823075Y2:LstPrc</stp>
        <tr r="I153" s="5"/>
      </tp>
      <tp t="s">
        <v/>
        <stp/>
        <stp>1986823075Y0:LstPrc</stp>
        <tr r="I151" s="5"/>
      </tp>
      <tp t="s">
        <v/>
        <stp/>
        <stp>1986823075Y1:LstPrc</stp>
        <tr r="I152" s="5"/>
      </tp>
      <tp t="s">
        <v>NBB</v>
        <stp/>
        <stp>57409036Y1:PCC</stp>
        <tr r="B266" s="5"/>
      </tp>
      <tp t="s">
        <v>NBB</v>
        <stp/>
        <stp>57409036Y0:PCC</stp>
        <tr r="B265" s="5"/>
      </tp>
      <tp t="s">
        <v>NBB</v>
        <stp/>
        <stp>57409036Y2:PCC</stp>
        <tr r="B267" s="5"/>
      </tp>
      <tp t="s">
        <v/>
        <stp/>
        <stp>1986823075M8:LstPrc</stp>
        <tr r="I125" s="5"/>
      </tp>
      <tp t="s">
        <v/>
        <stp/>
        <stp>1986823075M9:LstPrc</stp>
        <tr r="I126" s="5"/>
      </tp>
      <tp>
        <v>-95</v>
        <stp/>
        <stp>1986823075M2:LstPrc</stp>
        <tr r="I119" s="5"/>
      </tp>
      <tp t="s">
        <v/>
        <stp/>
        <stp>1986823075M3:LstPrc</stp>
        <tr r="I120" s="5"/>
      </tp>
      <tp t="s">
        <v/>
        <stp/>
        <stp>1986823075M0:LstPrc</stp>
        <tr r="I117" s="5"/>
      </tp>
      <tp>
        <v>-105.25</v>
        <stp/>
        <stp>1986823075M1:LstPrc</stp>
        <tr r="I118" s="5"/>
      </tp>
      <tp t="s">
        <v/>
        <stp/>
        <stp>1986823075M6:LstPrc</stp>
        <tr r="I123" s="5"/>
      </tp>
      <tp t="s">
        <v/>
        <stp/>
        <stp>1986823075M7:LstPrc</stp>
        <tr r="I124" s="5"/>
      </tp>
      <tp t="s">
        <v/>
        <stp/>
        <stp>1986823075M4:LstPrc</stp>
        <tr r="I121" s="5"/>
      </tp>
      <tp t="s">
        <v/>
        <stp/>
        <stp>1986823075M5:LstPrc</stp>
        <tr r="I122" s="5"/>
      </tp>
      <tp t="s">
        <v>ULC</v>
        <stp/>
        <stp>34344092Q6:PCC</stp>
        <tr r="B1294" s="5"/>
      </tp>
      <tp t="s">
        <v>ULD</v>
        <stp/>
        <stp>34354093Q6:PCC</stp>
        <tr r="B1332" s="5"/>
      </tp>
      <tp t="s">
        <v>ULC</v>
        <stp/>
        <stp>34344092Q7:PCC</stp>
        <tr r="B1295" s="5"/>
      </tp>
      <tp t="s">
        <v>ULD</v>
        <stp/>
        <stp>34354093Q7:PCC</stp>
        <tr r="B1333" s="5"/>
      </tp>
      <tp t="s">
        <v>ULC</v>
        <stp/>
        <stp>34344092Q4:PCC</stp>
        <tr r="B1292" s="5"/>
      </tp>
      <tp t="s">
        <v>ULD</v>
        <stp/>
        <stp>34354093Q4:PCC</stp>
        <tr r="B1330" s="5"/>
      </tp>
      <tp t="s">
        <v>ULC</v>
        <stp/>
        <stp>34344092Q5:PCC</stp>
        <tr r="B1293" s="5"/>
      </tp>
      <tp t="s">
        <v>ULD</v>
        <stp/>
        <stp>34354093Q5:PCC</stp>
        <tr r="B1331" s="5"/>
      </tp>
      <tp t="s">
        <v>ULC</v>
        <stp/>
        <stp>34344092Q2:PCC</stp>
        <tr r="B1290" s="5"/>
      </tp>
      <tp t="s">
        <v>ULD</v>
        <stp/>
        <stp>34354093Q2:PCC</stp>
        <tr r="B1328" s="5"/>
      </tp>
      <tp t="s">
        <v>ULC</v>
        <stp/>
        <stp>34344092Q3:PCC</stp>
        <tr r="B1291" s="5"/>
      </tp>
      <tp t="s">
        <v>ULD</v>
        <stp/>
        <stp>34354093Q3:PCC</stp>
        <tr r="B1329" s="5"/>
      </tp>
      <tp t="s">
        <v>ULC</v>
        <stp/>
        <stp>34344092Q0:PCC</stp>
        <tr r="B1288" s="5"/>
      </tp>
      <tp t="s">
        <v>ULD</v>
        <stp/>
        <stp>34354093Q0:PCC</stp>
        <tr r="B1326" s="5"/>
      </tp>
      <tp t="s">
        <v>ULC</v>
        <stp/>
        <stp>34344092Q1:PCC</stp>
        <tr r="B1289" s="5"/>
      </tp>
      <tp t="s">
        <v>ULD</v>
        <stp/>
        <stp>34354093Q1:PCC</stp>
        <tr r="B1327" s="5"/>
      </tp>
      <tp t="s">
        <v>ULC</v>
        <stp/>
        <stp>34344092Q8:PCC</stp>
        <tr r="B1296" s="5"/>
      </tp>
      <tp t="s">
        <v>ULD</v>
        <stp/>
        <stp>34354093Q8:PCC</stp>
        <tr r="B1334" s="5"/>
      </tp>
      <tp t="s">
        <v/>
        <stp/>
        <stp>2182524598B0:LstPrc</stp>
        <tr r="I1376" s="5"/>
      </tp>
      <tp t="s">
        <v>GOH</v>
        <stp/>
        <stp>29243602Q4:PCC</stp>
        <tr r="B766" s="5"/>
      </tp>
      <tp t="s">
        <v>GOH</v>
        <stp/>
        <stp>29243602Q1:PCC</stp>
        <tr r="B763" s="5"/>
      </tp>
      <tp t="s">
        <v>GOH</v>
        <stp/>
        <stp>29243602Q0:PCC</stp>
        <tr r="B762" s="5"/>
      </tp>
      <tp t="s">
        <v>GOH</v>
        <stp/>
        <stp>29243602Q3:PCC</stp>
        <tr r="B765" s="5"/>
      </tp>
      <tp t="s">
        <v>GOH</v>
        <stp/>
        <stp>29243602Q2:PCC</stp>
        <tr r="B764" s="5"/>
      </tp>
      <tp t="s">
        <v>NOB</v>
        <stp/>
        <stp>18851683Q8:PCC</stp>
        <tr r="B226" s="5"/>
      </tp>
      <tp t="s">
        <v>NOB</v>
        <stp/>
        <stp>18851683Q4:PCC</stp>
        <tr r="B222" s="5"/>
      </tp>
      <tp t="s">
        <v>NOB</v>
        <stp/>
        <stp>18851683Q5:PCC</stp>
        <tr r="B223" s="5"/>
      </tp>
      <tp t="s">
        <v>NOB</v>
        <stp/>
        <stp>18851683Q6:PCC</stp>
        <tr r="B224" s="5"/>
      </tp>
      <tp t="s">
        <v>NOB</v>
        <stp/>
        <stp>18851683Q7:PCC</stp>
        <tr r="B225" s="5"/>
      </tp>
      <tp t="s">
        <v>NOB</v>
        <stp/>
        <stp>18851683Q0:PCC</stp>
        <tr r="B218" s="5"/>
      </tp>
      <tp t="s">
        <v>NOB</v>
        <stp/>
        <stp>18851683Q1:PCC</stp>
        <tr r="B219" s="5"/>
      </tp>
      <tp t="s">
        <v>NOB</v>
        <stp/>
        <stp>18851683Q2:PCC</stp>
        <tr r="B220" s="5"/>
      </tp>
      <tp t="s">
        <v>NOB</v>
        <stp/>
        <stp>18851683Q3:PCC</stp>
        <tr r="B221" s="5"/>
      </tp>
      <tp t="s">
        <v>Nov26/Mar27</v>
        <stp/>
        <stp>15061297MM19:Strip</stp>
        <tr r="E1702" s="5"/>
      </tp>
      <tp t="s">
        <v>NBB</v>
        <stp/>
        <stp>57409036Q5:PCC</stp>
        <tr r="B261" s="5"/>
      </tp>
      <tp t="s">
        <v>NBB</v>
        <stp/>
        <stp>57409036Q4:PCC</stp>
        <tr r="B260" s="5"/>
      </tp>
      <tp t="s">
        <v>NBB</v>
        <stp/>
        <stp>57409036Q7:PCC</stp>
        <tr r="B263" s="5"/>
      </tp>
      <tp t="s">
        <v>NBB</v>
        <stp/>
        <stp>57409036Q6:PCC</stp>
        <tr r="B262" s="5"/>
      </tp>
      <tp t="s">
        <v>NBB</v>
        <stp/>
        <stp>57409036Q1:PCC</stp>
        <tr r="B257" s="5"/>
      </tp>
      <tp t="s">
        <v>NBB</v>
        <stp/>
        <stp>57409036Q0:PCC</stp>
        <tr r="B256" s="5"/>
      </tp>
      <tp t="s">
        <v>NBB</v>
        <stp/>
        <stp>57409036Q3:PCC</stp>
        <tr r="B259" s="5"/>
      </tp>
      <tp t="s">
        <v>NBB</v>
        <stp/>
        <stp>57409036Q2:PCC</stp>
        <tr r="B258" s="5"/>
      </tp>
      <tp t="s">
        <v>NBB</v>
        <stp/>
        <stp>57409036Q8:PCC</stp>
        <tr r="B264" s="5"/>
      </tp>
      <tp>
        <v>10</v>
        <stp/>
        <stp>DBJ29446BM0:BstHitPrc</stp>
        <tr r="G1647" s="5"/>
      </tp>
      <tp t="s">
        <v>ULC</v>
        <stp/>
        <stp>34344092Y2:PCC</stp>
        <tr r="B1299" s="5"/>
      </tp>
      <tp t="s">
        <v>ULD</v>
        <stp/>
        <stp>34354093Y2:PCC</stp>
        <tr r="B1337" s="5"/>
      </tp>
      <tp t="s">
        <v>ULC</v>
        <stp/>
        <stp>34344092Y0:PCC</stp>
        <tr r="B1297" s="5"/>
      </tp>
      <tp t="s">
        <v>ULD</v>
        <stp/>
        <stp>34354093Y0:PCC</stp>
        <tr r="B1335" s="5"/>
      </tp>
      <tp t="s">
        <v>ULC</v>
        <stp/>
        <stp>34344092Y1:PCC</stp>
        <tr r="B1298" s="5"/>
      </tp>
      <tp t="s">
        <v>ULD</v>
        <stp/>
        <stp>34354093Y1:PCC</stp>
        <tr r="B1336" s="5"/>
      </tp>
    </main>
    <main first="bofaddin.rtdserver">
      <tp t="s">
        <v>#N/A</v>
        <stp/>
        <stp>BDP|6225712344000530510|222</stp>
        <stp>OQAZ6F7 Comdty</stp>
        <stp>ASK</stp>
        <stp>Fill=#N/A</stp>
        <tr r="T23" s="1"/>
      </tp>
      <tp t="s">
        <v>#N/A</v>
        <stp/>
        <stp>BDP|127920735330321258|222</stp>
        <stp>HON9HOQ9 Comdty</stp>
        <stp>ASK</stp>
        <stp>Fill=#N/A</stp>
        <tr r="Q54" s="1"/>
      </tp>
    </main>
    <main first="ice.rtd">
      <tp t="s">
        <v>GOH</v>
        <stp/>
        <stp>29243602Y0:PCC</stp>
        <tr r="B767" s="5"/>
      </tp>
      <tp t="s">
        <v>NOB</v>
        <stp/>
        <stp>18851683Y0:PCC</stp>
        <tr r="B227" s="5"/>
      </tp>
      <tp t="s">
        <v>NOB</v>
        <stp/>
        <stp>18851683Y1:PCC</stp>
        <tr r="B228" s="5"/>
      </tp>
      <tp t="s">
        <v>NOB</v>
        <stp/>
        <stp>18851683Y2:PCC</stp>
        <tr r="B229" s="5"/>
      </tp>
    </main>
    <main first="bofaddin.rtdserver">
      <tp>
        <v>46</v>
        <stp/>
        <stp>BDP|644725463645155935|222</stp>
        <stp>QSZ6QSF7 Comdty</stp>
        <stp>BID</stp>
        <stp>Fill=#N/A</stp>
        <tr r="P23" s="1"/>
      </tp>
      <tp t="s">
        <v>#N/A Requesting Data...3572593061</v>
        <stp/>
        <stp>BDP|7764881246284089010</stp>
        <tr r="AF117" s="23"/>
      </tp>
      <tp t="s">
        <v>#N/A Requesting Data...3524874362</v>
        <stp/>
        <stp>BDP|9236719761331386696</stp>
        <tr r="H7" s="18"/>
      </tp>
      <tp t="s">
        <v>#N/A N/A</v>
        <stp/>
        <stp>BDH|9850528644631452641</stp>
        <tr r="BC46" s="1"/>
      </tp>
    </main>
    <main first="ice.rtd">
      <tp t="s">
        <v>NBB</v>
        <stp/>
        <stp>57409036M5:PCC</stp>
        <tr r="B236" s="5"/>
      </tp>
    </main>
    <main first="ice.rtd">
      <tp t="s">
        <v>NBB</v>
        <stp/>
        <stp>57409036M4:PCC</stp>
        <tr r="B235" s="5"/>
      </tp>
      <tp t="s">
        <v>NBB</v>
        <stp/>
        <stp>57409036M7:PCC</stp>
        <tr r="B238" s="5"/>
      </tp>
      <tp t="s">
        <v>NBB</v>
        <stp/>
        <stp>57409036M6:PCC</stp>
        <tr r="B237" s="5"/>
      </tp>
      <tp t="s">
        <v>NBB</v>
        <stp/>
        <stp>57409036M1:PCC</stp>
        <tr r="B232" s="5"/>
      </tp>
      <tp t="s">
        <v>NBB</v>
        <stp/>
        <stp>57409036M0:PCC</stp>
        <tr r="B231" s="5"/>
      </tp>
      <tp t="s">
        <v>NBB</v>
        <stp/>
        <stp>57409036M3:PCC</stp>
        <tr r="B234" s="5"/>
      </tp>
      <tp t="s">
        <v>NBB</v>
        <stp/>
        <stp>57409036M2:PCC</stp>
        <tr r="B233" s="5"/>
      </tp>
      <tp t="s">
        <v>NBB</v>
        <stp/>
        <stp>57409036M9:PCC</stp>
        <tr r="B240" s="5"/>
      </tp>
      <tp t="s">
        <v>NBB</v>
        <stp/>
        <stp>57409036M8:PCC</stp>
        <tr r="B239" s="5"/>
      </tp>
    </main>
    <main first="bofaddin.rtdserver">
      <tp t="s">
        <v>#N/A N/A</v>
        <stp/>
        <stp>BDH|5433732092007193389</stp>
        <tr r="G64" s="16"/>
      </tp>
      <tp t="s">
        <v>#N/A N/A</v>
        <stp/>
        <stp>BDH|1913992214477806101</stp>
        <tr r="H55" s="16"/>
      </tp>
    </main>
    <main first="ice.rtd">
      <tp>
        <v>0</v>
        <stp/>
        <stp>DBJ29446BM0:Settle</stp>
        <tr r="U1647" s="5"/>
      </tp>
    </main>
    <main first="bofaddin.rtdserver">
      <tp t="s">
        <v>#N/A N/A</v>
        <stp/>
        <stp>BDH|3733297803017540955</stp>
        <tr r="AW60" s="1"/>
      </tp>
    </main>
    <main first="ice.rtd">
      <tp t="s">
        <v>GOH</v>
        <stp/>
        <stp>29243602M9:PCC</stp>
        <tr r="B755" s="5"/>
      </tp>
      <tp t="s">
        <v>GOH</v>
        <stp/>
        <stp>29243602M8:PCC</stp>
        <tr r="B754" s="5"/>
      </tp>
    </main>
    <main first="ice.rtd">
      <tp t="s">
        <v>GOH</v>
        <stp/>
        <stp>29243602M5:PCC</stp>
        <tr r="B751" s="5"/>
      </tp>
      <tp t="s">
        <v>GOH</v>
        <stp/>
        <stp>29243602M4:PCC</stp>
        <tr r="B750" s="5"/>
      </tp>
      <tp t="s">
        <v>GOH</v>
        <stp/>
        <stp>29243602M7:PCC</stp>
        <tr r="B753" s="5"/>
      </tp>
    </main>
    <main first="ice.rtd">
      <tp t="s">
        <v>GOH</v>
        <stp/>
        <stp>29243602M6:PCC</stp>
        <tr r="B752" s="5"/>
      </tp>
      <tp t="s">
        <v>GOH</v>
        <stp/>
        <stp>29243602M1:PCC</stp>
        <tr r="B747" s="5"/>
      </tp>
      <tp t="s">
        <v>GOH</v>
        <stp/>
        <stp>29243602M0:PCC</stp>
        <tr r="B746" s="5"/>
      </tp>
      <tp t="s">
        <v>GOH</v>
        <stp/>
        <stp>29243602M3:PCC</stp>
        <tr r="B749" s="5"/>
      </tp>
      <tp t="s">
        <v>GOH</v>
        <stp/>
        <stp>29243602M2:PCC</stp>
        <tr r="B748" s="5"/>
      </tp>
    </main>
    <main first="bofaddin.rtdserver">
      <tp t="s">
        <v>#N/A Requesting Data...4181941901</v>
        <stp/>
        <stp>BDP|7244261790061622217</stp>
        <tr r="K27" s="23"/>
      </tp>
    </main>
    <main first="ice.rtd">
      <tp>
        <v>30</v>
        <stp/>
        <stp>2323325594B0:BlkVol</stp>
        <tr r="O958" s="5"/>
      </tp>
    </main>
    <main first="ice.rtd">
      <tp t="s">
        <v>NOB</v>
        <stp/>
        <stp>18851683M8:PCC</stp>
        <tr r="B201" s="5"/>
      </tp>
      <tp t="s">
        <v>NOB</v>
        <stp/>
        <stp>18851683M9:PCC</stp>
        <tr r="B202" s="5"/>
      </tp>
      <tp t="s">
        <v>NOB</v>
        <stp/>
        <stp>18851683M4:PCC</stp>
        <tr r="B197" s="5"/>
      </tp>
      <tp t="s">
        <v>NOB</v>
        <stp/>
        <stp>18851683M5:PCC</stp>
        <tr r="B198" s="5"/>
      </tp>
      <tp t="s">
        <v>NOB</v>
        <stp/>
        <stp>18851683M6:PCC</stp>
        <tr r="B199" s="5"/>
      </tp>
    </main>
    <main first="ice.rtd">
      <tp t="s">
        <v>NOB</v>
        <stp/>
        <stp>18851683M7:PCC</stp>
        <tr r="B200" s="5"/>
      </tp>
      <tp t="s">
        <v>NOB</v>
        <stp/>
        <stp>18851683M0:PCC</stp>
        <tr r="B193" s="5"/>
      </tp>
      <tp t="s">
        <v>NOB</v>
        <stp/>
        <stp>18851683M1:PCC</stp>
        <tr r="B194" s="5"/>
      </tp>
      <tp t="s">
        <v>NOB</v>
        <stp/>
        <stp>18851683M2:PCC</stp>
        <tr r="B195" s="5"/>
      </tp>
      <tp t="s">
        <v>NOB</v>
        <stp/>
        <stp>18851683M3:PCC</stp>
        <tr r="B196" s="5"/>
      </tp>
    </main>
    <main first="bofaddin.rtdserver">
      <tp t="s">
        <v>#N/A N/A</v>
        <stp/>
        <stp>BDH|6757123797704464565</stp>
        <tr r="K62" s="16"/>
      </tp>
      <tp t="s">
        <v>#N/A N/A</v>
        <stp/>
        <stp>BDH|8106263466022230136</stp>
        <tr r="H42" s="16"/>
      </tp>
    </main>
    <main first="ice.rtd">
      <tp>
        <v>0</v>
        <stp/>
        <stp>2044823525M2:BlkVol</stp>
        <tr r="O1749" s="5"/>
      </tp>
      <tp>
        <v>0</v>
        <stp/>
        <stp>2044823525M3:BlkVol</stp>
        <tr r="O1750" s="5"/>
      </tp>
      <tp>
        <v>0</v>
        <stp/>
        <stp>2044823525M0:BlkVol</stp>
        <tr r="O1747" s="5"/>
      </tp>
      <tp>
        <v>0</v>
        <stp/>
        <stp>2044823525M1:BlkVol</stp>
        <tr r="O1748" s="5"/>
      </tp>
      <tp>
        <v>0</v>
        <stp/>
        <stp>2044823525M6:BlkVol</stp>
        <tr r="O1753" s="5"/>
      </tp>
      <tp>
        <v>0</v>
        <stp/>
        <stp>2044823525M7:BlkVol</stp>
        <tr r="O1754" s="5"/>
      </tp>
      <tp>
        <v>0</v>
        <stp/>
        <stp>2044823525M4:BlkVol</stp>
        <tr r="O1751" s="5"/>
      </tp>
      <tp>
        <v>0</v>
        <stp/>
        <stp>2044823525M5:BlkVol</stp>
        <tr r="O1752" s="5"/>
      </tp>
      <tp>
        <v>0</v>
        <stp/>
        <stp>2044823525M8:BlkVol</stp>
        <tr r="O1755" s="5"/>
      </tp>
      <tp>
        <v>0</v>
        <stp/>
        <stp>2044823525M9:BlkVol</stp>
        <tr r="O1756" s="5"/>
      </tp>
    </main>
    <main first="bofaddin.rtdserver">
      <tp t="s">
        <v>#N/A N/A</v>
        <stp/>
        <stp>BDH|7032498375419855259</stp>
        <tr r="K31" s="16"/>
      </tp>
    </main>
    <main first="ice.rtd">
      <tp>
        <v>0</v>
        <stp/>
        <stp>2044823525Y0:BlkVol</stp>
        <tr r="O1777" s="5"/>
      </tp>
    </main>
    <main first="bofaddin.rtdserver">
      <tp t="s">
        <v>#N/A N/A</v>
        <stp/>
        <stp>BDH|2976587231823049815</stp>
        <tr r="AX26" s="1"/>
      </tp>
    </main>
    <main first="ice.rtd">
      <tp>
        <v>0</v>
        <stp/>
        <stp>2044823525Q2:BlkVol</stp>
        <tr r="O1772" s="5"/>
      </tp>
      <tp>
        <v>0</v>
        <stp/>
        <stp>2044823525Q3:BlkVol</stp>
        <tr r="O1773" s="5"/>
      </tp>
      <tp>
        <v>0</v>
        <stp/>
        <stp>2044823525Q0:BlkVol</stp>
        <tr r="O1770" s="5"/>
      </tp>
      <tp>
        <v>0</v>
        <stp/>
        <stp>2044823525Q1:BlkVol</stp>
        <tr r="O1771" s="5"/>
      </tp>
      <tp t="s">
        <v>Invalid Market: 2044823525Q6</v>
        <stp/>
        <stp>2044823525Q6:BlkVol</stp>
        <tr r="O1776" s="5"/>
      </tp>
      <tp>
        <v>0</v>
        <stp/>
        <stp>2044823525Q4:BlkVol</stp>
        <tr r="O1774" s="5"/>
      </tp>
      <tp t="s">
        <v>Invalid Market: 2044823525Q5</v>
        <stp/>
        <stp>2044823525Q5:BlkVol</stp>
        <tr r="O1775" s="5"/>
      </tp>
    </main>
    <main first="bofaddin.rtdserver">
      <tp t="s">
        <v>#N/A Requesting Data...3708584721</v>
        <stp/>
        <stp>BDP|2907776648856055804</stp>
        <tr r="C30" s="23"/>
        <tr r="C74" s="23"/>
      </tp>
      <tp t="s">
        <v>#N/A N/A</v>
        <stp/>
        <stp>BDH|9374125103374297363</stp>
        <tr r="AW23" s="1"/>
      </tp>
      <tp t="s">
        <v>#N/A Requesting Data...3730654804</v>
        <stp/>
        <stp>BDP|2234860403273872687</stp>
        <tr r="C12" s="23"/>
      </tp>
      <tp t="s">
        <v>#N/A N/A</v>
        <stp/>
        <stp>BDH|4377139404168518261</stp>
        <tr r="AW51" s="1"/>
      </tp>
      <tp t="s">
        <v>#N/A N/A</v>
        <stp/>
        <stp>BDH|2552580444344997871</stp>
        <tr r="K83" s="16"/>
      </tp>
      <tp t="s">
        <v>#N/A N/A</v>
        <stp/>
        <stp>BDH|2731713490506629579</stp>
        <tr r="C31" s="14"/>
      </tp>
      <tp t="s">
        <v>#N/A Requesting Data...3801533976</v>
        <stp/>
        <stp>BDP|4426319796665120461</stp>
        <tr r="AM77" s="23"/>
      </tp>
    </main>
    <main first="ice.rtd">
      <tp t="s">
        <v>ULC</v>
        <stp/>
        <stp>34344092M6:PCC</stp>
        <tr r="B1269" s="5"/>
      </tp>
      <tp t="s">
        <v>ULD</v>
        <stp/>
        <stp>34354093M6:PCC</stp>
        <tr r="B1307" s="5"/>
      </tp>
    </main>
    <main first="bofaddin.rtdserver">
      <tp t="s">
        <v>#N/A N/A</v>
        <stp/>
        <stp>BDH|8934910180436509096</stp>
        <tr r="J2" s="14"/>
      </tp>
    </main>
    <main first="ice.rtd">
      <tp t="s">
        <v>ULC</v>
        <stp/>
        <stp>34344092M7:PCC</stp>
        <tr r="B1270" s="5"/>
      </tp>
      <tp t="s">
        <v>ULD</v>
        <stp/>
        <stp>34354093M7:PCC</stp>
        <tr r="B1308" s="5"/>
      </tp>
      <tp t="s">
        <v>ULC</v>
        <stp/>
        <stp>34344092M4:PCC</stp>
        <tr r="B1267" s="5"/>
      </tp>
      <tp t="s">
        <v>ULD</v>
        <stp/>
        <stp>34354093M4:PCC</stp>
        <tr r="B1305" s="5"/>
      </tp>
    </main>
    <main first="bofaddin.rtdserver">
      <tp t="s">
        <v>#N/A N/A</v>
        <stp/>
        <stp>BDH|7248430881472524611</stp>
        <tr r="N38" s="16"/>
      </tp>
      <tp t="s">
        <v>#N/A N/A</v>
        <stp/>
        <stp>BDH|7746131991609710961</stp>
        <tr r="L32" s="16"/>
      </tp>
    </main>
    <main first="ice.rtd">
      <tp t="s">
        <v>ULC</v>
        <stp/>
        <stp>34344092M5:PCC</stp>
        <tr r="B1268" s="5"/>
      </tp>
      <tp t="s">
        <v>ULD</v>
        <stp/>
        <stp>34354093M5:PCC</stp>
        <tr r="B1306" s="5"/>
      </tp>
    </main>
    <main first="bofaddin.rtdserver">
      <tp t="s">
        <v>#N/A N/A</v>
        <stp/>
        <stp>BDH|6500491814529902556</stp>
        <tr r="M60" s="16"/>
      </tp>
    </main>
    <main first="ice.rtd">
      <tp t="s">
        <v>ULC</v>
        <stp/>
        <stp>34344092M2:PCC</stp>
        <tr r="B1265" s="5"/>
      </tp>
      <tp t="s">
        <v>ULD</v>
        <stp/>
        <stp>34354093M2:PCC</stp>
        <tr r="B1303" s="5"/>
      </tp>
      <tp t="s">
        <v>ULC</v>
        <stp/>
        <stp>34344092M3:PCC</stp>
        <tr r="B1266" s="5"/>
      </tp>
      <tp t="s">
        <v>ULD</v>
        <stp/>
        <stp>34354093M3:PCC</stp>
        <tr r="B1304" s="5"/>
      </tp>
    </main>
    <main first="ice.rtd">
      <tp t="s">
        <v>ULC</v>
        <stp/>
        <stp>34344092M0:PCC</stp>
        <tr r="B1263" s="5"/>
      </tp>
      <tp t="s">
        <v>ULD</v>
        <stp/>
        <stp>34354093M0:PCC</stp>
        <tr r="B1301" s="5"/>
      </tp>
      <tp t="s">
        <v>ULC</v>
        <stp/>
        <stp>34344092M1:PCC</stp>
        <tr r="B1264" s="5"/>
      </tp>
      <tp t="s">
        <v>ULD</v>
        <stp/>
        <stp>34354093M1:PCC</stp>
        <tr r="B1302" s="5"/>
      </tp>
      <tp t="s">
        <v>ULC</v>
        <stp/>
        <stp>34344092M8:PCC</stp>
        <tr r="B1271" s="5"/>
      </tp>
      <tp t="s">
        <v>ULD</v>
        <stp/>
        <stp>34354093M8:PCC</stp>
        <tr r="B1309" s="5"/>
      </tp>
      <tp t="s">
        <v>ULC</v>
        <stp/>
        <stp>34344092M9:PCC</stp>
        <tr r="B1272" s="5"/>
      </tp>
      <tp t="s">
        <v>ULD</v>
        <stp/>
        <stp>34354093M9:PCC</stp>
        <tr r="B1310" s="5"/>
      </tp>
    </main>
    <main first="bofaddin.rtdserver">
      <tp t="s">
        <v>#N/A N/A</v>
        <stp/>
        <stp>BDH|9303120785629102601</stp>
        <tr r="BB60" s="1"/>
      </tp>
      <tp t="s">
        <v>#N/A N/A</v>
        <stp/>
        <stp>BDH|9268353552699283927</stp>
        <tr r="BB40" s="1"/>
      </tp>
      <tp t="s">
        <v>#N/A Invalid Security</v>
        <stp/>
        <stp>BDP|12050493739381320397|222</stp>
        <stp>HOQ0 Comdty</stp>
        <stp>ASK</stp>
        <stp>Fill=#N/A</stp>
        <tr r="I66" s="1"/>
      </tp>
    </main>
    <main first="ice.rtd">
      <tp>
        <v>0</v>
        <stp/>
        <stp>30813691Y2:Vol</stp>
        <tr r="N1989" s="5"/>
      </tp>
      <tp>
        <v>0</v>
        <stp/>
        <stp>30813691Y1:Vol</stp>
        <tr r="N1988" s="5"/>
      </tp>
      <tp>
        <v>0</v>
        <stp/>
        <stp>30813691Y0:Vol</stp>
        <tr r="N1987" s="5"/>
      </tp>
      <tp>
        <v>0</v>
        <stp/>
        <stp>16331513Y2:Vol</stp>
        <tr r="N1451" s="5"/>
      </tp>
      <tp>
        <v>0</v>
        <stp/>
        <stp>16341514Y2:Vol</stp>
        <tr r="N1489" s="5"/>
      </tp>
      <tp>
        <v>0</v>
        <stp/>
        <stp>16351515Y2:Vol</stp>
        <tr r="N1527" s="5"/>
      </tp>
    </main>
    <main first="bofaddin.rtdserver">
      <tp>
        <v>429.08</v>
        <stp/>
        <stp>BDP|11428319723926584571|222</stp>
        <stp>HOZ6 Comdty</stp>
        <stp>ASK</stp>
        <stp>Fill=#N/A</stp>
        <tr r="I22" s="1"/>
      </tp>
    </main>
    <main first="ice.rtd">
      <tp>
        <v>0</v>
        <stp/>
        <stp>16331513Y0:Vol</stp>
        <tr r="N1449" s="5"/>
      </tp>
      <tp>
        <v>0</v>
        <stp/>
        <stp>16341514Y0:Vol</stp>
        <tr r="N1487" s="5"/>
      </tp>
      <tp>
        <v>0</v>
        <stp/>
        <stp>16351515Y0:Vol</stp>
        <tr r="N1525" s="5"/>
      </tp>
      <tp>
        <v>0</v>
        <stp/>
        <stp>16331513Y1:Vol</stp>
        <tr r="N1450" s="5"/>
      </tp>
      <tp>
        <v>0</v>
        <stp/>
        <stp>16341514Y1:Vol</stp>
        <tr r="N1488" s="5"/>
      </tp>
      <tp>
        <v>0</v>
        <stp/>
        <stp>16351515Y1:Vol</stp>
        <tr r="N1526" s="5"/>
      </tp>
    </main>
    <main first="bofaddin.rtdserver">
      <tp>
        <v>73.819999999999993</v>
        <stp/>
        <stp>BDP|18354396078995289809|222</stp>
        <stp>COU8 Comdty</stp>
        <stp>BID</stp>
        <stp>Fill=#N/A</stp>
        <tr r="G43" s="1"/>
      </tp>
      <tp>
        <v>73.2</v>
        <stp/>
        <stp>BDP|15215346597582973375|222</stp>
        <stp>CLQ7 Comdty</stp>
        <stp>ASK</stp>
        <stp>Fill=#N/A</stp>
        <tr r="F30" s="1"/>
      </tp>
      <tp t="s">
        <v>#N/A</v>
        <stp/>
        <stp>BDP|11292533005444292127|222</stp>
        <stp>HOQ8 Comdty</stp>
        <stp>ASK</stp>
        <stp>Fill=#N/A</stp>
        <tr r="I42" s="1"/>
      </tp>
      <tp>
        <v>209</v>
        <stp/>
        <stp>BDP|10143336332065785782|222</stp>
        <stp>HOV9 Comdty</stp>
        <stp>BID</stp>
        <stp>Fill=#N/A</stp>
        <tr r="I56" s="1"/>
      </tp>
    </main>
    <main first="ice.rtd">
      <tp>
        <v>0</v>
        <stp/>
        <stp>46678127Q8:Vol</stp>
        <tr r="N378" s="5"/>
      </tp>
      <tp>
        <v>0</v>
        <stp/>
        <stp>46678127Q2:Vol</stp>
        <tr r="N372" s="5"/>
      </tp>
      <tp>
        <v>0</v>
        <stp/>
        <stp>46678127Q3:Vol</stp>
        <tr r="N373" s="5"/>
      </tp>
      <tp>
        <v>0</v>
        <stp/>
        <stp>46678127Q0:Vol</stp>
        <tr r="N370" s="5"/>
      </tp>
      <tp>
        <v>0</v>
        <stp/>
        <stp>46678127Q1:Vol</stp>
        <tr r="N371" s="5"/>
      </tp>
      <tp>
        <v>0</v>
        <stp/>
        <stp>46678127Q6:Vol</stp>
        <tr r="N376" s="5"/>
      </tp>
      <tp>
        <v>0</v>
        <stp/>
        <stp>46678127Q7:Vol</stp>
        <tr r="N377" s="5"/>
      </tp>
      <tp>
        <v>0</v>
        <stp/>
        <stp>46678127Q4:Vol</stp>
        <tr r="N374" s="5"/>
      </tp>
      <tp>
        <v>0</v>
        <stp/>
        <stp>46678127Q5:Vol</stp>
        <tr r="N375" s="5"/>
      </tp>
      <tp>
        <v>0</v>
        <stp/>
        <stp>35534143Y1:Vol</stp>
        <tr r="N743" s="5"/>
      </tp>
      <tp>
        <v>0</v>
        <stp/>
        <stp>35544144Y1:Vol</stp>
        <tr r="N667" s="5"/>
      </tp>
      <tp>
        <v>0</v>
        <stp/>
        <stp>35554145Y1:Vol</stp>
        <tr r="N705" s="5"/>
      </tp>
      <tp>
        <v>0</v>
        <stp/>
        <stp>35534143Y0:Vol</stp>
        <tr r="N742" s="5"/>
      </tp>
      <tp>
        <v>0</v>
        <stp/>
        <stp>35544144Y0:Vol</stp>
        <tr r="N666" s="5"/>
      </tp>
      <tp>
        <v>0</v>
        <stp/>
        <stp>35554145Y0:Vol</stp>
        <tr r="N704" s="5"/>
      </tp>
      <tp>
        <v>0</v>
        <stp/>
        <stp>35534143Y2:Vol</stp>
        <tr r="N744" s="5"/>
      </tp>
      <tp>
        <v>0</v>
        <stp/>
        <stp>35544144Y2:Vol</stp>
        <tr r="N668" s="5"/>
      </tp>
      <tp>
        <v>0</v>
        <stp/>
        <stp>35554145Y2:Vol</stp>
        <tr r="N706" s="5"/>
      </tp>
      <tp>
        <v>0</v>
        <stp/>
        <stp>30813691Q8:Vol</stp>
        <tr r="N1986" s="5"/>
      </tp>
      <tp>
        <v>0</v>
        <stp/>
        <stp>16331513Q8:Vol</stp>
        <tr r="N1448" s="5"/>
      </tp>
      <tp>
        <v>0</v>
        <stp/>
        <stp>16341514Q8:Vol</stp>
        <tr r="N1486" s="5"/>
      </tp>
      <tp>
        <v>0</v>
        <stp/>
        <stp>16351515Q8:Vol</stp>
        <tr r="N1524" s="5"/>
      </tp>
      <tp>
        <v>0</v>
        <stp/>
        <stp>16331513Q6:Vol</stp>
        <tr r="N1446" s="5"/>
      </tp>
      <tp>
        <v>0</v>
        <stp/>
        <stp>16341514Q6:Vol</stp>
        <tr r="N1484" s="5"/>
      </tp>
      <tp>
        <v>0</v>
        <stp/>
        <stp>16351515Q6:Vol</stp>
        <tr r="N1522" s="5"/>
      </tp>
      <tp>
        <v>0</v>
        <stp/>
        <stp>30813691Q3:Vol</stp>
        <tr r="N1981" s="5"/>
      </tp>
      <tp>
        <v>0</v>
        <stp/>
        <stp>16331513Q7:Vol</stp>
        <tr r="N1447" s="5"/>
      </tp>
      <tp>
        <v>0</v>
        <stp/>
        <stp>16341514Q7:Vol</stp>
        <tr r="N1485" s="5"/>
      </tp>
      <tp>
        <v>0</v>
        <stp/>
        <stp>16351515Q7:Vol</stp>
        <tr r="N1523" s="5"/>
      </tp>
      <tp>
        <v>1</v>
        <stp/>
        <stp>30813691Q2:Vol</stp>
        <tr r="N1980" s="5"/>
      </tp>
      <tp>
        <v>0</v>
        <stp/>
        <stp>16331513Q4:Vol</stp>
        <tr r="N1444" s="5"/>
      </tp>
      <tp>
        <v>0</v>
        <stp/>
        <stp>16341514Q4:Vol</stp>
        <tr r="N1482" s="5"/>
      </tp>
      <tp>
        <v>0</v>
        <stp/>
        <stp>16351515Q4:Vol</stp>
        <tr r="N1520" s="5"/>
      </tp>
      <tp>
        <v>0</v>
        <stp/>
        <stp>30813691Q1:Vol</stp>
        <tr r="N1979" s="5"/>
      </tp>
      <tp>
        <v>0</v>
        <stp/>
        <stp>16331513Q5:Vol</stp>
        <tr r="N1445" s="5"/>
      </tp>
      <tp>
        <v>0</v>
        <stp/>
        <stp>16341514Q5:Vol</stp>
        <tr r="N1483" s="5"/>
      </tp>
      <tp>
        <v>0</v>
        <stp/>
        <stp>16351515Q5:Vol</stp>
        <tr r="N1521" s="5"/>
      </tp>
      <tp>
        <v>0</v>
        <stp/>
        <stp>30813691Q0:Vol</stp>
        <tr r="N1978" s="5"/>
      </tp>
      <tp>
        <v>0</v>
        <stp/>
        <stp>16331513Q2:Vol</stp>
        <tr r="N1442" s="5"/>
      </tp>
      <tp>
        <v>0</v>
        <stp/>
        <stp>16341514Q2:Vol</stp>
        <tr r="N1480" s="5"/>
      </tp>
      <tp>
        <v>0</v>
        <stp/>
        <stp>16351515Q2:Vol</stp>
        <tr r="N1518" s="5"/>
      </tp>
      <tp>
        <v>0</v>
        <stp/>
        <stp>30813691Q7:Vol</stp>
        <tr r="N1985" s="5"/>
      </tp>
      <tp>
        <v>0</v>
        <stp/>
        <stp>16331513Q3:Vol</stp>
        <tr r="N1443" s="5"/>
      </tp>
      <tp>
        <v>0</v>
        <stp/>
        <stp>16341514Q3:Vol</stp>
        <tr r="N1481" s="5"/>
      </tp>
      <tp>
        <v>0</v>
        <stp/>
        <stp>16351515Q3:Vol</stp>
        <tr r="N1519" s="5"/>
      </tp>
      <tp>
        <v>0</v>
        <stp/>
        <stp>30813691Q6:Vol</stp>
        <tr r="N1984" s="5"/>
      </tp>
      <tp>
        <v>0</v>
        <stp/>
        <stp>16331513Q0:Vol</stp>
        <tr r="N1440" s="5"/>
      </tp>
      <tp>
        <v>0</v>
        <stp/>
        <stp>16341514Q0:Vol</stp>
        <tr r="N1478" s="5"/>
      </tp>
      <tp>
        <v>0</v>
        <stp/>
        <stp>16351515Q0:Vol</stp>
        <tr r="N1516" s="5"/>
      </tp>
      <tp>
        <v>0</v>
        <stp/>
        <stp>30813691Q5:Vol</stp>
        <tr r="N1983" s="5"/>
      </tp>
      <tp>
        <v>0</v>
        <stp/>
        <stp>16331513Q1:Vol</stp>
        <tr r="N1441" s="5"/>
      </tp>
      <tp>
        <v>0</v>
        <stp/>
        <stp>16341514Q1:Vol</stp>
        <tr r="N1479" s="5"/>
      </tp>
      <tp>
        <v>0</v>
        <stp/>
        <stp>16351515Q1:Vol</stp>
        <tr r="N1517" s="5"/>
      </tp>
      <tp>
        <v>0</v>
        <stp/>
        <stp>30813691Q4:Vol</stp>
        <tr r="N1982" s="5"/>
      </tp>
      <tp t="s">
        <v>Invalid Market: B0</v>
        <stp/>
        <stp>B0:LstPrc</stp>
        <tr r="I1148" s="5"/>
        <tr r="I1034" s="5"/>
      </tp>
    </main>
    <main first="bofaddin.rtdserver">
      <tp>
        <v>846.25</v>
        <stp/>
        <stp>BDP|14412515610770149913|222</stp>
        <stp>QSU8 Comdty</stp>
        <stp>ASK</stp>
        <stp>Fill=#N/A</stp>
        <tr r="H43" s="1"/>
      </tp>
      <tp>
        <v>72.67</v>
        <stp/>
        <stp>BDP|17607523072805573088|222</stp>
        <stp>CLU7 Comdty</stp>
        <stp>ASK</stp>
        <stp>Fill=#N/A</stp>
        <tr r="F31" s="1"/>
      </tp>
    </main>
    <main first="ice.rtd">
      <tp t="s">
        <v>Invalid Market: 46678127Y2</v>
        <stp/>
        <stp>46678127Y2:Vol</stp>
        <tr r="N381" s="5"/>
      </tp>
      <tp>
        <v>0</v>
        <stp/>
        <stp>46678127Y0:Vol</stp>
        <tr r="N379" s="5"/>
      </tp>
      <tp>
        <v>0</v>
        <stp/>
        <stp>46678127Y1:Vol</stp>
        <tr r="N380" s="5"/>
      </tp>
      <tp>
        <v>0</v>
        <stp/>
        <stp>35534143Q8:Vol</stp>
        <tr r="N741" s="5"/>
      </tp>
      <tp>
        <v>0</v>
        <stp/>
        <stp>35544144Q8:Vol</stp>
        <tr r="N665" s="5"/>
      </tp>
      <tp>
        <v>0</v>
        <stp/>
        <stp>35554145Q8:Vol</stp>
        <tr r="N703" s="5"/>
      </tp>
    </main>
    <main first="bofaddin.rtdserver">
      <tp>
        <v>73.540000000000006</v>
        <stp/>
        <stp>BDP|11105215210691086113|222</stp>
        <stp>COV8 Comdty</stp>
        <stp>BID</stp>
        <stp>Fill=#N/A</stp>
        <tr r="G44" s="1"/>
      </tp>
    </main>
    <main first="ice.rtd">
      <tp>
        <v>0</v>
        <stp/>
        <stp>35534143Q1:Vol</stp>
        <tr r="N734" s="5"/>
      </tp>
      <tp>
        <v>0</v>
        <stp/>
        <stp>35544144Q1:Vol</stp>
        <tr r="N658" s="5"/>
      </tp>
      <tp>
        <v>0</v>
        <stp/>
        <stp>35554145Q1:Vol</stp>
        <tr r="N696" s="5"/>
      </tp>
      <tp>
        <v>0</v>
        <stp/>
        <stp>35534143Q0:Vol</stp>
        <tr r="N733" s="5"/>
      </tp>
      <tp>
        <v>0</v>
        <stp/>
        <stp>35544144Q0:Vol</stp>
        <tr r="N657" s="5"/>
      </tp>
      <tp>
        <v>0</v>
        <stp/>
        <stp>35554145Q0:Vol</stp>
        <tr r="N695" s="5"/>
      </tp>
      <tp>
        <v>0</v>
        <stp/>
        <stp>35534143Q3:Vol</stp>
        <tr r="N736" s="5"/>
      </tp>
      <tp>
        <v>0</v>
        <stp/>
        <stp>35544144Q3:Vol</stp>
        <tr r="N660" s="5"/>
      </tp>
      <tp>
        <v>0</v>
        <stp/>
        <stp>35554145Q3:Vol</stp>
        <tr r="N698" s="5"/>
      </tp>
      <tp>
        <v>0</v>
        <stp/>
        <stp>35534143Q2:Vol</stp>
        <tr r="N735" s="5"/>
      </tp>
      <tp>
        <v>0</v>
        <stp/>
        <stp>35544144Q2:Vol</stp>
        <tr r="N659" s="5"/>
      </tp>
      <tp>
        <v>0</v>
        <stp/>
        <stp>35554145Q2:Vol</stp>
        <tr r="N697" s="5"/>
      </tp>
      <tp>
        <v>0</v>
        <stp/>
        <stp>35534143Q5:Vol</stp>
        <tr r="N738" s="5"/>
      </tp>
      <tp>
        <v>0</v>
        <stp/>
        <stp>35544144Q5:Vol</stp>
        <tr r="N662" s="5"/>
      </tp>
      <tp>
        <v>0</v>
        <stp/>
        <stp>35554145Q5:Vol</stp>
        <tr r="N700" s="5"/>
      </tp>
      <tp>
        <v>0</v>
        <stp/>
        <stp>35534143Q4:Vol</stp>
        <tr r="N737" s="5"/>
      </tp>
      <tp>
        <v>0</v>
        <stp/>
        <stp>35544144Q4:Vol</stp>
        <tr r="N661" s="5"/>
      </tp>
      <tp>
        <v>0</v>
        <stp/>
        <stp>35554145Q4:Vol</stp>
        <tr r="N699" s="5"/>
      </tp>
      <tp>
        <v>0</v>
        <stp/>
        <stp>35534143Q7:Vol</stp>
        <tr r="N740" s="5"/>
      </tp>
      <tp>
        <v>0</v>
        <stp/>
        <stp>35544144Q7:Vol</stp>
        <tr r="N664" s="5"/>
      </tp>
      <tp>
        <v>0</v>
        <stp/>
        <stp>35554145Q7:Vol</stp>
        <tr r="N702" s="5"/>
      </tp>
      <tp>
        <v>0</v>
        <stp/>
        <stp>35534143Q6:Vol</stp>
        <tr r="N739" s="5"/>
      </tp>
      <tp>
        <v>0</v>
        <stp/>
        <stp>35544144Q6:Vol</stp>
        <tr r="N663" s="5"/>
      </tp>
      <tp>
        <v>0</v>
        <stp/>
        <stp>35554145Q6:Vol</stp>
        <tr r="N701" s="5"/>
      </tp>
    </main>
    <main first="esrtd">
      <tp t="s">
        <v/>
        <stp/>
        <stp>GAS 26QC150000-ICE</stp>
        <stp>OldSettlement</stp>
        <tr r="J16" s="23"/>
      </tp>
    </main>
    <main first="ice.rtd">
      <tp t="s">
        <v/>
        <stp/>
        <stp>15141311T3:LstPrc</stp>
        <tr r="I1531" s="5"/>
      </tp>
      <tp t="s">
        <v/>
        <stp/>
        <stp>15141311T2:LstPrc</stp>
        <tr r="I1530" s="5"/>
      </tp>
      <tp t="s">
        <v/>
        <stp/>
        <stp>15141311T1:LstPrc</stp>
        <tr r="I1529" s="5"/>
      </tp>
      <tp t="s">
        <v/>
        <stp/>
        <stp>15141311T0:LstPrc</stp>
        <tr r="I1528" s="5"/>
      </tp>
      <tp t="s">
        <v/>
        <stp/>
        <stp>15141311T7:LstPrc</stp>
        <tr r="I1535" s="5"/>
      </tp>
      <tp t="s">
        <v/>
        <stp/>
        <stp>15141311T6:LstPrc</stp>
        <tr r="I1534" s="5"/>
      </tp>
      <tp t="s">
        <v/>
        <stp/>
        <stp>15141311T5:LstPrc</stp>
        <tr r="I1533" s="5"/>
      </tp>
      <tp t="s">
        <v/>
        <stp/>
        <stp>15141311T4:LstPrc</stp>
        <tr r="I1532" s="5"/>
      </tp>
      <tp t="s">
        <v/>
        <stp/>
        <stp>15141311T8:LstPrc</stp>
        <tr r="I1536" s="5"/>
      </tp>
      <tp t="s">
        <v/>
        <stp/>
        <stp>18851683M9:LstPrc</stp>
        <tr r="I202" s="5"/>
      </tp>
      <tp t="s">
        <v/>
        <stp/>
        <stp>18851683M8:LstPrc</stp>
        <tr r="I201" s="5"/>
      </tp>
      <tp t="s">
        <v/>
        <stp/>
        <stp>18851683M3:LstPrc</stp>
        <tr r="I196" s="5"/>
      </tp>
      <tp t="s">
        <v/>
        <stp/>
        <stp>18851683M2:LstPrc</stp>
        <tr r="I195" s="5"/>
      </tp>
      <tp>
        <v>-3.95</v>
        <stp/>
        <stp>18851683M1:LstPrc</stp>
        <tr r="I194" s="5"/>
      </tp>
      <tp t="s">
        <v/>
        <stp/>
        <stp>18851683M0:LstPrc</stp>
        <tr r="I193" s="5"/>
      </tp>
      <tp t="s">
        <v/>
        <stp/>
        <stp>18851683M7:LstPrc</stp>
        <tr r="I200" s="5"/>
      </tp>
      <tp t="s">
        <v/>
        <stp/>
        <stp>18851683M6:LstPrc</stp>
        <tr r="I199" s="5"/>
      </tp>
      <tp t="s">
        <v/>
        <stp/>
        <stp>18851683M5:LstPrc</stp>
        <tr r="I198" s="5"/>
      </tp>
      <tp t="s">
        <v/>
        <stp/>
        <stp>18851683M4:LstPrc</stp>
        <tr r="I197" s="5"/>
      </tp>
      <tp>
        <v>0</v>
        <stp/>
        <stp>35534143M9:Vol</stp>
        <tr r="N717" s="5"/>
      </tp>
      <tp>
        <v>0</v>
        <stp/>
        <stp>35544144M9:Vol</stp>
        <tr r="N641" s="5"/>
      </tp>
      <tp>
        <v>0</v>
        <stp/>
        <stp>35554145M9:Vol</stp>
        <tr r="N679" s="5"/>
      </tp>
      <tp>
        <v>0</v>
        <stp/>
        <stp>35534143M8:Vol</stp>
        <tr r="N716" s="5"/>
      </tp>
      <tp>
        <v>0</v>
        <stp/>
        <stp>35544144M8:Vol</stp>
        <tr r="N640" s="5"/>
      </tp>
      <tp>
        <v>0</v>
        <stp/>
        <stp>35554145M8:Vol</stp>
        <tr r="N678" s="5"/>
      </tp>
      <tp t="s">
        <v/>
        <stp/>
        <stp>18851683Q8:LstPrc</stp>
        <tr r="I226" s="5"/>
      </tp>
      <tp t="s">
        <v/>
        <stp/>
        <stp>18851683Q3:LstPrc</stp>
        <tr r="I221" s="5"/>
      </tp>
      <tp t="s">
        <v/>
        <stp/>
        <stp>18851683Q2:LstPrc</stp>
        <tr r="I220" s="5"/>
      </tp>
      <tp t="s">
        <v/>
        <stp/>
        <stp>18851683Q1:LstPrc</stp>
        <tr r="I219" s="5"/>
      </tp>
      <tp t="s">
        <v/>
        <stp/>
        <stp>18851683Q0:LstPrc</stp>
        <tr r="I218" s="5"/>
      </tp>
      <tp t="s">
        <v/>
        <stp/>
        <stp>18851683Q7:LstPrc</stp>
        <tr r="I225" s="5"/>
      </tp>
      <tp t="s">
        <v/>
        <stp/>
        <stp>18851683Q6:LstPrc</stp>
        <tr r="I224" s="5"/>
      </tp>
      <tp t="s">
        <v/>
        <stp/>
        <stp>18851683Q5:LstPrc</stp>
        <tr r="I223" s="5"/>
      </tp>
      <tp t="s">
        <v/>
        <stp/>
        <stp>18851683Q4:LstPrc</stp>
        <tr r="I222" s="5"/>
      </tp>
      <tp>
        <v>0</v>
        <stp/>
        <stp>35534143M1:Vol</stp>
        <tr r="N709" s="5"/>
      </tp>
      <tp>
        <v>0</v>
        <stp/>
        <stp>35544144M1:Vol</stp>
        <tr r="N633" s="5"/>
      </tp>
      <tp>
        <v>0</v>
        <stp/>
        <stp>35554145M1:Vol</stp>
        <tr r="N671" s="5"/>
      </tp>
      <tp>
        <v>0</v>
        <stp/>
        <stp>35534143M0:Vol</stp>
        <tr r="N708" s="5"/>
      </tp>
      <tp>
        <v>0</v>
        <stp/>
        <stp>35544144M0:Vol</stp>
        <tr r="N632" s="5"/>
      </tp>
      <tp>
        <v>0</v>
        <stp/>
        <stp>35554145M0:Vol</stp>
        <tr r="N670" s="5"/>
      </tp>
      <tp>
        <v>0</v>
        <stp/>
        <stp>35534143M3:Vol</stp>
        <tr r="N711" s="5"/>
      </tp>
      <tp>
        <v>0</v>
        <stp/>
        <stp>35544144M3:Vol</stp>
        <tr r="N635" s="5"/>
      </tp>
      <tp>
        <v>0</v>
        <stp/>
        <stp>35554145M3:Vol</stp>
        <tr r="N673" s="5"/>
      </tp>
      <tp>
        <v>0</v>
        <stp/>
        <stp>35534143M2:Vol</stp>
        <tr r="N710" s="5"/>
      </tp>
      <tp>
        <v>0</v>
        <stp/>
        <stp>35544144M2:Vol</stp>
        <tr r="N634" s="5"/>
      </tp>
      <tp>
        <v>0</v>
        <stp/>
        <stp>35554145M2:Vol</stp>
        <tr r="N672" s="5"/>
      </tp>
      <tp>
        <v>0</v>
        <stp/>
        <stp>35534143M5:Vol</stp>
        <tr r="N713" s="5"/>
      </tp>
      <tp>
        <v>0</v>
        <stp/>
        <stp>35544144M5:Vol</stp>
        <tr r="N637" s="5"/>
      </tp>
      <tp>
        <v>0</v>
        <stp/>
        <stp>35554145M5:Vol</stp>
        <tr r="N675" s="5"/>
      </tp>
      <tp>
        <v>0</v>
        <stp/>
        <stp>35534143M4:Vol</stp>
        <tr r="N712" s="5"/>
      </tp>
      <tp>
        <v>0</v>
        <stp/>
        <stp>35544144M4:Vol</stp>
        <tr r="N636" s="5"/>
      </tp>
      <tp>
        <v>0</v>
        <stp/>
        <stp>35554145M4:Vol</stp>
        <tr r="N674" s="5"/>
      </tp>
      <tp>
        <v>0</v>
        <stp/>
        <stp>35534143M7:Vol</stp>
        <tr r="N715" s="5"/>
      </tp>
      <tp>
        <v>0</v>
        <stp/>
        <stp>35544144M7:Vol</stp>
        <tr r="N639" s="5"/>
      </tp>
      <tp>
        <v>0</v>
        <stp/>
        <stp>35554145M7:Vol</stp>
        <tr r="N677" s="5"/>
      </tp>
      <tp t="s">
        <v/>
        <stp/>
        <stp>18851683Y2:LstPrc</stp>
        <tr r="I229" s="5"/>
      </tp>
      <tp t="s">
        <v/>
        <stp/>
        <stp>18851683Y1:LstPrc</stp>
        <tr r="I228" s="5"/>
      </tp>
      <tp t="s">
        <v/>
        <stp/>
        <stp>18851683Y0:LstPrc</stp>
        <tr r="I227" s="5"/>
      </tp>
      <tp>
        <v>0</v>
        <stp/>
        <stp>35534143M6:Vol</stp>
        <tr r="N714" s="5"/>
      </tp>
      <tp>
        <v>0</v>
        <stp/>
        <stp>35544144M6:Vol</stp>
        <tr r="N638" s="5"/>
      </tp>
      <tp>
        <v>0</v>
        <stp/>
        <stp>35554145M6:Vol</stp>
        <tr r="N676" s="5"/>
      </tp>
      <tp>
        <v>1</v>
        <stp/>
        <stp>30813691M9:Vol</stp>
        <tr r="N1962" s="5"/>
      </tp>
      <tp>
        <v>1</v>
        <stp/>
        <stp>30813691M8:Vol</stp>
        <tr r="N1961" s="5"/>
      </tp>
      <tp>
        <v>0</v>
        <stp/>
        <stp>16331513M8:Vol</stp>
        <tr r="N1423" s="5"/>
      </tp>
      <tp>
        <v>0</v>
        <stp/>
        <stp>16341514M8:Vol</stp>
        <tr r="N1461" s="5"/>
      </tp>
      <tp>
        <v>0</v>
        <stp/>
        <stp>16351515M8:Vol</stp>
        <tr r="N1499" s="5"/>
      </tp>
      <tp>
        <v>0</v>
        <stp/>
        <stp>16331513M9:Vol</stp>
        <tr r="N1424" s="5"/>
      </tp>
      <tp>
        <v>0</v>
        <stp/>
        <stp>16341514M9:Vol</stp>
        <tr r="N1462" s="5"/>
      </tp>
      <tp>
        <v>0</v>
        <stp/>
        <stp>16351515M9:Vol</stp>
        <tr r="N1500" s="5"/>
      </tp>
      <tp>
        <v>0</v>
        <stp/>
        <stp>16331513M6:Vol</stp>
        <tr r="N1421" s="5"/>
      </tp>
      <tp>
        <v>0</v>
        <stp/>
        <stp>16341514M6:Vol</stp>
        <tr r="N1459" s="5"/>
      </tp>
      <tp>
        <v>0</v>
        <stp/>
        <stp>16351515M6:Vol</stp>
        <tr r="N1497" s="5"/>
      </tp>
      <tp>
        <v>0</v>
        <stp/>
        <stp>30813691M3:Vol</stp>
        <tr r="N1956" s="5"/>
      </tp>
      <tp>
        <v>0</v>
        <stp/>
        <stp>16331513M7:Vol</stp>
        <tr r="N1422" s="5"/>
      </tp>
      <tp>
        <v>0</v>
        <stp/>
        <stp>16341514M7:Vol</stp>
        <tr r="N1460" s="5"/>
      </tp>
      <tp>
        <v>0</v>
        <stp/>
        <stp>16351515M7:Vol</stp>
        <tr r="N1498" s="5"/>
      </tp>
      <tp>
        <v>0</v>
        <stp/>
        <stp>30813691M2:Vol</stp>
        <tr r="N1955" s="5"/>
      </tp>
      <tp>
        <v>0</v>
        <stp/>
        <stp>16331513M4:Vol</stp>
        <tr r="N1419" s="5"/>
      </tp>
      <tp>
        <v>0</v>
        <stp/>
        <stp>16341514M4:Vol</stp>
        <tr r="N1457" s="5"/>
      </tp>
      <tp>
        <v>0</v>
        <stp/>
        <stp>16351515M4:Vol</stp>
        <tr r="N1495" s="5"/>
      </tp>
      <tp>
        <v>139</v>
        <stp/>
        <stp>30813691M1:Vol</stp>
        <tr r="N1954" s="5"/>
      </tp>
      <tp>
        <v>0</v>
        <stp/>
        <stp>16331513M5:Vol</stp>
        <tr r="N1420" s="5"/>
      </tp>
      <tp>
        <v>0</v>
        <stp/>
        <stp>16341514M5:Vol</stp>
        <tr r="N1458" s="5"/>
      </tp>
      <tp>
        <v>0</v>
        <stp/>
        <stp>16351515M5:Vol</stp>
        <tr r="N1496" s="5"/>
      </tp>
      <tp>
        <v>0</v>
        <stp/>
        <stp>30813691M0:Vol</stp>
        <tr r="N1953" s="5"/>
      </tp>
      <tp>
        <v>0</v>
        <stp/>
        <stp>16331513M2:Vol</stp>
        <tr r="N1417" s="5"/>
      </tp>
      <tp>
        <v>0</v>
        <stp/>
        <stp>16341514M2:Vol</stp>
        <tr r="N1455" s="5"/>
      </tp>
      <tp>
        <v>0</v>
        <stp/>
        <stp>16351515M2:Vol</stp>
        <tr r="N1493" s="5"/>
      </tp>
      <tp>
        <v>1</v>
        <stp/>
        <stp>30813691M7:Vol</stp>
        <tr r="N1960" s="5"/>
      </tp>
      <tp>
        <v>0</v>
        <stp/>
        <stp>16331513M3:Vol</stp>
        <tr r="N1418" s="5"/>
      </tp>
      <tp>
        <v>0</v>
        <stp/>
        <stp>16341514M3:Vol</stp>
        <tr r="N1456" s="5"/>
      </tp>
      <tp>
        <v>0</v>
        <stp/>
        <stp>16351515M3:Vol</stp>
        <tr r="N1494" s="5"/>
      </tp>
      <tp>
        <v>0</v>
        <stp/>
        <stp>30813691M6:Vol</stp>
        <tr r="N1959" s="5"/>
      </tp>
      <tp>
        <v>0</v>
        <stp/>
        <stp>16331513M0:Vol</stp>
        <tr r="N1415" s="5"/>
      </tp>
      <tp>
        <v>0</v>
        <stp/>
        <stp>16341514M0:Vol</stp>
        <tr r="N1453" s="5"/>
      </tp>
      <tp>
        <v>0</v>
        <stp/>
        <stp>16351515M0:Vol</stp>
        <tr r="N1491" s="5"/>
      </tp>
      <tp>
        <v>0</v>
        <stp/>
        <stp>30813691M5:Vol</stp>
        <tr r="N1958" s="5"/>
      </tp>
      <tp>
        <v>0</v>
        <stp/>
        <stp>16331513M1:Vol</stp>
        <tr r="N1416" s="5"/>
      </tp>
      <tp>
        <v>0</v>
        <stp/>
        <stp>16341514M1:Vol</stp>
        <tr r="N1454" s="5"/>
      </tp>
      <tp>
        <v>0</v>
        <stp/>
        <stp>16351515M1:Vol</stp>
        <tr r="N1492" s="5"/>
      </tp>
      <tp>
        <v>0</v>
        <stp/>
        <stp>30813691M4:Vol</stp>
        <tr r="N1957" s="5"/>
      </tp>
      <tp t="s">
        <v/>
        <stp/>
        <stp>18871685M9:LstPrc</stp>
        <tr r="I430" s="5"/>
      </tp>
      <tp t="s">
        <v/>
        <stp/>
        <stp>18871685M8:LstPrc</stp>
        <tr r="I429" s="5"/>
      </tp>
      <tp t="s">
        <v/>
        <stp/>
        <stp>18871685M3:LstPrc</stp>
        <tr r="I424" s="5"/>
      </tp>
      <tp t="s">
        <v/>
        <stp/>
        <stp>18871685M2:LstPrc</stp>
        <tr r="I423" s="5"/>
      </tp>
      <tp t="s">
        <v/>
        <stp/>
        <stp>18871685M1:LstPrc</stp>
        <tr r="I422" s="5"/>
      </tp>
      <tp t="s">
        <v/>
        <stp/>
        <stp>18871685M0:LstPrc</stp>
        <tr r="I421" s="5"/>
      </tp>
      <tp t="s">
        <v/>
        <stp/>
        <stp>18871685M7:LstPrc</stp>
        <tr r="I428" s="5"/>
      </tp>
      <tp t="s">
        <v/>
        <stp/>
        <stp>18871685M6:LstPrc</stp>
        <tr r="I427" s="5"/>
      </tp>
      <tp t="s">
        <v/>
        <stp/>
        <stp>18871685M5:LstPrc</stp>
        <tr r="I426" s="5"/>
      </tp>
      <tp t="s">
        <v/>
        <stp/>
        <stp>18871685M4:LstPrc</stp>
        <tr r="I425" s="5"/>
      </tp>
      <tp t="s">
        <v/>
        <stp/>
        <stp>18871685Q8:LstPrc</stp>
        <tr r="I454" s="5"/>
      </tp>
      <tp t="s">
        <v/>
        <stp/>
        <stp>18871685Q3:LstPrc</stp>
        <tr r="I449" s="5"/>
      </tp>
      <tp t="s">
        <v/>
        <stp/>
        <stp>18871685Q2:LstPrc</stp>
        <tr r="I448" s="5"/>
      </tp>
      <tp t="s">
        <v/>
        <stp/>
        <stp>18871685Q1:LstPrc</stp>
        <tr r="I447" s="5"/>
      </tp>
      <tp t="s">
        <v/>
        <stp/>
        <stp>18871685Q0:LstPrc</stp>
        <tr r="I446" s="5"/>
      </tp>
      <tp t="s">
        <v/>
        <stp/>
        <stp>18871685Q7:LstPrc</stp>
        <tr r="I453" s="5"/>
      </tp>
      <tp t="s">
        <v/>
        <stp/>
        <stp>18871685Q6:LstPrc</stp>
        <tr r="I452" s="5"/>
      </tp>
      <tp t="s">
        <v/>
        <stp/>
        <stp>18871685Q5:LstPrc</stp>
        <tr r="I451" s="5"/>
      </tp>
      <tp t="s">
        <v/>
        <stp/>
        <stp>18871685Q4:LstPrc</stp>
        <tr r="I450" s="5"/>
      </tp>
      <tp t="s">
        <v>Invalid Market: 18871685Y2</v>
        <stp/>
        <stp>18871685Y2:LstPrc</stp>
        <tr r="I457" s="5"/>
      </tp>
      <tp t="s">
        <v/>
        <stp/>
        <stp>18871685Y1:LstPrc</stp>
        <tr r="I456" s="5"/>
      </tp>
      <tp t="s">
        <v/>
        <stp/>
        <stp>18871685Y0:LstPrc</stp>
        <tr r="I455" s="5"/>
      </tp>
    </main>
    <main first="bofaddin.rtdserver">
      <tp t="s">
        <v>#N/A Real Time</v>
        <stp/>
        <stp>BDP|5531742484338264173|22</stp>
        <stp>COQ6C 300.00 Comdty</stp>
        <stp>THETA_MID_RT</stp>
        <tr r="E86" s="23"/>
        <tr r="E58" s="23"/>
      </tp>
    </main>
    <main first="ice.rtd">
      <tp>
        <v>0</v>
        <stp/>
        <stp>46678127M8:Vol</stp>
        <tr r="N353" s="5"/>
      </tp>
      <tp>
        <v>0</v>
        <stp/>
        <stp>46678127M9:Vol</stp>
        <tr r="N354" s="5"/>
      </tp>
      <tp>
        <v>25</v>
        <stp/>
        <stp>46678127M2:Vol</stp>
        <tr r="N347" s="5"/>
      </tp>
      <tp>
        <v>0</v>
        <stp/>
        <stp>46678127M3:Vol</stp>
        <tr r="N348" s="5"/>
      </tp>
      <tp>
        <v>0</v>
        <stp/>
        <stp>46678127M0:Vol</stp>
        <tr r="N345" s="5"/>
      </tp>
      <tp>
        <v>25</v>
        <stp/>
        <stp>46678127M1:Vol</stp>
        <tr r="N346" s="5"/>
      </tp>
      <tp>
        <v>0</v>
        <stp/>
        <stp>46678127M6:Vol</stp>
        <tr r="N351" s="5"/>
      </tp>
      <tp>
        <v>0</v>
        <stp/>
        <stp>46678127M7:Vol</stp>
        <tr r="N352" s="5"/>
      </tp>
      <tp>
        <v>0</v>
        <stp/>
        <stp>46678127M4:Vol</stp>
        <tr r="N349" s="5"/>
      </tp>
      <tp>
        <v>0</v>
        <stp/>
        <stp>46678127M5:Vol</stp>
        <tr r="N350" s="5"/>
      </tp>
    </main>
    <main first="bofaddin.rtdserver">
      <tp t="s">
        <v>#N/A Real Time</v>
        <stp/>
        <stp>BDP|6952207912574861298|22</stp>
        <stp>COV6C 130.00 Comdty</stp>
        <stp>THETA_MID_RT</stp>
        <tr r="D77" s="23"/>
        <tr r="D86" s="23"/>
        <tr r="D58" s="23"/>
      </tp>
    </main>
    <main first="ice.rtd">
      <tp t="s">
        <v/>
        <stp/>
        <stp>366531MM26:LstBlkTime</stp>
        <tr r="M1741" s="5"/>
      </tp>
      <tp t="s">
        <v/>
        <stp/>
        <stp>366531MM27:LstBlkTime</stp>
        <tr r="M1742" s="5"/>
      </tp>
      <tp t="s">
        <v/>
        <stp/>
        <stp>366531MM24:LstBlkTime</stp>
        <tr r="M1739" s="5"/>
      </tp>
      <tp t="s">
        <v/>
        <stp/>
        <stp>366531MM25:LstBlkTime</stp>
        <tr r="M1740" s="5"/>
      </tp>
      <tp t="s">
        <v/>
        <stp/>
        <stp>366531MM22:LstBlkTime</stp>
        <tr r="M1737" s="5"/>
      </tp>
      <tp t="s">
        <v/>
        <stp/>
        <stp>366531MM23:LstBlkTime</stp>
        <tr r="M1738" s="5"/>
      </tp>
      <tp t="s">
        <v/>
        <stp/>
        <stp>366531MM20:LstBlkTime</stp>
        <tr r="M1735" s="5"/>
      </tp>
      <tp t="s">
        <v/>
        <stp/>
        <stp>366531MM21:LstBlkTime</stp>
        <tr r="M1736" s="5"/>
      </tp>
      <tp t="s">
        <v/>
        <stp/>
        <stp>366531MM16:LstBlkTime</stp>
        <tr r="M1731" s="5"/>
      </tp>
      <tp t="s">
        <v>09:53:39</v>
        <stp/>
        <stp>366531MM17:LstBlkTime</stp>
        <tr r="M1732" s="5"/>
      </tp>
      <tp t="s">
        <v/>
        <stp/>
        <stp>366531MM14:LstBlkTime</stp>
        <tr r="M1729" s="5"/>
      </tp>
      <tp t="s">
        <v/>
        <stp/>
        <stp>366531MM15:LstBlkTime</stp>
        <tr r="M1730" s="5"/>
      </tp>
      <tp t="s">
        <v/>
        <stp/>
        <stp>366531MM12:LstBlkTime</stp>
        <tr r="M1727" s="5"/>
      </tp>
      <tp t="s">
        <v/>
        <stp/>
        <stp>366531MM13:LstBlkTime</stp>
        <tr r="M1728" s="5"/>
      </tp>
      <tp t="s">
        <v>10:39:54</v>
        <stp/>
        <stp>366531MM10:LstBlkTime</stp>
        <tr r="M1725" s="5"/>
      </tp>
      <tp t="s">
        <v>10:42:00</v>
        <stp/>
        <stp>366531MM11:LstBlkTime</stp>
        <tr r="M1726" s="5"/>
      </tp>
      <tp t="s">
        <v/>
        <stp/>
        <stp>366531MM18:LstBlkTime</stp>
        <tr r="M1733" s="5"/>
      </tp>
      <tp t="s">
        <v/>
        <stp/>
        <stp>366531MM19:LstBlkTime</stp>
        <tr r="M1734" s="5"/>
      </tp>
      <tp t="s">
        <v/>
        <stp/>
        <stp>DBI1227MM16:LstBlkVol</stp>
        <tr r="L1667" s="5"/>
      </tp>
      <tp t="s">
        <v/>
        <stp/>
        <stp>DBI1227MM26:LstBlkVol</stp>
        <tr r="L1677" s="5"/>
      </tp>
      <tp t="s">
        <v>Jan27</v>
        <stp/>
        <stp>34364094M4:Strip</stp>
        <tr r="E522" s="5"/>
      </tp>
      <tp t="s">
        <v>Jan27</v>
        <stp/>
        <stp>34374095M4:Strip</stp>
        <tr r="E560" s="5"/>
      </tp>
      <tp t="s">
        <v>Q4 27</v>
        <stp/>
        <stp>34364094Q4:Strip</stp>
        <tr r="E547" s="5"/>
      </tp>
      <tp t="s">
        <v>Q4 27</v>
        <stp/>
        <stp>34374095Q4:Strip</stp>
        <tr r="E585" s="5"/>
      </tp>
      <tp t="s">
        <v>Jan27</v>
        <stp/>
        <stp>34344092M4:Strip</stp>
        <tr r="E1267" s="5"/>
      </tp>
      <tp t="s">
        <v>Jan27</v>
        <stp/>
        <stp>34354093M4:Strip</stp>
        <tr r="E1305" s="5"/>
      </tp>
      <tp t="s">
        <v>Q4 27</v>
        <stp/>
        <stp>34344092Q4:Strip</stp>
        <tr r="E1292" s="5"/>
      </tp>
      <tp t="s">
        <v>Q4 27</v>
        <stp/>
        <stp>34354093Q4:Strip</stp>
        <tr r="E1330" s="5"/>
      </tp>
      <tp t="s">
        <v>Sep26/Dec26</v>
        <stp/>
        <stp>161913535MM2:Strip</stp>
        <tr r="E2029" s="5"/>
      </tp>
      <tp t="s">
        <v>May27</v>
        <stp/>
        <stp>1581618115M8:Strip</stp>
        <tr r="E467" s="5"/>
      </tp>
      <tp t="s">
        <v>May27</v>
        <stp/>
        <stp>1923422331M8:Strip</stp>
        <tr r="E1635" s="5"/>
      </tp>
      <tp t="s">
        <v/>
        <stp/>
        <stp>DBI1227MM20:BstHitPrc</stp>
        <tr r="G1671" s="5"/>
      </tp>
      <tp>
        <v>9.5</v>
        <stp/>
        <stp>DBI1227MM10:BstHitPrc</stp>
        <tr r="G1649" s="5"/>
        <tr r="G1661" s="5"/>
      </tp>
      <tp t="s">
        <v>Mar27</v>
        <stp/>
        <stp>30793693M6:Strip</stp>
        <tr r="E889" s="5"/>
      </tp>
      <tp t="s">
        <v>Q2 28</v>
        <stp/>
        <stp>30793693Q6:Strip</stp>
        <tr r="E914" s="5"/>
      </tp>
      <tp t="s">
        <v>Jun27</v>
        <stp/>
        <stp>41787896M9:Strip</stp>
        <tr r="E816" s="5"/>
      </tp>
      <tp t="s">
        <v>Jun27</v>
        <stp/>
        <stp>41767893M9:Strip</stp>
        <tr r="E489" s="5"/>
      </tp>
    </main>
    <main first="esrtd">
      <tp t="s">
        <v/>
        <stp/>
        <stp>WDF 7!-IEU</stp>
        <stp>Strip</stp>
        <tr r="E1784" s="5"/>
      </tp>
      <tp t="s">
        <v/>
        <stp/>
        <stp>WDF 6!-IEU</stp>
        <stp>Strip</stp>
        <tr r="E1783" s="5"/>
      </tp>
      <tp t="s">
        <v/>
        <stp/>
        <stp>WDF 5!-IEU</stp>
        <stp>Strip</stp>
        <tr r="E1782" s="5"/>
      </tp>
      <tp t="s">
        <v/>
        <stp/>
        <stp>WDF 4!-IEU</stp>
        <stp>Strip</stp>
        <tr r="E1781" s="5"/>
      </tp>
      <tp t="s">
        <v/>
        <stp/>
        <stp>WDF 3!-IEU</stp>
        <stp>Strip</stp>
        <tr r="E1780" s="5"/>
      </tp>
      <tp t="s">
        <v/>
        <stp/>
        <stp>WDF 2!-IEU</stp>
        <stp>Strip</stp>
        <tr r="E1779" s="5"/>
      </tp>
      <tp t="s">
        <v/>
        <stp/>
        <stp>WDF 1!-IEU</stp>
        <stp>Strip</stp>
        <tr r="E1778" s="5"/>
      </tp>
      <tp t="s">
        <v/>
        <stp/>
        <stp>WDF 9!-IEU</stp>
        <stp>Strip</stp>
        <tr r="E1786" s="5"/>
      </tp>
      <tp t="s">
        <v/>
        <stp/>
        <stp>WDF 8!-IEU</stp>
        <stp>Strip</stp>
        <tr r="E1785" s="5"/>
      </tp>
    </main>
    <main first="ice.rtd">
      <tp t="s">
        <v>Bal Month</v>
        <stp/>
        <stp>1961122916B0:Strip</stp>
        <tr r="E1626" s="5"/>
      </tp>
      <tp t="s">
        <v>Sep21-Sep25 (Dec)</v>
        <stp/>
        <stp>17551596T2:Strip</stp>
        <tr r="E1539" s="5"/>
      </tp>
      <tp t="s">
        <v>Jan27</v>
        <stp/>
        <stp>34404098M4:Strip</stp>
        <tr r="E598" s="5"/>
      </tp>
      <tp t="s">
        <v>Jan27</v>
        <stp/>
        <stp>34414099M4:Strip</stp>
        <tr r="E83" s="5"/>
      </tp>
      <tp t="s">
        <v>Q4 27</v>
        <stp/>
        <stp>34404098Q4:Strip</stp>
        <tr r="E623" s="5"/>
      </tp>
      <tp t="s">
        <v>Q4 27</v>
        <stp/>
        <stp>34414099Q4:Strip</stp>
        <tr r="E108" s="5"/>
      </tp>
      <tp t="s">
        <v>Dec26</v>
        <stp/>
        <stp>16331513M3:Strip</stp>
        <tr r="E1418" s="5"/>
      </tp>
      <tp t="s">
        <v>Dec26</v>
        <stp/>
        <stp>16341514M3:Strip</stp>
        <tr r="E1456" s="5"/>
      </tp>
      <tp t="s">
        <v>Dec26</v>
        <stp/>
        <stp>16351515M3:Strip</stp>
        <tr r="E1494" s="5"/>
      </tp>
      <tp t="s">
        <v>Q3 27</v>
        <stp/>
        <stp>16331513Q3:Strip</stp>
        <tr r="E1443" s="5"/>
      </tp>
      <tp t="s">
        <v>Q3 27</v>
        <stp/>
        <stp>16341514Q3:Strip</stp>
        <tr r="E1481" s="5"/>
      </tp>
      <tp t="s">
        <v>Q3 27</v>
        <stp/>
        <stp>16351515Q3:Strip</stp>
        <tr r="E1519" s="5"/>
      </tp>
      <tp t="s">
        <v/>
        <stp/>
        <stp>DBI1227MM10:LstBlkPrc</stp>
        <tr r="K1661" s="5"/>
        <tr r="K1649" s="5"/>
      </tp>
      <tp t="s">
        <v/>
        <stp/>
        <stp>DBI1227MM20:LstBlkPrc</stp>
        <tr r="K1671" s="5"/>
      </tp>
      <tp t="s">
        <v>Apr27</v>
        <stp/>
        <stp>57179020M7:Strip</stp>
        <tr r="E1554" s="5"/>
      </tp>
      <tp t="s">
        <v>Invalid Market: 57179020Q7</v>
        <stp/>
        <stp>57179020Q7:Strip</stp>
        <tr r="E1579" s="5"/>
      </tp>
      <tp t="s">
        <v>Oct26-Oct30 (Dec)</v>
        <stp/>
        <stp>15141311T6:Strip</stp>
        <tr r="E1534" s="5"/>
      </tp>
      <tp t="s">
        <v>Invalid Market: B0</v>
        <stp/>
        <stp>B0:Strip</stp>
        <tr r="E1034" s="5"/>
        <tr r="E1148" s="5"/>
      </tp>
      <tp t="s">
        <v>Mar27</v>
        <stp/>
        <stp>15091310M6:Strip</stp>
        <tr r="E1383" s="5"/>
      </tp>
      <tp t="s">
        <v>Q2 28</v>
        <stp/>
        <stp>15091310Q6:Strip</stp>
        <tr r="E1408" s="5"/>
      </tp>
      <tp t="s">
        <v>Jan27</v>
        <stp/>
        <stp>35534143M4:Strip</stp>
        <tr r="E712" s="5"/>
      </tp>
      <tp t="s">
        <v>Jan27</v>
        <stp/>
        <stp>35544144M4:Strip</stp>
        <tr r="E636" s="5"/>
      </tp>
      <tp t="s">
        <v>Jan27</v>
        <stp/>
        <stp>35554145M4:Strip</stp>
        <tr r="E674" s="5"/>
      </tp>
      <tp t="s">
        <v>Mar27</v>
        <stp/>
        <stp>30813691M6:Strip</stp>
        <tr r="E1959" s="5"/>
      </tp>
      <tp t="s">
        <v>Q2 28</v>
        <stp/>
        <stp>30813691Q6:Strip</stp>
        <tr r="E1984" s="5"/>
      </tp>
      <tp t="s">
        <v>Q4 27</v>
        <stp/>
        <stp>35534143Q4:Strip</stp>
        <tr r="E737" s="5"/>
      </tp>
      <tp t="s">
        <v>Q4 27</v>
        <stp/>
        <stp>35544144Q4:Strip</stp>
        <tr r="E661" s="5"/>
      </tp>
      <tp t="s">
        <v>Q4 27</v>
        <stp/>
        <stp>35554145Q4:Strip</stp>
        <tr r="E699" s="5"/>
      </tp>
      <tp t="s">
        <v>Jul27</v>
        <stp/>
        <stp>2044823525M9:Strip</stp>
        <tr r="E1756" s="5"/>
      </tp>
      <tp t="s">
        <v>Cal 27</v>
        <stp/>
        <stp>1840020882Y0:Strip</stp>
        <tr r="E1604" s="5"/>
      </tp>
      <tp t="s">
        <v>Q4 26</v>
        <stp/>
        <stp>1840020882Q0:Strip</stp>
        <tr r="E1599" s="5"/>
      </tp>
      <tp t="s">
        <v>Sep26</v>
        <stp/>
        <stp>1840020882M0:Strip</stp>
        <tr r="E1582" s="5"/>
      </tp>
      <tp t="s">
        <v>Apr27</v>
        <stp/>
        <stp>57409036M7:Strip</stp>
        <tr r="E238" s="5"/>
      </tp>
      <tp t="s">
        <v>Q3 28</v>
        <stp/>
        <stp>57409036Q7:Strip</stp>
        <tr r="E263" s="5"/>
      </tp>
      <tp t="s">
        <v>Apr27</v>
        <stp/>
        <stp>46678127M7:Strip</stp>
        <tr r="E352" s="5"/>
      </tp>
      <tp t="s">
        <v>Q3 28</v>
        <stp/>
        <stp>46678127Q7:Strip</stp>
        <tr r="E377" s="5"/>
      </tp>
    </main>
    <main first="esrtd">
      <tp t="s">
        <v/>
        <stp/>
        <stp>TDL 4!-IEU</stp>
        <stp>Strip</stp>
        <tr r="E1816" s="5"/>
      </tp>
      <tp t="s">
        <v/>
        <stp/>
        <stp>TDL 5!-IEU</stp>
        <stp>Strip</stp>
        <tr r="E1817" s="5"/>
      </tp>
      <tp t="s">
        <v/>
        <stp/>
        <stp>TDL 6!-IEU</stp>
        <stp>Strip</stp>
        <tr r="E1818" s="5"/>
      </tp>
      <tp t="s">
        <v/>
        <stp/>
        <stp>TDL 7!-IEU</stp>
        <stp>Strip</stp>
        <tr r="E1819" s="5"/>
      </tp>
      <tp t="s">
        <v/>
        <stp/>
        <stp>TDL 1!-IEU</stp>
        <stp>Strip</stp>
        <tr r="E1813" s="5"/>
      </tp>
      <tp t="s">
        <v/>
        <stp/>
        <stp>TDL 2!-IEU</stp>
        <stp>Strip</stp>
        <tr r="E1814" s="5"/>
      </tp>
      <tp t="s">
        <v/>
        <stp/>
        <stp>TDL 3!-IEU</stp>
        <stp>Strip</stp>
        <tr r="E1815" s="5"/>
      </tp>
      <tp t="s">
        <v/>
        <stp/>
        <stp>TDL 8!-IEU</stp>
        <stp>Strip</stp>
        <tr r="E1820" s="5"/>
      </tp>
      <tp t="s">
        <v/>
        <stp/>
        <stp>TDL 9!-IEU</stp>
        <stp>Strip</stp>
        <tr r="E1821" s="5"/>
      </tp>
    </main>
    <main first="bofaddin.rtdserver">
      <tp t="s">
        <v>#N/A</v>
        <stp/>
        <stp>BDP|9037601171238610705|222</stp>
        <stp>MUCM8N8 Comdty</stp>
        <stp>BID</stp>
        <stp>Fill=#N/A</stp>
        <tr r="S41" s="1"/>
      </tp>
    </main>
    <main first="ice.rtd">
      <tp t="s">
        <v>Nov26/Mar27</v>
        <stp/>
        <stp>366531MM20:Strip</stp>
        <tr r="E1735" s="5"/>
      </tp>
      <tp t="s">
        <v>Oct26/Nov26</v>
        <stp/>
        <stp>366531MM10:Strip</stp>
        <tr r="E1725" s="5"/>
      </tp>
    </main>
    <main first="bofaddin.rtdserver">
      <tp t="s">
        <v>#N/A</v>
        <stp/>
        <stp>BDP|2647657676834676378|222</stp>
        <stp>OQAZ7F8 Comdty</stp>
        <stp>ASK</stp>
        <stp>Fill=#N/A</stp>
        <tr r="T35" s="1"/>
      </tp>
    </main>
    <main first="ice.rtd">
      <tp t="s">
        <v>EGD</v>
        <stp/>
        <stp>32623993Q8:PCC</stp>
        <tr r="B2023" s="5"/>
      </tp>
      <tp t="s">
        <v>EGD</v>
        <stp/>
        <stp>32623993Q1:PCC</stp>
        <tr r="B2016" s="5"/>
      </tp>
      <tp t="s">
        <v>EGD</v>
        <stp/>
        <stp>32623993Q0:PCC</stp>
        <tr r="B2015" s="5"/>
      </tp>
      <tp t="s">
        <v>EGD</v>
        <stp/>
        <stp>32623993Q3:PCC</stp>
        <tr r="B2018" s="5"/>
      </tp>
      <tp t="s">
        <v>EGD</v>
        <stp/>
        <stp>32623993Q2:PCC</stp>
        <tr r="B2017" s="5"/>
      </tp>
      <tp t="s">
        <v>EGD</v>
        <stp/>
        <stp>32623993Q5:PCC</stp>
        <tr r="B2020" s="5"/>
      </tp>
      <tp t="s">
        <v>EGD</v>
        <stp/>
        <stp>32623993Q4:PCC</stp>
        <tr r="B2019" s="5"/>
      </tp>
      <tp t="s">
        <v>EGD</v>
        <stp/>
        <stp>32623993Q7:PCC</stp>
        <tr r="B2022" s="5"/>
      </tp>
      <tp t="s">
        <v>EGD</v>
        <stp/>
        <stp>32623993Q6:PCC</stp>
        <tr r="B2021" s="5"/>
      </tp>
      <tp t="s">
        <v/>
        <stp/>
        <stp>1840020882Y0:LstPrc</stp>
        <tr r="I1604" s="5"/>
      </tp>
    </main>
    <main first="bofaddin.rtdserver">
      <tp t="s">
        <v>#N/A</v>
        <stp/>
        <stp>BDP|3269034623839828093|222</stp>
        <stp>MUCH0J0 Comdty</stp>
        <stp>BID</stp>
        <stp>Fill=#N/A</stp>
        <tr r="S62" s="1"/>
      </tp>
    </main>
    <main first="ice.rtd">
      <tp t="s">
        <v/>
        <stp/>
        <stp>1840020882Q4:LstPrc</stp>
        <tr r="I1603" s="5"/>
      </tp>
      <tp t="s">
        <v/>
        <stp/>
        <stp>1840020882Q0:LstPrc</stp>
        <tr r="I1599" s="5"/>
      </tp>
      <tp t="s">
        <v/>
        <stp/>
        <stp>1840020882Q1:LstPrc</stp>
        <tr r="I1600" s="5"/>
      </tp>
      <tp t="s">
        <v/>
        <stp/>
        <stp>1840020882Q2:LstPrc</stp>
        <tr r="I1601" s="5"/>
      </tp>
      <tp t="s">
        <v/>
        <stp/>
        <stp>1840020882Q3:LstPrc</stp>
        <tr r="I1602" s="5"/>
      </tp>
      <tp t="s">
        <v/>
        <stp/>
        <stp>1840020882M4:LstPrc</stp>
        <tr r="I1586" s="5"/>
      </tp>
      <tp t="s">
        <v/>
        <stp/>
        <stp>1840020882M5:LstPrc</stp>
        <tr r="I1587" s="5"/>
      </tp>
      <tp t="s">
        <v/>
        <stp/>
        <stp>1840020882M6:LstPrc</stp>
        <tr r="I1588" s="5"/>
      </tp>
      <tp t="s">
        <v/>
        <stp/>
        <stp>1840020882M7:LstPrc</stp>
        <tr r="I1589" s="5"/>
      </tp>
      <tp t="s">
        <v/>
        <stp/>
        <stp>1840020882M0:LstPrc</stp>
        <tr r="I1582" s="5"/>
      </tp>
      <tp t="s">
        <v/>
        <stp/>
        <stp>1840020882M1:LstPrc</stp>
        <tr r="I1583" s="5"/>
      </tp>
      <tp t="s">
        <v/>
        <stp/>
        <stp>1840020882M2:LstPrc</stp>
        <tr r="I1584" s="5"/>
      </tp>
      <tp t="s">
        <v/>
        <stp/>
        <stp>1840020882M3:LstPrc</stp>
        <tr r="I1585" s="5"/>
      </tp>
      <tp t="s">
        <v/>
        <stp/>
        <stp>1840020882M8:LstPrc</stp>
        <tr r="I1590" s="5"/>
      </tp>
      <tp t="s">
        <v/>
        <stp/>
        <stp>1840020882M9:LstPrc</stp>
        <tr r="I1591" s="5"/>
      </tp>
    </main>
    <main first="bofaddin.rtdserver">
      <tp t="s">
        <v>#N/A</v>
        <stp/>
        <stp>BDP|9160714273064673609|222</stp>
        <stp>OQAG9H9 Comdty</stp>
        <stp>BID</stp>
        <stp>Fill=#N/A</stp>
        <tr r="T49" s="1"/>
      </tp>
      <tp t="s">
        <v>#N/A</v>
        <stp/>
        <stp>BDP|8015987988909812209|222</stp>
        <stp>MUCM7N7 Comdty</stp>
        <stp>ASK</stp>
        <stp>Fill=#N/A</stp>
        <tr r="S29" s="1"/>
      </tp>
    </main>
    <main first="ice.rtd">
      <tp t="s">
        <v/>
        <stp/>
        <stp>2184924621B0:LstPrc</stp>
        <tr r="I707" s="5"/>
      </tp>
      <tp t="s">
        <v>EGD</v>
        <stp/>
        <stp>32623993Y1:PCC</stp>
        <tr r="B2025" s="5"/>
      </tp>
      <tp t="s">
        <v>EGD</v>
        <stp/>
        <stp>32623993Y0:PCC</stp>
        <tr r="B2024" s="5"/>
      </tp>
    </main>
    <main first="bofaddin.rtdserver">
      <tp t="s">
        <v>#N/A</v>
        <stp/>
        <stp>BDP|1096312914541774040|222</stp>
        <stp>OQAJ9K9 Comdty</stp>
        <stp>BID</stp>
        <stp>Fill=#N/A</stp>
        <tr r="T51" s="1"/>
      </tp>
      <tp t="s">
        <v>#N/A Requesting Data...3665390985</v>
        <stp/>
        <stp>BDP|3024429731664859813</stp>
        <tr r="F27" s="23"/>
        <tr r="F73" s="23"/>
      </tp>
      <tp t="s">
        <v>#N/A N/A</v>
        <stp/>
        <stp>BDH|9002266867490210597</stp>
        <tr r="L77" s="16"/>
      </tp>
    </main>
    <main first="ice.rtd">
      <tp>
        <v>0</v>
        <stp/>
        <stp>1986923076M5:BlkVol</stp>
        <tr r="O160" s="5"/>
      </tp>
      <tp>
        <v>50</v>
        <stp/>
        <stp>1986923076M4:BlkVol</stp>
        <tr r="O159" s="5"/>
      </tp>
      <tp>
        <v>0</v>
        <stp/>
        <stp>1986923076M7:BlkVol</stp>
        <tr r="O162" s="5"/>
      </tp>
      <tp>
        <v>0</v>
        <stp/>
        <stp>1986923076M6:BlkVol</stp>
        <tr r="O161" s="5"/>
      </tp>
      <tp>
        <v>220</v>
        <stp/>
        <stp>1986923076M1:BlkVol</stp>
        <tr r="O156" s="5"/>
      </tp>
      <tp>
        <v>0</v>
        <stp/>
        <stp>1986923076M0:BlkVol</stp>
        <tr r="O155" s="5"/>
      </tp>
      <tp>
        <v>0</v>
        <stp/>
        <stp>1986923076M3:BlkVol</stp>
        <tr r="O158" s="5"/>
      </tp>
      <tp>
        <v>50</v>
        <stp/>
        <stp>1986923076M2:BlkVol</stp>
        <tr r="O157" s="5"/>
      </tp>
      <tp>
        <v>0</v>
        <stp/>
        <stp>1986923076M9:BlkVol</stp>
        <tr r="O164" s="5"/>
      </tp>
      <tp>
        <v>0</v>
        <stp/>
        <stp>1986923076M8:BlkVol</stp>
        <tr r="O163" s="5"/>
      </tp>
    </main>
    <main first="ice.rtd">
      <tp>
        <v>0</v>
        <stp/>
        <stp>1986923076Q5:BlkVol</stp>
        <tr r="O185" s="5"/>
      </tp>
      <tp>
        <v>0</v>
        <stp/>
        <stp>1986923076Q4:BlkVol</stp>
        <tr r="O184" s="5"/>
      </tp>
      <tp>
        <v>0</v>
        <stp/>
        <stp>1986923076Q7:BlkVol</stp>
        <tr r="O187" s="5"/>
      </tp>
      <tp>
        <v>0</v>
        <stp/>
        <stp>1986923076Q6:BlkVol</stp>
        <tr r="O186" s="5"/>
      </tp>
      <tp>
        <v>0</v>
        <stp/>
        <stp>1986923076Q1:BlkVol</stp>
        <tr r="O181" s="5"/>
      </tp>
      <tp>
        <v>0</v>
        <stp/>
        <stp>1986923076Q0:BlkVol</stp>
        <tr r="O180" s="5"/>
      </tp>
      <tp>
        <v>0</v>
        <stp/>
        <stp>1986923076Q3:BlkVol</stp>
        <tr r="O183" s="5"/>
      </tp>
      <tp>
        <v>0</v>
        <stp/>
        <stp>1986923076Q2:BlkVol</stp>
        <tr r="O182" s="5"/>
      </tp>
      <tp>
        <v>0</v>
        <stp/>
        <stp>1986923076Q8:BlkVol</stp>
        <tr r="O188" s="5"/>
      </tp>
    </main>
    <main first="bofaddin.rtdserver">
      <tp t="s">
        <v>#N/A N/A</v>
        <stp/>
        <stp>BDH|3902657806915708868</stp>
        <tr r="J79" s="16"/>
      </tp>
    </main>
    <main first="ice.rtd">
      <tp>
        <v>0</v>
        <stp/>
        <stp>1986923076Y1:BlkVol</stp>
        <tr r="O190" s="5"/>
      </tp>
      <tp>
        <v>0</v>
        <stp/>
        <stp>1986923076Y0:BlkVol</stp>
        <tr r="O189" s="5"/>
      </tp>
      <tp>
        <v>0</v>
        <stp/>
        <stp>1986923076Y2:BlkVol</stp>
        <tr r="O191" s="5"/>
      </tp>
    </main>
    <main first="bofaddin.rtdserver">
      <tp t="s">
        <v>#N/A N/A</v>
        <stp/>
        <stp>BDH|7477882650447741508</stp>
        <tr r="AZ54" s="1"/>
      </tp>
      <tp t="s">
        <v>#N/A Requesting Data...3783564434</v>
        <stp/>
        <stp>BDP|4321552742529586495</stp>
        <tr r="AF118" s="23"/>
      </tp>
      <tp t="s">
        <v>#N/A Requesting Data...3689885692</v>
        <stp/>
        <stp>BDP|7945803831457732378</stp>
        <tr r="AM75" s="23"/>
      </tp>
      <tp t="s">
        <v>#N/A N/A</v>
        <stp/>
        <stp>BDH|1480885485490156909</stp>
        <tr r="G86" s="16"/>
      </tp>
      <tp t="s">
        <v>#N/A N/A</v>
        <stp/>
        <stp>BDH|2602818538799259857</stp>
        <tr r="H81" s="16"/>
      </tp>
      <tp t="s">
        <v>#N/A N/A</v>
        <stp/>
        <stp>BDH|7653871719305399324</stp>
        <tr r="L76" s="16"/>
      </tp>
      <tp t="s">
        <v>#N/A Requesting Data...3144303207</v>
        <stp/>
        <stp>BDP|6013261831497067891</stp>
        <tr r="AM197" s="23"/>
      </tp>
      <tp t="s">
        <v>#N/A N/A</v>
        <stp/>
        <stp>BDH|7322127876230119986</stp>
        <tr r="AX52" s="1"/>
      </tp>
      <tp t="s">
        <v>#N/A N/A</v>
        <stp/>
        <stp>BDH|4915634093530167366</stp>
        <tr r="BB48" s="1"/>
      </tp>
      <tp t="s">
        <v>#N/A N/A</v>
        <stp/>
        <stp>BDH|8770257322054684487</stp>
        <tr r="AZ26" s="1"/>
      </tp>
      <tp t="s">
        <v>#N/A N/A</v>
        <stp/>
        <stp>BDH|8011889580781651111</stp>
        <tr r="AY52" s="1"/>
      </tp>
      <tp t="s">
        <v>#N/A N/A</v>
        <stp/>
        <stp>BDH|9968057646731344451</stp>
        <tr r="AX22" s="1"/>
      </tp>
      <tp t="s">
        <v>#N/A N/A</v>
        <stp/>
        <stp>BDH|5430651462569623493</stp>
        <tr r="K64" s="16"/>
      </tp>
      <tp t="s">
        <v>#N/A N/A</v>
        <stp/>
        <stp>BDH|9419131209829318914</stp>
        <tr r="D6" s="14"/>
        <tr r="J16" s="14"/>
      </tp>
    </main>
    <main first="ice.rtd">
      <tp>
        <v>0</v>
        <stp/>
        <stp>2181524588B0:BlkVol</stp>
        <tr r="O1452" s="5"/>
      </tp>
    </main>
    <main first="bofaddin.rtdserver">
      <tp t="s">
        <v>#N/A N/A</v>
        <stp/>
        <stp>BDH|3766807222686831701</stp>
        <tr r="AZ66" s="1"/>
      </tp>
      <tp t="b">
        <v>0</v>
        <stp/>
        <stp>BDH|9305448024617874065</stp>
        <tr r="Q21" s="25"/>
        <tr r="Q21" s="25"/>
      </tp>
      <tp t="s">
        <v>#N/A N/A</v>
        <stp/>
        <stp>BDH|2682226380571161182</stp>
        <tr r="AX48" s="1"/>
      </tp>
      <tp t="s">
        <v>#N/A Requesting Data...4162409810</v>
        <stp/>
        <stp>BDP|9024408802707004205</stp>
        <tr r="AF192" s="23"/>
      </tp>
      <tp t="s">
        <v>#N/A N/A</v>
        <stp/>
        <stp>BDH|8616510174015916787</stp>
        <tr r="C22" s="14"/>
      </tp>
    </main>
    <main first="ice.rtd">
      <tp t="s">
        <v>EGD</v>
        <stp/>
        <stp>32623993M9:PCC</stp>
        <tr r="B1999" s="5"/>
      </tp>
      <tp t="s">
        <v>EGD</v>
        <stp/>
        <stp>32623993M8:PCC</stp>
        <tr r="B1998" s="5"/>
      </tp>
      <tp t="s">
        <v>EGD</v>
        <stp/>
        <stp>32623993M1:PCC</stp>
        <tr r="B1991" s="5"/>
      </tp>
    </main>
    <main first="bofaddin.rtdserver">
      <tp t="b">
        <v>0</v>
        <stp/>
        <stp>BDH|8748158853351462561</stp>
        <tr r="O19" s="25"/>
        <tr r="O19" s="25"/>
      </tp>
    </main>
    <main first="ice.rtd">
      <tp t="s">
        <v>EGD</v>
        <stp/>
        <stp>32623993M3:PCC</stp>
        <tr r="B1993" s="5"/>
      </tp>
    </main>
    <main first="ice.rtd">
      <tp t="s">
        <v>EGD</v>
        <stp/>
        <stp>32623993M2:PCC</stp>
        <tr r="B1992" s="5"/>
      </tp>
      <tp t="s">
        <v>EGD</v>
        <stp/>
        <stp>32623993M5:PCC</stp>
        <tr r="B1995" s="5"/>
      </tp>
      <tp t="s">
        <v>EGD</v>
        <stp/>
        <stp>32623993M4:PCC</stp>
        <tr r="B1994" s="5"/>
      </tp>
      <tp t="s">
        <v>EGD</v>
        <stp/>
        <stp>32623993M7:PCC</stp>
        <tr r="B1997" s="5"/>
      </tp>
    </main>
    <main first="ice.rtd">
      <tp t="s">
        <v>EGD</v>
        <stp/>
        <stp>32623993M6:PCC</stp>
        <tr r="B1996" s="5"/>
      </tp>
    </main>
    <main first="bofaddin.rtdserver">
      <tp t="s">
        <v>#N/A N/A</v>
        <stp/>
        <stp>BDH|6630969917500464633</stp>
        <tr r="AX32" s="1"/>
      </tp>
      <tp t="s">
        <v>#N/A Requesting Data...3567902645</v>
        <stp/>
        <stp>BDP|9938129972426821104</stp>
        <tr r="M10" s="21"/>
      </tp>
      <tp t="s">
        <v>#N/A N/A</v>
        <stp/>
        <stp>BDH|3637461356679418335</stp>
        <tr r="AW49" s="1"/>
      </tp>
      <tp t="s">
        <v>#N/A N/A</v>
        <stp/>
        <stp>BDH|9505105141220469417</stp>
        <tr r="BA21" s="1"/>
      </tp>
      <tp t="s">
        <v>#N/A N/A</v>
        <stp/>
        <stp>BDH|1126953147416065228</stp>
        <tr r="J39" s="16"/>
      </tp>
      <tp t="s">
        <v>#N/A N/A</v>
        <stp/>
        <stp>BDH|5365668984501504211</stp>
        <tr r="K76" s="16"/>
      </tp>
    </main>
    <main first="ice.rtd">
      <tp>
        <v>0</v>
        <stp/>
        <stp>18901687Q4:BlkVol</stp>
        <tr r="O336" s="5"/>
      </tp>
      <tp>
        <v>0</v>
        <stp/>
        <stp>18901687Q5:BlkVol</stp>
        <tr r="O337" s="5"/>
      </tp>
      <tp>
        <v>0</v>
        <stp/>
        <stp>18901687Q6:BlkVol</stp>
        <tr r="O338" s="5"/>
      </tp>
      <tp>
        <v>0</v>
        <stp/>
        <stp>18901687Q7:BlkVol</stp>
        <tr r="O339" s="5"/>
      </tp>
      <tp>
        <v>0</v>
        <stp/>
        <stp>18901687Q0:BlkVol</stp>
        <tr r="O332" s="5"/>
      </tp>
      <tp>
        <v>0</v>
        <stp/>
        <stp>18901687Q1:BlkVol</stp>
        <tr r="O333" s="5"/>
      </tp>
      <tp>
        <v>0</v>
        <stp/>
        <stp>18901687Q2:BlkVol</stp>
        <tr r="O334" s="5"/>
      </tp>
      <tp>
        <v>0</v>
        <stp/>
        <stp>18901687Q3:BlkVol</stp>
        <tr r="O335" s="5"/>
      </tp>
      <tp>
        <v>0</v>
        <stp/>
        <stp>18901687Q8:BlkVol</stp>
        <tr r="O340" s="5"/>
      </tp>
      <tp>
        <v>0</v>
        <stp/>
        <stp>18901687Y0:BlkVol</stp>
        <tr r="O341" s="5"/>
      </tp>
      <tp>
        <v>0</v>
        <stp/>
        <stp>18901687Y1:BlkVol</stp>
        <tr r="O342" s="5"/>
      </tp>
      <tp t="s">
        <v>Invalid Market: 18901687Y2</v>
        <stp/>
        <stp>18901687Y2:BlkVol</stp>
        <tr r="O343" s="5"/>
      </tp>
      <tp>
        <v>0</v>
        <stp/>
        <stp>18901687M4:BlkVol</stp>
        <tr r="O311" s="5"/>
      </tp>
      <tp>
        <v>0</v>
        <stp/>
        <stp>18901687M5:BlkVol</stp>
        <tr r="O312" s="5"/>
      </tp>
      <tp>
        <v>0</v>
        <stp/>
        <stp>18901687M6:BlkVol</stp>
        <tr r="O313" s="5"/>
      </tp>
      <tp>
        <v>0</v>
        <stp/>
        <stp>18901687M7:BlkVol</stp>
        <tr r="O314" s="5"/>
      </tp>
      <tp>
        <v>0</v>
        <stp/>
        <stp>18901687M0:BlkVol</stp>
        <tr r="O307" s="5"/>
      </tp>
      <tp>
        <v>17</v>
        <stp/>
        <stp>18901687M1:BlkVol</stp>
        <tr r="O308" s="5"/>
      </tp>
      <tp>
        <v>0</v>
        <stp/>
        <stp>18901687M2:BlkVol</stp>
        <tr r="O309" s="5"/>
      </tp>
      <tp>
        <v>0</v>
        <stp/>
        <stp>18901687M3:BlkVol</stp>
        <tr r="O310" s="5"/>
      </tp>
      <tp>
        <v>0</v>
        <stp/>
        <stp>18901687M8:BlkVol</stp>
        <tr r="O315" s="5"/>
      </tp>
      <tp>
        <v>0</v>
        <stp/>
        <stp>18901687M9:BlkVol</stp>
        <tr r="O316" s="5"/>
      </tp>
      <tp t="s">
        <v>Invalid Market: 18901687Y2</v>
        <stp/>
        <stp>18901687Y2:Vol</stp>
        <tr r="N343" s="5"/>
      </tp>
      <tp>
        <v>0</v>
        <stp/>
        <stp>18901687Y1:Vol</stp>
        <tr r="N342" s="5"/>
      </tp>
      <tp>
        <v>0</v>
        <stp/>
        <stp>18901687Y0:Vol</stp>
        <tr r="N341" s="5"/>
      </tp>
      <tp>
        <v>0</v>
        <stp/>
        <stp>57179020Q2:Vol</stp>
        <tr r="N1574" s="5"/>
      </tp>
      <tp>
        <v>0</v>
        <stp/>
        <stp>57179020Q3:Vol</stp>
        <tr r="N1575" s="5"/>
      </tp>
      <tp>
        <v>0</v>
        <stp/>
        <stp>57179020Q0:Vol</stp>
        <tr r="N1572" s="5"/>
      </tp>
      <tp>
        <v>0</v>
        <stp/>
        <stp>57179020Q1:Vol</stp>
        <tr r="N1573" s="5"/>
      </tp>
      <tp t="s">
        <v>Invalid Market: 57179020Q6</v>
        <stp/>
        <stp>57179020Q6:Vol</stp>
        <tr r="N1578" s="5"/>
      </tp>
      <tp t="s">
        <v>Invalid Market: 57179020Q7</v>
        <stp/>
        <stp>57179020Q7:Vol</stp>
        <tr r="N1579" s="5"/>
      </tp>
      <tp>
        <v>0</v>
        <stp/>
        <stp>57179020Q4:Vol</stp>
        <tr r="N1576" s="5"/>
      </tp>
      <tp t="s">
        <v>Invalid Market: 57179020Q5</v>
        <stp/>
        <stp>57179020Q5:Vol</stp>
        <tr r="N1577" s="5"/>
      </tp>
      <tp>
        <v>0</v>
        <stp/>
        <stp>35534143Q8:BlkVol</stp>
        <tr r="O741" s="5"/>
      </tp>
      <tp>
        <v>0</v>
        <stp/>
        <stp>35544144Q8:BlkVol</stp>
        <tr r="O665" s="5"/>
      </tp>
      <tp>
        <v>0</v>
        <stp/>
        <stp>35554145Q8:BlkVol</stp>
        <tr r="O703" s="5"/>
      </tp>
      <tp>
        <v>0</v>
        <stp/>
        <stp>35534143Q6:BlkVol</stp>
        <tr r="O739" s="5"/>
      </tp>
      <tp>
        <v>0</v>
        <stp/>
        <stp>35544144Q6:BlkVol</stp>
        <tr r="O663" s="5"/>
      </tp>
      <tp>
        <v>0</v>
        <stp/>
        <stp>35554145Q6:BlkVol</stp>
        <tr r="O701" s="5"/>
      </tp>
      <tp>
        <v>0</v>
        <stp/>
        <stp>35534143Q7:BlkVol</stp>
        <tr r="O740" s="5"/>
      </tp>
      <tp>
        <v>0</v>
        <stp/>
        <stp>35544144Q7:BlkVol</stp>
        <tr r="O664" s="5"/>
      </tp>
      <tp>
        <v>0</v>
        <stp/>
        <stp>35554145Q7:BlkVol</stp>
        <tr r="O702" s="5"/>
      </tp>
      <tp>
        <v>0</v>
        <stp/>
        <stp>35534143Q4:BlkVol</stp>
        <tr r="O737" s="5"/>
      </tp>
      <tp>
        <v>0</v>
        <stp/>
        <stp>35544144Q4:BlkVol</stp>
        <tr r="O661" s="5"/>
      </tp>
      <tp>
        <v>0</v>
        <stp/>
        <stp>35554145Q4:BlkVol</stp>
        <tr r="O699" s="5"/>
      </tp>
      <tp>
        <v>0</v>
        <stp/>
        <stp>35534143Q5:BlkVol</stp>
        <tr r="O738" s="5"/>
      </tp>
      <tp>
        <v>0</v>
        <stp/>
        <stp>35544144Q5:BlkVol</stp>
        <tr r="O662" s="5"/>
      </tp>
      <tp>
        <v>0</v>
        <stp/>
        <stp>35554145Q5:BlkVol</stp>
        <tr r="O700" s="5"/>
      </tp>
      <tp>
        <v>0</v>
        <stp/>
        <stp>35534143Q2:BlkVol</stp>
        <tr r="O735" s="5"/>
      </tp>
      <tp>
        <v>0</v>
        <stp/>
        <stp>35544144Q2:BlkVol</stp>
        <tr r="O659" s="5"/>
      </tp>
      <tp>
        <v>0</v>
        <stp/>
        <stp>35554145Q2:BlkVol</stp>
        <tr r="O697" s="5"/>
      </tp>
      <tp>
        <v>0</v>
        <stp/>
        <stp>35534143Q3:BlkVol</stp>
        <tr r="O736" s="5"/>
      </tp>
      <tp>
        <v>0</v>
        <stp/>
        <stp>35544144Q3:BlkVol</stp>
        <tr r="O660" s="5"/>
      </tp>
      <tp>
        <v>0</v>
        <stp/>
        <stp>35554145Q3:BlkVol</stp>
        <tr r="O698" s="5"/>
      </tp>
      <tp>
        <v>0</v>
        <stp/>
        <stp>35534143Q0:BlkVol</stp>
        <tr r="O733" s="5"/>
      </tp>
      <tp>
        <v>0</v>
        <stp/>
        <stp>35544144Q0:BlkVol</stp>
        <tr r="O657" s="5"/>
      </tp>
      <tp>
        <v>0</v>
        <stp/>
        <stp>35554145Q0:BlkVol</stp>
        <tr r="O695" s="5"/>
      </tp>
      <tp>
        <v>0</v>
        <stp/>
        <stp>35534143Q1:BlkVol</stp>
        <tr r="O734" s="5"/>
      </tp>
      <tp>
        <v>0</v>
        <stp/>
        <stp>35544144Q1:BlkVol</stp>
        <tr r="O658" s="5"/>
      </tp>
      <tp>
        <v>0</v>
        <stp/>
        <stp>35554145Q1:BlkVol</stp>
        <tr r="O696" s="5"/>
      </tp>
      <tp>
        <v>0</v>
        <stp/>
        <stp>30813691Q8:BlkVol</stp>
        <tr r="O1986" s="5"/>
      </tp>
      <tp>
        <v>0</v>
        <stp/>
        <stp>30813691Q4:BlkVol</stp>
        <tr r="O1982" s="5"/>
      </tp>
      <tp>
        <v>0</v>
        <stp/>
        <stp>30813691Q5:BlkVol</stp>
        <tr r="O1983" s="5"/>
      </tp>
      <tp>
        <v>0</v>
        <stp/>
        <stp>30813691Q6:BlkVol</stp>
        <tr r="O1984" s="5"/>
      </tp>
      <tp>
        <v>0</v>
        <stp/>
        <stp>30813691Q7:BlkVol</stp>
        <tr r="O1985" s="5"/>
      </tp>
      <tp>
        <v>2</v>
        <stp/>
        <stp>30813691Q0:BlkVol</stp>
        <tr r="O1978" s="5"/>
      </tp>
      <tp>
        <v>0</v>
        <stp/>
        <stp>30813691Q1:BlkVol</stp>
        <tr r="O1979" s="5"/>
      </tp>
      <tp>
        <v>0</v>
        <stp/>
        <stp>30813691Q2:BlkVol</stp>
        <tr r="O1980" s="5"/>
      </tp>
      <tp>
        <v>0</v>
        <stp/>
        <stp>30813691Q3:BlkVol</stp>
        <tr r="O1981" s="5"/>
      </tp>
      <tp>
        <v>0</v>
        <stp/>
        <stp>35534143Y2:BlkVol</stp>
        <tr r="O744" s="5"/>
      </tp>
      <tp>
        <v>0</v>
        <stp/>
        <stp>35544144Y2:BlkVol</stp>
        <tr r="O668" s="5"/>
      </tp>
      <tp>
        <v>0</v>
        <stp/>
        <stp>35554145Y2:BlkVol</stp>
        <tr r="O706" s="5"/>
      </tp>
      <tp>
        <v>0</v>
        <stp/>
        <stp>35534143Y0:BlkVol</stp>
        <tr r="O742" s="5"/>
      </tp>
      <tp>
        <v>0</v>
        <stp/>
        <stp>35544144Y0:BlkVol</stp>
        <tr r="O666" s="5"/>
      </tp>
      <tp>
        <v>0</v>
        <stp/>
        <stp>35554145Y0:BlkVol</stp>
        <tr r="O704" s="5"/>
      </tp>
      <tp>
        <v>0</v>
        <stp/>
        <stp>35534143Y1:BlkVol</stp>
        <tr r="O743" s="5"/>
      </tp>
      <tp>
        <v>0</v>
        <stp/>
        <stp>35544144Y1:BlkVol</stp>
        <tr r="O667" s="5"/>
      </tp>
      <tp>
        <v>0</v>
        <stp/>
        <stp>35554145Y1:BlkVol</stp>
        <tr r="O705" s="5"/>
      </tp>
      <tp>
        <v>0</v>
        <stp/>
        <stp>30813691Y0:BlkVol</stp>
        <tr r="O1987" s="5"/>
      </tp>
      <tp>
        <v>0</v>
        <stp/>
        <stp>30813691Y1:BlkVol</stp>
        <tr r="O1988" s="5"/>
      </tp>
      <tp>
        <v>0</v>
        <stp/>
        <stp>30813691Y2:BlkVol</stp>
        <tr r="O1989" s="5"/>
      </tp>
      <tp>
        <v>0</v>
        <stp/>
        <stp>30813691M8:BlkVol</stp>
        <tr r="O1961" s="5"/>
      </tp>
      <tp>
        <v>0</v>
        <stp/>
        <stp>30813691M9:BlkVol</stp>
        <tr r="O1962" s="5"/>
      </tp>
      <tp>
        <v>0</v>
        <stp/>
        <stp>30813691M4:BlkVol</stp>
        <tr r="O1957" s="5"/>
      </tp>
      <tp>
        <v>0</v>
        <stp/>
        <stp>30813691M5:BlkVol</stp>
        <tr r="O1958" s="5"/>
      </tp>
      <tp>
        <v>0</v>
        <stp/>
        <stp>30813691M6:BlkVol</stp>
        <tr r="O1959" s="5"/>
      </tp>
      <tp>
        <v>0</v>
        <stp/>
        <stp>30813691M7:BlkVol</stp>
        <tr r="O1960" s="5"/>
      </tp>
      <tp>
        <v>0</v>
        <stp/>
        <stp>30813691M0:BlkVol</stp>
        <tr r="O1953" s="5"/>
      </tp>
      <tp>
        <v>120</v>
        <stp/>
        <stp>30813691M1:BlkVol</stp>
        <tr r="O1954" s="5"/>
      </tp>
      <tp>
        <v>2</v>
        <stp/>
        <stp>30813691M2:BlkVol</stp>
        <tr r="O1955" s="5"/>
      </tp>
      <tp>
        <v>77</v>
        <stp/>
        <stp>30813691M3:BlkVol</stp>
        <tr r="O1956" s="5"/>
      </tp>
      <tp>
        <v>0</v>
        <stp/>
        <stp>35534143M8:BlkVol</stp>
        <tr r="O716" s="5"/>
      </tp>
      <tp>
        <v>0</v>
        <stp/>
        <stp>35544144M8:BlkVol</stp>
        <tr r="O640" s="5"/>
      </tp>
      <tp>
        <v>0</v>
        <stp/>
        <stp>35554145M8:BlkVol</stp>
        <tr r="O678" s="5"/>
      </tp>
      <tp>
        <v>0</v>
        <stp/>
        <stp>35534143M9:BlkVol</stp>
        <tr r="O717" s="5"/>
      </tp>
      <tp>
        <v>0</v>
        <stp/>
        <stp>35544144M9:BlkVol</stp>
        <tr r="O641" s="5"/>
      </tp>
      <tp>
        <v>0</v>
        <stp/>
        <stp>35554145M9:BlkVol</stp>
        <tr r="O679" s="5"/>
      </tp>
      <tp>
        <v>0</v>
        <stp/>
        <stp>35534143M6:BlkVol</stp>
        <tr r="O714" s="5"/>
      </tp>
      <tp>
        <v>0</v>
        <stp/>
        <stp>35544144M6:BlkVol</stp>
        <tr r="O638" s="5"/>
      </tp>
      <tp>
        <v>0</v>
        <stp/>
        <stp>35554145M6:BlkVol</stp>
        <tr r="O676" s="5"/>
      </tp>
      <tp>
        <v>0</v>
        <stp/>
        <stp>35534143M7:BlkVol</stp>
        <tr r="O715" s="5"/>
      </tp>
      <tp>
        <v>0</v>
        <stp/>
        <stp>35544144M7:BlkVol</stp>
        <tr r="O639" s="5"/>
      </tp>
      <tp>
        <v>0</v>
        <stp/>
        <stp>35554145M7:BlkVol</stp>
        <tr r="O677" s="5"/>
      </tp>
      <tp>
        <v>0</v>
        <stp/>
        <stp>35534143M4:BlkVol</stp>
        <tr r="O712" s="5"/>
      </tp>
      <tp>
        <v>0</v>
        <stp/>
        <stp>35544144M4:BlkVol</stp>
        <tr r="O636" s="5"/>
      </tp>
      <tp>
        <v>0</v>
        <stp/>
        <stp>35554145M4:BlkVol</stp>
        <tr r="O674" s="5"/>
      </tp>
      <tp>
        <v>0</v>
        <stp/>
        <stp>35534143M5:BlkVol</stp>
        <tr r="O713" s="5"/>
      </tp>
      <tp>
        <v>0</v>
        <stp/>
        <stp>35544144M5:BlkVol</stp>
        <tr r="O637" s="5"/>
      </tp>
      <tp>
        <v>0</v>
        <stp/>
        <stp>35554145M5:BlkVol</stp>
        <tr r="O675" s="5"/>
      </tp>
      <tp>
        <v>0</v>
        <stp/>
        <stp>35534143M2:BlkVol</stp>
        <tr r="O710" s="5"/>
      </tp>
      <tp>
        <v>0</v>
        <stp/>
        <stp>35544144M2:BlkVol</stp>
        <tr r="O634" s="5"/>
      </tp>
      <tp>
        <v>0</v>
        <stp/>
        <stp>35554145M2:BlkVol</stp>
        <tr r="O672" s="5"/>
      </tp>
      <tp>
        <v>0</v>
        <stp/>
        <stp>35534143M3:BlkVol</stp>
        <tr r="O711" s="5"/>
      </tp>
      <tp>
        <v>0</v>
        <stp/>
        <stp>35544144M3:BlkVol</stp>
        <tr r="O635" s="5"/>
      </tp>
      <tp>
        <v>0</v>
        <stp/>
        <stp>35554145M3:BlkVol</stp>
        <tr r="O673" s="5"/>
      </tp>
      <tp>
        <v>0</v>
        <stp/>
        <stp>35534143M0:BlkVol</stp>
        <tr r="O708" s="5"/>
      </tp>
      <tp>
        <v>0</v>
        <stp/>
        <stp>35544144M0:BlkVol</stp>
        <tr r="O632" s="5"/>
      </tp>
      <tp>
        <v>0</v>
        <stp/>
        <stp>35554145M0:BlkVol</stp>
        <tr r="O670" s="5"/>
      </tp>
      <tp>
        <v>4</v>
        <stp/>
        <stp>35534143M1:BlkVol</stp>
        <tr r="O709" s="5"/>
      </tp>
      <tp>
        <v>0</v>
        <stp/>
        <stp>35544144M1:BlkVol</stp>
        <tr r="O633" s="5"/>
      </tp>
      <tp>
        <v>0</v>
        <stp/>
        <stp>35554145M1:BlkVol</stp>
        <tr r="O671" s="5"/>
      </tp>
    </main>
    <main first="bofaddin.rtdserver">
      <tp>
        <v>934</v>
        <stp/>
        <stp>BDP|13242793887383223637|222</stp>
        <stp>QSX7 Comdty</stp>
        <stp>BID</stp>
        <stp>Fill=#N/A</stp>
        <tr r="H33" s="1"/>
      </tp>
      <tp>
        <v>87.9</v>
        <stp/>
        <stp>BDP|16302067031828930502|222</stp>
        <stp>CLX6 Comdty</stp>
        <stp>ASK</stp>
        <stp>Fill=#N/A</stp>
        <tr r="F21" s="1"/>
      </tp>
    </main>
    <main first="ice.rtd">
      <tp>
        <v>0</v>
        <stp/>
        <stp>18901687Q3:Vol</stp>
        <tr r="N335" s="5"/>
      </tp>
      <tp>
        <v>0</v>
        <stp/>
        <stp>18901687Q2:Vol</stp>
        <tr r="N334" s="5"/>
      </tp>
      <tp>
        <v>0</v>
        <stp/>
        <stp>18901687Q1:Vol</stp>
        <tr r="N333" s="5"/>
      </tp>
      <tp>
        <v>0</v>
        <stp/>
        <stp>18901687Q0:Vol</stp>
        <tr r="N332" s="5"/>
      </tp>
      <tp>
        <v>0</v>
        <stp/>
        <stp>18901687Q7:Vol</stp>
        <tr r="N339" s="5"/>
      </tp>
      <tp>
        <v>0</v>
        <stp/>
        <stp>18901687Q6:Vol</stp>
        <tr r="N338" s="5"/>
      </tp>
      <tp>
        <v>0</v>
        <stp/>
        <stp>18901687Q5:Vol</stp>
        <tr r="N337" s="5"/>
      </tp>
      <tp>
        <v>0</v>
        <stp/>
        <stp>18901687Q4:Vol</stp>
        <tr r="N336" s="5"/>
      </tp>
      <tp>
        <v>0</v>
        <stp/>
        <stp>18901687Q8:Vol</stp>
        <tr r="N340" s="5"/>
      </tp>
    </main>
    <main first="bofaddin.rtdserver">
      <tp t="s">
        <v>#N/A</v>
        <stp/>
        <stp>BDP|15315857307687182416|222</stp>
        <stp>QSX9 Comdty</stp>
        <stp>ASK</stp>
        <stp>Fill=#N/A</stp>
        <tr r="H57" s="1"/>
      </tp>
    </main>
    <main first="ice.rtd">
      <tp>
        <v>0</v>
        <stp/>
        <stp>57179020Y0:Vol</stp>
        <tr r="N1580" s="5"/>
      </tp>
      <tp t="s">
        <v>Invalid Market: 57179020Y1</v>
        <stp/>
        <stp>57179020Y1:Vol</stp>
        <tr r="N1581" s="5"/>
      </tp>
      <tp>
        <v>0</v>
        <stp/>
        <stp>15091310Q8:BlkVol</stp>
        <tr r="O1410" s="5"/>
      </tp>
      <tp>
        <v>0</v>
        <stp/>
        <stp>15091310Q4:BlkVol</stp>
        <tr r="O1406" s="5"/>
      </tp>
      <tp>
        <v>0</v>
        <stp/>
        <stp>15091310Q5:BlkVol</stp>
        <tr r="O1407" s="5"/>
      </tp>
      <tp>
        <v>0</v>
        <stp/>
        <stp>15091310Q6:BlkVol</stp>
        <tr r="O1408" s="5"/>
      </tp>
      <tp>
        <v>0</v>
        <stp/>
        <stp>15091310Q7:BlkVol</stp>
        <tr r="O1409" s="5"/>
      </tp>
      <tp>
        <v>12</v>
        <stp/>
        <stp>15091310Q0:BlkVol</stp>
        <tr r="O1402" s="5"/>
      </tp>
      <tp>
        <v>125</v>
        <stp/>
        <stp>15091310Q1:BlkVol</stp>
        <tr r="O1403" s="5"/>
      </tp>
      <tp>
        <v>0</v>
        <stp/>
        <stp>15091310Q2:BlkVol</stp>
        <tr r="O1404" s="5"/>
      </tp>
      <tp>
        <v>0</v>
        <stp/>
        <stp>15091310Q3:BlkVol</stp>
        <tr r="O1405" s="5"/>
      </tp>
      <tp>
        <v>0</v>
        <stp/>
        <stp>15091310Y0:BlkVol</stp>
        <tr r="O1411" s="5"/>
      </tp>
      <tp>
        <v>0</v>
        <stp/>
        <stp>15091310Y1:BlkVol</stp>
        <tr r="O1412" s="5"/>
      </tp>
      <tp>
        <v>0</v>
        <stp/>
        <stp>15091310Y2:BlkVol</stp>
        <tr r="O1413" s="5"/>
      </tp>
      <tp>
        <v>0</v>
        <stp/>
        <stp>15091310M8:BlkVol</stp>
        <tr r="O1385" s="5"/>
      </tp>
      <tp>
        <v>0</v>
        <stp/>
        <stp>15091310M9:BlkVol</stp>
        <tr r="O1386" s="5"/>
      </tp>
      <tp>
        <v>125</v>
        <stp/>
        <stp>15091310M4:BlkVol</stp>
        <tr r="O1381" s="5"/>
      </tp>
      <tp>
        <v>125</v>
        <stp/>
        <stp>15091310M5:BlkVol</stp>
        <tr r="O1382" s="5"/>
      </tp>
      <tp>
        <v>125</v>
        <stp/>
        <stp>15091310M6:BlkVol</stp>
        <tr r="O1383" s="5"/>
      </tp>
      <tp>
        <v>0</v>
        <stp/>
        <stp>15091310M7:BlkVol</stp>
        <tr r="O1384" s="5"/>
      </tp>
      <tp>
        <v>0</v>
        <stp/>
        <stp>15091310M0:BlkVol</stp>
        <tr r="O1377" s="5"/>
      </tp>
      <tp>
        <v>137</v>
        <stp/>
        <stp>15091310M1:BlkVol</stp>
        <tr r="O1378" s="5"/>
      </tp>
      <tp>
        <v>12</v>
        <stp/>
        <stp>15091310M2:BlkVol</stp>
        <tr r="O1379" s="5"/>
      </tp>
      <tp>
        <v>12</v>
        <stp/>
        <stp>15091310M3:BlkVol</stp>
        <tr r="O1380" s="5"/>
      </tp>
      <tp t="s">
        <v/>
        <stp/>
        <stp>57409036M2:LstPrc</stp>
        <tr r="I233" s="5"/>
      </tp>
      <tp t="s">
        <v/>
        <stp/>
        <stp>57409036M3:LstPrc</stp>
        <tr r="I234" s="5"/>
      </tp>
      <tp t="s">
        <v/>
        <stp/>
        <stp>57409036M0:LstPrc</stp>
        <tr r="I231" s="5"/>
      </tp>
      <tp t="s">
        <v/>
        <stp/>
        <stp>57409036M1:LstPrc</stp>
        <tr r="I232" s="5"/>
      </tp>
      <tp t="s">
        <v/>
        <stp/>
        <stp>57409036M6:LstPrc</stp>
        <tr r="I237" s="5"/>
      </tp>
      <tp t="s">
        <v/>
        <stp/>
        <stp>57409036M7:LstPrc</stp>
        <tr r="I238" s="5"/>
      </tp>
      <tp t="s">
        <v/>
        <stp/>
        <stp>57409036M4:LstPrc</stp>
        <tr r="I235" s="5"/>
      </tp>
      <tp t="s">
        <v/>
        <stp/>
        <stp>57409036M5:LstPrc</stp>
        <tr r="I236" s="5"/>
      </tp>
      <tp t="s">
        <v/>
        <stp/>
        <stp>57409036M8:LstPrc</stp>
        <tr r="I239" s="5"/>
      </tp>
      <tp t="s">
        <v/>
        <stp/>
        <stp>57409036M9:LstPrc</stp>
        <tr r="I240" s="5"/>
      </tp>
      <tp t="s">
        <v/>
        <stp/>
        <stp>57409036Y2:LstPrc</stp>
        <tr r="I267" s="5"/>
      </tp>
      <tp t="s">
        <v/>
        <stp/>
        <stp>57409036Y0:LstPrc</stp>
        <tr r="I265" s="5"/>
      </tp>
      <tp t="s">
        <v/>
        <stp/>
        <stp>57409036Y1:LstPrc</stp>
        <tr r="I266" s="5"/>
      </tp>
      <tp t="s">
        <v/>
        <stp/>
        <stp>57409036Q2:LstPrc</stp>
        <tr r="I258" s="5"/>
      </tp>
      <tp t="s">
        <v/>
        <stp/>
        <stp>57409036Q3:LstPrc</stp>
        <tr r="I259" s="5"/>
      </tp>
      <tp t="s">
        <v/>
        <stp/>
        <stp>57409036Q0:LstPrc</stp>
        <tr r="I256" s="5"/>
      </tp>
      <tp t="s">
        <v/>
        <stp/>
        <stp>57409036Q1:LstPrc</stp>
        <tr r="I257" s="5"/>
      </tp>
      <tp t="s">
        <v/>
        <stp/>
        <stp>57409036Q6:LstPrc</stp>
        <tr r="I262" s="5"/>
      </tp>
      <tp t="s">
        <v/>
        <stp/>
        <stp>57409036Q7:LstPrc</stp>
        <tr r="I263" s="5"/>
      </tp>
      <tp t="s">
        <v/>
        <stp/>
        <stp>57409036Q4:LstPrc</stp>
        <tr r="I260" s="5"/>
      </tp>
      <tp t="s">
        <v/>
        <stp/>
        <stp>57409036Q5:LstPrc</stp>
        <tr r="I261" s="5"/>
      </tp>
      <tp t="s">
        <v/>
        <stp/>
        <stp>57409036Q8:LstPrc</stp>
        <tr r="I264" s="5"/>
      </tp>
    </main>
    <main first="bofaddin.rtdserver">
      <tp t="s">
        <v>#N/A Real Time</v>
        <stp/>
        <stp>BDP|9357006471576943563|22</stp>
        <stp>COQ6C 300.00 Comdty</stp>
        <stp>GAMMA_MID_RT</stp>
        <tr r="E73" s="23"/>
        <tr r="E54" s="23"/>
        <tr r="E82" s="23"/>
        <tr r="E52" s="23"/>
      </tp>
    </main>
    <main first="ice.rtd">
      <tp>
        <v>0</v>
        <stp/>
        <stp>18901687M3:Vol</stp>
        <tr r="N310" s="5"/>
      </tp>
      <tp>
        <v>0</v>
        <stp/>
        <stp>18901687M2:Vol</stp>
        <tr r="N309" s="5"/>
      </tp>
      <tp>
        <v>0</v>
        <stp/>
        <stp>18901687M1:Vol</stp>
        <tr r="N308" s="5"/>
      </tp>
      <tp>
        <v>0</v>
        <stp/>
        <stp>18901687M0:Vol</stp>
        <tr r="N307" s="5"/>
      </tp>
      <tp>
        <v>0</v>
        <stp/>
        <stp>18901687M7:Vol</stp>
        <tr r="N314" s="5"/>
      </tp>
      <tp>
        <v>0</v>
        <stp/>
        <stp>18901687M6:Vol</stp>
        <tr r="N313" s="5"/>
      </tp>
      <tp>
        <v>0</v>
        <stp/>
        <stp>18901687M5:Vol</stp>
        <tr r="N312" s="5"/>
      </tp>
      <tp>
        <v>0</v>
        <stp/>
        <stp>18901687M4:Vol</stp>
        <tr r="N311" s="5"/>
      </tp>
      <tp>
        <v>0</v>
        <stp/>
        <stp>18901687M9:Vol</stp>
        <tr r="N316" s="5"/>
      </tp>
      <tp>
        <v>0</v>
        <stp/>
        <stp>18901687M8:Vol</stp>
        <tr r="N315" s="5"/>
      </tp>
      <tp t="s">
        <v/>
        <stp/>
        <stp>DBI1227QQ0:LstDate</stp>
        <tr r="J1679" s="5"/>
      </tp>
      <tp t="s">
        <v/>
        <stp/>
        <stp>DBI1227QQ1:LstDate</stp>
        <tr r="J1680" s="5"/>
      </tp>
      <tp t="s">
        <v/>
        <stp/>
        <stp>2755728678M24:LstDate</stp>
        <tr r="J1135" s="5"/>
      </tp>
      <tp t="s">
        <v/>
        <stp/>
        <stp>2755728678M20:LstDate</stp>
        <tr r="J1131" s="5"/>
      </tp>
      <tp t="s">
        <v/>
        <stp/>
        <stp>2755728678M21:LstDate</stp>
        <tr r="J1132" s="5"/>
      </tp>
      <tp t="s">
        <v/>
        <stp/>
        <stp>2755728678M22:LstDate</stp>
        <tr r="J1133" s="5"/>
      </tp>
      <tp t="s">
        <v/>
        <stp/>
        <stp>2755728678M23:LstDate</stp>
        <tr r="J1134" s="5"/>
      </tp>
      <tp t="s">
        <v/>
        <stp/>
        <stp>2755828679M23:LstDate</stp>
        <tr r="J1020" s="5"/>
      </tp>
      <tp t="s">
        <v/>
        <stp/>
        <stp>2755828679M22:LstDate</stp>
        <tr r="J1019" s="5"/>
      </tp>
      <tp t="s">
        <v/>
        <stp/>
        <stp>2755828679M21:LstDate</stp>
        <tr r="J1018" s="5"/>
      </tp>
      <tp t="s">
        <v/>
        <stp/>
        <stp>2755828679M20:LstDate</stp>
        <tr r="J1017" s="5"/>
      </tp>
      <tp t="s">
        <v/>
        <stp/>
        <stp>2755828679M24:LstDate</stp>
        <tr r="J1021" s="5"/>
      </tp>
    </main>
    <main first="esrtd">
      <tp t="s">
        <v/>
        <stp/>
        <stp>BRN 26UC8200-ICE</stp>
        <stp>ImpVol</stp>
        <tr r="AR75" s="23"/>
      </tp>
      <tp t="s">
        <v/>
        <stp/>
        <stp>BRN 26UP8200-ICE</stp>
        <stp>ImpVol</stp>
        <tr r="AK75" s="23"/>
      </tp>
      <tp t="s">
        <v/>
        <stp/>
        <stp>BRN 26UC8300-ICE</stp>
        <stp>ImpVol</stp>
        <tr r="AR76" s="23"/>
      </tp>
      <tp t="s">
        <v/>
        <stp/>
        <stp>BRN 26UP8300-ICE</stp>
        <stp>ImpVol</stp>
        <tr r="AK76" s="23"/>
      </tp>
    </main>
    <main first="ice.rtd">
      <tp>
        <v>0</v>
        <stp/>
        <stp>57179020M8:Vol</stp>
        <tr r="N1555" s="5"/>
      </tp>
      <tp>
        <v>0</v>
        <stp/>
        <stp>57179020M9:Vol</stp>
        <tr r="N1556" s="5"/>
      </tp>
      <tp>
        <v>0</v>
        <stp/>
        <stp>57179020M2:Vol</stp>
        <tr r="N1549" s="5"/>
      </tp>
      <tp>
        <v>0</v>
        <stp/>
        <stp>57179020M3:Vol</stp>
        <tr r="N1550" s="5"/>
      </tp>
      <tp>
        <v>0</v>
        <stp/>
        <stp>57179020M0:Vol</stp>
        <tr r="N1547" s="5"/>
      </tp>
      <tp>
        <v>0</v>
        <stp/>
        <stp>57179020M1:Vol</stp>
        <tr r="N1548" s="5"/>
      </tp>
      <tp>
        <v>0</v>
        <stp/>
        <stp>57179020M6:Vol</stp>
        <tr r="N1553" s="5"/>
      </tp>
      <tp>
        <v>0</v>
        <stp/>
        <stp>57179020M7:Vol</stp>
        <tr r="N1554" s="5"/>
      </tp>
      <tp>
        <v>0</v>
        <stp/>
        <stp>57179020M4:Vol</stp>
        <tr r="N1551" s="5"/>
      </tp>
      <tp>
        <v>0</v>
        <stp/>
        <stp>57179020M5:Vol</stp>
        <tr r="N1552" s="5"/>
      </tp>
      <tp t="s">
        <v/>
        <stp/>
        <stp>2755728678M14:LstDate</stp>
        <tr r="J1125" s="5"/>
      </tp>
      <tp t="s">
        <v/>
        <stp/>
        <stp>2755728678M15:LstDate</stp>
        <tr r="J1126" s="5"/>
      </tp>
      <tp t="s">
        <v/>
        <stp/>
        <stp>2755728678M16:LstDate</stp>
        <tr r="J1127" s="5"/>
      </tp>
      <tp t="s">
        <v/>
        <stp/>
        <stp>2755828679M19:LstDate</stp>
        <tr r="J1016" s="5"/>
      </tp>
      <tp t="s">
        <v/>
        <stp/>
        <stp>2755728678M17:LstDate</stp>
        <tr r="J1128" s="5"/>
      </tp>
      <tp t="s">
        <v/>
        <stp/>
        <stp>2755828679M18:LstDate</stp>
        <tr r="J1015" s="5"/>
      </tp>
      <tp t="s">
        <v/>
        <stp/>
        <stp>2755728678M10:LstDate</stp>
        <tr r="J1121" s="5"/>
      </tp>
      <tp t="s">
        <v/>
        <stp/>
        <stp>2755728678M11:LstDate</stp>
        <tr r="J1122" s="5"/>
      </tp>
      <tp t="s">
        <v/>
        <stp/>
        <stp>2755728678M12:LstDate</stp>
        <tr r="J1123" s="5"/>
      </tp>
      <tp t="s">
        <v/>
        <stp/>
        <stp>2755728678M13:LstDate</stp>
        <tr r="J1124" s="5"/>
      </tp>
      <tp t="s">
        <v/>
        <stp/>
        <stp>2755828679M13:LstDate</stp>
        <tr r="J1010" s="5"/>
      </tp>
      <tp t="s">
        <v/>
        <stp/>
        <stp>2755828679M12:LstDate</stp>
        <tr r="J1009" s="5"/>
      </tp>
      <tp t="s">
        <v/>
        <stp/>
        <stp>2755828679M11:LstDate</stp>
        <tr r="J1008" s="5"/>
      </tp>
      <tp t="s">
        <v/>
        <stp/>
        <stp>2755828679M10:LstDate</stp>
        <tr r="J1007" s="5"/>
      </tp>
      <tp t="s">
        <v/>
        <stp/>
        <stp>2755728678M18:LstDate</stp>
        <tr r="J1129" s="5"/>
      </tp>
      <tp t="s">
        <v/>
        <stp/>
        <stp>2755828679M17:LstDate</stp>
        <tr r="J1014" s="5"/>
      </tp>
      <tp t="s">
        <v/>
        <stp/>
        <stp>2755728678M19:LstDate</stp>
        <tr r="J1130" s="5"/>
      </tp>
      <tp t="s">
        <v/>
        <stp/>
        <stp>2755828679M16:LstDate</stp>
        <tr r="J1013" s="5"/>
      </tp>
      <tp t="s">
        <v/>
        <stp/>
        <stp>2755828679M15:LstDate</stp>
        <tr r="J1012" s="5"/>
      </tp>
      <tp t="s">
        <v/>
        <stp/>
        <stp>2755828679M14:LstDate</stp>
        <tr r="J1011" s="5"/>
      </tp>
    </main>
    <main first="esrtd">
      <tp t="s">
        <v/>
        <stp/>
        <stp>BRN 26UC8100-ICE</stp>
        <stp>ImpVol</stp>
        <tr r="AR74" s="23"/>
      </tp>
      <tp t="s">
        <v/>
        <stp/>
        <stp>BRN 26UP8100-ICE</stp>
        <stp>ImpVol</stp>
        <tr r="AK74" s="23"/>
      </tp>
    </main>
    <main first="bofaddin.rtdserver">
      <tp>
        <v>6.4776594999999997</v>
        <stp/>
        <stp>BFXFORWARD|14844886921424706086|222</stp>
        <stp>USDCNY</stp>
        <stp>19M</stp>
        <stp>MidOutright</stp>
        <tr r="BD39" s="1"/>
      </tp>
    </main>
    <main first="esrtd">
      <tp t="s">
        <v/>
        <stp/>
        <stp>BRN 26UC8400-ICE</stp>
        <stp>ImpVol</stp>
        <tr r="AR77" s="23"/>
      </tp>
      <tp t="s">
        <v/>
        <stp/>
        <stp>BRN 26UP8400-ICE</stp>
        <stp>ImpVol</stp>
        <tr r="AK77" s="23"/>
      </tp>
      <tp t="s">
        <v/>
        <stp/>
        <stp>BRN 26UC8500-ICE</stp>
        <stp>ImpVol</stp>
        <tr r="AR78" s="23"/>
        <tr r="AR79" s="23"/>
      </tp>
      <tp t="s">
        <v/>
        <stp/>
        <stp>BRN 26UP8500-ICE</stp>
        <stp>ImpVol</stp>
        <tr r="AK79" s="23"/>
        <tr r="AK78" s="23"/>
      </tp>
    </main>
    <main first="ice.rtd">
      <tp t="s">
        <v>Invalid Market: 2972825746BM0</v>
        <stp/>
        <stp>2972825746BM0:LstDate</stp>
        <tr r="J1714" s="5"/>
      </tp>
    </main>
    <main first="bofaddin.rtdserver">
      <tp t="s">
        <v>#N/A Invalid Security</v>
        <stp/>
        <stp>BDP|98922467703079194|222</stp>
        <stp>CLJ8 Comdty</stp>
        <stp>ASK</stp>
        <stp>Fill=#N/A</stp>
        <tr r="F38" s="1"/>
      </tp>
    </main>
    <main first="ice.rtd">
      <tp>
        <v>-115.27200000000001</v>
        <stp/>
        <stp>32613992M22:Settle</stp>
        <tr r="U1247" s="5"/>
      </tp>
      <tp>
        <v>-109.777</v>
        <stp/>
        <stp>32613992M23:Settle</stp>
        <tr r="U1248" s="5"/>
      </tp>
      <tp>
        <v>-120.02200000000001</v>
        <stp/>
        <stp>32613992M20:Settle</stp>
        <tr r="U1245" s="5"/>
      </tp>
      <tp>
        <v>-119.524</v>
        <stp/>
        <stp>32613992M21:Settle</stp>
        <tr r="U1246" s="5"/>
      </tp>
      <tp>
        <v>-104.771</v>
        <stp/>
        <stp>32613992M24:Settle</stp>
        <tr r="U1249" s="5"/>
      </tp>
      <tp>
        <v>-132.42699999999999</v>
        <stp/>
        <stp>32613992M12:Settle</stp>
        <tr r="U1237" s="5"/>
      </tp>
      <tp>
        <v>-122.42100000000001</v>
        <stp/>
        <stp>32613992M13:Settle</stp>
        <tr r="U1238" s="5"/>
      </tp>
      <tp>
        <v>-151.976</v>
        <stp/>
        <stp>32613992M10:Settle</stp>
        <tr r="U1235" s="5"/>
      </tp>
      <tp>
        <v>-141.97</v>
        <stp/>
        <stp>32613992M11:Settle</stp>
        <tr r="U1236" s="5"/>
      </tp>
      <tp>
        <v>-105.521</v>
        <stp/>
        <stp>32613992M16:Settle</stp>
        <tr r="U1241" s="5"/>
      </tp>
      <tp>
        <v>-106.274</v>
        <stp/>
        <stp>32613992M17:Settle</stp>
        <tr r="U1242" s="5"/>
      </tp>
      <tp>
        <v>-112.92700000000001</v>
        <stp/>
        <stp>32613992M14:Settle</stp>
        <tr r="U1239" s="5"/>
      </tp>
      <tp>
        <v>-105.274</v>
        <stp/>
        <stp>32613992M15:Settle</stp>
        <tr r="U1240" s="5"/>
      </tp>
      <tp>
        <v>-112.77200000000001</v>
        <stp/>
        <stp>32613992M18:Settle</stp>
        <tr r="U1243" s="5"/>
      </tp>
      <tp>
        <v>-118.024</v>
        <stp/>
        <stp>32613992M19:Settle</stp>
        <tr r="U1244" s="5"/>
      </tp>
      <tp t="s">
        <v/>
        <stp/>
        <stp>DBI1227MM11:LstBlkVol</stp>
        <tr r="L1662" s="5"/>
      </tp>
      <tp t="s">
        <v/>
        <stp/>
        <stp>DBI1227MM21:LstBlkVol</stp>
        <tr r="L1672" s="5"/>
      </tp>
    </main>
    <main first="ice.rtd">
      <tp t="s">
        <v>Dec26</v>
        <stp/>
        <stp>34364094M3:Strip</stp>
        <tr r="E521" s="5"/>
      </tp>
      <tp t="s">
        <v>Dec26</v>
        <stp/>
        <stp>34374095M3:Strip</stp>
        <tr r="E559" s="5"/>
      </tp>
      <tp t="s">
        <v>Q3 27</v>
        <stp/>
        <stp>34364094Q3:Strip</stp>
        <tr r="E546" s="5"/>
      </tp>
      <tp t="s">
        <v>Q3 27</v>
        <stp/>
        <stp>34374095Q3:Strip</stp>
        <tr r="E584" s="5"/>
      </tp>
    </main>
    <main first="ice.rtd">
      <tp t="s">
        <v>Dec26</v>
        <stp/>
        <stp>34344092M3:Strip</stp>
        <tr r="E1266" s="5"/>
      </tp>
      <tp t="s">
        <v>Dec26</v>
        <stp/>
        <stp>34354093M3:Strip</stp>
        <tr r="E1304" s="5"/>
      </tp>
      <tp t="s">
        <v>Q3 27</v>
        <stp/>
        <stp>34344092Q3:Strip</stp>
        <tr r="E1291" s="5"/>
      </tp>
      <tp t="s">
        <v>Q3 27</v>
        <stp/>
        <stp>34354093Q3:Strip</stp>
        <tr r="E1329" s="5"/>
      </tp>
      <tp t="s">
        <v>Sep26/Mar27</v>
        <stp/>
        <stp>161913535MM5:Strip</stp>
        <tr r="E2032" s="5"/>
      </tp>
      <tp t="s">
        <v/>
        <stp/>
        <stp>DBI1227MM27:BstHitPrc</stp>
        <tr r="G1678" s="5"/>
      </tp>
      <tp>
        <v>6.11</v>
        <stp/>
        <stp>DBI1227MM17:BstHitPrc</stp>
        <tr r="G1668" s="5"/>
      </tp>
      <tp t="s">
        <v>Oct26</v>
        <stp/>
        <stp>30793693M1:Strip</stp>
        <tr r="E884" s="5"/>
      </tp>
      <tp t="s">
        <v>Q1 27</v>
        <stp/>
        <stp>30793693Q1:Strip</stp>
        <tr r="E909" s="5"/>
      </tp>
      <tp t="s">
        <v>Cal 28</v>
        <stp/>
        <stp>30793693Y1:Strip</stp>
        <tr r="E918" s="5"/>
      </tp>
      <tp t="s">
        <v>Oct12-Oct16 (Jan)</v>
        <stp/>
        <stp>17551596T5:Strip</stp>
        <tr r="E1542" s="5"/>
      </tp>
      <tp t="s">
        <v>Dec26</v>
        <stp/>
        <stp>34404098M3:Strip</stp>
        <tr r="E597" s="5"/>
      </tp>
      <tp t="s">
        <v>Dec26</v>
        <stp/>
        <stp>34414099M3:Strip</stp>
        <tr r="E82" s="5"/>
      </tp>
      <tp t="s">
        <v>Q3 27</v>
        <stp/>
        <stp>34404098Q3:Strip</stp>
        <tr r="E622" s="5"/>
      </tp>
      <tp t="s">
        <v>Q3 27</v>
        <stp/>
        <stp>34414099Q3:Strip</stp>
        <tr r="E107" s="5"/>
      </tp>
      <tp t="s">
        <v>Jan27</v>
        <stp/>
        <stp>16331513M4:Strip</stp>
        <tr r="E1419" s="5"/>
      </tp>
      <tp t="s">
        <v>Jan27</v>
        <stp/>
        <stp>16341514M4:Strip</stp>
        <tr r="E1457" s="5"/>
      </tp>
      <tp t="s">
        <v>Jan27</v>
        <stp/>
        <stp>16351515M4:Strip</stp>
        <tr r="E1495" s="5"/>
      </tp>
      <tp t="s">
        <v>Q4 27</v>
        <stp/>
        <stp>16331513Q4:Strip</stp>
        <tr r="E1444" s="5"/>
      </tp>
      <tp t="s">
        <v>Q4 27</v>
        <stp/>
        <stp>16341514Q4:Strip</stp>
        <tr r="E1482" s="5"/>
      </tp>
      <tp t="s">
        <v>Q4 27</v>
        <stp/>
        <stp>16351515Q4:Strip</stp>
        <tr r="E1520" s="5"/>
      </tp>
      <tp t="s">
        <v>May27</v>
        <stp/>
        <stp>29243602M8:Strip</stp>
        <tr r="E754" s="5"/>
      </tp>
      <tp t="s">
        <v/>
        <stp/>
        <stp>DBI1227MM17:LstBlkPrc</stp>
        <tr r="K1668" s="5"/>
      </tp>
      <tp t="s">
        <v/>
        <stp/>
        <stp>DBI1227MM27:LstBlkPrc</stp>
        <tr r="K1678" s="5"/>
      </tp>
      <tp t="s">
        <v>Sep26</v>
        <stp/>
        <stp>57179020M0:Strip</stp>
        <tr r="E1547" s="5"/>
      </tp>
      <tp t="s">
        <v>Cal 27</v>
        <stp/>
        <stp>57179020Y0:Strip</stp>
        <tr r="E1580" s="5"/>
      </tp>
      <tp t="s">
        <v>Q4 26</v>
        <stp/>
        <stp>57179020Q0:Strip</stp>
        <tr r="E1572" s="5"/>
      </tp>
      <tp t="s">
        <v>Jun27</v>
        <stp/>
        <stp>1986823075M9:Strip</stp>
        <tr r="E126" s="5"/>
      </tp>
      <tp t="s">
        <v>Jun27</v>
        <stp/>
        <stp>18871685M9:Strip</stp>
        <tr r="E430" s="5"/>
      </tp>
      <tp t="s">
        <v>Sep14-Sep18 (Nov)</v>
        <stp/>
        <stp>15141311T1:Strip</stp>
        <tr r="E1529" s="5"/>
      </tp>
      <tp t="s">
        <v>Jun27</v>
        <stp/>
        <stp>18851683M9:Strip</stp>
        <tr r="E202" s="5"/>
      </tp>
      <tp t="s">
        <v>Jun27</v>
        <stp/>
        <stp>1986923076M9:Strip</stp>
        <tr r="E164" s="5"/>
      </tp>
      <tp t="s">
        <v>Oct26</v>
        <stp/>
        <stp>15091310M1:Strip</stp>
        <tr r="E1378" s="5"/>
      </tp>
      <tp t="s">
        <v>Q1 27</v>
        <stp/>
        <stp>15091310Q1:Strip</stp>
        <tr r="E1403" s="5"/>
      </tp>
      <tp t="s">
        <v>Cal 28</v>
        <stp/>
        <stp>15091310Y1:Strip</stp>
        <tr r="E1412" s="5"/>
      </tp>
      <tp t="s">
        <v>Dec26</v>
        <stp/>
        <stp>35534143M3:Strip</stp>
        <tr r="E711" s="5"/>
      </tp>
      <tp t="s">
        <v>Dec26</v>
        <stp/>
        <stp>35544144M3:Strip</stp>
        <tr r="E635" s="5"/>
      </tp>
      <tp t="s">
        <v>Dec26</v>
        <stp/>
        <stp>35554145M3:Strip</stp>
        <tr r="E673" s="5"/>
      </tp>
      <tp t="s">
        <v>Oct26</v>
        <stp/>
        <stp>30813691M1:Strip</stp>
        <tr r="E1954" s="5"/>
      </tp>
      <tp t="s">
        <v>Q1 27</v>
        <stp/>
        <stp>30813691Q1:Strip</stp>
        <tr r="E1979" s="5"/>
      </tp>
      <tp t="s">
        <v>Q3 27</v>
        <stp/>
        <stp>35534143Q3:Strip</stp>
        <tr r="E736" s="5"/>
      </tp>
      <tp t="s">
        <v>Q3 27</v>
        <stp/>
        <stp>35544144Q3:Strip</stp>
        <tr r="E660" s="5"/>
      </tp>
      <tp t="s">
        <v>Q3 27</v>
        <stp/>
        <stp>35554145Q3:Strip</stp>
        <tr r="E698" s="5"/>
      </tp>
      <tp t="s">
        <v>Cal 28</v>
        <stp/>
        <stp>30813691Y1:Strip</stp>
        <tr r="E1988" s="5"/>
      </tp>
      <tp t="s">
        <v>Jun27</v>
        <stp/>
        <stp>18901687M9:Strip</stp>
        <tr r="E316" s="5"/>
      </tp>
      <tp t="s">
        <v>Apr27</v>
        <stp/>
        <stp>1840020882M7:Strip</stp>
        <tr r="E1589" s="5"/>
      </tp>
      <tp t="s">
        <v>Sep26</v>
        <stp/>
        <stp>57409036M0:Strip</stp>
        <tr r="E231" s="5"/>
      </tp>
      <tp t="s">
        <v>Cal 27</v>
        <stp/>
        <stp>57409036Y0:Strip</stp>
        <tr r="E265" s="5"/>
      </tp>
      <tp t="s">
        <v>Q4 26</v>
        <stp/>
        <stp>57409036Q0:Strip</stp>
        <tr r="E256" s="5"/>
      </tp>
      <tp t="s">
        <v>Sep26</v>
        <stp/>
        <stp>46678127M0:Strip</stp>
        <tr r="E345" s="5"/>
      </tp>
      <tp t="s">
        <v>Cal 27</v>
        <stp/>
        <stp>46678127Y0:Strip</stp>
        <tr r="E379" s="5"/>
      </tp>
      <tp t="s">
        <v>Q4 26</v>
        <stp/>
        <stp>46678127Q0:Strip</stp>
        <tr r="E370" s="5"/>
      </tp>
      <tp t="s">
        <v>Nov26/Apr27</v>
        <stp/>
        <stp>366531MM21:Strip</stp>
        <tr r="E1736" s="5"/>
      </tp>
      <tp t="s">
        <v>Oct26/Dec26</v>
        <stp/>
        <stp>366531MM11:Strip</stp>
        <tr r="E1726" s="5"/>
      </tp>
      <tp t="s">
        <v>AEB</v>
        <stp/>
        <stp>46678127Y1:PCC</stp>
        <tr r="B380" s="5"/>
      </tp>
      <tp t="s">
        <v>AEB</v>
        <stp/>
        <stp>46678127Y0:PCC</stp>
        <tr r="B379" s="5"/>
      </tp>
      <tp t="s">
        <v>Invalid Market: 46678127Y2</v>
        <stp/>
        <stp>46678127Y2:PCC</stp>
        <tr r="B381" s="5"/>
      </tp>
      <tp t="s">
        <v>ULQ</v>
        <stp/>
        <stp>35534143Q6:PCC</stp>
        <tr r="B739" s="5"/>
      </tp>
      <tp t="s">
        <v>ULR</v>
        <stp/>
        <stp>35544144Q6:PCC</stp>
        <tr r="B663" s="5"/>
      </tp>
      <tp t="s">
        <v>ULT</v>
        <stp/>
        <stp>35554145Q6:PCC</stp>
        <tr r="B701" s="5"/>
      </tp>
      <tp t="s">
        <v>ULQ</v>
        <stp/>
        <stp>35534143Q7:PCC</stp>
        <tr r="B740" s="5"/>
      </tp>
      <tp t="s">
        <v>ULR</v>
        <stp/>
        <stp>35544144Q7:PCC</stp>
        <tr r="B664" s="5"/>
      </tp>
      <tp t="s">
        <v>ULT</v>
        <stp/>
        <stp>35554145Q7:PCC</stp>
        <tr r="B702" s="5"/>
      </tp>
      <tp t="s">
        <v>ULQ</v>
        <stp/>
        <stp>35534143Q4:PCC</stp>
        <tr r="B737" s="5"/>
      </tp>
      <tp t="s">
        <v>ULR</v>
        <stp/>
        <stp>35544144Q4:PCC</stp>
        <tr r="B661" s="5"/>
      </tp>
      <tp t="s">
        <v>ULT</v>
        <stp/>
        <stp>35554145Q4:PCC</stp>
        <tr r="B699" s="5"/>
      </tp>
      <tp t="s">
        <v>ULQ</v>
        <stp/>
        <stp>35534143Q5:PCC</stp>
        <tr r="B738" s="5"/>
      </tp>
      <tp t="s">
        <v>ULR</v>
        <stp/>
        <stp>35544144Q5:PCC</stp>
        <tr r="B662" s="5"/>
      </tp>
      <tp t="s">
        <v>ULT</v>
        <stp/>
        <stp>35554145Q5:PCC</stp>
        <tr r="B700" s="5"/>
      </tp>
      <tp t="s">
        <v>ULQ</v>
        <stp/>
        <stp>35534143Q2:PCC</stp>
        <tr r="B735" s="5"/>
      </tp>
      <tp t="s">
        <v>ULR</v>
        <stp/>
        <stp>35544144Q2:PCC</stp>
        <tr r="B659" s="5"/>
      </tp>
      <tp t="s">
        <v>ULT</v>
        <stp/>
        <stp>35554145Q2:PCC</stp>
        <tr r="B697" s="5"/>
      </tp>
      <tp t="s">
        <v>ULQ</v>
        <stp/>
        <stp>35534143Q3:PCC</stp>
        <tr r="B736" s="5"/>
      </tp>
      <tp t="s">
        <v>ULR</v>
        <stp/>
        <stp>35544144Q3:PCC</stp>
        <tr r="B660" s="5"/>
      </tp>
      <tp t="s">
        <v>ULT</v>
        <stp/>
        <stp>35554145Q3:PCC</stp>
        <tr r="B698" s="5"/>
      </tp>
      <tp t="s">
        <v>ULQ</v>
        <stp/>
        <stp>35534143Q0:PCC</stp>
        <tr r="B733" s="5"/>
      </tp>
      <tp t="s">
        <v>ULR</v>
        <stp/>
        <stp>35544144Q0:PCC</stp>
        <tr r="B657" s="5"/>
      </tp>
      <tp t="s">
        <v>ULT</v>
        <stp/>
        <stp>35554145Q0:PCC</stp>
        <tr r="B695" s="5"/>
      </tp>
      <tp t="s">
        <v>ULQ</v>
        <stp/>
        <stp>35534143Q1:PCC</stp>
        <tr r="B734" s="5"/>
      </tp>
      <tp t="s">
        <v>ULR</v>
        <stp/>
        <stp>35544144Q1:PCC</stp>
        <tr r="B658" s="5"/>
      </tp>
      <tp t="s">
        <v>ULT</v>
        <stp/>
        <stp>35554145Q1:PCC</stp>
        <tr r="B696" s="5"/>
      </tp>
      <tp t="s">
        <v>ULQ</v>
        <stp/>
        <stp>35534143Q8:PCC</stp>
        <tr r="B741" s="5"/>
      </tp>
      <tp t="s">
        <v>ULR</v>
        <stp/>
        <stp>35544144Q8:PCC</stp>
        <tr r="B665" s="5"/>
      </tp>
      <tp t="s">
        <v>ULT</v>
        <stp/>
        <stp>35554145Q8:PCC</stp>
        <tr r="B703" s="5"/>
      </tp>
      <tp t="s">
        <v>NBI</v>
        <stp/>
        <stp>16331513Q1:PCC</stp>
        <tr r="B1441" s="5"/>
      </tp>
      <tp t="s">
        <v>ISO</v>
        <stp/>
        <stp>16341514Q1:PCC</stp>
        <tr r="B1479" s="5"/>
      </tp>
      <tp t="s">
        <v>NGE</v>
        <stp/>
        <stp>16351515Q1:PCC</stp>
        <tr r="B1517" s="5"/>
      </tp>
      <tp t="s">
        <v>SPS</v>
        <stp/>
        <stp>30813691Q4:PCC</stp>
        <tr r="B1982" s="5"/>
      </tp>
      <tp t="s">
        <v>NBI</v>
        <stp/>
        <stp>16331513Q0:PCC</stp>
        <tr r="B1440" s="5"/>
      </tp>
      <tp t="s">
        <v>ISO</v>
        <stp/>
        <stp>16341514Q0:PCC</stp>
        <tr r="B1478" s="5"/>
      </tp>
      <tp t="s">
        <v>NGE</v>
        <stp/>
        <stp>16351515Q0:PCC</stp>
        <tr r="B1516" s="5"/>
      </tp>
      <tp t="s">
        <v>SPS</v>
        <stp/>
        <stp>30813691Q5:PCC</stp>
        <tr r="B1983" s="5"/>
      </tp>
      <tp t="s">
        <v>NBI</v>
        <stp/>
        <stp>16331513Q3:PCC</stp>
        <tr r="B1443" s="5"/>
      </tp>
      <tp t="s">
        <v>ISO</v>
        <stp/>
        <stp>16341514Q3:PCC</stp>
        <tr r="B1481" s="5"/>
      </tp>
      <tp t="s">
        <v>NGE</v>
        <stp/>
        <stp>16351515Q3:PCC</stp>
        <tr r="B1519" s="5"/>
      </tp>
      <tp t="s">
        <v>SPS</v>
        <stp/>
        <stp>30813691Q6:PCC</stp>
        <tr r="B1984" s="5"/>
      </tp>
      <tp t="s">
        <v>NBI</v>
        <stp/>
        <stp>16331513Q2:PCC</stp>
        <tr r="B1442" s="5"/>
      </tp>
      <tp t="s">
        <v>ISO</v>
        <stp/>
        <stp>16341514Q2:PCC</stp>
        <tr r="B1480" s="5"/>
      </tp>
      <tp t="s">
        <v>NGE</v>
        <stp/>
        <stp>16351515Q2:PCC</stp>
        <tr r="B1518" s="5"/>
      </tp>
      <tp t="s">
        <v>SPS</v>
        <stp/>
        <stp>30813691Q7:PCC</stp>
        <tr r="B1985" s="5"/>
      </tp>
      <tp t="s">
        <v>NBI</v>
        <stp/>
        <stp>16331513Q5:PCC</stp>
        <tr r="B1445" s="5"/>
      </tp>
      <tp t="s">
        <v>ISO</v>
        <stp/>
        <stp>16341514Q5:PCC</stp>
        <tr r="B1483" s="5"/>
      </tp>
      <tp t="s">
        <v>NGE</v>
        <stp/>
        <stp>16351515Q5:PCC</stp>
        <tr r="B1521" s="5"/>
      </tp>
      <tp t="s">
        <v>SPS</v>
        <stp/>
        <stp>30813691Q0:PCC</stp>
        <tr r="B1978" s="5"/>
      </tp>
      <tp t="s">
        <v>NBI</v>
        <stp/>
        <stp>16331513Q4:PCC</stp>
        <tr r="B1444" s="5"/>
      </tp>
      <tp t="s">
        <v>ISO</v>
        <stp/>
        <stp>16341514Q4:PCC</stp>
        <tr r="B1482" s="5"/>
      </tp>
      <tp t="s">
        <v>NGE</v>
        <stp/>
        <stp>16351515Q4:PCC</stp>
        <tr r="B1520" s="5"/>
      </tp>
      <tp t="s">
        <v>SPS</v>
        <stp/>
        <stp>30813691Q1:PCC</stp>
        <tr r="B1979" s="5"/>
      </tp>
      <tp t="s">
        <v>NBI</v>
        <stp/>
        <stp>16331513Q7:PCC</stp>
        <tr r="B1447" s="5"/>
      </tp>
      <tp t="s">
        <v>ISO</v>
        <stp/>
        <stp>16341514Q7:PCC</stp>
        <tr r="B1485" s="5"/>
      </tp>
      <tp t="s">
        <v>NGE</v>
        <stp/>
        <stp>16351515Q7:PCC</stp>
        <tr r="B1523" s="5"/>
      </tp>
      <tp t="s">
        <v>SPS</v>
        <stp/>
        <stp>30813691Q2:PCC</stp>
        <tr r="B1980" s="5"/>
      </tp>
      <tp t="s">
        <v>NBI</v>
        <stp/>
        <stp>16331513Q6:PCC</stp>
        <tr r="B1446" s="5"/>
      </tp>
      <tp t="s">
        <v>ISO</v>
        <stp/>
        <stp>16341514Q6:PCC</stp>
        <tr r="B1484" s="5"/>
      </tp>
      <tp t="s">
        <v>NGE</v>
        <stp/>
        <stp>16351515Q6:PCC</stp>
        <tr r="B1522" s="5"/>
      </tp>
      <tp t="s">
        <v>SPS</v>
        <stp/>
        <stp>30813691Q3:PCC</stp>
        <tr r="B1981" s="5"/>
      </tp>
      <tp t="s">
        <v>NBI</v>
        <stp/>
        <stp>16331513Q8:PCC</stp>
        <tr r="B1448" s="5"/>
      </tp>
      <tp t="s">
        <v>ISO</v>
        <stp/>
        <stp>16341514Q8:PCC</stp>
        <tr r="B1486" s="5"/>
      </tp>
      <tp t="s">
        <v>NGE</v>
        <stp/>
        <stp>16351515Q8:PCC</stp>
        <tr r="B1524" s="5"/>
      </tp>
      <tp t="s">
        <v>SPS</v>
        <stp/>
        <stp>30813691Q8:PCC</stp>
        <tr r="B1986" s="5"/>
      </tp>
      <tp t="s">
        <v/>
        <stp/>
        <stp>2044823525Y0:LstPrc</stp>
        <tr r="I1777" s="5"/>
      </tp>
      <tp t="s">
        <v>Invalid Market: 2044823525Q5</v>
        <stp/>
        <stp>2044823525Q5:LstPrc</stp>
        <tr r="I1775" s="5"/>
      </tp>
      <tp t="s">
        <v/>
        <stp/>
        <stp>2044823525Q4:LstPrc</stp>
        <tr r="I1774" s="5"/>
      </tp>
      <tp t="s">
        <v>Invalid Market: 2044823525Q6</v>
        <stp/>
        <stp>2044823525Q6:LstPrc</stp>
        <tr r="I1776" s="5"/>
      </tp>
      <tp t="s">
        <v/>
        <stp/>
        <stp>2044823525Q1:LstPrc</stp>
        <tr r="I1771" s="5"/>
      </tp>
      <tp t="s">
        <v/>
        <stp/>
        <stp>2044823525Q0:LstPrc</stp>
        <tr r="I1770" s="5"/>
      </tp>
      <tp t="s">
        <v/>
        <stp/>
        <stp>2044823525Q3:LstPrc</stp>
        <tr r="I1773" s="5"/>
      </tp>
      <tp t="s">
        <v/>
        <stp/>
        <stp>2044823525Q2:LstPrc</stp>
        <tr r="I1772" s="5"/>
      </tp>
      <tp t="s">
        <v/>
        <stp/>
        <stp>2044823525M9:LstPrc</stp>
        <tr r="I1756" s="5"/>
      </tp>
      <tp t="s">
        <v/>
        <stp/>
        <stp>2044823525M8:LstPrc</stp>
        <tr r="I1755" s="5"/>
      </tp>
      <tp t="s">
        <v/>
        <stp/>
        <stp>2044823525M5:LstPrc</stp>
        <tr r="I1752" s="5"/>
      </tp>
      <tp t="s">
        <v/>
        <stp/>
        <stp>2044823525M4:LstPrc</stp>
        <tr r="I1751" s="5"/>
      </tp>
      <tp t="s">
        <v/>
        <stp/>
        <stp>2044823525M7:LstPrc</stp>
        <tr r="I1754" s="5"/>
      </tp>
      <tp t="s">
        <v/>
        <stp/>
        <stp>2044823525M6:LstPrc</stp>
        <tr r="I1753" s="5"/>
      </tp>
      <tp t="s">
        <v/>
        <stp/>
        <stp>2044823525M1:LstPrc</stp>
        <tr r="I1748" s="5"/>
      </tp>
      <tp t="s">
        <v/>
        <stp/>
        <stp>2044823525M0:LstPrc</stp>
        <tr r="I1747" s="5"/>
      </tp>
      <tp t="s">
        <v/>
        <stp/>
        <stp>2044823525M3:LstPrc</stp>
        <tr r="I1750" s="5"/>
      </tp>
      <tp t="s">
        <v/>
        <stp/>
        <stp>2044823525M2:LstPrc</stp>
        <tr r="I1749" s="5"/>
      </tp>
      <tp t="s">
        <v>AEB</v>
        <stp/>
        <stp>46678127Q5:PCC</stp>
        <tr r="B375" s="5"/>
      </tp>
      <tp t="s">
        <v>AEB</v>
        <stp/>
        <stp>46678127Q4:PCC</stp>
        <tr r="B374" s="5"/>
      </tp>
      <tp t="s">
        <v>AEB</v>
        <stp/>
        <stp>46678127Q7:PCC</stp>
        <tr r="B377" s="5"/>
      </tp>
      <tp t="s">
        <v>AEB</v>
        <stp/>
        <stp>46678127Q6:PCC</stp>
        <tr r="B376" s="5"/>
      </tp>
      <tp t="s">
        <v>AEB</v>
        <stp/>
        <stp>46678127Q1:PCC</stp>
        <tr r="B371" s="5"/>
      </tp>
      <tp t="s">
        <v>AEB</v>
        <stp/>
        <stp>46678127Q0:PCC</stp>
        <tr r="B370" s="5"/>
      </tp>
      <tp t="s">
        <v>AEB</v>
        <stp/>
        <stp>46678127Q3:PCC</stp>
        <tr r="B373" s="5"/>
      </tp>
      <tp t="s">
        <v>AEB</v>
        <stp/>
        <stp>46678127Q2:PCC</stp>
        <tr r="B372" s="5"/>
      </tp>
      <tp t="s">
        <v>AEB</v>
        <stp/>
        <stp>46678127Q8:PCC</stp>
        <tr r="B378" s="5"/>
      </tp>
    </main>
    <main first="bofaddin.rtdserver">
      <tp t="s">
        <v>#N/A</v>
        <stp/>
        <stp>BDP|8760992407763032083|222</stp>
        <stp>OQAK7M7 Comdty</stp>
        <stp>BID</stp>
        <stp>Fill=#N/A</stp>
        <tr r="T28" s="1"/>
      </tp>
    </main>
    <main first="ice.rtd">
      <tp t="s">
        <v>ULQ</v>
        <stp/>
        <stp>35534143Y2:PCC</stp>
        <tr r="B744" s="5"/>
      </tp>
      <tp t="s">
        <v>ULR</v>
        <stp/>
        <stp>35544144Y2:PCC</stp>
        <tr r="B668" s="5"/>
      </tp>
      <tp t="s">
        <v>ULT</v>
        <stp/>
        <stp>35554145Y2:PCC</stp>
        <tr r="B706" s="5"/>
      </tp>
      <tp t="s">
        <v>ULQ</v>
        <stp/>
        <stp>35534143Y0:PCC</stp>
        <tr r="B742" s="5"/>
      </tp>
      <tp t="s">
        <v>ULR</v>
        <stp/>
        <stp>35544144Y0:PCC</stp>
        <tr r="B666" s="5"/>
      </tp>
      <tp t="s">
        <v>ULT</v>
        <stp/>
        <stp>35554145Y0:PCC</stp>
        <tr r="B704" s="5"/>
      </tp>
      <tp t="s">
        <v>ULQ</v>
        <stp/>
        <stp>35534143Y1:PCC</stp>
        <tr r="B743" s="5"/>
      </tp>
      <tp t="s">
        <v>ULR</v>
        <stp/>
        <stp>35544144Y1:PCC</stp>
        <tr r="B667" s="5"/>
      </tp>
      <tp t="s">
        <v>ULT</v>
        <stp/>
        <stp>35554145Y1:PCC</stp>
        <tr r="B705" s="5"/>
      </tp>
      <tp t="s">
        <v/>
        <stp/>
        <stp>2323325594B0:LstPrc</stp>
        <tr r="I958" s="5"/>
      </tp>
      <tp t="s">
        <v>NBI</v>
        <stp/>
        <stp>16331513Y1:PCC</stp>
        <tr r="B1450" s="5"/>
      </tp>
      <tp t="s">
        <v>ISO</v>
        <stp/>
        <stp>16341514Y1:PCC</stp>
        <tr r="B1488" s="5"/>
      </tp>
      <tp t="s">
        <v>NGE</v>
        <stp/>
        <stp>16351515Y1:PCC</stp>
        <tr r="B1526" s="5"/>
      </tp>
      <tp t="s">
        <v>NBI</v>
        <stp/>
        <stp>16331513Y0:PCC</stp>
        <tr r="B1449" s="5"/>
      </tp>
      <tp t="s">
        <v>ISO</v>
        <stp/>
        <stp>16341514Y0:PCC</stp>
        <tr r="B1487" s="5"/>
      </tp>
      <tp t="s">
        <v>NGE</v>
        <stp/>
        <stp>16351515Y0:PCC</stp>
        <tr r="B1525" s="5"/>
      </tp>
      <tp t="s">
        <v>NBI</v>
        <stp/>
        <stp>16331513Y2:PCC</stp>
        <tr r="B1451" s="5"/>
      </tp>
      <tp t="s">
        <v>ISO</v>
        <stp/>
        <stp>16341514Y2:PCC</stp>
        <tr r="B1489" s="5"/>
      </tp>
      <tp t="s">
        <v>NGE</v>
        <stp/>
        <stp>16351515Y2:PCC</stp>
        <tr r="B1527" s="5"/>
      </tp>
      <tp t="s">
        <v>SPS</v>
        <stp/>
        <stp>30813691Y0:PCC</stp>
        <tr r="B1987" s="5"/>
      </tp>
      <tp t="s">
        <v>SPS</v>
        <stp/>
        <stp>30813691Y1:PCC</stp>
        <tr r="B1988" s="5"/>
      </tp>
      <tp t="s">
        <v>SPS</v>
        <stp/>
        <stp>30813691Y2:PCC</stp>
        <tr r="B1989" s="5"/>
      </tp>
    </main>
    <main first="bofaddin.rtdserver">
      <tp t="s">
        <v>#N/A N/A</v>
        <stp/>
        <stp>BDH|5083671768275428914</stp>
        <tr r="C52" s="14"/>
      </tp>
      <tp t="s">
        <v>#N/A N/A</v>
        <stp/>
        <stp>BDH|2574259097603498386</stp>
        <tr r="AY20" s="1"/>
      </tp>
      <tp t="s">
        <v>#N/A N/A</v>
        <stp/>
        <stp>BDH|9561248924331948173</stp>
        <tr r="BC63" s="1"/>
        <tr r="BC63" s="1"/>
      </tp>
    </main>
    <main first="ice.rtd">
      <tp>
        <v>20</v>
        <stp/>
        <stp>1986823075M5:BlkVol</stp>
        <tr r="O122" s="5"/>
      </tp>
      <tp>
        <v>620</v>
        <stp/>
        <stp>1986823075M4:BlkVol</stp>
        <tr r="O121" s="5"/>
      </tp>
      <tp>
        <v>170</v>
        <stp/>
        <stp>1986823075M7:BlkVol</stp>
        <tr r="O124" s="5"/>
      </tp>
      <tp>
        <v>20</v>
        <stp/>
        <stp>1986823075M6:BlkVol</stp>
        <tr r="O123" s="5"/>
      </tp>
      <tp>
        <v>199</v>
        <stp/>
        <stp>1986823075M1:BlkVol</stp>
        <tr r="O118" s="5"/>
      </tp>
      <tp>
        <v>0</v>
        <stp/>
        <stp>1986823075M0:BlkVol</stp>
        <tr r="O117" s="5"/>
      </tp>
      <tp>
        <v>1062</v>
        <stp/>
        <stp>1986823075M3:BlkVol</stp>
        <tr r="O120" s="5"/>
      </tp>
      <tp>
        <v>552</v>
        <stp/>
        <stp>1986823075M2:BlkVol</stp>
        <tr r="O119" s="5"/>
      </tp>
      <tp>
        <v>20</v>
        <stp/>
        <stp>1986823075M9:BlkVol</stp>
        <tr r="O126" s="5"/>
      </tp>
      <tp>
        <v>20</v>
        <stp/>
        <stp>1986823075M8:BlkVol</stp>
        <tr r="O125" s="5"/>
      </tp>
    </main>
    <main first="ice.rtd">
      <tp>
        <v>0</v>
        <stp/>
        <stp>1986823075Q5:BlkVol</stp>
        <tr r="O147" s="5"/>
      </tp>
      <tp>
        <v>0</v>
        <stp/>
        <stp>1986823075Q4:BlkVol</stp>
        <tr r="O146" s="5"/>
      </tp>
      <tp>
        <v>0</v>
        <stp/>
        <stp>1986823075Q7:BlkVol</stp>
        <tr r="O149" s="5"/>
      </tp>
      <tp>
        <v>0</v>
        <stp/>
        <stp>1986823075Q6:BlkVol</stp>
        <tr r="O148" s="5"/>
      </tp>
      <tp>
        <v>0</v>
        <stp/>
        <stp>1986823075Q1:BlkVol</stp>
        <tr r="O143" s="5"/>
      </tp>
      <tp>
        <v>22</v>
        <stp/>
        <stp>1986823075Q0:BlkVol</stp>
        <tr r="O142" s="5"/>
      </tp>
      <tp>
        <v>0</v>
        <stp/>
        <stp>1986823075Q3:BlkVol</stp>
        <tr r="O145" s="5"/>
      </tp>
      <tp>
        <v>0</v>
        <stp/>
        <stp>1986823075Q2:BlkVol</stp>
        <tr r="O144" s="5"/>
      </tp>
      <tp>
        <v>0</v>
        <stp/>
        <stp>1986823075Q8:BlkVol</stp>
        <tr r="O150" s="5"/>
      </tp>
    </main>
    <main first="ice.rtd">
      <tp>
        <v>0</v>
        <stp/>
        <stp>1986823075Y1:BlkVol</stp>
        <tr r="O152" s="5"/>
      </tp>
      <tp>
        <v>20</v>
        <stp/>
        <stp>1986823075Y0:BlkVol</stp>
        <tr r="O151" s="5"/>
      </tp>
      <tp>
        <v>0</v>
        <stp/>
        <stp>1986823075Y2:BlkVol</stp>
        <tr r="O153" s="5"/>
      </tp>
    </main>
    <main first="bofaddin.rtdserver">
      <tp t="b">
        <v>0</v>
        <stp/>
        <stp>BDH|1996311610158370254</stp>
        <tr r="D3" s="24"/>
      </tp>
    </main>
    <main first="ice.rtd">
      <tp t="s">
        <v>AEB</v>
        <stp/>
        <stp>46678127M5:PCC</stp>
        <tr r="B350" s="5"/>
      </tp>
    </main>
    <main first="ice.rtd">
      <tp t="s">
        <v>AEB</v>
        <stp/>
        <stp>46678127M4:PCC</stp>
        <tr r="B349" s="5"/>
      </tp>
      <tp t="s">
        <v>AEB</v>
        <stp/>
        <stp>46678127M7:PCC</stp>
        <tr r="B352" s="5"/>
      </tp>
      <tp t="s">
        <v>AEB</v>
        <stp/>
        <stp>46678127M6:PCC</stp>
        <tr r="B351" s="5"/>
      </tp>
      <tp t="s">
        <v>AEB</v>
        <stp/>
        <stp>46678127M1:PCC</stp>
        <tr r="B346" s="5"/>
      </tp>
    </main>
    <main first="ice.rtd">
      <tp t="s">
        <v>AEB</v>
        <stp/>
        <stp>46678127M0:PCC</stp>
        <tr r="B345" s="5"/>
      </tp>
    </main>
    <main first="ice.rtd">
      <tp t="s">
        <v>AEB</v>
        <stp/>
        <stp>46678127M3:PCC</stp>
        <tr r="B348" s="5"/>
      </tp>
    </main>
    <main first="bofaddin.rtdserver">
      <tp t="s">
        <v>#N/A N/A</v>
        <stp/>
        <stp>BDH|2665136158106257903</stp>
        <tr r="M63" s="16"/>
      </tp>
    </main>
    <main first="ice.rtd">
      <tp t="s">
        <v>AEB</v>
        <stp/>
        <stp>46678127M2:PCC</stp>
        <tr r="B347" s="5"/>
      </tp>
      <tp t="s">
        <v>AEB</v>
        <stp/>
        <stp>46678127M9:PCC</stp>
        <tr r="B354" s="5"/>
      </tp>
    </main>
    <main first="bofaddin.rtdserver">
      <tp t="s">
        <v>#N/A N/A</v>
        <stp/>
        <stp>BDH|9985470279494826703</stp>
        <tr r="AW30" s="1"/>
      </tp>
    </main>
    <main first="ice.rtd">
      <tp t="s">
        <v>AEB</v>
        <stp/>
        <stp>46678127M8:PCC</stp>
        <tr r="B353" s="5"/>
      </tp>
    </main>
    <main first="bofaddin.rtdserver">
      <tp t="s">
        <v>#N/A N/A</v>
        <stp/>
        <stp>BDH|3904024408082674897</stp>
        <tr r="D59" s="14"/>
      </tp>
      <tp t="s">
        <v>#N/A N/A</v>
        <stp/>
        <stp>BDH|4851589002031928978</stp>
        <tr r="BA54" s="1"/>
        <tr r="BA54" s="1"/>
      </tp>
    </main>
    <main first="ice.rtd">
      <tp>
        <v>0</v>
        <stp/>
        <stp>2182524598B0:BlkVol</stp>
        <tr r="O1376" s="5"/>
      </tp>
    </main>
    <main first="bofaddin.rtdserver">
      <tp t="s">
        <v>#N/A Requesting Data...2768018118</v>
        <stp/>
        <stp>BDP|4324890012546077253</stp>
        <tr r="AM196" s="23"/>
      </tp>
      <tp t="s">
        <v>#N/A N/A</v>
        <stp/>
        <stp>BDH|1912114124422501941</stp>
        <tr r="AZ22" s="1"/>
      </tp>
      <tp t="s">
        <v>#N/A N/A</v>
        <stp/>
        <stp>BDH|1638664057999218283</stp>
        <tr r="J43" s="16"/>
      </tp>
      <tp t="s">
        <v>#N/A N/A</v>
        <stp/>
        <stp>BDH|4819843303751846451</stp>
        <tr r="BA42" s="1"/>
        <tr r="BA42" s="1"/>
      </tp>
      <tp t="s">
        <v>#N/A N/A</v>
        <stp/>
        <stp>BDH|4759979707390098452</stp>
        <tr r="D22" s="14"/>
      </tp>
      <tp t="s">
        <v>#N/A N/A</v>
        <stp/>
        <stp>BDH|8845062828025163656</stp>
        <tr r="AY51" s="1"/>
      </tp>
      <tp t="s">
        <v>#N/A N/A</v>
        <stp/>
        <stp>BDH|8586555727611101743</stp>
        <tr r="AV41" s="1"/>
      </tp>
    </main>
    <main first="ice.rtd">
      <tp t="s">
        <v>NBI</v>
        <stp/>
        <stp>16331513M1:PCC</stp>
        <tr r="B1416" s="5"/>
      </tp>
      <tp t="s">
        <v>ISO</v>
        <stp/>
        <stp>16341514M1:PCC</stp>
        <tr r="B1454" s="5"/>
      </tp>
      <tp t="s">
        <v>NGE</v>
        <stp/>
        <stp>16351515M1:PCC</stp>
        <tr r="B1492" s="5"/>
      </tp>
      <tp t="s">
        <v>SPS</v>
        <stp/>
        <stp>30813691M4:PCC</stp>
        <tr r="B1957" s="5"/>
      </tp>
    </main>
    <main first="bofaddin.rtdserver">
      <tp t="s">
        <v>#N/A N/A</v>
        <stp/>
        <stp>BDH|3279654087303031732</stp>
        <tr r="BA66" s="1"/>
        <tr r="BA66" s="1"/>
      </tp>
    </main>
    <main first="ice.rtd">
      <tp t="s">
        <v>NBI</v>
        <stp/>
        <stp>16331513M0:PCC</stp>
        <tr r="B1415" s="5"/>
      </tp>
      <tp t="s">
        <v>ISO</v>
        <stp/>
        <stp>16341514M0:PCC</stp>
        <tr r="B1453" s="5"/>
      </tp>
      <tp t="s">
        <v>NGE</v>
        <stp/>
        <stp>16351515M0:PCC</stp>
        <tr r="B1491" s="5"/>
      </tp>
      <tp t="s">
        <v>SPS</v>
        <stp/>
        <stp>30813691M5:PCC</stp>
        <tr r="B1958" s="5"/>
      </tp>
      <tp t="s">
        <v>NBI</v>
        <stp/>
        <stp>16331513M3:PCC</stp>
        <tr r="B1418" s="5"/>
      </tp>
      <tp t="s">
        <v>ISO</v>
        <stp/>
        <stp>16341514M3:PCC</stp>
        <tr r="B1456" s="5"/>
      </tp>
      <tp t="s">
        <v>NGE</v>
        <stp/>
        <stp>16351515M3:PCC</stp>
        <tr r="B1494" s="5"/>
      </tp>
      <tp t="s">
        <v>SPS</v>
        <stp/>
        <stp>30813691M6:PCC</stp>
        <tr r="B1959" s="5"/>
      </tp>
      <tp t="s">
        <v>NBI</v>
        <stp/>
        <stp>16331513M2:PCC</stp>
        <tr r="B1417" s="5"/>
      </tp>
      <tp t="s">
        <v>ISO</v>
        <stp/>
        <stp>16341514M2:PCC</stp>
        <tr r="B1455" s="5"/>
      </tp>
      <tp t="s">
        <v>NGE</v>
        <stp/>
        <stp>16351515M2:PCC</stp>
        <tr r="B1493" s="5"/>
      </tp>
      <tp t="s">
        <v>SPS</v>
        <stp/>
        <stp>30813691M7:PCC</stp>
        <tr r="B1960" s="5"/>
      </tp>
      <tp t="s">
        <v>NBI</v>
        <stp/>
        <stp>16331513M5:PCC</stp>
        <tr r="B1420" s="5"/>
      </tp>
      <tp t="s">
        <v>ISO</v>
        <stp/>
        <stp>16341514M5:PCC</stp>
        <tr r="B1458" s="5"/>
      </tp>
      <tp t="s">
        <v>NGE</v>
        <stp/>
        <stp>16351515M5:PCC</stp>
        <tr r="B1496" s="5"/>
      </tp>
      <tp t="s">
        <v>SPS</v>
        <stp/>
        <stp>30813691M0:PCC</stp>
        <tr r="B1953" s="5"/>
      </tp>
    </main>
    <main first="ice.rtd">
      <tp t="s">
        <v>NBI</v>
        <stp/>
        <stp>16331513M4:PCC</stp>
        <tr r="B1419" s="5"/>
      </tp>
      <tp t="s">
        <v>ISO</v>
        <stp/>
        <stp>16341514M4:PCC</stp>
        <tr r="B1457" s="5"/>
      </tp>
      <tp t="s">
        <v>NGE</v>
        <stp/>
        <stp>16351515M4:PCC</stp>
        <tr r="B1495" s="5"/>
      </tp>
      <tp t="s">
        <v>SPS</v>
        <stp/>
        <stp>30813691M1:PCC</stp>
        <tr r="B1954" s="5"/>
      </tp>
      <tp t="s">
        <v>NBI</v>
        <stp/>
        <stp>16331513M7:PCC</stp>
        <tr r="B1422" s="5"/>
      </tp>
      <tp t="s">
        <v>ISO</v>
        <stp/>
        <stp>16341514M7:PCC</stp>
        <tr r="B1460" s="5"/>
      </tp>
      <tp t="s">
        <v>NGE</v>
        <stp/>
        <stp>16351515M7:PCC</stp>
        <tr r="B1498" s="5"/>
      </tp>
      <tp t="s">
        <v>SPS</v>
        <stp/>
        <stp>30813691M2:PCC</stp>
        <tr r="B1955" s="5"/>
      </tp>
      <tp t="s">
        <v>NBI</v>
        <stp/>
        <stp>16331513M6:PCC</stp>
        <tr r="B1421" s="5"/>
      </tp>
      <tp t="s">
        <v>ISO</v>
        <stp/>
        <stp>16341514M6:PCC</stp>
        <tr r="B1459" s="5"/>
      </tp>
      <tp t="s">
        <v>NGE</v>
        <stp/>
        <stp>16351515M6:PCC</stp>
        <tr r="B1497" s="5"/>
      </tp>
      <tp t="s">
        <v>SPS</v>
        <stp/>
        <stp>30813691M3:PCC</stp>
        <tr r="B1956" s="5"/>
      </tp>
      <tp t="s">
        <v>NBI</v>
        <stp/>
        <stp>16331513M9:PCC</stp>
        <tr r="B1424" s="5"/>
      </tp>
      <tp t="s">
        <v>ISO</v>
        <stp/>
        <stp>16341514M9:PCC</stp>
        <tr r="B1462" s="5"/>
      </tp>
      <tp t="s">
        <v>NGE</v>
        <stp/>
        <stp>16351515M9:PCC</stp>
        <tr r="B1500" s="5"/>
      </tp>
      <tp t="s">
        <v>NBI</v>
        <stp/>
        <stp>16331513M8:PCC</stp>
        <tr r="B1423" s="5"/>
      </tp>
      <tp t="s">
        <v>ISO</v>
        <stp/>
        <stp>16341514M8:PCC</stp>
        <tr r="B1461" s="5"/>
      </tp>
      <tp t="s">
        <v>NGE</v>
        <stp/>
        <stp>16351515M8:PCC</stp>
        <tr r="B1499" s="5"/>
      </tp>
    </main>
    <main first="bofaddin.rtdserver">
      <tp t="s">
        <v>#N/A N/A</v>
        <stp/>
        <stp>BDH|3923190515589388355</stp>
        <tr r="H90" s="16"/>
      </tp>
    </main>
    <main first="ice.rtd">
      <tp t="s">
        <v>SPS</v>
        <stp/>
        <stp>30813691M8:PCC</stp>
        <tr r="B1961" s="5"/>
      </tp>
      <tp t="s">
        <v>SPS</v>
        <stp/>
        <stp>30813691M9:PCC</stp>
        <tr r="B1962" s="5"/>
      </tp>
    </main>
    <main first="bofaddin.rtdserver">
      <tp t="s">
        <v>#N/A N/A</v>
        <stp/>
        <stp>BDH|3357963377755457165</stp>
        <tr r="C6" s="14"/>
        <tr r="I16" s="14"/>
      </tp>
      <tp t="s">
        <v>#N/A N/A</v>
        <stp/>
        <stp>BDH|1112651478790540993</stp>
        <tr r="AY28" s="1"/>
      </tp>
      <tp t="s">
        <v>#N/A N/A</v>
        <stp/>
        <stp>BDH|8500037783348181145</stp>
        <tr r="N84" s="16"/>
      </tp>
      <tp t="s">
        <v>#N/A N/A</v>
        <stp/>
        <stp>BDH|5715784568285742816</stp>
        <tr r="BC62" s="1"/>
        <tr r="BC62" s="1"/>
      </tp>
      <tp t="s">
        <v>#N/A N/A</v>
        <stp/>
        <stp>BDH|9409368105524262736</stp>
        <tr r="J55" s="14"/>
      </tp>
    </main>
    <main first="ice.rtd">
      <tp>
        <v>105</v>
        <stp/>
        <stp>DBJ29446BM0:LstBlkVol</stp>
        <tr r="L1647" s="5"/>
      </tp>
    </main>
    <main first="ice.rtd">
      <tp t="s">
        <v>ULQ</v>
        <stp/>
        <stp>35534143M6:PCC</stp>
        <tr r="B714" s="5"/>
      </tp>
      <tp t="s">
        <v>ULR</v>
        <stp/>
        <stp>35544144M6:PCC</stp>
        <tr r="B638" s="5"/>
      </tp>
      <tp t="s">
        <v>ULT</v>
        <stp/>
        <stp>35554145M6:PCC</stp>
        <tr r="B676" s="5"/>
      </tp>
      <tp t="s">
        <v>ULQ</v>
        <stp/>
        <stp>35534143M7:PCC</stp>
        <tr r="B715" s="5"/>
      </tp>
      <tp t="s">
        <v>ULR</v>
        <stp/>
        <stp>35544144M7:PCC</stp>
        <tr r="B639" s="5"/>
      </tp>
      <tp t="s">
        <v>ULT</v>
        <stp/>
        <stp>35554145M7:PCC</stp>
        <tr r="B677" s="5"/>
      </tp>
      <tp t="s">
        <v>ULQ</v>
        <stp/>
        <stp>35534143M4:PCC</stp>
        <tr r="B712" s="5"/>
      </tp>
      <tp t="s">
        <v>ULR</v>
        <stp/>
        <stp>35544144M4:PCC</stp>
        <tr r="B636" s="5"/>
      </tp>
      <tp t="s">
        <v>ULT</v>
        <stp/>
        <stp>35554145M4:PCC</stp>
        <tr r="B674" s="5"/>
      </tp>
      <tp t="s">
        <v>ULQ</v>
        <stp/>
        <stp>35534143M5:PCC</stp>
        <tr r="B713" s="5"/>
      </tp>
      <tp t="s">
        <v>ULR</v>
        <stp/>
        <stp>35544144M5:PCC</stp>
        <tr r="B637" s="5"/>
      </tp>
      <tp t="s">
        <v>ULT</v>
        <stp/>
        <stp>35554145M5:PCC</stp>
        <tr r="B675" s="5"/>
      </tp>
      <tp t="s">
        <v>ULQ</v>
        <stp/>
        <stp>35534143M2:PCC</stp>
        <tr r="B710" s="5"/>
      </tp>
      <tp t="s">
        <v>ULR</v>
        <stp/>
        <stp>35544144M2:PCC</stp>
        <tr r="B634" s="5"/>
      </tp>
      <tp t="s">
        <v>ULT</v>
        <stp/>
        <stp>35554145M2:PCC</stp>
        <tr r="B672" s="5"/>
      </tp>
      <tp t="s">
        <v>ULQ</v>
        <stp/>
        <stp>35534143M3:PCC</stp>
        <tr r="B711" s="5"/>
      </tp>
      <tp t="s">
        <v>ULR</v>
        <stp/>
        <stp>35544144M3:PCC</stp>
        <tr r="B635" s="5"/>
      </tp>
      <tp t="s">
        <v>ULT</v>
        <stp/>
        <stp>35554145M3:PCC</stp>
        <tr r="B673" s="5"/>
      </tp>
      <tp t="s">
        <v>ULQ</v>
        <stp/>
        <stp>35534143M0:PCC</stp>
        <tr r="B708" s="5"/>
      </tp>
      <tp t="s">
        <v>ULR</v>
        <stp/>
        <stp>35544144M0:PCC</stp>
        <tr r="B632" s="5"/>
      </tp>
      <tp t="s">
        <v>ULT</v>
        <stp/>
        <stp>35554145M0:PCC</stp>
        <tr r="B670" s="5"/>
      </tp>
      <tp t="s">
        <v>ULQ</v>
        <stp/>
        <stp>35534143M1:PCC</stp>
        <tr r="B709" s="5"/>
      </tp>
      <tp t="s">
        <v>ULR</v>
        <stp/>
        <stp>35544144M1:PCC</stp>
        <tr r="B633" s="5"/>
      </tp>
      <tp t="s">
        <v>ULT</v>
        <stp/>
        <stp>35554145M1:PCC</stp>
        <tr r="B671" s="5"/>
      </tp>
    </main>
    <main first="bofaddin.rtdserver">
      <tp t="s">
        <v>#N/A N/A</v>
        <stp/>
        <stp>BDH|8431102010005125419</stp>
        <tr r="AY22" s="1"/>
      </tp>
    </main>
    <main first="ice.rtd">
      <tp t="s">
        <v>ULQ</v>
        <stp/>
        <stp>35534143M8:PCC</stp>
        <tr r="B716" s="5"/>
      </tp>
      <tp t="s">
        <v>ULR</v>
        <stp/>
        <stp>35544144M8:PCC</stp>
        <tr r="B640" s="5"/>
      </tp>
      <tp t="s">
        <v>ULT</v>
        <stp/>
        <stp>35554145M8:PCC</stp>
        <tr r="B678" s="5"/>
      </tp>
      <tp t="s">
        <v>ULQ</v>
        <stp/>
        <stp>35534143M9:PCC</stp>
        <tr r="B717" s="5"/>
      </tp>
      <tp t="s">
        <v>ULR</v>
        <stp/>
        <stp>35544144M9:PCC</stp>
        <tr r="B641" s="5"/>
      </tp>
      <tp t="s">
        <v>ULT</v>
        <stp/>
        <stp>35554145M9:PCC</stp>
        <tr r="B679" s="5"/>
      </tp>
    </main>
    <main first="bofaddin.rtdserver">
      <tp t="s">
        <v>#N/A Requesting Data...3875859119</v>
        <stp/>
        <stp>BDP|1908115510738998049</stp>
        <tr r="AF201" s="23"/>
        <tr r="AF202" s="23"/>
        <tr r="AF203" s="23"/>
        <tr r="AF204" s="23"/>
        <tr r="AF205" s="23"/>
        <tr r="AF206" s="23"/>
        <tr r="AF207" s="23"/>
        <tr r="AF208" s="23"/>
      </tp>
      <tp t="s">
        <v>#N/A N/A</v>
        <stp/>
        <stp>BDH|3687369587573593270</stp>
        <tr r="L52" s="16"/>
      </tp>
      <tp t="s">
        <v>#N/A N/A</v>
        <stp/>
        <stp>BDH|3354547634338599434</stp>
        <tr r="C9" s="14"/>
        <tr r="I24" s="14"/>
      </tp>
    </main>
    <main first="ice.rtd">
      <tp>
        <v>0</v>
        <stp/>
        <stp>29243602Y0:Vol</stp>
        <tr r="N767" s="5"/>
      </tp>
    </main>
    <main first="bofaddin.rtdserver">
      <tp>
        <v>90.47</v>
        <stp/>
        <stp>BDP|12669378607427655551|222</stp>
        <stp>CLV6 Comdty</stp>
        <stp>BID</stp>
        <stp>Fill=#N/A</stp>
        <tr r="F20" s="1"/>
      </tp>
    </main>
    <main first="ice.rtd">
      <tp>
        <v>0</v>
        <stp/>
        <stp>18851683Q4:BlkVol</stp>
        <tr r="O222" s="5"/>
      </tp>
      <tp>
        <v>0</v>
        <stp/>
        <stp>18851683Q5:BlkVol</stp>
        <tr r="O223" s="5"/>
      </tp>
      <tp>
        <v>0</v>
        <stp/>
        <stp>18851683Q6:BlkVol</stp>
        <tr r="O224" s="5"/>
      </tp>
      <tp>
        <v>0</v>
        <stp/>
        <stp>18851683Q7:BlkVol</stp>
        <tr r="O225" s="5"/>
      </tp>
      <tp>
        <v>0</v>
        <stp/>
        <stp>18851683Q0:BlkVol</stp>
        <tr r="O218" s="5"/>
      </tp>
      <tp>
        <v>0</v>
        <stp/>
        <stp>18851683Q1:BlkVol</stp>
        <tr r="O219" s="5"/>
      </tp>
      <tp>
        <v>0</v>
        <stp/>
        <stp>18851683Q2:BlkVol</stp>
        <tr r="O220" s="5"/>
      </tp>
      <tp>
        <v>0</v>
        <stp/>
        <stp>18851683Q3:BlkVol</stp>
        <tr r="O221" s="5"/>
      </tp>
      <tp>
        <v>0</v>
        <stp/>
        <stp>18851683Q8:BlkVol</stp>
        <tr r="O226" s="5"/>
      </tp>
      <tp>
        <v>0</v>
        <stp/>
        <stp>18851683Y0:BlkVol</stp>
        <tr r="O227" s="5"/>
      </tp>
      <tp>
        <v>0</v>
        <stp/>
        <stp>18851683Y1:BlkVol</stp>
        <tr r="O228" s="5"/>
      </tp>
      <tp>
        <v>0</v>
        <stp/>
        <stp>18851683Y2:BlkVol</stp>
        <tr r="O229" s="5"/>
      </tp>
      <tp>
        <v>0</v>
        <stp/>
        <stp>18851683Y2:Vol</stp>
        <tr r="N229" s="5"/>
      </tp>
      <tp>
        <v>0</v>
        <stp/>
        <stp>18851683Y1:Vol</stp>
        <tr r="N228" s="5"/>
      </tp>
      <tp>
        <v>0</v>
        <stp/>
        <stp>18851683Y0:Vol</stp>
        <tr r="N227" s="5"/>
      </tp>
      <tp>
        <v>0</v>
        <stp/>
        <stp>18851683M4:BlkVol</stp>
        <tr r="O197" s="5"/>
      </tp>
      <tp>
        <v>0</v>
        <stp/>
        <stp>18851683M5:BlkVol</stp>
        <tr r="O198" s="5"/>
      </tp>
      <tp>
        <v>0</v>
        <stp/>
        <stp>18851683M6:BlkVol</stp>
        <tr r="O199" s="5"/>
      </tp>
      <tp>
        <v>0</v>
        <stp/>
        <stp>18851683M7:BlkVol</stp>
        <tr r="O200" s="5"/>
      </tp>
      <tp>
        <v>0</v>
        <stp/>
        <stp>18851683M0:BlkVol</stp>
        <tr r="O193" s="5"/>
      </tp>
      <tp>
        <v>24</v>
        <stp/>
        <stp>18851683M1:BlkVol</stp>
        <tr r="O194" s="5"/>
      </tp>
      <tp>
        <v>0</v>
        <stp/>
        <stp>18851683M2:BlkVol</stp>
        <tr r="O195" s="5"/>
      </tp>
      <tp>
        <v>0</v>
        <stp/>
        <stp>18851683M3:BlkVol</stp>
        <tr r="O196" s="5"/>
      </tp>
      <tp>
        <v>0</v>
        <stp/>
        <stp>18851683M8:BlkVol</stp>
        <tr r="O201" s="5"/>
      </tp>
      <tp>
        <v>0</v>
        <stp/>
        <stp>18851683M9:BlkVol</stp>
        <tr r="O202" s="5"/>
      </tp>
      <tp>
        <v>0</v>
        <stp/>
        <stp>15141311T8:BlkVol</stp>
        <tr r="O1536" s="5"/>
      </tp>
      <tp>
        <v>0</v>
        <stp/>
        <stp>15141311T4:BlkVol</stp>
        <tr r="O1532" s="5"/>
      </tp>
      <tp>
        <v>0</v>
        <stp/>
        <stp>15141311T5:BlkVol</stp>
        <tr r="O1533" s="5"/>
      </tp>
      <tp>
        <v>0</v>
        <stp/>
        <stp>15141311T6:BlkVol</stp>
        <tr r="O1534" s="5"/>
      </tp>
      <tp>
        <v>0</v>
        <stp/>
        <stp>15141311T7:BlkVol</stp>
        <tr r="O1535" s="5"/>
      </tp>
      <tp>
        <v>0</v>
        <stp/>
        <stp>15141311T0:BlkVol</stp>
        <tr r="O1528" s="5"/>
      </tp>
      <tp>
        <v>0</v>
        <stp/>
        <stp>15141311T1:BlkVol</stp>
        <tr r="O1529" s="5"/>
      </tp>
      <tp>
        <v>0</v>
        <stp/>
        <stp>15141311T2:BlkVol</stp>
        <tr r="O1530" s="5"/>
      </tp>
      <tp>
        <v>0</v>
        <stp/>
        <stp>15141311T3:BlkVol</stp>
        <tr r="O1531" s="5"/>
      </tp>
    </main>
    <main first="bofaddin.rtdserver">
      <tp>
        <v>91.62</v>
        <stp/>
        <stp>BDP|10501418976923260355|222</stp>
        <stp>COZ6 Comdty</stp>
        <stp>BID</stp>
        <stp>Fill=#N/A</stp>
        <tr r="G22" s="1"/>
      </tp>
      <tp t="s">
        <v>#N/A</v>
        <stp/>
        <stp>BDP|11964541180276610406|222</stp>
        <stp>HOU8 Comdty</stp>
        <stp>ASK</stp>
        <stp>Fill=#N/A</stp>
        <tr r="I43" s="1"/>
      </tp>
    </main>
    <main first="ice.rtd">
      <tp>
        <v>0</v>
        <stp/>
        <stp>18871685Q4:BlkVol</stp>
        <tr r="O450" s="5"/>
      </tp>
      <tp>
        <v>0</v>
        <stp/>
        <stp>18871685Q5:BlkVol</stp>
        <tr r="O451" s="5"/>
      </tp>
      <tp>
        <v>0</v>
        <stp/>
        <stp>18871685Q6:BlkVol</stp>
        <tr r="O452" s="5"/>
      </tp>
      <tp>
        <v>0</v>
        <stp/>
        <stp>18871685Q7:BlkVol</stp>
        <tr r="O453" s="5"/>
      </tp>
      <tp>
        <v>5</v>
        <stp/>
        <stp>18871685Q0:BlkVol</stp>
        <tr r="O446" s="5"/>
      </tp>
      <tp>
        <v>10</v>
        <stp/>
        <stp>18871685Q1:BlkVol</stp>
        <tr r="O447" s="5"/>
      </tp>
      <tp>
        <v>10</v>
        <stp/>
        <stp>18871685Q2:BlkVol</stp>
        <tr r="O448" s="5"/>
      </tp>
      <tp>
        <v>5</v>
        <stp/>
        <stp>18871685Q3:BlkVol</stp>
        <tr r="O449" s="5"/>
      </tp>
      <tp>
        <v>0</v>
        <stp/>
        <stp>18871685Q8:BlkVol</stp>
        <tr r="O454" s="5"/>
      </tp>
      <tp>
        <v>1</v>
        <stp/>
        <stp>18871685Y0:BlkVol</stp>
        <tr r="O455" s="5"/>
      </tp>
      <tp>
        <v>0</v>
        <stp/>
        <stp>18871685Y1:BlkVol</stp>
        <tr r="O456" s="5"/>
      </tp>
      <tp t="s">
        <v>Invalid Market: 18871685Y2</v>
        <stp/>
        <stp>18871685Y2:BlkVol</stp>
        <tr r="O457" s="5"/>
      </tp>
      <tp>
        <v>0</v>
        <stp/>
        <stp>57409036Q8:Vol</stp>
        <tr r="N264" s="5"/>
      </tp>
      <tp>
        <v>0</v>
        <stp/>
        <stp>57409036Q2:Vol</stp>
        <tr r="N258" s="5"/>
      </tp>
      <tp>
        <v>0</v>
        <stp/>
        <stp>57409036Q3:Vol</stp>
        <tr r="N259" s="5"/>
      </tp>
      <tp>
        <v>0</v>
        <stp/>
        <stp>57409036Q0:Vol</stp>
        <tr r="N256" s="5"/>
      </tp>
      <tp>
        <v>11</v>
        <stp/>
        <stp>18871685M4:BlkVol</stp>
        <tr r="O425" s="5"/>
      </tp>
      <tp>
        <v>11</v>
        <stp/>
        <stp>18871685M5:BlkVol</stp>
        <tr r="O426" s="5"/>
      </tp>
      <tp>
        <v>11</v>
        <stp/>
        <stp>18871685M6:BlkVol</stp>
        <tr r="O427" s="5"/>
      </tp>
      <tp>
        <v>11</v>
        <stp/>
        <stp>18871685M7:BlkVol</stp>
        <tr r="O428" s="5"/>
      </tp>
      <tp>
        <v>0</v>
        <stp/>
        <stp>18871685M0:BlkVol</stp>
        <tr r="O421" s="5"/>
      </tp>
      <tp>
        <v>60</v>
        <stp/>
        <stp>18871685M1:BlkVol</stp>
        <tr r="O422" s="5"/>
      </tp>
      <tp>
        <v>15</v>
        <stp/>
        <stp>18871685M2:BlkVol</stp>
        <tr r="O423" s="5"/>
      </tp>
      <tp>
        <v>5</v>
        <stp/>
        <stp>18871685M3:BlkVol</stp>
        <tr r="O424" s="5"/>
      </tp>
      <tp>
        <v>11</v>
        <stp/>
        <stp>18871685M8:BlkVol</stp>
        <tr r="O429" s="5"/>
      </tp>
      <tp>
        <v>11</v>
        <stp/>
        <stp>18871685M9:BlkVol</stp>
        <tr r="O430" s="5"/>
      </tp>
      <tp>
        <v>0</v>
        <stp/>
        <stp>57409036Q1:Vol</stp>
        <tr r="N257" s="5"/>
      </tp>
      <tp>
        <v>0</v>
        <stp/>
        <stp>57409036Q6:Vol</stp>
        <tr r="N262" s="5"/>
      </tp>
      <tp>
        <v>0</v>
        <stp/>
        <stp>57409036Q7:Vol</stp>
        <tr r="N263" s="5"/>
      </tp>
      <tp>
        <v>0</v>
        <stp/>
        <stp>57409036Q4:Vol</stp>
        <tr r="N260" s="5"/>
      </tp>
      <tp>
        <v>0</v>
        <stp/>
        <stp>57409036Q5:Vol</stp>
        <tr r="N261" s="5"/>
      </tp>
      <tp>
        <v>0</v>
        <stp/>
        <stp>34344092Y1:Vol</stp>
        <tr r="N1298" s="5"/>
      </tp>
      <tp>
        <v>2</v>
        <stp/>
        <stp>34354093Y1:Vol</stp>
        <tr r="N1336" s="5"/>
      </tp>
      <tp>
        <v>0</v>
        <stp/>
        <stp>34344092Y0:Vol</stp>
        <tr r="N1297" s="5"/>
      </tp>
      <tp>
        <v>12</v>
        <stp/>
        <stp>34354093Y0:Vol</stp>
        <tr r="N1335" s="5"/>
      </tp>
      <tp>
        <v>0</v>
        <stp/>
        <stp>34344092Y2:Vol</stp>
        <tr r="N1299" s="5"/>
      </tp>
      <tp>
        <v>0</v>
        <stp/>
        <stp>34354093Y2:Vol</stp>
        <tr r="N1337" s="5"/>
      </tp>
      <tp>
        <v>0</v>
        <stp/>
        <stp>29243602Q2:Vol</stp>
        <tr r="N764" s="5"/>
      </tp>
      <tp>
        <v>0</v>
        <stp/>
        <stp>29243602Q3:Vol</stp>
        <tr r="N765" s="5"/>
      </tp>
      <tp>
        <v>0</v>
        <stp/>
        <stp>29243602Q0:Vol</stp>
        <tr r="N762" s="5"/>
      </tp>
      <tp>
        <v>0</v>
        <stp/>
        <stp>29243602Q1:Vol</stp>
        <tr r="N763" s="5"/>
      </tp>
      <tp>
        <v>0</v>
        <stp/>
        <stp>29243602Q4:Vol</stp>
        <tr r="N766" s="5"/>
      </tp>
      <tp>
        <v>0</v>
        <stp/>
        <stp>18851683Q3:Vol</stp>
        <tr r="N221" s="5"/>
      </tp>
      <tp>
        <v>0</v>
        <stp/>
        <stp>18851683Q2:Vol</stp>
        <tr r="N220" s="5"/>
      </tp>
      <tp>
        <v>0</v>
        <stp/>
        <stp>18851683Q1:Vol</stp>
        <tr r="N219" s="5"/>
      </tp>
      <tp>
        <v>0</v>
        <stp/>
        <stp>18851683Q0:Vol</stp>
        <tr r="N218" s="5"/>
      </tp>
      <tp>
        <v>0</v>
        <stp/>
        <stp>18851683Q7:Vol</stp>
        <tr r="N225" s="5"/>
      </tp>
      <tp>
        <v>0</v>
        <stp/>
        <stp>18851683Q6:Vol</stp>
        <tr r="N224" s="5"/>
      </tp>
      <tp>
        <v>0</v>
        <stp/>
        <stp>18851683Q5:Vol</stp>
        <tr r="N223" s="5"/>
      </tp>
      <tp>
        <v>0</v>
        <stp/>
        <stp>18851683Q4:Vol</stp>
        <tr r="N222" s="5"/>
      </tp>
      <tp>
        <v>0</v>
        <stp/>
        <stp>18851683Q8:Vol</stp>
        <tr r="N226" s="5"/>
      </tp>
    </main>
    <main first="bofaddin.rtdserver">
      <tp>
        <v>1278.5</v>
        <stp/>
        <stp>BDP|13453949127790119105|222</stp>
        <stp>QSX6 Comdty</stp>
        <stp>ASK</stp>
        <stp>Fill=#N/A</stp>
        <tr r="H21" s="1"/>
      </tp>
      <tp>
        <v>73.16</v>
        <stp/>
        <stp>BDP|12352471455046287345|222</stp>
        <stp>CLQ7 Comdty</stp>
        <stp>BID</stp>
        <stp>Fill=#N/A</stp>
        <tr r="F30" s="1"/>
      </tp>
      <tp>
        <v>428.87</v>
        <stp/>
        <stp>BDP|16736196787359440670|222</stp>
        <stp>HOZ6 Comdty</stp>
        <stp>BID</stp>
        <stp>Fill=#N/A</stp>
        <tr r="I22" s="1"/>
      </tp>
      <tp>
        <v>85.02</v>
        <stp/>
        <stp>BDP|14245366088687309209|222</stp>
        <stp>CLZ6 Comdty</stp>
        <stp>ASK</stp>
        <stp>Fill=#N/A</stp>
        <tr r="F22" s="1"/>
      </tp>
    </main>
    <main first="ice.rtd">
      <tp>
        <v>0</v>
        <stp/>
        <stp>57409036Y2:Vol</stp>
        <tr r="N267" s="5"/>
      </tp>
      <tp>
        <v>0</v>
        <stp/>
        <stp>57409036Y0:Vol</stp>
        <tr r="N265" s="5"/>
      </tp>
      <tp>
        <v>0</v>
        <stp/>
        <stp>57409036Y1:Vol</stp>
        <tr r="N266" s="5"/>
      </tp>
      <tp>
        <v>0</v>
        <stp/>
        <stp>34344092Q8:Vol</stp>
        <tr r="N1296" s="5"/>
      </tp>
      <tp>
        <v>0</v>
        <stp/>
        <stp>34354093Q8:Vol</stp>
        <tr r="N1334" s="5"/>
      </tp>
      <tp>
        <v>0</v>
        <stp/>
        <stp>34344092Q1:Vol</stp>
        <tr r="N1289" s="5"/>
      </tp>
      <tp>
        <v>0</v>
        <stp/>
        <stp>34354093Q1:Vol</stp>
        <tr r="N1327" s="5"/>
      </tp>
      <tp>
        <v>0</v>
        <stp/>
        <stp>34344092Q0:Vol</stp>
        <tr r="N1288" s="5"/>
      </tp>
      <tp>
        <v>100</v>
        <stp/>
        <stp>34354093Q0:Vol</stp>
        <tr r="N1326" s="5"/>
      </tp>
      <tp>
        <v>0</v>
        <stp/>
        <stp>34344092Q3:Vol</stp>
        <tr r="N1291" s="5"/>
      </tp>
      <tp>
        <v>0</v>
        <stp/>
        <stp>34354093Q3:Vol</stp>
        <tr r="N1329" s="5"/>
      </tp>
      <tp>
        <v>0</v>
        <stp/>
        <stp>34344092Q2:Vol</stp>
        <tr r="N1290" s="5"/>
      </tp>
      <tp>
        <v>0</v>
        <stp/>
        <stp>34354093Q2:Vol</stp>
        <tr r="N1328" s="5"/>
      </tp>
      <tp>
        <v>0</v>
        <stp/>
        <stp>34344092Q5:Vol</stp>
        <tr r="N1293" s="5"/>
      </tp>
      <tp>
        <v>0</v>
        <stp/>
        <stp>34354093Q5:Vol</stp>
        <tr r="N1331" s="5"/>
      </tp>
      <tp>
        <v>0</v>
        <stp/>
        <stp>34344092Q4:Vol</stp>
        <tr r="N1292" s="5"/>
      </tp>
      <tp>
        <v>0</v>
        <stp/>
        <stp>34354093Q4:Vol</stp>
        <tr r="N1330" s="5"/>
      </tp>
      <tp>
        <v>0</v>
        <stp/>
        <stp>34344092Q7:Vol</stp>
        <tr r="N1295" s="5"/>
      </tp>
      <tp>
        <v>0</v>
        <stp/>
        <stp>34354093Q7:Vol</stp>
        <tr r="N1333" s="5"/>
      </tp>
      <tp>
        <v>0</v>
        <stp/>
        <stp>34344092Q6:Vol</stp>
        <tr r="N1294" s="5"/>
      </tp>
      <tp>
        <v>0</v>
        <stp/>
        <stp>34354093Q6:Vol</stp>
        <tr r="N1332" s="5"/>
      </tp>
    </main>
    <main first="esrtd">
      <tp t="s">
        <v/>
        <stp/>
        <stp>GAS 26QC130000-ICE</stp>
        <stp>OldSettlement</stp>
        <tr r="I16" s="23"/>
      </tp>
    </main>
    <main first="bofaddin.rtdserver">
      <tp>
        <v>6.5216500000000002</v>
        <stp/>
        <stp>BFXFORWARD|17048810235761834763|222</stp>
        <stp>USDCNY</stp>
        <stp>16M</stp>
        <stp>MidOutright</stp>
        <tr r="BD36" s="1"/>
      </tp>
    </main>
    <main first="ice.rtd">
      <tp>
        <v>0</v>
        <stp/>
        <stp>34344092M9:Vol</stp>
        <tr r="N1272" s="5"/>
      </tp>
      <tp>
        <v>12</v>
        <stp/>
        <stp>34354093M9:Vol</stp>
        <tr r="N1310" s="5"/>
      </tp>
      <tp>
        <v>0</v>
        <stp/>
        <stp>34344092M8:Vol</stp>
        <tr r="N1271" s="5"/>
      </tp>
      <tp>
        <v>12</v>
        <stp/>
        <stp>34354093M8:Vol</stp>
        <tr r="N1309" s="5"/>
      </tp>
      <tp>
        <v>0</v>
        <stp/>
        <stp>34344092M1:Vol</stp>
        <tr r="N1264" s="5"/>
      </tp>
      <tp>
        <v>444</v>
        <stp/>
        <stp>34354093M1:Vol</stp>
        <tr r="N1302" s="5"/>
      </tp>
      <tp>
        <v>0</v>
        <stp/>
        <stp>34344092M0:Vol</stp>
        <tr r="N1263" s="5"/>
      </tp>
      <tp>
        <v>0</v>
        <stp/>
        <stp>34354093M0:Vol</stp>
        <tr r="N1301" s="5"/>
      </tp>
      <tp>
        <v>0</v>
        <stp/>
        <stp>34344092M3:Vol</stp>
        <tr r="N1266" s="5"/>
      </tp>
      <tp>
        <v>105</v>
        <stp/>
        <stp>34354093M3:Vol</stp>
        <tr r="N1304" s="5"/>
      </tp>
      <tp>
        <v>0</v>
        <stp/>
        <stp>34344092M2:Vol</stp>
        <tr r="N1265" s="5"/>
      </tp>
      <tp>
        <v>107</v>
        <stp/>
        <stp>34354093M2:Vol</stp>
        <tr r="N1303" s="5"/>
      </tp>
      <tp>
        <v>0</v>
        <stp/>
        <stp>34344092M5:Vol</stp>
        <tr r="N1268" s="5"/>
      </tp>
      <tp>
        <v>12</v>
        <stp/>
        <stp>34354093M5:Vol</stp>
        <tr r="N1306" s="5"/>
      </tp>
      <tp>
        <v>0</v>
        <stp/>
        <stp>34344092M4:Vol</stp>
        <tr r="N1267" s="5"/>
      </tp>
      <tp>
        <v>12</v>
        <stp/>
        <stp>34354093M4:Vol</stp>
        <tr r="N1305" s="5"/>
      </tp>
      <tp>
        <v>0</v>
        <stp/>
        <stp>34344092M7:Vol</stp>
        <tr r="N1270" s="5"/>
      </tp>
      <tp>
        <v>12</v>
        <stp/>
        <stp>34354093M7:Vol</stp>
        <tr r="N1308" s="5"/>
      </tp>
      <tp>
        <v>0</v>
        <stp/>
        <stp>34344092M6:Vol</stp>
        <tr r="N1269" s="5"/>
      </tp>
      <tp>
        <v>12</v>
        <stp/>
        <stp>34354093M6:Vol</stp>
        <tr r="N1307" s="5"/>
      </tp>
      <tp>
        <v>0</v>
        <stp/>
        <stp>29243602M2:Vol</stp>
        <tr r="N748" s="5"/>
      </tp>
      <tp>
        <v>0</v>
        <stp/>
        <stp>29243602M3:Vol</stp>
        <tr r="N749" s="5"/>
      </tp>
      <tp>
        <v>0</v>
        <stp/>
        <stp>29243602M0:Vol</stp>
        <tr r="N746" s="5"/>
      </tp>
      <tp>
        <v>0</v>
        <stp/>
        <stp>29243602M1:Vol</stp>
        <tr r="N747" s="5"/>
      </tp>
      <tp>
        <v>0</v>
        <stp/>
        <stp>29243602M6:Vol</stp>
        <tr r="N752" s="5"/>
      </tp>
      <tp>
        <v>0</v>
        <stp/>
        <stp>29243602M7:Vol</stp>
        <tr r="N753" s="5"/>
      </tp>
      <tp>
        <v>0</v>
        <stp/>
        <stp>29243602M4:Vol</stp>
        <tr r="N750" s="5"/>
      </tp>
      <tp>
        <v>0</v>
        <stp/>
        <stp>29243602M5:Vol</stp>
        <tr r="N751" s="5"/>
      </tp>
      <tp>
        <v>0</v>
        <stp/>
        <stp>29243602M8:Vol</stp>
        <tr r="N754" s="5"/>
      </tp>
      <tp>
        <v>0</v>
        <stp/>
        <stp>29243602M9:Vol</stp>
        <tr r="N755" s="5"/>
      </tp>
      <tp>
        <v>0</v>
        <stp/>
        <stp>18851683M3:Vol</stp>
        <tr r="N196" s="5"/>
      </tp>
      <tp>
        <v>0</v>
        <stp/>
        <stp>18851683M2:Vol</stp>
        <tr r="N195" s="5"/>
      </tp>
      <tp>
        <v>1</v>
        <stp/>
        <stp>18851683M1:Vol</stp>
        <tr r="N194" s="5"/>
      </tp>
      <tp>
        <v>0</v>
        <stp/>
        <stp>18851683M0:Vol</stp>
        <tr r="N193" s="5"/>
      </tp>
      <tp>
        <v>0</v>
        <stp/>
        <stp>18851683M7:Vol</stp>
        <tr r="N200" s="5"/>
      </tp>
      <tp>
        <v>0</v>
        <stp/>
        <stp>18851683M6:Vol</stp>
        <tr r="N199" s="5"/>
      </tp>
      <tp>
        <v>0</v>
        <stp/>
        <stp>18851683M5:Vol</stp>
        <tr r="N198" s="5"/>
      </tp>
      <tp>
        <v>0</v>
        <stp/>
        <stp>18851683M4:Vol</stp>
        <tr r="N197" s="5"/>
      </tp>
      <tp>
        <v>0</v>
        <stp/>
        <stp>18851683M9:Vol</stp>
        <tr r="N202" s="5"/>
      </tp>
      <tp>
        <v>0</v>
        <stp/>
        <stp>18851683M8:Vol</stp>
        <tr r="N201" s="5"/>
      </tp>
    </main>
    <main first="bofaddin.rtdserver">
      <tp>
        <v>6.5347</v>
        <stp/>
        <stp>BFXFORWARD|14737980211044839931|222</stp>
        <stp>USDCNY</stp>
        <stp>15M</stp>
        <stp>MidOutright</stp>
        <tr r="BD35" s="1"/>
      </tp>
    </main>
    <main first="ice.rtd">
      <tp>
        <v>0</v>
        <stp/>
        <stp>57409036M8:Vol</stp>
        <tr r="N239" s="5"/>
      </tp>
      <tp>
        <v>0</v>
        <stp/>
        <stp>57409036M9:Vol</stp>
        <tr r="N240" s="5"/>
      </tp>
      <tp>
        <v>0</v>
        <stp/>
        <stp>57409036M2:Vol</stp>
        <tr r="N233" s="5"/>
      </tp>
      <tp>
        <v>0</v>
        <stp/>
        <stp>57409036M3:Vol</stp>
        <tr r="N234" s="5"/>
      </tp>
      <tp>
        <v>0</v>
        <stp/>
        <stp>57409036M0:Vol</stp>
        <tr r="N231" s="5"/>
      </tp>
      <tp>
        <v>0</v>
        <stp/>
        <stp>57409036M1:Vol</stp>
        <tr r="N232" s="5"/>
      </tp>
      <tp>
        <v>0</v>
        <stp/>
        <stp>57409036M6:Vol</stp>
        <tr r="N237" s="5"/>
      </tp>
      <tp>
        <v>0</v>
        <stp/>
        <stp>57409036M7:Vol</stp>
        <tr r="N238" s="5"/>
      </tp>
      <tp>
        <v>0</v>
        <stp/>
        <stp>57409036M4:Vol</stp>
        <tr r="N235" s="5"/>
      </tp>
      <tp>
        <v>0</v>
        <stp/>
        <stp>57409036M5:Vol</stp>
        <tr r="N236" s="5"/>
      </tp>
      <tp t="s">
        <v>Invalid Market: B0</v>
        <stp/>
        <stp>B0:BlkVol</stp>
        <tr r="O1034" s="5"/>
        <tr r="O1148" s="5"/>
      </tp>
      <tp>
        <v>3.5</v>
        <stp/>
        <stp>34364094M17:Settle</stp>
        <tr r="U535" s="5"/>
      </tp>
      <tp>
        <v>15</v>
        <stp/>
        <stp>34374095M17:Settle</stp>
        <tr r="U573" s="5"/>
      </tp>
      <tp>
        <v>3.5</v>
        <stp/>
        <stp>34364094M16:Settle</stp>
        <tr r="U534" s="5"/>
      </tp>
      <tp>
        <v>15</v>
        <stp/>
        <stp>34374095M16:Settle</stp>
        <tr r="U572" s="5"/>
      </tp>
      <tp>
        <v>6.5</v>
        <stp/>
        <stp>34364094M15:Settle</stp>
        <tr r="U533" s="5"/>
      </tp>
      <tp>
        <v>14.25</v>
        <stp/>
        <stp>34374095M15:Settle</stp>
        <tr r="U571" s="5"/>
      </tp>
      <tp>
        <v>7</v>
        <stp/>
        <stp>34364094M14:Settle</stp>
        <tr r="U532" s="5"/>
      </tp>
      <tp>
        <v>15.75</v>
        <stp/>
        <stp>34374095M14:Settle</stp>
        <tr r="U570" s="5"/>
      </tp>
      <tp>
        <v>7</v>
        <stp/>
        <stp>34364094M13:Settle</stp>
        <tr r="U531" s="5"/>
      </tp>
      <tp>
        <v>15.75</v>
        <stp/>
        <stp>34374095M13:Settle</stp>
        <tr r="U569" s="5"/>
      </tp>
      <tp>
        <v>7</v>
        <stp/>
        <stp>34364094M12:Settle</stp>
        <tr r="U530" s="5"/>
      </tp>
      <tp>
        <v>15.5</v>
        <stp/>
        <stp>34374095M12:Settle</stp>
        <tr r="U568" s="5"/>
      </tp>
      <tp>
        <v>7</v>
        <stp/>
        <stp>34364094M11:Settle</stp>
        <tr r="U529" s="5"/>
      </tp>
      <tp>
        <v>15.5</v>
        <stp/>
        <stp>34374095M11:Settle</stp>
        <tr r="U567" s="5"/>
      </tp>
      <tp>
        <v>7</v>
        <stp/>
        <stp>34364094M10:Settle</stp>
        <tr r="U528" s="5"/>
      </tp>
      <tp>
        <v>15.5</v>
        <stp/>
        <stp>34374095M10:Settle</stp>
        <tr r="U566" s="5"/>
      </tp>
      <tp>
        <v>3.5</v>
        <stp/>
        <stp>34364094M19:Settle</stp>
        <tr r="U537" s="5"/>
      </tp>
      <tp>
        <v>15</v>
        <stp/>
        <stp>34374095M19:Settle</stp>
        <tr r="U575" s="5"/>
      </tp>
      <tp>
        <v>3.5</v>
        <stp/>
        <stp>34364094M18:Settle</stp>
        <tr r="U536" s="5"/>
      </tp>
      <tp>
        <v>15</v>
        <stp/>
        <stp>34374095M18:Settle</stp>
        <tr r="U574" s="5"/>
      </tp>
      <tp>
        <v>3.5</v>
        <stp/>
        <stp>34364094M24:Settle</stp>
        <tr r="U542" s="5"/>
      </tp>
      <tp>
        <v>14</v>
        <stp/>
        <stp>34374095M24:Settle</stp>
        <tr r="U580" s="5"/>
      </tp>
      <tp>
        <v>3.5</v>
        <stp/>
        <stp>34364094M23:Settle</stp>
        <tr r="U541" s="5"/>
      </tp>
      <tp>
        <v>14</v>
        <stp/>
        <stp>34374095M23:Settle</stp>
        <tr r="U579" s="5"/>
      </tp>
      <tp>
        <v>3.5</v>
        <stp/>
        <stp>34364094M22:Settle</stp>
        <tr r="U540" s="5"/>
      </tp>
      <tp>
        <v>14</v>
        <stp/>
        <stp>34374095M22:Settle</stp>
        <tr r="U578" s="5"/>
      </tp>
      <tp>
        <v>3.5</v>
        <stp/>
        <stp>34364094M21:Settle</stp>
        <tr r="U539" s="5"/>
      </tp>
      <tp>
        <v>15</v>
        <stp/>
        <stp>34374095M21:Settle</stp>
        <tr r="U577" s="5"/>
      </tp>
      <tp>
        <v>3.5</v>
        <stp/>
        <stp>34364094M20:Settle</stp>
        <tr r="U538" s="5"/>
      </tp>
      <tp>
        <v>15</v>
        <stp/>
        <stp>34374095M20:Settle</stp>
        <tr r="U576" s="5"/>
      </tp>
      <tp>
        <v>19</v>
        <stp/>
        <stp>18871685M24:Settle</stp>
        <tr r="U445" s="5"/>
      </tp>
      <tp>
        <v>19</v>
        <stp/>
        <stp>18871685M21:Settle</stp>
        <tr r="U442" s="5"/>
      </tp>
      <tp>
        <v>19</v>
        <stp/>
        <stp>18871685M20:Settle</stp>
        <tr r="U441" s="5"/>
      </tp>
      <tp>
        <v>19</v>
        <stp/>
        <stp>18871685M23:Settle</stp>
        <tr r="U444" s="5"/>
      </tp>
      <tp>
        <v>19</v>
        <stp/>
        <stp>18871685M22:Settle</stp>
        <tr r="U443" s="5"/>
      </tp>
      <tp>
        <v>19</v>
        <stp/>
        <stp>18871685M19:Settle</stp>
        <tr r="U440" s="5"/>
      </tp>
      <tp>
        <v>19</v>
        <stp/>
        <stp>18871685M18:Settle</stp>
        <tr r="U439" s="5"/>
      </tp>
      <tp>
        <v>21.75</v>
        <stp/>
        <stp>18871685M15:Settle</stp>
        <tr r="U436" s="5"/>
      </tp>
      <tp>
        <v>22.5</v>
        <stp/>
        <stp>18871685M14:Settle</stp>
        <tr r="U435" s="5"/>
      </tp>
      <tp>
        <v>19.25</v>
        <stp/>
        <stp>18871685M17:Settle</stp>
        <tr r="U438" s="5"/>
      </tp>
      <tp>
        <v>19.75</v>
        <stp/>
        <stp>18871685M16:Settle</stp>
        <tr r="U437" s="5"/>
      </tp>
      <tp>
        <v>26.25</v>
        <stp/>
        <stp>18871685M11:Settle</stp>
        <tr r="U432" s="5"/>
      </tp>
      <tp>
        <v>28</v>
        <stp/>
        <stp>18871685M10:Settle</stp>
        <tr r="U431" s="5"/>
      </tp>
      <tp>
        <v>23.75</v>
        <stp/>
        <stp>18871685M13:Settle</stp>
        <tr r="U434" s="5"/>
      </tp>
      <tp>
        <v>25.25</v>
        <stp/>
        <stp>18871685M12:Settle</stp>
        <tr r="U433" s="5"/>
      </tp>
      <tp t="s">
        <v/>
        <stp/>
        <stp>DBI1227MM10:LstBlkVol</stp>
        <tr r="L1661" s="5"/>
        <tr r="L1649" s="5"/>
      </tp>
      <tp t="s">
        <v/>
        <stp/>
        <stp>DBI1227MM20:LstBlkVol</stp>
        <tr r="L1671" s="5"/>
      </tp>
      <tp t="s">
        <v>Nov26</v>
        <stp/>
        <stp>34364094M2:Strip</stp>
        <tr r="E520" s="5"/>
      </tp>
      <tp t="s">
        <v>Nov26</v>
        <stp/>
        <stp>34374095M2:Strip</stp>
        <tr r="E558" s="5"/>
      </tp>
      <tp t="s">
        <v>Q2 27</v>
        <stp/>
        <stp>34364094Q2:Strip</stp>
        <tr r="E545" s="5"/>
      </tp>
      <tp t="s">
        <v>Q2 27</v>
        <stp/>
        <stp>34374095Q2:Strip</stp>
        <tr r="E583" s="5"/>
      </tp>
      <tp t="s">
        <v>Cal 29</v>
        <stp/>
        <stp>34364094Y2:Strip</stp>
        <tr r="E554" s="5"/>
      </tp>
      <tp t="s">
        <v>Cal 29</v>
        <stp/>
        <stp>34374095Y2:Strip</stp>
        <tr r="E592" s="5"/>
      </tp>
      <tp t="s">
        <v>Nov26</v>
        <stp/>
        <stp>34344092M2:Strip</stp>
        <tr r="E1265" s="5"/>
      </tp>
      <tp t="s">
        <v>Nov26</v>
        <stp/>
        <stp>34354093M2:Strip</stp>
        <tr r="E1303" s="5"/>
      </tp>
      <tp t="s">
        <v>Q2 27</v>
        <stp/>
        <stp>34344092Q2:Strip</stp>
        <tr r="E1290" s="5"/>
      </tp>
      <tp t="s">
        <v>Q2 27</v>
        <stp/>
        <stp>34354093Q2:Strip</stp>
        <tr r="E1328" s="5"/>
      </tp>
      <tp t="s">
        <v>Cal 29</v>
        <stp/>
        <stp>34344092Y2:Strip</stp>
        <tr r="E1299" s="5"/>
      </tp>
      <tp t="s">
        <v>Cal 29</v>
        <stp/>
        <stp>34354093Y2:Strip</stp>
        <tr r="E1337" s="5"/>
      </tp>
      <tp t="s">
        <v>Sep26/Feb27</v>
        <stp/>
        <stp>161913535MM4:Strip</stp>
        <tr r="E2031" s="5"/>
      </tp>
      <tp>
        <v>5.0599999999999996</v>
        <stp/>
        <stp>DBI1227MM26:BstHitPrc</stp>
        <tr r="G1677" s="5"/>
      </tp>
      <tp>
        <v>4.78</v>
        <stp/>
        <stp>DBI1227MM16:BstHitPrc</stp>
        <tr r="G1667" s="5"/>
      </tp>
      <tp t="s">
        <v>Sep26</v>
        <stp/>
        <stp>30793693M0:Strip</stp>
        <tr r="E883" s="5"/>
      </tp>
      <tp t="s">
        <v>Q4 26</v>
        <stp/>
        <stp>30793693Q0:Strip</stp>
        <tr r="E908" s="5"/>
      </tp>
      <tp t="s">
        <v>Cal 27</v>
        <stp/>
        <stp>30793693Y0:Strip</stp>
        <tr r="E917" s="5"/>
      </tp>
      <tp t="s">
        <v>Oct5-Oct9 (Jan)</v>
        <stp/>
        <stp>17551596T4:Strip</stp>
        <tr r="E1541" s="5"/>
      </tp>
      <tp t="s">
        <v>Nov26</v>
        <stp/>
        <stp>34404098M2:Strip</stp>
        <tr r="E596" s="5"/>
      </tp>
      <tp t="s">
        <v>Nov26</v>
        <stp/>
        <stp>34414099M2:Strip</stp>
        <tr r="E81" s="5"/>
      </tp>
      <tp t="s">
        <v>Q2 27</v>
        <stp/>
        <stp>34404098Q2:Strip</stp>
        <tr r="E621" s="5"/>
      </tp>
      <tp t="s">
        <v>Q2 27</v>
        <stp/>
        <stp>34414099Q2:Strip</stp>
        <tr r="E106" s="5"/>
      </tp>
      <tp t="s">
        <v>Invalid Market: 34404098Y2</v>
        <stp/>
        <stp>34404098Y2:Strip</stp>
        <tr r="E630" s="5"/>
      </tp>
      <tp t="s">
        <v>Cal 29</v>
        <stp/>
        <stp>34414099Y2:Strip</stp>
        <tr r="E115" s="5"/>
      </tp>
      <tp t="s">
        <v>Feb27</v>
        <stp/>
        <stp>16331513M5:Strip</stp>
        <tr r="E1420" s="5"/>
      </tp>
      <tp t="s">
        <v>Feb27</v>
        <stp/>
        <stp>16341514M5:Strip</stp>
        <tr r="E1458" s="5"/>
      </tp>
      <tp t="s">
        <v>Feb27</v>
        <stp/>
        <stp>16351515M5:Strip</stp>
        <tr r="E1496" s="5"/>
      </tp>
      <tp t="s">
        <v>Q1 28</v>
        <stp/>
        <stp>16331513Q5:Strip</stp>
        <tr r="E1445" s="5"/>
      </tp>
      <tp t="s">
        <v>Q1 28</v>
        <stp/>
        <stp>16341514Q5:Strip</stp>
        <tr r="E1483" s="5"/>
      </tp>
      <tp t="s">
        <v>Q1 28</v>
        <stp/>
        <stp>16351515Q5:Strip</stp>
        <tr r="E1521" s="5"/>
      </tp>
      <tp t="s">
        <v>Jun27</v>
        <stp/>
        <stp>29243602M9:Strip</stp>
        <tr r="E755" s="5"/>
      </tp>
      <tp t="s">
        <v/>
        <stp/>
        <stp>DBI1227MM16:LstBlkPrc</stp>
        <tr r="K1667" s="5"/>
      </tp>
      <tp t="s">
        <v/>
        <stp/>
        <stp>DBI1227MM26:LstBlkPrc</stp>
        <tr r="K1677" s="5"/>
      </tp>
      <tp t="s">
        <v>Oct26</v>
        <stp/>
        <stp>57179020M1:Strip</stp>
        <tr r="E1548" s="5"/>
      </tp>
      <tp t="s">
        <v>Invalid Market: 57179020Y1</v>
        <stp/>
        <stp>57179020Y1:Strip</stp>
        <tr r="E1581" s="5"/>
      </tp>
      <tp t="s">
        <v>Q1 27</v>
        <stp/>
        <stp>57179020Q1:Strip</stp>
        <tr r="E1573" s="5"/>
      </tp>
      <tp t="s">
        <v>Q4 28</v>
        <stp/>
        <stp>1986823075Q8:Strip</stp>
        <tr r="E150" s="5"/>
      </tp>
      <tp t="s">
        <v>May27</v>
        <stp/>
        <stp>1986823075M8:Strip</stp>
        <tr r="E125" s="5"/>
      </tp>
      <tp t="s">
        <v>May27</v>
        <stp/>
        <stp>18871685M8:Strip</stp>
        <tr r="E429" s="5"/>
      </tp>
      <tp t="s">
        <v>Q4 28</v>
        <stp/>
        <stp>18871685Q8:Strip</stp>
        <tr r="E454" s="5"/>
      </tp>
      <tp t="s">
        <v>Sep7-Sep11 (Nov)</v>
        <stp/>
        <stp>15141311T0:Strip</stp>
        <tr r="E1528" s="5"/>
      </tp>
      <tp t="s">
        <v>May27</v>
        <stp/>
        <stp>18851683M8:Strip</stp>
        <tr r="E201" s="5"/>
      </tp>
      <tp t="s">
        <v>Q4 28</v>
        <stp/>
        <stp>18851683Q8:Strip</stp>
        <tr r="E226" s="5"/>
      </tp>
      <tp t="s">
        <v>Q4 28</v>
        <stp/>
        <stp>1986923076Q8:Strip</stp>
        <tr r="E188" s="5"/>
      </tp>
      <tp t="s">
        <v>May27</v>
        <stp/>
        <stp>1986923076M8:Strip</stp>
        <tr r="E163" s="5"/>
      </tp>
      <tp t="s">
        <v>Sep26</v>
        <stp/>
        <stp>15091310M0:Strip</stp>
        <tr r="E1377" s="5"/>
      </tp>
      <tp t="s">
        <v>Q4 26</v>
        <stp/>
        <stp>15091310Q0:Strip</stp>
        <tr r="E1402" s="5"/>
      </tp>
      <tp t="s">
        <v>Cal 27</v>
        <stp/>
        <stp>15091310Y0:Strip</stp>
        <tr r="E1411" s="5"/>
      </tp>
      <tp t="s">
        <v>Nov26</v>
        <stp/>
        <stp>35534143M2:Strip</stp>
        <tr r="E710" s="5"/>
      </tp>
      <tp t="s">
        <v>Nov26</v>
        <stp/>
        <stp>35544144M2:Strip</stp>
        <tr r="E634" s="5"/>
      </tp>
      <tp t="s">
        <v>Nov26</v>
        <stp/>
        <stp>35554145M2:Strip</stp>
        <tr r="E672" s="5"/>
      </tp>
      <tp t="s">
        <v>Sep26</v>
        <stp/>
        <stp>30813691M0:Strip</stp>
        <tr r="E1953" s="5"/>
      </tp>
      <tp t="s">
        <v>Q4 26</v>
        <stp/>
        <stp>30813691Q0:Strip</stp>
        <tr r="E1978" s="5"/>
      </tp>
      <tp t="s">
        <v>Q2 27</v>
        <stp/>
        <stp>35534143Q2:Strip</stp>
        <tr r="E735" s="5"/>
      </tp>
      <tp t="s">
        <v>Q2 27</v>
        <stp/>
        <stp>35544144Q2:Strip</stp>
        <tr r="E659" s="5"/>
      </tp>
      <tp t="s">
        <v>Q2 27</v>
        <stp/>
        <stp>35554145Q2:Strip</stp>
        <tr r="E697" s="5"/>
      </tp>
      <tp t="s">
        <v>Cal 27</v>
        <stp/>
        <stp>30813691Y0:Strip</stp>
        <tr r="E1987" s="5"/>
      </tp>
      <tp t="s">
        <v>Cal 29</v>
        <stp/>
        <stp>35534143Y2:Strip</stp>
        <tr r="E744" s="5"/>
      </tp>
      <tp t="s">
        <v>Cal 29</v>
        <stp/>
        <stp>35544144Y2:Strip</stp>
        <tr r="E668" s="5"/>
      </tp>
      <tp t="s">
        <v>Cal 29</v>
        <stp/>
        <stp>35554145Y2:Strip</stp>
        <tr r="E706" s="5"/>
      </tp>
      <tp t="s">
        <v>May27</v>
        <stp/>
        <stp>18901687M8:Strip</stp>
        <tr r="E315" s="5"/>
      </tp>
      <tp t="s">
        <v>Q4 28</v>
        <stp/>
        <stp>18901687Q8:Strip</stp>
        <tr r="E340" s="5"/>
      </tp>
      <tp t="s">
        <v>Mar27</v>
        <stp/>
        <stp>1840020882M6:Strip</stp>
        <tr r="E1588" s="5"/>
      </tp>
      <tp t="s">
        <v>Oct26</v>
        <stp/>
        <stp>57409036M1:Strip</stp>
        <tr r="E232" s="5"/>
      </tp>
      <tp t="s">
        <v>Cal 28</v>
        <stp/>
        <stp>57409036Y1:Strip</stp>
        <tr r="E266" s="5"/>
      </tp>
      <tp t="s">
        <v>Q1 27</v>
        <stp/>
        <stp>57409036Q1:Strip</stp>
        <tr r="E257" s="5"/>
      </tp>
      <tp t="s">
        <v>Bal Month</v>
        <stp/>
        <stp>2888129698B0:Strip</stp>
        <tr r="E1110" s="5"/>
      </tp>
      <tp t="s">
        <v>Oct26</v>
        <stp/>
        <stp>46678127M1:Strip</stp>
        <tr r="E346" s="5"/>
      </tp>
      <tp t="s">
        <v>Cal 28</v>
        <stp/>
        <stp>46678127Y1:Strip</stp>
        <tr r="E380" s="5"/>
      </tp>
      <tp t="s">
        <v>Q1 27</v>
        <stp/>
        <stp>46678127Q1:Strip</stp>
        <tr r="E371" s="5"/>
      </tp>
      <tp t="s">
        <v>Bal Month</v>
        <stp/>
        <stp>2888029697B0:Strip</stp>
        <tr r="E996" s="5"/>
      </tp>
      <tp t="s">
        <v>CFT</v>
        <stp/>
        <stp>17551596T0:PCC</stp>
        <tr r="B1537" s="5"/>
      </tp>
      <tp t="s">
        <v>CFT</v>
        <stp/>
        <stp>17551596T1:PCC</stp>
        <tr r="B1538" s="5"/>
      </tp>
      <tp t="s">
        <v>CFT</v>
        <stp/>
        <stp>17551596T2:PCC</stp>
        <tr r="B1539" s="5"/>
      </tp>
      <tp t="s">
        <v>CFT</v>
        <stp/>
        <stp>17551596T3:PCC</stp>
        <tr r="B1540" s="5"/>
      </tp>
      <tp t="s">
        <v>CFT</v>
        <stp/>
        <stp>17551596T4:PCC</stp>
        <tr r="B1541" s="5"/>
      </tp>
      <tp t="s">
        <v>CFT</v>
        <stp/>
        <stp>17551596T5:PCC</stp>
        <tr r="B1542" s="5"/>
      </tp>
      <tp t="s">
        <v>CFT</v>
        <stp/>
        <stp>17551596T6:PCC</stp>
        <tr r="B1543" s="5"/>
      </tp>
      <tp t="s">
        <v>CFT</v>
        <stp/>
        <stp>17551596T7:PCC</stp>
        <tr r="B1544" s="5"/>
      </tp>
      <tp t="s">
        <v>CFT</v>
        <stp/>
        <stp>17551596T8:PCC</stp>
        <tr r="B1546" s="5"/>
        <tr r="B1545" s="5"/>
      </tp>
      <tp t="s">
        <v/>
        <stp/>
        <stp>1517M21:LstDate</stp>
        <tr r="J24" s="5"/>
      </tp>
      <tp t="s">
        <v/>
        <stp/>
        <stp>1517M20:LstDate</stp>
        <tr r="J23" s="5"/>
      </tp>
      <tp t="s">
        <v/>
        <stp/>
        <stp>1517M23:LstDate</stp>
        <tr r="J26" s="5"/>
      </tp>
      <tp t="s">
        <v/>
        <stp/>
        <stp>1517M22:LstDate</stp>
        <tr r="J25" s="5"/>
      </tp>
      <tp t="s">
        <v/>
        <stp/>
        <stp>1517M24:LstDate</stp>
        <tr r="J27" s="5"/>
      </tp>
      <tp t="s">
        <v>Nov26/May27</v>
        <stp/>
        <stp>366531MM22:Strip</stp>
        <tr r="E1737" s="5"/>
      </tp>
      <tp t="s">
        <v>Oct26/Jan27</v>
        <stp/>
        <stp>366531MM12:Strip</stp>
        <tr r="E1727" s="5"/>
      </tp>
      <tp t="s">
        <v/>
        <stp/>
        <stp>2427126288Y1:LstPrc</stp>
        <tr r="I1070" s="5"/>
      </tp>
      <tp t="s">
        <v/>
        <stp/>
        <stp>2427126288Y0:LstPrc</stp>
        <tr r="I1069" s="5"/>
      </tp>
      <tp t="s">
        <v/>
        <stp/>
        <stp>2427126288Y2:LstPrc</stp>
        <tr r="I1071" s="5"/>
      </tp>
      <tp t="s">
        <v/>
        <stp/>
        <stp>2427126288Q8:LstPrc</stp>
        <tr r="I1068" s="5"/>
      </tp>
      <tp t="s">
        <v/>
        <stp/>
        <stp>2427126288Q1:LstPrc</stp>
        <tr r="I1061" s="5"/>
      </tp>
      <tp t="s">
        <v/>
        <stp/>
        <stp>2427126288Q0:LstPrc</stp>
        <tr r="I1060" s="5"/>
      </tp>
      <tp t="s">
        <v/>
        <stp/>
        <stp>2427126288Q3:LstPrc</stp>
        <tr r="I1063" s="5"/>
      </tp>
      <tp t="s">
        <v/>
        <stp/>
        <stp>2427126288Q2:LstPrc</stp>
        <tr r="I1062" s="5"/>
      </tp>
      <tp t="s">
        <v/>
        <stp/>
        <stp>2427126288Q5:LstPrc</stp>
        <tr r="I1065" s="5"/>
      </tp>
      <tp t="s">
        <v/>
        <stp/>
        <stp>2427126288Q4:LstPrc</stp>
        <tr r="I1064" s="5"/>
      </tp>
      <tp t="s">
        <v/>
        <stp/>
        <stp>2427126288Q7:LstPrc</stp>
        <tr r="I1067" s="5"/>
      </tp>
      <tp t="s">
        <v/>
        <stp/>
        <stp>2427126288Q6:LstPrc</stp>
        <tr r="I1066" s="5"/>
      </tp>
      <tp t="s">
        <v/>
        <stp/>
        <stp>2427126288M9:LstPrc</stp>
        <tr r="I1044" s="5"/>
      </tp>
      <tp t="s">
        <v/>
        <stp/>
        <stp>2427126288M8:LstPrc</stp>
        <tr r="I1043" s="5"/>
      </tp>
      <tp>
        <v>5.8</v>
        <stp/>
        <stp>2427126288M1:LstPrc</stp>
        <tr r="I1036" s="5"/>
      </tp>
      <tp t="s">
        <v/>
        <stp/>
        <stp>2427126288M0:LstPrc</stp>
        <tr r="I1035" s="5"/>
      </tp>
      <tp t="s">
        <v/>
        <stp/>
        <stp>2427126288M3:LstPrc</stp>
        <tr r="I1038" s="5"/>
      </tp>
      <tp t="s">
        <v/>
        <stp/>
        <stp>2427126288M2:LstPrc</stp>
        <tr r="I1037" s="5"/>
      </tp>
      <tp t="s">
        <v/>
        <stp/>
        <stp>2427126288M5:LstPrc</stp>
        <tr r="I1040" s="5"/>
      </tp>
      <tp t="s">
        <v/>
        <stp/>
        <stp>2427126288M4:LstPrc</stp>
        <tr r="I1039" s="5"/>
      </tp>
      <tp t="s">
        <v/>
        <stp/>
        <stp>2427126288M7:LstPrc</stp>
        <tr r="I1042" s="5"/>
      </tp>
      <tp t="s">
        <v/>
        <stp/>
        <stp>2427126288M6:LstPrc</stp>
        <tr r="I1041" s="5"/>
      </tp>
      <tp t="s">
        <v/>
        <stp/>
        <stp>1517M19:LstDate</stp>
        <tr r="J22" s="5"/>
      </tp>
      <tp t="s">
        <v/>
        <stp/>
        <stp>1517M18:LstDate</stp>
        <tr r="J21" s="5"/>
      </tp>
      <tp>
        <v>46267.32019189815</v>
        <stp/>
        <stp>1517M11:LstDate</stp>
        <tr r="J14" s="5"/>
      </tp>
      <tp t="s">
        <v/>
        <stp/>
        <stp>1517M10:LstDate</stp>
        <tr r="J13" s="5"/>
      </tp>
      <tp t="s">
        <v/>
        <stp/>
        <stp>1517M13:LstDate</stp>
        <tr r="J16" s="5"/>
      </tp>
      <tp>
        <v>46267.32019189815</v>
        <stp/>
        <stp>1517M12:LstDate</stp>
        <tr r="J15" s="5"/>
      </tp>
      <tp t="s">
        <v/>
        <stp/>
        <stp>1517M15:LstDate</stp>
        <tr r="J18" s="5"/>
      </tp>
      <tp t="s">
        <v/>
        <stp/>
        <stp>1517M14:LstDate</stp>
        <tr r="J17" s="5"/>
      </tp>
      <tp t="s">
        <v/>
        <stp/>
        <stp>1517M17:LstDate</stp>
        <tr r="J20" s="5"/>
      </tp>
      <tp t="s">
        <v/>
        <stp/>
        <stp>1517M16:LstDate</stp>
        <tr r="J19" s="5"/>
      </tp>
      <tp t="s">
        <v/>
        <stp/>
        <stp>2888029697B0:LstPrc</stp>
        <tr r="I996" s="5"/>
      </tp>
    </main>
    <main first="bofaddin.rtdserver">
      <tp t="s">
        <v>#N/A</v>
        <stp/>
        <stp>BDP|5513131720607863133|222</stp>
        <stp>OQAK9M9 Comdty</stp>
        <stp>ASK</stp>
        <stp>Fill=#N/A</stp>
        <tr r="T52" s="1"/>
      </tp>
    </main>
    <main first="ice.rtd">
      <tp t="s">
        <v>APN</v>
        <stp/>
        <stp>32613992Q8:PCC</stp>
        <tr r="B1258" s="5"/>
      </tp>
      <tp t="s">
        <v>APN</v>
        <stp/>
        <stp>32613992Q1:PCC</stp>
        <tr r="B1251" s="5"/>
      </tp>
      <tp t="s">
        <v>APN</v>
        <stp/>
        <stp>32613992Q0:PCC</stp>
        <tr r="B1250" s="5"/>
      </tp>
      <tp t="s">
        <v>APN</v>
        <stp/>
        <stp>32613992Q3:PCC</stp>
        <tr r="B1253" s="5"/>
      </tp>
      <tp t="s">
        <v>APN</v>
        <stp/>
        <stp>32613992Q2:PCC</stp>
        <tr r="B1252" s="5"/>
      </tp>
      <tp t="s">
        <v>APN</v>
        <stp/>
        <stp>32613992Q5:PCC</stp>
        <tr r="B1255" s="5"/>
      </tp>
      <tp t="s">
        <v>APN</v>
        <stp/>
        <stp>32613992Q4:PCC</stp>
        <tr r="B1254" s="5"/>
      </tp>
      <tp t="s">
        <v>APN</v>
        <stp/>
        <stp>32613992Q7:PCC</stp>
        <tr r="B1257" s="5"/>
      </tp>
      <tp t="s">
        <v>APN</v>
        <stp/>
        <stp>32613992Q6:PCC</stp>
        <tr r="B1256" s="5"/>
      </tp>
    </main>
    <main first="bofaddin.rtdserver">
      <tp t="s">
        <v>#N/A</v>
        <stp/>
        <stp>BDP|2792717846021109560|222</stp>
        <stp>OQAG7H7 Comdty</stp>
        <stp>BID</stp>
        <stp>Fill=#N/A</stp>
        <tr r="T25" s="1"/>
      </tp>
    </main>
    <main first="ice.rtd">
      <tp t="s">
        <v/>
        <stp/>
        <stp>2325825619B0:LstPrc</stp>
        <tr r="I40" s="5"/>
      </tp>
    </main>
    <main first="bofaddin.rtdserver">
      <tp t="s">
        <v>#N/A</v>
        <stp/>
        <stp>BDP|3438377861282275877|222</stp>
        <stp>OQAG0H0 Comdty</stp>
        <stp>BID</stp>
        <stp>Fill=#N/A</stp>
        <tr r="T61" s="1"/>
      </tp>
      <tp>
        <v>0.69</v>
        <stp/>
        <stp>BDP|874414308216152015|222</stp>
        <stp>CON7COQ7 Comdty</stp>
        <stp>BID</stp>
        <stp>Fill=#N/A</stp>
        <tr r="O30" s="1"/>
      </tp>
      <tp t="s">
        <v>#N/A</v>
        <stp/>
        <stp>BDP|6069714657660941863|222</stp>
        <stp>OQAZ6F7 Comdty</stp>
        <stp>BID</stp>
        <stp>Fill=#N/A</stp>
        <tr r="T23" s="1"/>
      </tp>
    </main>
    <main first="ice.rtd">
      <tp t="s">
        <v>APN</v>
        <stp/>
        <stp>32613992Y1:PCC</stp>
        <tr r="B1260" s="5"/>
      </tp>
      <tp t="s">
        <v>APN</v>
        <stp/>
        <stp>32613992Y0:PCC</stp>
        <tr r="B1259" s="5"/>
      </tp>
      <tp t="s">
        <v>APN</v>
        <stp/>
        <stp>32613992Y2:PCC</stp>
        <tr r="B1261" s="5"/>
      </tp>
      <tp>
        <v>0</v>
        <stp/>
        <stp>2755828679M0:BlkVol</stp>
        <tr r="O997" s="5"/>
      </tp>
      <tp>
        <v>30</v>
        <stp/>
        <stp>2755828679M1:BlkVol</stp>
        <tr r="O998" s="5"/>
      </tp>
      <tp>
        <v>0</v>
        <stp/>
        <stp>2755828679M2:BlkVol</stp>
        <tr r="O999" s="5"/>
      </tp>
      <tp>
        <v>5</v>
        <stp/>
        <stp>2755828679M3:BlkVol</stp>
        <tr r="O1000" s="5"/>
      </tp>
      <tp>
        <v>0</v>
        <stp/>
        <stp>2755828679M4:BlkVol</stp>
        <tr r="O1001" s="5"/>
      </tp>
      <tp>
        <v>0</v>
        <stp/>
        <stp>2755828679M5:BlkVol</stp>
        <tr r="O1002" s="5"/>
      </tp>
      <tp>
        <v>0</v>
        <stp/>
        <stp>2755828679M6:BlkVol</stp>
        <tr r="O1003" s="5"/>
      </tp>
      <tp>
        <v>0</v>
        <stp/>
        <stp>2755828679M7:BlkVol</stp>
        <tr r="O1004" s="5"/>
      </tp>
      <tp>
        <v>0</v>
        <stp/>
        <stp>2755828679M8:BlkVol</stp>
        <tr r="O1005" s="5"/>
      </tp>
      <tp>
        <v>0</v>
        <stp/>
        <stp>2755828679M9:BlkVol</stp>
        <tr r="O1006" s="5"/>
      </tp>
      <tp>
        <v>0</v>
        <stp/>
        <stp>2755828679Q0:BlkVol</stp>
        <tr r="O1022" s="5"/>
      </tp>
      <tp>
        <v>0</v>
        <stp/>
        <stp>2755828679Q1:BlkVol</stp>
        <tr r="O1023" s="5"/>
      </tp>
      <tp>
        <v>0</v>
        <stp/>
        <stp>2755828679Q2:BlkVol</stp>
        <tr r="O1024" s="5"/>
      </tp>
      <tp>
        <v>0</v>
        <stp/>
        <stp>2755828679Q3:BlkVol</stp>
        <tr r="O1025" s="5"/>
      </tp>
      <tp>
        <v>0</v>
        <stp/>
        <stp>2755828679Q4:BlkVol</stp>
        <tr r="O1026" s="5"/>
      </tp>
      <tp>
        <v>0</v>
        <stp/>
        <stp>2755828679Q5:BlkVol</stp>
        <tr r="O1027" s="5"/>
      </tp>
      <tp>
        <v>0</v>
        <stp/>
        <stp>2755828679Q6:BlkVol</stp>
        <tr r="O1028" s="5"/>
      </tp>
      <tp>
        <v>0</v>
        <stp/>
        <stp>2755828679Q7:BlkVol</stp>
        <tr r="O1029" s="5"/>
      </tp>
      <tp>
        <v>0</v>
        <stp/>
        <stp>2755828679Q8:BlkVol</stp>
        <tr r="O1030" s="5"/>
      </tp>
    </main>
    <main first="ice.rtd">
      <tp>
        <v>0</v>
        <stp/>
        <stp>2755828679Y0:BlkVol</stp>
        <tr r="O1031" s="5"/>
      </tp>
      <tp>
        <v>0</v>
        <stp/>
        <stp>2755828679Y1:BlkVol</stp>
        <tr r="O1032" s="5"/>
      </tp>
      <tp>
        <v>0</v>
        <stp/>
        <stp>2755828679Y2:BlkVol</stp>
        <tr r="O1033" s="5"/>
      </tp>
    </main>
    <main first="bofaddin.rtdserver">
      <tp t="s">
        <v>#N/A N/A</v>
        <stp/>
        <stp>BDH|3897652987007379020</stp>
        <tr r="D30" s="14"/>
      </tp>
      <tp t="s">
        <v>#N/A N/A</v>
        <stp/>
        <stp>BDH|2868639585907776111</stp>
        <tr r="I55" s="14"/>
      </tp>
      <tp t="s">
        <v>#N/A N/A</v>
        <stp/>
        <stp>BDH|8822502261616050707</stp>
        <tr r="N31" s="16"/>
      </tp>
      <tp t="s">
        <v>#N/A N/A</v>
        <stp/>
        <stp>BDH|9251939850407622893</stp>
        <tr r="BC48" s="1"/>
        <tr r="BC48" s="1"/>
      </tp>
      <tp t="s">
        <v>#N/A N/A</v>
        <stp/>
        <stp>BDH|6179483903110142859</stp>
        <tr r="AV65" s="1"/>
      </tp>
    </main>
    <main first="ice.rtd">
      <tp>
        <v>970</v>
        <stp/>
        <stp>2322725588B0:BlkVol</stp>
        <tr r="O2" s="5"/>
      </tp>
    </main>
    <main first="bofaddin.rtdserver">
      <tp t="s">
        <v>#N/A N/A</v>
        <stp/>
        <stp>BDH|5257690499503826357</stp>
        <tr r="AX51" s="1"/>
      </tp>
      <tp t="s">
        <v>#N/A N/A</v>
        <stp/>
        <stp>BDH|2410702419576179835</stp>
        <tr r="BC23" s="1"/>
      </tp>
      <tp t="s">
        <v>#N/A Requesting Data...3726691088</v>
        <stp/>
        <stp>BDP|2178732471018736097</stp>
        <tr r="AF56" s="23"/>
        <tr r="AF57" s="23"/>
        <tr r="AF58" s="23"/>
        <tr r="AF59" s="23"/>
        <tr r="AF60" s="23"/>
        <tr r="AF61" s="23"/>
        <tr r="AF62" s="23"/>
        <tr r="AF63" s="23"/>
        <tr r="AF64" s="23"/>
        <tr r="AF65" s="23"/>
        <tr r="AF66" s="23"/>
        <tr r="AF67" s="23"/>
        <tr r="AF68" s="23"/>
        <tr r="AF69" s="23"/>
        <tr r="AF70" s="23"/>
        <tr r="AF71" s="23"/>
        <tr r="AF72" s="23"/>
      </tp>
      <tp t="b">
        <v>0</v>
        <stp/>
        <stp>BDH|3689944988100192864</stp>
        <tr r="Q20" s="25"/>
        <tr r="Q20" s="25"/>
      </tp>
      <tp t="s">
        <v>#N/A N/A</v>
        <stp/>
        <stp>BDH|5491338115685725882</stp>
        <tr r="I56" s="14"/>
      </tp>
      <tp t="s">
        <v>#N/A N/A</v>
        <stp/>
        <stp>BDH|7665991015086986319</stp>
        <tr r="G83" s="16"/>
      </tp>
      <tp t="s">
        <v>#N/A N/A</v>
        <stp/>
        <stp>BDH|6003105093590396427</stp>
        <tr r="AW55" s="1"/>
      </tp>
    </main>
    <main first="ice.rtd">
      <tp t="s">
        <v>APN</v>
        <stp/>
        <stp>32613992M9:PCC</stp>
        <tr r="B1234" s="5"/>
      </tp>
      <tp t="s">
        <v>APN</v>
        <stp/>
        <stp>32613992M8:PCC</stp>
        <tr r="B1233" s="5"/>
      </tp>
    </main>
    <main first="bofaddin.rtdserver">
      <tp t="s">
        <v>#N/A N/A</v>
        <stp/>
        <stp>BDH|5085464830951103941</stp>
        <tr r="J60" s="16"/>
      </tp>
    </main>
    <main first="ice.rtd">
      <tp t="s">
        <v>APN</v>
        <stp/>
        <stp>32613992M1:PCC</stp>
        <tr r="B1226" s="5"/>
      </tp>
      <tp t="s">
        <v>APN</v>
        <stp/>
        <stp>32613992M0:PCC</stp>
        <tr r="B1225" s="5"/>
      </tp>
      <tp t="s">
        <v>APN</v>
        <stp/>
        <stp>32613992M3:PCC</stp>
        <tr r="B1228" s="5"/>
      </tp>
      <tp t="s">
        <v>APN</v>
        <stp/>
        <stp>32613992M2:PCC</stp>
        <tr r="B1227" s="5"/>
      </tp>
    </main>
    <main first="bofaddin.rtdserver">
      <tp t="s">
        <v>#N/A N/A</v>
        <stp/>
        <stp>BDH|6500923446971101030</stp>
        <tr r="AW38" s="1"/>
      </tp>
    </main>
    <main first="ice.rtd">
      <tp t="s">
        <v>APN</v>
        <stp/>
        <stp>32613992M5:PCC</stp>
        <tr r="B1230" s="5"/>
      </tp>
      <tp t="s">
        <v>APN</v>
        <stp/>
        <stp>32613992M4:PCC</stp>
        <tr r="B1229" s="5"/>
      </tp>
      <tp t="s">
        <v>APN</v>
        <stp/>
        <stp>32613992M7:PCC</stp>
        <tr r="B1232" s="5"/>
      </tp>
    </main>
    <main first="ice.rtd">
      <tp t="s">
        <v>APN</v>
        <stp/>
        <stp>32613992M6:PCC</stp>
        <tr r="B1231" s="5"/>
      </tp>
    </main>
    <main first="bofaddin.rtdserver">
      <tp t="s">
        <v>#N/A N/A</v>
        <stp/>
        <stp>BDH|6556367038665217998</stp>
        <tr r="J5" s="14"/>
      </tp>
      <tp t="s">
        <v>#N/A N/A</v>
        <stp/>
        <stp>BDH|2292902127656169553</stp>
        <tr r="J59" s="16"/>
      </tp>
      <tp t="s">
        <v>#N/A N/A</v>
        <stp/>
        <stp>BDH|1447113875455296837</stp>
        <tr r="AY46" s="1"/>
      </tp>
      <tp t="s">
        <v>#N/A Requesting Data...2868447465</v>
        <stp/>
        <stp>BDP|3121908720531427335</stp>
        <tr r="AF74" s="23"/>
      </tp>
      <tp t="s">
        <v>#N/A N/A</v>
        <stp/>
        <stp>BDH|7356615164698041507</stp>
        <tr r="AW62" s="1"/>
      </tp>
      <tp t="s">
        <v>#N/A N/A</v>
        <stp/>
        <stp>BDH|3115263766374521932</stp>
        <tr r="D38" s="14"/>
      </tp>
      <tp t="s">
        <v>#N/A N/A</v>
        <stp/>
        <stp>BDH|3990861326505715699</stp>
        <tr r="AY43" s="1"/>
      </tp>
      <tp t="s">
        <v>#N/A N/A</v>
        <stp/>
        <stp>BDH|9999510658996216558</stp>
        <tr r="N80" s="16"/>
      </tp>
      <tp t="s">
        <v>#N/A Requesting Data...4169988701</v>
        <stp/>
        <stp>BDP|8660854304908587261</stp>
        <tr r="AM114" s="23"/>
      </tp>
      <tp t="s">
        <v>#N/A N/A</v>
        <stp/>
        <stp>BDH|2946939863707529082</stp>
        <tr r="J13" s="14"/>
      </tp>
      <tp t="s">
        <v>#N/A N/A</v>
        <stp/>
        <stp>BDH|1668807887318529317</stp>
        <tr r="AW66" s="1"/>
      </tp>
      <tp t="s">
        <v>#N/A N/A</v>
        <stp/>
        <stp>BDH|7161314485057483143</stp>
        <tr r="I30" s="14"/>
      </tp>
    </main>
    <main first="ice.rtd">
      <tp t="s">
        <v>Invalid Market: 57179020Y1</v>
        <stp/>
        <stp>57179020Y1:BlkVol</stp>
        <tr r="O1581" s="5"/>
      </tp>
      <tp>
        <v>0</v>
        <stp/>
        <stp>57179020Y0:BlkVol</stp>
        <tr r="O1580" s="5"/>
      </tp>
      <tp t="s">
        <v>Invalid Market: 57179020Q5</v>
        <stp/>
        <stp>57179020Q5:BlkVol</stp>
        <tr r="O1577" s="5"/>
      </tp>
      <tp>
        <v>0</v>
        <stp/>
        <stp>57179020Q4:BlkVol</stp>
        <tr r="O1576" s="5"/>
      </tp>
      <tp t="s">
        <v>Invalid Market: 57179020Q7</v>
        <stp/>
        <stp>57179020Q7:BlkVol</stp>
        <tr r="O1579" s="5"/>
      </tp>
      <tp t="s">
        <v>Invalid Market: 57179020Q6</v>
        <stp/>
        <stp>57179020Q6:BlkVol</stp>
        <tr r="O1578" s="5"/>
      </tp>
      <tp>
        <v>0</v>
        <stp/>
        <stp>57179020Q1:BlkVol</stp>
        <tr r="O1573" s="5"/>
      </tp>
      <tp>
        <v>0</v>
        <stp/>
        <stp>57179020Q0:BlkVol</stp>
        <tr r="O1572" s="5"/>
      </tp>
      <tp>
        <v>0</v>
        <stp/>
        <stp>57179020Q3:BlkVol</stp>
        <tr r="O1575" s="5"/>
      </tp>
      <tp>
        <v>0</v>
        <stp/>
        <stp>57179020Q2:BlkVol</stp>
        <tr r="O1574" s="5"/>
      </tp>
      <tp>
        <v>0</v>
        <stp/>
        <stp>57179020M9:BlkVol</stp>
        <tr r="O1556" s="5"/>
      </tp>
      <tp>
        <v>0</v>
        <stp/>
        <stp>57179020M8:BlkVol</stp>
        <tr r="O1555" s="5"/>
      </tp>
      <tp>
        <v>0</v>
        <stp/>
        <stp>57179020M5:BlkVol</stp>
        <tr r="O1552" s="5"/>
      </tp>
      <tp>
        <v>0</v>
        <stp/>
        <stp>57179020M4:BlkVol</stp>
        <tr r="O1551" s="5"/>
      </tp>
      <tp>
        <v>0</v>
        <stp/>
        <stp>57179020M7:BlkVol</stp>
        <tr r="O1554" s="5"/>
      </tp>
      <tp>
        <v>0</v>
        <stp/>
        <stp>57179020M6:BlkVol</stp>
        <tr r="O1553" s="5"/>
      </tp>
      <tp>
        <v>0</v>
        <stp/>
        <stp>57179020M1:BlkVol</stp>
        <tr r="O1548" s="5"/>
      </tp>
      <tp>
        <v>0</v>
        <stp/>
        <stp>57179020M0:BlkVol</stp>
        <tr r="O1547" s="5"/>
      </tp>
      <tp>
        <v>0</v>
        <stp/>
        <stp>57179020M3:BlkVol</stp>
        <tr r="O1550" s="5"/>
      </tp>
      <tp>
        <v>0</v>
        <stp/>
        <stp>57179020M2:BlkVol</stp>
        <tr r="O1549" s="5"/>
      </tp>
      <tp>
        <v>0</v>
        <stp/>
        <stp>41767893Y0:Vol</stp>
        <tr r="N514" s="5"/>
      </tp>
      <tp>
        <v>0</v>
        <stp/>
        <stp>41767893Y1:Vol</stp>
        <tr r="N515" s="5"/>
      </tp>
      <tp t="s">
        <v>Invalid Market: 41767893Y2</v>
        <stp/>
        <stp>41767893Y2:Vol</stp>
        <tr r="N516" s="5"/>
      </tp>
    </main>
    <main first="bofaddin.rtdserver">
      <tp>
        <v>500.2</v>
        <stp/>
        <stp>BDP|389430180960321012|222</stp>
        <stp>SCPU28 Comdty</stp>
        <stp>BID</stp>
        <stp>Fill=#N/A</stp>
        <tr r="M43" s="1"/>
      </tp>
      <tp t="s">
        <v>#N/A</v>
        <stp/>
        <stp>BDP|13659781840340521637|222</stp>
        <stp>XBV9 Comdty</stp>
        <stp>ASK</stp>
        <stp>Fill=#N/A</stp>
        <tr r="J56" s="1"/>
      </tp>
    </main>
    <main first="ice.rtd">
      <tp t="s">
        <v/>
        <stp/>
        <stp>DBI1227QQ1:LstBlkTime</stp>
        <tr r="M1680" s="5"/>
      </tp>
      <tp t="s">
        <v/>
        <stp/>
        <stp>DBI1227QQ0:LstBlkTime</stp>
        <tr r="M1679" s="5"/>
      </tp>
    </main>
    <main first="bofaddin.rtdserver">
      <tp>
        <v>334.41</v>
        <stp/>
        <stp>BDP|10111257973713394855|222</stp>
        <stp>HOV7 Comdty</stp>
        <stp>BID</stp>
        <stp>Fill=#N/A</stp>
        <tr r="I32" s="1"/>
      </tp>
      <tp>
        <v>1278</v>
        <stp/>
        <stp>BDP|10244041185599453606|222</stp>
        <stp>QSX6 Comdty</stp>
        <stp>BID</stp>
        <stp>Fill=#N/A</stp>
        <tr r="H21" s="1"/>
      </tp>
      <tp t="s">
        <v>#N/A Invalid Security</v>
        <stp/>
        <stp>BDP|149975478319111479|222</stp>
        <stp>SCPX28 Comdty</stp>
        <stp>ASK</stp>
        <stp>Fill=#N/A</stp>
        <tr r="M45" s="1"/>
      </tp>
      <tp>
        <v>448.23</v>
        <stp/>
        <stp>BDP|12029916279428518602|222</stp>
        <stp>HOX6 Comdty</stp>
        <stp>BID</stp>
        <stp>Fill=#N/A</stp>
        <tr r="I21" s="1"/>
      </tp>
    </main>
    <main first="ice.rtd">
      <tp>
        <v>0</v>
        <stp/>
        <stp>41767893Q4:Vol</stp>
        <tr r="N509" s="5"/>
      </tp>
      <tp>
        <v>0</v>
        <stp/>
        <stp>41767893Q5:Vol</stp>
        <tr r="N510" s="5"/>
      </tp>
      <tp>
        <v>0</v>
        <stp/>
        <stp>41767893Q6:Vol</stp>
        <tr r="N511" s="5"/>
      </tp>
      <tp>
        <v>0</v>
        <stp/>
        <stp>41767893Q7:Vol</stp>
        <tr r="N512" s="5"/>
      </tp>
      <tp>
        <v>0</v>
        <stp/>
        <stp>41767893Q0:Vol</stp>
        <tr r="N505" s="5"/>
      </tp>
      <tp>
        <v>0</v>
        <stp/>
        <stp>41767893Q1:Vol</stp>
        <tr r="N506" s="5"/>
      </tp>
      <tp>
        <v>0</v>
        <stp/>
        <stp>41767893Q2:Vol</stp>
        <tr r="N507" s="5"/>
      </tp>
      <tp>
        <v>0</v>
        <stp/>
        <stp>41767893Q3:Vol</stp>
        <tr r="N508" s="5"/>
      </tp>
      <tp>
        <v>0</v>
        <stp/>
        <stp>41767893Q8:Vol</stp>
        <tr r="N513" s="5"/>
      </tp>
      <tp t="s">
        <v/>
        <stp/>
        <stp>DBI1227YY0:LstBlkTime</stp>
        <tr r="M1681" s="5"/>
      </tp>
    </main>
    <main first="bofaddin.rtdserver">
      <tp t="s">
        <v>#N/A</v>
        <stp/>
        <stp>BDP|13495577785769078302|222</stp>
        <stp>HOX9 Comdty</stp>
        <stp>ASK</stp>
        <stp>Fill=#N/A</stp>
        <tr r="I57" s="1"/>
      </tp>
    </main>
    <main first="ice.rtd">
      <tp>
        <v>0</v>
        <stp/>
        <stp>15141311T8:Vol</stp>
        <tr r="N1536" s="5"/>
      </tp>
      <tp>
        <v>0</v>
        <stp/>
        <stp>15141311T3:Vol</stp>
        <tr r="N1531" s="5"/>
      </tp>
      <tp>
        <v>0</v>
        <stp/>
        <stp>15141311T2:Vol</stp>
        <tr r="N1530" s="5"/>
      </tp>
      <tp>
        <v>0</v>
        <stp/>
        <stp>15141311T1:Vol</stp>
        <tr r="N1529" s="5"/>
      </tp>
      <tp>
        <v>0</v>
        <stp/>
        <stp>15141311T0:Vol</stp>
        <tr r="N1528" s="5"/>
      </tp>
      <tp>
        <v>0</v>
        <stp/>
        <stp>15141311T7:Vol</stp>
        <tr r="N1535" s="5"/>
      </tp>
      <tp>
        <v>0</v>
        <stp/>
        <stp>15141311T6:Vol</stp>
        <tr r="N1534" s="5"/>
      </tp>
      <tp>
        <v>0</v>
        <stp/>
        <stp>15141311T5:Vol</stp>
        <tr r="N1533" s="5"/>
      </tp>
      <tp>
        <v>0</v>
        <stp/>
        <stp>15141311T4:Vol</stp>
        <tr r="N1532" s="5"/>
      </tp>
    </main>
    <main first="esrtd">
      <tp t="s">
        <v/>
        <stp/>
        <stp>GAS 26QC200000-ICE</stp>
        <stp>OldSettlement</stp>
        <tr r="K16" s="23"/>
      </tp>
    </main>
    <main first="bofaddin.rtdserver">
      <tp t="s">
        <v>#N/A Real Time</v>
        <stp/>
        <stp>BDP|6915829352097770707|22</stp>
        <stp>COV6C 130.00 Comdty</stp>
        <stp>DELTA_MID_RT</stp>
        <tr r="D72" s="23"/>
        <tr r="D11" s="23"/>
        <tr r="D53" s="23"/>
        <tr r="D51" s="23"/>
        <tr r="D81" s="23"/>
      </tp>
    </main>
    <main first="ice.rtd">
      <tp>
        <v>0</v>
        <stp/>
        <stp>41767893M4:Vol</stp>
        <tr r="N484" s="5"/>
      </tp>
      <tp>
        <v>0</v>
        <stp/>
        <stp>41767893M5:Vol</stp>
        <tr r="N485" s="5"/>
      </tp>
      <tp>
        <v>0</v>
        <stp/>
        <stp>41767893M6:Vol</stp>
        <tr r="N486" s="5"/>
      </tp>
      <tp>
        <v>0</v>
        <stp/>
        <stp>41767893M7:Vol</stp>
        <tr r="N487" s="5"/>
      </tp>
      <tp>
        <v>75</v>
        <stp/>
        <stp>41767893M0:Vol</stp>
        <tr r="N480" s="5"/>
      </tp>
      <tp>
        <v>0</v>
        <stp/>
        <stp>41767893M1:Vol</stp>
        <tr r="N481" s="5"/>
      </tp>
      <tp>
        <v>0</v>
        <stp/>
        <stp>41767893M2:Vol</stp>
        <tr r="N482" s="5"/>
      </tp>
      <tp>
        <v>0</v>
        <stp/>
        <stp>41767893M3:Vol</stp>
        <tr r="N483" s="5"/>
      </tp>
      <tp>
        <v>0</v>
        <stp/>
        <stp>41767893M8:Vol</stp>
        <tr r="N488" s="5"/>
      </tp>
      <tp>
        <v>0</v>
        <stp/>
        <stp>41767893M9:Vol</stp>
        <tr r="N489" s="5"/>
      </tp>
      <tp t="s">
        <v>Invalid Market: 41767893B0</v>
        <stp/>
        <stp>41767893B0:Vol</stp>
        <tr r="N479" s="5"/>
      </tp>
      <tp t="s">
        <v/>
        <stp/>
        <stp>DBI1227MM1:LstBlkTime</stp>
        <tr r="M1652" s="5"/>
      </tp>
      <tp t="s">
        <v>08:49:06</v>
        <stp/>
        <stp>DBI1227MM0:LstBlkTime</stp>
        <tr r="M1651" s="5"/>
        <tr r="M1648" s="5"/>
      </tp>
      <tp t="s">
        <v/>
        <stp/>
        <stp>DBI1227MM3:LstBlkTime</stp>
        <tr r="M1654" s="5"/>
      </tp>
      <tp t="s">
        <v/>
        <stp/>
        <stp>DBI1227MM2:LstBlkTime</stp>
        <tr r="M1653" s="5"/>
      </tp>
      <tp t="s">
        <v/>
        <stp/>
        <stp>DBI1227MM5:LstBlkTime</stp>
        <tr r="M1656" s="5"/>
      </tp>
      <tp t="s">
        <v/>
        <stp/>
        <stp>DBI1227MM4:LstBlkTime</stp>
        <tr r="M1655" s="5"/>
      </tp>
      <tp t="s">
        <v/>
        <stp/>
        <stp>DBI1227MM7:LstBlkTime</stp>
        <tr r="M1658" s="5"/>
      </tp>
      <tp t="s">
        <v/>
        <stp/>
        <stp>DBI1227MM6:LstBlkTime</stp>
        <tr r="M1657" s="5"/>
      </tp>
      <tp t="s">
        <v>09:57:50</v>
        <stp/>
        <stp>DBI1227MM9:LstBlkTime</stp>
        <tr r="M1660" s="5"/>
      </tp>
      <tp t="s">
        <v/>
        <stp/>
        <stp>DBI1227MM8:LstBlkTime</stp>
        <tr r="M1659" s="5"/>
      </tp>
    </main>
    <main first="esrtd">
      <tp t="s">
        <v/>
        <stp/>
        <stp>Invalid Market: 2972825746BM0 BM0-IEU</stp>
        <stp>ICE Theoretical Price</stp>
        <tr r="W1714" s="5"/>
      </tp>
    </main>
    <main first="ice.rtd">
      <tp>
        <v>56.800000000000004</v>
        <stp/>
        <stp>32623993M22:Settle</stp>
        <tr r="U2012" s="5"/>
      </tp>
      <tp>
        <v>55.800000000000004</v>
        <stp/>
        <stp>32623993M23:Settle</stp>
        <tr r="U2013" s="5"/>
      </tp>
      <tp>
        <v>59.800000000000004</v>
        <stp/>
        <stp>32623993M20:Settle</stp>
        <tr r="U2010" s="5"/>
      </tp>
      <tp>
        <v>58.800000000000004</v>
        <stp/>
        <stp>32623993M21:Settle</stp>
        <tr r="U2011" s="5"/>
      </tp>
      <tp>
        <v>54.800000000000004</v>
        <stp/>
        <stp>32623993M24:Settle</stp>
        <tr r="U2014" s="5"/>
      </tp>
      <tp>
        <v>80.75</v>
        <stp/>
        <stp>32623993M12:Settle</stp>
        <tr r="U2002" s="5"/>
      </tp>
      <tp>
        <v>80.150000000000006</v>
        <stp/>
        <stp>32623993M13:Settle</stp>
        <tr r="U2003" s="5"/>
      </tp>
      <tp>
        <v>85.45</v>
        <stp/>
        <stp>32623993M10:Settle</stp>
        <tr r="U2000" s="5"/>
      </tp>
      <tp>
        <v>81.95</v>
        <stp/>
        <stp>32623993M11:Settle</stp>
        <tr r="U2001" s="5"/>
      </tp>
      <tp>
        <v>75.8</v>
        <stp/>
        <stp>32623993M16:Settle</stp>
        <tr r="U2006" s="5"/>
      </tp>
      <tp>
        <v>72.3</v>
        <stp/>
        <stp>32623993M17:Settle</stp>
        <tr r="U2007" s="5"/>
      </tp>
      <tp>
        <v>79.25</v>
        <stp/>
        <stp>32623993M14:Settle</stp>
        <tr r="U2004" s="5"/>
      </tp>
      <tp>
        <v>77.55</v>
        <stp/>
        <stp>32623993M15:Settle</stp>
        <tr r="U2005" s="5"/>
      </tp>
      <tp>
        <v>67.05</v>
        <stp/>
        <stp>32623993M18:Settle</stp>
        <tr r="U2008" s="5"/>
      </tp>
      <tp>
        <v>61.550000000000004</v>
        <stp/>
        <stp>32623993M19:Settle</stp>
        <tr r="U2009" s="5"/>
      </tp>
      <tp>
        <v>12.570000000000007</v>
        <stp/>
        <stp>15061297MM4:Settle</stp>
        <tr r="U1687" s="5"/>
      </tp>
      <tp>
        <v>14.046999999999997</v>
        <stp/>
        <stp>15061297MM5:Settle</stp>
        <tr r="U1688" s="5"/>
      </tp>
      <tp>
        <v>18.393000000000001</v>
        <stp/>
        <stp>15061297MM6:Settle</stp>
        <tr r="U1689" s="5"/>
      </tp>
      <tp>
        <v>18.930000000000007</v>
        <stp/>
        <stp>15061297MM7:Settle</stp>
        <tr r="U1690" s="5"/>
      </tp>
      <tp>
        <v>2.3020000000000067</v>
        <stp/>
        <stp>15061297MM0:Settle</stp>
        <tr r="U1683" s="5"/>
      </tp>
      <tp>
        <v>5.4050000000000011</v>
        <stp/>
        <stp>15061297MM1:Settle</stp>
        <tr r="U1684" s="5"/>
      </tp>
      <tp>
        <v>8.2490000000000094</v>
        <stp/>
        <stp>15061297MM2:Settle</stp>
        <tr r="U1685" s="5"/>
      </tp>
      <tp>
        <v>10.545000000000002</v>
        <stp/>
        <stp>15061297MM3:Settle</stp>
        <tr r="U1686" s="5"/>
      </tp>
      <tp>
        <v>3.1029999999999944</v>
        <stp/>
        <stp>15061297MM8:Settle</stp>
        <tr r="U1691" s="5"/>
      </tp>
      <tp>
        <v>5.9470000000000027</v>
        <stp/>
        <stp>15061297MM9:Settle</stp>
        <tr r="U1692" s="5"/>
      </tp>
      <tp t="s">
        <v/>
        <stp/>
        <stp>DBI1227MM13:LstBlkVol</stp>
        <tr r="L1664" s="5"/>
      </tp>
      <tp>
        <v>140</v>
        <stp/>
        <stp>DBI1227MM23:LstBlkVol</stp>
        <tr r="L1674" s="5"/>
      </tp>
    </main>
    <main first="bofaddin.rtdserver">
      <tp t="s">
        <v>#N/A N/A</v>
        <stp/>
        <stp>BDH|84086924172994799</stp>
        <tr r="I91" s="16"/>
      </tp>
    </main>
    <main first="ice.rtd">
      <tp t="s">
        <v>Oct26</v>
        <stp/>
        <stp>34364094M1:Strip</stp>
        <tr r="E519" s="5"/>
      </tp>
      <tp t="s">
        <v>Oct26</v>
        <stp/>
        <stp>34374095M1:Strip</stp>
        <tr r="E557" s="5"/>
      </tp>
      <tp t="s">
        <v>Q1 27</v>
        <stp/>
        <stp>34364094Q1:Strip</stp>
        <tr r="E544" s="5"/>
      </tp>
      <tp t="s">
        <v>Q1 27</v>
        <stp/>
        <stp>34374095Q1:Strip</stp>
        <tr r="E582" s="5"/>
      </tp>
      <tp t="s">
        <v>Cal 28</v>
        <stp/>
        <stp>34364094Y1:Strip</stp>
        <tr r="E553" s="5"/>
      </tp>
      <tp t="s">
        <v>Cal 28</v>
        <stp/>
        <stp>34374095Y1:Strip</stp>
        <tr r="E591" s="5"/>
      </tp>
      <tp t="s">
        <v>Oct26</v>
        <stp/>
        <stp>34344092M1:Strip</stp>
        <tr r="E1264" s="5"/>
      </tp>
      <tp t="s">
        <v>Oct26</v>
        <stp/>
        <stp>34354093M1:Strip</stp>
        <tr r="E1302" s="5"/>
      </tp>
      <tp t="s">
        <v>Q1 27</v>
        <stp/>
        <stp>34344092Q1:Strip</stp>
        <tr r="E1289" s="5"/>
      </tp>
      <tp t="s">
        <v>Q1 27</v>
        <stp/>
        <stp>34354093Q1:Strip</stp>
        <tr r="E1327" s="5"/>
      </tp>
      <tp t="s">
        <v>Cal 28</v>
        <stp/>
        <stp>34344092Y1:Strip</stp>
        <tr r="E1298" s="5"/>
      </tp>
      <tp t="s">
        <v>Cal 28</v>
        <stp/>
        <stp>34354093Y1:Strip</stp>
        <tr r="E1336" s="5"/>
      </tp>
      <tp>
        <v>5.4849999999999994</v>
        <stp/>
        <stp>15061297YY0:Settle</stp>
        <tr r="U1713" s="5"/>
      </tp>
      <tp t="s">
        <v>Sep26/Jun27</v>
        <stp/>
        <stp>161913535MM7:Strip</stp>
        <tr r="E2034" s="5"/>
      </tp>
      <tp>
        <v>4.25</v>
        <stp/>
        <stp>DBI1227MM25:BstHitPrc</stp>
        <tr r="G1676" s="5"/>
      </tp>
      <tp>
        <v>2.92</v>
        <stp/>
        <stp>DBI1227MM15:BstHitPrc</stp>
        <tr r="G1666" s="5"/>
      </tp>
      <tp t="s">
        <v>Dec26</v>
        <stp/>
        <stp>30793693M3:Strip</stp>
        <tr r="E886" s="5"/>
      </tp>
      <tp t="s">
        <v>Q3 27</v>
        <stp/>
        <stp>30793693Q3:Strip</stp>
        <tr r="E911" s="5"/>
      </tp>
      <tp t="s">
        <v>Jun27</v>
        <stp/>
        <stp>3124331018M9:Strip</stp>
        <tr r="E1614" s="5"/>
      </tp>
      <tp t="s">
        <v>Oct26-Oct30 (Jan)</v>
        <stp/>
        <stp>17551596T7:Strip</stp>
        <tr r="E1544" s="5"/>
      </tp>
      <tp t="s">
        <v>Oct26</v>
        <stp/>
        <stp>34404098M1:Strip</stp>
        <tr r="E595" s="5"/>
      </tp>
      <tp t="s">
        <v>Oct26</v>
        <stp/>
        <stp>34414099M1:Strip</stp>
        <tr r="E80" s="5"/>
      </tp>
      <tp t="s">
        <v>Q1 27</v>
        <stp/>
        <stp>34404098Q1:Strip</stp>
        <tr r="E620" s="5"/>
      </tp>
      <tp t="s">
        <v>Q1 27</v>
        <stp/>
        <stp>34414099Q1:Strip</stp>
        <tr r="E105" s="5"/>
      </tp>
      <tp t="s">
        <v>Cal 28</v>
        <stp/>
        <stp>34404098Y1:Strip</stp>
        <tr r="E629" s="5"/>
      </tp>
      <tp t="s">
        <v>Cal 28</v>
        <stp/>
        <stp>34414099Y1:Strip</stp>
        <tr r="E114" s="5"/>
      </tp>
      <tp t="s">
        <v>Mar27</v>
        <stp/>
        <stp>16331513M6:Strip</stp>
        <tr r="E1421" s="5"/>
      </tp>
      <tp t="s">
        <v>Mar27</v>
        <stp/>
        <stp>16341514M6:Strip</stp>
        <tr r="E1459" s="5"/>
      </tp>
      <tp t="s">
        <v>Mar27</v>
        <stp/>
        <stp>16351515M6:Strip</stp>
        <tr r="E1497" s="5"/>
      </tp>
      <tp t="s">
        <v>Q2 28</v>
        <stp/>
        <stp>16331513Q6:Strip</stp>
        <tr r="E1446" s="5"/>
      </tp>
      <tp t="s">
        <v>Q2 28</v>
        <stp/>
        <stp>16341514Q6:Strip</stp>
        <tr r="E1484" s="5"/>
      </tp>
      <tp t="s">
        <v>Q2 28</v>
        <stp/>
        <stp>16351515Q6:Strip</stp>
        <tr r="E1522" s="5"/>
      </tp>
      <tp>
        <v>2.96</v>
        <stp/>
        <stp>DBI1227MM15:LstBlkPrc</stp>
        <tr r="K1666" s="5"/>
      </tp>
      <tp t="s">
        <v/>
        <stp/>
        <stp>DBI1227MM25:LstBlkPrc</stp>
        <tr r="K1676" s="5"/>
      </tp>
      <tp t="s">
        <v>Nov26</v>
        <stp/>
        <stp>57179020M2:Strip</stp>
        <tr r="E1549" s="5"/>
      </tp>
      <tp t="s">
        <v>Q2 27</v>
        <stp/>
        <stp>57179020Q2:Strip</stp>
        <tr r="E1574" s="5"/>
      </tp>
      <tp>
        <v>7.0679999999999978</v>
        <stp/>
        <stp>15061297QQ0:Settle</stp>
        <tr r="U1711" s="5"/>
      </tp>
      <tp>
        <v>3.8269999999999982</v>
        <stp/>
        <stp>15061297QQ1:Settle</stp>
        <tr r="U1712" s="5"/>
      </tp>
      <tp t="s">
        <v>Oct5-Oct9 (Dec)</v>
        <stp/>
        <stp>15141311T3:Strip</stp>
        <tr r="E1531" s="5"/>
      </tp>
      <tp t="s">
        <v>Dec26</v>
        <stp/>
        <stp>15091310M3:Strip</stp>
        <tr r="E1380" s="5"/>
      </tp>
      <tp t="s">
        <v>Q3 27</v>
        <stp/>
        <stp>15091310Q3:Strip</stp>
        <tr r="E1405" s="5"/>
      </tp>
      <tp t="s">
        <v>Oct26</v>
        <stp/>
        <stp>35534143M1:Strip</stp>
        <tr r="E709" s="5"/>
      </tp>
      <tp t="s">
        <v>Oct26</v>
        <stp/>
        <stp>35544144M1:Strip</stp>
        <tr r="E633" s="5"/>
      </tp>
      <tp t="s">
        <v>Oct26</v>
        <stp/>
        <stp>35554145M1:Strip</stp>
        <tr r="E671" s="5"/>
      </tp>
      <tp t="s">
        <v>Dec26</v>
        <stp/>
        <stp>30813691M3:Strip</stp>
        <tr r="E1956" s="5"/>
      </tp>
      <tp t="s">
        <v>Q3 27</v>
        <stp/>
        <stp>30813691Q3:Strip</stp>
        <tr r="E1981" s="5"/>
      </tp>
      <tp t="s">
        <v>Q1 27</v>
        <stp/>
        <stp>35534143Q1:Strip</stp>
        <tr r="E734" s="5"/>
      </tp>
      <tp t="s">
        <v>Q1 27</v>
        <stp/>
        <stp>35544144Q1:Strip</stp>
        <tr r="E658" s="5"/>
      </tp>
      <tp t="s">
        <v>Q1 27</v>
        <stp/>
        <stp>35554145Q1:Strip</stp>
        <tr r="E696" s="5"/>
      </tp>
      <tp t="s">
        <v>Cal 28</v>
        <stp/>
        <stp>35534143Y1:Strip</stp>
        <tr r="E743" s="5"/>
      </tp>
      <tp t="s">
        <v>Cal 28</v>
        <stp/>
        <stp>35544144Y1:Strip</stp>
        <tr r="E667" s="5"/>
      </tp>
      <tp t="s">
        <v>Cal 28</v>
        <stp/>
        <stp>35554145Y1:Strip</stp>
        <tr r="E705" s="5"/>
      </tp>
      <tp t="s">
        <v>Feb27</v>
        <stp/>
        <stp>1840020882M5:Strip</stp>
        <tr r="E1587" s="5"/>
      </tp>
      <tp t="s">
        <v>Nov26</v>
        <stp/>
        <stp>57409036M2:Strip</stp>
        <tr r="E233" s="5"/>
      </tp>
      <tp t="s">
        <v>Cal 29</v>
        <stp/>
        <stp>57409036Y2:Strip</stp>
        <tr r="E267" s="5"/>
      </tp>
      <tp t="s">
        <v>Q2 27</v>
        <stp/>
        <stp>57409036Q2:Strip</stp>
        <tr r="E258" s="5"/>
      </tp>
      <tp t="s">
        <v>Q4 28</v>
        <stp/>
        <stp>2427026287Q8:Strip</stp>
        <tr r="E1182" s="5"/>
      </tp>
      <tp t="s">
        <v>May27</v>
        <stp/>
        <stp>2427026287M8:Strip</stp>
        <tr r="E1157" s="5"/>
      </tp>
      <tp t="s">
        <v>Nov26</v>
        <stp/>
        <stp>46678127M2:Strip</stp>
        <tr r="E347" s="5"/>
      </tp>
      <tp t="s">
        <v>Invalid Market: 46678127Y2</v>
        <stp/>
        <stp>46678127Y2:Strip</stp>
        <tr r="E381" s="5"/>
      </tp>
      <tp t="s">
        <v>Q2 27</v>
        <stp/>
        <stp>46678127Q2:Strip</stp>
        <tr r="E372" s="5"/>
      </tp>
      <tp t="s">
        <v>Q4 28</v>
        <stp/>
        <stp>2427126288Q8:Strip</stp>
        <tr r="E1068" s="5"/>
      </tp>
      <tp t="s">
        <v>May27</v>
        <stp/>
        <stp>2427126288M8:Strip</stp>
        <tr r="E1043" s="5"/>
      </tp>
      <tp t="s">
        <v>Nov26/Jun27</v>
        <stp/>
        <stp>366531MM23:Strip</stp>
        <tr r="E1738" s="5"/>
      </tp>
      <tp t="s">
        <v>Oct26/Feb27</v>
        <stp/>
        <stp>366531MM13:Strip</stp>
        <tr r="E1728" s="5"/>
      </tp>
      <tp t="s">
        <v>ULE</v>
        <stp/>
        <stp>34364094Q6:PCC</stp>
        <tr r="B549" s="5"/>
      </tp>
      <tp t="s">
        <v>ULF</v>
        <stp/>
        <stp>34374095Q6:PCC</stp>
        <tr r="B587" s="5"/>
      </tp>
      <tp t="s">
        <v>ULE</v>
        <stp/>
        <stp>34364094Q7:PCC</stp>
        <tr r="B550" s="5"/>
      </tp>
      <tp t="s">
        <v>ULF</v>
        <stp/>
        <stp>34374095Q7:PCC</stp>
        <tr r="B588" s="5"/>
      </tp>
      <tp t="s">
        <v>ULE</v>
        <stp/>
        <stp>34364094Q4:PCC</stp>
        <tr r="B547" s="5"/>
      </tp>
      <tp t="s">
        <v>ULF</v>
        <stp/>
        <stp>34374095Q4:PCC</stp>
        <tr r="B585" s="5"/>
      </tp>
      <tp t="s">
        <v>ULE</v>
        <stp/>
        <stp>34364094Q5:PCC</stp>
        <tr r="B548" s="5"/>
      </tp>
      <tp t="s">
        <v>ULF</v>
        <stp/>
        <stp>34374095Q5:PCC</stp>
        <tr r="B586" s="5"/>
      </tp>
      <tp t="s">
        <v>ULE</v>
        <stp/>
        <stp>34364094Q2:PCC</stp>
        <tr r="B545" s="5"/>
      </tp>
      <tp t="s">
        <v>ULF</v>
        <stp/>
        <stp>34374095Q2:PCC</stp>
        <tr r="B583" s="5"/>
      </tp>
      <tp t="s">
        <v>ULE</v>
        <stp/>
        <stp>34364094Q3:PCC</stp>
        <tr r="B546" s="5"/>
      </tp>
      <tp t="s">
        <v>ULF</v>
        <stp/>
        <stp>34374095Q3:PCC</stp>
        <tr r="B584" s="5"/>
      </tp>
      <tp t="s">
        <v>ULE</v>
        <stp/>
        <stp>34364094Q0:PCC</stp>
        <tr r="B543" s="5"/>
      </tp>
      <tp t="s">
        <v>ULF</v>
        <stp/>
        <stp>34374095Q0:PCC</stp>
        <tr r="B581" s="5"/>
      </tp>
      <tp t="s">
        <v>ULE</v>
        <stp/>
        <stp>34364094Q1:PCC</stp>
        <tr r="B544" s="5"/>
      </tp>
      <tp t="s">
        <v>ULF</v>
        <stp/>
        <stp>34374095Q1:PCC</stp>
        <tr r="B582" s="5"/>
      </tp>
      <tp t="s">
        <v>ULE</v>
        <stp/>
        <stp>34364094Q8:PCC</stp>
        <tr r="B551" s="5"/>
      </tp>
      <tp t="s">
        <v>ULF</v>
        <stp/>
        <stp>34374095Q8:PCC</stp>
        <tr r="B589" s="5"/>
      </tp>
    </main>
    <main first="bofaddin.rtdserver">
      <tp t="s">
        <v>#N/A</v>
        <stp/>
        <stp>BDP|2276229614957514926|222</stp>
        <stp>MUCZ7F8 Comdty</stp>
        <stp>ASK</stp>
        <stp>Fill=#N/A</stp>
        <tr r="S35" s="1"/>
      </tp>
    </main>
    <main first="ice.rtd">
      <tp t="s">
        <v>JOE</v>
        <stp/>
        <stp>18871685Q8:PCC</stp>
        <tr r="B454" s="5"/>
      </tp>
      <tp t="s">
        <v>JOE</v>
        <stp/>
        <stp>18871685Q4:PCC</stp>
        <tr r="B450" s="5"/>
      </tp>
      <tp t="s">
        <v>JOE</v>
        <stp/>
        <stp>18871685Q5:PCC</stp>
        <tr r="B451" s="5"/>
      </tp>
      <tp t="s">
        <v>JOE</v>
        <stp/>
        <stp>18871685Q6:PCC</stp>
        <tr r="B452" s="5"/>
      </tp>
      <tp t="s">
        <v>JOE</v>
        <stp/>
        <stp>18871685Q7:PCC</stp>
        <tr r="B453" s="5"/>
      </tp>
      <tp t="s">
        <v>JOE</v>
        <stp/>
        <stp>18871685Q0:PCC</stp>
        <tr r="B446" s="5"/>
      </tp>
      <tp t="s">
        <v>JOE</v>
        <stp/>
        <stp>18871685Q1:PCC</stp>
        <tr r="B447" s="5"/>
      </tp>
      <tp t="s">
        <v>JOE</v>
        <stp/>
        <stp>18871685Q2:PCC</stp>
        <tr r="B448" s="5"/>
      </tp>
      <tp t="s">
        <v>JOE</v>
        <stp/>
        <stp>18871685Q3:PCC</stp>
        <tr r="B449" s="5"/>
      </tp>
    </main>
    <main first="bofaddin.rtdserver">
      <tp t="s">
        <v>#N/A</v>
        <stp/>
        <stp>BDP|1501410991391862314|222</stp>
        <stp>OQAK8M8 Comdty</stp>
        <stp>ASK</stp>
        <stp>Fill=#N/A</stp>
        <tr r="T40" s="1"/>
      </tp>
    </main>
    <main first="ice.rtd">
      <tp t="s">
        <v>ULE</v>
        <stp/>
        <stp>34364094Y2:PCC</stp>
        <tr r="B554" s="5"/>
      </tp>
      <tp t="s">
        <v>ULF</v>
        <stp/>
        <stp>34374095Y2:PCC</stp>
        <tr r="B592" s="5"/>
      </tp>
      <tp t="s">
        <v>ULE</v>
        <stp/>
        <stp>34364094Y0:PCC</stp>
        <tr r="B552" s="5"/>
      </tp>
      <tp t="s">
        <v>ULF</v>
        <stp/>
        <stp>34374095Y0:PCC</stp>
        <tr r="B590" s="5"/>
      </tp>
      <tp t="s">
        <v>ULE</v>
        <stp/>
        <stp>34364094Y1:PCC</stp>
        <tr r="B553" s="5"/>
      </tp>
      <tp t="s">
        <v>ULF</v>
        <stp/>
        <stp>34374095Y1:PCC</stp>
        <tr r="B591" s="5"/>
      </tp>
      <tp t="s">
        <v/>
        <stp/>
        <stp>2888129698B0:LstPrc</stp>
        <tr r="I1110" s="5"/>
      </tp>
      <tp t="s">
        <v>JOE</v>
        <stp/>
        <stp>18871685Y0:PCC</stp>
        <tr r="B455" s="5"/>
      </tp>
      <tp t="s">
        <v>JOE</v>
        <stp/>
        <stp>18871685Y1:PCC</stp>
        <tr r="B456" s="5"/>
      </tp>
      <tp t="s">
        <v>Invalid Market: 18871685Y2</v>
        <stp/>
        <stp>18871685Y2:PCC</stp>
        <tr r="B457" s="5"/>
      </tp>
      <tp t="s">
        <v/>
        <stp/>
        <stp>2427026287Y1:LstPrc</stp>
        <tr r="I1184" s="5"/>
      </tp>
      <tp t="s">
        <v/>
        <stp/>
        <stp>2427026287Y0:LstPrc</stp>
        <tr r="I1183" s="5"/>
      </tp>
      <tp t="s">
        <v/>
        <stp/>
        <stp>2427026287Y2:LstPrc</stp>
        <tr r="I1185" s="5"/>
      </tp>
      <tp t="s">
        <v/>
        <stp/>
        <stp>2427026287Q8:LstPrc</stp>
        <tr r="I1182" s="5"/>
      </tp>
      <tp t="s">
        <v/>
        <stp/>
        <stp>2427026287Q1:LstPrc</stp>
        <tr r="I1175" s="5"/>
      </tp>
      <tp t="s">
        <v/>
        <stp/>
        <stp>2427026287Q0:LstPrc</stp>
        <tr r="I1174" s="5"/>
      </tp>
      <tp t="s">
        <v/>
        <stp/>
        <stp>2427026287Q3:LstPrc</stp>
        <tr r="I1177" s="5"/>
      </tp>
      <tp t="s">
        <v/>
        <stp/>
        <stp>2427026287Q2:LstPrc</stp>
        <tr r="I1176" s="5"/>
      </tp>
      <tp t="s">
        <v/>
        <stp/>
        <stp>2427026287Q5:LstPrc</stp>
        <tr r="I1179" s="5"/>
      </tp>
      <tp t="s">
        <v/>
        <stp/>
        <stp>2427026287Q4:LstPrc</stp>
        <tr r="I1178" s="5"/>
      </tp>
      <tp t="s">
        <v/>
        <stp/>
        <stp>2427026287Q7:LstPrc</stp>
        <tr r="I1181" s="5"/>
      </tp>
      <tp t="s">
        <v/>
        <stp/>
        <stp>2427026287Q6:LstPrc</stp>
        <tr r="I1180" s="5"/>
      </tp>
      <tp t="s">
        <v/>
        <stp/>
        <stp>2427026287M9:LstPrc</stp>
        <tr r="I1158" s="5"/>
      </tp>
      <tp t="s">
        <v/>
        <stp/>
        <stp>2427026287M8:LstPrc</stp>
        <tr r="I1157" s="5"/>
      </tp>
      <tp>
        <v>19.399999999999999</v>
        <stp/>
        <stp>2427026287M1:LstPrc</stp>
        <tr r="I1150" s="5"/>
      </tp>
      <tp t="s">
        <v/>
        <stp/>
        <stp>2427026287M0:LstPrc</stp>
        <tr r="I1149" s="5"/>
      </tp>
      <tp t="s">
        <v/>
        <stp/>
        <stp>2427026287M3:LstPrc</stp>
        <tr r="I1152" s="5"/>
      </tp>
      <tp>
        <v>16.600000000000001</v>
        <stp/>
        <stp>2427026287M2:LstPrc</stp>
        <tr r="I1151" s="5"/>
      </tp>
      <tp t="s">
        <v/>
        <stp/>
        <stp>2427026287M5:LstPrc</stp>
        <tr r="I1154" s="5"/>
      </tp>
      <tp t="s">
        <v/>
        <stp/>
        <stp>2427026287M4:LstPrc</stp>
        <tr r="I1153" s="5"/>
      </tp>
      <tp t="s">
        <v/>
        <stp/>
        <stp>2427026287M7:LstPrc</stp>
        <tr r="I1156" s="5"/>
      </tp>
      <tp t="s">
        <v/>
        <stp/>
        <stp>2427026287M6:LstPrc</stp>
        <tr r="I1155" s="5"/>
      </tp>
      <tp t="s">
        <v/>
        <stp/>
        <stp>2324925610B0:LstPrc</stp>
        <tr r="I882" s="5"/>
      </tp>
    </main>
    <main first="bofaddin.rtdserver">
      <tp t="s">
        <v>#N/A Invalid Security</v>
        <stp/>
        <stp>BDP|710736656943763817|222</stp>
        <stp>HON0HOQ0 Comdty</stp>
        <stp>ASK</stp>
        <stp>Fill=#N/A</stp>
        <tr r="Q66" s="1"/>
      </tp>
    </main>
    <main first="ice.rtd">
      <tp t="s">
        <v/>
        <stp/>
        <stp>2181024583B0:LstPrc</stp>
        <tr r="I1990" s="5"/>
      </tp>
    </main>
    <main first="bofaddin.rtdserver">
      <tp t="s">
        <v>#N/A N/A</v>
        <stp/>
        <stp>BDH|9707323657003132793</stp>
        <tr r="AX60" s="1"/>
      </tp>
      <tp t="s">
        <v>#N/A N/A</v>
        <stp/>
        <stp>BDH|5225780962856309913</stp>
        <tr r="AV19" s="1"/>
      </tp>
      <tp t="s">
        <v>#N/A N/A</v>
        <stp/>
        <stp>BDH|6019620657399688792</stp>
        <tr r="L87" s="16"/>
      </tp>
      <tp t="s">
        <v>#N/A N/A</v>
        <stp/>
        <stp>BDH|3994759770489505111</stp>
        <tr r="D51" s="14"/>
      </tp>
      <tp t="s">
        <v>#N/A N/A</v>
        <stp/>
        <stp>BDH|8036382113069501866</stp>
        <tr r="AY25" s="1"/>
      </tp>
      <tp t="s">
        <v>#N/A N/A</v>
        <stp/>
        <stp>BDH|2057098281402654366</stp>
        <tr r="J94" s="16"/>
      </tp>
      <tp t="s">
        <v>#N/A N/A</v>
        <stp/>
        <stp>BDH|8115570515315228285</stp>
        <tr r="J22" s="14"/>
      </tp>
      <tp t="s">
        <v>#N/A N/A</v>
        <stp/>
        <stp>BDH|7568786294811704376</stp>
        <tr r="BC45" s="1"/>
        <tr r="BC45" s="1"/>
      </tp>
      <tp t="s">
        <v>#N/A Requesting Data...4155123533</v>
        <stp/>
        <stp>BDP|7004825686848346484</stp>
        <tr r="K26" s="23"/>
      </tp>
      <tp t="s">
        <v>#N/A N/A</v>
        <stp/>
        <stp>BDH|5354985573231707101</stp>
        <tr r="AZ60" s="1"/>
      </tp>
      <tp t="s">
        <v>#N/A N/A</v>
        <stp/>
        <stp>BDH|2317640453782946811</stp>
        <tr r="AV39" s="1"/>
      </tp>
      <tp t="s">
        <v>#N/A N/A</v>
        <stp/>
        <stp>BDH|3479082217221296852</stp>
        <tr r="N34" s="16"/>
      </tp>
      <tp t="s">
        <v>#N/A N/A</v>
        <stp/>
        <stp>BDH|2795529194333532698</stp>
        <tr r="H35" s="16"/>
      </tp>
      <tp t="s">
        <v>#N/A Requesting Data...3471755195</v>
        <stp/>
        <stp>BDP|2347710434329638427</stp>
        <tr r="AW34" s="23"/>
      </tp>
      <tp t="s">
        <v>#N/A N/A</v>
        <stp/>
        <stp>BDH|4021896514632712488</stp>
        <tr r="AX25" s="1"/>
      </tp>
      <tp t="s">
        <v>#N/A N/A</v>
        <stp/>
        <stp>BDH|8786773251170356105</stp>
        <tr r="AY45" s="1"/>
      </tp>
      <tp t="s">
        <v>#N/A N/A</v>
        <stp/>
        <stp>BDH|6172019144808616117</stp>
        <tr r="AV52" s="1"/>
      </tp>
    </main>
    <main first="ice.rtd">
      <tp t="s">
        <v>JOE</v>
        <stp/>
        <stp>18871685M8:PCC</stp>
        <tr r="B429" s="5"/>
      </tp>
      <tp t="s">
        <v>JOE</v>
        <stp/>
        <stp>18871685M9:PCC</stp>
        <tr r="B430" s="5"/>
      </tp>
    </main>
    <main first="bofaddin.rtdserver">
      <tp t="s">
        <v>#N/A N/A</v>
        <stp/>
        <stp>BDH|3234700393283241503</stp>
        <tr r="BA64" s="1"/>
        <tr r="BA64" s="1"/>
      </tp>
    </main>
    <main first="ice.rtd">
      <tp t="s">
        <v>JOE</v>
        <stp/>
        <stp>18871685M4:PCC</stp>
        <tr r="B425" s="5"/>
      </tp>
      <tp t="s">
        <v>JOE</v>
        <stp/>
        <stp>18871685M5:PCC</stp>
        <tr r="B426" s="5"/>
      </tp>
    </main>
    <main first="ice.rtd">
      <tp t="s">
        <v>JOE</v>
        <stp/>
        <stp>18871685M6:PCC</stp>
        <tr r="B427" s="5"/>
      </tp>
      <tp t="s">
        <v>JOE</v>
        <stp/>
        <stp>18871685M7:PCC</stp>
        <tr r="B428" s="5"/>
      </tp>
      <tp t="s">
        <v>JOE</v>
        <stp/>
        <stp>18871685M0:PCC</stp>
        <tr r="B421" s="5"/>
      </tp>
    </main>
    <main first="bofaddin.rtdserver">
      <tp t="s">
        <v>#N/A N/A</v>
        <stp/>
        <stp>BDH|1746836525560383012</stp>
        <tr r="AV38" s="1"/>
      </tp>
    </main>
    <main first="ice.rtd">
      <tp t="s">
        <v>JOE</v>
        <stp/>
        <stp>18871685M1:PCC</stp>
        <tr r="B422" s="5"/>
      </tp>
      <tp t="s">
        <v>JOE</v>
        <stp/>
        <stp>18871685M2:PCC</stp>
        <tr r="B423" s="5"/>
      </tp>
      <tp t="s">
        <v>JOE</v>
        <stp/>
        <stp>18871685M3:PCC</stp>
        <tr r="B424" s="5"/>
      </tp>
    </main>
    <main first="bofaddin.rtdserver">
      <tp t="s">
        <v>#N/A N/A</v>
        <stp/>
        <stp>BDH|8621595779407743611</stp>
        <tr r="H52" s="16"/>
      </tp>
      <tp t="s">
        <v>#N/A N/A</v>
        <stp/>
        <stp>BDH|1783245123079968392</stp>
        <tr r="AW37" s="1"/>
      </tp>
      <tp t="s">
        <v>#N/A N/A</v>
        <stp/>
        <stp>BDH|6662828229574881345</stp>
        <tr r="BB47" s="1"/>
      </tp>
      <tp t="s">
        <v>#N/A N/A</v>
        <stp/>
        <stp>BDH|2749956844193072704</stp>
        <tr r="BB45" s="1"/>
      </tp>
      <tp t="s">
        <v>#N/A N/A</v>
        <stp/>
        <stp>BDH|9710412818304174393</stp>
        <tr r="J14" s="14"/>
      </tp>
      <tp t="s">
        <v>#N/A N/A</v>
        <stp/>
        <stp>BDH|6938042495091676589</stp>
        <tr r="AY21" s="1"/>
      </tp>
      <tp t="s">
        <v>#N/A Requesting Data...4258586935</v>
        <stp/>
        <stp>BDP|7174751350727668958</stp>
        <tr r="M9" s="21"/>
      </tp>
      <tp t="s">
        <v>#N/A N/A</v>
        <stp/>
        <stp>BDH|8143617853081081144</stp>
        <tr r="H39" s="16"/>
      </tp>
    </main>
    <main first="ice.rtd">
      <tp t="s">
        <v>ULE</v>
        <stp/>
        <stp>34364094M6:PCC</stp>
        <tr r="B524" s="5"/>
      </tp>
      <tp t="s">
        <v>ULF</v>
        <stp/>
        <stp>34374095M6:PCC</stp>
        <tr r="B562" s="5"/>
      </tp>
    </main>
    <main first="bofaddin.rtdserver">
      <tp t="s">
        <v>#N/A N/A</v>
        <stp/>
        <stp>BDH|2645687546399840245</stp>
        <tr r="N86" s="16"/>
      </tp>
    </main>
    <main first="ice.rtd">
      <tp t="s">
        <v>ULE</v>
        <stp/>
        <stp>34364094M7:PCC</stp>
        <tr r="B525" s="5"/>
      </tp>
      <tp t="s">
        <v>ULF</v>
        <stp/>
        <stp>34374095M7:PCC</stp>
        <tr r="B563" s="5"/>
      </tp>
    </main>
    <main first="bofaddin.rtdserver">
      <tp t="s">
        <v>#N/A N/A</v>
        <stp/>
        <stp>BDH|1816298792937542624</stp>
        <tr r="AW50" s="1"/>
      </tp>
    </main>
    <main first="ice.rtd">
      <tp t="s">
        <v>ULE</v>
        <stp/>
        <stp>34364094M4:PCC</stp>
        <tr r="B522" s="5"/>
      </tp>
      <tp t="s">
        <v>ULF</v>
        <stp/>
        <stp>34374095M4:PCC</stp>
        <tr r="B560" s="5"/>
      </tp>
      <tp t="s">
        <v>ULE</v>
        <stp/>
        <stp>34364094M5:PCC</stp>
        <tr r="B523" s="5"/>
      </tp>
      <tp t="s">
        <v>ULF</v>
        <stp/>
        <stp>34374095M5:PCC</stp>
        <tr r="B561" s="5"/>
      </tp>
      <tp t="s">
        <v>ULE</v>
        <stp/>
        <stp>34364094M2:PCC</stp>
        <tr r="B520" s="5"/>
      </tp>
      <tp t="s">
        <v>ULF</v>
        <stp/>
        <stp>34374095M2:PCC</stp>
        <tr r="B558" s="5"/>
      </tp>
      <tp t="s">
        <v>ULE</v>
        <stp/>
        <stp>34364094M3:PCC</stp>
        <tr r="B521" s="5"/>
      </tp>
      <tp t="s">
        <v>ULF</v>
        <stp/>
        <stp>34374095M3:PCC</stp>
        <tr r="B559" s="5"/>
      </tp>
      <tp t="s">
        <v>ULE</v>
        <stp/>
        <stp>34364094M0:PCC</stp>
        <tr r="B518" s="5"/>
      </tp>
      <tp t="s">
        <v>ULF</v>
        <stp/>
        <stp>34374095M0:PCC</stp>
        <tr r="B556" s="5"/>
      </tp>
      <tp t="s">
        <v>ULE</v>
        <stp/>
        <stp>34364094M1:PCC</stp>
        <tr r="B519" s="5"/>
      </tp>
      <tp t="s">
        <v>ULF</v>
        <stp/>
        <stp>34374095M1:PCC</stp>
        <tr r="B557" s="5"/>
      </tp>
    </main>
    <main first="bofaddin.rtdserver">
      <tp t="s">
        <v>#N/A N/A</v>
        <stp/>
        <stp>BDH|7555118939967808918</stp>
        <tr r="D9" s="14"/>
        <tr r="J24" s="14"/>
      </tp>
    </main>
    <main first="ice.rtd">
      <tp t="s">
        <v>ULE</v>
        <stp/>
        <stp>34364094M8:PCC</stp>
        <tr r="B526" s="5"/>
      </tp>
      <tp t="s">
        <v>ULF</v>
        <stp/>
        <stp>34374095M8:PCC</stp>
        <tr r="B564" s="5"/>
      </tp>
      <tp t="s">
        <v>ULE</v>
        <stp/>
        <stp>34364094M9:PCC</stp>
        <tr r="B527" s="5"/>
      </tp>
      <tp t="s">
        <v>ULF</v>
        <stp/>
        <stp>34374095M9:PCC</stp>
        <tr r="B565" s="5"/>
      </tp>
      <tp>
        <v>0</v>
        <stp/>
        <stp>2181724590B0:BlkVol</stp>
        <tr r="O1414" s="5"/>
      </tp>
    </main>
    <main first="bofaddin.rtdserver">
      <tp t="s">
        <v>#N/A N/A</v>
        <stp/>
        <stp>BDH|3558968119443733389</stp>
        <tr r="BA57" s="1"/>
        <tr r="BA57" s="1"/>
      </tp>
      <tp t="s">
        <v>#N/A N/A</v>
        <stp/>
        <stp>BDH|8217761991985196814</stp>
        <tr r="AZ33" s="1"/>
      </tp>
    </main>
    <main first="ice.rtd">
      <tp>
        <v>0</v>
        <stp/>
        <stp>29243602Q4:BlkVol</stp>
        <tr r="O766" s="5"/>
      </tp>
      <tp>
        <v>0</v>
        <stp/>
        <stp>29243602Q1:BlkVol</stp>
        <tr r="O763" s="5"/>
      </tp>
      <tp>
        <v>0</v>
        <stp/>
        <stp>29243602Q0:BlkVol</stp>
        <tr r="O762" s="5"/>
      </tp>
      <tp>
        <v>0</v>
        <stp/>
        <stp>29243602Q3:BlkVol</stp>
        <tr r="O765" s="5"/>
      </tp>
      <tp>
        <v>0</v>
        <stp/>
        <stp>29243602Q2:BlkVol</stp>
        <tr r="O764" s="5"/>
      </tp>
      <tp>
        <v>0</v>
        <stp/>
        <stp>29243602Y0:BlkVol</stp>
        <tr r="O767" s="5"/>
      </tp>
      <tp>
        <v>0</v>
        <stp/>
        <stp>29243602M5:BlkVol</stp>
        <tr r="O751" s="5"/>
      </tp>
      <tp>
        <v>0</v>
        <stp/>
        <stp>29243602M4:BlkVol</stp>
        <tr r="O750" s="5"/>
      </tp>
      <tp>
        <v>0</v>
        <stp/>
        <stp>29243602M7:BlkVol</stp>
        <tr r="O753" s="5"/>
      </tp>
      <tp>
        <v>0</v>
        <stp/>
        <stp>29243602M6:BlkVol</stp>
        <tr r="O752" s="5"/>
      </tp>
      <tp>
        <v>0</v>
        <stp/>
        <stp>29243602M1:BlkVol</stp>
        <tr r="O747" s="5"/>
      </tp>
      <tp>
        <v>0</v>
        <stp/>
        <stp>29243602M0:BlkVol</stp>
        <tr r="O746" s="5"/>
      </tp>
      <tp>
        <v>0</v>
        <stp/>
        <stp>29243602M3:BlkVol</stp>
        <tr r="O749" s="5"/>
      </tp>
      <tp>
        <v>0</v>
        <stp/>
        <stp>29243602M2:BlkVol</stp>
        <tr r="O748" s="5"/>
      </tp>
      <tp>
        <v>0</v>
        <stp/>
        <stp>29243602M9:BlkVol</stp>
        <tr r="O755" s="5"/>
      </tp>
      <tp>
        <v>0</v>
        <stp/>
        <stp>29243602M8:BlkVol</stp>
        <tr r="O754" s="5"/>
      </tp>
    </main>
    <main first="bofaddin.rtdserver">
      <tp>
        <v>338.04</v>
        <stp/>
        <stp>BDP|15518302025027491815|222</stp>
        <stp>HOU7 Comdty</stp>
        <stp>BID</stp>
        <stp>Fill=#N/A</stp>
        <tr r="I31" s="1"/>
      </tp>
    </main>
    <main first="ice.rtd">
      <tp>
        <v>0</v>
        <stp/>
        <stp>16331513Q8:BlkVol</stp>
        <tr r="O1448" s="5"/>
      </tp>
      <tp>
        <v>0</v>
        <stp/>
        <stp>16341514Q8:BlkVol</stp>
        <tr r="O1486" s="5"/>
      </tp>
      <tp>
        <v>0</v>
        <stp/>
        <stp>16351515Q8:BlkVol</stp>
        <tr r="O1524" s="5"/>
      </tp>
      <tp>
        <v>0</v>
        <stp/>
        <stp>16331513Q1:BlkVol</stp>
        <tr r="O1441" s="5"/>
      </tp>
      <tp>
        <v>0</v>
        <stp/>
        <stp>16341514Q1:BlkVol</stp>
        <tr r="O1479" s="5"/>
      </tp>
      <tp>
        <v>0</v>
        <stp/>
        <stp>16351515Q1:BlkVol</stp>
        <tr r="O1517" s="5"/>
      </tp>
      <tp>
        <v>0</v>
        <stp/>
        <stp>16331513Q0:BlkVol</stp>
        <tr r="O1440" s="5"/>
      </tp>
      <tp>
        <v>0</v>
        <stp/>
        <stp>16341514Q0:BlkVol</stp>
        <tr r="O1478" s="5"/>
      </tp>
      <tp>
        <v>0</v>
        <stp/>
        <stp>16351515Q0:BlkVol</stp>
        <tr r="O1516" s="5"/>
      </tp>
      <tp>
        <v>0</v>
        <stp/>
        <stp>16331513Q3:BlkVol</stp>
        <tr r="O1443" s="5"/>
      </tp>
      <tp>
        <v>0</v>
        <stp/>
        <stp>16341514Q3:BlkVol</stp>
        <tr r="O1481" s="5"/>
      </tp>
      <tp>
        <v>0</v>
        <stp/>
        <stp>16351515Q3:BlkVol</stp>
        <tr r="O1519" s="5"/>
      </tp>
      <tp>
        <v>0</v>
        <stp/>
        <stp>16331513Q2:BlkVol</stp>
        <tr r="O1442" s="5"/>
      </tp>
      <tp>
        <v>0</v>
        <stp/>
        <stp>16341514Q2:BlkVol</stp>
        <tr r="O1480" s="5"/>
      </tp>
      <tp>
        <v>0</v>
        <stp/>
        <stp>16351515Q2:BlkVol</stp>
        <tr r="O1518" s="5"/>
      </tp>
      <tp>
        <v>0</v>
        <stp/>
        <stp>16331513Q5:BlkVol</stp>
        <tr r="O1445" s="5"/>
      </tp>
      <tp>
        <v>0</v>
        <stp/>
        <stp>16341514Q5:BlkVol</stp>
        <tr r="O1483" s="5"/>
      </tp>
      <tp>
        <v>0</v>
        <stp/>
        <stp>16351515Q5:BlkVol</stp>
        <tr r="O1521" s="5"/>
      </tp>
      <tp>
        <v>0</v>
        <stp/>
        <stp>16331513Q4:BlkVol</stp>
        <tr r="O1444" s="5"/>
      </tp>
      <tp>
        <v>0</v>
        <stp/>
        <stp>16341514Q4:BlkVol</stp>
        <tr r="O1482" s="5"/>
      </tp>
      <tp>
        <v>0</v>
        <stp/>
        <stp>16351515Q4:BlkVol</stp>
        <tr r="O1520" s="5"/>
      </tp>
      <tp>
        <v>0</v>
        <stp/>
        <stp>16331513Q7:BlkVol</stp>
        <tr r="O1447" s="5"/>
      </tp>
      <tp>
        <v>0</v>
        <stp/>
        <stp>16341514Q7:BlkVol</stp>
        <tr r="O1485" s="5"/>
      </tp>
      <tp>
        <v>0</v>
        <stp/>
        <stp>16351515Q7:BlkVol</stp>
        <tr r="O1523" s="5"/>
      </tp>
      <tp>
        <v>0</v>
        <stp/>
        <stp>16331513Q6:BlkVol</stp>
        <tr r="O1446" s="5"/>
      </tp>
      <tp>
        <v>0</v>
        <stp/>
        <stp>16341514Q6:BlkVol</stp>
        <tr r="O1484" s="5"/>
      </tp>
      <tp>
        <v>0</v>
        <stp/>
        <stp>16351515Q6:BlkVol</stp>
        <tr r="O1522" s="5"/>
      </tp>
    </main>
    <main first="bofaddin.rtdserver">
      <tp t="s">
        <v>#N/A</v>
        <stp/>
        <stp>BDP|15069947799077368084|222</stp>
        <stp>XBV8 Comdty</stp>
        <stp>ASK</stp>
        <stp>Fill=#N/A</stp>
        <tr r="J44" s="1"/>
      </tp>
    </main>
    <main first="ice.rtd">
      <tp>
        <v>0</v>
        <stp/>
        <stp>16331513Y1:BlkVol</stp>
        <tr r="O1450" s="5"/>
      </tp>
      <tp>
        <v>0</v>
        <stp/>
        <stp>16341514Y1:BlkVol</stp>
        <tr r="O1488" s="5"/>
      </tp>
      <tp>
        <v>0</v>
        <stp/>
        <stp>16351515Y1:BlkVol</stp>
        <tr r="O1526" s="5"/>
      </tp>
      <tp>
        <v>0</v>
        <stp/>
        <stp>16331513Y0:BlkVol</stp>
        <tr r="O1449" s="5"/>
      </tp>
      <tp>
        <v>0</v>
        <stp/>
        <stp>16341514Y0:BlkVol</stp>
        <tr r="O1487" s="5"/>
      </tp>
      <tp>
        <v>0</v>
        <stp/>
        <stp>16351515Y0:BlkVol</stp>
        <tr r="O1525" s="5"/>
      </tp>
      <tp>
        <v>0</v>
        <stp/>
        <stp>16331513Y2:BlkVol</stp>
        <tr r="O1451" s="5"/>
      </tp>
      <tp>
        <v>0</v>
        <stp/>
        <stp>16341514Y2:BlkVol</stp>
        <tr r="O1489" s="5"/>
      </tp>
      <tp>
        <v>0</v>
        <stp/>
        <stp>16351515Y2:BlkVol</stp>
        <tr r="O1527" s="5"/>
      </tp>
      <tp>
        <v>0</v>
        <stp/>
        <stp>16331513M9:BlkVol</stp>
        <tr r="O1424" s="5"/>
      </tp>
      <tp>
        <v>0</v>
        <stp/>
        <stp>16341514M9:BlkVol</stp>
        <tr r="O1462" s="5"/>
      </tp>
      <tp>
        <v>0</v>
        <stp/>
        <stp>16351515M9:BlkVol</stp>
        <tr r="O1500" s="5"/>
      </tp>
      <tp>
        <v>0</v>
        <stp/>
        <stp>16331513M8:BlkVol</stp>
        <tr r="O1423" s="5"/>
      </tp>
      <tp>
        <v>0</v>
        <stp/>
        <stp>16341514M8:BlkVol</stp>
        <tr r="O1461" s="5"/>
      </tp>
      <tp>
        <v>0</v>
        <stp/>
        <stp>16351515M8:BlkVol</stp>
        <tr r="O1499" s="5"/>
      </tp>
      <tp>
        <v>0</v>
        <stp/>
        <stp>16331513M1:BlkVol</stp>
        <tr r="O1416" s="5"/>
      </tp>
      <tp>
        <v>0</v>
        <stp/>
        <stp>16341514M1:BlkVol</stp>
        <tr r="O1454" s="5"/>
      </tp>
      <tp>
        <v>0</v>
        <stp/>
        <stp>16351515M1:BlkVol</stp>
        <tr r="O1492" s="5"/>
      </tp>
      <tp>
        <v>0</v>
        <stp/>
        <stp>16331513M0:BlkVol</stp>
        <tr r="O1415" s="5"/>
      </tp>
      <tp>
        <v>0</v>
        <stp/>
        <stp>16341514M0:BlkVol</stp>
        <tr r="O1453" s="5"/>
      </tp>
      <tp>
        <v>0</v>
        <stp/>
        <stp>16351515M0:BlkVol</stp>
        <tr r="O1491" s="5"/>
      </tp>
      <tp>
        <v>0</v>
        <stp/>
        <stp>16331513M3:BlkVol</stp>
        <tr r="O1418" s="5"/>
      </tp>
      <tp>
        <v>0</v>
        <stp/>
        <stp>16341514M3:BlkVol</stp>
        <tr r="O1456" s="5"/>
      </tp>
      <tp>
        <v>0</v>
        <stp/>
        <stp>16351515M3:BlkVol</stp>
        <tr r="O1494" s="5"/>
      </tp>
      <tp>
        <v>0</v>
        <stp/>
        <stp>16331513M2:BlkVol</stp>
        <tr r="O1417" s="5"/>
      </tp>
      <tp>
        <v>0</v>
        <stp/>
        <stp>16341514M2:BlkVol</stp>
        <tr r="O1455" s="5"/>
      </tp>
      <tp>
        <v>0</v>
        <stp/>
        <stp>16351515M2:BlkVol</stp>
        <tr r="O1493" s="5"/>
      </tp>
      <tp>
        <v>0</v>
        <stp/>
        <stp>16331513M5:BlkVol</stp>
        <tr r="O1420" s="5"/>
      </tp>
      <tp>
        <v>0</v>
        <stp/>
        <stp>16341514M5:BlkVol</stp>
        <tr r="O1458" s="5"/>
      </tp>
      <tp>
        <v>0</v>
        <stp/>
        <stp>16351515M5:BlkVol</stp>
        <tr r="O1496" s="5"/>
      </tp>
      <tp>
        <v>0</v>
        <stp/>
        <stp>16331513M4:BlkVol</stp>
        <tr r="O1419" s="5"/>
      </tp>
      <tp>
        <v>0</v>
        <stp/>
        <stp>16341514M4:BlkVol</stp>
        <tr r="O1457" s="5"/>
      </tp>
      <tp>
        <v>0</v>
        <stp/>
        <stp>16351515M4:BlkVol</stp>
        <tr r="O1495" s="5"/>
      </tp>
      <tp>
        <v>0</v>
        <stp/>
        <stp>16331513M7:BlkVol</stp>
        <tr r="O1422" s="5"/>
      </tp>
      <tp>
        <v>0</v>
        <stp/>
        <stp>16341514M7:BlkVol</stp>
        <tr r="O1460" s="5"/>
      </tp>
      <tp>
        <v>0</v>
        <stp/>
        <stp>16351515M7:BlkVol</stp>
        <tr r="O1498" s="5"/>
      </tp>
      <tp>
        <v>0</v>
        <stp/>
        <stp>16331513M6:BlkVol</stp>
        <tr r="O1421" s="5"/>
      </tp>
      <tp>
        <v>0</v>
        <stp/>
        <stp>16341514M6:BlkVol</stp>
        <tr r="O1459" s="5"/>
      </tp>
      <tp>
        <v>0</v>
        <stp/>
        <stp>16351515M6:BlkVol</stp>
        <tr r="O1497" s="5"/>
      </tp>
    </main>
    <main first="bofaddin.rtdserver">
      <tp t="s">
        <v>#N/A Invalid Security</v>
        <stp/>
        <stp>BDP|12299976924184447961|222</stp>
        <stp>COQ9 Comdty</stp>
        <stp>BID</stp>
        <stp>Fill=#N/A</stp>
        <tr r="G54" s="1"/>
      </tp>
    </main>
    <main first="ice.rtd">
      <tp>
        <v>23.55</v>
        <stp/>
        <stp>46678127M2:LstPrc</stp>
        <tr r="I347" s="5"/>
      </tp>
      <tp t="s">
        <v/>
        <stp/>
        <stp>46678127M3:LstPrc</stp>
        <tr r="I348" s="5"/>
      </tp>
      <tp t="s">
        <v/>
        <stp/>
        <stp>46678127M0:LstPrc</stp>
        <tr r="I345" s="5"/>
      </tp>
      <tp t="s">
        <v/>
        <stp/>
        <stp>46678127M1:LstPrc</stp>
        <tr r="I346" s="5"/>
      </tp>
      <tp t="s">
        <v/>
        <stp/>
        <stp>46678127M6:LstPrc</stp>
        <tr r="I351" s="5"/>
      </tp>
      <tp t="s">
        <v/>
        <stp/>
        <stp>46678127M7:LstPrc</stp>
        <tr r="I352" s="5"/>
      </tp>
      <tp t="s">
        <v/>
        <stp/>
        <stp>46678127M4:LstPrc</stp>
        <tr r="I349" s="5"/>
      </tp>
      <tp t="s">
        <v/>
        <stp/>
        <stp>46678127M5:LstPrc</stp>
        <tr r="I350" s="5"/>
      </tp>
      <tp t="s">
        <v/>
        <stp/>
        <stp>46678127M8:LstPrc</stp>
        <tr r="I353" s="5"/>
      </tp>
      <tp t="s">
        <v/>
        <stp/>
        <stp>46678127M9:LstPrc</stp>
        <tr r="I354" s="5"/>
      </tp>
      <tp t="s">
        <v>Invalid Market: 46678127Y2</v>
        <stp/>
        <stp>46678127Y2:LstPrc</stp>
        <tr r="I381" s="5"/>
      </tp>
      <tp t="s">
        <v/>
        <stp/>
        <stp>46678127Y0:LstPrc</stp>
        <tr r="I379" s="5"/>
      </tp>
      <tp t="s">
        <v/>
        <stp/>
        <stp>46678127Y1:LstPrc</stp>
        <tr r="I380" s="5"/>
      </tp>
      <tp t="s">
        <v/>
        <stp/>
        <stp>46678127Q2:LstPrc</stp>
        <tr r="I372" s="5"/>
      </tp>
      <tp t="s">
        <v/>
        <stp/>
        <stp>46678127Q3:LstPrc</stp>
        <tr r="I373" s="5"/>
      </tp>
      <tp t="s">
        <v/>
        <stp/>
        <stp>46678127Q0:LstPrc</stp>
        <tr r="I370" s="5"/>
      </tp>
      <tp t="s">
        <v/>
        <stp/>
        <stp>46678127Q1:LstPrc</stp>
        <tr r="I371" s="5"/>
      </tp>
      <tp t="s">
        <v/>
        <stp/>
        <stp>46678127Q6:LstPrc</stp>
        <tr r="I376" s="5"/>
      </tp>
      <tp t="s">
        <v/>
        <stp/>
        <stp>46678127Q7:LstPrc</stp>
        <tr r="I377" s="5"/>
      </tp>
      <tp t="s">
        <v/>
        <stp/>
        <stp>46678127Q4:LstPrc</stp>
        <tr r="I374" s="5"/>
      </tp>
      <tp t="s">
        <v/>
        <stp/>
        <stp>46678127Q5:LstPrc</stp>
        <tr r="I375" s="5"/>
      </tp>
      <tp t="s">
        <v/>
        <stp/>
        <stp>46678127Q8:LstPrc</stp>
        <tr r="I378" s="5"/>
      </tp>
      <tp t="s">
        <v/>
        <stp/>
        <stp>3016030250BM0:LstDate</stp>
        <tr r="J1682" s="5"/>
      </tp>
      <tp>
        <v>1</v>
        <stp/>
        <stp>35534143M18:Settle</stp>
        <tr r="U726" s="5"/>
      </tp>
      <tp>
        <v>-23</v>
        <stp/>
        <stp>35544144M18:Settle</stp>
        <tr r="U650" s="5"/>
      </tp>
      <tp>
        <v>-3</v>
        <stp/>
        <stp>35554145M18:Settle</stp>
        <tr r="U688" s="5"/>
      </tp>
      <tp>
        <v>1</v>
        <stp/>
        <stp>35534143M19:Settle</stp>
        <tr r="U727" s="5"/>
      </tp>
      <tp>
        <v>-22</v>
        <stp/>
        <stp>35544144M19:Settle</stp>
        <tr r="U651" s="5"/>
      </tp>
      <tp>
        <v>-3</v>
        <stp/>
        <stp>35554145M19:Settle</stp>
        <tr r="U689" s="5"/>
      </tp>
      <tp>
        <v>1.25</v>
        <stp/>
        <stp>35534143M14:Settle</stp>
        <tr r="U722" s="5"/>
      </tp>
      <tp>
        <v>-25</v>
        <stp/>
        <stp>35544144M14:Settle</stp>
        <tr r="U646" s="5"/>
      </tp>
      <tp>
        <v>-5</v>
        <stp/>
        <stp>35554145M14:Settle</stp>
        <tr r="U684" s="5"/>
      </tp>
      <tp>
        <v>0.5</v>
        <stp/>
        <stp>35534143M15:Settle</stp>
        <tr r="U723" s="5"/>
      </tp>
      <tp>
        <v>-25</v>
        <stp/>
        <stp>35544144M15:Settle</stp>
        <tr r="U647" s="5"/>
      </tp>
      <tp>
        <v>-5</v>
        <stp/>
        <stp>35554145M15:Settle</stp>
        <tr r="U685" s="5"/>
      </tp>
      <tp>
        <v>1</v>
        <stp/>
        <stp>35534143M16:Settle</stp>
        <tr r="U724" s="5"/>
      </tp>
      <tp>
        <v>-23</v>
        <stp/>
        <stp>35544144M16:Settle</stp>
        <tr r="U648" s="5"/>
      </tp>
      <tp>
        <v>-3</v>
        <stp/>
        <stp>35554145M16:Settle</stp>
        <tr r="U686" s="5"/>
      </tp>
      <tp>
        <v>1</v>
        <stp/>
        <stp>35534143M17:Settle</stp>
        <tr r="U725" s="5"/>
      </tp>
      <tp>
        <v>-23</v>
        <stp/>
        <stp>35544144M17:Settle</stp>
        <tr r="U649" s="5"/>
      </tp>
      <tp>
        <v>-3</v>
        <stp/>
        <stp>35554145M17:Settle</stp>
        <tr r="U687" s="5"/>
      </tp>
      <tp>
        <v>0.5</v>
        <stp/>
        <stp>35534143M10:Settle</stp>
        <tr r="U718" s="5"/>
      </tp>
      <tp>
        <v>-27</v>
        <stp/>
        <stp>35544144M10:Settle</stp>
        <tr r="U642" s="5"/>
      </tp>
      <tp>
        <v>-5</v>
        <stp/>
        <stp>35554145M10:Settle</stp>
        <tr r="U680" s="5"/>
      </tp>
      <tp>
        <v>0.5</v>
        <stp/>
        <stp>35534143M11:Settle</stp>
        <tr r="U719" s="5"/>
      </tp>
      <tp>
        <v>-27</v>
        <stp/>
        <stp>35544144M11:Settle</stp>
        <tr r="U643" s="5"/>
      </tp>
      <tp>
        <v>-5</v>
        <stp/>
        <stp>35554145M11:Settle</stp>
        <tr r="U681" s="5"/>
      </tp>
      <tp>
        <v>0.5</v>
        <stp/>
        <stp>35534143M12:Settle</stp>
        <tr r="U720" s="5"/>
      </tp>
      <tp>
        <v>-27</v>
        <stp/>
        <stp>35544144M12:Settle</stp>
        <tr r="U644" s="5"/>
      </tp>
      <tp>
        <v>-5</v>
        <stp/>
        <stp>35554145M12:Settle</stp>
        <tr r="U682" s="5"/>
      </tp>
      <tp>
        <v>1.25</v>
        <stp/>
        <stp>35534143M13:Settle</stp>
        <tr r="U721" s="5"/>
      </tp>
      <tp>
        <v>-25</v>
        <stp/>
        <stp>35544144M13:Settle</stp>
        <tr r="U645" s="5"/>
      </tp>
      <tp>
        <v>-5</v>
        <stp/>
        <stp>35554145M13:Settle</stp>
        <tr r="U683" s="5"/>
      </tp>
      <tp>
        <v>1</v>
        <stp/>
        <stp>35534143M24:Settle</stp>
        <tr r="U732" s="5"/>
      </tp>
      <tp>
        <v>-21.5</v>
        <stp/>
        <stp>35544144M24:Settle</stp>
        <tr r="U656" s="5"/>
      </tp>
      <tp>
        <v>-3</v>
        <stp/>
        <stp>35554145M24:Settle</stp>
        <tr r="U694" s="5"/>
      </tp>
      <tp>
        <v>1</v>
        <stp/>
        <stp>35534143M20:Settle</stp>
        <tr r="U728" s="5"/>
      </tp>
      <tp>
        <v>-22</v>
        <stp/>
        <stp>35544144M20:Settle</stp>
        <tr r="U652" s="5"/>
      </tp>
      <tp>
        <v>-3</v>
        <stp/>
        <stp>35554145M20:Settle</stp>
        <tr r="U690" s="5"/>
      </tp>
      <tp>
        <v>1</v>
        <stp/>
        <stp>35534143M21:Settle</stp>
        <tr r="U729" s="5"/>
      </tp>
      <tp>
        <v>-22</v>
        <stp/>
        <stp>35544144M21:Settle</stp>
        <tr r="U653" s="5"/>
      </tp>
      <tp>
        <v>-3</v>
        <stp/>
        <stp>35554145M21:Settle</stp>
        <tr r="U691" s="5"/>
      </tp>
      <tp>
        <v>1</v>
        <stp/>
        <stp>35534143M22:Settle</stp>
        <tr r="U730" s="5"/>
      </tp>
      <tp>
        <v>-21.5</v>
        <stp/>
        <stp>35544144M22:Settle</stp>
        <tr r="U654" s="5"/>
      </tp>
      <tp>
        <v>-3</v>
        <stp/>
        <stp>35554145M22:Settle</stp>
        <tr r="U692" s="5"/>
      </tp>
      <tp>
        <v>1</v>
        <stp/>
        <stp>35534143M23:Settle</stp>
        <tr r="U731" s="5"/>
      </tp>
      <tp>
        <v>-21.5</v>
        <stp/>
        <stp>35544144M23:Settle</stp>
        <tr r="U655" s="5"/>
      </tp>
      <tp>
        <v>-3</v>
        <stp/>
        <stp>35554145M23:Settle</stp>
        <tr r="U693" s="5"/>
      </tp>
      <tp>
        <v>0.83124999999999993</v>
        <stp/>
        <stp>16331513M24:Settle</stp>
        <tr r="U1439" s="5"/>
      </tp>
      <tp>
        <v>0.89124999999999999</v>
        <stp/>
        <stp>16341514M24:Settle</stp>
        <tr r="U1477" s="5"/>
      </tp>
      <tp>
        <v>1.4312499999999999</v>
        <stp/>
        <stp>16351515M24:Settle</stp>
        <tr r="U1515" s="5"/>
      </tp>
      <tp>
        <v>0.82374999999999998</v>
        <stp/>
        <stp>16331513M23:Settle</stp>
        <tr r="U1438" s="5"/>
      </tp>
      <tp>
        <v>0.88374999999999992</v>
        <stp/>
        <stp>16341514M23:Settle</stp>
        <tr r="U1476" s="5"/>
      </tp>
      <tp>
        <v>1.4312499999999999</v>
        <stp/>
        <stp>16351515M23:Settle</stp>
        <tr r="U1514" s="5"/>
      </tp>
      <tp>
        <v>0.82000000000000006</v>
        <stp/>
        <stp>16331513M22:Settle</stp>
        <tr r="U1437" s="5"/>
      </tp>
      <tp>
        <v>0.88124999999999998</v>
        <stp/>
        <stp>16341514M22:Settle</stp>
        <tr r="U1475" s="5"/>
      </tp>
      <tp>
        <v>1.4350000000000001</v>
        <stp/>
        <stp>16351515M22:Settle</stp>
        <tr r="U1513" s="5"/>
      </tp>
      <tp>
        <v>0.82000000000000006</v>
        <stp/>
        <stp>16331513M21:Settle</stp>
        <tr r="U1436" s="5"/>
      </tp>
      <tp>
        <v>0.87374999999999992</v>
        <stp/>
        <stp>16341514M21:Settle</stp>
        <tr r="U1474" s="5"/>
      </tp>
      <tp>
        <v>1.4425000000000001</v>
        <stp/>
        <stp>16351515M21:Settle</stp>
        <tr r="U1512" s="5"/>
      </tp>
      <tp>
        <v>0.82500000000000007</v>
        <stp/>
        <stp>16331513M20:Settle</stp>
        <tr r="U1435" s="5"/>
      </tp>
      <tp>
        <v>0.87124999999999997</v>
        <stp/>
        <stp>16341514M20:Settle</stp>
        <tr r="U1473" s="5"/>
      </tp>
      <tp>
        <v>1.4512499999999999</v>
        <stp/>
        <stp>16351515M20:Settle</stp>
        <tr r="U1511" s="5"/>
      </tp>
      <tp>
        <v>0.83750000000000002</v>
        <stp/>
        <stp>16331513M19:Settle</stp>
        <tr r="U1434" s="5"/>
      </tp>
      <tp>
        <v>0.87250000000000005</v>
        <stp/>
        <stp>16341514M19:Settle</stp>
        <tr r="U1472" s="5"/>
      </tp>
      <tp>
        <v>1.4650000000000001</v>
        <stp/>
        <stp>16351515M19:Settle</stp>
        <tr r="U1510" s="5"/>
      </tp>
      <tp>
        <v>0.86624999999999996</v>
        <stp/>
        <stp>16331513M18:Settle</stp>
        <tr r="U1433" s="5"/>
      </tp>
      <tp>
        <v>0.89374999999999993</v>
        <stp/>
        <stp>16341514M18:Settle</stp>
        <tr r="U1471" s="5"/>
      </tp>
      <tp>
        <v>1.48</v>
        <stp/>
        <stp>16351515M18:Settle</stp>
        <tr r="U1509" s="5"/>
      </tp>
      <tp>
        <v>0.90250000000000008</v>
        <stp/>
        <stp>16331513M17:Settle</stp>
        <tr r="U1432" s="5"/>
      </tp>
      <tp>
        <v>0.92874999999999996</v>
        <stp/>
        <stp>16341514M17:Settle</stp>
        <tr r="U1470" s="5"/>
      </tp>
      <tp>
        <v>1.4875</v>
        <stp/>
        <stp>16351515M17:Settle</stp>
        <tr r="U1508" s="5"/>
      </tp>
      <tp>
        <v>0.91125</v>
        <stp/>
        <stp>16331513M16:Settle</stp>
        <tr r="U1431" s="5"/>
      </tp>
      <tp>
        <v>0.93874999999999997</v>
        <stp/>
        <stp>16341514M16:Settle</stp>
        <tr r="U1469" s="5"/>
      </tp>
      <tp>
        <v>1.4925000000000002</v>
        <stp/>
        <stp>16351515M16:Settle</stp>
        <tr r="U1507" s="5"/>
      </tp>
      <tp>
        <v>0.91250000000000009</v>
        <stp/>
        <stp>16331513M15:Settle</stp>
        <tr r="U1430" s="5"/>
      </tp>
      <tp>
        <v>0.93500000000000005</v>
        <stp/>
        <stp>16341514M15:Settle</stp>
        <tr r="U1468" s="5"/>
      </tp>
      <tp>
        <v>1.4950000000000001</v>
        <stp/>
        <stp>16351515M15:Settle</stp>
        <tr r="U1506" s="5"/>
      </tp>
      <tp>
        <v>0.91125</v>
        <stp/>
        <stp>16331513M14:Settle</stp>
        <tr r="U1429" s="5"/>
      </tp>
      <tp>
        <v>0.93374999999999997</v>
        <stp/>
        <stp>16341514M14:Settle</stp>
        <tr r="U1467" s="5"/>
      </tp>
      <tp>
        <v>1.5050000000000001</v>
        <stp/>
        <stp>16351515M14:Settle</stp>
        <tr r="U1505" s="5"/>
      </tp>
      <tp>
        <v>0.90625</v>
        <stp/>
        <stp>16331513M13:Settle</stp>
        <tr r="U1428" s="5"/>
      </tp>
      <tp>
        <v>0.9425</v>
        <stp/>
        <stp>16341514M13:Settle</stp>
        <tr r="U1466" s="5"/>
      </tp>
      <tp>
        <v>1.5137499999999999</v>
        <stp/>
        <stp>16351515M13:Settle</stp>
        <tr r="U1504" s="5"/>
      </tp>
      <tp>
        <v>0.9</v>
        <stp/>
        <stp>16331513M12:Settle</stp>
        <tr r="U1427" s="5"/>
      </tp>
      <tp>
        <v>0.98124999999999996</v>
        <stp/>
        <stp>16341514M12:Settle</stp>
        <tr r="U1465" s="5"/>
      </tp>
      <tp>
        <v>1.5225</v>
        <stp/>
        <stp>16351515M12:Settle</stp>
        <tr r="U1503" s="5"/>
      </tp>
      <tp>
        <v>0.89500000000000002</v>
        <stp/>
        <stp>16331513M11:Settle</stp>
        <tr r="U1426" s="5"/>
      </tp>
      <tp>
        <v>0.98</v>
        <stp/>
        <stp>16341514M11:Settle</stp>
        <tr r="U1464" s="5"/>
      </tp>
      <tp>
        <v>1.5287499999999998</v>
        <stp/>
        <stp>16351515M11:Settle</stp>
        <tr r="U1502" s="5"/>
      </tp>
      <tp>
        <v>0.89250000000000007</v>
        <stp/>
        <stp>16331513M10:Settle</stp>
        <tr r="U1425" s="5"/>
      </tp>
      <tp>
        <v>0.97875000000000001</v>
        <stp/>
        <stp>16341514M10:Settle</stp>
        <tr r="U1463" s="5"/>
      </tp>
      <tp>
        <v>1.54375</v>
        <stp/>
        <stp>16351515M10:Settle</stp>
        <tr r="U1501" s="5"/>
      </tp>
      <tp>
        <v>-5.6307</v>
        <stp/>
        <stp>30813691M24:Settle</stp>
        <tr r="U1977" s="5"/>
      </tp>
      <tp>
        <v>-5.4790000000000001</v>
        <stp/>
        <stp>30813691M20:Settle</stp>
        <tr r="U1973" s="5"/>
      </tp>
      <tp>
        <v>-5.4946000000000002</v>
        <stp/>
        <stp>30813691M21:Settle</stp>
        <tr r="U1974" s="5"/>
      </tp>
      <tp>
        <v>-5.5202</v>
        <stp/>
        <stp>30813691M22:Settle</stp>
        <tr r="U1975" s="5"/>
      </tp>
      <tp>
        <v>-5.5960999999999999</v>
        <stp/>
        <stp>30813691M23:Settle</stp>
        <tr r="U1976" s="5"/>
      </tp>
      <tp>
        <v>-5.5262000000000002</v>
        <stp/>
        <stp>30813691M18:Settle</stp>
        <tr r="U1971" s="5"/>
      </tp>
      <tp>
        <v>-5.4794</v>
        <stp/>
        <stp>30813691M19:Settle</stp>
        <tr r="U1972" s="5"/>
      </tp>
      <tp>
        <v>-5.7972000000000001</v>
        <stp/>
        <stp>30813691M14:Settle</stp>
        <tr r="U1967" s="5"/>
      </tp>
      <tp>
        <v>-5.7495000000000003</v>
        <stp/>
        <stp>30813691M15:Settle</stp>
        <tr r="U1968" s="5"/>
      </tp>
      <tp>
        <v>-5.6607000000000003</v>
        <stp/>
        <stp>30813691M16:Settle</stp>
        <tr r="U1969" s="5"/>
      </tp>
      <tp>
        <v>-5.5880000000000001</v>
        <stp/>
        <stp>30813691M17:Settle</stp>
        <tr r="U1970" s="5"/>
      </tp>
      <tp>
        <v>-4.4024999999999999</v>
        <stp/>
        <stp>30813691M10:Settle</stp>
        <tr r="U1963" s="5"/>
      </tp>
      <tp>
        <v>-4.7316000000000003</v>
        <stp/>
        <stp>30813691M11:Settle</stp>
        <tr r="U1964" s="5"/>
      </tp>
      <tp>
        <v>-5.1591000000000005</v>
        <stp/>
        <stp>30813691M12:Settle</stp>
        <tr r="U1965" s="5"/>
      </tp>
      <tp>
        <v>-5.6640000000000006</v>
        <stp/>
        <stp>30813691M13:Settle</stp>
        <tr r="U1966" s="5"/>
      </tp>
      <tp t="s">
        <v/>
        <stp/>
        <stp>DBI1227MM12:LstBlkVol</stp>
        <tr r="L1663" s="5"/>
      </tp>
      <tp t="s">
        <v/>
        <stp/>
        <stp>DBI1227MM22:LstBlkVol</stp>
        <tr r="L1673" s="5"/>
      </tp>
    </main>
    <main first="bofaddin.rtdserver">
      <tp t="s">
        <v>#N/A N/A</v>
        <stp/>
        <stp>BDH|88449840795310366</stp>
        <tr r="C38" s="14"/>
      </tp>
    </main>
    <main first="ice.rtd">
      <tp>
        <v>14.616000000000001</v>
        <stp/>
        <stp>46678127M21:Settle</stp>
        <tr r="U366" s="5"/>
      </tp>
      <tp>
        <v>14.867000000000001</v>
        <stp/>
        <stp>46678127M20:Settle</stp>
        <tr r="U365" s="5"/>
      </tp>
      <tp>
        <v>13.365</v>
        <stp/>
        <stp>46678127M23:Settle</stp>
        <tr r="U368" s="5"/>
      </tp>
      <tp>
        <v>14.056000000000001</v>
        <stp/>
        <stp>46678127M22:Settle</stp>
        <tr r="U367" s="5"/>
      </tp>
      <tp>
        <v>12.105</v>
        <stp/>
        <stp>46678127M24:Settle</stp>
        <tr r="U369" s="5"/>
      </tp>
      <tp>
        <v>14.741000000000001</v>
        <stp/>
        <stp>46678127M19:Settle</stp>
        <tr r="U364" s="5"/>
      </tp>
      <tp>
        <v>10.826000000000001</v>
        <stp/>
        <stp>46678127M18:Settle</stp>
        <tr r="U363" s="5"/>
      </tp>
      <tp>
        <v>20.881</v>
        <stp/>
        <stp>46678127M11:Settle</stp>
        <tr r="U356" s="5"/>
      </tp>
      <tp>
        <v>22.205000000000002</v>
        <stp/>
        <stp>46678127M10:Settle</stp>
        <tr r="U355" s="5"/>
      </tp>
      <tp>
        <v>14.266</v>
        <stp/>
        <stp>46678127M13:Settle</stp>
        <tr r="U358" s="5"/>
      </tp>
      <tp>
        <v>18.988</v>
        <stp/>
        <stp>46678127M12:Settle</stp>
        <tr r="U357" s="5"/>
      </tp>
      <tp>
        <v>10.735000000000001</v>
        <stp/>
        <stp>46678127M15:Settle</stp>
        <tr r="U360" s="5"/>
      </tp>
      <tp>
        <v>12.013</v>
        <stp/>
        <stp>46678127M14:Settle</stp>
        <tr r="U359" s="5"/>
      </tp>
      <tp>
        <v>10.558</v>
        <stp/>
        <stp>46678127M17:Settle</stp>
        <tr r="U362" s="5"/>
      </tp>
      <tp>
        <v>10.549000000000001</v>
        <stp/>
        <stp>46678127M16:Settle</stp>
        <tr r="U361" s="5"/>
      </tp>
      <tp t="s">
        <v>Bal Month</v>
        <stp/>
        <stp>2049123570B0:Strip</stp>
        <tr r="E230" s="5"/>
      </tp>
      <tp t="s">
        <v>Sep26</v>
        <stp/>
        <stp>34364094M0:Strip</stp>
        <tr r="E518" s="5"/>
      </tp>
      <tp t="s">
        <v>Sep26</v>
        <stp/>
        <stp>34374095M0:Strip</stp>
        <tr r="E556" s="5"/>
      </tp>
      <tp t="s">
        <v>Q4 26</v>
        <stp/>
        <stp>34364094Q0:Strip</stp>
        <tr r="E543" s="5"/>
      </tp>
      <tp t="s">
        <v>Q4 26</v>
        <stp/>
        <stp>34374095Q0:Strip</stp>
        <tr r="E581" s="5"/>
      </tp>
      <tp t="s">
        <v>Cal 27</v>
        <stp/>
        <stp>34364094Y0:Strip</stp>
        <tr r="E552" s="5"/>
      </tp>
      <tp t="s">
        <v>Cal 27</v>
        <stp/>
        <stp>34374095Y0:Strip</stp>
        <tr r="E590" s="5"/>
      </tp>
      <tp t="s">
        <v>Sep26</v>
        <stp/>
        <stp>34344092M0:Strip</stp>
        <tr r="E1263" s="5"/>
      </tp>
      <tp t="s">
        <v>Sep26</v>
        <stp/>
        <stp>34354093M0:Strip</stp>
        <tr r="E1301" s="5"/>
      </tp>
      <tp t="s">
        <v>Q4 26</v>
        <stp/>
        <stp>34344092Q0:Strip</stp>
        <tr r="E1288" s="5"/>
      </tp>
      <tp t="s">
        <v>Q4 26</v>
        <stp/>
        <stp>34354093Q0:Strip</stp>
        <tr r="E1326" s="5"/>
      </tp>
      <tp t="s">
        <v>Cal 27</v>
        <stp/>
        <stp>34344092Y0:Strip</stp>
        <tr r="E1297" s="5"/>
      </tp>
      <tp t="s">
        <v>Cal 27</v>
        <stp/>
        <stp>34354093Y0:Strip</stp>
        <tr r="E1335" s="5"/>
      </tp>
      <tp t="s">
        <v>Sep26/Apr27</v>
        <stp/>
        <stp>161913535MM6:Strip</stp>
        <tr r="E2033" s="5"/>
      </tp>
      <tp>
        <v>3.19</v>
        <stp/>
        <stp>DBI1227MM24:BstHitPrc</stp>
        <tr r="G1675" s="5"/>
      </tp>
      <tp t="s">
        <v/>
        <stp/>
        <stp>DBI1227MM14:BstHitPrc</stp>
        <tr r="G1665" s="5"/>
      </tp>
      <tp t="s">
        <v>Nov26</v>
        <stp/>
        <stp>30793693M2:Strip</stp>
        <tr r="E885" s="5"/>
      </tp>
      <tp t="s">
        <v>Q2 27</v>
        <stp/>
        <stp>30793693Q2:Strip</stp>
        <tr r="E910" s="5"/>
      </tp>
      <tp t="s">
        <v>Cal 29</v>
        <stp/>
        <stp>30793693Y2:Strip</stp>
        <tr r="E919" s="5"/>
      </tp>
      <tp t="s">
        <v>May27</v>
        <stp/>
        <stp>3124331018M8:Strip</stp>
        <tr r="E1613" s="5"/>
      </tp>
      <tp t="s">
        <v>Oct19-Oct23 (Jan)</v>
        <stp/>
        <stp>17551596T6:Strip</stp>
        <tr r="E1543" s="5"/>
      </tp>
      <tp t="s">
        <v>Bal Month</v>
        <stp/>
        <stp>2505226937B0:Strip</stp>
        <tr r="E768" s="5"/>
      </tp>
      <tp t="s">
        <v>Sep26</v>
        <stp/>
        <stp>34404098M0:Strip</stp>
        <tr r="E594" s="5"/>
      </tp>
      <tp t="s">
        <v>Sep26</v>
        <stp/>
        <stp>34414099M0:Strip</stp>
        <tr r="E79" s="5"/>
      </tp>
      <tp t="s">
        <v>Q4 26</v>
        <stp/>
        <stp>34404098Q0:Strip</stp>
        <tr r="E619" s="5"/>
      </tp>
      <tp t="s">
        <v>Q4 26</v>
        <stp/>
        <stp>34414099Q0:Strip</stp>
        <tr r="E104" s="5"/>
      </tp>
      <tp t="s">
        <v>Cal 27</v>
        <stp/>
        <stp>34404098Y0:Strip</stp>
        <tr r="E628" s="5"/>
      </tp>
      <tp t="s">
        <v>Cal 27</v>
        <stp/>
        <stp>34414099Y0:Strip</stp>
        <tr r="E113" s="5"/>
      </tp>
      <tp t="s">
        <v>Apr27</v>
        <stp/>
        <stp>16331513M7:Strip</stp>
        <tr r="E1422" s="5"/>
      </tp>
      <tp t="s">
        <v>Apr27</v>
        <stp/>
        <stp>16341514M7:Strip</stp>
        <tr r="E1460" s="5"/>
      </tp>
      <tp t="s">
        <v>Apr27</v>
        <stp/>
        <stp>16351515M7:Strip</stp>
        <tr r="E1498" s="5"/>
      </tp>
      <tp t="s">
        <v>Q3 28</v>
        <stp/>
        <stp>16331513Q7:Strip</stp>
        <tr r="E1447" s="5"/>
      </tp>
      <tp t="s">
        <v>Q3 28</v>
        <stp/>
        <stp>16341514Q7:Strip</stp>
        <tr r="E1485" s="5"/>
      </tp>
      <tp t="s">
        <v>Q3 28</v>
        <stp/>
        <stp>16351515Q7:Strip</stp>
        <tr r="E1523" s="5"/>
      </tp>
      <tp t="s">
        <v/>
        <stp/>
        <stp>DBI1227MM14:LstBlkPrc</stp>
        <tr r="K1665" s="5"/>
      </tp>
      <tp t="s">
        <v/>
        <stp/>
        <stp>DBI1227MM24:LstBlkPrc</stp>
        <tr r="K1675" s="5"/>
      </tp>
      <tp t="s">
        <v>Dec26</v>
        <stp/>
        <stp>57179020M3:Strip</stp>
        <tr r="E1550" s="5"/>
      </tp>
      <tp t="s">
        <v>Q3 27</v>
        <stp/>
        <stp>57179020Q3:Strip</stp>
        <tr r="E1575" s="5"/>
      </tp>
      <tp t="s">
        <v>Sep21-Sep25 (Nov)</v>
        <stp/>
        <stp>15141311T2:Strip</stp>
        <tr r="E1530" s="5"/>
      </tp>
      <tp t="s">
        <v>Nov26</v>
        <stp/>
        <stp>15091310M2:Strip</stp>
        <tr r="E1379" s="5"/>
      </tp>
      <tp t="s">
        <v>Q2 27</v>
        <stp/>
        <stp>15091310Q2:Strip</stp>
        <tr r="E1404" s="5"/>
      </tp>
      <tp t="s">
        <v>Cal 29</v>
        <stp/>
        <stp>15091310Y2:Strip</stp>
        <tr r="E1413" s="5"/>
      </tp>
      <tp t="s">
        <v>Sep26</v>
        <stp/>
        <stp>35534143M0:Strip</stp>
        <tr r="E708" s="5"/>
      </tp>
      <tp t="s">
        <v>Sep26</v>
        <stp/>
        <stp>35544144M0:Strip</stp>
        <tr r="E632" s="5"/>
      </tp>
      <tp t="s">
        <v>Sep26</v>
        <stp/>
        <stp>35554145M0:Strip</stp>
        <tr r="E670" s="5"/>
      </tp>
      <tp t="s">
        <v>Nov26</v>
        <stp/>
        <stp>30813691M2:Strip</stp>
        <tr r="E1955" s="5"/>
      </tp>
      <tp t="s">
        <v>Q2 27</v>
        <stp/>
        <stp>30813691Q2:Strip</stp>
        <tr r="E1980" s="5"/>
      </tp>
      <tp t="s">
        <v>Q4 26</v>
        <stp/>
        <stp>35534143Q0:Strip</stp>
        <tr r="E733" s="5"/>
      </tp>
      <tp t="s">
        <v>Q4 26</v>
        <stp/>
        <stp>35544144Q0:Strip</stp>
        <tr r="E657" s="5"/>
      </tp>
      <tp t="s">
        <v>Q4 26</v>
        <stp/>
        <stp>35554145Q0:Strip</stp>
        <tr r="E695" s="5"/>
      </tp>
      <tp t="s">
        <v>Cal 29</v>
        <stp/>
        <stp>30813691Y2:Strip</stp>
        <tr r="E1989" s="5"/>
      </tp>
      <tp t="s">
        <v>Cal 27</v>
        <stp/>
        <stp>35534143Y0:Strip</stp>
        <tr r="E742" s="5"/>
      </tp>
      <tp t="s">
        <v>Cal 27</v>
        <stp/>
        <stp>35544144Y0:Strip</stp>
        <tr r="E666" s="5"/>
      </tp>
      <tp t="s">
        <v>Cal 27</v>
        <stp/>
        <stp>35554145Y0:Strip</stp>
        <tr r="E704" s="5"/>
      </tp>
      <tp t="s">
        <v>Q4 27</v>
        <stp/>
        <stp>1840020882Q4:Strip</stp>
        <tr r="E1603" s="5"/>
      </tp>
      <tp t="s">
        <v>Jan27</v>
        <stp/>
        <stp>1840020882M4:Strip</stp>
        <tr r="E1586" s="5"/>
      </tp>
      <tp t="s">
        <v>Dec26</v>
        <stp/>
        <stp>57409036M3:Strip</stp>
        <tr r="E234" s="5"/>
      </tp>
      <tp t="s">
        <v>Q3 27</v>
        <stp/>
        <stp>57409036Q3:Strip</stp>
        <tr r="E259" s="5"/>
      </tp>
      <tp t="s">
        <v>Jun27</v>
        <stp/>
        <stp>2427026287M9:Strip</stp>
        <tr r="E1158" s="5"/>
      </tp>
      <tp t="s">
        <v>Dec26</v>
        <stp/>
        <stp>46678127M3:Strip</stp>
        <tr r="E348" s="5"/>
      </tp>
      <tp t="s">
        <v>Q3 27</v>
        <stp/>
        <stp>46678127Q3:Strip</stp>
        <tr r="E373" s="5"/>
      </tp>
      <tp t="s">
        <v>Jun27</v>
        <stp/>
        <stp>2427126288M9:Strip</stp>
        <tr r="E1044" s="5"/>
      </tp>
    </main>
    <main first="bofaddin.rtdserver">
      <tp t="s">
        <v>#N/A</v>
        <stp/>
        <stp>BDP|8942710646723402977|222</stp>
        <stp>MUCG0H0 Comdty</stp>
        <stp>BID</stp>
        <stp>Fill=#N/A</stp>
        <tr r="S61" s="1"/>
      </tp>
    </main>
    <main first="ice.rtd">
      <tp t="s">
        <v/>
        <stp/>
        <stp>2326525626B0:LstPrc</stp>
        <tr r="I420" s="5"/>
      </tp>
      <tp t="s">
        <v>Oct26/Mar27</v>
        <stp/>
        <stp>15061297MM12:Strip</stp>
        <tr r="E1695" s="5"/>
      </tp>
      <tp t="s">
        <v>Nov26/Nov27</v>
        <stp/>
        <stp>15061297MM22:Strip</stp>
        <tr r="E1705" s="5"/>
      </tp>
    </main>
    <main first="bofaddin.rtdserver">
      <tp t="s">
        <v>#N/A</v>
        <stp/>
        <stp>BDP|4687147537558656601|222</stp>
        <stp>MUCZ7F8 Comdty</stp>
        <stp>BID</stp>
        <stp>Fill=#N/A</stp>
        <tr r="S35" s="1"/>
      </tp>
    </main>
    <main first="bofaddin.rtdserver">
      <tp t="s">
        <v>#N/A</v>
        <stp/>
        <stp>BDP|5620897824405536610|222</stp>
        <stp>OQAM0N0 Comdty</stp>
        <stp>BID</stp>
        <stp>Fill=#N/A</stp>
        <tr r="T65" s="1"/>
      </tp>
      <tp t="s">
        <v>#N/A Requesting Data...3485947070</v>
        <stp/>
        <stp>BDP|1664691331820059054</stp>
        <tr r="AM116" s="23"/>
      </tp>
      <tp t="s">
        <v>#N/A N/A</v>
        <stp/>
        <stp>BDH|2936213227196708032</stp>
        <tr r="G90" s="16"/>
      </tp>
      <tp t="s">
        <v>#N/A N/A</v>
        <stp/>
        <stp>BDH|3075710068605114336</stp>
        <tr r="D29" s="14"/>
        <tr r="C7" s="14"/>
      </tp>
      <tp t="s">
        <v>#N/A Requesting Data...2720846465</v>
        <stp/>
        <stp>BDP|7480263903731850018</stp>
        <tr r="BB16" s="1"/>
        <tr r="BA16" s="1"/>
      </tp>
      <tp t="s">
        <v>#N/A N/A</v>
        <stp/>
        <stp>BDH|9948967945896160631</stp>
        <tr r="J39" s="14"/>
      </tp>
      <tp t="s">
        <v>#N/A N/A</v>
        <stp/>
        <stp>BDH|3012074228651368452</stp>
        <tr r="M55" s="16"/>
      </tp>
    </main>
    <main first="ice.rtd">
      <tp>
        <v>0</v>
        <stp/>
        <stp>2323825599B0:BlkVol</stp>
        <tr r="O306" s="5"/>
      </tp>
    </main>
    <main first="bofaddin.rtdserver">
      <tp t="s">
        <v>#N/A N/A</v>
        <stp/>
        <stp>BDH|1367281106197325003</stp>
        <tr r="AX66" s="1"/>
      </tp>
      <tp t="s">
        <v>#N/A N/A</v>
        <stp/>
        <stp>BDH|4797121018154367412</stp>
        <tr r="G35" s="16"/>
      </tp>
      <tp t="s">
        <v>#N/A N/A</v>
        <stp/>
        <stp>BDH|6031122364111907430</stp>
        <tr r="I55" s="16"/>
      </tp>
      <tp t="s">
        <v>#N/A N/A</v>
        <stp/>
        <stp>BDH|2612152069174572532</stp>
        <tr r="J81" s="16"/>
      </tp>
      <tp t="s">
        <v>#N/A N/A</v>
        <stp/>
        <stp>BDH|4174482342692544234</stp>
        <tr r="K84" s="16"/>
      </tp>
      <tp t="s">
        <v>#N/A N/A</v>
        <stp/>
        <stp>BDH|4677628914236475162</stp>
        <tr r="K81" s="16"/>
      </tp>
      <tp t="s">
        <v>#N/A N/A</v>
        <stp/>
        <stp>BDH|6703927000523715809</stp>
        <tr r="AV24" s="1"/>
      </tp>
    </main>
    <main first="ice.rtd">
      <tp>
        <v>0</v>
        <stp/>
        <stp>2326325624B0:BlkVol</stp>
        <tr r="O806" s="5"/>
      </tp>
    </main>
    <main first="bofaddin.rtdserver">
      <tp t="s">
        <v>#N/A N/A</v>
        <stp/>
        <stp>BDH|8030019703619653579</stp>
        <tr r="J3" s="14"/>
      </tp>
      <tp t="s">
        <v>#N/A N/A</v>
        <stp/>
        <stp>BDH|5166760733507224258</stp>
        <tr r="AX47" s="1"/>
      </tp>
      <tp t="s">
        <v>#N/A N/A</v>
        <stp/>
        <stp>BDH|3482605458136916266</stp>
        <tr r="AW45" s="1"/>
      </tp>
    </main>
    <main first="ice.rtd">
      <tp>
        <v>0</v>
        <stp/>
        <stp>2185324625B0:BlkVol</stp>
        <tr r="O78" s="5"/>
      </tp>
    </main>
    <main first="bofaddin.rtdserver">
      <tp t="s">
        <v>#N/A N/A</v>
        <stp/>
        <stp>BDH|1656588752513556694</stp>
        <tr r="J4" s="14"/>
      </tp>
      <tp t="s">
        <v>#N/A N/A</v>
        <stp/>
        <stp>BDH|6831630139812460562</stp>
        <tr r="J31" s="14"/>
      </tp>
      <tp t="s">
        <v>#N/A Requesting Data...3257030136</v>
        <stp/>
        <stp>BDP|1493102623542563438</stp>
        <tr r="I30" s="23"/>
        <tr r="I74" s="23"/>
      </tp>
      <tp t="s">
        <v>#N/A N/A</v>
        <stp/>
        <stp>BDH|6259405264725128566</stp>
        <tr r="BA52" s="1"/>
        <tr r="BA52" s="1"/>
      </tp>
    </main>
    <main first="ice.rtd">
      <tp>
        <v>0</v>
        <stp/>
        <stp>2505226937B0:BlkVol</stp>
        <tr r="O768" s="5"/>
      </tp>
    </main>
    <main first="bofaddin.rtdserver">
      <tp t="s">
        <v>#N/A N/A</v>
        <stp/>
        <stp>BDH|6969392863261232671</stp>
        <tr r="K56" s="16"/>
      </tp>
      <tp t="s">
        <v>#N/A N/A</v>
        <stp/>
        <stp>BDH|1430466766531747645</stp>
        <tr r="AV26" s="1"/>
      </tp>
      <tp t="s">
        <v>#N/A N/A</v>
        <stp/>
        <stp>BDH|1101758340542558460</stp>
        <tr r="I60" s="16"/>
      </tp>
      <tp t="s">
        <v>#N/A N/A</v>
        <stp/>
        <stp>BDH|2921491466702699670</stp>
        <tr r="AW26" s="1"/>
      </tp>
      <tp t="b">
        <v>0</v>
        <stp/>
        <stp>BDH|6389434741415636704</stp>
        <tr r="F3" s="24"/>
      </tp>
      <tp t="s">
        <v>#N/A N/A</v>
        <stp/>
        <stp>BDH|4465902328063987822</stp>
        <tr r="AZ42" s="1"/>
      </tp>
      <tp t="s">
        <v>#N/A Requesting Data...2704223587</v>
        <stp/>
        <stp>BDP|2857497024174133400</stp>
        <tr r="AF114" s="23"/>
      </tp>
      <tp t="s">
        <v>#N/A N/A</v>
        <stp/>
        <stp>BDH|8279900723302020551</stp>
        <tr r="AV61" s="1"/>
      </tp>
      <tp t="s">
        <v>#N/A Requesting Data...4159565308</v>
        <stp/>
        <stp>BDP|8174654491967180410</stp>
        <tr r="AF121" s="23"/>
      </tp>
      <tp t="s">
        <v>#N/A N/A</v>
        <stp/>
        <stp>BDH|6053069150115549263</stp>
        <tr r="I41" s="16"/>
      </tp>
      <tp>
        <v>1215.5</v>
        <stp/>
        <stp>BDP|11508536249203733938|222</stp>
        <stp>QSZ6 Comdty</stp>
        <stp>BID</stp>
        <stp>Fill=#N/A</stp>
        <tr r="H22" s="1"/>
      </tp>
      <tp>
        <v>934.75</v>
        <stp/>
        <stp>BDP|12783271282526088586|222</stp>
        <stp>QSX7 Comdty</stp>
        <stp>ASK</stp>
        <stp>Fill=#N/A</stp>
        <tr r="H33" s="1"/>
      </tp>
      <tp>
        <v>918.5</v>
        <stp/>
        <stp>BDP|18078435403218043634|222</stp>
        <stp>QSZ7 Comdty</stp>
        <stp>ASK</stp>
        <stp>Fill=#N/A</stp>
        <tr r="H34" s="1"/>
      </tp>
      <tp t="s">
        <v>#N/A</v>
        <stp/>
        <stp>BDP|14491916502698012084|222</stp>
        <stp>HOV9 Comdty</stp>
        <stp>ASK</stp>
        <stp>Fill=#N/A</stp>
        <tr r="I56" s="1"/>
      </tp>
      <tp>
        <v>77.790000000000006</v>
        <stp/>
        <stp>BDP|15700399099002321477|222</stp>
        <stp>COV7 Comdty</stp>
        <stp>ASK</stp>
        <stp>Fill=#N/A</stp>
        <tr r="G32" s="1"/>
      </tp>
      <tp>
        <v>281.79000000000002</v>
        <stp/>
        <stp>BDP|14271296043322241776|222</stp>
        <stp>XBZ6 Comdty</stp>
        <stp>ASK</stp>
        <stp>Fill=#N/A</stp>
        <tr r="J22" s="1"/>
      </tp>
    </main>
    <main first="ice.rtd">
      <tp>
        <v>0</v>
        <stp/>
        <stp>34404098Q8:BlkVol</stp>
        <tr r="O627" s="5"/>
      </tp>
      <tp>
        <v>0</v>
        <stp/>
        <stp>34414099Q8:BlkVol</stp>
        <tr r="O112" s="5"/>
      </tp>
      <tp>
        <v>0</v>
        <stp/>
        <stp>34404098Q6:BlkVol</stp>
        <tr r="O625" s="5"/>
      </tp>
      <tp>
        <v>0</v>
        <stp/>
        <stp>34414099Q6:BlkVol</stp>
        <tr r="O110" s="5"/>
      </tp>
      <tp>
        <v>0</v>
        <stp/>
        <stp>34404098Q7:BlkVol</stp>
        <tr r="O626" s="5"/>
      </tp>
      <tp>
        <v>0</v>
        <stp/>
        <stp>34414099Q7:BlkVol</stp>
        <tr r="O111" s="5"/>
      </tp>
      <tp>
        <v>0</v>
        <stp/>
        <stp>34404098Q4:BlkVol</stp>
        <tr r="O623" s="5"/>
      </tp>
      <tp>
        <v>0</v>
        <stp/>
        <stp>34414099Q4:BlkVol</stp>
        <tr r="O108" s="5"/>
      </tp>
      <tp>
        <v>0</v>
        <stp/>
        <stp>34404098Q5:BlkVol</stp>
        <tr r="O624" s="5"/>
      </tp>
      <tp>
        <v>0</v>
        <stp/>
        <stp>34414099Q5:BlkVol</stp>
        <tr r="O109" s="5"/>
      </tp>
      <tp>
        <v>0</v>
        <stp/>
        <stp>34404098Q2:BlkVol</stp>
        <tr r="O621" s="5"/>
      </tp>
      <tp>
        <v>0</v>
        <stp/>
        <stp>34414099Q2:BlkVol</stp>
        <tr r="O106" s="5"/>
      </tp>
      <tp>
        <v>0</v>
        <stp/>
        <stp>34404098Q3:BlkVol</stp>
        <tr r="O622" s="5"/>
      </tp>
      <tp>
        <v>0</v>
        <stp/>
        <stp>34414099Q3:BlkVol</stp>
        <tr r="O107" s="5"/>
      </tp>
      <tp>
        <v>0</v>
        <stp/>
        <stp>34404098Q0:BlkVol</stp>
        <tr r="O619" s="5"/>
      </tp>
      <tp>
        <v>0</v>
        <stp/>
        <stp>34414099Q0:BlkVol</stp>
        <tr r="O104" s="5"/>
      </tp>
      <tp>
        <v>0</v>
        <stp/>
        <stp>34404098Q1:BlkVol</stp>
        <tr r="O620" s="5"/>
      </tp>
      <tp>
        <v>0</v>
        <stp/>
        <stp>34414099Q1:BlkVol</stp>
        <tr r="O105" s="5"/>
      </tp>
      <tp t="s">
        <v>Invalid Market: 34404098Y2</v>
        <stp/>
        <stp>34404098Y2:BlkVol</stp>
        <tr r="O630" s="5"/>
      </tp>
      <tp>
        <v>0</v>
        <stp/>
        <stp>34414099Y2:BlkVol</stp>
        <tr r="O115" s="5"/>
      </tp>
      <tp>
        <v>0</v>
        <stp/>
        <stp>34404098Y0:BlkVol</stp>
        <tr r="O628" s="5"/>
      </tp>
      <tp>
        <v>0</v>
        <stp/>
        <stp>34414099Y0:BlkVol</stp>
        <tr r="O113" s="5"/>
      </tp>
      <tp>
        <v>0</v>
        <stp/>
        <stp>34404098Y1:BlkVol</stp>
        <tr r="O629" s="5"/>
      </tp>
      <tp>
        <v>0</v>
        <stp/>
        <stp>34414099Y1:BlkVol</stp>
        <tr r="O114" s="5"/>
      </tp>
    </main>
    <main first="bofaddin.rtdserver">
      <tp>
        <v>202</v>
        <stp/>
        <stp>BDP|11496510954067450341|222</stp>
        <stp>HOX8 Comdty</stp>
        <stp>BID</stp>
        <stp>Fill=#N/A</stp>
        <tr r="I45" s="1"/>
      </tp>
    </main>
    <main first="ice.rtd">
      <tp>
        <v>0</v>
        <stp/>
        <stp>34404098M8:BlkVol</stp>
        <tr r="O602" s="5"/>
      </tp>
      <tp>
        <v>0</v>
        <stp/>
        <stp>34414099M8:BlkVol</stp>
        <tr r="O87" s="5"/>
      </tp>
      <tp>
        <v>0</v>
        <stp/>
        <stp>34404098M9:BlkVol</stp>
        <tr r="O603" s="5"/>
      </tp>
      <tp>
        <v>0</v>
        <stp/>
        <stp>34414099M9:BlkVol</stp>
        <tr r="O88" s="5"/>
      </tp>
      <tp>
        <v>0</v>
        <stp/>
        <stp>34404098M6:BlkVol</stp>
        <tr r="O600" s="5"/>
      </tp>
      <tp>
        <v>0</v>
        <stp/>
        <stp>34414099M6:BlkVol</stp>
        <tr r="O85" s="5"/>
      </tp>
      <tp>
        <v>0</v>
        <stp/>
        <stp>34404098M7:BlkVol</stp>
        <tr r="O601" s="5"/>
      </tp>
      <tp>
        <v>0</v>
        <stp/>
        <stp>34414099M7:BlkVol</stp>
        <tr r="O86" s="5"/>
      </tp>
      <tp>
        <v>0</v>
        <stp/>
        <stp>34404098M4:BlkVol</stp>
        <tr r="O598" s="5"/>
      </tp>
      <tp>
        <v>0</v>
        <stp/>
        <stp>34414099M4:BlkVol</stp>
        <tr r="O83" s="5"/>
      </tp>
      <tp>
        <v>0</v>
        <stp/>
        <stp>34404098M5:BlkVol</stp>
        <tr r="O599" s="5"/>
      </tp>
      <tp>
        <v>0</v>
        <stp/>
        <stp>34414099M5:BlkVol</stp>
        <tr r="O84" s="5"/>
      </tp>
      <tp>
        <v>0</v>
        <stp/>
        <stp>34404098M2:BlkVol</stp>
        <tr r="O596" s="5"/>
      </tp>
      <tp>
        <v>0</v>
        <stp/>
        <stp>34414099M2:BlkVol</stp>
        <tr r="O81" s="5"/>
      </tp>
      <tp>
        <v>0</v>
        <stp/>
        <stp>34404098M3:BlkVol</stp>
        <tr r="O597" s="5"/>
      </tp>
      <tp>
        <v>56</v>
        <stp/>
        <stp>34414099M3:BlkVol</stp>
        <tr r="O82" s="5"/>
      </tp>
      <tp>
        <v>0</v>
        <stp/>
        <stp>34404098M0:BlkVol</stp>
        <tr r="O594" s="5"/>
      </tp>
      <tp>
        <v>0</v>
        <stp/>
        <stp>34414099M0:BlkVol</stp>
        <tr r="O79" s="5"/>
      </tp>
      <tp>
        <v>0</v>
        <stp/>
        <stp>34404098M1:BlkVol</stp>
        <tr r="O595" s="5"/>
      </tp>
      <tp>
        <v>140</v>
        <stp/>
        <stp>34414099M1:BlkVol</stp>
        <tr r="O80" s="5"/>
      </tp>
    </main>
    <main first="bofaddin.rtdserver">
      <tp>
        <v>6.5751999999999997</v>
        <stp/>
        <stp>BFXFORWARD|12799803847842850029|222</stp>
        <stp>USDCNY</stp>
        <stp>12M</stp>
        <stp>MidOutright</stp>
        <tr r="BD32" s="1"/>
      </tp>
    </main>
    <main first="ice.rtd">
      <tp t="s">
        <v/>
        <stp/>
        <stp>1517M18:LstPrc</stp>
        <tr r="I21" s="5"/>
      </tp>
      <tp t="s">
        <v/>
        <stp/>
        <stp>1517M19:LstPrc</stp>
        <tr r="I22" s="5"/>
      </tp>
      <tp t="s">
        <v/>
        <stp/>
        <stp>1517M14:LstPrc</stp>
        <tr r="I17" s="5"/>
      </tp>
      <tp t="s">
        <v/>
        <stp/>
        <stp>1517M15:LstPrc</stp>
        <tr r="I18" s="5"/>
      </tp>
      <tp t="s">
        <v/>
        <stp/>
        <stp>1517M16:LstPrc</stp>
        <tr r="I19" s="5"/>
      </tp>
      <tp t="s">
        <v/>
        <stp/>
        <stp>1517M17:LstPrc</stp>
        <tr r="I20" s="5"/>
      </tp>
      <tp t="s">
        <v/>
        <stp/>
        <stp>1517M10:LstPrc</stp>
        <tr r="I13" s="5"/>
      </tp>
      <tp>
        <v>1.03</v>
        <stp/>
        <stp>1517M11:LstPrc</stp>
        <tr r="I14" s="5"/>
      </tp>
      <tp>
        <v>0.97</v>
        <stp/>
        <stp>1517M12:LstPrc</stp>
        <tr r="I15" s="5"/>
      </tp>
      <tp t="s">
        <v/>
        <stp/>
        <stp>1517M13:LstPrc</stp>
        <tr r="I16" s="5"/>
      </tp>
      <tp t="s">
        <v/>
        <stp/>
        <stp>1517M24:LstPrc</stp>
        <tr r="I27" s="5"/>
      </tp>
      <tp t="s">
        <v/>
        <stp/>
        <stp>1517M20:LstPrc</stp>
        <tr r="I23" s="5"/>
      </tp>
      <tp t="s">
        <v/>
        <stp/>
        <stp>1517M21:LstPrc</stp>
        <tr r="I24" s="5"/>
      </tp>
      <tp t="s">
        <v/>
        <stp/>
        <stp>1517M22:LstPrc</stp>
        <tr r="I25" s="5"/>
      </tp>
      <tp t="s">
        <v/>
        <stp/>
        <stp>1517M23:LstPrc</stp>
        <tr r="I26" s="5"/>
      </tp>
      <tp t="s">
        <v/>
        <stp/>
        <stp>161913535YY0:LstPrc</stp>
        <tr r="I2057" s="5"/>
      </tp>
      <tp t="s">
        <v/>
        <stp/>
        <stp>161913535QQ0:LstPrc</stp>
        <tr r="I2055" s="5"/>
      </tp>
      <tp t="s">
        <v/>
        <stp/>
        <stp>161913535QQ1:LstPrc</stp>
        <tr r="I2056" s="5"/>
      </tp>
      <tp>
        <v>69.623999999999967</v>
        <stp/>
        <stp>366531MM3:Settle</stp>
        <tr r="U1718" s="5"/>
      </tp>
      <tp>
        <v>58.874000000000024</v>
        <stp/>
        <stp>366531MM2:Settle</stp>
        <tr r="U1717" s="5"/>
      </tp>
      <tp>
        <v>46.624000000000024</v>
        <stp/>
        <stp>366531MM1:Settle</stp>
        <tr r="U1716" s="5"/>
      </tp>
      <tp>
        <v>30.874000000000024</v>
        <stp/>
        <stp>366531MM0:Settle</stp>
        <tr r="U1715" s="5"/>
      </tp>
      <tp>
        <v>95.873999999999967</v>
        <stp/>
        <stp>366531MM7:Settle</stp>
        <tr r="U1722" s="5"/>
      </tp>
      <tp>
        <v>90.873999999999967</v>
        <stp/>
        <stp>366531MM6:Settle</stp>
        <tr r="U1721" s="5"/>
      </tp>
      <tp>
        <v>85.373999999999967</v>
        <stp/>
        <stp>366531MM5:Settle</stp>
        <tr r="U1720" s="5"/>
      </tp>
      <tp>
        <v>78.373999999999967</v>
        <stp/>
        <stp>366531MM4:Settle</stp>
        <tr r="U1719" s="5"/>
      </tp>
      <tp>
        <v>127.12399999999997</v>
        <stp/>
        <stp>366531MM9:Settle</stp>
        <tr r="U1724" s="5"/>
      </tp>
      <tp>
        <v>111.87399999999997</v>
        <stp/>
        <stp>366531MM8:Settle</stp>
        <tr r="U1723" s="5"/>
      </tp>
      <tp t="s">
        <v>Sep26/Sep27</v>
        <stp/>
        <stp>161913535MM9:Strip</stp>
        <tr r="E2036" s="5"/>
      </tp>
      <tp>
        <v>18.165999999999997</v>
        <stp/>
        <stp>366531QQ1:Settle</stp>
        <tr r="U1744" s="5"/>
      </tp>
      <tp>
        <v>32.334000000000003</v>
        <stp/>
        <stp>366531QQ0:Settle</stp>
        <tr r="U1743" s="5"/>
      </tp>
      <tp t="s">
        <v>Q3 27</v>
        <stp/>
        <stp>1581618115Q3:Strip</stp>
        <tr r="E477" s="5"/>
      </tp>
      <tp t="s">
        <v>Dec26</v>
        <stp/>
        <stp>1581618115M3:Strip</stp>
        <tr r="E462" s="5"/>
      </tp>
      <tp t="s">
        <v>Q3 27</v>
        <stp/>
        <stp>1923422331Q3:Strip</stp>
        <tr r="E1645" s="5"/>
      </tp>
      <tp t="s">
        <v>Dec26</v>
        <stp/>
        <stp>1923422331M3:Strip</stp>
        <tr r="E1630" s="5"/>
      </tp>
      <tp t="s">
        <v>Bal Month</v>
        <stp/>
        <stp>2185624628B0:Strip</stp>
        <tr r="E745" s="5"/>
      </tp>
      <tp t="s">
        <v>Bal Month</v>
        <stp/>
        <stp>2325425615B0:Strip</stp>
        <tr r="E555" s="5"/>
      </tp>
      <tp t="s">
        <v>Bal Month</v>
        <stp/>
        <stp>2325325614B0:Strip</stp>
        <tr r="E517" s="5"/>
      </tp>
      <tp t="s">
        <v>Nov26</v>
        <stp/>
        <stp>41787896M2:Strip</stp>
        <tr r="E809" s="5"/>
      </tp>
      <tp t="s">
        <v>Q2 27</v>
        <stp/>
        <stp>41787896Q2:Strip</stp>
        <tr r="E834" s="5"/>
      </tp>
      <tp t="s">
        <v>Cal 29</v>
        <stp/>
        <stp>41787896Y2:Strip</stp>
        <tr r="E843" s="5"/>
      </tp>
      <tp t="s">
        <v>Nov26</v>
        <stp/>
        <stp>41767893M2:Strip</stp>
        <tr r="E482" s="5"/>
      </tp>
      <tp t="s">
        <v>Q2 27</v>
        <stp/>
        <stp>41767893Q2:Strip</stp>
        <tr r="E507" s="5"/>
      </tp>
      <tp t="s">
        <v>Invalid Market: 41767893Y2</v>
        <stp/>
        <stp>41767893Y2:Strip</stp>
        <tr r="E516" s="5"/>
      </tp>
      <tp t="s">
        <v>Bal Month</v>
        <stp/>
        <stp>2325225613B0:Strip</stp>
        <tr r="E631" s="5"/>
      </tp>
      <tp t="s">
        <v>Apr27</v>
        <stp/>
        <stp>3124331018M7:Strip</stp>
        <tr r="E1612" s="5"/>
      </tp>
      <tp t="s">
        <v>Q4 26</v>
        <stp/>
        <stp>32623993Q0:Strip</stp>
        <tr r="E2015" s="5"/>
      </tp>
      <tp t="s">
        <v>Cal 27</v>
        <stp/>
        <stp>32623993Y0:Strip</stp>
        <tr r="E2024" s="5"/>
      </tp>
      <tp t="s">
        <v>Sep26</v>
        <stp/>
        <stp>32613992M0:Strip</stp>
        <tr r="E1225" s="5"/>
      </tp>
      <tp t="s">
        <v>Q4 26</v>
        <stp/>
        <stp>32613992Q0:Strip</stp>
        <tr r="E1250" s="5"/>
      </tp>
      <tp t="s">
        <v>Cal 27</v>
        <stp/>
        <stp>32613992Y0:Strip</stp>
        <tr r="E1259" s="5"/>
      </tp>
      <tp t="s">
        <v>Bal Month</v>
        <stp/>
        <stp>2325125612B0:Strip</stp>
        <tr r="E669" s="5"/>
      </tp>
      <tp t="s">
        <v>Bal Month</v>
        <stp/>
        <stp>2185224624B0:Strip</stp>
        <tr r="E593" s="5"/>
      </tp>
      <tp t="s">
        <v>Q4 26</v>
        <stp/>
        <stp>2755728678Q0:Strip</stp>
        <tr r="E1136" s="5"/>
      </tp>
      <tp t="s">
        <v>Cal 27</v>
        <stp/>
        <stp>2755728678Y0:Strip</stp>
        <tr r="E1145" s="5"/>
      </tp>
      <tp t="s">
        <v>Sep26</v>
        <stp/>
        <stp>2755728678M0:Strip</stp>
        <tr r="E1111" s="5"/>
      </tp>
      <tp t="s">
        <v>Bal Month</v>
        <stp/>
        <stp>2185324625B0:Strip</stp>
        <tr r="E78" s="5"/>
      </tp>
      <tp t="s">
        <v/>
        <stp/>
        <stp>161913535MM6:LstPrc</stp>
        <tr r="I2033" s="5"/>
      </tp>
      <tp t="s">
        <v/>
        <stp/>
        <stp>161913535MM7:LstPrc</stp>
        <tr r="I2034" s="5"/>
      </tp>
      <tp t="s">
        <v/>
        <stp/>
        <stp>161913535MM4:LstPrc</stp>
        <tr r="I2031" s="5"/>
      </tp>
      <tp t="s">
        <v/>
        <stp/>
        <stp>161913535MM5:LstPrc</stp>
        <tr r="I2032" s="5"/>
      </tp>
      <tp t="s">
        <v/>
        <stp/>
        <stp>161913535MM2:LstPrc</stp>
        <tr r="I2029" s="5"/>
      </tp>
      <tp t="s">
        <v/>
        <stp/>
        <stp>161913535MM3:LstPrc</stp>
        <tr r="I2030" s="5"/>
      </tp>
      <tp t="s">
        <v/>
        <stp/>
        <stp>161913535MM0:LstPrc</stp>
        <tr r="I2027" s="5"/>
      </tp>
      <tp t="s">
        <v/>
        <stp/>
        <stp>161913535MM1:LstPrc</stp>
        <tr r="I2028" s="5"/>
      </tp>
      <tp t="s">
        <v/>
        <stp/>
        <stp>161913535MM8:LstPrc</stp>
        <tr r="I2035" s="5"/>
      </tp>
      <tp t="s">
        <v/>
        <stp/>
        <stp>161913535MM9:LstPrc</stp>
        <tr r="I2036" s="5"/>
      </tp>
      <tp t="s">
        <v>May27</v>
        <stp/>
        <stp>16331513M8:Strip</stp>
        <tr r="E1423" s="5"/>
      </tp>
      <tp t="s">
        <v>May27</v>
        <stp/>
        <stp>16341514M8:Strip</stp>
        <tr r="E1461" s="5"/>
      </tp>
      <tp t="s">
        <v>May27</v>
        <stp/>
        <stp>16351515M8:Strip</stp>
        <tr r="E1499" s="5"/>
      </tp>
      <tp t="s">
        <v>Q4 28</v>
        <stp/>
        <stp>16331513Q8:Strip</stp>
        <tr r="E1448" s="5"/>
      </tp>
      <tp t="s">
        <v>Q4 28</v>
        <stp/>
        <stp>16341514Q8:Strip</stp>
        <tr r="E1486" s="5"/>
      </tp>
      <tp t="s">
        <v>Q4 28</v>
        <stp/>
        <stp>16351515Q8:Strip</stp>
        <tr r="E1524" s="5"/>
      </tp>
      <tp t="s">
        <v>Jan27</v>
        <stp/>
        <stp>29243602M4:Strip</stp>
        <tr r="E750" s="5"/>
      </tp>
      <tp t="s">
        <v>Q4 27</v>
        <stp/>
        <stp>29243602Q4:Strip</stp>
        <tr r="E766" s="5"/>
      </tp>
      <tp t="s">
        <v>Q4 26</v>
        <stp/>
        <stp>2755828679Q0:Strip</stp>
        <tr r="E1022" s="5"/>
      </tp>
      <tp t="s">
        <v>Cal 27</v>
        <stp/>
        <stp>2755828679Y0:Strip</stp>
        <tr r="E1031" s="5"/>
      </tp>
      <tp t="s">
        <v>Sep26</v>
        <stp/>
        <stp>2755828679M0:Strip</stp>
        <tr r="E997" s="5"/>
      </tp>
      <tp>
        <v>36.621000000000038</v>
        <stp/>
        <stp>366531YY0:Settle</stp>
        <tr r="U1745" s="5"/>
      </tp>
      <tp t="s">
        <v>Q1 28</v>
        <stp/>
        <stp>1986823075Q5:Strip</stp>
        <tr r="E147" s="5"/>
      </tp>
      <tp t="s">
        <v>Feb27</v>
        <stp/>
        <stp>1986823075M5:Strip</stp>
        <tr r="E122" s="5"/>
      </tp>
      <tp t="s">
        <v>Feb27</v>
        <stp/>
        <stp>18871685M5:Strip</stp>
        <tr r="E426" s="5"/>
      </tp>
      <tp t="s">
        <v>Q1 28</v>
        <stp/>
        <stp>18871685Q5:Strip</stp>
        <tr r="E451" s="5"/>
      </tp>
      <tp t="s">
        <v>Feb27</v>
        <stp/>
        <stp>18851683M5:Strip</stp>
        <tr r="E198" s="5"/>
      </tp>
      <tp t="s">
        <v>Q1 28</v>
        <stp/>
        <stp>18851683Q5:Strip</stp>
        <tr r="E223" s="5"/>
      </tp>
      <tp t="s">
        <v>Q1 28</v>
        <stp/>
        <stp>1986923076Q5:Strip</stp>
        <tr r="E185" s="5"/>
      </tp>
      <tp t="s">
        <v>Feb27</v>
        <stp/>
        <stp>1986923076M5:Strip</stp>
        <tr r="E160" s="5"/>
      </tp>
      <tp t="s">
        <v>Feb27</v>
        <stp/>
        <stp>18901687M5:Strip</stp>
        <tr r="E312" s="5"/>
      </tp>
      <tp t="s">
        <v>Q1 28</v>
        <stp/>
        <stp>18901687Q5:Strip</stp>
        <tr r="E337" s="5"/>
      </tp>
      <tp t="s">
        <v>Q2 27</v>
        <stp/>
        <stp>2044823525Q2:Strip</stp>
        <tr r="E1772" s="5"/>
      </tp>
      <tp t="s">
        <v>Dec26</v>
        <stp/>
        <stp>2044823525M2:Strip</stp>
        <tr r="E1749" s="5"/>
      </tp>
      <tp t="s">
        <v>Invalid Market: 297449133BM0</v>
        <stp/>
        <stp>297449133BM0:LstPrc</stp>
        <tr r="I2026" s="5"/>
      </tp>
      <tp t="s">
        <v>Q2 28</v>
        <stp/>
        <stp>2427026287Q6:Strip</stp>
        <tr r="E1180" s="5"/>
      </tp>
      <tp t="s">
        <v>Mar27</v>
        <stp/>
        <stp>2427026287M6:Strip</stp>
        <tr r="E1155" s="5"/>
      </tp>
      <tp t="s">
        <v>Bal Month</v>
        <stp/>
        <stp>2325825619B0:Strip</stp>
        <tr r="E40" s="5"/>
      </tp>
      <tp t="s">
        <v>Q2 28</v>
        <stp/>
        <stp>2427126288Q6:Strip</stp>
        <tr r="E1066" s="5"/>
      </tp>
      <tp t="s">
        <v>Mar27</v>
        <stp/>
        <stp>2427126288M6:Strip</stp>
        <tr r="E1041" s="5"/>
      </tp>
    </main>
    <main first="bofaddin.rtdserver">
      <tp t="s">
        <v>#N/A</v>
        <stp/>
        <stp>BDP|9859792163162328641|222</stp>
        <stp>MUCM8N8 Comdty</stp>
        <stp>ASK</stp>
        <stp>Fill=#N/A</stp>
        <tr r="S41" s="1"/>
      </tp>
      <tp t="s">
        <v>#N/A</v>
        <stp/>
        <stp>BDP|1446977317359914588|222</stp>
        <stp>MUCM0N0 Comdty</stp>
        <stp>ASK</stp>
        <stp>Fill=#N/A</stp>
        <tr r="S65" s="1"/>
      </tp>
      <tp>
        <v>3.12</v>
        <stp/>
        <stp>BDP|7733804887422838843|222</stp>
        <stp>MUCF7G7 Comdty</stp>
        <stp>ASK</stp>
        <stp>Fill=#N/A</stp>
        <tr r="S24" s="1"/>
      </tp>
      <tp t="s">
        <v>#N/A</v>
        <stp/>
        <stp>BDP|2917795529193597620|222</stp>
        <stp>MUCH8J8 Comdty</stp>
        <stp>BID</stp>
        <stp>Fill=#N/A</stp>
        <tr r="S38" s="1"/>
      </tp>
    </main>
    <main first="ice.rtd">
      <tp t="s">
        <v>Oct26/Jun27</v>
        <stp/>
        <stp>15061297MM13:Strip</stp>
        <tr r="E1696" s="5"/>
      </tp>
      <tp t="s">
        <v>Dec26/Jan27</v>
        <stp/>
        <stp>15061297MM23:Strip</stp>
        <tr r="E1706" s="5"/>
      </tp>
      <tp t="s">
        <v/>
        <stp/>
        <stp>2324625607B0:LstPrc</stp>
        <tr r="I192" s="5"/>
      </tp>
      <tp t="s">
        <v/>
        <stp/>
        <stp>2326425625B0:LstPrc</stp>
        <tr r="I1262" s="5"/>
      </tp>
    </main>
    <main first="ice.rtd">
      <tp t="s">
        <v/>
        <stp/>
        <stp>2049123570B0:LstPrc</stp>
        <tr r="I230" s="5"/>
      </tp>
    </main>
    <main first="bofaddin.rtdserver">
      <tp t="s">
        <v>#N/A N/A</v>
        <stp/>
        <stp>BDH|9651469669027700947</stp>
        <tr r="L13" s="25"/>
      </tp>
      <tp t="s">
        <v>#N/A N/A</v>
        <stp/>
        <stp>BDH|2141533369827216333</stp>
        <tr r="J36" s="14"/>
      </tp>
      <tp t="s">
        <v>#N/A N/A</v>
        <stp/>
        <stp>BDH|7937658637263533444</stp>
        <tr r="G91" s="16"/>
      </tp>
    </main>
    <main first="ice.rtd">
      <tp>
        <v>0</v>
        <stp/>
        <stp>2755728678M0:BlkVol</stp>
        <tr r="O1111" s="5"/>
      </tp>
      <tp>
        <v>23</v>
        <stp/>
        <stp>2755728678M1:BlkVol</stp>
        <tr r="O1112" s="5"/>
      </tp>
      <tp>
        <v>0</v>
        <stp/>
        <stp>2755728678M2:BlkVol</stp>
        <tr r="O1113" s="5"/>
      </tp>
      <tp>
        <v>0</v>
        <stp/>
        <stp>2755728678M3:BlkVol</stp>
        <tr r="O1114" s="5"/>
      </tp>
      <tp>
        <v>0</v>
        <stp/>
        <stp>2755728678M4:BlkVol</stp>
        <tr r="O1115" s="5"/>
      </tp>
      <tp>
        <v>0</v>
        <stp/>
        <stp>2755728678M5:BlkVol</stp>
        <tr r="O1116" s="5"/>
      </tp>
      <tp>
        <v>0</v>
        <stp/>
        <stp>2755728678M6:BlkVol</stp>
        <tr r="O1117" s="5"/>
      </tp>
      <tp>
        <v>0</v>
        <stp/>
        <stp>2755728678M7:BlkVol</stp>
        <tr r="O1118" s="5"/>
      </tp>
      <tp>
        <v>0</v>
        <stp/>
        <stp>2755728678M8:BlkVol</stp>
        <tr r="O1119" s="5"/>
      </tp>
      <tp>
        <v>0</v>
        <stp/>
        <stp>2755728678M9:BlkVol</stp>
        <tr r="O1120" s="5"/>
      </tp>
      <tp>
        <v>0</v>
        <stp/>
        <stp>2755728678Q0:BlkVol</stp>
        <tr r="O1136" s="5"/>
      </tp>
      <tp>
        <v>0</v>
        <stp/>
        <stp>2755728678Q1:BlkVol</stp>
        <tr r="O1137" s="5"/>
      </tp>
      <tp>
        <v>0</v>
        <stp/>
        <stp>2755728678Q2:BlkVol</stp>
        <tr r="O1138" s="5"/>
      </tp>
      <tp>
        <v>0</v>
        <stp/>
        <stp>2755728678Q3:BlkVol</stp>
        <tr r="O1139" s="5"/>
      </tp>
      <tp>
        <v>0</v>
        <stp/>
        <stp>2755728678Q4:BlkVol</stp>
        <tr r="O1140" s="5"/>
      </tp>
      <tp>
        <v>0</v>
        <stp/>
        <stp>2755728678Q5:BlkVol</stp>
        <tr r="O1141" s="5"/>
      </tp>
      <tp>
        <v>0</v>
        <stp/>
        <stp>2755728678Q6:BlkVol</stp>
        <tr r="O1142" s="5"/>
      </tp>
      <tp>
        <v>0</v>
        <stp/>
        <stp>2755728678Q7:BlkVol</stp>
        <tr r="O1143" s="5"/>
      </tp>
      <tp>
        <v>0</v>
        <stp/>
        <stp>2755728678Q8:BlkVol</stp>
        <tr r="O1144" s="5"/>
      </tp>
    </main>
    <main first="bofaddin.rtdserver">
      <tp t="s">
        <v>#N/A N/A</v>
        <stp/>
        <stp>BDH|4443719703222469490</stp>
        <tr r="AW61" s="1"/>
      </tp>
      <tp t="s">
        <v>#N/A N/A</v>
        <stp/>
        <stp>BDH|7830905425261491825</stp>
        <tr r="BB56" s="1"/>
      </tp>
    </main>
    <main first="ice.rtd">
      <tp>
        <v>0</v>
        <stp/>
        <stp>2755728678Y0:BlkVol</stp>
        <tr r="O1145" s="5"/>
      </tp>
      <tp>
        <v>0</v>
        <stp/>
        <stp>2755728678Y1:BlkVol</stp>
        <tr r="O1146" s="5"/>
      </tp>
      <tp>
        <v>0</v>
        <stp/>
        <stp>2755728678Y2:BlkVol</stp>
        <tr r="O1147" s="5"/>
      </tp>
    </main>
    <main first="bofaddin.rtdserver">
      <tp t="s">
        <v>#N/A N/A</v>
        <stp/>
        <stp>BDH|2930725611061572071</stp>
        <tr r="I15" s="14"/>
      </tp>
      <tp t="s">
        <v>#N/A N/A</v>
        <stp/>
        <stp>BDH|6454580633164718101</stp>
        <tr r="J28" s="14"/>
      </tp>
      <tp t="s">
        <v>#N/A N/A</v>
        <stp/>
        <stp>BDH|2992513442344372212</stp>
        <tr r="AV29" s="1"/>
      </tp>
      <tp t="s">
        <v>#N/A Requesting Data...2730673315</v>
        <stp/>
        <stp>BDP|5025475328977255144</stp>
        <tr r="F26" s="23"/>
        <tr r="F72" s="23"/>
      </tp>
      <tp t="s">
        <v>#N/A N/A</v>
        <stp/>
        <stp>BDH|9060747234738163089</stp>
        <tr r="AV49" s="1"/>
      </tp>
      <tp t="s">
        <v>#N/A Requesting Data...4145144942</v>
        <stp/>
        <stp>BDP|3946019234837065227</stp>
        <tr r="AM52" s="23"/>
      </tp>
      <tp t="s">
        <v>#N/A N/A</v>
        <stp/>
        <stp>BDH|7591858771804899962</stp>
        <tr r="C50" s="14"/>
      </tp>
      <tp t="s">
        <v>#N/A Requesting Data...2204497464</v>
        <stp/>
        <stp>BDP|6844625196378695462</stp>
        <tr r="N29" s="16"/>
        <tr r="N4" s="16"/>
        <tr r="N74" s="16"/>
      </tp>
      <tp t="s">
        <v>#N/A N/A</v>
        <stp/>
        <stp>BDH|6553357356917982234</stp>
        <tr r="AY58" s="1"/>
      </tp>
      <tp t="s">
        <v>#N/A N/A</v>
        <stp/>
        <stp>BDH|7739686916393387669</stp>
        <tr r="AZ62" s="1"/>
      </tp>
      <tp t="s">
        <v>#N/A Requesting Data...3098941755</v>
        <stp/>
        <stp>BDP|6804713756964023526</stp>
        <tr r="C36" s="23"/>
        <tr r="C77" s="23"/>
      </tp>
      <tp t="s">
        <v>#N/A N/A</v>
        <stp/>
        <stp>BDH|4128966657944466998</stp>
        <tr r="AX19" s="1"/>
      </tp>
      <tp t="s">
        <v>#N/A N/A</v>
        <stp/>
        <stp>BDH|5463618770711921010</stp>
        <tr r="G79" s="16"/>
      </tp>
      <tp t="s">
        <v>#N/A N/A</v>
        <stp/>
        <stp>BDH|6192956997762950171</stp>
        <tr r="G93" s="16"/>
      </tp>
      <tp t="s">
        <v>#N/A Requesting Data...3400084445</v>
        <stp/>
        <stp>BDP|7928117637571489194</stp>
        <tr r="AF51" s="23"/>
      </tp>
      <tp t="s">
        <v>#N/A N/A</v>
        <stp/>
        <stp>BDH|4905799833771943486</stp>
        <tr r="H64" s="16"/>
      </tp>
      <tp t="s">
        <v>#N/A N/A</v>
        <stp/>
        <stp>BDH|8155068339378972649</stp>
        <tr r="AZ37" s="1"/>
      </tp>
      <tp t="s">
        <v>#N/A N/A</v>
        <stp/>
        <stp>BDH|9397465787027992788</stp>
        <tr r="G57" s="16"/>
      </tp>
      <tp t="s">
        <v>#N/A N/A</v>
        <stp/>
        <stp>BDH|6443476591169683776</stp>
        <tr r="I77" s="16"/>
      </tp>
    </main>
    <main first="ice.rtd">
      <tp>
        <v>20</v>
        <stp/>
        <stp>2185224624B0:BlkVol</stp>
        <tr r="O593" s="5"/>
      </tp>
    </main>
    <main first="bofaddin.rtdserver">
      <tp t="s">
        <v>#N/A Requesting Data...4097073210</v>
        <stp/>
        <stp>BDP|1897092033441292614</stp>
        <tr r="AF120" s="23"/>
      </tp>
      <tp t="s">
        <v>#N/A N/A</v>
        <stp/>
        <stp>BDH|5567686167827938729</stp>
        <tr r="N35" s="16"/>
      </tp>
      <tp t="s">
        <v>#N/A N/A</v>
        <stp/>
        <stp>BDH|1518052021154755272</stp>
        <tr r="M39" s="16"/>
      </tp>
    </main>
    <main first="ice.rtd">
      <tp>
        <v>1304</v>
        <stp/>
        <stp>2183024603B0:BlkVol</stp>
        <tr r="O1625" s="5"/>
      </tp>
    </main>
    <main first="bofaddin.rtdserver">
      <tp t="s">
        <v>#N/A N/A</v>
        <stp/>
        <stp>BDH|9288365082694009303</stp>
        <tr r="C21" s="14"/>
      </tp>
      <tp t="s">
        <v>#N/A N/A</v>
        <stp/>
        <stp>BDH|2041708966332433447</stp>
        <tr r="AV22" s="1"/>
      </tp>
    </main>
    <main first="ice.rtd">
      <tp>
        <v>0</v>
        <stp/>
        <stp>2181924592B0:BlkVol</stp>
        <tr r="O1490" s="5"/>
      </tp>
      <tp>
        <v>306</v>
        <stp/>
        <stp>2326225623B0:BlkVol</stp>
        <tr r="O1300" s="5"/>
      </tp>
    </main>
    <main first="bofaddin.rtdserver">
      <tp t="s">
        <v>#N/A N/A</v>
        <stp/>
        <stp>BDH|2902386834337540045</stp>
        <tr r="BA47" s="1"/>
        <tr r="BA47" s="1"/>
      </tp>
      <tp t="s">
        <v>#N/A N/A</v>
        <stp/>
        <stp>BDH|4701462763597634402</stp>
        <tr r="I42" s="16"/>
      </tp>
    </main>
    <main first="ice.rtd">
      <tp>
        <v>0</v>
        <stp/>
        <stp>2325125612B0:BlkVol</stp>
        <tr r="O669" s="5"/>
      </tp>
    </main>
    <main first="bofaddin.rtdserver">
      <tp t="s">
        <v>#N/A N/A</v>
        <stp/>
        <stp>BDH|6675142163592438600</stp>
        <tr r="BC43" s="1"/>
      </tp>
      <tp t="s">
        <v>#N/A N/A</v>
        <stp/>
        <stp>BDH|2358326029411466798</stp>
        <tr r="G63" s="16"/>
      </tp>
      <tp t="s">
        <v>#N/A N/A</v>
        <stp/>
        <stp>BDH|6897554138013054606</stp>
        <tr r="AY30" s="1"/>
      </tp>
    </main>
    <main first="ice.rtd">
      <tp>
        <v>0</v>
        <stp/>
        <stp>30793693Y2:Vol</stp>
        <tr r="N919" s="5"/>
      </tp>
      <tp>
        <v>0</v>
        <stp/>
        <stp>30793693Y1:Vol</stp>
        <tr r="N918" s="5"/>
      </tp>
      <tp>
        <v>0</v>
        <stp/>
        <stp>30793693Y0:Vol</stp>
        <tr r="N917" s="5"/>
      </tp>
      <tp>
        <v>0</v>
        <stp/>
        <stp>17551596T8:BlkVol</stp>
        <tr r="O1545" s="5"/>
        <tr r="O1546" s="5"/>
      </tp>
      <tp>
        <v>0</v>
        <stp/>
        <stp>17551596T0:BlkVol</stp>
        <tr r="O1537" s="5"/>
      </tp>
      <tp>
        <v>0</v>
        <stp/>
        <stp>17551596T1:BlkVol</stp>
        <tr r="O1538" s="5"/>
      </tp>
      <tp>
        <v>0</v>
        <stp/>
        <stp>17551596T2:BlkVol</stp>
        <tr r="O1539" s="5"/>
      </tp>
      <tp>
        <v>0</v>
        <stp/>
        <stp>17551596T3:BlkVol</stp>
        <tr r="O1540" s="5"/>
      </tp>
      <tp>
        <v>0</v>
        <stp/>
        <stp>17551596T4:BlkVol</stp>
        <tr r="O1541" s="5"/>
      </tp>
      <tp>
        <v>0</v>
        <stp/>
        <stp>17551596T5:BlkVol</stp>
        <tr r="O1542" s="5"/>
      </tp>
      <tp>
        <v>0</v>
        <stp/>
        <stp>17551596T6:BlkVol</stp>
        <tr r="O1543" s="5"/>
      </tp>
      <tp>
        <v>0</v>
        <stp/>
        <stp>17551596T7:BlkVol</stp>
        <tr r="O1544" s="5"/>
      </tp>
    </main>
    <main first="bofaddin.rtdserver">
      <tp t="s">
        <v>#N/A Invalid Security</v>
        <stp/>
        <stp>BDP|15727944218369179487|222</stp>
        <stp>COQ0 Comdty</stp>
        <stp>BID</stp>
        <stp>Fill=#N/A</stp>
        <tr r="G66" s="1"/>
      </tp>
    </main>
    <main first="ice.rtd">
      <tp>
        <v>0</v>
        <stp/>
        <stp>266Y1:Vol</stp>
        <tr r="N956" s="5"/>
      </tp>
      <tp>
        <v>0</v>
        <stp/>
        <stp>266Y0:Vol</stp>
        <tr r="N955" s="5"/>
      </tp>
      <tp>
        <v>0</v>
        <stp/>
        <stp>266Y2:Vol</stp>
        <tr r="N957" s="5"/>
      </tp>
    </main>
    <main first="bofaddin.rtdserver">
      <tp t="s">
        <v>#N/A Invalid Security</v>
        <stp/>
        <stp>BDP|15808375300327462895|222</stp>
        <stp>CLQ0 Comdty</stp>
        <stp>BID</stp>
        <stp>Fill=#N/A</stp>
        <tr r="F66" s="1"/>
      </tp>
      <tp>
        <v>771.75</v>
        <stp/>
        <stp>BDP|11811811573573432418|222</stp>
        <stp>QSZ9 Comdty</stp>
        <stp>BID</stp>
        <stp>Fill=#N/A</stp>
        <tr r="H58" s="1"/>
      </tp>
      <tp>
        <v>973.5</v>
        <stp/>
        <stp>BDP|12401935491714565721|222</stp>
        <stp>QSQ7 Comdty</stp>
        <stp>BID</stp>
        <stp>Fill=#N/A</stp>
        <tr r="H30" s="1"/>
      </tp>
      <tp>
        <v>606.1</v>
        <stp/>
        <stp>BDP|762055916125496873|222</stp>
        <stp>SCPF27 Comdty</stp>
        <stp>ASK</stp>
        <stp>Fill=#N/A</stp>
        <tr r="M23" s="1"/>
      </tp>
    </main>
    <main first="ice.rtd">
      <tp>
        <v>0</v>
        <stp/>
        <stp>30793693Q8:Vol</stp>
        <tr r="N916" s="5"/>
      </tp>
      <tp>
        <v>0</v>
        <stp/>
        <stp>30793693Q3:Vol</stp>
        <tr r="N911" s="5"/>
      </tp>
      <tp>
        <v>0</v>
        <stp/>
        <stp>30793693Q2:Vol</stp>
        <tr r="N910" s="5"/>
      </tp>
      <tp>
        <v>0</v>
        <stp/>
        <stp>30793693Q1:Vol</stp>
        <tr r="N909" s="5"/>
      </tp>
      <tp>
        <v>0</v>
        <stp/>
        <stp>30793693Q0:Vol</stp>
        <tr r="N908" s="5"/>
      </tp>
      <tp>
        <v>0</v>
        <stp/>
        <stp>30793693Q7:Vol</stp>
        <tr r="N915" s="5"/>
      </tp>
      <tp>
        <v>0</v>
        <stp/>
        <stp>30793693Q6:Vol</stp>
        <tr r="N914" s="5"/>
      </tp>
      <tp>
        <v>0</v>
        <stp/>
        <stp>30793693Q5:Vol</stp>
        <tr r="N913" s="5"/>
      </tp>
      <tp>
        <v>0</v>
        <stp/>
        <stp>30793693Q4:Vol</stp>
        <tr r="N912" s="5"/>
      </tp>
    </main>
    <main first="bofaddin.rtdserver">
      <tp>
        <v>200</v>
        <stp/>
        <stp>BDP|13459074223652372705|222</stp>
        <stp>XBQ8 Comdty</stp>
        <stp>BID</stp>
        <stp>Fill=#N/A</stp>
        <tr r="J42" s="1"/>
      </tp>
    </main>
    <main first="ice.rtd">
      <tp>
        <v>0</v>
        <stp/>
        <stp>266Q8:Vol</stp>
        <tr r="N954" s="5"/>
      </tp>
      <tp>
        <v>0</v>
        <stp/>
        <stp>266Q1:Vol</stp>
        <tr r="N947" s="5"/>
      </tp>
      <tp>
        <v>0</v>
        <stp/>
        <stp>266Q0:Vol</stp>
        <tr r="N946" s="5"/>
      </tp>
      <tp>
        <v>0</v>
        <stp/>
        <stp>266Q3:Vol</stp>
        <tr r="N949" s="5"/>
      </tp>
      <tp>
        <v>0</v>
        <stp/>
        <stp>266Q2:Vol</stp>
        <tr r="N948" s="5"/>
      </tp>
      <tp>
        <v>0</v>
        <stp/>
        <stp>266Q5:Vol</stp>
        <tr r="N951" s="5"/>
      </tp>
      <tp>
        <v>0</v>
        <stp/>
        <stp>266Q4:Vol</stp>
        <tr r="N950" s="5"/>
      </tp>
      <tp>
        <v>0</v>
        <stp/>
        <stp>266Q7:Vol</stp>
        <tr r="N953" s="5"/>
      </tp>
      <tp>
        <v>0</v>
        <stp/>
        <stp>266Q6:Vol</stp>
        <tr r="N952" s="5"/>
      </tp>
    </main>
    <main first="bofaddin.rtdserver">
      <tp>
        <v>1348.25</v>
        <stp/>
        <stp>BDP|12732468764360926587|222</stp>
        <stp>QSV6 Comdty</stp>
        <stp>ASK</stp>
        <stp>Fill=#N/A</stp>
        <tr r="H20" s="1"/>
      </tp>
      <tp>
        <v>774.5</v>
        <stp/>
        <stp>BDP|13689258086019271676|222</stp>
        <stp>QSZ9 Comdty</stp>
        <stp>ASK</stp>
        <stp>Fill=#N/A</stp>
        <tr r="H58" s="1"/>
      </tp>
    </main>
    <main first="ice.rtd">
      <tp>
        <v>0</v>
        <stp/>
        <stp>266M9:Vol</stp>
        <tr r="N930" s="5"/>
      </tp>
      <tp>
        <v>0</v>
        <stp/>
        <stp>266M8:Vol</stp>
        <tr r="N929" s="5"/>
      </tp>
      <tp>
        <v>0</v>
        <stp/>
        <stp>266M1:Vol</stp>
        <tr r="N922" s="5"/>
      </tp>
      <tp>
        <v>0</v>
        <stp/>
        <stp>266M0:Vol</stp>
        <tr r="N921" s="5"/>
      </tp>
      <tp>
        <v>0</v>
        <stp/>
        <stp>266M3:Vol</stp>
        <tr r="N924" s="5"/>
      </tp>
      <tp>
        <v>0</v>
        <stp/>
        <stp>266M2:Vol</stp>
        <tr r="N923" s="5"/>
      </tp>
      <tp>
        <v>0</v>
        <stp/>
        <stp>266M5:Vol</stp>
        <tr r="N926" s="5"/>
      </tp>
      <tp>
        <v>0</v>
        <stp/>
        <stp>266M4:Vol</stp>
        <tr r="N925" s="5"/>
      </tp>
      <tp>
        <v>0</v>
        <stp/>
        <stp>266M7:Vol</stp>
        <tr r="N928" s="5"/>
      </tp>
      <tp>
        <v>0</v>
        <stp/>
        <stp>266M6:Vol</stp>
        <tr r="N927" s="5"/>
      </tp>
      <tp t="s">
        <v>Invalid Market: CALCM24</v>
        <stp/>
        <stp>CALCM24:PCC</stp>
        <tr r="B1097" s="5"/>
        <tr r="B293" s="5"/>
        <tr r="B407" s="5"/>
        <tr r="B1363" s="5"/>
        <tr r="B1211" s="5"/>
        <tr r="B869" s="5"/>
      </tp>
      <tp t="s">
        <v>Invalid Market: CALCM22</v>
        <stp/>
        <stp>CALCM22:PCC</stp>
        <tr r="B1095" s="5"/>
        <tr r="B405" s="5"/>
        <tr r="B291" s="5"/>
        <tr r="B867" s="5"/>
        <tr r="B1209" s="5"/>
        <tr r="B1361" s="5"/>
      </tp>
      <tp t="s">
        <v>Invalid Market: CALCM23</v>
        <stp/>
        <stp>CALCM23:PCC</stp>
        <tr r="B292" s="5"/>
        <tr r="B1096" s="5"/>
        <tr r="B406" s="5"/>
        <tr r="B1362" s="5"/>
        <tr r="B1210" s="5"/>
        <tr r="B868" s="5"/>
      </tp>
      <tp t="s">
        <v>Invalid Market: CALCM20</v>
        <stp/>
        <stp>CALCM20:PCC</stp>
        <tr r="B403" s="5"/>
        <tr r="B1207" s="5"/>
        <tr r="B1359" s="5"/>
        <tr r="B865" s="5"/>
        <tr r="B289" s="5"/>
        <tr r="B1093" s="5"/>
      </tp>
      <tp t="s">
        <v>Invalid Market: CALCM21</v>
        <stp/>
        <stp>CALCM21:PCC</stp>
        <tr r="B404" s="5"/>
        <tr r="B866" s="5"/>
        <tr r="B1208" s="5"/>
        <tr r="B1360" s="5"/>
        <tr r="B290" s="5"/>
        <tr r="B1094" s="5"/>
      </tp>
      <tp t="s">
        <v>Invalid Market: CALCM16</v>
        <stp/>
        <stp>CALCM16:PCC</stp>
        <tr r="B1203" s="5"/>
        <tr r="B1355" s="5"/>
        <tr r="B861" s="5"/>
        <tr r="B285" s="5"/>
        <tr r="B1089" s="5"/>
        <tr r="B399" s="5"/>
      </tp>
      <tp t="s">
        <v>Invalid Market: CALCM17</v>
        <stp/>
        <stp>CALCM17:PCC</stp>
        <tr r="B862" s="5"/>
        <tr r="B1204" s="5"/>
        <tr r="B1356" s="5"/>
        <tr r="B286" s="5"/>
        <tr r="B1090" s="5"/>
        <tr r="B400" s="5"/>
      </tp>
      <tp t="s">
        <v>Invalid Market: CALCM14</v>
        <stp/>
        <stp>CALCM14:PCC</stp>
        <tr r="B859" s="5"/>
        <tr r="B1353" s="5"/>
        <tr r="B397" s="5"/>
        <tr r="B1087" s="5"/>
        <tr r="B283" s="5"/>
        <tr r="B1201" s="5"/>
      </tp>
      <tp t="s">
        <v>Invalid Market: CALCM15</v>
        <stp/>
        <stp>CALCM15:PCC</stp>
        <tr r="B860" s="5"/>
        <tr r="B398" s="5"/>
        <tr r="B284" s="5"/>
        <tr r="B1202" s="5"/>
        <tr r="B1354" s="5"/>
        <tr r="B1088" s="5"/>
      </tp>
      <tp t="s">
        <v>Invalid Market: CALCM12</v>
        <stp/>
        <stp>CALCM12:PCC</stp>
        <tr r="B1199" s="5"/>
        <tr r="B1351" s="5"/>
        <tr r="B857" s="5"/>
        <tr r="B395" s="5"/>
        <tr r="B1085" s="5"/>
        <tr r="B281" s="5"/>
      </tp>
      <tp t="s">
        <v>Invalid Market: CALCM13</v>
        <stp/>
        <stp>CALCM13:PCC</stp>
        <tr r="B858" s="5"/>
        <tr r="B1200" s="5"/>
        <tr r="B1352" s="5"/>
        <tr r="B1086" s="5"/>
        <tr r="B396" s="5"/>
        <tr r="B282" s="5"/>
      </tp>
      <tp t="s">
        <v>Invalid Market: CALCM10</v>
        <stp/>
        <stp>CALCM10:PCC</stp>
        <tr r="B855" s="5"/>
        <tr r="B1197" s="5"/>
        <tr r="B1349" s="5"/>
        <tr r="B1083" s="5"/>
        <tr r="B279" s="5"/>
        <tr r="B393" s="5"/>
      </tp>
      <tp t="s">
        <v>Invalid Market: CALCM11</v>
        <stp/>
        <stp>CALCM11:PCC</stp>
        <tr r="B856" s="5"/>
        <tr r="B394" s="5"/>
        <tr r="B1084" s="5"/>
        <tr r="B280" s="5"/>
        <tr r="B1198" s="5"/>
        <tr r="B1350" s="5"/>
      </tp>
      <tp t="s">
        <v>Invalid Market: CALCM18</v>
        <stp/>
        <stp>CALCM18:PCC</stp>
        <tr r="B863" s="5"/>
        <tr r="B1205" s="5"/>
        <tr r="B287" s="5"/>
        <tr r="B1091" s="5"/>
        <tr r="B401" s="5"/>
        <tr r="B1357" s="5"/>
      </tp>
      <tp t="s">
        <v>Invalid Market: CALCM19</v>
        <stp/>
        <stp>CALCM19:PCC</stp>
        <tr r="B1206" s="5"/>
        <tr r="B1358" s="5"/>
        <tr r="B864" s="5"/>
        <tr r="B288" s="5"/>
        <tr r="B1092" s="5"/>
        <tr r="B402" s="5"/>
      </tp>
      <tp t="s">
        <v/>
        <stp/>
        <stp>34344092M1:LstPrc</stp>
        <tr r="I1264" s="5"/>
      </tp>
      <tp>
        <v>83.4</v>
        <stp/>
        <stp>34354093M1:LstPrc</stp>
        <tr r="I1302" s="5"/>
      </tp>
      <tp t="s">
        <v/>
        <stp/>
        <stp>34344092M0:LstPrc</stp>
        <tr r="I1263" s="5"/>
      </tp>
      <tp t="s">
        <v/>
        <stp/>
        <stp>34354093M0:LstPrc</stp>
        <tr r="I1301" s="5"/>
      </tp>
      <tp t="s">
        <v/>
        <stp/>
        <stp>34344092M3:LstPrc</stp>
        <tr r="I1266" s="5"/>
      </tp>
      <tp>
        <v>73.5</v>
        <stp/>
        <stp>34354093M3:LstPrc</stp>
        <tr r="I1304" s="5"/>
      </tp>
      <tp t="s">
        <v/>
        <stp/>
        <stp>34344092M2:LstPrc</stp>
        <tr r="I1265" s="5"/>
      </tp>
      <tp>
        <v>78.67</v>
        <stp/>
        <stp>34354093M2:LstPrc</stp>
        <tr r="I1303" s="5"/>
      </tp>
      <tp t="s">
        <v/>
        <stp/>
        <stp>34344092M5:LstPrc</stp>
        <tr r="I1268" s="5"/>
      </tp>
      <tp t="s">
        <v/>
        <stp/>
        <stp>34354093M5:LstPrc</stp>
        <tr r="I1306" s="5"/>
      </tp>
      <tp t="s">
        <v/>
        <stp/>
        <stp>34344092M4:LstPrc</stp>
        <tr r="I1267" s="5"/>
      </tp>
      <tp t="s">
        <v/>
        <stp/>
        <stp>34354093M4:LstPrc</stp>
        <tr r="I1305" s="5"/>
      </tp>
      <tp t="s">
        <v/>
        <stp/>
        <stp>34344092M7:LstPrc</stp>
        <tr r="I1270" s="5"/>
      </tp>
      <tp t="s">
        <v/>
        <stp/>
        <stp>34354093M7:LstPrc</stp>
        <tr r="I1308" s="5"/>
      </tp>
      <tp t="s">
        <v/>
        <stp/>
        <stp>34344092M6:LstPrc</stp>
        <tr r="I1269" s="5"/>
      </tp>
      <tp t="s">
        <v/>
        <stp/>
        <stp>34354093M6:LstPrc</stp>
        <tr r="I1307" s="5"/>
      </tp>
      <tp t="s">
        <v/>
        <stp/>
        <stp>34344092M9:LstPrc</stp>
        <tr r="I1272" s="5"/>
      </tp>
      <tp t="s">
        <v/>
        <stp/>
        <stp>34354093M9:LstPrc</stp>
        <tr r="I1310" s="5"/>
      </tp>
      <tp t="s">
        <v/>
        <stp/>
        <stp>34344092M8:LstPrc</stp>
        <tr r="I1271" s="5"/>
      </tp>
      <tp t="s">
        <v/>
        <stp/>
        <stp>34354093M8:LstPrc</stp>
        <tr r="I1309" s="5"/>
      </tp>
      <tp t="s">
        <v/>
        <stp/>
        <stp>34344092Q1:LstPrc</stp>
        <tr r="I1289" s="5"/>
      </tp>
      <tp t="s">
        <v/>
        <stp/>
        <stp>34354093Q1:LstPrc</stp>
        <tr r="I1327" s="5"/>
      </tp>
      <tp t="s">
        <v/>
        <stp/>
        <stp>34344092Q0:LstPrc</stp>
        <tr r="I1288" s="5"/>
      </tp>
      <tp>
        <v>78.83</v>
        <stp/>
        <stp>34354093Q0:LstPrc</stp>
        <tr r="I1326" s="5"/>
      </tp>
      <tp t="s">
        <v/>
        <stp/>
        <stp>34344092Q3:LstPrc</stp>
        <tr r="I1291" s="5"/>
      </tp>
      <tp t="s">
        <v/>
        <stp/>
        <stp>34354093Q3:LstPrc</stp>
        <tr r="I1329" s="5"/>
      </tp>
      <tp t="s">
        <v/>
        <stp/>
        <stp>34344092Q2:LstPrc</stp>
        <tr r="I1290" s="5"/>
      </tp>
      <tp t="s">
        <v/>
        <stp/>
        <stp>34354093Q2:LstPrc</stp>
        <tr r="I1328" s="5"/>
      </tp>
      <tp t="s">
        <v/>
        <stp/>
        <stp>34344092Q5:LstPrc</stp>
        <tr r="I1293" s="5"/>
      </tp>
      <tp t="s">
        <v/>
        <stp/>
        <stp>34354093Q5:LstPrc</stp>
        <tr r="I1331" s="5"/>
      </tp>
      <tp t="s">
        <v/>
        <stp/>
        <stp>34344092Q4:LstPrc</stp>
        <tr r="I1292" s="5"/>
      </tp>
      <tp t="s">
        <v/>
        <stp/>
        <stp>34354093Q4:LstPrc</stp>
        <tr r="I1330" s="5"/>
      </tp>
      <tp t="s">
        <v/>
        <stp/>
        <stp>34344092Q7:LstPrc</stp>
        <tr r="I1295" s="5"/>
      </tp>
      <tp t="s">
        <v/>
        <stp/>
        <stp>34354093Q7:LstPrc</stp>
        <tr r="I1333" s="5"/>
      </tp>
      <tp t="s">
        <v/>
        <stp/>
        <stp>34344092Q6:LstPrc</stp>
        <tr r="I1294" s="5"/>
      </tp>
      <tp t="s">
        <v/>
        <stp/>
        <stp>34354093Q6:LstPrc</stp>
        <tr r="I1332" s="5"/>
      </tp>
      <tp t="s">
        <v/>
        <stp/>
        <stp>34344092Q8:LstPrc</stp>
        <tr r="I1296" s="5"/>
      </tp>
      <tp t="s">
        <v/>
        <stp/>
        <stp>34354093Q8:LstPrc</stp>
        <tr r="I1334" s="5"/>
      </tp>
      <tp t="s">
        <v/>
        <stp/>
        <stp>34344092Y1:LstPrc</stp>
        <tr r="I1298" s="5"/>
      </tp>
      <tp>
        <v>39.68</v>
        <stp/>
        <stp>34354093Y1:LstPrc</stp>
        <tr r="I1336" s="5"/>
      </tp>
      <tp t="s">
        <v/>
        <stp/>
        <stp>34344092Y0:LstPrc</stp>
        <tr r="I1297" s="5"/>
      </tp>
      <tp>
        <v>55.55</v>
        <stp/>
        <stp>34354093Y0:LstPrc</stp>
        <tr r="I1335" s="5"/>
      </tp>
      <tp t="s">
        <v/>
        <stp/>
        <stp>34344092Y2:LstPrc</stp>
        <tr r="I1299" s="5"/>
      </tp>
      <tp t="s">
        <v/>
        <stp/>
        <stp>34354093Y2:LstPrc</stp>
        <tr r="I1337" s="5"/>
      </tp>
      <tp>
        <v>0</v>
        <stp/>
        <stp>30793693M9:Vol</stp>
        <tr r="N892" s="5"/>
      </tp>
      <tp>
        <v>0</v>
        <stp/>
        <stp>30793693M8:Vol</stp>
        <tr r="N891" s="5"/>
      </tp>
      <tp>
        <v>0</v>
        <stp/>
        <stp>30793693M3:Vol</stp>
        <tr r="N886" s="5"/>
      </tp>
      <tp>
        <v>0</v>
        <stp/>
        <stp>30793693M2:Vol</stp>
        <tr r="N885" s="5"/>
      </tp>
      <tp>
        <v>13</v>
        <stp/>
        <stp>30793693M1:Vol</stp>
        <tr r="N884" s="5"/>
      </tp>
      <tp>
        <v>0</v>
        <stp/>
        <stp>30793693M0:Vol</stp>
        <tr r="N883" s="5"/>
      </tp>
      <tp>
        <v>0</v>
        <stp/>
        <stp>30793693M7:Vol</stp>
        <tr r="N890" s="5"/>
      </tp>
      <tp>
        <v>0</v>
        <stp/>
        <stp>30793693M6:Vol</stp>
        <tr r="N889" s="5"/>
      </tp>
      <tp>
        <v>0</v>
        <stp/>
        <stp>30793693M5:Vol</stp>
        <tr r="N888" s="5"/>
      </tp>
      <tp>
        <v>0</v>
        <stp/>
        <stp>30793693M4:Vol</stp>
        <tr r="N887" s="5"/>
      </tp>
      <tp t="s">
        <v/>
        <stp/>
        <stp>34364094M1:LstPrc</stp>
        <tr r="I519" s="5"/>
      </tp>
      <tp t="s">
        <v/>
        <stp/>
        <stp>34374095M1:LstPrc</stp>
        <tr r="I557" s="5"/>
      </tp>
      <tp t="s">
        <v/>
        <stp/>
        <stp>34364094M0:LstPrc</stp>
        <tr r="I518" s="5"/>
      </tp>
      <tp t="s">
        <v/>
        <stp/>
        <stp>34374095M0:LstPrc</stp>
        <tr r="I556" s="5"/>
      </tp>
      <tp t="s">
        <v/>
        <stp/>
        <stp>34364094M3:LstPrc</stp>
        <tr r="I521" s="5"/>
      </tp>
      <tp t="s">
        <v/>
        <stp/>
        <stp>34374095M3:LstPrc</stp>
        <tr r="I559" s="5"/>
      </tp>
      <tp t="s">
        <v/>
        <stp/>
        <stp>34364094M2:LstPrc</stp>
        <tr r="I520" s="5"/>
      </tp>
      <tp t="s">
        <v/>
        <stp/>
        <stp>34374095M2:LstPrc</stp>
        <tr r="I558" s="5"/>
      </tp>
      <tp t="s">
        <v/>
        <stp/>
        <stp>34364094M5:LstPrc</stp>
        <tr r="I523" s="5"/>
      </tp>
      <tp t="s">
        <v/>
        <stp/>
        <stp>34374095M5:LstPrc</stp>
        <tr r="I561" s="5"/>
      </tp>
      <tp t="s">
        <v/>
        <stp/>
        <stp>34364094M4:LstPrc</stp>
        <tr r="I522" s="5"/>
      </tp>
      <tp t="s">
        <v/>
        <stp/>
        <stp>34374095M4:LstPrc</stp>
        <tr r="I560" s="5"/>
      </tp>
      <tp t="s">
        <v/>
        <stp/>
        <stp>34364094M7:LstPrc</stp>
        <tr r="I525" s="5"/>
      </tp>
      <tp t="s">
        <v/>
        <stp/>
        <stp>34374095M7:LstPrc</stp>
        <tr r="I563" s="5"/>
      </tp>
      <tp t="s">
        <v/>
        <stp/>
        <stp>34364094M6:LstPrc</stp>
        <tr r="I524" s="5"/>
      </tp>
      <tp t="s">
        <v/>
        <stp/>
        <stp>34374095M6:LstPrc</stp>
        <tr r="I562" s="5"/>
      </tp>
      <tp t="s">
        <v/>
        <stp/>
        <stp>34364094M9:LstPrc</stp>
        <tr r="I527" s="5"/>
      </tp>
      <tp t="s">
        <v/>
        <stp/>
        <stp>34374095M9:LstPrc</stp>
        <tr r="I565" s="5"/>
      </tp>
      <tp t="s">
        <v/>
        <stp/>
        <stp>34364094M8:LstPrc</stp>
        <tr r="I526" s="5"/>
      </tp>
      <tp t="s">
        <v/>
        <stp/>
        <stp>34374095M8:LstPrc</stp>
        <tr r="I564" s="5"/>
      </tp>
      <tp t="s">
        <v/>
        <stp/>
        <stp>34364094Q1:LstPrc</stp>
        <tr r="I544" s="5"/>
      </tp>
      <tp t="s">
        <v/>
        <stp/>
        <stp>34374095Q1:LstPrc</stp>
        <tr r="I582" s="5"/>
      </tp>
      <tp t="s">
        <v/>
        <stp/>
        <stp>34364094Q0:LstPrc</stp>
        <tr r="I543" s="5"/>
      </tp>
      <tp t="s">
        <v/>
        <stp/>
        <stp>34374095Q0:LstPrc</stp>
        <tr r="I581" s="5"/>
      </tp>
      <tp t="s">
        <v/>
        <stp/>
        <stp>34364094Q3:LstPrc</stp>
        <tr r="I546" s="5"/>
      </tp>
      <tp t="s">
        <v/>
        <stp/>
        <stp>34374095Q3:LstPrc</stp>
        <tr r="I584" s="5"/>
      </tp>
      <tp t="s">
        <v/>
        <stp/>
        <stp>34364094Q2:LstPrc</stp>
        <tr r="I545" s="5"/>
      </tp>
      <tp t="s">
        <v/>
        <stp/>
        <stp>34374095Q2:LstPrc</stp>
        <tr r="I583" s="5"/>
      </tp>
      <tp t="s">
        <v/>
        <stp/>
        <stp>34364094Q5:LstPrc</stp>
        <tr r="I548" s="5"/>
      </tp>
      <tp t="s">
        <v/>
        <stp/>
        <stp>34374095Q5:LstPrc</stp>
        <tr r="I586" s="5"/>
      </tp>
      <tp t="s">
        <v/>
        <stp/>
        <stp>34364094Q4:LstPrc</stp>
        <tr r="I547" s="5"/>
      </tp>
      <tp t="s">
        <v/>
        <stp/>
        <stp>34374095Q4:LstPrc</stp>
        <tr r="I585" s="5"/>
      </tp>
      <tp t="s">
        <v/>
        <stp/>
        <stp>34364094Q7:LstPrc</stp>
        <tr r="I550" s="5"/>
      </tp>
      <tp t="s">
        <v/>
        <stp/>
        <stp>34374095Q7:LstPrc</stp>
        <tr r="I588" s="5"/>
      </tp>
      <tp t="s">
        <v/>
        <stp/>
        <stp>34364094Q6:LstPrc</stp>
        <tr r="I549" s="5"/>
      </tp>
      <tp t="s">
        <v/>
        <stp/>
        <stp>34374095Q6:LstPrc</stp>
        <tr r="I587" s="5"/>
      </tp>
      <tp t="s">
        <v/>
        <stp/>
        <stp>34364094Q8:LstPrc</stp>
        <tr r="I551" s="5"/>
      </tp>
      <tp t="s">
        <v/>
        <stp/>
        <stp>34374095Q8:LstPrc</stp>
        <tr r="I589" s="5"/>
      </tp>
      <tp t="s">
        <v/>
        <stp/>
        <stp>34364094Y1:LstPrc</stp>
        <tr r="I553" s="5"/>
      </tp>
      <tp t="s">
        <v/>
        <stp/>
        <stp>34374095Y1:LstPrc</stp>
        <tr r="I591" s="5"/>
      </tp>
      <tp t="s">
        <v/>
        <stp/>
        <stp>34364094Y0:LstPrc</stp>
        <tr r="I552" s="5"/>
      </tp>
      <tp t="s">
        <v/>
        <stp/>
        <stp>34374095Y0:LstPrc</stp>
        <tr r="I590" s="5"/>
      </tp>
      <tp t="s">
        <v/>
        <stp/>
        <stp>34364094Y2:LstPrc</stp>
        <tr r="I554" s="5"/>
      </tp>
      <tp t="s">
        <v/>
        <stp/>
        <stp>34374095Y2:LstPrc</stp>
        <tr r="I592" s="5"/>
      </tp>
      <tp t="s">
        <v/>
        <stp/>
        <stp>1923422331M10:LstDate</stp>
        <tr r="J1637" s="5"/>
      </tp>
      <tp t="s">
        <v/>
        <stp/>
        <stp>1581618115M10:LstDate</stp>
        <tr r="J469" s="5"/>
      </tp>
      <tp t="s">
        <v/>
        <stp/>
        <stp>1923422331M11:LstDate</stp>
        <tr r="J1638" s="5"/>
      </tp>
      <tp t="s">
        <v/>
        <stp/>
        <stp>1581618115M11:LstDate</stp>
        <tr r="J470" s="5"/>
      </tp>
      <tp t="s">
        <v/>
        <stp/>
        <stp>1923422331M12:LstDate</stp>
        <tr r="J1639" s="5"/>
      </tp>
      <tp t="s">
        <v/>
        <stp/>
        <stp>1581618115M12:LstDate</stp>
        <tr r="J471" s="5"/>
      </tp>
      <tp t="s">
        <v/>
        <stp/>
        <stp>1923422331M13:LstDate</stp>
        <tr r="J1640" s="5"/>
      </tp>
      <tp t="s">
        <v/>
        <stp/>
        <stp>1581618115M13:LstDate</stp>
        <tr r="J472" s="5"/>
      </tp>
      <tp t="s">
        <v/>
        <stp/>
        <stp>1923422331M14:LstDate</stp>
        <tr r="J1641" s="5"/>
      </tp>
      <tp t="s">
        <v/>
        <stp/>
        <stp>1581618115M14:LstDate</stp>
        <tr r="J473" s="5"/>
      </tp>
    </main>
    <main first="esrtd">
      <tp t="s">
        <v/>
        <stp/>
        <stp>Invalid Market: CALCB0 B0-IEU</stp>
        <stp>ICE Theoretical Price</stp>
        <tr r="W268" s="5"/>
        <tr r="W1072" s="5"/>
        <tr r="W382" s="5"/>
        <tr r="W844" s="5"/>
        <tr r="W1186" s="5"/>
        <tr r="W1338" s="5"/>
      </tp>
    </main>
    <main first="bofaddin.rtdserver">
      <tp>
        <v>1348</v>
        <stp/>
        <stp>BDP|4411395223770590354|22</stp>
        <stp>QSV6 Comdty</stp>
        <stp>MID</stp>
        <tr r="G5" s="21"/>
        <tr r="G5" s="21"/>
      </tp>
    </main>
    <main first="esrtd">
      <tp t="s">
        <v/>
        <stp/>
        <stp>WNS 7!-IEU</stp>
        <stp>Strip</stp>
        <tr r="E1854" s="5"/>
      </tp>
      <tp t="s">
        <v/>
        <stp/>
        <stp>WNS 6!-IEU</stp>
        <stp>Strip</stp>
        <tr r="E1853" s="5"/>
      </tp>
      <tp t="s">
        <v/>
        <stp/>
        <stp>WNS 5!-IEU</stp>
        <stp>Strip</stp>
        <tr r="E1852" s="5"/>
      </tp>
      <tp t="s">
        <v/>
        <stp/>
        <stp>WNS 4!-IEU</stp>
        <stp>Strip</stp>
        <tr r="E1851" s="5"/>
      </tp>
      <tp t="s">
        <v/>
        <stp/>
        <stp>WNS 3!-IEU</stp>
        <stp>Strip</stp>
        <tr r="E1850" s="5"/>
      </tp>
      <tp t="s">
        <v/>
        <stp/>
        <stp>WNS 2!-IEU</stp>
        <stp>Strip</stp>
        <tr r="E1849" s="5"/>
      </tp>
      <tp t="s">
        <v/>
        <stp/>
        <stp>WNS 1!-IEU</stp>
        <stp>Strip</stp>
        <tr r="E1848" s="5"/>
      </tp>
      <tp t="s">
        <v/>
        <stp/>
        <stp>WNS 9!-IEU</stp>
        <stp>Strip</stp>
        <tr r="E1856" s="5"/>
      </tp>
      <tp t="s">
        <v/>
        <stp/>
        <stp>WNS 8!-IEU</stp>
        <stp>Strip</stp>
        <tr r="E1855" s="5"/>
      </tp>
    </main>
    <main first="ice.rtd">
      <tp>
        <v>-8.3810000000000002</v>
        <stp/>
        <stp>41787896M13:Settle</stp>
        <tr r="U820" s="5"/>
      </tp>
      <tp>
        <v>-7.9940000000000007</v>
        <stp/>
        <stp>41787896M12:Settle</stp>
        <tr r="U819" s="5"/>
      </tp>
      <tp>
        <v>-7.6840000000000002</v>
        <stp/>
        <stp>41787896M11:Settle</stp>
        <tr r="U818" s="5"/>
      </tp>
      <tp>
        <v>-7.5130000000000008</v>
        <stp/>
        <stp>41787896M10:Settle</stp>
        <tr r="U817" s="5"/>
      </tp>
      <tp>
        <v>-8.2650000000000006</v>
        <stp/>
        <stp>41787896M17:Settle</stp>
        <tr r="U824" s="5"/>
      </tp>
      <tp>
        <v>-8.3770000000000007</v>
        <stp/>
        <stp>41787896M16:Settle</stp>
        <tr r="U823" s="5"/>
      </tp>
      <tp>
        <v>-8.4660000000000011</v>
        <stp/>
        <stp>41787896M15:Settle</stp>
        <tr r="U822" s="5"/>
      </tp>
      <tp>
        <v>-8.5140000000000011</v>
        <stp/>
        <stp>41787896M14:Settle</stp>
        <tr r="U821" s="5"/>
      </tp>
      <tp>
        <v>-8.0780000000000012</v>
        <stp/>
        <stp>41787896M19:Settle</stp>
        <tr r="U826" s="5"/>
      </tp>
      <tp>
        <v>-8.1639999999999997</v>
        <stp/>
        <stp>41787896M18:Settle</stp>
        <tr r="U825" s="5"/>
      </tp>
      <tp>
        <v>-7.9580000000000002</v>
        <stp/>
        <stp>41787896M23:Settle</stp>
        <tr r="U830" s="5"/>
      </tp>
      <tp>
        <v>-7.9220000000000006</v>
        <stp/>
        <stp>41787896M22:Settle</stp>
        <tr r="U829" s="5"/>
      </tp>
      <tp>
        <v>-7.9359999999999999</v>
        <stp/>
        <stp>41787896M21:Settle</stp>
        <tr r="U828" s="5"/>
      </tp>
      <tp>
        <v>-7.9990000000000006</v>
        <stp/>
        <stp>41787896M20:Settle</stp>
        <tr r="U827" s="5"/>
      </tp>
      <tp>
        <v>-7.9930000000000003</v>
        <stp/>
        <stp>41787896M24:Settle</stp>
        <tr r="U831" s="5"/>
      </tp>
      <tp t="s">
        <v>Bal Month</v>
        <stp/>
        <stp>2324625607B0:Strip</stp>
        <tr r="E192" s="5"/>
      </tp>
      <tp t="s">
        <v>Sep26/Aug27</v>
        <stp/>
        <stp>161913535MM8:Strip</stp>
        <tr r="E2035" s="5"/>
      </tp>
      <tp t="s">
        <v>Q2 27</v>
        <stp/>
        <stp>1581618115Q2:Strip</stp>
        <tr r="E476" s="5"/>
      </tp>
      <tp t="s">
        <v>Nov26</v>
        <stp/>
        <stp>1581618115M2:Strip</stp>
        <tr r="E461" s="5"/>
      </tp>
      <tp t="s">
        <v>Q2 27</v>
        <stp/>
        <stp>1923422331Q2:Strip</stp>
        <tr r="E1644" s="5"/>
      </tp>
      <tp t="s">
        <v>Nov26</v>
        <stp/>
        <stp>1923422331M2:Strip</stp>
        <tr r="E1629" s="5"/>
      </tp>
      <tp t="s">
        <v>Bal Month</v>
        <stp/>
        <stp>2324225603B0:Strip</stp>
        <tr r="E920" s="5"/>
      </tp>
      <tp t="s">
        <v>Dec26</v>
        <stp/>
        <stp>41787896M3:Strip</stp>
        <tr r="E810" s="5"/>
      </tp>
      <tp t="s">
        <v>Q3 27</v>
        <stp/>
        <stp>41787896Q3:Strip</stp>
        <tr r="E835" s="5"/>
      </tp>
      <tp t="s">
        <v>Dec26</v>
        <stp/>
        <stp>41767893M3:Strip</stp>
        <tr r="E483" s="5"/>
      </tp>
      <tp t="s">
        <v>Q3 27</v>
        <stp/>
        <stp>41767893Q3:Strip</stp>
        <tr r="E508" s="5"/>
      </tp>
      <tp t="s">
        <v>Mar27</v>
        <stp/>
        <stp>3124331018M6:Strip</stp>
        <tr r="E1611" s="5"/>
      </tp>
      <tp t="s">
        <v>Oct26</v>
        <stp/>
        <stp>32623993M1:Strip</stp>
        <tr r="E1991" s="5"/>
      </tp>
      <tp t="s">
        <v>Q1 27</v>
        <stp/>
        <stp>32623993Q1:Strip</stp>
        <tr r="E2016" s="5"/>
      </tp>
      <tp t="s">
        <v>Cal 28</v>
        <stp/>
        <stp>32623993Y1:Strip</stp>
        <tr r="E2025" s="5"/>
      </tp>
      <tp t="s">
        <v>Oct26</v>
        <stp/>
        <stp>32613992M1:Strip</stp>
        <tr r="E1226" s="5"/>
      </tp>
      <tp t="s">
        <v>Q1 27</v>
        <stp/>
        <stp>32613992Q1:Strip</stp>
        <tr r="E1251" s="5"/>
      </tp>
      <tp t="s">
        <v>Cal 28</v>
        <stp/>
        <stp>32613992Y1:Strip</stp>
        <tr r="E1260" s="5"/>
      </tp>
      <tp t="s">
        <v>Q1 27</v>
        <stp/>
        <stp>2755728678Q1:Strip</stp>
        <tr r="E1137" s="5"/>
      </tp>
      <tp t="s">
        <v>Cal 28</v>
        <stp/>
        <stp>2755728678Y1:Strip</stp>
        <tr r="E1146" s="5"/>
      </tp>
      <tp t="s">
        <v>Oct26</v>
        <stp/>
        <stp>2755728678M1:Strip</stp>
        <tr r="E1112" s="5"/>
      </tp>
      <tp t="s">
        <v>Nov2-Nov6 (Feb)</v>
        <stp/>
        <stp>17551596T8:Strip</stp>
        <tr r="E1546" s="5"/>
        <tr r="E1545" s="5"/>
      </tp>
      <tp t="s">
        <v>Jun27</v>
        <stp/>
        <stp>16331513M9:Strip</stp>
        <tr r="E1424" s="5"/>
      </tp>
      <tp t="s">
        <v>Jun27</v>
        <stp/>
        <stp>16341514M9:Strip</stp>
        <tr r="E1462" s="5"/>
      </tp>
      <tp t="s">
        <v>Jun27</v>
        <stp/>
        <stp>16351515M9:Strip</stp>
        <tr r="E1500" s="5"/>
      </tp>
      <tp t="s">
        <v>Feb27</v>
        <stp/>
        <stp>29243602M5:Strip</stp>
        <tr r="E751" s="5"/>
      </tp>
      <tp t="s">
        <v>Q1 27</v>
        <stp/>
        <stp>2755828679Q1:Strip</stp>
        <tr r="E1023" s="5"/>
      </tp>
      <tp t="s">
        <v>Cal 28</v>
        <stp/>
        <stp>2755828679Y1:Strip</stp>
        <tr r="E1032" s="5"/>
      </tp>
      <tp t="s">
        <v>Oct26</v>
        <stp/>
        <stp>2755828679M1:Strip</stp>
        <tr r="E998" s="5"/>
      </tp>
      <tp t="s">
        <v>Q4 27</v>
        <stp/>
        <stp>1986823075Q4:Strip</stp>
        <tr r="E146" s="5"/>
      </tp>
      <tp t="s">
        <v>Jan27</v>
        <stp/>
        <stp>1986823075M4:Strip</stp>
        <tr r="E121" s="5"/>
      </tp>
      <tp t="s">
        <v>Jan27</v>
        <stp/>
        <stp>18871685M4:Strip</stp>
        <tr r="E425" s="5"/>
      </tp>
      <tp t="s">
        <v>Q4 27</v>
        <stp/>
        <stp>18871685Q4:Strip</stp>
        <tr r="E450" s="5"/>
      </tp>
      <tp t="s">
        <v>Jan27</v>
        <stp/>
        <stp>18851683M4:Strip</stp>
        <tr r="E197" s="5"/>
      </tp>
      <tp t="s">
        <v>Q4 27</v>
        <stp/>
        <stp>18851683Q4:Strip</stp>
        <tr r="E222" s="5"/>
      </tp>
      <tp t="s">
        <v>Q4 27</v>
        <stp/>
        <stp>1986923076Q4:Strip</stp>
        <tr r="E184" s="5"/>
      </tp>
      <tp t="s">
        <v>Jan27</v>
        <stp/>
        <stp>1986923076M4:Strip</stp>
        <tr r="E159" s="5"/>
      </tp>
      <tp t="s">
        <v>Jan27</v>
        <stp/>
        <stp>18901687M4:Strip</stp>
        <tr r="E311" s="5"/>
      </tp>
      <tp t="s">
        <v>Q4 27</v>
        <stp/>
        <stp>18901687Q4:Strip</stp>
        <tr r="E336" s="5"/>
      </tp>
      <tp t="s">
        <v>Q3 27</v>
        <stp/>
        <stp>2044823525Q3:Strip</stp>
        <tr r="E1773" s="5"/>
      </tp>
      <tp t="s">
        <v>Jan27</v>
        <stp/>
        <stp>2044823525M3:Strip</stp>
        <tr r="E1750" s="5"/>
      </tp>
      <tp t="s">
        <v>Bal Month</v>
        <stp/>
        <stp>2184924621B0:Strip</stp>
        <tr r="E707" s="5"/>
      </tp>
      <tp t="s">
        <v>Q3 28</v>
        <stp/>
        <stp>2427026287Q7:Strip</stp>
        <tr r="E1181" s="5"/>
      </tp>
      <tp t="s">
        <v>Apr27</v>
        <stp/>
        <stp>2427026287M7:Strip</stp>
        <tr r="E1156" s="5"/>
      </tp>
      <tp t="s">
        <v>Bal Month</v>
        <stp/>
        <stp>2324925610B0:Strip</stp>
        <tr r="E882" s="5"/>
      </tp>
      <tp t="s">
        <v>Q3 28</v>
        <stp/>
        <stp>2427126288Q7:Strip</stp>
        <tr r="E1067" s="5"/>
      </tp>
      <tp t="s">
        <v>Apr27</v>
        <stp/>
        <stp>2427126288M7:Strip</stp>
        <tr r="E1042" s="5"/>
      </tp>
    </main>
    <main first="bofaddin.rtdserver">
      <tp t="s">
        <v>#N/A</v>
        <stp/>
        <stp>BDP|9837646654995169304|222</stp>
        <stp>MUCM0N0 Comdty</stp>
        <stp>BID</stp>
        <stp>Fill=#N/A</stp>
        <tr r="S65" s="1"/>
      </tp>
      <tp t="s">
        <v>#N/A</v>
        <stp/>
        <stp>BDP|3633354255223564511|222</stp>
        <stp>OQAM8N8 Comdty</stp>
        <stp>ASK</stp>
        <stp>Fill=#N/A</stp>
        <tr r="T41" s="1"/>
      </tp>
      <tp t="s">
        <v>#N/A</v>
        <stp/>
        <stp>BDP|9801203713174875374|222</stp>
        <stp>OQAF9G9 Comdty</stp>
        <stp>BID</stp>
        <stp>Fill=#N/A</stp>
        <tr r="T48" s="1"/>
      </tp>
    </main>
    <main first="ice.rtd">
      <tp t="s">
        <v/>
        <stp/>
        <stp>2326725628B0:LstPrc</stp>
        <tr r="I344" s="5"/>
      </tp>
      <tp t="s">
        <v>Oct26/Jan27</v>
        <stp/>
        <stp>15061297MM10:Strip</stp>
        <tr r="E1693" s="5"/>
      </tp>
      <tp t="s">
        <v>Nov26/Apr27</v>
        <stp/>
        <stp>15061297MM20:Strip</stp>
        <tr r="E1703" s="5"/>
      </tp>
      <tp t="s">
        <v/>
        <stp/>
        <stp>2180224575B0:LstPrc</stp>
        <tr r="I1224" s="5"/>
      </tp>
      <tp t="s">
        <v/>
        <stp/>
        <stp>2325425615B0:LstPrc</stp>
        <tr r="I555" s="5"/>
      </tp>
    </main>
    <main first="bofaddin.rtdserver">
      <tp>
        <v>-25.9</v>
        <stp/>
        <stp>BDP|17706949124794906158|22</stp>
        <stp>XAU Curncy</stp>
        <stp>RT_PX_CHG_NET_1D</stp>
        <tr r="H8" s="18"/>
      </tp>
      <tp t="s">
        <v>#N/A N/A</v>
        <stp/>
        <stp>BDH|7966797489518017636</stp>
        <tr r="L86" s="16"/>
      </tp>
      <tp t="b">
        <v>0</v>
        <stp/>
        <stp>BDH|2284201158054868784</stp>
        <tr r="P19" s="25"/>
        <tr r="P19" s="25"/>
      </tp>
      <tp t="s">
        <v>#N/A N/A</v>
        <stp/>
        <stp>BDH|9314511161774084895</stp>
        <tr r="H93" s="16"/>
      </tp>
    </main>
    <main first="ice.rtd">
      <tp>
        <v>0</v>
        <stp/>
        <stp>1961122916B0:BlkVol</stp>
        <tr r="O1626" s="5"/>
      </tp>
    </main>
    <main first="bofaddin.rtdserver">
      <tp t="s">
        <v>#N/A N/A</v>
        <stp/>
        <stp>BDH|5990507767784403413</stp>
        <tr r="AX50" s="1"/>
      </tp>
      <tp t="s">
        <v>#N/A N/A</v>
        <stp/>
        <stp>BDH|8767121238095079948</stp>
        <tr r="AW20" s="1"/>
      </tp>
      <tp t="s">
        <v>#N/A N/A</v>
        <stp/>
        <stp>BDH|2741680562354245012</stp>
        <tr r="D37" s="14"/>
      </tp>
      <tp t="s">
        <v>#N/A N/A</v>
        <stp/>
        <stp>BDH|5759577276965935413</stp>
        <tr r="AZ31" s="1"/>
      </tp>
      <tp t="s">
        <v>#N/A Requesting Data...2244478387</v>
        <stp/>
        <stp>BDP|6821341316653698107</stp>
        <tr r="J12" s="23"/>
      </tp>
    </main>
    <main first="ice.rtd">
      <tp>
        <v>0</v>
        <stp/>
        <stp>3124331018M7:BlkVol</stp>
        <tr r="O1612" s="5"/>
      </tp>
      <tp>
        <v>0</v>
        <stp/>
        <stp>3124331018M6:BlkVol</stp>
        <tr r="O1611" s="5"/>
      </tp>
      <tp>
        <v>0</v>
        <stp/>
        <stp>3124331018M5:BlkVol</stp>
        <tr r="O1610" s="5"/>
      </tp>
      <tp>
        <v>0</v>
        <stp/>
        <stp>3124331018M4:BlkVol</stp>
        <tr r="O1609" s="5"/>
      </tp>
      <tp>
        <v>0</v>
        <stp/>
        <stp>3124331018M3:BlkVol</stp>
        <tr r="O1608" s="5"/>
      </tp>
      <tp>
        <v>0</v>
        <stp/>
        <stp>3124331018M2:BlkVol</stp>
        <tr r="O1607" s="5"/>
      </tp>
      <tp>
        <v>0</v>
        <stp/>
        <stp>3124331018M1:BlkVol</stp>
        <tr r="O1606" s="5"/>
      </tp>
      <tp>
        <v>0</v>
        <stp/>
        <stp>3124331018M0:BlkVol</stp>
        <tr r="O1605" s="5"/>
      </tp>
      <tp>
        <v>0</v>
        <stp/>
        <stp>3124331018M9:BlkVol</stp>
        <tr r="O1614" s="5"/>
      </tp>
      <tp>
        <v>0</v>
        <stp/>
        <stp>3124331018M8:BlkVol</stp>
        <tr r="O1613" s="5"/>
      </tp>
    </main>
    <main first="ice.rtd">
      <tp>
        <v>0</v>
        <stp/>
        <stp>3124331018Y0:BlkVol</stp>
        <tr r="O1624" s="5"/>
      </tp>
    </main>
    <main first="bofaddin.rtdserver">
      <tp t="s">
        <v>#N/A N/A</v>
        <stp/>
        <stp>BDH|1403068179861084171</stp>
        <tr r="BA50" s="1"/>
        <tr r="BA50" s="1"/>
      </tp>
    </main>
    <main first="ice.rtd">
      <tp>
        <v>0</v>
        <stp/>
        <stp>3124331018Q3:BlkVol</stp>
        <tr r="O1623" s="5"/>
      </tp>
      <tp>
        <v>0</v>
        <stp/>
        <stp>3124331018Q2:BlkVol</stp>
        <tr r="O1622" s="5"/>
      </tp>
      <tp>
        <v>0</v>
        <stp/>
        <stp>3124331018Q1:BlkVol</stp>
        <tr r="O1621" s="5"/>
      </tp>
      <tp>
        <v>0</v>
        <stp/>
        <stp>3124331018Q0:BlkVol</stp>
        <tr r="O1620" s="5"/>
      </tp>
    </main>
    <main first="bofaddin.rtdserver">
      <tp t="s">
        <v>#N/A N/A</v>
        <stp/>
        <stp>BDH|7221282806636186513</stp>
        <tr r="BB38" s="1"/>
      </tp>
      <tp t="s">
        <v>#N/A N/A</v>
        <stp/>
        <stp>BDH|9705918843655114780</stp>
        <tr r="BB59" s="1"/>
      </tp>
      <tp t="s">
        <v>#N/A N/A</v>
        <stp/>
        <stp>BDH|7942608702633069464</stp>
        <tr r="AV55" s="1"/>
      </tp>
      <tp t="s">
        <v>#N/A N/A</v>
        <stp/>
        <stp>BDH|8598283790255892078</stp>
        <tr r="AW25" s="1"/>
      </tp>
    </main>
    <main first="ice.rtd">
      <tp>
        <v>862</v>
        <stp/>
        <stp>2009523367B0:BlkVol</stp>
        <tr r="O116" s="5"/>
      </tp>
    </main>
    <main first="bofaddin.rtdserver">
      <tp t="s">
        <v>#N/A N/A</v>
        <stp/>
        <stp>BDH|9852858428255627009</stp>
        <tr r="H91" s="16"/>
      </tp>
      <tp t="s">
        <v>#N/A N/A</v>
        <stp/>
        <stp>BDH|4879166949385336275</stp>
        <tr r="D23" s="14"/>
      </tp>
      <tp t="s">
        <v>#N/A N/A</v>
        <stp/>
        <stp>BDH|5986808150676111887</stp>
        <tr r="AY56" s="1"/>
      </tp>
      <tp t="s">
        <v>#N/A Requesting Data...3015980805</v>
        <stp/>
        <stp>BDP|2164042110966509316</stp>
        <tr r="O20" s="17"/>
      </tp>
      <tp t="s">
        <v>#N/A N/A</v>
        <stp/>
        <stp>BDH|1381918993986099100</stp>
        <tr r="AX61" s="1"/>
      </tp>
      <tp t="s">
        <v>#N/A N/A</v>
        <stp/>
        <stp>BDH|1720674905413495202</stp>
        <tr r="BA44" s="1"/>
        <tr r="BA44" s="1"/>
      </tp>
      <tp t="s">
        <v>#N/A N/A</v>
        <stp/>
        <stp>BDH|6407298225837088794</stp>
        <tr r="L59" s="16"/>
      </tp>
      <tp t="s">
        <v>#N/A N/A</v>
        <stp/>
        <stp>BDH|2299990982761138492</stp>
        <tr r="AX27" s="1"/>
      </tp>
      <tp t="s">
        <v>#N/A N/A</v>
        <stp/>
        <stp>BDH|4217858547586561834</stp>
        <tr r="N81" s="16"/>
      </tp>
      <tp t="s">
        <v>#N/A Requesting Data...3032577685</v>
        <stp/>
        <stp>BDP|4140613109141969574</stp>
        <tr r="AF196" s="23"/>
      </tp>
      <tp t="s">
        <v>#N/A N/A</v>
        <stp/>
        <stp>BDH|2128771644480504703</stp>
        <tr r="BB42" s="1"/>
      </tp>
      <tp t="s">
        <v>#N/A N/A</v>
        <stp/>
        <stp>BDH|7268210474605303138</stp>
        <tr r="G43" s="16"/>
      </tp>
    </main>
    <main first="ice.rtd">
      <tp>
        <v>0</v>
        <stp/>
        <stp>3126131030B0:BlkVol</stp>
        <tr r="O1746" s="5"/>
      </tp>
      <tp>
        <v>0</v>
        <stp/>
        <stp>2325225613B0:BlkVol</stp>
        <tr r="O631" s="5"/>
      </tp>
    </main>
    <main first="bofaddin.rtdserver">
      <tp t="s">
        <v>#N/A N/A</v>
        <stp/>
        <stp>BDH|8091672401719198134</stp>
        <tr r="AV39" s="1"/>
      </tp>
      <tp t="s">
        <v>#N/A N/A</v>
        <stp/>
        <stp>BDH|8538460442027373963</stp>
        <tr r="BC66" s="1"/>
        <tr r="BC66" s="1"/>
      </tp>
      <tp t="s">
        <v>#N/A N/A</v>
        <stp/>
        <stp>BDH|6380043004288542824</stp>
        <tr r="L60" s="16"/>
      </tp>
      <tp t="s">
        <v>#N/A N/A</v>
        <stp/>
        <stp>BDH|4185678026501501718</stp>
        <tr r="C49" s="14"/>
      </tp>
      <tp t="b">
        <v>0</v>
        <stp/>
        <stp>BDH|8121190191482881443</stp>
        <tr r="P22" s="25"/>
        <tr r="P22" s="25"/>
      </tp>
      <tp t="s">
        <v>#N/A Invalid Security</v>
        <stp/>
        <stp>BDP|13231260226249151279|222</stp>
        <stp>CLZ8 Comdty</stp>
        <stp>BID</stp>
        <stp>Fill=#N/A</stp>
        <tr r="F46" s="1"/>
      </tp>
    </main>
    <main first="ice.rtd">
      <tp>
        <v>0</v>
        <stp/>
        <stp>15091310Y2:Vol</stp>
        <tr r="N1413" s="5"/>
      </tp>
      <tp>
        <v>0</v>
        <stp/>
        <stp>15091310Y1:Vol</stp>
        <tr r="N1412" s="5"/>
      </tp>
      <tp>
        <v>0</v>
        <stp/>
        <stp>15091310Y0:Vol</stp>
        <tr r="N1411" s="5"/>
      </tp>
    </main>
    <main first="bofaddin.rtdserver">
      <tp t="s">
        <v>#N/A Invalid Security</v>
        <stp/>
        <stp>BDP|10110793595805358656|222</stp>
        <stp>CLQ0 Comdty</stp>
        <stp>ASK</stp>
        <stp>Fill=#N/A</stp>
        <tr r="F66" s="1"/>
      </tp>
    </main>
    <main first="ice.rtd">
      <tp>
        <v>0</v>
        <stp/>
        <stp>32613992Q1:BlkVol</stp>
        <tr r="O1251" s="5"/>
      </tp>
      <tp>
        <v>0</v>
        <stp/>
        <stp>32613992Q0:BlkVol</stp>
        <tr r="O1250" s="5"/>
      </tp>
      <tp>
        <v>0</v>
        <stp/>
        <stp>32613992Q3:BlkVol</stp>
        <tr r="O1253" s="5"/>
      </tp>
      <tp>
        <v>0</v>
        <stp/>
        <stp>32613992Q2:BlkVol</stp>
        <tr r="O1252" s="5"/>
      </tp>
      <tp>
        <v>0</v>
        <stp/>
        <stp>32613992Q5:BlkVol</stp>
        <tr r="O1255" s="5"/>
      </tp>
      <tp>
        <v>0</v>
        <stp/>
        <stp>32613992Q4:BlkVol</stp>
        <tr r="O1254" s="5"/>
      </tp>
      <tp>
        <v>0</v>
        <stp/>
        <stp>32613992Q7:BlkVol</stp>
        <tr r="O1257" s="5"/>
      </tp>
      <tp>
        <v>0</v>
        <stp/>
        <stp>32613992Q6:BlkVol</stp>
        <tr r="O1256" s="5"/>
      </tp>
      <tp>
        <v>0</v>
        <stp/>
        <stp>32613992Q8:BlkVol</stp>
        <tr r="O1258" s="5"/>
      </tp>
      <tp>
        <v>0</v>
        <stp/>
        <stp>32613992Y1:BlkVol</stp>
        <tr r="O1260" s="5"/>
      </tp>
      <tp>
        <v>0</v>
        <stp/>
        <stp>32613992Y0:BlkVol</stp>
        <tr r="O1259" s="5"/>
      </tp>
      <tp>
        <v>0</v>
        <stp/>
        <stp>32613992Y2:BlkVol</stp>
        <tr r="O1261" s="5"/>
      </tp>
      <tp>
        <v>0</v>
        <stp/>
        <stp>32613992M1:BlkVol</stp>
        <tr r="O1226" s="5"/>
      </tp>
      <tp>
        <v>0</v>
        <stp/>
        <stp>32613992M0:BlkVol</stp>
        <tr r="O1225" s="5"/>
      </tp>
      <tp>
        <v>0</v>
        <stp/>
        <stp>32613992M3:BlkVol</stp>
        <tr r="O1228" s="5"/>
      </tp>
      <tp>
        <v>0</v>
        <stp/>
        <stp>32613992M2:BlkVol</stp>
        <tr r="O1227" s="5"/>
      </tp>
      <tp>
        <v>0</v>
        <stp/>
        <stp>32613992M5:BlkVol</stp>
        <tr r="O1230" s="5"/>
      </tp>
      <tp>
        <v>0</v>
        <stp/>
        <stp>32613992M4:BlkVol</stp>
        <tr r="O1229" s="5"/>
      </tp>
      <tp>
        <v>0</v>
        <stp/>
        <stp>32613992M7:BlkVol</stp>
        <tr r="O1232" s="5"/>
      </tp>
      <tp>
        <v>0</v>
        <stp/>
        <stp>32613992M6:BlkVol</stp>
        <tr r="O1231" s="5"/>
      </tp>
      <tp>
        <v>0</v>
        <stp/>
        <stp>32613992M9:BlkVol</stp>
        <tr r="O1234" s="5"/>
      </tp>
      <tp>
        <v>0</v>
        <stp/>
        <stp>32613992M8:BlkVol</stp>
        <tr r="O1233" s="5"/>
      </tp>
      <tp>
        <v>0</v>
        <stp/>
        <stp>32623993Q1:BlkVol</stp>
        <tr r="O2016" s="5"/>
      </tp>
      <tp>
        <v>0</v>
        <stp/>
        <stp>32623993Q0:BlkVol</stp>
        <tr r="O2015" s="5"/>
      </tp>
      <tp>
        <v>0</v>
        <stp/>
        <stp>32623993Q3:BlkVol</stp>
        <tr r="O2018" s="5"/>
      </tp>
      <tp>
        <v>0</v>
        <stp/>
        <stp>32623993Q2:BlkVol</stp>
        <tr r="O2017" s="5"/>
      </tp>
      <tp>
        <v>0</v>
        <stp/>
        <stp>32623993Q5:BlkVol</stp>
        <tr r="O2020" s="5"/>
      </tp>
      <tp>
        <v>0</v>
        <stp/>
        <stp>32623993Q4:BlkVol</stp>
        <tr r="O2019" s="5"/>
      </tp>
      <tp>
        <v>0</v>
        <stp/>
        <stp>32623993Q7:BlkVol</stp>
        <tr r="O2022" s="5"/>
      </tp>
      <tp>
        <v>0</v>
        <stp/>
        <stp>32623993Q6:BlkVol</stp>
        <tr r="O2021" s="5"/>
      </tp>
      <tp>
        <v>0</v>
        <stp/>
        <stp>32623993Q8:BlkVol</stp>
        <tr r="O2023" s="5"/>
      </tp>
      <tp>
        <v>0</v>
        <stp/>
        <stp>32623993Y1:BlkVol</stp>
        <tr r="O2025" s="5"/>
      </tp>
      <tp>
        <v>2</v>
        <stp/>
        <stp>32623993Y0:BlkVol</stp>
        <tr r="O2024" s="5"/>
      </tp>
      <tp>
        <v>9</v>
        <stp/>
        <stp>32623993M1:BlkVol</stp>
        <tr r="O1991" s="5"/>
      </tp>
      <tp>
        <v>0</v>
        <stp/>
        <stp>32623993M3:BlkVol</stp>
        <tr r="O1993" s="5"/>
      </tp>
      <tp>
        <v>0</v>
        <stp/>
        <stp>32623993M2:BlkVol</stp>
        <tr r="O1992" s="5"/>
      </tp>
      <tp>
        <v>2</v>
        <stp/>
        <stp>32623993M5:BlkVol</stp>
        <tr r="O1995" s="5"/>
      </tp>
      <tp>
        <v>2</v>
        <stp/>
        <stp>32623993M4:BlkVol</stp>
        <tr r="O1994" s="5"/>
      </tp>
      <tp>
        <v>2</v>
        <stp/>
        <stp>32623993M7:BlkVol</stp>
        <tr r="O1997" s="5"/>
      </tp>
      <tp>
        <v>2</v>
        <stp/>
        <stp>32623993M6:BlkVol</stp>
        <tr r="O1996" s="5"/>
      </tp>
      <tp>
        <v>17</v>
        <stp/>
        <stp>32623993M9:BlkVol</stp>
        <tr r="O1999" s="5"/>
      </tp>
      <tp>
        <v>17</v>
        <stp/>
        <stp>32623993M8:BlkVol</stp>
        <tr r="O1998" s="5"/>
      </tp>
      <tp>
        <v>0</v>
        <stp/>
        <stp>15091310Q8:Vol</stp>
        <tr r="N1410" s="5"/>
      </tp>
      <tp>
        <v>0</v>
        <stp/>
        <stp>15091310Q3:Vol</stp>
        <tr r="N1405" s="5"/>
      </tp>
      <tp>
        <v>0</v>
        <stp/>
        <stp>15091310Q2:Vol</stp>
        <tr r="N1404" s="5"/>
      </tp>
      <tp>
        <v>0</v>
        <stp/>
        <stp>15091310Q1:Vol</stp>
        <tr r="N1403" s="5"/>
      </tp>
      <tp>
        <v>0</v>
        <stp/>
        <stp>15091310Q0:Vol</stp>
        <tr r="N1402" s="5"/>
      </tp>
      <tp>
        <v>0</v>
        <stp/>
        <stp>15091310Q7:Vol</stp>
        <tr r="N1409" s="5"/>
      </tp>
      <tp>
        <v>0</v>
        <stp/>
        <stp>15091310Q6:Vol</stp>
        <tr r="N1408" s="5"/>
      </tp>
      <tp>
        <v>0</v>
        <stp/>
        <stp>15091310Q5:Vol</stp>
        <tr r="N1407" s="5"/>
      </tp>
      <tp>
        <v>0</v>
        <stp/>
        <stp>15091310Q4:Vol</stp>
        <tr r="N1406" s="5"/>
      </tp>
    </main>
    <main first="bofaddin.rtdserver">
      <tp>
        <v>814.75</v>
        <stp/>
        <stp>BDP|16630677393199961672|222</stp>
        <stp>QSV8 Comdty</stp>
        <stp>BID</stp>
        <stp>Fill=#N/A</stp>
        <tr r="H44" s="1"/>
      </tp>
      <tp>
        <v>270.32</v>
        <stp/>
        <stp>BDP|11549188400282721465|222</stp>
        <stp>XBQ7 Comdty</stp>
        <stp>ASK</stp>
        <stp>Fill=#N/A</stp>
        <tr r="J30" s="1"/>
      </tp>
    </main>
    <main first="ice.rtd">
      <tp>
        <v>0</v>
        <stp/>
        <stp>15091310M9:Vol</stp>
        <tr r="N1386" s="5"/>
      </tp>
      <tp>
        <v>0</v>
        <stp/>
        <stp>15091310M8:Vol</stp>
        <tr r="N1385" s="5"/>
      </tp>
      <tp>
        <v>0</v>
        <stp/>
        <stp>15091310M3:Vol</stp>
        <tr r="N1380" s="5"/>
      </tp>
      <tp>
        <v>0</v>
        <stp/>
        <stp>15091310M2:Vol</stp>
        <tr r="N1379" s="5"/>
      </tp>
      <tp>
        <v>0</v>
        <stp/>
        <stp>15091310M1:Vol</stp>
        <tr r="N1378" s="5"/>
      </tp>
      <tp>
        <v>0</v>
        <stp/>
        <stp>15091310M0:Vol</stp>
        <tr r="N1377" s="5"/>
      </tp>
      <tp>
        <v>0</v>
        <stp/>
        <stp>15091310M7:Vol</stp>
        <tr r="N1384" s="5"/>
      </tp>
      <tp>
        <v>0</v>
        <stp/>
        <stp>15091310M6:Vol</stp>
        <tr r="N1383" s="5"/>
      </tp>
      <tp>
        <v>0</v>
        <stp/>
        <stp>15091310M5:Vol</stp>
        <tr r="N1382" s="5"/>
      </tp>
      <tp>
        <v>0</v>
        <stp/>
        <stp>15091310M4:Vol</stp>
        <tr r="N1381" s="5"/>
      </tp>
      <tp t="s">
        <v/>
        <stp/>
        <stp>3124331018M14:LstDate</stp>
        <tr r="J1619" s="5"/>
      </tp>
      <tp t="s">
        <v/>
        <stp/>
        <stp>3124331018M13:LstDate</stp>
        <tr r="J1618" s="5"/>
      </tp>
      <tp t="s">
        <v/>
        <stp/>
        <stp>3124331018M12:LstDate</stp>
        <tr r="J1617" s="5"/>
      </tp>
      <tp t="s">
        <v/>
        <stp/>
        <stp>3124331018M11:LstDate</stp>
        <tr r="J1616" s="5"/>
      </tp>
      <tp t="s">
        <v/>
        <stp/>
        <stp>3124331018M10:LstDate</stp>
        <tr r="J1615" s="5"/>
      </tp>
    </main>
    <main first="bofaddin.rtdserver">
      <tp>
        <v>6.4937500000000004</v>
        <stp/>
        <stp>BFXFORWARD|14775979550924185698|222</stp>
        <stp>USDCNY</stp>
        <stp>18M</stp>
        <stp>MidOutright</stp>
        <tr r="BD38" s="1"/>
      </tp>
      <tp>
        <v>1421.88</v>
        <stp/>
        <stp>BDP|4816976473224327146|22</stp>
        <stp>QSU6 Comdty</stp>
        <stp>MID</stp>
        <tr r="G4" s="21"/>
        <tr r="G4" s="21"/>
      </tp>
    </main>
    <main first="ice.rtd">
      <tp t="s">
        <v>Q1 27</v>
        <stp/>
        <stp>1581618115Q1:Strip</stp>
        <tr r="E475" s="5"/>
      </tp>
      <tp t="s">
        <v>Oct26</v>
        <stp/>
        <stp>1581618115M1:Strip</stp>
        <tr r="E460" s="5"/>
      </tp>
      <tp t="s">
        <v>Q1 27</v>
        <stp/>
        <stp>1923422331Q1:Strip</stp>
        <tr r="E1643" s="5"/>
      </tp>
      <tp t="s">
        <v>Oct26</v>
        <stp/>
        <stp>1923422331M1:Strip</stp>
        <tr r="E1628" s="5"/>
      </tp>
      <tp t="s">
        <v/>
        <stp/>
        <stp>DBI1227MM19:BstHitPrc</stp>
        <tr r="G1650" s="5"/>
        <tr r="G1670" s="5"/>
      </tp>
      <tp t="s">
        <v>Sep26</v>
        <stp/>
        <stp>41787896M0:Strip</stp>
        <tr r="E807" s="5"/>
      </tp>
      <tp t="s">
        <v>Q4 26</v>
        <stp/>
        <stp>41787896Q0:Strip</stp>
        <tr r="E832" s="5"/>
      </tp>
      <tp t="s">
        <v>Cal 27</v>
        <stp/>
        <stp>41787896Y0:Strip</stp>
        <tr r="E841" s="5"/>
      </tp>
      <tp t="s">
        <v>Invalid Market: 41767893B0</v>
        <stp/>
        <stp>41767893B0:Strip</stp>
        <tr r="E479" s="5"/>
      </tp>
      <tp t="s">
        <v>Sep26</v>
        <stp/>
        <stp>41767893M0:Strip</stp>
        <tr r="E480" s="5"/>
      </tp>
      <tp t="s">
        <v>Q4 26</v>
        <stp/>
        <stp>41767893Q0:Strip</stp>
        <tr r="E505" s="5"/>
      </tp>
      <tp t="s">
        <v>Cal 27</v>
        <stp/>
        <stp>41767893Y0:Strip</stp>
        <tr r="E514" s="5"/>
      </tp>
      <tp t="s">
        <v>Feb27</v>
        <stp/>
        <stp>3124331018M5:Strip</stp>
        <tr r="E1610" s="5"/>
      </tp>
      <tp t="s">
        <v>Nov26</v>
        <stp/>
        <stp>32623993M2:Strip</stp>
        <tr r="E1992" s="5"/>
      </tp>
      <tp t="s">
        <v>Q2 27</v>
        <stp/>
        <stp>32623993Q2:Strip</stp>
        <tr r="E2017" s="5"/>
      </tp>
      <tp t="s">
        <v>Nov26</v>
        <stp/>
        <stp>32613992M2:Strip</stp>
        <tr r="E1227" s="5"/>
      </tp>
      <tp t="s">
        <v>Q2 27</v>
        <stp/>
        <stp>32613992Q2:Strip</stp>
        <tr r="E1252" s="5"/>
      </tp>
      <tp t="s">
        <v>Cal 29</v>
        <stp/>
        <stp>32613992Y2:Strip</stp>
        <tr r="E1261" s="5"/>
      </tp>
      <tp t="s">
        <v>Q2 27</v>
        <stp/>
        <stp>2755728678Q2:Strip</stp>
        <tr r="E1138" s="5"/>
      </tp>
      <tp t="s">
        <v>Cal 29</v>
        <stp/>
        <stp>2755728678Y2:Strip</stp>
        <tr r="E1147" s="5"/>
      </tp>
      <tp t="s">
        <v>Nov26</v>
        <stp/>
        <stp>2755728678M2:Strip</stp>
        <tr r="E1113" s="5"/>
      </tp>
      <tp t="s">
        <v>Mar27</v>
        <stp/>
        <stp>29243602M6:Strip</stp>
        <tr r="E752" s="5"/>
      </tp>
    </main>
    <main first="esrtd">
      <tp t="s">
        <v/>
        <stp/>
        <stp>WMJ 7!-IEU</stp>
        <stp>Strip</stp>
        <tr r="E1889" s="5"/>
      </tp>
      <tp t="s">
        <v/>
        <stp/>
        <stp>WMJ 6!-IEU</stp>
        <stp>Strip</stp>
        <tr r="E1888" s="5"/>
      </tp>
      <tp t="s">
        <v/>
        <stp/>
        <stp>WMJ 5!-IEU</stp>
        <stp>Strip</stp>
        <tr r="E1887" s="5"/>
      </tp>
      <tp t="s">
        <v/>
        <stp/>
        <stp>WMJ 4!-IEU</stp>
        <stp>Strip</stp>
        <tr r="E1886" s="5"/>
      </tp>
      <tp t="s">
        <v/>
        <stp/>
        <stp>WMJ 3!-IEU</stp>
        <stp>Strip</stp>
        <tr r="E1885" s="5"/>
      </tp>
      <tp t="s">
        <v/>
        <stp/>
        <stp>WMJ 2!-IEU</stp>
        <stp>Strip</stp>
        <tr r="E1884" s="5"/>
      </tp>
      <tp t="s">
        <v/>
        <stp/>
        <stp>WMJ 1!-IEU</stp>
        <stp>Strip</stp>
        <tr r="E1883" s="5"/>
      </tp>
      <tp t="s">
        <v/>
        <stp/>
        <stp>WMJ 9!-IEU</stp>
        <stp>Strip</stp>
        <tr r="E1891" s="5"/>
      </tp>
      <tp t="s">
        <v/>
        <stp/>
        <stp>WMJ 8!-IEU</stp>
        <stp>Strip</stp>
        <tr r="E1890" s="5"/>
      </tp>
    </main>
    <main first="ice.rtd">
      <tp t="s">
        <v/>
        <stp/>
        <stp>DBI1227MM19:LstBlkPrc</stp>
        <tr r="K1650" s="5"/>
        <tr r="K1670" s="5"/>
      </tp>
      <tp t="s">
        <v>Q2 27</v>
        <stp/>
        <stp>2755828679Q2:Strip</stp>
        <tr r="E1024" s="5"/>
      </tp>
      <tp t="s">
        <v>Cal 29</v>
        <stp/>
        <stp>2755828679Y2:Strip</stp>
        <tr r="E1033" s="5"/>
      </tp>
      <tp t="s">
        <v>Nov26</v>
        <stp/>
        <stp>2755828679M2:Strip</stp>
        <tr r="E999" s="5"/>
      </tp>
      <tp t="s">
        <v>Q3 28</v>
        <stp/>
        <stp>1986823075Q7:Strip</stp>
        <tr r="E149" s="5"/>
      </tp>
      <tp t="s">
        <v>Apr27</v>
        <stp/>
        <stp>1986823075M7:Strip</stp>
        <tr r="E124" s="5"/>
      </tp>
      <tp t="s">
        <v>Apr27</v>
        <stp/>
        <stp>18871685M7:Strip</stp>
        <tr r="E428" s="5"/>
      </tp>
      <tp t="s">
        <v>Q3 28</v>
        <stp/>
        <stp>18871685Q7:Strip</stp>
        <tr r="E453" s="5"/>
      </tp>
      <tp t="s">
        <v>Apr27</v>
        <stp/>
        <stp>18851683M7:Strip</stp>
        <tr r="E200" s="5"/>
      </tp>
      <tp t="s">
        <v>Q3 28</v>
        <stp/>
        <stp>18851683Q7:Strip</stp>
        <tr r="E225" s="5"/>
      </tp>
      <tp t="s">
        <v>Q3 28</v>
        <stp/>
        <stp>1986923076Q7:Strip</stp>
        <tr r="E187" s="5"/>
      </tp>
      <tp t="s">
        <v>Apr27</v>
        <stp/>
        <stp>1986923076M7:Strip</stp>
        <tr r="E162" s="5"/>
      </tp>
      <tp t="s">
        <v>Apr27</v>
        <stp/>
        <stp>18901687M7:Strip</stp>
        <tr r="E314" s="5"/>
      </tp>
      <tp t="s">
        <v>Q3 28</v>
        <stp/>
        <stp>18901687Q7:Strip</stp>
        <tr r="E339" s="5"/>
      </tp>
      <tp t="s">
        <v>Cal 27</v>
        <stp/>
        <stp>2044823525Y0:Strip</stp>
        <tr r="E1777" s="5"/>
      </tp>
      <tp t="s">
        <v>Q4 26</v>
        <stp/>
        <stp>2044823525Q0:Strip</stp>
        <tr r="E1770" s="5"/>
      </tp>
      <tp t="s">
        <v>Oct26</v>
        <stp/>
        <stp>2044823525M0:Strip</stp>
        <tr r="E1747" s="5"/>
      </tp>
      <tp t="s">
        <v>Jun27</v>
        <stp/>
        <stp>1840020882M9:Strip</stp>
        <tr r="E1591" s="5"/>
      </tp>
      <tp t="s">
        <v>Q4 27</v>
        <stp/>
        <stp>2427026287Q4:Strip</stp>
        <tr r="E1178" s="5"/>
      </tp>
      <tp t="s">
        <v>Jan27</v>
        <stp/>
        <stp>2427026287M4:Strip</stp>
        <tr r="E1153" s="5"/>
      </tp>
      <tp t="s">
        <v>Q4 27</v>
        <stp/>
        <stp>2427126288Q4:Strip</stp>
        <tr r="E1064" s="5"/>
      </tp>
      <tp t="s">
        <v>Jan27</v>
        <stp/>
        <stp>2427126288M4:Strip</stp>
        <tr r="E1039" s="5"/>
      </tp>
      <tp t="s">
        <v/>
        <stp/>
        <stp>1987023077B0:LstPrc</stp>
        <tr r="I154" s="5"/>
      </tp>
      <tp t="s">
        <v/>
        <stp/>
        <stp>2185624628B0:LstPrc</stp>
        <tr r="I745" s="5"/>
      </tp>
      <tp t="s">
        <v/>
        <stp/>
        <stp>1923422331Y0:LstPrc</stp>
        <tr r="I1646" s="5"/>
      </tp>
      <tp t="s">
        <v/>
        <stp/>
        <stp>1923422331Q0:LstPrc</stp>
        <tr r="I1642" s="5"/>
      </tp>
      <tp t="s">
        <v/>
        <stp/>
        <stp>1923422331Q1:LstPrc</stp>
        <tr r="I1643" s="5"/>
      </tp>
      <tp t="s">
        <v/>
        <stp/>
        <stp>1923422331Q2:LstPrc</stp>
        <tr r="I1644" s="5"/>
      </tp>
      <tp t="s">
        <v/>
        <stp/>
        <stp>1923422331Q3:LstPrc</stp>
        <tr r="I1645" s="5"/>
      </tp>
      <tp t="s">
        <v/>
        <stp/>
        <stp>1923422331M8:LstPrc</stp>
        <tr r="I1635" s="5"/>
      </tp>
      <tp t="s">
        <v/>
        <stp/>
        <stp>1923422331M9:LstPrc</stp>
        <tr r="I1636" s="5"/>
      </tp>
      <tp t="s">
        <v/>
        <stp/>
        <stp>1923422331M4:LstPrc</stp>
        <tr r="I1631" s="5"/>
      </tp>
      <tp t="s">
        <v/>
        <stp/>
        <stp>1923422331M5:LstPrc</stp>
        <tr r="I1632" s="5"/>
      </tp>
      <tp t="s">
        <v/>
        <stp/>
        <stp>1923422331M6:LstPrc</stp>
        <tr r="I1633" s="5"/>
      </tp>
      <tp t="s">
        <v/>
        <stp/>
        <stp>1923422331M7:LstPrc</stp>
        <tr r="I1634" s="5"/>
      </tp>
      <tp t="s">
        <v/>
        <stp/>
        <stp>1923422331M0:LstPrc</stp>
        <tr r="I1627" s="5"/>
      </tp>
      <tp t="s">
        <v/>
        <stp/>
        <stp>1923422331M1:LstPrc</stp>
        <tr r="I1628" s="5"/>
      </tp>
      <tp t="s">
        <v/>
        <stp/>
        <stp>1923422331M2:LstPrc</stp>
        <tr r="I1629" s="5"/>
      </tp>
      <tp t="s">
        <v/>
        <stp/>
        <stp>1923422331M3:LstPrc</stp>
        <tr r="I1630" s="5"/>
      </tp>
      <tp t="s">
        <v/>
        <stp/>
        <stp>15061297MM19:LstBlkTime</stp>
        <tr r="M1702" s="5"/>
      </tp>
      <tp t="s">
        <v/>
        <stp/>
        <stp>15061297MM18:LstBlkTime</stp>
        <tr r="M1701" s="5"/>
      </tp>
      <tp t="s">
        <v/>
        <stp/>
        <stp>15061297MM15:LstBlkTime</stp>
        <tr r="M1698" s="5"/>
      </tp>
      <tp t="s">
        <v/>
        <stp/>
        <stp>15061297MM14:LstBlkTime</stp>
        <tr r="M1697" s="5"/>
      </tp>
      <tp t="s">
        <v/>
        <stp/>
        <stp>15061297MM17:LstBlkTime</stp>
        <tr r="M1700" s="5"/>
      </tp>
      <tp t="s">
        <v/>
        <stp/>
        <stp>15061297MM16:LstBlkTime</stp>
        <tr r="M1699" s="5"/>
      </tp>
      <tp t="s">
        <v/>
        <stp/>
        <stp>15061297MM11:LstBlkTime</stp>
        <tr r="M1694" s="5"/>
      </tp>
      <tp t="s">
        <v/>
        <stp/>
        <stp>15061297MM10:LstBlkTime</stp>
        <tr r="M1693" s="5"/>
      </tp>
      <tp t="s">
        <v/>
        <stp/>
        <stp>15061297MM13:LstBlkTime</stp>
        <tr r="M1696" s="5"/>
      </tp>
      <tp t="s">
        <v/>
        <stp/>
        <stp>15061297MM12:LstBlkTime</stp>
        <tr r="M1695" s="5"/>
      </tp>
      <tp t="s">
        <v/>
        <stp/>
        <stp>15061297MM25:LstBlkTime</stp>
        <tr r="M1708" s="5"/>
      </tp>
      <tp t="s">
        <v/>
        <stp/>
        <stp>15061297MM24:LstBlkTime</stp>
        <tr r="M1707" s="5"/>
      </tp>
      <tp t="s">
        <v/>
        <stp/>
        <stp>15061297MM27:LstBlkTime</stp>
        <tr r="M1710" s="5"/>
      </tp>
      <tp t="s">
        <v/>
        <stp/>
        <stp>15061297MM26:LstBlkTime</stp>
        <tr r="M1709" s="5"/>
      </tp>
      <tp t="s">
        <v/>
        <stp/>
        <stp>15061297MM21:LstBlkTime</stp>
        <tr r="M1704" s="5"/>
      </tp>
      <tp t="s">
        <v/>
        <stp/>
        <stp>15061297MM20:LstBlkTime</stp>
        <tr r="M1703" s="5"/>
      </tp>
      <tp t="s">
        <v>08:44:21</v>
        <stp/>
        <stp>15061297MM23:LstBlkTime</stp>
        <tr r="M1706" s="5"/>
      </tp>
      <tp t="s">
        <v/>
        <stp/>
        <stp>15061297MM22:LstBlkTime</stp>
        <tr r="M1705" s="5"/>
      </tp>
    </main>
    <main first="bofaddin.rtdserver">
      <tp>
        <v>0.24</v>
        <stp/>
        <stp>BDP|340931670892557474|222</stp>
        <stp>CON8COQ8 Comdty</stp>
        <stp>BID</stp>
        <stp>Fill=#N/A</stp>
        <tr r="O42" s="1"/>
      </tp>
    </main>
    <main first="ice.rtd">
      <tp t="s">
        <v>BOA</v>
        <stp/>
        <stp>41787896Q8:PCC</stp>
        <tr r="B840" s="5"/>
      </tp>
      <tp t="s">
        <v>BOA</v>
        <stp/>
        <stp>41787896Q3:PCC</stp>
        <tr r="B835" s="5"/>
      </tp>
      <tp t="s">
        <v>BOA</v>
        <stp/>
        <stp>41787896Q2:PCC</stp>
        <tr r="B834" s="5"/>
      </tp>
      <tp t="s">
        <v>BOA</v>
        <stp/>
        <stp>41787896Q1:PCC</stp>
        <tr r="B833" s="5"/>
      </tp>
      <tp t="s">
        <v>BOA</v>
        <stp/>
        <stp>41787896Q0:PCC</stp>
        <tr r="B832" s="5"/>
      </tp>
      <tp t="s">
        <v>BOA</v>
        <stp/>
        <stp>41787896Q7:PCC</stp>
        <tr r="B839" s="5"/>
      </tp>
      <tp t="s">
        <v>BOA</v>
        <stp/>
        <stp>41787896Q6:PCC</stp>
        <tr r="B838" s="5"/>
      </tp>
      <tp t="s">
        <v>BOA</v>
        <stp/>
        <stp>41787896Q5:PCC</stp>
        <tr r="B837" s="5"/>
      </tp>
      <tp t="s">
        <v>BOA</v>
        <stp/>
        <stp>41787896Q4:PCC</stp>
        <tr r="B836" s="5"/>
      </tp>
    </main>
    <main first="bofaddin.rtdserver">
      <tp t="s">
        <v>#N/A</v>
        <stp/>
        <stp>BDP|8918093215938203512|222</stp>
        <stp>OQAJ0K0 Comdty</stp>
        <stp>ASK</stp>
        <stp>Fill=#N/A</stp>
        <tr r="T63" s="1"/>
      </tp>
    </main>
    <main first="ice.rtd">
      <tp t="s">
        <v>Oct26/Feb27</v>
        <stp/>
        <stp>15061297MM11:Strip</stp>
        <tr r="E1694" s="5"/>
      </tp>
      <tp t="s">
        <v>Nov26/May27</v>
        <stp/>
        <stp>15061297MM21:Strip</stp>
        <tr r="E1704" s="5"/>
      </tp>
      <tp t="s">
        <v/>
        <stp/>
        <stp>1581618115Y0:LstPrc</stp>
        <tr r="I478" s="5"/>
      </tp>
      <tp t="s">
        <v/>
        <stp/>
        <stp>1581618115Q0:LstPrc</stp>
        <tr r="I474" s="5"/>
      </tp>
      <tp t="s">
        <v/>
        <stp/>
        <stp>1581618115Q1:LstPrc</stp>
        <tr r="I475" s="5"/>
      </tp>
      <tp t="s">
        <v/>
        <stp/>
        <stp>1581618115Q2:LstPrc</stp>
        <tr r="I476" s="5"/>
      </tp>
      <tp t="s">
        <v/>
        <stp/>
        <stp>1581618115Q3:LstPrc</stp>
        <tr r="I477" s="5"/>
      </tp>
      <tp t="s">
        <v/>
        <stp/>
        <stp>1581618115M8:LstPrc</stp>
        <tr r="I467" s="5"/>
      </tp>
      <tp t="s">
        <v/>
        <stp/>
        <stp>1581618115M9:LstPrc</stp>
        <tr r="I468" s="5"/>
      </tp>
      <tp t="s">
        <v/>
        <stp/>
        <stp>1581618115M4:LstPrc</stp>
        <tr r="I463" s="5"/>
      </tp>
      <tp t="s">
        <v/>
        <stp/>
        <stp>1581618115M5:LstPrc</stp>
        <tr r="I464" s="5"/>
      </tp>
      <tp t="s">
        <v/>
        <stp/>
        <stp>1581618115M6:LstPrc</stp>
        <tr r="I465" s="5"/>
      </tp>
      <tp t="s">
        <v/>
        <stp/>
        <stp>1581618115M7:LstPrc</stp>
        <tr r="I466" s="5"/>
      </tp>
      <tp t="s">
        <v/>
        <stp/>
        <stp>1581618115M0:LstPrc</stp>
        <tr r="I459" s="5"/>
      </tp>
      <tp>
        <v>-8.9</v>
        <stp/>
        <stp>1581618115M1:LstPrc</stp>
        <tr r="I460" s="5"/>
      </tp>
      <tp t="s">
        <v/>
        <stp/>
        <stp>1581618115M2:LstPrc</stp>
        <tr r="I461" s="5"/>
      </tp>
      <tp t="s">
        <v/>
        <stp/>
        <stp>1581618115M3:LstPrc</stp>
        <tr r="I462" s="5"/>
      </tp>
      <tp t="s">
        <v>BOA</v>
        <stp/>
        <stp>41787896Y2:PCC</stp>
        <tr r="B843" s="5"/>
      </tp>
      <tp t="s">
        <v>BOA</v>
        <stp/>
        <stp>41787896Y1:PCC</stp>
        <tr r="B842" s="5"/>
      </tp>
      <tp t="s">
        <v>BOA</v>
        <stp/>
        <stp>41787896Y0:PCC</stp>
        <tr r="B841" s="5"/>
      </tp>
      <tp t="s">
        <v>Invalid Market: 1581618115B0</v>
        <stp/>
        <stp>1581618115B0:LstPrc</stp>
        <tr r="I458" s="5"/>
      </tp>
    </main>
    <main first="bofaddin.rtdserver">
      <tp t="s">
        <v>#N/A N/A</v>
        <stp/>
        <stp>BDH|6354537069871084337</stp>
        <tr r="L38" s="16"/>
      </tp>
      <tp t="s">
        <v>#N/A N/A</v>
        <stp/>
        <stp>BDH|9050920268781777071</stp>
        <tr r="I34" s="16"/>
      </tp>
      <tp t="s">
        <v>#N/A N/A</v>
        <stp/>
        <stp>BDH|9790865518384594377</stp>
        <tr r="AZ48" s="1"/>
      </tp>
      <tp t="s">
        <v>#N/A N/A</v>
        <stp/>
        <stp>BDH|6052672575548967804</stp>
        <tr r="H84" s="16"/>
      </tp>
      <tp t="s">
        <v>#N/A N/A</v>
        <stp/>
        <stp>BDH|2236829398640555460</stp>
        <tr r="K38" s="16"/>
      </tp>
      <tp t="s">
        <v>#N/A N/A</v>
        <stp/>
        <stp>BDH|3383892280363459751</stp>
        <tr r="I27" s="14"/>
      </tp>
      <tp t="s">
        <v>#N/A N/A</v>
        <stp/>
        <stp>BDH|8606974200430168681</stp>
        <tr r="C8" s="14"/>
      </tp>
      <tp t="s">
        <v>#N/A N/A</v>
        <stp/>
        <stp>BDH|5078293680969894192</stp>
        <tr r="AW48" s="1"/>
      </tp>
      <tp t="s">
        <v>#N/A Requesting Data...4254932789</v>
        <stp/>
        <stp>BDP|5491033576145985013</stp>
        <tr r="K11" s="23"/>
      </tp>
      <tp t="s">
        <v>#N/A Requesting Data...4290976983</v>
        <stp/>
        <stp>BDP|9711760173636365882</stp>
        <tr r="AD7" s="17"/>
      </tp>
      <tp t="s">
        <v>#N/A N/A</v>
        <stp/>
        <stp>BDH|2848538207646694635</stp>
        <tr r="N53" s="16"/>
      </tp>
      <tp t="s">
        <v>#N/A N/A</v>
        <stp/>
        <stp>BDH|4827828302653651872</stp>
        <tr r="AV53" s="1"/>
      </tp>
      <tp t="s">
        <v>#N/A N/A</v>
        <stp/>
        <stp>BDH|6188158174953027494</stp>
        <tr r="N41" s="16"/>
      </tp>
    </main>
    <main first="bofaddin.rtdserver">
      <tp t="s">
        <v>#N/A Requesting Data...3260649927</v>
        <stp/>
        <stp>BDP|3468673357861375696</stp>
        <tr r="AY16" s="1"/>
      </tp>
      <tp t="s">
        <v>#N/A N/A</v>
        <stp/>
        <stp>BDH|5917214450117522237</stp>
        <tr r="AV43" s="1"/>
      </tp>
      <tp t="s">
        <v>#N/A N/A</v>
        <stp/>
        <stp>BDH|1538914486655825242</stp>
        <tr r="BA19" s="1"/>
        <tr r="BA19" s="1"/>
      </tp>
      <tp t="s">
        <v>#N/A N/A</v>
        <stp/>
        <stp>BDH|4234987634789054016</stp>
        <tr r="J35" s="16"/>
      </tp>
      <tp t="s">
        <v>#N/A N/A</v>
        <stp/>
        <stp>BDH|9800904327572375732</stp>
        <tr r="BA39" s="1"/>
        <tr r="BA39" s="1"/>
      </tp>
      <tp t="s">
        <v>#N/A N/A</v>
        <stp/>
        <stp>BDH|8075984926894018028</stp>
        <tr r="J56" s="14"/>
      </tp>
      <tp t="s">
        <v>#N/A N/A</v>
        <stp/>
        <stp>BDH|6921610024717161219</stp>
        <tr r="J51" s="14"/>
      </tp>
      <tp t="s">
        <v>#N/A N/A</v>
        <stp/>
        <stp>BDH|3974142156772379248</stp>
        <tr r="N62" s="16"/>
      </tp>
      <tp t="s">
        <v>#N/A N/A</v>
        <stp/>
        <stp>BDH|8166865728474067121</stp>
        <tr r="AW53" s="1"/>
      </tp>
      <tp t="s">
        <v>#N/A N/A</v>
        <stp/>
        <stp>BDH|9565273514245849830</stp>
        <tr r="J57" s="16"/>
      </tp>
      <tp t="s">
        <v>#N/A Requesting Data...4247826916</v>
        <stp/>
        <stp>BDP|7631374775792271649</stp>
        <tr r="J36" s="23"/>
        <tr r="J77" s="23"/>
      </tp>
      <tp t="s">
        <v>#N/A N/A</v>
        <stp/>
        <stp>BDH|2395270831127411330</stp>
        <tr r="BC55" s="1"/>
      </tp>
      <tp t="s">
        <v>#N/A N/A</v>
        <stp/>
        <stp>BDH|2894752526477029794</stp>
        <tr r="M94" s="16"/>
      </tp>
    </main>
    <main first="ice.rtd">
      <tp>
        <v>0</v>
        <stp/>
        <stp>2325325614B0:BlkVol</stp>
        <tr r="O517" s="5"/>
      </tp>
    </main>
    <main first="bofaddin.rtdserver">
      <tp t="s">
        <v>#N/A N/A</v>
        <stp/>
        <stp>BDH|8078764490000192147</stp>
        <tr r="D14" s="14"/>
      </tp>
      <tp t="s">
        <v>#N/A N/A</v>
        <stp/>
        <stp>BDH|6643933586739565967</stp>
        <tr r="BB64" s="1"/>
      </tp>
    </main>
    <main first="ice.rtd">
      <tp t="s">
        <v>BOA</v>
        <stp/>
        <stp>41787896M9:PCC</stp>
        <tr r="B816" s="5"/>
      </tp>
      <tp t="s">
        <v>BOA</v>
        <stp/>
        <stp>41787896M8:PCC</stp>
        <tr r="B815" s="5"/>
      </tp>
      <tp t="s">
        <v>BOA</v>
        <stp/>
        <stp>41787896M3:PCC</stp>
        <tr r="B810" s="5"/>
      </tp>
      <tp t="s">
        <v>BOA</v>
        <stp/>
        <stp>41787896M2:PCC</stp>
        <tr r="B809" s="5"/>
      </tp>
      <tp t="s">
        <v>BOA</v>
        <stp/>
        <stp>41787896M1:PCC</stp>
        <tr r="B808" s="5"/>
      </tp>
      <tp t="s">
        <v>BOA</v>
        <stp/>
        <stp>41787896M0:PCC</stp>
        <tr r="B807" s="5"/>
      </tp>
    </main>
    <main first="bofaddin.rtdserver">
      <tp t="s">
        <v>#N/A N/A</v>
        <stp/>
        <stp>BDH|9686314315435106932</stp>
        <tr r="L14" s="25"/>
      </tp>
    </main>
    <main first="ice.rtd">
      <tp t="s">
        <v>BOA</v>
        <stp/>
        <stp>41787896M7:PCC</stp>
        <tr r="B814" s="5"/>
      </tp>
    </main>
    <main first="bofaddin.rtdserver">
      <tp t="s">
        <v>#N/A N/A</v>
        <stp/>
        <stp>BDH|4362147472814746120</stp>
        <tr r="BB62" s="1"/>
      </tp>
    </main>
    <main first="ice.rtd">
      <tp t="s">
        <v>BOA</v>
        <stp/>
        <stp>41787896M6:PCC</stp>
        <tr r="B813" s="5"/>
      </tp>
      <tp t="s">
        <v>BOA</v>
        <stp/>
        <stp>41787896M5:PCC</stp>
        <tr r="B812" s="5"/>
      </tp>
      <tp t="s">
        <v>BOA</v>
        <stp/>
        <stp>41787896M4:PCC</stp>
        <tr r="B811" s="5"/>
      </tp>
    </main>
    <main first="bofaddin.rtdserver">
      <tp t="s">
        <v>#N/A N/A</v>
        <stp/>
        <stp>BDH|7506672961663358316</stp>
        <tr r="N57" s="16"/>
      </tp>
    </main>
    <main first="bofaddin.rtdserver">
      <tp t="s">
        <v>#N/A Requesting Data...3666954521</v>
        <stp/>
        <stp>BDP|6383660242620663377</stp>
        <tr r="AM117" s="23"/>
      </tp>
      <tp t="s">
        <v>#N/A N/A</v>
        <stp/>
        <stp>BDH|3835245369954586467</stp>
        <tr r="J45" s="14"/>
      </tp>
      <tp t="s">
        <v>#N/A N/A</v>
        <stp/>
        <stp>BDH|8491217332048131600</stp>
        <tr r="D52" s="14"/>
      </tp>
      <tp t="s">
        <v>#N/A N/A</v>
        <stp/>
        <stp>BDH|6111802286299981885</stp>
        <tr r="BA40" s="1"/>
        <tr r="BA40" s="1"/>
      </tp>
      <tp t="s">
        <v>#N/A Requesting Data...3966709790</v>
        <stp/>
        <stp>BDP|5730160727935285433</stp>
        <tr r="AM120" s="23"/>
      </tp>
      <tp t="s">
        <v>#N/A Requesting Data...3599661079</v>
        <stp/>
        <stp>BDP|1840740752226940202</stp>
        <tr r="AM193" s="23"/>
      </tp>
      <tp t="s">
        <v>#N/A N/A</v>
        <stp/>
        <stp>BDH|7024573502874028129</stp>
        <tr r="N87" s="16"/>
      </tp>
      <tp t="s">
        <v>#N/A N/A</v>
        <stp/>
        <stp>BDH|7047239012504654708</stp>
        <tr r="O15" s="25"/>
      </tp>
      <tp t="s">
        <v>#N/A N/A</v>
        <stp/>
        <stp>BDH|5332696052882619395</stp>
        <tr r="AV53" s="1"/>
      </tp>
    </main>
    <main first="ice.rtd">
      <tp>
        <v>0</v>
        <stp/>
        <stp>2324225603B0:BlkVol</stp>
        <tr r="O920" s="5"/>
      </tp>
    </main>
    <main first="bofaddin.rtdserver">
      <tp t="s">
        <v>#N/A N/A</v>
        <stp/>
        <stp>BDH|7414860455384014931</stp>
        <tr r="AY49" s="1"/>
      </tp>
      <tp t="s">
        <v>#N/A N/A</v>
        <stp/>
        <stp>BDH|7638463666633150123</stp>
        <tr r="AX64" s="1"/>
      </tp>
      <tp t="s">
        <v>#N/A N/A</v>
        <stp/>
        <stp>BDH|6015290818846691422</stp>
        <tr r="AV21" s="1"/>
      </tp>
      <tp t="s">
        <v>#N/A N/A</v>
        <stp/>
        <stp>BDH|8987084311378373661</stp>
        <tr r="AW46" s="1"/>
      </tp>
      <tp>
        <v>209</v>
        <stp/>
        <stp>BDP|17470271620245915225|222</stp>
        <stp>HOV8 Comdty</stp>
        <stp>BID</stp>
        <stp>Fill=#N/A</stp>
        <tr r="I44" s="1"/>
      </tp>
    </main>
    <main first="ice.rtd">
      <tp>
        <v>0</v>
        <stp/>
        <stp>41767893Q3:BlkVol</stp>
        <tr r="O508" s="5"/>
      </tp>
      <tp>
        <v>0</v>
        <stp/>
        <stp>41767893Q2:BlkVol</stp>
        <tr r="O507" s="5"/>
      </tp>
      <tp>
        <v>0</v>
        <stp/>
        <stp>41767893Q1:BlkVol</stp>
        <tr r="O506" s="5"/>
      </tp>
      <tp>
        <v>25</v>
        <stp/>
        <stp>41767893Q0:BlkVol</stp>
        <tr r="O505" s="5"/>
      </tp>
      <tp>
        <v>0</v>
        <stp/>
        <stp>41767893Q7:BlkVol</stp>
        <tr r="O512" s="5"/>
      </tp>
      <tp>
        <v>0</v>
        <stp/>
        <stp>41767893Q6:BlkVol</stp>
        <tr r="O511" s="5"/>
      </tp>
      <tp>
        <v>0</v>
        <stp/>
        <stp>41767893Q5:BlkVol</stp>
        <tr r="O510" s="5"/>
      </tp>
      <tp>
        <v>0</v>
        <stp/>
        <stp>41767893Q4:BlkVol</stp>
        <tr r="O509" s="5"/>
      </tp>
      <tp>
        <v>0</v>
        <stp/>
        <stp>41767893Q8:BlkVol</stp>
        <tr r="O513" s="5"/>
      </tp>
      <tp t="s">
        <v>Invalid Market: 41767893Y2</v>
        <stp/>
        <stp>41767893Y2:BlkVol</stp>
        <tr r="O516" s="5"/>
      </tp>
      <tp>
        <v>0</v>
        <stp/>
        <stp>41767893Y1:BlkVol</stp>
        <tr r="O515" s="5"/>
      </tp>
      <tp>
        <v>0</v>
        <stp/>
        <stp>41767893Y0:BlkVol</stp>
        <tr r="O514" s="5"/>
      </tp>
      <tp t="s">
        <v>Invalid Market: 41767893B0</v>
        <stp/>
        <stp>41767893B0:BlkVol</stp>
        <tr r="O479" s="5"/>
      </tp>
      <tp>
        <v>50</v>
        <stp/>
        <stp>41767893M3:BlkVol</stp>
        <tr r="O483" s="5"/>
      </tp>
      <tp>
        <v>105</v>
        <stp/>
        <stp>41767893M2:BlkVol</stp>
        <tr r="O482" s="5"/>
      </tp>
      <tp>
        <v>124</v>
        <stp/>
        <stp>41767893M1:BlkVol</stp>
        <tr r="O481" s="5"/>
      </tp>
      <tp>
        <v>0</v>
        <stp/>
        <stp>41767893M0:BlkVol</stp>
        <tr r="O480" s="5"/>
      </tp>
      <tp>
        <v>0</v>
        <stp/>
        <stp>41767893M7:BlkVol</stp>
        <tr r="O487" s="5"/>
      </tp>
      <tp>
        <v>0</v>
        <stp/>
        <stp>41767893M6:BlkVol</stp>
        <tr r="O486" s="5"/>
      </tp>
      <tp>
        <v>0</v>
        <stp/>
        <stp>41767893M5:BlkVol</stp>
        <tr r="O485" s="5"/>
      </tp>
      <tp>
        <v>0</v>
        <stp/>
        <stp>41767893M4:BlkVol</stp>
        <tr r="O484" s="5"/>
      </tp>
      <tp>
        <v>0</v>
        <stp/>
        <stp>41767893M9:BlkVol</stp>
        <tr r="O489" s="5"/>
      </tp>
      <tp>
        <v>0</v>
        <stp/>
        <stp>41767893M8:BlkVol</stp>
        <tr r="O488" s="5"/>
      </tp>
    </main>
    <main first="bofaddin.rtdserver">
      <tp t="s">
        <v>#N/A Invalid Security</v>
        <stp/>
        <stp>BDP|241578374470346316|222</stp>
        <stp>SCPQ29 Comdty</stp>
        <stp>BID</stp>
        <stp>Fill=#N/A</stp>
        <tr r="M54" s="1"/>
      </tp>
    </main>
    <main first="ice.rtd">
      <tp>
        <v>0</v>
        <stp/>
        <stp>34404098Y1:Vol</stp>
        <tr r="N629" s="5"/>
      </tp>
      <tp>
        <v>0</v>
        <stp/>
        <stp>34414099Y1:Vol</stp>
        <tr r="N114" s="5"/>
      </tp>
      <tp>
        <v>0</v>
        <stp/>
        <stp>34404098Y0:Vol</stp>
        <tr r="N628" s="5"/>
      </tp>
      <tp>
        <v>0</v>
        <stp/>
        <stp>34414099Y0:Vol</stp>
        <tr r="N113" s="5"/>
      </tp>
      <tp t="s">
        <v>Invalid Market: 34404098Y2</v>
        <stp/>
        <stp>34404098Y2:Vol</stp>
        <tr r="N630" s="5"/>
      </tp>
      <tp>
        <v>0</v>
        <stp/>
        <stp>34414099Y2:Vol</stp>
        <tr r="N115" s="5"/>
      </tp>
    </main>
    <main first="esrtd">
      <tp t="s">
        <v/>
        <stp/>
        <stp>WMJ C2!-IEU</stp>
        <stp>Block Price DT</stp>
        <tr r="M1917" s="5"/>
      </tp>
      <tp t="s">
        <v/>
        <stp/>
        <stp>WNS C2!-IEU</stp>
        <stp>Block Price DT</stp>
        <tr r="M1882" s="5"/>
      </tp>
      <tp t="s">
        <v/>
        <stp/>
        <stp>WHK C2!-IEU</stp>
        <stp>Block Price DT</stp>
        <tr r="M1952" s="5"/>
      </tp>
      <tp t="s">
        <v/>
        <stp/>
        <stp>WDF C2!-IEU</stp>
        <stp>Block Price DT</stp>
        <tr r="M1812" s="5"/>
      </tp>
    </main>
    <main first="bofaddin.rtdserver">
      <tp>
        <v>95.11</v>
        <stp/>
        <stp>BDP|10436346718401441224|222</stp>
        <stp>COX6 Comdty</stp>
        <stp>ASK</stp>
        <stp>Fill=#N/A</stp>
        <tr r="G21" s="1"/>
      </tp>
    </main>
    <main first="ice.rtd">
      <tp>
        <v>0</v>
        <stp/>
        <stp>41787896Q3:BlkVol</stp>
        <tr r="O835" s="5"/>
      </tp>
      <tp>
        <v>0</v>
        <stp/>
        <stp>41787896Q2:BlkVol</stp>
        <tr r="O834" s="5"/>
      </tp>
      <tp>
        <v>0</v>
        <stp/>
        <stp>41787896Q1:BlkVol</stp>
        <tr r="O833" s="5"/>
      </tp>
      <tp>
        <v>0</v>
        <stp/>
        <stp>41787896Q0:BlkVol</stp>
        <tr r="O832" s="5"/>
      </tp>
      <tp>
        <v>0</v>
        <stp/>
        <stp>41787896Q7:BlkVol</stp>
        <tr r="O839" s="5"/>
      </tp>
      <tp>
        <v>0</v>
        <stp/>
        <stp>41787896Q6:BlkVol</stp>
        <tr r="O838" s="5"/>
      </tp>
      <tp>
        <v>0</v>
        <stp/>
        <stp>41787896Q5:BlkVol</stp>
        <tr r="O837" s="5"/>
      </tp>
      <tp>
        <v>0</v>
        <stp/>
        <stp>41787896Q4:BlkVol</stp>
        <tr r="O836" s="5"/>
      </tp>
      <tp>
        <v>0</v>
        <stp/>
        <stp>41787896Q8:BlkVol</stp>
        <tr r="O840" s="5"/>
      </tp>
      <tp>
        <v>0</v>
        <stp/>
        <stp>41787896Y2:BlkVol</stp>
        <tr r="O843" s="5"/>
      </tp>
      <tp>
        <v>0</v>
        <stp/>
        <stp>41787896Y1:BlkVol</stp>
        <tr r="O842" s="5"/>
      </tp>
      <tp>
        <v>0</v>
        <stp/>
        <stp>41787896Y0:BlkVol</stp>
        <tr r="O841" s="5"/>
      </tp>
      <tp>
        <v>0</v>
        <stp/>
        <stp>41787896M3:BlkVol</stp>
        <tr r="O810" s="5"/>
      </tp>
      <tp>
        <v>10</v>
        <stp/>
        <stp>41787896M2:BlkVol</stp>
        <tr r="O809" s="5"/>
      </tp>
      <tp>
        <v>20</v>
        <stp/>
        <stp>41787896M1:BlkVol</stp>
        <tr r="O808" s="5"/>
      </tp>
      <tp>
        <v>0</v>
        <stp/>
        <stp>41787896M0:BlkVol</stp>
        <tr r="O807" s="5"/>
      </tp>
      <tp>
        <v>0</v>
        <stp/>
        <stp>41787896M7:BlkVol</stp>
        <tr r="O814" s="5"/>
      </tp>
      <tp>
        <v>0</v>
        <stp/>
        <stp>41787896M6:BlkVol</stp>
        <tr r="O813" s="5"/>
      </tp>
      <tp>
        <v>0</v>
        <stp/>
        <stp>41787896M5:BlkVol</stp>
        <tr r="O812" s="5"/>
      </tp>
      <tp>
        <v>0</v>
        <stp/>
        <stp>41787896M4:BlkVol</stp>
        <tr r="O811" s="5"/>
      </tp>
      <tp>
        <v>0</v>
        <stp/>
        <stp>41787896M9:BlkVol</stp>
        <tr r="O816" s="5"/>
      </tp>
      <tp>
        <v>0</v>
        <stp/>
        <stp>41787896M8:BlkVol</stp>
        <tr r="O815" s="5"/>
      </tp>
    </main>
    <main first="esrtd">
      <tp t="s">
        <v/>
        <stp/>
        <stp>TDL C2!-IEU</stp>
        <stp>Block Price DT</stp>
        <tr r="M1847" s="5"/>
      </tp>
    </main>
    <main first="ice.rtd">
      <tp>
        <v>0</v>
        <stp/>
        <stp>30793693Q8:BlkVol</stp>
        <tr r="O916" s="5"/>
      </tp>
      <tp>
        <v>0</v>
        <stp/>
        <stp>30793693Q4:BlkVol</stp>
        <tr r="O912" s="5"/>
      </tp>
      <tp>
        <v>0</v>
        <stp/>
        <stp>30793693Q5:BlkVol</stp>
        <tr r="O913" s="5"/>
      </tp>
      <tp>
        <v>0</v>
        <stp/>
        <stp>30793693Q6:BlkVol</stp>
        <tr r="O914" s="5"/>
      </tp>
      <tp>
        <v>0</v>
        <stp/>
        <stp>30793693Q7:BlkVol</stp>
        <tr r="O915" s="5"/>
      </tp>
      <tp>
        <v>0</v>
        <stp/>
        <stp>30793693Q0:BlkVol</stp>
        <tr r="O908" s="5"/>
      </tp>
      <tp>
        <v>0</v>
        <stp/>
        <stp>30793693Q1:BlkVol</stp>
        <tr r="O909" s="5"/>
      </tp>
      <tp>
        <v>0</v>
        <stp/>
        <stp>30793693Q2:BlkVol</stp>
        <tr r="O910" s="5"/>
      </tp>
      <tp>
        <v>0</v>
        <stp/>
        <stp>30793693Q3:BlkVol</stp>
        <tr r="O911" s="5"/>
      </tp>
      <tp>
        <v>0</v>
        <stp/>
        <stp>30793693Y0:BlkVol</stp>
        <tr r="O917" s="5"/>
      </tp>
      <tp>
        <v>0</v>
        <stp/>
        <stp>30793693Y1:BlkVol</stp>
        <tr r="O918" s="5"/>
      </tp>
      <tp>
        <v>0</v>
        <stp/>
        <stp>30793693Y2:BlkVol</stp>
        <tr r="O919" s="5"/>
      </tp>
    </main>
    <main first="bofaddin.rtdserver">
      <tp>
        <v>76.86</v>
        <stp/>
        <stp>BDP|14293221158509876844|222</stp>
        <stp>COX7 Comdty</stp>
        <stp>BID</stp>
        <stp>Fill=#N/A</stp>
        <tr r="G33" s="1"/>
      </tp>
    </main>
    <main first="ice.rtd">
      <tp>
        <v>0</v>
        <stp/>
        <stp>30793693M8:BlkVol</stp>
        <tr r="O891" s="5"/>
      </tp>
      <tp>
        <v>0</v>
        <stp/>
        <stp>30793693M9:BlkVol</stp>
        <tr r="O892" s="5"/>
      </tp>
      <tp>
        <v>0</v>
        <stp/>
        <stp>30793693M4:BlkVol</stp>
        <tr r="O887" s="5"/>
      </tp>
      <tp>
        <v>0</v>
        <stp/>
        <stp>30793693M5:BlkVol</stp>
        <tr r="O888" s="5"/>
      </tp>
      <tp>
        <v>0</v>
        <stp/>
        <stp>30793693M6:BlkVol</stp>
        <tr r="O889" s="5"/>
      </tp>
      <tp>
        <v>0</v>
        <stp/>
        <stp>30793693M7:BlkVol</stp>
        <tr r="O890" s="5"/>
      </tp>
      <tp>
        <v>0</v>
        <stp/>
        <stp>30793693M0:BlkVol</stp>
        <tr r="O883" s="5"/>
      </tp>
      <tp>
        <v>0</v>
        <stp/>
        <stp>30793693M1:BlkVol</stp>
        <tr r="O884" s="5"/>
      </tp>
      <tp>
        <v>25</v>
        <stp/>
        <stp>30793693M2:BlkVol</stp>
        <tr r="O885" s="5"/>
      </tp>
      <tp>
        <v>20</v>
        <stp/>
        <stp>30793693M3:BlkVol</stp>
        <tr r="O886" s="5"/>
      </tp>
      <tp>
        <v>0</v>
        <stp/>
        <stp>34404098Q8:Vol</stp>
        <tr r="N627" s="5"/>
      </tp>
      <tp>
        <v>0</v>
        <stp/>
        <stp>34414099Q8:Vol</stp>
        <tr r="N112" s="5"/>
      </tp>
      <tp>
        <v>0</v>
        <stp/>
        <stp>34404098Q1:Vol</stp>
        <tr r="N620" s="5"/>
      </tp>
      <tp>
        <v>0</v>
        <stp/>
        <stp>34414099Q1:Vol</stp>
        <tr r="N105" s="5"/>
      </tp>
      <tp>
        <v>0</v>
        <stp/>
        <stp>34404098Q0:Vol</stp>
        <tr r="N619" s="5"/>
      </tp>
      <tp>
        <v>0</v>
        <stp/>
        <stp>34414099Q0:Vol</stp>
        <tr r="N104" s="5"/>
      </tp>
      <tp>
        <v>0</v>
        <stp/>
        <stp>34404098Q3:Vol</stp>
        <tr r="N622" s="5"/>
      </tp>
      <tp>
        <v>0</v>
        <stp/>
        <stp>34414099Q3:Vol</stp>
        <tr r="N107" s="5"/>
      </tp>
      <tp>
        <v>0</v>
        <stp/>
        <stp>34404098Q2:Vol</stp>
        <tr r="N621" s="5"/>
      </tp>
      <tp>
        <v>0</v>
        <stp/>
        <stp>34414099Q2:Vol</stp>
        <tr r="N106" s="5"/>
      </tp>
      <tp>
        <v>0</v>
        <stp/>
        <stp>34404098Q5:Vol</stp>
        <tr r="N624" s="5"/>
      </tp>
      <tp>
        <v>0</v>
        <stp/>
        <stp>34414099Q5:Vol</stp>
        <tr r="N109" s="5"/>
      </tp>
      <tp>
        <v>0</v>
        <stp/>
        <stp>34404098Q4:Vol</stp>
        <tr r="N623" s="5"/>
      </tp>
      <tp>
        <v>0</v>
        <stp/>
        <stp>34414099Q4:Vol</stp>
        <tr r="N108" s="5"/>
      </tp>
      <tp>
        <v>0</v>
        <stp/>
        <stp>34404098Q7:Vol</stp>
        <tr r="N626" s="5"/>
      </tp>
      <tp>
        <v>0</v>
        <stp/>
        <stp>34414099Q7:Vol</stp>
        <tr r="N111" s="5"/>
      </tp>
      <tp>
        <v>0</v>
        <stp/>
        <stp>34404098Q6:Vol</stp>
        <tr r="N625" s="5"/>
      </tp>
      <tp>
        <v>0</v>
        <stp/>
        <stp>34414099Q6:Vol</stp>
        <tr r="N110" s="5"/>
      </tp>
      <tp>
        <v>0</v>
        <stp/>
        <stp>34404098M9:Vol</stp>
        <tr r="N603" s="5"/>
      </tp>
      <tp>
        <v>0</v>
        <stp/>
        <stp>34414099M9:Vol</stp>
        <tr r="N88" s="5"/>
      </tp>
      <tp>
        <v>0</v>
        <stp/>
        <stp>34404098M8:Vol</stp>
        <tr r="N602" s="5"/>
      </tp>
      <tp>
        <v>0</v>
        <stp/>
        <stp>34414099M8:Vol</stp>
        <tr r="N87" s="5"/>
      </tp>
      <tp>
        <v>0</v>
        <stp/>
        <stp>34404098M1:Vol</stp>
        <tr r="N595" s="5"/>
      </tp>
      <tp>
        <v>0</v>
        <stp/>
        <stp>34414099M1:Vol</stp>
        <tr r="N80" s="5"/>
      </tp>
      <tp>
        <v>0</v>
        <stp/>
        <stp>34404098M0:Vol</stp>
        <tr r="N594" s="5"/>
      </tp>
      <tp>
        <v>0</v>
        <stp/>
        <stp>34414099M0:Vol</stp>
        <tr r="N79" s="5"/>
      </tp>
      <tp>
        <v>0</v>
        <stp/>
        <stp>34404098M3:Vol</stp>
        <tr r="N597" s="5"/>
      </tp>
      <tp>
        <v>0</v>
        <stp/>
        <stp>34414099M3:Vol</stp>
        <tr r="N82" s="5"/>
      </tp>
      <tp>
        <v>0</v>
        <stp/>
        <stp>34404098M2:Vol</stp>
        <tr r="N596" s="5"/>
      </tp>
      <tp>
        <v>0</v>
        <stp/>
        <stp>34414099M2:Vol</stp>
        <tr r="N81" s="5"/>
      </tp>
      <tp>
        <v>0</v>
        <stp/>
        <stp>34404098M5:Vol</stp>
        <tr r="N599" s="5"/>
      </tp>
      <tp>
        <v>0</v>
        <stp/>
        <stp>34414099M5:Vol</stp>
        <tr r="N84" s="5"/>
      </tp>
      <tp>
        <v>0</v>
        <stp/>
        <stp>34404098M4:Vol</stp>
        <tr r="N598" s="5"/>
      </tp>
      <tp>
        <v>0</v>
        <stp/>
        <stp>34414099M4:Vol</stp>
        <tr r="N83" s="5"/>
      </tp>
      <tp>
        <v>0</v>
        <stp/>
        <stp>34404098M7:Vol</stp>
        <tr r="N601" s="5"/>
      </tp>
      <tp>
        <v>0</v>
        <stp/>
        <stp>34414099M7:Vol</stp>
        <tr r="N86" s="5"/>
      </tp>
      <tp>
        <v>0</v>
        <stp/>
        <stp>34404098M6:Vol</stp>
        <tr r="N600" s="5"/>
      </tp>
      <tp>
        <v>0</v>
        <stp/>
        <stp>34414099M6:Vol</stp>
        <tr r="N85" s="5"/>
      </tp>
    </main>
    <main first="esrtd">
      <tp t="s">
        <v/>
        <stp/>
        <stp>TDL Q3!-IEU</stp>
        <stp>Block Price DT</stp>
        <tr r="M1845" s="5"/>
      </tp>
      <tp t="s">
        <v/>
        <stp/>
        <stp>TDL Q2!-IEU</stp>
        <stp>Block Price DT</stp>
        <tr r="M1844" s="5"/>
      </tp>
      <tp t="s">
        <v/>
        <stp/>
        <stp>TDL Q1!-IEU</stp>
        <stp>Block Price DT</stp>
        <tr r="M1843" s="5"/>
      </tp>
      <tp t="s">
        <v/>
        <stp/>
        <stp>TDL Q4!-IEU</stp>
        <stp>Block Price DT</stp>
        <tr r="M1846" s="5"/>
      </tp>
      <tp t="s">
        <v/>
        <stp/>
        <stp>BRN 26UC7000-ICE</stp>
        <stp>ImpVol</stp>
        <tr r="AR73" s="23"/>
      </tp>
      <tp t="s">
        <v/>
        <stp/>
        <stp>BRN 26UP7000-ICE</stp>
        <stp>ImpVol</stp>
        <tr r="AK73" s="23"/>
      </tp>
      <tp t="s">
        <v/>
        <stp/>
        <stp>WNS Q1!-IEU</stp>
        <stp>Block Price DT</stp>
        <tr r="M1878" s="5"/>
      </tp>
      <tp t="s">
        <v/>
        <stp/>
        <stp>WMJ Q2!-IEU</stp>
        <stp>Block Price DT</stp>
        <tr r="M1914" s="5"/>
      </tp>
      <tp t="s">
        <v/>
        <stp/>
        <stp>WMJ Q3!-IEU</stp>
        <stp>Block Price DT</stp>
        <tr r="M1915" s="5"/>
      </tp>
      <tp t="s">
        <v/>
        <stp/>
        <stp>WNS Q3!-IEU</stp>
        <stp>Block Price DT</stp>
        <tr r="M1880" s="5"/>
      </tp>
      <tp t="s">
        <v/>
        <stp/>
        <stp>WNS Q2!-IEU</stp>
        <stp>Block Price DT</stp>
        <tr r="M1879" s="5"/>
      </tp>
      <tp t="s">
        <v/>
        <stp/>
        <stp>WHK Q4!-IEU</stp>
        <stp>Block Price DT</stp>
        <tr r="M1951" s="5"/>
      </tp>
      <tp t="s">
        <v/>
        <stp/>
        <stp>WMJ Q1!-IEU</stp>
        <stp>Block Price DT</stp>
        <tr r="M1913" s="5"/>
      </tp>
      <tp t="s">
        <v/>
        <stp/>
        <stp>WHK Q3!-IEU</stp>
        <stp>Block Price DT</stp>
        <tr r="M1950" s="5"/>
      </tp>
      <tp t="s">
        <v/>
        <stp/>
        <stp>WNS Q4!-IEU</stp>
        <stp>Block Price DT</stp>
        <tr r="M1881" s="5"/>
      </tp>
      <tp t="s">
        <v/>
        <stp/>
        <stp>WHK Q2!-IEU</stp>
        <stp>Block Price DT</stp>
        <tr r="M1949" s="5"/>
      </tp>
      <tp t="s">
        <v/>
        <stp/>
        <stp>WHK Q1!-IEU</stp>
        <stp>Block Price DT</stp>
        <tr r="M1948" s="5"/>
      </tp>
      <tp t="s">
        <v/>
        <stp/>
        <stp>WMJ Q4!-IEU</stp>
        <stp>Block Price DT</stp>
        <tr r="M1916" s="5"/>
      </tp>
      <tp t="s">
        <v/>
        <stp/>
        <stp>WDF Q3!-IEU</stp>
        <stp>Block Price DT</stp>
        <tr r="M1810" s="5"/>
      </tp>
      <tp t="s">
        <v/>
        <stp/>
        <stp>WDF Q2!-IEU</stp>
        <stp>Block Price DT</stp>
        <tr r="M1809" s="5"/>
      </tp>
      <tp t="s">
        <v/>
        <stp/>
        <stp>WDF Q1!-IEU</stp>
        <stp>Block Price DT</stp>
        <tr r="M1808" s="5"/>
      </tp>
      <tp t="s">
        <v/>
        <stp/>
        <stp>WDF Q4!-IEU</stp>
        <stp>Block Price DT</stp>
        <tr r="M1811" s="5"/>
      </tp>
    </main>
    <main first="ice.rtd">
      <tp t="s">
        <v>Invalid Market: B0</v>
        <stp/>
        <stp>B0:Vol</stp>
        <tr r="N1034" s="5"/>
        <tr r="N1148" s="5"/>
      </tp>
      <tp>
        <v>0</v>
        <stp/>
        <stp>5162M14:BlkVol</stp>
        <tr r="O783" s="5"/>
      </tp>
      <tp>
        <v>0</v>
        <stp/>
        <stp>5162M15:BlkVol</stp>
        <tr r="O784" s="5"/>
      </tp>
      <tp>
        <v>0</v>
        <stp/>
        <stp>5162M16:BlkVol</stp>
        <tr r="O785" s="5"/>
      </tp>
      <tp>
        <v>0</v>
        <stp/>
        <stp>5162M17:BlkVol</stp>
        <tr r="O786" s="5"/>
      </tp>
      <tp>
        <v>0</v>
        <stp/>
        <stp>5162M10:BlkVol</stp>
        <tr r="O779" s="5"/>
      </tp>
      <tp>
        <v>0</v>
        <stp/>
        <stp>5162M11:BlkVol</stp>
        <tr r="O780" s="5"/>
      </tp>
      <tp>
        <v>0</v>
        <stp/>
        <stp>5162M12:BlkVol</stp>
        <tr r="O781" s="5"/>
      </tp>
      <tp>
        <v>0</v>
        <stp/>
        <stp>5162M13:BlkVol</stp>
        <tr r="O782" s="5"/>
      </tp>
      <tp>
        <v>0</v>
        <stp/>
        <stp>5162M18:BlkVol</stp>
        <tr r="O787" s="5"/>
      </tp>
      <tp>
        <v>0</v>
        <stp/>
        <stp>5162M19:BlkVol</stp>
        <tr r="O788" s="5"/>
      </tp>
      <tp>
        <v>0</v>
        <stp/>
        <stp>5162M24:BlkVol</stp>
        <tr r="O793" s="5"/>
      </tp>
      <tp>
        <v>0</v>
        <stp/>
        <stp>5162M20:BlkVol</stp>
        <tr r="O789" s="5"/>
      </tp>
      <tp>
        <v>0</v>
        <stp/>
        <stp>5162M21:BlkVol</stp>
        <tr r="O790" s="5"/>
      </tp>
      <tp>
        <v>0</v>
        <stp/>
        <stp>5162M22:BlkVol</stp>
        <tr r="O791" s="5"/>
      </tp>
      <tp>
        <v>0</v>
        <stp/>
        <stp>5162M23:BlkVol</stp>
        <tr r="O792" s="5"/>
      </tp>
    </main>
    <main first="esrtd">
      <tp t="s">
        <v/>
        <stp/>
        <stp>WNS 30!-IEU</stp>
        <stp>Block Price DT</stp>
        <tr r="M1877" s="5"/>
      </tp>
      <tp t="s">
        <v/>
        <stp/>
        <stp>WMJ 30!-IEU</stp>
        <stp>Block Price DT</stp>
        <tr r="M1912" s="5"/>
      </tp>
      <tp t="s">
        <v/>
        <stp/>
        <stp>WHK 30!-IEU</stp>
        <stp>Block Price DT</stp>
        <tr r="M1947" s="5"/>
      </tp>
      <tp t="s">
        <v/>
        <stp/>
        <stp>WDF 30!-IEU</stp>
        <stp>Block Price DT</stp>
        <tr r="M1807" s="5"/>
      </tp>
      <tp t="s">
        <v/>
        <stp/>
        <stp>WNS 21!-IEU</stp>
        <stp>Block Price DT</stp>
        <tr r="M1868" s="5"/>
      </tp>
      <tp t="s">
        <v/>
        <stp/>
        <stp>WHK 27!-IEU</stp>
        <stp>Block Price DT</stp>
        <tr r="M1944" s="5"/>
      </tp>
      <tp t="s">
        <v/>
        <stp/>
        <stp>WMJ 22!-IEU</stp>
        <stp>Block Price DT</stp>
        <tr r="M1904" s="5"/>
      </tp>
      <tp t="s">
        <v/>
        <stp/>
        <stp>WNS 20!-IEU</stp>
        <stp>Block Price DT</stp>
        <tr r="M1867" s="5"/>
      </tp>
      <tp t="s">
        <v/>
        <stp/>
        <stp>WHK 26!-IEU</stp>
        <stp>Block Price DT</stp>
        <tr r="M1943" s="5"/>
      </tp>
      <tp t="s">
        <v/>
        <stp/>
        <stp>WMJ 23!-IEU</stp>
        <stp>Block Price DT</stp>
        <tr r="M1905" s="5"/>
      </tp>
      <tp t="s">
        <v/>
        <stp/>
        <stp>WNS 23!-IEU</stp>
        <stp>Block Price DT</stp>
        <tr r="M1870" s="5"/>
      </tp>
      <tp t="s">
        <v/>
        <stp/>
        <stp>TDL 19!-IEU</stp>
        <stp>Block Price DT</stp>
        <tr r="M1831" s="5"/>
      </tp>
      <tp t="s">
        <v/>
        <stp/>
        <stp>WHK 25!-IEU</stp>
        <stp>Block Price DT</stp>
        <tr r="M1942" s="5"/>
      </tp>
      <tp t="s">
        <v/>
        <stp/>
        <stp>WMJ 20!-IEU</stp>
        <stp>Block Price DT</stp>
        <tr r="M1902" s="5"/>
      </tp>
      <tp t="s">
        <v/>
        <stp/>
        <stp>WDF 29!-IEU</stp>
        <stp>Block Price DT</stp>
        <tr r="M1806" s="5"/>
      </tp>
      <tp t="s">
        <v/>
        <stp/>
        <stp>WNS 22!-IEU</stp>
        <stp>Block Price DT</stp>
        <tr r="M1869" s="5"/>
      </tp>
      <tp t="s">
        <v/>
        <stp/>
        <stp>TDL 18!-IEU</stp>
        <stp>Block Price DT</stp>
        <tr r="M1830" s="5"/>
      </tp>
      <tp t="s">
        <v/>
        <stp/>
        <stp>WHK 24!-IEU</stp>
        <stp>Block Price DT</stp>
        <tr r="M1941" s="5"/>
      </tp>
      <tp t="s">
        <v/>
        <stp/>
        <stp>WMJ 21!-IEU</stp>
        <stp>Block Price DT</stp>
        <tr r="M1903" s="5"/>
      </tp>
      <tp t="s">
        <v/>
        <stp/>
        <stp>WDF 28!-IEU</stp>
        <stp>Block Price DT</stp>
        <tr r="M1805" s="5"/>
      </tp>
      <tp t="s">
        <v/>
        <stp/>
        <stp>WNS 25!-IEU</stp>
        <stp>Block Price DT</stp>
        <tr r="M1872" s="5"/>
      </tp>
      <tp t="s">
        <v/>
        <stp/>
        <stp>WHK 23!-IEU</stp>
        <stp>Block Price DT</stp>
        <tr r="M1940" s="5"/>
      </tp>
      <tp t="s">
        <v/>
        <stp/>
        <stp>WMJ 26!-IEU</stp>
        <stp>Block Price DT</stp>
        <tr r="M1908" s="5"/>
      </tp>
      <tp t="s">
        <v/>
        <stp/>
        <stp>WNS 24!-IEU</stp>
        <stp>Block Price DT</stp>
        <tr r="M1871" s="5"/>
      </tp>
      <tp t="s">
        <v/>
        <stp/>
        <stp>WHK 22!-IEU</stp>
        <stp>Block Price DT</stp>
        <tr r="M1939" s="5"/>
      </tp>
      <tp t="s">
        <v/>
        <stp/>
        <stp>WMJ 27!-IEU</stp>
        <stp>Block Price DT</stp>
        <tr r="M1909" s="5"/>
      </tp>
      <tp t="s">
        <v/>
        <stp/>
        <stp>WNS 27!-IEU</stp>
        <stp>Block Price DT</stp>
        <tr r="M1874" s="5"/>
      </tp>
      <tp t="s">
        <v/>
        <stp/>
        <stp>WHK 21!-IEU</stp>
        <stp>Block Price DT</stp>
        <tr r="M1938" s="5"/>
      </tp>
      <tp t="s">
        <v/>
        <stp/>
        <stp>WMJ 24!-IEU</stp>
        <stp>Block Price DT</stp>
        <tr r="M1906" s="5"/>
      </tp>
      <tp t="s">
        <v/>
        <stp/>
        <stp>WNS 26!-IEU</stp>
        <stp>Block Price DT</stp>
        <tr r="M1873" s="5"/>
      </tp>
      <tp t="s">
        <v/>
        <stp/>
        <stp>WHK 20!-IEU</stp>
        <stp>Block Price DT</stp>
        <tr r="M1937" s="5"/>
      </tp>
      <tp t="s">
        <v/>
        <stp/>
        <stp>WMJ 25!-IEU</stp>
        <stp>Block Price DT</stp>
        <tr r="M1907" s="5"/>
      </tp>
      <tp t="s">
        <v/>
        <stp/>
        <stp>WNS 29!-IEU</stp>
        <stp>Block Price DT</stp>
        <tr r="M1876" s="5"/>
      </tp>
      <tp t="s">
        <v/>
        <stp/>
        <stp>TDL 13!-IEU</stp>
        <stp>Block Price DT</stp>
        <tr r="M1825" s="5"/>
      </tp>
      <tp t="s">
        <v/>
        <stp/>
        <stp>WDF 23!-IEU</stp>
        <stp>Block Price DT</stp>
        <tr r="M1800" s="5"/>
      </tp>
      <tp t="s">
        <v/>
        <stp/>
        <stp>WNS 28!-IEU</stp>
        <stp>Block Price DT</stp>
        <tr r="M1875" s="5"/>
      </tp>
      <tp t="s">
        <v/>
        <stp/>
        <stp>TDL 12!-IEU</stp>
        <stp>Block Price DT</stp>
        <tr r="M1824" s="5"/>
      </tp>
      <tp t="s">
        <v/>
        <stp/>
        <stp>WDF 22!-IEU</stp>
        <stp>Block Price DT</stp>
        <tr r="M1799" s="5"/>
      </tp>
      <tp t="s">
        <v/>
        <stp/>
        <stp>TDL 11!-IEU</stp>
        <stp>Block Price DT</stp>
        <tr r="M1823" s="5"/>
      </tp>
      <tp t="s">
        <v/>
        <stp/>
        <stp>WMJ 28!-IEU</stp>
        <stp>Block Price DT</stp>
        <tr r="M1910" s="5"/>
      </tp>
      <tp t="s">
        <v/>
        <stp/>
        <stp>WDF 21!-IEU</stp>
        <stp>Block Price DT</stp>
        <tr r="M1798" s="5"/>
      </tp>
      <tp t="s">
        <v/>
        <stp/>
        <stp>TDL 10!-IEU</stp>
        <stp>Block Price DT</stp>
        <tr r="M1822" s="5"/>
      </tp>
      <tp t="s">
        <v/>
        <stp/>
        <stp>WMJ 29!-IEU</stp>
        <stp>Block Price DT</stp>
        <tr r="M1911" s="5"/>
      </tp>
      <tp t="s">
        <v/>
        <stp/>
        <stp>WDF 20!-IEU</stp>
        <stp>Block Price DT</stp>
        <tr r="M1797" s="5"/>
      </tp>
      <tp t="s">
        <v/>
        <stp/>
        <stp>TDL 17!-IEU</stp>
        <stp>Block Price DT</stp>
        <tr r="M1829" s="5"/>
      </tp>
      <tp t="s">
        <v/>
        <stp/>
        <stp>WDF 27!-IEU</stp>
        <stp>Block Price DT</stp>
        <tr r="M1804" s="5"/>
      </tp>
      <tp t="s">
        <v/>
        <stp/>
        <stp>TDL 16!-IEU</stp>
        <stp>Block Price DT</stp>
        <tr r="M1828" s="5"/>
      </tp>
      <tp t="s">
        <v/>
        <stp/>
        <stp>WDF 26!-IEU</stp>
        <stp>Block Price DT</stp>
        <tr r="M1803" s="5"/>
      </tp>
      <tp t="s">
        <v/>
        <stp/>
        <stp>TDL 15!-IEU</stp>
        <stp>Block Price DT</stp>
        <tr r="M1827" s="5"/>
      </tp>
      <tp t="s">
        <v/>
        <stp/>
        <stp>WHK 29!-IEU</stp>
        <stp>Block Price DT</stp>
        <tr r="M1946" s="5"/>
      </tp>
      <tp t="s">
        <v/>
        <stp/>
        <stp>WDF 25!-IEU</stp>
        <stp>Block Price DT</stp>
        <tr r="M1802" s="5"/>
      </tp>
      <tp t="s">
        <v/>
        <stp/>
        <stp>TDL 14!-IEU</stp>
        <stp>Block Price DT</stp>
        <tr r="M1826" s="5"/>
      </tp>
      <tp t="s">
        <v/>
        <stp/>
        <stp>WHK 28!-IEU</stp>
        <stp>Block Price DT</stp>
        <tr r="M1945" s="5"/>
      </tp>
      <tp t="s">
        <v/>
        <stp/>
        <stp>WDF 24!-IEU</stp>
        <stp>Block Price DT</stp>
        <tr r="M1801" s="5"/>
      </tp>
      <tp t="s">
        <v/>
        <stp/>
        <stp>WNS 11!-IEU</stp>
        <stp>Block Price DT</stp>
        <tr r="M1858" s="5"/>
      </tp>
      <tp t="s">
        <v/>
        <stp/>
        <stp>WHK 17!-IEU</stp>
        <stp>Block Price DT</stp>
        <tr r="M1934" s="5"/>
      </tp>
      <tp t="s">
        <v/>
        <stp/>
        <stp>WMJ 12!-IEU</stp>
        <stp>Block Price DT</stp>
        <tr r="M1894" s="5"/>
      </tp>
      <tp t="s">
        <v/>
        <stp/>
        <stp>WNS 10!-IEU</stp>
        <stp>Block Price DT</stp>
        <tr r="M1857" s="5"/>
      </tp>
      <tp t="s">
        <v/>
        <stp/>
        <stp>WHK 16!-IEU</stp>
        <stp>Block Price DT</stp>
        <tr r="M1933" s="5"/>
      </tp>
      <tp t="s">
        <v/>
        <stp/>
        <stp>WMJ 13!-IEU</stp>
        <stp>Block Price DT</stp>
        <tr r="M1895" s="5"/>
      </tp>
      <tp t="s">
        <v/>
        <stp/>
        <stp>WNS 13!-IEU</stp>
        <stp>Block Price DT</stp>
        <tr r="M1860" s="5"/>
      </tp>
      <tp t="s">
        <v/>
        <stp/>
        <stp>TDL 29!-IEU</stp>
        <stp>Block Price DT</stp>
        <tr r="M1841" s="5"/>
      </tp>
      <tp t="s">
        <v/>
        <stp/>
        <stp>WHK 15!-IEU</stp>
        <stp>Block Price DT</stp>
        <tr r="M1932" s="5"/>
      </tp>
      <tp t="s">
        <v/>
        <stp/>
        <stp>WMJ 10!-IEU</stp>
        <stp>Block Price DT</stp>
        <tr r="M1892" s="5"/>
      </tp>
      <tp t="s">
        <v/>
        <stp/>
        <stp>WDF 19!-IEU</stp>
        <stp>Block Price DT</stp>
        <tr r="M1796" s="5"/>
      </tp>
      <tp t="s">
        <v/>
        <stp/>
        <stp>WNS 12!-IEU</stp>
        <stp>Block Price DT</stp>
        <tr r="M1859" s="5"/>
      </tp>
      <tp t="s">
        <v/>
        <stp/>
        <stp>TDL 28!-IEU</stp>
        <stp>Block Price DT</stp>
        <tr r="M1840" s="5"/>
      </tp>
      <tp t="s">
        <v/>
        <stp/>
        <stp>WHK 14!-IEU</stp>
        <stp>Block Price DT</stp>
        <tr r="M1931" s="5"/>
      </tp>
      <tp t="s">
        <v/>
        <stp/>
        <stp>WMJ 11!-IEU</stp>
        <stp>Block Price DT</stp>
        <tr r="M1893" s="5"/>
      </tp>
      <tp t="s">
        <v/>
        <stp/>
        <stp>WDF 18!-IEU</stp>
        <stp>Block Price DT</stp>
        <tr r="M1795" s="5"/>
      </tp>
      <tp t="s">
        <v/>
        <stp/>
        <stp>WNS 15!-IEU</stp>
        <stp>Block Price DT</stp>
        <tr r="M1862" s="5"/>
      </tp>
      <tp t="s">
        <v/>
        <stp/>
        <stp>WHK 13!-IEU</stp>
        <stp>Block Price DT</stp>
        <tr r="M1930" s="5"/>
      </tp>
      <tp t="s">
        <v/>
        <stp/>
        <stp>WMJ 16!-IEU</stp>
        <stp>Block Price DT</stp>
        <tr r="M1898" s="5"/>
      </tp>
      <tp t="s">
        <v/>
        <stp/>
        <stp>WNS 14!-IEU</stp>
        <stp>Block Price DT</stp>
        <tr r="M1861" s="5"/>
      </tp>
      <tp t="s">
        <v/>
        <stp/>
        <stp>WHK 12!-IEU</stp>
        <stp>Block Price DT</stp>
        <tr r="M1929" s="5"/>
      </tp>
      <tp t="s">
        <v/>
        <stp/>
        <stp>WMJ 17!-IEU</stp>
        <stp>Block Price DT</stp>
        <tr r="M1899" s="5"/>
      </tp>
      <tp t="s">
        <v/>
        <stp/>
        <stp>WNS 17!-IEU</stp>
        <stp>Block Price DT</stp>
        <tr r="M1864" s="5"/>
      </tp>
      <tp t="s">
        <v/>
        <stp/>
        <stp>WHK 11!-IEU</stp>
        <stp>Block Price DT</stp>
        <tr r="M1928" s="5"/>
      </tp>
      <tp t="s">
        <v/>
        <stp/>
        <stp>WMJ 14!-IEU</stp>
        <stp>Block Price DT</stp>
        <tr r="M1896" s="5"/>
      </tp>
      <tp t="s">
        <v/>
        <stp/>
        <stp>WNS 16!-IEU</stp>
        <stp>Block Price DT</stp>
        <tr r="M1863" s="5"/>
      </tp>
      <tp t="s">
        <v/>
        <stp/>
        <stp>WHK 10!-IEU</stp>
        <stp>Block Price DT</stp>
        <tr r="M1927" s="5"/>
      </tp>
      <tp t="s">
        <v/>
        <stp/>
        <stp>WMJ 15!-IEU</stp>
        <stp>Block Price DT</stp>
        <tr r="M1897" s="5"/>
      </tp>
      <tp t="s">
        <v/>
        <stp/>
        <stp>WNS 19!-IEU</stp>
        <stp>Block Price DT</stp>
        <tr r="M1866" s="5"/>
      </tp>
      <tp t="s">
        <v/>
        <stp/>
        <stp>TDL 23!-IEU</stp>
        <stp>Block Price DT</stp>
        <tr r="M1835" s="5"/>
      </tp>
      <tp t="s">
        <v/>
        <stp/>
        <stp>WDF 13!-IEU</stp>
        <stp>Block Price DT</stp>
        <tr r="M1790" s="5"/>
      </tp>
      <tp t="s">
        <v/>
        <stp/>
        <stp>WNS 18!-IEU</stp>
        <stp>Block Price DT</stp>
        <tr r="M1865" s="5"/>
      </tp>
      <tp t="s">
        <v/>
        <stp/>
        <stp>TDL 22!-IEU</stp>
        <stp>Block Price DT</stp>
        <tr r="M1834" s="5"/>
      </tp>
      <tp t="s">
        <v/>
        <stp/>
        <stp>WDF 12!-IEU</stp>
        <stp>Block Price DT</stp>
        <tr r="M1789" s="5"/>
      </tp>
      <tp t="s">
        <v/>
        <stp/>
        <stp>TDL 21!-IEU</stp>
        <stp>Block Price DT</stp>
        <tr r="M1833" s="5"/>
      </tp>
      <tp t="s">
        <v/>
        <stp/>
        <stp>WMJ 18!-IEU</stp>
        <stp>Block Price DT</stp>
        <tr r="M1900" s="5"/>
      </tp>
      <tp t="s">
        <v/>
        <stp/>
        <stp>WDF 11!-IEU</stp>
        <stp>Block Price DT</stp>
        <tr r="M1788" s="5"/>
      </tp>
      <tp t="s">
        <v/>
        <stp/>
        <stp>TDL 20!-IEU</stp>
        <stp>Block Price DT</stp>
        <tr r="M1832" s="5"/>
      </tp>
      <tp t="s">
        <v/>
        <stp/>
        <stp>WMJ 19!-IEU</stp>
        <stp>Block Price DT</stp>
        <tr r="M1901" s="5"/>
      </tp>
      <tp t="s">
        <v/>
        <stp/>
        <stp>WDF 10!-IEU</stp>
        <stp>Block Price DT</stp>
        <tr r="M1787" s="5"/>
      </tp>
      <tp t="s">
        <v/>
        <stp/>
        <stp>TDL 27!-IEU</stp>
        <stp>Block Price DT</stp>
        <tr r="M1839" s="5"/>
      </tp>
      <tp t="s">
        <v/>
        <stp/>
        <stp>WDF 17!-IEU</stp>
        <stp>Block Price DT</stp>
        <tr r="M1794" s="5"/>
      </tp>
      <tp t="s">
        <v/>
        <stp/>
        <stp>TDL 26!-IEU</stp>
        <stp>Block Price DT</stp>
        <tr r="M1838" s="5"/>
      </tp>
      <tp t="s">
        <v/>
        <stp/>
        <stp>WDF 16!-IEU</stp>
        <stp>Block Price DT</stp>
        <tr r="M1793" s="5"/>
      </tp>
      <tp t="s">
        <v/>
        <stp/>
        <stp>TDL 25!-IEU</stp>
        <stp>Block Price DT</stp>
        <tr r="M1837" s="5"/>
      </tp>
      <tp t="s">
        <v/>
        <stp/>
        <stp>WHK 19!-IEU</stp>
        <stp>Block Price DT</stp>
        <tr r="M1936" s="5"/>
      </tp>
      <tp t="s">
        <v/>
        <stp/>
        <stp>WDF 15!-IEU</stp>
        <stp>Block Price DT</stp>
        <tr r="M1792" s="5"/>
      </tp>
      <tp t="s">
        <v/>
        <stp/>
        <stp>TDL 24!-IEU</stp>
        <stp>Block Price DT</stp>
        <tr r="M1836" s="5"/>
      </tp>
      <tp t="s">
        <v/>
        <stp/>
        <stp>WHK 18!-IEU</stp>
        <stp>Block Price DT</stp>
        <tr r="M1935" s="5"/>
      </tp>
      <tp t="s">
        <v/>
        <stp/>
        <stp>WDF 14!-IEU</stp>
        <stp>Block Price DT</stp>
        <tr r="M1791" s="5"/>
      </tp>
      <tp t="s">
        <v/>
        <stp/>
        <stp>TDL 30!-IEU</stp>
        <stp>Block Price DT</stp>
        <tr r="M1842" s="5"/>
      </tp>
    </main>
    <main first="bofaddin.rtdserver">
      <tp>
        <v>7621.88</v>
        <stp/>
        <stp>BDP|9167271408678780129|22</stp>
        <stp>ESA Index</stp>
        <stp>MID</stp>
        <tr r="G6" s="18"/>
      </tp>
    </main>
    <main first="ice.rtd">
      <tp t="s">
        <v>Bal Month</v>
        <stp/>
        <stp>2326425625B0:Strip</stp>
        <tr r="E1262" s="5"/>
      </tp>
      <tp t="s">
        <v>Bal Month</v>
        <stp/>
        <stp>2326525626B0:Strip</stp>
        <tr r="E420" s="5"/>
      </tp>
      <tp t="s">
        <v>Cal 27</v>
        <stp/>
        <stp>1581618115Y0:Strip</stp>
        <tr r="E478" s="5"/>
      </tp>
      <tp t="s">
        <v>Q4 26</v>
        <stp/>
        <stp>1581618115Q0:Strip</stp>
        <tr r="E474" s="5"/>
      </tp>
      <tp t="s">
        <v>Sep26</v>
        <stp/>
        <stp>1581618115M0:Strip</stp>
        <tr r="E459" s="5"/>
      </tp>
      <tp t="s">
        <v>Invalid Market: 1581618115B0</v>
        <stp/>
        <stp>1581618115B0:Strip</stp>
        <tr r="E458" s="5"/>
      </tp>
      <tp t="s">
        <v>Cal 27</v>
        <stp/>
        <stp>1923422331Y0:Strip</stp>
        <tr r="E1646" s="5"/>
      </tp>
      <tp t="s">
        <v>Q4 26</v>
        <stp/>
        <stp>1923422331Q0:Strip</stp>
        <tr r="E1642" s="5"/>
      </tp>
      <tp t="s">
        <v>Sep26</v>
        <stp/>
        <stp>1923422331M0:Strip</stp>
        <tr r="E1627" s="5"/>
      </tp>
      <tp>
        <v>7.15</v>
        <stp/>
        <stp>DBI1227MM18:BstHitPrc</stp>
        <tr r="G1669" s="5"/>
      </tp>
      <tp t="s">
        <v>Bal Month</v>
        <stp/>
        <stp>2326725628B0:Strip</stp>
        <tr r="E344" s="5"/>
      </tp>
      <tp t="s">
        <v>Oct26</v>
        <stp/>
        <stp>41787896M1:Strip</stp>
        <tr r="E808" s="5"/>
      </tp>
      <tp t="s">
        <v>Q1 27</v>
        <stp/>
        <stp>41787896Q1:Strip</stp>
        <tr r="E833" s="5"/>
      </tp>
      <tp t="s">
        <v>Cal 28</v>
        <stp/>
        <stp>41787896Y1:Strip</stp>
        <tr r="E842" s="5"/>
      </tp>
      <tp t="s">
        <v>Oct26</v>
        <stp/>
        <stp>41767893M1:Strip</stp>
        <tr r="E481" s="5"/>
      </tp>
      <tp t="s">
        <v>Q1 27</v>
        <stp/>
        <stp>41767893Q1:Strip</stp>
        <tr r="E506" s="5"/>
      </tp>
      <tp t="s">
        <v>Cal 28</v>
        <stp/>
        <stp>41767893Y1:Strip</stp>
        <tr r="E515" s="5"/>
      </tp>
      <tp t="s">
        <v>Jan27</v>
        <stp/>
        <stp>3124331018M4:Strip</stp>
        <tr r="E1609" s="5"/>
      </tp>
      <tp t="s">
        <v>Dec26</v>
        <stp/>
        <stp>32623993M3:Strip</stp>
        <tr r="E1993" s="5"/>
      </tp>
      <tp t="s">
        <v>Q3 27</v>
        <stp/>
        <stp>32623993Q3:Strip</stp>
        <tr r="E2018" s="5"/>
      </tp>
      <tp t="s">
        <v>Dec26</v>
        <stp/>
        <stp>32613992M3:Strip</stp>
        <tr r="E1228" s="5"/>
      </tp>
      <tp t="s">
        <v>Q3 27</v>
        <stp/>
        <stp>32613992Q3:Strip</stp>
        <tr r="E1253" s="5"/>
      </tp>
      <tp t="s">
        <v>Bal Month</v>
        <stp/>
        <stp>2326225623B0:Strip</stp>
        <tr r="E1300" s="5"/>
      </tp>
      <tp t="s">
        <v>Q3 27</v>
        <stp/>
        <stp>2755728678Q3:Strip</stp>
        <tr r="E1139" s="5"/>
      </tp>
      <tp t="s">
        <v>Dec26</v>
        <stp/>
        <stp>2755728678M3:Strip</stp>
        <tr r="E1114" s="5"/>
      </tp>
      <tp t="s">
        <v>Bal Month</v>
        <stp/>
        <stp>2326325624B0:Strip</stp>
        <tr r="E806" s="5"/>
      </tp>
      <tp t="s">
        <v>Apr27</v>
        <stp/>
        <stp>29243602M7:Strip</stp>
        <tr r="E753" s="5"/>
      </tp>
      <tp t="s">
        <v/>
        <stp/>
        <stp>DBI1227MM18:LstBlkPrc</stp>
        <tr r="K1669" s="5"/>
      </tp>
      <tp t="s">
        <v>Q3 27</v>
        <stp/>
        <stp>2755828679Q3:Strip</stp>
        <tr r="E1025" s="5"/>
      </tp>
      <tp t="s">
        <v>Dec26</v>
        <stp/>
        <stp>2755828679M3:Strip</stp>
        <tr r="E1000" s="5"/>
      </tp>
      <tp t="s">
        <v>Q2 28</v>
        <stp/>
        <stp>1986823075Q6:Strip</stp>
        <tr r="E148" s="5"/>
      </tp>
      <tp t="s">
        <v>Mar27</v>
        <stp/>
        <stp>1986823075M6:Strip</stp>
        <tr r="E123" s="5"/>
      </tp>
      <tp t="s">
        <v>Mar27</v>
        <stp/>
        <stp>18871685M6:Strip</stp>
        <tr r="E427" s="5"/>
      </tp>
      <tp t="s">
        <v>Q2 28</v>
        <stp/>
        <stp>18871685Q6:Strip</stp>
        <tr r="E452" s="5"/>
      </tp>
      <tp t="s">
        <v>Mar27</v>
        <stp/>
        <stp>18851683M6:Strip</stp>
        <tr r="E199" s="5"/>
      </tp>
      <tp t="s">
        <v>Q2 28</v>
        <stp/>
        <stp>18851683Q6:Strip</stp>
        <tr r="E224" s="5"/>
      </tp>
      <tp t="s">
        <v>Q2 28</v>
        <stp/>
        <stp>1986923076Q6:Strip</stp>
        <tr r="E186" s="5"/>
      </tp>
      <tp t="s">
        <v>Mar27</v>
        <stp/>
        <stp>1986923076M6:Strip</stp>
        <tr r="E161" s="5"/>
      </tp>
      <tp t="s">
        <v>Mar27</v>
        <stp/>
        <stp>18901687M6:Strip</stp>
        <tr r="E313" s="5"/>
      </tp>
      <tp t="s">
        <v>Q2 28</v>
        <stp/>
        <stp>18901687Q6:Strip</stp>
        <tr r="E338" s="5"/>
      </tp>
      <tp t="s">
        <v>Q1 27</v>
        <stp/>
        <stp>2044823525Q1:Strip</stp>
        <tr r="E1771" s="5"/>
      </tp>
      <tp t="s">
        <v>Nov26</v>
        <stp/>
        <stp>2044823525M1:Strip</stp>
        <tr r="E1748" s="5"/>
      </tp>
      <tp t="s">
        <v>May27</v>
        <stp/>
        <stp>1840020882M8:Strip</stp>
        <tr r="E1590" s="5"/>
      </tp>
      <tp t="s">
        <v>Q1 28</v>
        <stp/>
        <stp>2427026287Q5:Strip</stp>
        <tr r="E1179" s="5"/>
      </tp>
      <tp t="s">
        <v>Feb27</v>
        <stp/>
        <stp>2427026287M5:Strip</stp>
        <tr r="E1154" s="5"/>
      </tp>
      <tp t="s">
        <v>Q1 28</v>
        <stp/>
        <stp>2427126288Q5:Strip</stp>
        <tr r="E1065" s="5"/>
      </tp>
      <tp t="s">
        <v>Feb27</v>
        <stp/>
        <stp>2427126288M5:Strip</stp>
        <tr r="E1040" s="5"/>
      </tp>
      <tp t="s">
        <v>Nov26/Jan27</v>
        <stp/>
        <stp>366531MM18:Strip</stp>
        <tr r="E1733" s="5"/>
      </tp>
      <tp t="s">
        <v/>
        <stp/>
        <stp>1961122916B0:LstPrc</stp>
        <tr r="I1626" s="5"/>
      </tp>
    </main>
    <main first="bofaddin.rtdserver">
      <tp t="s">
        <v>#N/A</v>
        <stp/>
        <stp>BDP|7733673421856700815|222</stp>
        <stp>OQAK7M7 Comdty</stp>
        <stp>ASK</stp>
        <stp>Fill=#N/A</stp>
        <tr r="T28" s="1"/>
      </tp>
    </main>
    <main first="ice.rtd">
      <tp t="s">
        <v/>
        <stp/>
        <stp>3124331018Y0:LstPrc</stp>
        <tr r="I1624" s="5"/>
      </tp>
      <tp t="s">
        <v/>
        <stp/>
        <stp>3124331018Q0:LstPrc</stp>
        <tr r="I1620" s="5"/>
      </tp>
      <tp t="s">
        <v/>
        <stp/>
        <stp>3124331018Q1:LstPrc</stp>
        <tr r="I1621" s="5"/>
      </tp>
      <tp t="s">
        <v/>
        <stp/>
        <stp>3124331018Q2:LstPrc</stp>
        <tr r="I1622" s="5"/>
      </tp>
      <tp t="s">
        <v/>
        <stp/>
        <stp>3124331018Q3:LstPrc</stp>
        <tr r="I1623" s="5"/>
      </tp>
      <tp t="s">
        <v>PRL</v>
        <stp/>
        <stp>15091310Q4:PCC</stp>
        <tr r="B1406" s="5"/>
      </tp>
      <tp t="s">
        <v>PRL</v>
        <stp/>
        <stp>15091310Q5:PCC</stp>
        <tr r="B1407" s="5"/>
      </tp>
      <tp t="s">
        <v>PRL</v>
        <stp/>
        <stp>15091310Q6:PCC</stp>
        <tr r="B1408" s="5"/>
      </tp>
      <tp t="s">
        <v>PRL</v>
        <stp/>
        <stp>15091310Q7:PCC</stp>
        <tr r="B1409" s="5"/>
      </tp>
      <tp t="s">
        <v>PRL</v>
        <stp/>
        <stp>15091310Q0:PCC</stp>
        <tr r="B1402" s="5"/>
      </tp>
      <tp t="s">
        <v>PRL</v>
        <stp/>
        <stp>15091310Q1:PCC</stp>
        <tr r="B1403" s="5"/>
      </tp>
      <tp t="s">
        <v>PRL</v>
        <stp/>
        <stp>15091310Q2:PCC</stp>
        <tr r="B1404" s="5"/>
      </tp>
      <tp t="s">
        <v>PRL</v>
        <stp/>
        <stp>15091310Q3:PCC</stp>
        <tr r="B1405" s="5"/>
      </tp>
      <tp t="s">
        <v/>
        <stp/>
        <stp>3124331018M8:LstPrc</stp>
        <tr r="I1613" s="5"/>
      </tp>
      <tp t="s">
        <v/>
        <stp/>
        <stp>3124331018M9:LstPrc</stp>
        <tr r="I1614" s="5"/>
      </tp>
      <tp t="s">
        <v/>
        <stp/>
        <stp>3124331018M0:LstPrc</stp>
        <tr r="I1605" s="5"/>
      </tp>
      <tp t="s">
        <v/>
        <stp/>
        <stp>3124331018M1:LstPrc</stp>
        <tr r="I1606" s="5"/>
      </tp>
      <tp t="s">
        <v/>
        <stp/>
        <stp>3124331018M2:LstPrc</stp>
        <tr r="I1607" s="5"/>
      </tp>
      <tp t="s">
        <v/>
        <stp/>
        <stp>3124331018M3:LstPrc</stp>
        <tr r="I1608" s="5"/>
      </tp>
      <tp t="s">
        <v/>
        <stp/>
        <stp>3124331018M4:LstPrc</stp>
        <tr r="I1609" s="5"/>
      </tp>
      <tp t="s">
        <v/>
        <stp/>
        <stp>3124331018M5:LstPrc</stp>
        <tr r="I1610" s="5"/>
      </tp>
      <tp t="s">
        <v/>
        <stp/>
        <stp>3124331018M6:LstPrc</stp>
        <tr r="I1611" s="5"/>
      </tp>
      <tp t="s">
        <v/>
        <stp/>
        <stp>3124331018M7:LstPrc</stp>
        <tr r="I1612" s="5"/>
      </tp>
      <tp t="s">
        <v>PRL</v>
        <stp/>
        <stp>15091310Q8:PCC</stp>
        <tr r="B1410" s="5"/>
      </tp>
    </main>
    <main first="bofaddin.rtdserver">
      <tp t="s">
        <v>#N/A</v>
        <stp/>
        <stp>BDP|8620066014412671300|222</stp>
        <stp>OQAG0H0 Comdty</stp>
        <stp>ASK</stp>
        <stp>Fill=#N/A</stp>
        <tr r="T61" s="1"/>
      </tp>
    </main>
    <main first="ice.rtd">
      <tp t="s">
        <v>Oct26/Oct27</v>
        <stp/>
        <stp>15061297MM16:Strip</stp>
        <tr r="E1699" s="5"/>
      </tp>
      <tp t="s">
        <v>Dec26/Jun27</v>
        <stp/>
        <stp>15061297MM26:Strip</stp>
        <tr r="E1709" s="5"/>
      </tp>
      <tp>
        <v>-142</v>
        <stp/>
        <stp>2009523367B0:LstPrc</stp>
        <tr r="I116" s="5"/>
      </tp>
      <tp t="s">
        <v>PRL</v>
        <stp/>
        <stp>15091310Y0:PCC</stp>
        <tr r="B1411" s="5"/>
      </tp>
      <tp t="s">
        <v>PRL</v>
        <stp/>
        <stp>15091310Y1:PCC</stp>
        <tr r="B1412" s="5"/>
      </tp>
      <tp t="s">
        <v>PRL</v>
        <stp/>
        <stp>15091310Y2:PCC</stp>
        <tr r="B1413" s="5"/>
      </tp>
      <tp t="s">
        <v/>
        <stp/>
        <stp>3126131030B0:LstPrc</stp>
        <tr r="I1746" s="5"/>
      </tp>
      <tp t="s">
        <v/>
        <stp/>
        <stp>2325225613B0:LstPrc</stp>
        <tr r="I631" s="5"/>
      </tp>
    </main>
    <main first="bofaddin.rtdserver">
      <tp t="s">
        <v>#N/A</v>
        <stp/>
        <stp>BDP|9965027582289439508|222</stp>
        <stp>OQAF9G9 Comdty</stp>
        <stp>ASK</stp>
        <stp>Fill=#N/A</stp>
        <tr r="T48" s="1"/>
      </tp>
      <tp t="s">
        <v>#N/A N/A</v>
        <stp/>
        <stp>BDH|4826114835437522136</stp>
        <tr r="AY27" s="1"/>
      </tp>
      <tp t="s">
        <v>#N/A Requesting Data...3058761370</v>
        <stp/>
        <stp>BDP|9460879819509644976</stp>
        <tr r="K12" s="23"/>
      </tp>
      <tp t="s">
        <v>#N/A N/A</v>
        <stp/>
        <stp>BDH|4626510820364448780</stp>
        <tr r="N56" s="16"/>
      </tp>
      <tp t="s">
        <v>#N/A N/A</v>
        <stp/>
        <stp>BDH|1285791312760174734</stp>
        <tr r="M86" s="16"/>
      </tp>
      <tp t="s">
        <v>#N/A N/A</v>
        <stp/>
        <stp>BDH|5251579192089940067</stp>
        <tr r="K55" s="16"/>
      </tp>
      <tp t="s">
        <v>#N/A Requesting Data...2921158074</v>
        <stp/>
        <stp>BDP|1133345338950698129</stp>
        <tr r="BC16" s="1"/>
      </tp>
      <tp t="s">
        <v>#N/A Requesting Data...2916127192</v>
        <stp/>
        <stp>BDP|7956421115186453435</stp>
        <tr r="O23" s="17"/>
      </tp>
      <tp t="s">
        <v>#N/A N/A</v>
        <stp/>
        <stp>BDH|3649564057744667782</stp>
        <tr r="BB41" s="1"/>
      </tp>
      <tp t="s">
        <v>#N/A N/A</v>
        <stp/>
        <stp>BDH|8171566735608849639</stp>
        <tr r="AW63" s="1"/>
      </tp>
      <tp t="s">
        <v>#N/A N/A</v>
        <stp/>
        <stp>BDH|5456092434723490531</stp>
        <tr r="M62" s="16"/>
      </tp>
    </main>
    <main first="ice.rtd">
      <tp>
        <v>0</v>
        <stp/>
        <stp>2326725628B0:BlkVol</stp>
        <tr r="O344" s="5"/>
      </tp>
    </main>
    <main first="bofaddin.rtdserver">
      <tp t="b">
        <v>0</v>
        <stp/>
        <stp>BDH|2851760605251181450</stp>
        <tr r="F17" s="23"/>
        <tr r="E17" s="23"/>
      </tp>
      <tp t="s">
        <v>#N/A Requesting Data...3904258091</v>
        <stp/>
        <stp>BDP|1429598978417134483</stp>
        <tr r="AF185" s="23"/>
      </tp>
      <tp t="s">
        <v>#N/A N/A</v>
        <stp/>
        <stp>BDH|2612676633784775394</stp>
        <tr r="G34" s="16"/>
      </tp>
      <tp t="s">
        <v>#N/A N/A</v>
        <stp/>
        <stp>BDH|4453693670514047100</stp>
        <tr r="K79" s="16"/>
      </tp>
      <tp t="s">
        <v>#N/A N/A</v>
        <stp/>
        <stp>BDH|7299332636740998732</stp>
        <tr r="AV30" s="1"/>
      </tp>
      <tp t="s">
        <v>#N/A N/A</v>
        <stp/>
        <stp>BDH|4672780056050498614</stp>
        <tr r="J29" s="14"/>
      </tp>
      <tp t="s">
        <v>#N/A N/A</v>
        <stp/>
        <stp>BDH|1682876190318412881</stp>
        <tr r="BC35" s="1"/>
        <tr r="BC35" s="1"/>
      </tp>
      <tp t="s">
        <v>#N/A N/A</v>
        <stp/>
        <stp>BDH|1181601039495756126</stp>
        <tr r="J53" s="16"/>
      </tp>
      <tp t="s">
        <v>#N/A Requesting Data...4133051625</v>
        <stp/>
        <stp>BDP|3203698028602447557</stp>
        <tr r="AF186" s="23"/>
      </tp>
    </main>
    <main first="ice.rtd">
      <tp>
        <v>0</v>
        <stp/>
        <stp>2325425615B0:BlkVol</stp>
        <tr r="O555" s="5"/>
      </tp>
    </main>
    <main first="bofaddin.rtdserver">
      <tp t="s">
        <v>#N/A N/A</v>
        <stp/>
        <stp>BDH|5122470211387697733</stp>
        <tr r="AZ64" s="1"/>
      </tp>
    </main>
    <main first="ice.rtd">
      <tp t="s">
        <v>PRL</v>
        <stp/>
        <stp>15091310M4:PCC</stp>
        <tr r="B1381" s="5"/>
      </tp>
      <tp t="s">
        <v>PRL</v>
        <stp/>
        <stp>15091310M5:PCC</stp>
        <tr r="B1382" s="5"/>
      </tp>
      <tp t="s">
        <v>PRL</v>
        <stp/>
        <stp>15091310M6:PCC</stp>
        <tr r="B1383" s="5"/>
      </tp>
    </main>
    <main first="ice.rtd">
      <tp t="s">
        <v>PRL</v>
        <stp/>
        <stp>15091310M7:PCC</stp>
        <tr r="B1384" s="5"/>
      </tp>
    </main>
    <main first="bofaddin.rtdserver">
      <tp t="s">
        <v>#N/A N/A</v>
        <stp/>
        <stp>BDH|2814191342837194013</stp>
        <tr r="AV66" s="1"/>
      </tp>
    </main>
    <main first="ice.rtd">
      <tp t="s">
        <v>PRL</v>
        <stp/>
        <stp>15091310M0:PCC</stp>
        <tr r="B1377" s="5"/>
      </tp>
      <tp t="s">
        <v>PRL</v>
        <stp/>
        <stp>15091310M1:PCC</stp>
        <tr r="B1378" s="5"/>
      </tp>
      <tp t="s">
        <v>PRL</v>
        <stp/>
        <stp>15091310M2:PCC</stp>
        <tr r="B1379" s="5"/>
      </tp>
    </main>
    <main first="ice.rtd">
      <tp t="s">
        <v>PRL</v>
        <stp/>
        <stp>15091310M3:PCC</stp>
        <tr r="B1380" s="5"/>
      </tp>
      <tp t="s">
        <v>PRL</v>
        <stp/>
        <stp>15091310M8:PCC</stp>
        <tr r="B1385" s="5"/>
      </tp>
      <tp t="s">
        <v>PRL</v>
        <stp/>
        <stp>15091310M9:PCC</stp>
        <tr r="B1386" s="5"/>
      </tp>
      <tp>
        <v>0</v>
        <stp/>
        <stp>2180224575B0:BlkVol</stp>
        <tr r="O1224" s="5"/>
      </tp>
    </main>
    <main first="bofaddin.rtdserver">
      <tp t="s">
        <v>#N/A Requesting Data...3254775642</v>
        <stp/>
        <stp>BDP|7013142896326413909</stp>
        <tr r="AM124" s="23"/>
      </tp>
      <tp t="s">
        <v>#N/A N/A</v>
        <stp/>
        <stp>BDH|7652537868913878732</stp>
        <tr r="AW60" s="1"/>
      </tp>
      <tp t="s">
        <v>#N/A N/A</v>
        <stp/>
        <stp>BDH|2061340930426770441</stp>
        <tr r="D15" s="14"/>
      </tp>
      <tp t="s">
        <v>#N/A N/A</v>
        <stp/>
        <stp>BDH|6481329577107491511</stp>
        <tr r="BB39" s="1"/>
      </tp>
      <tp t="s">
        <v>#N/A N/A</v>
        <stp/>
        <stp>BDH|7545954021724738828</stp>
        <tr r="AX63" s="1"/>
      </tp>
      <tp t="s">
        <v>#N/A N/A</v>
        <stp/>
        <stp>BDH|9466220553387981998</stp>
        <tr r="C3" s="14"/>
      </tp>
      <tp>
        <v>1421.5</v>
        <stp/>
        <stp>BDP|17188538650922550148|222</stp>
        <stp>QSU6 Comdty</stp>
        <stp>BID</stp>
        <stp>Fill=#N/A</stp>
        <tr r="H19" s="1"/>
      </tp>
      <tp>
        <v>220</v>
        <stp/>
        <stp>BDP|15875723752722932920|222</stp>
        <stp>HOQ9 Comdty</stp>
        <stp>BID</stp>
        <stp>Fill=#N/A</stp>
        <tr r="I54" s="1"/>
      </tp>
      <tp t="s">
        <v>#N/A</v>
        <stp/>
        <stp>BDP|14517353033789130590|222</stp>
        <stp>XBX9 Comdty</stp>
        <stp>ASK</stp>
        <stp>Fill=#N/A</stp>
        <tr r="J57" s="1"/>
      </tp>
      <tp>
        <v>961.25</v>
        <stp/>
        <stp>BDP|14564463537834222884|222</stp>
        <stp>QSU7 Comdty</stp>
        <stp>ASK</stp>
        <stp>Fill=#N/A</stp>
        <tr r="H31" s="1"/>
      </tp>
      <tp>
        <v>73.599999999999994</v>
        <stp/>
        <stp>BDP|14194352999806442093|222</stp>
        <stp>COZ8 Comdty</stp>
        <stp>ASK</stp>
        <stp>Fill=#N/A</stp>
        <tr r="G46" s="1"/>
      </tp>
      <tp>
        <v>76.94</v>
        <stp/>
        <stp>BDP|10560723988099432702|222</stp>
        <stp>COZ7 Comdty</stp>
        <stp>ASK</stp>
        <stp>Fill=#N/A</stp>
        <tr r="G34" s="1"/>
      </tp>
      <tp>
        <v>314.55</v>
        <stp/>
        <stp>BDP|13146963595516904345|222</stp>
        <stp>XBV6 Comdty</stp>
        <stp>BID</stp>
        <stp>Fill=#N/A</stp>
        <tr r="J20" s="1"/>
      </tp>
      <tp>
        <v>843.5</v>
        <stp/>
        <stp>BDP|16875213222067048358|222</stp>
        <stp>QSV8 Comdty</stp>
        <stp>ASK</stp>
        <stp>Fill=#N/A</stp>
        <tr r="H44" s="1"/>
      </tp>
    </main>
    <main first="ice.rtd">
      <tp t="s">
        <v/>
        <stp/>
        <stp>32623993M8:LstPrc</stp>
        <tr r="I1998" s="5"/>
      </tp>
      <tp t="s">
        <v/>
        <stp/>
        <stp>32623993M9:LstPrc</stp>
        <tr r="I1999" s="5"/>
      </tp>
      <tp t="s">
        <v/>
        <stp/>
        <stp>32623993M6:LstPrc</stp>
        <tr r="I1996" s="5"/>
      </tp>
      <tp t="s">
        <v/>
        <stp/>
        <stp>32623993M7:LstPrc</stp>
        <tr r="I1997" s="5"/>
      </tp>
      <tp t="s">
        <v/>
        <stp/>
        <stp>32623993M4:LstPrc</stp>
        <tr r="I1994" s="5"/>
      </tp>
      <tp t="s">
        <v/>
        <stp/>
        <stp>32623993M5:LstPrc</stp>
        <tr r="I1995" s="5"/>
      </tp>
      <tp t="s">
        <v/>
        <stp/>
        <stp>32623993M2:LstPrc</stp>
        <tr r="I1992" s="5"/>
      </tp>
      <tp t="s">
        <v/>
        <stp/>
        <stp>32623993M3:LstPrc</stp>
        <tr r="I1993" s="5"/>
      </tp>
      <tp t="s">
        <v/>
        <stp/>
        <stp>32623993M1:LstPrc</stp>
        <tr r="I1991" s="5"/>
      </tp>
      <tp t="s">
        <v/>
        <stp/>
        <stp>32623993Q8:LstPrc</stp>
        <tr r="I2023" s="5"/>
      </tp>
      <tp t="s">
        <v/>
        <stp/>
        <stp>32623993Q6:LstPrc</stp>
        <tr r="I2021" s="5"/>
      </tp>
      <tp t="s">
        <v/>
        <stp/>
        <stp>32623993Q7:LstPrc</stp>
        <tr r="I2022" s="5"/>
      </tp>
      <tp t="s">
        <v/>
        <stp/>
        <stp>32623993Q4:LstPrc</stp>
        <tr r="I2019" s="5"/>
      </tp>
      <tp t="s">
        <v/>
        <stp/>
        <stp>32623993Q5:LstPrc</stp>
        <tr r="I2020" s="5"/>
      </tp>
      <tp t="s">
        <v/>
        <stp/>
        <stp>32623993Q2:LstPrc</stp>
        <tr r="I2017" s="5"/>
      </tp>
      <tp t="s">
        <v/>
        <stp/>
        <stp>32623993Q3:LstPrc</stp>
        <tr r="I2018" s="5"/>
      </tp>
      <tp t="s">
        <v/>
        <stp/>
        <stp>32623993Q0:LstPrc</stp>
        <tr r="I2015" s="5"/>
      </tp>
      <tp t="s">
        <v/>
        <stp/>
        <stp>32623993Q1:LstPrc</stp>
        <tr r="I2016" s="5"/>
      </tp>
      <tp t="s">
        <v/>
        <stp/>
        <stp>32623993Y0:LstPrc</stp>
        <tr r="I2024" s="5"/>
      </tp>
      <tp t="s">
        <v/>
        <stp/>
        <stp>32623993Y1:LstPrc</stp>
        <tr r="I2025" s="5"/>
      </tp>
      <tp t="s">
        <v/>
        <stp/>
        <stp>32613992M8:LstPrc</stp>
        <tr r="I1233" s="5"/>
      </tp>
      <tp t="s">
        <v/>
        <stp/>
        <stp>32613992M9:LstPrc</stp>
        <tr r="I1234" s="5"/>
      </tp>
      <tp t="s">
        <v/>
        <stp/>
        <stp>32613992M6:LstPrc</stp>
        <tr r="I1231" s="5"/>
      </tp>
      <tp t="s">
        <v/>
        <stp/>
        <stp>32613992M7:LstPrc</stp>
        <tr r="I1232" s="5"/>
      </tp>
      <tp t="s">
        <v/>
        <stp/>
        <stp>32613992M4:LstPrc</stp>
        <tr r="I1229" s="5"/>
      </tp>
      <tp t="s">
        <v/>
        <stp/>
        <stp>32613992M5:LstPrc</stp>
        <tr r="I1230" s="5"/>
      </tp>
      <tp t="s">
        <v/>
        <stp/>
        <stp>32613992M2:LstPrc</stp>
        <tr r="I1227" s="5"/>
      </tp>
      <tp t="s">
        <v/>
        <stp/>
        <stp>32613992M3:LstPrc</stp>
        <tr r="I1228" s="5"/>
      </tp>
      <tp t="s">
        <v/>
        <stp/>
        <stp>32613992M0:LstPrc</stp>
        <tr r="I1225" s="5"/>
      </tp>
      <tp t="s">
        <v/>
        <stp/>
        <stp>32613992M1:LstPrc</stp>
        <tr r="I1226" s="5"/>
      </tp>
      <tp t="s">
        <v/>
        <stp/>
        <stp>32613992Q8:LstPrc</stp>
        <tr r="I1258" s="5"/>
      </tp>
      <tp t="s">
        <v/>
        <stp/>
        <stp>32613992Q6:LstPrc</stp>
        <tr r="I1256" s="5"/>
      </tp>
      <tp t="s">
        <v/>
        <stp/>
        <stp>32613992Q7:LstPrc</stp>
        <tr r="I1257" s="5"/>
      </tp>
      <tp t="s">
        <v/>
        <stp/>
        <stp>32613992Q4:LstPrc</stp>
        <tr r="I1254" s="5"/>
      </tp>
      <tp t="s">
        <v/>
        <stp/>
        <stp>32613992Q5:LstPrc</stp>
        <tr r="I1255" s="5"/>
      </tp>
      <tp t="s">
        <v/>
        <stp/>
        <stp>32613992Q2:LstPrc</stp>
        <tr r="I1252" s="5"/>
      </tp>
      <tp t="s">
        <v/>
        <stp/>
        <stp>32613992Q3:LstPrc</stp>
        <tr r="I1253" s="5"/>
      </tp>
      <tp t="s">
        <v/>
        <stp/>
        <stp>32613992Q0:LstPrc</stp>
        <tr r="I1250" s="5"/>
      </tp>
      <tp t="s">
        <v/>
        <stp/>
        <stp>32613992Q1:LstPrc</stp>
        <tr r="I1251" s="5"/>
      </tp>
      <tp t="s">
        <v/>
        <stp/>
        <stp>32613992Y2:LstPrc</stp>
        <tr r="I1261" s="5"/>
      </tp>
      <tp t="s">
        <v/>
        <stp/>
        <stp>32613992Y0:LstPrc</stp>
        <tr r="I1259" s="5"/>
      </tp>
      <tp t="s">
        <v/>
        <stp/>
        <stp>32613992Y1:LstPrc</stp>
        <tr r="I1260" s="5"/>
      </tp>
      <tp t="s">
        <v/>
        <stp/>
        <stp>DBI1227YY0:LstDate</stp>
        <tr r="J1681" s="5"/>
      </tp>
      <tp t="s">
        <v/>
        <stp/>
        <stp>DBI1227MM19:LstBlkVol</stp>
        <tr r="L1650" s="5"/>
        <tr r="L1670" s="5"/>
      </tp>
      <tp>
        <v>2.3940000000000001</v>
        <stp/>
        <stp>141587M22:Settle</stp>
        <tr r="U63" s="5"/>
      </tp>
      <tp>
        <v>2.3109999999999999</v>
        <stp/>
        <stp>141587M23:Settle</stp>
        <tr r="U64" s="5"/>
      </tp>
      <tp>
        <v>2.4580000000000002</v>
        <stp/>
        <stp>141587M20:Settle</stp>
        <tr r="U61" s="5"/>
      </tp>
      <tp>
        <v>2.4159999999999999</v>
        <stp/>
        <stp>141587M21:Settle</stp>
        <tr r="U62" s="5"/>
      </tp>
      <tp>
        <v>2.2690000000000001</v>
        <stp/>
        <stp>141587M24:Settle</stp>
        <tr r="U65" s="5"/>
      </tp>
      <tp>
        <v>2.5100000000000002</v>
        <stp/>
        <stp>141587M18:Settle</stp>
        <tr r="U59" s="5"/>
      </tp>
      <tp>
        <v>2.4890000000000003</v>
        <stp/>
        <stp>141587M19:Settle</stp>
        <tr r="U60" s="5"/>
      </tp>
      <tp>
        <v>2.99</v>
        <stp/>
        <stp>141587M12:Settle</stp>
        <tr r="U53" s="5"/>
      </tp>
      <tp>
        <v>2.9820000000000002</v>
        <stp/>
        <stp>141587M13:Settle</stp>
        <tr r="U54" s="5"/>
      </tp>
      <tp>
        <v>3.1550000000000002</v>
        <stp/>
        <stp>141587M10:Settle</stp>
        <tr r="U51" s="5"/>
      </tp>
      <tp>
        <v>3.0680000000000001</v>
        <stp/>
        <stp>141587M11:Settle</stp>
        <tr r="U52" s="5"/>
      </tp>
      <tp>
        <v>2.677</v>
        <stp/>
        <stp>141587M16:Settle</stp>
        <tr r="U57" s="5"/>
      </tp>
      <tp>
        <v>2.552</v>
        <stp/>
        <stp>141587M17:Settle</stp>
        <tr r="U58" s="5"/>
      </tp>
      <tp>
        <v>2.9040000000000004</v>
        <stp/>
        <stp>141587M14:Settle</stp>
        <tr r="U55" s="5"/>
      </tp>
      <tp>
        <v>2.8250000000000002</v>
        <stp/>
        <stp>141587M15:Settle</stp>
        <tr r="U56" s="5"/>
      </tp>
    </main>
    <main first="ice.rtd">
      <tp t="s">
        <v>Invalid Market: 297449133BM0</v>
        <stp/>
        <stp>297449133BM0:Strip</stp>
        <tr r="E2026" s="5"/>
      </tp>
      <tp t="s">
        <v>Apr27</v>
        <stp/>
        <stp>1581618115M7:Strip</stp>
        <tr r="E466" s="5"/>
      </tp>
      <tp t="s">
        <v>Apr27</v>
        <stp/>
        <stp>1923422331M7:Strip</stp>
        <tr r="E1634" s="5"/>
      </tp>
      <tp t="s">
        <v>Bal Month</v>
        <stp/>
        <stp>1987023077B0:Strip</stp>
        <tr r="E154" s="5"/>
      </tp>
      <tp t="s">
        <v>Jun27</v>
        <stp/>
        <stp>30793693M9:Strip</stp>
        <tr r="E892" s="5"/>
      </tp>
      <tp t="s">
        <v>Mar27</v>
        <stp/>
        <stp>41787896M6:Strip</stp>
        <tr r="E813" s="5"/>
      </tp>
      <tp t="s">
        <v>Q2 28</v>
        <stp/>
        <stp>41787896Q6:Strip</stp>
        <tr r="E838" s="5"/>
      </tp>
      <tp t="s">
        <v>Mar27</v>
        <stp/>
        <stp>41767893M6:Strip</stp>
        <tr r="E486" s="5"/>
      </tp>
      <tp t="s">
        <v>Q2 28</v>
        <stp/>
        <stp>41767893Q6:Strip</stp>
        <tr r="E511" s="5"/>
      </tp>
      <tp t="s">
        <v>Q3 27</v>
        <stp/>
        <stp>3124331018Q3:Strip</stp>
        <tr r="E1623" s="5"/>
      </tp>
      <tp t="s">
        <v>Dec26</v>
        <stp/>
        <stp>3124331018M3:Strip</stp>
        <tr r="E1608" s="5"/>
      </tp>
      <tp t="s">
        <v>Jan27</v>
        <stp/>
        <stp>32623993M4:Strip</stp>
        <tr r="E1994" s="5"/>
      </tp>
      <tp t="s">
        <v>Q4 27</v>
        <stp/>
        <stp>32623993Q4:Strip</stp>
        <tr r="E2019" s="5"/>
      </tp>
      <tp t="s">
        <v>Jan27</v>
        <stp/>
        <stp>32613992M4:Strip</stp>
        <tr r="E1229" s="5"/>
      </tp>
      <tp t="s">
        <v>Q4 27</v>
        <stp/>
        <stp>32613992Q4:Strip</stp>
        <tr r="E1254" s="5"/>
      </tp>
      <tp t="s">
        <v>Q4 27</v>
        <stp/>
        <stp>2755728678Q4:Strip</stp>
        <tr r="E1140" s="5"/>
      </tp>
      <tp t="s">
        <v>Jan27</v>
        <stp/>
        <stp>2755728678M4:Strip</stp>
        <tr r="E1115" s="5"/>
      </tp>
      <tp t="s">
        <v>Sep26</v>
        <stp/>
        <stp>29243602M0:Strip</stp>
        <tr r="E746" s="5"/>
      </tp>
      <tp t="s">
        <v>Q4 26</v>
        <stp/>
        <stp>29243602Q0:Strip</stp>
        <tr r="E762" s="5"/>
      </tp>
      <tp t="s">
        <v>Cal 27</v>
        <stp/>
        <stp>29243602Y0:Strip</stp>
        <tr r="E767" s="5"/>
      </tp>
      <tp t="s">
        <v>Bal Month</v>
        <stp/>
        <stp>2322725588B0:Strip</stp>
        <tr r="E2" s="5"/>
      </tp>
      <tp t="s">
        <v>Q4 27</v>
        <stp/>
        <stp>2755828679Q4:Strip</stp>
        <tr r="E1026" s="5"/>
      </tp>
      <tp t="s">
        <v>Jan27</v>
        <stp/>
        <stp>2755828679M4:Strip</stp>
        <tr r="E1001" s="5"/>
      </tp>
      <tp t="s">
        <v>May27</v>
        <stp/>
        <stp>57179020M8:Strip</stp>
        <tr r="E1555" s="5"/>
      </tp>
      <tp t="s">
        <v>Bal Month</v>
        <stp/>
        <stp>2182524598B0:Strip</stp>
        <tr r="E1376" s="5"/>
      </tp>
      <tp t="s">
        <v>Q1 27</v>
        <stp/>
        <stp>1986823075Q1:Strip</stp>
        <tr r="E143" s="5"/>
      </tp>
      <tp t="s">
        <v>Cal 28</v>
        <stp/>
        <stp>1986823075Y1:Strip</stp>
        <tr r="E152" s="5"/>
      </tp>
      <tp t="s">
        <v>Oct26</v>
        <stp/>
        <stp>1986823075M1:Strip</stp>
        <tr r="E118" s="5"/>
      </tp>
      <tp t="s">
        <v>Oct26</v>
        <stp/>
        <stp>18871685M1:Strip</stp>
        <tr r="E422" s="5"/>
      </tp>
      <tp t="s">
        <v>Q1 27</v>
        <stp/>
        <stp>18871685Q1:Strip</stp>
        <tr r="E447" s="5"/>
      </tp>
      <tp t="s">
        <v>Cal 28</v>
        <stp/>
        <stp>18871685Y1:Strip</stp>
        <tr r="E456" s="5"/>
      </tp>
      <tp t="s">
        <v>Oct26</v>
        <stp/>
        <stp>18851683M1:Strip</stp>
        <tr r="E194" s="5"/>
      </tp>
      <tp t="s">
        <v>Q1 27</v>
        <stp/>
        <stp>18851683Q1:Strip</stp>
        <tr r="E219" s="5"/>
      </tp>
      <tp t="s">
        <v>Cal 28</v>
        <stp/>
        <stp>18851683Y1:Strip</stp>
        <tr r="E228" s="5"/>
      </tp>
      <tp t="s">
        <v>Q1 27</v>
        <stp/>
        <stp>1986923076Q1:Strip</stp>
        <tr r="E181" s="5"/>
      </tp>
      <tp t="s">
        <v>Cal 28</v>
        <stp/>
        <stp>1986923076Y1:Strip</stp>
        <tr r="E190" s="5"/>
      </tp>
      <tp t="s">
        <v>Oct26</v>
        <stp/>
        <stp>1986923076M1:Strip</stp>
        <tr r="E156" s="5"/>
      </tp>
      <tp t="s">
        <v>Jun27</v>
        <stp/>
        <stp>15091310M9:Strip</stp>
        <tr r="E1386" s="5"/>
      </tp>
      <tp t="s">
        <v>Jun27</v>
        <stp/>
        <stp>30813691M9:Strip</stp>
        <tr r="E1962" s="5"/>
      </tp>
      <tp t="s">
        <v>Oct26</v>
        <stp/>
        <stp>18901687M1:Strip</stp>
        <tr r="E308" s="5"/>
      </tp>
      <tp t="s">
        <v>Q1 27</v>
        <stp/>
        <stp>18901687Q1:Strip</stp>
        <tr r="E333" s="5"/>
      </tp>
      <tp t="s">
        <v>Cal 28</v>
        <stp/>
        <stp>18901687Y1:Strip</stp>
        <tr r="E342" s="5"/>
      </tp>
      <tp t="s">
        <v>Invalid Market: 2044823525Q6</v>
        <stp/>
        <stp>2044823525Q6:Strip</stp>
        <tr r="E1776" s="5"/>
      </tp>
      <tp t="s">
        <v>Apr27</v>
        <stp/>
        <stp>2044823525M6:Strip</stp>
        <tr r="E1753" s="5"/>
      </tp>
      <tp t="s">
        <v>May27</v>
        <stp/>
        <stp>57409036M8:Strip</stp>
        <tr r="E239" s="5"/>
      </tp>
      <tp t="s">
        <v>Q4 28</v>
        <stp/>
        <stp>57409036Q8:Strip</stp>
        <tr r="E264" s="5"/>
      </tp>
      <tp t="s">
        <v>Cal 29</v>
        <stp/>
        <stp>2427026287Y2:Strip</stp>
        <tr r="E1185" s="5"/>
      </tp>
      <tp t="s">
        <v>Q2 27</v>
        <stp/>
        <stp>2427026287Q2:Strip</stp>
        <tr r="E1176" s="5"/>
      </tp>
      <tp t="s">
        <v>Nov26</v>
        <stp/>
        <stp>2427026287M2:Strip</stp>
        <tr r="E1151" s="5"/>
      </tp>
      <tp t="s">
        <v>May27</v>
        <stp/>
        <stp>46678127M8:Strip</stp>
        <tr r="E353" s="5"/>
      </tp>
      <tp t="s">
        <v>Q4 28</v>
        <stp/>
        <stp>46678127Q8:Strip</stp>
        <tr r="E378" s="5"/>
      </tp>
      <tp t="s">
        <v>Cal 29</v>
        <stp/>
        <stp>2427126288Y2:Strip</stp>
        <tr r="E1071" s="5"/>
      </tp>
      <tp t="s">
        <v>Q2 27</v>
        <stp/>
        <stp>2427126288Q2:Strip</stp>
        <tr r="E1062" s="5"/>
      </tp>
      <tp t="s">
        <v>Nov26</v>
        <stp/>
        <stp>2427126288M2:Strip</stp>
        <tr r="E1037" s="5"/>
      </tp>
      <tp t="s">
        <v>Nov26/Feb27</v>
        <stp/>
        <stp>366531MM19:Strip</stp>
        <tr r="E1734" s="5"/>
      </tp>
      <tp t="s">
        <v>ULI</v>
        <stp/>
        <stp>34404098Q6:PCC</stp>
        <tr r="B625" s="5"/>
      </tp>
      <tp t="s">
        <v>ULJ</v>
        <stp/>
        <stp>34414099Q6:PCC</stp>
        <tr r="B110" s="5"/>
      </tp>
      <tp t="s">
        <v>ULI</v>
        <stp/>
        <stp>34404098Q7:PCC</stp>
        <tr r="B626" s="5"/>
      </tp>
      <tp t="s">
        <v>ULJ</v>
        <stp/>
        <stp>34414099Q7:PCC</stp>
        <tr r="B111" s="5"/>
      </tp>
      <tp t="s">
        <v>ULI</v>
        <stp/>
        <stp>34404098Q4:PCC</stp>
        <tr r="B623" s="5"/>
      </tp>
      <tp t="s">
        <v>ULJ</v>
        <stp/>
        <stp>34414099Q4:PCC</stp>
        <tr r="B108" s="5"/>
      </tp>
      <tp t="s">
        <v>ULI</v>
        <stp/>
        <stp>34404098Q5:PCC</stp>
        <tr r="B624" s="5"/>
      </tp>
      <tp t="s">
        <v>ULJ</v>
        <stp/>
        <stp>34414099Q5:PCC</stp>
        <tr r="B109" s="5"/>
      </tp>
      <tp t="s">
        <v>ULI</v>
        <stp/>
        <stp>34404098Q2:PCC</stp>
        <tr r="B621" s="5"/>
      </tp>
      <tp t="s">
        <v>ULJ</v>
        <stp/>
        <stp>34414099Q2:PCC</stp>
        <tr r="B106" s="5"/>
      </tp>
      <tp t="s">
        <v>ULI</v>
        <stp/>
        <stp>34404098Q3:PCC</stp>
        <tr r="B622" s="5"/>
      </tp>
      <tp t="s">
        <v>ULJ</v>
        <stp/>
        <stp>34414099Q3:PCC</stp>
        <tr r="B107" s="5"/>
      </tp>
      <tp t="s">
        <v>ULI</v>
        <stp/>
        <stp>34404098Q0:PCC</stp>
        <tr r="B619" s="5"/>
      </tp>
      <tp t="s">
        <v>ULJ</v>
        <stp/>
        <stp>34414099Q0:PCC</stp>
        <tr r="B104" s="5"/>
      </tp>
      <tp t="s">
        <v>ULI</v>
        <stp/>
        <stp>34404098Q1:PCC</stp>
        <tr r="B620" s="5"/>
      </tp>
      <tp t="s">
        <v>ULJ</v>
        <stp/>
        <stp>34414099Q1:PCC</stp>
        <tr r="B105" s="5"/>
      </tp>
      <tp t="s">
        <v>ULI</v>
        <stp/>
        <stp>34404098Q8:PCC</stp>
        <tr r="B627" s="5"/>
      </tp>
      <tp t="s">
        <v>ULJ</v>
        <stp/>
        <stp>34414099Q8:PCC</stp>
        <tr r="B112" s="5"/>
      </tp>
    </main>
    <main first="esrtd">
      <tp t="s">
        <v/>
        <stp/>
        <stp>WHK C2!-IEU</stp>
        <stp>Last Trade Time</stp>
        <tr r="J1952" s="5"/>
      </tp>
      <tp t="s">
        <v/>
        <stp/>
        <stp>WNS C2!-IEU</stp>
        <stp>Last Trade Time</stp>
        <tr r="J1882" s="5"/>
      </tp>
      <tp t="s">
        <v/>
        <stp/>
        <stp>WMJ C2!-IEU</stp>
        <stp>Last Trade Time</stp>
        <tr r="J1917" s="5"/>
      </tp>
    </main>
    <main first="bofaddin.rtdserver">
      <tp t="s">
        <v>#N/A</v>
        <stp/>
        <stp>BDP|5571855936478324947|222</stp>
        <stp>MUCM9N9 Comdty</stp>
        <stp>ASK</stp>
        <stp>Fill=#N/A</stp>
        <tr r="S53" s="1"/>
      </tp>
    </main>
    <main first="ice.rtd">
      <tp t="s">
        <v>Oct26/Jul28</v>
        <stp/>
        <stp>15061297MM17:Strip</stp>
        <tr r="E1700" s="5"/>
      </tp>
      <tp t="s">
        <v>Dec26/Dec27</v>
        <stp/>
        <stp>15061297MM27:Strip</stp>
        <tr r="E1710" s="5"/>
      </tp>
      <tp t="s">
        <v>Invalid Market: 34404098Y2</v>
        <stp/>
        <stp>34404098Y2:PCC</stp>
        <tr r="B630" s="5"/>
      </tp>
      <tp t="s">
        <v>ULJ</v>
        <stp/>
        <stp>34414099Y2:PCC</stp>
        <tr r="B115" s="5"/>
      </tp>
      <tp t="s">
        <v>ULI</v>
        <stp/>
        <stp>34404098Y0:PCC</stp>
        <tr r="B628" s="5"/>
      </tp>
      <tp t="s">
        <v>ULJ</v>
        <stp/>
        <stp>34414099Y0:PCC</stp>
        <tr r="B113" s="5"/>
      </tp>
      <tp t="s">
        <v>ULI</v>
        <stp/>
        <stp>34404098Y1:PCC</stp>
        <tr r="B629" s="5"/>
      </tp>
      <tp t="s">
        <v>ULJ</v>
        <stp/>
        <stp>34414099Y1:PCC</stp>
        <tr r="B114" s="5"/>
      </tp>
      <tp t="s">
        <v/>
        <stp/>
        <stp>2325325614B0:LstPrc</stp>
        <tr r="I517" s="5"/>
      </tp>
    </main>
    <main first="bofaddin.rtdserver">
      <tp t="s">
        <v>#N/A</v>
        <stp/>
        <stp>BDP|2431477510460133688|222</stp>
        <stp>OQAM9N9 Comdty</stp>
        <stp>BID</stp>
        <stp>Fill=#N/A</stp>
        <tr r="T53" s="1"/>
      </tp>
      <tp t="s">
        <v>#N/A</v>
        <stp/>
        <stp>BDP|2904396973932755878|222</stp>
        <stp>OQAF0G0 Comdty</stp>
        <stp>BID</stp>
        <stp>Fill=#N/A</stp>
        <tr r="T60" s="1"/>
      </tp>
      <tp t="s">
        <v>#N/A</v>
        <stp/>
        <stp>BDP|7694636022388089297|222</stp>
        <stp>OQAH0J0 Comdty</stp>
        <stp>BID</stp>
        <stp>Fill=#N/A</stp>
        <tr r="T62" s="1"/>
      </tp>
      <tp t="s">
        <v>#N/A</v>
        <stp/>
        <stp>BDP|3807913337824397984|222</stp>
        <stp>MUCH7J7 Comdty</stp>
        <stp>ASK</stp>
        <stp>Fill=#N/A</stp>
        <tr r="S26" s="1"/>
      </tp>
    </main>
    <main first="ice.rtd">
      <tp t="s">
        <v/>
        <stp/>
        <stp>2324225603B0:LstPrc</stp>
        <tr r="I920" s="5"/>
      </tp>
    </main>
    <main first="esrtd">
      <tp t="s">
        <v/>
        <stp/>
        <stp>WDF C2!-IEU</stp>
        <stp>Last Trade Time</stp>
        <tr r="J1812" s="5"/>
      </tp>
    </main>
    <main first="ice.rtd">
      <tp>
        <v>215</v>
        <stp/>
        <stp>1987023077B0:BlkVol</stp>
        <tr r="O154" s="5"/>
      </tp>
    </main>
    <main first="bofaddin.rtdserver">
      <tp t="s">
        <v>#N/A N/A</v>
        <stp/>
        <stp>BDH|2638697044412526342</stp>
        <tr r="BA59" s="1"/>
        <tr r="BA59" s="1"/>
      </tp>
      <tp t="s">
        <v>#N/A N/A</v>
        <stp/>
        <stp>BDH|3267393813549035927</stp>
        <tr r="C10" s="14"/>
        <tr r="I32" s="14"/>
      </tp>
      <tp t="s">
        <v>#N/A N/A</v>
        <stp/>
        <stp>BDH|8942385108843764948</stp>
        <tr r="G60" s="16"/>
      </tp>
      <tp t="s">
        <v>#N/A N/A</v>
        <stp/>
        <stp>BDH|2799128277687958215</stp>
        <tr r="BB27" s="1"/>
      </tp>
      <tp t="s">
        <v>#N/A N/A</v>
        <stp/>
        <stp>BDH|9680640118466130902</stp>
        <tr r="BA45" s="1"/>
        <tr r="BA45" s="1"/>
      </tp>
      <tp t="s">
        <v>#N/A N/A</v>
        <stp/>
        <stp>BDH|5862688208787998580</stp>
        <tr r="AW61" s="1"/>
      </tp>
      <tp t="s">
        <v>#N/A N/A</v>
        <stp/>
        <stp>BDH|5781425309638010852</stp>
        <tr r="C4" s="14"/>
      </tp>
      <tp t="s">
        <v>#N/A N/A</v>
        <stp/>
        <stp>BDH|7958375950526085677</stp>
        <tr r="AZ44" s="1"/>
      </tp>
      <tp t="s">
        <v>#N/A N/A</v>
        <stp/>
        <stp>BDH|7531654069122321442</stp>
        <tr r="BB34" s="1"/>
      </tp>
      <tp t="s">
        <v>#N/A Requesting Data...3293899758</v>
        <stp/>
        <stp>BDP|3285333818769442922</stp>
        <tr r="AF77" s="23"/>
      </tp>
      <tp t="s">
        <v>#N/A N/A</v>
        <stp/>
        <stp>BDH|1510080455431143467</stp>
        <tr r="I46" s="14"/>
      </tp>
      <tp t="s">
        <v>#N/A N/A</v>
        <stp/>
        <stp>BDH|5668902068423790867</stp>
        <tr r="AW51" s="1"/>
      </tp>
    </main>
    <main first="ice.rtd">
      <tp>
        <v>0</v>
        <stp/>
        <stp>1923422331M3:BlkVol</stp>
        <tr r="O1630" s="5"/>
      </tp>
      <tp>
        <v>0</v>
        <stp/>
        <stp>1923422331M2:BlkVol</stp>
        <tr r="O1629" s="5"/>
      </tp>
      <tp>
        <v>0</v>
        <stp/>
        <stp>1923422331M1:BlkVol</stp>
        <tr r="O1628" s="5"/>
      </tp>
      <tp>
        <v>0</v>
        <stp/>
        <stp>1923422331M0:BlkVol</stp>
        <tr r="O1627" s="5"/>
      </tp>
      <tp>
        <v>0</v>
        <stp/>
        <stp>1923422331M7:BlkVol</stp>
        <tr r="O1634" s="5"/>
      </tp>
      <tp>
        <v>0</v>
        <stp/>
        <stp>1923422331M6:BlkVol</stp>
        <tr r="O1633" s="5"/>
      </tp>
      <tp>
        <v>0</v>
        <stp/>
        <stp>1923422331M5:BlkVol</stp>
        <tr r="O1632" s="5"/>
      </tp>
      <tp>
        <v>0</v>
        <stp/>
        <stp>1923422331M4:BlkVol</stp>
        <tr r="O1631" s="5"/>
      </tp>
      <tp>
        <v>0</v>
        <stp/>
        <stp>1923422331M9:BlkVol</stp>
        <tr r="O1636" s="5"/>
      </tp>
      <tp>
        <v>0</v>
        <stp/>
        <stp>1923422331M8:BlkVol</stp>
        <tr r="O1635" s="5"/>
      </tp>
      <tp>
        <v>0</v>
        <stp/>
        <stp>1923422331Y0:BlkVol</stp>
        <tr r="O1646" s="5"/>
      </tp>
      <tp t="s">
        <v>Invalid Market: B0</v>
        <stp/>
        <stp>B0:PCC</stp>
        <tr r="B1034" s="5"/>
        <tr r="B1148" s="5"/>
      </tp>
    </main>
    <main first="bofaddin.rtdserver">
      <tp t="s">
        <v>#N/A N/A</v>
        <stp/>
        <stp>BDH|1189750335057993345</stp>
        <tr r="I4" s="14"/>
      </tp>
      <tp t="s">
        <v>#N/A N/A</v>
        <stp/>
        <stp>BDH|2941254097008329045</stp>
        <tr r="I2" s="14"/>
      </tp>
    </main>
    <main first="ice.rtd">
      <tp>
        <v>0</v>
        <stp/>
        <stp>1923422331Q3:BlkVol</stp>
        <tr r="O1645" s="5"/>
      </tp>
      <tp>
        <v>0</v>
        <stp/>
        <stp>1923422331Q2:BlkVol</stp>
        <tr r="O1644" s="5"/>
      </tp>
      <tp>
        <v>0</v>
        <stp/>
        <stp>1923422331Q1:BlkVol</stp>
        <tr r="O1643" s="5"/>
      </tp>
      <tp>
        <v>0</v>
        <stp/>
        <stp>1923422331Q0:BlkVol</stp>
        <tr r="O1642" s="5"/>
      </tp>
    </main>
    <main first="ice.rtd">
      <tp>
        <v>0</v>
        <stp/>
        <stp>2185624628B0:BlkVol</stp>
        <tr r="O745" s="5"/>
      </tp>
    </main>
    <main first="bofaddin.rtdserver">
      <tp t="s">
        <v>#N/A N/A</v>
        <stp/>
        <stp>BDH|1956856500690323823</stp>
        <tr r="AV41" s="1"/>
      </tp>
      <tp t="s">
        <v>#N/A N/A</v>
        <stp/>
        <stp>BDH|2530686146335439423</stp>
        <tr r="AW29" s="1"/>
      </tp>
      <tp t="s">
        <v>#N/A Requesting Data...1379271673</v>
        <stp/>
        <stp>BDP|8848285740877233805</stp>
        <tr r="AW54" s="23"/>
      </tp>
      <tp t="s">
        <v>#N/A N/A</v>
        <stp/>
        <stp>BDH|2173999486042970058</stp>
        <tr r="BB44" s="1"/>
      </tp>
      <tp t="s">
        <v>#N/A N/A</v>
        <stp/>
        <stp>BDH|6403154663746837682</stp>
        <tr r="D5" s="14"/>
        <tr r="J7" s="14"/>
      </tp>
      <tp t="b">
        <v>0</v>
        <stp/>
        <stp>BDH|5412500524622131131</stp>
        <tr r="P20" s="25"/>
        <tr r="P20" s="25"/>
      </tp>
      <tp t="s">
        <v>#N/A N/A</v>
        <stp/>
        <stp>BDH|1815561966047308496</stp>
        <tr r="AZ45" s="1"/>
      </tp>
      <tp t="s">
        <v>#N/A N/A</v>
        <stp/>
        <stp>BDH|3083713115447722316</stp>
        <tr r="AY36" s="1"/>
      </tp>
      <tp t="s">
        <v>#N/A N/A</v>
        <stp/>
        <stp>BDH|4720616613646503433</stp>
        <tr r="J56" s="16"/>
      </tp>
      <tp t="s">
        <v>#N/A N/A</v>
        <stp/>
        <stp>BDH|2181414098766106898</stp>
        <tr r="I56" s="16"/>
      </tp>
      <tp t="s">
        <v>#N/A N/A</v>
        <stp/>
        <stp>BDH|5751364965689051847</stp>
        <tr r="L88" s="16"/>
      </tp>
      <tp t="s">
        <v>#N/A N/A</v>
        <stp/>
        <stp>BDH|2065684259081343133</stp>
        <tr r="D35" s="14"/>
      </tp>
      <tp t="s">
        <v>#N/A N/A</v>
        <stp/>
        <stp>BDH|2489435602036692123</stp>
        <tr r="J11" s="14"/>
      </tp>
      <tp t="b">
        <v>0</v>
        <stp/>
        <stp>BDH|6492728764144444272</stp>
        <tr r="R21" s="25"/>
        <tr r="R21" s="25"/>
      </tp>
      <tp t="s">
        <v>#N/A N/A</v>
        <stp/>
        <stp>BDH|5823121444802733381</stp>
        <tr r="G76" s="16"/>
      </tp>
      <tp t="s">
        <v>#N/A N/A</v>
        <stp/>
        <stp>BDH|7009967190137194117</stp>
        <tr r="AV56" s="1"/>
      </tp>
      <tp t="s">
        <v>#N/A N/A</v>
        <stp/>
        <stp>BDH|7196057275305750405</stp>
        <tr r="AV34" s="1"/>
      </tp>
    </main>
    <main first="ice.rtd">
      <tp>
        <v>265</v>
        <stp/>
        <stp>1581618115M3:BlkVol</stp>
        <tr r="O462" s="5"/>
      </tp>
      <tp>
        <v>50</v>
        <stp/>
        <stp>1581618115M2:BlkVol</stp>
        <tr r="O461" s="5"/>
      </tp>
      <tp>
        <v>295</v>
        <stp/>
        <stp>1581618115M1:BlkVol</stp>
        <tr r="O460" s="5"/>
      </tp>
      <tp>
        <v>0</v>
        <stp/>
        <stp>1581618115M0:BlkVol</stp>
        <tr r="O459" s="5"/>
      </tp>
      <tp>
        <v>0</v>
        <stp/>
        <stp>1581618115M7:BlkVol</stp>
        <tr r="O466" s="5"/>
      </tp>
      <tp>
        <v>0</v>
        <stp/>
        <stp>1581618115M6:BlkVol</stp>
        <tr r="O465" s="5"/>
      </tp>
      <tp>
        <v>0</v>
        <stp/>
        <stp>1581618115M5:BlkVol</stp>
        <tr r="O464" s="5"/>
      </tp>
      <tp>
        <v>215</v>
        <stp/>
        <stp>1581618115M4:BlkVol</stp>
        <tr r="O463" s="5"/>
      </tp>
      <tp>
        <v>0</v>
        <stp/>
        <stp>1581618115M9:BlkVol</stp>
        <tr r="O468" s="5"/>
      </tp>
      <tp>
        <v>0</v>
        <stp/>
        <stp>1581618115M8:BlkVol</stp>
        <tr r="O467" s="5"/>
      </tp>
      <tp t="s">
        <v>Invalid Market: 1581618115B0</v>
        <stp/>
        <stp>1581618115B0:BlkVol</stp>
        <tr r="O458" s="5"/>
      </tp>
      <tp>
        <v>0</v>
        <stp/>
        <stp>1581618115Y0:BlkVol</stp>
        <tr r="O478" s="5"/>
      </tp>
    </main>
    <main first="bofaddin.rtdserver">
      <tp t="s">
        <v>#N/A N/A</v>
        <stp/>
        <stp>BDH|4848222477596962634</stp>
        <tr r="BB49" s="1"/>
      </tp>
    </main>
    <main first="ice.rtd">
      <tp>
        <v>0</v>
        <stp/>
        <stp>1581618115Q3:BlkVol</stp>
        <tr r="O477" s="5"/>
      </tp>
      <tp>
        <v>0</v>
        <stp/>
        <stp>1581618115Q2:BlkVol</stp>
        <tr r="O476" s="5"/>
      </tp>
      <tp>
        <v>0</v>
        <stp/>
        <stp>1581618115Q1:BlkVol</stp>
        <tr r="O475" s="5"/>
      </tp>
      <tp>
        <v>0</v>
        <stp/>
        <stp>1581618115Q0:BlkVol</stp>
        <tr r="O474" s="5"/>
      </tp>
    </main>
    <main first="bofaddin.rtdserver">
      <tp t="s">
        <v>#N/A Requesting Data...3915748924</v>
        <stp/>
        <stp>BDP|2969426785658251789</stp>
        <tr r="I26" s="23"/>
      </tp>
      <tp t="s">
        <v>#N/A Requesting Data...3555061748</v>
        <stp/>
        <stp>BDP|5239571803808123934</stp>
        <tr r="AF112" s="23"/>
      </tp>
    </main>
    <main first="ice.rtd">
      <tp t="s">
        <v>ULI</v>
        <stp/>
        <stp>34404098M6:PCC</stp>
        <tr r="B600" s="5"/>
      </tp>
      <tp t="s">
        <v>ULJ</v>
        <stp/>
        <stp>34414099M6:PCC</stp>
        <tr r="B85" s="5"/>
      </tp>
    </main>
    <main first="ice.rtd">
      <tp t="s">
        <v>ULI</v>
        <stp/>
        <stp>34404098M7:PCC</stp>
        <tr r="B601" s="5"/>
      </tp>
      <tp t="s">
        <v>ULJ</v>
        <stp/>
        <stp>34414099M7:PCC</stp>
        <tr r="B86" s="5"/>
      </tp>
      <tp t="s">
        <v>ULI</v>
        <stp/>
        <stp>34404098M4:PCC</stp>
        <tr r="B598" s="5"/>
      </tp>
      <tp t="s">
        <v>ULJ</v>
        <stp/>
        <stp>34414099M4:PCC</stp>
        <tr r="B83" s="5"/>
      </tp>
      <tp t="s">
        <v>ULI</v>
        <stp/>
        <stp>34404098M5:PCC</stp>
        <tr r="B599" s="5"/>
      </tp>
      <tp t="s">
        <v>ULJ</v>
        <stp/>
        <stp>34414099M5:PCC</stp>
        <tr r="B84" s="5"/>
      </tp>
      <tp t="s">
        <v>ULI</v>
        <stp/>
        <stp>34404098M2:PCC</stp>
        <tr r="B596" s="5"/>
      </tp>
      <tp t="s">
        <v>ULJ</v>
        <stp/>
        <stp>34414099M2:PCC</stp>
        <tr r="B81" s="5"/>
      </tp>
      <tp t="s">
        <v>ULI</v>
        <stp/>
        <stp>34404098M3:PCC</stp>
        <tr r="B597" s="5"/>
      </tp>
      <tp t="s">
        <v>ULJ</v>
        <stp/>
        <stp>34414099M3:PCC</stp>
        <tr r="B82" s="5"/>
      </tp>
      <tp t="s">
        <v>ULI</v>
        <stp/>
        <stp>34404098M0:PCC</stp>
        <tr r="B594" s="5"/>
      </tp>
      <tp t="s">
        <v>ULJ</v>
        <stp/>
        <stp>34414099M0:PCC</stp>
        <tr r="B79" s="5"/>
      </tp>
      <tp t="s">
        <v>ULI</v>
        <stp/>
        <stp>34404098M1:PCC</stp>
        <tr r="B595" s="5"/>
      </tp>
      <tp t="s">
        <v>ULJ</v>
        <stp/>
        <stp>34414099M1:PCC</stp>
        <tr r="B80" s="5"/>
      </tp>
      <tp t="s">
        <v>ULI</v>
        <stp/>
        <stp>34404098M8:PCC</stp>
        <tr r="B602" s="5"/>
      </tp>
      <tp t="s">
        <v>ULJ</v>
        <stp/>
        <stp>34414099M8:PCC</stp>
        <tr r="B87" s="5"/>
      </tp>
      <tp t="s">
        <v>ULI</v>
        <stp/>
        <stp>34404098M9:PCC</stp>
        <tr r="B603" s="5"/>
      </tp>
      <tp t="s">
        <v>ULJ</v>
        <stp/>
        <stp>34414099M9:PCC</stp>
        <tr r="B88" s="5"/>
      </tp>
    </main>
    <main first="bofaddin.rtdserver">
      <tp t="s">
        <v>#N/A Requesting Data...3176071652</v>
        <stp/>
        <stp>BDP|7275340754366589624</stp>
        <tr r="B27" s="23"/>
        <tr r="B73" s="23"/>
      </tp>
      <tp t="s">
        <v>#N/A N/A</v>
        <stp/>
        <stp>BDH|4988114315411154494</stp>
        <tr r="C36" s="14"/>
      </tp>
      <tp t="s">
        <v>#N/A N/A</v>
        <stp/>
        <stp>BDH|8485223715092482829</stp>
        <tr r="N93" s="16"/>
      </tp>
      <tp t="s">
        <v>#N/A Invalid Security</v>
        <stp/>
        <stp>BDP|10019682945956383134|222</stp>
        <stp>COV9 Comdty</stp>
        <stp>BID</stp>
        <stp>Fill=#N/A</stp>
        <tr r="G56" s="1"/>
      </tp>
    </main>
    <main first="ice.rtd">
      <tp>
        <v>0</v>
        <stp/>
        <stp>41787896Y0:Vol</stp>
        <tr r="N841" s="5"/>
      </tp>
      <tp>
        <v>0</v>
        <stp/>
        <stp>41787896Y1:Vol</stp>
        <tr r="N842" s="5"/>
      </tp>
      <tp>
        <v>0</v>
        <stp/>
        <stp>41787896Y2:Vol</stp>
        <tr r="N843" s="5"/>
      </tp>
    </main>
    <main first="bofaddin.rtdserver">
      <tp>
        <v>296.45</v>
        <stp/>
        <stp>BDP|16347182205494258522|222</stp>
        <stp>HOZ8 Comdty</stp>
        <stp>ASK</stp>
        <stp>Fill=#N/A</stp>
        <tr r="I46" s="1"/>
      </tp>
      <tp>
        <v>465.51</v>
        <stp/>
        <stp>BDP|12603703712565432433|222</stp>
        <stp>HOV6 Comdty</stp>
        <stp>BID</stp>
        <stp>Fill=#N/A</stp>
        <tr r="I20" s="1"/>
      </tp>
    </main>
    <main first="ice.rtd">
      <tp>
        <v>0</v>
        <stp/>
        <stp>41787896Q4:Vol</stp>
        <tr r="N836" s="5"/>
      </tp>
      <tp>
        <v>0</v>
        <stp/>
        <stp>41787896Q5:Vol</stp>
        <tr r="N837" s="5"/>
      </tp>
      <tp>
        <v>0</v>
        <stp/>
        <stp>41787896Q6:Vol</stp>
        <tr r="N838" s="5"/>
      </tp>
    </main>
    <main first="bofaddin.rtdserver">
      <tp>
        <v>95.09</v>
        <stp/>
        <stp>BDP|13566283781214162829|222</stp>
        <stp>COX6 Comdty</stp>
        <stp>BID</stp>
        <stp>Fill=#N/A</stp>
        <tr r="G21" s="1"/>
      </tp>
    </main>
    <main first="ice.rtd">
      <tp>
        <v>0</v>
        <stp/>
        <stp>41787896Q7:Vol</stp>
        <tr r="N839" s="5"/>
      </tp>
      <tp>
        <v>0</v>
        <stp/>
        <stp>41787896Q0:Vol</stp>
        <tr r="N832" s="5"/>
      </tp>
      <tp>
        <v>0</v>
        <stp/>
        <stp>41787896Q1:Vol</stp>
        <tr r="N833" s="5"/>
      </tp>
      <tp>
        <v>0</v>
        <stp/>
        <stp>41787896Q2:Vol</stp>
        <tr r="N834" s="5"/>
      </tp>
      <tp>
        <v>0</v>
        <stp/>
        <stp>41787896Q3:Vol</stp>
        <tr r="N835" s="5"/>
      </tp>
      <tp>
        <v>0</v>
        <stp/>
        <stp>41787896Q8:Vol</stp>
        <tr r="N840" s="5"/>
      </tp>
    </main>
    <main first="bofaddin.rtdserver">
      <tp>
        <v>71.75</v>
        <stp/>
        <stp>BDP|18285253179884679362|222</stp>
        <stp>CLV7 Comdty</stp>
        <stp>BID</stp>
        <stp>Fill=#N/A</stp>
        <tr r="F32" s="1"/>
      </tp>
      <tp t="s">
        <v>#N/A</v>
        <stp/>
        <stp>BDP|13608095514728165322|222</stp>
        <stp>XBV9 Comdty</stp>
        <stp>BID</stp>
        <stp>Fill=#N/A</stp>
        <tr r="J56" s="1"/>
      </tp>
    </main>
    <main first="ice.rtd">
      <tp t="s">
        <v/>
        <stp/>
        <stp>1840020882M16:LstDate</stp>
        <tr r="J1598" s="5"/>
      </tp>
      <tp t="s">
        <v/>
        <stp/>
        <stp>1840020882M15:LstDate</stp>
        <tr r="J1597" s="5"/>
      </tp>
      <tp t="s">
        <v/>
        <stp/>
        <stp>1840020882M14:LstDate</stp>
        <tr r="J1596" s="5"/>
      </tp>
      <tp t="s">
        <v/>
        <stp/>
        <stp>1840020882M13:LstDate</stp>
        <tr r="J1595" s="5"/>
      </tp>
      <tp t="s">
        <v/>
        <stp/>
        <stp>1840020882M12:LstDate</stp>
        <tr r="J1594" s="5"/>
      </tp>
      <tp t="s">
        <v/>
        <stp/>
        <stp>1840020882M11:LstDate</stp>
        <tr r="J1593" s="5"/>
      </tp>
      <tp t="s">
        <v/>
        <stp/>
        <stp>1840020882M10:LstDate</stp>
        <tr r="J1592" s="5"/>
      </tp>
      <tp t="s">
        <v/>
        <stp/>
        <stp>161913535MM23:LstDate</stp>
        <tr r="J2050" s="5"/>
      </tp>
      <tp>
        <v>46267.403997719906</v>
        <stp/>
        <stp>161913535MM22:LstDate</stp>
        <tr r="J2049" s="5"/>
      </tp>
      <tp t="s">
        <v/>
        <stp/>
        <stp>161913535MM21:LstDate</stp>
        <tr r="J2048" s="5"/>
      </tp>
      <tp t="s">
        <v/>
        <stp/>
        <stp>161913535MM20:LstDate</stp>
        <tr r="J2047" s="5"/>
      </tp>
      <tp t="s">
        <v/>
        <stp/>
        <stp>161913535MM27:LstDate</stp>
        <tr r="J2054" s="5"/>
      </tp>
      <tp t="s">
        <v/>
        <stp/>
        <stp>161913535MM26:LstDate</stp>
        <tr r="J2053" s="5"/>
      </tp>
      <tp t="s">
        <v/>
        <stp/>
        <stp>161913535MM25:LstDate</stp>
        <tr r="J2052" s="5"/>
      </tp>
      <tp t="s">
        <v/>
        <stp/>
        <stp>161913535MM24:LstDate</stp>
        <tr r="J2051" s="5"/>
      </tp>
      <tp t="s">
        <v>Invalid Market: 41767893B0</v>
        <stp/>
        <stp>41767893B0:LstPrc</stp>
        <tr r="I479" s="5"/>
      </tp>
      <tp t="s">
        <v/>
        <stp/>
        <stp>41767893M8:LstPrc</stp>
        <tr r="I488" s="5"/>
      </tp>
      <tp t="s">
        <v/>
        <stp/>
        <stp>41767893M9:LstPrc</stp>
        <tr r="I489" s="5"/>
      </tp>
      <tp t="s">
        <v/>
        <stp/>
        <stp>41767893M4:LstPrc</stp>
        <tr r="I484" s="5"/>
      </tp>
      <tp t="s">
        <v/>
        <stp/>
        <stp>41767893M5:LstPrc</stp>
        <tr r="I485" s="5"/>
      </tp>
      <tp t="s">
        <v/>
        <stp/>
        <stp>41767893M6:LstPrc</stp>
        <tr r="I486" s="5"/>
      </tp>
      <tp t="s">
        <v/>
        <stp/>
        <stp>41767893M7:LstPrc</stp>
        <tr r="I487" s="5"/>
      </tp>
      <tp>
        <v>4</v>
        <stp/>
        <stp>41767893M0:LstPrc</stp>
        <tr r="I480" s="5"/>
      </tp>
      <tp t="s">
        <v/>
        <stp/>
        <stp>41767893M1:LstPrc</stp>
        <tr r="I481" s="5"/>
      </tp>
      <tp t="s">
        <v/>
        <stp/>
        <stp>41767893M2:LstPrc</stp>
        <tr r="I482" s="5"/>
      </tp>
      <tp t="s">
        <v/>
        <stp/>
        <stp>41767893M3:LstPrc</stp>
        <tr r="I483" s="5"/>
      </tp>
      <tp t="s">
        <v/>
        <stp/>
        <stp>41767893Q8:LstPrc</stp>
        <tr r="I513" s="5"/>
      </tp>
      <tp t="s">
        <v/>
        <stp/>
        <stp>41767893Q4:LstPrc</stp>
        <tr r="I509" s="5"/>
      </tp>
      <tp t="s">
        <v/>
        <stp/>
        <stp>41767893Q5:LstPrc</stp>
        <tr r="I510" s="5"/>
      </tp>
      <tp t="s">
        <v/>
        <stp/>
        <stp>41767893Q6:LstPrc</stp>
        <tr r="I511" s="5"/>
      </tp>
      <tp t="s">
        <v/>
        <stp/>
        <stp>41767893Q7:LstPrc</stp>
        <tr r="I512" s="5"/>
      </tp>
      <tp t="s">
        <v/>
        <stp/>
        <stp>41767893Q0:LstPrc</stp>
        <tr r="I505" s="5"/>
      </tp>
      <tp t="s">
        <v/>
        <stp/>
        <stp>41767893Q1:LstPrc</stp>
        <tr r="I506" s="5"/>
      </tp>
      <tp t="s">
        <v/>
        <stp/>
        <stp>41767893Q2:LstPrc</stp>
        <tr r="I507" s="5"/>
      </tp>
      <tp t="s">
        <v/>
        <stp/>
        <stp>41767893Q3:LstPrc</stp>
        <tr r="I508" s="5"/>
      </tp>
      <tp t="s">
        <v/>
        <stp/>
        <stp>41767893Y0:LstPrc</stp>
        <tr r="I514" s="5"/>
      </tp>
      <tp t="s">
        <v/>
        <stp/>
        <stp>41767893Y1:LstPrc</stp>
        <tr r="I515" s="5"/>
      </tp>
      <tp t="s">
        <v>Invalid Market: 41767893Y2</v>
        <stp/>
        <stp>41767893Y2:LstPrc</stp>
        <tr r="I516" s="5"/>
      </tp>
      <tp t="s">
        <v/>
        <stp/>
        <stp>161913535MM13:LstDate</stp>
        <tr r="J2040" s="5"/>
      </tp>
      <tp>
        <v>46267.405104791666</v>
        <stp/>
        <stp>161913535MM12:LstDate</stp>
        <tr r="J2039" s="5"/>
      </tp>
      <tp t="s">
        <v/>
        <stp/>
        <stp>161913535MM11:LstDate</stp>
        <tr r="J2038" s="5"/>
      </tp>
      <tp t="s">
        <v/>
        <stp/>
        <stp>161913535MM10:LstDate</stp>
        <tr r="J2037" s="5"/>
      </tp>
      <tp t="s">
        <v/>
        <stp/>
        <stp>161913535MM17:LstDate</stp>
        <tr r="J2044" s="5"/>
      </tp>
      <tp t="s">
        <v/>
        <stp/>
        <stp>161913535MM16:LstDate</stp>
        <tr r="J2043" s="5"/>
      </tp>
      <tp t="s">
        <v/>
        <stp/>
        <stp>161913535MM15:LstDate</stp>
        <tr r="J2042" s="5"/>
      </tp>
      <tp t="s">
        <v/>
        <stp/>
        <stp>161913535MM14:LstDate</stp>
        <tr r="J2041" s="5"/>
      </tp>
      <tp t="s">
        <v/>
        <stp/>
        <stp>161913535MM19:LstDate</stp>
        <tr r="J2046" s="5"/>
      </tp>
      <tp t="s">
        <v/>
        <stp/>
        <stp>161913535MM18:LstDate</stp>
        <tr r="J2045" s="5"/>
      </tp>
      <tp>
        <v>0</v>
        <stp/>
        <stp>41787896M4:Vol</stp>
        <tr r="N811" s="5"/>
      </tp>
      <tp>
        <v>0</v>
        <stp/>
        <stp>41787896M5:Vol</stp>
        <tr r="N812" s="5"/>
      </tp>
      <tp>
        <v>0</v>
        <stp/>
        <stp>41787896M6:Vol</stp>
        <tr r="N813" s="5"/>
      </tp>
      <tp>
        <v>0</v>
        <stp/>
        <stp>41787896M7:Vol</stp>
        <tr r="N814" s="5"/>
      </tp>
      <tp>
        <v>0</v>
        <stp/>
        <stp>41787896M0:Vol</stp>
        <tr r="N807" s="5"/>
      </tp>
      <tp>
        <v>0</v>
        <stp/>
        <stp>41787896M1:Vol</stp>
        <tr r="N808" s="5"/>
      </tp>
      <tp>
        <v>0</v>
        <stp/>
        <stp>41787896M2:Vol</stp>
        <tr r="N809" s="5"/>
      </tp>
      <tp>
        <v>0</v>
        <stp/>
        <stp>41787896M3:Vol</stp>
        <tr r="N810" s="5"/>
      </tp>
      <tp>
        <v>0</v>
        <stp/>
        <stp>41787896M8:Vol</stp>
        <tr r="N815" s="5"/>
      </tp>
      <tp>
        <v>0</v>
        <stp/>
        <stp>41787896M9:Vol</stp>
        <tr r="N816" s="5"/>
      </tp>
      <tp t="s">
        <v/>
        <stp/>
        <stp>41787896M8:LstPrc</stp>
        <tr r="I815" s="5"/>
      </tp>
      <tp t="s">
        <v/>
        <stp/>
        <stp>41787896M9:LstPrc</stp>
        <tr r="I816" s="5"/>
      </tp>
      <tp t="s">
        <v/>
        <stp/>
        <stp>41787896M4:LstPrc</stp>
        <tr r="I811" s="5"/>
      </tp>
      <tp t="s">
        <v/>
        <stp/>
        <stp>41787896M5:LstPrc</stp>
        <tr r="I812" s="5"/>
      </tp>
      <tp t="s">
        <v/>
        <stp/>
        <stp>41787896M6:LstPrc</stp>
        <tr r="I813" s="5"/>
      </tp>
      <tp t="s">
        <v/>
        <stp/>
        <stp>41787896M7:LstPrc</stp>
        <tr r="I814" s="5"/>
      </tp>
      <tp t="s">
        <v/>
        <stp/>
        <stp>41787896M0:LstPrc</stp>
        <tr r="I807" s="5"/>
      </tp>
      <tp t="s">
        <v/>
        <stp/>
        <stp>41787896M1:LstPrc</stp>
        <tr r="I808" s="5"/>
      </tp>
      <tp t="s">
        <v/>
        <stp/>
        <stp>41787896M2:LstPrc</stp>
        <tr r="I809" s="5"/>
      </tp>
      <tp t="s">
        <v/>
        <stp/>
        <stp>41787896M3:LstPrc</stp>
        <tr r="I810" s="5"/>
      </tp>
      <tp t="s">
        <v/>
        <stp/>
        <stp>41787896Q8:LstPrc</stp>
        <tr r="I840" s="5"/>
      </tp>
      <tp t="s">
        <v/>
        <stp/>
        <stp>41787896Q4:LstPrc</stp>
        <tr r="I836" s="5"/>
      </tp>
      <tp t="s">
        <v/>
        <stp/>
        <stp>41787896Q5:LstPrc</stp>
        <tr r="I837" s="5"/>
      </tp>
      <tp t="s">
        <v/>
        <stp/>
        <stp>41787896Q6:LstPrc</stp>
        <tr r="I838" s="5"/>
      </tp>
      <tp t="s">
        <v/>
        <stp/>
        <stp>41787896Q7:LstPrc</stp>
        <tr r="I839" s="5"/>
      </tp>
      <tp t="s">
        <v/>
        <stp/>
        <stp>41787896Q0:LstPrc</stp>
        <tr r="I832" s="5"/>
      </tp>
      <tp t="s">
        <v/>
        <stp/>
        <stp>41787896Q1:LstPrc</stp>
        <tr r="I833" s="5"/>
      </tp>
      <tp t="s">
        <v/>
        <stp/>
        <stp>41787896Q2:LstPrc</stp>
        <tr r="I834" s="5"/>
      </tp>
      <tp t="s">
        <v/>
        <stp/>
        <stp>41787896Q3:LstPrc</stp>
        <tr r="I835" s="5"/>
      </tp>
      <tp t="s">
        <v/>
        <stp/>
        <stp>41787896Y0:LstPrc</stp>
        <tr r="I841" s="5"/>
      </tp>
      <tp t="s">
        <v/>
        <stp/>
        <stp>41787896Y1:LstPrc</stp>
        <tr r="I842" s="5"/>
      </tp>
      <tp t="s">
        <v/>
        <stp/>
        <stp>41787896Y2:LstPrc</stp>
        <tr r="I843" s="5"/>
      </tp>
      <tp t="s">
        <v/>
        <stp/>
        <stp>2427126288M19:LstDate</stp>
        <tr r="J1054" s="5"/>
      </tp>
      <tp t="s">
        <v/>
        <stp/>
        <stp>2427026287M18:LstDate</stp>
        <tr r="J1167" s="5"/>
      </tp>
      <tp t="s">
        <v/>
        <stp/>
        <stp>2427126288M18:LstDate</stp>
        <tr r="J1053" s="5"/>
      </tp>
      <tp t="s">
        <v/>
        <stp/>
        <stp>2427026287M19:LstDate</stp>
        <tr r="J1168" s="5"/>
      </tp>
      <tp t="s">
        <v/>
        <stp/>
        <stp>2427126288M15:LstDate</stp>
        <tr r="J1050" s="5"/>
      </tp>
      <tp t="s">
        <v/>
        <stp/>
        <stp>2427026287M14:LstDate</stp>
        <tr r="J1163" s="5"/>
      </tp>
      <tp t="s">
        <v/>
        <stp/>
        <stp>2427126288M14:LstDate</stp>
        <tr r="J1049" s="5"/>
      </tp>
      <tp t="s">
        <v/>
        <stp/>
        <stp>2427026287M15:LstDate</stp>
        <tr r="J1164" s="5"/>
      </tp>
      <tp t="s">
        <v/>
        <stp/>
        <stp>2427126288M17:LstDate</stp>
        <tr r="J1052" s="5"/>
      </tp>
      <tp t="s">
        <v/>
        <stp/>
        <stp>2427026287M16:LstDate</stp>
        <tr r="J1165" s="5"/>
      </tp>
      <tp t="s">
        <v/>
        <stp/>
        <stp>2427126288M16:LstDate</stp>
        <tr r="J1051" s="5"/>
      </tp>
      <tp t="s">
        <v/>
        <stp/>
        <stp>2427026287M17:LstDate</stp>
        <tr r="J1166" s="5"/>
      </tp>
      <tp t="s">
        <v/>
        <stp/>
        <stp>2427126288M11:LstDate</stp>
        <tr r="J1046" s="5"/>
      </tp>
      <tp t="s">
        <v/>
        <stp/>
        <stp>2427026287M10:LstDate</stp>
        <tr r="J1159" s="5"/>
      </tp>
      <tp t="s">
        <v/>
        <stp/>
        <stp>2427126288M10:LstDate</stp>
        <tr r="J1045" s="5"/>
      </tp>
      <tp t="s">
        <v/>
        <stp/>
        <stp>2427026287M11:LstDate</stp>
        <tr r="J1160" s="5"/>
      </tp>
      <tp t="s">
        <v/>
        <stp/>
        <stp>2427126288M13:LstDate</stp>
        <tr r="J1048" s="5"/>
      </tp>
      <tp t="s">
        <v/>
        <stp/>
        <stp>2427026287M12:LstDate</stp>
        <tr r="J1161" s="5"/>
      </tp>
      <tp t="s">
        <v/>
        <stp/>
        <stp>2427126288M12:LstDate</stp>
        <tr r="J1047" s="5"/>
      </tp>
      <tp t="s">
        <v/>
        <stp/>
        <stp>2427026287M13:LstDate</stp>
        <tr r="J1162" s="5"/>
      </tp>
      <tp t="s">
        <v/>
        <stp/>
        <stp>2427026287M24:LstDate</stp>
        <tr r="J1173" s="5"/>
      </tp>
      <tp t="s">
        <v/>
        <stp/>
        <stp>2427126288M24:LstDate</stp>
        <tr r="J1059" s="5"/>
      </tp>
      <tp t="s">
        <v/>
        <stp/>
        <stp>2427126288M21:LstDate</stp>
        <tr r="J1056" s="5"/>
      </tp>
      <tp t="s">
        <v/>
        <stp/>
        <stp>2427026287M20:LstDate</stp>
        <tr r="J1169" s="5"/>
      </tp>
      <tp t="s">
        <v/>
        <stp/>
        <stp>2427126288M20:LstDate</stp>
        <tr r="J1055" s="5"/>
      </tp>
      <tp t="s">
        <v/>
        <stp/>
        <stp>2427026287M21:LstDate</stp>
        <tr r="J1170" s="5"/>
      </tp>
      <tp t="s">
        <v/>
        <stp/>
        <stp>2427126288M23:LstDate</stp>
        <tr r="J1058" s="5"/>
      </tp>
      <tp t="s">
        <v/>
        <stp/>
        <stp>2427026287M22:LstDate</stp>
        <tr r="J1171" s="5"/>
      </tp>
      <tp t="s">
        <v/>
        <stp/>
        <stp>2427126288M22:LstDate</stp>
        <tr r="J1057" s="5"/>
      </tp>
      <tp t="s">
        <v/>
        <stp/>
        <stp>2427026287M23:LstDate</stp>
        <tr r="J1172" s="5"/>
      </tp>
      <tp t="s">
        <v/>
        <stp/>
        <stp>30793693M3:LstPrc</stp>
        <tr r="I886" s="5"/>
      </tp>
      <tp t="s">
        <v/>
        <stp/>
        <stp>30793693M2:LstPrc</stp>
        <tr r="I885" s="5"/>
      </tp>
      <tp>
        <v>39.5</v>
        <stp/>
        <stp>30793693M1:LstPrc</stp>
        <tr r="I884" s="5"/>
      </tp>
      <tp t="s">
        <v/>
        <stp/>
        <stp>30793693M0:LstPrc</stp>
        <tr r="I883" s="5"/>
      </tp>
      <tp t="s">
        <v/>
        <stp/>
        <stp>30793693M7:LstPrc</stp>
        <tr r="I890" s="5"/>
      </tp>
      <tp t="s">
        <v/>
        <stp/>
        <stp>30793693M6:LstPrc</stp>
        <tr r="I889" s="5"/>
      </tp>
      <tp t="s">
        <v/>
        <stp/>
        <stp>30793693M5:LstPrc</stp>
        <tr r="I888" s="5"/>
      </tp>
      <tp t="s">
        <v/>
        <stp/>
        <stp>30793693M4:LstPrc</stp>
        <tr r="I887" s="5"/>
      </tp>
      <tp t="s">
        <v/>
        <stp/>
        <stp>30793693M9:LstPrc</stp>
        <tr r="I892" s="5"/>
      </tp>
      <tp t="s">
        <v/>
        <stp/>
        <stp>30793693M8:LstPrc</stp>
        <tr r="I891" s="5"/>
      </tp>
      <tp t="s">
        <v/>
        <stp/>
        <stp>30793693Q3:LstPrc</stp>
        <tr r="I911" s="5"/>
      </tp>
      <tp t="s">
        <v/>
        <stp/>
        <stp>30793693Q2:LstPrc</stp>
        <tr r="I910" s="5"/>
      </tp>
      <tp t="s">
        <v/>
        <stp/>
        <stp>30793693Q1:LstPrc</stp>
        <tr r="I909" s="5"/>
      </tp>
      <tp t="s">
        <v/>
        <stp/>
        <stp>30793693Q0:LstPrc</stp>
        <tr r="I908" s="5"/>
      </tp>
      <tp t="s">
        <v/>
        <stp/>
        <stp>30793693Q7:LstPrc</stp>
        <tr r="I915" s="5"/>
      </tp>
      <tp t="s">
        <v/>
        <stp/>
        <stp>30793693Q6:LstPrc</stp>
        <tr r="I914" s="5"/>
      </tp>
      <tp t="s">
        <v/>
        <stp/>
        <stp>30793693Q5:LstPrc</stp>
        <tr r="I913" s="5"/>
      </tp>
      <tp t="s">
        <v/>
        <stp/>
        <stp>30793693Q4:LstPrc</stp>
        <tr r="I912" s="5"/>
      </tp>
      <tp t="s">
        <v/>
        <stp/>
        <stp>30793693Q8:LstPrc</stp>
        <tr r="I916" s="5"/>
      </tp>
      <tp t="s">
        <v/>
        <stp/>
        <stp>30793693Y2:LstPrc</stp>
        <tr r="I919" s="5"/>
      </tp>
      <tp t="s">
        <v/>
        <stp/>
        <stp>30793693Y1:LstPrc</stp>
        <tr r="I918" s="5"/>
      </tp>
      <tp t="s">
        <v/>
        <stp/>
        <stp>30793693Y0:LstPrc</stp>
        <tr r="I917" s="5"/>
      </tp>
    </main>
    <main first="bofaddin.rtdserver">
      <tp t="s">
        <v>#N/A Real Time</v>
        <stp/>
        <stp>BDP|8916743549368597758|22</stp>
        <stp>COV6C 130.00 Comdty</stp>
        <stp>GAMMA_MID_RT</stp>
        <tr r="D73" s="23"/>
        <tr r="D82" s="23"/>
        <tr r="D52" s="23"/>
        <tr r="D54" s="23"/>
      </tp>
    </main>
    <main first="ice.rtd">
      <tp t="s">
        <v/>
        <stp/>
        <stp>5162M19:LstPrc</stp>
        <tr r="I788" s="5"/>
      </tp>
      <tp t="s">
        <v/>
        <stp/>
        <stp>5162M18:LstPrc</stp>
        <tr r="I787" s="5"/>
      </tp>
      <tp t="s">
        <v/>
        <stp/>
        <stp>5162M13:LstPrc</stp>
        <tr r="I782" s="5"/>
      </tp>
      <tp t="s">
        <v/>
        <stp/>
        <stp>5162M12:LstPrc</stp>
        <tr r="I781" s="5"/>
      </tp>
      <tp t="s">
        <v/>
        <stp/>
        <stp>5162M11:LstPrc</stp>
        <tr r="I780" s="5"/>
      </tp>
      <tp t="s">
        <v/>
        <stp/>
        <stp>5162M10:LstPrc</stp>
        <tr r="I779" s="5"/>
      </tp>
      <tp t="s">
        <v/>
        <stp/>
        <stp>5162M17:LstPrc</stp>
        <tr r="I786" s="5"/>
      </tp>
      <tp t="s">
        <v/>
        <stp/>
        <stp>5162M16:LstPrc</stp>
        <tr r="I785" s="5"/>
      </tp>
      <tp t="s">
        <v/>
        <stp/>
        <stp>5162M15:LstPrc</stp>
        <tr r="I784" s="5"/>
      </tp>
      <tp t="s">
        <v/>
        <stp/>
        <stp>5162M14:LstPrc</stp>
        <tr r="I783" s="5"/>
      </tp>
      <tp t="s">
        <v/>
        <stp/>
        <stp>5162M23:LstPrc</stp>
        <tr r="I792" s="5"/>
      </tp>
      <tp t="s">
        <v/>
        <stp/>
        <stp>5162M22:LstPrc</stp>
        <tr r="I791" s="5"/>
      </tp>
      <tp t="s">
        <v/>
        <stp/>
        <stp>5162M21:LstPrc</stp>
        <tr r="I790" s="5"/>
      </tp>
      <tp t="s">
        <v/>
        <stp/>
        <stp>5162M20:LstPrc</stp>
        <tr r="I789" s="5"/>
      </tp>
      <tp t="s">
        <v/>
        <stp/>
        <stp>5162M24:LstPrc</stp>
        <tr r="I793" s="5"/>
      </tp>
      <tp>
        <v>15</v>
        <stp/>
        <stp>30793693M23:Settle</stp>
        <tr r="U906" s="5"/>
      </tp>
      <tp>
        <v>15.25</v>
        <stp/>
        <stp>30793693M22:Settle</stp>
        <tr r="U905" s="5"/>
      </tp>
      <tp>
        <v>15.5</v>
        <stp/>
        <stp>30793693M21:Settle</stp>
        <tr r="U904" s="5"/>
      </tp>
      <tp>
        <v>16</v>
        <stp/>
        <stp>30793693M20:Settle</stp>
        <tr r="U903" s="5"/>
      </tp>
      <tp>
        <v>15</v>
        <stp/>
        <stp>30793693M24:Settle</stp>
        <tr r="U907" s="5"/>
      </tp>
      <tp>
        <v>17.25</v>
        <stp/>
        <stp>30793693M13:Settle</stp>
        <tr r="U896" s="5"/>
      </tp>
      <tp>
        <v>18</v>
        <stp/>
        <stp>30793693M12:Settle</stp>
        <tr r="U895" s="5"/>
      </tp>
      <tp>
        <v>18.75</v>
        <stp/>
        <stp>30793693M11:Settle</stp>
        <tr r="U894" s="5"/>
      </tp>
      <tp>
        <v>19.75</v>
        <stp/>
        <stp>30793693M10:Settle</stp>
        <tr r="U893" s="5"/>
      </tp>
      <tp>
        <v>17</v>
        <stp/>
        <stp>30793693M17:Settle</stp>
        <tr r="U900" s="5"/>
      </tp>
      <tp>
        <v>17.25</v>
        <stp/>
        <stp>30793693M16:Settle</stp>
        <tr r="U899" s="5"/>
      </tp>
      <tp>
        <v>17.25</v>
        <stp/>
        <stp>30793693M15:Settle</stp>
        <tr r="U898" s="5"/>
      </tp>
      <tp>
        <v>17.25</v>
        <stp/>
        <stp>30793693M14:Settle</stp>
        <tr r="U897" s="5"/>
      </tp>
      <tp>
        <v>16.5</v>
        <stp/>
        <stp>30793693M19:Settle</stp>
        <tr r="U902" s="5"/>
      </tp>
      <tp>
        <v>16.75</v>
        <stp/>
        <stp>30793693M18:Settle</stp>
        <tr r="U901" s="5"/>
      </tp>
      <tp t="s">
        <v/>
        <stp/>
        <stp>DBI1227MM18:LstBlkVol</stp>
        <tr r="L1669" s="5"/>
      </tp>
      <tp t="s">
        <v>Mar27</v>
        <stp/>
        <stp>1581618115M6:Strip</stp>
        <tr r="E465" s="5"/>
      </tp>
      <tp t="s">
        <v>Mar27</v>
        <stp/>
        <stp>1923422331M6:Strip</stp>
        <tr r="E1633" s="5"/>
      </tp>
      <tp t="s">
        <v>May27</v>
        <stp/>
        <stp>30793693M8:Strip</stp>
        <tr r="E891" s="5"/>
      </tp>
      <tp t="s">
        <v>Q4 28</v>
        <stp/>
        <stp>30793693Q8:Strip</stp>
        <tr r="E916" s="5"/>
      </tp>
      <tp t="s">
        <v>Apr27</v>
        <stp/>
        <stp>41787896M7:Strip</stp>
        <tr r="E814" s="5"/>
      </tp>
      <tp t="s">
        <v>Q3 28</v>
        <stp/>
        <stp>41787896Q7:Strip</stp>
        <tr r="E839" s="5"/>
      </tp>
      <tp t="s">
        <v>Apr27</v>
        <stp/>
        <stp>41767893M7:Strip</stp>
        <tr r="E487" s="5"/>
      </tp>
      <tp t="s">
        <v>Q3 28</v>
        <stp/>
        <stp>41767893Q7:Strip</stp>
        <tr r="E512" s="5"/>
      </tp>
      <tp t="s">
        <v>Bal Month Trade Month</v>
        <stp/>
        <stp>3126131030B0:Strip</stp>
        <tr r="E1746" s="5"/>
      </tp>
      <tp t="s">
        <v>Q2 27</v>
        <stp/>
        <stp>3124331018Q2:Strip</stp>
        <tr r="E1622" s="5"/>
      </tp>
      <tp t="s">
        <v>Nov26</v>
        <stp/>
        <stp>3124331018M2:Strip</stp>
        <tr r="E1607" s="5"/>
      </tp>
      <tp t="s">
        <v>Feb27</v>
        <stp/>
        <stp>32623993M5:Strip</stp>
        <tr r="E1995" s="5"/>
      </tp>
      <tp t="s">
        <v>Q1 28</v>
        <stp/>
        <stp>32623993Q5:Strip</stp>
        <tr r="E2020" s="5"/>
      </tp>
      <tp t="s">
        <v>Feb27</v>
        <stp/>
        <stp>32613992M5:Strip</stp>
        <tr r="E1230" s="5"/>
      </tp>
      <tp t="s">
        <v>Q1 28</v>
        <stp/>
        <stp>32613992Q5:Strip</stp>
        <tr r="E1255" s="5"/>
      </tp>
      <tp t="s">
        <v>Q1 28</v>
        <stp/>
        <stp>2755728678Q5:Strip</stp>
        <tr r="E1141" s="5"/>
      </tp>
      <tp t="s">
        <v>Feb27</v>
        <stp/>
        <stp>2755728678M5:Strip</stp>
        <tr r="E1116" s="5"/>
      </tp>
      <tp t="s">
        <v>Bal Month</v>
        <stp/>
        <stp>2323825599B0:Strip</stp>
        <tr r="E306" s="5"/>
      </tp>
      <tp t="s">
        <v>Oct26</v>
        <stp/>
        <stp>29243602M1:Strip</stp>
        <tr r="E747" s="5"/>
      </tp>
      <tp t="s">
        <v>Q1 27</v>
        <stp/>
        <stp>29243602Q1:Strip</stp>
        <tr r="E763" s="5"/>
      </tp>
      <tp t="s">
        <v>Q1 28</v>
        <stp/>
        <stp>2755828679Q5:Strip</stp>
        <tr r="E1027" s="5"/>
      </tp>
      <tp t="s">
        <v>Feb27</v>
        <stp/>
        <stp>2755828679M5:Strip</stp>
        <tr r="E1002" s="5"/>
      </tp>
      <tp t="s">
        <v>Jun27</v>
        <stp/>
        <stp>57179020M9:Strip</stp>
        <tr r="E1556" s="5"/>
      </tp>
      <tp t="s">
        <v>Q4 26</v>
        <stp/>
        <stp>1986823075Q0:Strip</stp>
        <tr r="E142" s="5"/>
      </tp>
      <tp t="s">
        <v>Cal 27</v>
        <stp/>
        <stp>1986823075Y0:Strip</stp>
        <tr r="E151" s="5"/>
      </tp>
      <tp t="s">
        <v>Sep26</v>
        <stp/>
        <stp>1986823075M0:Strip</stp>
        <tr r="E117" s="5"/>
      </tp>
      <tp t="s">
        <v>Sep26</v>
        <stp/>
        <stp>18871685M0:Strip</stp>
        <tr r="E421" s="5"/>
      </tp>
      <tp t="s">
        <v>Q4 26</v>
        <stp/>
        <stp>18871685Q0:Strip</stp>
        <tr r="E446" s="5"/>
      </tp>
      <tp t="s">
        <v>Cal 27</v>
        <stp/>
        <stp>18871685Y0:Strip</stp>
        <tr r="E455" s="5"/>
      </tp>
      <tp t="s">
        <v>Nov9-Nov13 (Jan)</v>
        <stp/>
        <stp>15141311T8:Strip</stp>
        <tr r="E1536" s="5"/>
      </tp>
      <tp t="s">
        <v>Sep26</v>
        <stp/>
        <stp>18851683M0:Strip</stp>
        <tr r="E193" s="5"/>
      </tp>
      <tp t="s">
        <v>Q4 26</v>
        <stp/>
        <stp>18851683Q0:Strip</stp>
        <tr r="E218" s="5"/>
      </tp>
      <tp t="s">
        <v>Cal 27</v>
        <stp/>
        <stp>18851683Y0:Strip</stp>
        <tr r="E227" s="5"/>
      </tp>
      <tp t="s">
        <v>Q4 26</v>
        <stp/>
        <stp>1986923076Q0:Strip</stp>
        <tr r="E180" s="5"/>
      </tp>
      <tp t="s">
        <v>Cal 27</v>
        <stp/>
        <stp>1986923076Y0:Strip</stp>
        <tr r="E189" s="5"/>
      </tp>
      <tp t="s">
        <v>Sep26</v>
        <stp/>
        <stp>1986923076M0:Strip</stp>
        <tr r="E155" s="5"/>
      </tp>
      <tp t="s">
        <v>May27</v>
        <stp/>
        <stp>15091310M8:Strip</stp>
        <tr r="E1385" s="5"/>
      </tp>
      <tp t="s">
        <v>Q4 28</v>
        <stp/>
        <stp>15091310Q8:Strip</stp>
        <tr r="E1410" s="5"/>
      </tp>
      <tp t="s">
        <v>May27</v>
        <stp/>
        <stp>30813691M8:Strip</stp>
        <tr r="E1961" s="5"/>
      </tp>
      <tp t="s">
        <v>Q4 28</v>
        <stp/>
        <stp>30813691Q8:Strip</stp>
        <tr r="E1986" s="5"/>
      </tp>
      <tp t="s">
        <v>Sep26</v>
        <stp/>
        <stp>18901687M0:Strip</stp>
        <tr r="E307" s="5"/>
      </tp>
      <tp t="s">
        <v>Q4 26</v>
        <stp/>
        <stp>18901687Q0:Strip</stp>
        <tr r="E332" s="5"/>
      </tp>
      <tp t="s">
        <v>Cal 27</v>
        <stp/>
        <stp>18901687Y0:Strip</stp>
        <tr r="E341" s="5"/>
      </tp>
      <tp t="s">
        <v>May27</v>
        <stp/>
        <stp>2044823525M7:Strip</stp>
        <tr r="E1754" s="5"/>
      </tp>
      <tp t="s">
        <v>Bal Month</v>
        <stp/>
        <stp>2323325594B0:Strip</stp>
        <tr r="E958" s="5"/>
      </tp>
      <tp t="s">
        <v>Jun27</v>
        <stp/>
        <stp>57409036M9:Strip</stp>
        <tr r="E240" s="5"/>
      </tp>
      <tp t="s">
        <v>Q3 27</v>
        <stp/>
        <stp>2427026287Q3:Strip</stp>
        <tr r="E1177" s="5"/>
      </tp>
      <tp t="s">
        <v>Dec26</v>
        <stp/>
        <stp>2427026287M3:Strip</stp>
        <tr r="E1152" s="5"/>
      </tp>
      <tp t="s">
        <v>Jun27</v>
        <stp/>
        <stp>46678127M9:Strip</stp>
        <tr r="E354" s="5"/>
      </tp>
      <tp t="s">
        <v>Q3 27</v>
        <stp/>
        <stp>2427126288Q3:Strip</stp>
        <tr r="E1063" s="5"/>
      </tp>
      <tp t="s">
        <v>Dec26</v>
        <stp/>
        <stp>2427126288M3:Strip</stp>
        <tr r="E1038" s="5"/>
      </tp>
    </main>
    <main first="bofaddin.rtdserver">
      <tp t="s">
        <v>#N/A</v>
        <stp/>
        <stp>BDP|3950031710737164930|222</stp>
        <stp>MUCJ8K8 Comdty</stp>
        <stp>BID</stp>
        <stp>Fill=#N/A</stp>
        <tr r="S39" s="1"/>
      </tp>
    </main>
    <main first="ice.rtd">
      <tp t="s">
        <v/>
        <stp/>
        <stp>2323825599B0:LstPrc</stp>
        <tr r="I306" s="5"/>
      </tp>
      <tp t="s">
        <v>Oct26/Jul27</v>
        <stp/>
        <stp>15061297MM14:Strip</stp>
        <tr r="E1697" s="5"/>
      </tp>
      <tp t="s">
        <v>Dec26/Feb27</v>
        <stp/>
        <stp>15061297MM24:Strip</stp>
        <tr r="E1707" s="5"/>
      </tp>
      <tp t="s">
        <v/>
        <stp/>
        <stp>2185324625B0:LstPrc</stp>
        <tr r="I78" s="5"/>
      </tp>
      <tp t="s">
        <v/>
        <stp/>
        <stp>2326325624B0:LstPrc</stp>
        <tr r="I806" s="5"/>
      </tp>
    </main>
    <main first="esrtd">
      <tp t="s">
        <v/>
        <stp/>
        <stp>TDL C2!-IEU</stp>
        <stp>Last Trade Time</stp>
        <tr r="J1847" s="5"/>
      </tp>
    </main>
    <main first="ice.rtd">
      <tp t="s">
        <v/>
        <stp/>
        <stp>2505226937B0:LstPrc</stp>
        <tr r="I768" s="5"/>
      </tp>
    </main>
    <main first="bofaddin.rtdserver">
      <tp t="s">
        <v>#N/A Requesting Data...4182063112</v>
        <stp/>
        <stp>BDP|5145412589078695353</stp>
        <tr r="AM115" s="23"/>
      </tp>
      <tp t="s">
        <v>#N/A N/A</v>
        <stp/>
        <stp>BDH|5906749280580395845</stp>
        <tr r="H83" s="16"/>
      </tp>
      <tp t="s">
        <v>#N/A N/A</v>
        <stp/>
        <stp>BDH|3130432409442228723</stp>
        <tr r="G80" s="16"/>
      </tp>
      <tp t="s">
        <v>#N/A N/A</v>
        <stp/>
        <stp>BDH|9077672088161717402</stp>
        <tr r="AV51" s="1"/>
      </tp>
      <tp t="s">
        <v>#N/A N/A</v>
        <stp/>
        <stp>BDH|7042972063499525397</stp>
        <tr r="H34" s="16"/>
      </tp>
      <tp t="s">
        <v>#N/A N/A</v>
        <stp/>
        <stp>BDH|5861207555676506615</stp>
        <tr r="AV64" s="1"/>
      </tp>
      <tp t="s">
        <v>#N/A N/A</v>
        <stp/>
        <stp>BDH|5776172219003989491</stp>
        <tr r="N90" s="16"/>
      </tp>
      <tp t="s">
        <v>#N/A Requesting Data...4083218356</v>
        <stp/>
        <stp>BDP|3805842141019574464</stp>
        <tr r="AM121" s="23"/>
      </tp>
      <tp t="s">
        <v>#N/A Requesting Data...3966228785</v>
        <stp/>
        <stp>BDP|2736532798538329414</stp>
        <tr r="E12" s="23"/>
      </tp>
      <tp t="s">
        <v>#N/A Requesting Data...3937771978</v>
        <stp/>
        <stp>BDP|5233110063703837360</stp>
        <tr r="D36" s="23"/>
        <tr r="D77" s="23"/>
      </tp>
      <tp t="s">
        <v>#N/A N/A</v>
        <stp/>
        <stp>BDH|5339154350674909719</stp>
        <tr r="J42" s="16"/>
      </tp>
      <tp t="s">
        <v>#N/A N/A</v>
        <stp/>
        <stp>BDH|7788094800257358230</stp>
        <tr r="AW63" s="1"/>
      </tp>
      <tp t="s">
        <v>#N/A N/A</v>
        <stp/>
        <stp>BDH|7845910722139665721</stp>
        <tr r="L93" s="16"/>
      </tp>
      <tp t="s">
        <v>#N/A N/A</v>
        <stp/>
        <stp>BDH|4531419470546896333</stp>
        <tr r="I94" s="16"/>
      </tp>
      <tp t="s">
        <v>#N/A N/A</v>
        <stp/>
        <stp>BDH|3356364058567346025</stp>
        <tr r="BA61" s="1"/>
        <tr r="BA61" s="1"/>
      </tp>
      <tp t="s">
        <v>#N/A N/A</v>
        <stp/>
        <stp>BDH|5132982015499423640</stp>
        <tr r="AW27" s="1"/>
      </tp>
      <tp t="s">
        <v>#N/A N/A</v>
        <stp/>
        <stp>BDH|2284347740254246383</stp>
        <tr r="AY39" s="1"/>
      </tp>
      <tp t="s">
        <v>#N/A N/A</v>
        <stp/>
        <stp>BDH|7952449969767024084</stp>
        <tr r="L57" s="16"/>
      </tp>
      <tp t="s">
        <v>#N/A N/A</v>
        <stp/>
        <stp>BDH|4190806326045350986</stp>
        <tr r="H80" s="16"/>
      </tp>
      <tp t="s">
        <v>#N/A Requesting Data...4066151611</v>
        <stp/>
        <stp>BDP|3036302818394552701</stp>
        <tr r="AF199" s="23"/>
      </tp>
      <tp t="s">
        <v>#N/A N/A</v>
        <stp/>
        <stp>BDH|4268410618046354557</stp>
        <tr r="D44" s="14"/>
      </tp>
      <tp t="s">
        <v>#N/A N/A</v>
        <stp/>
        <stp>BDH|8425296765837231974</stp>
        <tr r="L63" s="16"/>
      </tp>
      <tp t="s">
        <v>#N/A Requesting Data...4146573781</v>
        <stp/>
        <stp>BDP|4940507203767933410</stp>
        <tr r="AF184" s="23"/>
      </tp>
      <tp t="s">
        <v>#N/A N/A</v>
        <stp/>
        <stp>BDH|7620732441382226443</stp>
        <tr r="AV42" s="1"/>
      </tp>
      <tp t="s">
        <v>#N/A N/A</v>
        <stp/>
        <stp>BDH|4172816733739233433</stp>
        <tr r="BC42" s="1"/>
        <tr r="BC42" s="1"/>
      </tp>
      <tp t="s">
        <v>#N/A N/A</v>
        <stp/>
        <stp>BDH|4524979914057137950</stp>
        <tr r="AW41" s="1"/>
      </tp>
      <tp t="s">
        <v>#N/A N/A</v>
        <stp/>
        <stp>BDH|6894491111833254208</stp>
        <tr r="D13" s="14"/>
        <tr r="J40" s="14"/>
      </tp>
      <tp t="s">
        <v>#N/A N/A</v>
        <stp/>
        <stp>BDH|9669217887710240127</stp>
        <tr r="AY48" s="1"/>
      </tp>
      <tp t="s">
        <v>#N/A N/A</v>
        <stp/>
        <stp>BDH|6715738253562149463</stp>
        <tr r="K53" s="16"/>
      </tp>
    </main>
    <main first="ice.rtd">
      <tp>
        <v>20</v>
        <stp/>
        <stp>2326525626B0:BlkVol</stp>
        <tr r="O420" s="5"/>
      </tp>
    </main>
    <main first="bofaddin.rtdserver">
      <tp t="s">
        <v>#N/A N/A</v>
        <stp/>
        <stp>BDH|4289406146005380367</stp>
        <tr r="I22" s="14"/>
      </tp>
      <tp t="s">
        <v>#N/A N/A</v>
        <stp/>
        <stp>BDH|5904415114460433291</stp>
        <tr r="C25" s="14"/>
        <tr r="I48" s="14"/>
      </tp>
      <tp t="s">
        <v>#N/A N/A</v>
        <stp/>
        <stp>BDH|1085449509174519394</stp>
        <tr r="BA48" s="1"/>
        <tr r="BA48" s="1"/>
      </tp>
      <tp t="b">
        <v>0</v>
        <stp/>
        <stp>BDH|7662269179260160090</stp>
        <tr r="P23" s="25"/>
        <tr r="P23" s="25"/>
      </tp>
      <tp t="s">
        <v>#N/A N/A</v>
        <stp/>
        <stp>BDH|5383466022786012763</stp>
        <tr r="AW52" s="1"/>
      </tp>
      <tp t="s">
        <v>#N/A N/A</v>
        <stp/>
        <stp>BDH|6384465803888475844</stp>
        <tr r="BC36" s="1"/>
        <tr r="BC36" s="1"/>
      </tp>
      <tp t="s">
        <v>#N/A N/A</v>
        <stp/>
        <stp>BDH|3594407243095871486</stp>
        <tr r="I35" s="16"/>
      </tp>
      <tp t="s">
        <v>#N/A Requesting Data...3912867015</v>
        <stp/>
        <stp>BDP|7637271550673675104</stp>
        <tr r="AF187" s="23"/>
      </tp>
      <tp t="s">
        <v>#N/A N/A</v>
        <stp/>
        <stp>BDH|5364331620242512425</stp>
        <tr r="L34" s="16"/>
      </tp>
      <tp t="s">
        <v>#N/A N/A</v>
        <stp/>
        <stp>BDH|4351934493791333773</stp>
        <tr r="BC65" s="1"/>
        <tr r="BC65" s="1"/>
      </tp>
      <tp t="s">
        <v>#N/A Requesting Data...4225917833</v>
        <stp/>
        <stp>BDP|8480238634172206957</stp>
        <tr r="AM189" s="23"/>
      </tp>
      <tp t="s">
        <v>#N/A N/A</v>
        <stp/>
        <stp>BDH|9546522167251644926</stp>
        <tr r="BA22" s="1"/>
      </tp>
      <tp t="b">
        <v>0</v>
        <stp/>
        <stp>BDH|8089696209944210871</stp>
        <tr r="E3" s="24"/>
      </tp>
      <tp t="s">
        <v>#N/A N/A</v>
        <stp/>
        <stp>BDH|3629946030193132869</stp>
        <tr r="J20" s="14"/>
      </tp>
      <tp>
        <v>242.69</v>
        <stp/>
        <stp>BDP|11676541381340119561|222</stp>
        <stp>XBV7 Comdty</stp>
        <stp>BID</stp>
        <stp>Fill=#N/A</stp>
        <tr r="J32" s="1"/>
      </tp>
      <tp t="s">
        <v>#N/A Invalid Security</v>
        <stp/>
        <stp>BDP|11617139230341752508|222</stp>
        <stp>CLZ9 Comdty</stp>
        <stp>ASK</stp>
        <stp>Fill=#N/A</stp>
        <tr r="F58" s="1"/>
      </tp>
      <tp>
        <v>291.63</v>
        <stp/>
        <stp>BDP|16131718707413018847|222</stp>
        <stp>HOZ8 Comdty</stp>
        <stp>BID</stp>
        <stp>Fill=#N/A</stp>
        <tr r="I46" s="1"/>
      </tp>
      <tp>
        <v>1347.75</v>
        <stp/>
        <stp>BDP|11730366106031561286|222</stp>
        <stp>QSV6 Comdty</stp>
        <stp>BID</stp>
        <stp>Fill=#N/A</stp>
        <tr r="H20" s="1"/>
      </tp>
      <tp>
        <v>74.48</v>
        <stp/>
        <stp>BDP|14307400933867765514|222</stp>
        <stp>COV8 Comdty</stp>
        <stp>ASK</stp>
        <stp>Fill=#N/A</stp>
        <tr r="G44" s="1"/>
      </tp>
      <tp>
        <v>6.6086229999999997</v>
        <stp/>
        <stp>BFXFORWARD|12767942312759292940|222</stp>
        <stp>USDCNY</stp>
        <stp>10M</stp>
        <stp>MidOutright</stp>
        <tr r="BD30" s="1"/>
      </tp>
    </main>
    <main first="ice.rtd">
      <tp t="s">
        <v>Invalid Market: 2044823525M18</v>
        <stp/>
        <stp>2044823525M18:LstDate</stp>
        <tr r="J1765" s="5"/>
      </tp>
      <tp t="s">
        <v>Invalid Market: 2044823525M19</v>
        <stp/>
        <stp>2044823525M19:LstDate</stp>
        <tr r="J1766" s="5"/>
      </tp>
      <tp t="s">
        <v>Invalid Market: 2044823525M16</v>
        <stp/>
        <stp>2044823525M16:LstDate</stp>
        <tr r="J1763" s="5"/>
      </tp>
      <tp t="s">
        <v>Invalid Market: 2044823525M17</v>
        <stp/>
        <stp>2044823525M17:LstDate</stp>
        <tr r="J1764" s="5"/>
      </tp>
      <tp t="s">
        <v/>
        <stp/>
        <stp>2044823525M14:LstDate</stp>
        <tr r="J1761" s="5"/>
      </tp>
      <tp t="s">
        <v>Invalid Market: 2044823525M15</v>
        <stp/>
        <stp>2044823525M15:LstDate</stp>
        <tr r="J1762" s="5"/>
      </tp>
      <tp t="s">
        <v/>
        <stp/>
        <stp>2044823525M12:LstDate</stp>
        <tr r="J1759" s="5"/>
      </tp>
      <tp t="s">
        <v/>
        <stp/>
        <stp>2044823525M13:LstDate</stp>
        <tr r="J1760" s="5"/>
      </tp>
      <tp t="s">
        <v/>
        <stp/>
        <stp>2044823525M10:LstDate</stp>
        <tr r="J1757" s="5"/>
      </tp>
      <tp t="s">
        <v/>
        <stp/>
        <stp>2044823525M11:LstDate</stp>
        <tr r="J1758" s="5"/>
      </tp>
      <tp t="s">
        <v>Invalid Market: 2044823525M22</v>
        <stp/>
        <stp>2044823525M22:LstDate</stp>
        <tr r="J1769" s="5"/>
      </tp>
      <tp t="s">
        <v>Invalid Market: 2044823525M20</v>
        <stp/>
        <stp>2044823525M20:LstDate</stp>
        <tr r="J1767" s="5"/>
      </tp>
      <tp t="s">
        <v>Invalid Market: 2044823525M21</v>
        <stp/>
        <stp>2044823525M21:LstDate</stp>
        <tr r="J1768" s="5"/>
      </tp>
      <tp t="s">
        <v/>
        <stp/>
        <stp>34404098M1:LstPrc</stp>
        <tr r="I595" s="5"/>
      </tp>
      <tp t="s">
        <v/>
        <stp/>
        <stp>34414099M1:LstPrc</stp>
        <tr r="I80" s="5"/>
      </tp>
      <tp t="s">
        <v/>
        <stp/>
        <stp>34404098M0:LstPrc</stp>
        <tr r="I594" s="5"/>
      </tp>
      <tp t="s">
        <v/>
        <stp/>
        <stp>34414099M0:LstPrc</stp>
        <tr r="I79" s="5"/>
      </tp>
      <tp t="s">
        <v/>
        <stp/>
        <stp>34404098M3:LstPrc</stp>
        <tr r="I597" s="5"/>
      </tp>
      <tp t="s">
        <v/>
        <stp/>
        <stp>34414099M3:LstPrc</stp>
        <tr r="I82" s="5"/>
      </tp>
      <tp t="s">
        <v/>
        <stp/>
        <stp>34404098M2:LstPrc</stp>
        <tr r="I596" s="5"/>
      </tp>
      <tp t="s">
        <v/>
        <stp/>
        <stp>34414099M2:LstPrc</stp>
        <tr r="I81" s="5"/>
      </tp>
      <tp t="s">
        <v/>
        <stp/>
        <stp>34404098M5:LstPrc</stp>
        <tr r="I599" s="5"/>
      </tp>
      <tp t="s">
        <v/>
        <stp/>
        <stp>34414099M5:LstPrc</stp>
        <tr r="I84" s="5"/>
      </tp>
      <tp t="s">
        <v/>
        <stp/>
        <stp>34404098M4:LstPrc</stp>
        <tr r="I598" s="5"/>
      </tp>
      <tp t="s">
        <v/>
        <stp/>
        <stp>34414099M4:LstPrc</stp>
        <tr r="I83" s="5"/>
      </tp>
      <tp t="s">
        <v/>
        <stp/>
        <stp>34404098M7:LstPrc</stp>
        <tr r="I601" s="5"/>
      </tp>
      <tp t="s">
        <v/>
        <stp/>
        <stp>34414099M7:LstPrc</stp>
        <tr r="I86" s="5"/>
      </tp>
      <tp t="s">
        <v/>
        <stp/>
        <stp>34404098M6:LstPrc</stp>
        <tr r="I600" s="5"/>
      </tp>
      <tp t="s">
        <v/>
        <stp/>
        <stp>34414099M6:LstPrc</stp>
        <tr r="I85" s="5"/>
      </tp>
      <tp t="s">
        <v/>
        <stp/>
        <stp>34404098M9:LstPrc</stp>
        <tr r="I603" s="5"/>
      </tp>
      <tp t="s">
        <v/>
        <stp/>
        <stp>34414099M9:LstPrc</stp>
        <tr r="I88" s="5"/>
      </tp>
      <tp t="s">
        <v/>
        <stp/>
        <stp>34404098M8:LstPrc</stp>
        <tr r="I602" s="5"/>
      </tp>
      <tp t="s">
        <v/>
        <stp/>
        <stp>34414099M8:LstPrc</stp>
        <tr r="I87" s="5"/>
      </tp>
      <tp t="s">
        <v/>
        <stp/>
        <stp>34404098Q1:LstPrc</stp>
        <tr r="I620" s="5"/>
      </tp>
      <tp t="s">
        <v/>
        <stp/>
        <stp>34414099Q1:LstPrc</stp>
        <tr r="I105" s="5"/>
      </tp>
      <tp t="s">
        <v/>
        <stp/>
        <stp>34404098Q0:LstPrc</stp>
        <tr r="I619" s="5"/>
      </tp>
      <tp t="s">
        <v/>
        <stp/>
        <stp>34414099Q0:LstPrc</stp>
        <tr r="I104" s="5"/>
      </tp>
      <tp t="s">
        <v/>
        <stp/>
        <stp>34404098Q3:LstPrc</stp>
        <tr r="I622" s="5"/>
      </tp>
      <tp t="s">
        <v/>
        <stp/>
        <stp>34414099Q3:LstPrc</stp>
        <tr r="I107" s="5"/>
      </tp>
      <tp t="s">
        <v/>
        <stp/>
        <stp>34404098Q2:LstPrc</stp>
        <tr r="I621" s="5"/>
      </tp>
      <tp t="s">
        <v/>
        <stp/>
        <stp>34414099Q2:LstPrc</stp>
        <tr r="I106" s="5"/>
      </tp>
      <tp t="s">
        <v/>
        <stp/>
        <stp>34404098Q5:LstPrc</stp>
        <tr r="I624" s="5"/>
      </tp>
      <tp t="s">
        <v/>
        <stp/>
        <stp>34414099Q5:LstPrc</stp>
        <tr r="I109" s="5"/>
      </tp>
      <tp t="s">
        <v/>
        <stp/>
        <stp>34404098Q4:LstPrc</stp>
        <tr r="I623" s="5"/>
      </tp>
      <tp t="s">
        <v/>
        <stp/>
        <stp>34414099Q4:LstPrc</stp>
        <tr r="I108" s="5"/>
      </tp>
      <tp t="s">
        <v/>
        <stp/>
        <stp>34404098Q7:LstPrc</stp>
        <tr r="I626" s="5"/>
      </tp>
      <tp t="s">
        <v/>
        <stp/>
        <stp>34414099Q7:LstPrc</stp>
        <tr r="I111" s="5"/>
      </tp>
      <tp t="s">
        <v/>
        <stp/>
        <stp>34404098Q6:LstPrc</stp>
        <tr r="I625" s="5"/>
      </tp>
      <tp t="s">
        <v/>
        <stp/>
        <stp>34414099Q6:LstPrc</stp>
        <tr r="I110" s="5"/>
      </tp>
      <tp t="s">
        <v/>
        <stp/>
        <stp>34404098Q8:LstPrc</stp>
        <tr r="I627" s="5"/>
      </tp>
      <tp t="s">
        <v/>
        <stp/>
        <stp>34414099Q8:LstPrc</stp>
        <tr r="I112" s="5"/>
      </tp>
      <tp t="s">
        <v/>
        <stp/>
        <stp>34404098Y1:LstPrc</stp>
        <tr r="I629" s="5"/>
      </tp>
      <tp t="s">
        <v/>
        <stp/>
        <stp>34414099Y1:LstPrc</stp>
        <tr r="I114" s="5"/>
      </tp>
      <tp t="s">
        <v/>
        <stp/>
        <stp>34404098Y0:LstPrc</stp>
        <tr r="I628" s="5"/>
      </tp>
      <tp t="s">
        <v/>
        <stp/>
        <stp>34414099Y0:LstPrc</stp>
        <tr r="I113" s="5"/>
      </tp>
      <tp t="s">
        <v>Invalid Market: 34404098Y2</v>
        <stp/>
        <stp>34404098Y2:LstPrc</stp>
        <tr r="I630" s="5"/>
      </tp>
      <tp t="s">
        <v/>
        <stp/>
        <stp>34414099Y2:LstPrc</stp>
        <tr r="I115" s="5"/>
      </tp>
      <tp>
        <v>0</v>
        <stp/>
        <stp>1517M13:BlkVol</stp>
        <tr r="O16" s="5"/>
      </tp>
      <tp>
        <v>0</v>
        <stp/>
        <stp>1517M12:BlkVol</stp>
        <tr r="O15" s="5"/>
      </tp>
      <tp>
        <v>0</v>
        <stp/>
        <stp>1517M11:BlkVol</stp>
        <tr r="O14" s="5"/>
      </tp>
      <tp>
        <v>0</v>
        <stp/>
        <stp>1517M10:BlkVol</stp>
        <tr r="O13" s="5"/>
      </tp>
      <tp>
        <v>0</v>
        <stp/>
        <stp>1517M17:BlkVol</stp>
        <tr r="O20" s="5"/>
      </tp>
      <tp>
        <v>0</v>
        <stp/>
        <stp>1517M16:BlkVol</stp>
        <tr r="O19" s="5"/>
      </tp>
      <tp>
        <v>0</v>
        <stp/>
        <stp>1517M15:BlkVol</stp>
        <tr r="O18" s="5"/>
      </tp>
      <tp>
        <v>0</v>
        <stp/>
        <stp>1517M14:BlkVol</stp>
        <tr r="O17" s="5"/>
      </tp>
      <tp>
        <v>0</v>
        <stp/>
        <stp>1517M19:BlkVol</stp>
        <tr r="O22" s="5"/>
      </tp>
      <tp>
        <v>0</v>
        <stp/>
        <stp>1517M18:BlkVol</stp>
        <tr r="O21" s="5"/>
      </tp>
      <tp>
        <v>0</v>
        <stp/>
        <stp>1517M23:BlkVol</stp>
        <tr r="O26" s="5"/>
      </tp>
      <tp>
        <v>0</v>
        <stp/>
        <stp>1517M22:BlkVol</stp>
        <tr r="O25" s="5"/>
      </tp>
      <tp>
        <v>0</v>
        <stp/>
        <stp>1517M21:BlkVol</stp>
        <tr r="O24" s="5"/>
      </tp>
      <tp>
        <v>0</v>
        <stp/>
        <stp>1517M20:BlkVol</stp>
        <tr r="O23" s="5"/>
      </tp>
      <tp>
        <v>0</v>
        <stp/>
        <stp>1517M24:BlkVol</stp>
        <tr r="O27" s="5"/>
      </tp>
      <tp>
        <v>0</v>
        <stp/>
        <stp>161913535MM9:BlkVol</stp>
        <tr r="O2036" s="5"/>
      </tp>
      <tp>
        <v>0</v>
        <stp/>
        <stp>161913535MM8:BlkVol</stp>
        <tr r="O2035" s="5"/>
      </tp>
      <tp>
        <v>0</v>
        <stp/>
        <stp>161913535MM1:BlkVol</stp>
        <tr r="O2028" s="5"/>
      </tp>
      <tp>
        <v>0</v>
        <stp/>
        <stp>161913535MM0:BlkVol</stp>
        <tr r="O2027" s="5"/>
      </tp>
      <tp>
        <v>0</v>
        <stp/>
        <stp>161913535MM3:BlkVol</stp>
        <tr r="O2030" s="5"/>
      </tp>
      <tp>
        <v>0</v>
        <stp/>
        <stp>161913535MM2:BlkVol</stp>
        <tr r="O2029" s="5"/>
      </tp>
      <tp>
        <v>0</v>
        <stp/>
        <stp>161913535MM5:BlkVol</stp>
        <tr r="O2032" s="5"/>
      </tp>
      <tp>
        <v>0</v>
        <stp/>
        <stp>161913535MM4:BlkVol</stp>
        <tr r="O2031" s="5"/>
      </tp>
      <tp>
        <v>0</v>
        <stp/>
        <stp>161913535MM7:BlkVol</stp>
        <tr r="O2034" s="5"/>
      </tp>
      <tp>
        <v>0</v>
        <stp/>
        <stp>161913535MM6:BlkVol</stp>
        <tr r="O2033" s="5"/>
      </tp>
      <tp>
        <v>0.68</v>
        <stp/>
        <stp>15091310M24:Settle</stp>
        <tr r="U1401" s="5"/>
      </tp>
      <tp>
        <v>0.67249999999999999</v>
        <stp/>
        <stp>15091310M20:Settle</stp>
        <tr r="U1397" s="5"/>
      </tp>
      <tp>
        <v>0.66874999999999996</v>
        <stp/>
        <stp>15091310M21:Settle</stp>
        <tr r="U1398" s="5"/>
      </tp>
      <tp>
        <v>0.66874999999999996</v>
        <stp/>
        <stp>15091310M22:Settle</stp>
        <tr r="U1399" s="5"/>
      </tp>
      <tp>
        <v>0.67374999999999996</v>
        <stp/>
        <stp>15091310M23:Settle</stp>
        <tr r="U1400" s="5"/>
      </tp>
      <tp>
        <v>0.71250000000000002</v>
        <stp/>
        <stp>15091310M18:Settle</stp>
        <tr r="U1395" s="5"/>
      </tp>
      <tp>
        <v>0.68624999999999992</v>
        <stp/>
        <stp>15091310M19:Settle</stp>
        <tr r="U1396" s="5"/>
      </tp>
      <tp>
        <v>0.73499999999999999</v>
        <stp/>
        <stp>15091310M14:Settle</stp>
        <tr r="U1391" s="5"/>
      </tp>
      <tp>
        <v>0.73875000000000002</v>
        <stp/>
        <stp>15091310M15:Settle</stp>
        <tr r="U1392" s="5"/>
      </tp>
      <tp>
        <v>0.74</v>
        <stp/>
        <stp>15091310M16:Settle</stp>
        <tr r="U1393" s="5"/>
      </tp>
      <tp>
        <v>0.73750000000000004</v>
        <stp/>
        <stp>15091310M17:Settle</stp>
        <tr r="U1394" s="5"/>
      </tp>
      <tp>
        <v>0.71124999999999994</v>
        <stp/>
        <stp>15091310M10:Settle</stp>
        <tr r="U1387" s="5"/>
      </tp>
      <tp>
        <v>0.71624999999999994</v>
        <stp/>
        <stp>15091310M11:Settle</stp>
        <tr r="U1388" s="5"/>
      </tp>
      <tp>
        <v>0.72250000000000003</v>
        <stp/>
        <stp>15091310M12:Settle</stp>
        <tr r="U1389" s="5"/>
      </tp>
      <tp>
        <v>0.73</v>
        <stp/>
        <stp>15091310M13:Settle</stp>
        <tr r="U1390" s="5"/>
      </tp>
    </main>
    <main first="ice.rtd">
      <tp t="s">
        <v>Invalid Market: 297449133BM0</v>
        <stp/>
        <stp>297449133BM0:BlkVol</stp>
        <tr r="O2026" s="5"/>
      </tp>
      <tp t="s">
        <v>Jun27</v>
        <stp/>
        <stp>34364094M9:Strip</stp>
        <tr r="E527" s="5"/>
      </tp>
      <tp t="s">
        <v>Jun27</v>
        <stp/>
        <stp>34374095M9:Strip</stp>
        <tr r="E565" s="5"/>
      </tp>
      <tp t="s">
        <v>Jun27</v>
        <stp/>
        <stp>34344092M9:Strip</stp>
        <tr r="E1272" s="5"/>
      </tp>
      <tp t="s">
        <v>Jun27</v>
        <stp/>
        <stp>34354093M9:Strip</stp>
        <tr r="E1310" s="5"/>
      </tp>
      <tp>
        <v>0</v>
        <stp/>
        <stp>161913535YY0:BlkVol</stp>
        <tr r="O2057" s="5"/>
      </tp>
      <tp t="s">
        <v>Feb27</v>
        <stp/>
        <stp>1581618115M5:Strip</stp>
        <tr r="E464" s="5"/>
      </tp>
      <tp t="s">
        <v>Feb27</v>
        <stp/>
        <stp>1923422331M5:Strip</stp>
        <tr r="E1632" s="5"/>
      </tp>
      <tp t="s">
        <v>Bal Month</v>
        <stp/>
        <stp>2180224575B0:Strip</stp>
        <tr r="E1224" s="5"/>
      </tp>
      <tp t="s">
        <v>Jan27</v>
        <stp/>
        <stp>41787896M4:Strip</stp>
        <tr r="E811" s="5"/>
      </tp>
      <tp t="s">
        <v>Q4 27</v>
        <stp/>
        <stp>41787896Q4:Strip</stp>
        <tr r="E836" s="5"/>
      </tp>
      <tp t="s">
        <v>Jan27</v>
        <stp/>
        <stp>41767893M4:Strip</stp>
        <tr r="E484" s="5"/>
      </tp>
      <tp t="s">
        <v>Q4 27</v>
        <stp/>
        <stp>41767893Q4:Strip</stp>
        <tr r="E509" s="5"/>
      </tp>
      <tp t="s">
        <v>Q1 27</v>
        <stp/>
        <stp>3124331018Q1:Strip</stp>
        <tr r="E1621" s="5"/>
      </tp>
      <tp t="s">
        <v>Oct26</v>
        <stp/>
        <stp>3124331018M1:Strip</stp>
        <tr r="E1606" s="5"/>
      </tp>
      <tp t="s">
        <v>Mar27</v>
        <stp/>
        <stp>32623993M6:Strip</stp>
        <tr r="E1996" s="5"/>
      </tp>
      <tp t="s">
        <v>Q2 28</v>
        <stp/>
        <stp>32623993Q6:Strip</stp>
        <tr r="E2021" s="5"/>
      </tp>
      <tp t="s">
        <v>Mar27</v>
        <stp/>
        <stp>32613992M6:Strip</stp>
        <tr r="E1231" s="5"/>
      </tp>
      <tp t="s">
        <v>Q2 28</v>
        <stp/>
        <stp>32613992Q6:Strip</stp>
        <tr r="E1256" s="5"/>
      </tp>
      <tp t="s">
        <v>Bal Month</v>
        <stp/>
        <stp>2183024603B0:Strip</stp>
        <tr r="E1625" s="5"/>
      </tp>
      <tp t="s">
        <v>Q2 28</v>
        <stp/>
        <stp>2755728678Q6:Strip</stp>
        <tr r="E1142" s="5"/>
      </tp>
      <tp t="s">
        <v>Mar27</v>
        <stp/>
        <stp>2755728678M6:Strip</stp>
        <tr r="E1117" s="5"/>
      </tp>
      <tp t="s">
        <v>Jun27</v>
        <stp/>
        <stp>34404098M9:Strip</stp>
        <tr r="E603" s="5"/>
      </tp>
      <tp t="s">
        <v>Jun27</v>
        <stp/>
        <stp>34414099M9:Strip</stp>
        <tr r="E88" s="5"/>
      </tp>
      <tp t="s">
        <v>Nov26</v>
        <stp/>
        <stp>29243602M2:Strip</stp>
        <tr r="E748" s="5"/>
      </tp>
      <tp t="s">
        <v>Q2 27</v>
        <stp/>
        <stp>29243602Q2:Strip</stp>
        <tr r="E764" s="5"/>
      </tp>
      <tp>
        <v>0</v>
        <stp/>
        <stp>161913535QQ1:BlkVol</stp>
        <tr r="O2056" s="5"/>
      </tp>
      <tp>
        <v>0</v>
        <stp/>
        <stp>161913535QQ0:BlkVol</stp>
        <tr r="O2055" s="5"/>
      </tp>
      <tp t="s">
        <v>Q2 28</v>
        <stp/>
        <stp>2755828679Q6:Strip</stp>
        <tr r="E1028" s="5"/>
      </tp>
      <tp t="s">
        <v>Mar27</v>
        <stp/>
        <stp>2755828679M6:Strip</stp>
        <tr r="E1003" s="5"/>
      </tp>
      <tp t="s">
        <v>Q3 27</v>
        <stp/>
        <stp>1986823075Q3:Strip</stp>
        <tr r="E145" s="5"/>
      </tp>
      <tp t="s">
        <v>Dec26</v>
        <stp/>
        <stp>1986823075M3:Strip</stp>
        <tr r="E120" s="5"/>
      </tp>
      <tp t="s">
        <v>Dec26</v>
        <stp/>
        <stp>18871685M3:Strip</stp>
        <tr r="E424" s="5"/>
      </tp>
      <tp t="s">
        <v>Q3 27</v>
        <stp/>
        <stp>18871685Q3:Strip</stp>
        <tr r="E449" s="5"/>
      </tp>
      <tp t="s">
        <v>Dec26</v>
        <stp/>
        <stp>18851683M3:Strip</stp>
        <tr r="E196" s="5"/>
      </tp>
      <tp t="s">
        <v>Q3 27</v>
        <stp/>
        <stp>18851683Q3:Strip</stp>
        <tr r="E221" s="5"/>
      </tp>
      <tp t="s">
        <v>Q3 27</v>
        <stp/>
        <stp>1986923076Q3:Strip</stp>
        <tr r="E183" s="5"/>
      </tp>
      <tp t="s">
        <v>Dec26</v>
        <stp/>
        <stp>1986923076M3:Strip</stp>
        <tr r="E158" s="5"/>
      </tp>
      <tp t="s">
        <v>Jun27</v>
        <stp/>
        <stp>35534143M9:Strip</stp>
        <tr r="E717" s="5"/>
      </tp>
      <tp t="s">
        <v>Jun27</v>
        <stp/>
        <stp>35544144M9:Strip</stp>
        <tr r="E641" s="5"/>
      </tp>
      <tp t="s">
        <v>Jun27</v>
        <stp/>
        <stp>35554145M9:Strip</stp>
        <tr r="E679" s="5"/>
      </tp>
      <tp t="s">
        <v>Dec26</v>
        <stp/>
        <stp>18901687M3:Strip</stp>
        <tr r="E310" s="5"/>
      </tp>
      <tp t="s">
        <v>Q3 27</v>
        <stp/>
        <stp>18901687Q3:Strip</stp>
        <tr r="E335" s="5"/>
      </tp>
      <tp t="s">
        <v>Q4 27</v>
        <stp/>
        <stp>2044823525Q4:Strip</stp>
        <tr r="E1774" s="5"/>
      </tp>
      <tp t="s">
        <v>Feb27</v>
        <stp/>
        <stp>2044823525M4:Strip</stp>
        <tr r="E1751" s="5"/>
      </tp>
      <tp t="s">
        <v>Cal 27</v>
        <stp/>
        <stp>2427026287Y0:Strip</stp>
        <tr r="E1183" s="5"/>
      </tp>
      <tp t="s">
        <v>Q4 26</v>
        <stp/>
        <stp>2427026287Q0:Strip</stp>
        <tr r="E1174" s="5"/>
      </tp>
      <tp t="s">
        <v>Sep26</v>
        <stp/>
        <stp>2427026287M0:Strip</stp>
        <tr r="E1149" s="5"/>
      </tp>
      <tp t="s">
        <v>Cal 27</v>
        <stp/>
        <stp>2427126288Y0:Strip</stp>
        <tr r="E1069" s="5"/>
      </tp>
      <tp t="s">
        <v>Q4 26</v>
        <stp/>
        <stp>2427126288Q0:Strip</stp>
        <tr r="E1060" s="5"/>
      </tp>
      <tp t="s">
        <v>Sep26</v>
        <stp/>
        <stp>2427126288M0:Strip</stp>
        <tr r="E1035" s="5"/>
      </tp>
      <tp t="s">
        <v>FOS</v>
        <stp/>
        <stp>266Q6:PCC</stp>
        <tr r="B952" s="5"/>
      </tp>
      <tp t="s">
        <v>FOS</v>
        <stp/>
        <stp>266Q7:PCC</stp>
        <tr r="B953" s="5"/>
      </tp>
      <tp t="s">
        <v>FOS</v>
        <stp/>
        <stp>266Q4:PCC</stp>
        <tr r="B950" s="5"/>
      </tp>
      <tp t="s">
        <v>FOS</v>
        <stp/>
        <stp>266Q5:PCC</stp>
        <tr r="B951" s="5"/>
      </tp>
      <tp t="s">
        <v>FOS</v>
        <stp/>
        <stp>266Q2:PCC</stp>
        <tr r="B948" s="5"/>
      </tp>
      <tp t="s">
        <v>FOS</v>
        <stp/>
        <stp>266Q3:PCC</stp>
        <tr r="B949" s="5"/>
      </tp>
      <tp t="s">
        <v>FOS</v>
        <stp/>
        <stp>266Q0:PCC</stp>
        <tr r="B946" s="5"/>
      </tp>
      <tp t="s">
        <v>FOS</v>
        <stp/>
        <stp>266Q1:PCC</stp>
        <tr r="B947" s="5"/>
      </tp>
      <tp t="s">
        <v>FOS</v>
        <stp/>
        <stp>266Q8:PCC</stp>
        <tr r="B954" s="5"/>
      </tp>
      <tp t="s">
        <v/>
        <stp/>
        <stp>2755728678Q8:LstPrc</stp>
        <tr r="I1144" s="5"/>
      </tp>
      <tp t="s">
        <v/>
        <stp/>
        <stp>2755728678Q7:LstPrc</stp>
        <tr r="I1143" s="5"/>
      </tp>
      <tp t="s">
        <v/>
        <stp/>
        <stp>2755728678Q6:LstPrc</stp>
        <tr r="I1142" s="5"/>
      </tp>
      <tp t="s">
        <v/>
        <stp/>
        <stp>2755728678Q5:LstPrc</stp>
        <tr r="I1141" s="5"/>
      </tp>
      <tp t="s">
        <v/>
        <stp/>
        <stp>2755728678Q4:LstPrc</stp>
        <tr r="I1140" s="5"/>
      </tp>
      <tp t="s">
        <v/>
        <stp/>
        <stp>2755728678Q3:LstPrc</stp>
        <tr r="I1139" s="5"/>
      </tp>
      <tp t="s">
        <v/>
        <stp/>
        <stp>2755728678Q2:LstPrc</stp>
        <tr r="I1138" s="5"/>
      </tp>
      <tp t="s">
        <v/>
        <stp/>
        <stp>2755728678Q1:LstPrc</stp>
        <tr r="I1137" s="5"/>
      </tp>
      <tp t="s">
        <v/>
        <stp/>
        <stp>2755728678Q0:LstPrc</stp>
        <tr r="I1136" s="5"/>
      </tp>
      <tp t="s">
        <v/>
        <stp/>
        <stp>2755728678Y2:LstPrc</stp>
        <tr r="I1147" s="5"/>
      </tp>
      <tp t="s">
        <v/>
        <stp/>
        <stp>2755728678Y1:LstPrc</stp>
        <tr r="I1146" s="5"/>
      </tp>
      <tp t="s">
        <v/>
        <stp/>
        <stp>2755728678Y0:LstPrc</stp>
        <tr r="I1145" s="5"/>
      </tp>
      <tp t="s">
        <v/>
        <stp/>
        <stp>2755728678M9:LstPrc</stp>
        <tr r="I1120" s="5"/>
      </tp>
      <tp t="s">
        <v/>
        <stp/>
        <stp>2755728678M8:LstPrc</stp>
        <tr r="I1119" s="5"/>
      </tp>
      <tp t="s">
        <v/>
        <stp/>
        <stp>2755728678M7:LstPrc</stp>
        <tr r="I1118" s="5"/>
      </tp>
      <tp t="s">
        <v/>
        <stp/>
        <stp>2755728678M6:LstPrc</stp>
        <tr r="I1117" s="5"/>
      </tp>
      <tp t="s">
        <v/>
        <stp/>
        <stp>2755728678M5:LstPrc</stp>
        <tr r="I1116" s="5"/>
      </tp>
      <tp t="s">
        <v/>
        <stp/>
        <stp>2755728678M4:LstPrc</stp>
        <tr r="I1115" s="5"/>
      </tp>
      <tp t="s">
        <v/>
        <stp/>
        <stp>2755728678M3:LstPrc</stp>
        <tr r="I1114" s="5"/>
      </tp>
      <tp t="s">
        <v/>
        <stp/>
        <stp>2755728678M2:LstPrc</stp>
        <tr r="I1113" s="5"/>
      </tp>
      <tp t="s">
        <v/>
        <stp/>
        <stp>2755728678M1:LstPrc</stp>
        <tr r="I1112" s="5"/>
      </tp>
      <tp t="s">
        <v/>
        <stp/>
        <stp>2755728678M0:LstPrc</stp>
        <tr r="I1111" s="5"/>
      </tp>
      <tp t="s">
        <v>SJS</v>
        <stp/>
        <stp>30793693Q4:PCC</stp>
        <tr r="B912" s="5"/>
      </tp>
      <tp t="s">
        <v>SJS</v>
        <stp/>
        <stp>30793693Q5:PCC</stp>
        <tr r="B913" s="5"/>
      </tp>
      <tp t="s">
        <v>SJS</v>
        <stp/>
        <stp>30793693Q6:PCC</stp>
        <tr r="B914" s="5"/>
      </tp>
      <tp t="s">
        <v>SJS</v>
        <stp/>
        <stp>30793693Q7:PCC</stp>
        <tr r="B915" s="5"/>
      </tp>
      <tp t="s">
        <v>SJS</v>
        <stp/>
        <stp>30793693Q0:PCC</stp>
        <tr r="B908" s="5"/>
      </tp>
      <tp t="s">
        <v>SJS</v>
        <stp/>
        <stp>30793693Q1:PCC</stp>
        <tr r="B909" s="5"/>
      </tp>
      <tp t="s">
        <v>SJS</v>
        <stp/>
        <stp>30793693Q2:PCC</stp>
        <tr r="B910" s="5"/>
      </tp>
      <tp t="s">
        <v>SJS</v>
        <stp/>
        <stp>30793693Q3:PCC</stp>
        <tr r="B911" s="5"/>
      </tp>
      <tp t="s">
        <v>SJS</v>
        <stp/>
        <stp>30793693Q8:PCC</stp>
        <tr r="B916" s="5"/>
      </tp>
      <tp t="s">
        <v>FOS</v>
        <stp/>
        <stp>266Y2:PCC</stp>
        <tr r="B957" s="5"/>
      </tp>
      <tp t="s">
        <v>FOS</v>
        <stp/>
        <stp>266Y0:PCC</stp>
        <tr r="B955" s="5"/>
      </tp>
      <tp t="s">
        <v>FOS</v>
        <stp/>
        <stp>266Y1:PCC</stp>
        <tr r="B956" s="5"/>
      </tp>
      <tp t="s">
        <v/>
        <stp/>
        <stp>2185224624B0:LstPrc</stp>
        <tr r="I593" s="5"/>
      </tp>
    </main>
    <main first="bofaddin.rtdserver">
      <tp t="s">
        <v>#N/A</v>
        <stp/>
        <stp>BDP|8577815238019268018|222</stp>
        <stp>MUCK9M9 Comdty</stp>
        <stp>BID</stp>
        <stp>Fill=#N/A</stp>
        <tr r="S52" s="1"/>
      </tp>
    </main>
    <main first="ice.rtd">
      <tp t="s">
        <v>Oct26/Sep27</v>
        <stp/>
        <stp>15061297MM15:Strip</stp>
        <tr r="E1698" s="5"/>
      </tp>
      <tp t="s">
        <v>Dec26/Mar27</v>
        <stp/>
        <stp>15061297MM25:Strip</stp>
        <tr r="E1708" s="5"/>
      </tp>
    </main>
    <main first="bofaddin.rtdserver">
      <tp t="s">
        <v>#N/A</v>
        <stp/>
        <stp>BDP|8288947438285029168|222</stp>
        <stp>MUCH7J7 Comdty</stp>
        <stp>BID</stp>
        <stp>Fill=#N/A</stp>
        <tr r="S26" s="1"/>
      </tp>
    </main>
    <main first="ice.rtd">
      <tp t="s">
        <v/>
        <stp/>
        <stp>2325125612B0:LstPrc</stp>
        <tr r="I669" s="5"/>
      </tp>
      <tp t="s">
        <v>SJS</v>
        <stp/>
        <stp>30793693Y0:PCC</stp>
        <tr r="B917" s="5"/>
      </tp>
      <tp t="s">
        <v>SJS</v>
        <stp/>
        <stp>30793693Y1:PCC</stp>
        <tr r="B918" s="5"/>
      </tp>
      <tp t="s">
        <v>SJS</v>
        <stp/>
        <stp>30793693Y2:PCC</stp>
        <tr r="B919" s="5"/>
      </tp>
      <tp t="s">
        <v/>
        <stp/>
        <stp>2326225623B0:LstPrc</stp>
        <tr r="I1300" s="5"/>
      </tp>
      <tp t="s">
        <v/>
        <stp/>
        <stp>2181924592B0:LstPrc</stp>
        <tr r="I1490" s="5"/>
      </tp>
    </main>
    <main first="bofaddin.rtdserver">
      <tp t="s">
        <v>#N/A</v>
        <stp/>
        <stp>BDP|7363831691124728142|222</stp>
        <stp>OQAJ7K7 Comdty</stp>
        <stp>ASK</stp>
        <stp>Fill=#N/A</stp>
        <tr r="T27" s="1"/>
      </tp>
    </main>
    <main first="ice.rtd">
      <tp t="s">
        <v/>
        <stp/>
        <stp>2183024603B0:LstPrc</stp>
        <tr r="I1625" s="5"/>
      </tp>
    </main>
    <main first="bofaddin.rtdserver">
      <tp t="s">
        <v>#N/A N/A</v>
        <stp/>
        <stp>BDH|3062488937506310168</stp>
        <tr r="BC53" s="1"/>
        <tr r="BC53" s="1"/>
      </tp>
      <tp t="s">
        <v>#N/A N/A</v>
        <stp/>
        <stp>BDH|4389630665113791493</stp>
        <tr r="N76" s="16"/>
      </tp>
      <tp t="s">
        <v>#N/A N/A</v>
        <stp/>
        <stp>BDH|9869866435267143613</stp>
        <tr r="I3" s="14"/>
      </tp>
      <tp t="s">
        <v>#N/A N/A</v>
        <stp/>
        <stp>BDH|9629356603220836931</stp>
        <tr r="AW54" s="1"/>
      </tp>
      <tp t="s">
        <v>#N/A N/A</v>
        <stp/>
        <stp>BDH|4426080134002847680</stp>
        <tr r="O13" s="25"/>
      </tp>
      <tp t="s">
        <v>#N/A N/A</v>
        <stp/>
        <stp>BDH|4709701973631928653</stp>
        <tr r="AW57" s="1"/>
      </tp>
      <tp t="s">
        <v>#N/A N/A</v>
        <stp/>
        <stp>BDH|4059735386310934822</stp>
        <tr r="AX20" s="1"/>
      </tp>
      <tp t="s">
        <v>#N/A N/A</v>
        <stp/>
        <stp>BDH|1942608919525931056</stp>
        <tr r="AX29" s="1"/>
      </tp>
    </main>
    <main first="ice.rtd">
      <tp>
        <v>0</v>
        <stp/>
        <stp>2326425625B0:BlkVol</stp>
        <tr r="O1262" s="5"/>
      </tp>
    </main>
    <main first="bofaddin.rtdserver">
      <tp t="s">
        <v>#N/A N/A</v>
        <stp/>
        <stp>BDH|7007809945820368844</stp>
        <tr r="D29" s="14"/>
        <tr r="D7" s="14"/>
      </tp>
      <tp t="s">
        <v>#N/A N/A</v>
        <stp/>
        <stp>BDH|7785315678691872148</stp>
        <tr r="BC54" s="1"/>
        <tr r="BC54" s="1"/>
      </tp>
      <tp t="b">
        <v>0</v>
        <stp/>
        <stp>BDH|9469554990721658758</stp>
        <tr r="B17" s="23"/>
      </tp>
      <tp t="s">
        <v>#N/A N/A</v>
        <stp/>
        <stp>BDH|5857349916836884206</stp>
        <tr r="M34" s="16"/>
      </tp>
      <tp t="s">
        <v>#N/A Requesting Data...2983802410</v>
        <stp/>
        <stp>BDP|9015814679647385289</stp>
        <tr r="AM54" s="23"/>
      </tp>
    </main>
    <main first="ice.rtd">
      <tp t="s">
        <v>SJS</v>
        <stp/>
        <stp>30793693M4:PCC</stp>
        <tr r="B887" s="5"/>
      </tp>
      <tp t="s">
        <v>SJS</v>
        <stp/>
        <stp>30793693M5:PCC</stp>
        <tr r="B888" s="5"/>
      </tp>
      <tp t="s">
        <v>SJS</v>
        <stp/>
        <stp>30793693M6:PCC</stp>
        <tr r="B889" s="5"/>
      </tp>
      <tp t="s">
        <v>SJS</v>
        <stp/>
        <stp>30793693M7:PCC</stp>
        <tr r="B890" s="5"/>
      </tp>
      <tp t="s">
        <v>SJS</v>
        <stp/>
        <stp>30793693M0:PCC</stp>
        <tr r="B883" s="5"/>
      </tp>
      <tp t="s">
        <v>SJS</v>
        <stp/>
        <stp>30793693M1:PCC</stp>
        <tr r="B884" s="5"/>
      </tp>
      <tp t="s">
        <v>SJS</v>
        <stp/>
        <stp>30793693M2:PCC</stp>
        <tr r="B885" s="5"/>
      </tp>
      <tp t="s">
        <v>SJS</v>
        <stp/>
        <stp>30793693M3:PCC</stp>
        <tr r="B886" s="5"/>
      </tp>
    </main>
    <main first="bofaddin.rtdserver">
      <tp t="s">
        <v>#N/A N/A</v>
        <stp/>
        <stp>BDH|5340313147370372159</stp>
        <tr r="AY19" s="1"/>
      </tp>
    </main>
    <main first="ice.rtd">
      <tp t="s">
        <v>SJS</v>
        <stp/>
        <stp>30793693M8:PCC</stp>
        <tr r="B891" s="5"/>
      </tp>
      <tp t="s">
        <v>SJS</v>
        <stp/>
        <stp>30793693M9:PCC</stp>
        <tr r="B892" s="5"/>
      </tp>
      <tp>
        <v>0</v>
        <stp/>
        <stp>2324625607B0:BlkVol</stp>
        <tr r="O192" s="5"/>
      </tp>
    </main>
    <main first="bofaddin.rtdserver">
      <tp t="s">
        <v>#N/A N/A</v>
        <stp/>
        <stp>BDH|4689454306757508409</stp>
        <tr r="AY31" s="1"/>
      </tp>
      <tp t="s">
        <v>#N/A N/A</v>
        <stp/>
        <stp>BDH|8192843986963211817</stp>
        <tr r="BC26" s="1"/>
      </tp>
      <tp t="s">
        <v>#N/A N/A</v>
        <stp/>
        <stp>BDH|9950876313554947748</stp>
        <tr r="AY33" s="1"/>
      </tp>
      <tp t="s">
        <v>#N/A Requesting Data...2960608346</v>
        <stp/>
        <stp>BDP|5882324278555512761</stp>
        <tr r="AM190" s="23"/>
      </tp>
    </main>
    <main first="ice.rtd">
      <tp t="s">
        <v>FOS</v>
        <stp/>
        <stp>266M6:PCC</stp>
        <tr r="B927" s="5"/>
      </tp>
      <tp t="s">
        <v>FOS</v>
        <stp/>
        <stp>266M7:PCC</stp>
        <tr r="B928" s="5"/>
      </tp>
      <tp t="s">
        <v>FOS</v>
        <stp/>
        <stp>266M4:PCC</stp>
        <tr r="B925" s="5"/>
      </tp>
      <tp t="s">
        <v>FOS</v>
        <stp/>
        <stp>266M5:PCC</stp>
        <tr r="B926" s="5"/>
      </tp>
      <tp t="s">
        <v>FOS</v>
        <stp/>
        <stp>266M2:PCC</stp>
        <tr r="B923" s="5"/>
      </tp>
      <tp t="s">
        <v>FOS</v>
        <stp/>
        <stp>266M3:PCC</stp>
        <tr r="B924" s="5"/>
      </tp>
      <tp t="s">
        <v>FOS</v>
        <stp/>
        <stp>266M0:PCC</stp>
        <tr r="B921" s="5"/>
      </tp>
      <tp t="s">
        <v>FOS</v>
        <stp/>
        <stp>266M1:PCC</stp>
        <tr r="B922" s="5"/>
      </tp>
      <tp t="s">
        <v>FOS</v>
        <stp/>
        <stp>266M8:PCC</stp>
        <tr r="B929" s="5"/>
      </tp>
      <tp t="s">
        <v>FOS</v>
        <stp/>
        <stp>266M9:PCC</stp>
        <tr r="B930" s="5"/>
      </tp>
    </main>
    <main first="bofaddin.rtdserver">
      <tp t="s">
        <v>#N/A N/A</v>
        <stp/>
        <stp>BDH|7378210729057524384</stp>
        <tr r="BA53" s="1"/>
        <tr r="BA53" s="1"/>
      </tp>
    </main>
    <main first="ice.rtd">
      <tp t="s">
        <v>Invalid Market: CALCM21</v>
        <stp/>
        <stp>CALCM21:Vol</stp>
        <tr r="N1360" s="5"/>
        <tr r="N1208" s="5"/>
      </tp>
      <tp t="s">
        <v>Invalid Market: CALCM20</v>
        <stp/>
        <stp>CALCM20:Vol</stp>
        <tr r="N1207" s="5"/>
        <tr r="N1359" s="5"/>
      </tp>
      <tp t="s">
        <v>Invalid Market: CALCM23</v>
        <stp/>
        <stp>CALCM23:Vol</stp>
        <tr r="N1210" s="5"/>
        <tr r="N1362" s="5"/>
      </tp>
      <tp t="s">
        <v>Invalid Market: CALCM22</v>
        <stp/>
        <stp>CALCM22:Vol</stp>
        <tr r="N1209" s="5"/>
        <tr r="N1361" s="5"/>
      </tp>
      <tp t="s">
        <v>Invalid Market: CALCM24</v>
        <stp/>
        <stp>CALCM24:Vol</stp>
        <tr r="N1363" s="5"/>
        <tr r="N1211" s="5"/>
      </tp>
    </main>
    <main first="bofaddin.rtdserver">
      <tp t="s">
        <v>#N/A Requesting Data...4171838970</v>
        <stp/>
        <stp>BDP|5220595622317677680</stp>
        <tr r="J30" s="23"/>
        <tr r="J74" s="23"/>
      </tp>
      <tp t="s">
        <v>#N/A N/A</v>
        <stp/>
        <stp>BDH|4842224414890967403</stp>
        <tr r="AZ41" s="1"/>
      </tp>
      <tp t="s">
        <v>#N/A N/A</v>
        <stp/>
        <stp>BDH|3685475831321663617</stp>
        <tr r="AY59" s="1"/>
      </tp>
    </main>
    <main first="ice.rtd">
      <tp t="s">
        <v>Invalid Market: CALCM19</v>
        <stp/>
        <stp>CALCM19:Vol</stp>
        <tr r="N1358" s="5"/>
        <tr r="N1206" s="5"/>
      </tp>
      <tp t="s">
        <v>Invalid Market: CALCM18</v>
        <stp/>
        <stp>CALCM18:Vol</stp>
        <tr r="N1205" s="5"/>
        <tr r="N1357" s="5"/>
      </tp>
      <tp t="s">
        <v>Invalid Market: CALCM11</v>
        <stp/>
        <stp>CALCM11:Vol</stp>
        <tr r="N1198" s="5"/>
        <tr r="N1350" s="5"/>
      </tp>
      <tp t="s">
        <v>Invalid Market: CALCM10</v>
        <stp/>
        <stp>CALCM10:Vol</stp>
        <tr r="N1197" s="5"/>
        <tr r="N1349" s="5"/>
      </tp>
      <tp t="s">
        <v>Invalid Market: CALCM13</v>
        <stp/>
        <stp>CALCM13:Vol</stp>
        <tr r="N1200" s="5"/>
        <tr r="N1352" s="5"/>
      </tp>
      <tp t="s">
        <v>Invalid Market: CALCM12</v>
        <stp/>
        <stp>CALCM12:Vol</stp>
        <tr r="N1199" s="5"/>
        <tr r="N1351" s="5"/>
      </tp>
      <tp t="s">
        <v>Invalid Market: CALCM15</v>
        <stp/>
        <stp>CALCM15:Vol</stp>
        <tr r="N1202" s="5"/>
        <tr r="N1354" s="5"/>
      </tp>
      <tp t="s">
        <v>Invalid Market: CALCM14</v>
        <stp/>
        <stp>CALCM14:Vol</stp>
        <tr r="N1201" s="5"/>
        <tr r="N1353" s="5"/>
      </tp>
      <tp t="s">
        <v>Invalid Market: CALCM17</v>
        <stp/>
        <stp>CALCM17:Vol</stp>
        <tr r="N1204" s="5"/>
        <tr r="N1356" s="5"/>
      </tp>
      <tp t="s">
        <v>Invalid Market: CALCM16</v>
        <stp/>
        <stp>CALCM16:Vol</stp>
        <tr r="N1203" s="5"/>
        <tr r="N1355" s="5"/>
      </tp>
    </main>
    <main first="ice.rtd">
      <tp>
        <v>0</v>
        <stp/>
        <stp>2049123570B0:BlkVol</stp>
        <tr r="O230" s="5"/>
      </tp>
    </main>
    <main first="bofaddin.rtdserver">
      <tp t="s">
        <v>#N/A N/A</v>
        <stp/>
        <stp>BDH|9801255610009090097</stp>
        <tr r="H36" s="16"/>
      </tp>
      <tp t="s">
        <v>#N/A N/A</v>
        <stp/>
        <stp>BDH|7850453609988357831</stp>
        <tr r="I31" s="14"/>
      </tp>
      <tp t="b">
        <v>0</v>
        <stp/>
        <stp>BDH|5316045756876011557</stp>
        <tr r="N23" s="25"/>
        <tr r="N23" s="25"/>
      </tp>
      <tp t="b">
        <v>0</v>
        <stp/>
        <stp>BDH|4865146049634919689</stp>
        <tr r="B19" s="21"/>
      </tp>
      <tp t="s">
        <v>#N/A N/A</v>
        <stp/>
        <stp>BDH|1735712761162275107</stp>
        <tr r="AY42" s="1"/>
      </tp>
      <tp t="s">
        <v>#N/A N/A</v>
        <stp/>
        <stp>BDH|8667876666370751554</stp>
        <tr r="AV58" s="1"/>
      </tp>
      <tp t="s">
        <v>#N/A N/A</v>
        <stp/>
        <stp>BDH|2617821071906490848</stp>
        <tr r="L53" s="16"/>
      </tp>
      <tp t="s">
        <v>#N/A N/A</v>
        <stp/>
        <stp>BDH|1257732244318396932</stp>
        <tr r="AX35" s="1"/>
      </tp>
    </main>
    <main first="ice.rtd">
      <tp>
        <v>0</v>
        <stp/>
        <stp>34344092Q8:BlkVol</stp>
        <tr r="O1296" s="5"/>
      </tp>
      <tp>
        <v>0</v>
        <stp/>
        <stp>34354093Q8:BlkVol</stp>
        <tr r="O1334" s="5"/>
      </tp>
      <tp>
        <v>0</v>
        <stp/>
        <stp>34344092Q6:BlkVol</stp>
        <tr r="O1294" s="5"/>
      </tp>
      <tp>
        <v>0</v>
        <stp/>
        <stp>34354093Q6:BlkVol</stp>
        <tr r="O1332" s="5"/>
      </tp>
      <tp>
        <v>0</v>
        <stp/>
        <stp>34344092Q7:BlkVol</stp>
        <tr r="O1295" s="5"/>
      </tp>
      <tp>
        <v>0</v>
        <stp/>
        <stp>34354093Q7:BlkVol</stp>
        <tr r="O1333" s="5"/>
      </tp>
      <tp>
        <v>0</v>
        <stp/>
        <stp>34344092Q4:BlkVol</stp>
        <tr r="O1292" s="5"/>
      </tp>
      <tp>
        <v>0</v>
        <stp/>
        <stp>34354093Q4:BlkVol</stp>
        <tr r="O1330" s="5"/>
      </tp>
      <tp>
        <v>0</v>
        <stp/>
        <stp>34344092Q5:BlkVol</stp>
        <tr r="O1293" s="5"/>
      </tp>
      <tp>
        <v>0</v>
        <stp/>
        <stp>34354093Q5:BlkVol</stp>
        <tr r="O1331" s="5"/>
      </tp>
      <tp>
        <v>0</v>
        <stp/>
        <stp>34344092Q2:BlkVol</stp>
        <tr r="O1290" s="5"/>
      </tp>
      <tp>
        <v>25</v>
        <stp/>
        <stp>34354093Q2:BlkVol</stp>
        <tr r="O1328" s="5"/>
      </tp>
      <tp>
        <v>0</v>
        <stp/>
        <stp>34344092Q3:BlkVol</stp>
        <tr r="O1291" s="5"/>
      </tp>
      <tp>
        <v>0</v>
        <stp/>
        <stp>34354093Q3:BlkVol</stp>
        <tr r="O1329" s="5"/>
      </tp>
      <tp>
        <v>0</v>
        <stp/>
        <stp>34344092Q0:BlkVol</stp>
        <tr r="O1288" s="5"/>
      </tp>
      <tp>
        <v>235</v>
        <stp/>
        <stp>34354093Q0:BlkVol</stp>
        <tr r="O1326" s="5"/>
      </tp>
      <tp>
        <v>0</v>
        <stp/>
        <stp>34344092Q1:BlkVol</stp>
        <tr r="O1289" s="5"/>
      </tp>
      <tp>
        <v>185</v>
        <stp/>
        <stp>34354093Q1:BlkVol</stp>
        <tr r="O1327" s="5"/>
      </tp>
      <tp>
        <v>0</v>
        <stp/>
        <stp>34344092Y2:BlkVol</stp>
        <tr r="O1299" s="5"/>
      </tp>
      <tp>
        <v>0</v>
        <stp/>
        <stp>34354093Y2:BlkVol</stp>
        <tr r="O1337" s="5"/>
      </tp>
      <tp>
        <v>0</v>
        <stp/>
        <stp>34344092Y0:BlkVol</stp>
        <tr r="O1297" s="5"/>
      </tp>
      <tp>
        <v>6</v>
        <stp/>
        <stp>34354093Y0:BlkVol</stp>
        <tr r="O1335" s="5"/>
      </tp>
      <tp>
        <v>0</v>
        <stp/>
        <stp>34344092Y1:BlkVol</stp>
        <tr r="O1298" s="5"/>
      </tp>
      <tp>
        <v>25</v>
        <stp/>
        <stp>34354093Y1:BlkVol</stp>
        <tr r="O1336" s="5"/>
      </tp>
      <tp>
        <v>0</v>
        <stp/>
        <stp>34344092M8:BlkVol</stp>
        <tr r="O1271" s="5"/>
      </tp>
      <tp>
        <v>31</v>
        <stp/>
        <stp>34354093M8:BlkVol</stp>
        <tr r="O1309" s="5"/>
      </tp>
      <tp>
        <v>0</v>
        <stp/>
        <stp>34344092M9:BlkVol</stp>
        <tr r="O1272" s="5"/>
      </tp>
      <tp>
        <v>31</v>
        <stp/>
        <stp>34354093M9:BlkVol</stp>
        <tr r="O1310" s="5"/>
      </tp>
      <tp>
        <v>0</v>
        <stp/>
        <stp>34344092M6:BlkVol</stp>
        <tr r="O1269" s="5"/>
      </tp>
      <tp>
        <v>191</v>
        <stp/>
        <stp>34354093M6:BlkVol</stp>
        <tr r="O1307" s="5"/>
      </tp>
      <tp>
        <v>0</v>
        <stp/>
        <stp>34344092M7:BlkVol</stp>
        <tr r="O1270" s="5"/>
      </tp>
      <tp>
        <v>31</v>
        <stp/>
        <stp>34354093M7:BlkVol</stp>
        <tr r="O1308" s="5"/>
      </tp>
      <tp>
        <v>0</v>
        <stp/>
        <stp>34344092M4:BlkVol</stp>
        <tr r="O1267" s="5"/>
      </tp>
      <tp>
        <v>191</v>
        <stp/>
        <stp>34354093M4:BlkVol</stp>
        <tr r="O1305" s="5"/>
      </tp>
      <tp>
        <v>0</v>
        <stp/>
        <stp>34344092M5:BlkVol</stp>
        <tr r="O1268" s="5"/>
      </tp>
      <tp>
        <v>191</v>
        <stp/>
        <stp>34354093M5:BlkVol</stp>
        <tr r="O1306" s="5"/>
      </tp>
      <tp>
        <v>0</v>
        <stp/>
        <stp>34344092M2:BlkVol</stp>
        <tr r="O1265" s="5"/>
      </tp>
      <tp>
        <v>235</v>
        <stp/>
        <stp>34354093M2:BlkVol</stp>
        <tr r="O1303" s="5"/>
      </tp>
      <tp>
        <v>0</v>
        <stp/>
        <stp>34344092M3:BlkVol</stp>
        <tr r="O1266" s="5"/>
      </tp>
      <tp>
        <v>245</v>
        <stp/>
        <stp>34354093M3:BlkVol</stp>
        <tr r="O1304" s="5"/>
      </tp>
      <tp>
        <v>0</v>
        <stp/>
        <stp>34344092M0:BlkVol</stp>
        <tr r="O1263" s="5"/>
      </tp>
      <tp>
        <v>0</v>
        <stp/>
        <stp>34354093M0:BlkVol</stp>
        <tr r="O1301" s="5"/>
      </tp>
      <tp>
        <v>0</v>
        <stp/>
        <stp>34344092M1:BlkVol</stp>
        <tr r="O1264" s="5"/>
      </tp>
      <tp>
        <v>310</v>
        <stp/>
        <stp>34354093M1:BlkVol</stp>
        <tr r="O1302" s="5"/>
      </tp>
    </main>
    <main first="bofaddin.rtdserver">
      <tp t="s">
        <v>#N/A</v>
        <stp/>
        <stp>BDP|18227680685232147530|222</stp>
        <stp>XBV8 Comdty</stp>
        <stp>BID</stp>
        <stp>Fill=#N/A</stp>
        <tr r="J44" s="1"/>
      </tp>
    </main>
    <main first="ice.rtd">
      <tp>
        <v>0</v>
        <stp/>
        <stp>34364094Q8:BlkVol</stp>
        <tr r="O551" s="5"/>
      </tp>
      <tp>
        <v>0</v>
        <stp/>
        <stp>34374095Q8:BlkVol</stp>
        <tr r="O589" s="5"/>
      </tp>
      <tp>
        <v>0</v>
        <stp/>
        <stp>34364094Q6:BlkVol</stp>
        <tr r="O549" s="5"/>
      </tp>
      <tp>
        <v>0</v>
        <stp/>
        <stp>34374095Q6:BlkVol</stp>
        <tr r="O587" s="5"/>
      </tp>
      <tp>
        <v>0</v>
        <stp/>
        <stp>34364094Q7:BlkVol</stp>
        <tr r="O550" s="5"/>
      </tp>
      <tp>
        <v>0</v>
        <stp/>
        <stp>34374095Q7:BlkVol</stp>
        <tr r="O588" s="5"/>
      </tp>
      <tp>
        <v>0</v>
        <stp/>
        <stp>34364094Q4:BlkVol</stp>
        <tr r="O547" s="5"/>
      </tp>
      <tp>
        <v>0</v>
        <stp/>
        <stp>34374095Q4:BlkVol</stp>
        <tr r="O585" s="5"/>
      </tp>
      <tp>
        <v>0</v>
        <stp/>
        <stp>34364094Q5:BlkVol</stp>
        <tr r="O548" s="5"/>
      </tp>
      <tp>
        <v>0</v>
        <stp/>
        <stp>34374095Q5:BlkVol</stp>
        <tr r="O586" s="5"/>
      </tp>
      <tp>
        <v>0</v>
        <stp/>
        <stp>34364094Q2:BlkVol</stp>
        <tr r="O545" s="5"/>
      </tp>
      <tp>
        <v>0</v>
        <stp/>
        <stp>34374095Q2:BlkVol</stp>
        <tr r="O583" s="5"/>
      </tp>
      <tp>
        <v>0</v>
        <stp/>
        <stp>34364094Q3:BlkVol</stp>
        <tr r="O546" s="5"/>
      </tp>
      <tp>
        <v>0</v>
        <stp/>
        <stp>34374095Q3:BlkVol</stp>
        <tr r="O584" s="5"/>
      </tp>
      <tp>
        <v>0</v>
        <stp/>
        <stp>34364094Q0:BlkVol</stp>
        <tr r="O543" s="5"/>
      </tp>
      <tp>
        <v>0</v>
        <stp/>
        <stp>34374095Q0:BlkVol</stp>
        <tr r="O581" s="5"/>
      </tp>
      <tp>
        <v>0</v>
        <stp/>
        <stp>34364094Q1:BlkVol</stp>
        <tr r="O544" s="5"/>
      </tp>
      <tp>
        <v>0</v>
        <stp/>
        <stp>34374095Q1:BlkVol</stp>
        <tr r="O582" s="5"/>
      </tp>
    </main>
    <main first="bofaddin.rtdserver">
      <tp>
        <v>807</v>
        <stp/>
        <stp>BDP|14899368763480185087|222</stp>
        <stp>QSX8 Comdty</stp>
        <stp>BID</stp>
        <stp>Fill=#N/A</stp>
        <tr r="H45" s="1"/>
      </tp>
    </main>
    <main first="ice.rtd">
      <tp>
        <v>0</v>
        <stp/>
        <stp>34364094Y2:BlkVol</stp>
        <tr r="O554" s="5"/>
      </tp>
      <tp>
        <v>0</v>
        <stp/>
        <stp>34374095Y2:BlkVol</stp>
        <tr r="O592" s="5"/>
      </tp>
      <tp>
        <v>0</v>
        <stp/>
        <stp>34364094Y0:BlkVol</stp>
        <tr r="O552" s="5"/>
      </tp>
      <tp>
        <v>0</v>
        <stp/>
        <stp>34374095Y0:BlkVol</stp>
        <tr r="O590" s="5"/>
      </tp>
      <tp>
        <v>0</v>
        <stp/>
        <stp>34364094Y1:BlkVol</stp>
        <tr r="O553" s="5"/>
      </tp>
      <tp>
        <v>0</v>
        <stp/>
        <stp>34374095Y1:BlkVol</stp>
        <tr r="O591" s="5"/>
      </tp>
      <tp>
        <v>0</v>
        <stp/>
        <stp>34364094M8:BlkVol</stp>
        <tr r="O526" s="5"/>
      </tp>
      <tp>
        <v>0</v>
        <stp/>
        <stp>34374095M8:BlkVol</stp>
        <tr r="O564" s="5"/>
      </tp>
      <tp>
        <v>0</v>
        <stp/>
        <stp>34364094M9:BlkVol</stp>
        <tr r="O527" s="5"/>
      </tp>
      <tp>
        <v>0</v>
        <stp/>
        <stp>34374095M9:BlkVol</stp>
        <tr r="O565" s="5"/>
      </tp>
      <tp>
        <v>0</v>
        <stp/>
        <stp>34364094M6:BlkVol</stp>
        <tr r="O524" s="5"/>
      </tp>
      <tp>
        <v>0</v>
        <stp/>
        <stp>34374095M6:BlkVol</stp>
        <tr r="O562" s="5"/>
      </tp>
      <tp>
        <v>0</v>
        <stp/>
        <stp>34364094M7:BlkVol</stp>
        <tr r="O525" s="5"/>
      </tp>
      <tp>
        <v>0</v>
        <stp/>
        <stp>34374095M7:BlkVol</stp>
        <tr r="O563" s="5"/>
      </tp>
      <tp>
        <v>0</v>
        <stp/>
        <stp>34364094M4:BlkVol</stp>
        <tr r="O522" s="5"/>
      </tp>
      <tp>
        <v>0</v>
        <stp/>
        <stp>34374095M4:BlkVol</stp>
        <tr r="O560" s="5"/>
      </tp>
      <tp>
        <v>0</v>
        <stp/>
        <stp>34364094M5:BlkVol</stp>
        <tr r="O523" s="5"/>
      </tp>
      <tp>
        <v>0</v>
        <stp/>
        <stp>34374095M5:BlkVol</stp>
        <tr r="O561" s="5"/>
      </tp>
      <tp>
        <v>0</v>
        <stp/>
        <stp>34364094M2:BlkVol</stp>
        <tr r="O520" s="5"/>
      </tp>
      <tp>
        <v>5</v>
        <stp/>
        <stp>34374095M2:BlkVol</stp>
        <tr r="O558" s="5"/>
      </tp>
      <tp>
        <v>17</v>
        <stp/>
        <stp>34364094M3:BlkVol</stp>
        <tr r="O521" s="5"/>
      </tp>
      <tp>
        <v>10</v>
        <stp/>
        <stp>34374095M3:BlkVol</stp>
        <tr r="O559" s="5"/>
      </tp>
      <tp>
        <v>0</v>
        <stp/>
        <stp>34364094M0:BlkVol</stp>
        <tr r="O518" s="5"/>
      </tp>
      <tp>
        <v>0</v>
        <stp/>
        <stp>34374095M0:BlkVol</stp>
        <tr r="O556" s="5"/>
      </tp>
      <tp>
        <v>5</v>
        <stp/>
        <stp>34364094M1:BlkVol</stp>
        <tr r="O519" s="5"/>
      </tp>
      <tp>
        <v>23</v>
        <stp/>
        <stp>34374095M1:BlkVol</stp>
        <tr r="O557" s="5"/>
      </tp>
    </main>
    <main first="bofaddin.rtdserver">
      <tp>
        <v>333.84</v>
        <stp/>
        <stp>BDP|10509048941391295487|222</stp>
        <stp>HOX7 Comdty</stp>
        <stp>ASK</stp>
        <stp>Fill=#N/A</stp>
        <tr r="I33" s="1"/>
      </tp>
      <tp>
        <v>816.75</v>
        <stp/>
        <stp>BDP|12290349032478608933|222</stp>
        <stp>QSZ8 Comdty</stp>
        <stp>ASK</stp>
        <stp>Fill=#N/A</stp>
        <tr r="H46" s="1"/>
      </tp>
    </main>
    <main first="ice.rtd">
      <tp t="s">
        <v/>
        <stp/>
        <stp>17551596T7:LstPrc</stp>
        <tr r="I1544" s="5"/>
      </tp>
      <tp t="s">
        <v/>
        <stp/>
        <stp>17551596T6:LstPrc</stp>
        <tr r="I1543" s="5"/>
      </tp>
      <tp t="s">
        <v/>
        <stp/>
        <stp>17551596T5:LstPrc</stp>
        <tr r="I1542" s="5"/>
      </tp>
      <tp t="s">
        <v/>
        <stp/>
        <stp>17551596T4:LstPrc</stp>
        <tr r="I1541" s="5"/>
      </tp>
      <tp t="s">
        <v/>
        <stp/>
        <stp>17551596T3:LstPrc</stp>
        <tr r="I1540" s="5"/>
      </tp>
      <tp t="s">
        <v/>
        <stp/>
        <stp>17551596T2:LstPrc</stp>
        <tr r="I1539" s="5"/>
      </tp>
      <tp t="s">
        <v/>
        <stp/>
        <stp>17551596T1:LstPrc</stp>
        <tr r="I1538" s="5"/>
      </tp>
      <tp t="s">
        <v/>
        <stp/>
        <stp>17551596T0:LstPrc</stp>
        <tr r="I1537" s="5"/>
      </tp>
      <tp t="s">
        <v/>
        <stp/>
        <stp>17551596T8:LstPrc</stp>
        <tr r="I1546" s="5"/>
        <tr r="I1545" s="5"/>
      </tp>
      <tp>
        <v>14.5</v>
        <stp/>
        <stp>34404098M10:Settle</stp>
        <tr r="U604" s="5"/>
      </tp>
      <tp>
        <v>94</v>
        <stp/>
        <stp>34414099M10:Settle</stp>
        <tr r="U89" s="5"/>
      </tp>
      <tp>
        <v>14.5</v>
        <stp/>
        <stp>34404098M11:Settle</stp>
        <tr r="U605" s="5"/>
      </tp>
      <tp>
        <v>93</v>
        <stp/>
        <stp>34414099M11:Settle</stp>
        <tr r="U90" s="5"/>
      </tp>
      <tp>
        <v>14.5</v>
        <stp/>
        <stp>34404098M12:Settle</stp>
        <tr r="U606" s="5"/>
      </tp>
      <tp>
        <v>92</v>
        <stp/>
        <stp>34414099M12:Settle</stp>
        <tr r="U91" s="5"/>
      </tp>
      <tp>
        <v>14.5</v>
        <stp/>
        <stp>34404098M13:Settle</stp>
        <tr r="U607" s="5"/>
      </tp>
      <tp>
        <v>89</v>
        <stp/>
        <stp>34414099M13:Settle</stp>
        <tr r="U92" s="5"/>
      </tp>
      <tp>
        <v>14.5</v>
        <stp/>
        <stp>34404098M14:Settle</stp>
        <tr r="U608" s="5"/>
      </tp>
      <tp>
        <v>88</v>
        <stp/>
        <stp>34414099M14:Settle</stp>
        <tr r="U93" s="5"/>
      </tp>
      <tp>
        <v>13.25</v>
        <stp/>
        <stp>34404098M15:Settle</stp>
        <tr r="U609" s="5"/>
      </tp>
      <tp>
        <v>87</v>
        <stp/>
        <stp>34414099M15:Settle</stp>
        <tr r="U94" s="5"/>
      </tp>
      <tp>
        <v>13</v>
        <stp/>
        <stp>34404098M16:Settle</stp>
        <tr r="U610" s="5"/>
      </tp>
      <tp>
        <v>85</v>
        <stp/>
        <stp>34414099M16:Settle</stp>
        <tr r="U95" s="5"/>
      </tp>
      <tp>
        <v>13</v>
        <stp/>
        <stp>34404098M17:Settle</stp>
        <tr r="U611" s="5"/>
      </tp>
      <tp>
        <v>85</v>
        <stp/>
        <stp>34414099M17:Settle</stp>
        <tr r="U96" s="5"/>
      </tp>
      <tp>
        <v>13</v>
        <stp/>
        <stp>34404098M18:Settle</stp>
        <tr r="U612" s="5"/>
      </tp>
      <tp>
        <v>85</v>
        <stp/>
        <stp>34414099M18:Settle</stp>
        <tr r="U97" s="5"/>
      </tp>
      <tp>
        <v>12</v>
        <stp/>
        <stp>34404098M19:Settle</stp>
        <tr r="U613" s="5"/>
      </tp>
      <tp>
        <v>85</v>
        <stp/>
        <stp>34414099M19:Settle</stp>
        <tr r="U98" s="5"/>
      </tp>
      <tp>
        <v>12</v>
        <stp/>
        <stp>34404098M20:Settle</stp>
        <tr r="U614" s="5"/>
      </tp>
      <tp>
        <v>85</v>
        <stp/>
        <stp>34414099M20:Settle</stp>
        <tr r="U99" s="5"/>
      </tp>
      <tp>
        <v>12</v>
        <stp/>
        <stp>34404098M21:Settle</stp>
        <tr r="U615" s="5"/>
      </tp>
      <tp>
        <v>85</v>
        <stp/>
        <stp>34414099M21:Settle</stp>
        <tr r="U100" s="5"/>
      </tp>
      <tp>
        <v>11.5</v>
        <stp/>
        <stp>34404098M22:Settle</stp>
        <tr r="U616" s="5"/>
      </tp>
      <tp>
        <v>85</v>
        <stp/>
        <stp>34414099M22:Settle</stp>
        <tr r="U101" s="5"/>
      </tp>
      <tp>
        <v>11.5</v>
        <stp/>
        <stp>34404098M23:Settle</stp>
        <tr r="U617" s="5"/>
      </tp>
      <tp>
        <v>85</v>
        <stp/>
        <stp>34414099M23:Settle</stp>
        <tr r="U102" s="5"/>
      </tp>
      <tp>
        <v>11.5</v>
        <stp/>
        <stp>34404098M24:Settle</stp>
        <tr r="U618" s="5"/>
      </tp>
      <tp>
        <v>85</v>
        <stp/>
        <stp>34414099M24:Settle</stp>
        <tr r="U103" s="5"/>
      </tp>
      <tp t="s">
        <v>May27</v>
        <stp/>
        <stp>34364094M8:Strip</stp>
        <tr r="E526" s="5"/>
      </tp>
      <tp t="s">
        <v>May27</v>
        <stp/>
        <stp>34374095M8:Strip</stp>
        <tr r="E564" s="5"/>
      </tp>
      <tp t="s">
        <v>Q4 28</v>
        <stp/>
        <stp>34364094Q8:Strip</stp>
        <tr r="E551" s="5"/>
      </tp>
      <tp t="s">
        <v>Q4 28</v>
        <stp/>
        <stp>34374095Q8:Strip</stp>
        <tr r="E589" s="5"/>
      </tp>
      <tp t="s">
        <v>May27</v>
        <stp/>
        <stp>34344092M8:Strip</stp>
        <tr r="E1271" s="5"/>
      </tp>
      <tp t="s">
        <v>May27</v>
        <stp/>
        <stp>34354093M8:Strip</stp>
        <tr r="E1309" s="5"/>
      </tp>
      <tp t="s">
        <v>Q4 28</v>
        <stp/>
        <stp>34344092Q8:Strip</stp>
        <tr r="E1296" s="5"/>
      </tp>
      <tp t="s">
        <v>Q4 28</v>
        <stp/>
        <stp>34354093Q8:Strip</stp>
        <tr r="E1334" s="5"/>
      </tp>
      <tp t="s">
        <v>Jan27</v>
        <stp/>
        <stp>1581618115M4:Strip</stp>
        <tr r="E463" s="5"/>
      </tp>
      <tp t="s">
        <v>Jan27</v>
        <stp/>
        <stp>1923422331M4:Strip</stp>
        <tr r="E1631" s="5"/>
      </tp>
      <tp t="s">
        <v>Feb27</v>
        <stp/>
        <stp>41787896M5:Strip</stp>
        <tr r="E812" s="5"/>
      </tp>
      <tp t="s">
        <v>Q1 28</v>
        <stp/>
        <stp>41787896Q5:Strip</stp>
        <tr r="E837" s="5"/>
      </tp>
      <tp t="s">
        <v>Feb27</v>
        <stp/>
        <stp>41767893M5:Strip</stp>
        <tr r="E485" s="5"/>
      </tp>
      <tp t="s">
        <v>Q1 28</v>
        <stp/>
        <stp>41767893Q5:Strip</stp>
        <tr r="E510" s="5"/>
      </tp>
      <tp t="s">
        <v>Cal 27</v>
        <stp/>
        <stp>3124331018Y0:Strip</stp>
        <tr r="E1624" s="5"/>
      </tp>
      <tp t="s">
        <v>Q4 26</v>
        <stp/>
        <stp>3124331018Q0:Strip</stp>
        <tr r="E1620" s="5"/>
      </tp>
      <tp t="s">
        <v>Sep26</v>
        <stp/>
        <stp>3124331018M0:Strip</stp>
        <tr r="E1605" s="5"/>
      </tp>
      <tp t="s">
        <v>Apr27</v>
        <stp/>
        <stp>32623993M7:Strip</stp>
        <tr r="E1997" s="5"/>
      </tp>
      <tp t="s">
        <v>Q3 28</v>
        <stp/>
        <stp>32623993Q7:Strip</stp>
        <tr r="E2022" s="5"/>
      </tp>
      <tp t="s">
        <v>Apr27</v>
        <stp/>
        <stp>32613992M7:Strip</stp>
        <tr r="E1232" s="5"/>
      </tp>
      <tp t="s">
        <v>Q3 28</v>
        <stp/>
        <stp>32613992Q7:Strip</stp>
        <tr r="E1257" s="5"/>
      </tp>
      <tp t="s">
        <v>Bal Month</v>
        <stp/>
        <stp>2181924592B0:Strip</stp>
        <tr r="E1490" s="5"/>
      </tp>
      <tp t="s">
        <v>Q3 28</v>
        <stp/>
        <stp>2755728678Q7:Strip</stp>
        <tr r="E1143" s="5"/>
      </tp>
      <tp t="s">
        <v>Apr27</v>
        <stp/>
        <stp>2755728678M7:Strip</stp>
        <tr r="E1118" s="5"/>
      </tp>
      <tp t="s">
        <v>May27</v>
        <stp/>
        <stp>34404098M8:Strip</stp>
        <tr r="E602" s="5"/>
      </tp>
      <tp t="s">
        <v>May27</v>
        <stp/>
        <stp>34414099M8:Strip</stp>
        <tr r="E87" s="5"/>
      </tp>
      <tp t="s">
        <v>Q4 28</v>
        <stp/>
        <stp>34404098Q8:Strip</stp>
        <tr r="E627" s="5"/>
      </tp>
      <tp t="s">
        <v>Q4 28</v>
        <stp/>
        <stp>34414099Q8:Strip</stp>
        <tr r="E112" s="5"/>
      </tp>
      <tp t="s">
        <v>Bal Month</v>
        <stp/>
        <stp>2181724590B0:Strip</stp>
        <tr r="E1414" s="5"/>
      </tp>
      <tp t="s">
        <v>Dec26</v>
        <stp/>
        <stp>29243602M3:Strip</stp>
        <tr r="E749" s="5"/>
      </tp>
      <tp t="s">
        <v>Q3 27</v>
        <stp/>
        <stp>29243602Q3:Strip</stp>
        <tr r="E765" s="5"/>
      </tp>
      <tp t="s">
        <v>Q3 28</v>
        <stp/>
        <stp>2755828679Q7:Strip</stp>
        <tr r="E1029" s="5"/>
      </tp>
      <tp t="s">
        <v>Apr27</v>
        <stp/>
        <stp>2755828679M7:Strip</stp>
        <tr r="E1004" s="5"/>
      </tp>
    </main>
    <main first="esrtd">
      <tp t="s">
        <v/>
        <stp/>
        <stp>WHK 7!-IEU</stp>
        <stp>Strip</stp>
        <tr r="E1924" s="5"/>
      </tp>
      <tp t="s">
        <v/>
        <stp/>
        <stp>WHK 6!-IEU</stp>
        <stp>Strip</stp>
        <tr r="E1923" s="5"/>
      </tp>
      <tp t="s">
        <v/>
        <stp/>
        <stp>WHK 5!-IEU</stp>
        <stp>Strip</stp>
        <tr r="E1922" s="5"/>
      </tp>
      <tp t="s">
        <v/>
        <stp/>
        <stp>WHK 4!-IEU</stp>
        <stp>Strip</stp>
        <tr r="E1921" s="5"/>
      </tp>
      <tp t="s">
        <v/>
        <stp/>
        <stp>WHK 3!-IEU</stp>
        <stp>Strip</stp>
        <tr r="E1920" s="5"/>
      </tp>
      <tp t="s">
        <v/>
        <stp/>
        <stp>WHK 2!-IEU</stp>
        <stp>Strip</stp>
        <tr r="E1919" s="5"/>
      </tp>
      <tp t="s">
        <v/>
        <stp/>
        <stp>WHK 1!-IEU</stp>
        <stp>Strip</stp>
        <tr r="E1918" s="5"/>
      </tp>
      <tp t="s">
        <v/>
        <stp/>
        <stp>WHK 9!-IEU</stp>
        <stp>Strip</stp>
        <tr r="E1926" s="5"/>
      </tp>
      <tp t="s">
        <v/>
        <stp/>
        <stp>WHK 8!-IEU</stp>
        <stp>Strip</stp>
        <tr r="E1925" s="5"/>
      </tp>
    </main>
    <main first="ice.rtd">
      <tp t="s">
        <v>Q2 27</v>
        <stp/>
        <stp>1986823075Q2:Strip</stp>
        <tr r="E144" s="5"/>
      </tp>
      <tp t="s">
        <v>Cal 29</v>
        <stp/>
        <stp>1986823075Y2:Strip</stp>
        <tr r="E153" s="5"/>
      </tp>
      <tp t="s">
        <v>Nov26</v>
        <stp/>
        <stp>1986823075M2:Strip</stp>
        <tr r="E119" s="5"/>
      </tp>
      <tp t="s">
        <v>Nov26</v>
        <stp/>
        <stp>18871685M2:Strip</stp>
        <tr r="E423" s="5"/>
      </tp>
      <tp t="s">
        <v>Q2 27</v>
        <stp/>
        <stp>18871685Q2:Strip</stp>
        <tr r="E448" s="5"/>
      </tp>
      <tp t="s">
        <v>Invalid Market: 18871685Y2</v>
        <stp/>
        <stp>18871685Y2:Strip</stp>
        <tr r="E457" s="5"/>
      </tp>
      <tp t="s">
        <v>Nov26</v>
        <stp/>
        <stp>18851683M2:Strip</stp>
        <tr r="E195" s="5"/>
      </tp>
      <tp t="s">
        <v>Q2 27</v>
        <stp/>
        <stp>18851683Q2:Strip</stp>
        <tr r="E220" s="5"/>
      </tp>
      <tp t="s">
        <v>Cal 29</v>
        <stp/>
        <stp>18851683Y2:Strip</stp>
        <tr r="E229" s="5"/>
      </tp>
      <tp t="s">
        <v>Bal Month</v>
        <stp/>
        <stp>2181524588B0:Strip</stp>
        <tr r="E1452" s="5"/>
      </tp>
      <tp t="s">
        <v>Q2 27</v>
        <stp/>
        <stp>1986923076Q2:Strip</stp>
        <tr r="E182" s="5"/>
      </tp>
      <tp t="s">
        <v>Cal 29</v>
        <stp/>
        <stp>1986923076Y2:Strip</stp>
        <tr r="E191" s="5"/>
      </tp>
      <tp t="s">
        <v>Nov26</v>
        <stp/>
        <stp>1986923076M2:Strip</stp>
        <tr r="E157" s="5"/>
      </tp>
      <tp t="s">
        <v>May27</v>
        <stp/>
        <stp>35534143M8:Strip</stp>
        <tr r="E716" s="5"/>
      </tp>
      <tp t="s">
        <v>May27</v>
        <stp/>
        <stp>35544144M8:Strip</stp>
        <tr r="E640" s="5"/>
      </tp>
      <tp t="s">
        <v>May27</v>
        <stp/>
        <stp>35554145M8:Strip</stp>
        <tr r="E678" s="5"/>
      </tp>
      <tp t="s">
        <v>Q4 28</v>
        <stp/>
        <stp>35534143Q8:Strip</stp>
        <tr r="E741" s="5"/>
      </tp>
      <tp t="s">
        <v>Q4 28</v>
        <stp/>
        <stp>35544144Q8:Strip</stp>
        <tr r="E665" s="5"/>
      </tp>
      <tp t="s">
        <v>Q4 28</v>
        <stp/>
        <stp>35554145Q8:Strip</stp>
        <tr r="E703" s="5"/>
      </tp>
      <tp t="s">
        <v>Nov26</v>
        <stp/>
        <stp>18901687M2:Strip</stp>
        <tr r="E309" s="5"/>
      </tp>
      <tp t="s">
        <v>Q2 27</v>
        <stp/>
        <stp>18901687Q2:Strip</stp>
        <tr r="E334" s="5"/>
      </tp>
      <tp t="s">
        <v>Invalid Market: 18901687Y2</v>
        <stp/>
        <stp>18901687Y2:Strip</stp>
        <tr r="E343" s="5"/>
      </tp>
      <tp t="s">
        <v>Invalid Market: 2044823525Q5</v>
        <stp/>
        <stp>2044823525Q5:Strip</stp>
        <tr r="E1775" s="5"/>
      </tp>
      <tp t="s">
        <v>Mar27</v>
        <stp/>
        <stp>2044823525M5:Strip</stp>
        <tr r="E1752" s="5"/>
      </tp>
      <tp t="s">
        <v>Bal Month</v>
        <stp/>
        <stp>2181024583B0:Strip</stp>
        <tr r="E1990" s="5"/>
      </tp>
      <tp t="s">
        <v>Cal 28</v>
        <stp/>
        <stp>2427026287Y1:Strip</stp>
        <tr r="E1184" s="5"/>
      </tp>
      <tp t="s">
        <v>Q1 27</v>
        <stp/>
        <stp>2427026287Q1:Strip</stp>
        <tr r="E1175" s="5"/>
      </tp>
      <tp t="s">
        <v>Oct26</v>
        <stp/>
        <stp>2427026287M1:Strip</stp>
        <tr r="E1150" s="5"/>
      </tp>
      <tp t="s">
        <v>Cal 28</v>
        <stp/>
        <stp>2427126288Y1:Strip</stp>
        <tr r="E1070" s="5"/>
      </tp>
      <tp t="s">
        <v>Q1 27</v>
        <stp/>
        <stp>2427126288Q1:Strip</stp>
        <tr r="E1061" s="5"/>
      </tp>
      <tp t="s">
        <v>Oct26</v>
        <stp/>
        <stp>2427126288M1:Strip</stp>
        <tr r="E1036" s="5"/>
      </tp>
    </main>
    <main first="bofaddin.rtdserver">
      <tp t="s">
        <v>#N/A</v>
        <stp/>
        <stp>BDP|2568009202498726482|222</stp>
        <stp>MUCX7Z7 Comdty</stp>
        <stp>ASK</stp>
        <stp>Fill=#N/A</stp>
        <tr r="S34" s="1"/>
      </tp>
      <tp t="s">
        <v>#N/A</v>
        <stp/>
        <stp>BDP|7520372668404998103|222</stp>
        <stp>MUCN0Q0 Comdty</stp>
        <stp>ASK</stp>
        <stp>Fill=#N/A</stp>
        <tr r="S66" s="1"/>
      </tp>
      <tp t="s">
        <v>#N/A</v>
        <stp/>
        <stp>BDP|4397510110755976630|222</stp>
        <stp>MUCQ7U7 Comdty</stp>
        <stp>BID</stp>
        <stp>Fill=#N/A</stp>
        <tr r="S31" s="1"/>
      </tp>
      <tp t="s">
        <v>#N/A</v>
        <stp/>
        <stp>BDP|8658271246065826332|222</stp>
        <stp>OQAX8Z8 Comdty</stp>
        <stp>ASK</stp>
        <stp>Fill=#N/A</stp>
        <tr r="T46" s="1"/>
      </tp>
      <tp>
        <v>3.71</v>
        <stp/>
        <stp>BDP|222966696352249638|222</stp>
        <stp>HOU7HOV7 Comdty</stp>
        <stp>BID</stp>
        <stp>Fill=#N/A</stp>
        <tr r="Q32" s="1"/>
      </tp>
      <tp t="s">
        <v>#N/A</v>
        <stp/>
        <stp>BDP|7289485317483835168|222</stp>
        <stp>MUCN9Q9 Comdty</stp>
        <stp>ASK</stp>
        <stp>Fill=#N/A</stp>
        <tr r="S54" s="1"/>
      </tp>
      <tp t="s">
        <v>#N/A</v>
        <stp/>
        <stp>BDP|167377759443401380|222</stp>
        <stp>HOH9HOJ9 Comdty</stp>
        <stp>ASK</stp>
        <stp>Fill=#N/A</stp>
        <tr r="Q50" s="1"/>
      </tp>
    </main>
    <main first="esrtd">
      <tp t="s">
        <v/>
        <stp/>
        <stp>Invalid Market: CALCM0 U26-IEU</stp>
        <stp>ICE Theoretical Price</stp>
        <tr r="W1187" s="5"/>
        <tr r="W383" s="5"/>
        <tr r="W269" s="5"/>
        <tr r="W1339" s="5"/>
        <tr r="W845" s="5"/>
        <tr r="W1073" s="5"/>
      </tp>
    </main>
    <main first="bofaddin.rtdserver">
      <tp>
        <v>70.22</v>
        <stp/>
        <stp>BDP|13501687640851854640|222</stp>
        <stp>CLG8 Comdty</stp>
        <stp>BID</stp>
        <stp>Fill=#N/A</stp>
        <tr r="F36" s="1"/>
      </tp>
    </main>
    <main first="esrtd">
      <tp t="s">
        <v/>
        <stp/>
        <stp>TDL 3!-IEU</stp>
        <stp>Ask</stp>
        <tr r="H1815" s="5"/>
      </tp>
      <tp t="s">
        <v/>
        <stp/>
        <stp>WNS 1!-IEU</stp>
        <stp>Ask</stp>
        <tr r="H1848" s="5"/>
      </tp>
      <tp t="s">
        <v/>
        <stp/>
        <stp>WMJ 1!-IEU</stp>
        <stp>Ask</stp>
        <tr r="H1883" s="5"/>
      </tp>
      <tp t="s">
        <v/>
        <stp/>
        <stp>WHK 1!-IEU</stp>
        <stp>Ask</stp>
        <tr r="H1918" s="5"/>
      </tp>
      <tp t="s">
        <v/>
        <stp/>
        <stp>TDL 2!-IEU</stp>
        <stp>Ask</stp>
        <tr r="H1814" s="5"/>
      </tp>
      <tp t="s">
        <v/>
        <stp/>
        <stp>WDF 1!-IEU</stp>
        <stp>Ask</stp>
        <tr r="H1778" s="5"/>
      </tp>
    </main>
    <main first="bofaddin.rtdserver">
      <tp>
        <v>288.20999999999998</v>
        <stp/>
        <stp>BDP|12698090387920052282|222</stp>
        <stp>XBJ7 Comdty</stp>
        <stp>BID</stp>
        <stp>Fill=#N/A</stp>
        <tr r="J26" s="1"/>
      </tp>
    </main>
    <main first="esrtd">
      <tp t="s">
        <v/>
        <stp/>
        <stp>WNS 2!-IEU</stp>
        <stp>Ask</stp>
        <tr r="H1849" s="5"/>
      </tp>
      <tp t="s">
        <v/>
        <stp/>
        <stp>WMJ 2!-IEU</stp>
        <stp>Ask</stp>
        <tr r="H1884" s="5"/>
      </tp>
      <tp t="s">
        <v/>
        <stp/>
        <stp>WHK 2!-IEU</stp>
        <stp>Ask</stp>
        <tr r="H1919" s="5"/>
      </tp>
      <tp t="s">
        <v/>
        <stp/>
        <stp>TDL 1!-IEU</stp>
        <stp>Ask</stp>
        <tr r="H1813" s="5"/>
      </tp>
      <tp t="s">
        <v/>
        <stp/>
        <stp>WDF 2!-IEU</stp>
        <stp>Ask</stp>
        <tr r="H1779" s="5"/>
      </tp>
      <tp t="s">
        <v/>
        <stp/>
        <stp>WNS 3!-IEU</stp>
        <stp>Ask</stp>
        <tr r="H1850" s="5"/>
      </tp>
      <tp t="s">
        <v/>
        <stp/>
        <stp>WMJ 3!-IEU</stp>
        <stp>Ask</stp>
        <tr r="H1885" s="5"/>
      </tp>
      <tp t="s">
        <v/>
        <stp/>
        <stp>WHK 3!-IEU</stp>
        <stp>Ask</stp>
        <tr r="H1920" s="5"/>
      </tp>
      <tp t="s">
        <v/>
        <stp/>
        <stp>WDF 3!-IEU</stp>
        <stp>Ask</stp>
        <tr r="H1780" s="5"/>
      </tp>
      <tp t="s">
        <v/>
        <stp/>
        <stp>WNS 4!-IEU</stp>
        <stp>Ask</stp>
        <tr r="H1851" s="5"/>
      </tp>
      <tp t="s">
        <v/>
        <stp/>
        <stp>WMJ 4!-IEU</stp>
        <stp>Ask</stp>
        <tr r="H1886" s="5"/>
      </tp>
      <tp t="s">
        <v/>
        <stp/>
        <stp>WHK 4!-IEU</stp>
        <stp>Ask</stp>
        <tr r="H1921" s="5"/>
      </tp>
      <tp t="s">
        <v/>
        <stp/>
        <stp>TDL 7!-IEU</stp>
        <stp>Ask</stp>
        <tr r="H1819" s="5"/>
      </tp>
      <tp t="s">
        <v/>
        <stp/>
        <stp>WDF 4!-IEU</stp>
        <stp>Ask</stp>
        <tr r="H1781" s="5"/>
      </tp>
      <tp t="s">
        <v/>
        <stp/>
        <stp>WNS 5!-IEU</stp>
        <stp>Ask</stp>
        <tr r="H1852" s="5"/>
      </tp>
      <tp t="s">
        <v/>
        <stp/>
        <stp>WMJ 5!-IEU</stp>
        <stp>Ask</stp>
        <tr r="H1887" s="5"/>
      </tp>
      <tp t="s">
        <v/>
        <stp/>
        <stp>WHK 5!-IEU</stp>
        <stp>Ask</stp>
        <tr r="H1922" s="5"/>
      </tp>
      <tp t="s">
        <v/>
        <stp/>
        <stp>TDL 6!-IEU</stp>
        <stp>Ask</stp>
        <tr r="H1818" s="5"/>
      </tp>
      <tp t="s">
        <v/>
        <stp/>
        <stp>WDF 5!-IEU</stp>
        <stp>Ask</stp>
        <tr r="H1782" s="5"/>
      </tp>
      <tp t="s">
        <v/>
        <stp/>
        <stp>WNS 6!-IEU</stp>
        <stp>Ask</stp>
        <tr r="H1853" s="5"/>
      </tp>
      <tp t="s">
        <v/>
        <stp/>
        <stp>WMJ 6!-IEU</stp>
        <stp>Ask</stp>
        <tr r="H1888" s="5"/>
      </tp>
      <tp t="s">
        <v/>
        <stp/>
        <stp>WHK 6!-IEU</stp>
        <stp>Ask</stp>
        <tr r="H1923" s="5"/>
      </tp>
    </main>
    <main first="bofaddin.rtdserver">
      <tp t="s">
        <v>#N/A</v>
        <stp/>
        <stp>BDP|15966940482420641282|222</stp>
        <stp>HOF9 Comdty</stp>
        <stp>ASK</stp>
        <stp>Fill=#N/A</stp>
        <tr r="I47" s="1"/>
      </tp>
    </main>
    <main first="esrtd">
      <tp t="s">
        <v/>
        <stp/>
        <stp>TDL 5!-IEU</stp>
        <stp>Ask</stp>
        <tr r="H1817" s="5"/>
      </tp>
      <tp t="s">
        <v/>
        <stp/>
        <stp>WDF 6!-IEU</stp>
        <stp>Ask</stp>
        <tr r="H1783" s="5"/>
      </tp>
      <tp t="s">
        <v/>
        <stp/>
        <stp>WNS 7!-IEU</stp>
        <stp>Ask</stp>
        <tr r="H1854" s="5"/>
      </tp>
      <tp t="s">
        <v/>
        <stp/>
        <stp>WMJ 7!-IEU</stp>
        <stp>Ask</stp>
        <tr r="H1889" s="5"/>
      </tp>
      <tp t="s">
        <v/>
        <stp/>
        <stp>WHK 7!-IEU</stp>
        <stp>Ask</stp>
        <tr r="H1924" s="5"/>
      </tp>
      <tp t="s">
        <v/>
        <stp/>
        <stp>TDL 4!-IEU</stp>
        <stp>Ask</stp>
        <tr r="H1816" s="5"/>
      </tp>
      <tp t="s">
        <v/>
        <stp/>
        <stp>WDF 7!-IEU</stp>
        <stp>Ask</stp>
        <tr r="H1784" s="5"/>
      </tp>
      <tp t="s">
        <v/>
        <stp/>
        <stp>WNS 8!-IEU</stp>
        <stp>Ask</stp>
        <tr r="H1855" s="5"/>
      </tp>
      <tp t="s">
        <v/>
        <stp/>
        <stp>WMJ 8!-IEU</stp>
        <stp>Ask</stp>
        <tr r="H1890" s="5"/>
      </tp>
      <tp t="s">
        <v/>
        <stp/>
        <stp>WHK 8!-IEU</stp>
        <stp>Ask</stp>
        <tr r="H1925" s="5"/>
      </tp>
      <tp t="s">
        <v/>
        <stp/>
        <stp>WDF 8!-IEU</stp>
        <stp>Ask</stp>
        <tr r="H1785" s="5"/>
      </tp>
      <tp t="s">
        <v/>
        <stp/>
        <stp>WNS 9!-IEU</stp>
        <stp>Ask</stp>
        <tr r="H1856" s="5"/>
      </tp>
      <tp t="s">
        <v/>
        <stp/>
        <stp>WMJ 9!-IEU</stp>
        <stp>Ask</stp>
        <tr r="H1891" s="5"/>
      </tp>
      <tp t="s">
        <v/>
        <stp/>
        <stp>WHK 9!-IEU</stp>
        <stp>Ask</stp>
        <tr r="H1926" s="5"/>
      </tp>
      <tp t="s">
        <v/>
        <stp/>
        <stp>WDF 9!-IEU</stp>
        <stp>Ask</stp>
        <tr r="H1786" s="5"/>
      </tp>
      <tp t="s">
        <v/>
        <stp/>
        <stp>TDL 9!-IEU</stp>
        <stp>Ask</stp>
        <tr r="H1821" s="5"/>
      </tp>
      <tp t="s">
        <v/>
        <stp/>
        <stp>TDL 8!-IEU</stp>
        <stp>Ask</stp>
        <tr r="H1820" s="5"/>
      </tp>
    </main>
    <main first="bofaddin.rtdserver">
      <tp t="s">
        <v>#N/A</v>
        <stp/>
        <stp>BDP|11299851539204947111|222</stp>
        <stp>XBM9 Comdty</stp>
        <stp>ASK</stp>
        <stp>Fill=#N/A</stp>
        <tr r="J52" s="1"/>
      </tp>
      <tp t="s">
        <v>#N/A Invalid Security</v>
        <stp/>
        <stp>BDP|10437765019201567491|222</stp>
        <stp>CLN0 Comdty</stp>
        <stp>BID</stp>
        <stp>Fill=#N/A</stp>
        <tr r="F65" s="1"/>
      </tp>
    </main>
    <main first="esrtd">
      <tp t="s">
        <v/>
        <stp/>
        <stp>WDF 21!-IEU</stp>
        <stp>Last</stp>
        <tr r="I1798" s="5"/>
      </tp>
      <tp t="s">
        <v/>
        <stp/>
        <stp>WDF 11!-IEU</stp>
        <stp>Last</stp>
        <tr r="I1788" s="5"/>
      </tp>
      <tp t="s">
        <v/>
        <stp/>
        <stp>WDF Q1!-IEU</stp>
        <stp>Last</stp>
        <tr r="I1808" s="5"/>
      </tp>
      <tp t="s">
        <v/>
        <stp/>
        <stp>TDL 11!-IEU</stp>
        <stp>Last</stp>
        <tr r="I1823" s="5"/>
      </tp>
      <tp t="s">
        <v/>
        <stp/>
        <stp>TDL 21!-IEU</stp>
        <stp>Last</stp>
        <tr r="I1833" s="5"/>
      </tp>
      <tp t="s">
        <v/>
        <stp/>
        <stp>TDL Q1!-IEU</stp>
        <stp>Last</stp>
        <tr r="I1843" s="5"/>
      </tp>
    </main>
    <main first="ice.rtd">
      <tp>
        <v>2.3860000000000001</v>
        <stp/>
        <stp>141587Y1:Settle</stp>
        <tr r="U76" s="5"/>
      </tp>
      <tp>
        <v>3.2040000000000002</v>
        <stp/>
        <stp>141587Y0:Settle</stp>
        <tr r="U75" s="5"/>
      </tp>
      <tp>
        <v>2.14</v>
        <stp/>
        <stp>141587Y2:Settle</stp>
        <tr r="U77" s="5"/>
      </tp>
      <tp>
        <v>2.58</v>
        <stp/>
        <stp>141587Q5:Settle</stp>
        <tr r="U71" s="5"/>
      </tp>
      <tp>
        <v>2.9040000000000004</v>
        <stp/>
        <stp>141587Q4:Settle</stp>
        <tr r="U70" s="5"/>
      </tp>
      <tp>
        <v>2.3250000000000002</v>
        <stp/>
        <stp>141587Q7:Settle</stp>
        <tr r="U73" s="5"/>
      </tp>
      <tp>
        <v>2.4540000000000002</v>
        <stp/>
        <stp>141587Q6:Settle</stp>
        <tr r="U72" s="5"/>
      </tp>
      <tp>
        <v>3.5820000000000003</v>
        <stp/>
        <stp>141587Q1:Settle</stp>
        <tr r="U67" s="5"/>
      </tp>
      <tp>
        <v>2.82</v>
        <stp/>
        <stp>141587Q0:Settle</stp>
        <tr r="U66" s="5"/>
      </tp>
      <tp>
        <v>3.0710000000000002</v>
        <stp/>
        <stp>141587Q3:Settle</stp>
        <tr r="U69" s="5"/>
      </tp>
      <tp>
        <v>3.2600000000000002</v>
        <stp/>
        <stp>141587Q2:Settle</stp>
        <tr r="U68" s="5"/>
      </tp>
      <tp>
        <v>2.1840000000000002</v>
        <stp/>
        <stp>141587Q8:Settle</stp>
        <tr r="U74" s="5"/>
      </tp>
      <tp>
        <v>3.589</v>
        <stp/>
        <stp>141587M5:Settle</stp>
        <tr r="U46" s="5"/>
      </tp>
      <tp>
        <v>3.6840000000000002</v>
        <stp/>
        <stp>141587M4:Settle</stp>
        <tr r="U45" s="5"/>
      </tp>
      <tp>
        <v>3.3760000000000003</v>
        <stp/>
        <stp>141587M7:Settle</stp>
        <tr r="U48" s="5"/>
      </tp>
      <tp>
        <v>3.4740000000000002</v>
        <stp/>
        <stp>141587M6:Settle</stp>
        <tr r="U47" s="5"/>
      </tp>
      <tp>
        <v>1.72</v>
        <stp/>
        <stp>141587M1:Settle</stp>
        <tr r="U42" s="5"/>
      </tp>
      <tp>
        <v>-4.7</v>
        <stp/>
        <stp>141587M0:Settle</stp>
        <tr r="U41" s="5"/>
      </tp>
      <tp>
        <v>3.5390000000000001</v>
        <stp/>
        <stp>141587M3:Settle</stp>
        <tr r="U44" s="5"/>
      </tp>
      <tp>
        <v>3.2010000000000001</v>
        <stp/>
        <stp>141587M2:Settle</stp>
        <tr r="U43" s="5"/>
      </tp>
      <tp>
        <v>3.1670000000000003</v>
        <stp/>
        <stp>141587M9:Settle</stp>
        <tr r="U50" s="5"/>
      </tp>
      <tp>
        <v>3.2370000000000001</v>
        <stp/>
        <stp>141587M8:Settle</stp>
        <tr r="U49" s="5"/>
      </tp>
    </main>
    <main first="esrtd">
      <tp t="s">
        <v/>
        <stp/>
        <stp>WMJ 28!-IEU</stp>
        <stp>Last</stp>
        <tr r="I1910" s="5"/>
      </tp>
      <tp t="s">
        <v/>
        <stp/>
        <stp>WMJ 18!-IEU</stp>
        <stp>Last</stp>
        <tr r="I1900" s="5"/>
      </tp>
    </main>
    <main first="ice.rtd">
      <tp>
        <v>0</v>
        <stp/>
        <stp>1986923076M13:BlkVol</stp>
        <tr r="O168" s="5"/>
      </tp>
      <tp>
        <v>0</v>
        <stp/>
        <stp>1986923076M12:BlkVol</stp>
        <tr r="O167" s="5"/>
      </tp>
      <tp>
        <v>0</v>
        <stp/>
        <stp>1986923076M11:BlkVol</stp>
        <tr r="O166" s="5"/>
      </tp>
      <tp>
        <v>0</v>
        <stp/>
        <stp>1986923076M10:BlkVol</stp>
        <tr r="O165" s="5"/>
      </tp>
      <tp>
        <v>0</v>
        <stp/>
        <stp>1986923076M17:BlkVol</stp>
        <tr r="O172" s="5"/>
      </tp>
      <tp>
        <v>0</v>
        <stp/>
        <stp>1986923076M16:BlkVol</stp>
        <tr r="O171" s="5"/>
      </tp>
      <tp>
        <v>0</v>
        <stp/>
        <stp>1986923076M15:BlkVol</stp>
        <tr r="O170" s="5"/>
      </tp>
      <tp>
        <v>0</v>
        <stp/>
        <stp>1986923076M14:BlkVol</stp>
        <tr r="O169" s="5"/>
      </tp>
      <tp>
        <v>0</v>
        <stp/>
        <stp>1986923076M19:BlkVol</stp>
        <tr r="O174" s="5"/>
      </tp>
      <tp>
        <v>0</v>
        <stp/>
        <stp>1986923076M18:BlkVol</stp>
        <tr r="O173" s="5"/>
      </tp>
      <tp>
        <v>0</v>
        <stp/>
        <stp>1986923076M23:BlkVol</stp>
        <tr r="O178" s="5"/>
      </tp>
      <tp>
        <v>0</v>
        <stp/>
        <stp>1986923076M22:BlkVol</stp>
        <tr r="O177" s="5"/>
      </tp>
      <tp>
        <v>0</v>
        <stp/>
        <stp>1986923076M21:BlkVol</stp>
        <tr r="O176" s="5"/>
      </tp>
      <tp>
        <v>0</v>
        <stp/>
        <stp>1986923076M20:BlkVol</stp>
        <tr r="O175" s="5"/>
      </tp>
      <tp>
        <v>0</v>
        <stp/>
        <stp>1986923076M24:BlkVol</stp>
        <tr r="O179" s="5"/>
      </tp>
      <tp>
        <v>0</v>
        <stp/>
        <stp>2755728678M18:BlkVol</stp>
        <tr r="O1129" s="5"/>
      </tp>
      <tp>
        <v>0</v>
        <stp/>
        <stp>2755728678M19:BlkVol</stp>
        <tr r="O1130" s="5"/>
      </tp>
      <tp>
        <v>0</v>
        <stp/>
        <stp>2755728678M16:BlkVol</stp>
        <tr r="O1127" s="5"/>
      </tp>
      <tp>
        <v>0</v>
        <stp/>
        <stp>2755728678M17:BlkVol</stp>
        <tr r="O1128" s="5"/>
      </tp>
      <tp>
        <v>0</v>
        <stp/>
        <stp>2755728678M14:BlkVol</stp>
        <tr r="O1125" s="5"/>
      </tp>
      <tp>
        <v>0</v>
        <stp/>
        <stp>2755728678M15:BlkVol</stp>
        <tr r="O1126" s="5"/>
      </tp>
      <tp>
        <v>0</v>
        <stp/>
        <stp>2755728678M12:BlkVol</stp>
        <tr r="O1123" s="5"/>
      </tp>
      <tp>
        <v>0</v>
        <stp/>
        <stp>2755728678M13:BlkVol</stp>
        <tr r="O1124" s="5"/>
      </tp>
      <tp>
        <v>0</v>
        <stp/>
        <stp>2755728678M10:BlkVol</stp>
        <tr r="O1121" s="5"/>
      </tp>
      <tp>
        <v>0</v>
        <stp/>
        <stp>2755728678M11:BlkVol</stp>
        <tr r="O1122" s="5"/>
      </tp>
      <tp>
        <v>0</v>
        <stp/>
        <stp>2755728678M24:BlkVol</stp>
        <tr r="O1135" s="5"/>
      </tp>
      <tp>
        <v>0</v>
        <stp/>
        <stp>2755728678M22:BlkVol</stp>
        <tr r="O1133" s="5"/>
      </tp>
      <tp>
        <v>0</v>
        <stp/>
        <stp>2755728678M23:BlkVol</stp>
        <tr r="O1134" s="5"/>
      </tp>
      <tp>
        <v>0</v>
        <stp/>
        <stp>2755728678M20:BlkVol</stp>
        <tr r="O1131" s="5"/>
      </tp>
      <tp>
        <v>0</v>
        <stp/>
        <stp>2755728678M21:BlkVol</stp>
        <tr r="O1132" s="5"/>
      </tp>
      <tp t="s">
        <v>Invalid Market: 2972825746BM0</v>
        <stp/>
        <stp>2972825746BM0:BlkVol</stp>
        <tr r="O1714" s="5"/>
      </tp>
      <tp t="s">
        <v>Sep26/Mar27</v>
        <stp/>
        <stp>366531MM5:Strip</stp>
        <tr r="E1720" s="5"/>
      </tp>
      <tp t="s">
        <v>Jan28</v>
        <stp/>
        <stp>266419M16:Strip</stp>
        <tr r="E975" s="5"/>
      </tp>
      <tp t="s">
        <v>Invalid Market: CALCQ4</v>
        <stp/>
        <stp>CALCQ4:BstHitPrc</stp>
        <tr r="G1216" s="5"/>
        <tr r="G1368" s="5"/>
      </tp>
      <tp t="s">
        <v>Invalid Market: CALCM4</v>
        <stp/>
        <stp>CALCM4:BstHitPrc</stp>
        <tr r="G1191" s="5"/>
        <tr r="G1343" s="5"/>
      </tp>
    </main>
    <main first="ice.rtd">
      <tp t="s">
        <v>Invalid Market: CALCM4</v>
        <stp/>
        <stp>CALCM4:LstBlkPrc</stp>
        <tr r="K1191" s="5"/>
        <tr r="K1343" s="5"/>
      </tp>
      <tp t="s">
        <v>Invalid Market: CALCQ4</v>
        <stp/>
        <stp>CALCQ4:LstBlkPrc</stp>
        <tr r="K1216" s="5"/>
        <tr r="K1368" s="5"/>
      </tp>
    </main>
    <main first="ice.rtd">
      <tp t="s">
        <v>Invalid Market: CALCM2</v>
        <stp/>
        <stp>CALCM2:LstBlkVol</stp>
        <tr r="L1189" s="5"/>
        <tr r="L1341" s="5"/>
      </tp>
      <tp t="s">
        <v>Invalid Market: CALCY2</v>
        <stp/>
        <stp>CALCY2:LstBlkVol</stp>
        <tr r="L1223" s="5"/>
        <tr r="L1375" s="5"/>
      </tp>
      <tp t="s">
        <v>Invalid Market: CALCQ2</v>
        <stp/>
        <stp>CALCQ2:LstBlkVol</stp>
        <tr r="L1366" s="5"/>
        <tr r="L1214" s="5"/>
      </tp>
    </main>
    <main first="bofaddin.rtdserver">
      <tp t="s">
        <v>#N/A</v>
        <stp/>
        <stp>BDP|3863556328689596457|222</stp>
        <stp>MUCU7V7 Comdty</stp>
        <stp>ASK</stp>
        <stp>Fill=#N/A</stp>
        <tr r="S32" s="1"/>
      </tp>
      <tp t="s">
        <v>#N/A</v>
        <stp/>
        <stp>BDP|9371649168478895381|222</stp>
        <stp>OQAV9X9 Comdty</stp>
        <stp>ASK</stp>
        <stp>Fill=#N/A</stp>
        <tr r="T57" s="1"/>
      </tp>
      <tp t="s">
        <v>#N/A</v>
        <stp/>
        <stp>BDP|5969736942198159046|222</stp>
        <stp>OQAX7Z7 Comdty</stp>
        <stp>ASK</stp>
        <stp>Fill=#N/A</stp>
        <tr r="T34" s="1"/>
      </tp>
      <tp>
        <v>0.17</v>
        <stp/>
        <stp>BDP|749866926619870627|222</stp>
        <stp>COH9COJ9 Comdty</stp>
        <stp>ASK</stp>
        <stp>Fill=#N/A</stp>
        <tr r="O50" s="1"/>
      </tp>
      <tp t="s">
        <v>#N/A</v>
        <stp/>
        <stp>BDP|3383433772782245820|222</stp>
        <stp>OQAX9Z9 Comdty</stp>
        <stp>BID</stp>
        <stp>Fill=#N/A</stp>
        <tr r="T58" s="1"/>
      </tp>
    </main>
    <main first="esrtd">
      <tp t="s">
        <v/>
        <stp/>
        <stp>Invalid Market: CALCM1 V26-IEU</stp>
        <stp>ICE Theoretical Price</stp>
        <tr r="W1188" s="5"/>
        <tr r="W846" s="5"/>
        <tr r="W1340" s="5"/>
        <tr r="W384" s="5"/>
        <tr r="W1074" s="5"/>
        <tr r="W270" s="5"/>
      </tp>
    </main>
    <main first="ice.rtd">
      <tp>
        <v>-9.0707000000000004</v>
        <stp/>
        <stp>5162M4:Settle</stp>
        <tr r="U773" s="5"/>
      </tp>
      <tp>
        <v>-8.6094000000000008</v>
        <stp/>
        <stp>5162M5:Settle</stp>
        <tr r="U774" s="5"/>
      </tp>
      <tp>
        <v>-8.2018000000000004</v>
        <stp/>
        <stp>5162M6:Settle</stp>
        <tr r="U775" s="5"/>
      </tp>
      <tp>
        <v>-7.8093000000000004</v>
        <stp/>
        <stp>5162M7:Settle</stp>
        <tr r="U776" s="5"/>
      </tp>
      <tp>
        <v>-12.157400000000001</v>
        <stp/>
        <stp>5162M0:Settle</stp>
        <tr r="U769" s="5"/>
      </tp>
      <tp>
        <v>-11.450000000000001</v>
        <stp/>
        <stp>5162M1:Settle</stp>
        <tr r="U770" s="5"/>
      </tp>
      <tp>
        <v>-10.4961</v>
        <stp/>
        <stp>5162M2:Settle</stp>
        <tr r="U771" s="5"/>
      </tp>
      <tp>
        <v>-9.6342999999999996</v>
        <stp/>
        <stp>5162M3:Settle</stp>
        <tr r="U772" s="5"/>
      </tp>
      <tp>
        <v>-7.5005000000000006</v>
        <stp/>
        <stp>5162M8:Settle</stp>
        <tr r="U777" s="5"/>
      </tp>
      <tp>
        <v>-7.4603999999999999</v>
        <stp/>
        <stp>5162M9:Settle</stp>
        <tr r="U778" s="5"/>
      </tp>
      <tp>
        <v>-8.4535</v>
        <stp/>
        <stp>5162Q4:Settle</stp>
        <tr r="U798" s="5"/>
      </tp>
      <tp>
        <v>-8.2688000000000006</v>
        <stp/>
        <stp>5162Q5:Settle</stp>
        <tr r="U799" s="5"/>
      </tp>
      <tp>
        <v>-8.0039999999999996</v>
        <stp/>
        <stp>5162Q6:Settle</stp>
        <tr r="U800" s="5"/>
      </tp>
      <tp>
        <v>-7.9577</v>
        <stp/>
        <stp>5162Q7:Settle</stp>
        <tr r="U801" s="5"/>
      </tp>
      <tp>
        <v>-10.5268</v>
        <stp/>
        <stp>5162Q0:Settle</stp>
        <tr r="U794" s="5"/>
      </tp>
      <tp>
        <v>-8.6273</v>
        <stp/>
        <stp>5162Q1:Settle</stp>
        <tr r="U795" s="5"/>
      </tp>
      <tp>
        <v>-7.5901000000000005</v>
        <stp/>
        <stp>5162Q2:Settle</stp>
        <tr r="U796" s="5"/>
      </tp>
      <tp>
        <v>-7.7303000000000006</v>
        <stp/>
        <stp>5162Q3:Settle</stp>
        <tr r="U797" s="5"/>
      </tp>
      <tp>
        <v>-7.8374000000000006</v>
        <stp/>
        <stp>5162Q8:Settle</stp>
        <tr r="U802" s="5"/>
      </tp>
      <tp>
        <v>-8.1003000000000007</v>
        <stp/>
        <stp>5162Y0:Settle</stp>
        <tr r="U803" s="5"/>
      </tp>
      <tp>
        <v>-8.0170000000000012</v>
        <stp/>
        <stp>5162Y1:Settle</stp>
        <tr r="U804" s="5"/>
      </tp>
      <tp>
        <v>-6.7701000000000002</v>
        <stp/>
        <stp>5162Y2:Settle</stp>
        <tr r="U805" s="5"/>
      </tp>
    </main>
    <main first="bofaddin.rtdserver">
      <tp t="s">
        <v>#N/A</v>
        <stp/>
        <stp>BDP|17264670881793382131|222</stp>
        <stp>HOK9 Comdty</stp>
        <stp>ASK</stp>
        <stp>Fill=#N/A</stp>
        <tr r="I51" s="1"/>
      </tp>
      <tp t="s">
        <v>#N/A</v>
        <stp/>
        <stp>BDP|13305635609118801059|222</stp>
        <stp>HON8 Comdty</stp>
        <stp>ASK</stp>
        <stp>Fill=#N/A</stp>
        <tr r="I41" s="1"/>
      </tp>
      <tp>
        <v>76.03</v>
        <stp/>
        <stp>BDP|12195144378005805347|222</stp>
        <stp>COF8 Comdty</stp>
        <stp>BID</stp>
        <stp>Fill=#N/A</stp>
        <tr r="G35" s="1"/>
      </tp>
      <tp>
        <v>75.25</v>
        <stp/>
        <stp>BDP|17735715344250793710|222</stp>
        <stp>CON8 Comdty</stp>
        <stp>ASK</stp>
        <stp>Fill=#N/A</stp>
        <tr r="G41" s="1"/>
      </tp>
      <tp>
        <v>348.6</v>
        <stp/>
        <stp>BDP|10941627536082783409|222</stp>
        <stp>HON7 Comdty</stp>
        <stp>BID</stp>
        <stp>Fill=#N/A</stp>
        <tr r="I29" s="1"/>
      </tp>
      <tp>
        <v>285.57</v>
        <stp/>
        <stp>BDP|11681255102428046865|222</stp>
        <stp>XBK7 Comdty</stp>
        <stp>ASK</stp>
        <stp>Fill=#N/A</stp>
        <tr r="J27" s="1"/>
      </tp>
      <tp>
        <v>797</v>
        <stp/>
        <stp>BDP|14296930850538055633|222</stp>
        <stp>QSF9 Comdty</stp>
        <stp>BID</stp>
        <stp>Fill=#N/A</stp>
        <tr r="H47" s="1"/>
      </tp>
    </main>
    <main first="esrtd">
      <tp t="s">
        <v/>
        <stp/>
        <stp>WDF 30!-IEU</stp>
        <stp>Last</stp>
        <tr r="I1807" s="5"/>
      </tp>
      <tp t="s">
        <v/>
        <stp/>
        <stp>WDF 20!-IEU</stp>
        <stp>Last</stp>
        <tr r="I1797" s="5"/>
      </tp>
      <tp t="s">
        <v/>
        <stp/>
        <stp>WDF 10!-IEU</stp>
        <stp>Last</stp>
        <tr r="I1787" s="5"/>
      </tp>
      <tp t="s">
        <v/>
        <stp/>
        <stp>TDL 10!-IEU</stp>
        <stp>Last</stp>
        <tr r="I1822" s="5"/>
      </tp>
      <tp t="s">
        <v/>
        <stp/>
        <stp>TDL 20!-IEU</stp>
        <stp>Last</stp>
        <tr r="I1832" s="5"/>
      </tp>
      <tp t="s">
        <v/>
        <stp/>
        <stp>TDL 30!-IEU</stp>
        <stp>Last</stp>
        <tr r="I1842" s="5"/>
      </tp>
    </main>
    <main first="bofaddin.rtdserver">
      <tp t="s">
        <v>#N/A</v>
        <stp/>
        <stp>BDP|681810672620559454|222</stp>
        <stp>MUCN30 Comdty</stp>
        <stp>ASK</stp>
        <stp>Fill=#N/A</stp>
        <tr r="K65" s="1"/>
      </tp>
    </main>
    <main first="esrtd">
      <tp t="s">
        <v/>
        <stp/>
        <stp>WMJ 29!-IEU</stp>
        <stp>Last</stp>
        <tr r="I1911" s="5"/>
      </tp>
      <tp t="s">
        <v/>
        <stp/>
        <stp>WMJ 19!-IEU</stp>
        <stp>Last</stp>
        <tr r="I1901" s="5"/>
      </tp>
    </main>
    <main first="bofaddin.rtdserver">
      <tp t="s">
        <v>#N/A</v>
        <stp/>
        <stp>BDP|355062225110923546|222</stp>
        <stp>OQAM28 Comdty</stp>
        <stp>BID</stp>
        <stp>Fill=#N/A</stp>
        <tr r="L40" s="1"/>
      </tp>
    </main>
    <main first="ice.rtd">
      <tp>
        <v>0</v>
        <stp/>
        <stp>2755828679M11:BlkVol</stp>
        <tr r="O1008" s="5"/>
      </tp>
      <tp>
        <v>0</v>
        <stp/>
        <stp>2755828679M10:BlkVol</stp>
        <tr r="O1007" s="5"/>
      </tp>
      <tp>
        <v>0</v>
        <stp/>
        <stp>2755828679M13:BlkVol</stp>
        <tr r="O1010" s="5"/>
      </tp>
      <tp>
        <v>0</v>
        <stp/>
        <stp>2755828679M12:BlkVol</stp>
        <tr r="O1009" s="5"/>
      </tp>
      <tp>
        <v>0</v>
        <stp/>
        <stp>2755828679M15:BlkVol</stp>
        <tr r="O1012" s="5"/>
      </tp>
      <tp>
        <v>0</v>
        <stp/>
        <stp>2755828679M14:BlkVol</stp>
        <tr r="O1011" s="5"/>
      </tp>
      <tp>
        <v>0</v>
        <stp/>
        <stp>2755828679M17:BlkVol</stp>
        <tr r="O1014" s="5"/>
      </tp>
      <tp>
        <v>0</v>
        <stp/>
        <stp>2755828679M16:BlkVol</stp>
        <tr r="O1013" s="5"/>
      </tp>
      <tp>
        <v>0</v>
        <stp/>
        <stp>2755828679M19:BlkVol</stp>
        <tr r="O1016" s="5"/>
      </tp>
      <tp>
        <v>0</v>
        <stp/>
        <stp>2755828679M18:BlkVol</stp>
        <tr r="O1015" s="5"/>
      </tp>
      <tp>
        <v>0</v>
        <stp/>
        <stp>2755828679M21:BlkVol</stp>
        <tr r="O1018" s="5"/>
      </tp>
      <tp>
        <v>0</v>
        <stp/>
        <stp>2755828679M20:BlkVol</stp>
        <tr r="O1017" s="5"/>
      </tp>
      <tp>
        <v>0</v>
        <stp/>
        <stp>2755828679M23:BlkVol</stp>
        <tr r="O1020" s="5"/>
      </tp>
      <tp>
        <v>0</v>
        <stp/>
        <stp>2755828679M22:BlkVol</stp>
        <tr r="O1019" s="5"/>
      </tp>
      <tp>
        <v>0</v>
        <stp/>
        <stp>2755828679M24:BlkVol</stp>
        <tr r="O1021" s="5"/>
      </tp>
      <tp t="s">
        <v>Sep26/Feb27</v>
        <stp/>
        <stp>366531MM4:Strip</stp>
        <tr r="E1719" s="5"/>
      </tp>
      <tp t="s">
        <v/>
        <stp/>
        <stp>3124331018M12:LstPrc</stp>
        <tr r="I1617" s="5"/>
      </tp>
      <tp t="s">
        <v/>
        <stp/>
        <stp>3124331018M13:LstPrc</stp>
        <tr r="I1618" s="5"/>
      </tp>
      <tp t="s">
        <v/>
        <stp/>
        <stp>3124331018M10:LstPrc</stp>
        <tr r="I1615" s="5"/>
      </tp>
      <tp t="s">
        <v/>
        <stp/>
        <stp>3124331018M11:LstPrc</stp>
        <tr r="I1616" s="5"/>
      </tp>
      <tp t="s">
        <v/>
        <stp/>
        <stp>3124331018M14:LstPrc</stp>
        <tr r="I1619" s="5"/>
      </tp>
      <tp t="s">
        <v/>
        <stp/>
        <stp>1923422331M14:LstPrc</stp>
        <tr r="I1641" s="5"/>
      </tp>
      <tp t="s">
        <v/>
        <stp/>
        <stp>1923422331M11:LstPrc</stp>
        <tr r="I1638" s="5"/>
      </tp>
      <tp t="s">
        <v/>
        <stp/>
        <stp>1923422331M10:LstPrc</stp>
        <tr r="I1637" s="5"/>
      </tp>
      <tp t="s">
        <v/>
        <stp/>
        <stp>1923422331M13:LstPrc</stp>
        <tr r="I1640" s="5"/>
      </tp>
      <tp t="s">
        <v/>
        <stp/>
        <stp>1923422331M12:LstPrc</stp>
        <tr r="I1639" s="5"/>
      </tp>
      <tp t="s">
        <v>Feb28</v>
        <stp/>
        <stp>266419M17:Strip</stp>
        <tr r="E976" s="5"/>
      </tp>
      <tp>
        <v>13</v>
        <stp/>
        <stp>266M13:Settle</stp>
        <tr r="U934" s="5"/>
      </tp>
      <tp>
        <v>13</v>
        <stp/>
        <stp>266M12:Settle</stp>
        <tr r="U933" s="5"/>
      </tp>
      <tp>
        <v>12.75</v>
        <stp/>
        <stp>266M11:Settle</stp>
        <tr r="U932" s="5"/>
      </tp>
      <tp>
        <v>12.75</v>
        <stp/>
        <stp>266M10:Settle</stp>
        <tr r="U931" s="5"/>
      </tp>
      <tp>
        <v>14.25</v>
        <stp/>
        <stp>266M17:Settle</stp>
        <tr r="U938" s="5"/>
      </tp>
      <tp>
        <v>12.75</v>
        <stp/>
        <stp>266M16:Settle</stp>
        <tr r="U937" s="5"/>
      </tp>
      <tp>
        <v>12.75</v>
        <stp/>
        <stp>266M15:Settle</stp>
        <tr r="U936" s="5"/>
      </tp>
      <tp>
        <v>12.75</v>
        <stp/>
        <stp>266M14:Settle</stp>
        <tr r="U935" s="5"/>
      </tp>
      <tp>
        <v>17.25</v>
        <stp/>
        <stp>266M19:Settle</stp>
        <tr r="U940" s="5"/>
      </tp>
      <tp>
        <v>15.75</v>
        <stp/>
        <stp>266M18:Settle</stp>
        <tr r="U939" s="5"/>
      </tp>
      <tp>
        <v>24.25</v>
        <stp/>
        <stp>266M23:Settle</stp>
        <tr r="U944" s="5"/>
      </tp>
      <tp>
        <v>22.25</v>
        <stp/>
        <stp>266M22:Settle</stp>
        <tr r="U943" s="5"/>
      </tp>
      <tp>
        <v>20.5</v>
        <stp/>
        <stp>266M21:Settle</stp>
        <tr r="U942" s="5"/>
      </tp>
      <tp>
        <v>18.75</v>
        <stp/>
        <stp>266M20:Settle</stp>
        <tr r="U941" s="5"/>
      </tp>
      <tp>
        <v>26.5</v>
        <stp/>
        <stp>266M24:Settle</stp>
        <tr r="U945" s="5"/>
      </tp>
      <tp t="s">
        <v>Invalid Market: CALCQ5</v>
        <stp/>
        <stp>CALCQ5:BstHitPrc</stp>
        <tr r="G1217" s="5"/>
        <tr r="G1369" s="5"/>
      </tp>
      <tp t="s">
        <v>Invalid Market: CALCM5</v>
        <stp/>
        <stp>CALCM5:BstHitPrc</stp>
        <tr r="G1192" s="5"/>
        <tr r="G1344" s="5"/>
      </tp>
    </main>
    <main first="ice.rtd">
      <tp t="s">
        <v>Invalid Market: CALCM5</v>
        <stp/>
        <stp>CALCM5:LstBlkPrc</stp>
        <tr r="K1192" s="5"/>
        <tr r="K1344" s="5"/>
      </tp>
      <tp t="s">
        <v>Invalid Market: CALCQ5</v>
        <stp/>
        <stp>CALCQ5:LstBlkPrc</stp>
        <tr r="K1369" s="5"/>
        <tr r="K1217" s="5"/>
      </tp>
      <tp t="s">
        <v>Invalid Market: CALCM3</v>
        <stp/>
        <stp>CALCM3:LstBlkVol</stp>
        <tr r="L1190" s="5"/>
        <tr r="L1342" s="5"/>
      </tp>
      <tp t="s">
        <v>Invalid Market: CALCQ3</v>
        <stp/>
        <stp>CALCQ3:LstBlkVol</stp>
        <tr r="L1367" s="5"/>
        <tr r="L1215" s="5"/>
      </tp>
    </main>
    <main first="esrtd">
      <tp t="s">
        <v/>
        <stp/>
        <stp>WNS 8!-IEU</stp>
        <stp>Block Price</stp>
        <tr r="K1855" s="5"/>
      </tp>
      <tp t="s">
        <v/>
        <stp/>
        <stp>WMJ 8!-IEU</stp>
        <stp>Block Price</stp>
        <tr r="K1890" s="5"/>
      </tp>
      <tp t="s">
        <v/>
        <stp/>
        <stp>WHK 8!-IEU</stp>
        <stp>Block Price</stp>
        <tr r="K1925" s="5"/>
      </tp>
      <tp t="s">
        <v/>
        <stp/>
        <stp>WDF 8!-IEU</stp>
        <stp>Block Price</stp>
        <tr r="K1785" s="5"/>
      </tp>
      <tp t="s">
        <v/>
        <stp/>
        <stp>WNS 9!-IEU</stp>
        <stp>Block Price</stp>
        <tr r="K1856" s="5"/>
      </tp>
      <tp t="s">
        <v/>
        <stp/>
        <stp>WMJ 9!-IEU</stp>
        <stp>Block Price</stp>
        <tr r="K1891" s="5"/>
      </tp>
      <tp t="s">
        <v/>
        <stp/>
        <stp>WHK 9!-IEU</stp>
        <stp>Block Price</stp>
        <tr r="K1926" s="5"/>
      </tp>
      <tp t="s">
        <v/>
        <stp/>
        <stp>WDF 9!-IEU</stp>
        <stp>Block Price</stp>
        <tr r="K1786" s="5"/>
      </tp>
      <tp t="s">
        <v/>
        <stp/>
        <stp>TDL 9!-IEU</stp>
        <stp>Block Price</stp>
        <tr r="K1821" s="5"/>
      </tp>
      <tp t="s">
        <v/>
        <stp/>
        <stp>TDL 8!-IEU</stp>
        <stp>Block Price</stp>
        <tr r="K1820" s="5"/>
      </tp>
      <tp t="s">
        <v/>
        <stp/>
        <stp>WNS 4!-IEU</stp>
        <stp>Block Price</stp>
        <tr r="K1851" s="5"/>
      </tp>
      <tp t="s">
        <v/>
        <stp/>
        <stp>WMJ 4!-IEU</stp>
        <stp>Block Price</stp>
        <tr r="K1886" s="5"/>
      </tp>
      <tp t="s">
        <v/>
        <stp/>
        <stp>WHK 4!-IEU</stp>
        <stp>Block Price</stp>
        <tr r="K1921" s="5"/>
      </tp>
      <tp t="s">
        <v/>
        <stp/>
        <stp>WDF 4!-IEU</stp>
        <stp>Block Price</stp>
        <tr r="K1781" s="5"/>
      </tp>
      <tp t="s">
        <v/>
        <stp/>
        <stp>TDL 7!-IEU</stp>
        <stp>Block Price</stp>
        <tr r="K1819" s="5"/>
      </tp>
      <tp t="s">
        <v/>
        <stp/>
        <stp>WNS 5!-IEU</stp>
        <stp>Block Price</stp>
        <tr r="K1852" s="5"/>
      </tp>
      <tp t="s">
        <v/>
        <stp/>
        <stp>WMJ 5!-IEU</stp>
        <stp>Block Price</stp>
        <tr r="K1887" s="5"/>
      </tp>
      <tp t="s">
        <v/>
        <stp/>
        <stp>WHK 5!-IEU</stp>
        <stp>Block Price</stp>
        <tr r="K1922" s="5"/>
      </tp>
      <tp t="s">
        <v/>
        <stp/>
        <stp>WDF 5!-IEU</stp>
        <stp>Block Price</stp>
        <tr r="K1782" s="5"/>
      </tp>
      <tp t="s">
        <v/>
        <stp/>
        <stp>TDL 6!-IEU</stp>
        <stp>Block Price</stp>
        <tr r="K1818" s="5"/>
      </tp>
      <tp t="s">
        <v/>
        <stp/>
        <stp>WNS 6!-IEU</stp>
        <stp>Block Price</stp>
        <tr r="K1853" s="5"/>
      </tp>
      <tp t="s">
        <v/>
        <stp/>
        <stp>WMJ 6!-IEU</stp>
        <stp>Block Price</stp>
        <tr r="K1888" s="5"/>
      </tp>
      <tp t="s">
        <v/>
        <stp/>
        <stp>WHK 6!-IEU</stp>
        <stp>Block Price</stp>
        <tr r="K1923" s="5"/>
      </tp>
      <tp t="s">
        <v/>
        <stp/>
        <stp>WDF 6!-IEU</stp>
        <stp>Block Price</stp>
        <tr r="K1783" s="5"/>
      </tp>
      <tp t="s">
        <v/>
        <stp/>
        <stp>TDL 5!-IEU</stp>
        <stp>Block Price</stp>
        <tr r="K1817" s="5"/>
      </tp>
      <tp t="s">
        <v/>
        <stp/>
        <stp>WNS 7!-IEU</stp>
        <stp>Block Price</stp>
        <tr r="K1854" s="5"/>
      </tp>
      <tp t="s">
        <v/>
        <stp/>
        <stp>WMJ 7!-IEU</stp>
        <stp>Block Price</stp>
        <tr r="K1889" s="5"/>
      </tp>
      <tp t="s">
        <v/>
        <stp/>
        <stp>WHK 7!-IEU</stp>
        <stp>Block Price</stp>
        <tr r="K1924" s="5"/>
      </tp>
      <tp t="s">
        <v/>
        <stp/>
        <stp>WDF 7!-IEU</stp>
        <stp>Block Price</stp>
        <tr r="K1784" s="5"/>
      </tp>
      <tp t="s">
        <v/>
        <stp/>
        <stp>TDL 4!-IEU</stp>
        <stp>Block Price</stp>
        <tr r="K1816" s="5"/>
      </tp>
      <tp t="s">
        <v/>
        <stp/>
        <stp>TDL 3!-IEU</stp>
        <stp>Block Price</stp>
        <tr r="K1815" s="5"/>
      </tp>
      <tp t="s">
        <v/>
        <stp/>
        <stp>WNS 1!-IEU</stp>
        <stp>Block Price</stp>
        <tr r="K1848" s="5"/>
      </tp>
      <tp t="s">
        <v/>
        <stp/>
        <stp>WMJ 1!-IEU</stp>
        <stp>Block Price</stp>
        <tr r="K1883" s="5"/>
      </tp>
      <tp t="s">
        <v/>
        <stp/>
        <stp>WHK 1!-IEU</stp>
        <stp>Block Price</stp>
        <tr r="K1918" s="5"/>
      </tp>
      <tp t="s">
        <v/>
        <stp/>
        <stp>WDF 1!-IEU</stp>
        <stp>Block Price</stp>
        <tr r="K1778" s="5"/>
      </tp>
      <tp t="s">
        <v/>
        <stp/>
        <stp>TDL 2!-IEU</stp>
        <stp>Block Price</stp>
        <tr r="K1814" s="5"/>
      </tp>
      <tp t="s">
        <v/>
        <stp/>
        <stp>WNS 2!-IEU</stp>
        <stp>Block Price</stp>
        <tr r="K1849" s="5"/>
      </tp>
      <tp t="s">
        <v/>
        <stp/>
        <stp>WMJ 2!-IEU</stp>
        <stp>Block Price</stp>
        <tr r="K1884" s="5"/>
      </tp>
      <tp t="s">
        <v/>
        <stp/>
        <stp>WHK 2!-IEU</stp>
        <stp>Block Price</stp>
        <tr r="K1919" s="5"/>
      </tp>
      <tp t="s">
        <v/>
        <stp/>
        <stp>WDF 2!-IEU</stp>
        <stp>Block Price</stp>
        <tr r="K1779" s="5"/>
      </tp>
      <tp t="s">
        <v/>
        <stp/>
        <stp>TDL 1!-IEU</stp>
        <stp>Block Price</stp>
        <tr r="K1813" s="5"/>
      </tp>
      <tp t="s">
        <v/>
        <stp/>
        <stp>WNS 3!-IEU</stp>
        <stp>Block Price</stp>
        <tr r="K1850" s="5"/>
      </tp>
      <tp t="s">
        <v/>
        <stp/>
        <stp>WMJ 3!-IEU</stp>
        <stp>Block Price</stp>
        <tr r="K1885" s="5"/>
      </tp>
      <tp t="s">
        <v/>
        <stp/>
        <stp>WHK 3!-IEU</stp>
        <stp>Block Price</stp>
        <tr r="K1920" s="5"/>
      </tp>
      <tp t="s">
        <v/>
        <stp/>
        <stp>WDF 3!-IEU</stp>
        <stp>Block Price</stp>
        <tr r="K1780" s="5"/>
      </tp>
    </main>
    <main first="bofaddin.rtdserver">
      <tp t="s">
        <v>#N/A Invalid Security</v>
        <stp/>
        <stp>BDP|655486929360284500|222</stp>
        <stp>XBH0XBJ0 Comdty</stp>
        <stp>BID</stp>
        <stp>Fill=#N/A</stp>
        <tr r="R62" s="1"/>
      </tp>
      <tp t="s">
        <v>#N/A</v>
        <stp/>
        <stp>BDP|1836961778570999958|222</stp>
        <stp>OQAN9Q9 Comdty</stp>
        <stp>BID</stp>
        <stp>Fill=#N/A</stp>
        <tr r="T54" s="1"/>
      </tp>
    </main>
    <main first="ice.rtd">
      <tp t="s">
        <v>BOD</v>
        <stp/>
        <stp>141587Y1:PCC</stp>
        <tr r="B76" s="5"/>
      </tp>
      <tp t="s">
        <v>BOD</v>
        <stp/>
        <stp>141587Y0:PCC</stp>
        <tr r="B75" s="5"/>
      </tp>
      <tp t="s">
        <v>BOD</v>
        <stp/>
        <stp>141587Y2:PCC</stp>
        <tr r="B77" s="5"/>
      </tp>
    </main>
    <main first="bofaddin.rtdserver">
      <tp t="s">
        <v>#N/A</v>
        <stp/>
        <stp>BDP|755541053471099693|222</stp>
        <stp>QSG0QSH0 Comdty</stp>
        <stp>ASK</stp>
        <stp>Fill=#N/A</stp>
        <tr r="P61" s="1"/>
      </tp>
      <tp t="s">
        <v>#N/A</v>
        <stp/>
        <stp>BDP|6921972245412585933|222</stp>
        <stp>OQAU7V7 Comdty</stp>
        <stp>BID</stp>
        <stp>Fill=#N/A</stp>
        <tr r="T32" s="1"/>
      </tp>
      <tp t="s">
        <v>#N/A</v>
        <stp/>
        <stp>BDP|640207021871551939|222</stp>
        <stp>HOX9HOZ9 Comdty</stp>
        <stp>ASK</stp>
        <stp>Fill=#N/A</stp>
        <tr r="Q58" s="1"/>
      </tp>
      <tp t="s">
        <v>#N/A</v>
        <stp/>
        <stp>BDP|6774940343018783521|222</stp>
        <stp>OQAN9Q9 Comdty</stp>
        <stp>ASK</stp>
        <stp>Fill=#N/A</stp>
        <tr r="T54" s="1"/>
      </tp>
    </main>
    <main first="ice.rtd">
      <tp t="s">
        <v>BOD</v>
        <stp/>
        <stp>141587Q1:PCC</stp>
        <tr r="B67" s="5"/>
      </tp>
      <tp t="s">
        <v>BOD</v>
        <stp/>
        <stp>141587Q0:PCC</stp>
        <tr r="B66" s="5"/>
      </tp>
      <tp t="s">
        <v>BOD</v>
        <stp/>
        <stp>141587Q3:PCC</stp>
        <tr r="B69" s="5"/>
      </tp>
      <tp t="s">
        <v>BOD</v>
        <stp/>
        <stp>141587Q2:PCC</stp>
        <tr r="B68" s="5"/>
      </tp>
      <tp t="s">
        <v>BOD</v>
        <stp/>
        <stp>141587Q5:PCC</stp>
        <tr r="B71" s="5"/>
      </tp>
      <tp t="s">
        <v>BOD</v>
        <stp/>
        <stp>141587Q4:PCC</stp>
        <tr r="B70" s="5"/>
      </tp>
      <tp t="s">
        <v>BOD</v>
        <stp/>
        <stp>141587Q7:PCC</stp>
        <tr r="B73" s="5"/>
      </tp>
      <tp t="s">
        <v>BOD</v>
        <stp/>
        <stp>141587Q6:PCC</stp>
        <tr r="B72" s="5"/>
      </tp>
      <tp t="s">
        <v>BOD</v>
        <stp/>
        <stp>141587Q8:PCC</stp>
        <tr r="B74" s="5"/>
      </tp>
    </main>
    <main first="bofaddin.rtdserver">
      <tp t="s">
        <v>#N/A</v>
        <stp/>
        <stp>BDP|9917887268506239556|222</stp>
        <stp>MUCN0Q0 Comdty</stp>
        <stp>BID</stp>
        <stp>Fill=#N/A</stp>
        <tr r="S66" s="1"/>
      </tp>
    </main>
    <main first="ice.rtd">
      <tp t="s">
        <v>BOD</v>
        <stp/>
        <stp>141587M1:PCC</stp>
        <tr r="B42" s="5"/>
      </tp>
      <tp t="s">
        <v>BOD</v>
        <stp/>
        <stp>141587M0:PCC</stp>
        <tr r="B41" s="5"/>
      </tp>
      <tp t="s">
        <v>BOD</v>
        <stp/>
        <stp>141587M3:PCC</stp>
        <tr r="B44" s="5"/>
      </tp>
      <tp t="s">
        <v>BOD</v>
        <stp/>
        <stp>141587M2:PCC</stp>
        <tr r="B43" s="5"/>
      </tp>
      <tp t="s">
        <v>BOD</v>
        <stp/>
        <stp>141587M5:PCC</stp>
        <tr r="B46" s="5"/>
      </tp>
      <tp t="s">
        <v>BOD</v>
        <stp/>
        <stp>141587M4:PCC</stp>
        <tr r="B45" s="5"/>
      </tp>
      <tp t="s">
        <v>BOD</v>
        <stp/>
        <stp>141587M7:PCC</stp>
        <tr r="B48" s="5"/>
      </tp>
      <tp t="s">
        <v>BOD</v>
        <stp/>
        <stp>141587M6:PCC</stp>
        <tr r="B47" s="5"/>
      </tp>
      <tp t="s">
        <v>BOD</v>
        <stp/>
        <stp>141587M9:PCC</stp>
        <tr r="B50" s="5"/>
      </tp>
      <tp t="s">
        <v>BOD</v>
        <stp/>
        <stp>141587M8:PCC</stp>
        <tr r="B49" s="5"/>
      </tp>
    </main>
    <main first="esrtd">
      <tp t="s">
        <v/>
        <stp/>
        <stp>Invalid Market: CALCM2 X26-IEU</stp>
        <stp>ICE Theoretical Price</stp>
        <tr r="W271" s="5"/>
        <tr r="W1341" s="5"/>
        <tr r="W1075" s="5"/>
        <tr r="W847" s="5"/>
        <tr r="W385" s="5"/>
        <tr r="W1189" s="5"/>
      </tp>
    </main>
    <main first="bofaddin.rtdserver">
      <tp>
        <v>77.05</v>
        <stp/>
        <stp>BDP|15978470117487374642|222</stp>
        <stp>COF8 Comdty</stp>
        <stp>ASK</stp>
        <stp>Fill=#N/A</stp>
        <tr r="G35" s="1"/>
      </tp>
      <tp>
        <v>805</v>
        <stp/>
        <stp>BDP|17509909893724802039|222</stp>
        <stp>QSH9 Comdty</stp>
        <stp>BID</stp>
        <stp>Fill=#N/A</stp>
        <tr r="H49" s="1"/>
      </tp>
    </main>
    <main first="esrtd">
      <tp t="s">
        <v/>
        <stp/>
        <stp>WNS 29!-IEU</stp>
        <stp>Last</stp>
        <tr r="I1876" s="5"/>
      </tp>
      <tp t="s">
        <v/>
        <stp/>
        <stp>WNS 19!-IEU</stp>
        <stp>Last</stp>
        <tr r="I1866" s="5"/>
      </tp>
    </main>
    <main first="bofaddin.rtdserver">
      <tp>
        <v>389.2</v>
        <stp/>
        <stp>BDP|14139952012177660721|222</stp>
        <stp>HOH7 Comdty</stp>
        <stp>BID</stp>
        <stp>Fill=#N/A</stp>
        <tr r="I25" s="1"/>
      </tp>
      <tp>
        <v>389.48</v>
        <stp/>
        <stp>BDP|16266757678204732058|222</stp>
        <stp>HOH7 Comdty</stp>
        <stp>ASK</stp>
        <stp>Fill=#N/A</stp>
        <tr r="I25" s="1"/>
      </tp>
      <tp t="s">
        <v>#N/A Invalid Security</v>
        <stp/>
        <stp>BDP|16272857930925942938|222</stp>
        <stp>COJ9 Comdty</stp>
        <stp>BID</stp>
        <stp>Fill=#N/A</stp>
        <tr r="G50" s="1"/>
      </tp>
      <tp>
        <v>245.37</v>
        <stp/>
        <stp>BDP|15773402761580825750|222</stp>
        <stp>XBM8 Comdty</stp>
        <stp>BID</stp>
        <stp>Fill=#N/A</stp>
        <tr r="J40" s="1"/>
      </tp>
    </main>
    <main first="esrtd">
      <tp t="s">
        <v/>
        <stp/>
        <stp>WDF 23!-IEU</stp>
        <stp>Last</stp>
        <tr r="I1800" s="5"/>
      </tp>
      <tp t="s">
        <v/>
        <stp/>
        <stp>WDF 13!-IEU</stp>
        <stp>Last</stp>
        <tr r="I1790" s="5"/>
      </tp>
      <tp t="s">
        <v/>
        <stp/>
        <stp>WDF Q3!-IEU</stp>
        <stp>Last</stp>
        <tr r="I1810" s="5"/>
      </tp>
      <tp t="s">
        <v/>
        <stp/>
        <stp>TDL 13!-IEU</stp>
        <stp>Last</stp>
        <tr r="I1825" s="5"/>
      </tp>
      <tp t="s">
        <v/>
        <stp/>
        <stp>TDL 23!-IEU</stp>
        <stp>Last</stp>
        <tr r="I1835" s="5"/>
      </tp>
      <tp t="s">
        <v/>
        <stp/>
        <stp>TDL Q3!-IEU</stp>
        <stp>Last</stp>
        <tr r="I1845" s="5"/>
      </tp>
    </main>
    <main first="ice.rtd">
      <tp t="s">
        <v>Sep26/May27</v>
        <stp/>
        <stp>366531MM7:Strip</stp>
        <tr r="E1722" s="5"/>
      </tp>
      <tp t="s">
        <v>Nov27</v>
        <stp/>
        <stp>266419M14:Strip</stp>
        <tr r="E973" s="5"/>
      </tp>
      <tp t="s">
        <v>Sep28</v>
        <stp/>
        <stp>266419M24:Strip</stp>
        <tr r="E983" s="5"/>
      </tp>
      <tp t="s">
        <v>Invalid Market: CALCQ6</v>
        <stp/>
        <stp>CALCQ6:BstHitPrc</stp>
        <tr r="G1370" s="5"/>
        <tr r="G1218" s="5"/>
      </tp>
      <tp t="s">
        <v>Invalid Market: CALCM6</v>
        <stp/>
        <stp>CALCM6:BstHitPrc</stp>
        <tr r="G1193" s="5"/>
        <tr r="G1345" s="5"/>
      </tp>
      <tp t="s">
        <v>Invalid Market: CALCM6</v>
        <stp/>
        <stp>CALCM6:LstBlkPrc</stp>
        <tr r="K1193" s="5"/>
        <tr r="K1345" s="5"/>
      </tp>
      <tp t="s">
        <v>Invalid Market: CALCQ6</v>
        <stp/>
        <stp>CALCQ6:LstBlkPrc</stp>
        <tr r="K1218" s="5"/>
        <tr r="K1370" s="5"/>
      </tp>
      <tp t="s">
        <v>Invalid Market: CALCM0</v>
        <stp/>
        <stp>CALCM0:LstBlkVol</stp>
        <tr r="L1187" s="5"/>
        <tr r="L1339" s="5"/>
      </tp>
      <tp t="s">
        <v>Invalid Market: CALCB0</v>
        <stp/>
        <stp>CALCB0:LstBlkVol</stp>
        <tr r="L1186" s="5"/>
        <tr r="L1338" s="5"/>
      </tp>
      <tp t="s">
        <v>Invalid Market: CALCY0</v>
        <stp/>
        <stp>CALCY0:LstBlkVol</stp>
        <tr r="L1221" s="5"/>
        <tr r="L1373" s="5"/>
      </tp>
      <tp t="s">
        <v>Invalid Market: CALCQ0</v>
        <stp/>
        <stp>CALCQ0:LstBlkVol</stp>
        <tr r="L1212" s="5"/>
        <tr r="L1364" s="5"/>
      </tp>
      <tp t="s">
        <v>Mar28</v>
        <stp/>
        <stp>1517M18:Strip</stp>
        <tr r="E21" s="5"/>
      </tp>
    </main>
    <main first="bofaddin.rtdserver">
      <tp t="s">
        <v>#N/A</v>
        <stp/>
        <stp>BDP|4629749666871924291|222</stp>
        <stp>OQAN7Q7 Comdty</stp>
        <stp>ASK</stp>
        <stp>Fill=#N/A</stp>
        <tr r="T30" s="1"/>
      </tp>
      <tp t="s">
        <v>#N/A</v>
        <stp/>
        <stp>BDP|4559516172408601042|222</stp>
        <stp>OQAN0Q0 Comdty</stp>
        <stp>ASK</stp>
        <stp>Fill=#N/A</stp>
        <tr r="T66" s="1"/>
      </tp>
    </main>
    <main first="esrtd">
      <tp t="s">
        <v/>
        <stp/>
        <stp>Invalid Market: CALCM3 Z26-IEU</stp>
        <stp>ICE Theoretical Price</stp>
        <tr r="W1076" s="5"/>
        <tr r="W272" s="5"/>
        <tr r="W1342" s="5"/>
        <tr r="W848" s="5"/>
        <tr r="W1190" s="5"/>
        <tr r="W386" s="5"/>
      </tp>
    </main>
    <main first="bofaddin.rtdserver">
      <tp>
        <v>79.569999999999993</v>
        <stp/>
        <stp>BDP|10828469242633140099|222</stp>
        <stp>CON7 Comdty</stp>
        <stp>BID</stp>
        <stp>Fill=#N/A</stp>
        <tr r="G29" s="1"/>
      </tp>
      <tp>
        <v>84.15</v>
        <stp/>
        <stp>BDP|12418028240038611751|222</stp>
        <stp>COH7 Comdty</stp>
        <stp>ASK</stp>
        <stp>Fill=#N/A</stp>
        <tr r="G25" s="1"/>
      </tp>
      <tp>
        <v>163</v>
        <stp/>
        <stp>BDP|17506590969492187105|222</stp>
        <stp>XBG9 Comdty</stp>
        <stp>BID</stp>
        <stp>Fill=#N/A</stp>
        <tr r="J48" s="1"/>
      </tp>
    </main>
    <main first="esrtd">
      <tp t="s">
        <v/>
        <stp/>
        <stp>WNS 28!-IEU</stp>
        <stp>Last</stp>
        <tr r="I1875" s="5"/>
      </tp>
      <tp t="s">
        <v/>
        <stp/>
        <stp>WNS 18!-IEU</stp>
        <stp>Last</stp>
        <tr r="I1865" s="5"/>
      </tp>
    </main>
    <main first="bofaddin.rtdserver">
      <tp>
        <v>884.5</v>
        <stp/>
        <stp>BDP|12625245517945735026|222</stp>
        <stp>QSJ8 Comdty</stp>
        <stp>ASK</stp>
        <stp>Fill=#N/A</stp>
        <tr r="H38" s="1"/>
      </tp>
      <tp t="s">
        <v>#N/A Invalid Security</v>
        <stp/>
        <stp>BDP|11825996358065200634|222</stp>
        <stp>CON9 Comdty</stp>
        <stp>BID</stp>
        <stp>Fill=#N/A</stp>
        <tr r="G53" s="1"/>
      </tp>
      <tp t="s">
        <v>#N/A Invalid Security</v>
        <stp/>
        <stp>BDP|18078902858676589441|222</stp>
        <stp>CLK9 Comdty</stp>
        <stp>ASK</stp>
        <stp>Fill=#N/A</stp>
        <tr r="F51" s="1"/>
      </tp>
      <tp t="s">
        <v>#N/A</v>
        <stp/>
        <stp>BDP|16205552958101528025|222</stp>
        <stp>QSJ0 Comdty</stp>
        <stp>BID</stp>
        <stp>Fill=#N/A</stp>
        <tr r="H62" s="1"/>
      </tp>
      <tp>
        <v>988.75</v>
        <stp/>
        <stp>BDP|13945416253874192963|222</stp>
        <stp>QSN7 Comdty</stp>
        <stp>BID</stp>
        <stp>Fill=#N/A</stp>
        <tr r="H29" s="1"/>
      </tp>
      <tp>
        <v>272.33</v>
        <stp/>
        <stp>BDP|17158120851377460558|222</stp>
        <stp>XBF7 Comdty</stp>
        <stp>BID</stp>
        <stp>Fill=#N/A</stp>
        <tr r="J23" s="1"/>
      </tp>
    </main>
    <main first="esrtd">
      <tp t="s">
        <v/>
        <stp/>
        <stp>TDL 9!-IEU</stp>
        <stp>Bid</stp>
        <tr r="G1821" s="5"/>
      </tp>
      <tp t="s">
        <v/>
        <stp/>
        <stp>TDL 8!-IEU</stp>
        <stp>Bid</stp>
        <tr r="G1820" s="5"/>
      </tp>
      <tp t="s">
        <v/>
        <stp/>
        <stp>WDF 22!-IEU</stp>
        <stp>Last</stp>
        <tr r="I1799" s="5"/>
      </tp>
      <tp t="s">
        <v/>
        <stp/>
        <stp>WDF 12!-IEU</stp>
        <stp>Last</stp>
        <tr r="I1789" s="5"/>
      </tp>
      <tp t="s">
        <v/>
        <stp/>
        <stp>WDF C2!-IEU</stp>
        <stp>Last</stp>
        <tr r="I1812" s="5"/>
      </tp>
      <tp t="s">
        <v/>
        <stp/>
        <stp>WDF Q2!-IEU</stp>
        <stp>Last</stp>
        <tr r="I1809" s="5"/>
      </tp>
      <tp t="s">
        <v/>
        <stp/>
        <stp>WDF 8!-IEU</stp>
        <stp>Bid</stp>
        <tr r="G1785" s="5"/>
      </tp>
      <tp t="s">
        <v/>
        <stp/>
        <stp>WHK 8!-IEU</stp>
        <stp>Bid</stp>
        <tr r="G1925" s="5"/>
      </tp>
      <tp t="s">
        <v/>
        <stp/>
        <stp>WMJ 8!-IEU</stp>
        <stp>Bid</stp>
        <tr r="G1890" s="5"/>
      </tp>
      <tp t="s">
        <v/>
        <stp/>
        <stp>WNS 8!-IEU</stp>
        <stp>Bid</stp>
        <tr r="G1855" s="5"/>
      </tp>
      <tp t="s">
        <v/>
        <stp/>
        <stp>WDF 9!-IEU</stp>
        <stp>Bid</stp>
        <tr r="G1786" s="5"/>
      </tp>
      <tp t="s">
        <v/>
        <stp/>
        <stp>WHK 9!-IEU</stp>
        <stp>Bid</stp>
        <tr r="G1926" s="5"/>
      </tp>
      <tp t="s">
        <v/>
        <stp/>
        <stp>WMJ 9!-IEU</stp>
        <stp>Bid</stp>
        <tr r="G1891" s="5"/>
      </tp>
      <tp t="s">
        <v/>
        <stp/>
        <stp>WNS 9!-IEU</stp>
        <stp>Bid</stp>
        <tr r="G1856" s="5"/>
      </tp>
      <tp t="s">
        <v/>
        <stp/>
        <stp>TDL 12!-IEU</stp>
        <stp>Last</stp>
        <tr r="I1824" s="5"/>
      </tp>
      <tp t="s">
        <v/>
        <stp/>
        <stp>TDL 22!-IEU</stp>
        <stp>Last</stp>
        <tr r="I1834" s="5"/>
      </tp>
      <tp t="s">
        <v/>
        <stp/>
        <stp>TDL C2!-IEU</stp>
        <stp>Last</stp>
        <tr r="I1847" s="5"/>
      </tp>
      <tp t="s">
        <v/>
        <stp/>
        <stp>TDL Q2!-IEU</stp>
        <stp>Last</stp>
        <tr r="I1844" s="5"/>
      </tp>
      <tp t="s">
        <v/>
        <stp/>
        <stp>TDL 1!-IEU</stp>
        <stp>Bid</stp>
        <tr r="G1813" s="5"/>
      </tp>
      <tp t="s">
        <v/>
        <stp/>
        <stp>WDF 2!-IEU</stp>
        <stp>Bid</stp>
        <tr r="G1779" s="5"/>
      </tp>
      <tp t="s">
        <v/>
        <stp/>
        <stp>WHK 2!-IEU</stp>
        <stp>Bid</stp>
        <tr r="G1919" s="5"/>
      </tp>
      <tp t="s">
        <v/>
        <stp/>
        <stp>WMJ 2!-IEU</stp>
        <stp>Bid</stp>
        <tr r="G1884" s="5"/>
      </tp>
      <tp t="s">
        <v/>
        <stp/>
        <stp>WNS 2!-IEU</stp>
        <stp>Bid</stp>
        <tr r="G1849" s="5"/>
      </tp>
      <tp t="s">
        <v/>
        <stp/>
        <stp>WDF 3!-IEU</stp>
        <stp>Bid</stp>
        <tr r="G1780" s="5"/>
      </tp>
      <tp t="s">
        <v/>
        <stp/>
        <stp>WHK 3!-IEU</stp>
        <stp>Bid</stp>
        <tr r="G1920" s="5"/>
      </tp>
      <tp t="s">
        <v/>
        <stp/>
        <stp>WMJ 3!-IEU</stp>
        <stp>Bid</stp>
        <tr r="G1885" s="5"/>
      </tp>
      <tp t="s">
        <v/>
        <stp/>
        <stp>WNS 3!-IEU</stp>
        <stp>Bid</stp>
        <tr r="G1850" s="5"/>
      </tp>
      <tp t="s">
        <v/>
        <stp/>
        <stp>TDL 3!-IEU</stp>
        <stp>Bid</stp>
        <tr r="G1815" s="5"/>
      </tp>
      <tp t="s">
        <v/>
        <stp/>
        <stp>TDL 2!-IEU</stp>
        <stp>Bid</stp>
        <tr r="G1814" s="5"/>
      </tp>
      <tp t="s">
        <v/>
        <stp/>
        <stp>WDF 1!-IEU</stp>
        <stp>Bid</stp>
        <tr r="G1778" s="5"/>
      </tp>
      <tp t="s">
        <v/>
        <stp/>
        <stp>WHK 1!-IEU</stp>
        <stp>Bid</stp>
        <tr r="G1918" s="5"/>
      </tp>
      <tp t="s">
        <v/>
        <stp/>
        <stp>WMJ 1!-IEU</stp>
        <stp>Bid</stp>
        <tr r="G1883" s="5"/>
      </tp>
      <tp t="s">
        <v/>
        <stp/>
        <stp>WNS 1!-IEU</stp>
        <stp>Bid</stp>
        <tr r="G1848" s="5"/>
      </tp>
      <tp t="s">
        <v/>
        <stp/>
        <stp>TDL 5!-IEU</stp>
        <stp>Bid</stp>
        <tr r="G1817" s="5"/>
      </tp>
      <tp t="s">
        <v/>
        <stp/>
        <stp>WDF 6!-IEU</stp>
        <stp>Bid</stp>
        <tr r="G1783" s="5"/>
      </tp>
      <tp t="s">
        <v/>
        <stp/>
        <stp>WHK 6!-IEU</stp>
        <stp>Bid</stp>
        <tr r="G1923" s="5"/>
      </tp>
      <tp t="s">
        <v/>
        <stp/>
        <stp>WMJ 6!-IEU</stp>
        <stp>Bid</stp>
        <tr r="G1888" s="5"/>
      </tp>
      <tp t="s">
        <v/>
        <stp/>
        <stp>WNS 6!-IEU</stp>
        <stp>Bid</stp>
        <tr r="G1853" s="5"/>
      </tp>
      <tp t="s">
        <v/>
        <stp/>
        <stp>TDL 4!-IEU</stp>
        <stp>Bid</stp>
        <tr r="G1816" s="5"/>
      </tp>
      <tp t="s">
        <v/>
        <stp/>
        <stp>WDF 7!-IEU</stp>
        <stp>Bid</stp>
        <tr r="G1784" s="5"/>
      </tp>
      <tp t="s">
        <v/>
        <stp/>
        <stp>WHK 7!-IEU</stp>
        <stp>Bid</stp>
        <tr r="G1924" s="5"/>
      </tp>
      <tp t="s">
        <v/>
        <stp/>
        <stp>WMJ 7!-IEU</stp>
        <stp>Bid</stp>
        <tr r="G1889" s="5"/>
      </tp>
      <tp t="s">
        <v/>
        <stp/>
        <stp>WNS 7!-IEU</stp>
        <stp>Bid</stp>
        <tr r="G1854" s="5"/>
      </tp>
      <tp t="s">
        <v/>
        <stp/>
        <stp>TDL 7!-IEU</stp>
        <stp>Bid</stp>
        <tr r="G1819" s="5"/>
      </tp>
      <tp t="s">
        <v/>
        <stp/>
        <stp>WDF 4!-IEU</stp>
        <stp>Bid</stp>
        <tr r="G1781" s="5"/>
      </tp>
      <tp t="s">
        <v/>
        <stp/>
        <stp>WHK 4!-IEU</stp>
        <stp>Bid</stp>
        <tr r="G1921" s="5"/>
      </tp>
      <tp t="s">
        <v/>
        <stp/>
        <stp>WMJ 4!-IEU</stp>
        <stp>Bid</stp>
        <tr r="G1886" s="5"/>
      </tp>
      <tp t="s">
        <v/>
        <stp/>
        <stp>WNS 4!-IEU</stp>
        <stp>Bid</stp>
        <tr r="G1851" s="5"/>
      </tp>
      <tp t="s">
        <v/>
        <stp/>
        <stp>TDL 6!-IEU</stp>
        <stp>Bid</stp>
        <tr r="G1818" s="5"/>
      </tp>
      <tp t="s">
        <v/>
        <stp/>
        <stp>WDF 5!-IEU</stp>
        <stp>Bid</stp>
        <tr r="G1782" s="5"/>
      </tp>
      <tp t="s">
        <v/>
        <stp/>
        <stp>WHK 5!-IEU</stp>
        <stp>Bid</stp>
        <tr r="G1922" s="5"/>
      </tp>
      <tp t="s">
        <v/>
        <stp/>
        <stp>WMJ 5!-IEU</stp>
        <stp>Bid</stp>
        <tr r="G1887" s="5"/>
      </tp>
      <tp t="s">
        <v/>
        <stp/>
        <stp>WNS 5!-IEU</stp>
        <stp>Bid</stp>
        <tr r="G1852" s="5"/>
      </tp>
    </main>
    <main first="ice.rtd">
      <tp>
        <v>20</v>
        <stp/>
        <stp>1986823075M12:BlkVol</stp>
        <tr r="O129" s="5"/>
      </tp>
      <tp>
        <v>20</v>
        <stp/>
        <stp>1986823075M13:BlkVol</stp>
        <tr r="O130" s="5"/>
      </tp>
      <tp>
        <v>20</v>
        <stp/>
        <stp>1986823075M10:BlkVol</stp>
        <tr r="O127" s="5"/>
      </tp>
      <tp>
        <v>20</v>
        <stp/>
        <stp>1986823075M11:BlkVol</stp>
        <tr r="O128" s="5"/>
      </tp>
      <tp>
        <v>0</v>
        <stp/>
        <stp>1986823075M16:BlkVol</stp>
        <tr r="O133" s="5"/>
      </tp>
      <tp>
        <v>0</v>
        <stp/>
        <stp>1986823075M17:BlkVol</stp>
        <tr r="O134" s="5"/>
      </tp>
      <tp>
        <v>20</v>
        <stp/>
        <stp>1986823075M14:BlkVol</stp>
        <tr r="O131" s="5"/>
      </tp>
      <tp>
        <v>20</v>
        <stp/>
        <stp>1986823075M15:BlkVol</stp>
        <tr r="O132" s="5"/>
      </tp>
      <tp>
        <v>0</v>
        <stp/>
        <stp>1986823075M18:BlkVol</stp>
        <tr r="O135" s="5"/>
      </tp>
      <tp>
        <v>0</v>
        <stp/>
        <stp>1986823075M19:BlkVol</stp>
        <tr r="O136" s="5"/>
      </tp>
      <tp>
        <v>0</v>
        <stp/>
        <stp>1986823075M22:BlkVol</stp>
        <tr r="O139" s="5"/>
      </tp>
      <tp>
        <v>0</v>
        <stp/>
        <stp>1986823075M23:BlkVol</stp>
        <tr r="O140" s="5"/>
      </tp>
      <tp>
        <v>0</v>
        <stp/>
        <stp>1986823075M20:BlkVol</stp>
        <tr r="O137" s="5"/>
      </tp>
      <tp>
        <v>0</v>
        <stp/>
        <stp>1986823075M21:BlkVol</stp>
        <tr r="O138" s="5"/>
      </tp>
      <tp>
        <v>0</v>
        <stp/>
        <stp>1986823075M24:BlkVol</stp>
        <tr r="O141" s="5"/>
      </tp>
      <tp>
        <v>0</v>
        <stp/>
        <stp>2427126288M24:BlkVol</stp>
        <tr r="O1059" s="5"/>
      </tp>
      <tp>
        <v>0</v>
        <stp/>
        <stp>2427126288M23:BlkVol</stp>
        <tr r="O1058" s="5"/>
      </tp>
      <tp>
        <v>0</v>
        <stp/>
        <stp>2427126288M22:BlkVol</stp>
        <tr r="O1057" s="5"/>
      </tp>
      <tp>
        <v>0</v>
        <stp/>
        <stp>2427126288M21:BlkVol</stp>
        <tr r="O1056" s="5"/>
      </tp>
      <tp>
        <v>0</v>
        <stp/>
        <stp>2427126288M20:BlkVol</stp>
        <tr r="O1055" s="5"/>
      </tp>
      <tp>
        <v>0</v>
        <stp/>
        <stp>2427126288M17:BlkVol</stp>
        <tr r="O1052" s="5"/>
      </tp>
      <tp>
        <v>0</v>
        <stp/>
        <stp>2427126288M16:BlkVol</stp>
        <tr r="O1051" s="5"/>
      </tp>
      <tp>
        <v>0</v>
        <stp/>
        <stp>2427126288M15:BlkVol</stp>
        <tr r="O1050" s="5"/>
      </tp>
      <tp>
        <v>0</v>
        <stp/>
        <stp>2427126288M14:BlkVol</stp>
        <tr r="O1049" s="5"/>
      </tp>
      <tp>
        <v>0</v>
        <stp/>
        <stp>2427126288M13:BlkVol</stp>
        <tr r="O1048" s="5"/>
      </tp>
      <tp>
        <v>0</v>
        <stp/>
        <stp>2427126288M12:BlkVol</stp>
        <tr r="O1047" s="5"/>
      </tp>
      <tp>
        <v>0</v>
        <stp/>
        <stp>2427126288M11:BlkVol</stp>
        <tr r="O1046" s="5"/>
      </tp>
      <tp>
        <v>0</v>
        <stp/>
        <stp>2427126288M10:BlkVol</stp>
        <tr r="O1045" s="5"/>
      </tp>
      <tp>
        <v>0</v>
        <stp/>
        <stp>2427126288M19:BlkVol</stp>
        <tr r="O1054" s="5"/>
      </tp>
      <tp>
        <v>0</v>
        <stp/>
        <stp>2427126288M18:BlkVol</stp>
        <tr r="O1053" s="5"/>
      </tp>
    </main>
    <main first="ice.rtd">
      <tp t="s">
        <v>Sep26/Apr27</v>
        <stp/>
        <stp>366531MM6:Strip</stp>
        <tr r="E1721" s="5"/>
      </tp>
      <tp t="s">
        <v>Dec27</v>
        <stp/>
        <stp>266419M15:Strip</stp>
        <tr r="E974" s="5"/>
      </tp>
      <tp t="s">
        <v/>
        <stp/>
        <stp>1840020882M12:LstPrc</stp>
        <tr r="I1594" s="5"/>
      </tp>
      <tp t="s">
        <v/>
        <stp/>
        <stp>1840020882M13:LstPrc</stp>
        <tr r="I1595" s="5"/>
      </tp>
      <tp t="s">
        <v/>
        <stp/>
        <stp>1840020882M10:LstPrc</stp>
        <tr r="I1592" s="5"/>
      </tp>
      <tp t="s">
        <v/>
        <stp/>
        <stp>1840020882M11:LstPrc</stp>
        <tr r="I1593" s="5"/>
      </tp>
      <tp t="s">
        <v/>
        <stp/>
        <stp>1840020882M16:LstPrc</stp>
        <tr r="I1598" s="5"/>
      </tp>
      <tp t="s">
        <v/>
        <stp/>
        <stp>1840020882M14:LstPrc</stp>
        <tr r="I1596" s="5"/>
      </tp>
      <tp t="s">
        <v/>
        <stp/>
        <stp>1840020882M15:LstPrc</stp>
        <tr r="I1597" s="5"/>
      </tp>
      <tp>
        <v>0</v>
        <stp/>
        <stp>DBI1227MM17:OI</stp>
        <tr r="T1668" s="5"/>
      </tp>
      <tp>
        <v>0</v>
        <stp/>
        <stp>DBI1227MM16:OI</stp>
        <tr r="T1667" s="5"/>
      </tp>
      <tp>
        <v>0</v>
        <stp/>
        <stp>DBI1227MM15:OI</stp>
        <tr r="T1666" s="5"/>
      </tp>
      <tp>
        <v>0</v>
        <stp/>
        <stp>DBI1227MM14:OI</stp>
        <tr r="T1665" s="5"/>
      </tp>
      <tp>
        <v>0</v>
        <stp/>
        <stp>DBI1227MM13:OI</stp>
        <tr r="T1664" s="5"/>
      </tp>
      <tp>
        <v>0</v>
        <stp/>
        <stp>DBI1227MM12:OI</stp>
        <tr r="T1663" s="5"/>
      </tp>
      <tp>
        <v>0</v>
        <stp/>
        <stp>DBI1227MM11:OI</stp>
        <tr r="T1662" s="5"/>
      </tp>
      <tp>
        <v>0</v>
        <stp/>
        <stp>DBI1227MM10:OI</stp>
        <tr r="T1661" s="5"/>
        <tr r="T1649" s="5"/>
      </tp>
      <tp>
        <v>0</v>
        <stp/>
        <stp>DBI1227MM19:OI</stp>
        <tr r="T1650" s="5"/>
        <tr r="T1670" s="5"/>
      </tp>
      <tp>
        <v>0</v>
        <stp/>
        <stp>DBI1227MM18:OI</stp>
        <tr r="T1669" s="5"/>
      </tp>
      <tp>
        <v>0</v>
        <stp/>
        <stp>DBI1227MM27:OI</stp>
        <tr r="T1678" s="5"/>
      </tp>
      <tp>
        <v>0</v>
        <stp/>
        <stp>DBI1227MM26:OI</stp>
        <tr r="T1677" s="5"/>
      </tp>
      <tp>
        <v>0</v>
        <stp/>
        <stp>DBI1227MM25:OI</stp>
        <tr r="T1676" s="5"/>
      </tp>
      <tp>
        <v>0</v>
        <stp/>
        <stp>DBI1227MM24:OI</stp>
        <tr r="T1675" s="5"/>
      </tp>
      <tp>
        <v>0</v>
        <stp/>
        <stp>DBI1227MM23:OI</stp>
        <tr r="T1674" s="5"/>
      </tp>
      <tp>
        <v>0</v>
        <stp/>
        <stp>DBI1227MM22:OI</stp>
        <tr r="T1673" s="5"/>
      </tp>
      <tp>
        <v>0</v>
        <stp/>
        <stp>DBI1227MM21:OI</stp>
        <tr r="T1672" s="5"/>
      </tp>
      <tp>
        <v>0</v>
        <stp/>
        <stp>DBI1227MM20:OI</stp>
        <tr r="T1671" s="5"/>
      </tp>
      <tp t="s">
        <v>Invalid Market: CALCQ7</v>
        <stp/>
        <stp>CALCQ7:BstHitPrc</stp>
        <tr r="G1219" s="5"/>
        <tr r="G1371" s="5"/>
      </tp>
      <tp t="s">
        <v>Invalid Market: CALCM7</v>
        <stp/>
        <stp>CALCM7:BstHitPrc</stp>
        <tr r="G1346" s="5"/>
        <tr r="G1194" s="5"/>
      </tp>
      <tp t="s">
        <v>Invalid Market: CALCM7</v>
        <stp/>
        <stp>CALCM7:LstBlkPrc</stp>
        <tr r="K1346" s="5"/>
        <tr r="K1194" s="5"/>
      </tp>
      <tp t="s">
        <v>Invalid Market: CALCQ7</v>
        <stp/>
        <stp>CALCQ7:LstBlkPrc</stp>
        <tr r="K1371" s="5"/>
        <tr r="K1219" s="5"/>
      </tp>
    </main>
    <main first="esrtd">
      <tp t="s">
        <v/>
        <stp/>
        <stp>WHK 8!-IEU</stp>
        <stp>Open Interest</stp>
        <tr r="T1925" s="5"/>
      </tp>
      <tp t="s">
        <v/>
        <stp/>
        <stp>WHK 9!-IEU</stp>
        <stp>Open Interest</stp>
        <tr r="T1926" s="5"/>
      </tp>
      <tp t="s">
        <v/>
        <stp/>
        <stp>WHK 1!-IEU</stp>
        <stp>Open Interest</stp>
        <tr r="T1918" s="5"/>
      </tp>
      <tp t="s">
        <v/>
        <stp/>
        <stp>WHK 2!-IEU</stp>
        <stp>Open Interest</stp>
        <tr r="T1919" s="5"/>
      </tp>
      <tp t="s">
        <v/>
        <stp/>
        <stp>WHK 3!-IEU</stp>
        <stp>Open Interest</stp>
        <tr r="T1920" s="5"/>
      </tp>
      <tp t="s">
        <v/>
        <stp/>
        <stp>WHK 4!-IEU</stp>
        <stp>Open Interest</stp>
        <tr r="T1921" s="5"/>
      </tp>
      <tp t="s">
        <v/>
        <stp/>
        <stp>WHK 5!-IEU</stp>
        <stp>Open Interest</stp>
        <tr r="T1922" s="5"/>
      </tp>
      <tp t="s">
        <v/>
        <stp/>
        <stp>WHK 6!-IEU</stp>
        <stp>Open Interest</stp>
        <tr r="T1923" s="5"/>
      </tp>
      <tp t="s">
        <v/>
        <stp/>
        <stp>WHK 7!-IEU</stp>
        <stp>Open Interest</stp>
        <tr r="T1924" s="5"/>
      </tp>
    </main>
    <main first="ice.rtd">
      <tp t="s">
        <v>Invalid Market: CALCM1</v>
        <stp/>
        <stp>CALCM1:LstBlkVol</stp>
        <tr r="L1188" s="5"/>
        <tr r="L1340" s="5"/>
      </tp>
      <tp t="s">
        <v>Invalid Market: CALCY1</v>
        <stp/>
        <stp>CALCY1:LstBlkVol</stp>
        <tr r="L1222" s="5"/>
        <tr r="L1374" s="5"/>
      </tp>
      <tp t="s">
        <v>Invalid Market: CALCQ1</v>
        <stp/>
        <stp>CALCQ1:LstBlkVol</stp>
        <tr r="L1213" s="5"/>
        <tr r="L1365" s="5"/>
      </tp>
      <tp t="s">
        <v>Apr28</v>
        <stp/>
        <stp>1517M19:Strip</stp>
        <tr r="E22" s="5"/>
      </tp>
    </main>
    <main first="bofaddin.rtdserver">
      <tp t="s">
        <v>#N/A</v>
        <stp/>
        <stp>BDP|4572585815275759747|222</stp>
        <stp>OQAU9V9 Comdty</stp>
        <stp>BID</stp>
        <stp>Fill=#N/A</stp>
        <tr r="T56" s="1"/>
      </tp>
      <tp>
        <v>13.91</v>
        <stp/>
        <stp>BDP|975863420299361481|222</stp>
        <stp>HOH7HOJ7 Comdty</stp>
        <stp>ASK</stp>
        <stp>Fill=#N/A</stp>
        <tr r="Q26" s="1"/>
      </tp>
      <tp t="s">
        <v>#N/A</v>
        <stp/>
        <stp>BDP|6624131202306893104|222</stp>
        <stp>MUCU9V9 Comdty</stp>
        <stp>BID</stp>
        <stp>Fill=#N/A</stp>
        <tr r="S56" s="1"/>
      </tp>
      <tp>
        <v>14.71</v>
        <stp/>
        <stp>BDP|78296770908038935|22</stp>
        <stp>COZ6COZ7 Comdty</stp>
        <stp>ASK</stp>
        <tr r="C2" s="3"/>
      </tp>
      <tp t="s">
        <v>#N/A</v>
        <stp/>
        <stp>BDP|1368224339422618328|222</stp>
        <stp>MUCX8Z8 Comdty</stp>
        <stp>ASK</stp>
        <stp>Fill=#N/A</stp>
        <tr r="S46" s="1"/>
      </tp>
      <tp t="s">
        <v>#N/A</v>
        <stp/>
        <stp>BDP|7911832366044781781|222</stp>
        <stp>OQAN8Q8 Comdty</stp>
        <stp>ASK</stp>
        <stp>Fill=#N/A</stp>
        <tr r="T42" s="1"/>
      </tp>
      <tp t="s">
        <v>#N/A</v>
        <stp/>
        <stp>BDP|7179080210772333398|222</stp>
        <stp>MUCQ8U8 Comdty</stp>
        <stp>ASK</stp>
        <stp>Fill=#N/A</stp>
        <tr r="S43" s="1"/>
      </tp>
    </main>
    <main first="esrtd">
      <tp t="s">
        <v/>
        <stp/>
        <stp>Invalid Market: CALCM5 G27-IEU</stp>
        <stp>ICE Theoretical Price</stp>
        <tr r="W1078" s="5"/>
        <tr r="W1344" s="5"/>
        <tr r="W1192" s="5"/>
        <tr r="W388" s="5"/>
        <tr r="W274" s="5"/>
        <tr r="W850" s="5"/>
      </tp>
    </main>
    <main first="bofaddin.rtdserver">
      <tp>
        <v>220</v>
        <stp/>
        <stp>BDP|15158810304995027459|222</stp>
        <stp>HON9 Comdty</stp>
        <stp>BID</stp>
        <stp>Fill=#N/A</stp>
        <tr r="I53" s="1"/>
      </tp>
      <tp>
        <v>80.41</v>
        <stp/>
        <stp>BDP|10941710208877729885|222</stp>
        <stp>COM7 Comdty</stp>
        <stp>ASK</stp>
        <stp>Fill=#N/A</stp>
        <tr r="G28" s="1"/>
      </tp>
      <tp>
        <v>242.59</v>
        <stp/>
        <stp>BDP|14404092261354100203|222</stp>
        <stp>XBK8 Comdty</stp>
        <stp>BID</stp>
        <stp>Fill=#N/A</stp>
        <tr r="J39" s="1"/>
      </tp>
      <tp>
        <v>200</v>
        <stp/>
        <stp>BDP|15141378295801342742|222</stp>
        <stp>XBK9 Comdty</stp>
        <stp>BID</stp>
        <stp>Fill=#N/A</stp>
        <tr r="J51" s="1"/>
      </tp>
      <tp t="s">
        <v>#N/A</v>
        <stp/>
        <stp>BDP|18409650587678673656|222</stp>
        <stp>QSN0 Comdty</stp>
        <stp>BID</stp>
        <stp>Fill=#N/A</stp>
        <tr r="H65" s="1"/>
      </tp>
    </main>
    <main first="ice.rtd">
      <tp>
        <v>0</v>
        <stp/>
        <stp>141587Q8:Vol</stp>
        <tr r="N74" s="5"/>
      </tp>
      <tp>
        <v>0</v>
        <stp/>
        <stp>141587Q6:Vol</stp>
        <tr r="N72" s="5"/>
      </tp>
      <tp>
        <v>0</v>
        <stp/>
        <stp>141587Q7:Vol</stp>
        <tr r="N73" s="5"/>
      </tp>
      <tp>
        <v>0</v>
        <stp/>
        <stp>141587Q4:Vol</stp>
        <tr r="N70" s="5"/>
      </tp>
      <tp>
        <v>0</v>
        <stp/>
        <stp>141587Q5:Vol</stp>
        <tr r="N71" s="5"/>
      </tp>
      <tp>
        <v>12</v>
        <stp/>
        <stp>141587Q2:Vol</stp>
        <tr r="N68" s="5"/>
      </tp>
      <tp>
        <v>0</v>
        <stp/>
        <stp>141587Q3:Vol</stp>
        <tr r="N69" s="5"/>
      </tp>
      <tp>
        <v>263</v>
        <stp/>
        <stp>141587Q0:Vol</stp>
        <tr r="N66" s="5"/>
      </tp>
      <tp>
        <v>197</v>
        <stp/>
        <stp>141587Q1:Vol</stp>
        <tr r="N67" s="5"/>
      </tp>
    </main>
    <main first="bofaddin.rtdserver">
      <tp>
        <v>794.5</v>
        <stp/>
        <stp>BDP|14605456676514492481|222</stp>
        <stp>QSM9 Comdty</stp>
        <stp>ASK</stp>
        <stp>Fill=#N/A</stp>
        <tr r="H52" s="1"/>
      </tp>
      <tp t="s">
        <v>#N/A Invalid Security</v>
        <stp/>
        <stp>BDP|14282286890335447076|222</stp>
        <stp>CLF9 Comdty</stp>
        <stp>BID</stp>
        <stp>Fill=#N/A</stp>
        <tr r="F47" s="1"/>
      </tp>
      <tp>
        <v>322.20999999999998</v>
        <stp/>
        <stp>BDP|12665324504195754227|222</stp>
        <stp>HOG8 Comdty</stp>
        <stp>ASK</stp>
        <stp>Fill=#N/A</stp>
        <tr r="I36" s="1"/>
      </tp>
      <tp t="s">
        <v>#N/A Invalid Security</v>
        <stp/>
        <stp>BDP|15411536195073425332|222</stp>
        <stp>CON0 Comdty</stp>
        <stp>BID</stp>
        <stp>Fill=#N/A</stp>
        <tr r="G65" s="1"/>
      </tp>
    </main>
    <main first="ice.rtd">
      <tp>
        <v>0</v>
        <stp/>
        <stp>141587Y2:Vol</stp>
        <tr r="N77" s="5"/>
      </tp>
      <tp>
        <v>0</v>
        <stp/>
        <stp>141587Y0:Vol</stp>
        <tr r="N75" s="5"/>
      </tp>
      <tp>
        <v>0</v>
        <stp/>
        <stp>141587Y1:Vol</stp>
        <tr r="N76" s="5"/>
      </tp>
    </main>
    <main first="esrtd">
      <tp t="s">
        <v/>
        <stp/>
        <stp>WDF 25!-IEU</stp>
        <stp>Last</stp>
        <tr r="I1802" s="5"/>
      </tp>
      <tp t="s">
        <v/>
        <stp/>
        <stp>WDF 15!-IEU</stp>
        <stp>Last</stp>
        <tr r="I1792" s="5"/>
      </tp>
      <tp t="s">
        <v/>
        <stp/>
        <stp>TDL 15!-IEU</stp>
        <stp>Last</stp>
        <tr r="I1827" s="5"/>
      </tp>
      <tp t="s">
        <v/>
        <stp/>
        <stp>TDL 25!-IEU</stp>
        <stp>Last</stp>
        <tr r="I1837" s="5"/>
      </tp>
    </main>
    <main first="ice.rtd">
      <tp>
        <v>18</v>
        <stp/>
        <stp>141587M8:Vol</stp>
        <tr r="N49" s="5"/>
      </tp>
      <tp>
        <v>12</v>
        <stp/>
        <stp>141587M9:Vol</stp>
        <tr r="N50" s="5"/>
      </tp>
      <tp>
        <v>421</v>
        <stp/>
        <stp>141587M6:Vol</stp>
        <tr r="N47" s="5"/>
      </tp>
      <tp>
        <v>34</v>
        <stp/>
        <stp>141587M7:Vol</stp>
        <tr r="N48" s="5"/>
      </tp>
      <tp>
        <v>987</v>
        <stp/>
        <stp>141587M4:Vol</stp>
        <tr r="N45" s="5"/>
      </tp>
      <tp>
        <v>741</v>
        <stp/>
        <stp>141587M5:Vol</stp>
        <tr r="N46" s="5"/>
      </tp>
      <tp>
        <v>5229</v>
        <stp/>
        <stp>141587M2:Vol</stp>
        <tr r="N43" s="5"/>
      </tp>
      <tp>
        <v>2630</v>
        <stp/>
        <stp>141587M3:Vol</stp>
        <tr r="N44" s="5"/>
      </tp>
      <tp>
        <v>504</v>
        <stp/>
        <stp>141587M0:Vol</stp>
        <tr r="N41" s="5"/>
      </tp>
      <tp>
        <v>8680</v>
        <stp/>
        <stp>141587M1:Vol</stp>
        <tr r="N42" s="5"/>
      </tp>
    </main>
    <main first="esrtd">
      <tp t="s">
        <v/>
        <stp/>
        <stp>WHK 29!-IEU</stp>
        <stp>Last</stp>
        <tr r="I1946" s="5"/>
      </tp>
      <tp t="s">
        <v/>
        <stp/>
        <stp>WHK 19!-IEU</stp>
        <stp>Last</stp>
        <tr r="I1936" s="5"/>
      </tp>
    </main>
    <main first="ice.rtd">
      <tp t="s">
        <v>Mar28</v>
        <stp/>
        <stp>141587M18:Strip</stp>
        <tr r="E59" s="5"/>
      </tp>
      <tp t="s">
        <v>Q1 27/Q2 27</v>
        <stp/>
        <stp>366531QQ1:Strip</stp>
        <tr r="E1744" s="5"/>
      </tp>
      <tp t="s">
        <v>Sep26/Nov26</v>
        <stp/>
        <stp>366531MM1:Strip</stp>
        <tr r="E1716" s="5"/>
      </tp>
      <tp t="s">
        <v>Sep27</v>
        <stp/>
        <stp>266419M12:Strip</stp>
        <tr r="E971" s="5"/>
      </tp>
      <tp t="s">
        <v>Jul28</v>
        <stp/>
        <stp>266419M22:Strip</stp>
        <tr r="E981" s="5"/>
      </tp>
      <tp t="s">
        <v>Invalid Market: CALCQ0</v>
        <stp/>
        <stp>CALCQ0:BstHitPrc</stp>
        <tr r="G1364" s="5"/>
        <tr r="G1212" s="5"/>
      </tp>
      <tp t="s">
        <v>Invalid Market: CALCY0</v>
        <stp/>
        <stp>CALCY0:BstHitPrc</stp>
        <tr r="G1221" s="5"/>
        <tr r="G1373" s="5"/>
      </tp>
      <tp t="s">
        <v>Invalid Market: CALCB0</v>
        <stp/>
        <stp>CALCB0:BstHitPrc</stp>
        <tr r="G1186" s="5"/>
        <tr r="G1338" s="5"/>
      </tp>
      <tp t="s">
        <v>Invalid Market: CALCM0</v>
        <stp/>
        <stp>CALCM0:BstHitPrc</stp>
        <tr r="G1339" s="5"/>
        <tr r="G1187" s="5"/>
      </tp>
      <tp t="s">
        <v>Invalid Market: CALCM0</v>
        <stp/>
        <stp>CALCM0:LstBlkPrc</stp>
        <tr r="K1339" s="5"/>
        <tr r="K1187" s="5"/>
      </tp>
      <tp t="s">
        <v>Invalid Market: CALCB0</v>
        <stp/>
        <stp>CALCB0:LstBlkPrc</stp>
        <tr r="K1186" s="5"/>
        <tr r="K1338" s="5"/>
      </tp>
      <tp t="s">
        <v>Invalid Market: CALCY0</v>
        <stp/>
        <stp>CALCY0:LstBlkPrc</stp>
        <tr r="K1221" s="5"/>
        <tr r="K1373" s="5"/>
      </tp>
      <tp t="s">
        <v>Invalid Market: CALCQ0</v>
        <stp/>
        <stp>CALCQ0:LstBlkPrc</stp>
        <tr r="K1212" s="5"/>
        <tr r="K1364" s="5"/>
      </tp>
      <tp t="s">
        <v>Invalid Market: CALCM6</v>
        <stp/>
        <stp>CALCM6:LstBlkVol</stp>
        <tr r="L1193" s="5"/>
        <tr r="L1345" s="5"/>
      </tp>
      <tp t="s">
        <v>Invalid Market: CALCQ6</v>
        <stp/>
        <stp>CALCQ6:LstBlkVol</stp>
        <tr r="L1218" s="5"/>
        <tr r="L1370" s="5"/>
      </tp>
      <tp t="s">
        <v>Apr28</v>
        <stp/>
        <stp>5162M19:Strip</stp>
        <tr r="E788" s="5"/>
      </tp>
    </main>
    <main first="bofaddin.rtdserver">
      <tp t="s">
        <v>#N/A</v>
        <stp/>
        <stp>BDP|5896298798301841612|222</stp>
        <stp>MUCV8X8 Comdty</stp>
        <stp>BID</stp>
        <stp>Fill=#N/A</stp>
        <tr r="S45" s="1"/>
      </tp>
      <tp>
        <v>7</v>
        <stp/>
        <stp>BDP|470931719433763387|222</stp>
        <stp>QSJ9QSK9 Comdty</stp>
        <stp>ASK</stp>
        <stp>Fill=#N/A</stp>
        <tr r="P51" s="1"/>
      </tp>
    </main>
    <main first="esrtd">
      <tp t="s">
        <v/>
        <stp/>
        <stp>Invalid Market: CALCM4 F27-IEU</stp>
        <stp>ICE Theoretical Price</stp>
        <tr r="W1077" s="5"/>
        <tr r="W387" s="5"/>
        <tr r="W1191" s="5"/>
        <tr r="W273" s="5"/>
        <tr r="W849" s="5"/>
        <tr r="W1343" s="5"/>
      </tp>
    </main>
    <main first="bofaddin.rtdserver">
      <tp t="s">
        <v>#N/A Invalid Security</v>
        <stp/>
        <stp>BDP|14671389514762307976|222</stp>
        <stp>CLG9 Comdty</stp>
        <stp>BID</stp>
        <stp>Fill=#N/A</stp>
        <tr r="F48" s="1"/>
      </tp>
      <tp>
        <v>355.08</v>
        <stp/>
        <stp>BDP|12992555851556161785|222</stp>
        <stp>HOM7 Comdty</stp>
        <stp>ASK</stp>
        <stp>Fill=#N/A</stp>
        <tr r="I28" s="1"/>
      </tp>
      <tp>
        <v>1097.75</v>
        <stp/>
        <stp>BDP|10065834588125741818|222</stp>
        <stp>QSH7 Comdty</stp>
        <stp>ASK</stp>
        <stp>Fill=#N/A</stp>
        <tr r="H25" s="1"/>
      </tp>
      <tp>
        <v>80.02</v>
        <stp/>
        <stp>BDP|16720066686373843283|222</stp>
        <stp>CLG7 Comdty</stp>
        <stp>ASK</stp>
        <stp>Fill=#N/A</stp>
        <tr r="F24" s="1"/>
      </tp>
      <tp t="s">
        <v>#N/A Invalid Security</v>
        <stp/>
        <stp>BDP|11175268518442016003|222</stp>
        <stp>CLN0 Comdty</stp>
        <stp>ASK</stp>
        <stp>Fill=#N/A</stp>
        <tr r="F65" s="1"/>
      </tp>
      <tp>
        <v>78.14</v>
        <stp/>
        <stp>BDP|11881762396771050737|222</stp>
        <stp>CLH7 Comdty</stp>
        <stp>ASK</stp>
        <stp>Fill=#N/A</stp>
        <tr r="F25" s="1"/>
      </tp>
      <tp>
        <v>86.09</v>
        <stp/>
        <stp>BDP|16870741204154323565|222</stp>
        <stp>COG7 Comdty</stp>
        <stp>ASK</stp>
        <stp>Fill=#N/A</stp>
        <tr r="G24" s="1"/>
      </tp>
      <tp t="s">
        <v>#N/A Invalid Security</v>
        <stp/>
        <stp>BDP|17398064277999283993|222</stp>
        <stp>COH0 Comdty</stp>
        <stp>ASK</stp>
        <stp>Fill=#N/A</stp>
        <tr r="G61" s="1"/>
      </tp>
      <tp>
        <v>317.43</v>
        <stp/>
        <stp>BDP|17285061706193903707|222</stp>
        <stp>HOH8 Comdty</stp>
        <stp>ASK</stp>
        <stp>Fill=#N/A</stp>
        <tr r="I37" s="1"/>
      </tp>
      <tp t="s">
        <v>#N/A</v>
        <stp/>
        <stp>BDP|185470376738654841|222</stp>
        <stp>OQAK29 Comdty</stp>
        <stp>BID</stp>
        <stp>Fill=#N/A</stp>
        <tr r="L51" s="1"/>
      </tp>
    </main>
    <main first="esrtd">
      <tp t="s">
        <v/>
        <stp/>
        <stp>WDF 24!-IEU</stp>
        <stp>Last</stp>
        <tr r="I1801" s="5"/>
      </tp>
      <tp t="s">
        <v/>
        <stp/>
        <stp>WDF 14!-IEU</stp>
        <stp>Last</stp>
        <tr r="I1791" s="5"/>
      </tp>
      <tp t="s">
        <v/>
        <stp/>
        <stp>WDF Q4!-IEU</stp>
        <stp>Last</stp>
        <tr r="I1811" s="5"/>
      </tp>
      <tp t="s">
        <v/>
        <stp/>
        <stp>TDL 14!-IEU</stp>
        <stp>Last</stp>
        <tr r="I1826" s="5"/>
      </tp>
      <tp t="s">
        <v/>
        <stp/>
        <stp>TDL 24!-IEU</stp>
        <stp>Last</stp>
        <tr r="I1836" s="5"/>
      </tp>
      <tp t="s">
        <v/>
        <stp/>
        <stp>TDL Q4!-IEU</stp>
        <stp>Last</stp>
        <tr r="I1846" s="5"/>
      </tp>
      <tp t="s">
        <v/>
        <stp/>
        <stp>WHK 28!-IEU</stp>
        <stp>Last</stp>
        <tr r="I1945" s="5"/>
      </tp>
      <tp t="s">
        <v/>
        <stp/>
        <stp>WHK 18!-IEU</stp>
        <stp>Last</stp>
        <tr r="I1935" s="5"/>
      </tp>
    </main>
    <main first="ice.rtd">
      <tp>
        <v>0</v>
        <stp/>
        <stp>1840020882M15:BlkVol</stp>
        <tr r="O1597" s="5"/>
      </tp>
      <tp>
        <v>0</v>
        <stp/>
        <stp>1840020882M14:BlkVol</stp>
        <tr r="O1596" s="5"/>
      </tp>
      <tp>
        <v>0</v>
        <stp/>
        <stp>1840020882M16:BlkVol</stp>
        <tr r="O1598" s="5"/>
      </tp>
      <tp>
        <v>0</v>
        <stp/>
        <stp>1840020882M11:BlkVol</stp>
        <tr r="O1593" s="5"/>
      </tp>
      <tp>
        <v>0</v>
        <stp/>
        <stp>1840020882M10:BlkVol</stp>
        <tr r="O1592" s="5"/>
      </tp>
      <tp>
        <v>0</v>
        <stp/>
        <stp>1840020882M13:BlkVol</stp>
        <tr r="O1595" s="5"/>
      </tp>
      <tp>
        <v>0</v>
        <stp/>
        <stp>1840020882M12:BlkVol</stp>
        <tr r="O1594" s="5"/>
      </tp>
      <tp t="s">
        <v/>
        <stp/>
        <stp>1986823075M19:LstPrc</stp>
        <tr r="I136" s="5"/>
      </tp>
      <tp t="s">
        <v/>
        <stp/>
        <stp>1986823075M18:LstPrc</stp>
        <tr r="I135" s="5"/>
      </tp>
      <tp t="s">
        <v/>
        <stp/>
        <stp>1986823075M15:LstPrc</stp>
        <tr r="I132" s="5"/>
      </tp>
      <tp t="s">
        <v/>
        <stp/>
        <stp>1986823075M14:LstPrc</stp>
        <tr r="I131" s="5"/>
      </tp>
      <tp t="s">
        <v/>
        <stp/>
        <stp>1986823075M17:LstPrc</stp>
        <tr r="I134" s="5"/>
      </tp>
      <tp t="s">
        <v/>
        <stp/>
        <stp>1986823075M16:LstPrc</stp>
        <tr r="I133" s="5"/>
      </tp>
      <tp t="s">
        <v/>
        <stp/>
        <stp>1986823075M11:LstPrc</stp>
        <tr r="I128" s="5"/>
      </tp>
      <tp t="s">
        <v/>
        <stp/>
        <stp>1986823075M10:LstPrc</stp>
        <tr r="I127" s="5"/>
      </tp>
      <tp t="s">
        <v/>
        <stp/>
        <stp>1986823075M13:LstPrc</stp>
        <tr r="I130" s="5"/>
      </tp>
      <tp t="s">
        <v/>
        <stp/>
        <stp>1986823075M12:LstPrc</stp>
        <tr r="I129" s="5"/>
      </tp>
      <tp t="s">
        <v/>
        <stp/>
        <stp>1986823075M24:LstPrc</stp>
        <tr r="I141" s="5"/>
      </tp>
      <tp t="s">
        <v/>
        <stp/>
        <stp>1986823075M21:LstPrc</stp>
        <tr r="I138" s="5"/>
      </tp>
      <tp t="s">
        <v/>
        <stp/>
        <stp>1986823075M20:LstPrc</stp>
        <tr r="I137" s="5"/>
      </tp>
      <tp t="s">
        <v/>
        <stp/>
        <stp>1986823075M23:LstPrc</stp>
        <tr r="I140" s="5"/>
      </tp>
      <tp t="s">
        <v/>
        <stp/>
        <stp>1986823075M22:LstPrc</stp>
        <tr r="I139" s="5"/>
      </tp>
      <tp t="s">
        <v>Apr28</v>
        <stp/>
        <stp>141587M19:Strip</stp>
        <tr r="E60" s="5"/>
      </tp>
      <tp t="s">
        <v>Cal 27/Cal 28</v>
        <stp/>
        <stp>366531YY0:Strip</stp>
        <tr r="E1745" s="5"/>
      </tp>
      <tp t="s">
        <v>Q4 26/Q1 27</v>
        <stp/>
        <stp>366531QQ0:Strip</stp>
        <tr r="E1743" s="5"/>
      </tp>
      <tp t="s">
        <v>Sep26/Oct26</v>
        <stp/>
        <stp>366531MM0:Strip</stp>
        <tr r="E1715" s="5"/>
      </tp>
      <tp t="s">
        <v>Oct27</v>
        <stp/>
        <stp>266419M13:Strip</stp>
        <tr r="E972" s="5"/>
      </tp>
      <tp t="s">
        <v>Aug28</v>
        <stp/>
        <stp>266419M23:Strip</stp>
        <tr r="E982" s="5"/>
      </tp>
      <tp t="s">
        <v/>
        <stp/>
        <stp>2427126288M20:LstPrc</stp>
        <tr r="I1055" s="5"/>
      </tp>
      <tp t="s">
        <v/>
        <stp/>
        <stp>2427126288M21:LstPrc</stp>
        <tr r="I1056" s="5"/>
      </tp>
      <tp t="s">
        <v/>
        <stp/>
        <stp>2427126288M22:LstPrc</stp>
        <tr r="I1057" s="5"/>
      </tp>
      <tp t="s">
        <v/>
        <stp/>
        <stp>2427126288M23:LstPrc</stp>
        <tr r="I1058" s="5"/>
      </tp>
      <tp t="s">
        <v/>
        <stp/>
        <stp>2427126288M24:LstPrc</stp>
        <tr r="I1059" s="5"/>
      </tp>
      <tp t="s">
        <v/>
        <stp/>
        <stp>2427126288M18:LstPrc</stp>
        <tr r="I1053" s="5"/>
      </tp>
      <tp t="s">
        <v/>
        <stp/>
        <stp>2427126288M19:LstPrc</stp>
        <tr r="I1054" s="5"/>
      </tp>
      <tp t="s">
        <v/>
        <stp/>
        <stp>2427126288M10:LstPrc</stp>
        <tr r="I1045" s="5"/>
      </tp>
      <tp t="s">
        <v/>
        <stp/>
        <stp>2427126288M11:LstPrc</stp>
        <tr r="I1046" s="5"/>
      </tp>
      <tp t="s">
        <v/>
        <stp/>
        <stp>2427126288M12:LstPrc</stp>
        <tr r="I1047" s="5"/>
      </tp>
      <tp t="s">
        <v/>
        <stp/>
        <stp>2427126288M13:LstPrc</stp>
        <tr r="I1048" s="5"/>
      </tp>
      <tp t="s">
        <v/>
        <stp/>
        <stp>2427126288M14:LstPrc</stp>
        <tr r="I1049" s="5"/>
      </tp>
      <tp t="s">
        <v/>
        <stp/>
        <stp>2427126288M15:LstPrc</stp>
        <tr r="I1050" s="5"/>
      </tp>
      <tp t="s">
        <v/>
        <stp/>
        <stp>2427126288M16:LstPrc</stp>
        <tr r="I1051" s="5"/>
      </tp>
      <tp t="s">
        <v/>
        <stp/>
        <stp>2427126288M17:LstPrc</stp>
        <tr r="I1052" s="5"/>
      </tp>
      <tp t="s">
        <v>Invalid Market: CALCQ1</v>
        <stp/>
        <stp>CALCQ1:BstHitPrc</stp>
        <tr r="G1213" s="5"/>
        <tr r="G1365" s="5"/>
      </tp>
      <tp t="s">
        <v>Invalid Market: CALCY1</v>
        <stp/>
        <stp>CALCY1:BstHitPrc</stp>
        <tr r="G1222" s="5"/>
        <tr r="G1374" s="5"/>
      </tp>
      <tp t="s">
        <v>Invalid Market: CALCM1</v>
        <stp/>
        <stp>CALCM1:BstHitPrc</stp>
        <tr r="G1188" s="5"/>
        <tr r="G1340" s="5"/>
      </tp>
    </main>
    <main first="esrtd">
      <tp t="s">
        <v/>
        <stp/>
        <stp>WNS 8!-IEU</stp>
        <stp>Open Interest</stp>
        <tr r="T1855" s="5"/>
      </tp>
      <tp t="s">
        <v/>
        <stp/>
        <stp>WNS 9!-IEU</stp>
        <stp>Open Interest</stp>
        <tr r="T1856" s="5"/>
      </tp>
      <tp t="s">
        <v/>
        <stp/>
        <stp>WNS 1!-IEU</stp>
        <stp>Open Interest</stp>
        <tr r="T1848" s="5"/>
      </tp>
      <tp t="s">
        <v/>
        <stp/>
        <stp>WNS 2!-IEU</stp>
        <stp>Open Interest</stp>
        <tr r="T1849" s="5"/>
      </tp>
      <tp t="s">
        <v/>
        <stp/>
        <stp>WNS 3!-IEU</stp>
        <stp>Open Interest</stp>
        <tr r="T1850" s="5"/>
      </tp>
      <tp t="s">
        <v/>
        <stp/>
        <stp>WNS 4!-IEU</stp>
        <stp>Open Interest</stp>
        <tr r="T1851" s="5"/>
      </tp>
      <tp t="s">
        <v/>
        <stp/>
        <stp>WNS 5!-IEU</stp>
        <stp>Open Interest</stp>
        <tr r="T1852" s="5"/>
      </tp>
      <tp t="s">
        <v/>
        <stp/>
        <stp>WNS 6!-IEU</stp>
        <stp>Open Interest</stp>
        <tr r="T1853" s="5"/>
      </tp>
      <tp t="s">
        <v/>
        <stp/>
        <stp>WNS 7!-IEU</stp>
        <stp>Open Interest</stp>
        <tr r="T1854" s="5"/>
      </tp>
    </main>
    <main first="bofaddin.rtdserver">
      <tp t="s">
        <v>#N/A Real Time</v>
        <stp/>
        <stp>BDP|3462481674632525486|22</stp>
        <stp>COU6P 70.00 Comdty</stp>
        <stp>THETA_MID_RT</stp>
        <tr r="B77" s="23"/>
        <tr r="B58" s="23"/>
        <tr r="B86" s="23"/>
      </tp>
    </main>
    <main first="ice.rtd">
      <tp t="s">
        <v>Invalid Market: CALCM1</v>
        <stp/>
        <stp>CALCM1:LstBlkPrc</stp>
        <tr r="K1188" s="5"/>
        <tr r="K1340" s="5"/>
      </tp>
      <tp t="s">
        <v>Invalid Market: CALCY1</v>
        <stp/>
        <stp>CALCY1:LstBlkPrc</stp>
        <tr r="K1222" s="5"/>
        <tr r="K1374" s="5"/>
      </tp>
      <tp t="s">
        <v>Invalid Market: CALCQ1</v>
        <stp/>
        <stp>CALCQ1:LstBlkPrc</stp>
        <tr r="K1213" s="5"/>
        <tr r="K1365" s="5"/>
      </tp>
      <tp t="s">
        <v>Invalid Market: CALCM7</v>
        <stp/>
        <stp>CALCM7:LstBlkVol</stp>
        <tr r="L1346" s="5"/>
        <tr r="L1194" s="5"/>
      </tp>
      <tp t="s">
        <v>Invalid Market: CALCQ7</v>
        <stp/>
        <stp>CALCQ7:LstBlkVol</stp>
        <tr r="L1219" s="5"/>
        <tr r="L1371" s="5"/>
      </tp>
      <tp t="s">
        <v>Mar28</v>
        <stp/>
        <stp>5162M18:Strip</stp>
        <tr r="E787" s="5"/>
      </tp>
    </main>
    <main first="bofaddin.rtdserver">
      <tp>
        <v>10</v>
        <stp/>
        <stp>BDP|893443779985672304|222</stp>
        <stp>QSF8QSG8 Comdty</stp>
        <stp>ASK</stp>
        <stp>Fill=#N/A</stp>
        <tr r="P36" s="1"/>
      </tp>
      <tp>
        <v>4.49</v>
        <stp/>
        <stp>BDP|1386107736532941396|222</stp>
        <stp>OQAX6Z6 Comdty</stp>
        <stp>BID</stp>
        <stp>Fill=#N/A</stp>
        <tr r="T22" s="1"/>
      </tp>
      <tp>
        <v>16</v>
        <stp/>
        <stp>BDP|115070940606933668|222</stp>
        <stp>QSX7QSZ7 Comdty</stp>
        <stp>BID</stp>
        <stp>Fill=#N/A</stp>
        <tr r="P34" s="1"/>
      </tp>
      <tp t="s">
        <v>#N/A</v>
        <stp/>
        <stp>BDP|6198573772124613650|222</stp>
        <stp>OQAV6X6 Comdty</stp>
        <stp>BID</stp>
        <stp>Fill=#N/A</stp>
        <tr r="T21" s="1"/>
      </tp>
      <tp t="s">
        <v>#N/A</v>
        <stp/>
        <stp>BDP|1853919675843004597|222</stp>
        <stp>OQAX7Z7 Comdty</stp>
        <stp>BID</stp>
        <stp>Fill=#N/A</stp>
        <tr r="T34" s="1"/>
      </tp>
    </main>
    <main first="esrtd">
      <tp t="s">
        <v/>
        <stp/>
        <stp>Invalid Market: CALCM7 J27-IEU</stp>
        <stp>ICE Theoretical Price</stp>
        <tr r="W1080" s="5"/>
        <tr r="W1346" s="5"/>
        <tr r="W852" s="5"/>
        <tr r="W276" s="5"/>
        <tr r="W1194" s="5"/>
        <tr r="W390" s="5"/>
      </tp>
    </main>
    <main first="ice.rtd">
      <tp>
        <v>2.4500000000000002</v>
        <stp/>
        <stp>1517M0:Settle</stp>
        <tr r="U3" s="5"/>
      </tp>
      <tp>
        <v>3.22</v>
        <stp/>
        <stp>1517M1:Settle</stp>
        <tr r="U4" s="5"/>
      </tp>
      <tp>
        <v>3</v>
        <stp/>
        <stp>1517M2:Settle</stp>
        <tr r="U5" s="5"/>
      </tp>
      <tp>
        <v>2.64</v>
        <stp/>
        <stp>1517M3:Settle</stp>
        <tr r="U6" s="5"/>
      </tp>
      <tp>
        <v>2.12</v>
        <stp/>
        <stp>1517M4:Settle</stp>
        <tr r="U7" s="5"/>
      </tp>
      <tp>
        <v>1.58</v>
        <stp/>
        <stp>1517M5:Settle</stp>
        <tr r="U8" s="5"/>
      </tp>
      <tp>
        <v>1.3</v>
        <stp/>
        <stp>1517M6:Settle</stp>
        <tr r="U9" s="5"/>
      </tp>
      <tp>
        <v>1.02</v>
        <stp/>
        <stp>1517M7:Settle</stp>
        <tr r="U10" s="5"/>
      </tp>
      <tp>
        <v>0.88</v>
        <stp/>
        <stp>1517M8:Settle</stp>
        <tr r="U11" s="5"/>
      </tp>
      <tp>
        <v>0.8</v>
        <stp/>
        <stp>1517M9:Settle</stp>
        <tr r="U12" s="5"/>
      </tp>
      <tp>
        <v>2.9530000000000003</v>
        <stp/>
        <stp>1517Q0:Settle</stp>
        <tr r="U28" s="5"/>
      </tp>
      <tp>
        <v>1.667</v>
        <stp/>
        <stp>1517Q1:Settle</stp>
        <tr r="U29" s="5"/>
      </tp>
      <tp>
        <v>0.9</v>
        <stp/>
        <stp>1517Q2:Settle</stp>
        <tr r="U30" s="5"/>
      </tp>
      <tp>
        <v>0.62</v>
        <stp/>
        <stp>1517Q3:Settle</stp>
        <tr r="U31" s="5"/>
      </tp>
      <tp>
        <v>0.46</v>
        <stp/>
        <stp>1517Q4:Settle</stp>
        <tr r="U32" s="5"/>
      </tp>
      <tp>
        <v>0.4</v>
        <stp/>
        <stp>1517Q5:Settle</stp>
        <tr r="U33" s="5"/>
      </tp>
      <tp>
        <v>0.38</v>
        <stp/>
        <stp>1517Q6:Settle</stp>
        <tr r="U34" s="5"/>
      </tp>
      <tp>
        <v>0.37</v>
        <stp/>
        <stp>1517Q7:Settle</stp>
        <tr r="U35" s="5"/>
      </tp>
      <tp>
        <v>0.35000000000000003</v>
        <stp/>
        <stp>1517Q8:Settle</stp>
        <tr r="U36" s="5"/>
      </tp>
      <tp>
        <v>0.91200000000000003</v>
        <stp/>
        <stp>1517Y0:Settle</stp>
        <tr r="U37" s="5"/>
      </tp>
      <tp>
        <v>0.375</v>
        <stp/>
        <stp>1517Y1:Settle</stp>
        <tr r="U38" s="5"/>
      </tp>
      <tp>
        <v>0.33</v>
        <stp/>
        <stp>1517Y2:Settle</stp>
        <tr r="U39" s="5"/>
      </tp>
    </main>
    <main first="bofaddin.rtdserver">
      <tp>
        <v>836</v>
        <stp/>
        <stp>BDP|16633193795497399723|222</stp>
        <stp>QSJ9 Comdty</stp>
        <stp>ASK</stp>
        <stp>Fill=#N/A</stp>
        <tr r="H50" s="1"/>
      </tp>
      <tp>
        <v>375.6</v>
        <stp/>
        <stp>BDP|17100117823118515579|222</stp>
        <stp>HOJ7 Comdty</stp>
        <stp>ASK</stp>
        <stp>Fill=#N/A</stp>
        <tr r="I26" s="1"/>
      </tp>
      <tp>
        <v>1061.25</v>
        <stp/>
        <stp>BDP|11946778393935539568|222</stp>
        <stp>QSJ7 Comdty</stp>
        <stp>ASK</stp>
        <stp>Fill=#N/A</stp>
        <tr r="H26" s="1"/>
      </tp>
      <tp t="s">
        <v>#N/A Invalid Security</v>
        <stp/>
        <stp>BDP|13679798365701780611|222</stp>
        <stp>CLJ8 Comdty</stp>
        <stp>BID</stp>
        <stp>Fill=#N/A</stp>
        <tr r="F38" s="1"/>
      </tp>
      <tp>
        <v>74.84</v>
        <stp/>
        <stp>BDP|16837105911762532502|222</stp>
        <stp>COK8 Comdty</stp>
        <stp>BID</stp>
        <stp>Fill=#N/A</stp>
        <tr r="G39" s="1"/>
      </tp>
      <tp t="s">
        <v>#N/A</v>
        <stp/>
        <stp>BDP|11011989722198896943|222</stp>
        <stp>XBG9 Comdty</stp>
        <stp>ASK</stp>
        <stp>Fill=#N/A</stp>
        <tr r="J48" s="1"/>
      </tp>
    </main>
    <main first="esrtd">
      <tp t="s">
        <v/>
        <stp/>
        <stp>WDF 27!-IEU</stp>
        <stp>Last</stp>
        <tr r="I1804" s="5"/>
      </tp>
      <tp t="s">
        <v/>
        <stp/>
        <stp>WDF 17!-IEU</stp>
        <stp>Last</stp>
        <tr r="I1794" s="5"/>
      </tp>
      <tp t="s">
        <v/>
        <stp/>
        <stp>TDL 17!-IEU</stp>
        <stp>Last</stp>
        <tr r="I1829" s="5"/>
      </tp>
      <tp t="s">
        <v/>
        <stp/>
        <stp>TDL 27!-IEU</stp>
        <stp>Last</stp>
        <tr r="I1839" s="5"/>
      </tp>
    </main>
    <main first="ice.rtd">
      <tp t="s">
        <v/>
        <stp/>
        <stp>1986923076M18:LstPrc</stp>
        <tr r="I173" s="5"/>
      </tp>
      <tp t="s">
        <v/>
        <stp/>
        <stp>1986923076M19:LstPrc</stp>
        <tr r="I174" s="5"/>
      </tp>
      <tp t="s">
        <v/>
        <stp/>
        <stp>1986923076M14:LstPrc</stp>
        <tr r="I169" s="5"/>
      </tp>
      <tp t="s">
        <v/>
        <stp/>
        <stp>1986923076M15:LstPrc</stp>
        <tr r="I170" s="5"/>
      </tp>
      <tp t="s">
        <v/>
        <stp/>
        <stp>1986923076M16:LstPrc</stp>
        <tr r="I171" s="5"/>
      </tp>
      <tp t="s">
        <v/>
        <stp/>
        <stp>1986923076M17:LstPrc</stp>
        <tr r="I172" s="5"/>
      </tp>
      <tp t="s">
        <v/>
        <stp/>
        <stp>1986923076M10:LstPrc</stp>
        <tr r="I165" s="5"/>
      </tp>
      <tp t="s">
        <v/>
        <stp/>
        <stp>1986923076M11:LstPrc</stp>
        <tr r="I166" s="5"/>
      </tp>
      <tp t="s">
        <v/>
        <stp/>
        <stp>1986923076M12:LstPrc</stp>
        <tr r="I167" s="5"/>
      </tp>
      <tp t="s">
        <v/>
        <stp/>
        <stp>1986923076M13:LstPrc</stp>
        <tr r="I168" s="5"/>
      </tp>
      <tp t="s">
        <v/>
        <stp/>
        <stp>1986923076M24:LstPrc</stp>
        <tr r="I179" s="5"/>
      </tp>
      <tp t="s">
        <v/>
        <stp/>
        <stp>1986923076M20:LstPrc</stp>
        <tr r="I175" s="5"/>
      </tp>
      <tp t="s">
        <v/>
        <stp/>
        <stp>1986923076M21:LstPrc</stp>
        <tr r="I176" s="5"/>
      </tp>
      <tp t="s">
        <v/>
        <stp/>
        <stp>1986923076M22:LstPrc</stp>
        <tr r="I177" s="5"/>
      </tp>
      <tp t="s">
        <v/>
        <stp/>
        <stp>1986923076M23:LstPrc</stp>
        <tr r="I178" s="5"/>
      </tp>
      <tp t="s">
        <v>Sep26/Jan27</v>
        <stp/>
        <stp>366531MM3:Strip</stp>
        <tr r="E1718" s="5"/>
      </tp>
      <tp t="s">
        <v/>
        <stp/>
        <stp>2755728678M11:LstPrc</stp>
        <tr r="I1122" s="5"/>
      </tp>
      <tp t="s">
        <v/>
        <stp/>
        <stp>2755728678M10:LstPrc</stp>
        <tr r="I1121" s="5"/>
      </tp>
      <tp t="s">
        <v/>
        <stp/>
        <stp>2755728678M13:LstPrc</stp>
        <tr r="I1124" s="5"/>
      </tp>
      <tp t="s">
        <v/>
        <stp/>
        <stp>2755728678M12:LstPrc</stp>
        <tr r="I1123" s="5"/>
      </tp>
      <tp t="s">
        <v/>
        <stp/>
        <stp>2755728678M15:LstPrc</stp>
        <tr r="I1126" s="5"/>
      </tp>
      <tp t="s">
        <v/>
        <stp/>
        <stp>2755728678M14:LstPrc</stp>
        <tr r="I1125" s="5"/>
      </tp>
      <tp t="s">
        <v/>
        <stp/>
        <stp>2755728678M17:LstPrc</stp>
        <tr r="I1128" s="5"/>
      </tp>
      <tp t="s">
        <v/>
        <stp/>
        <stp>2755728678M16:LstPrc</stp>
        <tr r="I1127" s="5"/>
      </tp>
      <tp t="s">
        <v/>
        <stp/>
        <stp>2755728678M19:LstPrc</stp>
        <tr r="I1130" s="5"/>
      </tp>
      <tp t="s">
        <v/>
        <stp/>
        <stp>2755728678M18:LstPrc</stp>
        <tr r="I1129" s="5"/>
      </tp>
      <tp t="s">
        <v/>
        <stp/>
        <stp>2755728678M21:LstPrc</stp>
        <tr r="I1132" s="5"/>
      </tp>
      <tp t="s">
        <v/>
        <stp/>
        <stp>2755728678M20:LstPrc</stp>
        <tr r="I1131" s="5"/>
      </tp>
      <tp t="s">
        <v/>
        <stp/>
        <stp>2755728678M23:LstPrc</stp>
        <tr r="I1134" s="5"/>
      </tp>
      <tp t="s">
        <v/>
        <stp/>
        <stp>2755728678M22:LstPrc</stp>
        <tr r="I1133" s="5"/>
      </tp>
      <tp t="s">
        <v/>
        <stp/>
        <stp>2755728678M24:LstPrc</stp>
        <tr r="I1135" s="5"/>
      </tp>
      <tp t="s">
        <v>Invalid Market: 2972825746BM0</v>
        <stp/>
        <stp>2972825746BM0:LstPrc</stp>
        <tr r="I1714" s="5"/>
      </tp>
      <tp t="s">
        <v>Jul27</v>
        <stp/>
        <stp>266419M10:Strip</stp>
        <tr r="E969" s="5"/>
      </tp>
      <tp t="s">
        <v>May28</v>
        <stp/>
        <stp>266419M20:Strip</stp>
        <tr r="E979" s="5"/>
      </tp>
    </main>
    <main first="ice.rtd">
      <tp t="s">
        <v>Invalid Market: CALCQ2</v>
        <stp/>
        <stp>CALCQ2:BstHitPrc</stp>
        <tr r="G1214" s="5"/>
        <tr r="G1366" s="5"/>
      </tp>
      <tp t="s">
        <v>Invalid Market: CALCY2</v>
        <stp/>
        <stp>CALCY2:BstHitPrc</stp>
        <tr r="G1223" s="5"/>
        <tr r="G1375" s="5"/>
      </tp>
      <tp t="s">
        <v>Invalid Market: CALCM2</v>
        <stp/>
        <stp>CALCM2:BstHitPrc</stp>
        <tr r="G1189" s="5"/>
        <tr r="G1341" s="5"/>
      </tp>
      <tp t="s">
        <v>Invalid Market: CALCM2</v>
        <stp/>
        <stp>CALCM2:LstBlkPrc</stp>
        <tr r="K1189" s="5"/>
        <tr r="K1341" s="5"/>
      </tp>
      <tp t="s">
        <v>Invalid Market: CALCY2</v>
        <stp/>
        <stp>CALCY2:LstBlkPrc</stp>
        <tr r="K1223" s="5"/>
        <tr r="K1375" s="5"/>
      </tp>
      <tp t="s">
        <v>Invalid Market: CALCQ2</v>
        <stp/>
        <stp>CALCQ2:LstBlkPrc</stp>
        <tr r="K1214" s="5"/>
        <tr r="K1366" s="5"/>
      </tp>
    </main>
    <main first="esrtd">
      <tp t="s">
        <v/>
        <stp/>
        <stp>WMJ 8!-IEU</stp>
        <stp>Open Interest</stp>
        <tr r="T1890" s="5"/>
      </tp>
      <tp t="s">
        <v/>
        <stp/>
        <stp>WMJ 9!-IEU</stp>
        <stp>Open Interest</stp>
        <tr r="T1891" s="5"/>
      </tp>
      <tp t="s">
        <v/>
        <stp/>
        <stp>WMJ 1!-IEU</stp>
        <stp>Open Interest</stp>
        <tr r="T1883" s="5"/>
      </tp>
      <tp t="s">
        <v/>
        <stp/>
        <stp>WMJ 2!-IEU</stp>
        <stp>Open Interest</stp>
        <tr r="T1884" s="5"/>
      </tp>
      <tp t="s">
        <v/>
        <stp/>
        <stp>WMJ 3!-IEU</stp>
        <stp>Open Interest</stp>
        <tr r="T1885" s="5"/>
      </tp>
      <tp t="s">
        <v/>
        <stp/>
        <stp>WMJ 4!-IEU</stp>
        <stp>Open Interest</stp>
        <tr r="T1886" s="5"/>
      </tp>
      <tp t="s">
        <v/>
        <stp/>
        <stp>WMJ 5!-IEU</stp>
        <stp>Open Interest</stp>
        <tr r="T1887" s="5"/>
      </tp>
      <tp t="s">
        <v/>
        <stp/>
        <stp>WMJ 6!-IEU</stp>
        <stp>Open Interest</stp>
        <tr r="T1888" s="5"/>
      </tp>
      <tp t="s">
        <v/>
        <stp/>
        <stp>WMJ 7!-IEU</stp>
        <stp>Open Interest</stp>
        <tr r="T1889" s="5"/>
      </tp>
    </main>
    <main first="ice.rtd">
      <tp t="s">
        <v>Invalid Market: CALCM4</v>
        <stp/>
        <stp>CALCM4:LstBlkVol</stp>
        <tr r="L1191" s="5"/>
        <tr r="L1343" s="5"/>
      </tp>
      <tp t="s">
        <v>Invalid Market: CALCQ4</v>
        <stp/>
        <stp>CALCQ4:LstBlkVol</stp>
        <tr r="L1216" s="5"/>
        <tr r="L1368" s="5"/>
      </tp>
    </main>
    <main first="bofaddin.rtdserver">
      <tp t="s">
        <v>#N/A</v>
        <stp/>
        <stp>BDP|6929907192975128359|222</stp>
        <stp>OQAN8Q8 Comdty</stp>
        <stp>BID</stp>
        <stp>Fill=#N/A</stp>
        <tr r="T42" s="1"/>
      </tp>
      <tp t="s">
        <v>#N/A</v>
        <stp/>
        <stp>BDP|9901878268748224629|222</stp>
        <stp>OQAV8X8 Comdty</stp>
        <stp>BID</stp>
        <stp>Fill=#N/A</stp>
        <tr r="T45" s="1"/>
      </tp>
      <tp t="s">
        <v>#N/A</v>
        <stp/>
        <stp>BDP|2966994600530072501|222</stp>
        <stp>MUCQ7U7 Comdty</stp>
        <stp>ASK</stp>
        <stp>Fill=#N/A</stp>
        <tr r="S31" s="1"/>
      </tp>
      <tp t="s">
        <v>#N/A</v>
        <stp/>
        <stp>BDP|8677430870834602278|222</stp>
        <stp>MUCN7Q7 Comdty</stp>
        <stp>ASK</stp>
        <stp>Fill=#N/A</stp>
        <tr r="S30" s="1"/>
      </tp>
      <tp t="s">
        <v>#N/A</v>
        <stp/>
        <stp>BDP|1536417239758138379|222</stp>
        <stp>OQAQ8U8 Comdty</stp>
        <stp>BID</stp>
        <stp>Fill=#N/A</stp>
        <tr r="T43" s="1"/>
      </tp>
    </main>
    <main first="esrtd">
      <tp t="s">
        <v/>
        <stp/>
        <stp>Invalid Market: CALCM6 H27-IEU</stp>
        <stp>ICE Theoretical Price</stp>
        <tr r="W1079" s="5"/>
        <tr r="W389" s="5"/>
        <tr r="W275" s="5"/>
        <tr r="W851" s="5"/>
        <tr r="W1345" s="5"/>
        <tr r="W1193" s="5"/>
      </tp>
    </main>
    <main first="bofaddin.rtdserver">
      <tp t="s">
        <v>#N/A Invalid Security</v>
        <stp/>
        <stp>BDP|14752905042032764937|222</stp>
        <stp>COK9 Comdty</stp>
        <stp>BID</stp>
        <stp>Fill=#N/A</stp>
        <tr r="G51" s="1"/>
      </tp>
      <tp t="s">
        <v>#N/A Invalid Security</v>
        <stp/>
        <stp>BDP|13869734141468153401|222</stp>
        <stp>XBH0 Comdty</stp>
        <stp>BID</stp>
        <stp>Fill=#N/A</stp>
        <tr r="J61" s="1"/>
      </tp>
      <tp>
        <v>791.75</v>
        <stp/>
        <stp>BDP|10984906976959288178|222</stp>
        <stp>QSM9 Comdty</stp>
        <stp>BID</stp>
        <stp>Fill=#N/A</stp>
        <tr r="H52" s="1"/>
      </tp>
      <tp>
        <v>281</v>
        <stp/>
        <stp>BDP|14023274833637228645|222</stp>
        <stp>XBM7 Comdty</stp>
        <stp>BID</stp>
        <stp>Fill=#N/A</stp>
        <tr r="J28" s="1"/>
      </tp>
      <tp t="s">
        <v>#N/A Invalid Security</v>
        <stp/>
        <stp>BDP|15392511824419139414|222</stp>
        <stp>XBN0 Comdty</stp>
        <stp>ASK</stp>
        <stp>Fill=#N/A</stp>
        <tr r="J65" s="1"/>
      </tp>
      <tp t="s">
        <v>#N/A</v>
        <stp/>
        <stp>BDP|10420539887123299202|222</stp>
        <stp>QSK0 Comdty</stp>
        <stp>BID</stp>
        <stp>Fill=#N/A</stp>
        <tr r="H63" s="1"/>
      </tp>
      <tp t="s">
        <v>#N/A Invalid Security</v>
        <stp/>
        <stp>BDP|10770280992901640329|222</stp>
        <stp>CLF9 Comdty</stp>
        <stp>ASK</stp>
        <stp>Fill=#N/A</stp>
        <tr r="F47" s="1"/>
      </tp>
      <tp t="s">
        <v>#N/A Invalid Security</v>
        <stp/>
        <stp>BDP|11492590525611837381|222</stp>
        <stp>XBG0 Comdty</stp>
        <stp>BID</stp>
        <stp>Fill=#N/A</stp>
        <tr r="J60" s="1"/>
      </tp>
      <tp>
        <v>92.35</v>
        <stp/>
        <stp>BDP|145144228428223769|222</stp>
        <stp>MUCG27 Comdty</stp>
        <stp>ASK</stp>
        <stp>Fill=#N/A</stp>
        <tr r="K24" s="1"/>
      </tp>
    </main>
    <main first="esrtd">
      <tp t="s">
        <v/>
        <stp/>
        <stp>WDF 26!-IEU</stp>
        <stp>Last</stp>
        <tr r="I1803" s="5"/>
      </tp>
      <tp t="s">
        <v/>
        <stp/>
        <stp>WDF 16!-IEU</stp>
        <stp>Last</stp>
        <tr r="I1793" s="5"/>
      </tp>
    </main>
    <main first="bofaddin.rtdserver">
      <tp t="s">
        <v>#N/A</v>
        <stp/>
        <stp>BDP|768789398315415996|222</stp>
        <stp>MUCK30 Comdty</stp>
        <stp>BID</stp>
        <stp>Fill=#N/A</stp>
        <tr r="K63" s="1"/>
      </tp>
    </main>
    <main first="esrtd">
      <tp t="s">
        <v/>
        <stp/>
        <stp>TDL 16!-IEU</stp>
        <stp>Last</stp>
        <tr r="I1828" s="5"/>
      </tp>
      <tp t="s">
        <v/>
        <stp/>
        <stp>TDL 26!-IEU</stp>
        <stp>Last</stp>
        <tr r="I1838" s="5"/>
      </tp>
    </main>
    <main first="ice.rtd">
      <tp>
        <v>0</v>
        <stp/>
        <stp>1923422331M12:BlkVol</stp>
        <tr r="O1639" s="5"/>
      </tp>
      <tp>
        <v>0</v>
        <stp/>
        <stp>1923422331M13:BlkVol</stp>
        <tr r="O1640" s="5"/>
      </tp>
      <tp>
        <v>0</v>
        <stp/>
        <stp>1923422331M10:BlkVol</stp>
        <tr r="O1637" s="5"/>
      </tp>
      <tp>
        <v>0</v>
        <stp/>
        <stp>1923422331M11:BlkVol</stp>
        <tr r="O1638" s="5"/>
      </tp>
      <tp>
        <v>0</v>
        <stp/>
        <stp>1923422331M14:BlkVol</stp>
        <tr r="O1641" s="5"/>
      </tp>
      <tp>
        <v>0</v>
        <stp/>
        <stp>3124331018M14:BlkVol</stp>
        <tr r="O1619" s="5"/>
      </tp>
      <tp>
        <v>0</v>
        <stp/>
        <stp>3124331018M11:BlkVol</stp>
        <tr r="O1616" s="5"/>
      </tp>
      <tp>
        <v>0</v>
        <stp/>
        <stp>3124331018M10:BlkVol</stp>
        <tr r="O1615" s="5"/>
      </tp>
      <tp>
        <v>0</v>
        <stp/>
        <stp>3124331018M13:BlkVol</stp>
        <tr r="O1618" s="5"/>
      </tp>
      <tp>
        <v>0</v>
        <stp/>
        <stp>3124331018M12:BlkVol</stp>
        <tr r="O1617" s="5"/>
      </tp>
      <tp t="s">
        <v>Sep26/Dec26</v>
        <stp/>
        <stp>366531MM2:Strip</stp>
        <tr r="E1717" s="5"/>
      </tp>
      <tp t="s">
        <v/>
        <stp/>
        <stp>2755828679M18:LstPrc</stp>
        <tr r="I1015" s="5"/>
      </tp>
      <tp t="s">
        <v/>
        <stp/>
        <stp>2755828679M19:LstPrc</stp>
        <tr r="I1016" s="5"/>
      </tp>
      <tp t="s">
        <v/>
        <stp/>
        <stp>2755828679M16:LstPrc</stp>
        <tr r="I1013" s="5"/>
      </tp>
      <tp t="s">
        <v/>
        <stp/>
        <stp>2755828679M17:LstPrc</stp>
        <tr r="I1014" s="5"/>
      </tp>
      <tp t="s">
        <v/>
        <stp/>
        <stp>2755828679M14:LstPrc</stp>
        <tr r="I1011" s="5"/>
      </tp>
      <tp t="s">
        <v/>
        <stp/>
        <stp>2755828679M15:LstPrc</stp>
        <tr r="I1012" s="5"/>
      </tp>
      <tp t="s">
        <v/>
        <stp/>
        <stp>2755828679M12:LstPrc</stp>
        <tr r="I1009" s="5"/>
      </tp>
      <tp t="s">
        <v/>
        <stp/>
        <stp>2755828679M13:LstPrc</stp>
        <tr r="I1010" s="5"/>
      </tp>
      <tp t="s">
        <v/>
        <stp/>
        <stp>2755828679M10:LstPrc</stp>
        <tr r="I1007" s="5"/>
      </tp>
      <tp t="s">
        <v/>
        <stp/>
        <stp>2755828679M11:LstPrc</stp>
        <tr r="I1008" s="5"/>
      </tp>
      <tp t="s">
        <v/>
        <stp/>
        <stp>2755828679M24:LstPrc</stp>
        <tr r="I1021" s="5"/>
      </tp>
      <tp t="s">
        <v/>
        <stp/>
        <stp>2755828679M22:LstPrc</stp>
        <tr r="I1019" s="5"/>
      </tp>
      <tp t="s">
        <v/>
        <stp/>
        <stp>2755828679M23:LstPrc</stp>
        <tr r="I1020" s="5"/>
      </tp>
      <tp t="s">
        <v/>
        <stp/>
        <stp>2755828679M20:LstPrc</stp>
        <tr r="I1017" s="5"/>
      </tp>
      <tp t="s">
        <v/>
        <stp/>
        <stp>2755828679M21:LstPrc</stp>
        <tr r="I1018" s="5"/>
      </tp>
      <tp t="s">
        <v>Aug27</v>
        <stp/>
        <stp>266419M11:Strip</stp>
        <tr r="E970" s="5"/>
      </tp>
      <tp t="s">
        <v>Jun28</v>
        <stp/>
        <stp>266419M21:Strip</stp>
        <tr r="E980" s="5"/>
      </tp>
      <tp t="s">
        <v>Invalid Market: CALCQ3</v>
        <stp/>
        <stp>CALCQ3:BstHitPrc</stp>
        <tr r="G1215" s="5"/>
        <tr r="G1367" s="5"/>
      </tp>
      <tp t="s">
        <v>Invalid Market: CALCM3</v>
        <stp/>
        <stp>CALCM3:BstHitPrc</stp>
        <tr r="G1190" s="5"/>
        <tr r="G1342" s="5"/>
      </tp>
      <tp t="s">
        <v>Invalid Market: CALCM3</v>
        <stp/>
        <stp>CALCM3:LstBlkPrc</stp>
        <tr r="K1190" s="5"/>
        <tr r="K1342" s="5"/>
      </tp>
      <tp t="s">
        <v>Invalid Market: CALCQ3</v>
        <stp/>
        <stp>CALCQ3:LstBlkPrc</stp>
        <tr r="K1367" s="5"/>
        <tr r="K1215" s="5"/>
      </tp>
      <tp t="s">
        <v>Invalid Market: CALCM5</v>
        <stp/>
        <stp>CALCM5:LstBlkVol</stp>
        <tr r="L1344" s="5"/>
        <tr r="L1192" s="5"/>
      </tp>
      <tp t="s">
        <v>Invalid Market: CALCQ5</v>
        <stp/>
        <stp>CALCQ5:LstBlkVol</stp>
        <tr r="L1217" s="5"/>
        <tr r="L1369" s="5"/>
      </tp>
      <tp t="s">
        <v/>
        <stp/>
        <stp>DBI1227MM27:BstLiftPrc</stp>
        <tr r="H1678" s="5"/>
      </tp>
      <tp>
        <v>5.18</v>
        <stp/>
        <stp>DBI1227MM26:BstLiftPrc</stp>
        <tr r="H1677" s="5"/>
      </tp>
      <tp>
        <v>4.34</v>
        <stp/>
        <stp>DBI1227MM25:BstLiftPrc</stp>
        <tr r="H1676" s="5"/>
      </tp>
      <tp>
        <v>3.27</v>
        <stp/>
        <stp>DBI1227MM24:BstLiftPrc</stp>
        <tr r="H1675" s="5"/>
      </tp>
      <tp>
        <v>1.88</v>
        <stp/>
        <stp>DBI1227MM23:BstLiftPrc</stp>
        <tr r="H1674" s="5"/>
      </tp>
      <tp t="s">
        <v/>
        <stp/>
        <stp>DBI1227MM22:BstLiftPrc</stp>
        <tr r="H1673" s="5"/>
      </tp>
      <tp t="s">
        <v/>
        <stp/>
        <stp>DBI1227MM21:BstLiftPrc</stp>
        <tr r="H1672" s="5"/>
      </tp>
      <tp t="s">
        <v/>
        <stp/>
        <stp>DBI1227MM20:BstLiftPrc</stp>
        <tr r="H1671" s="5"/>
      </tp>
      <tp>
        <v>6.21</v>
        <stp/>
        <stp>DBI1227MM17:BstLiftPrc</stp>
        <tr r="H1668" s="5"/>
      </tp>
      <tp>
        <v>4.82</v>
        <stp/>
        <stp>DBI1227MM16:BstLiftPrc</stp>
        <tr r="H1667" s="5"/>
      </tp>
      <tp>
        <v>2.94</v>
        <stp/>
        <stp>DBI1227MM15:BstLiftPrc</stp>
        <tr r="H1666" s="5"/>
      </tp>
      <tp t="s">
        <v/>
        <stp/>
        <stp>DBI1227MM14:BstLiftPrc</stp>
        <tr r="H1665" s="5"/>
      </tp>
      <tp>
        <v>12.87</v>
        <stp/>
        <stp>DBI1227MM13:BstLiftPrc</stp>
        <tr r="H1664" s="5"/>
      </tp>
      <tp>
        <v>12.02</v>
        <stp/>
        <stp>DBI1227MM12:BstLiftPrc</stp>
        <tr r="H1663" s="5"/>
      </tp>
      <tp>
        <v>10.95</v>
        <stp/>
        <stp>DBI1227MM11:BstLiftPrc</stp>
        <tr r="H1662" s="5"/>
      </tp>
      <tp>
        <v>9.5500000000000007</v>
        <stp/>
        <stp>DBI1227MM10:BstLiftPrc</stp>
        <tr r="H1649" s="5"/>
        <tr r="H1661" s="5"/>
      </tp>
      <tp t="s">
        <v/>
        <stp/>
        <stp>DBI1227MM19:BstLiftPrc</stp>
        <tr r="H1650" s="5"/>
        <tr r="H1670" s="5"/>
      </tp>
      <tp>
        <v>7.29</v>
        <stp/>
        <stp>DBI1227MM18:BstLiftPrc</stp>
        <tr r="H1669" s="5"/>
      </tp>
    </main>
    <main first="bofaddin.rtdserver">
      <tp t="s">
        <v>#N/A Invalid Security</v>
        <stp/>
        <stp>BDP|900323643137171745|222</stp>
        <stp>HOG0HOH0 Comdty</stp>
        <stp>ASK</stp>
        <stp>Fill=#N/A</stp>
        <tr r="Q61" s="1"/>
      </tp>
    </main>
    <main first="esrtd">
      <tp t="s">
        <v/>
        <stp/>
        <stp>Invalid Market: CALCM9 M27-IEU</stp>
        <stp>ICE Theoretical Price</stp>
        <tr r="W278" s="5"/>
        <tr r="W1348" s="5"/>
        <tr r="W854" s="5"/>
        <tr r="W1196" s="5"/>
        <tr r="W392" s="5"/>
        <tr r="W1082" s="5"/>
      </tp>
    </main>
    <main first="ice.rtd">
      <tp>
        <v>0</v>
        <stp/>
        <stp>266419Q8:Vol</stp>
        <tr r="N992" s="5"/>
      </tp>
      <tp>
        <v>0</v>
        <stp/>
        <stp>266419Q7:Vol</stp>
        <tr r="N991" s="5"/>
      </tp>
      <tp>
        <v>0</v>
        <stp/>
        <stp>266419Q6:Vol</stp>
        <tr r="N990" s="5"/>
      </tp>
      <tp>
        <v>0</v>
        <stp/>
        <stp>266419Q5:Vol</stp>
        <tr r="N989" s="5"/>
      </tp>
      <tp>
        <v>0</v>
        <stp/>
        <stp>266419Q4:Vol</stp>
        <tr r="N988" s="5"/>
      </tp>
      <tp>
        <v>0</v>
        <stp/>
        <stp>266419Q3:Vol</stp>
        <tr r="N987" s="5"/>
      </tp>
      <tp>
        <v>0</v>
        <stp/>
        <stp>266419Q2:Vol</stp>
        <tr r="N986" s="5"/>
      </tp>
      <tp>
        <v>0</v>
        <stp/>
        <stp>266419Q1:Vol</stp>
        <tr r="N985" s="5"/>
      </tp>
      <tp>
        <v>0</v>
        <stp/>
        <stp>266419Q0:Vol</stp>
        <tr r="N984" s="5"/>
      </tp>
    </main>
    <main first="bofaddin.rtdserver">
      <tp t="s">
        <v>#N/A</v>
        <stp/>
        <stp>BDP|13675930091229803022|222</stp>
        <stp>CLM8 Comdty</stp>
        <stp>ASK</stp>
        <stp>Fill=#N/A</stp>
        <tr r="F40" s="1"/>
      </tp>
      <tp t="s">
        <v>#N/A</v>
        <stp/>
        <stp>BDP|11223037153577128192|222</stp>
        <stp>QSJ0 Comdty</stp>
        <stp>ASK</stp>
        <stp>Fill=#N/A</stp>
        <tr r="H62" s="1"/>
      </tp>
      <tp t="s">
        <v>#N/A</v>
        <stp/>
        <stp>BDP|13888066862387685776|222</stp>
        <stp>XBF0 Comdty</stp>
        <stp>BID</stp>
        <stp>Fill=#N/A</stp>
        <tr r="J59" s="1"/>
      </tp>
      <tp>
        <v>872</v>
        <stp/>
        <stp>BDP|11623825470265012629|222</stp>
        <stp>QSH8 Comdty</stp>
        <stp>BID</stp>
        <stp>Fill=#N/A</stp>
        <tr r="H37" s="1"/>
      </tp>
      <tp t="s">
        <v>#N/A</v>
        <stp/>
        <stp>BDP|13552644431545179470|222</stp>
        <stp>HOF0 Comdty</stp>
        <stp>BID</stp>
        <stp>Fill=#N/A</stp>
        <tr r="I59" s="1"/>
      </tp>
      <tp>
        <v>76.709999999999994</v>
        <stp/>
        <stp>BDP|14598936946568427705|222</stp>
        <stp>COG8 Comdty</stp>
        <stp>ASK</stp>
        <stp>Fill=#N/A</stp>
        <tr r="G36" s="1"/>
      </tp>
    </main>
    <main first="esrtd">
      <tp t="s">
        <v/>
        <stp/>
        <stp>WNS 23!-IEU</stp>
        <stp>Last</stp>
        <tr r="I1870" s="5"/>
      </tp>
      <tp t="s">
        <v/>
        <stp/>
        <stp>WNS 13!-IEU</stp>
        <stp>Last</stp>
        <tr r="I1860" s="5"/>
      </tp>
      <tp t="s">
        <v/>
        <stp/>
        <stp>WNS Q3!-IEU</stp>
        <stp>Last</stp>
        <tr r="I1880" s="5"/>
      </tp>
    </main>
    <main first="ice.rtd">
      <tp>
        <v>0</v>
        <stp/>
        <stp>266419Y2:Vol</stp>
        <tr r="N995" s="5"/>
      </tp>
      <tp>
        <v>0</v>
        <stp/>
        <stp>266419Y1:Vol</stp>
        <tr r="N994" s="5"/>
      </tp>
      <tp>
        <v>0</v>
        <stp/>
        <stp>266419Y0:Vol</stp>
        <tr r="N993" s="5"/>
      </tp>
      <tp>
        <v>46267.395860497687</v>
        <stp/>
        <stp>DBI1227MM0:LstDate</stp>
        <tr r="J1648" s="5"/>
        <tr r="J1651" s="5"/>
      </tp>
      <tp t="s">
        <v/>
        <stp/>
        <stp>DBI1227MM1:LstDate</stp>
        <tr r="J1652" s="5"/>
      </tp>
      <tp t="s">
        <v/>
        <stp/>
        <stp>DBI1227MM2:LstDate</stp>
        <tr r="J1653" s="5"/>
      </tp>
      <tp t="s">
        <v/>
        <stp/>
        <stp>DBI1227MM3:LstDate</stp>
        <tr r="J1654" s="5"/>
      </tp>
      <tp t="s">
        <v/>
        <stp/>
        <stp>DBI1227MM4:LstDate</stp>
        <tr r="J1655" s="5"/>
      </tp>
      <tp t="s">
        <v/>
        <stp/>
        <stp>DBI1227MM5:LstDate</stp>
        <tr r="J1656" s="5"/>
      </tp>
      <tp t="s">
        <v/>
        <stp/>
        <stp>DBI1227MM6:LstDate</stp>
        <tr r="J1657" s="5"/>
      </tp>
      <tp t="s">
        <v/>
        <stp/>
        <stp>DBI1227MM7:LstDate</stp>
        <tr r="J1658" s="5"/>
      </tp>
      <tp>
        <v>46267.463690590281</v>
        <stp/>
        <stp>DBI1227MM8:LstDate</stp>
        <tr r="J1659" s="5"/>
      </tp>
      <tp>
        <v>46267.463690914352</v>
        <stp/>
        <stp>DBI1227MM9:LstDate</stp>
        <tr r="J1660" s="5"/>
      </tp>
      <tp t="s">
        <v>10:24:10</v>
        <stp/>
        <stp>161913535MM12:LstBlkTime</stp>
        <tr r="M2039" s="5"/>
      </tp>
      <tp t="s">
        <v/>
        <stp/>
        <stp>161913535MM13:LstBlkTime</stp>
        <tr r="M2040" s="5"/>
      </tp>
      <tp t="s">
        <v/>
        <stp/>
        <stp>161913535MM10:LstBlkTime</stp>
        <tr r="M2037" s="5"/>
      </tp>
      <tp t="s">
        <v/>
        <stp/>
        <stp>161913535MM11:LstBlkTime</stp>
        <tr r="M2038" s="5"/>
      </tp>
      <tp t="s">
        <v/>
        <stp/>
        <stp>161913535MM16:LstBlkTime</stp>
        <tr r="M2043" s="5"/>
      </tp>
      <tp t="s">
        <v/>
        <stp/>
        <stp>161913535MM17:LstBlkTime</stp>
        <tr r="M2044" s="5"/>
      </tp>
      <tp t="s">
        <v/>
        <stp/>
        <stp>161913535MM14:LstBlkTime</stp>
        <tr r="M2041" s="5"/>
      </tp>
      <tp t="s">
        <v/>
        <stp/>
        <stp>161913535MM15:LstBlkTime</stp>
        <tr r="M2042" s="5"/>
      </tp>
      <tp t="s">
        <v/>
        <stp/>
        <stp>161913535MM18:LstBlkTime</stp>
        <tr r="M2045" s="5"/>
      </tp>
      <tp t="s">
        <v/>
        <stp/>
        <stp>161913535MM19:LstBlkTime</stp>
        <tr r="M2046" s="5"/>
      </tp>
      <tp t="s">
        <v>10:39:29</v>
        <stp/>
        <stp>161913535MM22:LstBlkTime</stp>
        <tr r="M2049" s="5"/>
      </tp>
      <tp t="s">
        <v>08:08:20</v>
        <stp/>
        <stp>161913535MM23:LstBlkTime</stp>
        <tr r="M2050" s="5"/>
      </tp>
      <tp t="s">
        <v/>
        <stp/>
        <stp>161913535MM20:LstBlkTime</stp>
        <tr r="M2047" s="5"/>
      </tp>
      <tp t="s">
        <v/>
        <stp/>
        <stp>161913535MM21:LstBlkTime</stp>
        <tr r="M2048" s="5"/>
      </tp>
      <tp t="s">
        <v/>
        <stp/>
        <stp>161913535MM26:LstBlkTime</stp>
        <tr r="M2053" s="5"/>
      </tp>
      <tp t="s">
        <v/>
        <stp/>
        <stp>161913535MM27:LstBlkTime</stp>
        <tr r="M2054" s="5"/>
      </tp>
      <tp t="s">
        <v/>
        <stp/>
        <stp>161913535MM24:LstBlkTime</stp>
        <tr r="M2051" s="5"/>
      </tp>
      <tp t="s">
        <v>08:06:30</v>
        <stp/>
        <stp>161913535MM25:LstBlkTime</stp>
        <tr r="M2052" s="5"/>
      </tp>
    </main>
    <main first="bofaddin.rtdserver">
      <tp>
        <v>74.55</v>
        <stp/>
        <stp>BDP|14267278949330049611|222</stp>
        <stp>CLM7 Comdty</stp>
        <stp>BID</stp>
        <stp>Fill=#N/A</stp>
        <tr r="F28" s="1"/>
      </tp>
      <tp t="s">
        <v>#N/A Invalid Security</v>
        <stp/>
        <stp>BDP|14700446885999829870|222</stp>
        <stp>CLG9 Comdty</stp>
        <stp>ASK</stp>
        <stp>Fill=#N/A</stp>
        <tr r="F48" s="1"/>
      </tp>
      <tp>
        <v>316.91000000000003</v>
        <stp/>
        <stp>BDP|14093544037822358222|222</stp>
        <stp>HOG8 Comdty</stp>
        <stp>BID</stp>
        <stp>Fill=#N/A</stp>
        <tr r="I36" s="1"/>
      </tp>
    </main>
    <main first="esrtd">
      <tp t="s">
        <v/>
        <stp/>
        <stp>WDF 29!-IEU</stp>
        <stp>Last</stp>
        <tr r="I1806" s="5"/>
      </tp>
      <tp t="s">
        <v/>
        <stp/>
        <stp>WDF 19!-IEU</stp>
        <stp>Last</stp>
        <tr r="I1796" s="5"/>
      </tp>
      <tp t="s">
        <v/>
        <stp/>
        <stp>TDL 19!-IEU</stp>
        <stp>Last</stp>
        <tr r="I1831" s="5"/>
      </tp>
      <tp t="s">
        <v/>
        <stp/>
        <stp>TDL 29!-IEU</stp>
        <stp>Last</stp>
        <tr r="I1841" s="5"/>
      </tp>
    </main>
    <main first="ice.rtd">
      <tp>
        <v>0</v>
        <stp/>
        <stp>266419M9:Vol</stp>
        <tr r="N968" s="5"/>
      </tp>
      <tp>
        <v>0</v>
        <stp/>
        <stp>266419M8:Vol</stp>
        <tr r="N967" s="5"/>
      </tp>
      <tp>
        <v>0</v>
        <stp/>
        <stp>266419M7:Vol</stp>
        <tr r="N966" s="5"/>
      </tp>
      <tp>
        <v>0</v>
        <stp/>
        <stp>266419M6:Vol</stp>
        <tr r="N965" s="5"/>
      </tp>
      <tp>
        <v>0</v>
        <stp/>
        <stp>266419M5:Vol</stp>
        <tr r="N964" s="5"/>
      </tp>
      <tp>
        <v>0</v>
        <stp/>
        <stp>266419M4:Vol</stp>
        <tr r="N963" s="5"/>
      </tp>
      <tp>
        <v>0</v>
        <stp/>
        <stp>266419M3:Vol</stp>
        <tr r="N962" s="5"/>
      </tp>
      <tp>
        <v>0</v>
        <stp/>
        <stp>266419M2:Vol</stp>
        <tr r="N961" s="5"/>
      </tp>
      <tp>
        <v>0</v>
        <stp/>
        <stp>266419M1:Vol</stp>
        <tr r="N960" s="5"/>
      </tp>
      <tp>
        <v>0</v>
        <stp/>
        <stp>266419M0:Vol</stp>
        <tr r="N959" s="5"/>
      </tp>
    </main>
    <main first="esrtd">
      <tp t="s">
        <v/>
        <stp/>
        <stp>WMJ 30!-IEU</stp>
        <stp>Last</stp>
        <tr r="I1912" s="5"/>
      </tp>
      <tp t="s">
        <v/>
        <stp/>
        <stp>WMJ 20!-IEU</stp>
        <stp>Last</stp>
        <tr r="I1902" s="5"/>
      </tp>
      <tp t="s">
        <v/>
        <stp/>
        <stp>WMJ 10!-IEU</stp>
        <stp>Last</stp>
        <tr r="I1892" s="5"/>
      </tp>
      <tp t="s">
        <v/>
        <stp/>
        <stp>WHK 25!-IEU</stp>
        <stp>Last</stp>
        <tr r="I1942" s="5"/>
      </tp>
      <tp t="s">
        <v/>
        <stp/>
        <stp>WHK 15!-IEU</stp>
        <stp>Last</stp>
        <tr r="I1932" s="5"/>
      </tp>
    </main>
    <main first="ice.rtd">
      <tp t="s">
        <v>Nov27</v>
        <stp/>
        <stp>141587M14:Strip</stp>
        <tr r="E55" s="5"/>
      </tp>
      <tp t="s">
        <v>Sep28</v>
        <stp/>
        <stp>141587M24:Strip</stp>
        <tr r="E65" s="5"/>
      </tp>
      <tp t="s">
        <v/>
        <stp/>
        <stp>3016030250BM0:LstPrc</stp>
        <tr r="I1682" s="5"/>
      </tp>
    </main>
    <main first="ice.rtd">
      <tp t="s">
        <v>Sep27</v>
        <stp/>
        <stp>1517M12:Strip</stp>
        <tr r="E15" s="5"/>
      </tp>
      <tp t="s">
        <v>Jul28</v>
        <stp/>
        <stp>1517M22:Strip</stp>
        <tr r="E25" s="5"/>
      </tp>
      <tp t="s">
        <v>Dec27</v>
        <stp/>
        <stp>5162M15:Strip</stp>
        <tr r="E784" s="5"/>
      </tp>
    </main>
    <main first="bofaddin.rtdserver">
      <tp t="s">
        <v>#N/A</v>
        <stp/>
        <stp>BDP|1622479395406081152|222</stp>
        <stp>MUCQ9U9 Comdty</stp>
        <stp>BID</stp>
        <stp>Fill=#N/A</stp>
        <tr r="S55" s="1"/>
      </tp>
      <tp t="s">
        <v>#N/A</v>
        <stp/>
        <stp>BDP|4129997025261179448|222</stp>
        <stp>OQAV7X7 Comdty</stp>
        <stp>BID</stp>
        <stp>Fill=#N/A</stp>
        <tr r="T33" s="1"/>
      </tp>
      <tp>
        <v>0.28000000000000003</v>
        <stp/>
        <stp>BDP|404927582128898293|222</stp>
        <stp>CLH8CLJ8 Comdty</stp>
        <stp>ASK</stp>
        <stp>Fill=#N/A</stp>
        <tr r="N38" s="1"/>
      </tp>
      <tp t="s">
        <v>#N/A</v>
        <stp/>
        <stp>BDP|5883036826247745278|222</stp>
        <stp>MUCU9V9 Comdty</stp>
        <stp>ASK</stp>
        <stp>Fill=#N/A</stp>
        <tr r="S56" s="1"/>
      </tp>
      <tp>
        <v>-2.25</v>
        <stp/>
        <stp>BDP|890425820937023230|222</stp>
        <stp>QSK9QSM9 Comdty</stp>
        <stp>BID</stp>
        <stp>Fill=#N/A</stp>
        <tr r="P52" s="1"/>
      </tp>
      <tp t="s">
        <v>#N/A</v>
        <stp/>
        <stp>BDP|1983624409060275395|222</stp>
        <stp>OQAU7V7 Comdty</stp>
        <stp>ASK</stp>
        <stp>Fill=#N/A</stp>
        <tr r="T32" s="1"/>
      </tp>
      <tp t="s">
        <v>#N/A</v>
        <stp/>
        <stp>BDP|1334487631434533759|222</stp>
        <stp>MUCN8Q8 Comdty</stp>
        <stp>ASK</stp>
        <stp>Fill=#N/A</stp>
        <tr r="S42" s="1"/>
      </tp>
    </main>
    <main first="esrtd">
      <tp t="s">
        <v/>
        <stp/>
        <stp>Invalid Market: CALCM8 K27-IEU</stp>
        <stp>ICE Theoretical Price</stp>
        <tr r="W1081" s="5"/>
        <tr r="W391" s="5"/>
        <tr r="W277" s="5"/>
        <tr r="W1347" s="5"/>
        <tr r="W853" s="5"/>
        <tr r="W1195" s="5"/>
      </tp>
    </main>
    <main first="bofaddin.rtdserver">
      <tp>
        <v>306.14</v>
        <stp/>
        <stp>BDP|16272288836193416531|222</stp>
        <stp>HOJ8 Comdty</stp>
        <stp>BID</stp>
        <stp>Fill=#N/A</stp>
        <tr r="I38" s="1"/>
      </tp>
      <tp>
        <v>364.02</v>
        <stp/>
        <stp>BDP|14188046430115300390|222</stp>
        <stp>HOK7 Comdty</stp>
        <stp>BID</stp>
        <stp>Fill=#N/A</stp>
        <tr r="I27" s="1"/>
      </tp>
      <tp t="s">
        <v>#N/A Invalid Security</v>
        <stp/>
        <stp>BDP|15681035235583793334|222</stp>
        <stp>HON0 Comdty</stp>
        <stp>ASK</stp>
        <stp>Fill=#N/A</stp>
        <tr r="I65" s="1"/>
      </tp>
    </main>
    <main first="esrtd">
      <tp t="s">
        <v/>
        <stp/>
        <stp>WNS 22!-IEU</stp>
        <stp>Last</stp>
        <tr r="I1869" s="5"/>
      </tp>
      <tp t="s">
        <v/>
        <stp/>
        <stp>WNS 12!-IEU</stp>
        <stp>Last</stp>
        <tr r="I1859" s="5"/>
      </tp>
      <tp t="s">
        <v/>
        <stp/>
        <stp>WNS C2!-IEU</stp>
        <stp>Last</stp>
        <tr r="I1882" s="5"/>
      </tp>
      <tp t="s">
        <v/>
        <stp/>
        <stp>WNS Q2!-IEU</stp>
        <stp>Last</stp>
        <tr r="I1879" s="5"/>
      </tp>
    </main>
    <main first="bofaddin.rtdserver">
      <tp t="s">
        <v>#N/A Invalid Security</v>
        <stp/>
        <stp>BDP|11329023696104089042|222</stp>
        <stp>XBN0 Comdty</stp>
        <stp>BID</stp>
        <stp>Fill=#N/A</stp>
        <tr r="J65" s="1"/>
      </tp>
      <tp>
        <v>349.01</v>
        <stp/>
        <stp>BDP|11270347668330575071|222</stp>
        <stp>HON7 Comdty</stp>
        <stp>ASK</stp>
        <stp>Fill=#N/A</stp>
        <tr r="I29" s="1"/>
      </tp>
      <tp t="s">
        <v>#N/A Invalid Security</v>
        <stp/>
        <stp>BDP|17417837410314346590|222</stp>
        <stp>XBJ0 Comdty</stp>
        <stp>ASK</stp>
        <stp>Fill=#N/A</stp>
        <tr r="J62" s="1"/>
      </tp>
      <tp>
        <v>375.29</v>
        <stp/>
        <stp>BDP|16224028829878389984|222</stp>
        <stp>HOJ7 Comdty</stp>
        <stp>BID</stp>
        <stp>Fill=#N/A</stp>
        <tr r="I26" s="1"/>
      </tp>
    </main>
    <main first="esrtd">
      <tp t="s">
        <v/>
        <stp/>
        <stp>WDF 28!-IEU</stp>
        <stp>Last</stp>
        <tr r="I1805" s="5"/>
      </tp>
      <tp t="s">
        <v/>
        <stp/>
        <stp>WDF 18!-IEU</stp>
        <stp>Last</stp>
        <tr r="I1795" s="5"/>
      </tp>
      <tp t="s">
        <v/>
        <stp/>
        <stp>TDL 18!-IEU</stp>
        <stp>Last</stp>
        <tr r="I1830" s="5"/>
      </tp>
      <tp t="s">
        <v/>
        <stp/>
        <stp>TDL 28!-IEU</stp>
        <stp>Last</stp>
        <tr r="I1840" s="5"/>
      </tp>
      <tp t="s">
        <v/>
        <stp/>
        <stp>WMJ 21!-IEU</stp>
        <stp>Last</stp>
        <tr r="I1903" s="5"/>
      </tp>
      <tp t="s">
        <v/>
        <stp/>
        <stp>WMJ 11!-IEU</stp>
        <stp>Last</stp>
        <tr r="I1893" s="5"/>
      </tp>
      <tp t="s">
        <v/>
        <stp/>
        <stp>WMJ Q1!-IEU</stp>
        <stp>Last</stp>
        <tr r="I1913" s="5"/>
      </tp>
      <tp t="s">
        <v/>
        <stp/>
        <stp>WHK 24!-IEU</stp>
        <stp>Last</stp>
        <tr r="I1941" s="5"/>
      </tp>
      <tp t="s">
        <v/>
        <stp/>
        <stp>WHK 14!-IEU</stp>
        <stp>Last</stp>
        <tr r="I1931" s="5"/>
      </tp>
      <tp t="s">
        <v/>
        <stp/>
        <stp>WHK Q4!-IEU</stp>
        <stp>Last</stp>
        <tr r="I1951" s="5"/>
      </tp>
    </main>
    <main first="ice.rtd">
      <tp t="s">
        <v>Dec27</v>
        <stp/>
        <stp>141587M15:Strip</stp>
        <tr r="E56" s="5"/>
      </tp>
    </main>
    <main first="bofaddin.rtdserver">
      <tp t="s">
        <v>#N/A Real Time</v>
        <stp/>
        <stp>BDP|5031720424404626396|22</stp>
        <stp>COQ6P 85.00 Comdty</stp>
        <stp>DELTA_MID_RT</stp>
        <tr r="F72" s="23"/>
        <tr r="F53" s="23"/>
        <tr r="F51" s="23"/>
        <tr r="F11" s="23"/>
        <tr r="F81" s="23"/>
      </tp>
    </main>
    <main first="ice.rtd">
      <tp t="s">
        <v>Oct27</v>
        <stp/>
        <stp>1517M13:Strip</stp>
        <tr r="E16" s="5"/>
      </tp>
      <tp t="s">
        <v>Aug28</v>
        <stp/>
        <stp>1517M23:Strip</stp>
        <tr r="E26" s="5"/>
      </tp>
      <tp t="s">
        <v>Nov27</v>
        <stp/>
        <stp>5162M14:Strip</stp>
        <tr r="E783" s="5"/>
      </tp>
      <tp t="s">
        <v>Sep28</v>
        <stp/>
        <stp>5162M24:Strip</stp>
        <tr r="E793" s="5"/>
      </tp>
    </main>
    <main first="bofaddin.rtdserver">
      <tp>
        <v>0.13</v>
        <stp/>
        <stp>BDP|162025108773470517|222</stp>
        <stp>CLK9CLM9 Comdty</stp>
        <stp>BID</stp>
        <stp>Fill=#N/A</stp>
        <tr r="N52" s="1"/>
      </tp>
      <tp t="s">
        <v>#N/A Invalid Security</v>
        <stp/>
        <stp>BDP|15404059764876148536|222</stp>
        <stp>XBK0 Comdty</stp>
        <stp>ASK</stp>
        <stp>Fill=#N/A</stp>
        <tr r="J63" s="1"/>
      </tp>
      <tp t="s">
        <v>#N/A Invalid Security</v>
        <stp/>
        <stp>BDP|13166050629820867537|222</stp>
        <stp>COH9 Comdty</stp>
        <stp>BID</stp>
        <stp>Fill=#N/A</stp>
        <tr r="G49" s="1"/>
      </tp>
      <tp t="s">
        <v>#N/A Invalid Security</v>
        <stp/>
        <stp>BDP|17970989315281056607|222</stp>
        <stp>CLF0 Comdty</stp>
        <stp>ASK</stp>
        <stp>Fill=#N/A</stp>
        <tr r="F59" s="1"/>
      </tp>
      <tp t="s">
        <v>#N/A</v>
        <stp/>
        <stp>BDP|15076240935103085611|222</stp>
        <stp>QSH0 Comdty</stp>
        <stp>BID</stp>
        <stp>Fill=#N/A</stp>
        <tr r="H61" s="1"/>
      </tp>
      <tp>
        <v>200</v>
        <stp/>
        <stp>BDP|12543539274732340747|222</stp>
        <stp>XBN9 Comdty</stp>
        <stp>BID</stp>
        <stp>Fill=#N/A</stp>
        <tr r="J53" s="1"/>
      </tp>
    </main>
    <main first="esrtd">
      <tp t="s">
        <v/>
        <stp/>
        <stp>WNS 21!-IEU</stp>
        <stp>Last</stp>
        <tr r="I1868" s="5"/>
      </tp>
      <tp t="s">
        <v/>
        <stp/>
        <stp>WNS 11!-IEU</stp>
        <stp>Last</stp>
        <tr r="I1858" s="5"/>
      </tp>
      <tp t="s">
        <v/>
        <stp/>
        <stp>WNS Q1!-IEU</stp>
        <stp>Last</stp>
        <tr r="I1878" s="5"/>
      </tp>
    </main>
    <main first="bofaddin.rtdserver">
      <tp t="s">
        <v>#N/A</v>
        <stp/>
        <stp>BDP|15518350784916999091|222</stp>
        <stp>QSG0 Comdty</stp>
        <stp>BID</stp>
        <stp>Fill=#N/A</stp>
        <tr r="H60" s="1"/>
      </tp>
      <tp>
        <v>893.5</v>
        <stp/>
        <stp>BDP|14497265920757487052|222</stp>
        <stp>QSF8 Comdty</stp>
        <stp>BID</stp>
        <stp>Fill=#N/A</stp>
        <tr r="H35" s="1"/>
      </tp>
    </main>
    <main first="ice.rtd">
      <tp>
        <v>11.104000000000001</v>
        <stp/>
        <stp>266419Y0:Settle</stp>
        <tr r="U993" s="5"/>
      </tp>
      <tp>
        <v>12.704000000000001</v>
        <stp/>
        <stp>266419Y1:Settle</stp>
        <tr r="U994" s="5"/>
      </tp>
      <tp>
        <v>13.4</v>
        <stp/>
        <stp>266419Y2:Settle</stp>
        <tr r="U995" s="5"/>
      </tp>
      <tp>
        <v>12.25</v>
        <stp/>
        <stp>266419Q4:Settle</stp>
        <tr r="U988" s="5"/>
      </tp>
      <tp>
        <v>12.417</v>
        <stp/>
        <stp>266419Q5:Settle</stp>
        <tr r="U989" s="5"/>
      </tp>
      <tp>
        <v>12.5</v>
        <stp/>
        <stp>266419Q6:Settle</stp>
        <tr r="U990" s="5"/>
      </tp>
      <tp>
        <v>13</v>
        <stp/>
        <stp>266419Q7:Settle</stp>
        <tr r="U991" s="5"/>
      </tp>
      <tp>
        <v>7.5830000000000002</v>
        <stp/>
        <stp>266419Q0:Settle</stp>
        <tr r="U984" s="5"/>
      </tp>
      <tp>
        <v>8.9169999999999998</v>
        <stp/>
        <stp>266419Q1:Settle</stp>
        <tr r="U985" s="5"/>
      </tp>
      <tp>
        <v>11.25</v>
        <stp/>
        <stp>266419Q2:Settle</stp>
        <tr r="U986" s="5"/>
      </tp>
      <tp>
        <v>12</v>
        <stp/>
        <stp>266419Q3:Settle</stp>
        <tr r="U987" s="5"/>
      </tp>
      <tp>
        <v>12.9</v>
        <stp/>
        <stp>266419Q8:Settle</stp>
        <tr r="U992" s="5"/>
      </tp>
      <tp>
        <v>8.5</v>
        <stp/>
        <stp>266419M4:Settle</stp>
        <tr r="U963" s="5"/>
      </tp>
      <tp>
        <v>9</v>
        <stp/>
        <stp>266419M5:Settle</stp>
        <tr r="U964" s="5"/>
      </tp>
      <tp>
        <v>9.25</v>
        <stp/>
        <stp>266419M6:Settle</stp>
        <tr r="U965" s="5"/>
      </tp>
      <tp>
        <v>11.25</v>
        <stp/>
        <stp>266419M7:Settle</stp>
        <tr r="U966" s="5"/>
      </tp>
      <tp>
        <v>8.5140000000000011</v>
        <stp/>
        <stp>266419M0:Settle</stp>
        <tr r="U959" s="5"/>
      </tp>
      <tp>
        <v>7.75</v>
        <stp/>
        <stp>266419M1:Settle</stp>
        <tr r="U960" s="5"/>
      </tp>
      <tp>
        <v>7.75</v>
        <stp/>
        <stp>266419M2:Settle</stp>
        <tr r="U961" s="5"/>
      </tp>
      <tp>
        <v>7.25</v>
        <stp/>
        <stp>266419M3:Settle</stp>
        <tr r="U962" s="5"/>
      </tp>
      <tp>
        <v>11.25</v>
        <stp/>
        <stp>266419M8:Settle</stp>
        <tr r="U967" s="5"/>
      </tp>
      <tp>
        <v>11.25</v>
        <stp/>
        <stp>266419M9:Settle</stp>
        <tr r="U968" s="5"/>
      </tp>
    </main>
    <main first="esrtd">
      <tp t="s">
        <v/>
        <stp/>
        <stp>WMJ 22!-IEU</stp>
        <stp>Last</stp>
        <tr r="I1904" s="5"/>
      </tp>
      <tp t="s">
        <v/>
        <stp/>
        <stp>WMJ 12!-IEU</stp>
        <stp>Last</stp>
        <tr r="I1894" s="5"/>
      </tp>
      <tp t="s">
        <v/>
        <stp/>
        <stp>WMJ C2!-IEU</stp>
        <stp>Last</stp>
        <tr r="I1917" s="5"/>
      </tp>
      <tp t="s">
        <v/>
        <stp/>
        <stp>WMJ Q2!-IEU</stp>
        <stp>Last</stp>
        <tr r="I1914" s="5"/>
      </tp>
      <tp t="s">
        <v/>
        <stp/>
        <stp>WHK 27!-IEU</stp>
        <stp>Last</stp>
        <tr r="I1944" s="5"/>
      </tp>
      <tp t="s">
        <v/>
        <stp/>
        <stp>WHK 17!-IEU</stp>
        <stp>Last</stp>
        <tr r="I1934" s="5"/>
      </tp>
    </main>
    <main first="ice.rtd">
      <tp t="s">
        <v>Invalid Market: 2044823525M20</v>
        <stp/>
        <stp>2044823525M20:BlkVol</stp>
        <tr r="O1767" s="5"/>
      </tp>
      <tp t="s">
        <v>Invalid Market: 2044823525M21</v>
        <stp/>
        <stp>2044823525M21:BlkVol</stp>
        <tr r="O1768" s="5"/>
      </tp>
      <tp t="s">
        <v>Invalid Market: 2044823525M22</v>
        <stp/>
        <stp>2044823525M22:BlkVol</stp>
        <tr r="O1769" s="5"/>
      </tp>
      <tp>
        <v>0</v>
        <stp/>
        <stp>2044823525M14:BlkVol</stp>
        <tr r="O1761" s="5"/>
      </tp>
      <tp t="s">
        <v>Invalid Market: 2044823525M15</v>
        <stp/>
        <stp>2044823525M15:BlkVol</stp>
        <tr r="O1762" s="5"/>
      </tp>
      <tp t="s">
        <v>Invalid Market: 2044823525M16</v>
        <stp/>
        <stp>2044823525M16:BlkVol</stp>
        <tr r="O1763" s="5"/>
      </tp>
      <tp t="s">
        <v>Invalid Market: 2044823525M17</v>
        <stp/>
        <stp>2044823525M17:BlkVol</stp>
        <tr r="O1764" s="5"/>
      </tp>
      <tp>
        <v>0</v>
        <stp/>
        <stp>2044823525M10:BlkVol</stp>
        <tr r="O1757" s="5"/>
      </tp>
      <tp>
        <v>0</v>
        <stp/>
        <stp>2044823525M11:BlkVol</stp>
        <tr r="O1758" s="5"/>
      </tp>
      <tp>
        <v>0</v>
        <stp/>
        <stp>2044823525M12:BlkVol</stp>
        <tr r="O1759" s="5"/>
      </tp>
      <tp>
        <v>0</v>
        <stp/>
        <stp>2044823525M13:BlkVol</stp>
        <tr r="O1760" s="5"/>
      </tp>
      <tp t="s">
        <v>Invalid Market: 2044823525M18</v>
        <stp/>
        <stp>2044823525M18:BlkVol</stp>
        <tr r="O1765" s="5"/>
      </tp>
      <tp t="s">
        <v>Invalid Market: 2044823525M19</v>
        <stp/>
        <stp>2044823525M19:BlkVol</stp>
        <tr r="O1766" s="5"/>
      </tp>
      <tp t="s">
        <v>Jan28</v>
        <stp/>
        <stp>141587M16:Strip</stp>
        <tr r="E57" s="5"/>
      </tp>
      <tp t="s">
        <v/>
        <stp/>
        <stp>1581618115M14:LstPrc</stp>
        <tr r="I473" s="5"/>
      </tp>
      <tp t="s">
        <v/>
        <stp/>
        <stp>1581618115M11:LstPrc</stp>
        <tr r="I470" s="5"/>
      </tp>
      <tp t="s">
        <v/>
        <stp/>
        <stp>1581618115M10:LstPrc</stp>
        <tr r="I469" s="5"/>
      </tp>
      <tp t="s">
        <v/>
        <stp/>
        <stp>1581618115M13:LstPrc</stp>
        <tr r="I472" s="5"/>
      </tp>
      <tp t="s">
        <v/>
        <stp/>
        <stp>1581618115M12:LstPrc</stp>
        <tr r="I471" s="5"/>
      </tp>
      <tp t="s">
        <v/>
        <stp/>
        <stp>2427026287M21:LstPrc</stp>
        <tr r="I1170" s="5"/>
      </tp>
      <tp t="s">
        <v/>
        <stp/>
        <stp>2427026287M20:LstPrc</stp>
        <tr r="I1169" s="5"/>
      </tp>
      <tp t="s">
        <v/>
        <stp/>
        <stp>2427026287M23:LstPrc</stp>
        <tr r="I1172" s="5"/>
      </tp>
      <tp t="s">
        <v/>
        <stp/>
        <stp>2427026287M22:LstPrc</stp>
        <tr r="I1171" s="5"/>
      </tp>
      <tp t="s">
        <v/>
        <stp/>
        <stp>2427026287M24:LstPrc</stp>
        <tr r="I1173" s="5"/>
      </tp>
      <tp t="s">
        <v/>
        <stp/>
        <stp>2427026287M19:LstPrc</stp>
        <tr r="I1168" s="5"/>
      </tp>
      <tp t="s">
        <v/>
        <stp/>
        <stp>2427026287M18:LstPrc</stp>
        <tr r="I1167" s="5"/>
      </tp>
      <tp t="s">
        <v/>
        <stp/>
        <stp>2427026287M11:LstPrc</stp>
        <tr r="I1160" s="5"/>
      </tp>
      <tp t="s">
        <v/>
        <stp/>
        <stp>2427026287M10:LstPrc</stp>
        <tr r="I1159" s="5"/>
      </tp>
      <tp t="s">
        <v/>
        <stp/>
        <stp>2427026287M13:LstPrc</stp>
        <tr r="I1162" s="5"/>
      </tp>
      <tp t="s">
        <v/>
        <stp/>
        <stp>2427026287M12:LstPrc</stp>
        <tr r="I1161" s="5"/>
      </tp>
      <tp t="s">
        <v/>
        <stp/>
        <stp>2427026287M15:LstPrc</stp>
        <tr r="I1164" s="5"/>
      </tp>
      <tp t="s">
        <v/>
        <stp/>
        <stp>2427026287M14:LstPrc</stp>
        <tr r="I1163" s="5"/>
      </tp>
      <tp t="s">
        <v/>
        <stp/>
        <stp>2427026287M17:LstPrc</stp>
        <tr r="I1166" s="5"/>
      </tp>
      <tp t="s">
        <v/>
        <stp/>
        <stp>2427026287M16:LstPrc</stp>
        <tr r="I1165" s="5"/>
      </tp>
      <tp t="s">
        <v>Invalid Market: CALCM8</v>
        <stp/>
        <stp>CALCM8:LstBlkVol</stp>
        <tr r="L1195" s="5"/>
        <tr r="L1347" s="5"/>
      </tp>
      <tp t="s">
        <v>Invalid Market: CALCQ8</v>
        <stp/>
        <stp>CALCQ8:LstBlkVol</stp>
        <tr r="L1220" s="5"/>
        <tr r="L1372" s="5"/>
      </tp>
      <tp t="s">
        <v>Jul27</v>
        <stp/>
        <stp>1517M10:Strip</stp>
        <tr r="E13" s="5"/>
      </tp>
      <tp t="s">
        <v>May28</v>
        <stp/>
        <stp>1517M20:Strip</stp>
        <tr r="E23" s="5"/>
      </tp>
      <tp t="s">
        <v>Feb28</v>
        <stp/>
        <stp>5162M17:Strip</stp>
        <tr r="E786" s="5"/>
      </tp>
    </main>
    <main first="bofaddin.rtdserver">
      <tp t="s">
        <v>#N/A</v>
        <stp/>
        <stp>BDP|834637519794892965|222</stp>
        <stp>HOU9HOV9 Comdty</stp>
        <stp>ASK</stp>
        <stp>Fill=#N/A</stp>
        <tr r="Q56" s="1"/>
      </tp>
      <tp t="s">
        <v>#N/A</v>
        <stp/>
        <stp>BDP|3495602263648783339|222</stp>
        <stp>OQAN7Q7 Comdty</stp>
        <stp>BID</stp>
        <stp>Fill=#N/A</stp>
        <tr r="T30" s="1"/>
      </tp>
      <tp>
        <v>0.97</v>
        <stp/>
        <stp>BDP|630187397609054547|222</stp>
        <stp>XBM9XBN9 Comdty</stp>
        <stp>BID</stp>
        <stp>Fill=#N/A</stp>
        <tr r="R53" s="1"/>
      </tp>
      <tp t="s">
        <v>#N/A</v>
        <stp/>
        <stp>BDP|9863643641868279335|222</stp>
        <stp>MUCX8Z8 Comdty</stp>
        <stp>BID</stp>
        <stp>Fill=#N/A</stp>
        <tr r="S46" s="1"/>
      </tp>
      <tp t="s">
        <v>#N/A</v>
        <stp/>
        <stp>BDP|843243008457565838|222</stp>
        <stp>HOF9HOG9 Comdty</stp>
        <stp>ASK</stp>
        <stp>Fill=#N/A</stp>
        <tr r="Q48" s="1"/>
      </tp>
      <tp>
        <v>9.7899999999999991</v>
        <stp/>
        <stp>BDP|8983418339454475994|222</stp>
        <stp>MUCX6Z6 Comdty</stp>
        <stp>BID</stp>
        <stp>Fill=#N/A</stp>
        <tr r="S22" s="1"/>
      </tp>
      <tp t="s">
        <v>#N/A Invalid Security</v>
        <stp/>
        <stp>BDP|12178603778717658822|222</stp>
        <stp>COM9 Comdty</stp>
        <stp>ASK</stp>
        <stp>Fill=#N/A</stp>
        <tr r="G52" s="1"/>
      </tp>
      <tp t="s">
        <v>#N/A Invalid Security</v>
        <stp/>
        <stp>BDP|16947667904655304726|222</stp>
        <stp>HOJ0 Comdty</stp>
        <stp>ASK</stp>
        <stp>Fill=#N/A</stp>
        <tr r="I62" s="1"/>
      </tp>
      <tp>
        <v>301.14999999999998</v>
        <stp/>
        <stp>BDP|13477547954883102355|222</stp>
        <stp>HOK8 Comdty</stp>
        <stp>BID</stp>
        <stp>Fill=#N/A</stp>
        <tr r="I39" s="1"/>
      </tp>
      <tp>
        <v>232.45</v>
        <stp/>
        <stp>BDP|17221422918081172769|222</stp>
        <stp>XBG8 Comdty</stp>
        <stp>ASK</stp>
        <stp>Fill=#N/A</stp>
        <tr r="J36" s="1"/>
      </tp>
      <tp>
        <v>73.88</v>
        <stp/>
        <stp>BDP|11281035488934735918|222</stp>
        <stp>COF9 Comdty</stp>
        <stp>ASK</stp>
        <stp>Fill=#N/A</stp>
        <tr r="G47" s="1"/>
      </tp>
    </main>
    <main first="esrtd">
      <tp t="s">
        <v/>
        <stp/>
        <stp>WNS 30!-IEU</stp>
        <stp>Last</stp>
        <tr r="I1877" s="5"/>
      </tp>
      <tp t="s">
        <v/>
        <stp/>
        <stp>WNS 20!-IEU</stp>
        <stp>Last</stp>
        <tr r="I1867" s="5"/>
      </tp>
      <tp t="s">
        <v/>
        <stp/>
        <stp>WNS 10!-IEU</stp>
        <stp>Last</stp>
        <tr r="I1857" s="5"/>
      </tp>
    </main>
    <main first="bofaddin.rtdserver">
      <tp>
        <v>225.71</v>
        <stp/>
        <stp>BDP|15350257573032557349|222</stp>
        <stp>XBH8 Comdty</stp>
        <stp>BID</stp>
        <stp>Fill=#N/A</stp>
        <tr r="J37" s="1"/>
      </tp>
      <tp>
        <v>0.23799999999999999</v>
        <stp/>
        <stp>BDP|12407035729042462320|222</stp>
        <stp>COJ0 Comdty</stp>
        <stp>ASK</stp>
        <stp>Fill=#N/A</stp>
        <tr r="G62" s="1"/>
      </tp>
      <tp t="s">
        <v>#N/A Invalid Security</v>
        <stp/>
        <stp>BDP|12142180616898534802|222</stp>
        <stp>CLK9 Comdty</stp>
        <stp>BID</stp>
        <stp>Fill=#N/A</stp>
        <tr r="F51" s="1"/>
      </tp>
      <tp>
        <v>75.319999999999993</v>
        <stp/>
        <stp>BDP|11560957849603680001|222</stp>
        <stp>COH8 Comdty</stp>
        <stp>BID</stp>
        <stp>Fill=#N/A</stp>
        <tr r="G37" s="1"/>
      </tp>
      <tp t="s">
        <v>#N/A</v>
        <stp/>
        <stp>BDP|773214447829854255|222</stp>
        <stp>OQAM27 Comdty</stp>
        <stp>BID</stp>
        <stp>Fill=#N/A</stp>
        <tr r="L28" s="1"/>
      </tp>
    </main>
    <main first="ice.rtd">
      <tp>
        <v>0</v>
        <stp/>
        <stp>266Q8:BlkVol</stp>
        <tr r="O954" s="5"/>
      </tp>
      <tp>
        <v>0</v>
        <stp/>
        <stp>266Q6:BlkVol</stp>
        <tr r="O952" s="5"/>
      </tp>
      <tp>
        <v>0</v>
        <stp/>
        <stp>266Q7:BlkVol</stp>
        <tr r="O953" s="5"/>
      </tp>
      <tp>
        <v>0</v>
        <stp/>
        <stp>266Q4:BlkVol</stp>
        <tr r="O950" s="5"/>
      </tp>
      <tp>
        <v>0</v>
        <stp/>
        <stp>266Q5:BlkVol</stp>
        <tr r="O951" s="5"/>
      </tp>
      <tp>
        <v>0</v>
        <stp/>
        <stp>266Q2:BlkVol</stp>
        <tr r="O948" s="5"/>
      </tp>
      <tp>
        <v>0</v>
        <stp/>
        <stp>266Q3:BlkVol</stp>
        <tr r="O949" s="5"/>
      </tp>
      <tp>
        <v>0</v>
        <stp/>
        <stp>266Q0:BlkVol</stp>
        <tr r="O946" s="5"/>
      </tp>
      <tp>
        <v>0</v>
        <stp/>
        <stp>266Q1:BlkVol</stp>
        <tr r="O947" s="5"/>
      </tp>
      <tp>
        <v>0</v>
        <stp/>
        <stp>266Y2:BlkVol</stp>
        <tr r="O957" s="5"/>
      </tp>
      <tp>
        <v>0</v>
        <stp/>
        <stp>266Y0:BlkVol</stp>
        <tr r="O955" s="5"/>
      </tp>
      <tp>
        <v>0</v>
        <stp/>
        <stp>266Y1:BlkVol</stp>
        <tr r="O956" s="5"/>
      </tp>
      <tp>
        <v>0</v>
        <stp/>
        <stp>266M8:BlkVol</stp>
        <tr r="O929" s="5"/>
      </tp>
      <tp>
        <v>0</v>
        <stp/>
        <stp>266M9:BlkVol</stp>
        <tr r="O930" s="5"/>
      </tp>
      <tp>
        <v>0</v>
        <stp/>
        <stp>266M6:BlkVol</stp>
        <tr r="O927" s="5"/>
      </tp>
      <tp>
        <v>0</v>
        <stp/>
        <stp>266M7:BlkVol</stp>
        <tr r="O928" s="5"/>
      </tp>
      <tp>
        <v>0</v>
        <stp/>
        <stp>266M4:BlkVol</stp>
        <tr r="O925" s="5"/>
      </tp>
      <tp>
        <v>0</v>
        <stp/>
        <stp>266M5:BlkVol</stp>
        <tr r="O926" s="5"/>
      </tp>
      <tp>
        <v>0</v>
        <stp/>
        <stp>266M2:BlkVol</stp>
        <tr r="O923" s="5"/>
      </tp>
      <tp>
        <v>0</v>
        <stp/>
        <stp>266M3:BlkVol</stp>
        <tr r="O924" s="5"/>
      </tp>
      <tp>
        <v>0</v>
        <stp/>
        <stp>266M0:BlkVol</stp>
        <tr r="O921" s="5"/>
      </tp>
      <tp>
        <v>0</v>
        <stp/>
        <stp>266M1:BlkVol</stp>
        <tr r="O922" s="5"/>
      </tp>
    </main>
    <main first="bofaddin.rtdserver">
      <tp t="s">
        <v>#N/A</v>
        <stp/>
        <stp>BDP|226431905725983325|222</stp>
        <stp>OQAN28 Comdty</stp>
        <stp>ASK</stp>
        <stp>Fill=#N/A</stp>
        <tr r="L41" s="1"/>
      </tp>
    </main>
    <main first="esrtd">
      <tp t="s">
        <v/>
        <stp/>
        <stp>WMJ 23!-IEU</stp>
        <stp>Last</stp>
        <tr r="I1905" s="5"/>
      </tp>
      <tp t="s">
        <v/>
        <stp/>
        <stp>WMJ 13!-IEU</stp>
        <stp>Last</stp>
        <tr r="I1895" s="5"/>
      </tp>
      <tp t="s">
        <v/>
        <stp/>
        <stp>WMJ Q3!-IEU</stp>
        <stp>Last</stp>
        <tr r="I1915" s="5"/>
      </tp>
      <tp t="s">
        <v/>
        <stp/>
        <stp>WHK 26!-IEU</stp>
        <stp>Last</stp>
        <tr r="I1943" s="5"/>
      </tp>
      <tp t="s">
        <v/>
        <stp/>
        <stp>WHK 16!-IEU</stp>
        <stp>Last</stp>
        <tr r="I1933" s="5"/>
      </tp>
    </main>
    <main first="ice.rtd">
      <tp t="s">
        <v>Feb28</v>
        <stp/>
        <stp>141587M17:Strip</stp>
        <tr r="E58" s="5"/>
      </tp>
      <tp t="s">
        <v>Invalid Market: CALCM15</v>
        <stp/>
        <stp>CALCM15:LstBlkTime</stp>
        <tr r="M1202" s="5"/>
        <tr r="M1354" s="5"/>
      </tp>
      <tp t="s">
        <v>Invalid Market: CALCM14</v>
        <stp/>
        <stp>CALCM14:LstBlkTime</stp>
        <tr r="M1353" s="5"/>
        <tr r="M1201" s="5"/>
      </tp>
      <tp t="s">
        <v>Invalid Market: CALCM17</v>
        <stp/>
        <stp>CALCM17:LstBlkTime</stp>
        <tr r="M1204" s="5"/>
        <tr r="M1356" s="5"/>
      </tp>
      <tp t="s">
        <v>Invalid Market: CALCM16</v>
        <stp/>
        <stp>CALCM16:LstBlkTime</stp>
        <tr r="M1203" s="5"/>
        <tr r="M1355" s="5"/>
      </tp>
      <tp t="s">
        <v>Invalid Market: CALCM11</v>
        <stp/>
        <stp>CALCM11:LstBlkTime</stp>
        <tr r="M1198" s="5"/>
        <tr r="M1350" s="5"/>
      </tp>
      <tp t="s">
        <v>Invalid Market: CALCM10</v>
        <stp/>
        <stp>CALCM10:LstBlkTime</stp>
        <tr r="M1197" s="5"/>
        <tr r="M1349" s="5"/>
      </tp>
      <tp t="s">
        <v>Invalid Market: CALCM13</v>
        <stp/>
        <stp>CALCM13:LstBlkTime</stp>
        <tr r="M1200" s="5"/>
        <tr r="M1352" s="5"/>
      </tp>
      <tp t="s">
        <v>Invalid Market: CALCM12</v>
        <stp/>
        <stp>CALCM12:LstBlkTime</stp>
        <tr r="M1351" s="5"/>
        <tr r="M1199" s="5"/>
      </tp>
      <tp t="s">
        <v>Invalid Market: CALCM19</v>
        <stp/>
        <stp>CALCM19:LstBlkTime</stp>
        <tr r="M1206" s="5"/>
        <tr r="M1358" s="5"/>
      </tp>
      <tp t="s">
        <v>Invalid Market: CALCM18</v>
        <stp/>
        <stp>CALCM18:LstBlkTime</stp>
        <tr r="M1205" s="5"/>
        <tr r="M1357" s="5"/>
      </tp>
      <tp t="s">
        <v>Invalid Market: CALCM24</v>
        <stp/>
        <stp>CALCM24:LstBlkTime</stp>
        <tr r="M1211" s="5"/>
        <tr r="M1363" s="5"/>
      </tp>
      <tp t="s">
        <v>Invalid Market: CALCM21</v>
        <stp/>
        <stp>CALCM21:LstBlkTime</stp>
        <tr r="M1360" s="5"/>
        <tr r="M1208" s="5"/>
      </tp>
      <tp t="s">
        <v>Invalid Market: CALCM20</v>
        <stp/>
        <stp>CALCM20:LstBlkTime</stp>
        <tr r="M1207" s="5"/>
        <tr r="M1359" s="5"/>
      </tp>
      <tp t="s">
        <v>Invalid Market: CALCM23</v>
        <stp/>
        <stp>CALCM23:LstBlkTime</stp>
        <tr r="M1210" s="5"/>
        <tr r="M1362" s="5"/>
      </tp>
      <tp t="s">
        <v>Invalid Market: CALCM22</v>
        <stp/>
        <stp>CALCM22:LstBlkTime</stp>
        <tr r="M1209" s="5"/>
        <tr r="M1361" s="5"/>
      </tp>
    </main>
    <main first="bofaddin.rtdserver">
      <tp t="s">
        <v>#N/A Real Time</v>
        <stp/>
        <stp>BDP|6650597201886426569|22</stp>
        <stp>COQ6P 85.00 Comdty</stp>
        <stp>THETA_MID_RT</stp>
        <tr r="F86" s="23"/>
        <tr r="F58" s="23"/>
      </tp>
    </main>
    <main first="ice.rtd">
      <tp t="s">
        <v>Invalid Market: CALCM9</v>
        <stp/>
        <stp>CALCM9:LstBlkVol</stp>
        <tr r="L1196" s="5"/>
        <tr r="L1348" s="5"/>
      </tp>
      <tp t="s">
        <v>Aug27</v>
        <stp/>
        <stp>1517M11:Strip</stp>
        <tr r="E14" s="5"/>
      </tp>
      <tp t="s">
        <v>Jun28</v>
        <stp/>
        <stp>1517M21:Strip</stp>
        <tr r="E24" s="5"/>
      </tp>
      <tp t="s">
        <v>Jan28</v>
        <stp/>
        <stp>5162M16:Strip</stp>
        <tr r="E785" s="5"/>
      </tp>
    </main>
    <main first="bofaddin.rtdserver">
      <tp>
        <v>-1.75</v>
        <stp/>
        <stp>BDP|646667678663669934|222</stp>
        <stp>QSM9QSN9 Comdty</stp>
        <stp>BID</stp>
        <stp>Fill=#N/A</stp>
        <tr r="P53" s="1"/>
      </tp>
      <tp t="s">
        <v>#N/A</v>
        <stp/>
        <stp>BDP|6705566618902192580|222</stp>
        <stp>OQAQ9U9 Comdty</stp>
        <stp>BID</stp>
        <stp>Fill=#N/A</stp>
        <tr r="T55" s="1"/>
      </tp>
      <tp t="s">
        <v>#N/A</v>
        <stp/>
        <stp>BDP|7278208741261194099|222</stp>
        <stp>MUCQ9U9 Comdty</stp>
        <stp>ASK</stp>
        <stp>Fill=#N/A</stp>
        <tr r="S55" s="1"/>
      </tp>
    </main>
    <main first="esrtd">
      <tp t="s">
        <v/>
        <stp/>
        <stp>TDL Q4!-IEU</stp>
        <stp>Last Trade Time</stp>
        <tr r="J1846" s="5"/>
      </tp>
    </main>
    <main first="esrtd">
      <tp t="s">
        <v/>
        <stp/>
        <stp>TDL Q1!-IEU</stp>
        <stp>Last Trade Time</stp>
        <tr r="J1843" s="5"/>
      </tp>
      <tp t="s">
        <v/>
        <stp/>
        <stp>TDL Q3!-IEU</stp>
        <stp>Last Trade Time</stp>
        <tr r="J1845" s="5"/>
      </tp>
    </main>
    <main first="bofaddin.rtdserver">
      <tp t="s">
        <v>#N/A</v>
        <stp/>
        <stp>BDP|7335963014299689700|222</stp>
        <stp>MUCU8V8 Comdty</stp>
        <stp>BID</stp>
        <stp>Fill=#N/A</stp>
        <tr r="S44" s="1"/>
      </tp>
    </main>
    <main first="esrtd">
      <tp t="s">
        <v/>
        <stp/>
        <stp>TDL Q2!-IEU</stp>
        <stp>Last Trade Time</stp>
        <tr r="J1844" s="5"/>
      </tp>
    </main>
    <main first="ice.rtd">
      <tp t="s">
        <v/>
        <stp/>
        <stp>366531MM17:LstDate</stp>
        <tr r="J1732" s="5"/>
      </tp>
      <tp t="s">
        <v/>
        <stp/>
        <stp>366531MM16:LstDate</stp>
        <tr r="J1731" s="5"/>
      </tp>
      <tp t="s">
        <v/>
        <stp/>
        <stp>366531MM15:LstDate</stp>
        <tr r="J1730" s="5"/>
      </tp>
      <tp t="s">
        <v/>
        <stp/>
        <stp>366531MM14:LstDate</stp>
        <tr r="J1729" s="5"/>
      </tp>
      <tp t="s">
        <v/>
        <stp/>
        <stp>366531MM13:LstDate</stp>
        <tr r="J1728" s="5"/>
      </tp>
      <tp t="s">
        <v/>
        <stp/>
        <stp>366531MM12:LstDate</stp>
        <tr r="J1727" s="5"/>
      </tp>
      <tp t="s">
        <v/>
        <stp/>
        <stp>366531MM11:LstDate</stp>
        <tr r="J1726" s="5"/>
      </tp>
      <tp>
        <v>46267.441948298612</v>
        <stp/>
        <stp>366531MM10:LstDate</stp>
        <tr r="J1725" s="5"/>
      </tp>
      <tp t="s">
        <v/>
        <stp/>
        <stp>366531MM19:LstDate</stp>
        <tr r="J1734" s="5"/>
      </tp>
      <tp t="s">
        <v/>
        <stp/>
        <stp>366531MM18:LstDate</stp>
        <tr r="J1733" s="5"/>
      </tp>
    </main>
    <main first="bofaddin.rtdserver">
      <tp>
        <v>853.25</v>
        <stp/>
        <stp>BDP|13460990656922453526|222</stp>
        <stp>QSM8 Comdty</stp>
        <stp>BID</stp>
        <stp>Fill=#N/A</stp>
        <tr r="H40" s="1"/>
      </tp>
      <tp t="s">
        <v>#N/A Invalid Security</v>
        <stp/>
        <stp>BDP|12571314821176171819|222</stp>
        <stp>COM0 Comdty</stp>
        <stp>BID</stp>
        <stp>Fill=#N/A</stp>
        <tr r="G64" s="1"/>
      </tp>
    </main>
    <main first="ice.rtd">
      <tp t="s">
        <v/>
        <stp/>
        <stp>366531MM27:LstDate</stp>
        <tr r="J1742" s="5"/>
      </tp>
      <tp t="s">
        <v/>
        <stp/>
        <stp>366531MM26:LstDate</stp>
        <tr r="J1741" s="5"/>
      </tp>
      <tp t="s">
        <v/>
        <stp/>
        <stp>366531MM25:LstDate</stp>
        <tr r="J1740" s="5"/>
      </tp>
      <tp t="s">
        <v/>
        <stp/>
        <stp>366531MM24:LstDate</stp>
        <tr r="J1739" s="5"/>
      </tp>
      <tp t="s">
        <v/>
        <stp/>
        <stp>366531MM23:LstDate</stp>
        <tr r="J1738" s="5"/>
      </tp>
      <tp t="s">
        <v/>
        <stp/>
        <stp>366531MM22:LstDate</stp>
        <tr r="J1737" s="5"/>
      </tp>
      <tp t="s">
        <v/>
        <stp/>
        <stp>366531MM21:LstDate</stp>
        <tr r="J1736" s="5"/>
      </tp>
      <tp t="s">
        <v/>
        <stp/>
        <stp>366531MM20:LstDate</stp>
        <tr r="J1735" s="5"/>
      </tp>
    </main>
    <main first="bofaddin.rtdserver">
      <tp t="s">
        <v>#N/A</v>
        <stp/>
        <stp>BDP|11059170887444599750|222</stp>
        <stp>XBF0 Comdty</stp>
        <stp>ASK</stp>
        <stp>Fill=#N/A</stp>
        <tr r="J59" s="1"/>
      </tp>
      <tp t="s">
        <v>#N/A Invalid Security</v>
        <stp/>
        <stp>BDP|14993355208220036922|222</stp>
        <stp>CLN9 Comdty</stp>
        <stp>BID</stp>
        <stp>Fill=#N/A</stp>
        <tr r="F53" s="1"/>
      </tp>
      <tp t="s">
        <v>#N/A</v>
        <stp/>
        <stp>BDP|18192331198938234484|222</stp>
        <stp>CLH8 Comdty</stp>
        <stp>ASK</stp>
        <stp>Fill=#N/A</stp>
        <tr r="F37" s="1"/>
      </tp>
      <tp>
        <v>861.75</v>
        <stp/>
        <stp>BDP|17744700567921921304|222</stp>
        <stp>QSJ8 Comdty</stp>
        <stp>BID</stp>
        <stp>Fill=#N/A</stp>
        <tr r="H38" s="1"/>
      </tp>
    </main>
    <main first="esrtd">
      <tp t="s">
        <v/>
        <stp/>
        <stp>WNS 27!-IEU</stp>
        <stp>Last</stp>
        <tr r="I1874" s="5"/>
      </tp>
      <tp t="s">
        <v/>
        <stp/>
        <stp>WNS 17!-IEU</stp>
        <stp>Last</stp>
        <tr r="I1864" s="5"/>
      </tp>
    </main>
    <main first="bofaddin.rtdserver">
      <tp t="s">
        <v>#N/A</v>
        <stp/>
        <stp>BDP|11449543292661062362|222</stp>
        <stp>QSK9 Comdty</stp>
        <stp>ASK</stp>
        <stp>Fill=#N/A</stp>
        <tr r="H51" s="1"/>
      </tp>
      <tp>
        <v>242.69</v>
        <stp/>
        <stp>BDP|12839428514551166163|222</stp>
        <stp>XBJ8 Comdty</stp>
        <stp>BID</stp>
        <stp>Fill=#N/A</stp>
        <tr r="J38" s="1"/>
      </tp>
      <tp>
        <v>798.25</v>
        <stp/>
        <stp>BDP|11177979126594242814|222</stp>
        <stp>QSJ9 Comdty</stp>
        <stp>BID</stp>
        <stp>Fill=#N/A</stp>
        <tr r="H50" s="1"/>
      </tp>
      <tp>
        <v>170</v>
        <stp/>
        <stp>BDP|18440256245104699003|222</stp>
        <stp>XBH9 Comdty</stp>
        <stp>BID</stp>
        <stp>Fill=#N/A</stp>
        <tr r="J49" s="1"/>
      </tp>
      <tp t="s">
        <v>#N/A</v>
        <stp/>
        <stp>BDP|12823664232091743506|222</stp>
        <stp>HOJ9 Comdty</stp>
        <stp>ASK</stp>
        <stp>Fill=#N/A</stp>
        <tr r="I50" s="1"/>
      </tp>
      <tp t="s">
        <v>#N/A Invalid Security</v>
        <stp/>
        <stp>BDP|14259510665364253973|222</stp>
        <stp>CLN8 Comdty</stp>
        <stp>ASK</stp>
        <stp>Fill=#N/A</stp>
        <tr r="F41" s="1"/>
      </tp>
      <tp>
        <v>1032</v>
        <stp/>
        <stp>BDP|16516092572303834896|222</stp>
        <stp>QSK7 Comdty</stp>
        <stp>ASK</stp>
        <stp>Fill=#N/A</stp>
        <tr r="H27" s="1"/>
      </tp>
      <tp t="s">
        <v>#N/A</v>
        <stp/>
        <stp>BDP|346420194498334242|222</stp>
        <stp>MUCM29 Comdty</stp>
        <stp>ASK</stp>
        <stp>Fill=#N/A</stp>
        <tr r="K52" s="1"/>
      </tp>
    </main>
    <main first="esrtd">
      <tp t="s">
        <v/>
        <stp/>
        <stp>WMJ 24!-IEU</stp>
        <stp>Last</stp>
        <tr r="I1906" s="5"/>
      </tp>
      <tp t="s">
        <v/>
        <stp/>
        <stp>WMJ 14!-IEU</stp>
        <stp>Last</stp>
        <tr r="I1896" s="5"/>
      </tp>
      <tp t="s">
        <v/>
        <stp/>
        <stp>WMJ Q4!-IEU</stp>
        <stp>Last</stp>
        <tr r="I1916" s="5"/>
      </tp>
      <tp t="s">
        <v/>
        <stp/>
        <stp>WHK 21!-IEU</stp>
        <stp>Last</stp>
        <tr r="I1938" s="5"/>
      </tp>
      <tp t="s">
        <v/>
        <stp/>
        <stp>WHK 11!-IEU</stp>
        <stp>Last</stp>
        <tr r="I1928" s="5"/>
      </tp>
      <tp t="s">
        <v/>
        <stp/>
        <stp>WHK Q1!-IEU</stp>
        <stp>Last</stp>
        <tr r="I1948" s="5"/>
      </tp>
    </main>
    <main first="ice.rtd">
      <tp>
        <v>0</v>
        <stp/>
        <stp>1581618115M12:BlkVol</stp>
        <tr r="O471" s="5"/>
      </tp>
      <tp>
        <v>0</v>
        <stp/>
        <stp>1581618115M13:BlkVol</stp>
        <tr r="O472" s="5"/>
      </tp>
      <tp>
        <v>0</v>
        <stp/>
        <stp>1581618115M10:BlkVol</stp>
        <tr r="O469" s="5"/>
      </tp>
      <tp>
        <v>0</v>
        <stp/>
        <stp>1581618115M11:BlkVol</stp>
        <tr r="O470" s="5"/>
      </tp>
      <tp>
        <v>0</v>
        <stp/>
        <stp>1581618115M14:BlkVol</stp>
        <tr r="O473" s="5"/>
      </tp>
      <tp>
        <v>0</v>
        <stp/>
        <stp>2427026287M24:BlkVol</stp>
        <tr r="O1173" s="5"/>
      </tp>
      <tp>
        <v>0</v>
        <stp/>
        <stp>2427026287M22:BlkVol</stp>
        <tr r="O1171" s="5"/>
      </tp>
      <tp>
        <v>0</v>
        <stp/>
        <stp>2427026287M23:BlkVol</stp>
        <tr r="O1172" s="5"/>
      </tp>
      <tp>
        <v>0</v>
        <stp/>
        <stp>2427026287M20:BlkVol</stp>
        <tr r="O1169" s="5"/>
      </tp>
      <tp>
        <v>0</v>
        <stp/>
        <stp>2427026287M21:BlkVol</stp>
        <tr r="O1170" s="5"/>
      </tp>
      <tp>
        <v>0</v>
        <stp/>
        <stp>2427026287M16:BlkVol</stp>
        <tr r="O1165" s="5"/>
      </tp>
      <tp>
        <v>0</v>
        <stp/>
        <stp>2427026287M17:BlkVol</stp>
        <tr r="O1166" s="5"/>
      </tp>
      <tp>
        <v>0</v>
        <stp/>
        <stp>2427026287M14:BlkVol</stp>
        <tr r="O1163" s="5"/>
      </tp>
      <tp>
        <v>0</v>
        <stp/>
        <stp>2427026287M15:BlkVol</stp>
        <tr r="O1164" s="5"/>
      </tp>
      <tp>
        <v>0</v>
        <stp/>
        <stp>2427026287M12:BlkVol</stp>
        <tr r="O1161" s="5"/>
      </tp>
      <tp>
        <v>0</v>
        <stp/>
        <stp>2427026287M13:BlkVol</stp>
        <tr r="O1162" s="5"/>
      </tp>
      <tp>
        <v>0</v>
        <stp/>
        <stp>2427026287M10:BlkVol</stp>
        <tr r="O1159" s="5"/>
      </tp>
      <tp>
        <v>0</v>
        <stp/>
        <stp>2427026287M11:BlkVol</stp>
        <tr r="O1160" s="5"/>
      </tp>
      <tp>
        <v>0</v>
        <stp/>
        <stp>2427026287M18:BlkVol</stp>
        <tr r="O1167" s="5"/>
      </tp>
      <tp>
        <v>0</v>
        <stp/>
        <stp>2427026287M19:BlkVol</stp>
        <tr r="O1168" s="5"/>
      </tp>
      <tp t="s">
        <v>Jul27</v>
        <stp/>
        <stp>141587M10:Strip</stp>
        <tr r="E51" s="5"/>
      </tp>
      <tp t="s">
        <v>May28</v>
        <stp/>
        <stp>141587M20:Strip</stp>
        <tr r="E61" s="5"/>
      </tp>
      <tp t="s">
        <v>Sep26/Nov27</v>
        <stp/>
        <stp>366531MM9:Strip</stp>
        <tr r="E1724" s="5"/>
      </tp>
      <tp t="s">
        <v>Invalid Market: 2044823525M22</v>
        <stp/>
        <stp>2044823525M22:LstPrc</stp>
        <tr r="I1769" s="5"/>
      </tp>
      <tp t="s">
        <v>Invalid Market: 2044823525M21</v>
        <stp/>
        <stp>2044823525M21:LstPrc</stp>
        <tr r="I1768" s="5"/>
      </tp>
      <tp t="s">
        <v>Invalid Market: 2044823525M20</v>
        <stp/>
        <stp>2044823525M20:LstPrc</stp>
        <tr r="I1767" s="5"/>
      </tp>
      <tp t="s">
        <v>Invalid Market: 2044823525M19</v>
        <stp/>
        <stp>2044823525M19:LstPrc</stp>
        <tr r="I1766" s="5"/>
      </tp>
      <tp t="s">
        <v>Invalid Market: 2044823525M18</v>
        <stp/>
        <stp>2044823525M18:LstPrc</stp>
        <tr r="I1765" s="5"/>
      </tp>
      <tp t="s">
        <v/>
        <stp/>
        <stp>2044823525M13:LstPrc</stp>
        <tr r="I1760" s="5"/>
      </tp>
      <tp t="s">
        <v/>
        <stp/>
        <stp>2044823525M12:LstPrc</stp>
        <tr r="I1759" s="5"/>
      </tp>
      <tp t="s">
        <v/>
        <stp/>
        <stp>2044823525M11:LstPrc</stp>
        <tr r="I1758" s="5"/>
      </tp>
      <tp t="s">
        <v/>
        <stp/>
        <stp>2044823525M10:LstPrc</stp>
        <tr r="I1757" s="5"/>
      </tp>
      <tp t="s">
        <v>Invalid Market: 2044823525M17</v>
        <stp/>
        <stp>2044823525M17:LstPrc</stp>
        <tr r="I1764" s="5"/>
      </tp>
      <tp t="s">
        <v>Invalid Market: 2044823525M16</v>
        <stp/>
        <stp>2044823525M16:LstPrc</stp>
        <tr r="I1763" s="5"/>
      </tp>
      <tp t="s">
        <v>Invalid Market: 2044823525M15</v>
        <stp/>
        <stp>2044823525M15:LstPrc</stp>
        <tr r="I1762" s="5"/>
      </tp>
      <tp t="s">
        <v/>
        <stp/>
        <stp>2044823525M14:LstPrc</stp>
        <tr r="I1761" s="5"/>
      </tp>
      <tp t="s">
        <v>Invalid Market: CALCQ8</v>
        <stp/>
        <stp>CALCQ8:BstHitPrc</stp>
        <tr r="G1220" s="5"/>
        <tr r="G1372" s="5"/>
      </tp>
      <tp t="s">
        <v>Invalid Market: CALCM8</v>
        <stp/>
        <stp>CALCM8:BstHitPrc</stp>
        <tr r="G1195" s="5"/>
        <tr r="G1347" s="5"/>
      </tp>
      <tp t="s">
        <v>Invalid Market: CALCM8</v>
        <stp/>
        <stp>CALCM8:LstBlkPrc</stp>
        <tr r="K1195" s="5"/>
        <tr r="K1347" s="5"/>
      </tp>
      <tp t="s">
        <v>Invalid Market: CALCQ8</v>
        <stp/>
        <stp>CALCQ8:LstBlkPrc</stp>
        <tr r="K1220" s="5"/>
        <tr r="K1372" s="5"/>
      </tp>
      <tp t="s">
        <v>Jan28</v>
        <stp/>
        <stp>1517M16:Strip</stp>
        <tr r="E19" s="5"/>
      </tp>
      <tp t="s">
        <v>Aug27</v>
        <stp/>
        <stp>5162M11:Strip</stp>
        <tr r="E780" s="5"/>
      </tp>
      <tp t="s">
        <v>Jun28</v>
        <stp/>
        <stp>5162M21:Strip</stp>
        <tr r="E790" s="5"/>
      </tp>
    </main>
    <main first="bofaddin.rtdserver">
      <tp>
        <v>15.55</v>
        <stp/>
        <stp>BDP|5253682060399782384|222</stp>
        <stp>MUCX6Z6 Comdty</stp>
        <stp>ASK</stp>
        <stp>Fill=#N/A</stp>
        <tr r="S22" s="1"/>
      </tp>
      <tp>
        <v>828.25</v>
        <stp/>
        <stp>BDP|11570644092032324408|222</stp>
        <stp>QSF9 Comdty</stp>
        <stp>ASK</stp>
        <stp>Fill=#N/A</stp>
        <tr r="H47" s="1"/>
      </tp>
    </main>
    <main first="ice.rtd">
      <tp t="s">
        <v/>
        <stp/>
        <stp>266M1:LstPrc</stp>
        <tr r="I922" s="5"/>
      </tp>
      <tp t="s">
        <v/>
        <stp/>
        <stp>266M0:LstPrc</stp>
        <tr r="I921" s="5"/>
      </tp>
      <tp t="s">
        <v/>
        <stp/>
        <stp>266M3:LstPrc</stp>
        <tr r="I924" s="5"/>
      </tp>
      <tp t="s">
        <v/>
        <stp/>
        <stp>266M2:LstPrc</stp>
        <tr r="I923" s="5"/>
      </tp>
      <tp t="s">
        <v/>
        <stp/>
        <stp>266M5:LstPrc</stp>
        <tr r="I926" s="5"/>
      </tp>
      <tp t="s">
        <v/>
        <stp/>
        <stp>266M4:LstPrc</stp>
        <tr r="I925" s="5"/>
      </tp>
      <tp t="s">
        <v/>
        <stp/>
        <stp>266M7:LstPrc</stp>
        <tr r="I928" s="5"/>
      </tp>
      <tp t="s">
        <v/>
        <stp/>
        <stp>266M6:LstPrc</stp>
        <tr r="I927" s="5"/>
      </tp>
      <tp t="s">
        <v/>
        <stp/>
        <stp>266M9:LstPrc</stp>
        <tr r="I930" s="5"/>
      </tp>
      <tp t="s">
        <v/>
        <stp/>
        <stp>266M8:LstPrc</stp>
        <tr r="I929" s="5"/>
      </tp>
      <tp t="s">
        <v/>
        <stp/>
        <stp>266Q1:LstPrc</stp>
        <tr r="I947" s="5"/>
      </tp>
      <tp t="s">
        <v/>
        <stp/>
        <stp>266Q0:LstPrc</stp>
        <tr r="I946" s="5"/>
      </tp>
      <tp t="s">
        <v/>
        <stp/>
        <stp>266Q3:LstPrc</stp>
        <tr r="I949" s="5"/>
      </tp>
      <tp t="s">
        <v/>
        <stp/>
        <stp>266Q2:LstPrc</stp>
        <tr r="I948" s="5"/>
      </tp>
      <tp t="s">
        <v/>
        <stp/>
        <stp>266Q5:LstPrc</stp>
        <tr r="I951" s="5"/>
      </tp>
      <tp t="s">
        <v/>
        <stp/>
        <stp>266Q4:LstPrc</stp>
        <tr r="I950" s="5"/>
      </tp>
      <tp t="s">
        <v/>
        <stp/>
        <stp>266Q7:LstPrc</stp>
        <tr r="I953" s="5"/>
      </tp>
      <tp t="s">
        <v/>
        <stp/>
        <stp>266Q6:LstPrc</stp>
        <tr r="I952" s="5"/>
      </tp>
      <tp t="s">
        <v/>
        <stp/>
        <stp>266Q8:LstPrc</stp>
        <tr r="I954" s="5"/>
      </tp>
      <tp t="s">
        <v/>
        <stp/>
        <stp>266Y1:LstPrc</stp>
        <tr r="I956" s="5"/>
      </tp>
      <tp t="s">
        <v/>
        <stp/>
        <stp>266Y0:LstPrc</stp>
        <tr r="I955" s="5"/>
      </tp>
      <tp t="s">
        <v/>
        <stp/>
        <stp>266Y2:LstPrc</stp>
        <tr r="I957" s="5"/>
      </tp>
    </main>
    <main first="bofaddin.rtdserver">
      <tp>
        <v>210</v>
        <stp/>
        <stp>BDP|14093692484832911608|222</stp>
        <stp>HOJ9 Comdty</stp>
        <stp>BID</stp>
        <stp>Fill=#N/A</stp>
        <tr r="I50" s="1"/>
      </tp>
      <tp>
        <v>1169.25</v>
        <stp/>
        <stp>BDP|15593223819139992234|222</stp>
        <stp>QSF7 Comdty</stp>
        <stp>BID</stp>
        <stp>Fill=#N/A</stp>
        <tr r="H23" s="1"/>
      </tp>
      <tp>
        <v>876.75</v>
        <stp/>
        <stp>BDP|10851477795720366747|222</stp>
        <stp>QSK8 Comdty</stp>
        <stp>ASK</stp>
        <stp>Fill=#N/A</stp>
        <tr r="H39" s="1"/>
      </tp>
      <tp>
        <v>909</v>
        <stp/>
        <stp>BDP|17327089331676400585|222</stp>
        <stp>QSG8 Comdty</stp>
        <stp>ASK</stp>
        <stp>Fill=#N/A</stp>
        <tr r="H36" s="1"/>
      </tp>
      <tp t="s">
        <v>#N/A</v>
        <stp/>
        <stp>BDP|16637821645346817049|222</stp>
        <stp>XBF9 Comdty</stp>
        <stp>ASK</stp>
        <stp>Fill=#N/A</stp>
        <tr r="J47" s="1"/>
      </tp>
      <tp t="s">
        <v>#N/A Invalid Security</v>
        <stp/>
        <stp>BDP|18174938929870291158|222</stp>
        <stp>CLF0 Comdty</stp>
        <stp>BID</stp>
        <stp>Fill=#N/A</stp>
        <tr r="F59" s="1"/>
      </tp>
      <tp>
        <v>82.35</v>
        <stp/>
        <stp>BDP|10794348473878148534|222</stp>
        <stp>CLF7 Comdty</stp>
        <stp>ASK</stp>
        <stp>Fill=#N/A</stp>
        <tr r="F23" s="1"/>
      </tp>
    </main>
    <main first="esrtd">
      <tp t="s">
        <v/>
        <stp/>
        <stp>WNS 26!-IEU</stp>
        <stp>Last</stp>
        <tr r="I1873" s="5"/>
      </tp>
      <tp t="s">
        <v/>
        <stp/>
        <stp>WNS 16!-IEU</stp>
        <stp>Last</stp>
        <tr r="I1863" s="5"/>
      </tp>
    </main>
    <main first="bofaddin.rtdserver">
      <tp t="s">
        <v>#N/A Invalid Security</v>
        <stp/>
        <stp>BDP|13593100710044079819|222</stp>
        <stp>HOH0 Comdty</stp>
        <stp>ASK</stp>
        <stp>Fill=#N/A</stp>
        <tr r="I61" s="1"/>
      </tp>
      <tp>
        <v>74.3</v>
        <stp/>
        <stp>BDP|10971618790683732204|222</stp>
        <stp>CON8 Comdty</stp>
        <stp>BID</stp>
        <stp>Fill=#N/A</stp>
        <tr r="G41" s="1"/>
      </tp>
      <tp t="s">
        <v>#N/A Invalid Security</v>
        <stp/>
        <stp>BDP|16303920886378866171|222</stp>
        <stp>CLK8 Comdty</stp>
        <stp>ASK</stp>
        <stp>Fill=#N/A</stp>
        <tr r="F39" s="1"/>
      </tp>
      <tp>
        <v>772</v>
        <stp/>
        <stp>BDP|11103666093974507759|222</stp>
        <stp>QSF0 Comdty</stp>
        <stp>BID</stp>
        <stp>Fill=#N/A</stp>
        <tr r="H59" s="1"/>
      </tp>
      <tp>
        <v>275.76</v>
        <stp/>
        <stp>BDP|15774028156321640656|222</stp>
        <stp>XBN7 Comdty</stp>
        <stp>BID</stp>
        <stp>Fill=#N/A</stp>
        <tr r="J29" s="1"/>
      </tp>
      <tp>
        <v>269.29000000000002</v>
        <stp/>
        <stp>BDP|14355912478368660155|222</stp>
        <stp>XBH7 Comdty</stp>
        <stp>ASK</stp>
        <stp>Fill=#N/A</stp>
        <tr r="J25" s="1"/>
      </tp>
    </main>
    <main first="esrtd">
      <tp t="s">
        <v/>
        <stp/>
        <stp>WMJ 25!-IEU</stp>
        <stp>Last</stp>
        <tr r="I1907" s="5"/>
      </tp>
      <tp t="s">
        <v/>
        <stp/>
        <stp>WMJ 15!-IEU</stp>
        <stp>Last</stp>
        <tr r="I1897" s="5"/>
      </tp>
      <tp t="s">
        <v/>
        <stp/>
        <stp>WHK 30!-IEU</stp>
        <stp>Last</stp>
        <tr r="I1947" s="5"/>
      </tp>
      <tp t="s">
        <v/>
        <stp/>
        <stp>WHK 20!-IEU</stp>
        <stp>Last</stp>
        <tr r="I1937" s="5"/>
      </tp>
      <tp t="s">
        <v/>
        <stp/>
        <stp>WHK 10!-IEU</stp>
        <stp>Last</stp>
        <tr r="I1927" s="5"/>
      </tp>
    </main>
    <main first="ice.rtd">
      <tp t="s">
        <v>Aug27</v>
        <stp/>
        <stp>141587M11:Strip</stp>
        <tr r="E52" s="5"/>
      </tp>
      <tp t="s">
        <v>Jun28</v>
        <stp/>
        <stp>141587M21:Strip</stp>
        <tr r="E62" s="5"/>
      </tp>
      <tp t="s">
        <v>Sep26/Aug27</v>
        <stp/>
        <stp>366531MM8:Strip</stp>
        <tr r="E1723" s="5"/>
      </tp>
      <tp t="s">
        <v>Invalid Market: CALCM9</v>
        <stp/>
        <stp>CALCM9:BstHitPrc</stp>
        <tr r="G1348" s="5"/>
        <tr r="G1196" s="5"/>
      </tp>
      <tp t="s">
        <v>Invalid Market: CALCM9</v>
        <stp/>
        <stp>CALCM9:LstBlkPrc</stp>
        <tr r="K1196" s="5"/>
        <tr r="K1348" s="5"/>
      </tp>
    </main>
    <main first="ice.rtd">
      <tp t="s">
        <v>Feb28</v>
        <stp/>
        <stp>1517M17:Strip</stp>
        <tr r="E20" s="5"/>
      </tp>
      <tp t="s">
        <v>Jul27</v>
        <stp/>
        <stp>5162M10:Strip</stp>
        <tr r="E779" s="5"/>
      </tp>
      <tp t="s">
        <v>May28</v>
        <stp/>
        <stp>5162M20:Strip</stp>
        <tr r="E789" s="5"/>
      </tp>
      <tp t="s">
        <v>STS</v>
        <stp/>
        <stp>266419Y0:PCC</stp>
        <tr r="B993" s="5"/>
      </tp>
      <tp t="s">
        <v>STS</v>
        <stp/>
        <stp>266419Y1:PCC</stp>
        <tr r="B994" s="5"/>
      </tp>
      <tp t="s">
        <v>STS</v>
        <stp/>
        <stp>266419Y2:PCC</stp>
        <tr r="B995" s="5"/>
      </tp>
    </main>
    <main first="bofaddin.rtdserver">
      <tp t="s">
        <v>#N/A</v>
        <stp/>
        <stp>BDP|8682482798447672704|222</stp>
        <stp>OQAV6X6 Comdty</stp>
        <stp>ASK</stp>
        <stp>Fill=#N/A</stp>
        <tr r="T21" s="1"/>
      </tp>
    </main>
    <main first="ice.rtd">
      <tp t="s">
        <v>STS</v>
        <stp/>
        <stp>266419Q0:PCC</stp>
        <tr r="B984" s="5"/>
      </tp>
      <tp t="s">
        <v>STS</v>
        <stp/>
        <stp>266419Q1:PCC</stp>
        <tr r="B985" s="5"/>
      </tp>
      <tp t="s">
        <v>STS</v>
        <stp/>
        <stp>266419Q2:PCC</stp>
        <tr r="B986" s="5"/>
      </tp>
      <tp t="s">
        <v>STS</v>
        <stp/>
        <stp>266419Q3:PCC</stp>
        <tr r="B987" s="5"/>
      </tp>
      <tp t="s">
        <v>STS</v>
        <stp/>
        <stp>266419Q4:PCC</stp>
        <tr r="B988" s="5"/>
      </tp>
      <tp t="s">
        <v>STS</v>
        <stp/>
        <stp>266419Q5:PCC</stp>
        <tr r="B989" s="5"/>
      </tp>
      <tp t="s">
        <v>STS</v>
        <stp/>
        <stp>266419Q6:PCC</stp>
        <tr r="B990" s="5"/>
      </tp>
      <tp t="s">
        <v>STS</v>
        <stp/>
        <stp>266419Q7:PCC</stp>
        <tr r="B991" s="5"/>
      </tp>
      <tp t="s">
        <v>STS</v>
        <stp/>
        <stp>266419Q8:PCC</stp>
        <tr r="B992" s="5"/>
      </tp>
      <tp t="s">
        <v>STS</v>
        <stp/>
        <stp>266419M0:PCC</stp>
        <tr r="B959" s="5"/>
      </tp>
      <tp t="s">
        <v>STS</v>
        <stp/>
        <stp>266419M1:PCC</stp>
        <tr r="B960" s="5"/>
      </tp>
      <tp t="s">
        <v>STS</v>
        <stp/>
        <stp>266419M2:PCC</stp>
        <tr r="B961" s="5"/>
      </tp>
      <tp t="s">
        <v>STS</v>
        <stp/>
        <stp>266419M3:PCC</stp>
        <tr r="B962" s="5"/>
      </tp>
      <tp t="s">
        <v>STS</v>
        <stp/>
        <stp>266419M4:PCC</stp>
        <tr r="B963" s="5"/>
      </tp>
      <tp t="s">
        <v>STS</v>
        <stp/>
        <stp>266419M5:PCC</stp>
        <tr r="B964" s="5"/>
      </tp>
      <tp t="s">
        <v>STS</v>
        <stp/>
        <stp>266419M6:PCC</stp>
        <tr r="B965" s="5"/>
      </tp>
      <tp t="s">
        <v>STS</v>
        <stp/>
        <stp>266419M7:PCC</stp>
        <tr r="B966" s="5"/>
      </tp>
      <tp t="s">
        <v>STS</v>
        <stp/>
        <stp>266419M8:PCC</stp>
        <tr r="B967" s="5"/>
      </tp>
      <tp t="s">
        <v>STS</v>
        <stp/>
        <stp>266419M9:PCC</stp>
        <tr r="B968" s="5"/>
      </tp>
    </main>
    <main first="bofaddin.rtdserver">
      <tp>
        <v>78.11</v>
        <stp/>
        <stp>BDP|14766201862322664949|222</stp>
        <stp>CLH7 Comdty</stp>
        <stp>BID</stp>
        <stp>Fill=#N/A</stp>
        <tr r="F25" s="1"/>
      </tp>
      <tp>
        <v>415.06</v>
        <stp/>
        <stp>BDP|12469988758351474330|222</stp>
        <stp>HOF7 Comdty</stp>
        <stp>ASK</stp>
        <stp>Fill=#N/A</stp>
        <tr r="I23" s="1"/>
      </tp>
      <tp t="s">
        <v>#N/A Invalid Security</v>
        <stp/>
        <stp>BDP|13393959775346031374|222</stp>
        <stp>COG9 Comdty</stp>
        <stp>BID</stp>
        <stp>Fill=#N/A</stp>
        <tr r="G48" s="1"/>
      </tp>
    </main>
    <main first="esrtd">
      <tp t="s">
        <v/>
        <stp/>
        <stp>WNS 25!-IEU</stp>
        <stp>Last</stp>
        <tr r="I1872" s="5"/>
      </tp>
      <tp t="s">
        <v/>
        <stp/>
        <stp>WNS 15!-IEU</stp>
        <stp>Last</stp>
        <tr r="I1862" s="5"/>
      </tp>
    </main>
    <main first="bofaddin.rtdserver">
      <tp>
        <v>1060.5</v>
        <stp/>
        <stp>BDP|14270862733641026838|222</stp>
        <stp>QSJ7 Comdty</stp>
        <stp>BID</stp>
        <stp>Fill=#N/A</stp>
        <tr r="H26" s="1"/>
      </tp>
      <tp t="s">
        <v>#N/A Invalid Security</v>
        <stp/>
        <stp>BDP|16345685397600424254|222</stp>
        <stp>CLM0 Comdty</stp>
        <stp>ASK</stp>
        <stp>Fill=#N/A</stp>
        <tr r="F64" s="1"/>
      </tp>
      <tp t="s">
        <v>#N/A Invalid Security</v>
        <stp/>
        <stp>BDP|14800430136213408370|222</stp>
        <stp>CLN9 Comdty</stp>
        <stp>ASK</stp>
        <stp>Fill=#N/A</stp>
        <tr r="F53" s="1"/>
      </tp>
    </main>
    <main first="esrtd">
      <tp t="s">
        <v/>
        <stp/>
        <stp>WMJ 26!-IEU</stp>
        <stp>Last</stp>
        <tr r="I1908" s="5"/>
      </tp>
      <tp t="s">
        <v/>
        <stp/>
        <stp>WMJ 16!-IEU</stp>
        <stp>Last</stp>
        <tr r="I1898" s="5"/>
      </tp>
      <tp t="s">
        <v/>
        <stp/>
        <stp>WHK 23!-IEU</stp>
        <stp>Last</stp>
        <tr r="I1940" s="5"/>
      </tp>
      <tp t="s">
        <v/>
        <stp/>
        <stp>WHK 13!-IEU</stp>
        <stp>Last</stp>
        <tr r="I1930" s="5"/>
      </tp>
      <tp t="s">
        <v/>
        <stp/>
        <stp>WHK Q3!-IEU</stp>
        <stp>Last</stp>
        <tr r="I1950" s="5"/>
      </tp>
    </main>
    <main first="ice.rtd">
      <tp>
        <v>0</v>
        <stp/>
        <stp>3016030250BM0:BlkVol</stp>
        <tr r="O1682" s="5"/>
      </tp>
      <tp t="s">
        <v>Sep27</v>
        <stp/>
        <stp>141587M12:Strip</stp>
        <tr r="E53" s="5"/>
      </tp>
      <tp t="s">
        <v>Jul28</v>
        <stp/>
        <stp>141587M22:Strip</stp>
        <tr r="E63" s="5"/>
      </tp>
      <tp t="s">
        <v>Mar28</v>
        <stp/>
        <stp>266419M18:Strip</stp>
        <tr r="E977" s="5"/>
      </tp>
      <tp t="s">
        <v>Nov27</v>
        <stp/>
        <stp>1517M14:Strip</stp>
        <tr r="E17" s="5"/>
      </tp>
      <tp t="s">
        <v>Sep28</v>
        <stp/>
        <stp>1517M24:Strip</stp>
        <tr r="E27" s="5"/>
      </tp>
      <tp t="s">
        <v>Oct27</v>
        <stp/>
        <stp>5162M13:Strip</stp>
        <tr r="E782" s="5"/>
      </tp>
      <tp t="s">
        <v>Aug28</v>
        <stp/>
        <stp>5162M23:Strip</stp>
        <tr r="E792" s="5"/>
      </tp>
    </main>
    <main first="esrtd">
      <tp t="s">
        <v/>
        <stp/>
        <stp>WHK Q1!-IEU</stp>
        <stp>Last Trade Time</stp>
        <tr r="J1948" s="5"/>
      </tp>
      <tp t="s">
        <v/>
        <stp/>
        <stp>WMJ Q4!-IEU</stp>
        <stp>Last Trade Time</stp>
        <tr r="J1916" s="5"/>
      </tp>
    </main>
    <main first="bofaddin.rtdserver">
      <tp t="s">
        <v>#N/A</v>
        <stp/>
        <stp>BDP|749060977678949217|222</stp>
        <stp>COK0COM0 Comdty</stp>
        <stp>BID</stp>
        <stp>Fill=#N/A</stp>
        <tr r="O64" s="1"/>
      </tp>
    </main>
    <main first="esrtd">
      <tp t="s">
        <v/>
        <stp/>
        <stp>WHK Q3!-IEU</stp>
        <stp>Last Trade Time</stp>
        <tr r="J1950" s="5"/>
      </tp>
    </main>
    <main first="bofaddin.rtdserver">
      <tp>
        <v>0.17</v>
        <stp/>
        <stp>BDP|483820624212908693|222</stp>
        <stp>COJ9COK9 Comdty</stp>
        <stp>ASK</stp>
        <stp>Fill=#N/A</stp>
        <tr r="O51" s="1"/>
      </tp>
    </main>
    <main first="esrtd">
      <tp t="s">
        <v/>
        <stp/>
        <stp>WHK Q2!-IEU</stp>
        <stp>Last Trade Time</stp>
        <tr r="J1949" s="5"/>
      </tp>
      <tp t="s">
        <v/>
        <stp/>
        <stp>WNS Q4!-IEU</stp>
        <stp>Last Trade Time</stp>
        <tr r="J1881" s="5"/>
      </tp>
      <tp t="s">
        <v/>
        <stp/>
        <stp>WNS Q3!-IEU</stp>
        <stp>Last Trade Time</stp>
        <tr r="J1880" s="5"/>
      </tp>
      <tp t="s">
        <v/>
        <stp/>
        <stp>WHK Q4!-IEU</stp>
        <stp>Last Trade Time</stp>
        <tr r="J1951" s="5"/>
      </tp>
      <tp t="s">
        <v/>
        <stp/>
        <stp>WMJ Q1!-IEU</stp>
        <stp>Last Trade Time</stp>
        <tr r="J1913" s="5"/>
      </tp>
      <tp t="s">
        <v/>
        <stp/>
        <stp>WNS Q2!-IEU</stp>
        <stp>Last Trade Time</stp>
        <tr r="J1879" s="5"/>
      </tp>
    </main>
    <main first="bofaddin.rtdserver">
      <tp t="s">
        <v>#N/A</v>
        <stp/>
        <stp>BDP|2536755199510865116|222</stp>
        <stp>OQAU8V8 Comdty</stp>
        <stp>BID</stp>
        <stp>Fill=#N/A</stp>
        <tr r="T44" s="1"/>
      </tp>
    </main>
    <main first="esrtd">
      <tp t="s">
        <v/>
        <stp/>
        <stp>WMJ Q2!-IEU</stp>
        <stp>Last Trade Time</stp>
        <tr r="J1914" s="5"/>
      </tp>
      <tp t="s">
        <v/>
        <stp/>
        <stp>WNS Q1!-IEU</stp>
        <stp>Last Trade Time</stp>
        <tr r="J1878" s="5"/>
      </tp>
      <tp t="s">
        <v/>
        <stp/>
        <stp>WMJ Q3!-IEU</stp>
        <stp>Last Trade Time</stp>
        <tr r="J1915" s="5"/>
      </tp>
      <tp t="s">
        <v/>
        <stp/>
        <stp>WDF Q4!-IEU</stp>
        <stp>Last Trade Time</stp>
        <tr r="J1811" s="5"/>
      </tp>
      <tp t="s">
        <v/>
        <stp/>
        <stp>WDF Q1!-IEU</stp>
        <stp>Last Trade Time</stp>
        <tr r="J1808" s="5"/>
      </tp>
      <tp t="s">
        <v/>
        <stp/>
        <stp>WDF Q3!-IEU</stp>
        <stp>Last Trade Time</stp>
        <tr r="J1810" s="5"/>
      </tp>
      <tp t="s">
        <v/>
        <stp/>
        <stp>WDF Q2!-IEU</stp>
        <stp>Last Trade Time</stp>
        <tr r="J1809" s="5"/>
      </tp>
    </main>
    <main first="bofaddin.rtdserver">
      <tp>
        <v>190</v>
        <stp/>
        <stp>BDP|17254012004931883979|222</stp>
        <stp>XBM9 Comdty</stp>
        <stp>BID</stp>
        <stp>Fill=#N/A</stp>
        <tr r="J52" s="1"/>
      </tp>
      <tp>
        <v>793.25</v>
        <stp/>
        <stp>BDP|14697512067959911856|222</stp>
        <stp>QSG9 Comdty</stp>
        <stp>BID</stp>
        <stp>Fill=#N/A</stp>
        <tr r="H48" s="1"/>
      </tp>
      <tp>
        <v>309.14999999999998</v>
        <stp/>
        <stp>BDP|16349266892425753655|222</stp>
        <stp>HOK8 Comdty</stp>
        <stp>ASK</stp>
        <stp>Fill=#N/A</stp>
        <tr r="I39" s="1"/>
      </tp>
    </main>
    <main first="esrtd">
      <tp t="s">
        <v/>
        <stp/>
        <stp>WNS 24!-IEU</stp>
        <stp>Last</stp>
        <tr r="I1871" s="5"/>
      </tp>
      <tp t="s">
        <v/>
        <stp/>
        <stp>WNS 14!-IEU</stp>
        <stp>Last</stp>
        <tr r="I1861" s="5"/>
      </tp>
      <tp t="s">
        <v/>
        <stp/>
        <stp>WNS Q4!-IEU</stp>
        <stp>Last</stp>
        <tr r="I1881" s="5"/>
      </tp>
    </main>
    <main first="bofaddin.rtdserver">
      <tp>
        <v>989.5</v>
        <stp/>
        <stp>BDP|17034565728695014782|222</stp>
        <stp>QSN7 Comdty</stp>
        <stp>ASK</stp>
        <stp>Fill=#N/A</stp>
        <tr r="H29" s="1"/>
      </tp>
      <tp>
        <v>82.62</v>
        <stp/>
        <stp>BDP|14362084285777904692|222</stp>
        <stp>COJ7 Comdty</stp>
        <stp>ASK</stp>
        <stp>Fill=#N/A</stp>
        <tr r="G26" s="1"/>
      </tp>
      <tp t="s">
        <v>#N/A Invalid Security</v>
        <stp/>
        <stp>BDP|15085121276529760860|222</stp>
        <stp>COG0 Comdty</stp>
        <stp>ASK</stp>
        <stp>Fill=#N/A</stp>
        <tr r="G60" s="1"/>
      </tp>
      <tp>
        <v>857.25</v>
        <stp/>
        <stp>BDP|17101002856718301616|222</stp>
        <stp>QSN8 Comdty</stp>
        <stp>ASK</stp>
        <stp>Fill=#N/A</stp>
        <tr r="H41" s="1"/>
      </tp>
      <tp>
        <v>312.88</v>
        <stp/>
        <stp>BDP|14046999975723254108|222</stp>
        <stp>HOJ8 Comdty</stp>
        <stp>ASK</stp>
        <stp>Fill=#N/A</stp>
        <tr r="I38" s="1"/>
      </tp>
    </main>
    <main first="esrtd">
      <tp t="s">
        <v/>
        <stp/>
        <stp>Invalid Market: 297449133BM0 BM0-IEU</stp>
        <stp>ICE Theoretical Price</stp>
        <tr r="W2026" s="5"/>
      </tp>
      <tp t="s">
        <v/>
        <stp/>
        <stp>Invalid Market: 1581618115B0 B0-IEU</stp>
        <stp>ICE Theoretical Price</stp>
        <tr r="W458" s="5"/>
      </tp>
      <tp t="s">
        <v/>
        <stp/>
        <stp>WMJ 27!-IEU</stp>
        <stp>Last</stp>
        <tr r="I1909" s="5"/>
      </tp>
      <tp t="s">
        <v/>
        <stp/>
        <stp>WMJ 17!-IEU</stp>
        <stp>Last</stp>
        <tr r="I1899" s="5"/>
      </tp>
      <tp t="s">
        <v/>
        <stp/>
        <stp>WHK 22!-IEU</stp>
        <stp>Last</stp>
        <tr r="I1939" s="5"/>
      </tp>
      <tp t="s">
        <v/>
        <stp/>
        <stp>WHK 12!-IEU</stp>
        <stp>Last</stp>
        <tr r="I1929" s="5"/>
      </tp>
      <tp t="s">
        <v/>
        <stp/>
        <stp>WHK C2!-IEU</stp>
        <stp>Last</stp>
        <tr r="I1952" s="5"/>
      </tp>
      <tp t="s">
        <v/>
        <stp/>
        <stp>WHK Q2!-IEU</stp>
        <stp>Last</stp>
        <tr r="I1949" s="5"/>
      </tp>
    </main>
    <main first="ice.rtd">
      <tp t="s">
        <v>Oct27</v>
        <stp/>
        <stp>141587M13:Strip</stp>
        <tr r="E54" s="5"/>
      </tp>
      <tp t="s">
        <v>Aug28</v>
        <stp/>
        <stp>141587M23:Strip</stp>
        <tr r="E64" s="5"/>
      </tp>
      <tp t="s">
        <v>Apr28</v>
        <stp/>
        <stp>266419M19:Strip</stp>
        <tr r="E978" s="5"/>
      </tp>
      <tp t="s">
        <v>Dec27</v>
        <stp/>
        <stp>1517M15:Strip</stp>
        <tr r="E18" s="5"/>
      </tp>
    </main>
    <main first="esrtd">
      <tp t="s">
        <v/>
        <stp/>
        <stp>TDL 9!-IEU</stp>
        <stp>Open Interest</stp>
        <tr r="T1821" s="5"/>
      </tp>
      <tp t="s">
        <v/>
        <stp/>
        <stp>TDL 8!-IEU</stp>
        <stp>Open Interest</stp>
        <tr r="T1820" s="5"/>
      </tp>
      <tp t="s">
        <v/>
        <stp/>
        <stp>TDL 3!-IEU</stp>
        <stp>Open Interest</stp>
        <tr r="T1815" s="5"/>
      </tp>
      <tp t="s">
        <v/>
        <stp/>
        <stp>TDL 2!-IEU</stp>
        <stp>Open Interest</stp>
        <tr r="T1814" s="5"/>
      </tp>
      <tp t="s">
        <v/>
        <stp/>
        <stp>TDL 1!-IEU</stp>
        <stp>Open Interest</stp>
        <tr r="T1813" s="5"/>
      </tp>
      <tp t="s">
        <v/>
        <stp/>
        <stp>TDL 7!-IEU</stp>
        <stp>Open Interest</stp>
        <tr r="T1819" s="5"/>
      </tp>
      <tp t="s">
        <v/>
        <stp/>
        <stp>TDL 6!-IEU</stp>
        <stp>Open Interest</stp>
        <tr r="T1818" s="5"/>
      </tp>
      <tp t="s">
        <v/>
        <stp/>
        <stp>TDL 5!-IEU</stp>
        <stp>Open Interest</stp>
        <tr r="T1817" s="5"/>
      </tp>
      <tp t="s">
        <v/>
        <stp/>
        <stp>TDL 4!-IEU</stp>
        <stp>Open Interest</stp>
        <tr r="T1816" s="5"/>
      </tp>
    </main>
    <main first="ice.rtd">
      <tp t="s">
        <v>Sep27</v>
        <stp/>
        <stp>5162M12:Strip</stp>
        <tr r="E781" s="5"/>
      </tp>
      <tp t="s">
        <v>Jul28</v>
        <stp/>
        <stp>5162M22:Strip</stp>
        <tr r="E791" s="5"/>
      </tp>
    </main>
    <main first="esrtd">
      <tp t="s">
        <v/>
        <stp/>
        <stp>WDF 8!-IEU</stp>
        <stp>Open Interest</stp>
        <tr r="T1785" s="5"/>
      </tp>
      <tp t="s">
        <v/>
        <stp/>
        <stp>WDF 9!-IEU</stp>
        <stp>Open Interest</stp>
        <tr r="T1786" s="5"/>
      </tp>
      <tp t="s">
        <v/>
        <stp/>
        <stp>WDF 1!-IEU</stp>
        <stp>Open Interest</stp>
        <tr r="T1778" s="5"/>
      </tp>
      <tp t="s">
        <v/>
        <stp/>
        <stp>WDF 2!-IEU</stp>
        <stp>Open Interest</stp>
        <tr r="T1779" s="5"/>
      </tp>
      <tp t="s">
        <v/>
        <stp/>
        <stp>WDF 3!-IEU</stp>
        <stp>Open Interest</stp>
        <tr r="T1780" s="5"/>
      </tp>
      <tp t="s">
        <v/>
        <stp/>
        <stp>WDF 4!-IEU</stp>
        <stp>Open Interest</stp>
        <tr r="T1781" s="5"/>
      </tp>
      <tp t="s">
        <v/>
        <stp/>
        <stp>WDF 5!-IEU</stp>
        <stp>Open Interest</stp>
        <tr r="T1782" s="5"/>
      </tp>
      <tp t="s">
        <v/>
        <stp/>
        <stp>WDF 6!-IEU</stp>
        <stp>Open Interest</stp>
        <tr r="T1783" s="5"/>
      </tp>
      <tp t="s">
        <v/>
        <stp/>
        <stp>WDF 7!-IEU</stp>
        <stp>Open Interest</stp>
        <tr r="T1784" s="5"/>
      </tp>
    </main>
    <main first="ice.rtd">
      <tp>
        <v>0</v>
        <stp/>
        <stp>2326525626B0:Vol</stp>
        <tr r="N420" s="5"/>
      </tp>
    </main>
    <main first="bofaddin.rtdserver">
      <tp t="s">
        <v>#N/A Invalid Security</v>
        <stp/>
        <stp>BDP|2624723876462455913|222</stp>
        <stp>HOG0 Comdty</stp>
        <stp>ASK</stp>
        <stp>Fill=#N/A</stp>
        <tr r="I60" s="1"/>
      </tp>
      <tp>
        <v>76.38</v>
        <stp/>
        <stp>BDP|4599130228989554539|222</stp>
        <stp>COH8 Comdty</stp>
        <stp>ASK</stp>
        <stp>Fill=#N/A</stp>
        <tr r="G37" s="1"/>
      </tp>
      <tp t="s">
        <v>#N/A</v>
        <stp/>
        <stp>BDP|7728883154324844825|222</stp>
        <stp>QSG0 Comdty</stp>
        <stp>ASK</stp>
        <stp>Fill=#N/A</stp>
        <tr r="H60" s="1"/>
      </tp>
    </main>
    <main first="ice.rtd">
      <tp>
        <v>0</v>
        <stp/>
        <stp>15061297MM15:OI</stp>
        <tr r="T1698" s="5"/>
      </tp>
      <tp>
        <v>0</v>
        <stp/>
        <stp>15061297MM14:OI</stp>
        <tr r="T1697" s="5"/>
      </tp>
      <tp>
        <v>0</v>
        <stp/>
        <stp>15061297MM17:OI</stp>
        <tr r="T1700" s="5"/>
      </tp>
      <tp>
        <v>0</v>
        <stp/>
        <stp>15061297MM16:OI</stp>
        <tr r="T1699" s="5"/>
      </tp>
      <tp>
        <v>0</v>
        <stp/>
        <stp>15061297MM11:OI</stp>
        <tr r="T1694" s="5"/>
      </tp>
      <tp>
        <v>0</v>
        <stp/>
        <stp>15061297MM10:OI</stp>
        <tr r="T1693" s="5"/>
      </tp>
      <tp>
        <v>0</v>
        <stp/>
        <stp>15061297MM13:OI</stp>
        <tr r="T1696" s="5"/>
      </tp>
      <tp>
        <v>0</v>
        <stp/>
        <stp>15061297MM12:OI</stp>
        <tr r="T1695" s="5"/>
      </tp>
      <tp>
        <v>0</v>
        <stp/>
        <stp>15061297MM19:OI</stp>
        <tr r="T1702" s="5"/>
      </tp>
      <tp>
        <v>0</v>
        <stp/>
        <stp>15061297MM18:OI</stp>
        <tr r="T1701" s="5"/>
      </tp>
      <tp>
        <v>0</v>
        <stp/>
        <stp>15061297MM25:OI</stp>
        <tr r="T1708" s="5"/>
      </tp>
      <tp>
        <v>0</v>
        <stp/>
        <stp>15061297MM24:OI</stp>
        <tr r="T1707" s="5"/>
      </tp>
      <tp>
        <v>0</v>
        <stp/>
        <stp>15061297MM27:OI</stp>
        <tr r="T1710" s="5"/>
      </tp>
      <tp>
        <v>0</v>
        <stp/>
        <stp>15061297MM26:OI</stp>
        <tr r="T1709" s="5"/>
      </tp>
      <tp>
        <v>0</v>
        <stp/>
        <stp>15061297MM21:OI</stp>
        <tr r="T1704" s="5"/>
      </tp>
      <tp>
        <v>0</v>
        <stp/>
        <stp>15061297MM20:OI</stp>
        <tr r="T1703" s="5"/>
      </tp>
      <tp>
        <v>0</v>
        <stp/>
        <stp>15061297MM23:OI</stp>
        <tr r="T1706" s="5"/>
      </tp>
      <tp>
        <v>0</v>
        <stp/>
        <stp>15061297MM22:OI</stp>
        <tr r="T1705" s="5"/>
      </tp>
      <tp>
        <v>1.6160000000000001</v>
        <stp/>
        <stp>1840020882M4:Settle</stp>
        <tr r="U1586" s="5"/>
      </tp>
      <tp>
        <v>1.6540000000000001</v>
        <stp/>
        <stp>1840020882M5:Settle</stp>
        <tr r="U1587" s="5"/>
      </tp>
      <tp>
        <v>1.6340000000000001</v>
        <stp/>
        <stp>1840020882M6:Settle</stp>
        <tr r="U1588" s="5"/>
      </tp>
      <tp>
        <v>1.5920000000000001</v>
        <stp/>
        <stp>1840020882M7:Settle</stp>
        <tr r="U1589" s="5"/>
      </tp>
      <tp>
        <v>1.8160000000000001</v>
        <stp/>
        <stp>1840020882M0:Settle</stp>
        <tr r="U1582" s="5"/>
      </tp>
      <tp>
        <v>1.496</v>
        <stp/>
        <stp>1840020882M1:Settle</stp>
        <tr r="U1583" s="5"/>
      </tp>
      <tp>
        <v>1.5720000000000001</v>
        <stp/>
        <stp>1840020882M2:Settle</stp>
        <tr r="U1584" s="5"/>
      </tp>
      <tp>
        <v>1.5130000000000001</v>
        <stp/>
        <stp>1840020882M3:Settle</stp>
        <tr r="U1585" s="5"/>
      </tp>
      <tp>
        <v>1.5810000000000002</v>
        <stp/>
        <stp>1840020882M8:Settle</stp>
        <tr r="U1590" s="5"/>
      </tp>
      <tp>
        <v>1.7030000000000001</v>
        <stp/>
        <stp>1840020882M9:Settle</stp>
        <tr r="U1591" s="5"/>
      </tp>
      <tp>
        <v>1.782</v>
        <stp/>
        <stp>1840020882Y0:Settle</stp>
        <tr r="U1604" s="5"/>
      </tp>
      <tp>
        <v>1.9560000000000002</v>
        <stp/>
        <stp>1840020882Q4:Settle</stp>
        <tr r="U1603" s="5"/>
      </tp>
      <tp>
        <v>1.5270000000000001</v>
        <stp/>
        <stp>1840020882Q0:Settle</stp>
        <tr r="U1599" s="5"/>
      </tp>
      <tp>
        <v>1.635</v>
        <stp/>
        <stp>1840020882Q1:Settle</stp>
        <tr r="U1600" s="5"/>
      </tp>
      <tp>
        <v>1.625</v>
        <stp/>
        <stp>1840020882Q2:Settle</stp>
        <tr r="U1601" s="5"/>
      </tp>
      <tp>
        <v>1.911</v>
        <stp/>
        <stp>1840020882Q3:Settle</stp>
        <tr r="U1602" s="5"/>
      </tp>
    </main>
    <main first="bofaddin.rtdserver">
      <tp>
        <v>210</v>
        <stp/>
        <stp>BDP|3508481182201193969|222</stp>
        <stp>HOH9 Comdty</stp>
        <stp>BID</stp>
        <stp>Fill=#N/A</stp>
        <tr r="I49" s="1"/>
      </tp>
    </main>
    <main first="ice.rtd">
      <tp>
        <v>0</v>
        <stp/>
        <stp>2185224624B0:Vol</stp>
        <tr r="N593" s="5"/>
      </tp>
    </main>
    <main first="bofaddin.rtdserver">
      <tp t="s">
        <v>#N/A</v>
        <stp/>
        <stp>BDP|5992731239538918942|222</stp>
        <stp>XBJ9 Comdty</stp>
        <stp>ASK</stp>
        <stp>Fill=#N/A</stp>
        <tr r="J50" s="1"/>
      </tp>
    </main>
    <main first="ice.rtd">
      <tp>
        <v>0</v>
        <stp/>
        <stp>2044823525M6:Vol</stp>
        <tr r="N1753" s="5"/>
      </tp>
      <tp>
        <v>0</v>
        <stp/>
        <stp>2044823525M7:Vol</stp>
        <tr r="N1754" s="5"/>
      </tp>
      <tp>
        <v>0</v>
        <stp/>
        <stp>2044823525M4:Vol</stp>
        <tr r="N1751" s="5"/>
      </tp>
      <tp>
        <v>0</v>
        <stp/>
        <stp>2044823525M5:Vol</stp>
        <tr r="N1752" s="5"/>
      </tp>
      <tp>
        <v>0</v>
        <stp/>
        <stp>2044823525M2:Vol</stp>
        <tr r="N1749" s="5"/>
      </tp>
      <tp>
        <v>0</v>
        <stp/>
        <stp>2044823525M3:Vol</stp>
        <tr r="N1750" s="5"/>
      </tp>
      <tp>
        <v>0</v>
        <stp/>
        <stp>2044823525M0:Vol</stp>
        <tr r="N1747" s="5"/>
      </tp>
      <tp>
        <v>0</v>
        <stp/>
        <stp>2044823525M1:Vol</stp>
        <tr r="N1748" s="5"/>
      </tp>
      <tp>
        <v>0</v>
        <stp/>
        <stp>2044823525M8:Vol</stp>
        <tr r="N1755" s="5"/>
      </tp>
      <tp>
        <v>0</v>
        <stp/>
        <stp>2044823525M9:Vol</stp>
        <tr r="N1756" s="5"/>
      </tp>
      <tp>
        <v>18</v>
        <stp/>
        <stp>2184924621B0:Settle</stp>
        <tr r="U707" s="5"/>
      </tp>
      <tp t="s">
        <v>Invalid Market: 2044823525Q6</v>
        <stp/>
        <stp>2044823525Q6:Vol</stp>
        <tr r="N1776" s="5"/>
      </tp>
      <tp>
        <v>0</v>
        <stp/>
        <stp>2044823525Q4:Vol</stp>
        <tr r="N1774" s="5"/>
      </tp>
      <tp t="s">
        <v>Invalid Market: 2044823525Q5</v>
        <stp/>
        <stp>2044823525Q5:Vol</stp>
        <tr r="N1775" s="5"/>
      </tp>
      <tp>
        <v>0</v>
        <stp/>
        <stp>2044823525Q2:Vol</stp>
        <tr r="N1772" s="5"/>
      </tp>
      <tp>
        <v>0</v>
        <stp/>
        <stp>2044823525Q3:Vol</stp>
        <tr r="N1773" s="5"/>
      </tp>
      <tp>
        <v>0</v>
        <stp/>
        <stp>2044823525Q0:Vol</stp>
        <tr r="N1770" s="5"/>
      </tp>
      <tp>
        <v>0</v>
        <stp/>
        <stp>2044823525Q1:Vol</stp>
        <tr r="N1771" s="5"/>
      </tp>
      <tp>
        <v>0</v>
        <stp/>
        <stp>2044823525Y0:Vol</stp>
        <tr r="N1777" s="5"/>
      </tp>
      <tp t="s">
        <v>Oct26/Sep27</v>
        <stp/>
        <stp>161913535MM20:Strip</stp>
        <tr r="E2047" s="5"/>
      </tp>
      <tp t="s">
        <v>Sep26/Oct27</v>
        <stp/>
        <stp>161913535MM10:Strip</stp>
        <tr r="E2037" s="5"/>
      </tp>
      <tp t="s">
        <v>MFT</v>
        <stp/>
        <stp>2427026287M9:PCC</stp>
        <tr r="B1158" s="5"/>
      </tp>
      <tp t="s">
        <v>MFT</v>
        <stp/>
        <stp>2427026287M8:PCC</stp>
        <tr r="B1157" s="5"/>
      </tp>
      <tp t="s">
        <v>MFT</v>
        <stp/>
        <stp>2427026287M5:PCC</stp>
        <tr r="B1154" s="5"/>
      </tp>
      <tp t="s">
        <v>MFT</v>
        <stp/>
        <stp>2427026287M4:PCC</stp>
        <tr r="B1153" s="5"/>
      </tp>
      <tp t="s">
        <v>MFT</v>
        <stp/>
        <stp>2427026287M7:PCC</stp>
        <tr r="B1156" s="5"/>
      </tp>
      <tp t="s">
        <v>MFT</v>
        <stp/>
        <stp>2427026287M6:PCC</stp>
        <tr r="B1155" s="5"/>
      </tp>
      <tp t="s">
        <v>MFT</v>
        <stp/>
        <stp>2427026287M1:PCC</stp>
        <tr r="B1150" s="5"/>
      </tp>
      <tp t="s">
        <v>MFT</v>
        <stp/>
        <stp>2427026287M0:PCC</stp>
        <tr r="B1149" s="5"/>
      </tp>
      <tp t="s">
        <v>MFT</v>
        <stp/>
        <stp>2427026287M3:PCC</stp>
        <tr r="B1152" s="5"/>
      </tp>
      <tp t="s">
        <v>MFT</v>
        <stp/>
        <stp>2427026287M2:PCC</stp>
        <tr r="B1151" s="5"/>
      </tp>
      <tp t="s">
        <v>NGF</v>
        <stp/>
        <stp>2181924592B0:PCC</stp>
        <tr r="B1490" s="5"/>
      </tp>
      <tp t="s">
        <v>GDK</v>
        <stp/>
        <stp>1581618115M8:PCC</stp>
        <tr r="B467" s="5"/>
      </tp>
      <tp t="s">
        <v>GDK</v>
        <stp/>
        <stp>1581618115M9:PCC</stp>
        <tr r="B468" s="5"/>
      </tp>
      <tp t="s">
        <v>GDK</v>
        <stp/>
        <stp>1581618115M0:PCC</stp>
        <tr r="B459" s="5"/>
      </tp>
      <tp t="s">
        <v>GDK</v>
        <stp/>
        <stp>1581618115M1:PCC</stp>
        <tr r="B460" s="5"/>
      </tp>
      <tp t="s">
        <v>GDK</v>
        <stp/>
        <stp>1581618115M2:PCC</stp>
        <tr r="B461" s="5"/>
      </tp>
      <tp t="s">
        <v>GDK</v>
        <stp/>
        <stp>1581618115M3:PCC</stp>
        <tr r="B462" s="5"/>
      </tp>
      <tp t="s">
        <v>GDK</v>
        <stp/>
        <stp>1581618115M4:PCC</stp>
        <tr r="B463" s="5"/>
      </tp>
      <tp t="s">
        <v>GDK</v>
        <stp/>
        <stp>1581618115M5:PCC</stp>
        <tr r="B464" s="5"/>
      </tp>
      <tp t="s">
        <v>GDK</v>
        <stp/>
        <stp>1581618115M6:PCC</stp>
        <tr r="B465" s="5"/>
      </tp>
      <tp t="s">
        <v>GDK</v>
        <stp/>
        <stp>1581618115M7:PCC</stp>
        <tr r="B466" s="5"/>
      </tp>
      <tp t="s">
        <v>Invalid Market: 1581618115B0</v>
        <stp/>
        <stp>1581618115B0:PCC</stp>
        <tr r="B458" s="5"/>
      </tp>
      <tp t="s">
        <v>SKS</v>
        <stp/>
        <stp>2324925610B0:PCC</stp>
        <tr r="B882" s="5"/>
      </tp>
      <tp>
        <v>-7.86</v>
        <stp/>
        <stp>57409036Y2:Settle</stp>
        <tr r="U267" s="5"/>
      </tp>
      <tp>
        <v>-7.0170000000000003</v>
        <stp/>
        <stp>57409036Y0:Settle</stp>
        <tr r="U265" s="5"/>
      </tp>
      <tp>
        <v>-8.8019999999999996</v>
        <stp/>
        <stp>57409036Y1:Settle</stp>
        <tr r="U266" s="5"/>
      </tp>
      <tp>
        <v>-7.0220000000000002</v>
        <stp/>
        <stp>57409036Q2:Settle</stp>
        <tr r="U258" s="5"/>
      </tp>
      <tp>
        <v>-7.87</v>
        <stp/>
        <stp>57409036Q3:Settle</stp>
        <tr r="U259" s="5"/>
      </tp>
      <tp>
        <v>-4.1080000000000005</v>
        <stp/>
        <stp>57409036Q0:Settle</stp>
        <tr r="U256" s="5"/>
      </tp>
      <tp>
        <v>-5.1030000000000006</v>
        <stp/>
        <stp>57409036Q1:Settle</stp>
        <tr r="U257" s="5"/>
      </tp>
      <tp>
        <v>-9.0739999999999998</v>
        <stp/>
        <stp>57409036Q6:Settle</stp>
        <tr r="U262" s="5"/>
      </tp>
      <tp>
        <v>-9.1620000000000008</v>
        <stp/>
        <stp>57409036Q7:Settle</stp>
        <tr r="U263" s="5"/>
      </tp>
      <tp>
        <v>-8.0739999999999998</v>
        <stp/>
        <stp>57409036Q4:Settle</stp>
        <tr r="U260" s="5"/>
      </tp>
      <tp>
        <v>-8.2260000000000009</v>
        <stp/>
        <stp>57409036Q5:Settle</stp>
        <tr r="U261" s="5"/>
      </tp>
      <tp>
        <v>-8.745000000000001</v>
        <stp/>
        <stp>57409036Q8:Settle</stp>
        <tr r="U264" s="5"/>
      </tp>
      <tp>
        <v>-4.0470000000000006</v>
        <stp/>
        <stp>57409036M2:Settle</stp>
        <tr r="U233" s="5"/>
      </tp>
      <tp>
        <v>-4.577</v>
        <stp/>
        <stp>57409036M3:Settle</stp>
        <tr r="U234" s="5"/>
      </tp>
      <tp>
        <v>-4.2640000000000002</v>
        <stp/>
        <stp>57409036M0:Settle</stp>
        <tr r="U231" s="5"/>
      </tp>
      <tp>
        <v>-3.7</v>
        <stp/>
        <stp>57409036M1:Settle</stp>
        <tr r="U232" s="5"/>
      </tp>
      <tp>
        <v>-5.7309999999999999</v>
        <stp/>
        <stp>57409036M6:Settle</stp>
        <tr r="U237" s="5"/>
      </tp>
      <tp>
        <v>-6.6020000000000003</v>
        <stp/>
        <stp>57409036M7:Settle</stp>
        <tr r="U238" s="5"/>
      </tp>
      <tp>
        <v>-4.5910000000000002</v>
        <stp/>
        <stp>57409036M4:Settle</stp>
        <tr r="U235" s="5"/>
      </tp>
      <tp>
        <v>-4.9880000000000004</v>
        <stp/>
        <stp>57409036M5:Settle</stp>
        <tr r="U236" s="5"/>
      </tp>
      <tp>
        <v>-7.0340000000000007</v>
        <stp/>
        <stp>57409036M8:Settle</stp>
        <tr r="U239" s="5"/>
      </tp>
      <tp>
        <v>-7.431</v>
        <stp/>
        <stp>57409036M9:Settle</stp>
        <tr r="U240" s="5"/>
      </tp>
      <tp t="s">
        <v>GDK</v>
        <stp/>
        <stp>1581618115Y0:PCC</stp>
        <tr r="B478" s="5"/>
      </tp>
      <tp t="s">
        <v>MFT</v>
        <stp/>
        <stp>2427026287Y1:PCC</stp>
        <tr r="B1184" s="5"/>
      </tp>
      <tp t="s">
        <v>MFT</v>
        <stp/>
        <stp>2427026287Y0:PCC</stp>
        <tr r="B1183" s="5"/>
      </tp>
      <tp t="s">
        <v>MFT</v>
        <stp/>
        <stp>2427026287Y2:PCC</stp>
        <tr r="B1185" s="5"/>
      </tp>
      <tp t="s">
        <v>GDK</v>
        <stp/>
        <stp>1581618115Q0:PCC</stp>
        <tr r="B474" s="5"/>
      </tp>
      <tp t="s">
        <v>GDK</v>
        <stp/>
        <stp>1581618115Q1:PCC</stp>
        <tr r="B475" s="5"/>
      </tp>
      <tp t="s">
        <v>GDK</v>
        <stp/>
        <stp>1581618115Q2:PCC</stp>
        <tr r="B476" s="5"/>
      </tp>
      <tp t="s">
        <v>GDK</v>
        <stp/>
        <stp>1581618115Q3:PCC</stp>
        <tr r="B477" s="5"/>
      </tp>
      <tp t="s">
        <v>MFT</v>
        <stp/>
        <stp>2427026287Q8:PCC</stp>
        <tr r="B1182" s="5"/>
      </tp>
      <tp t="s">
        <v>MFT</v>
        <stp/>
        <stp>2427026287Q5:PCC</stp>
        <tr r="B1179" s="5"/>
      </tp>
      <tp t="s">
        <v>MFT</v>
        <stp/>
        <stp>2427026287Q4:PCC</stp>
        <tr r="B1178" s="5"/>
      </tp>
      <tp t="s">
        <v>MFT</v>
        <stp/>
        <stp>2427026287Q7:PCC</stp>
        <tr r="B1181" s="5"/>
      </tp>
      <tp t="s">
        <v>MFT</v>
        <stp/>
        <stp>2427026287Q6:PCC</stp>
        <tr r="B1180" s="5"/>
      </tp>
      <tp t="s">
        <v>MFT</v>
        <stp/>
        <stp>2427026287Q1:PCC</stp>
        <tr r="B1175" s="5"/>
      </tp>
      <tp t="s">
        <v>MFT</v>
        <stp/>
        <stp>2427026287Q0:PCC</stp>
        <tr r="B1174" s="5"/>
      </tp>
      <tp t="s">
        <v>MFT</v>
        <stp/>
        <stp>2427026287Q3:PCC</stp>
        <tr r="B1177" s="5"/>
      </tp>
      <tp t="s">
        <v>MFT</v>
        <stp/>
        <stp>2427026287Q2:PCC</stp>
        <tr r="B1176" s="5"/>
      </tp>
      <tp t="s">
        <v/>
        <stp/>
        <stp>DBI1227MM3:LstBlkVol</stp>
        <tr r="L1654" s="5"/>
      </tp>
    </main>
    <main first="bofaddin.rtdserver">
      <tp t="s">
        <v>#N/A N/A</v>
        <stp/>
        <stp>BDH|552154869865726719</stp>
        <tr r="BC59" s="1"/>
        <tr r="BC59" s="1"/>
      </tp>
      <tp t="s">
        <v>#N/A N/A</v>
        <stp/>
        <stp>BDH|258568813345936463</stp>
        <tr r="D10" s="14"/>
        <tr r="J32" s="14"/>
      </tp>
    </main>
    <main first="ice.rtd">
      <tp t="s">
        <v>Dec26</v>
        <stp/>
        <stp>266419M3:Strip</stp>
        <tr r="E962" s="5"/>
      </tp>
      <tp t="s">
        <v>Q3 27</v>
        <stp/>
        <stp>266419Q3:Strip</stp>
        <tr r="E987" s="5"/>
      </tp>
    </main>
    <main first="ice.rtd">
      <tp t="s">
        <v>Nov26</v>
        <stp/>
        <stp>141587M2:Strip</stp>
        <tr r="E43" s="5"/>
      </tp>
      <tp t="s">
        <v>Cal 29</v>
        <stp/>
        <stp>141587Y2:Strip</stp>
        <tr r="E77" s="5"/>
      </tp>
      <tp t="s">
        <v>Q2 27</v>
        <stp/>
        <stp>141587Q2:Strip</stp>
        <tr r="E68" s="5"/>
      </tp>
    </main>
    <main first="bofaddin.rtdserver">
      <tp t="s">
        <v>#N/A N/A</v>
        <stp/>
        <stp>BDH|892560640462848646</stp>
        <tr r="BA34" s="1"/>
        <tr r="BA34" s="1"/>
      </tp>
    </main>
    <main first="ice.rtd">
      <tp t="s">
        <v>Jan28</v>
        <stp/>
        <stp>34404098M16:Strip</stp>
        <tr r="E610" s="5"/>
      </tp>
      <tp t="s">
        <v>Jan28</v>
        <stp/>
        <stp>34414099M16:Strip</stp>
        <tr r="E95" s="5"/>
      </tp>
      <tp t="s">
        <v>Dec27</v>
        <stp/>
        <stp>30793693M15:Strip</stp>
        <tr r="E898" s="5"/>
      </tp>
      <tp t="s">
        <v/>
        <stp/>
        <stp>DBI1227MM5:BstHitPrc</stp>
        <tr r="G1656" s="5"/>
      </tp>
      <tp t="s">
        <v>Dec27</v>
        <stp/>
        <stp>41787896M15:Strip</stp>
        <tr r="E822" s="5"/>
      </tp>
    </main>
    <main first="ice.rtd">
      <tp t="s">
        <v>Sep26/Dec26</v>
        <stp/>
        <stp>15061297MM2:Strip</stp>
        <tr r="E1685" s="5"/>
      </tp>
      <tp t="s">
        <v>Sep28</v>
        <stp/>
        <stp>32623993M24:Strip</stp>
        <tr r="E2014" s="5"/>
      </tp>
      <tp t="s">
        <v>Nov27</v>
        <stp/>
        <stp>32623993M14:Strip</stp>
        <tr r="E2004" s="5"/>
      </tp>
    </main>
    <main first="esrtd">
      <tp t="s">
        <v/>
        <stp/>
        <stp>Invalid Market: CALCM19 J28-IEU</stp>
        <stp>ICE Theoretical Price</stp>
        <tr r="W288" s="5"/>
        <tr r="W1358" s="5"/>
        <tr r="W402" s="5"/>
        <tr r="W864" s="5"/>
        <tr r="W1092" s="5"/>
        <tr r="W1206" s="5"/>
      </tp>
    </main>
    <main first="ice.rtd">
      <tp t="s">
        <v>Apr28</v>
        <stp/>
        <stp>16331513M19:Strip</stp>
        <tr r="E1434" s="5"/>
      </tp>
      <tp t="s">
        <v>Apr28</v>
        <stp/>
        <stp>16341514M19:Strip</stp>
        <tr r="E1472" s="5"/>
      </tp>
      <tp t="s">
        <v>Apr28</v>
        <stp/>
        <stp>16351515M19:Strip</stp>
        <tr r="E1510" s="5"/>
      </tp>
      <tp t="s">
        <v>Sep28</v>
        <stp/>
        <stp>32613992M24:Strip</stp>
        <tr r="E1249" s="5"/>
      </tp>
      <tp t="s">
        <v>Nov27</v>
        <stp/>
        <stp>32613992M14:Strip</stp>
        <tr r="E1239" s="5"/>
      </tp>
      <tp t="s">
        <v>Aug27</v>
        <stp/>
        <stp>34364094M11:Strip</stp>
        <tr r="E529" s="5"/>
      </tp>
      <tp t="s">
        <v>Aug27</v>
        <stp/>
        <stp>34374095M11:Strip</stp>
        <tr r="E567" s="5"/>
      </tp>
      <tp t="s">
        <v>Jun28</v>
        <stp/>
        <stp>34364094M21:Strip</stp>
        <tr r="E539" s="5"/>
      </tp>
      <tp t="s">
        <v>Jun28</v>
        <stp/>
        <stp>34374095M21:Strip</stp>
        <tr r="E577" s="5"/>
      </tp>
      <tp t="s">
        <v>Dec27</v>
        <stp/>
        <stp>41767893M15:Strip</stp>
        <tr r="E495" s="5"/>
      </tp>
      <tp t="s">
        <v/>
        <stp/>
        <stp>DBI1227MM5:LstBlkPrc</stp>
        <tr r="K1656" s="5"/>
      </tp>
      <tp t="s">
        <v>Invalid Market: 57179020M18</v>
        <stp/>
        <stp>57179020M18:Strip</stp>
        <tr r="E1565" s="5"/>
      </tp>
      <tp t="s">
        <v>Aug27</v>
        <stp/>
        <stp>34344092M11:Strip</stp>
        <tr r="E1274" s="5"/>
      </tp>
      <tp t="s">
        <v>Aug27</v>
        <stp/>
        <stp>34354093M11:Strip</stp>
        <tr r="E1312" s="5"/>
      </tp>
      <tp t="s">
        <v>Jun28</v>
        <stp/>
        <stp>34344092M21:Strip</stp>
        <tr r="E1284" s="5"/>
      </tp>
      <tp t="s">
        <v>Jun28</v>
        <stp/>
        <stp>34354093M21:Strip</stp>
        <tr r="E1322" s="5"/>
      </tp>
      <tp t="s">
        <v/>
        <stp/>
        <stp>DBI1227MM17:LstBlkTime</stp>
        <tr r="M1668" s="5"/>
      </tp>
      <tp t="s">
        <v/>
        <stp/>
        <stp>DBI1227MM16:LstBlkTime</stp>
        <tr r="M1667" s="5"/>
      </tp>
      <tp t="s">
        <v>09:34:00</v>
        <stp/>
        <stp>DBI1227MM15:LstBlkTime</stp>
        <tr r="M1666" s="5"/>
      </tp>
      <tp t="s">
        <v/>
        <stp/>
        <stp>DBI1227MM14:LstBlkTime</stp>
        <tr r="M1665" s="5"/>
      </tp>
      <tp t="s">
        <v/>
        <stp/>
        <stp>DBI1227MM13:LstBlkTime</stp>
        <tr r="M1664" s="5"/>
      </tp>
      <tp t="s">
        <v/>
        <stp/>
        <stp>DBI1227MM12:LstBlkTime</stp>
        <tr r="M1663" s="5"/>
      </tp>
      <tp t="s">
        <v/>
        <stp/>
        <stp>DBI1227MM11:LstBlkTime</stp>
        <tr r="M1662" s="5"/>
      </tp>
      <tp t="s">
        <v/>
        <stp/>
        <stp>DBI1227MM10:LstBlkTime</stp>
        <tr r="M1661" s="5"/>
        <tr r="M1649" s="5"/>
      </tp>
      <tp t="s">
        <v/>
        <stp/>
        <stp>DBI1227MM19:LstBlkTime</stp>
        <tr r="M1650" s="5"/>
        <tr r="M1670" s="5"/>
      </tp>
      <tp t="s">
        <v/>
        <stp/>
        <stp>DBI1227MM18:LstBlkTime</stp>
        <tr r="M1669" s="5"/>
      </tp>
      <tp t="s">
        <v/>
        <stp/>
        <stp>DBI1227MM27:LstBlkTime</stp>
        <tr r="M1678" s="5"/>
      </tp>
      <tp t="s">
        <v/>
        <stp/>
        <stp>DBI1227MM26:LstBlkTime</stp>
        <tr r="M1677" s="5"/>
      </tp>
      <tp t="s">
        <v/>
        <stp/>
        <stp>DBI1227MM25:LstBlkTime</stp>
        <tr r="M1676" s="5"/>
      </tp>
      <tp t="s">
        <v/>
        <stp/>
        <stp>DBI1227MM24:LstBlkTime</stp>
        <tr r="M1675" s="5"/>
      </tp>
      <tp t="s">
        <v>09:16:06</v>
        <stp/>
        <stp>DBI1227MM23:LstBlkTime</stp>
        <tr r="M1674" s="5"/>
      </tp>
      <tp t="s">
        <v/>
        <stp/>
        <stp>DBI1227MM22:LstBlkTime</stp>
        <tr r="M1673" s="5"/>
      </tp>
      <tp t="s">
        <v/>
        <stp/>
        <stp>DBI1227MM21:LstBlkTime</stp>
        <tr r="M1672" s="5"/>
      </tp>
      <tp t="s">
        <v/>
        <stp/>
        <stp>DBI1227MM20:LstBlkTime</stp>
        <tr r="M1671" s="5"/>
      </tp>
    </main>
    <main first="esrtd">
      <tp t="s">
        <v/>
        <stp/>
        <stp>TDL 9!-IEU</stp>
        <stp>ICE Theoretical Price</stp>
        <tr r="W1821" s="5"/>
      </tp>
      <tp t="s">
        <v/>
        <stp/>
        <stp>TDL 8!-IEU</stp>
        <stp>ICE Theoretical Price</stp>
        <tr r="W1820" s="5"/>
      </tp>
      <tp t="s">
        <v/>
        <stp/>
        <stp>TDL 5!-IEU</stp>
        <stp>ICE Theoretical Price</stp>
        <tr r="W1817" s="5"/>
      </tp>
      <tp t="s">
        <v/>
        <stp/>
        <stp>TDL 4!-IEU</stp>
        <stp>ICE Theoretical Price</stp>
        <tr r="W1816" s="5"/>
      </tp>
      <tp t="s">
        <v/>
        <stp/>
        <stp>TDL 7!-IEU</stp>
        <stp>ICE Theoretical Price</stp>
        <tr r="W1819" s="5"/>
      </tp>
      <tp t="s">
        <v/>
        <stp/>
        <stp>TDL 6!-IEU</stp>
        <stp>ICE Theoretical Price</stp>
        <tr r="W1818" s="5"/>
      </tp>
      <tp t="s">
        <v/>
        <stp/>
        <stp>TDL 1!-IEU</stp>
        <stp>ICE Theoretical Price</stp>
        <tr r="W1813" s="5"/>
      </tp>
      <tp t="s">
        <v/>
        <stp/>
        <stp>TDL 3!-IEU</stp>
        <stp>ICE Theoretical Price</stp>
        <tr r="W1815" s="5"/>
      </tp>
      <tp t="s">
        <v/>
        <stp/>
        <stp>TDL 2!-IEU</stp>
        <stp>ICE Theoretical Price</stp>
        <tr r="W1814" s="5"/>
      </tp>
    </main>
    <main first="ice.rtd">
      <tp t="s">
        <v>Oct27</v>
        <stp/>
        <stp>1581618115M13:Strip</stp>
        <tr r="E472" s="5"/>
      </tp>
      <tp t="s">
        <v/>
        <stp/>
        <stp>32613992M22:LstPrc</stp>
        <tr r="I1247" s="5"/>
      </tp>
      <tp t="s">
        <v/>
        <stp/>
        <stp>32613992M23:LstPrc</stp>
        <tr r="I1248" s="5"/>
      </tp>
      <tp t="s">
        <v/>
        <stp/>
        <stp>32613992M20:LstPrc</stp>
        <tr r="I1245" s="5"/>
      </tp>
      <tp t="s">
        <v/>
        <stp/>
        <stp>32613992M21:LstPrc</stp>
        <tr r="I1246" s="5"/>
      </tp>
      <tp t="s">
        <v/>
        <stp/>
        <stp>32613992M24:LstPrc</stp>
        <tr r="I1249" s="5"/>
      </tp>
      <tp t="s">
        <v/>
        <stp/>
        <stp>32613992M12:LstPrc</stp>
        <tr r="I1237" s="5"/>
      </tp>
      <tp t="s">
        <v/>
        <stp/>
        <stp>32613992M13:LstPrc</stp>
        <tr r="I1238" s="5"/>
      </tp>
      <tp t="s">
        <v/>
        <stp/>
        <stp>32613992M10:LstPrc</stp>
        <tr r="I1235" s="5"/>
      </tp>
      <tp t="s">
        <v/>
        <stp/>
        <stp>32613992M11:LstPrc</stp>
        <tr r="I1236" s="5"/>
      </tp>
      <tp t="s">
        <v/>
        <stp/>
        <stp>32613992M16:LstPrc</stp>
        <tr r="I1241" s="5"/>
      </tp>
      <tp t="s">
        <v/>
        <stp/>
        <stp>32613992M17:LstPrc</stp>
        <tr r="I1242" s="5"/>
      </tp>
      <tp t="s">
        <v/>
        <stp/>
        <stp>32613992M14:LstPrc</stp>
        <tr r="I1239" s="5"/>
      </tp>
      <tp t="s">
        <v/>
        <stp/>
        <stp>32613992M15:LstPrc</stp>
        <tr r="I1240" s="5"/>
      </tp>
      <tp t="s">
        <v/>
        <stp/>
        <stp>32613992M18:LstPrc</stp>
        <tr r="I1243" s="5"/>
      </tp>
      <tp t="s">
        <v/>
        <stp/>
        <stp>32613992M19:LstPrc</stp>
        <tr r="I1244" s="5"/>
      </tp>
      <tp t="s">
        <v>Apr27</v>
        <stp/>
        <stp>266M7:Strip</stp>
        <tr r="E928" s="5"/>
      </tp>
      <tp t="s">
        <v>Q3 28</v>
        <stp/>
        <stp>266Q7:Strip</stp>
        <tr r="E953" s="5"/>
      </tp>
    </main>
    <main first="esrtd">
      <tp t="s">
        <v/>
        <stp/>
        <stp>TDL 9!-IEU</stp>
        <stp>Block Volume</stp>
        <tr r="O1821" s="5"/>
      </tp>
      <tp t="s">
        <v/>
        <stp/>
        <stp>WDF 8!-IEU</stp>
        <stp>ICE Theoretical Price</stp>
        <tr r="W1785" s="5"/>
      </tp>
      <tp t="s">
        <v/>
        <stp/>
        <stp>WDF 9!-IEU</stp>
        <stp>ICE Theoretical Price</stp>
        <tr r="W1786" s="5"/>
      </tp>
      <tp t="s">
        <v/>
        <stp/>
        <stp>WDF 6!-IEU</stp>
        <stp>ICE Theoretical Price</stp>
        <tr r="W1783" s="5"/>
      </tp>
      <tp t="s">
        <v/>
        <stp/>
        <stp>WDF 7!-IEU</stp>
        <stp>ICE Theoretical Price</stp>
        <tr r="W1784" s="5"/>
      </tp>
      <tp t="s">
        <v/>
        <stp/>
        <stp>WDF 4!-IEU</stp>
        <stp>ICE Theoretical Price</stp>
        <tr r="W1781" s="5"/>
      </tp>
      <tp t="s">
        <v/>
        <stp/>
        <stp>WDF 5!-IEU</stp>
        <stp>ICE Theoretical Price</stp>
        <tr r="W1782" s="5"/>
      </tp>
      <tp t="s">
        <v/>
        <stp/>
        <stp>WDF 2!-IEU</stp>
        <stp>ICE Theoretical Price</stp>
        <tr r="W1779" s="5"/>
      </tp>
      <tp t="s">
        <v/>
        <stp/>
        <stp>WDF 3!-IEU</stp>
        <stp>ICE Theoretical Price</stp>
        <tr r="W1780" s="5"/>
      </tp>
      <tp t="s">
        <v/>
        <stp/>
        <stp>WDF 1!-IEU</stp>
        <stp>ICE Theoretical Price</stp>
        <tr r="W1778" s="5"/>
      </tp>
    </main>
    <main first="ice.rtd">
      <tp t="s">
        <v>Nov27</v>
        <stp/>
        <stp>3124331018M14:Strip</stp>
        <tr r="E1619" s="5"/>
      </tp>
      <tp t="s">
        <v>Oct27</v>
        <stp/>
        <stp>1923422331M13:Strip</stp>
        <tr r="E1640" s="5"/>
      </tp>
      <tp t="s">
        <v>Mar28</v>
        <stp/>
        <stp>2755828679M18:Strip</stp>
        <tr r="E1015" s="5"/>
      </tp>
      <tp t="s">
        <v>Feb28</v>
        <stp/>
        <stp>2755728678M17:Strip</stp>
        <tr r="E1128" s="5"/>
      </tp>
    </main>
    <main first="bofaddin.rtdserver">
      <tp t="s">
        <v>#N/A Invalid Security</v>
        <stp/>
        <stp>BDP|7110769184192965531|222</stp>
        <stp>SCPX27 Comdty</stp>
        <stp>BID</stp>
        <stp>Fill=#N/A</stp>
        <tr r="M33" s="1"/>
      </tp>
    </main>
    <main first="ice.rtd">
      <tp>
        <v>0</v>
        <stp/>
        <stp>41767893M18:BlkVol</stp>
        <tr r="O498" s="5"/>
      </tp>
      <tp>
        <v>0</v>
        <stp/>
        <stp>41767893M19:BlkVol</stp>
        <tr r="O499" s="5"/>
      </tp>
      <tp>
        <v>0</v>
        <stp/>
        <stp>41767893M14:BlkVol</stp>
        <tr r="O494" s="5"/>
      </tp>
      <tp>
        <v>0</v>
        <stp/>
        <stp>41767893M15:BlkVol</stp>
        <tr r="O495" s="5"/>
      </tp>
      <tp>
        <v>0</v>
        <stp/>
        <stp>41767893M16:BlkVol</stp>
        <tr r="O496" s="5"/>
      </tp>
      <tp>
        <v>0</v>
        <stp/>
        <stp>41767893M17:BlkVol</stp>
        <tr r="O497" s="5"/>
      </tp>
      <tp>
        <v>0</v>
        <stp/>
        <stp>41767893M10:BlkVol</stp>
        <tr r="O490" s="5"/>
      </tp>
      <tp>
        <v>0</v>
        <stp/>
        <stp>41767893M11:BlkVol</stp>
        <tr r="O491" s="5"/>
      </tp>
      <tp>
        <v>0</v>
        <stp/>
        <stp>41767893M12:BlkVol</stp>
        <tr r="O492" s="5"/>
      </tp>
      <tp>
        <v>0</v>
        <stp/>
        <stp>41767893M13:BlkVol</stp>
        <tr r="O493" s="5"/>
      </tp>
      <tp>
        <v>0</v>
        <stp/>
        <stp>41767893M24:BlkVol</stp>
        <tr r="O504" s="5"/>
      </tp>
      <tp>
        <v>0</v>
        <stp/>
        <stp>41767893M20:BlkVol</stp>
        <tr r="O500" s="5"/>
      </tp>
      <tp>
        <v>0</v>
        <stp/>
        <stp>41767893M21:BlkVol</stp>
        <tr r="O501" s="5"/>
      </tp>
      <tp>
        <v>0</v>
        <stp/>
        <stp>41767893M22:BlkVol</stp>
        <tr r="O502" s="5"/>
      </tp>
      <tp>
        <v>0</v>
        <stp/>
        <stp>41767893M23:BlkVol</stp>
        <tr r="O503" s="5"/>
      </tp>
    </main>
    <main first="bofaddin.rtdserver">
      <tp t="s">
        <v>#N/A Invalid Security</v>
        <stp/>
        <stp>BDP|5463302974199876855|222</stp>
        <stp>SCPV27 Comdty</stp>
        <stp>ASK</stp>
        <stp>Fill=#N/A</stp>
        <tr r="M32" s="1"/>
      </tp>
      <tp>
        <v>652.5</v>
        <stp/>
        <stp>BDP|4439632504233110106|222</stp>
        <stp>SCPX26 Comdty</stp>
        <stp>ASK</stp>
        <stp>Fill=#N/A</stp>
        <tr r="M21" s="1"/>
      </tp>
      <tp>
        <v>850.25</v>
        <stp/>
        <stp>BDP|1306453530746265123|222</stp>
        <stp>QSK8 Comdty</stp>
        <stp>BID</stp>
        <stp>Fill=#N/A</stp>
        <tr r="H39" s="1"/>
      </tp>
      <tp>
        <v>88.57</v>
        <stp/>
        <stp>BDP|7618987544812152487|222</stp>
        <stp>COF7 Comdty</stp>
        <stp>BID</stp>
        <stp>Fill=#N/A</stp>
        <tr r="G23" s="1"/>
      </tp>
    </main>
    <main first="ice.rtd">
      <tp>
        <v>0</v>
        <stp/>
        <stp>2324625607B0:Vol</stp>
        <tr r="N192" s="5"/>
      </tp>
    </main>
    <main first="bofaddin.rtdserver">
      <tp>
        <v>82.32</v>
        <stp/>
        <stp>BDP|2274468328895597082|222</stp>
        <stp>CLF7 Comdty</stp>
        <stp>BID</stp>
        <stp>Fill=#N/A</stp>
        <tr r="F23" s="1"/>
      </tp>
      <tp t="s">
        <v>#N/A Invalid Security</v>
        <stp/>
        <stp>BDP|8022083297075450749|222</stp>
        <stp>CLH9 Comdty</stp>
        <stp>ASK</stp>
        <stp>Fill=#N/A</stp>
        <tr r="F49" s="1"/>
      </tp>
      <tp>
        <v>402.44</v>
        <stp/>
        <stp>BDP|8015536279897677655|222</stp>
        <stp>HOG7 Comdty</stp>
        <stp>BID</stp>
        <stp>Fill=#N/A</stp>
        <tr r="I24" s="1"/>
      </tp>
      <tp t="s">
        <v>#N/A Invalid Security</v>
        <stp/>
        <stp>BDP|8950717602501238604|222</stp>
        <stp>CLJ0 Comdty</stp>
        <stp>BID</stp>
        <stp>Fill=#N/A</stp>
        <tr r="F62" s="1"/>
      </tp>
    </main>
    <main first="ice.rtd">
      <tp>
        <v>2258</v>
        <stp/>
        <stp>DBJ29446BM0:BlkVol</stp>
        <tr r="O1647" s="5"/>
      </tp>
    </main>
    <main first="bofaddin.rtdserver">
      <tp t="s">
        <v>#N/A Invalid Security</v>
        <stp/>
        <stp>BDP|3071573665341210651|222</stp>
        <stp>CLM0 Comdty</stp>
        <stp>BID</stp>
        <stp>Fill=#N/A</stp>
        <tr r="F64" s="1"/>
      </tp>
    </main>
    <main first="ice.rtd">
      <tp>
        <v>0</v>
        <stp/>
        <stp>2180224575B0:Vol</stp>
        <tr r="N1224" s="5"/>
      </tp>
      <tp>
        <v>0</v>
        <stp/>
        <stp>2185324625B0:Vol</stp>
        <tr r="N78" s="5"/>
      </tp>
      <tp>
        <v>-7.3</v>
        <stp/>
        <stp>2044823525M9:Settle</stp>
        <tr r="U1756" s="5"/>
      </tp>
      <tp>
        <v>-6.9</v>
        <stp/>
        <stp>2044823525M8:Settle</stp>
        <tr r="U1755" s="5"/>
      </tp>
      <tp>
        <v>-8.3000000000000007</v>
        <stp/>
        <stp>2044823525M5:Settle</stp>
        <tr r="U1752" s="5"/>
      </tp>
      <tp>
        <v>-8.0500000000000007</v>
        <stp/>
        <stp>2044823525M4:Settle</stp>
        <tr r="U1751" s="5"/>
      </tp>
      <tp>
        <v>-7.3500000000000005</v>
        <stp/>
        <stp>2044823525M7:Settle</stp>
        <tr r="U1754" s="5"/>
      </tp>
      <tp>
        <v>-7.8</v>
        <stp/>
        <stp>2044823525M6:Settle</stp>
        <tr r="U1753" s="5"/>
      </tp>
      <tp>
        <v>-7.6000000000000005</v>
        <stp/>
        <stp>2044823525M1:Settle</stp>
        <tr r="U1748" s="5"/>
      </tp>
      <tp>
        <v>-7.8520000000000003</v>
        <stp/>
        <stp>2044823525M0:Settle</stp>
        <tr r="U1747" s="5"/>
      </tp>
      <tp>
        <v>-7.8500000000000005</v>
        <stp/>
        <stp>2044823525M3:Settle</stp>
        <tr r="U1750" s="5"/>
      </tp>
      <tp>
        <v>-7.7</v>
        <stp/>
        <stp>2044823525M2:Settle</stp>
        <tr r="U1749" s="5"/>
      </tp>
      <tp>
        <v>-7.8420000000000005</v>
        <stp/>
        <stp>2044823525Y0:Settle</stp>
        <tr r="U1777" s="5"/>
      </tp>
      <tp t="s">
        <v>Invalid Market: 2044823525Q5</v>
        <stp/>
        <stp>2044823525Q5:Settle</stp>
        <tr r="U1775" s="5"/>
      </tp>
      <tp>
        <v>-8.1999999999999993</v>
        <stp/>
        <stp>2044823525Q4:Settle</stp>
        <tr r="U1774" s="5"/>
      </tp>
      <tp t="s">
        <v>Invalid Market: 2044823525Q6</v>
        <stp/>
        <stp>2044823525Q6:Settle</stp>
        <tr r="U1776" s="5"/>
      </tp>
      <tp>
        <v>-8.0670000000000002</v>
        <stp/>
        <stp>2044823525Q1:Settle</stp>
        <tr r="U1771" s="5"/>
      </tp>
      <tp>
        <v>-7.7170000000000005</v>
        <stp/>
        <stp>2044823525Q0:Settle</stp>
        <tr r="U1770" s="5"/>
      </tp>
      <tp>
        <v>-7.75</v>
        <stp/>
        <stp>2044823525Q3:Settle</stp>
        <tr r="U1773" s="5"/>
      </tp>
      <tp>
        <v>-7.3500000000000005</v>
        <stp/>
        <stp>2044823525Q2:Settle</stp>
        <tr r="U1772" s="5"/>
      </tp>
    </main>
    <main first="bofaddin.rtdserver">
      <tp>
        <v>161.56</v>
        <stp/>
        <stp>BDP|6479339835718138206|222</stp>
        <stp>XBF9 Comdty</stp>
        <stp>BID</stp>
        <stp>Fill=#N/A</stp>
        <tr r="J47" s="1"/>
      </tp>
    </main>
    <main first="ice.rtd">
      <tp>
        <v>8.5140000000000011</v>
        <stp/>
        <stp>2323325594B0:Settle</stp>
        <tr r="U958" s="5"/>
      </tp>
    </main>
    <main first="bofaddin.rtdserver">
      <tp t="s">
        <v>#N/A</v>
        <stp/>
        <stp>BDP|8570499640794930674|222</stp>
        <stp>XBK9 Comdty</stp>
        <stp>ASK</stp>
        <stp>Fill=#N/A</stp>
        <tr r="J51" s="1"/>
      </tp>
      <tp t="s">
        <v>#N/A Invalid Security</v>
        <stp/>
        <stp>BDP|5227976938385770708|222</stp>
        <stp>XBM0 Comdty</stp>
        <stp>ASK</stp>
        <stp>Fill=#N/A</stp>
        <tr r="J64" s="1"/>
      </tp>
      <tp>
        <v>1031.25</v>
        <stp/>
        <stp>BDP|6335436010735327001|222</stp>
        <stp>QSK7 Comdty</stp>
        <stp>BID</stp>
        <stp>Fill=#N/A</stp>
        <tr r="H27" s="1"/>
      </tp>
      <tp>
        <v>76.650000000000006</v>
        <stp/>
        <stp>BDP|3371226551448832039|222</stp>
        <stp>CLJ7 Comdty</stp>
        <stp>ASK</stp>
        <stp>Fill=#N/A</stp>
        <tr r="F26" s="1"/>
      </tp>
      <tp>
        <v>75.489999999999995</v>
        <stp/>
        <stp>BDP|8554280481165425008|222</stp>
        <stp>CLK7 Comdty</stp>
        <stp>ASK</stp>
        <stp>Fill=#N/A</stp>
        <tr r="F27" s="1"/>
      </tp>
      <tp>
        <v>830.75</v>
        <stp/>
        <stp>BDP|4826651062885443072|222</stp>
        <stp>QSH9 Comdty</stp>
        <stp>ASK</stp>
        <stp>Fill=#N/A</stp>
        <tr r="H49" s="1"/>
      </tp>
    </main>
    <main first="ice.rtd">
      <tp t="s">
        <v>Oct26/Oct27</v>
        <stp/>
        <stp>161913535MM21:Strip</stp>
        <tr r="E2048" s="5"/>
      </tp>
      <tp t="s">
        <v>Sep26/Aug28</v>
        <stp/>
        <stp>161913535MM11:Strip</stp>
        <tr r="E2038" s="5"/>
      </tp>
      <tp t="s">
        <v>EGE</v>
        <stp/>
        <stp>2181024583B0:PCC</stp>
        <tr r="B1990" s="5"/>
      </tp>
      <tp t="s">
        <v>GSS</v>
        <stp/>
        <stp>2183024603B0:PCC</stp>
        <tr r="B1625" s="5"/>
      </tp>
    </main>
    <main first="esrtd">
      <tp t="s">
        <v/>
        <stp/>
        <stp>TDL 8!-IEU</stp>
        <stp>Volume</stp>
        <tr r="N1820" s="5"/>
      </tp>
      <tp t="s">
        <v/>
        <stp/>
        <stp>TDL 9!-IEU</stp>
        <stp>Volume</stp>
        <tr r="N1821" s="5"/>
      </tp>
      <tp t="s">
        <v/>
        <stp/>
        <stp>TDL 2!-IEU</stp>
        <stp>Volume</stp>
        <tr r="N1814" s="5"/>
      </tp>
      <tp t="s">
        <v/>
        <stp/>
        <stp>TDL 3!-IEU</stp>
        <stp>Volume</stp>
        <tr r="N1815" s="5"/>
      </tp>
      <tp t="s">
        <v/>
        <stp/>
        <stp>TDL 1!-IEU</stp>
        <stp>Volume</stp>
        <tr r="N1813" s="5"/>
      </tp>
      <tp t="s">
        <v/>
        <stp/>
        <stp>TDL 6!-IEU</stp>
        <stp>Volume</stp>
        <tr r="N1818" s="5"/>
      </tp>
      <tp t="s">
        <v/>
        <stp/>
        <stp>TDL 7!-IEU</stp>
        <stp>Volume</stp>
        <tr r="N1819" s="5"/>
      </tp>
      <tp t="s">
        <v/>
        <stp/>
        <stp>TDL 4!-IEU</stp>
        <stp>Volume</stp>
        <tr r="N1816" s="5"/>
      </tp>
      <tp t="s">
        <v/>
        <stp/>
        <stp>TDL 5!-IEU</stp>
        <stp>Volume</stp>
        <tr r="N1817" s="5"/>
      </tp>
    </main>
    <main first="ice.rtd">
      <tp t="s">
        <v>FQZ</v>
        <stp/>
        <stp>2505226937B0:PCC</stp>
        <tr r="B768" s="5"/>
      </tp>
    </main>
    <main first="bofaddin.rtdserver">
      <tp t="s">
        <v>02/09/2026 11:09:53</v>
        <stp/>
        <stp>BDP|5102703774777509699|22</stp>
        <stp>CO2 Comdty</stp>
        <stp>ASK_UPDATE_STAMP_RT</stp>
        <tr r="B4" s="7"/>
      </tp>
    </main>
    <main first="ice.rtd">
      <tp t="s">
        <v/>
        <stp/>
        <stp>DBI1227MM2:LstBlkVol</stp>
        <tr r="L1653" s="5"/>
      </tp>
    </main>
    <main first="bofaddin.rtdserver">
      <tp t="s">
        <v>#N/A N/A</v>
        <stp/>
        <stp>BDH|488428036711861253</stp>
        <tr r="I39" s="16"/>
      </tp>
      <tp t="s">
        <v>#N/A N/A</v>
        <stp/>
        <stp>BDH|218175312365872172</stp>
        <tr r="G87" s="16"/>
      </tp>
      <tp t="s">
        <v>#N/A N/A</v>
        <stp/>
        <stp>BDH|791298826365111122</stp>
        <tr r="AX30" s="1"/>
      </tp>
    </main>
    <main first="ice.rtd">
      <tp t="s">
        <v>Nov26</v>
        <stp/>
        <stp>266419M2:Strip</stp>
        <tr r="E961" s="5"/>
      </tp>
      <tp t="s">
        <v>Cal 29</v>
        <stp/>
        <stp>266419Y2:Strip</stp>
        <tr r="E995" s="5"/>
      </tp>
      <tp t="s">
        <v>Q2 27</v>
        <stp/>
        <stp>266419Q2:Strip</stp>
        <tr r="E986" s="5"/>
      </tp>
      <tp t="s">
        <v>Dec26</v>
        <stp/>
        <stp>141587M3:Strip</stp>
        <tr r="E44" s="5"/>
      </tp>
      <tp t="s">
        <v>Q3 27</v>
        <stp/>
        <stp>141587Q3:Strip</stp>
        <tr r="E69" s="5"/>
      </tp>
      <tp t="s">
        <v>Feb28</v>
        <stp/>
        <stp>34404098M17:Strip</stp>
        <tr r="E611" s="5"/>
      </tp>
      <tp t="s">
        <v>Feb28</v>
        <stp/>
        <stp>34414099M17:Strip</stp>
        <tr r="E96" s="5"/>
      </tp>
      <tp t="s">
        <v>Sep28</v>
        <stp/>
        <stp>30793693M24:Strip</stp>
        <tr r="E907" s="5"/>
      </tp>
      <tp t="s">
        <v>Nov27</v>
        <stp/>
        <stp>30793693M14:Strip</stp>
        <tr r="E897" s="5"/>
      </tp>
      <tp t="s">
        <v/>
        <stp/>
        <stp>DBI1227MM4:BstHitPrc</stp>
        <tr r="G1655" s="5"/>
      </tp>
      <tp t="s">
        <v>Nov27</v>
        <stp/>
        <stp>41787896M14:Strip</stp>
        <tr r="E821" s="5"/>
      </tp>
      <tp t="s">
        <v>Sep28</v>
        <stp/>
        <stp>41787896M24:Strip</stp>
        <tr r="E831" s="5"/>
      </tp>
      <tp t="s">
        <v>Sep26/Jan27</v>
        <stp/>
        <stp>15061297MM3:Strip</stp>
        <tr r="E1686" s="5"/>
      </tp>
      <tp t="s">
        <v>Dec27</v>
        <stp/>
        <stp>32623993M15:Strip</stp>
        <tr r="E2005" s="5"/>
      </tp>
    </main>
    <main first="esrtd">
      <tp t="s">
        <v/>
        <stp/>
        <stp>Invalid Market: CALCM18 H28-IEU</stp>
        <stp>ICE Theoretical Price</stp>
        <tr r="W1091" s="5"/>
        <tr r="W401" s="5"/>
        <tr r="W1357" s="5"/>
        <tr r="W863" s="5"/>
        <tr r="W1205" s="5"/>
        <tr r="W287" s="5"/>
      </tp>
    </main>
    <main first="ice.rtd">
      <tp t="s">
        <v>Mar28</v>
        <stp/>
        <stp>16331513M18:Strip</stp>
        <tr r="E1433" s="5"/>
      </tp>
      <tp t="s">
        <v>Mar28</v>
        <stp/>
        <stp>16341514M18:Strip</stp>
        <tr r="E1471" s="5"/>
      </tp>
      <tp t="s">
        <v>Mar28</v>
        <stp/>
        <stp>16351515M18:Strip</stp>
        <tr r="E1509" s="5"/>
      </tp>
      <tp t="s">
        <v>Dec27</v>
        <stp/>
        <stp>32613992M15:Strip</stp>
        <tr r="E1240" s="5"/>
      </tp>
      <tp t="s">
        <v>Jul27</v>
        <stp/>
        <stp>34364094M10:Strip</stp>
        <tr r="E528" s="5"/>
      </tp>
      <tp t="s">
        <v>Jul27</v>
        <stp/>
        <stp>34374095M10:Strip</stp>
        <tr r="E566" s="5"/>
      </tp>
      <tp t="s">
        <v>May28</v>
        <stp/>
        <stp>34364094M20:Strip</stp>
        <tr r="E538" s="5"/>
      </tp>
      <tp t="s">
        <v>May28</v>
        <stp/>
        <stp>34374095M20:Strip</stp>
        <tr r="E576" s="5"/>
      </tp>
      <tp t="s">
        <v>Nov27</v>
        <stp/>
        <stp>41767893M14:Strip</stp>
        <tr r="E494" s="5"/>
      </tp>
      <tp t="s">
        <v>Sep28</v>
        <stp/>
        <stp>41767893M24:Strip</stp>
        <tr r="E504" s="5"/>
      </tp>
      <tp t="s">
        <v/>
        <stp/>
        <stp>DBI1227MM4:LstBlkPrc</stp>
        <tr r="K1655" s="5"/>
      </tp>
      <tp t="s">
        <v>Invalid Market: 57179020M19</v>
        <stp/>
        <stp>57179020M19:Strip</stp>
        <tr r="E1566" s="5"/>
      </tp>
      <tp t="s">
        <v>Jul27</v>
        <stp/>
        <stp>34344092M10:Strip</stp>
        <tr r="E1273" s="5"/>
      </tp>
      <tp t="s">
        <v>Jul27</v>
        <stp/>
        <stp>34354093M10:Strip</stp>
        <tr r="E1311" s="5"/>
      </tp>
      <tp t="s">
        <v>May28</v>
        <stp/>
        <stp>34344092M20:Strip</stp>
        <tr r="E1283" s="5"/>
      </tp>
      <tp t="s">
        <v>May28</v>
        <stp/>
        <stp>34354093M20:Strip</stp>
        <tr r="E1321" s="5"/>
      </tp>
      <tp t="s">
        <v/>
        <stp/>
        <stp>34364094M17:LstPrc</stp>
        <tr r="I535" s="5"/>
      </tp>
      <tp t="s">
        <v/>
        <stp/>
        <stp>34374095M17:LstPrc</stp>
        <tr r="I573" s="5"/>
      </tp>
      <tp t="s">
        <v/>
        <stp/>
        <stp>34364094M16:LstPrc</stp>
        <tr r="I534" s="5"/>
      </tp>
      <tp t="s">
        <v/>
        <stp/>
        <stp>34374095M16:LstPrc</stp>
        <tr r="I572" s="5"/>
      </tp>
      <tp t="s">
        <v/>
        <stp/>
        <stp>34364094M15:LstPrc</stp>
        <tr r="I533" s="5"/>
      </tp>
      <tp t="s">
        <v/>
        <stp/>
        <stp>34374095M15:LstPrc</stp>
        <tr r="I571" s="5"/>
      </tp>
      <tp t="s">
        <v/>
        <stp/>
        <stp>34364094M14:LstPrc</stp>
        <tr r="I532" s="5"/>
      </tp>
      <tp t="s">
        <v/>
        <stp/>
        <stp>34374095M14:LstPrc</stp>
        <tr r="I570" s="5"/>
      </tp>
      <tp t="s">
        <v/>
        <stp/>
        <stp>34364094M13:LstPrc</stp>
        <tr r="I531" s="5"/>
      </tp>
      <tp t="s">
        <v/>
        <stp/>
        <stp>34374095M13:LstPrc</stp>
        <tr r="I569" s="5"/>
      </tp>
      <tp t="s">
        <v/>
        <stp/>
        <stp>34364094M12:LstPrc</stp>
        <tr r="I530" s="5"/>
      </tp>
      <tp t="s">
        <v/>
        <stp/>
        <stp>34374095M12:LstPrc</stp>
        <tr r="I568" s="5"/>
      </tp>
      <tp t="s">
        <v/>
        <stp/>
        <stp>34364094M11:LstPrc</stp>
        <tr r="I529" s="5"/>
      </tp>
      <tp t="s">
        <v/>
        <stp/>
        <stp>34374095M11:LstPrc</stp>
        <tr r="I567" s="5"/>
      </tp>
      <tp t="s">
        <v/>
        <stp/>
        <stp>34364094M10:LstPrc</stp>
        <tr r="I528" s="5"/>
      </tp>
      <tp t="s">
        <v/>
        <stp/>
        <stp>34374095M10:LstPrc</stp>
        <tr r="I566" s="5"/>
      </tp>
      <tp t="s">
        <v/>
        <stp/>
        <stp>34364094M19:LstPrc</stp>
        <tr r="I537" s="5"/>
      </tp>
      <tp t="s">
        <v/>
        <stp/>
        <stp>34374095M19:LstPrc</stp>
        <tr r="I575" s="5"/>
      </tp>
      <tp t="s">
        <v/>
        <stp/>
        <stp>34364094M18:LstPrc</stp>
        <tr r="I536" s="5"/>
      </tp>
      <tp t="s">
        <v/>
        <stp/>
        <stp>34374095M18:LstPrc</stp>
        <tr r="I574" s="5"/>
      </tp>
      <tp t="s">
        <v/>
        <stp/>
        <stp>34364094M24:LstPrc</stp>
        <tr r="I542" s="5"/>
      </tp>
      <tp t="s">
        <v/>
        <stp/>
        <stp>34374095M24:LstPrc</stp>
        <tr r="I580" s="5"/>
      </tp>
      <tp t="s">
        <v/>
        <stp/>
        <stp>34364094M23:LstPrc</stp>
        <tr r="I541" s="5"/>
      </tp>
      <tp t="s">
        <v/>
        <stp/>
        <stp>34374095M23:LstPrc</stp>
        <tr r="I579" s="5"/>
      </tp>
      <tp t="s">
        <v/>
        <stp/>
        <stp>34364094M22:LstPrc</stp>
        <tr r="I540" s="5"/>
      </tp>
      <tp t="s">
        <v/>
        <stp/>
        <stp>34374095M22:LstPrc</stp>
        <tr r="I578" s="5"/>
      </tp>
      <tp t="s">
        <v/>
        <stp/>
        <stp>34364094M21:LstPrc</stp>
        <tr r="I539" s="5"/>
      </tp>
      <tp t="s">
        <v/>
        <stp/>
        <stp>34374095M21:LstPrc</stp>
        <tr r="I577" s="5"/>
      </tp>
      <tp t="s">
        <v/>
        <stp/>
        <stp>34364094M20:LstPrc</stp>
        <tr r="I538" s="5"/>
      </tp>
      <tp t="s">
        <v/>
        <stp/>
        <stp>34374095M20:LstPrc</stp>
        <tr r="I576" s="5"/>
      </tp>
      <tp t="s">
        <v>Sep27</v>
        <stp/>
        <stp>1581618115M12:Strip</stp>
        <tr r="E471" s="5"/>
      </tp>
      <tp t="s">
        <v/>
        <stp/>
        <stp>18871685M24:LstPrc</stp>
        <tr r="I445" s="5"/>
      </tp>
      <tp t="s">
        <v/>
        <stp/>
        <stp>18871685M21:LstPrc</stp>
        <tr r="I442" s="5"/>
      </tp>
      <tp t="s">
        <v/>
        <stp/>
        <stp>18871685M20:LstPrc</stp>
        <tr r="I441" s="5"/>
      </tp>
      <tp t="s">
        <v/>
        <stp/>
        <stp>18871685M23:LstPrc</stp>
        <tr r="I444" s="5"/>
      </tp>
      <tp t="s">
        <v/>
        <stp/>
        <stp>18871685M22:LstPrc</stp>
        <tr r="I443" s="5"/>
      </tp>
      <tp t="s">
        <v/>
        <stp/>
        <stp>18871685M19:LstPrc</stp>
        <tr r="I440" s="5"/>
      </tp>
      <tp t="s">
        <v/>
        <stp/>
        <stp>18871685M18:LstPrc</stp>
        <tr r="I439" s="5"/>
      </tp>
      <tp t="s">
        <v/>
        <stp/>
        <stp>18871685M15:LstPrc</stp>
        <tr r="I436" s="5"/>
      </tp>
      <tp t="s">
        <v/>
        <stp/>
        <stp>18871685M14:LstPrc</stp>
        <tr r="I435" s="5"/>
      </tp>
      <tp t="s">
        <v/>
        <stp/>
        <stp>18871685M17:LstPrc</stp>
        <tr r="I438" s="5"/>
      </tp>
      <tp t="s">
        <v/>
        <stp/>
        <stp>18871685M16:LstPrc</stp>
        <tr r="I437" s="5"/>
      </tp>
      <tp t="s">
        <v/>
        <stp/>
        <stp>18871685M11:LstPrc</stp>
        <tr r="I432" s="5"/>
      </tp>
      <tp t="s">
        <v/>
        <stp/>
        <stp>18871685M10:LstPrc</stp>
        <tr r="I431" s="5"/>
      </tp>
      <tp t="s">
        <v/>
        <stp/>
        <stp>18871685M13:LstPrc</stp>
        <tr r="I434" s="5"/>
      </tp>
      <tp t="s">
        <v/>
        <stp/>
        <stp>18871685M12:LstPrc</stp>
        <tr r="I433" s="5"/>
      </tp>
      <tp t="s">
        <v>Mar27</v>
        <stp/>
        <stp>266M6:Strip</stp>
        <tr r="E927" s="5"/>
      </tp>
      <tp t="s">
        <v>Q2 28</v>
        <stp/>
        <stp>266Q6:Strip</stp>
        <tr r="E952" s="5"/>
      </tp>
    </main>
    <main first="esrtd">
      <tp t="s">
        <v/>
        <stp/>
        <stp>TDL 8!-IEU</stp>
        <stp>Block Volume</stp>
        <tr r="O1820" s="5"/>
      </tp>
    </main>
    <main first="ice.rtd">
      <tp t="s">
        <v>Sep27</v>
        <stp/>
        <stp>1923422331M12:Strip</stp>
        <tr r="E1639" s="5"/>
      </tp>
      <tp t="s">
        <v>Apr28</v>
        <stp/>
        <stp>2755828679M19:Strip</stp>
        <tr r="E1016" s="5"/>
      </tp>
      <tp t="s">
        <v>Jan28</v>
        <stp/>
        <stp>2755728678M16:Strip</stp>
        <tr r="E1127" s="5"/>
      </tp>
    </main>
    <main first="bofaddin.rtdserver">
      <tp t="s">
        <v>#N/A Invalid Security</v>
        <stp/>
        <stp>BDP|4174436612093551332|222</stp>
        <stp>SCPQ29 Comdty</stp>
        <stp>ASK</stp>
        <stp>Fill=#N/A</stp>
        <tr r="M54" s="1"/>
      </tp>
      <tp t="s">
        <v>#N/A</v>
        <stp/>
        <stp>BDP|6301822888866188037|222</stp>
        <stp>SCPH30 Comdty</stp>
        <stp>ASK</stp>
        <stp>Fill=#N/A</stp>
        <tr r="M61" s="1"/>
      </tp>
      <tp t="s">
        <v>#N/A Invalid Security</v>
        <stp/>
        <stp>BDP|5259508064911837906|222</stp>
        <stp>SCPG29 Comdty</stp>
        <stp>BID</stp>
        <stp>Fill=#N/A</stp>
        <tr r="M48" s="1"/>
      </tp>
      <tp>
        <v>516.70000000000005</v>
        <stp/>
        <stp>BDP|1290955594519317615|222</stp>
        <stp>SCPQ27 Comdty</stp>
        <stp>BID</stp>
        <stp>Fill=#N/A</stp>
        <tr r="M30" s="1"/>
      </tp>
    </main>
    <main first="esrtd">
      <tp t="s">
        <v/>
        <stp/>
        <stp>STT B0-IEU</stp>
        <stp>ICE Theoretical Price</stp>
        <tr r="W958" s="5"/>
      </tp>
    </main>
    <main first="ice.rtd">
      <tp>
        <v>6.3742000000000001</v>
        <stp/>
        <stp>2427126288M9:Settle</stp>
        <tr r="U1044" s="5"/>
      </tp>
      <tp>
        <v>6.4916</v>
        <stp/>
        <stp>2427126288M8:Settle</stp>
        <tr r="U1043" s="5"/>
      </tp>
      <tp>
        <v>6.4004000000000003</v>
        <stp/>
        <stp>2427126288M1:Settle</stp>
        <tr r="U1036" s="5"/>
      </tp>
      <tp>
        <v>6.2524000000000006</v>
        <stp/>
        <stp>2427126288M0:Settle</stp>
        <tr r="U1035" s="5"/>
      </tp>
      <tp>
        <v>6.1689000000000007</v>
        <stp/>
        <stp>2427126288M3:Settle</stp>
        <tr r="U1038" s="5"/>
      </tp>
      <tp>
        <v>6.2519</v>
        <stp/>
        <stp>2427126288M2:Settle</stp>
        <tr r="U1037" s="5"/>
      </tp>
      <tp>
        <v>6.4064000000000005</v>
        <stp/>
        <stp>2427126288M5:Settle</stp>
        <tr r="U1040" s="5"/>
      </tp>
      <tp>
        <v>6.2206000000000001</v>
        <stp/>
        <stp>2427126288M4:Settle</stp>
        <tr r="U1039" s="5"/>
      </tp>
      <tp>
        <v>6.4584000000000001</v>
        <stp/>
        <stp>2427126288M7:Settle</stp>
        <tr r="U1042" s="5"/>
      </tp>
      <tp>
        <v>6.4596</v>
        <stp/>
        <stp>2427126288M6:Settle</stp>
        <tr r="U1041" s="5"/>
      </tp>
      <tp>
        <v>4.5841000000000003</v>
        <stp/>
        <stp>2427126288Y1:Settle</stp>
        <tr r="U1070" s="5"/>
      </tp>
      <tp>
        <v>5.9575000000000005</v>
        <stp/>
        <stp>2427126288Y0:Settle</stp>
        <tr r="U1069" s="5"/>
      </tp>
      <tp>
        <v>5.3715999999999999</v>
        <stp/>
        <stp>2427126288Y2:Settle</stp>
        <tr r="U1071" s="5"/>
      </tp>
      <tp>
        <v>4.4485999999999999</v>
        <stp/>
        <stp>2427126288Q8:Settle</stp>
        <tr r="U1068" s="5"/>
      </tp>
      <tp>
        <v>6.3622000000000005</v>
        <stp/>
        <stp>2427126288Q1:Settle</stp>
        <tr r="U1061" s="5"/>
      </tp>
      <tp>
        <v>6.2737000000000007</v>
        <stp/>
        <stp>2427126288Q0:Settle</stp>
        <tr r="U1060" s="5"/>
      </tp>
      <tp>
        <v>5.9469000000000003</v>
        <stp/>
        <stp>2427126288Q3:Settle</stp>
        <tr r="U1063" s="5"/>
      </tp>
      <tp>
        <v>6.4414000000000007</v>
        <stp/>
        <stp>2427126288Q2:Settle</stp>
        <tr r="U1062" s="5"/>
      </tp>
      <tp>
        <v>4.6603000000000003</v>
        <stp/>
        <stp>2427126288Q5:Settle</stp>
        <tr r="U1065" s="5"/>
      </tp>
      <tp>
        <v>5.0794000000000006</v>
        <stp/>
        <stp>2427126288Q4:Settle</stp>
        <tr r="U1064" s="5"/>
      </tp>
      <tp>
        <v>4.5777999999999999</v>
        <stp/>
        <stp>2427126288Q7:Settle</stp>
        <tr r="U1067" s="5"/>
      </tp>
      <tp>
        <v>4.6495000000000006</v>
        <stp/>
        <stp>2427126288Q6:Settle</stp>
        <tr r="U1066" s="5"/>
      </tp>
    </main>
    <main first="bofaddin.rtdserver">
      <tp t="s">
        <v>#N/A</v>
        <stp/>
        <stp>BDP|6100775307122682432|222</stp>
        <stp>HOH9 Comdty</stp>
        <stp>ASK</stp>
        <stp>Fill=#N/A</stp>
        <tr r="I49" s="1"/>
      </tp>
    </main>
    <main first="ice.rtd">
      <tp>
        <v>0</v>
        <stp/>
        <stp>2323325594B0:Vol</stp>
        <tr r="N958" s="5"/>
      </tp>
      <tp>
        <v>0</v>
        <stp/>
        <stp>2325325614B0:Vol</stp>
        <tr r="N517" s="5"/>
      </tp>
      <tp>
        <v>0</v>
        <stp/>
        <stp>2326325624B0:Vol</stp>
        <tr r="N806" s="5"/>
      </tp>
      <tp>
        <v>6.2520000000000007</v>
        <stp/>
        <stp>2888029697B0:Settle</stp>
        <tr r="U996" s="5"/>
      </tp>
    </main>
    <main first="bofaddin.rtdserver">
      <tp t="s">
        <v>#N/A Invalid Security</v>
        <stp/>
        <stp>BDP|9434390775675203474|222</stp>
        <stp>CLH9 Comdty</stp>
        <stp>BID</stp>
        <stp>Fill=#N/A</stp>
        <tr r="F49" s="1"/>
      </tp>
    </main>
    <main first="ice.rtd">
      <tp>
        <v>-4.7</v>
        <stp/>
        <stp>2325825619B0:Settle</stp>
        <tr r="U40" s="5"/>
      </tp>
    </main>
    <main first="bofaddin.rtdserver">
      <tp>
        <v>364.29</v>
        <stp/>
        <stp>BDP|2151819931979614099|222</stp>
        <stp>HOK7 Comdty</stp>
        <stp>ASK</stp>
        <stp>Fill=#N/A</stp>
        <tr r="I27" s="1"/>
      </tp>
    </main>
    <main first="ice.rtd">
      <tp>
        <v>200</v>
        <stp/>
        <stp>2009523367B0:Vol</stp>
        <tr r="N116" s="5"/>
      </tp>
    </main>
    <main first="bofaddin.rtdserver">
      <tp t="s">
        <v>#N/A Invalid Security</v>
        <stp/>
        <stp>BDP|6844343748781660195|222</stp>
        <stp>CLJ9 Comdty</stp>
        <stp>BID</stp>
        <stp>Fill=#N/A</stp>
        <tr r="F50" s="1"/>
      </tp>
      <tp>
        <v>215</v>
        <stp/>
        <stp>BDP|8832442503786351561|222</stp>
        <stp>HOK9 Comdty</stp>
        <stp>BID</stp>
        <stp>Fill=#N/A</stp>
        <tr r="I51" s="1"/>
      </tp>
      <tp t="s">
        <v>#N/A</v>
        <stp/>
        <stp>BDP|3053290798411263777|222</stp>
        <stp>QSF0 Comdty</stp>
        <stp>ASK</stp>
        <stp>Fill=#N/A</stp>
        <tr r="H59" s="1"/>
      </tp>
      <tp t="s">
        <v>#N/A</v>
        <stp/>
        <stp>BDP|7163013818870471132|222</stp>
        <stp>XBN8 Comdty</stp>
        <stp>ASK</stp>
        <stp>Fill=#N/A</stp>
        <tr r="J41" s="1"/>
      </tp>
      <tp>
        <v>1007</v>
        <stp/>
        <stp>BDP|5620244329135233700|222</stp>
        <stp>QSM7 Comdty</stp>
        <stp>BID</stp>
        <stp>Fill=#N/A</stp>
        <tr r="H28" s="1"/>
      </tp>
    </main>
    <main first="ice.rtd">
      <tp t="s">
        <v>Nov26/Dec26</v>
        <stp/>
        <stp>161913535MM22:Strip</stp>
        <tr r="E2049" s="5"/>
      </tp>
      <tp t="s">
        <v>Oct26/Nov26</v>
        <stp/>
        <stp>161913535MM12:Strip</stp>
        <tr r="E2039" s="5"/>
      </tp>
      <tp t="s">
        <v>NBJ</v>
        <stp/>
        <stp>2181724590B0:PCC</stp>
        <tr r="B1414" s="5"/>
      </tp>
    </main>
    <main first="bofaddin.rtdserver">
      <tp t="s">
        <v>02/09/2026 11:09:53</v>
        <stp/>
        <stp>BDP|9572012984822850035|22</stp>
        <stp>CO2 Comdty</stp>
        <stp>BID_UPDATE_STAMP_RT</stp>
        <tr r="B4" s="7"/>
      </tp>
    </main>
    <main first="ice.rtd">
      <tp t="s">
        <v>ULX</v>
        <stp/>
        <stp>2325125612B0:PCC</stp>
        <tr r="B669" s="5"/>
      </tp>
      <tp t="s">
        <v/>
        <stp/>
        <stp>DBI1227QQ1:LstBlkVol</stp>
        <tr r="L1680" s="5"/>
      </tp>
      <tp t="s">
        <v/>
        <stp/>
        <stp>DBI1227MM1:LstBlkVol</stp>
        <tr r="L1652" s="5"/>
      </tp>
    </main>
    <main first="bofaddin.rtdserver">
      <tp t="s">
        <v>#N/A N/A</v>
        <stp/>
        <stp>BDH|908041506434428310</stp>
        <tr r="BC40" s="1"/>
      </tp>
      <tp t="s">
        <v>#N/A N/A</v>
        <stp/>
        <stp>BDH|402304409670113427</stp>
        <tr r="L80" s="16"/>
      </tp>
    </main>
    <main first="ice.rtd">
      <tp t="s">
        <v>Oct26</v>
        <stp/>
        <stp>266419M1:Strip</stp>
        <tr r="E960" s="5"/>
      </tp>
      <tp t="s">
        <v>Cal 28</v>
        <stp/>
        <stp>266419Y1:Strip</stp>
        <tr r="E994" s="5"/>
      </tp>
      <tp t="s">
        <v>Q1 27</v>
        <stp/>
        <stp>266419Q1:Strip</stp>
        <tr r="E985" s="5"/>
      </tp>
    </main>
    <main first="bofaddin.rtdserver">
      <tp t="s">
        <v>#N/A Requesting Data...3308127263</v>
        <stp/>
        <stp>BDP|684601435051357377</stp>
        <tr r="AF193" s="23"/>
      </tp>
      <tp t="s">
        <v>#N/A N/A</v>
        <stp/>
        <stp>BDH|179220933721765777</stp>
        <tr r="C2" s="14"/>
        <tr r="I8" s="14"/>
      </tp>
    </main>
    <main first="ice.rtd">
      <tp t="s">
        <v>Sep26</v>
        <stp/>
        <stp>141587M0:Strip</stp>
        <tr r="E41" s="5"/>
      </tp>
      <tp t="s">
        <v>Cal 27</v>
        <stp/>
        <stp>141587Y0:Strip</stp>
        <tr r="E75" s="5"/>
      </tp>
      <tp t="s">
        <v>Q4 26</v>
        <stp/>
        <stp>141587Q0:Strip</stp>
        <tr r="E66" s="5"/>
      </tp>
      <tp t="s">
        <v>Mar28</v>
        <stp/>
        <stp>15091310M18:Strip</stp>
        <tr r="E1395" s="5"/>
      </tp>
      <tp t="s">
        <v>Nov27</v>
        <stp/>
        <stp>34404098M14:Strip</stp>
        <tr r="E608" s="5"/>
      </tp>
      <tp t="s">
        <v>Nov27</v>
        <stp/>
        <stp>34414099M14:Strip</stp>
        <tr r="E93" s="5"/>
      </tp>
      <tp t="s">
        <v>Sep28</v>
        <stp/>
        <stp>34404098M24:Strip</stp>
        <tr r="E618" s="5"/>
      </tp>
      <tp t="s">
        <v>Sep28</v>
        <stp/>
        <stp>34414099M24:Strip</stp>
        <tr r="E103" s="5"/>
      </tp>
      <tp t="s">
        <v>Feb28</v>
        <stp/>
        <stp>30793693M17:Strip</stp>
        <tr r="E900" s="5"/>
      </tp>
      <tp t="s">
        <v/>
        <stp/>
        <stp>DBI1227MM7:BstHitPrc</stp>
        <tr r="G1658" s="5"/>
      </tp>
      <tp t="s">
        <v>Feb28</v>
        <stp/>
        <stp>41787896M17:Strip</stp>
        <tr r="E824" s="5"/>
      </tp>
      <tp t="s">
        <v>Q4 26/Q1 27</v>
        <stp/>
        <stp>15061297QQ0:Strip</stp>
        <tr r="E1711" s="5"/>
      </tp>
      <tp t="s">
        <v>Cal 27/Cal 28</v>
        <stp/>
        <stp>15061297YY0:Strip</stp>
        <tr r="E1713" s="5"/>
      </tp>
      <tp t="s">
        <v>Sep26/Oct26</v>
        <stp/>
        <stp>15061297MM0:Strip</stp>
        <tr r="E1683" s="5"/>
      </tp>
      <tp t="s">
        <v>Jan28</v>
        <stp/>
        <stp>32623993M16:Strip</stp>
        <tr r="E2006" s="5"/>
      </tp>
    </main>
    <main first="esrtd">
      <tp t="s">
        <v/>
        <stp/>
        <stp>Invalid Market: CALCM14 X27-IEU</stp>
        <stp>ICE Theoretical Price</stp>
        <tr r="W859" s="5"/>
        <tr r="W1201" s="5"/>
        <tr r="W283" s="5"/>
        <tr r="W1087" s="5"/>
        <tr r="W397" s="5"/>
        <tr r="W1353" s="5"/>
      </tp>
    </main>
    <main first="ice.rtd">
      <tp t="s">
        <v>Mar28</v>
        <stp/>
        <stp>30813691M18:Strip</stp>
        <tr r="E1971" s="5"/>
      </tp>
      <tp t="s">
        <v>Mar28</v>
        <stp/>
        <stp>35534143M18:Strip</stp>
        <tr r="E726" s="5"/>
      </tp>
      <tp t="s">
        <v>Mar28</v>
        <stp/>
        <stp>35544144M18:Strip</stp>
        <tr r="E650" s="5"/>
      </tp>
      <tp t="s">
        <v>Mar28</v>
        <stp/>
        <stp>35554145M18:Strip</stp>
        <tr r="E688" s="5"/>
      </tp>
      <tp t="s">
        <v>Jan28</v>
        <stp/>
        <stp>32613992M16:Strip</stp>
        <tr r="E1241" s="5"/>
      </tp>
      <tp t="s">
        <v>Apr28</v>
        <stp/>
        <stp>18871685M19:Strip</stp>
        <tr r="E440" s="5"/>
      </tp>
      <tp t="s">
        <v>Oct27</v>
        <stp/>
        <stp>34364094M13:Strip</stp>
        <tr r="E531" s="5"/>
      </tp>
      <tp t="s">
        <v>Oct27</v>
        <stp/>
        <stp>34374095M13:Strip</stp>
        <tr r="E569" s="5"/>
      </tp>
      <tp t="s">
        <v>Aug28</v>
        <stp/>
        <stp>34364094M23:Strip</stp>
        <tr r="E541" s="5"/>
      </tp>
      <tp t="s">
        <v>Aug28</v>
        <stp/>
        <stp>34374095M23:Strip</stp>
        <tr r="E579" s="5"/>
      </tp>
      <tp t="s">
        <v>Feb28</v>
        <stp/>
        <stp>41767893M17:Strip</stp>
        <tr r="E497" s="5"/>
      </tp>
      <tp t="s">
        <v/>
        <stp/>
        <stp>DBI1227MM7:LstBlkPrc</stp>
        <tr r="K1658" s="5"/>
      </tp>
      <tp t="s">
        <v>Mar28</v>
        <stp/>
        <stp>18901687M18:Strip</stp>
        <tr r="E325" s="5"/>
      </tp>
      <tp t="s">
        <v>Apr28</v>
        <stp/>
        <stp>18851683M19:Strip</stp>
        <tr r="E212" s="5"/>
      </tp>
      <tp t="s">
        <v>Oct27</v>
        <stp/>
        <stp>34344092M13:Strip</stp>
        <tr r="E1276" s="5"/>
      </tp>
      <tp t="s">
        <v>Oct27</v>
        <stp/>
        <stp>34354093M13:Strip</stp>
        <tr r="E1314" s="5"/>
      </tp>
      <tp t="s">
        <v>Aug28</v>
        <stp/>
        <stp>34344092M23:Strip</stp>
        <tr r="E1286" s="5"/>
      </tp>
      <tp t="s">
        <v>Aug28</v>
        <stp/>
        <stp>34354093M23:Strip</stp>
        <tr r="E1324" s="5"/>
      </tp>
      <tp t="s">
        <v>Aug27</v>
        <stp/>
        <stp>1581618115M11:Strip</stp>
        <tr r="E470" s="5"/>
      </tp>
      <tp t="s">
        <v/>
        <stp/>
        <stp>32623993M22:LstPrc</stp>
        <tr r="I2012" s="5"/>
      </tp>
      <tp t="s">
        <v/>
        <stp/>
        <stp>32623993M23:LstPrc</stp>
        <tr r="I2013" s="5"/>
      </tp>
      <tp t="s">
        <v/>
        <stp/>
        <stp>32623993M20:LstPrc</stp>
        <tr r="I2010" s="5"/>
      </tp>
      <tp t="s">
        <v/>
        <stp/>
        <stp>32623993M21:LstPrc</stp>
        <tr r="I2011" s="5"/>
      </tp>
      <tp t="s">
        <v/>
        <stp/>
        <stp>32623993M24:LstPrc</stp>
        <tr r="I2014" s="5"/>
      </tp>
      <tp t="s">
        <v/>
        <stp/>
        <stp>32623993M12:LstPrc</stp>
        <tr r="I2002" s="5"/>
      </tp>
      <tp t="s">
        <v/>
        <stp/>
        <stp>32623993M13:LstPrc</stp>
        <tr r="I2003" s="5"/>
      </tp>
      <tp t="s">
        <v/>
        <stp/>
        <stp>32623993M10:LstPrc</stp>
        <tr r="I2000" s="5"/>
      </tp>
      <tp t="s">
        <v/>
        <stp/>
        <stp>32623993M11:LstPrc</stp>
        <tr r="I2001" s="5"/>
      </tp>
      <tp t="s">
        <v/>
        <stp/>
        <stp>32623993M16:LstPrc</stp>
        <tr r="I2006" s="5"/>
      </tp>
      <tp t="s">
        <v/>
        <stp/>
        <stp>32623993M17:LstPrc</stp>
        <tr r="I2007" s="5"/>
      </tp>
      <tp t="s">
        <v/>
        <stp/>
        <stp>32623993M14:LstPrc</stp>
        <tr r="I2004" s="5"/>
      </tp>
      <tp t="s">
        <v/>
        <stp/>
        <stp>32623993M15:LstPrc</stp>
        <tr r="I2005" s="5"/>
      </tp>
      <tp t="s">
        <v/>
        <stp/>
        <stp>32623993M18:LstPrc</stp>
        <tr r="I2008" s="5"/>
      </tp>
      <tp t="s">
        <v/>
        <stp/>
        <stp>32623993M19:LstPrc</stp>
        <tr r="I2009" s="5"/>
      </tp>
      <tp t="s">
        <v>Feb27</v>
        <stp/>
        <stp>266M5:Strip</stp>
        <tr r="E926" s="5"/>
      </tp>
      <tp t="s">
        <v>Q1 28</v>
        <stp/>
        <stp>266Q5:Strip</stp>
        <tr r="E951" s="5"/>
      </tp>
      <tp t="s">
        <v/>
        <stp/>
        <stp>15061297MM4:LstPrc</stp>
        <tr r="I1687" s="5"/>
      </tp>
      <tp t="s">
        <v/>
        <stp/>
        <stp>15061297MM5:LstPrc</stp>
        <tr r="I1688" s="5"/>
      </tp>
      <tp t="s">
        <v/>
        <stp/>
        <stp>15061297MM6:LstPrc</stp>
        <tr r="I1689" s="5"/>
      </tp>
      <tp t="s">
        <v/>
        <stp/>
        <stp>15061297MM7:LstPrc</stp>
        <tr r="I1690" s="5"/>
      </tp>
      <tp t="s">
        <v/>
        <stp/>
        <stp>15061297MM0:LstPrc</stp>
        <tr r="I1683" s="5"/>
      </tp>
      <tp t="s">
        <v/>
        <stp/>
        <stp>15061297MM1:LstPrc</stp>
        <tr r="I1684" s="5"/>
      </tp>
      <tp t="s">
        <v/>
        <stp/>
        <stp>15061297MM2:LstPrc</stp>
        <tr r="I1685" s="5"/>
      </tp>
      <tp t="s">
        <v/>
        <stp/>
        <stp>15061297MM3:LstPrc</stp>
        <tr r="I1686" s="5"/>
      </tp>
      <tp t="s">
        <v/>
        <stp/>
        <stp>15061297MM8:LstPrc</stp>
        <tr r="I1691" s="5"/>
      </tp>
      <tp t="s">
        <v/>
        <stp/>
        <stp>15061297MM9:LstPrc</stp>
        <tr r="I1692" s="5"/>
      </tp>
    </main>
    <main first="esrtd">
      <tp t="s">
        <v/>
        <stp/>
        <stp>WDF 8!-IEU</stp>
        <stp>Block Volume</stp>
        <tr r="O1785" s="5"/>
      </tp>
    </main>
    <main first="ixl">
      <tp t="s">
        <v/>
        <stp/>
        <stp>*H</stp>
        <stp>DBF U26-IEU</stp>
        <stp>Last</stp>
        <stp>D</stp>
        <stp>02/07/2026 12:00:00</stp>
        <stp/>
        <stp>DP</stp>
        <stp>-1</stp>
        <tr r="A1" s="26"/>
      </tp>
    </main>
    <main first="ice.rtd">
      <tp t="s">
        <v>Aug27</v>
        <stp/>
        <stp>1923422331M11:Strip</stp>
        <tr r="E1638" s="5"/>
      </tp>
    </main>
    <main first="esrtd">
      <tp t="s">
        <v/>
        <stp/>
        <stp>WHK 8!-IEU</stp>
        <stp>Block Volume</stp>
        <tr r="O1925" s="5"/>
      </tp>
    </main>
    <main first="ice.rtd">
      <tp t="s">
        <v>Apr28</v>
        <stp/>
        <stp>1986823075M19:Strip</stp>
        <tr r="E136" s="5"/>
      </tp>
    </main>
    <main first="esrtd">
      <tp t="s">
        <v/>
        <stp/>
        <stp>WMJ 8!-IEU</stp>
        <stp>Block Volume</stp>
        <tr r="O1890" s="5"/>
      </tp>
    </main>
    <main first="ice.rtd">
      <tp t="s">
        <v>Dec27</v>
        <stp/>
        <stp>2755728678M15:Strip</stp>
        <tr r="E1126" s="5"/>
      </tp>
      <tp t="s">
        <v>Mar28</v>
        <stp/>
        <stp>1986923076M18:Strip</stp>
        <tr r="E173" s="5"/>
      </tp>
    </main>
    <main first="esrtd">
      <tp t="s">
        <v/>
        <stp/>
        <stp>WNS 8!-IEU</stp>
        <stp>Block Volume</stp>
        <tr r="O1855" s="5"/>
      </tp>
    </main>
    <main first="bofaddin.rtdserver">
      <tp t="s">
        <v>#N/A</v>
        <stp/>
        <stp>BDP|3987908186735552451|222</stp>
        <stp>SCPM30 Comdty</stp>
        <stp>ASK</stp>
        <stp>Fill=#N/A</stp>
        <tr r="M64" s="1"/>
      </tp>
    </main>
    <main first="ice.rtd">
      <tp t="s">
        <v/>
        <stp/>
        <stp>15061297YY0:LstPrc</stp>
        <tr r="I1713" s="5"/>
      </tp>
    </main>
    <main first="bofaddin.rtdserver">
      <tp t="s">
        <v>#N/A Invalid Security</v>
        <stp/>
        <stp>BDP|4222955331544094728|222</stp>
        <stp>SCPN29 Comdty</stp>
        <stp>BID</stp>
        <stp>Fill=#N/A</stp>
        <tr r="M53" s="1"/>
      </tp>
      <tp t="s">
        <v>#N/A Invalid Security</v>
        <stp/>
        <stp>BDP|7190516844073217840|222</stp>
        <stp>SCPJ29 Comdty</stp>
        <stp>BID</stp>
        <stp>Fill=#N/A</stp>
        <tr r="M50" s="1"/>
      </tp>
    </main>
    <main first="ice.rtd">
      <tp>
        <v>0</v>
        <stp/>
        <stp>18901687M23:BlkVol</stp>
        <tr r="O330" s="5"/>
      </tp>
      <tp>
        <v>0</v>
        <stp/>
        <stp>18901687M22:BlkVol</stp>
        <tr r="O329" s="5"/>
      </tp>
      <tp>
        <v>0</v>
        <stp/>
        <stp>18901687M21:BlkVol</stp>
        <tr r="O328" s="5"/>
      </tp>
      <tp>
        <v>0</v>
        <stp/>
        <stp>18901687M20:BlkVol</stp>
        <tr r="O327" s="5"/>
      </tp>
      <tp>
        <v>0</v>
        <stp/>
        <stp>18901687M24:BlkVol</stp>
        <tr r="O331" s="5"/>
      </tp>
      <tp>
        <v>0</v>
        <stp/>
        <stp>18901687M13:BlkVol</stp>
        <tr r="O320" s="5"/>
      </tp>
      <tp>
        <v>0</v>
        <stp/>
        <stp>18901687M12:BlkVol</stp>
        <tr r="O319" s="5"/>
      </tp>
      <tp>
        <v>0</v>
        <stp/>
        <stp>18901687M11:BlkVol</stp>
        <tr r="O318" s="5"/>
      </tp>
      <tp>
        <v>0</v>
        <stp/>
        <stp>18901687M10:BlkVol</stp>
        <tr r="O317" s="5"/>
      </tp>
      <tp>
        <v>0</v>
        <stp/>
        <stp>18901687M17:BlkVol</stp>
        <tr r="O324" s="5"/>
      </tp>
      <tp>
        <v>0</v>
        <stp/>
        <stp>18901687M16:BlkVol</stp>
        <tr r="O323" s="5"/>
      </tp>
      <tp>
        <v>0</v>
        <stp/>
        <stp>18901687M15:BlkVol</stp>
        <tr r="O322" s="5"/>
      </tp>
      <tp>
        <v>0</v>
        <stp/>
        <stp>18901687M14:BlkVol</stp>
        <tr r="O321" s="5"/>
      </tp>
      <tp>
        <v>0</v>
        <stp/>
        <stp>18901687M19:BlkVol</stp>
        <tr r="O326" s="5"/>
      </tp>
      <tp>
        <v>0</v>
        <stp/>
        <stp>18901687M18:BlkVol</stp>
        <tr r="O325" s="5"/>
      </tp>
      <tp t="s">
        <v/>
        <stp/>
        <stp>15061297QQ0:LstPrc</stp>
        <tr r="I1711" s="5"/>
      </tp>
      <tp t="s">
        <v/>
        <stp/>
        <stp>15061297QQ1:LstPrc</stp>
        <tr r="I1712" s="5"/>
      </tp>
    </main>
    <main first="bofaddin.rtdserver">
      <tp t="s">
        <v>#N/A Invalid Security</v>
        <stp/>
        <stp>BDP|7478290714871207790|222</stp>
        <stp>SCPX27 Comdty</stp>
        <stp>ASK</stp>
        <stp>Fill=#N/A</stp>
        <tr r="M33" s="1"/>
      </tp>
    </main>
    <main first="ice.rtd">
      <tp t="s">
        <v>Invalid Market: 57179020M21</v>
        <stp/>
        <stp>57179020M21:BlkVol</stp>
        <tr r="O1568" s="5"/>
      </tp>
      <tp t="s">
        <v>Invalid Market: 57179020M20</v>
        <stp/>
        <stp>57179020M20:BlkVol</stp>
        <tr r="O1567" s="5"/>
      </tp>
      <tp t="s">
        <v>Invalid Market: 57179020M23</v>
        <stp/>
        <stp>57179020M23:BlkVol</stp>
        <tr r="O1570" s="5"/>
      </tp>
      <tp t="s">
        <v>Invalid Market: 57179020M22</v>
        <stp/>
        <stp>57179020M22:BlkVol</stp>
        <tr r="O1569" s="5"/>
      </tp>
      <tp t="s">
        <v>Invalid Market: 57179020M24</v>
        <stp/>
        <stp>57179020M24:BlkVol</stp>
        <tr r="O1571" s="5"/>
      </tp>
      <tp>
        <v>0</v>
        <stp/>
        <stp>57179020M11:BlkVol</stp>
        <tr r="O1558" s="5"/>
      </tp>
      <tp>
        <v>0</v>
        <stp/>
        <stp>57179020M10:BlkVol</stp>
        <tr r="O1557" s="5"/>
      </tp>
      <tp>
        <v>0</v>
        <stp/>
        <stp>57179020M13:BlkVol</stp>
        <tr r="O1560" s="5"/>
      </tp>
      <tp>
        <v>0</v>
        <stp/>
        <stp>57179020M12:BlkVol</stp>
        <tr r="O1559" s="5"/>
      </tp>
      <tp>
        <v>0</v>
        <stp/>
        <stp>57179020M15:BlkVol</stp>
        <tr r="O1562" s="5"/>
      </tp>
      <tp>
        <v>0</v>
        <stp/>
        <stp>57179020M14:BlkVol</stp>
        <tr r="O1561" s="5"/>
      </tp>
      <tp t="s">
        <v>Invalid Market: 57179020M17</v>
        <stp/>
        <stp>57179020M17:BlkVol</stp>
        <tr r="O1564" s="5"/>
      </tp>
      <tp t="s">
        <v>Invalid Market: 57179020M16</v>
        <stp/>
        <stp>57179020M16:BlkVol</stp>
        <tr r="O1563" s="5"/>
      </tp>
      <tp t="s">
        <v>Invalid Market: 57179020M19</v>
        <stp/>
        <stp>57179020M19:BlkVol</stp>
        <tr r="O1566" s="5"/>
      </tp>
      <tp t="s">
        <v>Invalid Market: 57179020M18</v>
        <stp/>
        <stp>57179020M18:BlkVol</stp>
        <tr r="O1565" s="5"/>
      </tp>
    </main>
    <main first="bofaddin.rtdserver">
      <tp t="s">
        <v>#N/A Invalid Security</v>
        <stp/>
        <stp>BDP|1620202897056448198|222</stp>
        <stp>SCPJ28 Comdty</stp>
        <stp>BID</stp>
        <stp>Fill=#N/A</stp>
        <tr r="M38" s="1"/>
      </tp>
    </main>
    <main first="ice.rtd">
      <tp>
        <v>0</v>
        <stp/>
        <stp>266419M24:BlkVol</stp>
        <tr r="O983" s="5"/>
      </tp>
      <tp>
        <v>0</v>
        <stp/>
        <stp>266419M23:BlkVol</stp>
        <tr r="O982" s="5"/>
      </tp>
      <tp>
        <v>0</v>
        <stp/>
        <stp>266419M22:BlkVol</stp>
        <tr r="O981" s="5"/>
      </tp>
      <tp>
        <v>0</v>
        <stp/>
        <stp>266419M21:BlkVol</stp>
        <tr r="O980" s="5"/>
      </tp>
      <tp>
        <v>0</v>
        <stp/>
        <stp>266419M20:BlkVol</stp>
        <tr r="O979" s="5"/>
      </tp>
      <tp>
        <v>0</v>
        <stp/>
        <stp>266419M19:BlkVol</stp>
        <tr r="O978" s="5"/>
      </tp>
      <tp>
        <v>0</v>
        <stp/>
        <stp>266419M18:BlkVol</stp>
        <tr r="O977" s="5"/>
      </tp>
      <tp>
        <v>0</v>
        <stp/>
        <stp>266419M17:BlkVol</stp>
        <tr r="O976" s="5"/>
      </tp>
      <tp>
        <v>0</v>
        <stp/>
        <stp>266419M16:BlkVol</stp>
        <tr r="O975" s="5"/>
      </tp>
      <tp>
        <v>0</v>
        <stp/>
        <stp>266419M15:BlkVol</stp>
        <tr r="O974" s="5"/>
      </tp>
      <tp>
        <v>0</v>
        <stp/>
        <stp>266419M14:BlkVol</stp>
        <tr r="O973" s="5"/>
      </tp>
      <tp>
        <v>0</v>
        <stp/>
        <stp>266419M13:BlkVol</stp>
        <tr r="O972" s="5"/>
      </tp>
      <tp>
        <v>0</v>
        <stp/>
        <stp>266419M12:BlkVol</stp>
        <tr r="O971" s="5"/>
      </tp>
      <tp>
        <v>0</v>
        <stp/>
        <stp>266419M11:BlkVol</stp>
        <tr r="O970" s="5"/>
      </tp>
      <tp>
        <v>0</v>
        <stp/>
        <stp>266419M10:BlkVol</stp>
        <tr r="O969" s="5"/>
      </tp>
      <tp>
        <v>0</v>
        <stp/>
        <stp>2325425615B0:Vol</stp>
        <tr r="N555" s="5"/>
      </tp>
      <tp>
        <v>0</v>
        <stp/>
        <stp>2326425625B0:Vol</stp>
        <tr r="N1262" s="5"/>
      </tp>
    </main>
    <main first="bofaddin.rtdserver">
      <tp>
        <v>86.06</v>
        <stp/>
        <stp>BDP|1656456295793094422|222</stp>
        <stp>COG7 Comdty</stp>
        <stp>BID</stp>
        <stp>Fill=#N/A</stp>
        <tr r="G24" s="1"/>
      </tp>
      <tp>
        <v>1097</v>
        <stp/>
        <stp>BDP|3682948407086807100|222</stp>
        <stp>QSH7 Comdty</stp>
        <stp>BID</stp>
        <stp>Fill=#N/A</stp>
        <tr r="H25" s="1"/>
      </tp>
      <tp t="s">
        <v>#N/A Invalid Security</v>
        <stp/>
        <stp>BDP|7388610227580905167|222</stp>
        <stp>HOM0 Comdty</stp>
        <stp>ASK</stp>
        <stp>Fill=#N/A</stp>
        <tr r="I64" s="1"/>
      </tp>
    </main>
    <main first="ice.rtd">
      <tp>
        <v>24.464000000000002</v>
        <stp/>
        <stp>2888129698B0:Settle</stp>
        <tr r="U1110" s="5"/>
      </tp>
    </main>
    <main first="bofaddin.rtdserver">
      <tp>
        <v>232.41</v>
        <stp/>
        <stp>BDP|2922620894073853048|222</stp>
        <stp>XBH8 Comdty</stp>
        <stp>ASK</stp>
        <stp>Fill=#N/A</stp>
        <tr r="J37" s="1"/>
      </tp>
      <tp t="s">
        <v>#N/A</v>
        <stp/>
        <stp>BDP|1205674590593695642|222</stp>
        <stp>HOM9 Comdty</stp>
        <stp>ASK</stp>
        <stp>Fill=#N/A</stp>
        <tr r="I52" s="1"/>
      </tp>
      <tp>
        <v>919.5</v>
        <stp/>
        <stp>BDP|8217270412479409374|222</stp>
        <stp>QSF8 Comdty</stp>
        <stp>ASK</stp>
        <stp>Fill=#N/A</stp>
        <tr r="H35" s="1"/>
      </tp>
      <tp t="s">
        <v>#N/A</v>
        <stp/>
        <stp>BDP|5804791365978045855|222</stp>
        <stp>QSN0 Comdty</stp>
        <stp>ASK</stp>
        <stp>Fill=#N/A</stp>
        <tr r="H65" s="1"/>
      </tp>
    </main>
    <main first="ice.rtd">
      <tp>
        <v>191.85</v>
        <stp/>
        <stp>2181024583B0:Settle</stp>
        <tr r="U1990" s="5"/>
      </tp>
    </main>
    <main first="bofaddin.rtdserver">
      <tp>
        <v>828.25</v>
        <stp/>
        <stp>BDP|9022474904015147012|222</stp>
        <stp>QSG9 Comdty</stp>
        <stp>ASK</stp>
        <stp>Fill=#N/A</stp>
        <tr r="H48" s="1"/>
      </tp>
    </main>
    <main first="ice.rtd">
      <tp>
        <v>14.605700000000001</v>
        <stp/>
        <stp>2427026287M9:Settle</stp>
        <tr r="U1158" s="5"/>
      </tp>
      <tp>
        <v>14.880600000000001</v>
        <stp/>
        <stp>2427026287M8:Settle</stp>
        <tr r="U1157" s="5"/>
      </tp>
      <tp>
        <v>19.395700000000001</v>
        <stp/>
        <stp>2427026287M1:Settle</stp>
        <tr r="U1150" s="5"/>
      </tp>
      <tp>
        <v>24.464300000000001</v>
        <stp/>
        <stp>2427026287M0:Settle</stp>
        <tr r="U1149" s="5"/>
      </tp>
      <tp>
        <v>16.053900000000002</v>
        <stp/>
        <stp>2427026287M3:Settle</stp>
        <tr r="U1152" s="5"/>
      </tp>
      <tp>
        <v>16.885000000000002</v>
        <stp/>
        <stp>2427026287M2:Settle</stp>
        <tr r="U1151" s="5"/>
      </tp>
      <tp>
        <v>15.504000000000001</v>
        <stp/>
        <stp>2427026287M5:Settle</stp>
        <tr r="U1154" s="5"/>
      </tp>
      <tp>
        <v>15.5938</v>
        <stp/>
        <stp>2427026287M4:Settle</stp>
        <tr r="U1153" s="5"/>
      </tp>
      <tp>
        <v>15.083600000000001</v>
        <stp/>
        <stp>2427026287M7:Settle</stp>
        <tr r="U1156" s="5"/>
      </tp>
      <tp>
        <v>15.281700000000001</v>
        <stp/>
        <stp>2427026287M6:Settle</stp>
        <tr r="U1155" s="5"/>
      </tp>
      <tp>
        <v>53.859000000000002</v>
        <stp/>
        <stp>2324925610B0:Settle</stp>
        <tr r="U882" s="5"/>
      </tp>
      <tp>
        <v>12.5564</v>
        <stp/>
        <stp>2427026287Y1:Settle</stp>
        <tr r="U1184" s="5"/>
      </tp>
      <tp>
        <v>14.441600000000001</v>
        <stp/>
        <stp>2427026287Y0:Settle</stp>
        <tr r="U1183" s="5"/>
      </tp>
      <tp>
        <v>13.130700000000001</v>
        <stp/>
        <stp>2427026287Y2:Settle</stp>
        <tr r="U1185" s="5"/>
      </tp>
      <tp>
        <v>12.247100000000001</v>
        <stp/>
        <stp>2427026287Q8:Settle</stp>
        <tr r="U1182" s="5"/>
      </tp>
      <tp>
        <v>15.459800000000001</v>
        <stp/>
        <stp>2427026287Q1:Settle</stp>
        <tr r="U1175" s="5"/>
      </tp>
      <tp>
        <v>17.444900000000001</v>
        <stp/>
        <stp>2427026287Q0:Settle</stp>
        <tr r="U1174" s="5"/>
      </tp>
      <tp>
        <v>14.139000000000001</v>
        <stp/>
        <stp>2427026287Q3:Settle</stp>
        <tr r="U1177" s="5"/>
      </tp>
      <tp>
        <v>14.8566</v>
        <stp/>
        <stp>2427026287Q2:Settle</stp>
        <tr r="U1176" s="5"/>
      </tp>
      <tp>
        <v>12.852500000000001</v>
        <stp/>
        <stp>2427026287Q5:Settle</stp>
        <tr r="U1179" s="5"/>
      </tp>
      <tp>
        <v>13.3109</v>
        <stp/>
        <stp>2427026287Q4:Settle</stp>
        <tr r="U1178" s="5"/>
      </tp>
      <tp>
        <v>12.481200000000001</v>
        <stp/>
        <stp>2427026287Q7:Settle</stp>
        <tr r="U1181" s="5"/>
      </tp>
      <tp>
        <v>12.6448</v>
        <stp/>
        <stp>2427026287Q6:Settle</stp>
        <tr r="U1180" s="5"/>
      </tp>
    </main>
    <main first="bofaddin.rtdserver">
      <tp>
        <v>6.5612500000000002</v>
        <stp/>
        <stp>BFXFORWARD|347739074640659188|222</stp>
        <stp>USDCNY</stp>
        <stp>13M</stp>
        <stp>MidOutright</stp>
        <tr r="BD33" s="1"/>
      </tp>
    </main>
    <main first="ice.rtd">
      <tp t="s">
        <v>Nov26/Jan27</v>
        <stp/>
        <stp>161913535MM23:Strip</stp>
        <tr r="E2050" s="5"/>
      </tp>
      <tp t="s">
        <v>Oct26/Dec26</v>
        <stp/>
        <stp>161913535MM13:Strip</stp>
        <tr r="E2040" s="5"/>
      </tp>
      <tp t="s">
        <v>ULW</v>
        <stp/>
        <stp>2184924621B0:PCC</stp>
        <tr r="B707" s="5"/>
      </tp>
      <tp t="s">
        <v>MHF</v>
        <stp/>
        <stp>2888129698B0:PCC</stp>
        <tr r="B1110" s="5"/>
      </tp>
      <tp t="s">
        <v>ASX</v>
        <stp/>
        <stp>3126131030B0:PCC</stp>
        <tr r="B1746" s="5"/>
      </tp>
      <tp t="s">
        <v>NBL</v>
        <stp/>
        <stp>2049123570B0:PCC</stp>
        <tr r="B230" s="5"/>
      </tp>
      <tp t="s">
        <v>LVA</v>
        <stp/>
        <stp>2326225623B0:PCC</stp>
        <tr r="B1300" s="5"/>
      </tp>
      <tp t="s">
        <v>FOT</v>
        <stp/>
        <stp>2324225603B0:PCC</stp>
        <tr r="B920" s="5"/>
      </tp>
      <tp t="s">
        <v>ULY</v>
        <stp/>
        <stp>2325225613B0:PCC</stp>
        <tr r="B631" s="5"/>
      </tp>
      <tp t="s">
        <v>Invalid Market: 46678127Y2</v>
        <stp/>
        <stp>46678127Y2:Settle</stp>
        <tr r="U381" s="5"/>
      </tp>
      <tp>
        <v>19.117000000000001</v>
        <stp/>
        <stp>46678127Y0:Settle</stp>
        <tr r="U379" s="5"/>
      </tp>
      <tp>
        <v>11.473000000000001</v>
        <stp/>
        <stp>46678127Y1:Settle</stp>
        <tr r="U380" s="5"/>
      </tp>
      <tp>
        <v>24.096</v>
        <stp/>
        <stp>46678127Q2:Settle</stp>
        <tr r="U372" s="5"/>
      </tp>
      <tp>
        <v>20.691000000000003</v>
        <stp/>
        <stp>46678127Q3:Settle</stp>
        <tr r="U373" s="5"/>
      </tp>
      <tp>
        <v>23.634</v>
        <stp/>
        <stp>46678127Q0:Settle</stp>
        <tr r="U370" s="5"/>
      </tp>
      <tp>
        <v>19.344000000000001</v>
        <stp/>
        <stp>46678127Q1:Settle</stp>
        <tr r="U371" s="5"/>
      </tp>
      <tp>
        <v>14.741000000000001</v>
        <stp/>
        <stp>46678127Q6:Settle</stp>
        <tr r="U376" s="5"/>
      </tp>
      <tp>
        <v>13.175000000000001</v>
        <stp/>
        <stp>46678127Q7:Settle</stp>
        <tr r="U377" s="5"/>
      </tp>
      <tp>
        <v>12.338000000000001</v>
        <stp/>
        <stp>46678127Q4:Settle</stp>
        <tr r="U374" s="5"/>
      </tp>
      <tp>
        <v>10.644</v>
        <stp/>
        <stp>46678127Q5:Settle</stp>
        <tr r="U375" s="5"/>
      </tp>
      <tp>
        <v>7.3310000000000004</v>
        <stp/>
        <stp>46678127Q8:Settle</stp>
        <tr r="U378" s="5"/>
      </tp>
      <tp>
        <v>22.699000000000002</v>
        <stp/>
        <stp>46678127M2:Settle</stp>
        <tr r="U347" s="5"/>
      </tp>
      <tp>
        <v>18.903000000000002</v>
        <stp/>
        <stp>46678127M3:Settle</stp>
        <tr r="U348" s="5"/>
      </tp>
      <tp>
        <v>44.64</v>
        <stp/>
        <stp>46678127M0:Settle</stp>
        <tr r="U345" s="5"/>
      </tp>
      <tp>
        <v>29.3</v>
        <stp/>
        <stp>46678127M1:Settle</stp>
        <tr r="U346" s="5"/>
      </tp>
      <tp>
        <v>20.215</v>
        <stp/>
        <stp>46678127M6:Settle</stp>
        <tr r="U351" s="5"/>
      </tp>
      <tp>
        <v>24.59</v>
        <stp/>
        <stp>46678127M7:Settle</stp>
        <tr r="U352" s="5"/>
      </tp>
      <tp>
        <v>18.556000000000001</v>
        <stp/>
        <stp>46678127M4:Settle</stp>
        <tr r="U349" s="5"/>
      </tp>
      <tp>
        <v>19.260999999999999</v>
        <stp/>
        <stp>46678127M5:Settle</stp>
        <tr r="U350" s="5"/>
      </tp>
      <tp>
        <v>24.309000000000001</v>
        <stp/>
        <stp>46678127M8:Settle</stp>
        <tr r="U353" s="5"/>
      </tp>
      <tp>
        <v>23.388999999999999</v>
        <stp/>
        <stp>46678127M9:Settle</stp>
        <tr r="U354" s="5"/>
      </tp>
    </main>
    <main first="esrtd">
      <tp t="s">
        <v/>
        <stp/>
        <stp>TDL 8!-IEU</stp>
        <stp>Recent Settlement</stp>
        <tr r="U1820" s="5"/>
      </tp>
      <tp t="s">
        <v/>
        <stp/>
        <stp>TDL 9!-IEU</stp>
        <stp>Recent Settlement</stp>
        <tr r="U1821" s="5"/>
      </tp>
      <tp t="s">
        <v/>
        <stp/>
        <stp>TDL 1!-IEU</stp>
        <stp>Recent Settlement</stp>
        <tr r="U1813" s="5"/>
      </tp>
      <tp t="s">
        <v/>
        <stp/>
        <stp>TDL 2!-IEU</stp>
        <stp>Recent Settlement</stp>
        <tr r="U1814" s="5"/>
      </tp>
      <tp t="s">
        <v/>
        <stp/>
        <stp>TDL 3!-IEU</stp>
        <stp>Recent Settlement</stp>
        <tr r="U1815" s="5"/>
      </tp>
      <tp t="s">
        <v/>
        <stp/>
        <stp>TDL 4!-IEU</stp>
        <stp>Recent Settlement</stp>
        <tr r="U1816" s="5"/>
      </tp>
      <tp t="s">
        <v/>
        <stp/>
        <stp>TDL 5!-IEU</stp>
        <stp>Recent Settlement</stp>
        <tr r="U1817" s="5"/>
      </tp>
      <tp t="s">
        <v/>
        <stp/>
        <stp>TDL 6!-IEU</stp>
        <stp>Recent Settlement</stp>
        <tr r="U1818" s="5"/>
      </tp>
      <tp t="s">
        <v/>
        <stp/>
        <stp>TDL 7!-IEU</stp>
        <stp>Recent Settlement</stp>
        <tr r="U1819" s="5"/>
      </tp>
      <tp t="s">
        <v/>
        <stp/>
        <stp>WDF 9!-IEU</stp>
        <stp>Recent Settlement</stp>
        <tr r="U1786" s="5"/>
      </tp>
      <tp t="s">
        <v/>
        <stp/>
        <stp>WDF 8!-IEU</stp>
        <stp>Recent Settlement</stp>
        <tr r="U1785" s="5"/>
      </tp>
      <tp t="s">
        <v/>
        <stp/>
        <stp>WDF 3!-IEU</stp>
        <stp>Recent Settlement</stp>
        <tr r="U1780" s="5"/>
      </tp>
      <tp t="s">
        <v/>
        <stp/>
        <stp>WDF 2!-IEU</stp>
        <stp>Recent Settlement</stp>
        <tr r="U1779" s="5"/>
      </tp>
      <tp t="s">
        <v/>
        <stp/>
        <stp>WDF 1!-IEU</stp>
        <stp>Recent Settlement</stp>
        <tr r="U1778" s="5"/>
      </tp>
      <tp t="s">
        <v/>
        <stp/>
        <stp>WDF 7!-IEU</stp>
        <stp>Recent Settlement</stp>
        <tr r="U1784" s="5"/>
      </tp>
      <tp t="s">
        <v/>
        <stp/>
        <stp>WDF 6!-IEU</stp>
        <stp>Recent Settlement</stp>
        <tr r="U1783" s="5"/>
      </tp>
      <tp t="s">
        <v/>
        <stp/>
        <stp>WDF 5!-IEU</stp>
        <stp>Recent Settlement</stp>
        <tr r="U1782" s="5"/>
      </tp>
      <tp t="s">
        <v/>
        <stp/>
        <stp>WDF 4!-IEU</stp>
        <stp>Recent Settlement</stp>
        <tr r="U1781" s="5"/>
      </tp>
    </main>
    <main first="ice.rtd">
      <tp t="s">
        <v/>
        <stp/>
        <stp>DBI1227QQ0:LstBlkVol</stp>
        <tr r="L1679" s="5"/>
      </tp>
      <tp t="s">
        <v/>
        <stp/>
        <stp>DBI1227YY0:LstBlkVol</stp>
        <tr r="L1681" s="5"/>
      </tp>
      <tp>
        <v>80</v>
        <stp/>
        <stp>DBI1227MM0:LstBlkVol</stp>
        <tr r="L1651" s="5"/>
        <tr r="L1648" s="5"/>
      </tp>
    </main>
    <main first="bofaddin.rtdserver">
      <tp t="s">
        <v>#N/A N/A</v>
        <stp/>
        <stp>BDH|968695251543828613</stp>
        <tr r="AV60" s="1"/>
      </tp>
      <tp t="s">
        <v>#N/A Requesting Data...3188562055</v>
        <stp/>
        <stp>BDP|487325514745251193</stp>
        <tr r="AM78" s="23"/>
        <tr r="AM79" s="23"/>
      </tp>
    </main>
    <main first="ice.rtd">
      <tp t="s">
        <v>Sep26</v>
        <stp/>
        <stp>266419M0:Strip</stp>
        <tr r="E959" s="5"/>
      </tp>
      <tp t="s">
        <v>Cal 27</v>
        <stp/>
        <stp>266419Y0:Strip</stp>
        <tr r="E993" s="5"/>
      </tp>
      <tp t="s">
        <v>Q4 26</v>
        <stp/>
        <stp>266419Q0:Strip</stp>
        <tr r="E984" s="5"/>
      </tp>
    </main>
    <main first="bofaddin.rtdserver">
      <tp t="s">
        <v>#N/A Real Time</v>
        <stp/>
        <stp>BDP|9619910099125596610|22</stp>
        <stp>COQ6P 85.00 Comdty</stp>
        <stp>VEGA_MID_RT</stp>
        <tr r="F74" s="23"/>
        <tr r="F83" s="23"/>
        <tr r="F55" s="23"/>
      </tp>
      <tp t="s">
        <v>#N/A N/A</v>
        <stp/>
        <stp>BDH|319210276566684527</stp>
        <tr r="K42" s="16"/>
      </tp>
      <tp t="s">
        <v>#N/A N/A</v>
        <stp/>
        <stp>BDH|323914895242686406</stp>
        <tr r="C13" s="14"/>
        <tr r="I40" s="14"/>
      </tp>
    </main>
    <main first="ice.rtd">
      <tp t="s">
        <v>Oct26</v>
        <stp/>
        <stp>141587M1:Strip</stp>
        <tr r="E42" s="5"/>
      </tp>
      <tp t="s">
        <v>Cal 28</v>
        <stp/>
        <stp>141587Y1:Strip</stp>
        <tr r="E76" s="5"/>
      </tp>
      <tp t="s">
        <v>Q1 27</v>
        <stp/>
        <stp>141587Q1:Strip</stp>
        <tr r="E67" s="5"/>
      </tp>
    </main>
    <main first="bofaddin.rtdserver">
      <tp t="s">
        <v>#N/A N/A</v>
        <stp/>
        <stp>BDH|767864165801426921</stp>
        <tr r="AV54" s="1"/>
      </tp>
      <tp t="s">
        <v>#N/A N/A</v>
        <stp/>
        <stp>BDH|179068962259714910</stp>
        <tr r="AZ39" s="1"/>
      </tp>
      <tp t="s">
        <v>#N/A N/A</v>
        <stp/>
        <stp>BDH|630520642144096357</stp>
        <tr r="J23" s="14"/>
      </tp>
    </main>
    <main first="ice.rtd">
      <tp t="s">
        <v>Apr28</v>
        <stp/>
        <stp>15091310M19:Strip</stp>
        <tr r="E1396" s="5"/>
      </tp>
      <tp t="s">
        <v>Dec27</v>
        <stp/>
        <stp>34404098M15:Strip</stp>
        <tr r="E609" s="5"/>
      </tp>
      <tp t="s">
        <v>Dec27</v>
        <stp/>
        <stp>34414099M15:Strip</stp>
        <tr r="E94" s="5"/>
      </tp>
      <tp t="s">
        <v>Jan28</v>
        <stp/>
        <stp>30793693M16:Strip</stp>
        <tr r="E899" s="5"/>
      </tp>
      <tp t="s">
        <v/>
        <stp/>
        <stp>DBI1227MM6:BstHitPrc</stp>
        <tr r="G1657" s="5"/>
      </tp>
      <tp t="s">
        <v>Jan28</v>
        <stp/>
        <stp>41787896M16:Strip</stp>
        <tr r="E823" s="5"/>
      </tp>
      <tp t="s">
        <v/>
        <stp/>
        <stp>15061297YY0:LstDate</stp>
        <tr r="J1713" s="5"/>
      </tp>
      <tp t="s">
        <v>Q1 27/Q2 27</v>
        <stp/>
        <stp>15061297QQ1:Strip</stp>
        <tr r="E1712" s="5"/>
      </tp>
      <tp t="s">
        <v>Sep26/Nov26</v>
        <stp/>
        <stp>15061297MM1:Strip</stp>
        <tr r="E1684" s="5"/>
      </tp>
      <tp t="s">
        <v>Feb28</v>
        <stp/>
        <stp>32623993M17:Strip</stp>
        <tr r="E2007" s="5"/>
      </tp>
    </main>
    <main first="esrtd">
      <tp t="s">
        <v/>
        <stp/>
        <stp>Invalid Market: CALCM15 Z27-IEU</stp>
        <stp>ICE Theoretical Price</stp>
        <tr r="W1202" s="5"/>
        <tr r="W1088" s="5"/>
        <tr r="W1354" s="5"/>
        <tr r="W860" s="5"/>
        <tr r="W398" s="5"/>
        <tr r="W284" s="5"/>
      </tp>
    </main>
    <main first="ice.rtd">
      <tp t="s">
        <v>Apr28</v>
        <stp/>
        <stp>30813691M19:Strip</stp>
        <tr r="E1972" s="5"/>
      </tp>
      <tp t="s">
        <v>Apr28</v>
        <stp/>
        <stp>35534143M19:Strip</stp>
        <tr r="E727" s="5"/>
      </tp>
      <tp t="s">
        <v>Apr28</v>
        <stp/>
        <stp>35544144M19:Strip</stp>
        <tr r="E651" s="5"/>
      </tp>
      <tp t="s">
        <v>Apr28</v>
        <stp/>
        <stp>35554145M19:Strip</stp>
        <tr r="E689" s="5"/>
      </tp>
      <tp t="s">
        <v>Feb28</v>
        <stp/>
        <stp>32613992M17:Strip</stp>
        <tr r="E1242" s="5"/>
      </tp>
      <tp t="s">
        <v>Mar28</v>
        <stp/>
        <stp>18871685M18:Strip</stp>
        <tr r="E439" s="5"/>
      </tp>
      <tp t="s">
        <v>Sep27</v>
        <stp/>
        <stp>34364094M12:Strip</stp>
        <tr r="E530" s="5"/>
      </tp>
      <tp t="s">
        <v>Sep27</v>
        <stp/>
        <stp>34374095M12:Strip</stp>
        <tr r="E568" s="5"/>
      </tp>
      <tp t="s">
        <v>Jul28</v>
        <stp/>
        <stp>34364094M22:Strip</stp>
        <tr r="E540" s="5"/>
      </tp>
      <tp t="s">
        <v>Jul28</v>
        <stp/>
        <stp>34374095M22:Strip</stp>
        <tr r="E578" s="5"/>
      </tp>
      <tp t="s">
        <v>Jan28</v>
        <stp/>
        <stp>41767893M16:Strip</stp>
        <tr r="E496" s="5"/>
      </tp>
      <tp t="s">
        <v/>
        <stp/>
        <stp>DBI1227MM6:LstBlkPrc</stp>
        <tr r="K1657" s="5"/>
      </tp>
      <tp t="s">
        <v>Apr28</v>
        <stp/>
        <stp>18901687M19:Strip</stp>
        <tr r="E326" s="5"/>
      </tp>
      <tp t="s">
        <v>Mar28</v>
        <stp/>
        <stp>18851683M18:Strip</stp>
        <tr r="E211" s="5"/>
      </tp>
      <tp t="s">
        <v>Sep27</v>
        <stp/>
        <stp>34344092M12:Strip</stp>
        <tr r="E1275" s="5"/>
      </tp>
      <tp t="s">
        <v>Sep27</v>
        <stp/>
        <stp>34354093M12:Strip</stp>
        <tr r="E1313" s="5"/>
      </tp>
      <tp t="s">
        <v>Jul28</v>
        <stp/>
        <stp>34344092M22:Strip</stp>
        <tr r="E1285" s="5"/>
      </tp>
      <tp t="s">
        <v>Jul28</v>
        <stp/>
        <stp>34354093M22:Strip</stp>
        <tr r="E1323" s="5"/>
      </tp>
      <tp t="s">
        <v>Bal Month-ND/Oct26</v>
        <stp/>
        <stp>3016030250BM0:Strip</stp>
        <tr r="E1682" s="5"/>
      </tp>
      <tp t="s">
        <v/>
        <stp/>
        <stp>35534143M18:LstPrc</stp>
        <tr r="I726" s="5"/>
      </tp>
      <tp t="s">
        <v/>
        <stp/>
        <stp>35544144M18:LstPrc</stp>
        <tr r="I650" s="5"/>
      </tp>
      <tp t="s">
        <v/>
        <stp/>
        <stp>35554145M18:LstPrc</stp>
        <tr r="I688" s="5"/>
      </tp>
      <tp t="s">
        <v/>
        <stp/>
        <stp>35534143M19:LstPrc</stp>
        <tr r="I727" s="5"/>
      </tp>
      <tp t="s">
        <v/>
        <stp/>
        <stp>35544144M19:LstPrc</stp>
        <tr r="I651" s="5"/>
      </tp>
      <tp t="s">
        <v/>
        <stp/>
        <stp>35554145M19:LstPrc</stp>
        <tr r="I689" s="5"/>
      </tp>
      <tp t="s">
        <v/>
        <stp/>
        <stp>35534143M14:LstPrc</stp>
        <tr r="I722" s="5"/>
      </tp>
      <tp t="s">
        <v/>
        <stp/>
        <stp>35544144M14:LstPrc</stp>
        <tr r="I646" s="5"/>
      </tp>
      <tp t="s">
        <v/>
        <stp/>
        <stp>35554145M14:LstPrc</stp>
        <tr r="I684" s="5"/>
      </tp>
      <tp t="s">
        <v/>
        <stp/>
        <stp>35534143M15:LstPrc</stp>
        <tr r="I723" s="5"/>
      </tp>
      <tp t="s">
        <v/>
        <stp/>
        <stp>35544144M15:LstPrc</stp>
        <tr r="I647" s="5"/>
      </tp>
      <tp t="s">
        <v/>
        <stp/>
        <stp>35554145M15:LstPrc</stp>
        <tr r="I685" s="5"/>
      </tp>
      <tp t="s">
        <v/>
        <stp/>
        <stp>35534143M16:LstPrc</stp>
        <tr r="I724" s="5"/>
      </tp>
      <tp t="s">
        <v/>
        <stp/>
        <stp>35544144M16:LstPrc</stp>
        <tr r="I648" s="5"/>
      </tp>
      <tp t="s">
        <v/>
        <stp/>
        <stp>35554145M16:LstPrc</stp>
        <tr r="I686" s="5"/>
      </tp>
      <tp t="s">
        <v/>
        <stp/>
        <stp>35534143M17:LstPrc</stp>
        <tr r="I725" s="5"/>
      </tp>
      <tp t="s">
        <v/>
        <stp/>
        <stp>35544144M17:LstPrc</stp>
        <tr r="I649" s="5"/>
      </tp>
      <tp t="s">
        <v/>
        <stp/>
        <stp>35554145M17:LstPrc</stp>
        <tr r="I687" s="5"/>
      </tp>
      <tp t="s">
        <v/>
        <stp/>
        <stp>35534143M10:LstPrc</stp>
        <tr r="I718" s="5"/>
      </tp>
      <tp t="s">
        <v/>
        <stp/>
        <stp>35544144M10:LstPrc</stp>
        <tr r="I642" s="5"/>
      </tp>
      <tp t="s">
        <v/>
        <stp/>
        <stp>35554145M10:LstPrc</stp>
        <tr r="I680" s="5"/>
      </tp>
      <tp t="s">
        <v/>
        <stp/>
        <stp>35534143M11:LstPrc</stp>
        <tr r="I719" s="5"/>
      </tp>
      <tp t="s">
        <v/>
        <stp/>
        <stp>35544144M11:LstPrc</stp>
        <tr r="I643" s="5"/>
      </tp>
      <tp t="s">
        <v/>
        <stp/>
        <stp>35554145M11:LstPrc</stp>
        <tr r="I681" s="5"/>
      </tp>
      <tp t="s">
        <v/>
        <stp/>
        <stp>35534143M12:LstPrc</stp>
        <tr r="I720" s="5"/>
      </tp>
      <tp t="s">
        <v/>
        <stp/>
        <stp>35544144M12:LstPrc</stp>
        <tr r="I644" s="5"/>
      </tp>
      <tp t="s">
        <v/>
        <stp/>
        <stp>35554145M12:LstPrc</stp>
        <tr r="I682" s="5"/>
      </tp>
      <tp t="s">
        <v/>
        <stp/>
        <stp>35534143M13:LstPrc</stp>
        <tr r="I721" s="5"/>
      </tp>
      <tp t="s">
        <v/>
        <stp/>
        <stp>35544144M13:LstPrc</stp>
        <tr r="I645" s="5"/>
      </tp>
      <tp t="s">
        <v/>
        <stp/>
        <stp>35554145M13:LstPrc</stp>
        <tr r="I683" s="5"/>
      </tp>
      <tp t="s">
        <v/>
        <stp/>
        <stp>35534143M24:LstPrc</stp>
        <tr r="I732" s="5"/>
      </tp>
      <tp t="s">
        <v/>
        <stp/>
        <stp>35544144M24:LstPrc</stp>
        <tr r="I656" s="5"/>
      </tp>
      <tp t="s">
        <v/>
        <stp/>
        <stp>35554145M24:LstPrc</stp>
        <tr r="I694" s="5"/>
      </tp>
      <tp t="s">
        <v/>
        <stp/>
        <stp>35534143M20:LstPrc</stp>
        <tr r="I728" s="5"/>
      </tp>
      <tp t="s">
        <v/>
        <stp/>
        <stp>35544144M20:LstPrc</stp>
        <tr r="I652" s="5"/>
      </tp>
      <tp t="s">
        <v/>
        <stp/>
        <stp>35554145M20:LstPrc</stp>
        <tr r="I690" s="5"/>
      </tp>
      <tp t="s">
        <v/>
        <stp/>
        <stp>35534143M21:LstPrc</stp>
        <tr r="I729" s="5"/>
      </tp>
      <tp t="s">
        <v/>
        <stp/>
        <stp>35544144M21:LstPrc</stp>
        <tr r="I653" s="5"/>
      </tp>
      <tp t="s">
        <v/>
        <stp/>
        <stp>35554145M21:LstPrc</stp>
        <tr r="I691" s="5"/>
      </tp>
      <tp t="s">
        <v/>
        <stp/>
        <stp>35534143M22:LstPrc</stp>
        <tr r="I730" s="5"/>
      </tp>
      <tp t="s">
        <v/>
        <stp/>
        <stp>35544144M22:LstPrc</stp>
        <tr r="I654" s="5"/>
      </tp>
      <tp t="s">
        <v/>
        <stp/>
        <stp>35554145M22:LstPrc</stp>
        <tr r="I692" s="5"/>
      </tp>
      <tp t="s">
        <v/>
        <stp/>
        <stp>35534143M23:LstPrc</stp>
        <tr r="I731" s="5"/>
      </tp>
      <tp t="s">
        <v/>
        <stp/>
        <stp>35544144M23:LstPrc</stp>
        <tr r="I655" s="5"/>
      </tp>
      <tp t="s">
        <v/>
        <stp/>
        <stp>35554145M23:LstPrc</stp>
        <tr r="I693" s="5"/>
      </tp>
      <tp t="s">
        <v>Jul27</v>
        <stp/>
        <stp>1581618115M10:Strip</stp>
        <tr r="E469" s="5"/>
      </tp>
      <tp t="s">
        <v/>
        <stp/>
        <stp>16331513M24:LstPrc</stp>
        <tr r="I1439" s="5"/>
      </tp>
      <tp t="s">
        <v/>
        <stp/>
        <stp>16341514M24:LstPrc</stp>
        <tr r="I1477" s="5"/>
      </tp>
      <tp t="s">
        <v/>
        <stp/>
        <stp>16351515M24:LstPrc</stp>
        <tr r="I1515" s="5"/>
      </tp>
      <tp t="s">
        <v/>
        <stp/>
        <stp>16331513M23:LstPrc</stp>
        <tr r="I1438" s="5"/>
      </tp>
      <tp t="s">
        <v/>
        <stp/>
        <stp>16341514M23:LstPrc</stp>
        <tr r="I1476" s="5"/>
      </tp>
      <tp t="s">
        <v/>
        <stp/>
        <stp>16351515M23:LstPrc</stp>
        <tr r="I1514" s="5"/>
      </tp>
      <tp t="s">
        <v/>
        <stp/>
        <stp>16331513M22:LstPrc</stp>
        <tr r="I1437" s="5"/>
      </tp>
      <tp t="s">
        <v/>
        <stp/>
        <stp>16341514M22:LstPrc</stp>
        <tr r="I1475" s="5"/>
      </tp>
      <tp t="s">
        <v/>
        <stp/>
        <stp>16351515M22:LstPrc</stp>
        <tr r="I1513" s="5"/>
      </tp>
      <tp t="s">
        <v/>
        <stp/>
        <stp>16331513M21:LstPrc</stp>
        <tr r="I1436" s="5"/>
      </tp>
      <tp t="s">
        <v/>
        <stp/>
        <stp>16341514M21:LstPrc</stp>
        <tr r="I1474" s="5"/>
      </tp>
      <tp t="s">
        <v/>
        <stp/>
        <stp>16351515M21:LstPrc</stp>
        <tr r="I1512" s="5"/>
      </tp>
      <tp t="s">
        <v/>
        <stp/>
        <stp>16331513M20:LstPrc</stp>
        <tr r="I1435" s="5"/>
      </tp>
      <tp t="s">
        <v/>
        <stp/>
        <stp>16341514M20:LstPrc</stp>
        <tr r="I1473" s="5"/>
      </tp>
      <tp t="s">
        <v/>
        <stp/>
        <stp>16351515M20:LstPrc</stp>
        <tr r="I1511" s="5"/>
      </tp>
      <tp t="s">
        <v/>
        <stp/>
        <stp>16331513M19:LstPrc</stp>
        <tr r="I1434" s="5"/>
      </tp>
      <tp t="s">
        <v/>
        <stp/>
        <stp>16341514M19:LstPrc</stp>
        <tr r="I1472" s="5"/>
      </tp>
      <tp t="s">
        <v/>
        <stp/>
        <stp>16351515M19:LstPrc</stp>
        <tr r="I1510" s="5"/>
      </tp>
      <tp t="s">
        <v/>
        <stp/>
        <stp>16331513M18:LstPrc</stp>
        <tr r="I1433" s="5"/>
      </tp>
      <tp t="s">
        <v/>
        <stp/>
        <stp>16341514M18:LstPrc</stp>
        <tr r="I1471" s="5"/>
      </tp>
      <tp t="s">
        <v/>
        <stp/>
        <stp>16351515M18:LstPrc</stp>
        <tr r="I1509" s="5"/>
      </tp>
      <tp t="s">
        <v/>
        <stp/>
        <stp>16331513M17:LstPrc</stp>
        <tr r="I1432" s="5"/>
      </tp>
      <tp t="s">
        <v/>
        <stp/>
        <stp>16341514M17:LstPrc</stp>
        <tr r="I1470" s="5"/>
      </tp>
      <tp t="s">
        <v/>
        <stp/>
        <stp>16351515M17:LstPrc</stp>
        <tr r="I1508" s="5"/>
      </tp>
      <tp t="s">
        <v/>
        <stp/>
        <stp>16331513M16:LstPrc</stp>
        <tr r="I1431" s="5"/>
      </tp>
      <tp t="s">
        <v/>
        <stp/>
        <stp>16341514M16:LstPrc</stp>
        <tr r="I1469" s="5"/>
      </tp>
      <tp t="s">
        <v/>
        <stp/>
        <stp>16351515M16:LstPrc</stp>
        <tr r="I1507" s="5"/>
      </tp>
      <tp t="s">
        <v/>
        <stp/>
        <stp>16331513M15:LstPrc</stp>
        <tr r="I1430" s="5"/>
      </tp>
      <tp t="s">
        <v/>
        <stp/>
        <stp>16341514M15:LstPrc</stp>
        <tr r="I1468" s="5"/>
      </tp>
      <tp t="s">
        <v/>
        <stp/>
        <stp>16351515M15:LstPrc</stp>
        <tr r="I1506" s="5"/>
      </tp>
      <tp t="s">
        <v/>
        <stp/>
        <stp>16331513M14:LstPrc</stp>
        <tr r="I1429" s="5"/>
      </tp>
      <tp t="s">
        <v/>
        <stp/>
        <stp>16341514M14:LstPrc</stp>
        <tr r="I1467" s="5"/>
      </tp>
      <tp t="s">
        <v/>
        <stp/>
        <stp>16351515M14:LstPrc</stp>
        <tr r="I1505" s="5"/>
      </tp>
      <tp t="s">
        <v/>
        <stp/>
        <stp>16331513M13:LstPrc</stp>
        <tr r="I1428" s="5"/>
      </tp>
      <tp t="s">
        <v/>
        <stp/>
        <stp>16341514M13:LstPrc</stp>
        <tr r="I1466" s="5"/>
      </tp>
      <tp t="s">
        <v/>
        <stp/>
        <stp>16351515M13:LstPrc</stp>
        <tr r="I1504" s="5"/>
      </tp>
      <tp t="s">
        <v/>
        <stp/>
        <stp>16331513M12:LstPrc</stp>
        <tr r="I1427" s="5"/>
      </tp>
      <tp t="s">
        <v/>
        <stp/>
        <stp>16341514M12:LstPrc</stp>
        <tr r="I1465" s="5"/>
      </tp>
      <tp t="s">
        <v/>
        <stp/>
        <stp>16351515M12:LstPrc</stp>
        <tr r="I1503" s="5"/>
      </tp>
      <tp t="s">
        <v/>
        <stp/>
        <stp>16331513M11:LstPrc</stp>
        <tr r="I1426" s="5"/>
      </tp>
      <tp t="s">
        <v/>
        <stp/>
        <stp>16341514M11:LstPrc</stp>
        <tr r="I1464" s="5"/>
      </tp>
      <tp t="s">
        <v/>
        <stp/>
        <stp>16351515M11:LstPrc</stp>
        <tr r="I1502" s="5"/>
      </tp>
      <tp t="s">
        <v/>
        <stp/>
        <stp>16331513M10:LstPrc</stp>
        <tr r="I1425" s="5"/>
      </tp>
      <tp t="s">
        <v/>
        <stp/>
        <stp>16341514M10:LstPrc</stp>
        <tr r="I1463" s="5"/>
      </tp>
      <tp t="s">
        <v/>
        <stp/>
        <stp>16351515M10:LstPrc</stp>
        <tr r="I1501" s="5"/>
      </tp>
      <tp t="s">
        <v/>
        <stp/>
        <stp>30813691M24:LstPrc</stp>
        <tr r="I1977" s="5"/>
      </tp>
      <tp t="s">
        <v/>
        <stp/>
        <stp>30813691M20:LstPrc</stp>
        <tr r="I1973" s="5"/>
      </tp>
      <tp t="s">
        <v/>
        <stp/>
        <stp>30813691M21:LstPrc</stp>
        <tr r="I1974" s="5"/>
      </tp>
      <tp t="s">
        <v/>
        <stp/>
        <stp>30813691M22:LstPrc</stp>
        <tr r="I1975" s="5"/>
      </tp>
      <tp t="s">
        <v/>
        <stp/>
        <stp>30813691M23:LstPrc</stp>
        <tr r="I1976" s="5"/>
      </tp>
      <tp t="s">
        <v/>
        <stp/>
        <stp>30813691M18:LstPrc</stp>
        <tr r="I1971" s="5"/>
      </tp>
      <tp t="s">
        <v/>
        <stp/>
        <stp>30813691M19:LstPrc</stp>
        <tr r="I1972" s="5"/>
      </tp>
      <tp t="s">
        <v/>
        <stp/>
        <stp>30813691M14:LstPrc</stp>
        <tr r="I1967" s="5"/>
      </tp>
      <tp t="s">
        <v/>
        <stp/>
        <stp>30813691M15:LstPrc</stp>
        <tr r="I1968" s="5"/>
      </tp>
      <tp t="s">
        <v/>
        <stp/>
        <stp>30813691M16:LstPrc</stp>
        <tr r="I1969" s="5"/>
      </tp>
      <tp t="s">
        <v/>
        <stp/>
        <stp>30813691M17:LstPrc</stp>
        <tr r="I1970" s="5"/>
      </tp>
      <tp t="s">
        <v/>
        <stp/>
        <stp>30813691M10:LstPrc</stp>
        <tr r="I1963" s="5"/>
      </tp>
      <tp t="s">
        <v/>
        <stp/>
        <stp>30813691M11:LstPrc</stp>
        <tr r="I1964" s="5"/>
      </tp>
      <tp t="s">
        <v/>
        <stp/>
        <stp>30813691M12:LstPrc</stp>
        <tr r="I1965" s="5"/>
      </tp>
      <tp t="s">
        <v/>
        <stp/>
        <stp>30813691M13:LstPrc</stp>
        <tr r="I1966" s="5"/>
      </tp>
      <tp t="s">
        <v>Jan27</v>
        <stp/>
        <stp>266M4:Strip</stp>
        <tr r="E925" s="5"/>
      </tp>
      <tp t="s">
        <v>Q4 27</v>
        <stp/>
        <stp>266Q4:Strip</stp>
        <tr r="E950" s="5"/>
      </tp>
    </main>
    <main first="esrtd">
      <tp t="s">
        <v/>
        <stp/>
        <stp>WDF 9!-IEU</stp>
        <stp>Block Volume</stp>
        <tr r="O1786" s="5"/>
      </tp>
    </main>
    <main first="ice.rtd">
      <tp t="s">
        <v/>
        <stp/>
        <stp>46678127M21:LstPrc</stp>
        <tr r="I366" s="5"/>
      </tp>
      <tp t="s">
        <v/>
        <stp/>
        <stp>46678127M20:LstPrc</stp>
        <tr r="I365" s="5"/>
      </tp>
      <tp t="s">
        <v/>
        <stp/>
        <stp>46678127M23:LstPrc</stp>
        <tr r="I368" s="5"/>
      </tp>
      <tp t="s">
        <v/>
        <stp/>
        <stp>46678127M22:LstPrc</stp>
        <tr r="I367" s="5"/>
      </tp>
      <tp t="s">
        <v/>
        <stp/>
        <stp>46678127M24:LstPrc</stp>
        <tr r="I369" s="5"/>
      </tp>
      <tp t="s">
        <v/>
        <stp/>
        <stp>46678127M19:LstPrc</stp>
        <tr r="I364" s="5"/>
      </tp>
      <tp t="s">
        <v/>
        <stp/>
        <stp>46678127M18:LstPrc</stp>
        <tr r="I363" s="5"/>
      </tp>
      <tp t="s">
        <v/>
        <stp/>
        <stp>46678127M11:LstPrc</stp>
        <tr r="I356" s="5"/>
      </tp>
      <tp t="s">
        <v/>
        <stp/>
        <stp>46678127M10:LstPrc</stp>
        <tr r="I355" s="5"/>
      </tp>
      <tp t="s">
        <v/>
        <stp/>
        <stp>46678127M13:LstPrc</stp>
        <tr r="I358" s="5"/>
      </tp>
      <tp t="s">
        <v/>
        <stp/>
        <stp>46678127M12:LstPrc</stp>
        <tr r="I357" s="5"/>
      </tp>
      <tp t="s">
        <v/>
        <stp/>
        <stp>46678127M15:LstPrc</stp>
        <tr r="I360" s="5"/>
      </tp>
      <tp t="s">
        <v/>
        <stp/>
        <stp>46678127M14:LstPrc</stp>
        <tr r="I359" s="5"/>
      </tp>
      <tp t="s">
        <v/>
        <stp/>
        <stp>46678127M17:LstPrc</stp>
        <tr r="I362" s="5"/>
      </tp>
      <tp t="s">
        <v/>
        <stp/>
        <stp>46678127M16:LstPrc</stp>
        <tr r="I361" s="5"/>
      </tp>
      <tp t="s">
        <v>Jul27</v>
        <stp/>
        <stp>1923422331M10:Strip</stp>
        <tr r="E1637" s="5"/>
      </tp>
      <tp t="s">
        <v/>
        <stp/>
        <stp>366531QQ0:LstDate</stp>
        <tr r="J1743" s="5"/>
      </tp>
      <tp t="s">
        <v/>
        <stp/>
        <stp>366531QQ1:LstDate</stp>
        <tr r="J1744" s="5"/>
      </tp>
    </main>
    <main first="esrtd">
      <tp t="s">
        <v/>
        <stp/>
        <stp>WHK 9!-IEU</stp>
        <stp>Block Volume</stp>
        <tr r="O1926" s="5"/>
      </tp>
    </main>
    <main first="ice.rtd">
      <tp t="s">
        <v>Mar28</v>
        <stp/>
        <stp>1986823075M18:Strip</stp>
        <tr r="E135" s="5"/>
      </tp>
    </main>
    <main first="esrtd">
      <tp t="s">
        <v/>
        <stp/>
        <stp>WMJ 9!-IEU</stp>
        <stp>Block Volume</stp>
        <tr r="O1891" s="5"/>
      </tp>
      <tp t="s">
        <v/>
        <stp/>
        <stp>LVA B0-IEU</stp>
        <stp>ICE Theoretical Price</stp>
        <tr r="W1300" s="5"/>
      </tp>
    </main>
    <main first="ice.rtd">
      <tp t="s">
        <v>Sep28</v>
        <stp/>
        <stp>2755728678M24:Strip</stp>
        <tr r="E1135" s="5"/>
      </tp>
      <tp t="s">
        <v>Nov27</v>
        <stp/>
        <stp>2755728678M14:Strip</stp>
        <tr r="E1125" s="5"/>
      </tp>
      <tp t="s">
        <v>Apr28</v>
        <stp/>
        <stp>1986923076M19:Strip</stp>
        <tr r="E174" s="5"/>
      </tp>
    </main>
    <main first="esrtd">
      <tp t="s">
        <v/>
        <stp/>
        <stp>WNS 9!-IEU</stp>
        <stp>Block Volume</stp>
        <tr r="O1856" s="5"/>
      </tp>
    </main>
    <main first="ice.rtd">
      <tp>
        <v>0</v>
        <stp/>
        <stp>34344092M18:BlkVol</stp>
        <tr r="O1281" s="5"/>
      </tp>
      <tp>
        <v>25</v>
        <stp/>
        <stp>34354093M18:BlkVol</stp>
        <tr r="O1319" s="5"/>
      </tp>
      <tp>
        <v>0</v>
        <stp/>
        <stp>34344092M19:BlkVol</stp>
        <tr r="O1282" s="5"/>
      </tp>
      <tp>
        <v>25</v>
        <stp/>
        <stp>34354093M19:BlkVol</stp>
        <tr r="O1320" s="5"/>
      </tp>
      <tp>
        <v>0</v>
        <stp/>
        <stp>34344092M10:BlkVol</stp>
        <tr r="O1273" s="5"/>
      </tp>
      <tp>
        <v>86</v>
        <stp/>
        <stp>34354093M10:BlkVol</stp>
        <tr r="O1311" s="5"/>
      </tp>
      <tp>
        <v>0</v>
        <stp/>
        <stp>34344092M11:BlkVol</stp>
        <tr r="O1274" s="5"/>
      </tp>
      <tp>
        <v>86</v>
        <stp/>
        <stp>34354093M11:BlkVol</stp>
        <tr r="O1312" s="5"/>
      </tp>
      <tp>
        <v>0</v>
        <stp/>
        <stp>34344092M12:BlkVol</stp>
        <tr r="O1275" s="5"/>
      </tp>
      <tp>
        <v>86</v>
        <stp/>
        <stp>34354093M12:BlkVol</stp>
        <tr r="O1313" s="5"/>
      </tp>
      <tp>
        <v>0</v>
        <stp/>
        <stp>34344092M13:BlkVol</stp>
        <tr r="O1276" s="5"/>
      </tp>
      <tp>
        <v>86</v>
        <stp/>
        <stp>34354093M13:BlkVol</stp>
        <tr r="O1314" s="5"/>
      </tp>
      <tp>
        <v>0</v>
        <stp/>
        <stp>34344092M14:BlkVol</stp>
        <tr r="O1277" s="5"/>
      </tp>
      <tp>
        <v>86</v>
        <stp/>
        <stp>34354093M14:BlkVol</stp>
        <tr r="O1315" s="5"/>
      </tp>
      <tp>
        <v>0</v>
        <stp/>
        <stp>34344092M15:BlkVol</stp>
        <tr r="O1278" s="5"/>
      </tp>
      <tp>
        <v>86</v>
        <stp/>
        <stp>34354093M15:BlkVol</stp>
        <tr r="O1316" s="5"/>
      </tp>
      <tp>
        <v>0</v>
        <stp/>
        <stp>34344092M16:BlkVol</stp>
        <tr r="O1279" s="5"/>
      </tp>
      <tp>
        <v>25</v>
        <stp/>
        <stp>34354093M16:BlkVol</stp>
        <tr r="O1317" s="5"/>
      </tp>
      <tp>
        <v>0</v>
        <stp/>
        <stp>34344092M17:BlkVol</stp>
        <tr r="O1280" s="5"/>
      </tp>
      <tp>
        <v>25</v>
        <stp/>
        <stp>34354093M17:BlkVol</stp>
        <tr r="O1318" s="5"/>
      </tp>
      <tp>
        <v>0</v>
        <stp/>
        <stp>34344092M20:BlkVol</stp>
        <tr r="O1283" s="5"/>
      </tp>
      <tp>
        <v>25</v>
        <stp/>
        <stp>34354093M20:BlkVol</stp>
        <tr r="O1321" s="5"/>
      </tp>
      <tp>
        <v>0</v>
        <stp/>
        <stp>34344092M21:BlkVol</stp>
        <tr r="O1284" s="5"/>
      </tp>
      <tp>
        <v>25</v>
        <stp/>
        <stp>34354093M21:BlkVol</stp>
        <tr r="O1322" s="5"/>
      </tp>
      <tp>
        <v>0</v>
        <stp/>
        <stp>34344092M22:BlkVol</stp>
        <tr r="O1285" s="5"/>
      </tp>
      <tp>
        <v>25</v>
        <stp/>
        <stp>34354093M22:BlkVol</stp>
        <tr r="O1323" s="5"/>
      </tp>
      <tp>
        <v>0</v>
        <stp/>
        <stp>34344092M23:BlkVol</stp>
        <tr r="O1286" s="5"/>
      </tp>
      <tp>
        <v>25</v>
        <stp/>
        <stp>34354093M23:BlkVol</stp>
        <tr r="O1324" s="5"/>
      </tp>
      <tp>
        <v>0</v>
        <stp/>
        <stp>34344092M24:BlkVol</stp>
        <tr r="O1287" s="5"/>
      </tp>
      <tp>
        <v>25</v>
        <stp/>
        <stp>34354093M24:BlkVol</stp>
        <tr r="O1325" s="5"/>
      </tp>
      <tp>
        <v>0</v>
        <stp/>
        <stp>29243602M10:BlkVol</stp>
        <tr r="O756" s="5"/>
      </tp>
      <tp>
        <v>0</v>
        <stp/>
        <stp>29243602M11:BlkVol</stp>
        <tr r="O757" s="5"/>
      </tp>
      <tp>
        <v>0</v>
        <stp/>
        <stp>29243602M12:BlkVol</stp>
        <tr r="O758" s="5"/>
      </tp>
      <tp>
        <v>0</v>
        <stp/>
        <stp>29243602M13:BlkVol</stp>
        <tr r="O759" s="5"/>
      </tp>
      <tp>
        <v>0</v>
        <stp/>
        <stp>29243602M14:BlkVol</stp>
        <tr r="O760" s="5"/>
      </tp>
      <tp>
        <v>0</v>
        <stp/>
        <stp>29243602M15:BlkVol</stp>
        <tr r="O761" s="5"/>
      </tp>
      <tp>
        <v>0</v>
        <stp/>
        <stp>18851683M22:BlkVol</stp>
        <tr r="O215" s="5"/>
      </tp>
      <tp>
        <v>0</v>
        <stp/>
        <stp>18851683M23:BlkVol</stp>
        <tr r="O216" s="5"/>
      </tp>
      <tp>
        <v>0</v>
        <stp/>
        <stp>18851683M20:BlkVol</stp>
        <tr r="O213" s="5"/>
      </tp>
      <tp>
        <v>0</v>
        <stp/>
        <stp>18851683M21:BlkVol</stp>
        <tr r="O214" s="5"/>
      </tp>
      <tp>
        <v>0</v>
        <stp/>
        <stp>18851683M24:BlkVol</stp>
        <tr r="O217" s="5"/>
      </tp>
      <tp>
        <v>0</v>
        <stp/>
        <stp>18851683M12:BlkVol</stp>
        <tr r="O205" s="5"/>
      </tp>
      <tp>
        <v>0</v>
        <stp/>
        <stp>18851683M13:BlkVol</stp>
        <tr r="O206" s="5"/>
      </tp>
      <tp>
        <v>0</v>
        <stp/>
        <stp>18851683M10:BlkVol</stp>
        <tr r="O203" s="5"/>
      </tp>
      <tp>
        <v>0</v>
        <stp/>
        <stp>18851683M11:BlkVol</stp>
        <tr r="O204" s="5"/>
      </tp>
      <tp>
        <v>0</v>
        <stp/>
        <stp>18851683M16:BlkVol</stp>
        <tr r="O209" s="5"/>
      </tp>
      <tp>
        <v>0</v>
        <stp/>
        <stp>18851683M17:BlkVol</stp>
        <tr r="O210" s="5"/>
      </tp>
      <tp>
        <v>0</v>
        <stp/>
        <stp>18851683M14:BlkVol</stp>
        <tr r="O207" s="5"/>
      </tp>
      <tp>
        <v>0</v>
        <stp/>
        <stp>18851683M15:BlkVol</stp>
        <tr r="O208" s="5"/>
      </tp>
      <tp>
        <v>0</v>
        <stp/>
        <stp>18851683M18:BlkVol</stp>
        <tr r="O211" s="5"/>
      </tp>
      <tp>
        <v>0</v>
        <stp/>
        <stp>18851683M19:BlkVol</stp>
        <tr r="O212" s="5"/>
      </tp>
    </main>
    <main first="bofaddin.rtdserver">
      <tp t="s">
        <v>#N/A Invalid Security</v>
        <stp/>
        <stp>BDP|1516682480779473418|222</stp>
        <stp>SCPG30 Comdty</stp>
        <stp>ASK</stp>
        <stp>Fill=#N/A</stp>
        <tr r="M60" s="1"/>
      </tp>
    </main>
    <main first="ice.rtd">
      <tp>
        <v>40</v>
        <stp/>
        <stp>57409036M24:BlkVol</stp>
        <tr r="O255" s="5"/>
      </tp>
      <tp>
        <v>40</v>
        <stp/>
        <stp>57409036M21:BlkVol</stp>
        <tr r="O252" s="5"/>
      </tp>
      <tp>
        <v>40</v>
        <stp/>
        <stp>57409036M20:BlkVol</stp>
        <tr r="O251" s="5"/>
      </tp>
      <tp>
        <v>40</v>
        <stp/>
        <stp>57409036M23:BlkVol</stp>
        <tr r="O254" s="5"/>
      </tp>
      <tp>
        <v>40</v>
        <stp/>
        <stp>57409036M22:BlkVol</stp>
        <tr r="O253" s="5"/>
      </tp>
      <tp>
        <v>58</v>
        <stp/>
        <stp>57409036M15:BlkVol</stp>
        <tr r="O246" s="5"/>
      </tp>
      <tp>
        <v>58</v>
        <stp/>
        <stp>57409036M14:BlkVol</stp>
        <tr r="O245" s="5"/>
      </tp>
      <tp>
        <v>40</v>
        <stp/>
        <stp>57409036M17:BlkVol</stp>
        <tr r="O248" s="5"/>
      </tp>
      <tp>
        <v>40</v>
        <stp/>
        <stp>57409036M16:BlkVol</stp>
        <tr r="O247" s="5"/>
      </tp>
      <tp>
        <v>123</v>
        <stp/>
        <stp>57409036M11:BlkVol</stp>
        <tr r="O242" s="5"/>
      </tp>
      <tp>
        <v>123</v>
        <stp/>
        <stp>57409036M10:BlkVol</stp>
        <tr r="O241" s="5"/>
      </tp>
      <tp>
        <v>58</v>
        <stp/>
        <stp>57409036M13:BlkVol</stp>
        <tr r="O244" s="5"/>
      </tp>
      <tp>
        <v>123</v>
        <stp/>
        <stp>57409036M12:BlkVol</stp>
        <tr r="O243" s="5"/>
      </tp>
      <tp>
        <v>40</v>
        <stp/>
        <stp>57409036M19:BlkVol</stp>
        <tr r="O250" s="5"/>
      </tp>
      <tp>
        <v>40</v>
        <stp/>
        <stp>57409036M18:BlkVol</stp>
        <tr r="O249" s="5"/>
      </tp>
    </main>
    <main first="bofaddin.rtdserver">
      <tp>
        <v>563.9</v>
        <stp/>
        <stp>BDP|1047577081077620865|222</stp>
        <stp>SCPK27 Comdty</stp>
        <stp>ASK</stp>
        <stp>Fill=#N/A</stp>
        <tr r="M27" s="1"/>
      </tp>
    </main>
    <main first="ice.rtd">
      <tp>
        <v>6.3742000000000001</v>
        <stp/>
        <stp>2755828679M9:Settle</stp>
        <tr r="U1006" s="5"/>
      </tp>
      <tp>
        <v>6.4916</v>
        <stp/>
        <stp>2755828679M8:Settle</stp>
        <tr r="U1005" s="5"/>
      </tp>
      <tp>
        <v>6.4584000000000001</v>
        <stp/>
        <stp>2755828679M7:Settle</stp>
        <tr r="U1004" s="5"/>
      </tp>
      <tp>
        <v>6.4596</v>
        <stp/>
        <stp>2755828679M6:Settle</stp>
        <tr r="U1003" s="5"/>
      </tp>
      <tp>
        <v>6.4064000000000005</v>
        <stp/>
        <stp>2755828679M5:Settle</stp>
        <tr r="U1002" s="5"/>
      </tp>
      <tp>
        <v>6.2206000000000001</v>
        <stp/>
        <stp>2755828679M4:Settle</stp>
        <tr r="U1001" s="5"/>
      </tp>
      <tp>
        <v>6.1689000000000007</v>
        <stp/>
        <stp>2755828679M3:Settle</stp>
        <tr r="U1000" s="5"/>
      </tp>
      <tp>
        <v>6.2519</v>
        <stp/>
        <stp>2755828679M2:Settle</stp>
        <tr r="U999" s="5"/>
      </tp>
      <tp>
        <v>6.4004000000000003</v>
        <stp/>
        <stp>2755828679M1:Settle</stp>
        <tr r="U998" s="5"/>
      </tp>
      <tp>
        <v>6.2524000000000006</v>
        <stp/>
        <stp>2755828679M0:Settle</stp>
        <tr r="U997" s="5"/>
      </tp>
      <tp>
        <v>4.4485999999999999</v>
        <stp/>
        <stp>2755828679Q8:Settle</stp>
        <tr r="U1030" s="5"/>
      </tp>
      <tp>
        <v>4.5777999999999999</v>
        <stp/>
        <stp>2755828679Q7:Settle</stp>
        <tr r="U1029" s="5"/>
      </tp>
      <tp>
        <v>4.6495000000000006</v>
        <stp/>
        <stp>2755828679Q6:Settle</stp>
        <tr r="U1028" s="5"/>
      </tp>
      <tp>
        <v>4.6603000000000003</v>
        <stp/>
        <stp>2755828679Q5:Settle</stp>
        <tr r="U1027" s="5"/>
      </tp>
      <tp>
        <v>5.0794000000000006</v>
        <stp/>
        <stp>2755828679Q4:Settle</stp>
        <tr r="U1026" s="5"/>
      </tp>
      <tp>
        <v>5.9469000000000003</v>
        <stp/>
        <stp>2755828679Q3:Settle</stp>
        <tr r="U1025" s="5"/>
      </tp>
      <tp>
        <v>6.4414000000000007</v>
        <stp/>
        <stp>2755828679Q2:Settle</stp>
        <tr r="U1024" s="5"/>
      </tp>
      <tp>
        <v>6.3622000000000005</v>
        <stp/>
        <stp>2755828679Q1:Settle</stp>
        <tr r="U1023" s="5"/>
      </tp>
      <tp>
        <v>6.2737000000000007</v>
        <stp/>
        <stp>2755828679Q0:Settle</stp>
        <tr r="U1022" s="5"/>
      </tp>
      <tp>
        <v>5.3715999999999999</v>
        <stp/>
        <stp>2755828679Y2:Settle</stp>
        <tr r="U1033" s="5"/>
      </tp>
      <tp>
        <v>4.5841000000000003</v>
        <stp/>
        <stp>2755828679Y1:Settle</stp>
        <tr r="U1032" s="5"/>
      </tp>
      <tp>
        <v>5.9575000000000005</v>
        <stp/>
        <stp>2755828679Y0:Settle</stp>
        <tr r="U1031" s="5"/>
      </tp>
      <tp>
        <v>0</v>
        <stp/>
        <stp>2325125612B0:Vol</stp>
        <tr r="N669" s="5"/>
      </tp>
    </main>
    <main first="bofaddin.rtdserver">
      <tp>
        <v>88.59</v>
        <stp/>
        <stp>BDP|8468949237043006539|222</stp>
        <stp>COF7 Comdty</stp>
        <stp>ASK</stp>
        <stp>Fill=#N/A</stp>
        <tr r="G23" s="1"/>
      </tp>
    </main>
    <main first="ice.rtd">
      <tp>
        <v>2.4500000000000002</v>
        <stp/>
        <stp>2322725588B0:Settle</stp>
        <tr r="U2" s="5"/>
      </tp>
    </main>
    <main first="bofaddin.rtdserver">
      <tp>
        <v>251.84</v>
        <stp/>
        <stp>BDP|9452608981730393658|222</stp>
        <stp>XBK8 Comdty</stp>
        <stp>ASK</stp>
        <stp>Fill=#N/A</stp>
        <tr r="J39" s="1"/>
      </tp>
    </main>
    <main first="ice.rtd">
      <tp>
        <v>0</v>
        <stp/>
        <stp>2181724590B0:Vol</stp>
        <tr r="N1414" s="5"/>
      </tp>
    </main>
    <main first="bofaddin.rtdserver">
      <tp t="s">
        <v>#N/A Invalid Security</v>
        <stp/>
        <stp>BDP|6630461161297353938|222</stp>
        <stp>CLM9 Comdty</stp>
        <stp>ASK</stp>
        <stp>Fill=#N/A</stp>
        <tr r="F52" s="1"/>
      </tp>
      <tp>
        <v>73.83</v>
        <stp/>
        <stp>BDP|9023545578813220313|222</stp>
        <stp>CLN7 Comdty</stp>
        <stp>ASK</stp>
        <stp>Fill=#N/A</stp>
        <tr r="F29" s="1"/>
      </tp>
      <tp t="s">
        <v>#N/A Invalid Security</v>
        <stp/>
        <stp>BDP|6271385324039201970|222</stp>
        <stp>XBM0 Comdty</stp>
        <stp>BID</stp>
        <stp>Fill=#N/A</stp>
        <tr r="J64" s="1"/>
      </tp>
    </main>
    <main first="ice.rtd">
      <tp t="s">
        <v>Nov26/Feb27</v>
        <stp/>
        <stp>161913535MM24:Strip</stp>
        <tr r="E2051" s="5"/>
      </tp>
      <tp t="s">
        <v>Oct26/Jan27</v>
        <stp/>
        <stp>161913535MM14:Strip</stp>
        <tr r="E2041" s="5"/>
      </tp>
      <tp t="s">
        <v>GSL</v>
        <stp/>
        <stp>2009523367B0:PCC</stp>
        <tr r="B116" s="5"/>
      </tp>
      <tp t="s">
        <v>FOO</v>
        <stp/>
        <stp>2326325624B0:PCC</stp>
        <tr r="B806" s="5"/>
      </tp>
      <tp t="s">
        <v>UMA</v>
        <stp/>
        <stp>2325325614B0:PCC</stp>
        <tr r="B517" s="5"/>
      </tp>
      <tp t="s">
        <v>STT</v>
        <stp/>
        <stp>2323325594B0:PCC</stp>
        <tr r="B958" s="5"/>
      </tp>
      <tp>
        <v>1.171</v>
        <stp/>
        <stp>57179020Y0:Settle</stp>
        <tr r="U1580" s="5"/>
      </tp>
      <tp t="s">
        <v>Invalid Market: 57179020Y1</v>
        <stp/>
        <stp>57179020Y1:Settle</stp>
        <tr r="U1581" s="5"/>
      </tp>
      <tp>
        <v>1.1830000000000001</v>
        <stp/>
        <stp>57179020Q2:Settle</stp>
        <tr r="U1574" s="5"/>
      </tp>
      <tp>
        <v>1.218</v>
        <stp/>
        <stp>57179020Q3:Settle</stp>
        <tr r="U1575" s="5"/>
      </tp>
      <tp>
        <v>0.97100000000000009</v>
        <stp/>
        <stp>57179020Q0:Settle</stp>
        <tr r="U1572" s="5"/>
      </tp>
      <tp>
        <v>1.0629999999999999</v>
        <stp/>
        <stp>57179020Q1:Settle</stp>
        <tr r="U1573" s="5"/>
      </tp>
      <tp t="s">
        <v>Invalid Market: 57179020Q6</v>
        <stp/>
        <stp>57179020Q6:Settle</stp>
        <tr r="U1578" s="5"/>
      </tp>
      <tp t="s">
        <v>Invalid Market: 57179020Q7</v>
        <stp/>
        <stp>57179020Q7:Settle</stp>
        <tr r="U1579" s="5"/>
      </tp>
      <tp>
        <v>1.22</v>
        <stp/>
        <stp>57179020Q4:Settle</stp>
        <tr r="U1576" s="5"/>
      </tp>
      <tp t="s">
        <v>Invalid Market: 57179020Q5</v>
        <stp/>
        <stp>57179020Q5:Settle</stp>
        <tr r="U1577" s="5"/>
      </tp>
      <tp>
        <v>1.02</v>
        <stp/>
        <stp>57179020M2:Settle</stp>
        <tr r="U1549" s="5"/>
      </tp>
      <tp>
        <v>0.92300000000000004</v>
        <stp/>
        <stp>57179020M3:Settle</stp>
        <tr r="U1550" s="5"/>
      </tp>
      <tp>
        <v>1.36</v>
        <stp/>
        <stp>57179020M0:Settle</stp>
        <tr r="U1547" s="5"/>
      </tp>
      <tp>
        <v>0.96900000000000008</v>
        <stp/>
        <stp>57179020M1:Settle</stp>
        <tr r="U1548" s="5"/>
      </tp>
      <tp>
        <v>1.0760000000000001</v>
        <stp/>
        <stp>57179020M6:Settle</stp>
        <tr r="U1553" s="5"/>
      </tp>
      <tp>
        <v>1.1480000000000001</v>
        <stp/>
        <stp>57179020M7:Settle</stp>
        <tr r="U1554" s="5"/>
      </tp>
      <tp>
        <v>1.03</v>
        <stp/>
        <stp>57179020M4:Settle</stp>
        <tr r="U1551" s="5"/>
      </tp>
      <tp>
        <v>1.0840000000000001</v>
        <stp/>
        <stp>57179020M5:Settle</stp>
        <tr r="U1552" s="5"/>
      </tp>
      <tp>
        <v>1.198</v>
        <stp/>
        <stp>57179020M8:Settle</stp>
        <tr r="U1555" s="5"/>
      </tp>
      <tp>
        <v>1.2030000000000001</v>
        <stp/>
        <stp>57179020M9:Settle</stp>
        <tr r="U1556" s="5"/>
      </tp>
      <tp t="s">
        <v/>
        <stp/>
        <stp>DBI1227MM7:LstBlkVol</stp>
        <tr r="L1658" s="5"/>
      </tp>
    </main>
    <main first="bofaddin.rtdserver">
      <tp t="s">
        <v>#N/A N/A</v>
        <stp/>
        <stp>BDH|862489961085660683</stp>
        <tr r="BC47" s="1"/>
        <tr r="BC47" s="1"/>
      </tp>
      <tp t="b">
        <v>0</v>
        <stp/>
        <stp>BDH|261710837814916147</stp>
        <tr r="C17" s="23"/>
        <tr r="D17" s="23"/>
      </tp>
      <tp t="s">
        <v>#N/A N/A</v>
        <stp/>
        <stp>BDH|649789038380904569</stp>
        <tr r="AW59" s="1"/>
      </tp>
    </main>
    <main first="ice.rtd">
      <tp t="s">
        <v>Apr27</v>
        <stp/>
        <stp>266419M7:Strip</stp>
        <tr r="E966" s="5"/>
      </tp>
      <tp t="s">
        <v>Q3 28</v>
        <stp/>
        <stp>266419Q7:Strip</stp>
        <tr r="E991" s="5"/>
      </tp>
    </main>
    <main first="bofaddin.rtdserver">
      <tp t="s">
        <v>#N/A Requesting Data...3926345787</v>
        <stp/>
        <stp>BDP|184457951564796475</stp>
        <tr r="AM74" s="23"/>
      </tp>
    </main>
    <main first="ice.rtd">
      <tp t="s">
        <v>Mar27</v>
        <stp/>
        <stp>141587M6:Strip</stp>
        <tr r="E47" s="5"/>
      </tp>
      <tp t="s">
        <v>Q2 28</v>
        <stp/>
        <stp>141587Q6:Strip</stp>
        <tr r="E72" s="5"/>
      </tp>
    </main>
    <main first="ice.rtd">
      <tp t="s">
        <v>Sep27</v>
        <stp/>
        <stp>34404098M12:Strip</stp>
        <tr r="E606" s="5"/>
      </tp>
      <tp t="s">
        <v>Sep27</v>
        <stp/>
        <stp>34414099M12:Strip</stp>
        <tr r="E91" s="5"/>
      </tp>
      <tp t="s">
        <v>Jul28</v>
        <stp/>
        <stp>34404098M22:Strip</stp>
        <tr r="E616" s="5"/>
      </tp>
      <tp t="s">
        <v>Jul28</v>
        <stp/>
        <stp>34414099M22:Strip</stp>
        <tr r="E101" s="5"/>
      </tp>
      <tp t="s">
        <v>Jun28</v>
        <stp/>
        <stp>30793693M21:Strip</stp>
        <tr r="E904" s="5"/>
      </tp>
      <tp t="s">
        <v>Aug27</v>
        <stp/>
        <stp>30793693M11:Strip</stp>
        <tr r="E894" s="5"/>
      </tp>
      <tp t="s">
        <v/>
        <stp/>
        <stp>DBI1227QQ1:BstHitPrc</stp>
        <tr r="G1680" s="5"/>
      </tp>
      <tp t="s">
        <v/>
        <stp/>
        <stp>DBI1227MM1:BstHitPrc</stp>
        <tr r="G1652" s="5"/>
      </tp>
      <tp t="s">
        <v>Aug27</v>
        <stp/>
        <stp>41787896M11:Strip</stp>
        <tr r="E818" s="5"/>
      </tp>
      <tp t="s">
        <v>Jun28</v>
        <stp/>
        <stp>41787896M21:Strip</stp>
        <tr r="E828" s="5"/>
      </tp>
      <tp t="s">
        <v>Sep26/Aug27</v>
        <stp/>
        <stp>15061297MM6:Strip</stp>
        <tr r="E1689" s="5"/>
      </tp>
      <tp t="s">
        <v>May28</v>
        <stp/>
        <stp>32623993M20:Strip</stp>
        <tr r="E2010" s="5"/>
      </tp>
      <tp t="s">
        <v>Jul27</v>
        <stp/>
        <stp>32623993M10:Strip</stp>
        <tr r="E2000" s="5"/>
      </tp>
    </main>
    <main first="esrtd">
      <tp t="s">
        <v/>
        <stp/>
        <stp>Invalid Market: CALCM12 U27-IEU</stp>
        <stp>ICE Theoretical Price</stp>
        <tr r="W281" s="5"/>
        <tr r="W1085" s="5"/>
        <tr r="W395" s="5"/>
        <tr r="W1351" s="5"/>
        <tr r="W857" s="5"/>
        <tr r="W1199" s="5"/>
      </tp>
    </main>
    <main first="ice.rtd">
      <tp t="s">
        <v>May28</v>
        <stp/>
        <stp>32613992M20:Strip</stp>
        <tr r="E1245" s="5"/>
      </tp>
      <tp t="s">
        <v>Jul27</v>
        <stp/>
        <stp>32613992M10:Strip</stp>
        <tr r="E1235" s="5"/>
      </tp>
      <tp t="s">
        <v>Dec27</v>
        <stp/>
        <stp>34364094M15:Strip</stp>
        <tr r="E533" s="5"/>
      </tp>
      <tp t="s">
        <v>Dec27</v>
        <stp/>
        <stp>34374095M15:Strip</stp>
        <tr r="E571" s="5"/>
      </tp>
      <tp t="s">
        <v>Aug27</v>
        <stp/>
        <stp>41767893M11:Strip</stp>
        <tr r="E491" s="5"/>
      </tp>
      <tp t="s">
        <v>Jun28</v>
        <stp/>
        <stp>41767893M21:Strip</stp>
        <tr r="E501" s="5"/>
      </tp>
      <tp t="s">
        <v/>
        <stp/>
        <stp>DBI1227QQ1:LstBlkPrc</stp>
        <tr r="K1680" s="5"/>
      </tp>
      <tp t="s">
        <v/>
        <stp/>
        <stp>DBI1227MM1:LstBlkPrc</stp>
        <tr r="K1652" s="5"/>
      </tp>
      <tp t="s">
        <v>Mar28</v>
        <stp/>
        <stp>57409036M18:Strip</stp>
        <tr r="E249" s="5"/>
      </tp>
      <tp t="s">
        <v>Dec27</v>
        <stp/>
        <stp>34344092M15:Strip</stp>
        <tr r="E1278" s="5"/>
      </tp>
      <tp t="s">
        <v>Dec27</v>
        <stp/>
        <stp>34354093M15:Strip</stp>
        <tr r="E1316" s="5"/>
      </tp>
      <tp>
        <v>0</v>
        <stp/>
        <stp>15061297YY0:BlkVol</stp>
        <tr r="O1713" s="5"/>
      </tp>
      <tp t="s">
        <v/>
        <stp/>
        <stp>18901687M24:LstPrc</stp>
        <tr r="I331" s="5"/>
      </tp>
      <tp t="s">
        <v/>
        <stp/>
        <stp>18901687M20:LstPrc</stp>
        <tr r="I327" s="5"/>
      </tp>
      <tp t="s">
        <v/>
        <stp/>
        <stp>18901687M21:LstPrc</stp>
        <tr r="I328" s="5"/>
      </tp>
      <tp t="s">
        <v/>
        <stp/>
        <stp>18901687M22:LstPrc</stp>
        <tr r="I329" s="5"/>
      </tp>
      <tp t="s">
        <v/>
        <stp/>
        <stp>18901687M23:LstPrc</stp>
        <tr r="I330" s="5"/>
      </tp>
      <tp t="s">
        <v/>
        <stp/>
        <stp>18901687M18:LstPrc</stp>
        <tr r="I325" s="5"/>
      </tp>
      <tp t="s">
        <v/>
        <stp/>
        <stp>18901687M19:LstPrc</stp>
        <tr r="I326" s="5"/>
      </tp>
      <tp t="s">
        <v/>
        <stp/>
        <stp>18901687M14:LstPrc</stp>
        <tr r="I321" s="5"/>
      </tp>
      <tp t="s">
        <v/>
        <stp/>
        <stp>18901687M15:LstPrc</stp>
        <tr r="I322" s="5"/>
      </tp>
      <tp t="s">
        <v/>
        <stp/>
        <stp>18901687M16:LstPrc</stp>
        <tr r="I323" s="5"/>
      </tp>
      <tp t="s">
        <v/>
        <stp/>
        <stp>18901687M17:LstPrc</stp>
        <tr r="I324" s="5"/>
      </tp>
      <tp t="s">
        <v/>
        <stp/>
        <stp>18901687M10:LstPrc</stp>
        <tr r="I317" s="5"/>
      </tp>
      <tp t="s">
        <v/>
        <stp/>
        <stp>18901687M11:LstPrc</stp>
        <tr r="I318" s="5"/>
      </tp>
      <tp t="s">
        <v/>
        <stp/>
        <stp>18901687M12:LstPrc</stp>
        <tr r="I319" s="5"/>
      </tp>
      <tp t="s">
        <v/>
        <stp/>
        <stp>18901687M13:LstPrc</stp>
        <tr r="I320" s="5"/>
      </tp>
      <tp t="s">
        <v>Dec26</v>
        <stp/>
        <stp>266M3:Strip</stp>
        <tr r="E924" s="5"/>
      </tp>
      <tp t="s">
        <v>Q3 27</v>
        <stp/>
        <stp>266Q3:Strip</stp>
        <tr r="E949" s="5"/>
      </tp>
      <tp t="s">
        <v>Invalid Market: 2044823525M19</v>
        <stp/>
        <stp>2044823525M19:Strip</stp>
        <tr r="E1766" s="5"/>
      </tp>
      <tp t="s">
        <v/>
        <stp/>
        <stp>161913535MM4:LstDate</stp>
        <tr r="J2031" s="5"/>
      </tp>
      <tp t="s">
        <v/>
        <stp/>
        <stp>161913535MM5:LstDate</stp>
        <tr r="J2032" s="5"/>
      </tp>
      <tp t="s">
        <v/>
        <stp/>
        <stp>161913535MM6:LstDate</stp>
        <tr r="J2033" s="5"/>
      </tp>
      <tp t="s">
        <v/>
        <stp/>
        <stp>161913535MM7:LstDate</stp>
        <tr r="J2034" s="5"/>
      </tp>
      <tp t="s">
        <v/>
        <stp/>
        <stp>161913535MM0:LstDate</stp>
        <tr r="J2027" s="5"/>
      </tp>
      <tp t="s">
        <v/>
        <stp/>
        <stp>161913535MM1:LstDate</stp>
        <tr r="J2028" s="5"/>
      </tp>
      <tp t="s">
        <v/>
        <stp/>
        <stp>161913535MM2:LstDate</stp>
        <tr r="J2029" s="5"/>
      </tp>
      <tp t="s">
        <v/>
        <stp/>
        <stp>161913535MM3:LstDate</stp>
        <tr r="J2030" s="5"/>
      </tp>
      <tp t="s">
        <v/>
        <stp/>
        <stp>161913535MM8:LstDate</stp>
        <tr r="J2035" s="5"/>
      </tp>
      <tp t="s">
        <v/>
        <stp/>
        <stp>161913535MM9:LstDate</stp>
        <tr r="J2036" s="5"/>
      </tp>
      <tp t="s">
        <v>Invalid Market: 57179020M24</v>
        <stp/>
        <stp>57179020M24:LstPrc</stp>
        <tr r="I1571" s="5"/>
      </tp>
      <tp t="s">
        <v>Invalid Market: 57179020M22</v>
        <stp/>
        <stp>57179020M22:LstPrc</stp>
        <tr r="I1569" s="5"/>
      </tp>
      <tp t="s">
        <v>Invalid Market: 57179020M23</v>
        <stp/>
        <stp>57179020M23:LstPrc</stp>
        <tr r="I1570" s="5"/>
      </tp>
      <tp t="s">
        <v>Invalid Market: 57179020M20</v>
        <stp/>
        <stp>57179020M20:LstPrc</stp>
        <tr r="I1567" s="5"/>
      </tp>
      <tp t="s">
        <v>Invalid Market: 57179020M21</v>
        <stp/>
        <stp>57179020M21:LstPrc</stp>
        <tr r="I1568" s="5"/>
      </tp>
      <tp t="s">
        <v>Invalid Market: 57179020M18</v>
        <stp/>
        <stp>57179020M18:LstPrc</stp>
        <tr r="I1565" s="5"/>
      </tp>
      <tp t="s">
        <v>Invalid Market: 57179020M19</v>
        <stp/>
        <stp>57179020M19:LstPrc</stp>
        <tr r="I1566" s="5"/>
      </tp>
      <tp t="s">
        <v>Invalid Market: 57179020M16</v>
        <stp/>
        <stp>57179020M16:LstPrc</stp>
        <tr r="I1563" s="5"/>
      </tp>
      <tp t="s">
        <v>Invalid Market: 57179020M17</v>
        <stp/>
        <stp>57179020M17:LstPrc</stp>
        <tr r="I1564" s="5"/>
      </tp>
      <tp t="s">
        <v/>
        <stp/>
        <stp>57179020M14:LstPrc</stp>
        <tr r="I1561" s="5"/>
      </tp>
      <tp t="s">
        <v/>
        <stp/>
        <stp>57179020M15:LstPrc</stp>
        <tr r="I1562" s="5"/>
      </tp>
      <tp t="s">
        <v/>
        <stp/>
        <stp>57179020M12:LstPrc</stp>
        <tr r="I1559" s="5"/>
      </tp>
      <tp t="s">
        <v/>
        <stp/>
        <stp>57179020M13:LstPrc</stp>
        <tr r="I1560" s="5"/>
      </tp>
      <tp t="s">
        <v/>
        <stp/>
        <stp>57179020M10:LstPrc</stp>
        <tr r="I1557" s="5"/>
      </tp>
      <tp t="s">
        <v/>
        <stp/>
        <stp>57179020M11:LstPrc</stp>
        <tr r="I1558" s="5"/>
      </tp>
      <tp t="s">
        <v>Jul27</v>
        <stp/>
        <stp>3124331018M10:Strip</stp>
        <tr r="E1615" s="5"/>
      </tp>
      <tp>
        <v>0</v>
        <stp/>
        <stp>15061297QQ1:BlkVol</stp>
        <tr r="O1712" s="5"/>
      </tp>
      <tp>
        <v>0</v>
        <stp/>
        <stp>15061297QQ0:BlkVol</stp>
        <tr r="O1711" s="5"/>
      </tp>
      <tp t="s">
        <v/>
        <stp/>
        <stp>266419M20:LstPrc</stp>
        <tr r="I979" s="5"/>
      </tp>
      <tp t="s">
        <v/>
        <stp/>
        <stp>266419M21:LstPrc</stp>
        <tr r="I980" s="5"/>
      </tp>
      <tp t="s">
        <v/>
        <stp/>
        <stp>266419M22:LstPrc</stp>
        <tr r="I981" s="5"/>
      </tp>
      <tp t="s">
        <v/>
        <stp/>
        <stp>266419M23:LstPrc</stp>
        <tr r="I982" s="5"/>
      </tp>
      <tp t="s">
        <v/>
        <stp/>
        <stp>266419M24:LstPrc</stp>
        <tr r="I983" s="5"/>
      </tp>
      <tp t="s">
        <v/>
        <stp/>
        <stp>266419M10:LstPrc</stp>
        <tr r="I969" s="5"/>
      </tp>
      <tp t="s">
        <v/>
        <stp/>
        <stp>266419M11:LstPrc</stp>
        <tr r="I970" s="5"/>
      </tp>
      <tp t="s">
        <v/>
        <stp/>
        <stp>266419M12:LstPrc</stp>
        <tr r="I971" s="5"/>
      </tp>
      <tp t="s">
        <v/>
        <stp/>
        <stp>266419M13:LstPrc</stp>
        <tr r="I972" s="5"/>
      </tp>
      <tp t="s">
        <v/>
        <stp/>
        <stp>266419M14:LstPrc</stp>
        <tr r="I973" s="5"/>
      </tp>
      <tp t="s">
        <v/>
        <stp/>
        <stp>266419M15:LstPrc</stp>
        <tr r="I974" s="5"/>
      </tp>
      <tp t="s">
        <v/>
        <stp/>
        <stp>266419M16:LstPrc</stp>
        <tr r="I975" s="5"/>
      </tp>
      <tp t="s">
        <v/>
        <stp/>
        <stp>266419M17:LstPrc</stp>
        <tr r="I976" s="5"/>
      </tp>
      <tp t="s">
        <v/>
        <stp/>
        <stp>266419M18:LstPrc</stp>
        <tr r="I977" s="5"/>
      </tp>
      <tp t="s">
        <v/>
        <stp/>
        <stp>266419M19:LstPrc</stp>
        <tr r="I978" s="5"/>
      </tp>
      <tp t="s">
        <v>Aug28</v>
        <stp/>
        <stp>2755728678M23:Strip</stp>
        <tr r="E1134" s="5"/>
      </tp>
      <tp t="s">
        <v>Oct27</v>
        <stp/>
        <stp>2755728678M13:Strip</stp>
        <tr r="E1124" s="5"/>
      </tp>
    </main>
    <main first="esrtd">
      <tp t="s">
        <v/>
        <stp/>
        <stp>FQZ B0-IEU</stp>
        <stp>ICE Theoretical Price</stp>
        <tr r="W768" s="5"/>
      </tp>
    </main>
    <main first="ice.rtd">
      <tp>
        <v>0</v>
        <stp/>
        <stp>32623993M24:BlkVol</stp>
        <tr r="O2014" s="5"/>
      </tp>
      <tp>
        <v>0</v>
        <stp/>
        <stp>32623993M21:BlkVol</stp>
        <tr r="O2011" s="5"/>
      </tp>
      <tp>
        <v>0</v>
        <stp/>
        <stp>32623993M20:BlkVol</stp>
        <tr r="O2010" s="5"/>
      </tp>
      <tp>
        <v>0</v>
        <stp/>
        <stp>32623993M23:BlkVol</stp>
        <tr r="O2013" s="5"/>
      </tp>
      <tp>
        <v>0</v>
        <stp/>
        <stp>32623993M22:BlkVol</stp>
        <tr r="O2012" s="5"/>
      </tp>
      <tp>
        <v>0</v>
        <stp/>
        <stp>32623993M19:BlkVol</stp>
        <tr r="O2009" s="5"/>
      </tp>
      <tp>
        <v>0</v>
        <stp/>
        <stp>32623993M18:BlkVol</stp>
        <tr r="O2008" s="5"/>
      </tp>
      <tp>
        <v>2</v>
        <stp/>
        <stp>32623993M15:BlkVol</stp>
        <tr r="O2005" s="5"/>
      </tp>
      <tp>
        <v>2</v>
        <stp/>
        <stp>32623993M14:BlkVol</stp>
        <tr r="O2004" s="5"/>
      </tp>
      <tp>
        <v>0</v>
        <stp/>
        <stp>32623993M17:BlkVol</stp>
        <tr r="O2007" s="5"/>
      </tp>
      <tp>
        <v>0</v>
        <stp/>
        <stp>32623993M16:BlkVol</stp>
        <tr r="O2006" s="5"/>
      </tp>
      <tp>
        <v>2</v>
        <stp/>
        <stp>32623993M11:BlkVol</stp>
        <tr r="O2001" s="5"/>
      </tp>
      <tp>
        <v>2</v>
        <stp/>
        <stp>32623993M10:BlkVol</stp>
        <tr r="O2000" s="5"/>
      </tp>
      <tp>
        <v>2</v>
        <stp/>
        <stp>32623993M13:BlkVol</stp>
        <tr r="O2003" s="5"/>
      </tp>
      <tp>
        <v>2</v>
        <stp/>
        <stp>32623993M12:BlkVol</stp>
        <tr r="O2002" s="5"/>
      </tp>
      <tp>
        <v>0</v>
        <stp/>
        <stp>15061297MM9:BlkVol</stp>
        <tr r="O1692" s="5"/>
      </tp>
      <tp>
        <v>152</v>
        <stp/>
        <stp>15061297MM8:BlkVol</stp>
        <tr r="O1691" s="5"/>
      </tp>
      <tp>
        <v>0</v>
        <stp/>
        <stp>15061297MM3:BlkVol</stp>
        <tr r="O1686" s="5"/>
      </tp>
      <tp>
        <v>0</v>
        <stp/>
        <stp>15061297MM2:BlkVol</stp>
        <tr r="O1685" s="5"/>
      </tp>
      <tp>
        <v>0</v>
        <stp/>
        <stp>15061297MM1:BlkVol</stp>
        <tr r="O1684" s="5"/>
      </tp>
      <tp>
        <v>0</v>
        <stp/>
        <stp>15061297MM0:BlkVol</stp>
        <tr r="O1683" s="5"/>
      </tp>
      <tp>
        <v>0</v>
        <stp/>
        <stp>15061297MM7:BlkVol</stp>
        <tr r="O1690" s="5"/>
      </tp>
      <tp>
        <v>0</v>
        <stp/>
        <stp>15061297MM6:BlkVol</stp>
        <tr r="O1689" s="5"/>
      </tp>
      <tp>
        <v>0</v>
        <stp/>
        <stp>15061297MM5:BlkVol</stp>
        <tr r="O1688" s="5"/>
      </tp>
      <tp>
        <v>0</v>
        <stp/>
        <stp>15061297MM4:BlkVol</stp>
        <tr r="O1687" s="5"/>
      </tp>
    </main>
    <main first="bofaddin.rtdserver">
      <tp t="s">
        <v>#N/A Invalid Security</v>
        <stp/>
        <stp>BDP|3898811425360137262|222</stp>
        <stp>SCPQ28 Comdty</stp>
        <stp>BID</stp>
        <stp>Fill=#N/A</stp>
        <tr r="M42" s="1"/>
      </tp>
      <tp t="s">
        <v>#N/A</v>
        <stp/>
        <stp>BDP|4238247021825559655|222</stp>
        <stp>XBM8 Comdty</stp>
        <stp>ASK</stp>
        <stp>Fill=#N/A</stp>
        <tr r="J40" s="1"/>
      </tp>
      <tp>
        <v>854</v>
        <stp/>
        <stp>BDP|4256951927999185929|222</stp>
        <stp>QSM8 Comdty</stp>
        <stp>ASK</stp>
        <stp>Fill=#N/A</stp>
        <tr r="H40" s="1"/>
      </tp>
      <tp t="s">
        <v>#N/A</v>
        <stp/>
        <stp>BDP|8460725670934237386|222</stp>
        <stp>QSN9 Comdty</stp>
        <stp>ASK</stp>
        <stp>Fill=#N/A</stp>
        <tr r="H53" s="1"/>
      </tp>
      <tp t="s">
        <v>#N/A Invalid Security</v>
        <stp/>
        <stp>BDP|3264083135948859906|222</stp>
        <stp>CON0 Comdty</stp>
        <stp>ASK</stp>
        <stp>Fill=#N/A</stp>
        <tr r="G65" s="1"/>
      </tp>
      <tp>
        <v>251.92</v>
        <stp/>
        <stp>BDP|9788951087006908162|222</stp>
        <stp>XBJ8 Comdty</stp>
        <stp>ASK</stp>
        <stp>Fill=#N/A</stp>
        <tr r="J38" s="1"/>
      </tp>
    </main>
    <main first="ice.rtd">
      <tp>
        <v>0</v>
        <stp/>
        <stp>2325225613B0:Vol</stp>
        <tr r="N631" s="5"/>
      </tp>
      <tp>
        <v>0</v>
        <stp/>
        <stp>2324225603B0:Vol</stp>
        <tr r="N920" s="5"/>
      </tp>
      <tp>
        <v>0</v>
        <stp/>
        <stp>2326225623B0:Vol</stp>
        <tr r="N1300" s="5"/>
      </tp>
      <tp>
        <v>0</v>
        <stp/>
        <stp>2049123570B0:Vol</stp>
        <tr r="N230" s="5"/>
      </tp>
    </main>
    <main first="bofaddin.rtdserver">
      <tp t="s">
        <v>#N/A</v>
        <stp/>
        <stp>BDP|7798124030463198929|222</stp>
        <stp>XBH9 Comdty</stp>
        <stp>ASK</stp>
        <stp>Fill=#N/A</stp>
        <tr r="J49" s="1"/>
      </tp>
      <tp>
        <v>72.83</v>
        <stp/>
        <stp>BDP|7625609094076225651|222</stp>
        <stp>COF9 Comdty</stp>
        <stp>BID</stp>
        <stp>Fill=#N/A</stp>
        <tr r="G47" s="1"/>
      </tp>
      <tp t="s">
        <v>#N/A Invalid Security</v>
        <stp/>
        <stp>BDP|3437053635979051453|222</stp>
        <stp>CON9 Comdty</stp>
        <stp>ASK</stp>
        <stp>Fill=#N/A</stp>
        <tr r="G53" s="1"/>
      </tp>
      <tp>
        <v>259.75</v>
        <stp/>
        <stp>BDP|4694418780258510562|222</stp>
        <stp>HON8 Comdty</stp>
        <stp>BID</stp>
        <stp>Fill=#N/A</stp>
        <tr r="I41" s="1"/>
      </tp>
    </main>
    <main first="ice.rtd">
      <tp>
        <v>0</v>
        <stp/>
        <stp>2888129698B0:Vol</stp>
        <tr r="N1110" s="5"/>
      </tp>
    </main>
    <main first="bofaddin.rtdserver">
      <tp t="s">
        <v>#N/A Invalid Security</v>
        <stp/>
        <stp>BDP|5569734726829718700|222</stp>
        <stp>CLJ9 Comdty</stp>
        <stp>ASK</stp>
        <stp>Fill=#N/A</stp>
        <tr r="F50" s="1"/>
      </tp>
    </main>
    <main first="ice.rtd">
      <tp>
        <v>0</v>
        <stp/>
        <stp>3126131030B0:Vol</stp>
        <tr r="N1746" s="5"/>
      </tp>
      <tp>
        <v>0</v>
        <stp/>
        <stp>2184924621B0:Vol</stp>
        <tr r="N707" s="5"/>
      </tp>
    </main>
    <main first="bofaddin.rtdserver">
      <tp>
        <v>259.75</v>
        <stp/>
        <stp>BDP|6974027386542369560|222</stp>
        <stp>HOM8 Comdty</stp>
        <stp>BID</stp>
        <stp>Fill=#N/A</stp>
        <tr r="I40" s="1"/>
      </tp>
    </main>
    <main first="ice.rtd">
      <tp>
        <v>1.1425000000000001</v>
        <stp/>
        <stp>2181724590B0:Settle</stp>
        <tr r="U1414" s="5"/>
      </tp>
    </main>
    <main first="bofaddin.rtdserver">
      <tp>
        <v>73.790000000000006</v>
        <stp/>
        <stp>BDP|3287399574502000534|222</stp>
        <stp>CLN7 Comdty</stp>
        <stp>BID</stp>
        <stp>Fill=#N/A</stp>
        <tr r="F29" s="1"/>
      </tp>
      <tp>
        <v>272.42</v>
        <stp/>
        <stp>BDP|1779725026833288245|222</stp>
        <stp>XBF7 Comdty</stp>
        <stp>ASK</stp>
        <stp>Fill=#N/A</stp>
        <tr r="J23" s="1"/>
      </tp>
    </main>
    <main first="ice.rtd">
      <tp t="s">
        <v>Nov26/Mar27</v>
        <stp/>
        <stp>161913535MM25:Strip</stp>
        <tr r="E2052" s="5"/>
      </tp>
      <tp t="s">
        <v>Oct26/Feb27</v>
        <stp/>
        <stp>161913535MM15:Strip</stp>
        <tr r="E2042" s="5"/>
      </tp>
      <tp t="s">
        <v>UL8</v>
        <stp/>
        <stp>2326425625B0:PCC</stp>
        <tr r="B1262" s="5"/>
      </tp>
      <tp t="s">
        <v>UMD</v>
        <stp/>
        <stp>2325425615B0:PCC</stp>
        <tr r="B555" s="5"/>
      </tp>
      <tp>
        <v>-9.290000000000001E-2</v>
        <stp/>
        <stp>29243602Q2:Settle</stp>
        <tr r="U764" s="5"/>
      </tp>
      <tp>
        <v>-8.0600000000000005E-2</v>
        <stp/>
        <stp>29243602Q3:Settle</stp>
        <tr r="U765" s="5"/>
      </tp>
      <tp>
        <v>-0.14250000000000002</v>
        <stp/>
        <stp>29243602Q0:Settle</stp>
        <tr r="U762" s="5"/>
      </tp>
      <tp>
        <v>-0.1188</v>
        <stp/>
        <stp>29243602Q1:Settle</stp>
        <tr r="U763" s="5"/>
      </tp>
      <tp>
        <v>-0.1288</v>
        <stp/>
        <stp>29243602Q4:Settle</stp>
        <tr r="U766" s="5"/>
      </tp>
      <tp>
        <v>-0.1053</v>
        <stp/>
        <stp>29243602Y0:Settle</stp>
        <tr r="U767" s="5"/>
      </tp>
      <tp>
        <v>-0.09</v>
        <stp/>
        <stp>29243602M8:Settle</stp>
        <tr r="U754" s="5"/>
      </tp>
      <tp>
        <v>-9.1300000000000006E-2</v>
        <stp/>
        <stp>29243602M9:Settle</stp>
        <tr r="U755" s="5"/>
      </tp>
      <tp>
        <v>-0.14500000000000002</v>
        <stp/>
        <stp>29243602M2:Settle</stp>
        <tr r="U748" s="5"/>
      </tp>
      <tp>
        <v>-0.17750000000000002</v>
        <stp/>
        <stp>29243602M3:Settle</stp>
        <tr r="U749" s="5"/>
      </tp>
      <tp>
        <v>0.02</v>
        <stp/>
        <stp>29243602M0:Settle</stp>
        <tr r="U746" s="5"/>
      </tp>
      <tp>
        <v>-0.10500000000000001</v>
        <stp/>
        <stp>29243602M1:Settle</stp>
        <tr r="U747" s="5"/>
      </tp>
      <tp>
        <v>-0.10630000000000001</v>
        <stp/>
        <stp>29243602M6:Settle</stp>
        <tr r="U752" s="5"/>
      </tp>
      <tp>
        <v>-9.7500000000000003E-2</v>
        <stp/>
        <stp>29243602M7:Settle</stp>
        <tr r="U753" s="5"/>
      </tp>
      <tp>
        <v>-0.1288</v>
        <stp/>
        <stp>29243602M4:Settle</stp>
        <tr r="U750" s="5"/>
      </tp>
      <tp>
        <v>-0.12130000000000001</v>
        <stp/>
        <stp>29243602M5:Settle</stp>
        <tr r="U751" s="5"/>
      </tp>
      <tp>
        <v>0.82750000000000001</v>
        <stp/>
        <stp>16331513Q6:Settle</stp>
        <tr r="U1446" s="5"/>
      </tp>
      <tp>
        <v>0.87250000000000005</v>
        <stp/>
        <stp>16341514Q6:Settle</stp>
        <tr r="U1484" s="5"/>
      </tp>
      <tp>
        <v>1.45292</v>
        <stp/>
        <stp>16351515Q6:Settle</stp>
        <tr r="U1522" s="5"/>
      </tp>
      <tp>
        <v>0.82500000000000007</v>
        <stp/>
        <stp>16331513Q7:Settle</stp>
        <tr r="U1447" s="5"/>
      </tp>
      <tp>
        <v>0.88541999999999998</v>
        <stp/>
        <stp>16341514Q7:Settle</stp>
        <tr r="U1485" s="5"/>
      </tp>
      <tp>
        <v>1.4325000000000001</v>
        <stp/>
        <stp>16351515Q7:Settle</stp>
        <tr r="U1523" s="5"/>
      </tp>
      <tp>
        <v>0.91</v>
        <stp/>
        <stp>16331513Q4:Settle</stp>
        <tr r="U1444" s="5"/>
      </tp>
      <tp>
        <v>0.93707999999999991</v>
        <stp/>
        <stp>16341514Q4:Settle</stp>
        <tr r="U1482" s="5"/>
      </tp>
      <tp>
        <v>1.50458</v>
        <stp/>
        <stp>16351515Q4:Settle</stp>
        <tr r="U1520" s="5"/>
      </tp>
      <tp>
        <v>0.89332999999999996</v>
        <stp/>
        <stp>16331513Q5:Settle</stp>
        <tr r="U1445" s="5"/>
      </tp>
      <tp>
        <v>0.9204199999999999</v>
        <stp/>
        <stp>16341514Q5:Settle</stp>
        <tr r="U1483" s="5"/>
      </tp>
      <tp>
        <v>1.4866699999999999</v>
        <stp/>
        <stp>16351515Q5:Settle</stp>
        <tr r="U1521" s="5"/>
      </tp>
      <tp>
        <v>0.91042000000000001</v>
        <stp/>
        <stp>16331513Q2:Settle</stp>
        <tr r="U1442" s="5"/>
      </tp>
      <tp>
        <v>0.98166999999999993</v>
        <stp/>
        <stp>16341514Q2:Settle</stp>
        <tr r="U1480" s="5"/>
      </tp>
      <tp>
        <v>1.6</v>
        <stp/>
        <stp>16351515Q2:Settle</stp>
        <tr r="U1518" s="5"/>
      </tp>
      <tp>
        <v>0.8958299999999999</v>
        <stp/>
        <stp>16331513Q3:Settle</stp>
        <tr r="U1443" s="5"/>
      </tp>
      <tp>
        <v>0.98</v>
        <stp/>
        <stp>16341514Q3:Settle</stp>
        <tr r="U1481" s="5"/>
      </tp>
      <tp>
        <v>1.5316699999999999</v>
        <stp/>
        <stp>16351515Q3:Settle</stp>
        <tr r="U1519" s="5"/>
      </tp>
      <tp>
        <v>1.13958</v>
        <stp/>
        <stp>16331513Q0:Settle</stp>
        <tr r="U1440" s="5"/>
      </tp>
      <tp>
        <v>1.1775</v>
        <stp/>
        <stp>16341514Q0:Settle</stp>
        <tr r="U1478" s="5"/>
      </tp>
      <tp>
        <v>1.85917</v>
        <stp/>
        <stp>16351515Q0:Settle</stp>
        <tr r="U1516" s="5"/>
      </tp>
      <tp>
        <v>1.0620799999999999</v>
        <stp/>
        <stp>16331513Q1:Settle</stp>
        <tr r="U1441" s="5"/>
      </tp>
      <tp>
        <v>1.0933299999999999</v>
        <stp/>
        <stp>16341514Q1:Settle</stp>
        <tr r="U1479" s="5"/>
      </tp>
      <tp>
        <v>1.7237499999999999</v>
        <stp/>
        <stp>16351515Q1:Settle</stp>
        <tr r="U1517" s="5"/>
      </tp>
      <tp>
        <v>0.84332999999999991</v>
        <stp/>
        <stp>16331513Q8:Settle</stp>
        <tr r="U1448" s="5"/>
      </tp>
      <tp>
        <v>0.87583</v>
        <stp/>
        <stp>16341514Q8:Settle</stp>
        <tr r="U1486" s="5"/>
      </tp>
      <tp>
        <v>1.42625</v>
        <stp/>
        <stp>16351515Q8:Settle</stp>
        <tr r="U1524" s="5"/>
      </tp>
      <tp>
        <v>0.80103999999999997</v>
        <stp/>
        <stp>16331513Y2:Settle</stp>
        <tr r="U1451" s="5"/>
      </tp>
      <tp>
        <v>0.87</v>
        <stp/>
        <stp>16341514Y2:Settle</stp>
        <tr r="U1489" s="5"/>
      </tp>
      <tp>
        <v>1.3783299999999998</v>
        <stp/>
        <stp>16351515Y2:Settle</stp>
        <tr r="U1527" s="5"/>
      </tp>
      <tp>
        <v>0.94457999999999998</v>
        <stp/>
        <stp>16331513Y0:Settle</stp>
        <tr r="U1449" s="5"/>
      </tp>
      <tp>
        <v>0.99801999999999991</v>
        <stp/>
        <stp>16341514Y0:Settle</stp>
        <tr r="U1487" s="5"/>
      </tp>
      <tp>
        <v>1.59</v>
        <stp/>
        <stp>16351515Y0:Settle</stp>
        <tr r="U1525" s="5"/>
      </tp>
      <tp>
        <v>0.84728999999999999</v>
        <stp/>
        <stp>16331513Y1:Settle</stp>
        <tr r="U1450" s="5"/>
      </tp>
      <tp>
        <v>0.88854</v>
        <stp/>
        <stp>16341514Y1:Settle</stp>
        <tr r="U1488" s="5"/>
      </tp>
      <tp>
        <v>1.4495799999999999</v>
        <stp/>
        <stp>16351515Y1:Settle</stp>
        <tr r="U1526" s="5"/>
      </tp>
      <tp>
        <v>1</v>
        <stp/>
        <stp>16331513M6:Settle</stp>
        <tr r="U1421" s="5"/>
      </tp>
      <tp>
        <v>1.04375</v>
        <stp/>
        <stp>16341514M6:Settle</stp>
        <tr r="U1459" s="5"/>
      </tp>
      <tp>
        <v>1.68</v>
        <stp/>
        <stp>16351515M6:Settle</stp>
        <tr r="U1497" s="5"/>
      </tp>
      <tp>
        <v>0.93500000000000005</v>
        <stp/>
        <stp>16331513M7:Settle</stp>
        <tr r="U1422" s="5"/>
      </tp>
      <tp>
        <v>0.99250000000000005</v>
        <stp/>
        <stp>16341514M7:Settle</stp>
        <tr r="U1460" s="5"/>
      </tp>
      <tp>
        <v>1.6375000000000002</v>
        <stp/>
        <stp>16351515M7:Settle</stp>
        <tr r="U1498" s="5"/>
      </tp>
      <tp>
        <v>1.1100000000000001</v>
        <stp/>
        <stp>16331513M4:Settle</stp>
        <tr r="U1419" s="5"/>
      </tp>
      <tp>
        <v>1.135</v>
        <stp/>
        <stp>16341514M4:Settle</stp>
        <tr r="U1457" s="5"/>
      </tp>
      <tp>
        <v>1.7662499999999999</v>
        <stp/>
        <stp>16351515M4:Settle</stp>
        <tr r="U1495" s="5"/>
      </tp>
      <tp>
        <v>1.0762499999999999</v>
        <stp/>
        <stp>16331513M5:Settle</stp>
        <tr r="U1420" s="5"/>
      </tp>
      <tp>
        <v>1.1012499999999998</v>
        <stp/>
        <stp>16341514M5:Settle</stp>
        <tr r="U1458" s="5"/>
      </tp>
      <tp>
        <v>1.7250000000000001</v>
        <stp/>
        <stp>16351515M5:Settle</stp>
        <tr r="U1496" s="5"/>
      </tp>
      <tp>
        <v>1.1400000000000001</v>
        <stp/>
        <stp>16331513M2:Settle</stp>
        <tr r="U1417" s="5"/>
      </tp>
      <tp>
        <v>1.16875</v>
        <stp/>
        <stp>16341514M2:Settle</stp>
        <tr r="U1455" s="5"/>
      </tp>
      <tp>
        <v>1.8587499999999999</v>
        <stp/>
        <stp>16351515M2:Settle</stp>
        <tr r="U1493" s="5"/>
      </tp>
      <tp>
        <v>1.1287499999999999</v>
        <stp/>
        <stp>16331513M3:Settle</stp>
        <tr r="U1418" s="5"/>
      </tp>
      <tp>
        <v>1.1537500000000001</v>
        <stp/>
        <stp>16341514M3:Settle</stp>
        <tr r="U1456" s="5"/>
      </tp>
      <tp>
        <v>1.8062499999999999</v>
        <stp/>
        <stp>16351515M3:Settle</stp>
        <tr r="U1494" s="5"/>
      </tp>
      <tp>
        <v>1.1425000000000001</v>
        <stp/>
        <stp>16331513M0:Settle</stp>
        <tr r="U1415" s="5"/>
      </tp>
      <tp>
        <v>1.2225000000000001</v>
        <stp/>
        <stp>16341514M0:Settle</stp>
        <tr r="U1453" s="5"/>
      </tp>
      <tp>
        <v>1.9450000000000001</v>
        <stp/>
        <stp>16351515M0:Settle</stp>
        <tr r="U1491" s="5"/>
      </tp>
      <tp>
        <v>1.1500000000000001</v>
        <stp/>
        <stp>16331513M1:Settle</stp>
        <tr r="U1416" s="5"/>
      </tp>
      <tp>
        <v>1.21</v>
        <stp/>
        <stp>16341514M1:Settle</stp>
        <tr r="U1454" s="5"/>
      </tp>
      <tp>
        <v>1.9125000000000001</v>
        <stp/>
        <stp>16351515M1:Settle</stp>
        <tr r="U1492" s="5"/>
      </tp>
      <tp>
        <v>0.90374999999999994</v>
        <stp/>
        <stp>16331513M8:Settle</stp>
        <tr r="U1423" s="5"/>
      </tp>
      <tp>
        <v>0.97624999999999995</v>
        <stp/>
        <stp>16341514M8:Settle</stp>
        <tr r="U1461" s="5"/>
      </tp>
      <tp>
        <v>1.5962499999999999</v>
        <stp/>
        <stp>16351515M8:Settle</stp>
        <tr r="U1499" s="5"/>
      </tp>
      <tp>
        <v>0.89250000000000007</v>
        <stp/>
        <stp>16331513M9:Settle</stp>
        <tr r="U1424" s="5"/>
      </tp>
      <tp>
        <v>0.97624999999999995</v>
        <stp/>
        <stp>16341514M9:Settle</stp>
        <tr r="U1462" s="5"/>
      </tp>
      <tp>
        <v>1.5662499999999999</v>
        <stp/>
        <stp>16351515M9:Settle</stp>
        <tr r="U1500" s="5"/>
      </tp>
      <tp t="s">
        <v/>
        <stp/>
        <stp>DBI1227MM6:LstBlkVol</stp>
        <tr r="L1657" s="5"/>
      </tp>
    </main>
    <main first="bofaddin.rtdserver">
      <tp t="s">
        <v>#N/A N/A</v>
        <stp/>
        <stp>BDH|370000849514073076</stp>
        <tr r="L56" s="16"/>
      </tp>
    </main>
    <main first="ice.rtd">
      <tp t="s">
        <v>Mar27</v>
        <stp/>
        <stp>266419M6:Strip</stp>
        <tr r="E965" s="5"/>
      </tp>
      <tp t="s">
        <v>Q2 28</v>
        <stp/>
        <stp>266419Q6:Strip</stp>
        <tr r="E990" s="5"/>
      </tp>
    </main>
    <main first="bofaddin.rtdserver">
      <tp t="s">
        <v>#N/A N/A</v>
        <stp/>
        <stp>BDH|293464133594036310</stp>
        <tr r="N39" s="16"/>
      </tp>
    </main>
    <main first="ice.rtd">
      <tp t="s">
        <v>Apr27</v>
        <stp/>
        <stp>141587M7:Strip</stp>
        <tr r="E48" s="5"/>
      </tp>
      <tp t="s">
        <v>Q3 28</v>
        <stp/>
        <stp>141587Q7:Strip</stp>
        <tr r="E73" s="5"/>
      </tp>
      <tp t="s">
        <v>Oct27</v>
        <stp/>
        <stp>34404098M13:Strip</stp>
        <tr r="E607" s="5"/>
      </tp>
      <tp t="s">
        <v>Oct27</v>
        <stp/>
        <stp>34414099M13:Strip</stp>
        <tr r="E92" s="5"/>
      </tp>
      <tp t="s">
        <v>Aug28</v>
        <stp/>
        <stp>34404098M23:Strip</stp>
        <tr r="E617" s="5"/>
      </tp>
      <tp t="s">
        <v>Aug28</v>
        <stp/>
        <stp>34414099M23:Strip</stp>
        <tr r="E102" s="5"/>
      </tp>
      <tp t="s">
        <v>May28</v>
        <stp/>
        <stp>30793693M20:Strip</stp>
        <tr r="E903" s="5"/>
      </tp>
      <tp t="s">
        <v>Jul27</v>
        <stp/>
        <stp>30793693M10:Strip</stp>
        <tr r="E893" s="5"/>
      </tp>
      <tp t="s">
        <v/>
        <stp/>
        <stp>DBI1227QQ0:BstHitPrc</stp>
        <tr r="G1679" s="5"/>
      </tp>
      <tp t="s">
        <v/>
        <stp/>
        <stp>DBI1227YY0:BstHitPrc</stp>
        <tr r="G1681" s="5"/>
      </tp>
      <tp>
        <v>10.25</v>
        <stp/>
        <stp>DBI1227MM0:BstHitPrc</stp>
        <tr r="G1648" s="5"/>
        <tr r="G1651" s="5"/>
      </tp>
      <tp t="s">
        <v>Jul27</v>
        <stp/>
        <stp>41787896M10:Strip</stp>
        <tr r="E817" s="5"/>
      </tp>
      <tp t="s">
        <v>May28</v>
        <stp/>
        <stp>41787896M20:Strip</stp>
        <tr r="E827" s="5"/>
      </tp>
      <tp t="s">
        <v>Sep26/Sep27</v>
        <stp/>
        <stp>15061297MM7:Strip</stp>
        <tr r="E1690" s="5"/>
      </tp>
      <tp t="s">
        <v>Jun28</v>
        <stp/>
        <stp>32623993M21:Strip</stp>
        <tr r="E2011" s="5"/>
      </tp>
      <tp t="s">
        <v>Aug27</v>
        <stp/>
        <stp>32623993M11:Strip</stp>
        <tr r="E2001" s="5"/>
      </tp>
    </main>
    <main first="esrtd">
      <tp t="s">
        <v/>
        <stp/>
        <stp>Invalid Market: CALCM13 V27-IEU</stp>
        <stp>ICE Theoretical Price</stp>
        <tr r="W1086" s="5"/>
        <tr r="W1352" s="5"/>
        <tr r="W396" s="5"/>
        <tr r="W858" s="5"/>
        <tr r="W282" s="5"/>
        <tr r="W1200" s="5"/>
      </tp>
    </main>
    <main first="ice.rtd">
      <tp t="s">
        <v>Jun28</v>
        <stp/>
        <stp>32613992M21:Strip</stp>
        <tr r="E1246" s="5"/>
      </tp>
      <tp t="s">
        <v>Aug27</v>
        <stp/>
        <stp>32613992M11:Strip</stp>
        <tr r="E1236" s="5"/>
      </tp>
      <tp t="s">
        <v>Nov27</v>
        <stp/>
        <stp>34364094M14:Strip</stp>
        <tr r="E532" s="5"/>
      </tp>
      <tp t="s">
        <v>Nov27</v>
        <stp/>
        <stp>34374095M14:Strip</stp>
        <tr r="E570" s="5"/>
      </tp>
      <tp t="s">
        <v>Sep28</v>
        <stp/>
        <stp>34364094M24:Strip</stp>
        <tr r="E542" s="5"/>
      </tp>
      <tp t="s">
        <v>Sep28</v>
        <stp/>
        <stp>34374095M24:Strip</stp>
        <tr r="E580" s="5"/>
      </tp>
      <tp t="s">
        <v>Jul27</v>
        <stp/>
        <stp>41767893M10:Strip</stp>
        <tr r="E490" s="5"/>
      </tp>
      <tp t="s">
        <v>May28</v>
        <stp/>
        <stp>41767893M20:Strip</stp>
        <tr r="E500" s="5"/>
      </tp>
      <tp t="s">
        <v/>
        <stp/>
        <stp>DBI1227YY0:LstBlkPrc</stp>
        <tr r="K1681" s="5"/>
      </tp>
      <tp t="s">
        <v/>
        <stp/>
        <stp>DBI1227QQ0:LstBlkPrc</stp>
        <tr r="K1679" s="5"/>
      </tp>
      <tp>
        <v>10</v>
        <stp/>
        <stp>DBI1227MM0:LstBlkPrc</stp>
        <tr r="K1648" s="5"/>
        <tr r="K1651" s="5"/>
      </tp>
      <tp t="s">
        <v>Apr28</v>
        <stp/>
        <stp>57409036M19:Strip</stp>
        <tr r="E250" s="5"/>
      </tp>
      <tp t="s">
        <v>Nov27</v>
        <stp/>
        <stp>34344092M14:Strip</stp>
        <tr r="E1277" s="5"/>
      </tp>
      <tp t="s">
        <v>Nov27</v>
        <stp/>
        <stp>34354093M14:Strip</stp>
        <tr r="E1315" s="5"/>
      </tp>
      <tp t="s">
        <v>Sep28</v>
        <stp/>
        <stp>34344092M24:Strip</stp>
        <tr r="E1287" s="5"/>
      </tp>
      <tp t="s">
        <v>Sep28</v>
        <stp/>
        <stp>34354093M24:Strip</stp>
        <tr r="E1325" s="5"/>
      </tp>
      <tp t="s">
        <v/>
        <stp/>
        <stp>34344092M17:LstPrc</stp>
        <tr r="I1280" s="5"/>
      </tp>
      <tp t="s">
        <v/>
        <stp/>
        <stp>34354093M17:LstPrc</stp>
        <tr r="I1318" s="5"/>
      </tp>
      <tp t="s">
        <v/>
        <stp/>
        <stp>34344092M16:LstPrc</stp>
        <tr r="I1279" s="5"/>
      </tp>
      <tp t="s">
        <v/>
        <stp/>
        <stp>34354093M16:LstPrc</stp>
        <tr r="I1317" s="5"/>
      </tp>
      <tp t="s">
        <v/>
        <stp/>
        <stp>34344092M15:LstPrc</stp>
        <tr r="I1278" s="5"/>
      </tp>
      <tp t="s">
        <v/>
        <stp/>
        <stp>34354093M15:LstPrc</stp>
        <tr r="I1316" s="5"/>
      </tp>
      <tp t="s">
        <v/>
        <stp/>
        <stp>34344092M14:LstPrc</stp>
        <tr r="I1277" s="5"/>
      </tp>
      <tp t="s">
        <v/>
        <stp/>
        <stp>34354093M14:LstPrc</stp>
        <tr r="I1315" s="5"/>
      </tp>
      <tp t="s">
        <v/>
        <stp/>
        <stp>34344092M13:LstPrc</stp>
        <tr r="I1276" s="5"/>
      </tp>
      <tp t="s">
        <v/>
        <stp/>
        <stp>34354093M13:LstPrc</stp>
        <tr r="I1314" s="5"/>
      </tp>
      <tp t="s">
        <v/>
        <stp/>
        <stp>34344092M12:LstPrc</stp>
        <tr r="I1275" s="5"/>
      </tp>
      <tp t="s">
        <v/>
        <stp/>
        <stp>34354093M12:LstPrc</stp>
        <tr r="I1313" s="5"/>
      </tp>
      <tp t="s">
        <v/>
        <stp/>
        <stp>34344092M11:LstPrc</stp>
        <tr r="I1274" s="5"/>
      </tp>
      <tp t="s">
        <v/>
        <stp/>
        <stp>34354093M11:LstPrc</stp>
        <tr r="I1312" s="5"/>
      </tp>
      <tp t="s">
        <v/>
        <stp/>
        <stp>34344092M10:LstPrc</stp>
        <tr r="I1273" s="5"/>
      </tp>
      <tp t="s">
        <v/>
        <stp/>
        <stp>34354093M10:LstPrc</stp>
        <tr r="I1311" s="5"/>
      </tp>
      <tp t="s">
        <v/>
        <stp/>
        <stp>34344092M19:LstPrc</stp>
        <tr r="I1282" s="5"/>
      </tp>
      <tp t="s">
        <v/>
        <stp/>
        <stp>34354093M19:LstPrc</stp>
        <tr r="I1320" s="5"/>
      </tp>
      <tp t="s">
        <v/>
        <stp/>
        <stp>34344092M18:LstPrc</stp>
        <tr r="I1281" s="5"/>
      </tp>
      <tp t="s">
        <v/>
        <stp/>
        <stp>34354093M18:LstPrc</stp>
        <tr r="I1319" s="5"/>
      </tp>
      <tp t="s">
        <v/>
        <stp/>
        <stp>34344092M24:LstPrc</stp>
        <tr r="I1287" s="5"/>
      </tp>
      <tp t="s">
        <v/>
        <stp/>
        <stp>34354093M24:LstPrc</stp>
        <tr r="I1325" s="5"/>
      </tp>
      <tp t="s">
        <v/>
        <stp/>
        <stp>34344092M23:LstPrc</stp>
        <tr r="I1286" s="5"/>
      </tp>
      <tp t="s">
        <v/>
        <stp/>
        <stp>34354093M23:LstPrc</stp>
        <tr r="I1324" s="5"/>
      </tp>
      <tp t="s">
        <v/>
        <stp/>
        <stp>34344092M22:LstPrc</stp>
        <tr r="I1285" s="5"/>
      </tp>
      <tp t="s">
        <v/>
        <stp/>
        <stp>34354093M22:LstPrc</stp>
        <tr r="I1323" s="5"/>
      </tp>
      <tp t="s">
        <v/>
        <stp/>
        <stp>34344092M21:LstPrc</stp>
        <tr r="I1284" s="5"/>
      </tp>
      <tp t="s">
        <v/>
        <stp/>
        <stp>34354093M21:LstPrc</stp>
        <tr r="I1322" s="5"/>
      </tp>
      <tp t="s">
        <v/>
        <stp/>
        <stp>34344092M20:LstPrc</stp>
        <tr r="I1283" s="5"/>
      </tp>
      <tp t="s">
        <v/>
        <stp/>
        <stp>34354093M20:LstPrc</stp>
        <tr r="I1321" s="5"/>
      </tp>
      <tp t="s">
        <v/>
        <stp/>
        <stp>18851683M24:LstPrc</stp>
        <tr r="I217" s="5"/>
      </tp>
      <tp t="s">
        <v/>
        <stp/>
        <stp>18851683M21:LstPrc</stp>
        <tr r="I214" s="5"/>
      </tp>
      <tp t="s">
        <v/>
        <stp/>
        <stp>18851683M20:LstPrc</stp>
        <tr r="I213" s="5"/>
      </tp>
      <tp t="s">
        <v/>
        <stp/>
        <stp>18851683M23:LstPrc</stp>
        <tr r="I216" s="5"/>
      </tp>
      <tp t="s">
        <v/>
        <stp/>
        <stp>18851683M22:LstPrc</stp>
        <tr r="I215" s="5"/>
      </tp>
      <tp t="s">
        <v/>
        <stp/>
        <stp>18851683M19:LstPrc</stp>
        <tr r="I212" s="5"/>
      </tp>
      <tp t="s">
        <v/>
        <stp/>
        <stp>18851683M18:LstPrc</stp>
        <tr r="I211" s="5"/>
      </tp>
      <tp t="s">
        <v/>
        <stp/>
        <stp>18851683M15:LstPrc</stp>
        <tr r="I208" s="5"/>
      </tp>
      <tp t="s">
        <v/>
        <stp/>
        <stp>18851683M14:LstPrc</stp>
        <tr r="I207" s="5"/>
      </tp>
      <tp t="s">
        <v/>
        <stp/>
        <stp>18851683M17:LstPrc</stp>
        <tr r="I210" s="5"/>
      </tp>
      <tp t="s">
        <v/>
        <stp/>
        <stp>18851683M16:LstPrc</stp>
        <tr r="I209" s="5"/>
      </tp>
      <tp t="s">
        <v/>
        <stp/>
        <stp>18851683M11:LstPrc</stp>
        <tr r="I204" s="5"/>
      </tp>
      <tp t="s">
        <v/>
        <stp/>
        <stp>18851683M10:LstPrc</stp>
        <tr r="I203" s="5"/>
      </tp>
      <tp t="s">
        <v/>
        <stp/>
        <stp>18851683M13:LstPrc</stp>
        <tr r="I206" s="5"/>
      </tp>
      <tp t="s">
        <v/>
        <stp/>
        <stp>18851683M12:LstPrc</stp>
        <tr r="I205" s="5"/>
      </tp>
      <tp t="s">
        <v>Nov26</v>
        <stp/>
        <stp>266M2:Strip</stp>
        <tr r="E923" s="5"/>
      </tp>
      <tp t="s">
        <v>Q2 27</v>
        <stp/>
        <stp>266Q2:Strip</stp>
        <tr r="E948" s="5"/>
      </tp>
      <tp t="s">
        <v>Cal 29</v>
        <stp/>
        <stp>266Y2:Strip</stp>
        <tr r="E957" s="5"/>
      </tp>
      <tp t="s">
        <v/>
        <stp/>
        <stp>29243602M15:LstPrc</stp>
        <tr r="I761" s="5"/>
      </tp>
      <tp t="s">
        <v/>
        <stp/>
        <stp>29243602M14:LstPrc</stp>
        <tr r="I760" s="5"/>
      </tp>
      <tp t="s">
        <v/>
        <stp/>
        <stp>29243602M13:LstPrc</stp>
        <tr r="I759" s="5"/>
      </tp>
      <tp t="s">
        <v/>
        <stp/>
        <stp>29243602M12:LstPrc</stp>
        <tr r="I758" s="5"/>
      </tp>
      <tp t="s">
        <v/>
        <stp/>
        <stp>29243602M11:LstPrc</stp>
        <tr r="I757" s="5"/>
      </tp>
      <tp t="s">
        <v/>
        <stp/>
        <stp>29243602M10:LstPrc</stp>
        <tr r="I756" s="5"/>
      </tp>
      <tp t="s">
        <v>Invalid Market: 2044823525M18</v>
        <stp/>
        <stp>2044823525M18:Strip</stp>
        <tr r="E1765" s="5"/>
      </tp>
      <tp t="s">
        <v/>
        <stp/>
        <stp>57409036M22:LstPrc</stp>
        <tr r="I253" s="5"/>
      </tp>
      <tp t="s">
        <v/>
        <stp/>
        <stp>57409036M23:LstPrc</stp>
        <tr r="I254" s="5"/>
      </tp>
      <tp t="s">
        <v/>
        <stp/>
        <stp>57409036M20:LstPrc</stp>
        <tr r="I251" s="5"/>
      </tp>
      <tp t="s">
        <v/>
        <stp/>
        <stp>57409036M21:LstPrc</stp>
        <tr r="I252" s="5"/>
      </tp>
      <tp t="s">
        <v/>
        <stp/>
        <stp>57409036M24:LstPrc</stp>
        <tr r="I255" s="5"/>
      </tp>
      <tp t="s">
        <v/>
        <stp/>
        <stp>57409036M18:LstPrc</stp>
        <tr r="I249" s="5"/>
      </tp>
      <tp t="s">
        <v/>
        <stp/>
        <stp>57409036M19:LstPrc</stp>
        <tr r="I250" s="5"/>
      </tp>
      <tp t="s">
        <v/>
        <stp/>
        <stp>57409036M12:LstPrc</stp>
        <tr r="I243" s="5"/>
      </tp>
      <tp t="s">
        <v/>
        <stp/>
        <stp>57409036M13:LstPrc</stp>
        <tr r="I244" s="5"/>
      </tp>
      <tp t="s">
        <v/>
        <stp/>
        <stp>57409036M10:LstPrc</stp>
        <tr r="I241" s="5"/>
      </tp>
      <tp t="s">
        <v/>
        <stp/>
        <stp>57409036M11:LstPrc</stp>
        <tr r="I242" s="5"/>
      </tp>
      <tp t="s">
        <v/>
        <stp/>
        <stp>57409036M16:LstPrc</stp>
        <tr r="I247" s="5"/>
      </tp>
      <tp t="s">
        <v/>
        <stp/>
        <stp>57409036M17:LstPrc</stp>
        <tr r="I248" s="5"/>
      </tp>
      <tp t="s">
        <v/>
        <stp/>
        <stp>57409036M14:LstPrc</stp>
        <tr r="I245" s="5"/>
      </tp>
      <tp t="s">
        <v/>
        <stp/>
        <stp>57409036M15:LstPrc</stp>
        <tr r="I246" s="5"/>
      </tp>
      <tp t="s">
        <v>Aug27</v>
        <stp/>
        <stp>3124331018M11:Strip</stp>
        <tr r="E1616" s="5"/>
      </tp>
      <tp t="s">
        <v>Jul28</v>
        <stp/>
        <stp>2755728678M22:Strip</stp>
        <tr r="E1133" s="5"/>
      </tp>
      <tp t="s">
        <v>Sep27</v>
        <stp/>
        <stp>2755728678M12:Strip</stp>
        <tr r="E1123" s="5"/>
      </tp>
      <tp>
        <v>0</v>
        <stp/>
        <stp>35534143M13:BlkVol</stp>
        <tr r="O721" s="5"/>
      </tp>
      <tp>
        <v>0</v>
        <stp/>
        <stp>35544144M13:BlkVol</stp>
        <tr r="O645" s="5"/>
      </tp>
      <tp>
        <v>0</v>
        <stp/>
        <stp>35554145M13:BlkVol</stp>
        <tr r="O683" s="5"/>
      </tp>
      <tp>
        <v>0</v>
        <stp/>
        <stp>35534143M12:BlkVol</stp>
        <tr r="O720" s="5"/>
      </tp>
      <tp>
        <v>0</v>
        <stp/>
        <stp>35544144M12:BlkVol</stp>
        <tr r="O644" s="5"/>
      </tp>
      <tp>
        <v>0</v>
        <stp/>
        <stp>35554145M12:BlkVol</stp>
        <tr r="O682" s="5"/>
      </tp>
      <tp>
        <v>0</v>
        <stp/>
        <stp>35534143M11:BlkVol</stp>
        <tr r="O719" s="5"/>
      </tp>
      <tp>
        <v>0</v>
        <stp/>
        <stp>35544144M11:BlkVol</stp>
        <tr r="O643" s="5"/>
      </tp>
      <tp>
        <v>0</v>
        <stp/>
        <stp>35554145M11:BlkVol</stp>
        <tr r="O681" s="5"/>
      </tp>
      <tp>
        <v>0</v>
        <stp/>
        <stp>35534143M10:BlkVol</stp>
        <tr r="O718" s="5"/>
      </tp>
      <tp>
        <v>0</v>
        <stp/>
        <stp>35544144M10:BlkVol</stp>
        <tr r="O642" s="5"/>
      </tp>
      <tp>
        <v>0</v>
        <stp/>
        <stp>35554145M10:BlkVol</stp>
        <tr r="O680" s="5"/>
      </tp>
      <tp>
        <v>0</v>
        <stp/>
        <stp>35534143M17:BlkVol</stp>
        <tr r="O725" s="5"/>
      </tp>
      <tp>
        <v>0</v>
        <stp/>
        <stp>35544144M17:BlkVol</stp>
        <tr r="O649" s="5"/>
      </tp>
      <tp>
        <v>0</v>
        <stp/>
        <stp>35554145M17:BlkVol</stp>
        <tr r="O687" s="5"/>
      </tp>
      <tp>
        <v>0</v>
        <stp/>
        <stp>35534143M16:BlkVol</stp>
        <tr r="O724" s="5"/>
      </tp>
      <tp>
        <v>0</v>
        <stp/>
        <stp>35544144M16:BlkVol</stp>
        <tr r="O648" s="5"/>
      </tp>
      <tp>
        <v>0</v>
        <stp/>
        <stp>35554145M16:BlkVol</stp>
        <tr r="O686" s="5"/>
      </tp>
      <tp>
        <v>0</v>
        <stp/>
        <stp>35534143M15:BlkVol</stp>
        <tr r="O723" s="5"/>
      </tp>
      <tp>
        <v>0</v>
        <stp/>
        <stp>35544144M15:BlkVol</stp>
        <tr r="O647" s="5"/>
      </tp>
      <tp>
        <v>0</v>
        <stp/>
        <stp>35554145M15:BlkVol</stp>
        <tr r="O685" s="5"/>
      </tp>
      <tp>
        <v>0</v>
        <stp/>
        <stp>35534143M14:BlkVol</stp>
        <tr r="O722" s="5"/>
      </tp>
      <tp>
        <v>0</v>
        <stp/>
        <stp>35544144M14:BlkVol</stp>
        <tr r="O646" s="5"/>
      </tp>
      <tp>
        <v>0</v>
        <stp/>
        <stp>35554145M14:BlkVol</stp>
        <tr r="O684" s="5"/>
      </tp>
      <tp>
        <v>0</v>
        <stp/>
        <stp>35534143M19:BlkVol</stp>
        <tr r="O727" s="5"/>
      </tp>
      <tp>
        <v>0</v>
        <stp/>
        <stp>35544144M19:BlkVol</stp>
        <tr r="O651" s="5"/>
      </tp>
      <tp>
        <v>0</v>
        <stp/>
        <stp>35554145M19:BlkVol</stp>
        <tr r="O689" s="5"/>
      </tp>
      <tp>
        <v>0</v>
        <stp/>
        <stp>35534143M18:BlkVol</stp>
        <tr r="O726" s="5"/>
      </tp>
      <tp>
        <v>0</v>
        <stp/>
        <stp>35544144M18:BlkVol</stp>
        <tr r="O650" s="5"/>
      </tp>
      <tp>
        <v>0</v>
        <stp/>
        <stp>35554145M18:BlkVol</stp>
        <tr r="O688" s="5"/>
      </tp>
      <tp>
        <v>0</v>
        <stp/>
        <stp>35534143M23:BlkVol</stp>
        <tr r="O731" s="5"/>
      </tp>
      <tp>
        <v>0</v>
        <stp/>
        <stp>35544144M23:BlkVol</stp>
        <tr r="O655" s="5"/>
      </tp>
      <tp>
        <v>0</v>
        <stp/>
        <stp>35554145M23:BlkVol</stp>
        <tr r="O693" s="5"/>
      </tp>
      <tp>
        <v>0</v>
        <stp/>
        <stp>35534143M22:BlkVol</stp>
        <tr r="O730" s="5"/>
      </tp>
      <tp>
        <v>0</v>
        <stp/>
        <stp>35544144M22:BlkVol</stp>
        <tr r="O654" s="5"/>
      </tp>
      <tp>
        <v>0</v>
        <stp/>
        <stp>35554145M22:BlkVol</stp>
        <tr r="O692" s="5"/>
      </tp>
      <tp>
        <v>0</v>
        <stp/>
        <stp>35534143M21:BlkVol</stp>
        <tr r="O729" s="5"/>
      </tp>
      <tp>
        <v>0</v>
        <stp/>
        <stp>35544144M21:BlkVol</stp>
        <tr r="O653" s="5"/>
      </tp>
      <tp>
        <v>0</v>
        <stp/>
        <stp>35554145M21:BlkVol</stp>
        <tr r="O691" s="5"/>
      </tp>
      <tp>
        <v>0</v>
        <stp/>
        <stp>35534143M20:BlkVol</stp>
        <tr r="O728" s="5"/>
      </tp>
      <tp>
        <v>0</v>
        <stp/>
        <stp>35544144M20:BlkVol</stp>
        <tr r="O652" s="5"/>
      </tp>
      <tp>
        <v>0</v>
        <stp/>
        <stp>35554145M20:BlkVol</stp>
        <tr r="O690" s="5"/>
      </tp>
      <tp>
        <v>0</v>
        <stp/>
        <stp>35534143M24:BlkVol</stp>
        <tr r="O732" s="5"/>
      </tp>
      <tp>
        <v>0</v>
        <stp/>
        <stp>35544144M24:BlkVol</stp>
        <tr r="O656" s="5"/>
      </tp>
      <tp>
        <v>0</v>
        <stp/>
        <stp>35554145M24:BlkVol</stp>
        <tr r="O694" s="5"/>
      </tp>
    </main>
    <main first="bofaddin.rtdserver">
      <tp t="s">
        <v>#N/A Invalid Security</v>
        <stp/>
        <stp>BDP|4766156844957873270|222</stp>
        <stp>SCPQ30 Comdty</stp>
        <stp>ASK</stp>
        <stp>Fill=#N/A</stp>
        <tr r="M66" s="1"/>
      </tp>
    </main>
    <main first="ice.rtd">
      <tp>
        <v>0</v>
        <stp/>
        <stp>16331513M20:BlkVol</stp>
        <tr r="O1435" s="5"/>
      </tp>
      <tp>
        <v>0</v>
        <stp/>
        <stp>16341514M20:BlkVol</stp>
        <tr r="O1473" s="5"/>
      </tp>
      <tp>
        <v>0</v>
        <stp/>
        <stp>16351515M20:BlkVol</stp>
        <tr r="O1511" s="5"/>
      </tp>
      <tp>
        <v>0</v>
        <stp/>
        <stp>16331513M21:BlkVol</stp>
        <tr r="O1436" s="5"/>
      </tp>
      <tp>
        <v>0</v>
        <stp/>
        <stp>16341514M21:BlkVol</stp>
        <tr r="O1474" s="5"/>
      </tp>
      <tp>
        <v>0</v>
        <stp/>
        <stp>16351515M21:BlkVol</stp>
        <tr r="O1512" s="5"/>
      </tp>
      <tp>
        <v>0</v>
        <stp/>
        <stp>16331513M22:BlkVol</stp>
        <tr r="O1437" s="5"/>
      </tp>
      <tp>
        <v>0</v>
        <stp/>
        <stp>16341514M22:BlkVol</stp>
        <tr r="O1475" s="5"/>
      </tp>
      <tp>
        <v>0</v>
        <stp/>
        <stp>16351515M22:BlkVol</stp>
        <tr r="O1513" s="5"/>
      </tp>
      <tp>
        <v>0</v>
        <stp/>
        <stp>16331513M23:BlkVol</stp>
        <tr r="O1438" s="5"/>
      </tp>
      <tp>
        <v>0</v>
        <stp/>
        <stp>16341514M23:BlkVol</stp>
        <tr r="O1476" s="5"/>
      </tp>
      <tp>
        <v>0</v>
        <stp/>
        <stp>16351515M23:BlkVol</stp>
        <tr r="O1514" s="5"/>
      </tp>
      <tp>
        <v>0</v>
        <stp/>
        <stp>16331513M24:BlkVol</stp>
        <tr r="O1439" s="5"/>
      </tp>
      <tp>
        <v>0</v>
        <stp/>
        <stp>16341514M24:BlkVol</stp>
        <tr r="O1477" s="5"/>
      </tp>
      <tp>
        <v>0</v>
        <stp/>
        <stp>16351515M24:BlkVol</stp>
        <tr r="O1515" s="5"/>
      </tp>
      <tp>
        <v>0</v>
        <stp/>
        <stp>16331513M10:BlkVol</stp>
        <tr r="O1425" s="5"/>
      </tp>
      <tp>
        <v>0</v>
        <stp/>
        <stp>16341514M10:BlkVol</stp>
        <tr r="O1463" s="5"/>
      </tp>
      <tp>
        <v>0</v>
        <stp/>
        <stp>16351515M10:BlkVol</stp>
        <tr r="O1501" s="5"/>
      </tp>
      <tp>
        <v>0</v>
        <stp/>
        <stp>16331513M11:BlkVol</stp>
        <tr r="O1426" s="5"/>
      </tp>
      <tp>
        <v>0</v>
        <stp/>
        <stp>16341514M11:BlkVol</stp>
        <tr r="O1464" s="5"/>
      </tp>
      <tp>
        <v>0</v>
        <stp/>
        <stp>16351515M11:BlkVol</stp>
        <tr r="O1502" s="5"/>
      </tp>
      <tp>
        <v>0</v>
        <stp/>
        <stp>16331513M12:BlkVol</stp>
        <tr r="O1427" s="5"/>
      </tp>
      <tp>
        <v>0</v>
        <stp/>
        <stp>16341514M12:BlkVol</stp>
        <tr r="O1465" s="5"/>
      </tp>
      <tp>
        <v>0</v>
        <stp/>
        <stp>16351515M12:BlkVol</stp>
        <tr r="O1503" s="5"/>
      </tp>
      <tp>
        <v>0</v>
        <stp/>
        <stp>16331513M13:BlkVol</stp>
        <tr r="O1428" s="5"/>
      </tp>
      <tp>
        <v>0</v>
        <stp/>
        <stp>16341514M13:BlkVol</stp>
        <tr r="O1466" s="5"/>
      </tp>
      <tp>
        <v>0</v>
        <stp/>
        <stp>16351515M13:BlkVol</stp>
        <tr r="O1504" s="5"/>
      </tp>
      <tp>
        <v>0</v>
        <stp/>
        <stp>16331513M14:BlkVol</stp>
        <tr r="O1429" s="5"/>
      </tp>
      <tp>
        <v>0</v>
        <stp/>
        <stp>16341514M14:BlkVol</stp>
        <tr r="O1467" s="5"/>
      </tp>
      <tp>
        <v>0</v>
        <stp/>
        <stp>16351515M14:BlkVol</stp>
        <tr r="O1505" s="5"/>
      </tp>
      <tp>
        <v>0</v>
        <stp/>
        <stp>16331513M15:BlkVol</stp>
        <tr r="O1430" s="5"/>
      </tp>
      <tp>
        <v>0</v>
        <stp/>
        <stp>16341514M15:BlkVol</stp>
        <tr r="O1468" s="5"/>
      </tp>
      <tp>
        <v>0</v>
        <stp/>
        <stp>16351515M15:BlkVol</stp>
        <tr r="O1506" s="5"/>
      </tp>
      <tp>
        <v>0</v>
        <stp/>
        <stp>16331513M16:BlkVol</stp>
        <tr r="O1431" s="5"/>
      </tp>
      <tp>
        <v>0</v>
        <stp/>
        <stp>16341514M16:BlkVol</stp>
        <tr r="O1469" s="5"/>
      </tp>
      <tp>
        <v>0</v>
        <stp/>
        <stp>16351515M16:BlkVol</stp>
        <tr r="O1507" s="5"/>
      </tp>
      <tp>
        <v>0</v>
        <stp/>
        <stp>16331513M17:BlkVol</stp>
        <tr r="O1432" s="5"/>
      </tp>
      <tp>
        <v>0</v>
        <stp/>
        <stp>16341514M17:BlkVol</stp>
        <tr r="O1470" s="5"/>
      </tp>
      <tp>
        <v>0</v>
        <stp/>
        <stp>16351515M17:BlkVol</stp>
        <tr r="O1508" s="5"/>
      </tp>
      <tp>
        <v>0</v>
        <stp/>
        <stp>16331513M18:BlkVol</stp>
        <tr r="O1433" s="5"/>
      </tp>
      <tp>
        <v>0</v>
        <stp/>
        <stp>16341514M18:BlkVol</stp>
        <tr r="O1471" s="5"/>
      </tp>
      <tp>
        <v>0</v>
        <stp/>
        <stp>16351515M18:BlkVol</stp>
        <tr r="O1509" s="5"/>
      </tp>
      <tp>
        <v>0</v>
        <stp/>
        <stp>16331513M19:BlkVol</stp>
        <tr r="O1434" s="5"/>
      </tp>
      <tp>
        <v>0</v>
        <stp/>
        <stp>16341514M19:BlkVol</stp>
        <tr r="O1472" s="5"/>
      </tp>
      <tp>
        <v>0</v>
        <stp/>
        <stp>16351515M19:BlkVol</stp>
        <tr r="O1510" s="5"/>
      </tp>
      <tp>
        <v>0</v>
        <stp/>
        <stp>30813691M23:BlkVol</stp>
        <tr r="O1976" s="5"/>
      </tp>
      <tp>
        <v>0</v>
        <stp/>
        <stp>30813691M22:BlkVol</stp>
        <tr r="O1975" s="5"/>
      </tp>
      <tp>
        <v>0</v>
        <stp/>
        <stp>30813691M21:BlkVol</stp>
        <tr r="O1974" s="5"/>
      </tp>
      <tp>
        <v>0</v>
        <stp/>
        <stp>30813691M20:BlkVol</stp>
        <tr r="O1973" s="5"/>
      </tp>
      <tp>
        <v>0</v>
        <stp/>
        <stp>30813691M24:BlkVol</stp>
        <tr r="O1977" s="5"/>
      </tp>
      <tp>
        <v>0</v>
        <stp/>
        <stp>30813691M13:BlkVol</stp>
        <tr r="O1966" s="5"/>
      </tp>
      <tp>
        <v>0</v>
        <stp/>
        <stp>30813691M12:BlkVol</stp>
        <tr r="O1965" s="5"/>
      </tp>
      <tp>
        <v>0</v>
        <stp/>
        <stp>30813691M11:BlkVol</stp>
        <tr r="O1964" s="5"/>
      </tp>
      <tp>
        <v>0</v>
        <stp/>
        <stp>30813691M10:BlkVol</stp>
        <tr r="O1963" s="5"/>
      </tp>
      <tp>
        <v>0</v>
        <stp/>
        <stp>30813691M17:BlkVol</stp>
        <tr r="O1970" s="5"/>
      </tp>
      <tp>
        <v>0</v>
        <stp/>
        <stp>30813691M16:BlkVol</stp>
        <tr r="O1969" s="5"/>
      </tp>
      <tp>
        <v>0</v>
        <stp/>
        <stp>30813691M15:BlkVol</stp>
        <tr r="O1968" s="5"/>
      </tp>
      <tp>
        <v>0</v>
        <stp/>
        <stp>30813691M14:BlkVol</stp>
        <tr r="O1967" s="5"/>
      </tp>
      <tp>
        <v>0</v>
        <stp/>
        <stp>30813691M19:BlkVol</stp>
        <tr r="O1972" s="5"/>
      </tp>
      <tp>
        <v>0</v>
        <stp/>
        <stp>30813691M18:BlkVol</stp>
        <tr r="O1971" s="5"/>
      </tp>
    </main>
    <main first="bofaddin.rtdserver">
      <tp>
        <v>562.20000000000005</v>
        <stp/>
        <stp>BDP|9193378057163448971|222</stp>
        <stp>SCPJ27 Comdty</stp>
        <stp>ASK</stp>
        <stp>Fill=#N/A</stp>
        <tr r="M26" s="1"/>
      </tp>
    </main>
    <main first="ice.rtd">
      <tp>
        <v>0</v>
        <stp/>
        <stp>46678127M24:BlkVol</stp>
        <tr r="O369" s="5"/>
      </tp>
      <tp>
        <v>0</v>
        <stp/>
        <stp>46678127M22:BlkVol</stp>
        <tr r="O367" s="5"/>
      </tp>
      <tp>
        <v>0</v>
        <stp/>
        <stp>46678127M23:BlkVol</stp>
        <tr r="O368" s="5"/>
      </tp>
      <tp>
        <v>0</v>
        <stp/>
        <stp>46678127M20:BlkVol</stp>
        <tr r="O365" s="5"/>
      </tp>
      <tp>
        <v>0</v>
        <stp/>
        <stp>46678127M21:BlkVol</stp>
        <tr r="O366" s="5"/>
      </tp>
      <tp>
        <v>0</v>
        <stp/>
        <stp>46678127M16:BlkVol</stp>
        <tr r="O361" s="5"/>
      </tp>
      <tp>
        <v>0</v>
        <stp/>
        <stp>46678127M17:BlkVol</stp>
        <tr r="O362" s="5"/>
      </tp>
      <tp>
        <v>0</v>
        <stp/>
        <stp>46678127M14:BlkVol</stp>
        <tr r="O359" s="5"/>
      </tp>
      <tp>
        <v>0</v>
        <stp/>
        <stp>46678127M15:BlkVol</stp>
        <tr r="O360" s="5"/>
      </tp>
      <tp>
        <v>50</v>
        <stp/>
        <stp>46678127M12:BlkVol</stp>
        <tr r="O357" s="5"/>
      </tp>
      <tp>
        <v>0</v>
        <stp/>
        <stp>46678127M13:BlkVol</stp>
        <tr r="O358" s="5"/>
      </tp>
      <tp>
        <v>50</v>
        <stp/>
        <stp>46678127M10:BlkVol</stp>
        <tr r="O355" s="5"/>
      </tp>
      <tp>
        <v>50</v>
        <stp/>
        <stp>46678127M11:BlkVol</stp>
        <tr r="O356" s="5"/>
      </tp>
      <tp>
        <v>0</v>
        <stp/>
        <stp>46678127M18:BlkVol</stp>
        <tr r="O363" s="5"/>
      </tp>
      <tp>
        <v>0</v>
        <stp/>
        <stp>46678127M19:BlkVol</stp>
        <tr r="O364" s="5"/>
      </tp>
    </main>
    <main first="bofaddin.rtdserver">
      <tp>
        <v>520</v>
        <stp/>
        <stp>BDP|4266746762626069903|222</stp>
        <stp>SCPU27 Comdty</stp>
        <stp>BID</stp>
        <stp>Fill=#N/A</stp>
        <tr r="M31" s="1"/>
      </tp>
    </main>
    <main first="ice.rtd">
      <tp>
        <v>0</v>
        <stp/>
        <stp>2324925610B0:Vol</stp>
        <tr r="N882" s="5"/>
      </tp>
      <tp>
        <v>1.9000000000000001</v>
        <stp/>
        <stp>1986923076M8:Settle</stp>
        <tr r="U163" s="5"/>
      </tp>
      <tp>
        <v>1.8</v>
        <stp/>
        <stp>1986923076M9:Settle</stp>
        <tr r="U164" s="5"/>
      </tp>
      <tp>
        <v>0.5</v>
        <stp/>
        <stp>1986923076M2:Settle</stp>
        <tr r="U157" s="5"/>
      </tp>
      <tp>
        <v>2.8000000000000003</v>
        <stp/>
        <stp>1986923076M3:Settle</stp>
        <tr r="U158" s="5"/>
      </tp>
      <tp>
        <v>-5.7469999999999999</v>
        <stp/>
        <stp>1986923076M0:Settle</stp>
        <tr r="U155" s="5"/>
      </tp>
      <tp>
        <v>-2.25</v>
        <stp/>
        <stp>1986923076M1:Settle</stp>
        <tr r="U156" s="5"/>
      </tp>
      <tp>
        <v>2.35</v>
        <stp/>
        <stp>1986923076M6:Settle</stp>
        <tr r="U161" s="5"/>
      </tp>
      <tp>
        <v>2</v>
        <stp/>
        <stp>1986923076M7:Settle</stp>
        <tr r="U162" s="5"/>
      </tp>
      <tp>
        <v>3.25</v>
        <stp/>
        <stp>1986923076M4:Settle</stp>
        <tr r="U159" s="5"/>
      </tp>
      <tp>
        <v>2.8000000000000003</v>
        <stp/>
        <stp>1986923076M5:Settle</stp>
        <tr r="U160" s="5"/>
      </tp>
      <tp>
        <v>3.0300000000000002</v>
        <stp/>
        <stp>1986923076Q8:Settle</stp>
        <tr r="U188" s="5"/>
      </tp>
      <tp>
        <v>1.9000000000000001</v>
        <stp/>
        <stp>1986923076Q2:Settle</stp>
        <tr r="U182" s="5"/>
      </tp>
      <tp>
        <v>2.1</v>
        <stp/>
        <stp>1986923076Q3:Settle</stp>
        <tr r="U183" s="5"/>
      </tp>
      <tp>
        <v>0.35000000000000003</v>
        <stp/>
        <stp>1986923076Q0:Settle</stp>
        <tr r="U180" s="5"/>
      </tp>
      <tp>
        <v>2.8000000000000003</v>
        <stp/>
        <stp>1986923076Q1:Settle</stp>
        <tr r="U181" s="5"/>
      </tp>
      <tp>
        <v>2.95</v>
        <stp/>
        <stp>1986923076Q6:Settle</stp>
        <tr r="U186" s="5"/>
      </tp>
      <tp>
        <v>2.97</v>
        <stp/>
        <stp>1986923076Q7:Settle</stp>
        <tr r="U187" s="5"/>
      </tp>
      <tp>
        <v>2.75</v>
        <stp/>
        <stp>1986923076Q4:Settle</stp>
        <tr r="U184" s="5"/>
      </tp>
      <tp>
        <v>2.95</v>
        <stp/>
        <stp>1986923076Q5:Settle</stp>
        <tr r="U185" s="5"/>
      </tp>
      <tp>
        <v>2.3180000000000001</v>
        <stp/>
        <stp>1986923076Y2:Settle</stp>
        <tr r="U191" s="5"/>
      </tp>
      <tp>
        <v>2.3879999999999999</v>
        <stp/>
        <stp>1986923076Y0:Settle</stp>
        <tr r="U189" s="5"/>
      </tp>
      <tp>
        <v>2.9750000000000001</v>
        <stp/>
        <stp>1986923076Y1:Settle</stp>
        <tr r="U190" s="5"/>
      </tp>
    </main>
    <main first="bofaddin.rtdserver">
      <tp t="s">
        <v>#N/A Invalid Security</v>
        <stp/>
        <stp>BDP|7349214416709352585|222</stp>
        <stp>HOJ0 Comdty</stp>
        <stp>BID</stp>
        <stp>Fill=#N/A</stp>
        <tr r="I62" s="1"/>
      </tp>
    </main>
    <main first="ice.rtd">
      <tp t="s">
        <v>Invalid Market: 1581618115B0</v>
        <stp/>
        <stp>1581618115B0:Vol</stp>
        <tr r="N458" s="5"/>
      </tp>
      <tp>
        <v>1.2225000000000001</v>
        <stp/>
        <stp>2181524588B0:Settle</stp>
        <tr r="U1452" s="5"/>
      </tp>
    </main>
    <main first="bofaddin.rtdserver">
      <tp>
        <v>84.12</v>
        <stp/>
        <stp>BDP|6734759900956663410|222</stp>
        <stp>COH7 Comdty</stp>
        <stp>BID</stp>
        <stp>Fill=#N/A</stp>
        <tr r="G25" s="1"/>
      </tp>
      <tp>
        <v>1007.5</v>
        <stp/>
        <stp>BDP|9908718185453138360|222</stp>
        <stp>QSM7 Comdty</stp>
        <stp>ASK</stp>
        <stp>Fill=#N/A</stp>
        <tr r="H28" s="1"/>
      </tp>
    </main>
    <main first="ice.rtd">
      <tp>
        <v>0</v>
        <stp/>
        <stp>2181924592B0:Vol</stp>
        <tr r="N1490" s="5"/>
      </tp>
    </main>
    <main first="bofaddin.rtdserver">
      <tp>
        <v>312.25</v>
        <stp/>
        <stp>BDP|1529835171001962194|222</stp>
        <stp>HOH8 Comdty</stp>
        <stp>BID</stp>
        <stp>Fill=#N/A</stp>
        <tr r="I37" s="1"/>
      </tp>
      <tp t="s">
        <v>#N/A</v>
        <stp/>
        <stp>BDP|1878443613864601487|222</stp>
        <stp>HOF9 Comdty</stp>
        <stp>BID</stp>
        <stp>Fill=#N/A</stp>
        <tr r="I47" s="1"/>
      </tp>
    </main>
    <main first="ice.rtd">
      <tp>
        <v>0</v>
        <stp/>
        <stp>1581618115M7:Vol</stp>
        <tr r="N466" s="5"/>
      </tp>
      <tp>
        <v>0</v>
        <stp/>
        <stp>1581618115M6:Vol</stp>
        <tr r="N465" s="5"/>
      </tp>
      <tp>
        <v>0</v>
        <stp/>
        <stp>1581618115M5:Vol</stp>
        <tr r="N464" s="5"/>
      </tp>
      <tp>
        <v>0</v>
        <stp/>
        <stp>1581618115M4:Vol</stp>
        <tr r="N463" s="5"/>
      </tp>
      <tp>
        <v>0</v>
        <stp/>
        <stp>1581618115M3:Vol</stp>
        <tr r="N462" s="5"/>
      </tp>
      <tp>
        <v>0</v>
        <stp/>
        <stp>1581618115M2:Vol</stp>
        <tr r="N461" s="5"/>
      </tp>
      <tp>
        <v>50</v>
        <stp/>
        <stp>1581618115M1:Vol</stp>
        <tr r="N460" s="5"/>
      </tp>
      <tp>
        <v>0</v>
        <stp/>
        <stp>1581618115M0:Vol</stp>
        <tr r="N459" s="5"/>
      </tp>
      <tp>
        <v>0</v>
        <stp/>
        <stp>1581618115M9:Vol</stp>
        <tr r="N468" s="5"/>
      </tp>
      <tp>
        <v>0</v>
        <stp/>
        <stp>1581618115M8:Vol</stp>
        <tr r="N467" s="5"/>
      </tp>
    </main>
    <main first="bofaddin.rtdserver">
      <tp>
        <v>832.5</v>
        <stp/>
        <stp>BDP|6942288842824706997|222</stp>
        <stp>QSN8 Comdty</stp>
        <stp>BID</stp>
        <stp>Fill=#N/A</stp>
        <tr r="H41" s="1"/>
      </tp>
    </main>
    <main first="ice.rtd">
      <tp>
        <v>45</v>
        <stp/>
        <stp>2427026287M2:Vol</stp>
        <tr r="N1151" s="5"/>
      </tp>
      <tp>
        <v>0</v>
        <stp/>
        <stp>2427026287M3:Vol</stp>
        <tr r="N1152" s="5"/>
      </tp>
      <tp>
        <v>0</v>
        <stp/>
        <stp>2427026287M0:Vol</stp>
        <tr r="N1149" s="5"/>
      </tp>
      <tp>
        <v>792</v>
        <stp/>
        <stp>2427026287M1:Vol</stp>
        <tr r="N1150" s="5"/>
      </tp>
      <tp>
        <v>0</v>
        <stp/>
        <stp>2427026287M6:Vol</stp>
        <tr r="N1155" s="5"/>
      </tp>
      <tp>
        <v>0</v>
        <stp/>
        <stp>2427026287M7:Vol</stp>
        <tr r="N1156" s="5"/>
      </tp>
      <tp>
        <v>0</v>
        <stp/>
        <stp>2427026287M4:Vol</stp>
        <tr r="N1153" s="5"/>
      </tp>
      <tp>
        <v>0</v>
        <stp/>
        <stp>2427026287M5:Vol</stp>
        <tr r="N1154" s="5"/>
      </tp>
      <tp>
        <v>0</v>
        <stp/>
        <stp>2427026287M8:Vol</stp>
        <tr r="N1157" s="5"/>
      </tp>
      <tp>
        <v>0</v>
        <stp/>
        <stp>2427026287M9:Vol</stp>
        <tr r="N1158" s="5"/>
      </tp>
      <tp>
        <v>0</v>
        <stp/>
        <stp>2427026287Q2:Vol</stp>
        <tr r="N1176" s="5"/>
      </tp>
      <tp>
        <v>0</v>
        <stp/>
        <stp>2427026287Q3:Vol</stp>
        <tr r="N1177" s="5"/>
      </tp>
      <tp>
        <v>0</v>
        <stp/>
        <stp>2427026287Q0:Vol</stp>
        <tr r="N1174" s="5"/>
      </tp>
      <tp>
        <v>0</v>
        <stp/>
        <stp>2427026287Q1:Vol</stp>
        <tr r="N1175" s="5"/>
      </tp>
      <tp>
        <v>0</v>
        <stp/>
        <stp>2427026287Q6:Vol</stp>
        <tr r="N1180" s="5"/>
      </tp>
      <tp>
        <v>0</v>
        <stp/>
        <stp>2427026287Q7:Vol</stp>
        <tr r="N1181" s="5"/>
      </tp>
      <tp>
        <v>0</v>
        <stp/>
        <stp>2427026287Q4:Vol</stp>
        <tr r="N1178" s="5"/>
      </tp>
      <tp>
        <v>0</v>
        <stp/>
        <stp>2427026287Q5:Vol</stp>
        <tr r="N1179" s="5"/>
      </tp>
      <tp>
        <v>0</v>
        <stp/>
        <stp>2427026287Q8:Vol</stp>
        <tr r="N1182" s="5"/>
      </tp>
      <tp t="s">
        <v/>
        <stp/>
        <stp>15061297MM27:LstDate</stp>
        <tr r="J1710" s="5"/>
      </tp>
      <tp t="s">
        <v/>
        <stp/>
        <stp>15061297MM26:LstDate</stp>
        <tr r="J1709" s="5"/>
      </tp>
      <tp t="s">
        <v/>
        <stp/>
        <stp>15061297MM25:LstDate</stp>
        <tr r="J1708" s="5"/>
      </tp>
      <tp t="s">
        <v/>
        <stp/>
        <stp>15061297MM24:LstDate</stp>
        <tr r="J1707" s="5"/>
      </tp>
      <tp t="s">
        <v/>
        <stp/>
        <stp>15061297MM23:LstDate</stp>
        <tr r="J1706" s="5"/>
      </tp>
      <tp t="s">
        <v/>
        <stp/>
        <stp>15061297MM22:LstDate</stp>
        <tr r="J1705" s="5"/>
      </tp>
      <tp t="s">
        <v/>
        <stp/>
        <stp>15061297MM21:LstDate</stp>
        <tr r="J1704" s="5"/>
      </tp>
      <tp t="s">
        <v/>
        <stp/>
        <stp>15061297MM20:LstDate</stp>
        <tr r="J1703" s="5"/>
      </tp>
      <tp t="s">
        <v/>
        <stp/>
        <stp>15061297MM19:LstDate</stp>
        <tr r="J1702" s="5"/>
      </tp>
      <tp t="s">
        <v/>
        <stp/>
        <stp>15061297MM18:LstDate</stp>
        <tr r="J1701" s="5"/>
      </tp>
      <tp t="s">
        <v/>
        <stp/>
        <stp>15061297MM17:LstDate</stp>
        <tr r="J1700" s="5"/>
      </tp>
      <tp t="s">
        <v/>
        <stp/>
        <stp>15061297MM16:LstDate</stp>
        <tr r="J1699" s="5"/>
      </tp>
      <tp t="s">
        <v/>
        <stp/>
        <stp>15061297MM15:LstDate</stp>
        <tr r="J1698" s="5"/>
      </tp>
      <tp t="s">
        <v/>
        <stp/>
        <stp>15061297MM14:LstDate</stp>
        <tr r="J1697" s="5"/>
      </tp>
      <tp t="s">
        <v/>
        <stp/>
        <stp>15061297MM13:LstDate</stp>
        <tr r="J1696" s="5"/>
      </tp>
      <tp t="s">
        <v/>
        <stp/>
        <stp>15061297MM12:LstDate</stp>
        <tr r="J1695" s="5"/>
      </tp>
      <tp t="s">
        <v/>
        <stp/>
        <stp>15061297MM11:LstDate</stp>
        <tr r="J1694" s="5"/>
      </tp>
      <tp t="s">
        <v/>
        <stp/>
        <stp>15061297MM10:LstDate</stp>
        <tr r="J1693" s="5"/>
      </tp>
      <tp>
        <v>0</v>
        <stp/>
        <stp>1581618115Q3:Vol</stp>
        <tr r="N477" s="5"/>
      </tp>
      <tp>
        <v>0</v>
        <stp/>
        <stp>1581618115Q2:Vol</stp>
        <tr r="N476" s="5"/>
      </tp>
      <tp>
        <v>0</v>
        <stp/>
        <stp>1581618115Q1:Vol</stp>
        <tr r="N475" s="5"/>
      </tp>
      <tp>
        <v>0</v>
        <stp/>
        <stp>1581618115Q0:Vol</stp>
        <tr r="N474" s="5"/>
      </tp>
      <tp t="s">
        <v>Nov26/Apr27</v>
        <stp/>
        <stp>161913535MM26:Strip</stp>
        <tr r="E2053" s="5"/>
      </tp>
      <tp t="s">
        <v>Oct26/Mar27</v>
        <stp/>
        <stp>161913535MM16:Strip</stp>
        <tr r="E2043" s="5"/>
      </tp>
      <tp>
        <v>0</v>
        <stp/>
        <stp>2427026287Y2:Vol</stp>
        <tr r="N1185" s="5"/>
      </tp>
      <tp>
        <v>0</v>
        <stp/>
        <stp>2427026287Y0:Vol</stp>
        <tr r="N1183" s="5"/>
      </tp>
      <tp>
        <v>0</v>
        <stp/>
        <stp>2427026287Y1:Vol</stp>
        <tr r="N1184" s="5"/>
      </tp>
      <tp>
        <v>0</v>
        <stp/>
        <stp>1581618115Y0:Vol</stp>
        <tr r="N478" s="5"/>
      </tp>
      <tp t="s">
        <v>ARV</v>
        <stp/>
        <stp>2044823525M9:PCC</stp>
        <tr r="B1756" s="5"/>
      </tp>
      <tp t="s">
        <v>ARV</v>
        <stp/>
        <stp>2044823525M8:PCC</stp>
        <tr r="B1755" s="5"/>
      </tp>
      <tp t="s">
        <v>ARV</v>
        <stp/>
        <stp>2044823525M1:PCC</stp>
        <tr r="B1748" s="5"/>
      </tp>
      <tp t="s">
        <v>ARV</v>
        <stp/>
        <stp>2044823525M0:PCC</stp>
        <tr r="B1747" s="5"/>
      </tp>
      <tp t="s">
        <v>ARV</v>
        <stp/>
        <stp>2044823525M3:PCC</stp>
        <tr r="B1750" s="5"/>
      </tp>
      <tp t="s">
        <v>ARV</v>
        <stp/>
        <stp>2044823525M2:PCC</stp>
        <tr r="B1749" s="5"/>
      </tp>
      <tp t="s">
        <v>ARV</v>
        <stp/>
        <stp>2044823525M5:PCC</stp>
        <tr r="B1752" s="5"/>
      </tp>
      <tp t="s">
        <v>ARV</v>
        <stp/>
        <stp>2044823525M4:PCC</stp>
        <tr r="B1751" s="5"/>
      </tp>
      <tp t="s">
        <v>ARV</v>
        <stp/>
        <stp>2044823525M7:PCC</stp>
        <tr r="B1754" s="5"/>
      </tp>
      <tp t="s">
        <v>ARV</v>
        <stp/>
        <stp>2044823525M6:PCC</stp>
        <tr r="B1753" s="5"/>
      </tp>
      <tp t="s">
        <v>UMC</v>
        <stp/>
        <stp>2185224624B0:PCC</stp>
        <tr r="B593" s="5"/>
      </tp>
    </main>
    <main first="esrtd">
      <tp t="s">
        <v/>
        <stp/>
        <stp>WHK 9!-IEU</stp>
        <stp>Volume</stp>
        <tr r="N1926" s="5"/>
      </tp>
      <tp t="s">
        <v/>
        <stp/>
        <stp>WHK 8!-IEU</stp>
        <stp>Volume</stp>
        <tr r="N1925" s="5"/>
      </tp>
      <tp t="s">
        <v/>
        <stp/>
        <stp>WHK 1!-IEU</stp>
        <stp>Volume</stp>
        <tr r="N1918" s="5"/>
      </tp>
      <tp t="s">
        <v/>
        <stp/>
        <stp>WHK 3!-IEU</stp>
        <stp>Volume</stp>
        <tr r="N1920" s="5"/>
      </tp>
      <tp t="s">
        <v/>
        <stp/>
        <stp>WHK 2!-IEU</stp>
        <stp>Volume</stp>
        <tr r="N1919" s="5"/>
      </tp>
      <tp t="s">
        <v/>
        <stp/>
        <stp>WHK 5!-IEU</stp>
        <stp>Volume</stp>
        <tr r="N1922" s="5"/>
      </tp>
      <tp t="s">
        <v/>
        <stp/>
        <stp>WHK 4!-IEU</stp>
        <stp>Volume</stp>
        <tr r="N1921" s="5"/>
      </tp>
      <tp t="s">
        <v/>
        <stp/>
        <stp>WHK 7!-IEU</stp>
        <stp>Volume</stp>
        <tr r="N1924" s="5"/>
      </tp>
      <tp t="s">
        <v/>
        <stp/>
        <stp>WHK 6!-IEU</stp>
        <stp>Volume</stp>
        <tr r="N1923" s="5"/>
      </tp>
    </main>
    <main first="ice.rtd">
      <tp t="s">
        <v>JOD</v>
        <stp/>
        <stp>2326525626B0:PCC</stp>
        <tr r="B420" s="5"/>
      </tp>
      <tp>
        <v>7.3310000000000004</v>
        <stp/>
        <stp>18901687Q8:Settle</stp>
        <tr r="U340" s="5"/>
      </tp>
      <tp>
        <v>20.691000000000003</v>
        <stp/>
        <stp>18901687Q3:Settle</stp>
        <tr r="U335" s="5"/>
      </tp>
      <tp>
        <v>24.096</v>
        <stp/>
        <stp>18901687Q2:Settle</stp>
        <tr r="U334" s="5"/>
      </tp>
      <tp>
        <v>19.344000000000001</v>
        <stp/>
        <stp>18901687Q1:Settle</stp>
        <tr r="U333" s="5"/>
      </tp>
      <tp>
        <v>23.634</v>
        <stp/>
        <stp>18901687Q0:Settle</stp>
        <tr r="U332" s="5"/>
      </tp>
      <tp>
        <v>13.175000000000001</v>
        <stp/>
        <stp>18901687Q7:Settle</stp>
        <tr r="U339" s="5"/>
      </tp>
      <tp>
        <v>14.741000000000001</v>
        <stp/>
        <stp>18901687Q6:Settle</stp>
        <tr r="U338" s="5"/>
      </tp>
      <tp>
        <v>10.644</v>
        <stp/>
        <stp>18901687Q5:Settle</stp>
        <tr r="U337" s="5"/>
      </tp>
      <tp>
        <v>12.338000000000001</v>
        <stp/>
        <stp>18901687Q4:Settle</stp>
        <tr r="U336" s="5"/>
      </tp>
      <tp t="s">
        <v>Invalid Market: 18901687Y2</v>
        <stp/>
        <stp>18901687Y2:Settle</stp>
        <tr r="U343" s="5"/>
      </tp>
      <tp>
        <v>11.473000000000001</v>
        <stp/>
        <stp>18901687Y1:Settle</stp>
        <tr r="U342" s="5"/>
      </tp>
      <tp>
        <v>19.117000000000001</v>
        <stp/>
        <stp>18901687Y0:Settle</stp>
        <tr r="U341" s="5"/>
      </tp>
      <tp>
        <v>23.388999999999999</v>
        <stp/>
        <stp>18901687M9:Settle</stp>
        <tr r="U316" s="5"/>
      </tp>
      <tp>
        <v>24.309000000000001</v>
        <stp/>
        <stp>18901687M8:Settle</stp>
        <tr r="U315" s="5"/>
      </tp>
      <tp>
        <v>18.903000000000002</v>
        <stp/>
        <stp>18901687M3:Settle</stp>
        <tr r="U310" s="5"/>
      </tp>
      <tp>
        <v>22.699000000000002</v>
        <stp/>
        <stp>18901687M2:Settle</stp>
        <tr r="U309" s="5"/>
      </tp>
      <tp>
        <v>29.3</v>
        <stp/>
        <stp>18901687M1:Settle</stp>
        <tr r="U308" s="5"/>
      </tp>
      <tp>
        <v>44.64</v>
        <stp/>
        <stp>18901687M0:Settle</stp>
        <tr r="U307" s="5"/>
      </tp>
      <tp>
        <v>24.59</v>
        <stp/>
        <stp>18901687M7:Settle</stp>
        <tr r="U314" s="5"/>
      </tp>
      <tp>
        <v>20.215</v>
        <stp/>
        <stp>18901687M6:Settle</stp>
        <tr r="U313" s="5"/>
      </tp>
      <tp>
        <v>19.260999999999999</v>
        <stp/>
        <stp>18901687M5:Settle</stp>
        <tr r="U312" s="5"/>
      </tp>
      <tp>
        <v>18.556000000000001</v>
        <stp/>
        <stp>18901687M4:Settle</stp>
        <tr r="U311" s="5"/>
      </tp>
      <tp t="s">
        <v>ARV</v>
        <stp/>
        <stp>2044823525Y0:PCC</stp>
        <tr r="B1777" s="5"/>
      </tp>
      <tp>
        <v>2</v>
        <stp/>
        <stp>35534143Q1:Settle</stp>
        <tr r="U734" s="5"/>
      </tp>
      <tp>
        <v>-31</v>
        <stp/>
        <stp>35544144Q1:Settle</stp>
        <tr r="U658" s="5"/>
      </tp>
      <tp>
        <v>-9</v>
        <stp/>
        <stp>35554145Q1:Settle</stp>
        <tr r="U696" s="5"/>
      </tp>
      <tp>
        <v>11.667</v>
        <stp/>
        <stp>35534143Q0:Settle</stp>
        <tr r="U733" s="5"/>
      </tp>
      <tp>
        <v>-45</v>
        <stp/>
        <stp>35544144Q0:Settle</stp>
        <tr r="U657" s="5"/>
      </tp>
      <tp>
        <v>-13.333</v>
        <stp/>
        <stp>35554145Q0:Settle</stp>
        <tr r="U695" s="5"/>
      </tp>
      <tp>
        <v>0.5</v>
        <stp/>
        <stp>35534143Q3:Settle</stp>
        <tr r="U736" s="5"/>
      </tp>
      <tp>
        <v>-27</v>
        <stp/>
        <stp>35544144Q3:Settle</stp>
        <tr r="U660" s="5"/>
      </tp>
      <tp>
        <v>-5</v>
        <stp/>
        <stp>35554145Q3:Settle</stp>
        <tr r="U698" s="5"/>
      </tp>
      <tp>
        <v>1</v>
        <stp/>
        <stp>35534143Q2:Settle</stp>
        <tr r="U735" s="5"/>
      </tp>
      <tp>
        <v>-29</v>
        <stp/>
        <stp>35544144Q2:Settle</stp>
        <tr r="U659" s="5"/>
      </tp>
      <tp>
        <v>-5</v>
        <stp/>
        <stp>35554145Q2:Settle</stp>
        <tr r="U697" s="5"/>
      </tp>
      <tp>
        <v>1</v>
        <stp/>
        <stp>35534143Q5:Settle</stp>
        <tr r="U738" s="5"/>
      </tp>
      <tp>
        <v>-23</v>
        <stp/>
        <stp>35544144Q5:Settle</stp>
        <tr r="U662" s="5"/>
      </tp>
      <tp>
        <v>-3</v>
        <stp/>
        <stp>35554145Q5:Settle</stp>
        <tr r="U700" s="5"/>
      </tp>
      <tp>
        <v>1</v>
        <stp/>
        <stp>35534143Q4:Settle</stp>
        <tr r="U737" s="5"/>
      </tp>
      <tp>
        <v>-25</v>
        <stp/>
        <stp>35544144Q4:Settle</stp>
        <tr r="U661" s="5"/>
      </tp>
      <tp>
        <v>-5</v>
        <stp/>
        <stp>35554145Q4:Settle</stp>
        <tr r="U699" s="5"/>
      </tp>
      <tp>
        <v>1</v>
        <stp/>
        <stp>35534143Q7:Settle</stp>
        <tr r="U740" s="5"/>
      </tp>
      <tp>
        <v>-21.5</v>
        <stp/>
        <stp>35544144Q7:Settle</stp>
        <tr r="U664" s="5"/>
      </tp>
      <tp>
        <v>-3</v>
        <stp/>
        <stp>35554145Q7:Settle</stp>
        <tr r="U702" s="5"/>
      </tp>
      <tp>
        <v>1</v>
        <stp/>
        <stp>35534143Q6:Settle</stp>
        <tr r="U739" s="5"/>
      </tp>
      <tp>
        <v>-22</v>
        <stp/>
        <stp>35544144Q6:Settle</stp>
        <tr r="U663" s="5"/>
      </tp>
      <tp>
        <v>-3</v>
        <stp/>
        <stp>35554145Q6:Settle</stp>
        <tr r="U701" s="5"/>
      </tp>
      <tp>
        <v>1</v>
        <stp/>
        <stp>35534143Q8:Settle</stp>
        <tr r="U741" s="5"/>
      </tp>
      <tp>
        <v>-21.5</v>
        <stp/>
        <stp>35544144Q8:Settle</stp>
        <tr r="U665" s="5"/>
      </tp>
      <tp>
        <v>-3</v>
        <stp/>
        <stp>35554145Q8:Settle</stp>
        <tr r="U703" s="5"/>
      </tp>
      <tp>
        <v>-4.7644000000000002</v>
        <stp/>
        <stp>30813691Q3:Settle</stp>
        <tr r="U1981" s="5"/>
      </tp>
      <tp>
        <v>-4.1124000000000001</v>
        <stp/>
        <stp>30813691Q2:Settle</stp>
        <tr r="U1980" s="5"/>
      </tp>
      <tp>
        <v>-4.3228</v>
        <stp/>
        <stp>30813691Q1:Settle</stp>
        <tr r="U1979" s="5"/>
      </tp>
      <tp>
        <v>-5.0150000000000006</v>
        <stp/>
        <stp>30813691Q0:Settle</stp>
        <tr r="U1978" s="5"/>
      </tp>
      <tp>
        <v>-5.5823</v>
        <stp/>
        <stp>30813691Q7:Settle</stp>
        <tr r="U1985" s="5"/>
      </tp>
      <tp>
        <v>-5.4843000000000002</v>
        <stp/>
        <stp>30813691Q6:Settle</stp>
        <tr r="U1984" s="5"/>
      </tp>
      <tp>
        <v>-5.5916000000000006</v>
        <stp/>
        <stp>30813691Q5:Settle</stp>
        <tr r="U1983" s="5"/>
      </tp>
      <tp>
        <v>-5.7369000000000003</v>
        <stp/>
        <stp>30813691Q4:Settle</stp>
        <tr r="U1982" s="5"/>
      </tp>
      <tp>
        <v>-5.5645000000000007</v>
        <stp/>
        <stp>30813691Q8:Settle</stp>
        <tr r="U1986" s="5"/>
      </tp>
      <tp>
        <v>1</v>
        <stp/>
        <stp>35534143Y1:Settle</stp>
        <tr r="U743" s="5"/>
      </tp>
      <tp>
        <v>-22</v>
        <stp/>
        <stp>35544144Y1:Settle</stp>
        <tr r="U667" s="5"/>
      </tp>
      <tp>
        <v>-3</v>
        <stp/>
        <stp>35554145Y1:Settle</stp>
        <tr r="U705" s="5"/>
      </tp>
      <tp>
        <v>1.125</v>
        <stp/>
        <stp>35534143Y0:Settle</stp>
        <tr r="U742" s="5"/>
      </tp>
      <tp>
        <v>-28</v>
        <stp/>
        <stp>35544144Y0:Settle</stp>
        <tr r="U666" s="5"/>
      </tp>
      <tp>
        <v>-6</v>
        <stp/>
        <stp>35554145Y0:Settle</stp>
        <tr r="U704" s="5"/>
      </tp>
      <tp>
        <v>1</v>
        <stp/>
        <stp>35534143Y2:Settle</stp>
        <tr r="U744" s="5"/>
      </tp>
      <tp>
        <v>-19</v>
        <stp/>
        <stp>35544144Y2:Settle</stp>
        <tr r="U668" s="5"/>
      </tp>
      <tp>
        <v>-3</v>
        <stp/>
        <stp>35554145Y2:Settle</stp>
        <tr r="U706" s="5"/>
      </tp>
      <tp>
        <v>-4.5890000000000004</v>
        <stp/>
        <stp>30813691Y2:Settle</stp>
        <tr r="U1989" s="5"/>
      </tp>
      <tp>
        <v>-5.5556999999999999</v>
        <stp/>
        <stp>30813691Y1:Settle</stp>
        <tr r="U1988" s="5"/>
      </tp>
      <tp>
        <v>-4.7341000000000006</v>
        <stp/>
        <stp>30813691Y0:Settle</stp>
        <tr r="U1987" s="5"/>
      </tp>
      <tp>
        <v>-4.5162000000000004</v>
        <stp/>
        <stp>30813691M3:Settle</stp>
        <tr r="U1956" s="5"/>
      </tp>
      <tp>
        <v>-5.0630000000000006</v>
        <stp/>
        <stp>30813691M2:Settle</stp>
        <tr r="U1955" s="5"/>
      </tp>
      <tp>
        <v>-5.4657</v>
        <stp/>
        <stp>30813691M1:Settle</stp>
        <tr r="U1954" s="5"/>
      </tp>
      <tp>
        <v>-3.6757</v>
        <stp/>
        <stp>30813691M0:Settle</stp>
        <tr r="U1953" s="5"/>
      </tp>
      <tp>
        <v>-4.1085000000000003</v>
        <stp/>
        <stp>30813691M7:Settle</stp>
        <tr r="U1960" s="5"/>
      </tp>
      <tp>
        <v>-4.2254000000000005</v>
        <stp/>
        <stp>30813691M6:Settle</stp>
        <tr r="U1959" s="5"/>
      </tp>
      <tp>
        <v>-4.3180000000000005</v>
        <stp/>
        <stp>30813691M5:Settle</stp>
        <tr r="U1958" s="5"/>
      </tp>
      <tp>
        <v>-4.4251000000000005</v>
        <stp/>
        <stp>30813691M4:Settle</stp>
        <tr r="U1957" s="5"/>
      </tp>
      <tp>
        <v>-4.1927000000000003</v>
        <stp/>
        <stp>30813691M9:Settle</stp>
        <tr r="U1962" s="5"/>
      </tp>
      <tp>
        <v>-4.0358999999999998</v>
        <stp/>
        <stp>30813691M8:Settle</stp>
        <tr r="U1961" s="5"/>
      </tp>
      <tp>
        <v>15</v>
        <stp/>
        <stp>35534143M1:Settle</stp>
        <tr r="U709" s="5"/>
      </tp>
      <tp>
        <v>-50</v>
        <stp/>
        <stp>35544144M1:Settle</stp>
        <tr r="U633" s="5"/>
      </tp>
      <tp>
        <v>-14</v>
        <stp/>
        <stp>35554145M1:Settle</stp>
        <tr r="U671" s="5"/>
      </tp>
      <tp>
        <v>18</v>
        <stp/>
        <stp>35534143M0:Settle</stp>
        <tr r="U708" s="5"/>
      </tp>
      <tp>
        <v>-52</v>
        <stp/>
        <stp>35544144M0:Settle</stp>
        <tr r="U632" s="5"/>
      </tp>
      <tp>
        <v>-22.5</v>
        <stp/>
        <stp>35554145M0:Settle</stp>
        <tr r="U670" s="5"/>
      </tp>
      <tp>
        <v>7</v>
        <stp/>
        <stp>35534143M3:Settle</stp>
        <tr r="U711" s="5"/>
      </tp>
      <tp>
        <v>-40</v>
        <stp/>
        <stp>35544144M3:Settle</stp>
        <tr r="U635" s="5"/>
      </tp>
      <tp>
        <v>-12</v>
        <stp/>
        <stp>35554145M3:Settle</stp>
        <tr r="U673" s="5"/>
      </tp>
      <tp>
        <v>13</v>
        <stp/>
        <stp>35534143M2:Settle</stp>
        <tr r="U710" s="5"/>
      </tp>
      <tp>
        <v>-45</v>
        <stp/>
        <stp>35544144M2:Settle</stp>
        <tr r="U634" s="5"/>
      </tp>
      <tp>
        <v>-14</v>
        <stp/>
        <stp>35554145M2:Settle</stp>
        <tr r="U672" s="5"/>
      </tp>
      <tp>
        <v>2</v>
        <stp/>
        <stp>35534143M5:Settle</stp>
        <tr r="U713" s="5"/>
      </tp>
      <tp>
        <v>-31</v>
        <stp/>
        <stp>35544144M5:Settle</stp>
        <tr r="U637" s="5"/>
      </tp>
      <tp>
        <v>-9</v>
        <stp/>
        <stp>35554145M5:Settle</stp>
        <tr r="U675" s="5"/>
      </tp>
      <tp>
        <v>2.5</v>
        <stp/>
        <stp>35534143M4:Settle</stp>
        <tr r="U712" s="5"/>
      </tp>
      <tp>
        <v>-31</v>
        <stp/>
        <stp>35544144M4:Settle</stp>
        <tr r="U636" s="5"/>
      </tp>
      <tp>
        <v>-9</v>
        <stp/>
        <stp>35554145M4:Settle</stp>
        <tr r="U674" s="5"/>
      </tp>
      <tp>
        <v>1</v>
        <stp/>
        <stp>35534143M7:Settle</stp>
        <tr r="U715" s="5"/>
      </tp>
      <tp>
        <v>-29</v>
        <stp/>
        <stp>35544144M7:Settle</stp>
        <tr r="U639" s="5"/>
      </tp>
      <tp>
        <v>-5</v>
        <stp/>
        <stp>35554145M7:Settle</stp>
        <tr r="U677" s="5"/>
      </tp>
      <tp>
        <v>1.5</v>
        <stp/>
        <stp>35534143M6:Settle</stp>
        <tr r="U714" s="5"/>
      </tp>
      <tp>
        <v>-31</v>
        <stp/>
        <stp>35544144M6:Settle</stp>
        <tr r="U638" s="5"/>
      </tp>
      <tp>
        <v>-9</v>
        <stp/>
        <stp>35554145M6:Settle</stp>
        <tr r="U676" s="5"/>
      </tp>
      <tp>
        <v>1</v>
        <stp/>
        <stp>35534143M9:Settle</stp>
        <tr r="U717" s="5"/>
      </tp>
      <tp>
        <v>-29</v>
        <stp/>
        <stp>35544144M9:Settle</stp>
        <tr r="U641" s="5"/>
      </tp>
      <tp>
        <v>-5</v>
        <stp/>
        <stp>35554145M9:Settle</stp>
        <tr r="U679" s="5"/>
      </tp>
      <tp>
        <v>1</v>
        <stp/>
        <stp>35534143M8:Settle</stp>
        <tr r="U716" s="5"/>
      </tp>
      <tp>
        <v>-29</v>
        <stp/>
        <stp>35544144M8:Settle</stp>
        <tr r="U640" s="5"/>
      </tp>
      <tp>
        <v>-5</v>
        <stp/>
        <stp>35554145M8:Settle</stp>
        <tr r="U678" s="5"/>
      </tp>
      <tp>
        <v>0.71666999999999992</v>
        <stp/>
        <stp>15091310Q3:Settle</stp>
        <tr r="U1405" s="5"/>
      </tp>
      <tp>
        <v>0.72</v>
        <stp/>
        <stp>15091310Q2:Settle</stp>
        <tr r="U1404" s="5"/>
      </tp>
      <tp>
        <v>0.75957999999999992</v>
        <stp/>
        <stp>15091310Q1:Settle</stp>
        <tr r="U1403" s="5"/>
      </tp>
      <tp>
        <v>0.76291999999999993</v>
        <stp/>
        <stp>15091310Q0:Settle</stp>
        <tr r="U1402" s="5"/>
      </tp>
      <tp>
        <v>0.67416999999999994</v>
        <stp/>
        <stp>15091310Q7:Settle</stp>
        <tr r="U1409" s="5"/>
      </tp>
      <tp>
        <v>0.67582999999999993</v>
        <stp/>
        <stp>15091310Q6:Settle</stp>
        <tr r="U1408" s="5"/>
      </tp>
      <tp>
        <v>0.73</v>
        <stp/>
        <stp>15091310Q5:Settle</stp>
        <tr r="U1407" s="5"/>
      </tp>
      <tp>
        <v>0.73458000000000001</v>
        <stp/>
        <stp>15091310Q4:Settle</stp>
        <tr r="U1406" s="5"/>
      </tp>
      <tp>
        <v>0.69207999999999992</v>
        <stp/>
        <stp>15091310Q8:Settle</stp>
        <tr r="U1410" s="5"/>
      </tp>
      <tp>
        <v>0.66134999999999999</v>
        <stp/>
        <stp>15091310Y2:Settle</stp>
        <tr r="U1413" s="5"/>
      </tp>
      <tp>
        <v>0.69301999999999997</v>
        <stp/>
        <stp>15091310Y1:Settle</stp>
        <tr r="U1412" s="5"/>
      </tp>
      <tp>
        <v>0.73270999999999997</v>
        <stp/>
        <stp>15091310Y0:Settle</stp>
        <tr r="U1411" s="5"/>
      </tp>
      <tp>
        <v>0.76374999999999993</v>
        <stp/>
        <stp>15091310M3:Settle</stp>
        <tr r="U1380" s="5"/>
      </tp>
      <tp>
        <v>0.76250000000000007</v>
        <stp/>
        <stp>15091310M2:Settle</stp>
        <tr r="U1379" s="5"/>
      </tp>
      <tp>
        <v>0.76250000000000007</v>
        <stp/>
        <stp>15091310M1:Settle</stp>
        <tr r="U1378" s="5"/>
      </tp>
      <tp>
        <v>0.76500000000000001</v>
        <stp/>
        <stp>15091310M0:Settle</stp>
        <tr r="U1377" s="5"/>
      </tp>
      <tp>
        <v>0.73</v>
        <stp/>
        <stp>15091310M7:Settle</stp>
        <tr r="U1384" s="5"/>
      </tp>
      <tp>
        <v>0.75</v>
        <stp/>
        <stp>15091310M6:Settle</stp>
        <tr r="U1383" s="5"/>
      </tp>
      <tp>
        <v>0.76374999999999993</v>
        <stp/>
        <stp>15091310M5:Settle</stp>
        <tr r="U1382" s="5"/>
      </tp>
      <tp>
        <v>0.76500000000000001</v>
        <stp/>
        <stp>15091310M4:Settle</stp>
        <tr r="U1381" s="5"/>
      </tp>
      <tp>
        <v>0.71250000000000002</v>
        <stp/>
        <stp>15091310M9:Settle</stp>
        <tr r="U1386" s="5"/>
      </tp>
      <tp>
        <v>0.71750000000000003</v>
        <stp/>
        <stp>15091310M8:Settle</stp>
        <tr r="U1385" s="5"/>
      </tp>
      <tp t="s">
        <v>ARV</v>
        <stp/>
        <stp>2044823525Q1:PCC</stp>
        <tr r="B1771" s="5"/>
      </tp>
      <tp t="s">
        <v>ARV</v>
        <stp/>
        <stp>2044823525Q0:PCC</stp>
        <tr r="B1770" s="5"/>
      </tp>
      <tp t="s">
        <v>ARV</v>
        <stp/>
        <stp>2044823525Q3:PCC</stp>
        <tr r="B1773" s="5"/>
      </tp>
      <tp t="s">
        <v>ARV</v>
        <stp/>
        <stp>2044823525Q2:PCC</stp>
        <tr r="B1772" s="5"/>
      </tp>
      <tp t="s">
        <v>Invalid Market: 2044823525Q5</v>
        <stp/>
        <stp>2044823525Q5:PCC</stp>
        <tr r="B1775" s="5"/>
      </tp>
      <tp t="s">
        <v>ARV</v>
        <stp/>
        <stp>2044823525Q4:PCC</stp>
        <tr r="B1774" s="5"/>
      </tp>
      <tp t="s">
        <v>Invalid Market: 2044823525Q6</v>
        <stp/>
        <stp>2044823525Q6:PCC</stp>
        <tr r="B1776" s="5"/>
      </tp>
    </main>
    <main first="ice.rtd">
      <tp t="s">
        <v/>
        <stp/>
        <stp>DBI1227MM5:LstBlkVol</stp>
        <tr r="L1656" s="5"/>
      </tp>
    </main>
    <main first="bofaddin.rtdserver">
      <tp t="s">
        <v>#N/A N/A</v>
        <stp/>
        <stp>BDH|912170979797954212</stp>
        <tr r="BA38" s="1"/>
        <tr r="BA38" s="1"/>
      </tp>
    </main>
    <main first="ice.rtd">
      <tp t="s">
        <v>Feb27</v>
        <stp/>
        <stp>266419M5:Strip</stp>
        <tr r="E964" s="5"/>
      </tp>
      <tp t="s">
        <v>Q1 28</v>
        <stp/>
        <stp>266419Q5:Strip</stp>
        <tr r="E989" s="5"/>
      </tp>
    </main>
    <main first="bofaddin.rtdserver">
      <tp t="b">
        <v>0</v>
        <stp/>
        <stp>BDH|739431985846073915</stp>
        <tr r="N20" s="25"/>
        <tr r="N20" s="25"/>
      </tp>
    </main>
    <main first="ice.rtd">
      <tp t="s">
        <v>Jan27</v>
        <stp/>
        <stp>141587M4:Strip</stp>
        <tr r="E45" s="5"/>
      </tp>
      <tp t="s">
        <v>Q4 27</v>
        <stp/>
        <stp>141587Q4:Strip</stp>
        <tr r="E70" s="5"/>
      </tp>
      <tp t="s">
        <v>Jul27</v>
        <stp/>
        <stp>34404098M10:Strip</stp>
        <tr r="E604" s="5"/>
      </tp>
      <tp t="s">
        <v>Jul27</v>
        <stp/>
        <stp>34414099M10:Strip</stp>
        <tr r="E89" s="5"/>
      </tp>
      <tp t="s">
        <v>May28</v>
        <stp/>
        <stp>34404098M20:Strip</stp>
        <tr r="E614" s="5"/>
      </tp>
      <tp t="s">
        <v>May28</v>
        <stp/>
        <stp>34414099M20:Strip</stp>
        <tr r="E99" s="5"/>
      </tp>
      <tp t="s">
        <v>Aug28</v>
        <stp/>
        <stp>30793693M23:Strip</stp>
        <tr r="E906" s="5"/>
      </tp>
      <tp t="s">
        <v>Oct27</v>
        <stp/>
        <stp>30793693M13:Strip</stp>
        <tr r="E896" s="5"/>
      </tp>
      <tp t="s">
        <v/>
        <stp/>
        <stp>DBI1227MM3:BstHitPrc</stp>
        <tr r="G1654" s="5"/>
      </tp>
      <tp t="s">
        <v>Oct27</v>
        <stp/>
        <stp>41787896M13:Strip</stp>
        <tr r="E820" s="5"/>
      </tp>
      <tp t="s">
        <v>Aug28</v>
        <stp/>
        <stp>41787896M23:Strip</stp>
        <tr r="E830" s="5"/>
      </tp>
      <tp t="s">
        <v>Sep26/Feb27</v>
        <stp/>
        <stp>15061297MM4:Strip</stp>
        <tr r="E1687" s="5"/>
      </tp>
      <tp t="s">
        <v>Jul28</v>
        <stp/>
        <stp>32623993M22:Strip</stp>
        <tr r="E2012" s="5"/>
      </tp>
      <tp t="s">
        <v>Sep27</v>
        <stp/>
        <stp>32623993M12:Strip</stp>
        <tr r="E2002" s="5"/>
      </tp>
    </main>
    <main first="esrtd">
      <tp t="s">
        <v/>
        <stp/>
        <stp>Invalid Market: CALCM10 N27-IEU</stp>
        <stp>ICE Theoretical Price</stp>
        <tr r="W855" s="5"/>
        <tr r="W279" s="5"/>
        <tr r="W1197" s="5"/>
        <tr r="W393" s="5"/>
        <tr r="W1083" s="5"/>
        <tr r="W1349" s="5"/>
      </tp>
    </main>
    <main first="ice.rtd">
      <tp t="s">
        <v>Apr28</v>
        <stp/>
        <stp>46678127M19:Strip</stp>
        <tr r="E364" s="5"/>
      </tp>
      <tp t="s">
        <v>Jul28</v>
        <stp/>
        <stp>32613992M22:Strip</stp>
        <tr r="E1247" s="5"/>
      </tp>
      <tp t="s">
        <v>Sep27</v>
        <stp/>
        <stp>32613992M12:Strip</stp>
        <tr r="E1237" s="5"/>
      </tp>
      <tp t="s">
        <v>Feb28</v>
        <stp/>
        <stp>34364094M17:Strip</stp>
        <tr r="E535" s="5"/>
      </tp>
      <tp t="s">
        <v>Feb28</v>
        <stp/>
        <stp>34374095M17:Strip</stp>
        <tr r="E573" s="5"/>
      </tp>
      <tp t="s">
        <v>Oct27</v>
        <stp/>
        <stp>41767893M13:Strip</stp>
        <tr r="E493" s="5"/>
      </tp>
      <tp t="s">
        <v>Aug28</v>
        <stp/>
        <stp>41767893M23:Strip</stp>
        <tr r="E503" s="5"/>
      </tp>
      <tp t="s">
        <v/>
        <stp/>
        <stp>DBI1227MM3:LstBlkPrc</stp>
        <tr r="K1654" s="5"/>
      </tp>
      <tp t="s">
        <v>Feb28</v>
        <stp/>
        <stp>34344092M17:Strip</stp>
        <tr r="E1280" s="5"/>
      </tp>
      <tp t="s">
        <v>Feb28</v>
        <stp/>
        <stp>34354093M17:Strip</stp>
        <tr r="E1318" s="5"/>
      </tp>
    </main>
    <main first="esrtd">
      <tp t="s">
        <v/>
        <stp/>
        <stp>GSL B0-IEU</stp>
        <stp>ICE Theoretical Price</stp>
        <tr r="W116" s="5"/>
      </tp>
    </main>
    <main first="ice.rtd">
      <tp t="s">
        <v>Apr28</v>
        <stp/>
        <stp>2427026287M19:Strip</stp>
        <tr r="E1168" s="5"/>
      </tp>
      <tp t="s">
        <v>Oct26</v>
        <stp/>
        <stp>266M1:Strip</stp>
        <tr r="E922" s="5"/>
      </tp>
      <tp t="s">
        <v>Q1 27</v>
        <stp/>
        <stp>266Q1:Strip</stp>
        <tr r="E947" s="5"/>
      </tp>
      <tp t="s">
        <v>Cal 28</v>
        <stp/>
        <stp>266Y1:Strip</stp>
        <tr r="E956" s="5"/>
      </tp>
      <tp t="s">
        <v/>
        <stp/>
        <stp>41767893M13:LstPrc</stp>
        <tr r="I493" s="5"/>
      </tp>
      <tp t="s">
        <v/>
        <stp/>
        <stp>41767893M12:LstPrc</stp>
        <tr r="I492" s="5"/>
      </tp>
      <tp t="s">
        <v/>
        <stp/>
        <stp>41767893M11:LstPrc</stp>
        <tr r="I491" s="5"/>
      </tp>
      <tp t="s">
        <v/>
        <stp/>
        <stp>41767893M10:LstPrc</stp>
        <tr r="I490" s="5"/>
      </tp>
      <tp t="s">
        <v/>
        <stp/>
        <stp>41767893M17:LstPrc</stp>
        <tr r="I497" s="5"/>
      </tp>
      <tp t="s">
        <v/>
        <stp/>
        <stp>41767893M16:LstPrc</stp>
        <tr r="I496" s="5"/>
      </tp>
      <tp t="s">
        <v/>
        <stp/>
        <stp>41767893M15:LstPrc</stp>
        <tr r="I495" s="5"/>
      </tp>
      <tp t="s">
        <v/>
        <stp/>
        <stp>41767893M14:LstPrc</stp>
        <tr r="I494" s="5"/>
      </tp>
      <tp t="s">
        <v/>
        <stp/>
        <stp>41767893M19:LstPrc</stp>
        <tr r="I499" s="5"/>
      </tp>
      <tp t="s">
        <v/>
        <stp/>
        <stp>41767893M18:LstPrc</stp>
        <tr r="I498" s="5"/>
      </tp>
      <tp t="s">
        <v/>
        <stp/>
        <stp>41767893M23:LstPrc</stp>
        <tr r="I503" s="5"/>
      </tp>
      <tp t="s">
        <v/>
        <stp/>
        <stp>41767893M22:LstPrc</stp>
        <tr r="I502" s="5"/>
      </tp>
      <tp t="s">
        <v/>
        <stp/>
        <stp>41767893M21:LstPrc</stp>
        <tr r="I501" s="5"/>
      </tp>
      <tp t="s">
        <v/>
        <stp/>
        <stp>41767893M20:LstPrc</stp>
        <tr r="I500" s="5"/>
      </tp>
      <tp t="s">
        <v/>
        <stp/>
        <stp>41767893M24:LstPrc</stp>
        <tr r="I504" s="5"/>
      </tp>
      <tp t="s">
        <v>Sep27</v>
        <stp/>
        <stp>3124331018M12:Strip</stp>
        <tr r="E1617" s="5"/>
      </tp>
      <tp t="s">
        <v>Mar28</v>
        <stp/>
        <stp>2427126288M18:Strip</stp>
        <tr r="E1053" s="5"/>
      </tp>
      <tp t="s">
        <v>Jun28</v>
        <stp/>
        <stp>2755728678M21:Strip</stp>
        <tr r="E1132" s="5"/>
      </tp>
      <tp t="s">
        <v>Aug27</v>
        <stp/>
        <stp>2755728678M11:Strip</stp>
        <tr r="E1122" s="5"/>
      </tp>
    </main>
    <main first="esrtd">
      <tp t="s">
        <v/>
        <stp/>
        <stp>ASX B0-IEU</stp>
        <stp>ICE Theoretical Price</stp>
        <tr r="W1746" s="5"/>
      </tp>
    </main>
    <main first="ice.rtd">
      <tp>
        <v>0</v>
        <stp/>
        <stp>32613992M24:BlkVol</stp>
        <tr r="O1249" s="5"/>
      </tp>
      <tp>
        <v>0</v>
        <stp/>
        <stp>32613992M21:BlkVol</stp>
        <tr r="O1246" s="5"/>
      </tp>
      <tp>
        <v>0</v>
        <stp/>
        <stp>32613992M20:BlkVol</stp>
        <tr r="O1245" s="5"/>
      </tp>
      <tp>
        <v>0</v>
        <stp/>
        <stp>32613992M23:BlkVol</stp>
        <tr r="O1248" s="5"/>
      </tp>
      <tp>
        <v>0</v>
        <stp/>
        <stp>32613992M22:BlkVol</stp>
        <tr r="O1247" s="5"/>
      </tp>
      <tp>
        <v>0</v>
        <stp/>
        <stp>32613992M19:BlkVol</stp>
        <tr r="O1244" s="5"/>
      </tp>
      <tp>
        <v>0</v>
        <stp/>
        <stp>32613992M18:BlkVol</stp>
        <tr r="O1243" s="5"/>
      </tp>
      <tp>
        <v>0</v>
        <stp/>
        <stp>32613992M15:BlkVol</stp>
        <tr r="O1240" s="5"/>
      </tp>
      <tp>
        <v>0</v>
        <stp/>
        <stp>32613992M14:BlkVol</stp>
        <tr r="O1239" s="5"/>
      </tp>
      <tp>
        <v>0</v>
        <stp/>
        <stp>32613992M17:BlkVol</stp>
        <tr r="O1242" s="5"/>
      </tp>
      <tp>
        <v>0</v>
        <stp/>
        <stp>32613992M16:BlkVol</stp>
        <tr r="O1241" s="5"/>
      </tp>
      <tp>
        <v>0</v>
        <stp/>
        <stp>32613992M11:BlkVol</stp>
        <tr r="O1236" s="5"/>
      </tp>
      <tp>
        <v>0</v>
        <stp/>
        <stp>32613992M10:BlkVol</stp>
        <tr r="O1235" s="5"/>
      </tp>
      <tp>
        <v>0</v>
        <stp/>
        <stp>32613992M13:BlkVol</stp>
        <tr r="O1238" s="5"/>
      </tp>
      <tp>
        <v>0</v>
        <stp/>
        <stp>32613992M12:BlkVol</stp>
        <tr r="O1237" s="5"/>
      </tp>
    </main>
    <main first="bofaddin.rtdserver">
      <tp>
        <v>492.2</v>
        <stp/>
        <stp>BDP|4775159828376317862|222</stp>
        <stp>SCPH29 Comdty</stp>
        <stp>BID</stp>
        <stp>Fill=#N/A</stp>
        <tr r="M49" s="1"/>
      </tp>
    </main>
    <main first="esrtd">
      <tp t="s">
        <v/>
        <stp/>
        <stp>GSS B0-IEU</stp>
        <stp>ICE Theoretical Price</stp>
        <tr r="W1625" s="5"/>
      </tp>
    </main>
    <main first="bofaddin.rtdserver">
      <tp t="s">
        <v>#N/A Invalid Security</v>
        <stp/>
        <stp>BDP|6908780058255418879|222</stp>
        <stp>SCPV28 Comdty</stp>
        <stp>BID</stp>
        <stp>Fill=#N/A</stp>
        <tr r="M44" s="1"/>
      </tp>
    </main>
    <main first="esrtd">
      <tp t="s">
        <v/>
        <stp/>
        <stp>ISP B0-IEU</stp>
        <stp>ICE Theoretical Price</stp>
        <tr r="W1452" s="5"/>
      </tp>
    </main>
    <main first="bofaddin.rtdserver">
      <tp t="s">
        <v>#N/A Invalid Security</v>
        <stp/>
        <stp>BDP|1029492863620817430|222</stp>
        <stp>SCPF30 Comdty</stp>
        <stp>ASK</stp>
        <stp>Fill=#N/A</stp>
        <tr r="M59" s="1"/>
      </tp>
      <tp t="s">
        <v>#N/A Invalid Security</v>
        <stp/>
        <stp>BDP|9595777361408964630|222</stp>
        <stp>SCPF28 Comdty</stp>
        <stp>ASK</stp>
        <stp>Fill=#N/A</stp>
        <tr r="M35" s="1"/>
      </tp>
      <tp>
        <v>354.81</v>
        <stp/>
        <stp>BDP|5855704118887100778|222</stp>
        <stp>HOM7 Comdty</stp>
        <stp>BID</stp>
        <stp>Fill=#N/A</stp>
        <tr r="I28" s="1"/>
      </tp>
    </main>
    <main first="ice.rtd">
      <tp>
        <v>-50.528000000000006</v>
        <stp/>
        <stp>1986823075M8:Settle</stp>
        <tr r="U125" s="5"/>
      </tp>
      <tp>
        <v>-47.062000000000005</v>
        <stp/>
        <stp>1986823075M9:Settle</stp>
        <tr r="U126" s="5"/>
      </tp>
      <tp>
        <v>-86.994</v>
        <stp/>
        <stp>1986823075M2:Settle</stp>
        <tr r="U119" s="5"/>
      </tp>
      <tp>
        <v>-75.866</v>
        <stp/>
        <stp>1986823075M3:Settle</stp>
        <tr r="U120" s="5"/>
      </tp>
      <tp>
        <v>-140.547</v>
        <stp/>
        <stp>1986823075M0:Settle</stp>
        <tr r="U117" s="5"/>
      </tp>
      <tp>
        <v>-105.004</v>
        <stp/>
        <stp>1986823075M1:Settle</stp>
        <tr r="U118" s="5"/>
      </tp>
      <tp>
        <v>-60.702000000000005</v>
        <stp/>
        <stp>1986823075M6:Settle</stp>
        <tr r="U123" s="5"/>
      </tp>
      <tp>
        <v>-54.024000000000001</v>
        <stp/>
        <stp>1986823075M7:Settle</stp>
        <tr r="U124" s="5"/>
      </tp>
      <tp>
        <v>-70.965000000000003</v>
        <stp/>
        <stp>1986823075M4:Settle</stp>
        <tr r="U121" s="5"/>
      </tp>
      <tp>
        <v>-68.070000000000007</v>
        <stp/>
        <stp>1986823075M5:Settle</stp>
        <tr r="U122" s="5"/>
      </tp>
      <tp>
        <v>-38.230000000000004</v>
        <stp/>
        <stp>1986823075Q8:Settle</stp>
        <tr r="U150" s="5"/>
      </tp>
      <tp>
        <v>-50.538000000000004</v>
        <stp/>
        <stp>1986823075Q2:Settle</stp>
        <tr r="U144" s="5"/>
      </tp>
      <tp>
        <v>-44.780999999999999</v>
        <stp/>
        <stp>1986823075Q3:Settle</stp>
        <tr r="U145" s="5"/>
      </tp>
      <tp>
        <v>-89.288000000000011</v>
        <stp/>
        <stp>1986823075Q0:Settle</stp>
        <tr r="U142" s="5"/>
      </tp>
      <tp>
        <v>-66.579000000000008</v>
        <stp/>
        <stp>1986823075Q1:Settle</stp>
        <tr r="U143" s="5"/>
      </tp>
      <tp>
        <v>-38.678000000000004</v>
        <stp/>
        <stp>1986823075Q6:Settle</stp>
        <tr r="U148" s="5"/>
      </tp>
      <tp>
        <v>-37.606999999999999</v>
        <stp/>
        <stp>1986823075Q7:Settle</stp>
        <tr r="U149" s="5"/>
      </tp>
      <tp>
        <v>-42.706000000000003</v>
        <stp/>
        <stp>1986823075Q4:Settle</stp>
        <tr r="U146" s="5"/>
      </tp>
      <tp>
        <v>-43.399000000000001</v>
        <stp/>
        <stp>1986823075Q5:Settle</stp>
        <tr r="U147" s="5"/>
      </tp>
      <tp>
        <v>-47.550000000000004</v>
        <stp/>
        <stp>1986823075Y2:Settle</stp>
        <tr r="U153" s="5"/>
      </tp>
      <tp>
        <v>-51.151000000000003</v>
        <stp/>
        <stp>1986823075Y0:Settle</stp>
        <tr r="U151" s="5"/>
      </tp>
      <tp>
        <v>-39.478000000000002</v>
        <stp/>
        <stp>1986823075Y1:Settle</stp>
        <tr r="U152" s="5"/>
      </tp>
    </main>
    <main first="bofaddin.rtdserver">
      <tp>
        <v>75.77</v>
        <stp/>
        <stp>BDP|1486197257060213346|222</stp>
        <stp>COK8 Comdty</stp>
        <stp>ASK</stp>
        <stp>Fill=#N/A</stp>
        <tr r="G39" s="1"/>
      </tp>
      <tp t="s">
        <v>#N/A</v>
        <stp/>
        <stp>BDP|6972764810236528347|222</stp>
        <stp>CLH8 Comdty</stp>
        <stp>BID</stp>
        <stp>Fill=#N/A</stp>
        <tr r="F37" s="1"/>
      </tp>
    </main>
    <main first="ice.rtd">
      <tp>
        <v>0</v>
        <stp/>
        <stp>2505226937B0:Vol</stp>
        <tr r="N768" s="5"/>
      </tp>
    </main>
    <main first="bofaddin.rtdserver">
      <tp>
        <v>75.05</v>
        <stp/>
        <stp>BDP|4074423084624796715|222</stp>
        <stp>COM8 Comdty</stp>
        <stp>ASK</stp>
        <stp>Fill=#N/A</stp>
        <tr r="G40" s="1"/>
      </tp>
      <tp t="s">
        <v>#N/A</v>
        <stp/>
        <stp>BDP|6493712813640877121|222</stp>
        <stp>QSH0 Comdty</stp>
        <stp>ASK</stp>
        <stp>Fill=#N/A</stp>
        <tr r="H61" s="1"/>
      </tp>
    </main>
    <main first="ice.rtd">
      <tp>
        <v>0.76500000000000001</v>
        <stp/>
        <stp>2182524598B0:Settle</stp>
        <tr r="U1376" s="5"/>
      </tp>
    </main>
    <main first="bofaddin.rtdserver">
      <tp t="s">
        <v>#N/A Invalid Security</v>
        <stp/>
        <stp>BDP|3982411822134994604|222</stp>
        <stp>COF0 Comdty</stp>
        <stp>ASK</stp>
        <stp>Fill=#N/A</stp>
        <tr r="G59" s="1"/>
      </tp>
      <tp>
        <v>190</v>
        <stp/>
        <stp>BDP|5610207153527976612|222</stp>
        <stp>XBJ9 Comdty</stp>
        <stp>BID</stp>
        <stp>Fill=#N/A</stp>
        <tr r="J50" s="1"/>
      </tp>
      <tp>
        <v>790</v>
        <stp/>
        <stp>BDP|8407872880652170391|222</stp>
        <stp>QSN9 Comdty</stp>
        <stp>BID</stp>
        <stp>Fill=#N/A</stp>
        <tr r="H53" s="1"/>
      </tp>
    </main>
    <main first="ice.rtd">
      <tp>
        <v>0</v>
        <stp/>
        <stp>2183024603B0:Vol</stp>
        <tr r="N1625" s="5"/>
      </tp>
      <tp>
        <v>0</v>
        <stp/>
        <stp>2181024583B0:Vol</stp>
        <tr r="N1990" s="5"/>
      </tp>
    </main>
    <main first="bofaddin.rtdserver">
      <tp>
        <v>1170</v>
        <stp/>
        <stp>BDP|1957539406440341499|222</stp>
        <stp>QSF7 Comdty</stp>
        <stp>ASK</stp>
        <stp>Fill=#N/A</stp>
        <tr r="H23" s="1"/>
      </tp>
      <tp>
        <v>75.62</v>
        <stp/>
        <stp>BDP|3548687745860796709|222</stp>
        <stp>COG8 Comdty</stp>
        <stp>BID</stp>
        <stp>Fill=#N/A</stp>
        <tr r="G36" s="1"/>
      </tp>
      <tp>
        <v>774.5</v>
        <stp/>
        <stp>BDP|3023945664444686735|222</stp>
        <stp>QSM0 Comdty</stp>
        <stp>ASK</stp>
        <stp>Fill=#N/A</stp>
        <tr r="H64" s="1"/>
      </tp>
      <tp>
        <v>71.64</v>
        <stp/>
        <stp>BDP|2038329353500036549|222</stp>
        <stp>CLF8 Comdty</stp>
        <stp>ASK</stp>
        <stp>Fill=#N/A</stp>
        <tr r="F35" s="1"/>
      </tp>
    </main>
    <main first="ice.rtd">
      <tp t="s">
        <v/>
        <stp/>
        <stp>DBJ29446BM0:LstPrc</stp>
        <tr r="I1647" s="5"/>
      </tp>
      <tp t="s">
        <v>Nov26/Jun27</v>
        <stp/>
        <stp>161913535MM27:Strip</stp>
        <tr r="E2054" s="5"/>
      </tp>
      <tp t="s">
        <v>Oct26/Apr27</v>
        <stp/>
        <stp>161913535MM17:Strip</stp>
        <tr r="E2044" s="5"/>
      </tp>
      <tp t="s">
        <v>UME</v>
        <stp/>
        <stp>2185324625B0:PCC</stp>
        <tr r="B78" s="5"/>
      </tp>
      <tp t="s">
        <v>ABG</v>
        <stp/>
        <stp>2180224575B0:PCC</stp>
        <tr r="B1224" s="5"/>
      </tp>
    </main>
    <main first="esrtd">
      <tp t="s">
        <v/>
        <stp/>
        <stp>WMJ 9!-IEU</stp>
        <stp>Volume</stp>
        <tr r="N1891" s="5"/>
      </tp>
      <tp t="s">
        <v/>
        <stp/>
        <stp>WMJ 8!-IEU</stp>
        <stp>Volume</stp>
        <tr r="N1890" s="5"/>
      </tp>
      <tp t="s">
        <v/>
        <stp/>
        <stp>WMJ 1!-IEU</stp>
        <stp>Volume</stp>
        <tr r="N1883" s="5"/>
      </tp>
      <tp t="s">
        <v/>
        <stp/>
        <stp>WMJ 3!-IEU</stp>
        <stp>Volume</stp>
        <tr r="N1885" s="5"/>
      </tp>
      <tp t="s">
        <v/>
        <stp/>
        <stp>WMJ 2!-IEU</stp>
        <stp>Volume</stp>
        <tr r="N1884" s="5"/>
      </tp>
      <tp t="s">
        <v/>
        <stp/>
        <stp>WMJ 5!-IEU</stp>
        <stp>Volume</stp>
        <tr r="N1887" s="5"/>
      </tp>
      <tp t="s">
        <v/>
        <stp/>
        <stp>WMJ 4!-IEU</stp>
        <stp>Volume</stp>
        <tr r="N1886" s="5"/>
      </tp>
      <tp t="s">
        <v/>
        <stp/>
        <stp>WMJ 7!-IEU</stp>
        <stp>Volume</stp>
        <tr r="N1889" s="5"/>
      </tp>
      <tp t="s">
        <v/>
        <stp/>
        <stp>WMJ 6!-IEU</stp>
        <stp>Volume</stp>
        <tr r="N1888" s="5"/>
      </tp>
    </main>
    <main first="ice.rtd">
      <tp t="s">
        <v>Invalid Market: B0</v>
        <stp/>
        <stp>B0:Settle</stp>
        <tr r="U1034" s="5"/>
        <tr r="U1148" s="5"/>
      </tp>
      <tp t="s">
        <v>NCB</v>
        <stp/>
        <stp>2324625607B0:PCC</stp>
        <tr r="B192" s="5"/>
      </tp>
      <tp>
        <v>3.8610000000000002</v>
        <stp/>
        <stp>15141311T3:Settle</stp>
        <tr r="U1531" s="5"/>
      </tp>
      <tp>
        <v>2.1670000000000003</v>
        <stp/>
        <stp>15141311T2:Settle</stp>
        <tr r="U1530" s="5"/>
      </tp>
      <tp>
        <v>2.4170000000000003</v>
        <stp/>
        <stp>15141311T1:Settle</stp>
        <tr r="U1529" s="5"/>
      </tp>
      <tp>
        <v>1.9370000000000001</v>
        <stp/>
        <stp>15141311T0:Settle</stp>
        <tr r="U1528" s="5"/>
      </tp>
      <tp>
        <v>3.8860000000000001</v>
        <stp/>
        <stp>15141311T7:Settle</stp>
        <tr r="U1535" s="5"/>
      </tp>
      <tp>
        <v>1.8410000000000002</v>
        <stp/>
        <stp>15141311T6:Settle</stp>
        <tr r="U1534" s="5"/>
      </tp>
      <tp>
        <v>2.4910000000000001</v>
        <stp/>
        <stp>15141311T5:Settle</stp>
        <tr r="U1533" s="5"/>
      </tp>
      <tp>
        <v>3.161</v>
        <stp/>
        <stp>15141311T4:Settle</stp>
        <tr r="U1532" s="5"/>
      </tp>
      <tp>
        <v>3.206</v>
        <stp/>
        <stp>15141311T8:Settle</stp>
        <tr r="U1536" s="5"/>
      </tp>
      <tp>
        <v>-8.745000000000001</v>
        <stp/>
        <stp>18851683Q8:Settle</stp>
        <tr r="U226" s="5"/>
      </tp>
      <tp>
        <v>-7.87</v>
        <stp/>
        <stp>18851683Q3:Settle</stp>
        <tr r="U221" s="5"/>
      </tp>
      <tp>
        <v>-7.0220000000000002</v>
        <stp/>
        <stp>18851683Q2:Settle</stp>
        <tr r="U220" s="5"/>
      </tp>
      <tp>
        <v>-5.1030000000000006</v>
        <stp/>
        <stp>18851683Q1:Settle</stp>
        <tr r="U219" s="5"/>
      </tp>
      <tp>
        <v>-4.1080000000000005</v>
        <stp/>
        <stp>18851683Q0:Settle</stp>
        <tr r="U218" s="5"/>
      </tp>
      <tp>
        <v>-9.1620000000000008</v>
        <stp/>
        <stp>18851683Q7:Settle</stp>
        <tr r="U225" s="5"/>
      </tp>
      <tp>
        <v>-9.0739999999999998</v>
        <stp/>
        <stp>18851683Q6:Settle</stp>
        <tr r="U224" s="5"/>
      </tp>
      <tp>
        <v>-8.2260000000000009</v>
        <stp/>
        <stp>18851683Q5:Settle</stp>
        <tr r="U223" s="5"/>
      </tp>
      <tp>
        <v>-8.0739999999999998</v>
        <stp/>
        <stp>18851683Q4:Settle</stp>
        <tr r="U222" s="5"/>
      </tp>
      <tp>
        <v>-7.86</v>
        <stp/>
        <stp>18851683Y2:Settle</stp>
        <tr r="U229" s="5"/>
      </tp>
      <tp>
        <v>-8.8019999999999996</v>
        <stp/>
        <stp>18851683Y1:Settle</stp>
        <tr r="U228" s="5"/>
      </tp>
      <tp>
        <v>-7.0170000000000003</v>
        <stp/>
        <stp>18851683Y0:Settle</stp>
        <tr r="U227" s="5"/>
      </tp>
      <tp>
        <v>-7.431</v>
        <stp/>
        <stp>18851683M9:Settle</stp>
        <tr r="U202" s="5"/>
      </tp>
      <tp>
        <v>-7.0340000000000007</v>
        <stp/>
        <stp>18851683M8:Settle</stp>
        <tr r="U201" s="5"/>
      </tp>
      <tp>
        <v>-4.577</v>
        <stp/>
        <stp>18851683M3:Settle</stp>
        <tr r="U196" s="5"/>
      </tp>
      <tp>
        <v>-4.0470000000000006</v>
        <stp/>
        <stp>18851683M2:Settle</stp>
        <tr r="U195" s="5"/>
      </tp>
      <tp>
        <v>-3.7</v>
        <stp/>
        <stp>18851683M1:Settle</stp>
        <tr r="U194" s="5"/>
      </tp>
      <tp>
        <v>-4.2640000000000002</v>
        <stp/>
        <stp>18851683M0:Settle</stp>
        <tr r="U193" s="5"/>
      </tp>
      <tp>
        <v>-6.6020000000000003</v>
        <stp/>
        <stp>18851683M7:Settle</stp>
        <tr r="U200" s="5"/>
      </tp>
      <tp>
        <v>-5.7309999999999999</v>
        <stp/>
        <stp>18851683M6:Settle</stp>
        <tr r="U199" s="5"/>
      </tp>
      <tp>
        <v>-4.9880000000000004</v>
        <stp/>
        <stp>18851683M5:Settle</stp>
        <tr r="U198" s="5"/>
      </tp>
      <tp>
        <v>-4.5910000000000002</v>
        <stp/>
        <stp>18851683M4:Settle</stp>
        <tr r="U197" s="5"/>
      </tp>
      <tp>
        <v>19</v>
        <stp/>
        <stp>18871685Q8:Settle</stp>
        <tr r="U454" s="5"/>
      </tp>
      <tp>
        <v>26.5</v>
        <stp/>
        <stp>18871685Q3:Settle</stp>
        <tr r="U449" s="5"/>
      </tp>
      <tp>
        <v>31.5</v>
        <stp/>
        <stp>18871685Q2:Settle</stp>
        <tr r="U448" s="5"/>
      </tp>
      <tp>
        <v>40</v>
        <stp/>
        <stp>18871685Q1:Settle</stp>
        <tr r="U447" s="5"/>
      </tp>
      <tp>
        <v>50.75</v>
        <stp/>
        <stp>18871685Q0:Settle</stp>
        <tr r="U446" s="5"/>
      </tp>
      <tp>
        <v>19</v>
        <stp/>
        <stp>18871685Q7:Settle</stp>
        <tr r="U453" s="5"/>
      </tp>
      <tp>
        <v>19</v>
        <stp/>
        <stp>18871685Q6:Settle</stp>
        <tr r="U452" s="5"/>
      </tp>
      <tp>
        <v>19.333000000000002</v>
        <stp/>
        <stp>18871685Q5:Settle</stp>
        <tr r="U451" s="5"/>
      </tp>
      <tp>
        <v>22.667000000000002</v>
        <stp/>
        <stp>18871685Q4:Settle</stp>
        <tr r="U450" s="5"/>
      </tp>
      <tp t="s">
        <v>Invalid Market: 18871685Y2</v>
        <stp/>
        <stp>18871685Y2:Settle</stp>
        <tr r="U457" s="5"/>
      </tp>
      <tp>
        <v>19.083000000000002</v>
        <stp/>
        <stp>18871685Y1:Settle</stp>
        <tr r="U456" s="5"/>
      </tp>
      <tp>
        <v>30.167000000000002</v>
        <stp/>
        <stp>18871685Y0:Settle</stp>
        <tr r="U455" s="5"/>
      </tp>
      <tp>
        <v>29.75</v>
        <stp/>
        <stp>18871685M9:Settle</stp>
        <tr r="U430" s="5"/>
      </tp>
      <tp>
        <v>31.5</v>
        <stp/>
        <stp>18871685M8:Settle</stp>
        <tr r="U429" s="5"/>
      </tp>
      <tp>
        <v>49.25</v>
        <stp/>
        <stp>18871685M3:Settle</stp>
        <tr r="U424" s="5"/>
      </tp>
      <tp>
        <v>51</v>
        <stp/>
        <stp>18871685M2:Settle</stp>
        <tr r="U423" s="5"/>
      </tp>
      <tp>
        <v>52</v>
        <stp/>
        <stp>18871685M1:Settle</stp>
        <tr r="U422" s="5"/>
      </tp>
      <tp>
        <v>54.727000000000004</v>
        <stp/>
        <stp>18871685M0:Settle</stp>
        <tr r="U421" s="5"/>
      </tp>
      <tp>
        <v>33.25</v>
        <stp/>
        <stp>18871685M7:Settle</stp>
        <tr r="U428" s="5"/>
      </tp>
      <tp>
        <v>36.5</v>
        <stp/>
        <stp>18871685M6:Settle</stp>
        <tr r="U427" s="5"/>
      </tp>
      <tp>
        <v>39.75</v>
        <stp/>
        <stp>18871685M5:Settle</stp>
        <tr r="U426" s="5"/>
      </tp>
      <tp>
        <v>43.75</v>
        <stp/>
        <stp>18871685M4:Settle</stp>
        <tr r="U425" s="5"/>
      </tp>
      <tp t="s">
        <v/>
        <stp/>
        <stp>DBI1227MM4:LstBlkVol</stp>
        <tr r="L1655" s="5"/>
      </tp>
    </main>
    <main first="ice.rtd">
      <tp t="s">
        <v>Jan27</v>
        <stp/>
        <stp>266419M4:Strip</stp>
        <tr r="E963" s="5"/>
      </tp>
      <tp t="s">
        <v>Q4 27</v>
        <stp/>
        <stp>266419Q4:Strip</stp>
        <tr r="E988" s="5"/>
      </tp>
    </main>
    <main first="ice.rtd">
      <tp t="s">
        <v>Feb27</v>
        <stp/>
        <stp>141587M5:Strip</stp>
        <tr r="E46" s="5"/>
      </tp>
      <tp t="s">
        <v>Q1 28</v>
        <stp/>
        <stp>141587Q5:Strip</stp>
        <tr r="E71" s="5"/>
      </tp>
    </main>
    <main first="bofaddin.rtdserver">
      <tp t="s">
        <v>#N/A Requesting Data...3910713976</v>
        <stp/>
        <stp>BDP|141077131950667133</stp>
        <tr r="I12" s="23"/>
      </tp>
    </main>
    <main first="ice.rtd">
      <tp t="s">
        <v>Aug27</v>
        <stp/>
        <stp>34404098M11:Strip</stp>
        <tr r="E605" s="5"/>
      </tp>
      <tp t="s">
        <v>Aug27</v>
        <stp/>
        <stp>34414099M11:Strip</stp>
        <tr r="E90" s="5"/>
      </tp>
      <tp t="s">
        <v>Jun28</v>
        <stp/>
        <stp>34404098M21:Strip</stp>
        <tr r="E615" s="5"/>
      </tp>
      <tp t="s">
        <v>Jun28</v>
        <stp/>
        <stp>34414099M21:Strip</stp>
        <tr r="E100" s="5"/>
      </tp>
      <tp t="s">
        <v>Jul28</v>
        <stp/>
        <stp>30793693M22:Strip</stp>
        <tr r="E905" s="5"/>
      </tp>
      <tp t="s">
        <v>Sep27</v>
        <stp/>
        <stp>30793693M12:Strip</stp>
        <tr r="E895" s="5"/>
      </tp>
      <tp t="s">
        <v/>
        <stp/>
        <stp>DBI1227MM2:BstHitPrc</stp>
        <tr r="G1653" s="5"/>
      </tp>
      <tp t="s">
        <v>Sep27</v>
        <stp/>
        <stp>41787896M12:Strip</stp>
        <tr r="E819" s="5"/>
      </tp>
      <tp t="s">
        <v>Jul28</v>
        <stp/>
        <stp>41787896M22:Strip</stp>
        <tr r="E829" s="5"/>
      </tp>
      <tp t="s">
        <v>Sep26/Mar27</v>
        <stp/>
        <stp>15061297MM5:Strip</stp>
        <tr r="E1688" s="5"/>
      </tp>
      <tp t="s">
        <v>Aug28</v>
        <stp/>
        <stp>32623993M23:Strip</stp>
        <tr r="E2013" s="5"/>
      </tp>
      <tp t="s">
        <v>Oct27</v>
        <stp/>
        <stp>32623993M13:Strip</stp>
        <tr r="E2003" s="5"/>
      </tp>
    </main>
    <main first="esrtd">
      <tp t="s">
        <v/>
        <stp/>
        <stp>Invalid Market: CALCM11 Q27-IEU</stp>
        <stp>ICE Theoretical Price</stp>
        <tr r="W1084" s="5"/>
        <tr r="W280" s="5"/>
        <tr r="W856" s="5"/>
        <tr r="W394" s="5"/>
        <tr r="W1198" s="5"/>
        <tr r="W1350" s="5"/>
      </tp>
    </main>
    <main first="ice.rtd">
      <tp t="s">
        <v>Mar28</v>
        <stp/>
        <stp>46678127M18:Strip</stp>
        <tr r="E363" s="5"/>
      </tp>
      <tp t="s">
        <v>Aug28</v>
        <stp/>
        <stp>32613992M23:Strip</stp>
        <tr r="E1248" s="5"/>
      </tp>
      <tp t="s">
        <v>Oct27</v>
        <stp/>
        <stp>32613992M13:Strip</stp>
        <tr r="E1238" s="5"/>
      </tp>
      <tp t="s">
        <v>Jan28</v>
        <stp/>
        <stp>34364094M16:Strip</stp>
        <tr r="E534" s="5"/>
      </tp>
      <tp t="s">
        <v>Jan28</v>
        <stp/>
        <stp>34374095M16:Strip</stp>
        <tr r="E572" s="5"/>
      </tp>
      <tp t="s">
        <v>Sep27</v>
        <stp/>
        <stp>41767893M12:Strip</stp>
        <tr r="E492" s="5"/>
      </tp>
      <tp t="s">
        <v>Jul28</v>
        <stp/>
        <stp>41767893M22:Strip</stp>
        <tr r="E502" s="5"/>
      </tp>
      <tp t="s">
        <v/>
        <stp/>
        <stp>DBI1227MM2:LstBlkPrc</stp>
        <tr r="K1653" s="5"/>
      </tp>
      <tp t="s">
        <v>Jan28</v>
        <stp/>
        <stp>34344092M16:Strip</stp>
        <tr r="E1279" s="5"/>
      </tp>
      <tp t="s">
        <v>Jan28</v>
        <stp/>
        <stp>34354093M16:Strip</stp>
        <tr r="E1317" s="5"/>
      </tp>
    </main>
    <main first="esrtd">
      <tp t="s">
        <v/>
        <stp/>
        <stp>PRM B0-IEU</stp>
        <stp>ICE Theoretical Price</stp>
        <tr r="W1376" s="5"/>
      </tp>
    </main>
    <main first="ice.rtd">
      <tp t="s">
        <v>Mar28</v>
        <stp/>
        <stp>2427026287M18:Strip</stp>
        <tr r="E1167" s="5"/>
      </tp>
      <tp t="s">
        <v>Nov27</v>
        <stp/>
        <stp>1581618115M14:Strip</stp>
        <tr r="E473" s="5"/>
      </tp>
      <tp t="s">
        <v>Sep26</v>
        <stp/>
        <stp>266M0:Strip</stp>
        <tr r="E921" s="5"/>
      </tp>
      <tp t="s">
        <v>Q4 26</v>
        <stp/>
        <stp>266Q0:Strip</stp>
        <tr r="E946" s="5"/>
      </tp>
      <tp t="s">
        <v>Cal 27</v>
        <stp/>
        <stp>266Y0:Strip</stp>
        <tr r="E955" s="5"/>
      </tp>
      <tp t="s">
        <v>Oct27</v>
        <stp/>
        <stp>3124331018M13:Strip</stp>
        <tr r="E1618" s="5"/>
      </tp>
      <tp t="s">
        <v>Nov27</v>
        <stp/>
        <stp>1923422331M14:Strip</stp>
        <tr r="E1641" s="5"/>
      </tp>
      <tp t="s">
        <v>Apr28</v>
        <stp/>
        <stp>2427126288M19:Strip</stp>
        <tr r="E1054" s="5"/>
      </tp>
    </main>
    <main first="bofaddin.rtdserver">
      <tp>
        <v>6.6743005000000002</v>
        <stp/>
        <stp>BFXFORWARD|16267612593564538884|222</stp>
        <stp>USDCNY</stp>
        <stp>6M</stp>
        <stp>MidOutright</stp>
        <tr r="BD26" s="1"/>
      </tp>
      <tp>
        <v>6.6256000000000004</v>
        <stp/>
        <stp>BFXFORWARD|13097322120055181885|222</stp>
        <stp>USDCNY</stp>
        <stp>9M</stp>
        <stp>MidOutright</stp>
        <tr r="BD29" s="1"/>
      </tp>
    </main>
    <main first="ice.rtd">
      <tp t="s">
        <v>May28</v>
        <stp/>
        <stp>2755728678M20:Strip</stp>
        <tr r="E1131" s="5"/>
      </tp>
      <tp t="s">
        <v>Jul27</v>
        <stp/>
        <stp>2755728678M10:Strip</stp>
        <tr r="E1121" s="5"/>
      </tp>
      <tp>
        <v>0</v>
        <stp/>
        <stp>34364094M18:BlkVol</stp>
        <tr r="O536" s="5"/>
      </tp>
      <tp>
        <v>0</v>
        <stp/>
        <stp>34374095M18:BlkVol</stp>
        <tr r="O574" s="5"/>
      </tp>
      <tp>
        <v>0</v>
        <stp/>
        <stp>34364094M19:BlkVol</stp>
        <tr r="O537" s="5"/>
      </tp>
      <tp>
        <v>0</v>
        <stp/>
        <stp>34374095M19:BlkVol</stp>
        <tr r="O575" s="5"/>
      </tp>
      <tp>
        <v>0</v>
        <stp/>
        <stp>34364094M10:BlkVol</stp>
        <tr r="O528" s="5"/>
      </tp>
      <tp>
        <v>0</v>
        <stp/>
        <stp>34374095M10:BlkVol</stp>
        <tr r="O566" s="5"/>
      </tp>
      <tp>
        <v>0</v>
        <stp/>
        <stp>34364094M11:BlkVol</stp>
        <tr r="O529" s="5"/>
      </tp>
      <tp>
        <v>0</v>
        <stp/>
        <stp>34374095M11:BlkVol</stp>
        <tr r="O567" s="5"/>
      </tp>
      <tp>
        <v>0</v>
        <stp/>
        <stp>34364094M12:BlkVol</stp>
        <tr r="O530" s="5"/>
      </tp>
      <tp>
        <v>0</v>
        <stp/>
        <stp>34374095M12:BlkVol</stp>
        <tr r="O568" s="5"/>
      </tp>
      <tp>
        <v>0</v>
        <stp/>
        <stp>34364094M13:BlkVol</stp>
        <tr r="O531" s="5"/>
      </tp>
      <tp>
        <v>0</v>
        <stp/>
        <stp>34374095M13:BlkVol</stp>
        <tr r="O569" s="5"/>
      </tp>
      <tp>
        <v>0</v>
        <stp/>
        <stp>34364094M14:BlkVol</stp>
        <tr r="O532" s="5"/>
      </tp>
      <tp>
        <v>0</v>
        <stp/>
        <stp>34374095M14:BlkVol</stp>
        <tr r="O570" s="5"/>
      </tp>
      <tp>
        <v>0</v>
        <stp/>
        <stp>34364094M15:BlkVol</stp>
        <tr r="O533" s="5"/>
      </tp>
      <tp>
        <v>0</v>
        <stp/>
        <stp>34374095M15:BlkVol</stp>
        <tr r="O571" s="5"/>
      </tp>
      <tp>
        <v>0</v>
        <stp/>
        <stp>34364094M16:BlkVol</stp>
        <tr r="O534" s="5"/>
      </tp>
      <tp>
        <v>0</v>
        <stp/>
        <stp>34374095M16:BlkVol</stp>
        <tr r="O572" s="5"/>
      </tp>
      <tp>
        <v>0</v>
        <stp/>
        <stp>34364094M17:BlkVol</stp>
        <tr r="O535" s="5"/>
      </tp>
      <tp>
        <v>0</v>
        <stp/>
        <stp>34374095M17:BlkVol</stp>
        <tr r="O573" s="5"/>
      </tp>
    </main>
    <main first="bofaddin.rtdserver">
      <tp>
        <v>534.1</v>
        <stp/>
        <stp>BDP|6937624970306754940|222</stp>
        <stp>SCPN27 Comdty</stp>
        <stp>BID</stp>
        <stp>Fill=#N/A</stp>
        <tr r="M29" s="1"/>
      </tp>
    </main>
    <main first="ice.rtd">
      <tp>
        <v>0</v>
        <stp/>
        <stp>34364094M20:BlkVol</stp>
        <tr r="O538" s="5"/>
      </tp>
      <tp>
        <v>0</v>
        <stp/>
        <stp>34374095M20:BlkVol</stp>
        <tr r="O576" s="5"/>
      </tp>
      <tp>
        <v>0</v>
        <stp/>
        <stp>34364094M21:BlkVol</stp>
        <tr r="O539" s="5"/>
      </tp>
      <tp>
        <v>0</v>
        <stp/>
        <stp>34374095M21:BlkVol</stp>
        <tr r="O577" s="5"/>
      </tp>
      <tp>
        <v>0</v>
        <stp/>
        <stp>34364094M22:BlkVol</stp>
        <tr r="O540" s="5"/>
      </tp>
      <tp>
        <v>0</v>
        <stp/>
        <stp>34374095M22:BlkVol</stp>
        <tr r="O578" s="5"/>
      </tp>
      <tp>
        <v>0</v>
        <stp/>
        <stp>34364094M23:BlkVol</stp>
        <tr r="O541" s="5"/>
      </tp>
      <tp>
        <v>0</v>
        <stp/>
        <stp>34374095M23:BlkVol</stp>
        <tr r="O579" s="5"/>
      </tp>
      <tp>
        <v>0</v>
        <stp/>
        <stp>34364094M24:BlkVol</stp>
        <tr r="O542" s="5"/>
      </tp>
      <tp>
        <v>0</v>
        <stp/>
        <stp>34374095M24:BlkVol</stp>
        <tr r="O580" s="5"/>
      </tp>
    </main>
    <main first="bofaddin.rtdserver">
      <tp>
        <v>555.20000000000005</v>
        <stp/>
        <stp>BDP|3754994924464526462|222</stp>
        <stp>SCPJ27 Comdty</stp>
        <stp>BID</stp>
        <stp>Fill=#N/A</stp>
        <tr r="M26" s="1"/>
      </tp>
      <tp>
        <v>502.2</v>
        <stp/>
        <stp>BDP|7345296216225815604|222</stp>
        <stp>SCPH29 Comdty</stp>
        <stp>ASK</stp>
        <stp>Fill=#N/A</stp>
        <tr r="M49" s="1"/>
      </tp>
      <tp>
        <v>483.3</v>
        <stp/>
        <stp>BDP|8672608644386248440|222</stp>
        <stp>SCPU29 Comdty</stp>
        <stp>BID</stp>
        <stp>Fill=#N/A</stp>
        <tr r="M55" s="1"/>
      </tp>
      <tp t="s">
        <v>#N/A Invalid Security</v>
        <stp/>
        <stp>BDP|1563946497860493784|222</stp>
        <stp>SCPN30 Comdty</stp>
        <stp>ASK</stp>
        <stp>Fill=#N/A</stp>
        <tr r="M65" s="1"/>
      </tp>
    </main>
    <main first="ice.rtd">
      <tp>
        <v>0</v>
        <stp/>
        <stp>18871685M22:BlkVol</stp>
        <tr r="O443" s="5"/>
      </tp>
      <tp>
        <v>0</v>
        <stp/>
        <stp>18871685M23:BlkVol</stp>
        <tr r="O444" s="5"/>
      </tp>
      <tp>
        <v>0</v>
        <stp/>
        <stp>18871685M20:BlkVol</stp>
        <tr r="O441" s="5"/>
      </tp>
      <tp>
        <v>0</v>
        <stp/>
        <stp>18871685M21:BlkVol</stp>
        <tr r="O442" s="5"/>
      </tp>
      <tp>
        <v>0</v>
        <stp/>
        <stp>18871685M24:BlkVol</stp>
        <tr r="O445" s="5"/>
      </tp>
      <tp>
        <v>6</v>
        <stp/>
        <stp>18871685M12:BlkVol</stp>
        <tr r="O433" s="5"/>
      </tp>
      <tp>
        <v>1</v>
        <stp/>
        <stp>18871685M13:BlkVol</stp>
        <tr r="O434" s="5"/>
      </tp>
      <tp>
        <v>6</v>
        <stp/>
        <stp>18871685M10:BlkVol</stp>
        <tr r="O431" s="5"/>
      </tp>
      <tp>
        <v>6</v>
        <stp/>
        <stp>18871685M11:BlkVol</stp>
        <tr r="O432" s="5"/>
      </tp>
      <tp>
        <v>0</v>
        <stp/>
        <stp>18871685M16:BlkVol</stp>
        <tr r="O437" s="5"/>
      </tp>
      <tp>
        <v>0</v>
        <stp/>
        <stp>18871685M17:BlkVol</stp>
        <tr r="O438" s="5"/>
      </tp>
      <tp>
        <v>1</v>
        <stp/>
        <stp>18871685M14:BlkVol</stp>
        <tr r="O435" s="5"/>
      </tp>
      <tp>
        <v>1</v>
        <stp/>
        <stp>18871685M15:BlkVol</stp>
        <tr r="O436" s="5"/>
      </tp>
      <tp>
        <v>0</v>
        <stp/>
        <stp>18871685M18:BlkVol</stp>
        <tr r="O439" s="5"/>
      </tp>
      <tp>
        <v>0</v>
        <stp/>
        <stp>18871685M19:BlkVol</stp>
        <tr r="O440" s="5"/>
      </tp>
    </main>
    <main first="bofaddin.rtdserver">
      <tp t="s">
        <v>#N/A Invalid Security</v>
        <stp/>
        <stp>BDP|4697452054697090597|222</stp>
        <stp>SCPG28 Comdty</stp>
        <stp>ASK</stp>
        <stp>Fill=#N/A</stp>
        <tr r="M36" s="1"/>
      </tp>
      <tp t="s">
        <v>#N/A Invalid Security</v>
        <stp/>
        <stp>BDP|7512666067903178962|222</stp>
        <stp>CLG0 Comdty</stp>
        <stp>ASK</stp>
        <stp>Fill=#N/A</stp>
        <tr r="F60" s="1"/>
      </tp>
      <tp>
        <v>79.599999999999994</v>
        <stp/>
        <stp>BDP|3008346336234506146|222</stp>
        <stp>CON7 Comdty</stp>
        <stp>ASK</stp>
        <stp>Fill=#N/A</stp>
        <tr r="G29" s="1"/>
      </tp>
      <tp>
        <v>200</v>
        <stp/>
        <stp>BDP|1687709610382188887|222</stp>
        <stp>XBN8 Comdty</stp>
        <stp>BID</stp>
        <stp>Fill=#N/A</stp>
        <tr r="J41" s="1"/>
      </tp>
      <tp>
        <v>882</v>
        <stp/>
        <stp>BDP|8616977329111945967|222</stp>
        <stp>QSG8 Comdty</stp>
        <stp>BID</stp>
        <stp>Fill=#N/A</stp>
        <tr r="H36" s="1"/>
      </tp>
      <tp>
        <v>414.81</v>
        <stp/>
        <stp>BDP|9071614482826798167|222</stp>
        <stp>HOF7 Comdty</stp>
        <stp>BID</stp>
        <stp>Fill=#N/A</stp>
        <tr r="I23" s="1"/>
      </tp>
    </main>
    <main first="ice.rtd">
      <tp>
        <v>154.91900000000001</v>
        <stp/>
        <stp>1961122916B0:Settle</stp>
        <tr r="U1626" s="5"/>
      </tp>
    </main>
    <main first="bofaddin.rtdserver">
      <tp>
        <v>1133.25</v>
        <stp/>
        <stp>BDP|5173844938418583094|222</stp>
        <stp>QSG7 Comdty</stp>
        <stp>ASK</stp>
        <stp>Fill=#N/A</stp>
        <tr r="H24" s="1"/>
      </tp>
    </main>
    <main first="ice.rtd">
      <tp>
        <v>-6.32</v>
        <stp/>
        <stp>3124331018M8:Settle</stp>
        <tr r="U1613" s="5"/>
      </tp>
      <tp>
        <v>-6.32</v>
        <stp/>
        <stp>3124331018M9:Settle</stp>
        <tr r="U1614" s="5"/>
      </tp>
      <tp>
        <v>-9.968</v>
        <stp/>
        <stp>3124331018M0:Settle</stp>
        <tr r="U1605" s="5"/>
      </tp>
      <tp>
        <v>-9.56</v>
        <stp/>
        <stp>3124331018M1:Settle</stp>
        <tr r="U1606" s="5"/>
      </tp>
      <tp>
        <v>-9.1</v>
        <stp/>
        <stp>3124331018M2:Settle</stp>
        <tr r="U1607" s="5"/>
      </tp>
      <tp>
        <v>-8.64</v>
        <stp/>
        <stp>3124331018M3:Settle</stp>
        <tr r="U1608" s="5"/>
      </tp>
      <tp>
        <v>-7.78</v>
        <stp/>
        <stp>3124331018M4:Settle</stp>
        <tr r="U1609" s="5"/>
      </tp>
      <tp>
        <v>-7.62</v>
        <stp/>
        <stp>3124331018M5:Settle</stp>
        <tr r="U1610" s="5"/>
      </tp>
      <tp>
        <v>-7.46</v>
        <stp/>
        <stp>3124331018M6:Settle</stp>
        <tr r="U1611" s="5"/>
      </tp>
      <tp>
        <v>-6.32</v>
        <stp/>
        <stp>3124331018M7:Settle</stp>
        <tr r="U1612" s="5"/>
      </tp>
      <tp>
        <v>-6.0550000000000006</v>
        <stp/>
        <stp>3124331018Y0:Settle</stp>
        <tr r="U1624" s="5"/>
      </tp>
      <tp>
        <v>-9.1</v>
        <stp/>
        <stp>3124331018Q0:Settle</stp>
        <tr r="U1620" s="5"/>
      </tp>
      <tp>
        <v>-7.62</v>
        <stp/>
        <stp>3124331018Q1:Settle</stp>
        <tr r="U1621" s="5"/>
      </tp>
      <tp>
        <v>-6.32</v>
        <stp/>
        <stp>3124331018Q2:Settle</stp>
        <tr r="U1622" s="5"/>
      </tp>
      <tp>
        <v>-5.0200000000000005</v>
        <stp/>
        <stp>3124331018Q3:Settle</stp>
        <tr r="U1623" s="5"/>
      </tp>
    </main>
    <main first="bofaddin.rtdserver">
      <tp t="s">
        <v>#N/A Invalid Security</v>
        <stp/>
        <stp>BDP|6169327123297080766|222</stp>
        <stp>HON0 Comdty</stp>
        <stp>BID</stp>
        <stp>Fill=#N/A</stp>
        <tr r="I65" s="1"/>
      </tp>
      <tp t="s">
        <v>#N/A Invalid Security</v>
        <stp/>
        <stp>BDP|6531947250544467083|222</stp>
        <stp>XBH0 Comdty</stp>
        <stp>ASK</stp>
        <stp>Fill=#N/A</stp>
        <tr r="J61" s="1"/>
      </tp>
      <tp>
        <v>288.32</v>
        <stp/>
        <stp>BDP|5494709641608235083|222</stp>
        <stp>XBJ7 Comdty</stp>
        <stp>ASK</stp>
        <stp>Fill=#N/A</stp>
        <tr r="J26" s="1"/>
      </tp>
    </main>
    <main first="ice.rtd">
      <tp>
        <v>-140.547</v>
        <stp/>
        <stp>2009523367B0:Settle</stp>
        <tr r="U116" s="5"/>
      </tp>
    </main>
    <main first="bofaddin.rtdserver">
      <tp>
        <v>281.11</v>
        <stp/>
        <stp>BDP|2121474051236342811|222</stp>
        <stp>XBM7 Comdty</stp>
        <stp>ASK</stp>
        <stp>Fill=#N/A</stp>
        <tr r="J28" s="1"/>
      </tp>
    </main>
    <main first="ice.rtd">
      <tp>
        <v>-7.8</v>
        <stp/>
        <stp>3126131030B0:Settle</stp>
        <tr r="U1746" s="5"/>
      </tp>
      <tp>
        <v>-52</v>
        <stp/>
        <stp>2325225613B0:Settle</stp>
        <tr r="U631" s="5"/>
      </tp>
    </main>
    <main first="bofaddin.rtdserver">
      <tp>
        <v>75.099999999999994</v>
        <stp/>
        <stp>BDP|1821170928000784393|222</stp>
        <stp>COJ8 Comdty</stp>
        <stp>BID</stp>
        <stp>Fill=#N/A</stp>
        <tr r="G38" s="1"/>
      </tp>
    </main>
    <main first="ice.rtd">
      <tp t="s">
        <v>Oct26/Jun27</v>
        <stp/>
        <stp>161913535MM18:Strip</stp>
        <tr r="E2045" s="5"/>
      </tp>
      <tp>
        <v>0</v>
        <stp/>
        <stp>366531MM26:OI</stp>
        <tr r="T1741" s="5"/>
      </tp>
      <tp>
        <v>0</v>
        <stp/>
        <stp>366531MM27:OI</stp>
        <tr r="T1742" s="5"/>
      </tp>
      <tp>
        <v>0</v>
        <stp/>
        <stp>366531MM24:OI</stp>
        <tr r="T1739" s="5"/>
      </tp>
      <tp>
        <v>0</v>
        <stp/>
        <stp>366531MM25:OI</stp>
        <tr r="T1740" s="5"/>
      </tp>
      <tp>
        <v>0</v>
        <stp/>
        <stp>366531MM22:OI</stp>
        <tr r="T1737" s="5"/>
      </tp>
      <tp>
        <v>0</v>
        <stp/>
        <stp>366531MM23:OI</stp>
        <tr r="T1738" s="5"/>
      </tp>
      <tp>
        <v>0</v>
        <stp/>
        <stp>366531MM20:OI</stp>
        <tr r="T1735" s="5"/>
      </tp>
      <tp>
        <v>0</v>
        <stp/>
        <stp>366531MM21:OI</stp>
        <tr r="T1736" s="5"/>
      </tp>
      <tp>
        <v>0</v>
        <stp/>
        <stp>366531MM16:OI</stp>
        <tr r="T1731" s="5"/>
      </tp>
      <tp>
        <v>0</v>
        <stp/>
        <stp>366531MM17:OI</stp>
        <tr r="T1732" s="5"/>
      </tp>
      <tp>
        <v>0</v>
        <stp/>
        <stp>366531MM14:OI</stp>
        <tr r="T1729" s="5"/>
      </tp>
      <tp>
        <v>0</v>
        <stp/>
        <stp>366531MM15:OI</stp>
        <tr r="T1730" s="5"/>
      </tp>
      <tp>
        <v>0</v>
        <stp/>
        <stp>366531MM12:OI</stp>
        <tr r="T1727" s="5"/>
      </tp>
      <tp>
        <v>0</v>
        <stp/>
        <stp>366531MM13:OI</stp>
        <tr r="T1728" s="5"/>
      </tp>
      <tp>
        <v>0</v>
        <stp/>
        <stp>366531MM10:OI</stp>
        <tr r="T1725" s="5"/>
      </tp>
      <tp>
        <v>0</v>
        <stp/>
        <stp>366531MM11:OI</stp>
        <tr r="T1726" s="5"/>
      </tp>
      <tp>
        <v>0</v>
        <stp/>
        <stp>366531MM18:OI</stp>
        <tr r="T1733" s="5"/>
      </tp>
      <tp>
        <v>0</v>
        <stp/>
        <stp>366531MM19:OI</stp>
        <tr r="T1734" s="5"/>
      </tp>
      <tp t="s">
        <v>AIR</v>
        <stp/>
        <stp>2326725628B0:PCC</stp>
        <tr r="B344" s="5"/>
      </tp>
      <tp t="s">
        <v>DBG</v>
        <stp/>
        <stp>2322725588B0:PCC</stp>
        <tr r="B2" s="5"/>
      </tp>
      <tp>
        <v>52.717000000000006</v>
        <stp/>
        <stp>32623993Q8:Settle</stp>
        <tr r="U2023" s="5"/>
      </tp>
      <tp>
        <v>60.050000000000004</v>
        <stp/>
        <stp>32623993Q6:Settle</stp>
        <tr r="U2021" s="5"/>
      </tp>
      <tp>
        <v>55.800000000000004</v>
        <stp/>
        <stp>32623993Q7:Settle</stp>
        <tr r="U2022" s="5"/>
      </tp>
      <tp>
        <v>78.983000000000004</v>
        <stp/>
        <stp>32623993Q4:Settle</stp>
        <tr r="U2019" s="5"/>
      </tp>
      <tp>
        <v>71.716999999999999</v>
        <stp/>
        <stp>32623993Q5:Settle</stp>
        <tr r="U2020" s="5"/>
      </tp>
      <tp>
        <v>97.683000000000007</v>
        <stp/>
        <stp>32623993Q2:Settle</stp>
        <tr r="U2017" s="5"/>
      </tp>
      <tp>
        <v>82.716999999999999</v>
        <stp/>
        <stp>32623993Q3:Settle</stp>
        <tr r="U2018" s="5"/>
      </tp>
      <tp>
        <v>153.9</v>
        <stp/>
        <stp>32623993Q0:Settle</stp>
        <tr r="U2015" s="5"/>
      </tp>
      <tp>
        <v>120.60000000000001</v>
        <stp/>
        <stp>32623993Q1:Settle</stp>
        <tr r="U2016" s="5"/>
      </tp>
      <tp>
        <v>94.996000000000009</v>
        <stp/>
        <stp>32623993Y0:Settle</stp>
        <tr r="U2024" s="5"/>
      </tp>
      <tp>
        <v>60.071000000000005</v>
        <stp/>
        <stp>32623993Y1:Settle</stp>
        <tr r="U2025" s="5"/>
      </tp>
      <tp>
        <v>97.65</v>
        <stp/>
        <stp>32623993M8:Settle</stp>
        <tr r="U1998" s="5"/>
      </tp>
      <tp>
        <v>89.95</v>
        <stp/>
        <stp>32623993M9:Settle</stp>
        <tr r="U1999" s="5"/>
      </tp>
      <tp>
        <v>112.65</v>
        <stp/>
        <stp>32623993M6:Settle</stp>
        <tr r="U1996" s="5"/>
      </tp>
      <tp>
        <v>105.45</v>
        <stp/>
        <stp>32623993M7:Settle</stp>
        <tr r="U1997" s="5"/>
      </tp>
      <tp>
        <v>129.35</v>
        <stp/>
        <stp>32623993M4:Settle</stp>
        <tr r="U1994" s="5"/>
      </tp>
      <tp>
        <v>119.8</v>
        <stp/>
        <stp>32623993M5:Settle</stp>
        <tr r="U1995" s="5"/>
      </tp>
      <tp>
        <v>152.4</v>
        <stp/>
        <stp>32623993M2:Settle</stp>
        <tr r="U1992" s="5"/>
      </tp>
      <tp>
        <v>139.05000000000001</v>
        <stp/>
        <stp>32623993M3:Settle</stp>
        <tr r="U1993" s="5"/>
      </tp>
      <tp>
        <v>170.25</v>
        <stp/>
        <stp>32623993M1:Settle</stp>
        <tr r="U1991" s="5"/>
      </tp>
      <tp>
        <v>-93.103999999999999</v>
        <stp/>
        <stp>32613992Q8:Settle</stp>
        <tr r="U1258" s="5"/>
      </tp>
      <tp>
        <v>-119.19</v>
        <stp/>
        <stp>32613992Q6:Settle</stp>
        <tr r="U1256" s="5"/>
      </tp>
      <tp>
        <v>-109.94</v>
        <stp/>
        <stp>32613992Q7:Settle</stp>
        <tr r="U1257" s="5"/>
      </tp>
      <tp>
        <v>-113.54100000000001</v>
        <stp/>
        <stp>32613992Q4:Settle</stp>
        <tr r="U1254" s="5"/>
      </tp>
      <tp>
        <v>-108.18900000000001</v>
        <stp/>
        <stp>32613992Q5:Settle</stp>
        <tr r="U1255" s="5"/>
      </tp>
      <tp>
        <v>-158.607</v>
        <stp/>
        <stp>32613992Q2:Settle</stp>
        <tr r="U1252" s="5"/>
      </tp>
      <tp>
        <v>-142.124</v>
        <stp/>
        <stp>32613992Q3:Settle</stp>
        <tr r="U1253" s="5"/>
      </tp>
      <tp>
        <v>-175.97400000000002</v>
        <stp/>
        <stp>32613992Q0:Settle</stp>
        <tr r="U1250" s="5"/>
      </tp>
      <tp>
        <v>-149.03800000000001</v>
        <stp/>
        <stp>32613992Q1:Settle</stp>
        <tr r="U1251" s="5"/>
      </tp>
      <tp>
        <v>-91.353000000000009</v>
        <stp/>
        <stp>32613992Y2:Settle</stp>
        <tr r="U1261" s="5"/>
      </tp>
      <tp>
        <v>-140.828</v>
        <stp/>
        <stp>32613992Y0:Settle</stp>
        <tr r="U1259" s="5"/>
      </tp>
      <tp>
        <v>-107.60600000000001</v>
        <stp/>
        <stp>32613992Y1:Settle</stp>
        <tr r="U1260" s="5"/>
      </tp>
      <tp>
        <v>-159.87300000000002</v>
        <stp/>
        <stp>32613992M8:Settle</stp>
        <tr r="U1233" s="5"/>
      </tp>
      <tp>
        <v>-158.477</v>
        <stp/>
        <stp>32613992M9:Settle</stp>
        <tr r="U1234" s="5"/>
      </tp>
      <tp>
        <v>-150.923</v>
        <stp/>
        <stp>32613992M6:Settle</stp>
        <tr r="U1231" s="5"/>
      </tp>
      <tp>
        <v>-157.47200000000001</v>
        <stp/>
        <stp>32613992M7:Settle</stp>
        <tr r="U1232" s="5"/>
      </tp>
      <tp>
        <v>-150.12100000000001</v>
        <stp/>
        <stp>32613992M4:Settle</stp>
        <tr r="U1229" s="5"/>
      </tp>
      <tp>
        <v>-146.071</v>
        <stp/>
        <stp>32613992M5:Settle</stp>
        <tr r="U1230" s="5"/>
      </tp>
      <tp>
        <v>-175.476</v>
        <stp/>
        <stp>32613992M2:Settle</stp>
        <tr r="U1227" s="5"/>
      </tp>
      <tp>
        <v>-158.523</v>
        <stp/>
        <stp>32613992M3:Settle</stp>
        <tr r="U1228" s="5"/>
      </tp>
      <tp>
        <v>-199.64700000000002</v>
        <stp/>
        <stp>32613992M0:Settle</stp>
        <tr r="U1225" s="5"/>
      </tp>
      <tp>
        <v>-193.923</v>
        <stp/>
        <stp>32613992M1:Settle</stp>
        <tr r="U1226" s="5"/>
      </tp>
    </main>
    <main first="bofaddin.rtdserver">
      <tp t="s">
        <v>#N/A Requesting Data...2570872635</v>
        <stp/>
        <stp>BDP|127288723484279916</stp>
        <tr r="AF189" s="23"/>
      </tp>
      <tp t="s">
        <v>#N/A N/A</v>
        <stp/>
        <stp>BDH|606507786056021620</stp>
        <tr r="AZ27" s="1"/>
      </tp>
    </main>
    <main first="ice.rtd">
      <tp t="s">
        <v>Jul28</v>
        <stp/>
        <stp>15091310M22:Strip</stp>
        <tr r="E1399" s="5"/>
      </tp>
      <tp t="s">
        <v>Sep27</v>
        <stp/>
        <stp>15091310M12:Strip</stp>
        <tr r="E1389" s="5"/>
      </tp>
    </main>
    <main first="esrtd">
      <tp t="s">
        <v/>
        <stp/>
        <stp>Invalid Market: CALCM21 M28-IEU</stp>
        <stp>ICE Theoretical Price</stp>
        <tr r="W1360" s="5"/>
        <tr r="W1094" s="5"/>
        <tr r="W1208" s="5"/>
        <tr r="W404" s="5"/>
        <tr r="W290" s="5"/>
        <tr r="W866" s="5"/>
      </tp>
    </main>
    <main first="ice.rtd">
      <tp t="s">
        <v>Feb28</v>
        <stp/>
        <stp>46678127M17:Strip</stp>
        <tr r="E362" s="5"/>
      </tp>
      <tp t="s">
        <v>Jul28</v>
        <stp/>
        <stp>30813691M22:Strip</stp>
        <tr r="E1975" s="5"/>
      </tp>
      <tp t="s">
        <v>Sep27</v>
        <stp/>
        <stp>30813691M12:Strip</stp>
        <tr r="E1965" s="5"/>
      </tp>
      <tp t="s">
        <v>Jun28</v>
        <stp/>
        <stp>16331513M21:Strip</stp>
        <tr r="E1436" s="5"/>
      </tp>
      <tp t="s">
        <v>Jun28</v>
        <stp/>
        <stp>16341514M21:Strip</stp>
        <tr r="E1474" s="5"/>
      </tp>
      <tp t="s">
        <v>Jun28</v>
        <stp/>
        <stp>16351515M21:Strip</stp>
        <tr r="E1512" s="5"/>
      </tp>
      <tp t="s">
        <v>Aug27</v>
        <stp/>
        <stp>16331513M11:Strip</stp>
        <tr r="E1426" s="5"/>
      </tp>
      <tp t="s">
        <v>Aug27</v>
        <stp/>
        <stp>16341514M11:Strip</stp>
        <tr r="E1464" s="5"/>
      </tp>
      <tp t="s">
        <v>Aug27</v>
        <stp/>
        <stp>16351515M11:Strip</stp>
        <tr r="E1502" s="5"/>
      </tp>
      <tp t="s">
        <v>Sep27</v>
        <stp/>
        <stp>35534143M12:Strip</stp>
        <tr r="E720" s="5"/>
      </tp>
      <tp t="s">
        <v>Sep27</v>
        <stp/>
        <stp>35544144M12:Strip</stp>
        <tr r="E644" s="5"/>
      </tp>
      <tp t="s">
        <v>Sep27</v>
        <stp/>
        <stp>35554145M12:Strip</stp>
        <tr r="E682" s="5"/>
      </tp>
      <tp t="s">
        <v>Jul28</v>
        <stp/>
        <stp>35534143M22:Strip</stp>
        <tr r="E730" s="5"/>
      </tp>
      <tp t="s">
        <v>Jul28</v>
        <stp/>
        <stp>35544144M22:Strip</stp>
        <tr r="E654" s="5"/>
      </tp>
      <tp t="s">
        <v>Jul28</v>
        <stp/>
        <stp>35554145M22:Strip</stp>
        <tr r="E692" s="5"/>
      </tp>
      <tp t="s">
        <v>Aug28</v>
        <stp/>
        <stp>18871685M23:Strip</stp>
        <tr r="E444" s="5"/>
      </tp>
      <tp t="s">
        <v>Oct27</v>
        <stp/>
        <stp>18871685M13:Strip</stp>
        <tr r="E434" s="5"/>
      </tp>
      <tp t="s">
        <v>Apr28</v>
        <stp/>
        <stp>34364094M19:Strip</stp>
        <tr r="E537" s="5"/>
      </tp>
      <tp t="s">
        <v>Apr28</v>
        <stp/>
        <stp>34374095M19:Strip</stp>
        <tr r="E575" s="5"/>
      </tp>
      <tp t="s">
        <v>Invalid Market: 57179020M20</v>
        <stp/>
        <stp>57179020M20:Strip</stp>
        <tr r="E1567" s="5"/>
      </tp>
      <tp t="s">
        <v>Jul27</v>
        <stp/>
        <stp>57179020M10:Strip</stp>
        <tr r="E1557" s="5"/>
      </tp>
      <tp t="s">
        <v>Jul28</v>
        <stp/>
        <stp>18901687M22:Strip</stp>
        <tr r="E329" s="5"/>
      </tp>
      <tp t="s">
        <v>Sep27</v>
        <stp/>
        <stp>18901687M12:Strip</stp>
        <tr r="E319" s="5"/>
      </tp>
      <tp t="s">
        <v>Sep28</v>
        <stp/>
        <stp>57409036M24:Strip</stp>
        <tr r="E255" s="5"/>
      </tp>
      <tp t="s">
        <v>Nov27</v>
        <stp/>
        <stp>57409036M14:Strip</stp>
        <tr r="E245" s="5"/>
      </tp>
      <tp t="s">
        <v>Aug27</v>
        <stp/>
        <stp>29243602M11:Strip</stp>
        <tr r="E757" s="5"/>
      </tp>
      <tp t="s">
        <v>Aug28</v>
        <stp/>
        <stp>18851683M23:Strip</stp>
        <tr r="E216" s="5"/>
      </tp>
      <tp t="s">
        <v>Oct27</v>
        <stp/>
        <stp>18851683M13:Strip</stp>
        <tr r="E206" s="5"/>
      </tp>
      <tp t="s">
        <v>Apr28</v>
        <stp/>
        <stp>34344092M19:Strip</stp>
        <tr r="E1282" s="5"/>
      </tp>
      <tp t="s">
        <v>Apr28</v>
        <stp/>
        <stp>34354093M19:Strip</stp>
        <tr r="E1320" s="5"/>
      </tp>
      <tp t="s">
        <v>Feb28</v>
        <stp/>
        <stp>2427026287M17:Strip</stp>
        <tr r="E1166" s="5"/>
      </tp>
      <tp t="s">
        <v>Invalid Market: 2044823525M15</v>
        <stp/>
        <stp>2044823525M15:Strip</stp>
        <tr r="E1762" s="5"/>
      </tp>
    </main>
    <main first="esrtd">
      <tp t="s">
        <v/>
        <stp/>
        <stp>TDL 1!-IEU</stp>
        <stp>Block Volume</stp>
        <tr r="O1813" s="5"/>
      </tp>
      <tp t="s">
        <v/>
        <stp/>
        <stp>WDF 2!-IEU</stp>
        <stp>Block Volume</stp>
        <tr r="O1779" s="5"/>
      </tp>
      <tp t="s">
        <v/>
        <stp/>
        <stp>WHK 2!-IEU</stp>
        <stp>Block Volume</stp>
        <tr r="O1919" s="5"/>
      </tp>
    </main>
    <main first="ice.rtd">
      <tp t="s">
        <v>Nov27</v>
        <stp/>
        <stp>1840020882M14:Strip</stp>
        <tr r="E1596" s="5"/>
      </tp>
      <tp t="s">
        <v/>
        <stp/>
        <stp>141587M22:LstPrc</stp>
        <tr r="I63" s="5"/>
      </tp>
      <tp t="s">
        <v/>
        <stp/>
        <stp>141587M23:LstPrc</stp>
        <tr r="I64" s="5"/>
      </tp>
      <tp t="s">
        <v/>
        <stp/>
        <stp>141587M20:LstPrc</stp>
        <tr r="I61" s="5"/>
      </tp>
      <tp t="s">
        <v/>
        <stp/>
        <stp>141587M21:LstPrc</stp>
        <tr r="I62" s="5"/>
      </tp>
      <tp t="s">
        <v/>
        <stp/>
        <stp>141587M24:LstPrc</stp>
        <tr r="I65" s="5"/>
      </tp>
      <tp t="s">
        <v/>
        <stp/>
        <stp>141587M18:LstPrc</stp>
        <tr r="I59" s="5"/>
      </tp>
      <tp t="s">
        <v/>
        <stp/>
        <stp>141587M19:LstPrc</stp>
        <tr r="I60" s="5"/>
      </tp>
      <tp t="s">
        <v/>
        <stp/>
        <stp>141587M12:LstPrc</stp>
        <tr r="I53" s="5"/>
      </tp>
      <tp t="s">
        <v/>
        <stp/>
        <stp>141587M13:LstPrc</stp>
        <tr r="I54" s="5"/>
      </tp>
      <tp t="s">
        <v/>
        <stp/>
        <stp>141587M10:LstPrc</stp>
        <tr r="I51" s="5"/>
      </tp>
      <tp t="s">
        <v/>
        <stp/>
        <stp>141587M11:LstPrc</stp>
        <tr r="I52" s="5"/>
      </tp>
      <tp t="s">
        <v/>
        <stp/>
        <stp>141587M16:LstPrc</stp>
        <tr r="I57" s="5"/>
      </tp>
      <tp t="s">
        <v/>
        <stp/>
        <stp>141587M17:LstPrc</stp>
        <tr r="I58" s="5"/>
      </tp>
      <tp t="s">
        <v/>
        <stp/>
        <stp>141587M14:LstPrc</stp>
        <tr r="I55" s="5"/>
      </tp>
      <tp t="s">
        <v/>
        <stp/>
        <stp>141587M15:LstPrc</stp>
        <tr r="I56" s="5"/>
      </tp>
      <tp t="s">
        <v>Jan28</v>
        <stp/>
        <stp>2427126288M16:Strip</stp>
        <tr r="E1051" s="5"/>
      </tp>
      <tp t="s">
        <v>Aug28</v>
        <stp/>
        <stp>1986823075M23:Strip</stp>
        <tr r="E140" s="5"/>
      </tp>
      <tp t="s">
        <v>Oct27</v>
        <stp/>
        <stp>1986823075M13:Strip</stp>
        <tr r="E130" s="5"/>
      </tp>
    </main>
    <main first="bofaddin.rtdserver">
      <tp>
        <v>6.6409510000000003</v>
        <stp/>
        <stp>BFXFORWARD|16068359073983782347|222</stp>
        <stp>USDCNY</stp>
        <stp>8M</stp>
        <stp>MidOutright</stp>
        <tr r="BD28" s="1"/>
      </tp>
    </main>
    <main first="esrtd">
      <tp t="s">
        <v/>
        <stp/>
        <stp>WMJ 2!-IEU</stp>
        <stp>Block Volume</stp>
        <tr r="O1884" s="5"/>
      </tp>
    </main>
    <main first="ice.rtd">
      <tp t="s">
        <v>May28</v>
        <stp/>
        <stp>2755828679M20:Strip</stp>
        <tr r="E1017" s="5"/>
      </tp>
      <tp t="s">
        <v>Jul27</v>
        <stp/>
        <stp>2755828679M10:Strip</stp>
        <tr r="E1007" s="5"/>
      </tp>
      <tp t="s">
        <v>Jul28</v>
        <stp/>
        <stp>1986923076M22:Strip</stp>
        <tr r="E177" s="5"/>
      </tp>
      <tp t="s">
        <v>Sep27</v>
        <stp/>
        <stp>1986923076M12:Strip</stp>
        <tr r="E167" s="5"/>
      </tp>
    </main>
    <main first="esrtd">
      <tp t="s">
        <v/>
        <stp/>
        <stp>WNS 2!-IEU</stp>
        <stp>Block Volume</stp>
        <tr r="O1849" s="5"/>
      </tp>
    </main>
    <main first="bofaddin.rtdserver">
      <tp t="s">
        <v>#N/A Invalid Security</v>
        <stp/>
        <stp>BDP|9237066809158628769|222</stp>
        <stp>SCPF30 Comdty</stp>
        <stp>BID</stp>
        <stp>Fill=#N/A</stp>
        <tr r="M59" s="1"/>
      </tp>
      <tp t="s">
        <v>#N/A N/A</v>
        <stp/>
        <stp>BDP|11766415179220854474|22</stp>
        <stp>COV6  Comdty</stp>
        <stp>MID</stp>
        <tr r="C42" s="23"/>
        <tr r="D42" s="23"/>
      </tp>
      <tp t="s">
        <v>#N/A Invalid Security</v>
        <stp/>
        <stp>BDP|9363478039333471531|222</stp>
        <stp>SCPN28 Comdty</stp>
        <stp>ASK</stp>
        <stp>Fill=#N/A</stp>
        <tr r="M41" s="1"/>
      </tp>
    </main>
    <main first="ice.rtd">
      <tp>
        <v>925</v>
        <stp/>
        <stp>1986823075M1:Vol</stp>
        <tr r="N118" s="5"/>
      </tp>
      <tp>
        <v>0</v>
        <stp/>
        <stp>1986823075M0:Vol</stp>
        <tr r="N117" s="5"/>
      </tp>
      <tp>
        <v>0</v>
        <stp/>
        <stp>1986823075M3:Vol</stp>
        <tr r="N120" s="5"/>
      </tp>
      <tp>
        <v>50</v>
        <stp/>
        <stp>1986823075M2:Vol</stp>
        <tr r="N119" s="5"/>
      </tp>
      <tp>
        <v>0</v>
        <stp/>
        <stp>1986823075M5:Vol</stp>
        <tr r="N122" s="5"/>
      </tp>
      <tp>
        <v>0</v>
        <stp/>
        <stp>1986823075M4:Vol</stp>
        <tr r="N121" s="5"/>
      </tp>
      <tp>
        <v>0</v>
        <stp/>
        <stp>1986823075M7:Vol</stp>
        <tr r="N124" s="5"/>
      </tp>
      <tp>
        <v>0</v>
        <stp/>
        <stp>1986823075M6:Vol</stp>
        <tr r="N123" s="5"/>
      </tp>
      <tp>
        <v>0</v>
        <stp/>
        <stp>1986823075M9:Vol</stp>
        <tr r="N126" s="5"/>
      </tp>
      <tp>
        <v>0</v>
        <stp/>
        <stp>1986823075M8:Vol</stp>
        <tr r="N125" s="5"/>
      </tp>
    </main>
    <main first="bofaddin.rtdserver">
      <tp t="s">
        <v>#N/A Invalid Security</v>
        <stp/>
        <stp>BDP|4547964094706247956|222</stp>
        <stp>CLH0 Comdty</stp>
        <stp>ASK</stp>
        <stp>Fill=#N/A</stp>
        <tr r="F61" s="1"/>
      </tp>
    </main>
    <main first="ice.rtd">
      <tp>
        <v>24.306000000000001</v>
        <stp/>
        <stp>2325325614B0:Settle</stp>
        <tr r="U517" s="5"/>
      </tp>
    </main>
    <main first="bofaddin.rtdserver">
      <tp>
        <v>80.39</v>
        <stp/>
        <stp>BDP|9071786229932870990|222</stp>
        <stp>COM7 Comdty</stp>
        <stp>BID</stp>
        <stp>Fill=#N/A</stp>
        <tr r="G28" s="1"/>
      </tp>
    </main>
    <main first="ice.rtd">
      <tp>
        <v>22.818000000000001</v>
        <stp/>
        <stp>2324225603B0:Settle</stp>
        <tr r="U920" s="5"/>
      </tp>
      <tp>
        <v>0</v>
        <stp/>
        <stp>2427126288M2:Vol</stp>
        <tr r="N1037" s="5"/>
      </tp>
      <tp>
        <v>0</v>
        <stp/>
        <stp>2427126288M3:Vol</stp>
        <tr r="N1038" s="5"/>
      </tp>
      <tp>
        <v>0</v>
        <stp/>
        <stp>2427126288M0:Vol</stp>
        <tr r="N1035" s="5"/>
      </tp>
      <tp>
        <v>120</v>
        <stp/>
        <stp>2427126288M1:Vol</stp>
        <tr r="N1036" s="5"/>
      </tp>
      <tp>
        <v>0</v>
        <stp/>
        <stp>2427126288M6:Vol</stp>
        <tr r="N1041" s="5"/>
      </tp>
      <tp>
        <v>0</v>
        <stp/>
        <stp>2427126288M7:Vol</stp>
        <tr r="N1042" s="5"/>
      </tp>
      <tp>
        <v>0</v>
        <stp/>
        <stp>2427126288M4:Vol</stp>
        <tr r="N1039" s="5"/>
      </tp>
      <tp>
        <v>0</v>
        <stp/>
        <stp>2427126288M5:Vol</stp>
        <tr r="N1040" s="5"/>
      </tp>
      <tp>
        <v>0</v>
        <stp/>
        <stp>2427126288M8:Vol</stp>
        <tr r="N1043" s="5"/>
      </tp>
      <tp>
        <v>0</v>
        <stp/>
        <stp>2427126288M9:Vol</stp>
        <tr r="N1044" s="5"/>
      </tp>
      <tp>
        <v>0</v>
        <stp/>
        <stp>2427126288Q2:Vol</stp>
        <tr r="N1062" s="5"/>
      </tp>
      <tp>
        <v>0</v>
        <stp/>
        <stp>2427126288Q3:Vol</stp>
        <tr r="N1063" s="5"/>
      </tp>
      <tp>
        <v>0</v>
        <stp/>
        <stp>2427126288Q0:Vol</stp>
        <tr r="N1060" s="5"/>
      </tp>
      <tp>
        <v>0</v>
        <stp/>
        <stp>2427126288Q1:Vol</stp>
        <tr r="N1061" s="5"/>
      </tp>
      <tp>
        <v>0</v>
        <stp/>
        <stp>2427126288Q6:Vol</stp>
        <tr r="N1066" s="5"/>
      </tp>
      <tp>
        <v>0</v>
        <stp/>
        <stp>2427126288Q7:Vol</stp>
        <tr r="N1067" s="5"/>
      </tp>
      <tp>
        <v>0</v>
        <stp/>
        <stp>2427126288Q4:Vol</stp>
        <tr r="N1064" s="5"/>
      </tp>
      <tp>
        <v>0</v>
        <stp/>
        <stp>2427126288Q5:Vol</stp>
        <tr r="N1065" s="5"/>
      </tp>
      <tp>
        <v>0</v>
        <stp/>
        <stp>2427126288Q8:Vol</stp>
        <tr r="N1068" s="5"/>
      </tp>
      <tp>
        <v>0</v>
        <stp/>
        <stp>1986823075Y1:Vol</stp>
        <tr r="N152" s="5"/>
      </tp>
      <tp>
        <v>0</v>
        <stp/>
        <stp>1986823075Y0:Vol</stp>
        <tr r="N151" s="5"/>
      </tp>
      <tp>
        <v>0</v>
        <stp/>
        <stp>1986823075Y2:Vol</stp>
        <tr r="N153" s="5"/>
      </tp>
      <tp t="s">
        <v>Oct26/Jul27</v>
        <stp/>
        <stp>161913535MM19:Strip</stp>
        <tr r="E2046" s="5"/>
      </tp>
      <tp>
        <v>0</v>
        <stp/>
        <stp>2427126288Y2:Vol</stp>
        <tr r="N1071" s="5"/>
      </tp>
      <tp>
        <v>0</v>
        <stp/>
        <stp>2427126288Y0:Vol</stp>
        <tr r="N1069" s="5"/>
      </tp>
      <tp>
        <v>0</v>
        <stp/>
        <stp>2427126288Y1:Vol</stp>
        <tr r="N1070" s="5"/>
      </tp>
      <tp>
        <v>0</v>
        <stp/>
        <stp>1986823075Q1:Vol</stp>
        <tr r="N143" s="5"/>
      </tp>
      <tp>
        <v>0</v>
        <stp/>
        <stp>1986823075Q0:Vol</stp>
        <tr r="N142" s="5"/>
      </tp>
      <tp>
        <v>0</v>
        <stp/>
        <stp>1986823075Q3:Vol</stp>
        <tr r="N145" s="5"/>
      </tp>
      <tp>
        <v>0</v>
        <stp/>
        <stp>1986823075Q2:Vol</stp>
        <tr r="N144" s="5"/>
      </tp>
      <tp>
        <v>0</v>
        <stp/>
        <stp>1986823075Q5:Vol</stp>
        <tr r="N147" s="5"/>
      </tp>
      <tp>
        <v>0</v>
        <stp/>
        <stp>1986823075Q4:Vol</stp>
        <tr r="N146" s="5"/>
      </tp>
      <tp>
        <v>0</v>
        <stp/>
        <stp>1986823075Q7:Vol</stp>
        <tr r="N149" s="5"/>
      </tp>
      <tp>
        <v>0</v>
        <stp/>
        <stp>1986823075Q6:Vol</stp>
        <tr r="N148" s="5"/>
      </tp>
      <tp>
        <v>0</v>
        <stp/>
        <stp>1986823075Q8:Vol</stp>
        <tr r="N150" s="5"/>
      </tp>
      <tp t="s">
        <v>AIL</v>
        <stp/>
        <stp>1840020882M0:PCC</stp>
        <tr r="B1582" s="5"/>
      </tp>
      <tp t="s">
        <v>AIL</v>
        <stp/>
        <stp>1840020882M1:PCC</stp>
        <tr r="B1583" s="5"/>
      </tp>
      <tp t="s">
        <v>AIL</v>
        <stp/>
        <stp>1840020882M2:PCC</stp>
        <tr r="B1584" s="5"/>
      </tp>
      <tp t="s">
        <v>AIL</v>
        <stp/>
        <stp>1840020882M3:PCC</stp>
        <tr r="B1585" s="5"/>
      </tp>
      <tp t="s">
        <v>AIL</v>
        <stp/>
        <stp>1840020882M4:PCC</stp>
        <tr r="B1586" s="5"/>
      </tp>
      <tp t="s">
        <v>AIL</v>
        <stp/>
        <stp>1840020882M5:PCC</stp>
        <tr r="B1587" s="5"/>
      </tp>
      <tp t="s">
        <v>AIL</v>
        <stp/>
        <stp>1840020882M6:PCC</stp>
        <tr r="B1588" s="5"/>
      </tp>
      <tp t="s">
        <v>AIL</v>
        <stp/>
        <stp>1840020882M7:PCC</stp>
        <tr r="B1589" s="5"/>
      </tp>
      <tp t="s">
        <v>AIL</v>
        <stp/>
        <stp>1840020882M8:PCC</stp>
        <tr r="B1590" s="5"/>
      </tp>
      <tp t="s">
        <v>AIL</v>
        <stp/>
        <stp>1840020882M9:PCC</stp>
        <tr r="B1591" s="5"/>
      </tp>
    </main>
    <main first="esrtd">
      <tp t="s">
        <v/>
        <stp/>
        <stp>WNS 9!-IEU</stp>
        <stp>Recent Settlement</stp>
        <tr r="U1856" s="5"/>
      </tp>
      <tp t="s">
        <v/>
        <stp/>
        <stp>WNS 8!-IEU</stp>
        <stp>Recent Settlement</stp>
        <tr r="U1855" s="5"/>
      </tp>
      <tp t="s">
        <v/>
        <stp/>
        <stp>WNS 3!-IEU</stp>
        <stp>Recent Settlement</stp>
        <tr r="U1850" s="5"/>
      </tp>
      <tp t="s">
        <v/>
        <stp/>
        <stp>WNS 2!-IEU</stp>
        <stp>Recent Settlement</stp>
        <tr r="U1849" s="5"/>
      </tp>
      <tp t="s">
        <v/>
        <stp/>
        <stp>WNS 1!-IEU</stp>
        <stp>Recent Settlement</stp>
        <tr r="U1848" s="5"/>
      </tp>
      <tp t="s">
        <v/>
        <stp/>
        <stp>WNS 7!-IEU</stp>
        <stp>Recent Settlement</stp>
        <tr r="U1854" s="5"/>
      </tp>
      <tp t="s">
        <v/>
        <stp/>
        <stp>WNS 6!-IEU</stp>
        <stp>Recent Settlement</stp>
        <tr r="U1853" s="5"/>
      </tp>
      <tp t="s">
        <v/>
        <stp/>
        <stp>WNS 5!-IEU</stp>
        <stp>Recent Settlement</stp>
        <tr r="U1852" s="5"/>
      </tp>
      <tp t="s">
        <v/>
        <stp/>
        <stp>WNS 4!-IEU</stp>
        <stp>Recent Settlement</stp>
        <tr r="U1851" s="5"/>
      </tp>
    </main>
    <main first="ice.rtd">
      <tp t="s">
        <v>BOH</v>
        <stp/>
        <stp>2325825619B0:PCC</stp>
        <tr r="B40" s="5"/>
      </tp>
      <tp t="s">
        <v>AES</v>
        <stp/>
        <stp>2323825599B0:PCC</stp>
        <tr r="B306" s="5"/>
      </tp>
      <tp>
        <v>2</v>
        <stp/>
        <stp>41767893Q8:Settle</stp>
        <tr r="U513" s="5"/>
      </tp>
      <tp>
        <v>2</v>
        <stp/>
        <stp>41767893Q4:Settle</stp>
        <tr r="U509" s="5"/>
      </tp>
      <tp>
        <v>2</v>
        <stp/>
        <stp>41767893Q5:Settle</stp>
        <tr r="U510" s="5"/>
      </tp>
      <tp>
        <v>2</v>
        <stp/>
        <stp>41767893Q6:Settle</stp>
        <tr r="U511" s="5"/>
      </tp>
      <tp>
        <v>2</v>
        <stp/>
        <stp>41767893Q7:Settle</stp>
        <tr r="U512" s="5"/>
      </tp>
      <tp>
        <v>3.6</v>
        <stp/>
        <stp>41767893Q0:Settle</stp>
        <tr r="U505" s="5"/>
      </tp>
      <tp>
        <v>2</v>
        <stp/>
        <stp>41767893Q1:Settle</stp>
        <tr r="U506" s="5"/>
      </tp>
      <tp>
        <v>2</v>
        <stp/>
        <stp>41767893Q2:Settle</stp>
        <tr r="U507" s="5"/>
      </tp>
      <tp>
        <v>2</v>
        <stp/>
        <stp>41767893Q3:Settle</stp>
        <tr r="U508" s="5"/>
      </tp>
      <tp>
        <v>2</v>
        <stp/>
        <stp>41767893Y0:Settle</stp>
        <tr r="U514" s="5"/>
      </tp>
      <tp>
        <v>2</v>
        <stp/>
        <stp>41767893Y1:Settle</stp>
        <tr r="U515" s="5"/>
      </tp>
      <tp t="s">
        <v>Invalid Market: 41767893Y2</v>
        <stp/>
        <stp>41767893Y2:Settle</stp>
        <tr r="U516" s="5"/>
      </tp>
      <tp t="s">
        <v>Invalid Market: 41767893B0</v>
        <stp/>
        <stp>41767893B0:Settle</stp>
        <tr r="U479" s="5"/>
      </tp>
      <tp>
        <v>2</v>
        <stp/>
        <stp>41767893M8:Settle</stp>
        <tr r="U488" s="5"/>
      </tp>
      <tp>
        <v>2</v>
        <stp/>
        <stp>41767893M9:Settle</stp>
        <tr r="U489" s="5"/>
      </tp>
      <tp>
        <v>2</v>
        <stp/>
        <stp>41767893M4:Settle</stp>
        <tr r="U484" s="5"/>
      </tp>
      <tp>
        <v>2</v>
        <stp/>
        <stp>41767893M5:Settle</stp>
        <tr r="U485" s="5"/>
      </tp>
      <tp>
        <v>2</v>
        <stp/>
        <stp>41767893M6:Settle</stp>
        <tr r="U486" s="5"/>
      </tp>
      <tp>
        <v>2</v>
        <stp/>
        <stp>41767893M7:Settle</stp>
        <tr r="U487" s="5"/>
      </tp>
      <tp>
        <v>3.65</v>
        <stp/>
        <stp>41767893M0:Settle</stp>
        <tr r="U480" s="5"/>
      </tp>
      <tp>
        <v>3.5500000000000003</v>
        <stp/>
        <stp>41767893M1:Settle</stp>
        <tr r="U481" s="5"/>
      </tp>
      <tp>
        <v>3.75</v>
        <stp/>
        <stp>41767893M2:Settle</stp>
        <tr r="U482" s="5"/>
      </tp>
      <tp>
        <v>3.5</v>
        <stp/>
        <stp>41767893M3:Settle</stp>
        <tr r="U483" s="5"/>
      </tp>
      <tp t="s">
        <v>AIL</v>
        <stp/>
        <stp>1840020882Y0:PCC</stp>
        <tr r="B1604" s="5"/>
      </tp>
      <tp>
        <v>-7.8370000000000006</v>
        <stp/>
        <stp>41787896Q8:Settle</stp>
        <tr r="U840" s="5"/>
      </tp>
      <tp>
        <v>-8.4540000000000006</v>
        <stp/>
        <stp>41787896Q4:Settle</stp>
        <tr r="U836" s="5"/>
      </tp>
      <tp>
        <v>-8.2690000000000001</v>
        <stp/>
        <stp>41787896Q5:Settle</stp>
        <tr r="U837" s="5"/>
      </tp>
      <tp>
        <v>-8.0039999999999996</v>
        <stp/>
        <stp>41787896Q6:Settle</stp>
        <tr r="U838" s="5"/>
      </tp>
      <tp>
        <v>-7.9580000000000002</v>
        <stp/>
        <stp>41787896Q7:Settle</stp>
        <tr r="U839" s="5"/>
      </tp>
      <tp>
        <v>-10.527000000000001</v>
        <stp/>
        <stp>41787896Q0:Settle</stp>
        <tr r="U832" s="5"/>
      </tp>
      <tp>
        <v>-8.6270000000000007</v>
        <stp/>
        <stp>41787896Q1:Settle</stp>
        <tr r="U833" s="5"/>
      </tp>
      <tp>
        <v>-7.59</v>
        <stp/>
        <stp>41787896Q2:Settle</stp>
        <tr r="U834" s="5"/>
      </tp>
      <tp>
        <v>-7.73</v>
        <stp/>
        <stp>41787896Q3:Settle</stp>
        <tr r="U835" s="5"/>
      </tp>
      <tp>
        <v>-8.1</v>
        <stp/>
        <stp>41787896Y0:Settle</stp>
        <tr r="U841" s="5"/>
      </tp>
      <tp>
        <v>-8.0170000000000012</v>
        <stp/>
        <stp>41787896Y1:Settle</stp>
        <tr r="U842" s="5"/>
      </tp>
      <tp>
        <v>-6.7700000000000005</v>
        <stp/>
        <stp>41787896Y2:Settle</stp>
        <tr r="U843" s="5"/>
      </tp>
      <tp>
        <v>-7.5010000000000003</v>
        <stp/>
        <stp>41787896M8:Settle</stp>
        <tr r="U815" s="5"/>
      </tp>
      <tp>
        <v>-7.46</v>
        <stp/>
        <stp>41787896M9:Settle</stp>
        <tr r="U816" s="5"/>
      </tp>
      <tp>
        <v>-9.0709999999999997</v>
        <stp/>
        <stp>41787896M4:Settle</stp>
        <tr r="U811" s="5"/>
      </tp>
      <tp>
        <v>-8.609</v>
        <stp/>
        <stp>41787896M5:Settle</stp>
        <tr r="U812" s="5"/>
      </tp>
      <tp>
        <v>-8.202</v>
        <stp/>
        <stp>41787896M6:Settle</stp>
        <tr r="U813" s="5"/>
      </tp>
      <tp>
        <v>-7.8090000000000002</v>
        <stp/>
        <stp>41787896M7:Settle</stp>
        <tr r="U814" s="5"/>
      </tp>
      <tp>
        <v>-12.157</v>
        <stp/>
        <stp>41787896M0:Settle</stp>
        <tr r="U807" s="5"/>
      </tp>
      <tp>
        <v>-11.450000000000001</v>
        <stp/>
        <stp>41787896M1:Settle</stp>
        <tr r="U808" s="5"/>
      </tp>
      <tp>
        <v>-10.496</v>
        <stp/>
        <stp>41787896M2:Settle</stp>
        <tr r="U809" s="5"/>
      </tp>
      <tp>
        <v>-9.6340000000000003</v>
        <stp/>
        <stp>41787896M3:Settle</stp>
        <tr r="U810" s="5"/>
      </tp>
      <tp>
        <v>18.833000000000002</v>
        <stp/>
        <stp>30793693Q3:Settle</stp>
        <tr r="U911" s="5"/>
      </tp>
      <tp>
        <v>22.083000000000002</v>
        <stp/>
        <stp>30793693Q2:Settle</stp>
        <tr r="U910" s="5"/>
      </tp>
      <tp>
        <v>27.333000000000002</v>
        <stp/>
        <stp>30793693Q1:Settle</stp>
        <tr r="U909" s="5"/>
      </tp>
      <tp>
        <v>35</v>
        <stp/>
        <stp>30793693Q0:Settle</stp>
        <tr r="U908" s="5"/>
      </tp>
      <tp>
        <v>15.083</v>
        <stp/>
        <stp>30793693Q7:Settle</stp>
        <tr r="U915" s="5"/>
      </tp>
      <tp>
        <v>16</v>
        <stp/>
        <stp>30793693Q6:Settle</stp>
        <tr r="U914" s="5"/>
      </tp>
      <tp>
        <v>17</v>
        <stp/>
        <stp>30793693Q5:Settle</stp>
        <tr r="U913" s="5"/>
      </tp>
      <tp>
        <v>17.25</v>
        <stp/>
        <stp>30793693Q4:Settle</stp>
        <tr r="U912" s="5"/>
      </tp>
      <tp>
        <v>14.433</v>
        <stp/>
        <stp>30793693Q8:Settle</stp>
        <tr r="U916" s="5"/>
      </tp>
      <tp>
        <v>13.85</v>
        <stp/>
        <stp>30793693Y2:Settle</stp>
        <tr r="U919" s="5"/>
      </tp>
      <tp>
        <v>15.629000000000001</v>
        <stp/>
        <stp>30793693Y1:Settle</stp>
        <tr r="U918" s="5"/>
      </tp>
      <tp>
        <v>21.375</v>
        <stp/>
        <stp>30793693Y0:Settle</stp>
        <tr r="U917" s="5"/>
      </tp>
      <tp>
        <v>32.5</v>
        <stp/>
        <stp>30793693M3:Settle</stp>
        <tr r="U886" s="5"/>
      </tp>
      <tp>
        <v>34.5</v>
        <stp/>
        <stp>30793693M2:Settle</stp>
        <tr r="U885" s="5"/>
      </tp>
      <tp>
        <v>38</v>
        <stp/>
        <stp>30793693M1:Settle</stp>
        <tr r="U884" s="5"/>
      </tp>
      <tp>
        <v>53.859000000000002</v>
        <stp/>
        <stp>30793693M0:Settle</stp>
        <tr r="U883" s="5"/>
      </tp>
      <tp>
        <v>23.5</v>
        <stp/>
        <stp>30793693M7:Settle</stp>
        <tr r="U890" s="5"/>
      </tp>
      <tp>
        <v>25.25</v>
        <stp/>
        <stp>30793693M6:Settle</stp>
        <tr r="U889" s="5"/>
      </tp>
      <tp>
        <v>27.25</v>
        <stp/>
        <stp>30793693M5:Settle</stp>
        <tr r="U888" s="5"/>
      </tp>
      <tp>
        <v>29.5</v>
        <stp/>
        <stp>30793693M4:Settle</stp>
        <tr r="U887" s="5"/>
      </tp>
      <tp>
        <v>20.75</v>
        <stp/>
        <stp>30793693M9:Settle</stp>
        <tr r="U892" s="5"/>
      </tp>
      <tp>
        <v>22</v>
        <stp/>
        <stp>30793693M8:Settle</stp>
        <tr r="U891" s="5"/>
      </tp>
      <tp t="s">
        <v>AIL</v>
        <stp/>
        <stp>1840020882Q0:PCC</stp>
        <tr r="B1599" s="5"/>
      </tp>
      <tp t="s">
        <v>AIL</v>
        <stp/>
        <stp>1840020882Q1:PCC</stp>
        <tr r="B1600" s="5"/>
      </tp>
      <tp t="s">
        <v>AIL</v>
        <stp/>
        <stp>1840020882Q2:PCC</stp>
        <tr r="B1601" s="5"/>
      </tp>
      <tp t="s">
        <v>AIL</v>
        <stp/>
        <stp>1840020882Q3:PCC</stp>
        <tr r="B1602" s="5"/>
      </tp>
      <tp t="s">
        <v>AIL</v>
        <stp/>
        <stp>1840020882Q4:PCC</stp>
        <tr r="B1603" s="5"/>
      </tp>
    </main>
    <main first="bofaddin.rtdserver">
      <tp t="s">
        <v>#N/A N/A</v>
        <stp/>
        <stp>BDH|194564549674665904</stp>
        <tr r="AZ29" s="1"/>
      </tp>
      <tp t="s">
        <v>#N/A N/A</v>
        <stp/>
        <stp>BDH|709296724369294505</stp>
        <tr r="AX37" s="1"/>
      </tp>
    </main>
    <main first="ice.rtd">
      <tp>
        <v>-8.0777999999999999</v>
        <stp/>
        <stp>5162M19:Settle</stp>
        <tr r="U788" s="5"/>
      </tp>
      <tp>
        <v>-8.1639999999999997</v>
        <stp/>
        <stp>5162M18:Settle</stp>
        <tr r="U787" s="5"/>
      </tp>
      <tp>
        <v>-8.3806000000000012</v>
        <stp/>
        <stp>5162M13:Settle</stp>
        <tr r="U782" s="5"/>
      </tp>
      <tp>
        <v>-7.9938000000000002</v>
        <stp/>
        <stp>5162M12:Settle</stp>
        <tr r="U781" s="5"/>
      </tp>
      <tp>
        <v>-7.6844000000000001</v>
        <stp/>
        <stp>5162M11:Settle</stp>
        <tr r="U780" s="5"/>
      </tp>
      <tp>
        <v>-7.5127000000000006</v>
        <stp/>
        <stp>5162M10:Settle</stp>
        <tr r="U779" s="5"/>
      </tp>
      <tp>
        <v>-8.2651000000000003</v>
        <stp/>
        <stp>5162M17:Settle</stp>
        <tr r="U786" s="5"/>
      </tp>
      <tp>
        <v>-8.3773</v>
        <stp/>
        <stp>5162M16:Settle</stp>
        <tr r="U785" s="5"/>
      </tp>
      <tp>
        <v>-8.4661000000000008</v>
        <stp/>
        <stp>5162M15:Settle</stp>
        <tr r="U784" s="5"/>
      </tp>
      <tp>
        <v>-8.5137</v>
        <stp/>
        <stp>5162M14:Settle</stp>
        <tr r="U783" s="5"/>
      </tp>
      <tp>
        <v>-7.9583000000000004</v>
        <stp/>
        <stp>5162M23:Settle</stp>
        <tr r="U792" s="5"/>
      </tp>
      <tp>
        <v>-7.9218000000000002</v>
        <stp/>
        <stp>5162M22:Settle</stp>
        <tr r="U791" s="5"/>
      </tp>
      <tp>
        <v>-7.9355000000000002</v>
        <stp/>
        <stp>5162M21:Settle</stp>
        <tr r="U790" s="5"/>
      </tp>
      <tp>
        <v>-7.9987000000000004</v>
        <stp/>
        <stp>5162M20:Settle</stp>
        <tr r="U789" s="5"/>
      </tp>
      <tp>
        <v>-7.9929000000000006</v>
        <stp/>
        <stp>5162M24:Settle</stp>
        <tr r="U793" s="5"/>
      </tp>
      <tp t="s">
        <v>Aug28</v>
        <stp/>
        <stp>15091310M23:Strip</stp>
        <tr r="E1400" s="5"/>
      </tp>
      <tp t="s">
        <v>Oct27</v>
        <stp/>
        <stp>15091310M13:Strip</stp>
        <tr r="E1390" s="5"/>
      </tp>
    </main>
    <main first="esrtd">
      <tp t="s">
        <v/>
        <stp/>
        <stp>Invalid Market: CALCM20 K28-IEU</stp>
        <stp>ICE Theoretical Price</stp>
        <tr r="W1207" s="5"/>
        <tr r="W865" s="5"/>
        <tr r="W403" s="5"/>
        <tr r="W289" s="5"/>
        <tr r="W1093" s="5"/>
        <tr r="W1359" s="5"/>
      </tp>
    </main>
    <main first="ice.rtd">
      <tp t="s">
        <v>Jan28</v>
        <stp/>
        <stp>46678127M16:Strip</stp>
        <tr r="E361" s="5"/>
      </tp>
      <tp t="s">
        <v>Aug28</v>
        <stp/>
        <stp>30813691M23:Strip</stp>
        <tr r="E1976" s="5"/>
      </tp>
      <tp t="s">
        <v>Oct27</v>
        <stp/>
        <stp>30813691M13:Strip</stp>
        <tr r="E1966" s="5"/>
      </tp>
      <tp t="s">
        <v>May28</v>
        <stp/>
        <stp>16331513M20:Strip</stp>
        <tr r="E1435" s="5"/>
      </tp>
      <tp t="s">
        <v>May28</v>
        <stp/>
        <stp>16341514M20:Strip</stp>
        <tr r="E1473" s="5"/>
      </tp>
      <tp t="s">
        <v>May28</v>
        <stp/>
        <stp>16351515M20:Strip</stp>
        <tr r="E1511" s="5"/>
      </tp>
      <tp t="s">
        <v>Jul27</v>
        <stp/>
        <stp>16331513M10:Strip</stp>
        <tr r="E1425" s="5"/>
      </tp>
      <tp t="s">
        <v>Jul27</v>
        <stp/>
        <stp>16341514M10:Strip</stp>
        <tr r="E1463" s="5"/>
      </tp>
      <tp t="s">
        <v>Jul27</v>
        <stp/>
        <stp>16351515M10:Strip</stp>
        <tr r="E1501" s="5"/>
      </tp>
      <tp t="s">
        <v>Oct27</v>
        <stp/>
        <stp>35534143M13:Strip</stp>
        <tr r="E721" s="5"/>
      </tp>
      <tp t="s">
        <v>Oct27</v>
        <stp/>
        <stp>35544144M13:Strip</stp>
        <tr r="E645" s="5"/>
      </tp>
      <tp t="s">
        <v>Oct27</v>
        <stp/>
        <stp>35554145M13:Strip</stp>
        <tr r="E683" s="5"/>
      </tp>
      <tp t="s">
        <v>Aug28</v>
        <stp/>
        <stp>35534143M23:Strip</stp>
        <tr r="E731" s="5"/>
      </tp>
      <tp t="s">
        <v>Aug28</v>
        <stp/>
        <stp>35544144M23:Strip</stp>
        <tr r="E655" s="5"/>
      </tp>
      <tp t="s">
        <v>Aug28</v>
        <stp/>
        <stp>35554145M23:Strip</stp>
        <tr r="E693" s="5"/>
      </tp>
      <tp t="s">
        <v>Jul28</v>
        <stp/>
        <stp>18871685M22:Strip</stp>
        <tr r="E443" s="5"/>
      </tp>
      <tp t="s">
        <v>Sep27</v>
        <stp/>
        <stp>18871685M12:Strip</stp>
        <tr r="E433" s="5"/>
      </tp>
      <tp t="s">
        <v>Mar28</v>
        <stp/>
        <stp>34364094M18:Strip</stp>
        <tr r="E536" s="5"/>
      </tp>
      <tp t="s">
        <v>Mar28</v>
        <stp/>
        <stp>34374095M18:Strip</stp>
        <tr r="E574" s="5"/>
      </tp>
      <tp t="s">
        <v>Invalid Market: 57179020M21</v>
        <stp/>
        <stp>57179020M21:Strip</stp>
        <tr r="E1568" s="5"/>
      </tp>
      <tp t="s">
        <v>Aug27</v>
        <stp/>
        <stp>57179020M11:Strip</stp>
        <tr r="E1558" s="5"/>
      </tp>
      <tp t="s">
        <v>Aug28</v>
        <stp/>
        <stp>18901687M23:Strip</stp>
        <tr r="E330" s="5"/>
      </tp>
      <tp t="s">
        <v>Oct27</v>
        <stp/>
        <stp>18901687M13:Strip</stp>
        <tr r="E320" s="5"/>
      </tp>
      <tp t="s">
        <v>Dec27</v>
        <stp/>
        <stp>57409036M15:Strip</stp>
        <tr r="E246" s="5"/>
      </tp>
      <tp t="s">
        <v>Jul27</v>
        <stp/>
        <stp>29243602M10:Strip</stp>
        <tr r="E756" s="5"/>
      </tp>
      <tp t="s">
        <v>Jul28</v>
        <stp/>
        <stp>18851683M22:Strip</stp>
        <tr r="E215" s="5"/>
      </tp>
      <tp t="s">
        <v>Sep27</v>
        <stp/>
        <stp>18851683M12:Strip</stp>
        <tr r="E205" s="5"/>
      </tp>
      <tp t="s">
        <v>Mar28</v>
        <stp/>
        <stp>34344092M18:Strip</stp>
        <tr r="E1281" s="5"/>
      </tp>
      <tp t="s">
        <v>Mar28</v>
        <stp/>
        <stp>34354093M18:Strip</stp>
        <tr r="E1319" s="5"/>
      </tp>
      <tp t="s">
        <v>Jan28</v>
        <stp/>
        <stp>2427026287M16:Strip</stp>
        <tr r="E1165" s="5"/>
      </tp>
      <tp t="s">
        <v/>
        <stp/>
        <stp>30793693M23:LstPrc</stp>
        <tr r="I906" s="5"/>
      </tp>
      <tp t="s">
        <v/>
        <stp/>
        <stp>30793693M22:LstPrc</stp>
        <tr r="I905" s="5"/>
      </tp>
      <tp t="s">
        <v/>
        <stp/>
        <stp>30793693M21:LstPrc</stp>
        <tr r="I904" s="5"/>
      </tp>
      <tp t="s">
        <v/>
        <stp/>
        <stp>30793693M20:LstPrc</stp>
        <tr r="I903" s="5"/>
      </tp>
      <tp t="s">
        <v/>
        <stp/>
        <stp>30793693M24:LstPrc</stp>
        <tr r="I907" s="5"/>
      </tp>
      <tp t="s">
        <v/>
        <stp/>
        <stp>30793693M13:LstPrc</stp>
        <tr r="I896" s="5"/>
      </tp>
      <tp t="s">
        <v/>
        <stp/>
        <stp>30793693M12:LstPrc</stp>
        <tr r="I895" s="5"/>
      </tp>
      <tp t="s">
        <v/>
        <stp/>
        <stp>30793693M11:LstPrc</stp>
        <tr r="I894" s="5"/>
      </tp>
      <tp t="s">
        <v/>
        <stp/>
        <stp>30793693M10:LstPrc</stp>
        <tr r="I893" s="5"/>
      </tp>
      <tp t="s">
        <v/>
        <stp/>
        <stp>30793693M17:LstPrc</stp>
        <tr r="I900" s="5"/>
      </tp>
      <tp t="s">
        <v/>
        <stp/>
        <stp>30793693M16:LstPrc</stp>
        <tr r="I899" s="5"/>
      </tp>
      <tp t="s">
        <v/>
        <stp/>
        <stp>30793693M15:LstPrc</stp>
        <tr r="I898" s="5"/>
      </tp>
      <tp t="s">
        <v/>
        <stp/>
        <stp>30793693M14:LstPrc</stp>
        <tr r="I897" s="5"/>
      </tp>
      <tp t="s">
        <v/>
        <stp/>
        <stp>30793693M19:LstPrc</stp>
        <tr r="I902" s="5"/>
      </tp>
      <tp t="s">
        <v/>
        <stp/>
        <stp>30793693M18:LstPrc</stp>
        <tr r="I901" s="5"/>
      </tp>
    </main>
    <main first="esrtd">
      <tp t="s">
        <v/>
        <stp/>
        <stp>WMJ 8!-IEU</stp>
        <stp>ICE Theoretical Price</stp>
        <tr r="W1890" s="5"/>
      </tp>
      <tp t="s">
        <v/>
        <stp/>
        <stp>WMJ 9!-IEU</stp>
        <stp>ICE Theoretical Price</stp>
        <tr r="W1891" s="5"/>
      </tp>
      <tp t="s">
        <v/>
        <stp/>
        <stp>WMJ 6!-IEU</stp>
        <stp>ICE Theoretical Price</stp>
        <tr r="W1888" s="5"/>
      </tp>
      <tp t="s">
        <v/>
        <stp/>
        <stp>WMJ 7!-IEU</stp>
        <stp>ICE Theoretical Price</stp>
        <tr r="W1889" s="5"/>
      </tp>
      <tp t="s">
        <v/>
        <stp/>
        <stp>WMJ 4!-IEU</stp>
        <stp>ICE Theoretical Price</stp>
        <tr r="W1886" s="5"/>
      </tp>
      <tp t="s">
        <v/>
        <stp/>
        <stp>WMJ 5!-IEU</stp>
        <stp>ICE Theoretical Price</stp>
        <tr r="W1887" s="5"/>
      </tp>
      <tp t="s">
        <v/>
        <stp/>
        <stp>WMJ 2!-IEU</stp>
        <stp>ICE Theoretical Price</stp>
        <tr r="W1884" s="5"/>
      </tp>
      <tp t="s">
        <v/>
        <stp/>
        <stp>WMJ 3!-IEU</stp>
        <stp>ICE Theoretical Price</stp>
        <tr r="W1885" s="5"/>
      </tp>
      <tp t="s">
        <v/>
        <stp/>
        <stp>WMJ 1!-IEU</stp>
        <stp>ICE Theoretical Price</stp>
        <tr r="W1883" s="5"/>
      </tp>
    </main>
    <main first="ice.rtd">
      <tp t="s">
        <v>Dec27</v>
        <stp/>
        <stp>2044823525M14:Strip</stp>
        <tr r="E1761" s="5"/>
      </tp>
    </main>
    <main first="esrtd">
      <tp t="s">
        <v/>
        <stp/>
        <stp>WDF 3!-IEU</stp>
        <stp>Block Volume</stp>
        <tr r="O1780" s="5"/>
      </tp>
      <tp t="s">
        <v/>
        <stp/>
        <stp>WHK 3!-IEU</stp>
        <stp>Block Volume</stp>
        <tr r="O1920" s="5"/>
      </tp>
    </main>
    <main first="ice.rtd">
      <tp t="s">
        <v>Dec27</v>
        <stp/>
        <stp>1840020882M15:Strip</stp>
        <tr r="E1597" s="5"/>
      </tp>
      <tp t="s">
        <v>Feb28</v>
        <stp/>
        <stp>2427126288M17:Strip</stp>
        <tr r="E1052" s="5"/>
      </tp>
      <tp t="s">
        <v>Jul28</v>
        <stp/>
        <stp>1986823075M22:Strip</stp>
        <tr r="E139" s="5"/>
      </tp>
      <tp t="s">
        <v>Sep27</v>
        <stp/>
        <stp>1986823075M12:Strip</stp>
        <tr r="E129" s="5"/>
      </tp>
    </main>
    <main first="esrtd">
      <tp t="s">
        <v/>
        <stp/>
        <stp>WMJ 3!-IEU</stp>
        <stp>Block Volume</stp>
        <tr r="O1885" s="5"/>
      </tp>
    </main>
    <main first="ice.rtd">
      <tp t="s">
        <v>Jun28</v>
        <stp/>
        <stp>2755828679M21:Strip</stp>
        <tr r="E1018" s="5"/>
      </tp>
      <tp t="s">
        <v>Aug27</v>
        <stp/>
        <stp>2755828679M11:Strip</stp>
        <tr r="E1008" s="5"/>
      </tp>
      <tp t="s">
        <v>Aug28</v>
        <stp/>
        <stp>1986923076M23:Strip</stp>
        <tr r="E178" s="5"/>
      </tp>
      <tp t="s">
        <v>Oct27</v>
        <stp/>
        <stp>1986923076M13:Strip</stp>
        <tr r="E168" s="5"/>
      </tp>
    </main>
    <main first="esrtd">
      <tp t="s">
        <v/>
        <stp/>
        <stp>WNS 3!-IEU</stp>
        <stp>Block Volume</stp>
        <tr r="O1850" s="5"/>
      </tp>
    </main>
    <main first="bofaddin.rtdserver">
      <tp t="s">
        <v>#N/A Invalid Security</v>
        <stp/>
        <stp>BDP|4811398989278456070|222</stp>
        <stp>SCPK30 Comdty</stp>
        <stp>BID</stp>
        <stp>Fill=#N/A</stp>
        <tr r="M63" s="1"/>
      </tp>
      <tp>
        <v>543.1</v>
        <stp/>
        <stp>BDP|3830997996753311973|222</stp>
        <stp>SCPM27 Comdty</stp>
        <stp>ASK</stp>
        <stp>Fill=#N/A</stp>
        <tr r="M28" s="1"/>
      </tp>
      <tp t="s">
        <v>#N/A Invalid Security</v>
        <stp/>
        <stp>BDP|1895093785282591280|222</stp>
        <stp>SCPJ29 Comdty</stp>
        <stp>ASK</stp>
        <stp>Fill=#N/A</stp>
        <tr r="M50" s="1"/>
      </tp>
    </main>
    <main first="ice.rtd">
      <tp>
        <v>250</v>
        <stp/>
        <stp>1986923076M1:Vol</stp>
        <tr r="N156" s="5"/>
      </tp>
      <tp>
        <v>25</v>
        <stp/>
        <stp>1986923076M0:Vol</stp>
        <tr r="N155" s="5"/>
      </tp>
      <tp>
        <v>50</v>
        <stp/>
        <stp>1986923076M3:Vol</stp>
        <tr r="N158" s="5"/>
      </tp>
      <tp>
        <v>50</v>
        <stp/>
        <stp>1986923076M2:Vol</stp>
        <tr r="N157" s="5"/>
      </tp>
      <tp>
        <v>0</v>
        <stp/>
        <stp>1986923076M5:Vol</stp>
        <tr r="N160" s="5"/>
      </tp>
      <tp>
        <v>0</v>
        <stp/>
        <stp>1986923076M4:Vol</stp>
        <tr r="N159" s="5"/>
      </tp>
      <tp>
        <v>0</v>
        <stp/>
        <stp>1986923076M7:Vol</stp>
        <tr r="N162" s="5"/>
      </tp>
      <tp>
        <v>0</v>
        <stp/>
        <stp>1986923076M6:Vol</stp>
        <tr r="N161" s="5"/>
      </tp>
      <tp>
        <v>0</v>
        <stp/>
        <stp>1986923076M9:Vol</stp>
        <tr r="N164" s="5"/>
      </tp>
      <tp>
        <v>0</v>
        <stp/>
        <stp>1986923076M8:Vol</stp>
        <tr r="N163" s="5"/>
      </tp>
      <tp>
        <v>0</v>
        <stp/>
        <stp>1961122916B0:Vol</stp>
        <tr r="N1626" s="5"/>
      </tp>
    </main>
    <main first="bofaddin.rtdserver">
      <tp>
        <v>0.17199999999999999</v>
        <stp/>
        <stp>BDP|6250249595687907751|222</stp>
        <stp>COJ0 Comdty</stp>
        <stp>BID</stp>
        <stp>Fill=#N/A</stp>
        <tr r="G62" s="1"/>
      </tp>
      <tp t="s">
        <v>#N/A Invalid Security</v>
        <stp/>
        <stp>BDP|6606197167496196181|222</stp>
        <stp>XBJ0 Comdty</stp>
        <stp>BID</stp>
        <stp>Fill=#N/A</stp>
        <tr r="J62" s="1"/>
      </tp>
      <tp t="s">
        <v>#N/A Invalid Security</v>
        <stp/>
        <stp>BDP|9015544403964040207|222</stp>
        <stp>CLN8 Comdty</stp>
        <stp>BID</stp>
        <stp>Fill=#N/A</stp>
        <tr r="F41" s="1"/>
      </tp>
    </main>
    <main first="ice.rtd">
      <tp>
        <v>0</v>
        <stp/>
        <stp>2888029697B0:Vol</stp>
        <tr r="N996" s="5"/>
      </tp>
      <tp>
        <v>0</v>
        <stp/>
        <stp>2755728678M4:Vol</stp>
        <tr r="N1115" s="5"/>
      </tp>
      <tp>
        <v>0</v>
        <stp/>
        <stp>2755728678M5:Vol</stp>
        <tr r="N1116" s="5"/>
      </tp>
      <tp>
        <v>0</v>
        <stp/>
        <stp>2755728678M6:Vol</stp>
        <tr r="N1117" s="5"/>
      </tp>
      <tp>
        <v>0</v>
        <stp/>
        <stp>2755728678M7:Vol</stp>
        <tr r="N1118" s="5"/>
      </tp>
      <tp>
        <v>0</v>
        <stp/>
        <stp>2755728678M0:Vol</stp>
        <tr r="N1111" s="5"/>
      </tp>
      <tp>
        <v>0</v>
        <stp/>
        <stp>2755728678M1:Vol</stp>
        <tr r="N1112" s="5"/>
      </tp>
      <tp>
        <v>0</v>
        <stp/>
        <stp>2755728678M2:Vol</stp>
        <tr r="N1113" s="5"/>
      </tp>
      <tp>
        <v>0</v>
        <stp/>
        <stp>2755728678M3:Vol</stp>
        <tr r="N1114" s="5"/>
      </tp>
      <tp>
        <v>0</v>
        <stp/>
        <stp>2755728678M8:Vol</stp>
        <tr r="N1119" s="5"/>
      </tp>
      <tp>
        <v>0</v>
        <stp/>
        <stp>2755728678M9:Vol</stp>
        <tr r="N1120" s="5"/>
      </tp>
      <tp>
        <v>44.64</v>
        <stp/>
        <stp>2323825599B0:Settle</stp>
        <tr r="U306" s="5"/>
      </tp>
      <tp>
        <v>61</v>
        <stp/>
        <stp>2185324625B0:Settle</stp>
        <tr r="U78" s="5"/>
      </tp>
    </main>
    <main first="bofaddin.rtdserver">
      <tp t="s">
        <v>#N/A Invalid Security</v>
        <stp/>
        <stp>BDP|8029711024424819463|222</stp>
        <stp>COK0 Comdty</stp>
        <stp>ASK</stp>
        <stp>Fill=#N/A</stp>
        <tr r="G63" s="1"/>
      </tp>
    </main>
    <main first="ice.rtd">
      <tp>
        <v>-12.157</v>
        <stp/>
        <stp>2326325624B0:Settle</stp>
        <tr r="U806" s="5"/>
      </tp>
    </main>
    <main first="bofaddin.rtdserver">
      <tp t="s">
        <v>#N/A</v>
        <stp/>
        <stp>BDP|4355446755890225655|222</stp>
        <stp>CLM8 Comdty</stp>
        <stp>BID</stp>
        <stp>Fill=#N/A</stp>
        <tr r="F40" s="1"/>
      </tp>
      <tp>
        <v>285.44</v>
        <stp/>
        <stp>BDP|2956707498979057214|222</stp>
        <stp>XBK7 Comdty</stp>
        <stp>BID</stp>
        <stp>Fill=#N/A</stp>
        <tr r="J27" s="1"/>
      </tp>
    </main>
    <main first="ice.rtd">
      <tp>
        <v>-12.157</v>
        <stp/>
        <stp>2505226937B0:Settle</stp>
        <tr r="U768" s="5"/>
      </tp>
      <tp>
        <v>0</v>
        <stp/>
        <stp>2755728678Y0:Vol</stp>
        <tr r="N1145" s="5"/>
      </tp>
      <tp>
        <v>0</v>
        <stp/>
        <stp>2755728678Y1:Vol</stp>
        <tr r="N1146" s="5"/>
      </tp>
      <tp>
        <v>0</v>
        <stp/>
        <stp>2755728678Y2:Vol</stp>
        <tr r="N1147" s="5"/>
      </tp>
      <tp>
        <v>0</v>
        <stp/>
        <stp>1986923076Y1:Vol</stp>
        <tr r="N190" s="5"/>
      </tp>
      <tp>
        <v>0</v>
        <stp/>
        <stp>1986923076Y0:Vol</stp>
        <tr r="N189" s="5"/>
      </tp>
      <tp>
        <v>0</v>
        <stp/>
        <stp>1986923076Y2:Vol</stp>
        <tr r="N191" s="5"/>
      </tp>
      <tp>
        <v>0</v>
        <stp/>
        <stp>2755728678Q4:Vol</stp>
        <tr r="N1140" s="5"/>
      </tp>
      <tp>
        <v>0</v>
        <stp/>
        <stp>2755728678Q5:Vol</stp>
        <tr r="N1141" s="5"/>
      </tp>
      <tp>
        <v>0</v>
        <stp/>
        <stp>2755728678Q6:Vol</stp>
        <tr r="N1142" s="5"/>
      </tp>
      <tp>
        <v>0</v>
        <stp/>
        <stp>2755728678Q7:Vol</stp>
        <tr r="N1143" s="5"/>
      </tp>
      <tp>
        <v>0</v>
        <stp/>
        <stp>2755728678Q0:Vol</stp>
        <tr r="N1136" s="5"/>
      </tp>
      <tp>
        <v>0</v>
        <stp/>
        <stp>2755728678Q1:Vol</stp>
        <tr r="N1137" s="5"/>
      </tp>
      <tp>
        <v>0</v>
        <stp/>
        <stp>2755728678Q2:Vol</stp>
        <tr r="N1138" s="5"/>
      </tp>
      <tp>
        <v>0</v>
        <stp/>
        <stp>2755728678Q3:Vol</stp>
        <tr r="N1139" s="5"/>
      </tp>
      <tp>
        <v>0</v>
        <stp/>
        <stp>2755728678Q8:Vol</stp>
        <tr r="N1144" s="5"/>
      </tp>
      <tp>
        <v>0</v>
        <stp/>
        <stp>1986923076Q1:Vol</stp>
        <tr r="N181" s="5"/>
      </tp>
      <tp>
        <v>0</v>
        <stp/>
        <stp>1986923076Q0:Vol</stp>
        <tr r="N180" s="5"/>
      </tp>
      <tp>
        <v>0</v>
        <stp/>
        <stp>1986923076Q3:Vol</stp>
        <tr r="N183" s="5"/>
      </tp>
      <tp>
        <v>0</v>
        <stp/>
        <stp>1986923076Q2:Vol</stp>
        <tr r="N182" s="5"/>
      </tp>
      <tp>
        <v>0</v>
        <stp/>
        <stp>1986923076Q5:Vol</stp>
        <tr r="N185" s="5"/>
      </tp>
      <tp>
        <v>0</v>
        <stp/>
        <stp>1986923076Q4:Vol</stp>
        <tr r="N184" s="5"/>
      </tp>
      <tp>
        <v>0</v>
        <stp/>
        <stp>1986923076Q7:Vol</stp>
        <tr r="N187" s="5"/>
      </tp>
      <tp>
        <v>0</v>
        <stp/>
        <stp>1986923076Q6:Vol</stp>
        <tr r="N186" s="5"/>
      </tp>
      <tp>
        <v>0</v>
        <stp/>
        <stp>1986923076Q8:Vol</stp>
        <tr r="N188" s="5"/>
      </tp>
      <tp t="s">
        <v>GCH</v>
        <stp/>
        <stp>2185624628B0:PCC</stp>
        <tr r="B745" s="5"/>
      </tp>
      <tp t="s">
        <v>ISP</v>
        <stp/>
        <stp>2181524588B0:PCC</stp>
        <tr r="B1452" s="5"/>
      </tp>
      <tp t="s">
        <v>PRM</v>
        <stp/>
        <stp>2182524598B0:PCC</stp>
        <tr r="B1376" s="5"/>
      </tp>
    </main>
    <main first="esrtd">
      <tp t="s">
        <v/>
        <stp/>
        <stp>WMJ 9!-IEU</stp>
        <stp>Recent Settlement</stp>
        <tr r="U1891" s="5"/>
      </tp>
      <tp t="s">
        <v/>
        <stp/>
        <stp>WMJ 8!-IEU</stp>
        <stp>Recent Settlement</stp>
        <tr r="U1890" s="5"/>
      </tp>
      <tp t="s">
        <v/>
        <stp/>
        <stp>WMJ 3!-IEU</stp>
        <stp>Recent Settlement</stp>
        <tr r="U1885" s="5"/>
      </tp>
      <tp t="s">
        <v/>
        <stp/>
        <stp>WMJ 2!-IEU</stp>
        <stp>Recent Settlement</stp>
        <tr r="U1884" s="5"/>
      </tp>
      <tp t="s">
        <v/>
        <stp/>
        <stp>WMJ 1!-IEU</stp>
        <stp>Recent Settlement</stp>
        <tr r="U1883" s="5"/>
      </tp>
      <tp t="s">
        <v/>
        <stp/>
        <stp>WMJ 7!-IEU</stp>
        <stp>Recent Settlement</stp>
        <tr r="U1889" s="5"/>
      </tp>
      <tp t="s">
        <v/>
        <stp/>
        <stp>WMJ 6!-IEU</stp>
        <stp>Recent Settlement</stp>
        <tr r="U1888" s="5"/>
      </tp>
      <tp t="s">
        <v/>
        <stp/>
        <stp>WMJ 5!-IEU</stp>
        <stp>Recent Settlement</stp>
        <tr r="U1887" s="5"/>
      </tp>
      <tp t="s">
        <v/>
        <stp/>
        <stp>WMJ 4!-IEU</stp>
        <stp>Recent Settlement</stp>
        <tr r="U1886" s="5"/>
      </tp>
    </main>
    <main first="ice.rtd">
      <tp>
        <v>24.5</v>
        <stp/>
        <stp>34404098Q1:Settle</stp>
        <tr r="U620" s="5"/>
      </tp>
      <tp>
        <v>101</v>
        <stp/>
        <stp>34414099Q1:Settle</stp>
        <tr r="U105" s="5"/>
      </tp>
      <tp>
        <v>42</v>
        <stp/>
        <stp>34404098Q0:Settle</stp>
        <tr r="U619" s="5"/>
      </tp>
      <tp>
        <v>97.667000000000002</v>
        <stp/>
        <stp>34414099Q0:Settle</stp>
        <tr r="U104" s="5"/>
      </tp>
      <tp>
        <v>14.5</v>
        <stp/>
        <stp>34404098Q3:Settle</stp>
        <tr r="U622" s="5"/>
      </tp>
      <tp>
        <v>93</v>
        <stp/>
        <stp>34414099Q3:Settle</stp>
        <tr r="U107" s="5"/>
      </tp>
      <tp>
        <v>16.5</v>
        <stp/>
        <stp>34404098Q2:Settle</stp>
        <tr r="U621" s="5"/>
      </tp>
      <tp>
        <v>97</v>
        <stp/>
        <stp>34414099Q2:Settle</stp>
        <tr r="U106" s="5"/>
      </tp>
      <tp>
        <v>13</v>
        <stp/>
        <stp>34404098Q5:Settle</stp>
        <tr r="U624" s="5"/>
      </tp>
      <tp>
        <v>85</v>
        <stp/>
        <stp>34414099Q5:Settle</stp>
        <tr r="U109" s="5"/>
      </tp>
      <tp>
        <v>14.083</v>
        <stp/>
        <stp>34404098Q4:Settle</stp>
        <tr r="U623" s="5"/>
      </tp>
      <tp>
        <v>88</v>
        <stp/>
        <stp>34414099Q4:Settle</stp>
        <tr r="U108" s="5"/>
      </tp>
      <tp>
        <v>11.5</v>
        <stp/>
        <stp>34404098Q7:Settle</stp>
        <tr r="U626" s="5"/>
      </tp>
      <tp>
        <v>85</v>
        <stp/>
        <stp>34414099Q7:Settle</stp>
        <tr r="U111" s="5"/>
      </tp>
      <tp>
        <v>12</v>
        <stp/>
        <stp>34404098Q6:Settle</stp>
        <tr r="U625" s="5"/>
      </tp>
      <tp>
        <v>85</v>
        <stp/>
        <stp>34414099Q6:Settle</stp>
        <tr r="U110" s="5"/>
      </tp>
      <tp>
        <v>12</v>
        <stp/>
        <stp>34404098Q8:Settle</stp>
        <tr r="U627" s="5"/>
      </tp>
      <tp>
        <v>85</v>
        <stp/>
        <stp>34414099Q8:Settle</stp>
        <tr r="U112" s="5"/>
      </tp>
      <tp>
        <v>12.125</v>
        <stp/>
        <stp>34404098Y1:Settle</stp>
        <tr r="U629" s="5"/>
      </tp>
      <tp>
        <v>85</v>
        <stp/>
        <stp>34414099Y1:Settle</stp>
        <tr r="U114" s="5"/>
      </tp>
      <tp>
        <v>17.396000000000001</v>
        <stp/>
        <stp>34404098Y0:Settle</stp>
        <tr r="U628" s="5"/>
      </tp>
      <tp>
        <v>94.75</v>
        <stp/>
        <stp>34414099Y0:Settle</stp>
        <tr r="U113" s="5"/>
      </tp>
      <tp t="s">
        <v>Invalid Market: 34404098Y2</v>
        <stp/>
        <stp>34404098Y2:Settle</stp>
        <tr r="U630" s="5"/>
      </tp>
      <tp>
        <v>90</v>
        <stp/>
        <stp>34414099Y2:Settle</stp>
        <tr r="U115" s="5"/>
      </tp>
      <tp>
        <v>44</v>
        <stp/>
        <stp>34404098M1:Settle</stp>
        <tr r="U595" s="5"/>
      </tp>
      <tp>
        <v>79</v>
        <stp/>
        <stp>34414099M1:Settle</stp>
        <tr r="U80" s="5"/>
      </tp>
      <tp>
        <v>46</v>
        <stp/>
        <stp>34404098M0:Settle</stp>
        <tr r="U594" s="5"/>
      </tp>
      <tp>
        <v>61</v>
        <stp/>
        <stp>34414099M0:Settle</stp>
        <tr r="U79" s="5"/>
      </tp>
      <tp>
        <v>38</v>
        <stp/>
        <stp>34404098M3:Settle</stp>
        <tr r="U597" s="5"/>
      </tp>
      <tp>
        <v>112</v>
        <stp/>
        <stp>34414099M3:Settle</stp>
        <tr r="U82" s="5"/>
      </tp>
      <tp>
        <v>44</v>
        <stp/>
        <stp>34404098M2:Settle</stp>
        <tr r="U596" s="5"/>
      </tp>
      <tp>
        <v>102</v>
        <stp/>
        <stp>34414099M2:Settle</stp>
        <tr r="U81" s="5"/>
      </tp>
      <tp>
        <v>24.5</v>
        <stp/>
        <stp>34404098M5:Settle</stp>
        <tr r="U599" s="5"/>
      </tp>
      <tp>
        <v>101</v>
        <stp/>
        <stp>34414099M5:Settle</stp>
        <tr r="U84" s="5"/>
      </tp>
      <tp>
        <v>27</v>
        <stp/>
        <stp>34404098M4:Settle</stp>
        <tr r="U598" s="5"/>
      </tp>
      <tp>
        <v>102</v>
        <stp/>
        <stp>34414099M4:Settle</stp>
        <tr r="U83" s="5"/>
      </tp>
      <tp>
        <v>17.5</v>
        <stp/>
        <stp>34404098M7:Settle</stp>
        <tr r="U601" s="5"/>
      </tp>
      <tp>
        <v>98</v>
        <stp/>
        <stp>34414099M7:Settle</stp>
        <tr r="U86" s="5"/>
      </tp>
      <tp>
        <v>22</v>
        <stp/>
        <stp>34404098M6:Settle</stp>
        <tr r="U600" s="5"/>
      </tp>
      <tp>
        <v>100</v>
        <stp/>
        <stp>34414099M6:Settle</stp>
        <tr r="U85" s="5"/>
      </tp>
      <tp>
        <v>15.5</v>
        <stp/>
        <stp>34404098M9:Settle</stp>
        <tr r="U603" s="5"/>
      </tp>
      <tp>
        <v>96</v>
        <stp/>
        <stp>34414099M9:Settle</stp>
        <tr r="U88" s="5"/>
      </tp>
      <tp>
        <v>16.5</v>
        <stp/>
        <stp>34404098M8:Settle</stp>
        <tr r="U602" s="5"/>
      </tp>
      <tp>
        <v>97</v>
        <stp/>
        <stp>34414099M8:Settle</stp>
        <tr r="U87" s="5"/>
      </tp>
      <tp>
        <v>750</v>
        <stp/>
        <stp>DBI1227MM9:LstBlkVol</stp>
        <tr r="L1660" s="5"/>
      </tp>
    </main>
    <main first="bofaddin.rtdserver">
      <tp t="s">
        <v>#N/A N/A</v>
        <stp/>
        <stp>BDH|452274004284963966</stp>
        <tr r="I80" s="16"/>
      </tp>
    </main>
    <main first="ice.rtd">
      <tp t="s">
        <v>Jun27</v>
        <stp/>
        <stp>266419M9:Strip</stp>
        <tr r="E968" s="5"/>
      </tp>
      <tp t="s">
        <v>May27</v>
        <stp/>
        <stp>141587M8:Strip</stp>
        <tr r="E49" s="5"/>
      </tp>
      <tp t="s">
        <v>Q4 28</v>
        <stp/>
        <stp>141587Q8:Strip</stp>
        <tr r="E74" s="5"/>
      </tp>
      <tp t="s">
        <v>May28</v>
        <stp/>
        <stp>15091310M20:Strip</stp>
        <tr r="E1397" s="5"/>
      </tp>
      <tp t="s">
        <v>Jul27</v>
        <stp/>
        <stp>15091310M10:Strip</stp>
        <tr r="E1387" s="5"/>
      </tp>
      <tp t="s">
        <v>Oct26/Nov26</v>
        <stp/>
        <stp>15061297MM8:Strip</stp>
        <tr r="E1691" s="5"/>
      </tp>
    </main>
    <main first="esrtd">
      <tp t="s">
        <v/>
        <stp/>
        <stp>Invalid Market: CALCM23 Q28-IEU</stp>
        <stp>ICE Theoretical Price</stp>
        <tr r="W406" s="5"/>
        <tr r="W868" s="5"/>
        <tr r="W1362" s="5"/>
        <tr r="W292" s="5"/>
        <tr r="W1210" s="5"/>
        <tr r="W1096" s="5"/>
      </tp>
    </main>
    <main first="ice.rtd">
      <tp t="s">
        <v>Dec27</v>
        <stp/>
        <stp>46678127M15:Strip</stp>
        <tr r="E360" s="5"/>
      </tp>
      <tp t="s">
        <v>May28</v>
        <stp/>
        <stp>30813691M20:Strip</stp>
        <tr r="E1973" s="5"/>
      </tp>
      <tp t="s">
        <v>Jul27</v>
        <stp/>
        <stp>30813691M10:Strip</stp>
        <tr r="E1963" s="5"/>
      </tp>
      <tp t="s">
        <v>Aug28</v>
        <stp/>
        <stp>16331513M23:Strip</stp>
        <tr r="E1438" s="5"/>
      </tp>
      <tp t="s">
        <v>Aug28</v>
        <stp/>
        <stp>16341514M23:Strip</stp>
        <tr r="E1476" s="5"/>
      </tp>
      <tp t="s">
        <v>Aug28</v>
        <stp/>
        <stp>16351515M23:Strip</stp>
        <tr r="E1514" s="5"/>
      </tp>
      <tp t="s">
        <v>Oct27</v>
        <stp/>
        <stp>16331513M13:Strip</stp>
        <tr r="E1428" s="5"/>
      </tp>
      <tp t="s">
        <v>Oct27</v>
        <stp/>
        <stp>16341514M13:Strip</stp>
        <tr r="E1466" s="5"/>
      </tp>
      <tp t="s">
        <v>Oct27</v>
        <stp/>
        <stp>16351515M13:Strip</stp>
        <tr r="E1504" s="5"/>
      </tp>
      <tp t="s">
        <v>Jul27</v>
        <stp/>
        <stp>35534143M10:Strip</stp>
        <tr r="E718" s="5"/>
      </tp>
      <tp t="s">
        <v>Jul27</v>
        <stp/>
        <stp>35544144M10:Strip</stp>
        <tr r="E642" s="5"/>
      </tp>
      <tp t="s">
        <v>Jul27</v>
        <stp/>
        <stp>35554145M10:Strip</stp>
        <tr r="E680" s="5"/>
      </tp>
      <tp t="s">
        <v>May28</v>
        <stp/>
        <stp>35534143M20:Strip</stp>
        <tr r="E728" s="5"/>
      </tp>
      <tp t="s">
        <v>May28</v>
        <stp/>
        <stp>35544144M20:Strip</stp>
        <tr r="E652" s="5"/>
      </tp>
      <tp t="s">
        <v>May28</v>
        <stp/>
        <stp>35554145M20:Strip</stp>
        <tr r="E690" s="5"/>
      </tp>
      <tp t="s">
        <v>Jun28</v>
        <stp/>
        <stp>18871685M21:Strip</stp>
        <tr r="E442" s="5"/>
      </tp>
      <tp t="s">
        <v>Aug27</v>
        <stp/>
        <stp>18871685M11:Strip</stp>
        <tr r="E432" s="5"/>
      </tp>
      <tp t="s">
        <v>Invalid Market: 57179020M22</v>
        <stp/>
        <stp>57179020M22:Strip</stp>
        <tr r="E1569" s="5"/>
      </tp>
      <tp t="s">
        <v>Sep27</v>
        <stp/>
        <stp>57179020M12:Strip</stp>
        <tr r="E1559" s="5"/>
      </tp>
      <tp t="s">
        <v>May28</v>
        <stp/>
        <stp>18901687M20:Strip</stp>
        <tr r="E327" s="5"/>
      </tp>
      <tp t="s">
        <v>Jul27</v>
        <stp/>
        <stp>18901687M10:Strip</stp>
        <tr r="E317" s="5"/>
      </tp>
      <tp t="s">
        <v>Jan28</v>
        <stp/>
        <stp>57409036M16:Strip</stp>
        <tr r="E247" s="5"/>
      </tp>
      <tp t="s">
        <v>Oct27</v>
        <stp/>
        <stp>29243602M13:Strip</stp>
        <tr r="E759" s="5"/>
      </tp>
      <tp t="s">
        <v>Jun28</v>
        <stp/>
        <stp>18851683M21:Strip</stp>
        <tr r="E214" s="5"/>
      </tp>
      <tp t="s">
        <v>Aug27</v>
        <stp/>
        <stp>18851683M11:Strip</stp>
        <tr r="E204" s="5"/>
      </tp>
      <tp t="s">
        <v>Dec27</v>
        <stp/>
        <stp>2427026287M15:Strip</stp>
        <tr r="E1164" s="5"/>
      </tp>
      <tp>
        <v>0</v>
        <stp/>
        <stp>366531QQ0:BlkVol</stp>
        <tr r="O1743" s="5"/>
      </tp>
      <tp>
        <v>0</v>
        <stp/>
        <stp>366531QQ1:BlkVol</stp>
        <tr r="O1744" s="5"/>
      </tp>
      <tp t="s">
        <v/>
        <stp/>
        <stp>15091310M24:LstPrc</stp>
        <tr r="I1401" s="5"/>
      </tp>
      <tp t="s">
        <v/>
        <stp/>
        <stp>15091310M20:LstPrc</stp>
        <tr r="I1397" s="5"/>
      </tp>
      <tp t="s">
        <v/>
        <stp/>
        <stp>15091310M21:LstPrc</stp>
        <tr r="I1398" s="5"/>
      </tp>
      <tp t="s">
        <v/>
        <stp/>
        <stp>15091310M22:LstPrc</stp>
        <tr r="I1399" s="5"/>
      </tp>
      <tp t="s">
        <v/>
        <stp/>
        <stp>15091310M23:LstPrc</stp>
        <tr r="I1400" s="5"/>
      </tp>
      <tp t="s">
        <v/>
        <stp/>
        <stp>15091310M18:LstPrc</stp>
        <tr r="I1395" s="5"/>
      </tp>
      <tp t="s">
        <v/>
        <stp/>
        <stp>15091310M19:LstPrc</stp>
        <tr r="I1396" s="5"/>
      </tp>
      <tp t="s">
        <v/>
        <stp/>
        <stp>15091310M14:LstPrc</stp>
        <tr r="I1391" s="5"/>
      </tp>
      <tp t="s">
        <v/>
        <stp/>
        <stp>15091310M15:LstPrc</stp>
        <tr r="I1392" s="5"/>
      </tp>
      <tp t="s">
        <v/>
        <stp/>
        <stp>15091310M16:LstPrc</stp>
        <tr r="I1393" s="5"/>
      </tp>
      <tp t="s">
        <v/>
        <stp/>
        <stp>15091310M17:LstPrc</stp>
        <tr r="I1394" s="5"/>
      </tp>
      <tp t="s">
        <v/>
        <stp/>
        <stp>15091310M10:LstPrc</stp>
        <tr r="I1387" s="5"/>
      </tp>
      <tp t="s">
        <v/>
        <stp/>
        <stp>15091310M11:LstPrc</stp>
        <tr r="I1388" s="5"/>
      </tp>
      <tp t="s">
        <v/>
        <stp/>
        <stp>15091310M12:LstPrc</stp>
        <tr r="I1389" s="5"/>
      </tp>
      <tp t="s">
        <v/>
        <stp/>
        <stp>15091310M13:LstPrc</stp>
        <tr r="I1390" s="5"/>
      </tp>
      <tp t="s">
        <v>Invalid Market: 2044823525M17</v>
        <stp/>
        <stp>2044823525M17:Strip</stp>
        <tr r="E1764" s="5"/>
      </tp>
    </main>
    <main first="esrtd">
      <tp t="s">
        <v/>
        <stp/>
        <stp>TDL 3!-IEU</stp>
        <stp>Block Volume</stp>
        <tr r="O1815" s="5"/>
      </tp>
    </main>
    <main first="ice.rtd">
      <tp t="s">
        <v>Jan28</v>
        <stp/>
        <stp>1840020882M16:Strip</stp>
        <tr r="E1598" s="5"/>
      </tp>
      <tp>
        <v>0</v>
        <stp/>
        <stp>366531YY0:BlkVol</stp>
        <tr r="O1745" s="5"/>
      </tp>
      <tp t="s">
        <v>Nov27</v>
        <stp/>
        <stp>2427126288M14:Strip</stp>
        <tr r="E1049" s="5"/>
      </tp>
      <tp t="s">
        <v>Sep28</v>
        <stp/>
        <stp>2427126288M24:Strip</stp>
        <tr r="E1059" s="5"/>
      </tp>
      <tp t="s">
        <v>Jun28</v>
        <stp/>
        <stp>1986823075M21:Strip</stp>
        <tr r="E138" s="5"/>
      </tp>
      <tp t="s">
        <v>Aug27</v>
        <stp/>
        <stp>1986823075M11:Strip</stp>
        <tr r="E128" s="5"/>
      </tp>
      <tp t="s">
        <v>Jul28</v>
        <stp/>
        <stp>2755828679M22:Strip</stp>
        <tr r="E1019" s="5"/>
      </tp>
      <tp t="s">
        <v>Sep27</v>
        <stp/>
        <stp>2755828679M12:Strip</stp>
        <tr r="E1009" s="5"/>
      </tp>
      <tp t="s">
        <v>May28</v>
        <stp/>
        <stp>1986923076M20:Strip</stp>
        <tr r="E175" s="5"/>
      </tp>
      <tp t="s">
        <v>Jul27</v>
        <stp/>
        <stp>1986923076M10:Strip</stp>
        <tr r="E165" s="5"/>
      </tp>
    </main>
    <main first="bofaddin.rtdserver">
      <tp>
        <v>626.79999999999995</v>
        <stp/>
        <stp>BDP|5398114555624665094|222</stp>
        <stp>SCPZ26 Comdty</stp>
        <stp>BID</stp>
        <stp>Fill=#N/A</stp>
        <tr r="M22" s="1"/>
      </tp>
      <tp>
        <v>499.9</v>
        <stp/>
        <stp>BDP|6168426022778475211|222</stp>
        <stp>SCPM29 Comdty</stp>
        <stp>ASK</stp>
        <stp>Fill=#N/A</stp>
        <tr r="M52" s="1"/>
      </tp>
      <tp t="s">
        <v>#N/A Invalid Security</v>
        <stp/>
        <stp>BDP|2874274711412681739|222</stp>
        <stp>SCPN30 Comdty</stp>
        <stp>BID</stp>
        <stp>Fill=#N/A</stp>
        <tr r="M65" s="1"/>
      </tp>
    </main>
    <main first="esrtd">
      <tp t="s">
        <v/>
        <stp/>
        <stp>WNS 8!-IEU</stp>
        <stp>ICE Theoretical Price</stp>
        <tr r="W1855" s="5"/>
      </tp>
      <tp t="s">
        <v/>
        <stp/>
        <stp>WNS 9!-IEU</stp>
        <stp>ICE Theoretical Price</stp>
        <tr r="W1856" s="5"/>
      </tp>
      <tp t="s">
        <v/>
        <stp/>
        <stp>WNS 6!-IEU</stp>
        <stp>ICE Theoretical Price</stp>
        <tr r="W1853" s="5"/>
      </tp>
      <tp t="s">
        <v/>
        <stp/>
        <stp>WNS 7!-IEU</stp>
        <stp>ICE Theoretical Price</stp>
        <tr r="W1854" s="5"/>
      </tp>
      <tp t="s">
        <v/>
        <stp/>
        <stp>WNS 4!-IEU</stp>
        <stp>ICE Theoretical Price</stp>
        <tr r="W1851" s="5"/>
      </tp>
      <tp t="s">
        <v/>
        <stp/>
        <stp>WNS 5!-IEU</stp>
        <stp>ICE Theoretical Price</stp>
        <tr r="W1852" s="5"/>
      </tp>
      <tp t="s">
        <v/>
        <stp/>
        <stp>WNS 2!-IEU</stp>
        <stp>ICE Theoretical Price</stp>
        <tr r="W1849" s="5"/>
      </tp>
      <tp t="s">
        <v/>
        <stp/>
        <stp>WNS 3!-IEU</stp>
        <stp>ICE Theoretical Price</stp>
        <tr r="W1850" s="5"/>
      </tp>
      <tp t="s">
        <v/>
        <stp/>
        <stp>WNS 1!-IEU</stp>
        <stp>ICE Theoretical Price</stp>
        <tr r="W1848" s="5"/>
      </tp>
    </main>
    <main first="ice.rtd">
      <tp>
        <v>0</v>
        <stp/>
        <stp>366531MM8:BlkVol</stp>
        <tr r="O1723" s="5"/>
      </tp>
      <tp>
        <v>0</v>
        <stp/>
        <stp>366531MM9:BlkVol</stp>
        <tr r="O1724" s="5"/>
      </tp>
      <tp>
        <v>0</v>
        <stp/>
        <stp>366531MM4:BlkVol</stp>
        <tr r="O1719" s="5"/>
      </tp>
      <tp>
        <v>0</v>
        <stp/>
        <stp>366531MM5:BlkVol</stp>
        <tr r="O1720" s="5"/>
      </tp>
      <tp>
        <v>0</v>
        <stp/>
        <stp>366531MM6:BlkVol</stp>
        <tr r="O1721" s="5"/>
      </tp>
      <tp>
        <v>0</v>
        <stp/>
        <stp>366531MM7:BlkVol</stp>
        <tr r="O1722" s="5"/>
      </tp>
      <tp>
        <v>40</v>
        <stp/>
        <stp>366531MM0:BlkVol</stp>
        <tr r="O1715" s="5"/>
      </tp>
      <tp>
        <v>0</v>
        <stp/>
        <stp>366531MM1:BlkVol</stp>
        <tr r="O1716" s="5"/>
      </tp>
      <tp>
        <v>0</v>
        <stp/>
        <stp>366531MM2:BlkVol</stp>
        <tr r="O1717" s="5"/>
      </tp>
      <tp>
        <v>0</v>
        <stp/>
        <stp>366531MM3:BlkVol</stp>
        <tr r="O1718" s="5"/>
      </tp>
      <tp>
        <v>14.605700000000001</v>
        <stp/>
        <stp>2755728678M9:Settle</stp>
        <tr r="U1120" s="5"/>
      </tp>
      <tp>
        <v>14.880600000000001</v>
        <stp/>
        <stp>2755728678M8:Settle</stp>
        <tr r="U1119" s="5"/>
      </tp>
      <tp>
        <v>15.083600000000001</v>
        <stp/>
        <stp>2755728678M7:Settle</stp>
        <tr r="U1118" s="5"/>
      </tp>
      <tp>
        <v>15.281700000000001</v>
        <stp/>
        <stp>2755728678M6:Settle</stp>
        <tr r="U1117" s="5"/>
      </tp>
      <tp>
        <v>15.504000000000001</v>
        <stp/>
        <stp>2755728678M5:Settle</stp>
        <tr r="U1116" s="5"/>
      </tp>
      <tp>
        <v>15.5938</v>
        <stp/>
        <stp>2755728678M4:Settle</stp>
        <tr r="U1115" s="5"/>
      </tp>
      <tp>
        <v>16.053900000000002</v>
        <stp/>
        <stp>2755728678M3:Settle</stp>
        <tr r="U1114" s="5"/>
      </tp>
      <tp>
        <v>16.885000000000002</v>
        <stp/>
        <stp>2755728678M2:Settle</stp>
        <tr r="U1113" s="5"/>
      </tp>
      <tp>
        <v>19.395700000000001</v>
        <stp/>
        <stp>2755728678M1:Settle</stp>
        <tr r="U1112" s="5"/>
      </tp>
      <tp>
        <v>24.464300000000001</v>
        <stp/>
        <stp>2755728678M0:Settle</stp>
        <tr r="U1111" s="5"/>
      </tp>
      <tp>
        <v>12.247100000000001</v>
        <stp/>
        <stp>2755728678Q8:Settle</stp>
        <tr r="U1144" s="5"/>
      </tp>
      <tp>
        <v>12.481200000000001</v>
        <stp/>
        <stp>2755728678Q7:Settle</stp>
        <tr r="U1143" s="5"/>
      </tp>
      <tp>
        <v>12.6448</v>
        <stp/>
        <stp>2755728678Q6:Settle</stp>
        <tr r="U1142" s="5"/>
      </tp>
      <tp>
        <v>12.852500000000001</v>
        <stp/>
        <stp>2755728678Q5:Settle</stp>
        <tr r="U1141" s="5"/>
      </tp>
      <tp>
        <v>13.3109</v>
        <stp/>
        <stp>2755728678Q4:Settle</stp>
        <tr r="U1140" s="5"/>
      </tp>
      <tp>
        <v>14.139000000000001</v>
        <stp/>
        <stp>2755728678Q3:Settle</stp>
        <tr r="U1139" s="5"/>
      </tp>
      <tp>
        <v>14.8566</v>
        <stp/>
        <stp>2755728678Q2:Settle</stp>
        <tr r="U1138" s="5"/>
      </tp>
      <tp>
        <v>15.459800000000001</v>
        <stp/>
        <stp>2755728678Q1:Settle</stp>
        <tr r="U1137" s="5"/>
      </tp>
      <tp>
        <v>17.444900000000001</v>
        <stp/>
        <stp>2755728678Q0:Settle</stp>
        <tr r="U1136" s="5"/>
      </tp>
      <tp>
        <v>13.130700000000001</v>
        <stp/>
        <stp>2755728678Y2:Settle</stp>
        <tr r="U1147" s="5"/>
      </tp>
      <tp>
        <v>12.5564</v>
        <stp/>
        <stp>2755728678Y1:Settle</stp>
        <tr r="U1146" s="5"/>
      </tp>
      <tp>
        <v>14.441600000000001</v>
        <stp/>
        <stp>2755728678Y0:Settle</stp>
        <tr r="U1145" s="5"/>
      </tp>
    </main>
    <main first="bofaddin.rtdserver">
      <tp t="s">
        <v>#N/A Invalid Security</v>
        <stp/>
        <stp>BDP|6799470467630638634|222</stp>
        <stp>COG9 Comdty</stp>
        <stp>ASK</stp>
        <stp>Fill=#N/A</stp>
        <tr r="G48" s="1"/>
      </tp>
      <tp t="s">
        <v>#N/A</v>
        <stp/>
        <stp>BDP|6583106773723249574|222</stp>
        <stp>HOF0 Comdty</stp>
        <stp>ASK</stp>
        <stp>Fill=#N/A</stp>
        <tr r="I59" s="1"/>
      </tp>
      <tp t="s">
        <v>#N/A Invalid Security</v>
        <stp/>
        <stp>BDP|9472495455940757555|222</stp>
        <stp>CLK8 Comdty</stp>
        <stp>BID</stp>
        <stp>Fill=#N/A</stp>
        <tr r="F39" s="1"/>
      </tp>
    </main>
    <main first="ice.rtd">
      <tp>
        <v>0</v>
        <stp/>
        <stp>2755828679M4:Vol</stp>
        <tr r="N1001" s="5"/>
      </tp>
      <tp>
        <v>0</v>
        <stp/>
        <stp>2755828679M5:Vol</stp>
        <tr r="N1002" s="5"/>
      </tp>
      <tp>
        <v>0</v>
        <stp/>
        <stp>2755828679M6:Vol</stp>
        <tr r="N1003" s="5"/>
      </tp>
      <tp>
        <v>0</v>
        <stp/>
        <stp>2755828679M7:Vol</stp>
        <tr r="N1004" s="5"/>
      </tp>
      <tp>
        <v>0</v>
        <stp/>
        <stp>2755828679M0:Vol</stp>
        <tr r="N997" s="5"/>
      </tp>
      <tp>
        <v>0</v>
        <stp/>
        <stp>2755828679M1:Vol</stp>
        <tr r="N998" s="5"/>
      </tp>
      <tp>
        <v>0</v>
        <stp/>
        <stp>2755828679M2:Vol</stp>
        <tr r="N999" s="5"/>
      </tp>
      <tp>
        <v>0</v>
        <stp/>
        <stp>2755828679M3:Vol</stp>
        <tr r="N1000" s="5"/>
      </tp>
      <tp>
        <v>0</v>
        <stp/>
        <stp>2755828679M8:Vol</stp>
        <tr r="N1005" s="5"/>
      </tp>
      <tp>
        <v>0</v>
        <stp/>
        <stp>2755828679M9:Vol</stp>
        <tr r="N1006" s="5"/>
      </tp>
    </main>
    <main first="bofaddin.rtdserver">
      <tp>
        <v>71.28</v>
        <stp/>
        <stp>BDP|3648268466617179625|222</stp>
        <stp>CLG8 Comdty</stp>
        <stp>ASK</stp>
        <stp>Fill=#N/A</stp>
        <tr r="F36" s="1"/>
      </tp>
      <tp>
        <v>206</v>
        <stp/>
        <stp>BDP|5985749640082350843|222</stp>
        <stp>HOG9 Comdty</stp>
        <stp>BID</stp>
        <stp>Fill=#N/A</stp>
        <tr r="I48" s="1"/>
      </tp>
    </main>
    <main first="ice.rtd">
      <tp>
        <v>46</v>
        <stp/>
        <stp>2185224624B0:Settle</stp>
        <tr r="U593" s="5"/>
      </tp>
    </main>
    <main first="bofaddin.rtdserver">
      <tp t="s">
        <v>#N/A Invalid Security</v>
        <stp/>
        <stp>BDP|4204517573422112255|222</stp>
        <stp>COG0 Comdty</stp>
        <stp>BID</stp>
        <stp>Fill=#N/A</stp>
        <tr r="G60" s="1"/>
      </tp>
      <tp>
        <v>224.38</v>
        <stp/>
        <stp>BDP|4229805406125227573|222</stp>
        <stp>XBG8 Comdty</stp>
        <stp>BID</stp>
        <stp>Fill=#N/A</stp>
        <tr r="J36" s="1"/>
      </tp>
    </main>
    <main first="ice.rtd">
      <tp>
        <v>89.2423</v>
        <stp/>
        <stp>2326225623B0:Settle</stp>
        <tr r="U1300" s="5"/>
      </tp>
    </main>
    <main first="bofaddin.rtdserver">
      <tp>
        <v>325.88</v>
        <stp/>
        <stp>BDP|2170490001972279090|222</stp>
        <stp>HOF8 Comdty</stp>
        <stp>ASK</stp>
        <stp>Fill=#N/A</stp>
        <tr r="I35" s="1"/>
      </tp>
    </main>
    <main first="ice.rtd">
      <tp>
        <v>-22.5</v>
        <stp/>
        <stp>2325125612B0:Settle</stp>
        <tr r="U669" s="5"/>
      </tp>
    </main>
    <main first="bofaddin.rtdserver">
      <tp>
        <v>1132.75</v>
        <stp/>
        <stp>BDP|6043434401510754507|222</stp>
        <stp>QSG7 Comdty</stp>
        <stp>BID</stp>
        <stp>Fill=#N/A</stp>
        <tr r="H24" s="1"/>
      </tp>
    </main>
    <main first="ice.rtd">
      <tp>
        <v>164.887</v>
        <stp/>
        <stp>2183024603B0:Settle</stp>
        <tr r="U1625" s="5"/>
      </tp>
      <tp>
        <v>0</v>
        <stp/>
        <stp>1987023077B0:Vol</stp>
        <tr r="N154" s="5"/>
      </tp>
      <tp>
        <v>1.9450000000000001</v>
        <stp/>
        <stp>2181924592B0:Settle</stp>
        <tr r="U1490" s="5"/>
      </tp>
      <tp>
        <v>0</v>
        <stp/>
        <stp>2755828679Y0:Vol</stp>
        <tr r="N1031" s="5"/>
      </tp>
      <tp>
        <v>0</v>
        <stp/>
        <stp>2755828679Y1:Vol</stp>
        <tr r="N1032" s="5"/>
      </tp>
      <tp>
        <v>0</v>
        <stp/>
        <stp>2755828679Y2:Vol</stp>
        <tr r="N1033" s="5"/>
      </tp>
      <tp>
        <v>0</v>
        <stp/>
        <stp>2755828679Q4:Vol</stp>
        <tr r="N1026" s="5"/>
      </tp>
      <tp>
        <v>0</v>
        <stp/>
        <stp>2755828679Q5:Vol</stp>
        <tr r="N1027" s="5"/>
      </tp>
      <tp>
        <v>0</v>
        <stp/>
        <stp>2755828679Q6:Vol</stp>
        <tr r="N1028" s="5"/>
      </tp>
      <tp>
        <v>0</v>
        <stp/>
        <stp>2755828679Q7:Vol</stp>
        <tr r="N1029" s="5"/>
      </tp>
      <tp>
        <v>0</v>
        <stp/>
        <stp>2755828679Q0:Vol</stp>
        <tr r="N1022" s="5"/>
      </tp>
      <tp>
        <v>0</v>
        <stp/>
        <stp>2755828679Q1:Vol</stp>
        <tr r="N1023" s="5"/>
      </tp>
      <tp>
        <v>0</v>
        <stp/>
        <stp>2755828679Q2:Vol</stp>
        <tr r="N1024" s="5"/>
      </tp>
      <tp>
        <v>0</v>
        <stp/>
        <stp>2755828679Q3:Vol</stp>
        <tr r="N1025" s="5"/>
      </tp>
      <tp>
        <v>0</v>
        <stp/>
        <stp>2755828679Q8:Vol</stp>
        <tr r="N1030" s="5"/>
      </tp>
    </main>
    <main first="bofaddin.rtdserver">
      <tp>
        <v>4302.95</v>
        <stp/>
        <stp>BDP|9101215059768313258|22</stp>
        <stp>XAU Curncy</stp>
        <stp>MID</stp>
        <tr r="G8" s="18"/>
      </tp>
    </main>
    <main first="ice.rtd">
      <tp t="s">
        <v>GDX</v>
        <stp/>
        <stp>3124331018M8:PCC</stp>
        <tr r="B1613" s="5"/>
      </tp>
      <tp t="s">
        <v>GDX</v>
        <stp/>
        <stp>3124331018M9:PCC</stp>
        <tr r="B1614" s="5"/>
      </tp>
      <tp t="s">
        <v>GDX</v>
        <stp/>
        <stp>3124331018M4:PCC</stp>
        <tr r="B1609" s="5"/>
      </tp>
      <tp t="s">
        <v>GDX</v>
        <stp/>
        <stp>3124331018M5:PCC</stp>
        <tr r="B1610" s="5"/>
      </tp>
      <tp t="s">
        <v>GDX</v>
        <stp/>
        <stp>3124331018M6:PCC</stp>
        <tr r="B1611" s="5"/>
      </tp>
      <tp t="s">
        <v>GDX</v>
        <stp/>
        <stp>3124331018M7:PCC</stp>
        <tr r="B1612" s="5"/>
      </tp>
      <tp t="s">
        <v>GDX</v>
        <stp/>
        <stp>3124331018M0:PCC</stp>
        <tr r="B1605" s="5"/>
      </tp>
      <tp t="s">
        <v>GDX</v>
        <stp/>
        <stp>3124331018M1:PCC</stp>
        <tr r="B1606" s="5"/>
      </tp>
      <tp t="s">
        <v>GDX</v>
        <stp/>
        <stp>3124331018M2:PCC</stp>
        <tr r="B1607" s="5"/>
      </tp>
      <tp t="s">
        <v>GDX</v>
        <stp/>
        <stp>3124331018M3:PCC</stp>
        <tr r="B1608" s="5"/>
      </tp>
      <tp t="s">
        <v>GCQ</v>
        <stp/>
        <stp>1923422331M8:PCC</stp>
        <tr r="B1635" s="5"/>
      </tp>
      <tp t="s">
        <v>GCQ</v>
        <stp/>
        <stp>1923422331M9:PCC</stp>
        <tr r="B1636" s="5"/>
      </tp>
      <tp t="s">
        <v>GCQ</v>
        <stp/>
        <stp>1923422331M0:PCC</stp>
        <tr r="B1627" s="5"/>
      </tp>
      <tp t="s">
        <v>GCQ</v>
        <stp/>
        <stp>1923422331M1:PCC</stp>
        <tr r="B1628" s="5"/>
      </tp>
      <tp t="s">
        <v>GCQ</v>
        <stp/>
        <stp>1923422331M2:PCC</stp>
        <tr r="B1629" s="5"/>
      </tp>
      <tp t="s">
        <v>GCQ</v>
        <stp/>
        <stp>1923422331M3:PCC</stp>
        <tr r="B1630" s="5"/>
      </tp>
      <tp t="s">
        <v>GCQ</v>
        <stp/>
        <stp>1923422331M4:PCC</stp>
        <tr r="B1631" s="5"/>
      </tp>
      <tp t="s">
        <v>GCQ</v>
        <stp/>
        <stp>1923422331M5:PCC</stp>
        <tr r="B1632" s="5"/>
      </tp>
      <tp t="s">
        <v>GCQ</v>
        <stp/>
        <stp>1923422331M6:PCC</stp>
        <tr r="B1633" s="5"/>
      </tp>
      <tp t="s">
        <v>GCQ</v>
        <stp/>
        <stp>1923422331M7:PCC</stp>
        <tr r="B1634" s="5"/>
      </tp>
    </main>
    <main first="esrtd">
      <tp t="s">
        <v/>
        <stp/>
        <stp>WDF 9!-IEU</stp>
        <stp>Volume</stp>
        <tr r="N1786" s="5"/>
      </tp>
      <tp t="s">
        <v/>
        <stp/>
        <stp>WDF 8!-IEU</stp>
        <stp>Volume</stp>
        <tr r="N1785" s="5"/>
      </tp>
      <tp t="s">
        <v/>
        <stp/>
        <stp>WDF 1!-IEU</stp>
        <stp>Volume</stp>
        <tr r="N1778" s="5"/>
      </tp>
      <tp t="s">
        <v/>
        <stp/>
        <stp>WDF 3!-IEU</stp>
        <stp>Volume</stp>
        <tr r="N1780" s="5"/>
      </tp>
      <tp t="s">
        <v/>
        <stp/>
        <stp>WDF 2!-IEU</stp>
        <stp>Volume</stp>
        <tr r="N1779" s="5"/>
      </tp>
      <tp t="s">
        <v/>
        <stp/>
        <stp>WDF 5!-IEU</stp>
        <stp>Volume</stp>
        <tr r="N1782" s="5"/>
      </tp>
      <tp t="s">
        <v/>
        <stp/>
        <stp>WDF 4!-IEU</stp>
        <stp>Volume</stp>
        <tr r="N1781" s="5"/>
      </tp>
      <tp t="s">
        <v/>
        <stp/>
        <stp>WDF 7!-IEU</stp>
        <stp>Volume</stp>
        <tr r="N1784" s="5"/>
      </tp>
      <tp t="s">
        <v/>
        <stp/>
        <stp>WDF 6!-IEU</stp>
        <stp>Volume</stp>
        <tr r="N1783" s="5"/>
      </tp>
    </main>
    <main first="ice.rtd">
      <tp t="s">
        <v>GDX</v>
        <stp/>
        <stp>3124331018Y0:PCC</stp>
        <tr r="B1624" s="5"/>
      </tp>
      <tp t="s">
        <v>GCQ</v>
        <stp/>
        <stp>1923422331Y0:PCC</stp>
        <tr r="B1646" s="5"/>
      </tp>
      <tp>
        <v>4.7309999999999999</v>
        <stp/>
        <stp>17551596T7:Settle</stp>
        <tr r="U1544" s="5"/>
      </tp>
      <tp>
        <v>5.3810000000000002</v>
        <stp/>
        <stp>17551596T6:Settle</stp>
        <tr r="U1543" s="5"/>
      </tp>
      <tp>
        <v>6.0510000000000002</v>
        <stp/>
        <stp>17551596T5:Settle</stp>
        <tr r="U1542" s="5"/>
      </tp>
      <tp>
        <v>6.7510000000000003</v>
        <stp/>
        <stp>17551596T4:Settle</stp>
        <tr r="U1541" s="5"/>
      </tp>
      <tp>
        <v>4.5970000000000004</v>
        <stp/>
        <stp>17551596T3:Settle</stp>
        <tr r="U1540" s="5"/>
      </tp>
      <tp>
        <v>5.1970000000000001</v>
        <stp/>
        <stp>17551596T2:Settle</stp>
        <tr r="U1539" s="5"/>
      </tp>
      <tp>
        <v>5.4470000000000001</v>
        <stp/>
        <stp>17551596T1:Settle</stp>
        <tr r="U1538" s="5"/>
      </tp>
      <tp>
        <v>4.9670000000000005</v>
        <stp/>
        <stp>17551596T0:Settle</stp>
        <tr r="U1537" s="5"/>
      </tp>
      <tp>
        <v>6.306</v>
        <stp/>
        <stp>17551596T8:Settle</stp>
        <tr r="U1545" s="5"/>
        <tr r="U1546" s="5"/>
      </tp>
      <tp t="s">
        <v>GDX</v>
        <stp/>
        <stp>3124331018Q0:PCC</stp>
        <tr r="B1620" s="5"/>
      </tp>
      <tp t="s">
        <v>GDX</v>
        <stp/>
        <stp>3124331018Q1:PCC</stp>
        <tr r="B1621" s="5"/>
      </tp>
      <tp t="s">
        <v>GDX</v>
        <stp/>
        <stp>3124331018Q2:PCC</stp>
        <tr r="B1622" s="5"/>
      </tp>
      <tp t="s">
        <v>GDX</v>
        <stp/>
        <stp>3124331018Q3:PCC</stp>
        <tr r="B1623" s="5"/>
      </tp>
      <tp t="s">
        <v>GCQ</v>
        <stp/>
        <stp>1923422331Q0:PCC</stp>
        <tr r="B1642" s="5"/>
      </tp>
      <tp t="s">
        <v>GCQ</v>
        <stp/>
        <stp>1923422331Q1:PCC</stp>
        <tr r="B1643" s="5"/>
      </tp>
      <tp t="s">
        <v>GCQ</v>
        <stp/>
        <stp>1923422331Q2:PCC</stp>
        <tr r="B1644" s="5"/>
      </tp>
      <tp t="s">
        <v>GCQ</v>
        <stp/>
        <stp>1923422331Q3:PCC</stp>
        <tr r="B1645" s="5"/>
      </tp>
      <tp t="s">
        <v/>
        <stp/>
        <stp>DBI1227MM8:LstBlkVol</stp>
        <tr r="L1659" s="5"/>
      </tp>
    </main>
    <main first="bofaddin.rtdserver">
      <tp t="s">
        <v>#N/A N/A</v>
        <stp/>
        <stp>BDH|273586481156080548</stp>
        <tr r="BB57" s="1"/>
      </tp>
      <tp t="s">
        <v>#N/A N/A</v>
        <stp/>
        <stp>BDH|663992871760002062</stp>
        <tr r="I47" s="14"/>
      </tp>
      <tp t="s">
        <v>#N/A N/A</v>
        <stp/>
        <stp>BDH|963024746689302365</stp>
        <tr r="AX59" s="1"/>
      </tp>
    </main>
    <main first="ice.rtd">
      <tp t="s">
        <v>May27</v>
        <stp/>
        <stp>266419M8:Strip</stp>
        <tr r="E967" s="5"/>
      </tp>
      <tp t="s">
        <v>Q4 28</v>
        <stp/>
        <stp>266419Q8:Strip</stp>
        <tr r="E992" s="5"/>
      </tp>
    </main>
    <main first="ice.rtd">
      <tp t="s">
        <v>Jun27</v>
        <stp/>
        <stp>141587M9:Strip</stp>
        <tr r="E50" s="5"/>
      </tp>
    </main>
    <main first="bofaddin.rtdserver">
      <tp t="s">
        <v>#N/A N/A</v>
        <stp/>
        <stp>BDH|446661616441012868</stp>
        <tr r="AZ63" s="1"/>
      </tp>
      <tp t="s">
        <v>#N/A N/A</v>
        <stp/>
        <stp>BDH|374857319691583693</stp>
        <tr r="AZ52" s="1"/>
      </tp>
    </main>
    <main first="ice.rtd">
      <tp t="s">
        <v/>
        <stp/>
        <stp>15061297QQ1:LstDate</stp>
        <tr r="J1712" s="5"/>
      </tp>
      <tp t="s">
        <v/>
        <stp/>
        <stp>15061297QQ0:LstDate</stp>
        <tr r="J1711" s="5"/>
      </tp>
      <tp t="s">
        <v>Jun28</v>
        <stp/>
        <stp>15091310M21:Strip</stp>
        <tr r="E1398" s="5"/>
      </tp>
      <tp t="s">
        <v>Aug27</v>
        <stp/>
        <stp>15091310M11:Strip</stp>
        <tr r="E1388" s="5"/>
      </tp>
      <tp t="s">
        <v>Oct26/Dec26</v>
        <stp/>
        <stp>15061297MM9:Strip</stp>
        <tr r="E1692" s="5"/>
      </tp>
    </main>
    <main first="esrtd">
      <tp t="s">
        <v/>
        <stp/>
        <stp>Invalid Market: CALCM22 N28-IEU</stp>
        <stp>ICE Theoretical Price</stp>
        <tr r="W291" s="5"/>
        <tr r="W1361" s="5"/>
        <tr r="W1095" s="5"/>
        <tr r="W1209" s="5"/>
        <tr r="W405" s="5"/>
        <tr r="W867" s="5"/>
      </tp>
    </main>
    <main first="ice.rtd">
      <tp t="s">
        <v>Sep28</v>
        <stp/>
        <stp>46678127M24:Strip</stp>
        <tr r="E369" s="5"/>
      </tp>
      <tp t="s">
        <v>Nov27</v>
        <stp/>
        <stp>46678127M14:Strip</stp>
        <tr r="E359" s="5"/>
      </tp>
      <tp t="s">
        <v>Jun28</v>
        <stp/>
        <stp>30813691M21:Strip</stp>
        <tr r="E1974" s="5"/>
      </tp>
      <tp t="s">
        <v>Aug27</v>
        <stp/>
        <stp>30813691M11:Strip</stp>
        <tr r="E1964" s="5"/>
      </tp>
      <tp t="s">
        <v>Jul28</v>
        <stp/>
        <stp>16331513M22:Strip</stp>
        <tr r="E1437" s="5"/>
      </tp>
      <tp t="s">
        <v>Jul28</v>
        <stp/>
        <stp>16341514M22:Strip</stp>
        <tr r="E1475" s="5"/>
      </tp>
      <tp t="s">
        <v>Jul28</v>
        <stp/>
        <stp>16351515M22:Strip</stp>
        <tr r="E1513" s="5"/>
      </tp>
      <tp t="s">
        <v>Sep27</v>
        <stp/>
        <stp>16331513M12:Strip</stp>
        <tr r="E1427" s="5"/>
      </tp>
      <tp t="s">
        <v>Sep27</v>
        <stp/>
        <stp>16341514M12:Strip</stp>
        <tr r="E1465" s="5"/>
      </tp>
      <tp t="s">
        <v>Sep27</v>
        <stp/>
        <stp>16351515M12:Strip</stp>
        <tr r="E1503" s="5"/>
      </tp>
      <tp t="s">
        <v>Aug27</v>
        <stp/>
        <stp>35534143M11:Strip</stp>
        <tr r="E719" s="5"/>
      </tp>
      <tp t="s">
        <v>Aug27</v>
        <stp/>
        <stp>35544144M11:Strip</stp>
        <tr r="E643" s="5"/>
      </tp>
      <tp t="s">
        <v>Aug27</v>
        <stp/>
        <stp>35554145M11:Strip</stp>
        <tr r="E681" s="5"/>
      </tp>
      <tp t="s">
        <v>Jun28</v>
        <stp/>
        <stp>35534143M21:Strip</stp>
        <tr r="E729" s="5"/>
      </tp>
      <tp t="s">
        <v>Jun28</v>
        <stp/>
        <stp>35544144M21:Strip</stp>
        <tr r="E653" s="5"/>
      </tp>
      <tp t="s">
        <v>Jun28</v>
        <stp/>
        <stp>35554145M21:Strip</stp>
        <tr r="E691" s="5"/>
      </tp>
      <tp t="s">
        <v>May28</v>
        <stp/>
        <stp>18871685M20:Strip</stp>
        <tr r="E441" s="5"/>
      </tp>
      <tp t="s">
        <v>Jul27</v>
        <stp/>
        <stp>18871685M10:Strip</stp>
        <tr r="E431" s="5"/>
      </tp>
      <tp t="s">
        <v>Invalid Market: 57179020M23</v>
        <stp/>
        <stp>57179020M23:Strip</stp>
        <tr r="E1570" s="5"/>
      </tp>
      <tp t="s">
        <v>Oct27</v>
        <stp/>
        <stp>57179020M13:Strip</stp>
        <tr r="E1560" s="5"/>
      </tp>
      <tp t="s">
        <v>Jun28</v>
        <stp/>
        <stp>18901687M21:Strip</stp>
        <tr r="E328" s="5"/>
      </tp>
      <tp t="s">
        <v>Aug27</v>
        <stp/>
        <stp>18901687M11:Strip</stp>
        <tr r="E318" s="5"/>
      </tp>
      <tp t="s">
        <v>Feb28</v>
        <stp/>
        <stp>57409036M17:Strip</stp>
        <tr r="E248" s="5"/>
      </tp>
      <tp t="s">
        <v>Sep27</v>
        <stp/>
        <stp>29243602M12:Strip</stp>
        <tr r="E758" s="5"/>
      </tp>
      <tp t="s">
        <v>May28</v>
        <stp/>
        <stp>18851683M20:Strip</stp>
        <tr r="E213" s="5"/>
      </tp>
      <tp t="s">
        <v>Jul27</v>
        <stp/>
        <stp>18851683M10:Strip</stp>
        <tr r="E203" s="5"/>
      </tp>
      <tp t="s">
        <v/>
        <stp/>
        <stp>366531YY0:LstDate</stp>
        <tr r="J1745" s="5"/>
      </tp>
      <tp t="s">
        <v/>
        <stp/>
        <stp>34404098M10:LstPrc</stp>
        <tr r="I604" s="5"/>
      </tp>
      <tp t="s">
        <v/>
        <stp/>
        <stp>34414099M10:LstPrc</stp>
        <tr r="I89" s="5"/>
      </tp>
      <tp t="s">
        <v/>
        <stp/>
        <stp>34404098M11:LstPrc</stp>
        <tr r="I605" s="5"/>
      </tp>
      <tp t="s">
        <v/>
        <stp/>
        <stp>34414099M11:LstPrc</stp>
        <tr r="I90" s="5"/>
      </tp>
      <tp t="s">
        <v/>
        <stp/>
        <stp>34404098M12:LstPrc</stp>
        <tr r="I606" s="5"/>
      </tp>
      <tp t="s">
        <v/>
        <stp/>
        <stp>34414099M12:LstPrc</stp>
        <tr r="I91" s="5"/>
      </tp>
      <tp t="s">
        <v/>
        <stp/>
        <stp>34404098M13:LstPrc</stp>
        <tr r="I607" s="5"/>
      </tp>
      <tp t="s">
        <v/>
        <stp/>
        <stp>34414099M13:LstPrc</stp>
        <tr r="I92" s="5"/>
      </tp>
      <tp t="s">
        <v/>
        <stp/>
        <stp>34404098M14:LstPrc</stp>
        <tr r="I608" s="5"/>
      </tp>
      <tp t="s">
        <v/>
        <stp/>
        <stp>34414099M14:LstPrc</stp>
        <tr r="I93" s="5"/>
      </tp>
      <tp t="s">
        <v/>
        <stp/>
        <stp>34404098M15:LstPrc</stp>
        <tr r="I609" s="5"/>
      </tp>
      <tp t="s">
        <v/>
        <stp/>
        <stp>34414099M15:LstPrc</stp>
        <tr r="I94" s="5"/>
      </tp>
      <tp t="s">
        <v/>
        <stp/>
        <stp>34404098M16:LstPrc</stp>
        <tr r="I610" s="5"/>
      </tp>
      <tp t="s">
        <v/>
        <stp/>
        <stp>34414099M16:LstPrc</stp>
        <tr r="I95" s="5"/>
      </tp>
      <tp t="s">
        <v/>
        <stp/>
        <stp>34404098M17:LstPrc</stp>
        <tr r="I611" s="5"/>
      </tp>
      <tp t="s">
        <v/>
        <stp/>
        <stp>34414099M17:LstPrc</stp>
        <tr r="I96" s="5"/>
      </tp>
      <tp t="s">
        <v/>
        <stp/>
        <stp>34404098M18:LstPrc</stp>
        <tr r="I612" s="5"/>
      </tp>
      <tp t="s">
        <v/>
        <stp/>
        <stp>34414099M18:LstPrc</stp>
        <tr r="I97" s="5"/>
      </tp>
      <tp t="s">
        <v/>
        <stp/>
        <stp>34404098M19:LstPrc</stp>
        <tr r="I613" s="5"/>
      </tp>
      <tp t="s">
        <v/>
        <stp/>
        <stp>34414099M19:LstPrc</stp>
        <tr r="I98" s="5"/>
      </tp>
      <tp t="s">
        <v/>
        <stp/>
        <stp>34404098M20:LstPrc</stp>
        <tr r="I614" s="5"/>
      </tp>
      <tp t="s">
        <v/>
        <stp/>
        <stp>34414099M20:LstPrc</stp>
        <tr r="I99" s="5"/>
      </tp>
      <tp t="s">
        <v/>
        <stp/>
        <stp>34404098M21:LstPrc</stp>
        <tr r="I615" s="5"/>
      </tp>
      <tp t="s">
        <v/>
        <stp/>
        <stp>34414099M21:LstPrc</stp>
        <tr r="I100" s="5"/>
      </tp>
      <tp t="s">
        <v/>
        <stp/>
        <stp>34404098M22:LstPrc</stp>
        <tr r="I616" s="5"/>
      </tp>
      <tp t="s">
        <v/>
        <stp/>
        <stp>34414099M22:LstPrc</stp>
        <tr r="I101" s="5"/>
      </tp>
      <tp t="s">
        <v/>
        <stp/>
        <stp>34404098M23:LstPrc</stp>
        <tr r="I617" s="5"/>
      </tp>
      <tp t="s">
        <v/>
        <stp/>
        <stp>34414099M23:LstPrc</stp>
        <tr r="I102" s="5"/>
      </tp>
      <tp t="s">
        <v/>
        <stp/>
        <stp>34404098M24:LstPrc</stp>
        <tr r="I618" s="5"/>
      </tp>
      <tp t="s">
        <v/>
        <stp/>
        <stp>34414099M24:LstPrc</stp>
        <tr r="I103" s="5"/>
      </tp>
      <tp t="s">
        <v>Nov27</v>
        <stp/>
        <stp>2427026287M14:Strip</stp>
        <tr r="E1163" s="5"/>
      </tp>
      <tp t="s">
        <v>Sep28</v>
        <stp/>
        <stp>2427026287M24:Strip</stp>
        <tr r="E1173" s="5"/>
      </tp>
      <tp t="s">
        <v>Invalid Market: 2044823525M16</v>
        <stp/>
        <stp>2044823525M16:Strip</stp>
        <tr r="E1763" s="5"/>
      </tp>
    </main>
    <main first="esrtd">
      <tp t="s">
        <v/>
        <stp/>
        <stp>TDL 2!-IEU</stp>
        <stp>Block Volume</stp>
        <tr r="O1814" s="5"/>
      </tp>
      <tp t="s">
        <v/>
        <stp/>
        <stp>WDF 1!-IEU</stp>
        <stp>Block Volume</stp>
        <tr r="O1778" s="5"/>
      </tp>
      <tp t="s">
        <v/>
        <stp/>
        <stp>BRN 26VC15000-ICE</stp>
        <stp>OldSetIV</stp>
        <tr r="AO196" s="23"/>
      </tp>
      <tp t="s">
        <v/>
        <stp/>
        <stp>BRN 26QC15000-ICE</stp>
        <stp>OldSetIV</stp>
        <tr r="AO50" s="23"/>
      </tp>
      <tp t="s">
        <v/>
        <stp/>
        <stp>BRN 26VC14000-ICE</stp>
        <stp>OldSetIV</stp>
        <tr r="AO194" s="23"/>
      </tp>
      <tp t="s">
        <v/>
        <stp/>
        <stp>BRN 26UC14000-ICE</stp>
        <stp>OldSetIV</stp>
        <tr r="AO121" s="23"/>
      </tp>
      <tp t="s">
        <v/>
        <stp/>
        <stp>BRN 26VC14500-ICE</stp>
        <stp>OldSetIV</stp>
        <tr r="AO195" s="23"/>
      </tp>
      <tp t="s">
        <v/>
        <stp/>
        <stp>BRN 26QC17000-ICE</stp>
        <stp>OldSetIV</stp>
        <tr r="AO52" s="23"/>
      </tp>
      <tp t="s">
        <v/>
        <stp/>
        <stp>BRN 26VC16000-ICE</stp>
        <stp>OldSetIV</stp>
        <tr r="AO197" s="23"/>
      </tp>
      <tp t="s">
        <v/>
        <stp/>
        <stp>BRN 26UC16000-ICE</stp>
        <stp>OldSetIV</stp>
        <tr r="AO122" s="23"/>
      </tp>
      <tp t="s">
        <v/>
        <stp/>
        <stp>BRN 26QC16000-ICE</stp>
        <stp>OldSetIV</stp>
        <tr r="AO51" s="23"/>
      </tp>
      <tp t="s">
        <v/>
        <stp/>
        <stp>BRN 26UC11300-ICE</stp>
        <stp>OldSetIV</stp>
        <tr r="AO116" s="23"/>
      </tp>
      <tp t="s">
        <v/>
        <stp/>
        <stp>BRN 26VC11000-ICE</stp>
        <stp>OldSetIV</stp>
        <tr r="AO186" s="23"/>
      </tp>
      <tp t="s">
        <v/>
        <stp/>
        <stp>BRN 26UC11200-ICE</stp>
        <stp>OldSetIV</stp>
        <tr r="AO115" s="23"/>
      </tp>
      <tp t="s">
        <v/>
        <stp/>
        <stp>BRN 26UC11000-ICE</stp>
        <stp>OldSetIV</stp>
        <tr r="AO114" s="23"/>
      </tp>
      <tp t="s">
        <v/>
        <stp/>
        <stp>BRN 26VC11300-ICE</stp>
        <stp>OldSetIV</stp>
        <tr r="AO187" s="23"/>
      </tp>
      <tp t="s">
        <v/>
        <stp/>
        <stp>BRN 26VC11500-ICE</stp>
        <stp>OldSetIV</stp>
        <tr r="AO188" s="23"/>
      </tp>
      <tp t="s">
        <v/>
        <stp/>
        <stp>BRN 26UC11500-ICE</stp>
        <stp>OldSetIV</stp>
        <tr r="AO117" s="23"/>
      </tp>
      <tp t="s">
        <v/>
        <stp/>
        <stp>BRN 26UC10900-ICE</stp>
        <stp>OldSetIV</stp>
        <tr r="AO113" s="23"/>
      </tp>
      <tp t="s">
        <v/>
        <stp/>
        <stp>BRN 26UC10000-ICE</stp>
        <stp>OldSetIV</stp>
        <tr r="AO112" s="23"/>
      </tp>
      <tp t="s">
        <v/>
        <stp/>
        <stp>BRN 26VC10500-ICE</stp>
        <stp>OldSetIV</stp>
        <tr r="AO184" s="23"/>
      </tp>
      <tp t="s">
        <v/>
        <stp/>
        <stp>BRN 26VC13000-ICE</stp>
        <stp>OldSetIV</stp>
        <tr r="AO191" s="23"/>
      </tp>
      <tp t="s">
        <v/>
        <stp/>
        <stp>BRN 26VC13100-ICE</stp>
        <stp>OldSetIV</stp>
        <tr r="AO192" s="23"/>
      </tp>
      <tp t="s">
        <v/>
        <stp/>
        <stp>BRN 26UC13000-ICE</stp>
        <stp>OldSetIV</stp>
        <tr r="AO120" s="23"/>
      </tp>
      <tp t="s">
        <v/>
        <stp/>
        <stp>BRN 26VC13500-ICE</stp>
        <stp>OldSetIV</stp>
        <tr r="AO193" s="23"/>
      </tp>
      <tp t="s">
        <v/>
        <stp/>
        <stp>BRN 26QC13000-ICE</stp>
        <stp>OldSetIV</stp>
        <tr r="AO49" s="23"/>
      </tp>
      <tp t="s">
        <v/>
        <stp/>
        <stp>BRN 26VC12000-ICE</stp>
        <stp>OldSetIV</stp>
        <tr r="AO189" s="23"/>
      </tp>
      <tp t="s">
        <v/>
        <stp/>
        <stp>BRN 26UC12000-ICE</stp>
        <stp>OldSetIV</stp>
        <tr r="AO118" s="23"/>
      </tp>
      <tp t="s">
        <v/>
        <stp/>
        <stp>BRN 26VC12500-ICE</stp>
        <stp>OldSetIV</stp>
        <tr r="AO190" s="23"/>
      </tp>
      <tp t="s">
        <v/>
        <stp/>
        <stp>BRN 26UC12500-ICE</stp>
        <stp>OldSetIV</stp>
        <tr r="AO119" s="23"/>
      </tp>
      <tp t="s">
        <v/>
        <stp/>
        <stp>BRN 26VC18000-ICE</stp>
        <stp>OldSetIV</stp>
        <tr r="AO198" s="23"/>
      </tp>
      <tp t="s">
        <v/>
        <stp/>
        <stp>BRN 26UC18000-ICE</stp>
        <stp>OldSetIV</stp>
        <tr r="AO123" s="23"/>
      </tp>
      <tp t="s">
        <v/>
        <stp/>
        <stp>BRN 26QC18000-ICE</stp>
        <stp>OldSetIV</stp>
        <tr r="AO53" s="23"/>
      </tp>
      <tp t="s">
        <v/>
        <stp/>
        <stp>WHK 1!-IEU</stp>
        <stp>Block Volume</stp>
        <tr r="O1918" s="5"/>
      </tp>
      <tp t="s">
        <v/>
        <stp/>
        <stp>BRN 26VC30000-ICE</stp>
        <stp>OldSetIV</stp>
        <tr r="AO203" s="23"/>
        <tr r="AO207" s="23"/>
        <tr r="AO208" s="23"/>
        <tr r="AO201" s="23"/>
        <tr r="AO205" s="23"/>
        <tr r="AO204" s="23"/>
        <tr r="AO202" s="23"/>
        <tr r="AO206" s="23"/>
      </tp>
      <tp t="s">
        <v/>
        <stp/>
        <stp>BRN 26UC30000-ICE</stp>
        <stp>OldSetIV</stp>
        <tr r="AO131" s="23"/>
        <tr r="AO139" s="23"/>
        <tr r="AO126" s="23"/>
        <tr r="AO134" s="23"/>
        <tr r="AO137" s="23"/>
        <tr r="AO132" s="23"/>
        <tr r="AO140" s="23"/>
        <tr r="AO127" s="23"/>
        <tr r="AO135" s="23"/>
        <tr r="AO130" s="23"/>
        <tr r="AO138" s="23"/>
        <tr r="AO136" s="23"/>
        <tr r="AO129" s="23"/>
        <tr r="AO133" s="23"/>
        <tr r="AO128" s="23"/>
      </tp>
      <tp t="s">
        <v/>
        <stp/>
        <stp>BRN 26QC30000-ICE</stp>
        <stp>OldSetIV</stp>
        <tr r="AO58" s="23"/>
        <tr r="AO62" s="23"/>
        <tr r="AO69" s="23"/>
        <tr r="AO68" s="23"/>
        <tr r="AO71" s="23"/>
        <tr r="AO59" s="23"/>
        <tr r="AO61" s="23"/>
        <tr r="AO65" s="23"/>
        <tr r="AO60" s="23"/>
        <tr r="AO63" s="23"/>
        <tr r="AO66" s="23"/>
        <tr r="AO56" s="23"/>
        <tr r="AO70" s="23"/>
        <tr r="AO72" s="23"/>
        <tr r="AO57" s="23"/>
        <tr r="AO64" s="23"/>
        <tr r="AO67" s="23"/>
      </tp>
      <tp t="s">
        <v/>
        <stp/>
        <stp>BRN 26VC25000-ICE</stp>
        <stp>OldSetIV</stp>
        <tr r="AO200" s="23"/>
      </tp>
      <tp t="s">
        <v/>
        <stp/>
        <stp>BRN 26UC25000-ICE</stp>
        <stp>OldSetIV</stp>
        <tr r="AO125" s="23"/>
      </tp>
      <tp t="s">
        <v/>
        <stp/>
        <stp>BRN 26QC25000-ICE</stp>
        <stp>OldSetIV</stp>
        <tr r="AO55" s="23"/>
      </tp>
      <tp t="s">
        <v/>
        <stp/>
        <stp>BRN 26VC20000-ICE</stp>
        <stp>OldSetIV</stp>
        <tr r="AO199" s="23"/>
      </tp>
      <tp t="s">
        <v/>
        <stp/>
        <stp>BRN 26UC20000-ICE</stp>
        <stp>OldSetIV</stp>
        <tr r="AO124" s="23"/>
      </tp>
      <tp t="s">
        <v/>
        <stp/>
        <stp>BRN 26QC20000-ICE</stp>
        <stp>OldSetIV</stp>
        <tr r="AO54" s="23"/>
      </tp>
    </main>
    <main first="ice.rtd">
      <tp t="s">
        <v>Dec27</v>
        <stp/>
        <stp>2427126288M15:Strip</stp>
        <tr r="E1050" s="5"/>
      </tp>
      <tp t="s">
        <v>May28</v>
        <stp/>
        <stp>1986823075M20:Strip</stp>
        <tr r="E137" s="5"/>
      </tp>
      <tp t="s">
        <v>Jul27</v>
        <stp/>
        <stp>1986823075M10:Strip</stp>
        <tr r="E127" s="5"/>
      </tp>
    </main>
    <main first="esrtd">
      <tp t="s">
        <v/>
        <stp/>
        <stp>WMJ 1!-IEU</stp>
        <stp>Block Volume</stp>
        <tr r="O1883" s="5"/>
      </tp>
    </main>
    <main first="ice.rtd">
      <tp t="s">
        <v>Aug28</v>
        <stp/>
        <stp>2755828679M23:Strip</stp>
        <tr r="E1020" s="5"/>
      </tp>
      <tp t="s">
        <v>Oct27</v>
        <stp/>
        <stp>2755828679M13:Strip</stp>
        <tr r="E1010" s="5"/>
      </tp>
      <tp t="s">
        <v>Invalid Market: 2972825746BM0</v>
        <stp/>
        <stp>2972825746BM0:Strip</stp>
        <tr r="E1714" s="5"/>
      </tp>
      <tp t="s">
        <v>Jun28</v>
        <stp/>
        <stp>1986923076M21:Strip</stp>
        <tr r="E176" s="5"/>
      </tp>
      <tp t="s">
        <v>Aug27</v>
        <stp/>
        <stp>1986923076M11:Strip</stp>
        <tr r="E166" s="5"/>
      </tp>
    </main>
    <main first="esrtd">
      <tp t="s">
        <v/>
        <stp/>
        <stp>WNS 1!-IEU</stp>
        <stp>Block Volume</stp>
        <tr r="O1848" s="5"/>
      </tp>
    </main>
    <main first="bofaddin.rtdserver">
      <tp>
        <v>502.1</v>
        <stp/>
        <stp>BDP|6811587987092136201|222</stp>
        <stp>SCPU29 Comdty</stp>
        <stp>ASK</stp>
        <stp>Fill=#N/A</stp>
        <tr r="M55" s="1"/>
      </tp>
    </main>
    <main first="ice.rtd">
      <tp>
        <v>0</v>
        <stp/>
        <stp>41787896M18:BlkVol</stp>
        <tr r="O825" s="5"/>
      </tp>
      <tp>
        <v>0</v>
        <stp/>
        <stp>41787896M19:BlkVol</stp>
        <tr r="O826" s="5"/>
      </tp>
      <tp>
        <v>0</v>
        <stp/>
        <stp>41787896M14:BlkVol</stp>
        <tr r="O821" s="5"/>
      </tp>
      <tp>
        <v>0</v>
        <stp/>
        <stp>41787896M15:BlkVol</stp>
        <tr r="O822" s="5"/>
      </tp>
      <tp>
        <v>0</v>
        <stp/>
        <stp>41787896M16:BlkVol</stp>
        <tr r="O823" s="5"/>
      </tp>
      <tp>
        <v>0</v>
        <stp/>
        <stp>41787896M17:BlkVol</stp>
        <tr r="O824" s="5"/>
      </tp>
      <tp>
        <v>0</v>
        <stp/>
        <stp>41787896M10:BlkVol</stp>
        <tr r="O817" s="5"/>
      </tp>
      <tp>
        <v>0</v>
        <stp/>
        <stp>41787896M11:BlkVol</stp>
        <tr r="O818" s="5"/>
      </tp>
      <tp>
        <v>0</v>
        <stp/>
        <stp>41787896M12:BlkVol</stp>
        <tr r="O819" s="5"/>
      </tp>
      <tp>
        <v>0</v>
        <stp/>
        <stp>41787896M13:BlkVol</stp>
        <tr r="O820" s="5"/>
      </tp>
      <tp>
        <v>0</v>
        <stp/>
        <stp>41787896M24:BlkVol</stp>
        <tr r="O831" s="5"/>
      </tp>
      <tp>
        <v>0</v>
        <stp/>
        <stp>41787896M20:BlkVol</stp>
        <tr r="O827" s="5"/>
      </tp>
      <tp>
        <v>0</v>
        <stp/>
        <stp>41787896M21:BlkVol</stp>
        <tr r="O828" s="5"/>
      </tp>
      <tp>
        <v>0</v>
        <stp/>
        <stp>41787896M22:BlkVol</stp>
        <tr r="O829" s="5"/>
      </tp>
      <tp>
        <v>0</v>
        <stp/>
        <stp>41787896M23:BlkVol</stp>
        <tr r="O830" s="5"/>
      </tp>
    </main>
    <main first="bofaddin.rtdserver">
      <tp t="s">
        <v>#N/A Invalid Security</v>
        <stp/>
        <stp>BDP|7336041382765365148|222</stp>
        <stp>SCPF29 Comdty</stp>
        <stp>ASK</stp>
        <stp>Fill=#N/A</stp>
        <tr r="M47" s="1"/>
      </tp>
      <tp t="s">
        <v>#N/A Invalid Security</v>
        <stp/>
        <stp>BDP|5141424316392309946|222</stp>
        <stp>SCPV28 Comdty</stp>
        <stp>ASK</stp>
        <stp>Fill=#N/A</stp>
        <tr r="M44" s="1"/>
      </tp>
      <tp>
        <v>627.6</v>
        <stp/>
        <stp>BDP|3519105217281638983|222</stp>
        <stp>SCPZ26 Comdty</stp>
        <stp>ASK</stp>
        <stp>Fill=#N/A</stp>
        <tr r="M22" s="1"/>
      </tp>
      <tp>
        <v>600.79999999999995</v>
        <stp/>
        <stp>BDP|7684385607477021840|222</stp>
        <stp>SCPG27 Comdty</stp>
        <stp>ASK</stp>
        <stp>Fill=#N/A</stp>
        <tr r="M24" s="1"/>
      </tp>
      <tp>
        <v>76.61</v>
        <stp/>
        <stp>BDP|9067513966131791240|222</stp>
        <stp>CLJ7 Comdty</stp>
        <stp>BID</stp>
        <stp>Fill=#N/A</stp>
        <tr r="F26" s="1"/>
      </tp>
      <tp t="s">
        <v>#N/A Invalid Security</v>
        <stp/>
        <stp>BDP|8812160550299451959|222</stp>
        <stp>HOH0 Comdty</stp>
        <stp>BID</stp>
        <stp>Fill=#N/A</stp>
        <tr r="I61" s="1"/>
      </tp>
      <tp t="s">
        <v>#N/A Invalid Security</v>
        <stp/>
        <stp>BDP|7132954267743623598|222</stp>
        <stp>CLM9 Comdty</stp>
        <stp>BID</stp>
        <stp>Fill=#N/A</stp>
        <tr r="F52" s="1"/>
      </tp>
      <tp>
        <v>794.25</v>
        <stp/>
        <stp>BDP|3780012851759279036|222</stp>
        <stp>QSK9 Comdty</stp>
        <stp>BID</stp>
        <stp>Fill=#N/A</stp>
        <tr r="H51" s="1"/>
      </tp>
      <tp t="s">
        <v>#N/A Invalid Security</v>
        <stp/>
        <stp>BDP|7348157595048875938|222</stp>
        <stp>CLK0 Comdty</stp>
        <stp>BID</stp>
        <stp>Fill=#N/A</stp>
        <tr r="F63" s="1"/>
      </tp>
      <tp>
        <v>275.89</v>
        <stp/>
        <stp>BDP|4730303864773574596|222</stp>
        <stp>XBN7 Comdty</stp>
        <stp>ASK</stp>
        <stp>Fill=#N/A</stp>
        <tr r="J29" s="1"/>
      </tp>
    </main>
    <main first="ice.rtd">
      <tp>
        <v>0</v>
        <stp/>
        <stp>2182524598B0:Vol</stp>
        <tr r="N1376" s="5"/>
      </tp>
      <tp>
        <v>0</v>
        <stp/>
        <stp>2181524588B0:Vol</stp>
        <tr r="N1452" s="5"/>
      </tp>
      <tp>
        <v>0</v>
        <stp/>
        <stp>2185624628B0:Vol</stp>
        <tr r="N745" s="5"/>
      </tp>
    </main>
    <main first="bofaddin.rtdserver">
      <tp t="s">
        <v>#N/A Invalid Security</v>
        <stp/>
        <stp>BDP|4638173207284070566|222</stp>
        <stp>CLK0 Comdty</stp>
        <stp>ASK</stp>
        <stp>Fill=#N/A</stp>
        <tr r="F63" s="1"/>
      </tp>
      <tp t="s">
        <v>#N/A</v>
        <stp/>
        <stp>BDP|7069000574477260472|222</stp>
        <stp>XBN9 Comdty</stp>
        <stp>ASK</stp>
        <stp>Fill=#N/A</stp>
        <tr r="J53" s="1"/>
      </tp>
    </main>
    <main first="ice.rtd">
      <tp>
        <v>54.727000000000004</v>
        <stp/>
        <stp>2326525626B0:Settle</stp>
        <tr r="U420" s="5"/>
      </tp>
    </main>
    <main first="bofaddin.rtdserver">
      <tp t="s">
        <v>#N/A Invalid Security</v>
        <stp/>
        <stp>BDP|6274705862679772413|222</stp>
        <stp>COH9 Comdty</stp>
        <stp>ASK</stp>
        <stp>Fill=#N/A</stp>
        <tr r="G49" s="1"/>
      </tp>
      <tp>
        <v>75.03</v>
        <stp/>
        <stp>BDP|8789128055117687633|222</stp>
        <stp>COM8 Comdty</stp>
        <stp>BID</stp>
        <stp>Fill=#N/A</stp>
        <tr r="G40" s="1"/>
      </tp>
      <tp>
        <v>75.45</v>
        <stp/>
        <stp>BDP|1446698758118503911|222</stp>
        <stp>CLK7 Comdty</stp>
        <stp>BID</stp>
        <stp>Fill=#N/A</stp>
        <tr r="F27" s="1"/>
      </tp>
      <tp t="s">
        <v>#N/A Invalid Security</v>
        <stp/>
        <stp>BDP|5661951765229679780|222</stp>
        <stp>COJ9 Comdty</stp>
        <stp>ASK</stp>
        <stp>Fill=#N/A</stp>
        <tr r="G50" s="1"/>
      </tp>
      <tp t="s">
        <v>#N/A</v>
        <stp/>
        <stp>BDP|8281328615422921665|222</stp>
        <stp>QSK0 Comdty</stp>
        <stp>ASK</stp>
        <stp>Fill=#N/A</stp>
        <tr r="H63" s="1"/>
      </tp>
    </main>
    <main first="esrtd">
      <tp t="s">
        <v/>
        <stp/>
        <stp>WHK C2!-IEU</stp>
        <stp>Block Price</stp>
        <tr r="K1952" s="5"/>
      </tp>
      <tp t="s">
        <v/>
        <stp/>
        <stp>WMJ C2!-IEU</stp>
        <stp>Block Price</stp>
        <tr r="K1917" s="5"/>
      </tp>
      <tp t="s">
        <v/>
        <stp/>
        <stp>WNS C2!-IEU</stp>
        <stp>Block Price</stp>
        <tr r="K1882" s="5"/>
      </tp>
      <tp t="s">
        <v/>
        <stp/>
        <stp>WDF C2!-IEU</stp>
        <stp>Block Price</stp>
        <tr r="K1812" s="5"/>
      </tp>
    </main>
    <main first="ice.rtd">
      <tp t="s">
        <v>MHE</v>
        <stp/>
        <stp>2888029697B0:PCC</stp>
        <tr r="B996" s="5"/>
      </tp>
      <tp t="s">
        <v>TEN</v>
        <stp/>
        <stp>2755728678M9:PCC</stp>
        <tr r="B1120" s="5"/>
      </tp>
      <tp t="s">
        <v>TEN</v>
        <stp/>
        <stp>2755728678M8:PCC</stp>
        <tr r="B1119" s="5"/>
      </tp>
      <tp t="s">
        <v>TEN</v>
        <stp/>
        <stp>2755728678M3:PCC</stp>
        <tr r="B1114" s="5"/>
      </tp>
      <tp t="s">
        <v>TEN</v>
        <stp/>
        <stp>2755728678M2:PCC</stp>
        <tr r="B1113" s="5"/>
      </tp>
      <tp t="s">
        <v>TEN</v>
        <stp/>
        <stp>2755728678M1:PCC</stp>
        <tr r="B1112" s="5"/>
      </tp>
      <tp t="s">
        <v>TEN</v>
        <stp/>
        <stp>2755728678M0:PCC</stp>
        <tr r="B1111" s="5"/>
      </tp>
      <tp t="s">
        <v>TEN</v>
        <stp/>
        <stp>2755728678M7:PCC</stp>
        <tr r="B1118" s="5"/>
      </tp>
      <tp t="s">
        <v>TEN</v>
        <stp/>
        <stp>2755728678M6:PCC</stp>
        <tr r="B1117" s="5"/>
      </tp>
      <tp t="s">
        <v>TEN</v>
        <stp/>
        <stp>2755728678M5:PCC</stp>
        <tr r="B1116" s="5"/>
      </tp>
      <tp t="s">
        <v>TEN</v>
        <stp/>
        <stp>2755728678M4:PCC</stp>
        <tr r="B1115" s="5"/>
      </tp>
      <tp t="s">
        <v>GCN</v>
        <stp/>
        <stp>1961122916B0:PCC</stp>
        <tr r="B1626" s="5"/>
      </tp>
      <tp t="s">
        <v>BAQ</v>
        <stp/>
        <stp>1986923076M8:PCC</stp>
        <tr r="B163" s="5"/>
      </tp>
      <tp t="s">
        <v>BAQ</v>
        <stp/>
        <stp>1986923076M9:PCC</stp>
        <tr r="B164" s="5"/>
      </tp>
      <tp t="s">
        <v>BAQ</v>
        <stp/>
        <stp>1986923076M6:PCC</stp>
        <tr r="B161" s="5"/>
      </tp>
      <tp t="s">
        <v>BAQ</v>
        <stp/>
        <stp>1986923076M7:PCC</stp>
        <tr r="B162" s="5"/>
      </tp>
      <tp t="s">
        <v>BAQ</v>
        <stp/>
        <stp>1986923076M4:PCC</stp>
        <tr r="B159" s="5"/>
      </tp>
      <tp t="s">
        <v>BAQ</v>
        <stp/>
        <stp>1986923076M5:PCC</stp>
        <tr r="B160" s="5"/>
      </tp>
      <tp t="s">
        <v>BAQ</v>
        <stp/>
        <stp>1986923076M2:PCC</stp>
        <tr r="B157" s="5"/>
      </tp>
      <tp t="s">
        <v>BAQ</v>
        <stp/>
        <stp>1986923076M3:PCC</stp>
        <tr r="B158" s="5"/>
      </tp>
      <tp t="s">
        <v>BAQ</v>
        <stp/>
        <stp>1986923076M0:PCC</stp>
        <tr r="B155" s="5"/>
      </tp>
      <tp t="s">
        <v>BAQ</v>
        <stp/>
        <stp>1986923076M1:PCC</stp>
        <tr r="B156" s="5"/>
      </tp>
      <tp t="s">
        <v>BAQ</v>
        <stp/>
        <stp>1986923076Q8:PCC</stp>
        <tr r="B188" s="5"/>
      </tp>
      <tp t="s">
        <v>BAQ</v>
        <stp/>
        <stp>1986923076Q6:PCC</stp>
        <tr r="B186" s="5"/>
      </tp>
      <tp t="s">
        <v>BAQ</v>
        <stp/>
        <stp>1986923076Q7:PCC</stp>
        <tr r="B187" s="5"/>
      </tp>
      <tp t="s">
        <v>BAQ</v>
        <stp/>
        <stp>1986923076Q4:PCC</stp>
        <tr r="B184" s="5"/>
      </tp>
      <tp t="s">
        <v>BAQ</v>
        <stp/>
        <stp>1986923076Q5:PCC</stp>
        <tr r="B185" s="5"/>
      </tp>
      <tp t="s">
        <v>BAQ</v>
        <stp/>
        <stp>1986923076Q2:PCC</stp>
        <tr r="B182" s="5"/>
      </tp>
      <tp t="s">
        <v>BAQ</v>
        <stp/>
        <stp>1986923076Q3:PCC</stp>
        <tr r="B183" s="5"/>
      </tp>
      <tp t="s">
        <v>BAQ</v>
        <stp/>
        <stp>1986923076Q0:PCC</stp>
        <tr r="B180" s="5"/>
      </tp>
      <tp t="s">
        <v>BAQ</v>
        <stp/>
        <stp>1986923076Q1:PCC</stp>
        <tr r="B181" s="5"/>
      </tp>
      <tp t="s">
        <v>TEN</v>
        <stp/>
        <stp>2755728678Q8:PCC</stp>
        <tr r="B1144" s="5"/>
      </tp>
      <tp t="s">
        <v>TEN</v>
        <stp/>
        <stp>2755728678Q3:PCC</stp>
        <tr r="B1139" s="5"/>
      </tp>
      <tp t="s">
        <v>TEN</v>
        <stp/>
        <stp>2755728678Q2:PCC</stp>
        <tr r="B1138" s="5"/>
      </tp>
      <tp t="s">
        <v>TEN</v>
        <stp/>
        <stp>2755728678Q1:PCC</stp>
        <tr r="B1137" s="5"/>
      </tp>
      <tp t="s">
        <v>TEN</v>
        <stp/>
        <stp>2755728678Q0:PCC</stp>
        <tr r="B1136" s="5"/>
      </tp>
      <tp t="s">
        <v>TEN</v>
        <stp/>
        <stp>2755728678Q7:PCC</stp>
        <tr r="B1143" s="5"/>
      </tp>
      <tp t="s">
        <v>TEN</v>
        <stp/>
        <stp>2755728678Q6:PCC</stp>
        <tr r="B1142" s="5"/>
      </tp>
      <tp t="s">
        <v>TEN</v>
        <stp/>
        <stp>2755728678Q5:PCC</stp>
        <tr r="B1141" s="5"/>
      </tp>
      <tp t="s">
        <v>TEN</v>
        <stp/>
        <stp>2755728678Q4:PCC</stp>
        <tr r="B1140" s="5"/>
      </tp>
      <tp t="s">
        <v>BAQ</v>
        <stp/>
        <stp>1986923076Y2:PCC</stp>
        <tr r="B191" s="5"/>
      </tp>
      <tp t="s">
        <v>BAQ</v>
        <stp/>
        <stp>1986923076Y0:PCC</stp>
        <tr r="B189" s="5"/>
      </tp>
      <tp t="s">
        <v>BAQ</v>
        <stp/>
        <stp>1986923076Y1:PCC</stp>
        <tr r="B190" s="5"/>
      </tp>
      <tp t="s">
        <v>TEN</v>
        <stp/>
        <stp>2755728678Y2:PCC</stp>
        <tr r="B1147" s="5"/>
      </tp>
      <tp t="s">
        <v>TEN</v>
        <stp/>
        <stp>2755728678Y1:PCC</stp>
        <tr r="B1146" s="5"/>
      </tp>
      <tp t="s">
        <v>TEN</v>
        <stp/>
        <stp>2755728678Y0:PCC</stp>
        <tr r="B1145" s="5"/>
      </tp>
    </main>
    <main first="bofaddin.rtdserver">
      <tp t="s">
        <v>#N/A N/A</v>
        <stp/>
        <stp>BDH|428261436220547802</stp>
        <tr r="K80" s="16"/>
      </tp>
    </main>
    <main first="ice.rtd">
      <tp t="s">
        <v>Jan28</v>
        <stp/>
        <stp>15091310M16:Strip</stp>
        <tr r="E1393" s="5"/>
      </tp>
      <tp t="s">
        <v>Apr28</v>
        <stp/>
        <stp>30793693M19:Strip</stp>
        <tr r="E902" s="5"/>
      </tp>
      <tp>
        <v>0.4</v>
        <stp/>
        <stp>1517M18:Settle</stp>
        <tr r="U21" s="5"/>
      </tp>
      <tp>
        <v>0.38</v>
        <stp/>
        <stp>1517M19:Settle</stp>
        <tr r="U22" s="5"/>
      </tp>
      <tp>
        <v>0.46</v>
        <stp/>
        <stp>1517M14:Settle</stp>
        <tr r="U17" s="5"/>
      </tp>
      <tp>
        <v>0.44</v>
        <stp/>
        <stp>1517M15:Settle</stp>
        <tr r="U18" s="5"/>
      </tp>
      <tp>
        <v>0.4</v>
        <stp/>
        <stp>1517M16:Settle</stp>
        <tr r="U19" s="5"/>
      </tp>
      <tp>
        <v>0.4</v>
        <stp/>
        <stp>1517M17:Settle</stp>
        <tr r="U20" s="5"/>
      </tp>
      <tp>
        <v>0.68</v>
        <stp/>
        <stp>1517M10:Settle</stp>
        <tr r="U13" s="5"/>
      </tp>
      <tp>
        <v>0.62</v>
        <stp/>
        <stp>1517M11:Settle</stp>
        <tr r="U14" s="5"/>
      </tp>
      <tp>
        <v>0.56000000000000005</v>
        <stp/>
        <stp>1517M12:Settle</stp>
        <tr r="U15" s="5"/>
      </tp>
      <tp>
        <v>0.48</v>
        <stp/>
        <stp>1517M13:Settle</stp>
        <tr r="U16" s="5"/>
      </tp>
      <tp>
        <v>0.37</v>
        <stp/>
        <stp>1517M24:Settle</stp>
        <tr r="U27" s="5"/>
      </tp>
      <tp>
        <v>0.38</v>
        <stp/>
        <stp>1517M20:Settle</stp>
        <tr r="U23" s="5"/>
      </tp>
      <tp>
        <v>0.38</v>
        <stp/>
        <stp>1517M21:Settle</stp>
        <tr r="U24" s="5"/>
      </tp>
      <tp>
        <v>0.37</v>
        <stp/>
        <stp>1517M22:Settle</stp>
        <tr r="U25" s="5"/>
      </tp>
      <tp>
        <v>0.37</v>
        <stp/>
        <stp>1517M23:Settle</stp>
        <tr r="U26" s="5"/>
      </tp>
      <tp>
        <v>7.64</v>
        <stp/>
        <stp>DBI1227MM9:BstHitPrc</stp>
        <tr r="G1660" s="5"/>
      </tp>
      <tp t="s">
        <v>Apr28</v>
        <stp/>
        <stp>41787896M19:Strip</stp>
        <tr r="E826" s="5"/>
      </tp>
      <tp t="s">
        <v>Mar28</v>
        <stp/>
        <stp>32623993M18:Strip</stp>
        <tr r="E2008" s="5"/>
      </tp>
      <tp t="s">
        <v>Aug28</v>
        <stp/>
        <stp>46678127M23:Strip</stp>
        <tr r="E368" s="5"/>
      </tp>
      <tp t="s">
        <v>Oct27</v>
        <stp/>
        <stp>46678127M13:Strip</stp>
        <tr r="E358" s="5"/>
      </tp>
      <tp t="s">
        <v>Jan28</v>
        <stp/>
        <stp>30813691M16:Strip</stp>
        <tr r="E1969" s="5"/>
      </tp>
      <tp t="s">
        <v>Dec27</v>
        <stp/>
        <stp>16331513M15:Strip</stp>
        <tr r="E1430" s="5"/>
      </tp>
      <tp t="s">
        <v>Dec27</v>
        <stp/>
        <stp>16341514M15:Strip</stp>
        <tr r="E1468" s="5"/>
      </tp>
      <tp t="s">
        <v>Dec27</v>
        <stp/>
        <stp>16351515M15:Strip</stp>
        <tr r="E1506" s="5"/>
      </tp>
      <tp t="s">
        <v>Jan28</v>
        <stp/>
        <stp>35534143M16:Strip</stp>
        <tr r="E724" s="5"/>
      </tp>
      <tp t="s">
        <v>Jan28</v>
        <stp/>
        <stp>35544144M16:Strip</stp>
        <tr r="E648" s="5"/>
      </tp>
      <tp t="s">
        <v>Jan28</v>
        <stp/>
        <stp>35554145M16:Strip</stp>
        <tr r="E686" s="5"/>
      </tp>
      <tp t="s">
        <v>Mar28</v>
        <stp/>
        <stp>32613992M18:Strip</stp>
        <tr r="E1243" s="5"/>
      </tp>
      <tp t="s">
        <v>Feb28</v>
        <stp/>
        <stp>18871685M17:Strip</stp>
        <tr r="E438" s="5"/>
      </tp>
      <tp t="s">
        <v>Apr28</v>
        <stp/>
        <stp>41767893M19:Strip</stp>
        <tr r="E499" s="5"/>
      </tp>
      <tp>
        <v>7.74</v>
        <stp/>
        <stp>DBI1227MM9:LstBlkPrc</stp>
        <tr r="K1660" s="5"/>
      </tp>
      <tp t="s">
        <v>Invalid Market: 57179020M24</v>
        <stp/>
        <stp>57179020M24:Strip</stp>
        <tr r="E1571" s="5"/>
      </tp>
      <tp t="s">
        <v>Nov27</v>
        <stp/>
        <stp>57179020M14:Strip</stp>
        <tr r="E1561" s="5"/>
      </tp>
      <tp t="s">
        <v>Jan28</v>
        <stp/>
        <stp>18901687M16:Strip</stp>
        <tr r="E323" s="5"/>
      </tp>
      <tp t="s">
        <v>May28</v>
        <stp/>
        <stp>57409036M20:Strip</stp>
        <tr r="E251" s="5"/>
      </tp>
      <tp t="s">
        <v>Jul27</v>
        <stp/>
        <stp>57409036M10:Strip</stp>
        <tr r="E241" s="5"/>
      </tp>
      <tp t="s">
        <v>Dec27</v>
        <stp/>
        <stp>29243602M15:Strip</stp>
        <tr r="E761" s="5"/>
      </tp>
      <tp t="s">
        <v>Feb28</v>
        <stp/>
        <stp>18851683M17:Strip</stp>
        <tr r="E210" s="5"/>
      </tp>
      <tp>
        <v>18.838000000000008</v>
        <stp/>
        <stp>161913535YY0:Settle</stp>
        <tr r="U2057" s="5"/>
      </tp>
      <tp t="s">
        <v>Oct27</v>
        <stp/>
        <stp>2427026287M13:Strip</stp>
        <tr r="E1162" s="5"/>
      </tp>
      <tp t="s">
        <v>Aug28</v>
        <stp/>
        <stp>2427026287M23:Strip</stp>
        <tr r="E1172" s="5"/>
      </tp>
    </main>
    <main first="esrtd">
      <tp t="s">
        <v/>
        <stp/>
        <stp>WHK 8!-IEU</stp>
        <stp>ICE Theoretical Price</stp>
        <tr r="W1925" s="5"/>
      </tp>
      <tp t="s">
        <v/>
        <stp/>
        <stp>WHK 9!-IEU</stp>
        <stp>ICE Theoretical Price</stp>
        <tr r="W1926" s="5"/>
      </tp>
      <tp t="s">
        <v/>
        <stp/>
        <stp>WHK 6!-IEU</stp>
        <stp>ICE Theoretical Price</stp>
        <tr r="W1923" s="5"/>
      </tp>
      <tp t="s">
        <v/>
        <stp/>
        <stp>WHK 7!-IEU</stp>
        <stp>ICE Theoretical Price</stp>
        <tr r="W1924" s="5"/>
      </tp>
      <tp t="s">
        <v/>
        <stp/>
        <stp>WHK 4!-IEU</stp>
        <stp>ICE Theoretical Price</stp>
        <tr r="W1921" s="5"/>
      </tp>
      <tp t="s">
        <v/>
        <stp/>
        <stp>WHK 5!-IEU</stp>
        <stp>ICE Theoretical Price</stp>
        <tr r="W1922" s="5"/>
      </tp>
      <tp t="s">
        <v/>
        <stp/>
        <stp>WHK 2!-IEU</stp>
        <stp>ICE Theoretical Price</stp>
        <tr r="W1919" s="5"/>
      </tp>
      <tp t="s">
        <v/>
        <stp/>
        <stp>WHK 3!-IEU</stp>
        <stp>ICE Theoretical Price</stp>
        <tr r="W1920" s="5"/>
      </tp>
      <tp t="s">
        <v/>
        <stp/>
        <stp>WHK 1!-IEU</stp>
        <stp>ICE Theoretical Price</stp>
        <tr r="W1918" s="5"/>
      </tp>
    </main>
    <main first="ice.rtd">
      <tp t="s">
        <v>Sep27</v>
        <stp/>
        <stp>2044823525M11:Strip</stp>
        <tr r="E1758" s="5"/>
      </tp>
      <tp t="s">
        <v>Invalid Market: 2044823525M21</v>
        <stp/>
        <stp>2044823525M21:Strip</stp>
        <tr r="E1768" s="5"/>
      </tp>
    </main>
    <main first="esrtd">
      <tp t="s">
        <v/>
        <stp/>
        <stp>TDL 5!-IEU</stp>
        <stp>Block Volume</stp>
        <tr r="O1817" s="5"/>
      </tp>
      <tp t="s">
        <v/>
        <stp/>
        <stp>WDF 6!-IEU</stp>
        <stp>Block Volume</stp>
        <tr r="O1783" s="5"/>
      </tp>
    </main>
    <main first="bofaddin.rtdserver">
      <tp>
        <v>6.7060620000000002</v>
        <stp/>
        <stp>BFXFORWARD|15153768020067471017|222</stp>
        <stp>USDCNY</stp>
        <stp>4M</stp>
        <stp>MidOutright</stp>
        <tr r="BD24" s="1"/>
      </tp>
    </main>
    <main first="esrtd">
      <tp t="s">
        <v/>
        <stp/>
        <stp>WHK 6!-IEU</stp>
        <stp>Block Volume</stp>
        <tr r="O1923" s="5"/>
      </tp>
    </main>
    <main first="ice.rtd">
      <tp t="s">
        <v>Jul27</v>
        <stp/>
        <stp>1840020882M10:Strip</stp>
        <tr r="E1592" s="5"/>
      </tp>
      <tp>
        <v>14.689999999999998</v>
        <stp/>
        <stp>161913535QQ0:Settle</stp>
        <tr r="U2055" s="5"/>
      </tp>
      <tp>
        <v>10.246999999999986</v>
        <stp/>
        <stp>161913535QQ1:Settle</stp>
        <tr r="U2056" s="5"/>
      </tp>
      <tp t="s">
        <v>Sep27</v>
        <stp/>
        <stp>2427126288M12:Strip</stp>
        <tr r="E1047" s="5"/>
      </tp>
      <tp t="s">
        <v>Jul28</v>
        <stp/>
        <stp>2427126288M22:Strip</stp>
        <tr r="E1057" s="5"/>
      </tp>
      <tp t="s">
        <v>Feb28</v>
        <stp/>
        <stp>1986823075M17:Strip</stp>
        <tr r="E134" s="5"/>
      </tp>
      <tp t="s">
        <v/>
        <stp/>
        <stp>366531MM3:LstPrc</stp>
        <tr r="I1718" s="5"/>
      </tp>
      <tp t="s">
        <v/>
        <stp/>
        <stp>366531MM2:LstPrc</stp>
        <tr r="I1717" s="5"/>
      </tp>
      <tp t="s">
        <v/>
        <stp/>
        <stp>366531MM1:LstPrc</stp>
        <tr r="I1716" s="5"/>
      </tp>
      <tp t="s">
        <v/>
        <stp/>
        <stp>366531MM0:LstPrc</stp>
        <tr r="I1715" s="5"/>
      </tp>
      <tp t="s">
        <v/>
        <stp/>
        <stp>366531MM7:LstPrc</stp>
        <tr r="I1722" s="5"/>
      </tp>
      <tp t="s">
        <v/>
        <stp/>
        <stp>366531MM6:LstPrc</stp>
        <tr r="I1721" s="5"/>
      </tp>
      <tp t="s">
        <v/>
        <stp/>
        <stp>366531MM5:LstPrc</stp>
        <tr r="I1720" s="5"/>
      </tp>
      <tp t="s">
        <v/>
        <stp/>
        <stp>366531MM4:LstPrc</stp>
        <tr r="I1719" s="5"/>
      </tp>
      <tp t="s">
        <v/>
        <stp/>
        <stp>366531MM9:LstPrc</stp>
        <tr r="I1724" s="5"/>
      </tp>
      <tp t="s">
        <v/>
        <stp/>
        <stp>366531MM8:LstPrc</stp>
        <tr r="I1723" s="5"/>
      </tp>
    </main>
    <main first="esrtd">
      <tp t="s">
        <v/>
        <stp/>
        <stp>WMJ 6!-IEU</stp>
        <stp>Block Volume</stp>
        <tr r="O1888" s="5"/>
      </tp>
    </main>
    <main first="ice.rtd">
      <tp t="s">
        <v>Sep28</v>
        <stp/>
        <stp>2755828679M24:Strip</stp>
        <tr r="E1021" s="5"/>
      </tp>
      <tp t="s">
        <v>Nov27</v>
        <stp/>
        <stp>2755828679M14:Strip</stp>
        <tr r="E1011" s="5"/>
      </tp>
      <tp t="s">
        <v>Jan28</v>
        <stp/>
        <stp>1986923076M16:Strip</stp>
        <tr r="E171" s="5"/>
      </tp>
    </main>
    <main first="esrtd">
      <tp t="s">
        <v/>
        <stp/>
        <stp>WNS 6!-IEU</stp>
        <stp>Block Volume</stp>
        <tr r="O1853" s="5"/>
      </tp>
    </main>
    <main first="ice.rtd">
      <tp t="s">
        <v/>
        <stp/>
        <stp>366531QQ1:LstPrc</stp>
        <tr r="I1744" s="5"/>
      </tp>
      <tp t="s">
        <v/>
        <stp/>
        <stp>366531QQ0:LstPrc</stp>
        <tr r="I1743" s="5"/>
      </tp>
    </main>
    <main first="bofaddin.rtdserver">
      <tp t="s">
        <v>#N/A Invalid Security</v>
        <stp/>
        <stp>BDP|7371332479720196145|222</stp>
        <stp>SCPQ30 Comdty</stp>
        <stp>BID</stp>
        <stp>Fill=#N/A</stp>
        <tr r="M66" s="1"/>
      </tp>
      <tp t="s">
        <v>#N/A Invalid Security</v>
        <stp/>
        <stp>BDP|7781495483360658675|222</stp>
        <stp>SCPK30 Comdty</stp>
        <stp>ASK</stp>
        <stp>Fill=#N/A</stp>
        <tr r="M63" s="1"/>
      </tp>
    </main>
    <main first="ice.rtd">
      <tp>
        <v>33.338999999999999</v>
        <stp/>
        <stp>161913535MM6:Settle</stp>
        <tr r="U2033" s="5"/>
      </tp>
      <tp>
        <v>38.578999999999994</v>
        <stp/>
        <stp>161913535MM7:Settle</stp>
        <tr r="U2034" s="5"/>
      </tp>
      <tp>
        <v>25.788999999999987</v>
        <stp/>
        <stp>161913535MM4:Settle</stp>
        <tr r="U2031" s="5"/>
      </tp>
      <tp>
        <v>29.788999999999987</v>
        <stp/>
        <stp>161913535MM5:Settle</stp>
        <tr r="U2032" s="5"/>
      </tp>
      <tp>
        <v>17.188999999999993</v>
        <stp/>
        <stp>161913535MM2:Settle</stp>
        <tr r="U2029" s="5"/>
      </tp>
      <tp>
        <v>21.888999999999982</v>
        <stp/>
        <stp>161913535MM3:Settle</stp>
        <tr r="U2030" s="5"/>
      </tp>
      <tp>
        <v>5.0689999999999884</v>
        <stp/>
        <stp>161913535MM0:Settle</stp>
        <tr r="U2027" s="5"/>
      </tp>
      <tp>
        <v>11.138999999999982</v>
        <stp/>
        <stp>161913535MM1:Settle</stp>
        <tr r="U2028" s="5"/>
      </tp>
      <tp>
        <v>42.228999999999999</v>
        <stp/>
        <stp>161913535MM8:Settle</stp>
        <tr r="U2035" s="5"/>
      </tp>
      <tp>
        <v>43.978999999999999</v>
        <stp/>
        <stp>161913535MM9:Settle</stp>
        <tr r="U2036" s="5"/>
      </tp>
      <tp>
        <v>0</v>
        <stp/>
        <stp>15091310M23:BlkVol</stp>
        <tr r="O1400" s="5"/>
      </tp>
      <tp>
        <v>0</v>
        <stp/>
        <stp>15091310M22:BlkVol</stp>
        <tr r="O1399" s="5"/>
      </tp>
      <tp>
        <v>0</v>
        <stp/>
        <stp>15091310M21:BlkVol</stp>
        <tr r="O1398" s="5"/>
      </tp>
      <tp>
        <v>0</v>
        <stp/>
        <stp>15091310M20:BlkVol</stp>
        <tr r="O1397" s="5"/>
      </tp>
      <tp>
        <v>0</v>
        <stp/>
        <stp>15091310M24:BlkVol</stp>
        <tr r="O1401" s="5"/>
      </tp>
      <tp>
        <v>0</v>
        <stp/>
        <stp>15091310M13:BlkVol</stp>
        <tr r="O1390" s="5"/>
      </tp>
      <tp>
        <v>0</v>
        <stp/>
        <stp>15091310M12:BlkVol</stp>
        <tr r="O1389" s="5"/>
      </tp>
      <tp>
        <v>0</v>
        <stp/>
        <stp>15091310M11:BlkVol</stp>
        <tr r="O1388" s="5"/>
      </tp>
      <tp>
        <v>0</v>
        <stp/>
        <stp>15091310M10:BlkVol</stp>
        <tr r="O1387" s="5"/>
      </tp>
      <tp>
        <v>0</v>
        <stp/>
        <stp>15091310M17:BlkVol</stp>
        <tr r="O1394" s="5"/>
      </tp>
      <tp>
        <v>0</v>
        <stp/>
        <stp>15091310M16:BlkVol</stp>
        <tr r="O1393" s="5"/>
      </tp>
      <tp>
        <v>0</v>
        <stp/>
        <stp>15091310M15:BlkVol</stp>
        <tr r="O1392" s="5"/>
      </tp>
      <tp>
        <v>0</v>
        <stp/>
        <stp>15091310M14:BlkVol</stp>
        <tr r="O1391" s="5"/>
      </tp>
      <tp>
        <v>0</v>
        <stp/>
        <stp>15091310M19:BlkVol</stp>
        <tr r="O1396" s="5"/>
      </tp>
      <tp>
        <v>0</v>
        <stp/>
        <stp>15091310M18:BlkVol</stp>
        <tr r="O1395" s="5"/>
      </tp>
      <tp t="s">
        <v/>
        <stp/>
        <stp>366531YY0:LstPrc</stp>
        <tr r="I1745" s="5"/>
      </tp>
    </main>
    <main first="bofaddin.rtdserver">
      <tp t="s">
        <v>#N/A Invalid Security</v>
        <stp/>
        <stp>BDP|3529651311223806447|222</stp>
        <stp>SCPF29 Comdty</stp>
        <stp>BID</stp>
        <stp>Fill=#N/A</stp>
        <tr r="M47" s="1"/>
      </tp>
    </main>
    <main first="ice.rtd">
      <tp t="s">
        <v>Invalid Market: 297449133BM0</v>
        <stp/>
        <stp>297449133BM0:Settle</stp>
        <tr r="U2026" s="5"/>
      </tp>
    </main>
    <main first="bofaddin.rtdserver">
      <tp t="s">
        <v>#N/A Invalid Security</v>
        <stp/>
        <stp>BDP|5362953599805139367|222</stp>
        <stp>SCPF28 Comdty</stp>
        <stp>BID</stp>
        <stp>Fill=#N/A</stp>
        <tr r="M35" s="1"/>
      </tp>
      <tp t="s">
        <v>#N/A</v>
        <stp/>
        <stp>BDP|4657914054563060685|222</stp>
        <stp>HON9 Comdty</stp>
        <stp>ASK</stp>
        <stp>Fill=#N/A</stp>
        <tr r="I53" s="1"/>
      </tp>
      <tp>
        <v>74.58</v>
        <stp/>
        <stp>BDP|5145120835141090848|222</stp>
        <stp>CLM7 Comdty</stp>
        <stp>ASK</stp>
        <stp>Fill=#N/A</stp>
        <tr r="F28" s="1"/>
      </tp>
      <tp t="s">
        <v>#N/A Invalid Security</v>
        <stp/>
        <stp>BDP|4110645524005258080|222</stp>
        <stp>CLG0 Comdty</stp>
        <stp>BID</stp>
        <stp>Fill=#N/A</stp>
        <tr r="F60" s="1"/>
      </tp>
      <tp t="s">
        <v>#N/A Invalid Security</v>
        <stp/>
        <stp>BDP|9288363228492450527|222</stp>
        <stp>COK0 Comdty</stp>
        <stp>BID</stp>
        <stp>Fill=#N/A</stp>
        <tr r="G63" s="1"/>
      </tp>
    </main>
    <main first="ice.rtd">
      <tp>
        <v>0</v>
        <stp/>
        <stp>3124331018M3:Vol</stp>
        <tr r="N1608" s="5"/>
      </tp>
      <tp>
        <v>0</v>
        <stp/>
        <stp>3124331018M2:Vol</stp>
        <tr r="N1607" s="5"/>
      </tp>
      <tp>
        <v>0</v>
        <stp/>
        <stp>3124331018M1:Vol</stp>
        <tr r="N1606" s="5"/>
      </tp>
      <tp>
        <v>0</v>
        <stp/>
        <stp>3124331018M0:Vol</stp>
        <tr r="N1605" s="5"/>
      </tp>
      <tp>
        <v>0</v>
        <stp/>
        <stp>3124331018M7:Vol</stp>
        <tr r="N1612" s="5"/>
      </tp>
      <tp>
        <v>0</v>
        <stp/>
        <stp>3124331018M6:Vol</stp>
        <tr r="N1611" s="5"/>
      </tp>
      <tp>
        <v>0</v>
        <stp/>
        <stp>3124331018M5:Vol</stp>
        <tr r="N1610" s="5"/>
      </tp>
      <tp>
        <v>0</v>
        <stp/>
        <stp>3124331018M4:Vol</stp>
        <tr r="N1609" s="5"/>
      </tp>
      <tp>
        <v>0</v>
        <stp/>
        <stp>3124331018M9:Vol</stp>
        <tr r="N1614" s="5"/>
      </tp>
      <tp>
        <v>0</v>
        <stp/>
        <stp>3124331018M8:Vol</stp>
        <tr r="N1613" s="5"/>
      </tp>
      <tp>
        <v>-4.2640000000000002</v>
        <stp/>
        <stp>2324625607B0:Settle</stp>
        <tr r="U192" s="5"/>
      </tp>
    </main>
    <main first="bofaddin.rtdserver">
      <tp>
        <v>269.16000000000003</v>
        <stp/>
        <stp>BDP|6442330075122655681|222</stp>
        <stp>XBG7 Comdty</stp>
        <stp>BID</stp>
        <stp>Fill=#N/A</stp>
        <tr r="J24" s="1"/>
      </tp>
    </main>
    <main first="ice.rtd">
      <tp>
        <v>89.2423</v>
        <stp/>
        <stp>2326425625B0:Settle</stp>
        <tr r="U1262" s="5"/>
      </tp>
      <tp>
        <v>0</v>
        <stp/>
        <stp>1923422331M7:Vol</stp>
        <tr r="N1634" s="5"/>
      </tp>
      <tp>
        <v>0</v>
        <stp/>
        <stp>1923422331M6:Vol</stp>
        <tr r="N1633" s="5"/>
      </tp>
      <tp>
        <v>0</v>
        <stp/>
        <stp>1923422331M5:Vol</stp>
        <tr r="N1632" s="5"/>
      </tp>
      <tp>
        <v>0</v>
        <stp/>
        <stp>1923422331M4:Vol</stp>
        <tr r="N1631" s="5"/>
      </tp>
      <tp>
        <v>0</v>
        <stp/>
        <stp>1923422331M3:Vol</stp>
        <tr r="N1630" s="5"/>
      </tp>
      <tp>
        <v>0</v>
        <stp/>
        <stp>1923422331M2:Vol</stp>
        <tr r="N1629" s="5"/>
      </tp>
      <tp>
        <v>0</v>
        <stp/>
        <stp>1923422331M1:Vol</stp>
        <tr r="N1628" s="5"/>
      </tp>
      <tp>
        <v>0</v>
        <stp/>
        <stp>1923422331M0:Vol</stp>
        <tr r="N1627" s="5"/>
      </tp>
      <tp>
        <v>0</v>
        <stp/>
        <stp>1923422331M9:Vol</stp>
        <tr r="N1636" s="5"/>
      </tp>
      <tp>
        <v>0</v>
        <stp/>
        <stp>1923422331M8:Vol</stp>
        <tr r="N1635" s="5"/>
      </tp>
    </main>
    <main first="bofaddin.rtdserver">
      <tp>
        <v>79.989999999999995</v>
        <stp/>
        <stp>BDP|8265971166856271719|222</stp>
        <stp>CLG7 Comdty</stp>
        <stp>BID</stp>
        <stp>Fill=#N/A</stp>
        <tr r="F24" s="1"/>
      </tp>
    </main>
    <main first="ice.rtd">
      <tp>
        <v>-4.2640000000000002</v>
        <stp/>
        <stp>2049123570B0:Settle</stp>
        <tr r="U230" s="5"/>
      </tp>
    </main>
    <main first="bofaddin.rtdserver">
      <tp t="s">
        <v>#N/A Invalid Security</v>
        <stp/>
        <stp>BDP|2503062512669834153|222</stp>
        <stp>COM0 Comdty</stp>
        <stp>ASK</stp>
        <stp>Fill=#N/A</stp>
        <tr r="G64" s="1"/>
      </tp>
    </main>
    <main first="ice.rtd">
      <tp>
        <v>0</v>
        <stp/>
        <stp>3124331018Q3:Vol</stp>
        <tr r="N1623" s="5"/>
      </tp>
      <tp>
        <v>0</v>
        <stp/>
        <stp>3124331018Q2:Vol</stp>
        <tr r="N1622" s="5"/>
      </tp>
      <tp>
        <v>0</v>
        <stp/>
        <stp>3124331018Q1:Vol</stp>
        <tr r="N1621" s="5"/>
      </tp>
      <tp>
        <v>0</v>
        <stp/>
        <stp>3124331018Q0:Vol</stp>
        <tr r="N1620" s="5"/>
      </tp>
      <tp>
        <v>0</v>
        <stp/>
        <stp>1923422331Q3:Vol</stp>
        <tr r="N1645" s="5"/>
      </tp>
      <tp>
        <v>0</v>
        <stp/>
        <stp>1923422331Q2:Vol</stp>
        <tr r="N1644" s="5"/>
      </tp>
      <tp>
        <v>0</v>
        <stp/>
        <stp>1923422331Q1:Vol</stp>
        <tr r="N1643" s="5"/>
      </tp>
      <tp>
        <v>0</v>
        <stp/>
        <stp>1923422331Q0:Vol</stp>
        <tr r="N1642" s="5"/>
      </tp>
      <tp>
        <v>0</v>
        <stp/>
        <stp>3124331018Y0:Vol</stp>
        <tr r="N1624" s="5"/>
      </tp>
      <tp>
        <v>0</v>
        <stp/>
        <stp>1923422331Y0:Vol</stp>
        <tr r="N1646" s="5"/>
      </tp>
      <tp t="s">
        <v>BAT</v>
        <stp/>
        <stp>1987023077B0:PCC</stp>
        <tr r="B154" s="5"/>
      </tp>
      <tp>
        <v>0</v>
        <stp/>
        <stp>DBI1227MM1:OI</stp>
        <tr r="T1652" s="5"/>
      </tp>
      <tp>
        <v>0</v>
        <stp/>
        <stp>DBI1227MM0:OI</stp>
        <tr r="T1651" s="5"/>
        <tr r="T1648" s="5"/>
      </tp>
      <tp>
        <v>0</v>
        <stp/>
        <stp>DBI1227MM3:OI</stp>
        <tr r="T1654" s="5"/>
      </tp>
      <tp>
        <v>0</v>
        <stp/>
        <stp>DBI1227MM2:OI</stp>
        <tr r="T1653" s="5"/>
      </tp>
      <tp>
        <v>0</v>
        <stp/>
        <stp>DBI1227MM5:OI</stp>
        <tr r="T1656" s="5"/>
      </tp>
      <tp>
        <v>0</v>
        <stp/>
        <stp>DBI1227MM4:OI</stp>
        <tr r="T1655" s="5"/>
      </tp>
      <tp>
        <v>0</v>
        <stp/>
        <stp>DBI1227MM7:OI</stp>
        <tr r="T1658" s="5"/>
      </tp>
      <tp>
        <v>0</v>
        <stp/>
        <stp>DBI1227MM6:OI</stp>
        <tr r="T1657" s="5"/>
      </tp>
      <tp>
        <v>0</v>
        <stp/>
        <stp>DBI1227MM9:OI</stp>
        <tr r="T1660" s="5"/>
      </tp>
      <tp>
        <v>0</v>
        <stp/>
        <stp>DBI1227MM8:OI</stp>
        <tr r="T1659" s="5"/>
      </tp>
      <tp t="s">
        <v>TEO</v>
        <stp/>
        <stp>2755828679M9:PCC</stp>
        <tr r="B1006" s="5"/>
      </tp>
      <tp t="s">
        <v>TEO</v>
        <stp/>
        <stp>2755828679M8:PCC</stp>
        <tr r="B1005" s="5"/>
      </tp>
      <tp t="s">
        <v>TEO</v>
        <stp/>
        <stp>2755828679M3:PCC</stp>
        <tr r="B1000" s="5"/>
      </tp>
      <tp t="s">
        <v>TEO</v>
        <stp/>
        <stp>2755828679M2:PCC</stp>
        <tr r="B999" s="5"/>
      </tp>
      <tp t="s">
        <v>TEO</v>
        <stp/>
        <stp>2755828679M1:PCC</stp>
        <tr r="B998" s="5"/>
      </tp>
      <tp t="s">
        <v>TEO</v>
        <stp/>
        <stp>2755828679M0:PCC</stp>
        <tr r="B997" s="5"/>
      </tp>
      <tp t="s">
        <v>TEO</v>
        <stp/>
        <stp>2755828679M7:PCC</stp>
        <tr r="B1004" s="5"/>
      </tp>
      <tp t="s">
        <v>TEO</v>
        <stp/>
        <stp>2755828679M6:PCC</stp>
        <tr r="B1003" s="5"/>
      </tp>
      <tp t="s">
        <v>TEO</v>
        <stp/>
        <stp>2755828679M5:PCC</stp>
        <tr r="B1002" s="5"/>
      </tp>
      <tp t="s">
        <v>TEO</v>
        <stp/>
        <stp>2755828679M4:PCC</stp>
        <tr r="B1001" s="5"/>
      </tp>
      <tp>
        <v>0</v>
        <stp/>
        <stp>DBI1227YY0:OI</stp>
        <tr r="T1681" s="5"/>
      </tp>
      <tp>
        <v>65.094800000000006</v>
        <stp/>
        <stp>34344092Q1:Settle</stp>
        <tr r="U1289" s="5"/>
      </tp>
      <tp>
        <v>65.094800000000006</v>
        <stp/>
        <stp>34354093Q1:Settle</stp>
        <tr r="U1327" s="5"/>
      </tp>
      <tp>
        <v>77.049000000000007</v>
        <stp/>
        <stp>34344092Q0:Settle</stp>
        <tr r="U1288" s="5"/>
      </tp>
      <tp>
        <v>77.049000000000007</v>
        <stp/>
        <stp>34354093Q0:Settle</stp>
        <tr r="U1326" s="5"/>
      </tp>
      <tp>
        <v>50.7012</v>
        <stp/>
        <stp>34344092Q3:Settle</stp>
        <tr r="U1291" s="5"/>
      </tp>
      <tp>
        <v>50.7012</v>
        <stp/>
        <stp>34354093Q3:Settle</stp>
        <tr r="U1329" s="5"/>
      </tp>
      <tp>
        <v>55.766300000000001</v>
        <stp/>
        <stp>34344092Q2:Settle</stp>
        <tr r="U1290" s="5"/>
      </tp>
      <tp>
        <v>55.766300000000001</v>
        <stp/>
        <stp>34354093Q2:Settle</stp>
        <tr r="U1328" s="5"/>
      </tp>
      <tp>
        <v>42.853700000000003</v>
        <stp/>
        <stp>34344092Q5:Settle</stp>
        <tr r="U1293" s="5"/>
      </tp>
      <tp>
        <v>42.853700000000003</v>
        <stp/>
        <stp>34354093Q5:Settle</stp>
        <tr r="U1331" s="5"/>
      </tp>
      <tp>
        <v>46.472999999999999</v>
        <stp/>
        <stp>34344092Q4:Settle</stp>
        <tr r="U1292" s="5"/>
      </tp>
      <tp>
        <v>46.472999999999999</v>
        <stp/>
        <stp>34354093Q4:Settle</stp>
        <tr r="U1330" s="5"/>
      </tp>
      <tp>
        <v>37.653200000000005</v>
        <stp/>
        <stp>34344092Q7:Settle</stp>
        <tr r="U1295" s="5"/>
      </tp>
      <tp>
        <v>37.653200000000005</v>
        <stp/>
        <stp>34354093Q7:Settle</stp>
        <tr r="U1333" s="5"/>
      </tp>
      <tp>
        <v>39.625300000000003</v>
        <stp/>
        <stp>34344092Q6:Settle</stp>
        <tr r="U1294" s="5"/>
      </tp>
      <tp>
        <v>39.625300000000003</v>
        <stp/>
        <stp>34354093Q6:Settle</stp>
        <tr r="U1332" s="5"/>
      </tp>
      <tp>
        <v>36.067900000000002</v>
        <stp/>
        <stp>34344092Q8:Settle</stp>
        <tr r="U1296" s="5"/>
      </tp>
      <tp>
        <v>36.067900000000002</v>
        <stp/>
        <stp>34354093Q8:Settle</stp>
        <tr r="U1334" s="5"/>
      </tp>
      <tp>
        <v>39.0501</v>
        <stp/>
        <stp>34344092Y1:Settle</stp>
        <tr r="U1298" s="5"/>
      </tp>
      <tp>
        <v>39.0501</v>
        <stp/>
        <stp>34354093Y1:Settle</stp>
        <tr r="U1336" s="5"/>
      </tp>
      <tp>
        <v>54.508800000000001</v>
        <stp/>
        <stp>34344092Y0:Settle</stp>
        <tr r="U1297" s="5"/>
      </tp>
      <tp>
        <v>54.508800000000001</v>
        <stp/>
        <stp>34354093Y0:Settle</stp>
        <tr r="U1335" s="5"/>
      </tp>
      <tp>
        <v>33.639900000000004</v>
        <stp/>
        <stp>34344092Y2:Settle</stp>
        <tr r="U1299" s="5"/>
      </tp>
      <tp>
        <v>33.639900000000004</v>
        <stp/>
        <stp>34354093Y2:Settle</stp>
        <tr r="U1337" s="5"/>
      </tp>
      <tp>
        <v>82.474500000000006</v>
        <stp/>
        <stp>34344092M1:Settle</stp>
        <tr r="U1264" s="5"/>
      </tp>
      <tp>
        <v>82.474500000000006</v>
        <stp/>
        <stp>34354093M1:Settle</stp>
        <tr r="U1302" s="5"/>
      </tp>
      <tp>
        <v>89.2423</v>
        <stp/>
        <stp>34344092M0:Settle</stp>
        <tr r="U1263" s="5"/>
      </tp>
      <tp>
        <v>89.2423</v>
        <stp/>
        <stp>34354093M0:Settle</stp>
        <tr r="U1301" s="5"/>
      </tp>
      <tp>
        <v>71.802300000000002</v>
        <stp/>
        <stp>34344092M3:Settle</stp>
        <tr r="U1266" s="5"/>
      </tp>
      <tp>
        <v>71.802300000000002</v>
        <stp/>
        <stp>34354093M3:Settle</stp>
        <tr r="U1304" s="5"/>
      </tp>
      <tp>
        <v>76.870100000000008</v>
        <stp/>
        <stp>34344092M2:Settle</stp>
        <tr r="U1265" s="5"/>
      </tp>
      <tp>
        <v>76.870100000000008</v>
        <stp/>
        <stp>34354093M2:Settle</stp>
        <tr r="U1303" s="5"/>
      </tp>
      <tp>
        <v>65.424900000000008</v>
        <stp/>
        <stp>34344092M5:Settle</stp>
        <tr r="U1268" s="5"/>
      </tp>
      <tp>
        <v>65.424900000000008</v>
        <stp/>
        <stp>34354093M5:Settle</stp>
        <tr r="U1306" s="5"/>
      </tp>
      <tp>
        <v>68.228499999999997</v>
        <stp/>
        <stp>34344092M4:Settle</stp>
        <tr r="U1267" s="5"/>
      </tp>
      <tp>
        <v>68.228499999999997</v>
        <stp/>
        <stp>34354093M4:Settle</stp>
        <tr r="U1305" s="5"/>
      </tp>
      <tp>
        <v>58.1676</v>
        <stp/>
        <stp>34344092M7:Settle</stp>
        <tr r="U1270" s="5"/>
      </tp>
      <tp>
        <v>58.1676</v>
        <stp/>
        <stp>34354093M7:Settle</stp>
        <tr r="U1308" s="5"/>
      </tp>
      <tp>
        <v>61.630900000000004</v>
        <stp/>
        <stp>34344092M6:Settle</stp>
        <tr r="U1269" s="5"/>
      </tp>
      <tp>
        <v>61.630900000000004</v>
        <stp/>
        <stp>34354093M6:Settle</stp>
        <tr r="U1307" s="5"/>
      </tp>
      <tp>
        <v>53.523099999999999</v>
        <stp/>
        <stp>34344092M9:Settle</stp>
        <tr r="U1272" s="5"/>
      </tp>
      <tp>
        <v>53.523099999999999</v>
        <stp/>
        <stp>34354093M9:Settle</stp>
        <tr r="U1310" s="5"/>
      </tp>
      <tp>
        <v>55.6083</v>
        <stp/>
        <stp>34344092M8:Settle</stp>
        <tr r="U1271" s="5"/>
      </tp>
      <tp>
        <v>55.6083</v>
        <stp/>
        <stp>34354093M8:Settle</stp>
        <tr r="U1309" s="5"/>
      </tp>
      <tp t="s">
        <v>TEO</v>
        <stp/>
        <stp>2755828679Q8:PCC</stp>
        <tr r="B1030" s="5"/>
      </tp>
      <tp t="s">
        <v>TEO</v>
        <stp/>
        <stp>2755828679Q3:PCC</stp>
        <tr r="B1025" s="5"/>
      </tp>
      <tp t="s">
        <v>TEO</v>
        <stp/>
        <stp>2755828679Q2:PCC</stp>
        <tr r="B1024" s="5"/>
      </tp>
      <tp t="s">
        <v>TEO</v>
        <stp/>
        <stp>2755828679Q1:PCC</stp>
        <tr r="B1023" s="5"/>
      </tp>
      <tp t="s">
        <v>TEO</v>
        <stp/>
        <stp>2755828679Q0:PCC</stp>
        <tr r="B1022" s="5"/>
      </tp>
      <tp t="s">
        <v>TEO</v>
        <stp/>
        <stp>2755828679Q7:PCC</stp>
        <tr r="B1029" s="5"/>
      </tp>
      <tp t="s">
        <v>TEO</v>
        <stp/>
        <stp>2755828679Q6:PCC</stp>
        <tr r="B1028" s="5"/>
      </tp>
      <tp t="s">
        <v>TEO</v>
        <stp/>
        <stp>2755828679Q5:PCC</stp>
        <tr r="B1027" s="5"/>
      </tp>
      <tp t="s">
        <v>TEO</v>
        <stp/>
        <stp>2755828679Q4:PCC</stp>
        <tr r="B1026" s="5"/>
      </tp>
      <tp>
        <v>17.5</v>
        <stp/>
        <stp>34364094Q1:Settle</stp>
        <tr r="U544" s="5"/>
      </tp>
      <tp>
        <v>27</v>
        <stp/>
        <stp>34374095Q1:Settle</stp>
        <tr r="U582" s="5"/>
      </tp>
      <tp>
        <v>26</v>
        <stp/>
        <stp>34364094Q0:Settle</stp>
        <tr r="U543" s="5"/>
      </tp>
      <tp>
        <v>38</v>
        <stp/>
        <stp>34374095Q0:Settle</stp>
        <tr r="U581" s="5"/>
      </tp>
      <tp>
        <v>7</v>
        <stp/>
        <stp>34364094Q3:Settle</stp>
        <tr r="U546" s="5"/>
      </tp>
      <tp>
        <v>15.5</v>
        <stp/>
        <stp>34374095Q3:Settle</stp>
        <tr r="U584" s="5"/>
      </tp>
      <tp>
        <v>10.5</v>
        <stp/>
        <stp>34364094Q2:Settle</stp>
        <tr r="U545" s="5"/>
      </tp>
      <tp>
        <v>19</v>
        <stp/>
        <stp>34374095Q2:Settle</stp>
        <tr r="U583" s="5"/>
      </tp>
      <tp>
        <v>3.5</v>
        <stp/>
        <stp>34364094Q5:Settle</stp>
        <tr r="U548" s="5"/>
      </tp>
      <tp>
        <v>15</v>
        <stp/>
        <stp>34374095Q5:Settle</stp>
        <tr r="U586" s="5"/>
      </tp>
      <tp>
        <v>6.8330000000000002</v>
        <stp/>
        <stp>34364094Q4:Settle</stp>
        <tr r="U547" s="5"/>
      </tp>
      <tp>
        <v>15.25</v>
        <stp/>
        <stp>34374095Q4:Settle</stp>
        <tr r="U585" s="5"/>
      </tp>
      <tp>
        <v>3.5</v>
        <stp/>
        <stp>34364094Q7:Settle</stp>
        <tr r="U550" s="5"/>
      </tp>
      <tp>
        <v>14</v>
        <stp/>
        <stp>34374095Q7:Settle</stp>
        <tr r="U588" s="5"/>
      </tp>
      <tp>
        <v>3.5</v>
        <stp/>
        <stp>34364094Q6:Settle</stp>
        <tr r="U549" s="5"/>
      </tp>
      <tp>
        <v>15</v>
        <stp/>
        <stp>34374095Q6:Settle</stp>
        <tr r="U587" s="5"/>
      </tp>
      <tp>
        <v>3.5</v>
        <stp/>
        <stp>34364094Q8:Settle</stp>
        <tr r="U551" s="5"/>
      </tp>
      <tp>
        <v>14</v>
        <stp/>
        <stp>34374095Q8:Settle</stp>
        <tr r="U589" s="5"/>
      </tp>
      <tp>
        <v>3.5</v>
        <stp/>
        <stp>34364094Y1:Settle</stp>
        <tr r="U553" s="5"/>
      </tp>
      <tp>
        <v>14.5</v>
        <stp/>
        <stp>34374095Y1:Settle</stp>
        <tr r="U591" s="5"/>
      </tp>
      <tp>
        <v>10.458</v>
        <stp/>
        <stp>34364094Y0:Settle</stp>
        <tr r="U552" s="5"/>
      </tp>
      <tp>
        <v>19.188000000000002</v>
        <stp/>
        <stp>34374095Y0:Settle</stp>
        <tr r="U590" s="5"/>
      </tp>
      <tp>
        <v>3</v>
        <stp/>
        <stp>34364094Y2:Settle</stp>
        <tr r="U554" s="5"/>
      </tp>
      <tp>
        <v>14</v>
        <stp/>
        <stp>34374095Y2:Settle</stp>
        <tr r="U592" s="5"/>
      </tp>
      <tp>
        <v>28</v>
        <stp/>
        <stp>34364094M1:Settle</stp>
        <tr r="U519" s="5"/>
      </tp>
      <tp>
        <v>41</v>
        <stp/>
        <stp>34374095M1:Settle</stp>
        <tr r="U557" s="5"/>
      </tp>
      <tp>
        <v>24.306000000000001</v>
        <stp/>
        <stp>34364094M0:Settle</stp>
        <tr r="U518" s="5"/>
      </tp>
      <tp>
        <v>43</v>
        <stp/>
        <stp>34374095M0:Settle</stp>
        <tr r="U556" s="5"/>
      </tp>
      <tp>
        <v>23.5</v>
        <stp/>
        <stp>34364094M3:Settle</stp>
        <tr r="U521" s="5"/>
      </tp>
      <tp>
        <v>34.5</v>
        <stp/>
        <stp>34374095M3:Settle</stp>
        <tr r="U559" s="5"/>
      </tp>
      <tp>
        <v>26.5</v>
        <stp/>
        <stp>34364094M2:Settle</stp>
        <tr r="U520" s="5"/>
      </tp>
      <tp>
        <v>38.5</v>
        <stp/>
        <stp>34374095M2:Settle</stp>
        <tr r="U558" s="5"/>
      </tp>
      <tp>
        <v>17.5</v>
        <stp/>
        <stp>34364094M5:Settle</stp>
        <tr r="U523" s="5"/>
      </tp>
      <tp>
        <v>27</v>
        <stp/>
        <stp>34374095M5:Settle</stp>
        <tr r="U561" s="5"/>
      </tp>
      <tp>
        <v>18.5</v>
        <stp/>
        <stp>34364094M4:Settle</stp>
        <tr r="U522" s="5"/>
      </tp>
      <tp>
        <v>29.5</v>
        <stp/>
        <stp>34374095M4:Settle</stp>
        <tr r="U560" s="5"/>
      </tp>
      <tp>
        <v>11.5</v>
        <stp/>
        <stp>34364094M7:Settle</stp>
        <tr r="U525" s="5"/>
      </tp>
      <tp>
        <v>20</v>
        <stp/>
        <stp>34374095M7:Settle</stp>
        <tr r="U563" s="5"/>
      </tp>
      <tp>
        <v>16.5</v>
        <stp/>
        <stp>34364094M6:Settle</stp>
        <tr r="U524" s="5"/>
      </tp>
      <tp>
        <v>24.5</v>
        <stp/>
        <stp>34374095M6:Settle</stp>
        <tr r="U562" s="5"/>
      </tp>
      <tp>
        <v>9.5</v>
        <stp/>
        <stp>34364094M9:Settle</stp>
        <tr r="U527" s="5"/>
      </tp>
      <tp>
        <v>18</v>
        <stp/>
        <stp>34374095M9:Settle</stp>
        <tr r="U565" s="5"/>
      </tp>
      <tp>
        <v>10.5</v>
        <stp/>
        <stp>34364094M8:Settle</stp>
        <tr r="U526" s="5"/>
      </tp>
      <tp>
        <v>19</v>
        <stp/>
        <stp>34374095M8:Settle</stp>
        <tr r="U564" s="5"/>
      </tp>
      <tp>
        <v>0</v>
        <stp/>
        <stp>DBI1227QQ1:OI</stp>
        <tr r="T1680" s="5"/>
      </tp>
      <tp>
        <v>0</v>
        <stp/>
        <stp>DBI1227QQ0:OI</stp>
        <tr r="T1679" s="5"/>
      </tp>
      <tp t="s">
        <v>TEO</v>
        <stp/>
        <stp>2755828679Y2:PCC</stp>
        <tr r="B1033" s="5"/>
      </tp>
      <tp t="s">
        <v>TEO</v>
        <stp/>
        <stp>2755828679Y1:PCC</stp>
        <tr r="B1032" s="5"/>
      </tp>
      <tp t="s">
        <v>TEO</v>
        <stp/>
        <stp>2755828679Y0:PCC</stp>
        <tr r="B1031" s="5"/>
      </tp>
    </main>
    <main first="bofaddin.rtdserver">
      <tp t="s">
        <v>#N/A N/A</v>
        <stp/>
        <stp>BDH|711767143039667285</stp>
        <tr r="AW24" s="1"/>
      </tp>
    </main>
    <main first="esrtd">
      <tp t="s">
        <v/>
        <stp/>
        <stp>WDF C2!-IEU</stp>
        <stp>Ask</stp>
        <tr r="H1812" s="5"/>
      </tp>
    </main>
    <main first="esrtd">
      <tp t="s">
        <v/>
        <stp/>
        <stp>WMJ C2!-IEU</stp>
        <stp>Ask</stp>
        <tr r="H1917" s="5"/>
      </tp>
    </main>
    <main first="bofaddin.rtdserver">
      <tp t="s">
        <v>#N/A N/A</v>
        <stp/>
        <stp>BDH|222363560319576445</stp>
        <tr r="AV50" s="1"/>
      </tp>
      <tp t="s">
        <v>#N/A N/A</v>
        <stp/>
        <stp>BDH|735858816496711744</stp>
        <tr r="I54" s="14"/>
      </tp>
    </main>
    <main first="esrtd">
      <tp t="s">
        <v/>
        <stp/>
        <stp>WNS C2!-IEU</stp>
        <stp>Ask</stp>
        <tr r="H1882" s="5"/>
      </tp>
      <tp t="s">
        <v/>
        <stp/>
        <stp>WHK C2!-IEU</stp>
        <stp>Ask</stp>
        <tr r="H1952" s="5"/>
      </tp>
    </main>
    <main first="ice.rtd">
      <tp t="s">
        <v>Feb28</v>
        <stp/>
        <stp>15091310M17:Strip</stp>
        <tr r="E1394" s="5"/>
      </tp>
      <tp t="s">
        <v>Mar28</v>
        <stp/>
        <stp>30793693M18:Strip</stp>
        <tr r="E901" s="5"/>
      </tp>
      <tp>
        <v>4.71</v>
        <stp/>
        <stp>DBI1227MM8:BstHitPrc</stp>
        <tr r="G1659" s="5"/>
      </tp>
      <tp t="s">
        <v>Mar28</v>
        <stp/>
        <stp>41787896M18:Strip</stp>
        <tr r="E825" s="5"/>
      </tp>
      <tp t="s">
        <v>Apr28</v>
        <stp/>
        <stp>32623993M19:Strip</stp>
        <tr r="E2009" s="5"/>
      </tp>
    </main>
    <main first="esrtd">
      <tp t="s">
        <v/>
        <stp/>
        <stp>Invalid Market: CALCM24 U28-IEU</stp>
        <stp>ICE Theoretical Price</stp>
        <tr r="W293" s="5"/>
        <tr r="W1363" s="5"/>
        <tr r="W407" s="5"/>
        <tr r="W869" s="5"/>
        <tr r="W1211" s="5"/>
        <tr r="W1097" s="5"/>
      </tp>
    </main>
    <main first="ice.rtd">
      <tp t="s">
        <v>Jul28</v>
        <stp/>
        <stp>46678127M22:Strip</stp>
        <tr r="E367" s="5"/>
      </tp>
      <tp t="s">
        <v>Sep27</v>
        <stp/>
        <stp>46678127M12:Strip</stp>
        <tr r="E357" s="5"/>
      </tp>
      <tp t="s">
        <v>Feb28</v>
        <stp/>
        <stp>30813691M17:Strip</stp>
        <tr r="E1970" s="5"/>
      </tp>
      <tp t="s">
        <v>Sep28</v>
        <stp/>
        <stp>16331513M24:Strip</stp>
        <tr r="E1439" s="5"/>
      </tp>
      <tp t="s">
        <v>Sep28</v>
        <stp/>
        <stp>16341514M24:Strip</stp>
        <tr r="E1477" s="5"/>
      </tp>
      <tp t="s">
        <v>Sep28</v>
        <stp/>
        <stp>16351515M24:Strip</stp>
        <tr r="E1515" s="5"/>
      </tp>
      <tp t="s">
        <v>Nov27</v>
        <stp/>
        <stp>16331513M14:Strip</stp>
        <tr r="E1429" s="5"/>
      </tp>
      <tp t="s">
        <v>Nov27</v>
        <stp/>
        <stp>16341514M14:Strip</stp>
        <tr r="E1467" s="5"/>
      </tp>
      <tp t="s">
        <v>Nov27</v>
        <stp/>
        <stp>16351515M14:Strip</stp>
        <tr r="E1505" s="5"/>
      </tp>
      <tp t="s">
        <v>Feb28</v>
        <stp/>
        <stp>35534143M17:Strip</stp>
        <tr r="E725" s="5"/>
      </tp>
      <tp t="s">
        <v>Feb28</v>
        <stp/>
        <stp>35544144M17:Strip</stp>
        <tr r="E649" s="5"/>
      </tp>
      <tp t="s">
        <v>Feb28</v>
        <stp/>
        <stp>35554145M17:Strip</stp>
        <tr r="E687" s="5"/>
      </tp>
      <tp t="s">
        <v>Apr28</v>
        <stp/>
        <stp>32613992M19:Strip</stp>
        <tr r="E1244" s="5"/>
      </tp>
    </main>
    <main first="esrtd">
      <tp t="s">
        <v/>
        <stp/>
        <stp>TDL C2!-IEU</stp>
        <stp>Bid</stp>
        <tr r="G1847" s="5"/>
      </tp>
    </main>
    <main first="ice.rtd">
      <tp t="s">
        <v>Jan28</v>
        <stp/>
        <stp>18871685M16:Strip</stp>
        <tr r="E437" s="5"/>
      </tp>
      <tp t="s">
        <v>Mar28</v>
        <stp/>
        <stp>41767893M18:Strip</stp>
        <tr r="E498" s="5"/>
      </tp>
      <tp t="s">
        <v/>
        <stp/>
        <stp>DBI1227MM8:LstBlkPrc</stp>
        <tr r="K1659" s="5"/>
      </tp>
      <tp t="s">
        <v>Dec27</v>
        <stp/>
        <stp>57179020M15:Strip</stp>
        <tr r="E1562" s="5"/>
      </tp>
      <tp t="s">
        <v>Feb28</v>
        <stp/>
        <stp>18901687M17:Strip</stp>
        <tr r="E324" s="5"/>
      </tp>
      <tp t="s">
        <v>Jun28</v>
        <stp/>
        <stp>57409036M21:Strip</stp>
        <tr r="E252" s="5"/>
      </tp>
      <tp t="s">
        <v>Aug27</v>
        <stp/>
        <stp>57409036M11:Strip</stp>
        <tr r="E242" s="5"/>
      </tp>
      <tp t="s">
        <v>Nov27</v>
        <stp/>
        <stp>29243602M14:Strip</stp>
        <tr r="E760" s="5"/>
      </tp>
      <tp t="s">
        <v>Jan28</v>
        <stp/>
        <stp>18851683M16:Strip</stp>
        <tr r="E209" s="5"/>
      </tp>
      <tp t="s">
        <v>Sep27</v>
        <stp/>
        <stp>2427026287M12:Strip</stp>
        <tr r="E1161" s="5"/>
      </tp>
      <tp t="s">
        <v>Jul28</v>
        <stp/>
        <stp>2427026287M22:Strip</stp>
        <tr r="E1171" s="5"/>
      </tp>
      <tp t="s">
        <v>Aug27</v>
        <stp/>
        <stp>2044823525M10:Strip</stp>
        <tr r="E1757" s="5"/>
      </tp>
      <tp t="s">
        <v>Invalid Market: 2044823525M20</v>
        <stp/>
        <stp>2044823525M20:Strip</stp>
        <tr r="E1767" s="5"/>
      </tp>
    </main>
    <main first="esrtd">
      <tp t="s">
        <v/>
        <stp/>
        <stp>TDL 4!-IEU</stp>
        <stp>Block Volume</stp>
        <tr r="O1816" s="5"/>
      </tp>
      <tp t="s">
        <v/>
        <stp/>
        <stp>WDF 7!-IEU</stp>
        <stp>Block Volume</stp>
        <tr r="O1784" s="5"/>
      </tp>
    </main>
    <main first="ice.rtd">
      <tp t="s">
        <v/>
        <stp/>
        <stp>41787896M13:LstPrc</stp>
        <tr r="I820" s="5"/>
      </tp>
      <tp t="s">
        <v/>
        <stp/>
        <stp>41787896M12:LstPrc</stp>
        <tr r="I819" s="5"/>
      </tp>
      <tp t="s">
        <v/>
        <stp/>
        <stp>41787896M11:LstPrc</stp>
        <tr r="I818" s="5"/>
      </tp>
      <tp t="s">
        <v/>
        <stp/>
        <stp>41787896M10:LstPrc</stp>
        <tr r="I817" s="5"/>
      </tp>
      <tp t="s">
        <v/>
        <stp/>
        <stp>41787896M17:LstPrc</stp>
        <tr r="I824" s="5"/>
      </tp>
      <tp t="s">
        <v/>
        <stp/>
        <stp>41787896M16:LstPrc</stp>
        <tr r="I823" s="5"/>
      </tp>
      <tp t="s">
        <v/>
        <stp/>
        <stp>41787896M15:LstPrc</stp>
        <tr r="I822" s="5"/>
      </tp>
      <tp t="s">
        <v/>
        <stp/>
        <stp>41787896M14:LstPrc</stp>
        <tr r="I821" s="5"/>
      </tp>
      <tp t="s">
        <v/>
        <stp/>
        <stp>41787896M19:LstPrc</stp>
        <tr r="I826" s="5"/>
      </tp>
      <tp t="s">
        <v/>
        <stp/>
        <stp>41787896M18:LstPrc</stp>
        <tr r="I825" s="5"/>
      </tp>
      <tp t="s">
        <v/>
        <stp/>
        <stp>41787896M23:LstPrc</stp>
        <tr r="I830" s="5"/>
      </tp>
      <tp t="s">
        <v/>
        <stp/>
        <stp>41787896M22:LstPrc</stp>
        <tr r="I829" s="5"/>
      </tp>
      <tp t="s">
        <v/>
        <stp/>
        <stp>41787896M21:LstPrc</stp>
        <tr r="I828" s="5"/>
      </tp>
      <tp t="s">
        <v/>
        <stp/>
        <stp>41787896M20:LstPrc</stp>
        <tr r="I827" s="5"/>
      </tp>
      <tp t="s">
        <v/>
        <stp/>
        <stp>41787896M24:LstPrc</stp>
        <tr r="I831" s="5"/>
      </tp>
    </main>
    <main first="esrtd">
      <tp t="s">
        <v/>
        <stp/>
        <stp>WHK 7!-IEU</stp>
        <stp>Block Volume</stp>
        <tr r="O1924" s="5"/>
      </tp>
    </main>
    <main first="ice.rtd">
      <tp t="s">
        <v>Aug27</v>
        <stp/>
        <stp>1840020882M11:Strip</stp>
        <tr r="E1593" s="5"/>
      </tp>
      <tp t="s">
        <v>Oct27</v>
        <stp/>
        <stp>2427126288M13:Strip</stp>
        <tr r="E1048" s="5"/>
      </tp>
      <tp t="s">
        <v>Aug28</v>
        <stp/>
        <stp>2427126288M23:Strip</stp>
        <tr r="E1058" s="5"/>
      </tp>
      <tp t="s">
        <v>Jan28</v>
        <stp/>
        <stp>1986823075M16:Strip</stp>
        <tr r="E133" s="5"/>
      </tp>
    </main>
    <main first="esrtd">
      <tp t="s">
        <v/>
        <stp/>
        <stp>WMJ 7!-IEU</stp>
        <stp>Block Volume</stp>
        <tr r="O1889" s="5"/>
      </tp>
    </main>
    <main first="ice.rtd">
      <tp t="s">
        <v>Dec27</v>
        <stp/>
        <stp>2755828679M15:Strip</stp>
        <tr r="E1012" s="5"/>
      </tp>
      <tp t="s">
        <v>Feb28</v>
        <stp/>
        <stp>1986923076M17:Strip</stp>
        <tr r="E172" s="5"/>
      </tp>
    </main>
    <main first="bofaddin.rtdserver">
      <tp>
        <v>6.7412999999999998</v>
        <stp/>
        <stp>BFXFORWARD|16137771842423536709|222</stp>
        <stp>USDCNY</stp>
        <stp>2M</stp>
        <stp>MidOutright</stp>
        <tr r="BD22" s="1"/>
      </tp>
    </main>
    <main first="esrtd">
      <tp t="s">
        <v/>
        <stp/>
        <stp>WNS 7!-IEU</stp>
        <stp>Block Volume</stp>
        <tr r="O1854" s="5"/>
      </tp>
    </main>
    <main first="ice.rtd">
      <tp>
        <v>0</v>
        <stp/>
        <stp>34404098M19:BlkVol</stp>
        <tr r="O613" s="5"/>
      </tp>
      <tp>
        <v>0</v>
        <stp/>
        <stp>34414099M19:BlkVol</stp>
        <tr r="O98" s="5"/>
      </tp>
      <tp>
        <v>0</v>
        <stp/>
        <stp>34404098M18:BlkVol</stp>
        <tr r="O612" s="5"/>
      </tp>
      <tp>
        <v>0</v>
        <stp/>
        <stp>34414099M18:BlkVol</stp>
        <tr r="O97" s="5"/>
      </tp>
      <tp>
        <v>0</v>
        <stp/>
        <stp>34404098M17:BlkVol</stp>
        <tr r="O611" s="5"/>
      </tp>
      <tp>
        <v>0</v>
        <stp/>
        <stp>34414099M17:BlkVol</stp>
        <tr r="O96" s="5"/>
      </tp>
      <tp>
        <v>0</v>
        <stp/>
        <stp>34404098M16:BlkVol</stp>
        <tr r="O610" s="5"/>
      </tp>
      <tp>
        <v>0</v>
        <stp/>
        <stp>34414099M16:BlkVol</stp>
        <tr r="O95" s="5"/>
      </tp>
      <tp>
        <v>0</v>
        <stp/>
        <stp>34404098M15:BlkVol</stp>
        <tr r="O609" s="5"/>
      </tp>
      <tp>
        <v>0</v>
        <stp/>
        <stp>34414099M15:BlkVol</stp>
        <tr r="O94" s="5"/>
      </tp>
      <tp>
        <v>0</v>
        <stp/>
        <stp>34404098M14:BlkVol</stp>
        <tr r="O608" s="5"/>
      </tp>
      <tp>
        <v>0</v>
        <stp/>
        <stp>34414099M14:BlkVol</stp>
        <tr r="O93" s="5"/>
      </tp>
      <tp>
        <v>0</v>
        <stp/>
        <stp>34404098M13:BlkVol</stp>
        <tr r="O607" s="5"/>
      </tp>
      <tp>
        <v>0</v>
        <stp/>
        <stp>34414099M13:BlkVol</stp>
        <tr r="O92" s="5"/>
      </tp>
      <tp>
        <v>0</v>
        <stp/>
        <stp>34404098M12:BlkVol</stp>
        <tr r="O606" s="5"/>
      </tp>
      <tp>
        <v>0</v>
        <stp/>
        <stp>34414099M12:BlkVol</stp>
        <tr r="O91" s="5"/>
      </tp>
      <tp>
        <v>0</v>
        <stp/>
        <stp>34404098M11:BlkVol</stp>
        <tr r="O605" s="5"/>
      </tp>
      <tp>
        <v>0</v>
        <stp/>
        <stp>34414099M11:BlkVol</stp>
        <tr r="O90" s="5"/>
      </tp>
      <tp>
        <v>0</v>
        <stp/>
        <stp>34404098M10:BlkVol</stp>
        <tr r="O604" s="5"/>
      </tp>
      <tp>
        <v>0</v>
        <stp/>
        <stp>34414099M10:BlkVol</stp>
        <tr r="O89" s="5"/>
      </tp>
      <tp>
        <v>0</v>
        <stp/>
        <stp>34404098M24:BlkVol</stp>
        <tr r="O618" s="5"/>
      </tp>
      <tp>
        <v>0</v>
        <stp/>
        <stp>34414099M24:BlkVol</stp>
        <tr r="O103" s="5"/>
      </tp>
      <tp>
        <v>0</v>
        <stp/>
        <stp>34404098M23:BlkVol</stp>
        <tr r="O617" s="5"/>
      </tp>
      <tp>
        <v>0</v>
        <stp/>
        <stp>34414099M23:BlkVol</stp>
        <tr r="O102" s="5"/>
      </tp>
      <tp>
        <v>0</v>
        <stp/>
        <stp>34404098M22:BlkVol</stp>
        <tr r="O616" s="5"/>
      </tp>
      <tp>
        <v>0</v>
        <stp/>
        <stp>34414099M22:BlkVol</stp>
        <tr r="O101" s="5"/>
      </tp>
      <tp>
        <v>0</v>
        <stp/>
        <stp>34404098M21:BlkVol</stp>
        <tr r="O615" s="5"/>
      </tp>
      <tp>
        <v>0</v>
        <stp/>
        <stp>34414099M21:BlkVol</stp>
        <tr r="O100" s="5"/>
      </tp>
      <tp>
        <v>0</v>
        <stp/>
        <stp>34404098M20:BlkVol</stp>
        <tr r="O614" s="5"/>
      </tp>
      <tp>
        <v>0</v>
        <stp/>
        <stp>34414099M20:BlkVol</stp>
        <tr r="O99" s="5"/>
      </tp>
    </main>
    <main first="bofaddin.rtdserver">
      <tp>
        <v>494</v>
        <stp/>
        <stp>BDP|1233013521853372272|222</stp>
        <stp>SCPZ28 Comdty</stp>
        <stp>BID</stp>
        <stp>Fill=#N/A</stp>
        <tr r="M46" s="1"/>
      </tp>
      <tp t="s">
        <v>#N/A Invalid Security</v>
        <stp/>
        <stp>BDP|5648323924531451708|222</stp>
        <stp>SCPG28 Comdty</stp>
        <stp>BID</stp>
        <stp>Fill=#N/A</stp>
        <tr r="M36" s="1"/>
      </tp>
      <tp t="s">
        <v>#N/A</v>
        <stp/>
        <stp>BDP|7930588487191471890|222</stp>
        <stp>SCPH30 Comdty</stp>
        <stp>BID</stp>
        <stp>Fill=#N/A</stp>
        <tr r="M61" s="1"/>
      </tp>
      <tp>
        <v>521.4</v>
        <stp/>
        <stp>BDP|3424342478328053254|222</stp>
        <stp>SCPZ27 Comdty</stp>
        <stp>ASK</stp>
        <stp>Fill=#N/A</stp>
        <tr r="M34" s="1"/>
      </tp>
      <tp t="s">
        <v>#N/A Invalid Security</v>
        <stp/>
        <stp>BDP|6535979672792778892|222</stp>
        <stp>SCPK28 Comdty</stp>
        <stp>BID</stp>
        <stp>Fill=#N/A</stp>
        <tr r="M39" s="1"/>
      </tp>
      <tp t="s">
        <v>#N/A Invalid Security</v>
        <stp/>
        <stp>BDP|9015969938526083865|222</stp>
        <stp>SCPX29 Comdty</stp>
        <stp>ASK</stp>
        <stp>Fill=#N/A</stp>
        <tr r="M57" s="1"/>
      </tp>
      <tp>
        <v>226.26</v>
        <stp/>
        <stp>BDP|8460785129262064034|222</stp>
        <stp>XBF8 Comdty</stp>
        <stp>BID</stp>
        <stp>Fill=#N/A</stp>
        <tr r="J35" s="1"/>
      </tp>
      <tp>
        <v>210</v>
        <stp/>
        <stp>BDP|6740594363827172757|222</stp>
        <stp>HOM9 Comdty</stp>
        <stp>BID</stp>
        <stp>Fill=#N/A</stp>
        <tr r="I52" s="1"/>
      </tp>
    </main>
    <main first="ice.rtd">
      <tp>
        <v>110</v>
        <stp/>
        <stp>2322725588B0:Vol</stp>
        <tr r="N2" s="5"/>
      </tp>
      <tp>
        <v>0</v>
        <stp/>
        <stp>2326725628B0:Vol</stp>
        <tr r="N344" s="5"/>
      </tp>
    </main>
    <main first="bofaddin.rtdserver">
      <tp t="s">
        <v>#N/A</v>
        <stp/>
        <stp>BDP|6970856679111151168|222</stp>
        <stp>HOG9 Comdty</stp>
        <stp>ASK</stp>
        <stp>Fill=#N/A</stp>
        <tr r="I48" s="1"/>
      </tp>
    </main>
    <main first="ice.rtd">
      <tp>
        <v>44.64</v>
        <stp/>
        <stp>2326725628B0:Settle</stp>
        <tr r="U344" s="5"/>
      </tp>
    </main>
    <main first="bofaddin.rtdserver">
      <tp t="s">
        <v>#N/A Invalid Security</v>
        <stp/>
        <stp>BDP|6079202932140747868|222</stp>
        <stp>HOM0 Comdty</stp>
        <stp>BID</stp>
        <stp>Fill=#N/A</stp>
        <tr r="I64" s="1"/>
      </tp>
    </main>
    <main first="ice.rtd">
      <tp>
        <v>-199.64700000000002</v>
        <stp/>
        <stp>2180224575B0:Settle</stp>
        <tr r="U1224" s="5"/>
      </tp>
      <tp>
        <v>43</v>
        <stp/>
        <stp>2325425615B0:Settle</stp>
        <tr r="U555" s="5"/>
      </tp>
    </main>
    <main first="esrtd">
      <tp t="s">
        <v/>
        <stp/>
        <stp>TDL C2!-IEU</stp>
        <stp>Ask</stp>
        <tr r="H1847" s="5"/>
      </tp>
    </main>
    <main first="bofaddin.rtdserver">
      <tp t="s">
        <v>#N/A N/A</v>
        <stp/>
        <stp>BDH|298888522544408534</stp>
        <tr r="AV52" s="1"/>
      </tp>
    </main>
    <main first="ice.rtd">
      <tp t="s">
        <v>Sep28</v>
        <stp/>
        <stp>15091310M24:Strip</stp>
        <tr r="E1401" s="5"/>
      </tp>
      <tp t="s">
        <v>Nov27</v>
        <stp/>
        <stp>15091310M14:Strip</stp>
        <tr r="E1391" s="5"/>
      </tp>
    </main>
    <main first="esrtd">
      <tp t="s">
        <v/>
        <stp/>
        <stp>WNS C2!-IEU</stp>
        <stp>Bid</stp>
        <tr r="G1882" s="5"/>
      </tp>
    </main>
    <main first="ice.rtd">
      <tp t="s">
        <v>Mar28</v>
        <stp/>
        <stp>34404098M18:Strip</stp>
        <tr r="E612" s="5"/>
      </tp>
      <tp t="s">
        <v>Mar28</v>
        <stp/>
        <stp>34414099M18:Strip</stp>
        <tr r="E97" s="5"/>
      </tp>
    </main>
    <main first="esrtd">
      <tp t="s">
        <v/>
        <stp/>
        <stp>WMJ C2!-IEU</stp>
        <stp>Bid</stp>
        <tr r="G1917" s="5"/>
      </tp>
      <tp t="s">
        <v/>
        <stp/>
        <stp>WHK C2!-IEU</stp>
        <stp>Bid</stp>
        <tr r="G1952" s="5"/>
      </tp>
      <tp t="s">
        <v/>
        <stp/>
        <stp>Invalid Market: CALCM17 G28-IEU</stp>
        <stp>ICE Theoretical Price</stp>
        <tr r="W862" s="5"/>
        <tr r="W1204" s="5"/>
        <tr r="W400" s="5"/>
        <tr r="W1356" s="5"/>
        <tr r="W286" s="5"/>
        <tr r="W1090" s="5"/>
      </tp>
    </main>
    <main first="ice.rtd">
      <tp t="s">
        <v>Jun28</v>
        <stp/>
        <stp>46678127M21:Strip</stp>
        <tr r="E366" s="5"/>
      </tp>
      <tp t="s">
        <v>Aug27</v>
        <stp/>
        <stp>46678127M11:Strip</stp>
        <tr r="E356" s="5"/>
      </tp>
      <tp t="s">
        <v>Sep28</v>
        <stp/>
        <stp>30813691M24:Strip</stp>
        <tr r="E1977" s="5"/>
      </tp>
      <tp t="s">
        <v>Nov27</v>
        <stp/>
        <stp>30813691M14:Strip</stp>
        <tr r="E1967" s="5"/>
      </tp>
      <tp t="s">
        <v>Feb28</v>
        <stp/>
        <stp>16331513M17:Strip</stp>
        <tr r="E1432" s="5"/>
      </tp>
      <tp t="s">
        <v>Feb28</v>
        <stp/>
        <stp>16341514M17:Strip</stp>
        <tr r="E1470" s="5"/>
      </tp>
      <tp t="s">
        <v>Feb28</v>
        <stp/>
        <stp>16351515M17:Strip</stp>
        <tr r="E1508" s="5"/>
      </tp>
      <tp t="s">
        <v>Nov27</v>
        <stp/>
        <stp>35534143M14:Strip</stp>
        <tr r="E722" s="5"/>
      </tp>
      <tp t="s">
        <v>Nov27</v>
        <stp/>
        <stp>35544144M14:Strip</stp>
        <tr r="E646" s="5"/>
      </tp>
      <tp t="s">
        <v>Nov27</v>
        <stp/>
        <stp>35554145M14:Strip</stp>
        <tr r="E684" s="5"/>
      </tp>
      <tp t="s">
        <v>Sep28</v>
        <stp/>
        <stp>35534143M24:Strip</stp>
        <tr r="E732" s="5"/>
      </tp>
      <tp t="s">
        <v>Sep28</v>
        <stp/>
        <stp>35544144M24:Strip</stp>
        <tr r="E656" s="5"/>
      </tp>
      <tp t="s">
        <v>Sep28</v>
        <stp/>
        <stp>35554145M24:Strip</stp>
        <tr r="E694" s="5"/>
      </tp>
    </main>
    <main first="esrtd">
      <tp t="s">
        <v/>
        <stp/>
        <stp>WDF C2!-IEU</stp>
        <stp>Bid</stp>
        <tr r="G1812" s="5"/>
      </tp>
    </main>
    <main first="ice.rtd">
      <tp t="s">
        <v>Dec27</v>
        <stp/>
        <stp>18871685M15:Strip</stp>
        <tr r="E436" s="5"/>
      </tp>
      <tp t="s">
        <v>Invalid Market: 57179020M16</v>
        <stp/>
        <stp>57179020M16:Strip</stp>
        <tr r="E1563" s="5"/>
      </tp>
      <tp t="s">
        <v>Sep28</v>
        <stp/>
        <stp>18901687M24:Strip</stp>
        <tr r="E331" s="5"/>
      </tp>
      <tp t="s">
        <v>Nov27</v>
        <stp/>
        <stp>18901687M14:Strip</stp>
        <tr r="E321" s="5"/>
      </tp>
      <tp t="s">
        <v>Jul28</v>
        <stp/>
        <stp>57409036M22:Strip</stp>
        <tr r="E253" s="5"/>
      </tp>
      <tp t="s">
        <v>Sep27</v>
        <stp/>
        <stp>57409036M12:Strip</stp>
        <tr r="E243" s="5"/>
      </tp>
      <tp t="s">
        <v>Dec27</v>
        <stp/>
        <stp>18851683M15:Strip</stp>
        <tr r="E208" s="5"/>
      </tp>
      <tp t="s">
        <v>Aug27</v>
        <stp/>
        <stp>2427026287M11:Strip</stp>
        <tr r="E1160" s="5"/>
      </tp>
      <tp t="s">
        <v>Jun28</v>
        <stp/>
        <stp>2427026287M21:Strip</stp>
        <tr r="E1170" s="5"/>
      </tp>
      <tp t="s">
        <v>Jun27</v>
        <stp/>
        <stp>266M9:Strip</stp>
        <tr r="E930" s="5"/>
      </tp>
      <tp t="s">
        <v>Invalid Market: 297449133BM0</v>
        <stp/>
        <stp>297449133BM0:LstDate</stp>
        <tr r="J2026" s="5"/>
      </tp>
      <tp t="s">
        <v>Nov27</v>
        <stp/>
        <stp>2044823525M13:Strip</stp>
        <tr r="E1760" s="5"/>
      </tp>
    </main>
    <main first="esrtd">
      <tp t="s">
        <v/>
        <stp/>
        <stp>TDL 7!-IEU</stp>
        <stp>Block Volume</stp>
        <tr r="O1819" s="5"/>
      </tp>
      <tp t="s">
        <v/>
        <stp/>
        <stp>WDF 4!-IEU</stp>
        <stp>Block Volume</stp>
        <tr r="O1781" s="5"/>
      </tp>
      <tp t="s">
        <v/>
        <stp/>
        <stp>BRN 26VC10750-ICE</stp>
        <stp>OldSetIV</stp>
        <tr r="AO185" s="23"/>
      </tp>
      <tp t="s">
        <v/>
        <stp/>
        <stp>WHK 4!-IEU</stp>
        <stp>Block Volume</stp>
        <tr r="O1921" s="5"/>
      </tp>
    </main>
    <main first="ice.rtd">
      <tp t="s">
        <v>Sep27</v>
        <stp/>
        <stp>1840020882M12:Strip</stp>
        <tr r="E1594" s="5"/>
      </tp>
      <tp t="s">
        <v>Jul27</v>
        <stp/>
        <stp>2427126288M10:Strip</stp>
        <tr r="E1045" s="5"/>
      </tp>
      <tp t="s">
        <v>May28</v>
        <stp/>
        <stp>2427126288M20:Strip</stp>
        <tr r="E1055" s="5"/>
      </tp>
      <tp t="s">
        <v>Dec27</v>
        <stp/>
        <stp>1986823075M15:Strip</stp>
        <tr r="E132" s="5"/>
      </tp>
    </main>
    <main first="esrtd">
      <tp t="s">
        <v/>
        <stp/>
        <stp>WMJ 4!-IEU</stp>
        <stp>Block Volume</stp>
        <tr r="O1886" s="5"/>
      </tp>
    </main>
    <main first="ice.rtd">
      <tp t="s">
        <v>Jan28</v>
        <stp/>
        <stp>2755828679M16:Strip</stp>
        <tr r="E1013" s="5"/>
      </tp>
      <tp t="s">
        <v>Apr28</v>
        <stp/>
        <stp>2755728678M19:Strip</stp>
        <tr r="E1130" s="5"/>
      </tp>
      <tp t="s">
        <v>Sep28</v>
        <stp/>
        <stp>1986923076M24:Strip</stp>
        <tr r="E179" s="5"/>
      </tp>
      <tp t="s">
        <v>Nov27</v>
        <stp/>
        <stp>1986923076M14:Strip</stp>
        <tr r="E169" s="5"/>
      </tp>
    </main>
    <main first="esrtd">
      <tp t="s">
        <v/>
        <stp/>
        <stp>WNS 4!-IEU</stp>
        <stp>Block Volume</stp>
        <tr r="O1851" s="5"/>
      </tp>
    </main>
    <main first="ice.rtd">
      <tp>
        <v>0</v>
        <stp/>
        <stp>141587M24:BlkVol</stp>
        <tr r="O65" s="5"/>
      </tp>
      <tp>
        <v>0</v>
        <stp/>
        <stp>141587M21:BlkVol</stp>
        <tr r="O62" s="5"/>
      </tp>
      <tp>
        <v>0</v>
        <stp/>
        <stp>141587M20:BlkVol</stp>
        <tr r="O61" s="5"/>
      </tp>
      <tp>
        <v>0</v>
        <stp/>
        <stp>141587M23:BlkVol</stp>
        <tr r="O64" s="5"/>
      </tp>
      <tp>
        <v>0</v>
        <stp/>
        <stp>141587M22:BlkVol</stp>
        <tr r="O63" s="5"/>
      </tp>
      <tp>
        <v>0</v>
        <stp/>
        <stp>141587M15:BlkVol</stp>
        <tr r="O56" s="5"/>
      </tp>
      <tp>
        <v>0</v>
        <stp/>
        <stp>141587M14:BlkVol</stp>
        <tr r="O55" s="5"/>
      </tp>
      <tp>
        <v>0</v>
        <stp/>
        <stp>141587M17:BlkVol</stp>
        <tr r="O58" s="5"/>
      </tp>
      <tp>
        <v>0</v>
        <stp/>
        <stp>141587M16:BlkVol</stp>
        <tr r="O57" s="5"/>
      </tp>
      <tp>
        <v>0</v>
        <stp/>
        <stp>141587M11:BlkVol</stp>
        <tr r="O52" s="5"/>
      </tp>
      <tp>
        <v>35</v>
        <stp/>
        <stp>141587M10:BlkVol</stp>
        <tr r="O51" s="5"/>
      </tp>
      <tp>
        <v>0</v>
        <stp/>
        <stp>141587M13:BlkVol</stp>
        <tr r="O54" s="5"/>
      </tp>
      <tp>
        <v>0</v>
        <stp/>
        <stp>141587M12:BlkVol</stp>
        <tr r="O53" s="5"/>
      </tp>
      <tp>
        <v>0</v>
        <stp/>
        <stp>141587M19:BlkVol</stp>
        <tr r="O60" s="5"/>
      </tp>
      <tp>
        <v>0</v>
        <stp/>
        <stp>141587M18:BlkVol</stp>
        <tr r="O59" s="5"/>
      </tp>
    </main>
    <main first="bofaddin.rtdserver">
      <tp t="s">
        <v>#N/A Invalid Security</v>
        <stp/>
        <stp>BDP|4063667431864476422|222</stp>
        <stp>SCPV27 Comdty</stp>
        <stp>BID</stp>
        <stp>Fill=#N/A</stp>
        <tr r="M32" s="1"/>
      </tp>
      <tp>
        <v>580.1</v>
        <stp/>
        <stp>BDP|3960985331481314964|222</stp>
        <stp>SCPG27 Comdty</stp>
        <stp>BID</stp>
        <stp>Fill=#N/A</stp>
        <tr r="M24" s="1"/>
      </tp>
    </main>
    <main first="ice.rtd">
      <tp>
        <v>-5.7469999999999999</v>
        <stp/>
        <stp>1987023077B0:Settle</stp>
        <tr r="U154" s="5"/>
      </tp>
    </main>
    <main first="bofaddin.rtdserver">
      <tp>
        <v>764.25</v>
        <stp/>
        <stp>BDP|8398480131492238707|222</stp>
        <stp>QSM0 Comdty</stp>
        <stp>BID</stp>
        <stp>Fill=#N/A</stp>
        <tr r="H64" s="1"/>
      </tp>
    </main>
    <main first="ice.rtd">
      <tp>
        <v>0</v>
        <stp/>
        <stp>2323825599B0:Vol</stp>
        <tr r="N306" s="5"/>
      </tp>
      <tp>
        <v>0</v>
        <stp/>
        <stp>2325825619B0:Vol</stp>
        <tr r="N40" s="5"/>
      </tp>
      <tp>
        <v>122.27800000000001</v>
        <stp/>
        <stp>1923422331M8:Settle</stp>
        <tr r="U1635" s="5"/>
      </tp>
      <tp>
        <v>119.988</v>
        <stp/>
        <stp>1923422331M9:Settle</stp>
        <tr r="U1636" s="5"/>
      </tp>
      <tp>
        <v>135.21800000000002</v>
        <stp/>
        <stp>1923422331M4:Settle</stp>
        <tr r="U1631" s="5"/>
      </tp>
      <tp>
        <v>131.47800000000001</v>
        <stp/>
        <stp>1923422331M5:Settle</stp>
        <tr r="U1632" s="5"/>
      </tp>
      <tp>
        <v>127.63800000000001</v>
        <stp/>
        <stp>1923422331M6:Settle</stp>
        <tr r="U1633" s="5"/>
      </tp>
      <tp>
        <v>125.22800000000001</v>
        <stp/>
        <stp>1923422331M7:Settle</stp>
        <tr r="U1634" s="5"/>
      </tp>
      <tp>
        <v>154.91900000000001</v>
        <stp/>
        <stp>1923422331M0:Settle</stp>
        <tr r="U1627" s="5"/>
      </tp>
      <tp>
        <v>150.25800000000001</v>
        <stp/>
        <stp>1923422331M1:Settle</stp>
        <tr r="U1628" s="5"/>
      </tp>
      <tp>
        <v>144.648</v>
        <stp/>
        <stp>1923422331M2:Settle</stp>
        <tr r="U1629" s="5"/>
      </tp>
      <tp>
        <v>139.05799999999999</v>
        <stp/>
        <stp>1923422331M3:Settle</stp>
        <tr r="U1630" s="5"/>
      </tp>
      <tp>
        <v>120.92</v>
        <stp/>
        <stp>1923422331Y0:Settle</stp>
        <tr r="U1646" s="5"/>
      </tp>
      <tp>
        <v>144.655</v>
        <stp/>
        <stp>1923422331Q0:Settle</stp>
        <tr r="U1642" s="5"/>
      </tp>
      <tp>
        <v>131.44499999999999</v>
        <stp/>
        <stp>1923422331Q1:Settle</stp>
        <tr r="U1643" s="5"/>
      </tp>
      <tp>
        <v>122.498</v>
        <stp/>
        <stp>1923422331Q2:Settle</stp>
        <tr r="U1644" s="5"/>
      </tp>
      <tp>
        <v>117.63800000000001</v>
        <stp/>
        <stp>1923422331Q3:Settle</stp>
        <tr r="U1645" s="5"/>
      </tp>
      <tp>
        <v>0.02</v>
        <stp/>
        <stp>2185624628B0:Settle</stp>
        <tr r="U745" s="5"/>
      </tp>
    </main>
    <main first="bofaddin.rtdserver">
      <tp>
        <v>899.25</v>
        <stp/>
        <stp>BDP|9933434046530699968|222</stp>
        <stp>QSH8 Comdty</stp>
        <stp>ASK</stp>
        <stp>Fill=#N/A</stp>
        <tr r="H37" s="1"/>
      </tp>
      <tp t="s">
        <v>#N/A Invalid Security</v>
        <stp/>
        <stp>BDP|8828567587488352695|222</stp>
        <stp>CLJ0 Comdty</stp>
        <stp>ASK</stp>
        <stp>Fill=#N/A</stp>
        <tr r="F62" s="1"/>
      </tp>
      <tp t="s">
        <v>#N/A Invalid Security</v>
        <stp/>
        <stp>BDP|2208026381586874288|222</stp>
        <stp>COH0 Comdty</stp>
        <stp>BID</stp>
        <stp>Fill=#N/A</stp>
        <tr r="G61" s="1"/>
      </tp>
      <tp>
        <v>76.010000000000005</v>
        <stp/>
        <stp>BDP|5145341085198762033|222</stp>
        <stp>COJ8 Comdty</stp>
        <stp>ASK</stp>
        <stp>Fill=#N/A</stp>
        <tr r="G38" s="1"/>
      </tp>
      <tp>
        <v>269.20999999999998</v>
        <stp/>
        <stp>BDP|3931989653037175731|222</stp>
        <stp>XBH7 Comdty</stp>
        <stp>BID</stp>
        <stp>Fill=#N/A</stp>
        <tr r="J25" s="1"/>
      </tp>
    </main>
    <main first="ice.rtd">
      <tp>
        <v>0</v>
        <stp/>
        <stp>1840020882M9:Vol</stp>
        <tr r="N1591" s="5"/>
      </tp>
      <tp>
        <v>0</v>
        <stp/>
        <stp>1840020882M8:Vol</stp>
        <tr r="N1590" s="5"/>
      </tp>
      <tp>
        <v>0</v>
        <stp/>
        <stp>1840020882M7:Vol</stp>
        <tr r="N1589" s="5"/>
      </tp>
      <tp>
        <v>0</v>
        <stp/>
        <stp>1840020882M6:Vol</stp>
        <tr r="N1588" s="5"/>
      </tp>
      <tp>
        <v>0</v>
        <stp/>
        <stp>1840020882M5:Vol</stp>
        <tr r="N1587" s="5"/>
      </tp>
      <tp>
        <v>0</v>
        <stp/>
        <stp>1840020882M4:Vol</stp>
        <tr r="N1586" s="5"/>
      </tp>
      <tp>
        <v>0</v>
        <stp/>
        <stp>1840020882M3:Vol</stp>
        <tr r="N1585" s="5"/>
      </tp>
      <tp>
        <v>0</v>
        <stp/>
        <stp>1840020882M2:Vol</stp>
        <tr r="N1584" s="5"/>
      </tp>
      <tp>
        <v>0</v>
        <stp/>
        <stp>1840020882M1:Vol</stp>
        <tr r="N1583" s="5"/>
      </tp>
      <tp>
        <v>0</v>
        <stp/>
        <stp>1840020882M0:Vol</stp>
        <tr r="N1582" s="5"/>
      </tp>
      <tp>
        <v>-9.4429999999999996</v>
        <stp/>
        <stp>1581618115M8:Settle</stp>
        <tr r="U467" s="5"/>
      </tp>
      <tp>
        <v>-9.1029999999999998</v>
        <stp/>
        <stp>1581618115M9:Settle</stp>
        <tr r="U468" s="5"/>
      </tp>
      <tp>
        <v>-3.9630000000000001</v>
        <stp/>
        <stp>1581618115M4:Settle</stp>
        <tr r="U463" s="5"/>
      </tp>
      <tp>
        <v>-4.2330000000000005</v>
        <stp/>
        <stp>1581618115M5:Settle</stp>
        <tr r="U464" s="5"/>
      </tp>
      <tp>
        <v>-4.8920000000000003</v>
        <stp/>
        <stp>1581618115M6:Settle</stp>
        <tr r="U465" s="5"/>
      </tp>
      <tp>
        <v>-9.3840000000000003</v>
        <stp/>
        <stp>1581618115M7:Settle</stp>
        <tr r="U466" s="5"/>
      </tp>
      <tp>
        <v>-21.692</v>
        <stp/>
        <stp>1581618115M0:Settle</stp>
        <tr r="U459" s="5"/>
      </tp>
      <tp>
        <v>-10.4</v>
        <stp/>
        <stp>1581618115M1:Settle</stp>
        <tr r="U460" s="5"/>
      </tp>
      <tp>
        <v>-6.3660000000000005</v>
        <stp/>
        <stp>1581618115M2:Settle</stp>
        <tr r="U461" s="5"/>
      </tp>
      <tp>
        <v>-4.0940000000000003</v>
        <stp/>
        <stp>1581618115M3:Settle</stp>
        <tr r="U462" s="5"/>
      </tp>
      <tp t="s">
        <v>Invalid Market: 1581618115B0</v>
        <stp/>
        <stp>1581618115B0:Settle</stp>
        <tr r="U458" s="5"/>
      </tp>
      <tp>
        <v>-5.8440000000000003</v>
        <stp/>
        <stp>1581618115Y0:Settle</stp>
        <tr r="U478" s="5"/>
      </tp>
      <tp>
        <v>-6.9530000000000003</v>
        <stp/>
        <stp>1581618115Q0:Settle</stp>
        <tr r="U474" s="5"/>
      </tp>
      <tp>
        <v>-4.3630000000000004</v>
        <stp/>
        <stp>1581618115Q1:Settle</stp>
        <tr r="U475" s="5"/>
      </tp>
      <tp>
        <v>-9.31</v>
        <stp/>
        <stp>1581618115Q2:Settle</stp>
        <tr r="U476" s="5"/>
      </tp>
      <tp>
        <v>-7.9380000000000006</v>
        <stp/>
        <stp>1581618115Q3:Settle</stp>
        <tr r="U477" s="5"/>
      </tp>
      <tp>
        <v>0</v>
        <stp/>
        <stp>1840020882Q4:Vol</stp>
        <tr r="N1603" s="5"/>
      </tp>
      <tp>
        <v>0</v>
        <stp/>
        <stp>1840020882Q3:Vol</stp>
        <tr r="N1602" s="5"/>
      </tp>
      <tp>
        <v>0</v>
        <stp/>
        <stp>1840020882Q2:Vol</stp>
        <tr r="N1601" s="5"/>
      </tp>
      <tp>
        <v>0</v>
        <stp/>
        <stp>1840020882Q1:Vol</stp>
        <tr r="N1600" s="5"/>
      </tp>
      <tp>
        <v>0</v>
        <stp/>
        <stp>1840020882Q0:Vol</stp>
        <tr r="N1599" s="5"/>
      </tp>
      <tp>
        <v>0</v>
        <stp/>
        <stp>1840020882Y0:Vol</stp>
        <tr r="N1604" s="5"/>
      </tp>
    </main>
    <main first="esrtd">
      <tp t="s">
        <v/>
        <stp/>
        <stp>TDL C2!-IEU</stp>
        <stp>Block Price</stp>
        <tr r="K1847" s="5"/>
      </tp>
    </main>
    <main first="ice.rtd">
      <tp t="s">
        <v>MFR</v>
        <stp/>
        <stp>2427126288M9:PCC</stp>
        <tr r="B1044" s="5"/>
      </tp>
      <tp t="s">
        <v>MFR</v>
        <stp/>
        <stp>2427126288M8:PCC</stp>
        <tr r="B1043" s="5"/>
      </tp>
      <tp t="s">
        <v>MFR</v>
        <stp/>
        <stp>2427126288M5:PCC</stp>
        <tr r="B1040" s="5"/>
      </tp>
      <tp t="s">
        <v>MFR</v>
        <stp/>
        <stp>2427126288M4:PCC</stp>
        <tr r="B1039" s="5"/>
      </tp>
      <tp t="s">
        <v>MFR</v>
        <stp/>
        <stp>2427126288M7:PCC</stp>
        <tr r="B1042" s="5"/>
      </tp>
      <tp t="s">
        <v>MFR</v>
        <stp/>
        <stp>2427126288M6:PCC</stp>
        <tr r="B1041" s="5"/>
      </tp>
      <tp t="s">
        <v>MFR</v>
        <stp/>
        <stp>2427126288M1:PCC</stp>
        <tr r="B1036" s="5"/>
      </tp>
      <tp t="s">
        <v>MFR</v>
        <stp/>
        <stp>2427126288M0:PCC</stp>
        <tr r="B1035" s="5"/>
      </tp>
      <tp t="s">
        <v>MFR</v>
        <stp/>
        <stp>2427126288M3:PCC</stp>
        <tr r="B1038" s="5"/>
      </tp>
      <tp t="s">
        <v>MFR</v>
        <stp/>
        <stp>2427126288M2:PCC</stp>
        <tr r="B1037" s="5"/>
      </tp>
      <tp t="s">
        <v>BAP</v>
        <stp/>
        <stp>1986823075M8:PCC</stp>
        <tr r="B125" s="5"/>
      </tp>
      <tp t="s">
        <v>BAP</v>
        <stp/>
        <stp>1986823075M9:PCC</stp>
        <tr r="B126" s="5"/>
      </tp>
      <tp t="s">
        <v>BAP</v>
        <stp/>
        <stp>1986823075M6:PCC</stp>
        <tr r="B123" s="5"/>
      </tp>
      <tp t="s">
        <v>BAP</v>
        <stp/>
        <stp>1986823075M7:PCC</stp>
        <tr r="B124" s="5"/>
      </tp>
      <tp t="s">
        <v>BAP</v>
        <stp/>
        <stp>1986823075M4:PCC</stp>
        <tr r="B121" s="5"/>
      </tp>
      <tp t="s">
        <v>BAP</v>
        <stp/>
        <stp>1986823075M5:PCC</stp>
        <tr r="B122" s="5"/>
      </tp>
      <tp t="s">
        <v>BAP</v>
        <stp/>
        <stp>1986823075M2:PCC</stp>
        <tr r="B119" s="5"/>
      </tp>
      <tp t="s">
        <v>BAP</v>
        <stp/>
        <stp>1986823075M3:PCC</stp>
        <tr r="B120" s="5"/>
      </tp>
      <tp t="s">
        <v>BAP</v>
        <stp/>
        <stp>1986823075M0:PCC</stp>
        <tr r="B117" s="5"/>
      </tp>
      <tp t="s">
        <v>BAP</v>
        <stp/>
        <stp>1986823075M1:PCC</stp>
        <tr r="B118" s="5"/>
      </tp>
    </main>
    <main first="esrtd">
      <tp t="s">
        <v/>
        <stp/>
        <stp>WHK 9!-IEU</stp>
        <stp>Recent Settlement</stp>
        <tr r="U1926" s="5"/>
      </tp>
      <tp t="s">
        <v/>
        <stp/>
        <stp>WHK 8!-IEU</stp>
        <stp>Recent Settlement</stp>
        <tr r="U1925" s="5"/>
      </tp>
      <tp t="s">
        <v/>
        <stp/>
        <stp>WHK 3!-IEU</stp>
        <stp>Recent Settlement</stp>
        <tr r="U1920" s="5"/>
      </tp>
      <tp t="s">
        <v/>
        <stp/>
        <stp>WHK 2!-IEU</stp>
        <stp>Recent Settlement</stp>
        <tr r="U1919" s="5"/>
      </tp>
      <tp t="s">
        <v/>
        <stp/>
        <stp>WHK 1!-IEU</stp>
        <stp>Recent Settlement</stp>
        <tr r="U1918" s="5"/>
      </tp>
      <tp t="s">
        <v/>
        <stp/>
        <stp>WHK 7!-IEU</stp>
        <stp>Recent Settlement</stp>
        <tr r="U1924" s="5"/>
      </tp>
      <tp t="s">
        <v/>
        <stp/>
        <stp>WHK 6!-IEU</stp>
        <stp>Recent Settlement</stp>
        <tr r="U1923" s="5"/>
      </tp>
      <tp t="s">
        <v/>
        <stp/>
        <stp>WHK 5!-IEU</stp>
        <stp>Recent Settlement</stp>
        <tr r="U1922" s="5"/>
      </tp>
      <tp t="s">
        <v/>
        <stp/>
        <stp>WHK 4!-IEU</stp>
        <stp>Recent Settlement</stp>
        <tr r="U1921" s="5"/>
      </tp>
    </main>
    <main first="ice.rtd">
      <tp t="s">
        <v>BAP</v>
        <stp/>
        <stp>1986823075Q8:PCC</stp>
        <tr r="B150" s="5"/>
      </tp>
      <tp t="s">
        <v>BAP</v>
        <stp/>
        <stp>1986823075Q6:PCC</stp>
        <tr r="B148" s="5"/>
      </tp>
      <tp t="s">
        <v>BAP</v>
        <stp/>
        <stp>1986823075Q7:PCC</stp>
        <tr r="B149" s="5"/>
      </tp>
      <tp t="s">
        <v>BAP</v>
        <stp/>
        <stp>1986823075Q4:PCC</stp>
        <tr r="B146" s="5"/>
      </tp>
      <tp t="s">
        <v>BAP</v>
        <stp/>
        <stp>1986823075Q5:PCC</stp>
        <tr r="B147" s="5"/>
      </tp>
      <tp t="s">
        <v>BAP</v>
        <stp/>
        <stp>1986823075Q2:PCC</stp>
        <tr r="B144" s="5"/>
      </tp>
      <tp t="s">
        <v>BAP</v>
        <stp/>
        <stp>1986823075Q3:PCC</stp>
        <tr r="B145" s="5"/>
      </tp>
      <tp t="s">
        <v>BAP</v>
        <stp/>
        <stp>1986823075Q0:PCC</stp>
        <tr r="B142" s="5"/>
      </tp>
      <tp t="s">
        <v>BAP</v>
        <stp/>
        <stp>1986823075Q1:PCC</stp>
        <tr r="B143" s="5"/>
      </tp>
      <tp t="s">
        <v>MFR</v>
        <stp/>
        <stp>2427126288Y1:PCC</stp>
        <tr r="B1070" s="5"/>
      </tp>
      <tp t="s">
        <v>MFR</v>
        <stp/>
        <stp>2427126288Y0:PCC</stp>
        <tr r="B1069" s="5"/>
      </tp>
      <tp t="s">
        <v>MFR</v>
        <stp/>
        <stp>2427126288Y2:PCC</stp>
        <tr r="B1071" s="5"/>
      </tp>
      <tp t="s">
        <v>BAP</v>
        <stp/>
        <stp>1986823075Y2:PCC</stp>
        <tr r="B153" s="5"/>
      </tp>
      <tp t="s">
        <v>BAP</v>
        <stp/>
        <stp>1986823075Y0:PCC</stp>
        <tr r="B151" s="5"/>
      </tp>
      <tp t="s">
        <v>BAP</v>
        <stp/>
        <stp>1986823075Y1:PCC</stp>
        <tr r="B152" s="5"/>
      </tp>
      <tp>
        <v>5.3</v>
        <stp/>
        <stp>161913535MM22:BstLiftPrc</stp>
        <tr r="H2049" s="5"/>
      </tp>
      <tp t="s">
        <v/>
        <stp/>
        <stp>161913535MM23:BstLiftPrc</stp>
        <tr r="H2050" s="5"/>
      </tp>
      <tp t="s">
        <v/>
        <stp/>
        <stp>161913535MM20:BstLiftPrc</stp>
        <tr r="H2047" s="5"/>
      </tp>
      <tp t="s">
        <v/>
        <stp/>
        <stp>161913535MM21:BstLiftPrc</stp>
        <tr r="H2048" s="5"/>
      </tp>
      <tp t="s">
        <v/>
        <stp/>
        <stp>161913535MM26:BstLiftPrc</stp>
        <tr r="H2053" s="5"/>
      </tp>
      <tp t="s">
        <v/>
        <stp/>
        <stp>161913535MM27:BstLiftPrc</stp>
        <tr r="H2054" s="5"/>
      </tp>
      <tp t="s">
        <v/>
        <stp/>
        <stp>161913535MM24:BstLiftPrc</stp>
        <tr r="H2051" s="5"/>
      </tp>
      <tp t="s">
        <v/>
        <stp/>
        <stp>161913535MM25:BstLiftPrc</stp>
        <tr r="H2052" s="5"/>
      </tp>
      <tp>
        <v>6.4</v>
        <stp/>
        <stp>161913535MM12:BstLiftPrc</stp>
        <tr r="H2039" s="5"/>
      </tp>
      <tp t="s">
        <v/>
        <stp/>
        <stp>161913535MM13:BstLiftPrc</stp>
        <tr r="H2040" s="5"/>
      </tp>
      <tp t="s">
        <v/>
        <stp/>
        <stp>161913535MM10:BstLiftPrc</stp>
        <tr r="H2037" s="5"/>
      </tp>
      <tp t="s">
        <v/>
        <stp/>
        <stp>161913535MM11:BstLiftPrc</stp>
        <tr r="H2038" s="5"/>
      </tp>
      <tp t="s">
        <v/>
        <stp/>
        <stp>161913535MM16:BstLiftPrc</stp>
        <tr r="H2043" s="5"/>
      </tp>
      <tp t="s">
        <v/>
        <stp/>
        <stp>161913535MM17:BstLiftPrc</stp>
        <tr r="H2044" s="5"/>
      </tp>
      <tp t="s">
        <v/>
        <stp/>
        <stp>161913535MM14:BstLiftPrc</stp>
        <tr r="H2041" s="5"/>
      </tp>
      <tp t="s">
        <v/>
        <stp/>
        <stp>161913535MM15:BstLiftPrc</stp>
        <tr r="H2042" s="5"/>
      </tp>
      <tp t="s">
        <v/>
        <stp/>
        <stp>161913535MM18:BstLiftPrc</stp>
        <tr r="H2045" s="5"/>
      </tp>
      <tp t="s">
        <v/>
        <stp/>
        <stp>161913535MM19:BstLiftPrc</stp>
        <tr r="H2046" s="5"/>
      </tp>
      <tp t="s">
        <v>MFR</v>
        <stp/>
        <stp>2427126288Q8:PCC</stp>
        <tr r="B1068" s="5"/>
      </tp>
      <tp t="s">
        <v>MFR</v>
        <stp/>
        <stp>2427126288Q5:PCC</stp>
        <tr r="B1065" s="5"/>
      </tp>
      <tp t="s">
        <v>MFR</v>
        <stp/>
        <stp>2427126288Q4:PCC</stp>
        <tr r="B1064" s="5"/>
      </tp>
      <tp t="s">
        <v>MFR</v>
        <stp/>
        <stp>2427126288Q7:PCC</stp>
        <tr r="B1067" s="5"/>
      </tp>
      <tp t="s">
        <v>MFR</v>
        <stp/>
        <stp>2427126288Q6:PCC</stp>
        <tr r="B1066" s="5"/>
      </tp>
      <tp t="s">
        <v>MFR</v>
        <stp/>
        <stp>2427126288Q1:PCC</stp>
        <tr r="B1061" s="5"/>
      </tp>
      <tp t="s">
        <v>MFR</v>
        <stp/>
        <stp>2427126288Q0:PCC</stp>
        <tr r="B1060" s="5"/>
      </tp>
      <tp t="s">
        <v>MFR</v>
        <stp/>
        <stp>2427126288Q3:PCC</stp>
        <tr r="B1063" s="5"/>
      </tp>
      <tp t="s">
        <v>MFR</v>
        <stp/>
        <stp>2427126288Q2:PCC</stp>
        <tr r="B1062" s="5"/>
      </tp>
    </main>
    <main first="bofaddin.rtdserver">
      <tp t="s">
        <v>#N/A N/A</v>
        <stp/>
        <stp>BDH|858609985313380711</stp>
        <tr r="J27" s="14"/>
      </tp>
      <tp t="s">
        <v>#N/A Real Time</v>
        <stp/>
        <stp>BDP|760592291768611172|22</stp>
        <stp>COU6P 70.00 Comdty</stp>
        <stp>DELTA_MID_RT</stp>
        <tr r="B72" s="23"/>
        <tr r="B51" s="23"/>
        <tr r="B53" s="23"/>
        <tr r="B11" s="23"/>
        <tr r="B81" s="23"/>
      </tp>
      <tp t="s">
        <v>#N/A N/A</v>
        <stp/>
        <stp>BDH|590651081213029766</stp>
        <tr r="BC21" s="1"/>
      </tp>
    </main>
    <main first="ice.rtd">
      <tp t="s">
        <v>Dec27</v>
        <stp/>
        <stp>15091310M15:Strip</stp>
        <tr r="E1392" s="5"/>
      </tp>
      <tp t="s">
        <v>Apr28</v>
        <stp/>
        <stp>34404098M19:Strip</stp>
        <tr r="E613" s="5"/>
      </tp>
      <tp t="s">
        <v>Apr28</v>
        <stp/>
        <stp>34414099M19:Strip</stp>
        <tr r="E98" s="5"/>
      </tp>
    </main>
    <main first="esrtd">
      <tp t="s">
        <v/>
        <stp/>
        <stp>Invalid Market: CALCM16 F28-IEU</stp>
        <stp>ICE Theoretical Price</stp>
        <tr r="W399" s="5"/>
        <tr r="W1355" s="5"/>
        <tr r="W861" s="5"/>
        <tr r="W1203" s="5"/>
        <tr r="W1089" s="5"/>
        <tr r="W285" s="5"/>
      </tp>
    </main>
    <main first="ice.rtd">
      <tp t="s">
        <v>May28</v>
        <stp/>
        <stp>46678127M20:Strip</stp>
        <tr r="E365" s="5"/>
      </tp>
      <tp t="s">
        <v>Jul27</v>
        <stp/>
        <stp>46678127M10:Strip</stp>
        <tr r="E355" s="5"/>
      </tp>
      <tp t="s">
        <v>Dec27</v>
        <stp/>
        <stp>30813691M15:Strip</stp>
        <tr r="E1968" s="5"/>
      </tp>
      <tp t="s">
        <v>Jan28</v>
        <stp/>
        <stp>16331513M16:Strip</stp>
        <tr r="E1431" s="5"/>
      </tp>
      <tp t="s">
        <v>Jan28</v>
        <stp/>
        <stp>16341514M16:Strip</stp>
        <tr r="E1469" s="5"/>
      </tp>
      <tp t="s">
        <v>Jan28</v>
        <stp/>
        <stp>16351515M16:Strip</stp>
        <tr r="E1507" s="5"/>
      </tp>
      <tp t="s">
        <v>Dec27</v>
        <stp/>
        <stp>35534143M15:Strip</stp>
        <tr r="E723" s="5"/>
      </tp>
      <tp t="s">
        <v>Dec27</v>
        <stp/>
        <stp>35544144M15:Strip</stp>
        <tr r="E647" s="5"/>
      </tp>
      <tp t="s">
        <v>Dec27</v>
        <stp/>
        <stp>35554145M15:Strip</stp>
        <tr r="E685" s="5"/>
      </tp>
      <tp t="s">
        <v>Sep28</v>
        <stp/>
        <stp>18871685M24:Strip</stp>
        <tr r="E445" s="5"/>
      </tp>
      <tp t="s">
        <v>Nov27</v>
        <stp/>
        <stp>18871685M14:Strip</stp>
        <tr r="E435" s="5"/>
      </tp>
      <tp t="s">
        <v>Invalid Market: 57179020M17</v>
        <stp/>
        <stp>57179020M17:Strip</stp>
        <tr r="E1564" s="5"/>
      </tp>
      <tp t="s">
        <v>Dec27</v>
        <stp/>
        <stp>18901687M15:Strip</stp>
        <tr r="E322" s="5"/>
      </tp>
      <tp t="s">
        <v>Aug28</v>
        <stp/>
        <stp>57409036M23:Strip</stp>
        <tr r="E254" s="5"/>
      </tp>
      <tp t="s">
        <v>Oct27</v>
        <stp/>
        <stp>57409036M13:Strip</stp>
        <tr r="E244" s="5"/>
      </tp>
      <tp t="s">
        <v>Sep28</v>
        <stp/>
        <stp>18851683M24:Strip</stp>
        <tr r="E217" s="5"/>
      </tp>
      <tp t="s">
        <v>Nov27</v>
        <stp/>
        <stp>18851683M14:Strip</stp>
        <tr r="E207" s="5"/>
      </tp>
      <tp t="s">
        <v>Jul27</v>
        <stp/>
        <stp>2427026287M10:Strip</stp>
        <tr r="E1159" s="5"/>
      </tp>
      <tp t="s">
        <v>May28</v>
        <stp/>
        <stp>2427026287M20:Strip</stp>
        <tr r="E1169" s="5"/>
      </tp>
      <tp t="s">
        <v>May27</v>
        <stp/>
        <stp>266M8:Strip</stp>
        <tr r="E929" s="5"/>
      </tp>
      <tp t="s">
        <v>Q4 28</v>
        <stp/>
        <stp>266Q8:Strip</stp>
        <tr r="E954" s="5"/>
      </tp>
      <tp t="s">
        <v>Oct27</v>
        <stp/>
        <stp>2044823525M12:Strip</stp>
        <tr r="E1759" s="5"/>
      </tp>
      <tp t="s">
        <v>Invalid Market: 2044823525M22</v>
        <stp/>
        <stp>2044823525M22:Strip</stp>
        <tr r="E1769" s="5"/>
      </tp>
    </main>
    <main first="esrtd">
      <tp t="s">
        <v/>
        <stp/>
        <stp>TDL 6!-IEU</stp>
        <stp>Block Volume</stp>
        <tr r="O1818" s="5"/>
      </tp>
      <tp t="s">
        <v/>
        <stp/>
        <stp>WDF 5!-IEU</stp>
        <stp>Block Volume</stp>
        <tr r="O1782" s="5"/>
      </tp>
      <tp t="s">
        <v/>
        <stp/>
        <stp>WHK 5!-IEU</stp>
        <stp>Block Volume</stp>
        <tr r="O1922" s="5"/>
      </tp>
    </main>
    <main first="ice.rtd">
      <tp t="s">
        <v>Oct27</v>
        <stp/>
        <stp>1840020882M13:Strip</stp>
        <tr r="E1595" s="5"/>
      </tp>
      <tp t="s">
        <v>Aug27</v>
        <stp/>
        <stp>2427126288M11:Strip</stp>
        <tr r="E1046" s="5"/>
      </tp>
      <tp t="s">
        <v>Jun28</v>
        <stp/>
        <stp>2427126288M21:Strip</stp>
        <tr r="E1056" s="5"/>
      </tp>
      <tp t="s">
        <v>Sep28</v>
        <stp/>
        <stp>1986823075M24:Strip</stp>
        <tr r="E141" s="5"/>
      </tp>
      <tp t="s">
        <v>Nov27</v>
        <stp/>
        <stp>1986823075M14:Strip</stp>
        <tr r="E131" s="5"/>
      </tp>
    </main>
    <main first="esrtd">
      <tp t="s">
        <v/>
        <stp/>
        <stp>WMJ 5!-IEU</stp>
        <stp>Block Volume</stp>
        <tr r="O1887" s="5"/>
      </tp>
    </main>
    <main first="bofaddin.rtdserver">
      <tp>
        <v>6.7723500000000003</v>
        <stp/>
        <stp>BFXFORWARD|17224978631482200790|222</stp>
        <stp>USDCNY</stp>
        <stp>2W</stp>
        <stp>MidOutright</stp>
        <tr r="BD20" s="1"/>
      </tp>
    </main>
    <main first="ice.rtd">
      <tp t="s">
        <v>Feb28</v>
        <stp/>
        <stp>2755828679M17:Strip</stp>
        <tr r="E1014" s="5"/>
      </tp>
      <tp t="s">
        <v>Mar28</v>
        <stp/>
        <stp>2755728678M18:Strip</stp>
        <tr r="E1129" s="5"/>
      </tp>
      <tp t="s">
        <v>Dec27</v>
        <stp/>
        <stp>1986923076M15:Strip</stp>
        <tr r="E170" s="5"/>
      </tp>
    </main>
    <main first="esrtd">
      <tp t="s">
        <v/>
        <stp/>
        <stp>WNS 5!-IEU</stp>
        <stp>Block Volume</stp>
        <tr r="O1852" s="5"/>
      </tp>
    </main>
    <main first="bofaddin.rtdserver">
      <tp t="s">
        <v>#N/A Invalid Security</v>
        <stp/>
        <stp>BDP|5256804966922596654|222</stp>
        <stp>SCPG29 Comdty</stp>
        <stp>ASK</stp>
        <stp>Fill=#N/A</stp>
        <tr r="M48" s="1"/>
      </tp>
    </main>
    <main first="ice.rtd">
      <tp>
        <v>0</v>
        <stp/>
        <stp>30793693M24:BlkVol</stp>
        <tr r="O907" s="5"/>
      </tp>
      <tp>
        <v>0</v>
        <stp/>
        <stp>30793693M20:BlkVol</stp>
        <tr r="O903" s="5"/>
      </tp>
      <tp>
        <v>0</v>
        <stp/>
        <stp>30793693M21:BlkVol</stp>
        <tr r="O904" s="5"/>
      </tp>
      <tp>
        <v>0</v>
        <stp/>
        <stp>30793693M22:BlkVol</stp>
        <tr r="O905" s="5"/>
      </tp>
      <tp>
        <v>0</v>
        <stp/>
        <stp>30793693M23:BlkVol</stp>
        <tr r="O906" s="5"/>
      </tp>
      <tp>
        <v>0</v>
        <stp/>
        <stp>30793693M18:BlkVol</stp>
        <tr r="O901" s="5"/>
      </tp>
      <tp>
        <v>0</v>
        <stp/>
        <stp>30793693M19:BlkVol</stp>
        <tr r="O902" s="5"/>
      </tp>
      <tp>
        <v>0</v>
        <stp/>
        <stp>30793693M14:BlkVol</stp>
        <tr r="O897" s="5"/>
      </tp>
      <tp>
        <v>0</v>
        <stp/>
        <stp>30793693M15:BlkVol</stp>
        <tr r="O898" s="5"/>
      </tp>
      <tp>
        <v>0</v>
        <stp/>
        <stp>30793693M16:BlkVol</stp>
        <tr r="O899" s="5"/>
      </tp>
      <tp>
        <v>0</v>
        <stp/>
        <stp>30793693M17:BlkVol</stp>
        <tr r="O900" s="5"/>
      </tp>
      <tp>
        <v>0</v>
        <stp/>
        <stp>30793693M10:BlkVol</stp>
        <tr r="O893" s="5"/>
      </tp>
      <tp>
        <v>0</v>
        <stp/>
        <stp>30793693M11:BlkVol</stp>
        <tr r="O894" s="5"/>
      </tp>
      <tp>
        <v>0</v>
        <stp/>
        <stp>30793693M12:BlkVol</stp>
        <tr r="O895" s="5"/>
      </tp>
      <tp>
        <v>0</v>
        <stp/>
        <stp>30793693M13:BlkVol</stp>
        <tr r="O896" s="5"/>
      </tp>
    </main>
    <main first="bofaddin.rtdserver">
      <tp t="s">
        <v>#N/A</v>
        <stp/>
        <stp>BDP|4745936293566210677|222</stp>
        <stp>QSU9 Comdty</stp>
        <stp>ASK</stp>
        <stp>Fill=#N/A</stp>
        <tr r="H55" s="1"/>
      </tp>
    </main>
    <main first="ice.rtd">
      <tp>
        <v>50</v>
        <stp/>
        <stp>1517M8:Vol</stp>
        <tr r="N11" s="5"/>
      </tp>
      <tp>
        <v>0</v>
        <stp/>
        <stp>1517M9:Vol</stp>
        <tr r="N12" s="5"/>
      </tp>
      <tp>
        <v>110</v>
        <stp/>
        <stp>1517M0:Vol</stp>
        <tr r="N3" s="5"/>
      </tp>
      <tp>
        <v>447</v>
        <stp/>
        <stp>1517M1:Vol</stp>
        <tr r="N4" s="5"/>
      </tp>
      <tp>
        <v>354</v>
        <stp/>
        <stp>1517M2:Vol</stp>
        <tr r="N5" s="5"/>
      </tp>
      <tp>
        <v>132</v>
        <stp/>
        <stp>1517M3:Vol</stp>
        <tr r="N6" s="5"/>
      </tp>
      <tp>
        <v>30</v>
        <stp/>
        <stp>1517M4:Vol</stp>
        <tr r="N7" s="5"/>
      </tp>
      <tp>
        <v>0</v>
        <stp/>
        <stp>1517M5:Vol</stp>
        <tr r="N8" s="5"/>
      </tp>
      <tp>
        <v>0</v>
        <stp/>
        <stp>1517M6:Vol</stp>
        <tr r="N9" s="5"/>
      </tp>
      <tp>
        <v>50</v>
        <stp/>
        <stp>1517M7:Vol</stp>
        <tr r="N10" s="5"/>
      </tp>
    </main>
    <main first="bofaddin.rtdserver">
      <tp>
        <v>343.77</v>
        <stp/>
        <stp>BDP|9328178276936083231|222</stp>
        <stp>HOQ7 Comdty</stp>
        <stp>BID</stp>
        <stp>Fill=#N/A</stp>
        <tr r="I30" s="1"/>
      </tp>
      <tp t="s">
        <v>#N/A Invalid Security</v>
        <stp/>
        <stp>BDP|5484408983088441975|222</stp>
        <stp>CLU8 Comdty</stp>
        <stp>ASK</stp>
        <stp>Fill=#N/A</stp>
        <tr r="F43" s="1"/>
      </tp>
      <tp t="s">
        <v>#N/A</v>
        <stp/>
        <stp>BDP|1421430767414333920|222</stp>
        <stp>XBQ8 Comdty</stp>
        <stp>ASK</stp>
        <stp>Fill=#N/A</stp>
        <tr r="J42" s="1"/>
      </tp>
      <tp>
        <v>281.7</v>
        <stp/>
        <stp>BDP|6689041101448898005|222</stp>
        <stp>XBZ6 Comdty</stp>
        <stp>BID</stp>
        <stp>Fill=#N/A</stp>
        <tr r="J22" s="1"/>
      </tp>
      <tp>
        <v>297.29000000000002</v>
        <stp/>
        <stp>BDP|4497312061840842624|222</stp>
        <stp>XBX6 Comdty</stp>
        <stp>BID</stp>
        <stp>Fill=#N/A</stp>
        <tr r="J21" s="1"/>
      </tp>
    </main>
    <main first="ice.rtd">
      <tp>
        <v>0</v>
        <stp/>
        <stp>1517Y0:Vol</stp>
        <tr r="N37" s="5"/>
      </tp>
      <tp>
        <v>0</v>
        <stp/>
        <stp>1517Y1:Vol</stp>
        <tr r="N38" s="5"/>
      </tp>
      <tp>
        <v>0</v>
        <stp/>
        <stp>1517Y2:Vol</stp>
        <tr r="N39" s="5"/>
      </tp>
    </main>
    <main first="ice.rtd">
      <tp>
        <v>3</v>
        <stp/>
        <stp>1517Q8:Vol</stp>
        <tr r="N36" s="5"/>
      </tp>
      <tp>
        <v>0</v>
        <stp/>
        <stp>1517Q0:Vol</stp>
        <tr r="N28" s="5"/>
      </tp>
      <tp>
        <v>0</v>
        <stp/>
        <stp>1517Q1:Vol</stp>
        <tr r="N29" s="5"/>
      </tp>
      <tp>
        <v>0</v>
        <stp/>
        <stp>1517Q2:Vol</stp>
        <tr r="N30" s="5"/>
      </tp>
      <tp>
        <v>0</v>
        <stp/>
        <stp>1517Q3:Vol</stp>
        <tr r="N31" s="5"/>
      </tp>
      <tp>
        <v>20</v>
        <stp/>
        <stp>1517Q4:Vol</stp>
        <tr r="N32" s="5"/>
      </tp>
      <tp>
        <v>0</v>
        <stp/>
        <stp>1517Q5:Vol</stp>
        <tr r="N33" s="5"/>
      </tp>
      <tp>
        <v>2</v>
        <stp/>
        <stp>1517Q6:Vol</stp>
        <tr r="N34" s="5"/>
      </tp>
      <tp>
        <v>5</v>
        <stp/>
        <stp>1517Q7:Vol</stp>
        <tr r="N35" s="5"/>
      </tp>
      <tp t="s">
        <v/>
        <stp/>
        <stp>34344092M22:LstDate</stp>
        <tr r="J1285" s="5"/>
      </tp>
      <tp t="s">
        <v/>
        <stp/>
        <stp>34354093M22:LstDate</stp>
        <tr r="J1323" s="5"/>
      </tp>
      <tp t="s">
        <v/>
        <stp/>
        <stp>34364094M22:LstDate</stp>
        <tr r="J540" s="5"/>
      </tp>
      <tp t="s">
        <v/>
        <stp/>
        <stp>34374095M22:LstDate</stp>
        <tr r="J578" s="5"/>
      </tp>
      <tp t="s">
        <v/>
        <stp/>
        <stp>34344092M23:LstDate</stp>
        <tr r="J1286" s="5"/>
      </tp>
      <tp t="s">
        <v/>
        <stp/>
        <stp>34354093M23:LstDate</stp>
        <tr r="J1324" s="5"/>
      </tp>
      <tp t="s">
        <v/>
        <stp/>
        <stp>34364094M23:LstDate</stp>
        <tr r="J541" s="5"/>
      </tp>
      <tp t="s">
        <v/>
        <stp/>
        <stp>34374095M23:LstDate</stp>
        <tr r="J579" s="5"/>
      </tp>
      <tp t="s">
        <v/>
        <stp/>
        <stp>34404098M24:LstDate</stp>
        <tr r="J618" s="5"/>
      </tp>
      <tp t="s">
        <v/>
        <stp/>
        <stp>34414099M24:LstDate</stp>
        <tr r="J103" s="5"/>
      </tp>
      <tp t="s">
        <v/>
        <stp/>
        <stp>34344092M20:LstDate</stp>
        <tr r="J1283" s="5"/>
      </tp>
      <tp t="s">
        <v/>
        <stp/>
        <stp>34354093M20:LstDate</stp>
        <tr r="J1321" s="5"/>
      </tp>
      <tp t="s">
        <v/>
        <stp/>
        <stp>34364094M20:LstDate</stp>
        <tr r="J538" s="5"/>
      </tp>
      <tp t="s">
        <v/>
        <stp/>
        <stp>34374095M20:LstDate</stp>
        <tr r="J576" s="5"/>
      </tp>
      <tp t="s">
        <v/>
        <stp/>
        <stp>34344092M21:LstDate</stp>
        <tr r="J1284" s="5"/>
      </tp>
      <tp t="s">
        <v/>
        <stp/>
        <stp>34354093M21:LstDate</stp>
        <tr r="J1322" s="5"/>
      </tp>
      <tp t="s">
        <v/>
        <stp/>
        <stp>34364094M21:LstDate</stp>
        <tr r="J539" s="5"/>
      </tp>
      <tp t="s">
        <v/>
        <stp/>
        <stp>34374095M21:LstDate</stp>
        <tr r="J577" s="5"/>
      </tp>
      <tp t="s">
        <v/>
        <stp/>
        <stp>34404098M21:LstDate</stp>
        <tr r="J615" s="5"/>
      </tp>
      <tp t="s">
        <v/>
        <stp/>
        <stp>34414099M21:LstDate</stp>
        <tr r="J100" s="5"/>
      </tp>
      <tp t="s">
        <v/>
        <stp/>
        <stp>34404098M20:LstDate</stp>
        <tr r="J614" s="5"/>
      </tp>
      <tp t="s">
        <v/>
        <stp/>
        <stp>34414099M20:LstDate</stp>
        <tr r="J99" s="5"/>
      </tp>
      <tp t="s">
        <v/>
        <stp/>
        <stp>34344092M24:LstDate</stp>
        <tr r="J1287" s="5"/>
      </tp>
      <tp t="s">
        <v/>
        <stp/>
        <stp>34354093M24:LstDate</stp>
        <tr r="J1325" s="5"/>
      </tp>
      <tp t="s">
        <v/>
        <stp/>
        <stp>34364094M24:LstDate</stp>
        <tr r="J542" s="5"/>
      </tp>
      <tp t="s">
        <v/>
        <stp/>
        <stp>34374095M24:LstDate</stp>
        <tr r="J580" s="5"/>
      </tp>
      <tp t="s">
        <v/>
        <stp/>
        <stp>34404098M23:LstDate</stp>
        <tr r="J617" s="5"/>
      </tp>
      <tp t="s">
        <v/>
        <stp/>
        <stp>34414099M23:LstDate</stp>
        <tr r="J102" s="5"/>
      </tp>
      <tp t="s">
        <v/>
        <stp/>
        <stp>34404098M22:LstDate</stp>
        <tr r="J616" s="5"/>
      </tp>
      <tp t="s">
        <v/>
        <stp/>
        <stp>34414099M22:LstDate</stp>
        <tr r="J101" s="5"/>
      </tp>
      <tp t="s">
        <v/>
        <stp/>
        <stp>35534143M21:LstDate</stp>
        <tr r="J729" s="5"/>
      </tp>
      <tp t="s">
        <v/>
        <stp/>
        <stp>35544144M21:LstDate</stp>
        <tr r="J653" s="5"/>
      </tp>
      <tp t="s">
        <v/>
        <stp/>
        <stp>35554145M21:LstDate</stp>
        <tr r="J691" s="5"/>
      </tp>
      <tp t="s">
        <v/>
        <stp/>
        <stp>35534143M20:LstDate</stp>
        <tr r="J728" s="5"/>
      </tp>
      <tp t="s">
        <v/>
        <stp/>
        <stp>35544144M20:LstDate</stp>
        <tr r="J652" s="5"/>
      </tp>
      <tp t="s">
        <v/>
        <stp/>
        <stp>35554145M20:LstDate</stp>
        <tr r="J690" s="5"/>
      </tp>
      <tp t="s">
        <v/>
        <stp/>
        <stp>35534143M23:LstDate</stp>
        <tr r="J731" s="5"/>
      </tp>
      <tp t="s">
        <v/>
        <stp/>
        <stp>35544144M23:LstDate</stp>
        <tr r="J655" s="5"/>
      </tp>
      <tp t="s">
        <v/>
        <stp/>
        <stp>35554145M23:LstDate</stp>
        <tr r="J693" s="5"/>
      </tp>
      <tp t="s">
        <v/>
        <stp/>
        <stp>35534143M22:LstDate</stp>
        <tr r="J730" s="5"/>
      </tp>
      <tp t="s">
        <v/>
        <stp/>
        <stp>35544144M22:LstDate</stp>
        <tr r="J654" s="5"/>
      </tp>
      <tp t="s">
        <v/>
        <stp/>
        <stp>35554145M22:LstDate</stp>
        <tr r="J692" s="5"/>
      </tp>
      <tp t="s">
        <v/>
        <stp/>
        <stp>35534143M24:LstDate</stp>
        <tr r="J732" s="5"/>
      </tp>
      <tp t="s">
        <v/>
        <stp/>
        <stp>35544144M24:LstDate</stp>
        <tr r="J656" s="5"/>
      </tp>
      <tp t="s">
        <v/>
        <stp/>
        <stp>35554145M24:LstDate</stp>
        <tr r="J694" s="5"/>
      </tp>
      <tp t="s">
        <v/>
        <stp/>
        <stp>34344092M12:LstDate</stp>
        <tr r="J1275" s="5"/>
      </tp>
      <tp t="s">
        <v/>
        <stp/>
        <stp>34354093M12:LstDate</stp>
        <tr r="J1313" s="5"/>
      </tp>
      <tp t="s">
        <v/>
        <stp/>
        <stp>34364094M12:LstDate</stp>
        <tr r="J530" s="5"/>
      </tp>
      <tp t="s">
        <v/>
        <stp/>
        <stp>34374095M12:LstDate</stp>
        <tr r="J568" s="5"/>
      </tp>
      <tp t="s">
        <v/>
        <stp/>
        <stp>35534143M19:LstDate</stp>
        <tr r="J727" s="5"/>
      </tp>
      <tp t="s">
        <v/>
        <stp/>
        <stp>35544144M19:LstDate</stp>
        <tr r="J651" s="5"/>
      </tp>
      <tp t="s">
        <v/>
        <stp/>
        <stp>35554145M19:LstDate</stp>
        <tr r="J689" s="5"/>
      </tp>
      <tp t="s">
        <v/>
        <stp/>
        <stp>34404098M15:LstDate</stp>
        <tr r="J609" s="5"/>
      </tp>
      <tp t="s">
        <v/>
        <stp/>
        <stp>34414099M15:LstDate</stp>
        <tr r="J94" s="5"/>
      </tp>
      <tp t="s">
        <v/>
        <stp/>
        <stp>34344092M13:LstDate</stp>
        <tr r="J1276" s="5"/>
      </tp>
      <tp t="s">
        <v/>
        <stp/>
        <stp>34354093M13:LstDate</stp>
        <tr r="J1314" s="5"/>
      </tp>
      <tp t="s">
        <v/>
        <stp/>
        <stp>34364094M13:LstDate</stp>
        <tr r="J531" s="5"/>
      </tp>
      <tp t="s">
        <v/>
        <stp/>
        <stp>34374095M13:LstDate</stp>
        <tr r="J569" s="5"/>
      </tp>
      <tp t="s">
        <v/>
        <stp/>
        <stp>35534143M18:LstDate</stp>
        <tr r="J726" s="5"/>
      </tp>
      <tp t="s">
        <v/>
        <stp/>
        <stp>35544144M18:LstDate</stp>
        <tr r="J650" s="5"/>
      </tp>
      <tp t="s">
        <v/>
        <stp/>
        <stp>35554145M18:LstDate</stp>
        <tr r="J688" s="5"/>
      </tp>
      <tp t="s">
        <v/>
        <stp/>
        <stp>34404098M14:LstDate</stp>
        <tr r="J608" s="5"/>
      </tp>
      <tp t="s">
        <v/>
        <stp/>
        <stp>34414099M14:LstDate</stp>
        <tr r="J93" s="5"/>
      </tp>
      <tp t="s">
        <v/>
        <stp/>
        <stp>34344092M10:LstDate</stp>
        <tr r="J1273" s="5"/>
      </tp>
      <tp t="s">
        <v/>
        <stp/>
        <stp>34354093M10:LstDate</stp>
        <tr r="J1311" s="5"/>
      </tp>
      <tp t="s">
        <v/>
        <stp/>
        <stp>34364094M10:LstDate</stp>
        <tr r="J528" s="5"/>
      </tp>
      <tp t="s">
        <v/>
        <stp/>
        <stp>34374095M10:LstDate</stp>
        <tr r="J566" s="5"/>
      </tp>
      <tp t="s">
        <v/>
        <stp/>
        <stp>34404098M17:LstDate</stp>
        <tr r="J611" s="5"/>
      </tp>
      <tp t="s">
        <v/>
        <stp/>
        <stp>34414099M17:LstDate</stp>
        <tr r="J96" s="5"/>
      </tp>
      <tp t="s">
        <v/>
        <stp/>
        <stp>34344092M11:LstDate</stp>
        <tr r="J1274" s="5"/>
      </tp>
      <tp t="s">
        <v/>
        <stp/>
        <stp>34354093M11:LstDate</stp>
        <tr r="J1312" s="5"/>
      </tp>
      <tp t="s">
        <v/>
        <stp/>
        <stp>34364094M11:LstDate</stp>
        <tr r="J529" s="5"/>
      </tp>
      <tp t="s">
        <v/>
        <stp/>
        <stp>34374095M11:LstDate</stp>
        <tr r="J567" s="5"/>
      </tp>
      <tp t="s">
        <v/>
        <stp/>
        <stp>34404098M16:LstDate</stp>
        <tr r="J610" s="5"/>
      </tp>
      <tp t="s">
        <v/>
        <stp/>
        <stp>34414099M16:LstDate</stp>
        <tr r="J95" s="5"/>
      </tp>
      <tp t="s">
        <v/>
        <stp/>
        <stp>34344092M16:LstDate</stp>
        <tr r="J1279" s="5"/>
      </tp>
      <tp t="s">
        <v/>
        <stp/>
        <stp>34354093M16:LstDate</stp>
        <tr r="J1317" s="5"/>
      </tp>
      <tp t="s">
        <v/>
        <stp/>
        <stp>34364094M16:LstDate</stp>
        <tr r="J534" s="5"/>
      </tp>
      <tp t="s">
        <v/>
        <stp/>
        <stp>34374095M16:LstDate</stp>
        <tr r="J572" s="5"/>
      </tp>
      <tp t="s">
        <v/>
        <stp/>
        <stp>34404098M11:LstDate</stp>
        <tr r="J605" s="5"/>
      </tp>
      <tp t="s">
        <v/>
        <stp/>
        <stp>34414099M11:LstDate</stp>
        <tr r="J90" s="5"/>
      </tp>
      <tp t="s">
        <v/>
        <stp/>
        <stp>34344092M17:LstDate</stp>
        <tr r="J1280" s="5"/>
      </tp>
      <tp t="s">
        <v/>
        <stp/>
        <stp>34354093M17:LstDate</stp>
        <tr r="J1318" s="5"/>
      </tp>
      <tp t="s">
        <v/>
        <stp/>
        <stp>34364094M17:LstDate</stp>
        <tr r="J535" s="5"/>
      </tp>
      <tp t="s">
        <v/>
        <stp/>
        <stp>34374095M17:LstDate</stp>
        <tr r="J573" s="5"/>
      </tp>
      <tp t="s">
        <v/>
        <stp/>
        <stp>34404098M10:LstDate</stp>
        <tr r="J604" s="5"/>
      </tp>
      <tp t="s">
        <v/>
        <stp/>
        <stp>34414099M10:LstDate</stp>
        <tr r="J89" s="5"/>
      </tp>
      <tp t="s">
        <v/>
        <stp/>
        <stp>34344092M14:LstDate</stp>
        <tr r="J1277" s="5"/>
      </tp>
      <tp t="s">
        <v/>
        <stp/>
        <stp>34354093M14:LstDate</stp>
        <tr r="J1315" s="5"/>
      </tp>
      <tp t="s">
        <v/>
        <stp/>
        <stp>34364094M14:LstDate</stp>
        <tr r="J532" s="5"/>
      </tp>
      <tp t="s">
        <v/>
        <stp/>
        <stp>34374095M14:LstDate</stp>
        <tr r="J570" s="5"/>
      </tp>
      <tp t="s">
        <v/>
        <stp/>
        <stp>34404098M13:LstDate</stp>
        <tr r="J607" s="5"/>
      </tp>
      <tp t="s">
        <v/>
        <stp/>
        <stp>34414099M13:LstDate</stp>
        <tr r="J92" s="5"/>
      </tp>
      <tp t="s">
        <v/>
        <stp/>
        <stp>34344092M15:LstDate</stp>
        <tr r="J1278" s="5"/>
      </tp>
      <tp t="s">
        <v/>
        <stp/>
        <stp>34354093M15:LstDate</stp>
        <tr r="J1316" s="5"/>
      </tp>
      <tp t="s">
        <v/>
        <stp/>
        <stp>34364094M15:LstDate</stp>
        <tr r="J533" s="5"/>
      </tp>
      <tp t="s">
        <v/>
        <stp/>
        <stp>34374095M15:LstDate</stp>
        <tr r="J571" s="5"/>
      </tp>
      <tp t="s">
        <v/>
        <stp/>
        <stp>34404098M12:LstDate</stp>
        <tr r="J606" s="5"/>
      </tp>
      <tp t="s">
        <v/>
        <stp/>
        <stp>34414099M12:LstDate</stp>
        <tr r="J91" s="5"/>
      </tp>
      <tp t="s">
        <v/>
        <stp/>
        <stp>35534143M11:LstDate</stp>
        <tr r="J719" s="5"/>
      </tp>
      <tp t="s">
        <v/>
        <stp/>
        <stp>35544144M11:LstDate</stp>
        <tr r="J643" s="5"/>
      </tp>
      <tp t="s">
        <v/>
        <stp/>
        <stp>35554145M11:LstDate</stp>
        <tr r="J681" s="5"/>
      </tp>
      <tp t="s">
        <v/>
        <stp/>
        <stp>35534143M10:LstDate</stp>
        <tr r="J718" s="5"/>
      </tp>
      <tp t="s">
        <v/>
        <stp/>
        <stp>35544144M10:LstDate</stp>
        <tr r="J642" s="5"/>
      </tp>
      <tp t="s">
        <v/>
        <stp/>
        <stp>35554145M10:LstDate</stp>
        <tr r="J680" s="5"/>
      </tp>
      <tp t="s">
        <v/>
        <stp/>
        <stp>34344092M18:LstDate</stp>
        <tr r="J1281" s="5"/>
      </tp>
      <tp t="s">
        <v/>
        <stp/>
        <stp>34354093M18:LstDate</stp>
        <tr r="J1319" s="5"/>
      </tp>
      <tp t="s">
        <v/>
        <stp/>
        <stp>34364094M18:LstDate</stp>
        <tr r="J536" s="5"/>
      </tp>
      <tp t="s">
        <v/>
        <stp/>
        <stp>34374095M18:LstDate</stp>
        <tr r="J574" s="5"/>
      </tp>
      <tp t="s">
        <v/>
        <stp/>
        <stp>35534143M13:LstDate</stp>
        <tr r="J721" s="5"/>
      </tp>
      <tp t="s">
        <v/>
        <stp/>
        <stp>35544144M13:LstDate</stp>
        <tr r="J645" s="5"/>
      </tp>
      <tp t="s">
        <v/>
        <stp/>
        <stp>35554145M13:LstDate</stp>
        <tr r="J683" s="5"/>
      </tp>
      <tp t="s">
        <v/>
        <stp/>
        <stp>34344092M19:LstDate</stp>
        <tr r="J1282" s="5"/>
      </tp>
      <tp t="s">
        <v/>
        <stp/>
        <stp>34354093M19:LstDate</stp>
        <tr r="J1320" s="5"/>
      </tp>
      <tp t="s">
        <v/>
        <stp/>
        <stp>34364094M19:LstDate</stp>
        <tr r="J537" s="5"/>
      </tp>
      <tp t="s">
        <v/>
        <stp/>
        <stp>34374095M19:LstDate</stp>
        <tr r="J575" s="5"/>
      </tp>
      <tp t="s">
        <v/>
        <stp/>
        <stp>35534143M12:LstDate</stp>
        <tr r="J720" s="5"/>
      </tp>
      <tp t="s">
        <v/>
        <stp/>
        <stp>35544144M12:LstDate</stp>
        <tr r="J644" s="5"/>
      </tp>
      <tp t="s">
        <v/>
        <stp/>
        <stp>35554145M12:LstDate</stp>
        <tr r="J682" s="5"/>
      </tp>
      <tp t="s">
        <v/>
        <stp/>
        <stp>35534143M15:LstDate</stp>
        <tr r="J723" s="5"/>
      </tp>
      <tp t="s">
        <v/>
        <stp/>
        <stp>35544144M15:LstDate</stp>
        <tr r="J647" s="5"/>
      </tp>
      <tp t="s">
        <v/>
        <stp/>
        <stp>35554145M15:LstDate</stp>
        <tr r="J685" s="5"/>
      </tp>
      <tp t="s">
        <v/>
        <stp/>
        <stp>34404098M19:LstDate</stp>
        <tr r="J613" s="5"/>
      </tp>
      <tp t="s">
        <v/>
        <stp/>
        <stp>34414099M19:LstDate</stp>
        <tr r="J98" s="5"/>
      </tp>
      <tp t="s">
        <v/>
        <stp/>
        <stp>35534143M14:LstDate</stp>
        <tr r="J722" s="5"/>
      </tp>
      <tp t="s">
        <v/>
        <stp/>
        <stp>35544144M14:LstDate</stp>
        <tr r="J646" s="5"/>
      </tp>
      <tp t="s">
        <v/>
        <stp/>
        <stp>35554145M14:LstDate</stp>
        <tr r="J684" s="5"/>
      </tp>
      <tp t="s">
        <v/>
        <stp/>
        <stp>34404098M18:LstDate</stp>
        <tr r="J612" s="5"/>
      </tp>
      <tp t="s">
        <v/>
        <stp/>
        <stp>34414099M18:LstDate</stp>
        <tr r="J97" s="5"/>
      </tp>
      <tp t="s">
        <v/>
        <stp/>
        <stp>35534143M17:LstDate</stp>
        <tr r="J725" s="5"/>
      </tp>
      <tp t="s">
        <v/>
        <stp/>
        <stp>35544144M17:LstDate</stp>
        <tr r="J649" s="5"/>
      </tp>
      <tp t="s">
        <v/>
        <stp/>
        <stp>35554145M17:LstDate</stp>
        <tr r="J687" s="5"/>
      </tp>
      <tp t="s">
        <v/>
        <stp/>
        <stp>35534143M16:LstDate</stp>
        <tr r="J724" s="5"/>
      </tp>
      <tp t="s">
        <v/>
        <stp/>
        <stp>35544144M16:LstDate</stp>
        <tr r="J648" s="5"/>
      </tp>
      <tp t="s">
        <v/>
        <stp/>
        <stp>35554145M16:LstDate</stp>
        <tr r="J686" s="5"/>
      </tp>
      <tp t="s">
        <v>Invalid Market: CALCM11</v>
        <stp/>
        <stp>CALCM11:LstBlkPrc</stp>
        <tr r="K1198" s="5"/>
        <tr r="K1350" s="5"/>
      </tp>
      <tp t="s">
        <v>Invalid Market: CALCM21</v>
        <stp/>
        <stp>CALCM21:LstBlkPrc</stp>
        <tr r="K1208" s="5"/>
        <tr r="K1360" s="5"/>
      </tp>
      <tp t="s">
        <v>Invalid Market: CALCM21</v>
        <stp/>
        <stp>CALCM21:BstHitPrc</stp>
        <tr r="G1208" s="5"/>
        <tr r="G1360" s="5"/>
      </tp>
      <tp t="s">
        <v>Invalid Market: CALCM11</v>
        <stp/>
        <stp>CALCM11:BstHitPrc</stp>
        <tr r="G1350" s="5"/>
        <tr r="G1198" s="5"/>
      </tp>
      <tp t="s">
        <v>Q2 28</v>
        <stp/>
        <stp>1517Q6:Strip</stp>
        <tr r="E34" s="5"/>
      </tp>
      <tp t="s">
        <v>Mar27</v>
        <stp/>
        <stp>1517M6:Strip</stp>
        <tr r="E9" s="5"/>
      </tp>
      <tp t="s">
        <v>Q2 27</v>
        <stp/>
        <stp>5162Q2:Strip</stp>
        <tr r="E796" s="5"/>
      </tp>
      <tp t="s">
        <v>Cal 29</v>
        <stp/>
        <stp>5162Y2:Strip</stp>
        <tr r="E805" s="5"/>
      </tp>
      <tp t="s">
        <v>Nov26</v>
        <stp/>
        <stp>5162M2:Strip</stp>
        <tr r="E771" s="5"/>
      </tp>
      <tp t="s">
        <v>Dec27</v>
        <stp/>
        <stp>266M15:Strip</stp>
        <tr r="E936" s="5"/>
      </tp>
    </main>
    <main first="ice.rtd">
      <tp t="s">
        <v>Invalid Market: CALCM17</v>
        <stp/>
        <stp>CALCM17:LstBlkVol</stp>
        <tr r="L1204" s="5"/>
        <tr r="L1356" s="5"/>
      </tp>
    </main>
    <main first="bofaddin.rtdserver">
      <tp t="s">
        <v>#N/A</v>
        <stp/>
        <stp>BDP|3054248213189965471|222</stp>
        <stp>OQAQ30 Comdty</stp>
        <stp>ASK</stp>
        <stp>Fill=#N/A</stp>
        <tr r="L66" s="1"/>
      </tp>
    </main>
    <main first="esrtd">
      <tp t="s">
        <v/>
        <stp/>
        <stp>TDL 9!-IEU</stp>
        <stp>Last Trade Time</stp>
        <tr r="J1821" s="5"/>
      </tp>
    </main>
    <main first="bofaddin.rtdserver">
      <tp t="s">
        <v>#N/A</v>
        <stp/>
        <stp>BDP|3084360334977332699|222</stp>
        <stp>OQAN30 Comdty</stp>
        <stp>BID</stp>
        <stp>Fill=#N/A</stp>
        <tr r="L65" s="1"/>
      </tp>
    </main>
    <main first="esrtd">
      <tp t="s">
        <v/>
        <stp/>
        <stp>TDL 8!-IEU</stp>
        <stp>Last Trade Time</stp>
        <tr r="J1820" s="5"/>
      </tp>
      <tp t="s">
        <v/>
        <stp/>
        <stp>WDF 8!-IEU</stp>
        <stp>Last Trade Time</stp>
        <tr r="J1785" s="5"/>
      </tp>
      <tp t="s">
        <v/>
        <stp/>
        <stp>WHK 8!-IEU</stp>
        <stp>Last Trade Time</stp>
        <tr r="J1925" s="5"/>
      </tp>
      <tp t="s">
        <v/>
        <stp/>
        <stp>WMJ 8!-IEU</stp>
        <stp>Last Trade Time</stp>
        <tr r="J1890" s="5"/>
      </tp>
      <tp t="s">
        <v/>
        <stp/>
        <stp>WNS 8!-IEU</stp>
        <stp>Last Trade Time</stp>
        <tr r="J1855" s="5"/>
      </tp>
      <tp t="s">
        <v/>
        <stp/>
        <stp>WDF 9!-IEU</stp>
        <stp>Last Trade Time</stp>
        <tr r="J1786" s="5"/>
      </tp>
      <tp t="s">
        <v/>
        <stp/>
        <stp>WHK 9!-IEU</stp>
        <stp>Last Trade Time</stp>
        <tr r="J1926" s="5"/>
      </tp>
      <tp t="s">
        <v/>
        <stp/>
        <stp>WMJ 9!-IEU</stp>
        <stp>Last Trade Time</stp>
        <tr r="J1891" s="5"/>
      </tp>
      <tp t="s">
        <v/>
        <stp/>
        <stp>WNS 9!-IEU</stp>
        <stp>Last Trade Time</stp>
        <tr r="J1856" s="5"/>
      </tp>
      <tp t="s">
        <v/>
        <stp/>
        <stp>WDF 6!-IEU</stp>
        <stp>Last Trade Time</stp>
        <tr r="J1783" s="5"/>
      </tp>
      <tp t="s">
        <v/>
        <stp/>
        <stp>TDL 5!-IEU</stp>
        <stp>Last Trade Time</stp>
        <tr r="J1817" s="5"/>
      </tp>
      <tp t="s">
        <v/>
        <stp/>
        <stp>WHK 6!-IEU</stp>
        <stp>Last Trade Time</stp>
        <tr r="J1923" s="5"/>
      </tp>
      <tp t="s">
        <v/>
        <stp/>
        <stp>WMJ 6!-IEU</stp>
        <stp>Last Trade Time</stp>
        <tr r="J1888" s="5"/>
      </tp>
      <tp t="s">
        <v/>
        <stp/>
        <stp>WNS 6!-IEU</stp>
        <stp>Last Trade Time</stp>
        <tr r="J1853" s="5"/>
      </tp>
      <tp t="s">
        <v/>
        <stp/>
        <stp>WDF 7!-IEU</stp>
        <stp>Last Trade Time</stp>
        <tr r="J1784" s="5"/>
      </tp>
      <tp t="s">
        <v/>
        <stp/>
        <stp>TDL 4!-IEU</stp>
        <stp>Last Trade Time</stp>
        <tr r="J1816" s="5"/>
      </tp>
      <tp t="s">
        <v/>
        <stp/>
        <stp>WHK 7!-IEU</stp>
        <stp>Last Trade Time</stp>
        <tr r="J1924" s="5"/>
      </tp>
      <tp t="s">
        <v/>
        <stp/>
        <stp>WMJ 7!-IEU</stp>
        <stp>Last Trade Time</stp>
        <tr r="J1889" s="5"/>
      </tp>
      <tp t="s">
        <v/>
        <stp/>
        <stp>WNS 7!-IEU</stp>
        <stp>Last Trade Time</stp>
        <tr r="J1854" s="5"/>
      </tp>
    </main>
    <main first="bofaddin.rtdserver">
      <tp t="s">
        <v>#N/A</v>
        <stp/>
        <stp>BDP|1129711452153452367|222</stp>
        <stp>OQAF27 Comdty</stp>
        <stp>BID</stp>
        <stp>Fill=#N/A</stp>
        <tr r="L23" s="1"/>
      </tp>
      <tp t="s">
        <v>#N/A</v>
        <stp/>
        <stp>BDP|7317000688645656929|222</stp>
        <stp>OQAZ28 Comdty</stp>
        <stp>BID</stp>
        <stp>Fill=#N/A</stp>
        <tr r="L46" s="1"/>
      </tp>
    </main>
    <main first="esrtd">
      <tp t="s">
        <v/>
        <stp/>
        <stp>WDF 4!-IEU</stp>
        <stp>Last Trade Time</stp>
        <tr r="J1781" s="5"/>
      </tp>
      <tp t="s">
        <v/>
        <stp/>
        <stp>TDL 7!-IEU</stp>
        <stp>Last Trade Time</stp>
        <tr r="J1819" s="5"/>
      </tp>
      <tp t="s">
        <v/>
        <stp/>
        <stp>WHK 4!-IEU</stp>
        <stp>Last Trade Time</stp>
        <tr r="J1921" s="5"/>
      </tp>
      <tp t="s">
        <v/>
        <stp/>
        <stp>WMJ 4!-IEU</stp>
        <stp>Last Trade Time</stp>
        <tr r="J1886" s="5"/>
      </tp>
      <tp t="s">
        <v/>
        <stp/>
        <stp>WNS 4!-IEU</stp>
        <stp>Last Trade Time</stp>
        <tr r="J1851" s="5"/>
      </tp>
    </main>
    <main first="bofaddin.rtdserver">
      <tp>
        <v>100.8</v>
        <stp/>
        <stp>BDP|2953918058515729870|222</stp>
        <stp>OQAX26 Comdty</stp>
        <stp>BID</stp>
        <stp>Fill=#N/A</stp>
        <tr r="L21" s="1"/>
      </tp>
    </main>
    <main first="esrtd">
      <tp t="s">
        <v/>
        <stp/>
        <stp>WDF 5!-IEU</stp>
        <stp>Last Trade Time</stp>
        <tr r="J1782" s="5"/>
      </tp>
      <tp t="s">
        <v/>
        <stp/>
        <stp>TDL 6!-IEU</stp>
        <stp>Last Trade Time</stp>
        <tr r="J1818" s="5"/>
      </tp>
      <tp t="s">
        <v/>
        <stp/>
        <stp>WHK 5!-IEU</stp>
        <stp>Last Trade Time</stp>
        <tr r="J1922" s="5"/>
      </tp>
      <tp t="s">
        <v/>
        <stp/>
        <stp>WMJ 5!-IEU</stp>
        <stp>Last Trade Time</stp>
        <tr r="J1887" s="5"/>
      </tp>
      <tp t="s">
        <v/>
        <stp/>
        <stp>WNS 5!-IEU</stp>
        <stp>Last Trade Time</stp>
        <tr r="J1852" s="5"/>
      </tp>
      <tp t="s">
        <v/>
        <stp/>
        <stp>WDF 2!-IEU</stp>
        <stp>Last Trade Time</stp>
        <tr r="J1779" s="5"/>
      </tp>
      <tp t="s">
        <v/>
        <stp/>
        <stp>TDL 1!-IEU</stp>
        <stp>Last Trade Time</stp>
        <tr r="J1813" s="5"/>
      </tp>
      <tp t="s">
        <v/>
        <stp/>
        <stp>WHK 2!-IEU</stp>
        <stp>Last Trade Time</stp>
        <tr r="J1919" s="5"/>
      </tp>
      <tp t="s">
        <v/>
        <stp/>
        <stp>WMJ 2!-IEU</stp>
        <stp>Last Trade Time</stp>
        <tr r="J1884" s="5"/>
      </tp>
      <tp t="s">
        <v/>
        <stp/>
        <stp>WNS 2!-IEU</stp>
        <stp>Last Trade Time</stp>
        <tr r="J1849" s="5"/>
      </tp>
      <tp t="s">
        <v/>
        <stp/>
        <stp>WDF 3!-IEU</stp>
        <stp>Last Trade Time</stp>
        <tr r="J1780" s="5"/>
      </tp>
      <tp t="s">
        <v/>
        <stp/>
        <stp>WHK 3!-IEU</stp>
        <stp>Last Trade Time</stp>
        <tr r="J1920" s="5"/>
      </tp>
      <tp t="s">
        <v/>
        <stp/>
        <stp>WMJ 3!-IEU</stp>
        <stp>Last Trade Time</stp>
        <tr r="J1885" s="5"/>
      </tp>
      <tp t="s">
        <v/>
        <stp/>
        <stp>WNS 3!-IEU</stp>
        <stp>Last Trade Time</stp>
        <tr r="J1850" s="5"/>
      </tp>
    </main>
    <main first="bofaddin.rtdserver">
      <tp t="s">
        <v>#N/A</v>
        <stp/>
        <stp>BDP|7862935978840583912|222</stp>
        <stp>MUCQ30 Comdty</stp>
        <stp>BID</stp>
        <stp>Fill=#N/A</stp>
        <tr r="K66" s="1"/>
      </tp>
    </main>
    <main first="esrtd">
      <tp t="s">
        <v/>
        <stp/>
        <stp>TDL 3!-IEU</stp>
        <stp>Last Trade Time</stp>
        <tr r="J1815" s="5"/>
      </tp>
      <tp t="s">
        <v/>
        <stp/>
        <stp>WDF 1!-IEU</stp>
        <stp>Last Trade Time</stp>
        <tr r="J1778" s="5"/>
      </tp>
      <tp t="s">
        <v/>
        <stp/>
        <stp>TDL 2!-IEU</stp>
        <stp>Last Trade Time</stp>
        <tr r="J1814" s="5"/>
      </tp>
      <tp t="s">
        <v/>
        <stp/>
        <stp>WHK 1!-IEU</stp>
        <stp>Last Trade Time</stp>
        <tr r="J1918" s="5"/>
      </tp>
      <tp t="s">
        <v/>
        <stp/>
        <stp>WMJ 1!-IEU</stp>
        <stp>Last Trade Time</stp>
        <tr r="J1883" s="5"/>
      </tp>
      <tp t="s">
        <v/>
        <stp/>
        <stp>WNS 1!-IEU</stp>
        <stp>Last Trade Time</stp>
        <tr r="J1848" s="5"/>
      </tp>
    </main>
    <main first="ice.rtd">
      <tp t="s">
        <v/>
        <stp/>
        <stp>161913535YY0:LstDate</stp>
        <tr r="J2057" s="5"/>
      </tp>
    </main>
    <main first="esrtd">
      <tp t="s">
        <v/>
        <stp/>
        <stp>AES B0-IEU</stp>
        <stp>ICE Theoretical Price</stp>
        <tr r="W306" s="5"/>
      </tp>
    </main>
    <main first="bofaddin.rtdserver">
      <tp>
        <v>1216</v>
        <stp/>
        <stp>BDP|7328224154002201289|222</stp>
        <stp>QSZ6 Comdty</stp>
        <stp>ASK</stp>
        <stp>Fill=#N/A</stp>
        <tr r="H22" s="1"/>
      </tp>
      <tp>
        <v>78.87</v>
        <stp/>
        <stp>BDP|6837864564303499296|222</stp>
        <stp>COQ7 Comdty</stp>
        <stp>BID</stp>
        <stp>Fill=#N/A</stp>
        <tr r="G30" s="1"/>
      </tp>
      <tp t="s">
        <v>#N/A</v>
        <stp/>
        <stp>BDP|6087202907452462638|222</stp>
        <stp>XBU8 Comdty</stp>
        <stp>ASK</stp>
        <stp>Fill=#N/A</stp>
        <tr r="J43" s="1"/>
      </tp>
      <tp t="s">
        <v>#N/A Real Time</v>
        <stp/>
        <stp>BDP|16619038096900183973|22</stp>
        <stp>COU6 Comdty</stp>
        <stp>MID</stp>
        <tr r="AW51" s="23"/>
        <tr r="AW52" s="23"/>
        <tr r="AL102" s="23"/>
      </tp>
    </main>
    <main first="ice.rtd">
      <tp t="s">
        <v/>
        <stp/>
        <stp>DBI1227MM1:BstLiftPrc</stp>
        <tr r="H1652" s="5"/>
      </tp>
      <tp>
        <v>11.88</v>
        <stp/>
        <stp>DBI1227MM0:BstLiftPrc</stp>
        <tr r="H1648" s="5"/>
        <tr r="H1651" s="5"/>
      </tp>
      <tp t="s">
        <v/>
        <stp/>
        <stp>DBI1227MM3:BstLiftPrc</stp>
        <tr r="H1654" s="5"/>
      </tp>
      <tp t="s">
        <v/>
        <stp/>
        <stp>DBI1227MM2:BstLiftPrc</stp>
        <tr r="H1653" s="5"/>
      </tp>
      <tp t="s">
        <v/>
        <stp/>
        <stp>DBI1227MM5:BstLiftPrc</stp>
        <tr r="H1656" s="5"/>
      </tp>
      <tp t="s">
        <v/>
        <stp/>
        <stp>DBI1227MM4:BstLiftPrc</stp>
        <tr r="H1655" s="5"/>
      </tp>
      <tp t="s">
        <v/>
        <stp/>
        <stp>DBI1227MM7:BstLiftPrc</stp>
        <tr r="H1658" s="5"/>
      </tp>
      <tp t="s">
        <v/>
        <stp/>
        <stp>DBI1227MM6:BstLiftPrc</stp>
        <tr r="H1657" s="5"/>
      </tp>
      <tp>
        <v>7.67</v>
        <stp/>
        <stp>DBI1227MM9:BstLiftPrc</stp>
        <tr r="H1660" s="5"/>
      </tp>
      <tp>
        <v>4.74</v>
        <stp/>
        <stp>DBI1227MM8:BstLiftPrc</stp>
        <tr r="H1659" s="5"/>
      </tp>
      <tp t="s">
        <v/>
        <stp/>
        <stp>DBI1227QQ1:BstLiftPrc</stp>
        <tr r="H1680" s="5"/>
      </tp>
      <tp t="s">
        <v/>
        <stp/>
        <stp>DBI1227QQ0:BstLiftPrc</stp>
        <tr r="H1679" s="5"/>
      </tp>
      <tp t="s">
        <v/>
        <stp/>
        <stp>DBI1227YY0:BstLiftPrc</stp>
        <tr r="H1681" s="5"/>
      </tp>
      <tp t="s">
        <v>Invalid Market: CALCM10</v>
        <stp/>
        <stp>CALCM10:LstBlkPrc</stp>
        <tr r="K1349" s="5"/>
        <tr r="K1197" s="5"/>
      </tp>
      <tp t="s">
        <v>Invalid Market: CALCM20</v>
        <stp/>
        <stp>CALCM20:LstBlkPrc</stp>
        <tr r="K1207" s="5"/>
        <tr r="K1359" s="5"/>
      </tp>
      <tp t="s">
        <v>Invalid Market: CALCM20</v>
        <stp/>
        <stp>CALCM20:BstHitPrc</stp>
        <tr r="G1207" s="5"/>
        <tr r="G1359" s="5"/>
      </tp>
      <tp t="s">
        <v>Invalid Market: CALCM10</v>
        <stp/>
        <stp>CALCM10:BstHitPrc</stp>
        <tr r="G1197" s="5"/>
        <tr r="G1349" s="5"/>
      </tp>
      <tp t="s">
        <v>Q3 28</v>
        <stp/>
        <stp>1517Q7:Strip</stp>
        <tr r="E35" s="5"/>
      </tp>
      <tp t="s">
        <v>Apr27</v>
        <stp/>
        <stp>1517M7:Strip</stp>
        <tr r="E10" s="5"/>
      </tp>
      <tp t="s">
        <v>Q3 27</v>
        <stp/>
        <stp>5162Q3:Strip</stp>
        <tr r="E797" s="5"/>
      </tp>
      <tp t="s">
        <v>Dec26</v>
        <stp/>
        <stp>5162M3:Strip</stp>
        <tr r="E772" s="5"/>
      </tp>
      <tp t="s">
        <v>Nov27</v>
        <stp/>
        <stp>266M14:Strip</stp>
        <tr r="E935" s="5"/>
      </tp>
      <tp t="s">
        <v>Sep28</v>
        <stp/>
        <stp>266M24:Strip</stp>
        <tr r="E945" s="5"/>
      </tp>
      <tp>
        <v>-40.507000000000005</v>
        <stp/>
        <stp>1986823075M19:Settle</stp>
        <tr r="U136" s="5"/>
      </tp>
      <tp>
        <v>-43.024999999999999</v>
        <stp/>
        <stp>1986823075M18:Settle</stp>
        <tr r="U135" s="5"/>
      </tp>
      <tp>
        <v>-41.843000000000004</v>
        <stp/>
        <stp>1986823075M15:Settle</stp>
        <tr r="U132" s="5"/>
      </tp>
      <tp>
        <v>-42.251000000000005</v>
        <stp/>
        <stp>1986823075M14:Settle</stp>
        <tr r="U131" s="5"/>
      </tp>
      <tp>
        <v>-43.987000000000002</v>
        <stp/>
        <stp>1986823075M17:Settle</stp>
        <tr r="U134" s="5"/>
      </tp>
      <tp>
        <v>-43.185000000000002</v>
        <stp/>
        <stp>1986823075M16:Settle</stp>
        <tr r="U133" s="5"/>
      </tp>
      <tp>
        <v>-44.606999999999999</v>
        <stp/>
        <stp>1986823075M11:Settle</stp>
        <tr r="U128" s="5"/>
      </tp>
      <tp>
        <v>-45.012</v>
        <stp/>
        <stp>1986823075M10:Settle</stp>
        <tr r="U127" s="5"/>
      </tp>
      <tp>
        <v>-44.023000000000003</v>
        <stp/>
        <stp>1986823075M13:Settle</stp>
        <tr r="U130" s="5"/>
      </tp>
      <tp>
        <v>-44.724000000000004</v>
        <stp/>
        <stp>1986823075M12:Settle</stp>
        <tr r="U129" s="5"/>
      </tp>
      <tp>
        <v>-38.563000000000002</v>
        <stp/>
        <stp>1986823075M24:Settle</stp>
        <tr r="U141" s="5"/>
      </tp>
      <tp>
        <v>-37.450000000000003</v>
        <stp/>
        <stp>1986823075M21:Settle</stp>
        <tr r="U138" s="5"/>
      </tp>
      <tp>
        <v>-38.077000000000005</v>
        <stp/>
        <stp>1986823075M20:Settle</stp>
        <tr r="U137" s="5"/>
      </tp>
      <tp>
        <v>-37.241</v>
        <stp/>
        <stp>1986823075M23:Settle</stp>
        <tr r="U140" s="5"/>
      </tp>
      <tp>
        <v>-37.015999999999998</v>
        <stp/>
        <stp>1986823075M22:Settle</stp>
        <tr r="U139" s="5"/>
      </tp>
      <tp t="s">
        <v>Invalid Market: CALCM16</v>
        <stp/>
        <stp>CALCM16:LstBlkVol</stp>
        <tr r="L1203" s="5"/>
        <tr r="L1355" s="5"/>
      </tp>
      <tp>
        <v>4.6549000000000005</v>
        <stp/>
        <stp>2427126288M20:Settle</stp>
        <tr r="U1055" s="5"/>
      </tp>
      <tp>
        <v>4.6393000000000004</v>
        <stp/>
        <stp>2427126288M21:Settle</stp>
        <tr r="U1056" s="5"/>
      </tp>
      <tp>
        <v>4.6137000000000006</v>
        <stp/>
        <stp>2427126288M22:Settle</stp>
        <tr r="U1057" s="5"/>
      </tp>
      <tp>
        <v>4.5771000000000006</v>
        <stp/>
        <stp>2427126288M23:Settle</stp>
        <tr r="U1058" s="5"/>
      </tp>
      <tp>
        <v>4.5425000000000004</v>
        <stp/>
        <stp>2427126288M24:Settle</stp>
        <tr r="U1059" s="5"/>
      </tp>
      <tp>
        <v>4.6470000000000002</v>
        <stp/>
        <stp>2427126288M18:Settle</stp>
        <tr r="U1053" s="5"/>
      </tp>
      <tp>
        <v>4.6543999999999999</v>
        <stp/>
        <stp>2427126288M19:Settle</stp>
        <tr r="U1054" s="5"/>
      </tp>
      <tp>
        <v>6.2038000000000002</v>
        <stp/>
        <stp>2427126288M10:Settle</stp>
        <tr r="U1045" s="5"/>
      </tp>
      <tp>
        <v>5.9534000000000002</v>
        <stp/>
        <stp>2427126288M11:Settle</stp>
        <tr r="U1046" s="5"/>
      </tp>
      <tp>
        <v>5.6834000000000007</v>
        <stp/>
        <stp>2427126288M12:Settle</stp>
        <tr r="U1047" s="5"/>
      </tp>
      <tp>
        <v>5.3754</v>
        <stp/>
        <stp>2427126288M13:Settle</stp>
        <tr r="U1048" s="5"/>
      </tp>
      <tp>
        <v>5.0847000000000007</v>
        <stp/>
        <stp>2427126288M14:Settle</stp>
        <tr r="U1049" s="5"/>
      </tp>
      <tp>
        <v>4.7780000000000005</v>
        <stp/>
        <stp>2427126288M15:Settle</stp>
        <tr r="U1050" s="5"/>
      </tp>
      <tp>
        <v>4.67</v>
        <stp/>
        <stp>2427126288M16:Settle</stp>
        <tr r="U1051" s="5"/>
      </tp>
      <tp>
        <v>4.6640000000000006</v>
        <stp/>
        <stp>2427126288M17:Settle</stp>
        <tr r="U1052" s="5"/>
      </tp>
    </main>
    <main first="bofaddin.rtdserver">
      <tp t="s">
        <v>#N/A</v>
        <stp/>
        <stp>BDP|4628708017767220858|222</stp>
        <stp>OQAM28 Comdty</stp>
        <stp>ASK</stp>
        <stp>Fill=#N/A</stp>
        <tr r="L40" s="1"/>
      </tp>
      <tp t="s">
        <v>#N/A</v>
        <stp/>
        <stp>BDP|7685897580517757269|222</stp>
        <stp>OQAV27 Comdty</stp>
        <stp>BID</stp>
        <stp>Fill=#N/A</stp>
        <tr r="L32" s="1"/>
      </tp>
      <tp t="s">
        <v>#N/A</v>
        <stp/>
        <stp>BDP|1407405491216328500|222</stp>
        <stp>MUCM28 Comdty</stp>
        <stp>ASK</stp>
        <stp>Fill=#N/A</stp>
        <tr r="K40" s="1"/>
      </tp>
      <tp t="s">
        <v>#N/A</v>
        <stp/>
        <stp>BDP|1393015881733765532|222</stp>
        <stp>MUCJ27 Comdty</stp>
        <stp>ASK</stp>
        <stp>Fill=#N/A</stp>
        <tr r="K26" s="1"/>
      </tp>
      <tp>
        <v>91.64</v>
        <stp/>
        <stp>BDP|5485994873203331401|222</stp>
        <stp>COZ6 Comdty</stp>
        <stp>ASK</stp>
        <stp>Fill=#N/A</stp>
        <tr r="G22" s="1"/>
      </tp>
      <tp t="s">
        <v>#N/A</v>
        <stp/>
        <stp>BDP|2016953543510378143|222</stp>
        <stp>HOZ9 Comdty</stp>
        <stp>BID</stp>
        <stp>Fill=#N/A</stp>
        <tr r="I58" s="1"/>
      </tp>
      <tp t="s">
        <v>#N/A</v>
        <stp/>
        <stp>BDP|3393290840425792813|222</stp>
        <stp>HOQ9 Comdty</stp>
        <stp>ASK</stp>
        <stp>Fill=#N/A</stp>
        <tr r="I54" s="1"/>
      </tp>
    </main>
    <main first="ice.rtd">
      <tp t="s">
        <v/>
        <stp/>
        <stp>1517Q0:LstPrc</stp>
        <tr r="I28" s="5"/>
      </tp>
      <tp t="s">
        <v/>
        <stp/>
        <stp>1517Q1:LstPrc</stp>
        <tr r="I29" s="5"/>
      </tp>
      <tp t="s">
        <v/>
        <stp/>
        <stp>1517Q2:LstPrc</stp>
        <tr r="I30" s="5"/>
      </tp>
      <tp t="s">
        <v/>
        <stp/>
        <stp>1517Q3:LstPrc</stp>
        <tr r="I31" s="5"/>
      </tp>
      <tp>
        <v>0.49</v>
        <stp/>
        <stp>1517Q4:LstPrc</stp>
        <tr r="I32" s="5"/>
      </tp>
      <tp t="s">
        <v/>
        <stp/>
        <stp>1517Q5:LstPrc</stp>
        <tr r="I33" s="5"/>
      </tp>
      <tp>
        <v>0.48</v>
        <stp/>
        <stp>1517Q6:LstPrc</stp>
        <tr r="I34" s="5"/>
      </tp>
      <tp>
        <v>0.43</v>
        <stp/>
        <stp>1517Q7:LstPrc</stp>
        <tr r="I35" s="5"/>
      </tp>
      <tp>
        <v>0.4</v>
        <stp/>
        <stp>1517Q8:LstPrc</stp>
        <tr r="I36" s="5"/>
      </tp>
      <tp t="s">
        <v/>
        <stp/>
        <stp>1517Y0:LstPrc</stp>
        <tr r="I37" s="5"/>
      </tp>
      <tp t="s">
        <v/>
        <stp/>
        <stp>1517Y1:LstPrc</stp>
        <tr r="I38" s="5"/>
      </tp>
      <tp t="s">
        <v/>
        <stp/>
        <stp>1517Y2:LstPrc</stp>
        <tr r="I39" s="5"/>
      </tp>
      <tp>
        <v>3.05</v>
        <stp/>
        <stp>1517M0:LstPrc</stp>
        <tr r="I3" s="5"/>
      </tp>
      <tp>
        <v>3.88</v>
        <stp/>
        <stp>1517M1:LstPrc</stp>
        <tr r="I4" s="5"/>
      </tp>
      <tp>
        <v>3.32</v>
        <stp/>
        <stp>1517M2:LstPrc</stp>
        <tr r="I5" s="5"/>
      </tp>
      <tp>
        <v>2.9</v>
        <stp/>
        <stp>1517M3:LstPrc</stp>
        <tr r="I6" s="5"/>
      </tp>
      <tp>
        <v>2.25</v>
        <stp/>
        <stp>1517M4:LstPrc</stp>
        <tr r="I7" s="5"/>
      </tp>
      <tp t="s">
        <v/>
        <stp/>
        <stp>1517M5:LstPrc</stp>
        <tr r="I8" s="5"/>
      </tp>
      <tp t="s">
        <v/>
        <stp/>
        <stp>1517M6:LstPrc</stp>
        <tr r="I9" s="5"/>
      </tp>
      <tp>
        <v>1.22</v>
        <stp/>
        <stp>1517M7:LstPrc</stp>
        <tr r="I10" s="5"/>
      </tp>
      <tp>
        <v>1.07</v>
        <stp/>
        <stp>1517M8:LstPrc</stp>
        <tr r="I11" s="5"/>
      </tp>
      <tp t="s">
        <v/>
        <stp/>
        <stp>1517M9:LstPrc</stp>
        <tr r="I12" s="5"/>
      </tp>
      <tp>
        <v>0</v>
        <stp/>
        <stp>141587Y2:BlkVol</stp>
        <tr r="O77" s="5"/>
      </tp>
      <tp>
        <v>0</v>
        <stp/>
        <stp>141587Y0:BlkVol</stp>
        <tr r="O75" s="5"/>
      </tp>
      <tp>
        <v>0</v>
        <stp/>
        <stp>141587Y1:BlkVol</stp>
        <tr r="O76" s="5"/>
      </tp>
      <tp>
        <v>0</v>
        <stp/>
        <stp>141587Q8:BlkVol</stp>
        <tr r="O74" s="5"/>
      </tp>
      <tp>
        <v>0</v>
        <stp/>
        <stp>141587Q2:BlkVol</stp>
        <tr r="O68" s="5"/>
      </tp>
      <tp>
        <v>0</v>
        <stp/>
        <stp>141587Q3:BlkVol</stp>
        <tr r="O69" s="5"/>
      </tp>
      <tp>
        <v>0</v>
        <stp/>
        <stp>141587Q0:BlkVol</stp>
        <tr r="O66" s="5"/>
      </tp>
      <tp>
        <v>215</v>
        <stp/>
        <stp>141587Q1:BlkVol</stp>
        <tr r="O67" s="5"/>
      </tp>
      <tp>
        <v>0</v>
        <stp/>
        <stp>141587Q6:BlkVol</stp>
        <tr r="O72" s="5"/>
      </tp>
      <tp>
        <v>0</v>
        <stp/>
        <stp>141587Q7:BlkVol</stp>
        <tr r="O73" s="5"/>
      </tp>
      <tp>
        <v>0</v>
        <stp/>
        <stp>141587Q4:BlkVol</stp>
        <tr r="O70" s="5"/>
      </tp>
      <tp>
        <v>0</v>
        <stp/>
        <stp>141587Q5:BlkVol</stp>
        <tr r="O71" s="5"/>
      </tp>
      <tp>
        <v>35</v>
        <stp/>
        <stp>141587M8:BlkVol</stp>
        <tr r="O49" s="5"/>
      </tp>
      <tp>
        <v>70</v>
        <stp/>
        <stp>141587M9:BlkVol</stp>
        <tr r="O50" s="5"/>
      </tp>
      <tp>
        <v>325</v>
        <stp/>
        <stp>141587M2:BlkVol</stp>
        <tr r="O43" s="5"/>
      </tp>
      <tp>
        <v>685</v>
        <stp/>
        <stp>141587M3:BlkVol</stp>
        <tr r="O44" s="5"/>
      </tp>
      <tp>
        <v>0</v>
        <stp/>
        <stp>141587M0:BlkVol</stp>
        <tr r="O41" s="5"/>
      </tp>
      <tp>
        <v>580</v>
        <stp/>
        <stp>141587M1:BlkVol</stp>
        <tr r="O42" s="5"/>
      </tp>
      <tp>
        <v>215</v>
        <stp/>
        <stp>141587M6:BlkVol</stp>
        <tr r="O47" s="5"/>
      </tp>
      <tp>
        <v>0</v>
        <stp/>
        <stp>141587M7:BlkVol</stp>
        <tr r="O48" s="5"/>
      </tp>
      <tp>
        <v>700</v>
        <stp/>
        <stp>141587M4:BlkVol</stp>
        <tr r="O45" s="5"/>
      </tp>
      <tp>
        <v>220</v>
        <stp/>
        <stp>141587M5:BlkVol</stp>
        <tr r="O46" s="5"/>
      </tp>
      <tp t="s">
        <v>Invalid Market: CALCM13</v>
        <stp/>
        <stp>CALCM13:LstBlkPrc</stp>
        <tr r="K1200" s="5"/>
        <tr r="K1352" s="5"/>
      </tp>
      <tp t="s">
        <v>Invalid Market: CALCM23</v>
        <stp/>
        <stp>CALCM23:LstBlkPrc</stp>
        <tr r="K1210" s="5"/>
        <tr r="K1362" s="5"/>
      </tp>
      <tp t="s">
        <v>Invalid Market: CALCM23</v>
        <stp/>
        <stp>CALCM23:BstHitPrc</stp>
        <tr r="G1210" s="5"/>
        <tr r="G1362" s="5"/>
      </tp>
      <tp t="s">
        <v>Invalid Market: CALCM13</v>
        <stp/>
        <stp>CALCM13:BstHitPrc</stp>
        <tr r="G1200" s="5"/>
        <tr r="G1352" s="5"/>
      </tp>
      <tp t="s">
        <v>Q4 27</v>
        <stp/>
        <stp>1517Q4:Strip</stp>
        <tr r="E32" s="5"/>
      </tp>
      <tp t="s">
        <v>Jan27</v>
        <stp/>
        <stp>1517M4:Strip</stp>
        <tr r="E7" s="5"/>
      </tp>
      <tp t="s">
        <v>Q4 26</v>
        <stp/>
        <stp>5162Q0:Strip</stp>
        <tr r="E794" s="5"/>
      </tp>
      <tp t="s">
        <v>Cal 27</v>
        <stp/>
        <stp>5162Y0:Strip</stp>
        <tr r="E803" s="5"/>
      </tp>
      <tp t="s">
        <v>Sep26</v>
        <stp/>
        <stp>5162M0:Strip</stp>
        <tr r="E769" s="5"/>
      </tp>
      <tp t="s">
        <v>Feb28</v>
        <stp/>
        <stp>266M17:Strip</stp>
        <tr r="E938" s="5"/>
      </tp>
    </main>
    <main first="bofaddin.rtdserver">
      <tp>
        <v>6.7227505000000001</v>
        <stp/>
        <stp>BFXFORWARD|247167106083990092|222</stp>
        <stp>USDCNY</stp>
        <stp>3M</stp>
        <stp>MidOutright</stp>
        <tr r="BD23" s="1"/>
      </tp>
    </main>
    <main first="ice.rtd">
      <tp>
        <v>2.95</v>
        <stp/>
        <stp>1986923076M18:Settle</stp>
        <tr r="U173" s="5"/>
      </tp>
      <tp>
        <v>2.95</v>
        <stp/>
        <stp>1986923076M19:Settle</stp>
        <tr r="U174" s="5"/>
      </tp>
      <tp>
        <v>2.75</v>
        <stp/>
        <stp>1986923076M14:Settle</stp>
        <tr r="U169" s="5"/>
      </tp>
      <tp>
        <v>2.95</v>
        <stp/>
        <stp>1986923076M15:Settle</stp>
        <tr r="U170" s="5"/>
      </tp>
      <tp>
        <v>2.95</v>
        <stp/>
        <stp>1986923076M16:Settle</stp>
        <tr r="U171" s="5"/>
      </tp>
      <tp>
        <v>2.95</v>
        <stp/>
        <stp>1986923076M17:Settle</stp>
        <tr r="U172" s="5"/>
      </tp>
      <tp>
        <v>1.9000000000000001</v>
        <stp/>
        <stp>1986923076M10:Settle</stp>
        <tr r="U165" s="5"/>
      </tp>
      <tp>
        <v>2.1</v>
        <stp/>
        <stp>1986923076M11:Settle</stp>
        <tr r="U166" s="5"/>
      </tp>
      <tp>
        <v>2.3000000000000003</v>
        <stp/>
        <stp>1986923076M12:Settle</stp>
        <tr r="U167" s="5"/>
      </tp>
      <tp>
        <v>2.5500000000000003</v>
        <stp/>
        <stp>1986923076M13:Settle</stp>
        <tr r="U168" s="5"/>
      </tp>
      <tp>
        <v>2.99</v>
        <stp/>
        <stp>1986923076M24:Settle</stp>
        <tr r="U179" s="5"/>
      </tp>
      <tp>
        <v>2.95</v>
        <stp/>
        <stp>1986923076M20:Settle</stp>
        <tr r="U175" s="5"/>
      </tp>
      <tp>
        <v>2.95</v>
        <stp/>
        <stp>1986923076M21:Settle</stp>
        <tr r="U176" s="5"/>
      </tp>
      <tp>
        <v>2.95</v>
        <stp/>
        <stp>1986923076M22:Settle</stp>
        <tr r="U177" s="5"/>
      </tp>
      <tp>
        <v>2.97</v>
        <stp/>
        <stp>1986923076M23:Settle</stp>
        <tr r="U178" s="5"/>
      </tp>
      <tp>
        <v>14.1455</v>
        <stp/>
        <stp>2755728678M11:Settle</stp>
        <tr r="U1122" s="5"/>
      </tp>
      <tp>
        <v>14.395900000000001</v>
        <stp/>
        <stp>2755728678M10:Settle</stp>
        <tr r="U1121" s="5"/>
      </tp>
      <tp>
        <v>13.606900000000001</v>
        <stp/>
        <stp>2755728678M13:Settle</stp>
        <tr r="U1124" s="5"/>
      </tp>
      <tp>
        <v>13.875500000000001</v>
        <stp/>
        <stp>2755728678M12:Settle</stp>
        <tr r="U1123" s="5"/>
      </tp>
      <tp>
        <v>13.009500000000001</v>
        <stp/>
        <stp>2755728678M15:Settle</stp>
        <tr r="U1126" s="5"/>
      </tp>
      <tp>
        <v>13.3162</v>
        <stp/>
        <stp>2755728678M14:Settle</stp>
        <tr r="U1125" s="5"/>
      </tp>
      <tp>
        <v>12.856100000000001</v>
        <stp/>
        <stp>2755728678M17:Settle</stp>
        <tr r="U1128" s="5"/>
      </tp>
      <tp>
        <v>12.9015</v>
        <stp/>
        <stp>2755728678M16:Settle</stp>
        <tr r="U1127" s="5"/>
      </tp>
      <tp>
        <v>12.7285</v>
        <stp/>
        <stp>2755728678M19:Settle</stp>
        <tr r="U1130" s="5"/>
      </tp>
      <tp>
        <v>12.799800000000001</v>
        <stp/>
        <stp>2755728678M18:Settle</stp>
        <tr r="U1129" s="5"/>
      </tp>
      <tp>
        <v>12.555800000000001</v>
        <stp/>
        <stp>2755728678M21:Settle</stp>
        <tr r="U1132" s="5"/>
      </tp>
      <tp>
        <v>12.6501</v>
        <stp/>
        <stp>2755728678M20:Settle</stp>
        <tr r="U1131" s="5"/>
      </tp>
      <tp>
        <v>12.493600000000001</v>
        <stp/>
        <stp>2755728678M23:Settle</stp>
        <tr r="U1134" s="5"/>
      </tp>
      <tp>
        <v>12.530200000000001</v>
        <stp/>
        <stp>2755728678M22:Settle</stp>
        <tr r="U1133" s="5"/>
      </tp>
      <tp>
        <v>12.419700000000001</v>
        <stp/>
        <stp>2755728678M24:Settle</stp>
        <tr r="U1135" s="5"/>
      </tp>
      <tp t="s">
        <v>Invalid Market: 2972825746BM0</v>
        <stp/>
        <stp>2972825746BM0:Settle</stp>
        <tr r="U1714" s="5"/>
      </tp>
      <tp t="s">
        <v>Invalid Market: CALCM15</v>
        <stp/>
        <stp>CALCM15:LstBlkVol</stp>
        <tr r="L1202" s="5"/>
        <tr r="L1354" s="5"/>
      </tp>
    </main>
    <main first="bofaddin.rtdserver">
      <tp>
        <v>103.16</v>
        <stp/>
        <stp>BDP|8944825582515553347|222</stp>
        <stp>OQAX26 Comdty</stp>
        <stp>ASK</stp>
        <stp>Fill=#N/A</stp>
        <tr r="L21" s="1"/>
      </tp>
      <tp t="s">
        <v>#N/A</v>
        <stp/>
        <stp>BDP|4566561697965151362|222</stp>
        <stp>OQAZ29 Comdty</stp>
        <stp>ASK</stp>
        <stp>Fill=#N/A</stp>
        <tr r="L58" s="1"/>
      </tp>
      <tp t="s">
        <v>#N/A</v>
        <stp/>
        <stp>BDP|9951172222676854286|222</stp>
        <stp>OQAJ29 Comdty</stp>
        <stp>ASK</stp>
        <stp>Fill=#N/A</stp>
        <tr r="L50" s="1"/>
      </tp>
    </main>
    <main first="esrtd">
      <tp t="s">
        <v/>
        <stp/>
        <stp>NGF B0-IEU</stp>
        <stp>ICE Theoretical Price</stp>
        <tr r="W1490" s="5"/>
      </tp>
    </main>
    <main first="bofaddin.rtdserver">
      <tp t="s">
        <v>#N/A</v>
        <stp/>
        <stp>BDP|3454416411467431149|222</stp>
        <stp>OQAF30 Comdty</stp>
        <stp>BID</stp>
        <stp>Fill=#N/A</stp>
        <tr r="L59" s="1"/>
      </tp>
    </main>
    <main first="esrtd">
      <tp t="s">
        <v/>
        <stp/>
        <stp>EGE B0-IEU</stp>
        <stp>ICE Theoretical Price</stp>
        <tr r="W1990" s="5"/>
      </tp>
    </main>
    <main first="bofaddin.rtdserver">
      <tp t="s">
        <v>#N/A</v>
        <stp/>
        <stp>BDP|6221797347800731604|222</stp>
        <stp>MUCG29 Comdty</stp>
        <stp>BID</stp>
        <stp>Fill=#N/A</stp>
        <tr r="K48" s="1"/>
      </tp>
      <tp t="s">
        <v>#N/A</v>
        <stp/>
        <stp>BDP|1385874562430588303|222</stp>
        <stp>MUCX27 Comdty</stp>
        <stp>ASK</stp>
        <stp>Fill=#N/A</stp>
        <tr r="K33" s="1"/>
      </tp>
      <tp t="s">
        <v>#N/A</v>
        <stp/>
        <stp>BDP|5607815667831793336|222</stp>
        <stp>XBZ8 Comdty</stp>
        <stp>BID</stp>
        <stp>Fill=#N/A</stp>
        <tr r="J46" s="1"/>
      </tp>
      <tp>
        <v>786</v>
        <stp/>
        <stp>BDP|1937761235909532461|222</stp>
        <stp>QSQ9 Comdty</stp>
        <stp>BID</stp>
        <stp>Fill=#N/A</stp>
        <tr r="H54" s="1"/>
      </tp>
      <tp>
        <v>73.3</v>
        <stp/>
        <stp>BDP|3473407244321966135|222</stp>
        <stp>COX8 Comdty</stp>
        <stp>BID</stp>
        <stp>Fill=#N/A</stp>
        <tr r="G45" s="1"/>
      </tp>
      <tp t="s">
        <v>#N/A Invalid Security</v>
        <stp/>
        <stp>BDP|5366949669009635405|222</stp>
        <stp>CLQ8 Comdty</stp>
        <stp>BID</stp>
        <stp>Fill=#N/A</stp>
        <tr r="F42" s="1"/>
      </tp>
      <tp t="s">
        <v>#N/A</v>
        <stp/>
        <stp>BDP|4447174734451521340|222</stp>
        <stp>XBQ9 Comdty</stp>
        <stp>ASK</stp>
        <stp>Fill=#N/A</stp>
        <tr r="J54" s="1"/>
      </tp>
      <tp t="s">
        <v>#N/A</v>
        <stp/>
        <stp>BDP|1452198600762138338|222</stp>
        <stp>HOV8 Comdty</stp>
        <stp>ASK</stp>
        <stp>Fill=#N/A</stp>
        <tr r="I44" s="1"/>
      </tp>
    </main>
    <main first="ice.rtd">
      <tp>
        <v>0</v>
        <stp/>
        <stp>5162M9:BlkVol</stp>
        <tr r="O778" s="5"/>
      </tp>
      <tp>
        <v>0</v>
        <stp/>
        <stp>5162M8:BlkVol</stp>
        <tr r="O777" s="5"/>
      </tp>
      <tp>
        <v>0</v>
        <stp/>
        <stp>5162M3:BlkVol</stp>
        <tr r="O772" s="5"/>
      </tp>
      <tp>
        <v>0</v>
        <stp/>
        <stp>5162M2:BlkVol</stp>
        <tr r="O771" s="5"/>
      </tp>
      <tp>
        <v>15</v>
        <stp/>
        <stp>5162M1:BlkVol</stp>
        <tr r="O770" s="5"/>
      </tp>
      <tp>
        <v>0</v>
        <stp/>
        <stp>5162M0:BlkVol</stp>
        <tr r="O769" s="5"/>
      </tp>
      <tp>
        <v>0</v>
        <stp/>
        <stp>5162M7:BlkVol</stp>
        <tr r="O776" s="5"/>
      </tp>
      <tp>
        <v>0</v>
        <stp/>
        <stp>5162M6:BlkVol</stp>
        <tr r="O775" s="5"/>
      </tp>
      <tp>
        <v>0</v>
        <stp/>
        <stp>5162M5:BlkVol</stp>
        <tr r="O774" s="5"/>
      </tp>
      <tp>
        <v>0</v>
        <stp/>
        <stp>5162M4:BlkVol</stp>
        <tr r="O773" s="5"/>
      </tp>
      <tp>
        <v>0</v>
        <stp/>
        <stp>5162Q8:BlkVol</stp>
        <tr r="O802" s="5"/>
      </tp>
      <tp>
        <v>0</v>
        <stp/>
        <stp>5162Q3:BlkVol</stp>
        <tr r="O797" s="5"/>
      </tp>
      <tp>
        <v>0</v>
        <stp/>
        <stp>5162Q2:BlkVol</stp>
        <tr r="O796" s="5"/>
      </tp>
      <tp>
        <v>0</v>
        <stp/>
        <stp>5162Q1:BlkVol</stp>
        <tr r="O795" s="5"/>
      </tp>
      <tp>
        <v>0</v>
        <stp/>
        <stp>5162Q0:BlkVol</stp>
        <tr r="O794" s="5"/>
      </tp>
      <tp>
        <v>0</v>
        <stp/>
        <stp>5162Q7:BlkVol</stp>
        <tr r="O801" s="5"/>
      </tp>
      <tp>
        <v>0</v>
        <stp/>
        <stp>5162Q6:BlkVol</stp>
        <tr r="O800" s="5"/>
      </tp>
      <tp>
        <v>0</v>
        <stp/>
        <stp>5162Q5:BlkVol</stp>
        <tr r="O799" s="5"/>
      </tp>
      <tp>
        <v>0</v>
        <stp/>
        <stp>5162Q4:BlkVol</stp>
        <tr r="O798" s="5"/>
      </tp>
      <tp>
        <v>0</v>
        <stp/>
        <stp>5162Y2:BlkVol</stp>
        <tr r="O805" s="5"/>
      </tp>
      <tp>
        <v>0</v>
        <stp/>
        <stp>5162Y1:BlkVol</stp>
        <tr r="O804" s="5"/>
      </tp>
      <tp>
        <v>0</v>
        <stp/>
        <stp>5162Y0:BlkVol</stp>
        <tr r="O803" s="5"/>
      </tp>
    </main>
    <main first="bofaddin.rtdserver">
      <tp>
        <v>72.53</v>
        <stp/>
        <stp>BDP|7203076015058154552|222</stp>
        <stp>CLV7 Comdty</stp>
        <stp>ASK</stp>
        <stp>Fill=#N/A</stp>
        <tr r="F32" s="1"/>
      </tp>
    </main>
    <main first="ice.rtd">
      <tp t="s">
        <v>BOB</v>
        <stp/>
        <stp>5162M3:PCC</stp>
        <tr r="B772" s="5"/>
      </tp>
      <tp t="s">
        <v>BOB</v>
        <stp/>
        <stp>5162M2:PCC</stp>
        <tr r="B771" s="5"/>
      </tp>
      <tp t="s">
        <v>BOB</v>
        <stp/>
        <stp>5162M1:PCC</stp>
        <tr r="B770" s="5"/>
      </tp>
      <tp t="s">
        <v>BOB</v>
        <stp/>
        <stp>5162M0:PCC</stp>
        <tr r="B769" s="5"/>
      </tp>
      <tp t="s">
        <v>BOB</v>
        <stp/>
        <stp>5162M7:PCC</stp>
        <tr r="B776" s="5"/>
      </tp>
      <tp t="s">
        <v>BOB</v>
        <stp/>
        <stp>5162M6:PCC</stp>
        <tr r="B775" s="5"/>
      </tp>
      <tp t="s">
        <v>BOB</v>
        <stp/>
        <stp>5162M5:PCC</stp>
        <tr r="B774" s="5"/>
      </tp>
      <tp t="s">
        <v>BOB</v>
        <stp/>
        <stp>5162M4:PCC</stp>
        <tr r="B773" s="5"/>
      </tp>
      <tp t="s">
        <v>BOB</v>
        <stp/>
        <stp>5162M9:PCC</stp>
        <tr r="B778" s="5"/>
      </tp>
      <tp t="s">
        <v>BOB</v>
        <stp/>
        <stp>5162M8:PCC</stp>
        <tr r="B777" s="5"/>
      </tp>
      <tp>
        <v>0</v>
        <stp/>
        <stp>161913535MM12:OI</stp>
        <tr r="T2039" s="5"/>
      </tp>
      <tp>
        <v>0</v>
        <stp/>
        <stp>161913535MM13:OI</stp>
        <tr r="T2040" s="5"/>
      </tp>
      <tp>
        <v>0</v>
        <stp/>
        <stp>161913535MM10:OI</stp>
        <tr r="T2037" s="5"/>
      </tp>
      <tp>
        <v>0</v>
        <stp/>
        <stp>161913535MM11:OI</stp>
        <tr r="T2038" s="5"/>
      </tp>
      <tp>
        <v>0</v>
        <stp/>
        <stp>161913535MM16:OI</stp>
        <tr r="T2043" s="5"/>
      </tp>
      <tp>
        <v>0</v>
        <stp/>
        <stp>161913535MM17:OI</stp>
        <tr r="T2044" s="5"/>
      </tp>
      <tp>
        <v>0</v>
        <stp/>
        <stp>161913535MM14:OI</stp>
        <tr r="T2041" s="5"/>
      </tp>
      <tp>
        <v>0</v>
        <stp/>
        <stp>161913535MM15:OI</stp>
        <tr r="T2042" s="5"/>
      </tp>
      <tp>
        <v>0</v>
        <stp/>
        <stp>161913535MM18:OI</stp>
        <tr r="T2045" s="5"/>
      </tp>
      <tp>
        <v>0</v>
        <stp/>
        <stp>161913535MM19:OI</stp>
        <tr r="T2046" s="5"/>
      </tp>
      <tp>
        <v>0</v>
        <stp/>
        <stp>161913535MM22:OI</stp>
        <tr r="T2049" s="5"/>
      </tp>
      <tp>
        <v>0</v>
        <stp/>
        <stp>161913535MM23:OI</stp>
        <tr r="T2050" s="5"/>
      </tp>
      <tp>
        <v>0</v>
        <stp/>
        <stp>161913535MM20:OI</stp>
        <tr r="T2047" s="5"/>
      </tp>
      <tp>
        <v>0</v>
        <stp/>
        <stp>161913535MM21:OI</stp>
        <tr r="T2048" s="5"/>
      </tp>
      <tp>
        <v>0</v>
        <stp/>
        <stp>161913535MM26:OI</stp>
        <tr r="T2053" s="5"/>
      </tp>
      <tp>
        <v>0</v>
        <stp/>
        <stp>161913535MM27:OI</stp>
        <tr r="T2054" s="5"/>
      </tp>
      <tp>
        <v>0</v>
        <stp/>
        <stp>161913535MM24:OI</stp>
        <tr r="T2051" s="5"/>
      </tp>
      <tp>
        <v>0</v>
        <stp/>
        <stp>161913535MM25:OI</stp>
        <tr r="T2052" s="5"/>
      </tp>
      <tp t="s">
        <v>BOB</v>
        <stp/>
        <stp>5162Q3:PCC</stp>
        <tr r="B797" s="5"/>
      </tp>
      <tp t="s">
        <v>BOB</v>
        <stp/>
        <stp>5162Q2:PCC</stp>
        <tr r="B796" s="5"/>
      </tp>
      <tp t="s">
        <v>BOB</v>
        <stp/>
        <stp>5162Q1:PCC</stp>
        <tr r="B795" s="5"/>
      </tp>
      <tp t="s">
        <v>BOB</v>
        <stp/>
        <stp>5162Q0:PCC</stp>
        <tr r="B794" s="5"/>
      </tp>
      <tp t="s">
        <v>BOB</v>
        <stp/>
        <stp>5162Q7:PCC</stp>
        <tr r="B801" s="5"/>
      </tp>
      <tp t="s">
        <v>BOB</v>
        <stp/>
        <stp>5162Q6:PCC</stp>
        <tr r="B800" s="5"/>
      </tp>
      <tp t="s">
        <v>BOB</v>
        <stp/>
        <stp>5162Q5:PCC</stp>
        <tr r="B799" s="5"/>
      </tp>
      <tp t="s">
        <v>BOB</v>
        <stp/>
        <stp>5162Q4:PCC</stp>
        <tr r="B798" s="5"/>
      </tp>
      <tp t="s">
        <v>BOB</v>
        <stp/>
        <stp>5162Q8:PCC</stp>
        <tr r="B802" s="5"/>
      </tp>
      <tp t="s">
        <v>BOB</v>
        <stp/>
        <stp>5162Y2:PCC</stp>
        <tr r="B805" s="5"/>
      </tp>
      <tp t="s">
        <v>BOB</v>
        <stp/>
        <stp>5162Y1:PCC</stp>
        <tr r="B804" s="5"/>
      </tp>
      <tp t="s">
        <v>BOB</v>
        <stp/>
        <stp>5162Y0:PCC</stp>
        <tr r="B803" s="5"/>
      </tp>
      <tp t="s">
        <v>Invalid Market: CALCM12</v>
        <stp/>
        <stp>CALCM12:LstBlkPrc</stp>
        <tr r="K1199" s="5"/>
        <tr r="K1351" s="5"/>
      </tp>
      <tp t="s">
        <v>Invalid Market: CALCM22</v>
        <stp/>
        <stp>CALCM22:LstBlkPrc</stp>
        <tr r="K1209" s="5"/>
        <tr r="K1361" s="5"/>
      </tp>
      <tp t="s">
        <v>Invalid Market: CALCM22</v>
        <stp/>
        <stp>CALCM22:BstHitPrc</stp>
        <tr r="G1209" s="5"/>
        <tr r="G1361" s="5"/>
      </tp>
      <tp t="s">
        <v>Invalid Market: CALCM12</v>
        <stp/>
        <stp>CALCM12:BstHitPrc</stp>
        <tr r="G1199" s="5"/>
        <tr r="G1351" s="5"/>
      </tp>
      <tp t="s">
        <v>Q1 28</v>
        <stp/>
        <stp>1517Q5:Strip</stp>
        <tr r="E33" s="5"/>
      </tp>
      <tp t="s">
        <v>Feb27</v>
        <stp/>
        <stp>1517M5:Strip</stp>
        <tr r="E8" s="5"/>
      </tp>
      <tp t="s">
        <v>Q1 27</v>
        <stp/>
        <stp>5162Q1:Strip</stp>
        <tr r="E795" s="5"/>
      </tp>
      <tp t="s">
        <v>Cal 28</v>
        <stp/>
        <stp>5162Y1:Strip</stp>
        <tr r="E804" s="5"/>
      </tp>
      <tp t="s">
        <v>Oct26</v>
        <stp/>
        <stp>5162M1:Strip</stp>
        <tr r="E770" s="5"/>
      </tp>
      <tp t="s">
        <v>Jan28</v>
        <stp/>
        <stp>266M16:Strip</stp>
        <tr r="E937" s="5"/>
      </tp>
      <tp>
        <v>4.6470000000000002</v>
        <stp/>
        <stp>2755828679M18:Settle</stp>
        <tr r="U1015" s="5"/>
      </tp>
      <tp>
        <v>4.6543999999999999</v>
        <stp/>
        <stp>2755828679M19:Settle</stp>
        <tr r="U1016" s="5"/>
      </tp>
      <tp>
        <v>4.67</v>
        <stp/>
        <stp>2755828679M16:Settle</stp>
        <tr r="U1013" s="5"/>
      </tp>
      <tp>
        <v>4.6640000000000006</v>
        <stp/>
        <stp>2755828679M17:Settle</stp>
        <tr r="U1014" s="5"/>
      </tp>
      <tp>
        <v>5.0847000000000007</v>
        <stp/>
        <stp>2755828679M14:Settle</stp>
        <tr r="U1011" s="5"/>
      </tp>
      <tp>
        <v>4.7780000000000005</v>
        <stp/>
        <stp>2755828679M15:Settle</stp>
        <tr r="U1012" s="5"/>
      </tp>
      <tp>
        <v>5.6834000000000007</v>
        <stp/>
        <stp>2755828679M12:Settle</stp>
        <tr r="U1009" s="5"/>
      </tp>
      <tp>
        <v>5.3754</v>
        <stp/>
        <stp>2755828679M13:Settle</stp>
        <tr r="U1010" s="5"/>
      </tp>
      <tp>
        <v>6.2038000000000002</v>
        <stp/>
        <stp>2755828679M10:Settle</stp>
        <tr r="U1007" s="5"/>
      </tp>
      <tp>
        <v>5.9534000000000002</v>
        <stp/>
        <stp>2755828679M11:Settle</stp>
        <tr r="U1008" s="5"/>
      </tp>
      <tp>
        <v>4.5425000000000004</v>
        <stp/>
        <stp>2755828679M24:Settle</stp>
        <tr r="U1021" s="5"/>
      </tp>
      <tp>
        <v>4.6137000000000006</v>
        <stp/>
        <stp>2755828679M22:Settle</stp>
        <tr r="U1019" s="5"/>
      </tp>
      <tp>
        <v>4.5771000000000006</v>
        <stp/>
        <stp>2755828679M23:Settle</stp>
        <tr r="U1020" s="5"/>
      </tp>
      <tp>
        <v>4.6549000000000005</v>
        <stp/>
        <stp>2755828679M20:Settle</stp>
        <tr r="U1017" s="5"/>
      </tp>
      <tp>
        <v>4.6393000000000004</v>
        <stp/>
        <stp>2755828679M21:Settle</stp>
        <tr r="U1018" s="5"/>
      </tp>
    </main>
    <main first="bofaddin.rtdserver">
      <tp t="s">
        <v>#N/A Real Time</v>
        <stp/>
        <stp>BDP|2289940076619116358|22</stp>
        <stp>COU6P 70.00 Comdty</stp>
        <stp>MID</stp>
        <tr r="B41" s="23"/>
      </tp>
    </main>
    <main first="ice.rtd">
      <tp t="s">
        <v>Invalid Market: CALCM14</v>
        <stp/>
        <stp>CALCM14:LstBlkVol</stp>
        <tr r="L1353" s="5"/>
        <tr r="L1201" s="5"/>
      </tp>
      <tp t="s">
        <v>Invalid Market: CALCM24</v>
        <stp/>
        <stp>CALCM24:LstBlkVol</stp>
        <tr r="L1211" s="5"/>
        <tr r="L1363" s="5"/>
      </tp>
    </main>
    <main first="bofaddin.rtdserver">
      <tp t="s">
        <v>#N/A</v>
        <stp/>
        <stp>BDP|4975680468336540116|222</stp>
        <stp>MUCN30 Comdty</stp>
        <stp>BID</stp>
        <stp>Fill=#N/A</stp>
        <tr r="K65" s="1"/>
      </tp>
      <tp t="s">
        <v>#N/A</v>
        <stp/>
        <stp>BDP|4680668147746761301|222</stp>
        <stp>MUCJ30 Comdty</stp>
        <stp>BID</stp>
        <stp>Fill=#N/A</stp>
        <tr r="K62" s="1"/>
      </tp>
      <tp>
        <v>91.44</v>
        <stp/>
        <stp>BDP|9791152597945050435|222</stp>
        <stp>OQAZ26 Comdty</stp>
        <stp>BID</stp>
        <stp>Fill=#N/A</stp>
        <tr r="L22" s="1"/>
      </tp>
      <tp t="s">
        <v>#N/A</v>
        <stp/>
        <stp>BDP|9091161735749465101|222</stp>
        <stp>MUCM30 Comdty</stp>
        <stp>BID</stp>
        <stp>Fill=#N/A</stp>
        <tr r="K64" s="1"/>
      </tp>
      <tp>
        <v>97.61</v>
        <stp/>
        <stp>BDP|8932598493559453063|222</stp>
        <stp>MUCZ26 Comdty</stp>
        <stp>ASK</stp>
        <stp>Fill=#N/A</stp>
        <tr r="K22" s="1"/>
      </tp>
    </main>
    <main first="ice.rtd">
      <tp>
        <v>0</v>
        <stp/>
        <stp>266M18:BlkVol</stp>
        <tr r="O939" s="5"/>
      </tp>
      <tp>
        <v>0</v>
        <stp/>
        <stp>266M19:BlkVol</stp>
        <tr r="O940" s="5"/>
      </tp>
      <tp>
        <v>0</v>
        <stp/>
        <stp>266M14:BlkVol</stp>
        <tr r="O935" s="5"/>
      </tp>
      <tp>
        <v>0</v>
        <stp/>
        <stp>266M15:BlkVol</stp>
        <tr r="O936" s="5"/>
      </tp>
      <tp>
        <v>0</v>
        <stp/>
        <stp>266M16:BlkVol</stp>
        <tr r="O937" s="5"/>
      </tp>
      <tp>
        <v>0</v>
        <stp/>
        <stp>266M17:BlkVol</stp>
        <tr r="O938" s="5"/>
      </tp>
      <tp>
        <v>0</v>
        <stp/>
        <stp>266M10:BlkVol</stp>
        <tr r="O931" s="5"/>
      </tp>
      <tp>
        <v>0</v>
        <stp/>
        <stp>266M11:BlkVol</stp>
        <tr r="O932" s="5"/>
      </tp>
      <tp>
        <v>0</v>
        <stp/>
        <stp>266M12:BlkVol</stp>
        <tr r="O933" s="5"/>
      </tp>
      <tp>
        <v>0</v>
        <stp/>
        <stp>266M13:BlkVol</stp>
        <tr r="O934" s="5"/>
      </tp>
      <tp>
        <v>0</v>
        <stp/>
        <stp>266M24:BlkVol</stp>
        <tr r="O945" s="5"/>
      </tp>
      <tp>
        <v>0</v>
        <stp/>
        <stp>266M20:BlkVol</stp>
        <tr r="O941" s="5"/>
      </tp>
      <tp>
        <v>0</v>
        <stp/>
        <stp>266M21:BlkVol</stp>
        <tr r="O942" s="5"/>
      </tp>
      <tp>
        <v>0</v>
        <stp/>
        <stp>266M22:BlkVol</stp>
        <tr r="O943" s="5"/>
      </tp>
      <tp>
        <v>0</v>
        <stp/>
        <stp>266M23:BlkVol</stp>
        <tr r="O944" s="5"/>
      </tp>
    </main>
    <main first="bofaddin.rtdserver">
      <tp t="s">
        <v>#N/A Invalid Security</v>
        <stp/>
        <stp>BDP|3861033219403071770|222</stp>
        <stp>CLV9 Comdty</stp>
        <stp>ASK</stp>
        <stp>Fill=#N/A</stp>
        <tr r="F56" s="1"/>
      </tp>
      <tp>
        <v>327.05</v>
        <stp/>
        <stp>BDP|3954389838346034929|222</stp>
        <stp>HOZ7 Comdty</stp>
        <stp>BID</stp>
        <stp>Fill=#N/A</stp>
        <tr r="I34" s="1"/>
      </tp>
      <tp t="s">
        <v>#N/A Invalid Security</v>
        <stp/>
        <stp>BDP|3075916089517176966|222</stp>
        <stp>CLZ9 Comdty</stp>
        <stp>BID</stp>
        <stp>Fill=#N/A</stp>
        <tr r="F58" s="1"/>
      </tp>
      <tp t="s">
        <v>#N/A Invalid Security</v>
        <stp/>
        <stp>BDP|8171531345761364330|222</stp>
        <stp>CLX9 Comdty</stp>
        <stp>BID</stp>
        <stp>Fill=#N/A</stp>
        <tr r="F57" s="1"/>
      </tp>
      <tp>
        <v>90.49</v>
        <stp/>
        <stp>BDP|3165774727434628192|222</stp>
        <stp>CLV6 Comdty</stp>
        <stp>ASK</stp>
        <stp>Fill=#N/A</stp>
        <tr r="F20" s="1"/>
      </tp>
    </main>
    <main first="ice.rtd">
      <tp t="s">
        <v>Invalid Market: CALCM0</v>
        <stp/>
        <stp>CALCM0:LstBlkTime</stp>
        <tr r="M1187" s="5"/>
        <tr r="M1339" s="5"/>
      </tp>
      <tp t="s">
        <v>Invalid Market: CALCM1</v>
        <stp/>
        <stp>CALCM1:LstBlkTime</stp>
        <tr r="M1188" s="5"/>
        <tr r="M1340" s="5"/>
      </tp>
      <tp t="s">
        <v>Invalid Market: CALCM2</v>
        <stp/>
        <stp>CALCM2:LstBlkTime</stp>
        <tr r="M1341" s="5"/>
        <tr r="M1189" s="5"/>
      </tp>
      <tp t="s">
        <v>Invalid Market: CALCM3</v>
        <stp/>
        <stp>CALCM3:LstBlkTime</stp>
        <tr r="M1342" s="5"/>
        <tr r="M1190" s="5"/>
      </tp>
      <tp t="s">
        <v>Invalid Market: CALCM4</v>
        <stp/>
        <stp>CALCM4:LstBlkTime</stp>
        <tr r="M1191" s="5"/>
        <tr r="M1343" s="5"/>
      </tp>
      <tp t="s">
        <v>Invalid Market: CALCM5</v>
        <stp/>
        <stp>CALCM5:LstBlkTime</stp>
        <tr r="M1192" s="5"/>
        <tr r="M1344" s="5"/>
      </tp>
      <tp t="s">
        <v>Invalid Market: CALCM6</v>
        <stp/>
        <stp>CALCM6:LstBlkTime</stp>
        <tr r="M1193" s="5"/>
        <tr r="M1345" s="5"/>
      </tp>
      <tp t="s">
        <v>Invalid Market: CALCM7</v>
        <stp/>
        <stp>CALCM7:LstBlkTime</stp>
        <tr r="M1194" s="5"/>
        <tr r="M1346" s="5"/>
      </tp>
      <tp t="s">
        <v>Invalid Market: CALCM8</v>
        <stp/>
        <stp>CALCM8:LstBlkTime</stp>
        <tr r="M1195" s="5"/>
        <tr r="M1347" s="5"/>
      </tp>
      <tp t="s">
        <v>Invalid Market: CALCM9</v>
        <stp/>
        <stp>CALCM9:LstBlkTime</stp>
        <tr r="M1196" s="5"/>
        <tr r="M1348" s="5"/>
      </tp>
      <tp t="s">
        <v>Invalid Market: CALCB0</v>
        <stp/>
        <stp>CALCB0:LstBlkTime</stp>
        <tr r="M1186" s="5"/>
        <tr r="M1338" s="5"/>
      </tp>
      <tp t="s">
        <v>Invalid Market: CALCY0</v>
        <stp/>
        <stp>CALCY0:LstBlkTime</stp>
        <tr r="M1373" s="5"/>
        <tr r="M1221" s="5"/>
      </tp>
      <tp t="s">
        <v>Invalid Market: CALCY1</v>
        <stp/>
        <stp>CALCY1:LstBlkTime</stp>
        <tr r="M1374" s="5"/>
        <tr r="M1222" s="5"/>
      </tp>
      <tp t="s">
        <v>Invalid Market: CALCY2</v>
        <stp/>
        <stp>CALCY2:LstBlkTime</stp>
        <tr r="M1223" s="5"/>
        <tr r="M1375" s="5"/>
      </tp>
      <tp t="s">
        <v>Invalid Market: CALCQ0</v>
        <stp/>
        <stp>CALCQ0:LstBlkTime</stp>
        <tr r="M1212" s="5"/>
        <tr r="M1364" s="5"/>
      </tp>
      <tp t="s">
        <v>Invalid Market: CALCQ1</v>
        <stp/>
        <stp>CALCQ1:LstBlkTime</stp>
        <tr r="M1213" s="5"/>
        <tr r="M1365" s="5"/>
      </tp>
      <tp t="s">
        <v>Invalid Market: CALCQ2</v>
        <stp/>
        <stp>CALCQ2:LstBlkTime</stp>
        <tr r="M1214" s="5"/>
        <tr r="M1366" s="5"/>
      </tp>
      <tp t="s">
        <v>Invalid Market: CALCQ3</v>
        <stp/>
        <stp>CALCQ3:LstBlkTime</stp>
        <tr r="M1215" s="5"/>
        <tr r="M1367" s="5"/>
      </tp>
      <tp t="s">
        <v>Invalid Market: CALCQ4</v>
        <stp/>
        <stp>CALCQ4:LstBlkTime</stp>
        <tr r="M1368" s="5"/>
        <tr r="M1216" s="5"/>
      </tp>
      <tp t="s">
        <v>Invalid Market: CALCQ5</v>
        <stp/>
        <stp>CALCQ5:LstBlkTime</stp>
        <tr r="M1217" s="5"/>
        <tr r="M1369" s="5"/>
      </tp>
      <tp t="s">
        <v>Invalid Market: CALCQ6</v>
        <stp/>
        <stp>CALCQ6:LstBlkTime</stp>
        <tr r="M1218" s="5"/>
        <tr r="M1370" s="5"/>
      </tp>
      <tp t="s">
        <v>Invalid Market: CALCQ7</v>
        <stp/>
        <stp>CALCQ7:LstBlkTime</stp>
        <tr r="M1219" s="5"/>
        <tr r="M1371" s="5"/>
      </tp>
      <tp t="s">
        <v>Invalid Market: CALCQ8</v>
        <stp/>
        <stp>CALCQ8:LstBlkTime</stp>
        <tr r="M1220" s="5"/>
        <tr r="M1372" s="5"/>
      </tp>
    </main>
    <main first="bofaddin.rtdserver">
      <tp t="s">
        <v>#N/A Invalid Security</v>
        <stp/>
        <stp>BDP|2020992157076421477|222</stp>
        <stp>COZ9 Comdty</stp>
        <stp>BID</stp>
        <stp>Fill=#N/A</stp>
        <tr r="G58" s="1"/>
      </tp>
      <tp t="s">
        <v>#N/A</v>
        <stp/>
        <stp>BDP|2614442873714428850|222</stp>
        <stp>QSV9 Comdty</stp>
        <stp>ASK</stp>
        <stp>Fill=#N/A</stp>
        <tr r="H56" s="1"/>
      </tp>
      <tp>
        <v>949.75</v>
        <stp/>
        <stp>BDP|5552823500974386121|222</stp>
        <stp>QSV7 Comdty</stp>
        <stp>ASK</stp>
        <stp>Fill=#N/A</stp>
        <tr r="H32" s="1"/>
      </tp>
      <tp>
        <v>220</v>
        <stp/>
        <stp>BDP|7518936098848423463|222</stp>
        <stp>HOQ8 Comdty</stp>
        <stp>BID</stp>
        <stp>Fill=#N/A</stp>
        <tr r="I42" s="1"/>
      </tp>
      <tp>
        <v>247.58</v>
        <stp/>
        <stp>BDP|2191716077525893815|222</stp>
        <stp>XBV7 Comdty</stp>
        <stp>ASK</stp>
        <stp>Fill=#N/A</stp>
        <tr r="J32" s="1"/>
      </tp>
    </main>
    <main first="ice.rtd">
      <tp>
        <v>100</v>
        <stp/>
        <stp>1517M9:BlkVol</stp>
        <tr r="O12" s="5"/>
      </tp>
      <tp>
        <v>100</v>
        <stp/>
        <stp>1517M8:BlkVol</stp>
        <tr r="O11" s="5"/>
      </tp>
      <tp>
        <v>100</v>
        <stp/>
        <stp>1517M7:BlkVol</stp>
        <tr r="O10" s="5"/>
      </tp>
      <tp>
        <v>275</v>
        <stp/>
        <stp>1517M6:BlkVol</stp>
        <tr r="O9" s="5"/>
      </tp>
      <tp>
        <v>275</v>
        <stp/>
        <stp>1517M5:BlkVol</stp>
        <tr r="O8" s="5"/>
      </tp>
      <tp>
        <v>275</v>
        <stp/>
        <stp>1517M4:BlkVol</stp>
        <tr r="O7" s="5"/>
      </tp>
      <tp>
        <v>275</v>
        <stp/>
        <stp>1517M3:BlkVol</stp>
        <tr r="O6" s="5"/>
      </tp>
      <tp>
        <v>1475</v>
        <stp/>
        <stp>1517M2:BlkVol</stp>
        <tr r="O5" s="5"/>
      </tp>
      <tp>
        <v>2405</v>
        <stp/>
        <stp>1517M1:BlkVol</stp>
        <tr r="O4" s="5"/>
      </tp>
      <tp>
        <v>17</v>
        <stp/>
        <stp>1517M0:BlkVol</stp>
        <tr r="O3" s="5"/>
      </tp>
      <tp>
        <v>0</v>
        <stp/>
        <stp>1517Q8:BlkVol</stp>
        <tr r="O36" s="5"/>
      </tp>
      <tp>
        <v>0</v>
        <stp/>
        <stp>1517Q7:BlkVol</stp>
        <tr r="O35" s="5"/>
      </tp>
      <tp>
        <v>0</v>
        <stp/>
        <stp>1517Q6:BlkVol</stp>
        <tr r="O34" s="5"/>
      </tp>
      <tp>
        <v>0</v>
        <stp/>
        <stp>1517Q5:BlkVol</stp>
        <tr r="O33" s="5"/>
      </tp>
      <tp>
        <v>0</v>
        <stp/>
        <stp>1517Q4:BlkVol</stp>
        <tr r="O32" s="5"/>
      </tp>
      <tp>
        <v>0</v>
        <stp/>
        <stp>1517Q3:BlkVol</stp>
        <tr r="O31" s="5"/>
      </tp>
      <tp>
        <v>100</v>
        <stp/>
        <stp>1517Q2:BlkVol</stp>
        <tr r="O30" s="5"/>
      </tp>
      <tp>
        <v>225</v>
        <stp/>
        <stp>1517Q1:BlkVol</stp>
        <tr r="O29" s="5"/>
      </tp>
      <tp>
        <v>125</v>
        <stp/>
        <stp>1517Q0:BlkVol</stp>
        <tr r="O28" s="5"/>
      </tp>
      <tp>
        <v>0</v>
        <stp/>
        <stp>1517Y2:BlkVol</stp>
        <tr r="O39" s="5"/>
      </tp>
      <tp>
        <v>0</v>
        <stp/>
        <stp>1517Y1:BlkVol</stp>
        <tr r="O38" s="5"/>
      </tp>
      <tp>
        <v>0</v>
        <stp/>
        <stp>1517Y0:BlkVol</stp>
        <tr r="O37" s="5"/>
      </tp>
      <tp t="s">
        <v/>
        <stp/>
        <stp>366531MM16:BstLiftPrc</stp>
        <tr r="H1731" s="5"/>
      </tp>
      <tp>
        <v>12.75</v>
        <stp/>
        <stp>366531MM17:BstLiftPrc</stp>
        <tr r="H1732" s="5"/>
      </tp>
      <tp t="s">
        <v/>
        <stp/>
        <stp>366531MM14:BstLiftPrc</stp>
        <tr r="H1729" s="5"/>
      </tp>
      <tp t="s">
        <v/>
        <stp/>
        <stp>366531MM15:BstLiftPrc</stp>
        <tr r="H1730" s="5"/>
      </tp>
      <tp t="s">
        <v/>
        <stp/>
        <stp>366531MM12:BstLiftPrc</stp>
        <tr r="H1727" s="5"/>
      </tp>
      <tp t="s">
        <v/>
        <stp/>
        <stp>366531MM13:BstLiftPrc</stp>
        <tr r="H1728" s="5"/>
      </tp>
      <tp>
        <v>15</v>
        <stp/>
        <stp>366531MM10:BstLiftPrc</stp>
        <tr r="H1725" s="5"/>
      </tp>
      <tp t="s">
        <v/>
        <stp/>
        <stp>366531MM11:BstLiftPrc</stp>
        <tr r="H1726" s="5"/>
      </tp>
      <tp t="s">
        <v/>
        <stp/>
        <stp>366531MM18:BstLiftPrc</stp>
        <tr r="H1733" s="5"/>
      </tp>
      <tp t="s">
        <v/>
        <stp/>
        <stp>366531MM19:BstLiftPrc</stp>
        <tr r="H1734" s="5"/>
      </tp>
      <tp t="s">
        <v/>
        <stp/>
        <stp>366531MM26:BstLiftPrc</stp>
        <tr r="H1741" s="5"/>
      </tp>
      <tp t="s">
        <v/>
        <stp/>
        <stp>366531MM27:BstLiftPrc</stp>
        <tr r="H1742" s="5"/>
      </tp>
      <tp>
        <v>11.5</v>
        <stp/>
        <stp>366531MM24:BstLiftPrc</stp>
        <tr r="H1739" s="5"/>
      </tp>
      <tp t="s">
        <v/>
        <stp/>
        <stp>366531MM25:BstLiftPrc</stp>
        <tr r="H1740" s="5"/>
      </tp>
      <tp t="s">
        <v/>
        <stp/>
        <stp>366531MM22:BstLiftPrc</stp>
        <tr r="H1737" s="5"/>
      </tp>
      <tp t="s">
        <v/>
        <stp/>
        <stp>366531MM23:BstLiftPrc</stp>
        <tr r="H1738" s="5"/>
      </tp>
      <tp t="s">
        <v/>
        <stp/>
        <stp>366531MM20:BstLiftPrc</stp>
        <tr r="H1735" s="5"/>
      </tp>
      <tp t="s">
        <v/>
        <stp/>
        <stp>366531MM21:BstLiftPrc</stp>
        <tr r="H1736" s="5"/>
      </tp>
      <tp>
        <v>3.98</v>
        <stp/>
        <stp>141587M5:LstPrc</stp>
        <tr r="I46" s="5"/>
      </tp>
      <tp>
        <v>4.09</v>
        <stp/>
        <stp>141587M4:LstPrc</stp>
        <tr r="I45" s="5"/>
      </tp>
      <tp>
        <v>3.7</v>
        <stp/>
        <stp>141587M7:LstPrc</stp>
        <tr r="I48" s="5"/>
      </tp>
      <tp>
        <v>3.82</v>
        <stp/>
        <stp>141587M6:LstPrc</stp>
        <tr r="I47" s="5"/>
      </tp>
      <tp>
        <v>1.97</v>
        <stp/>
        <stp>141587M1:LstPrc</stp>
        <tr r="I42" s="5"/>
      </tp>
      <tp>
        <v>-5.3</v>
        <stp/>
        <stp>141587M0:LstPrc</stp>
        <tr r="I41" s="5"/>
      </tp>
      <tp>
        <v>4.08</v>
        <stp/>
        <stp>141587M3:LstPrc</stp>
        <tr r="I44" s="5"/>
      </tp>
      <tp>
        <v>3.64</v>
        <stp/>
        <stp>141587M2:LstPrc</stp>
        <tr r="I43" s="5"/>
      </tp>
      <tp t="s">
        <v/>
        <stp/>
        <stp>141587M9:LstPrc</stp>
        <tr r="I50" s="5"/>
      </tp>
      <tp>
        <v>3.5</v>
        <stp/>
        <stp>141587M8:LstPrc</stp>
        <tr r="I49" s="5"/>
      </tp>
      <tp t="s">
        <v/>
        <stp/>
        <stp>141587Y1:LstPrc</stp>
        <tr r="I76" s="5"/>
      </tp>
      <tp t="s">
        <v/>
        <stp/>
        <stp>141587Y0:LstPrc</stp>
        <tr r="I75" s="5"/>
      </tp>
      <tp t="s">
        <v/>
        <stp/>
        <stp>141587Y2:LstPrc</stp>
        <tr r="I77" s="5"/>
      </tp>
      <tp t="s">
        <v/>
        <stp/>
        <stp>141587Q5:LstPrc</stp>
        <tr r="I71" s="5"/>
      </tp>
      <tp t="s">
        <v/>
        <stp/>
        <stp>141587Q4:LstPrc</stp>
        <tr r="I70" s="5"/>
      </tp>
      <tp t="s">
        <v/>
        <stp/>
        <stp>141587Q7:LstPrc</stp>
        <tr r="I73" s="5"/>
      </tp>
      <tp t="s">
        <v/>
        <stp/>
        <stp>141587Q6:LstPrc</stp>
        <tr r="I72" s="5"/>
      </tp>
      <tp>
        <v>3.95</v>
        <stp/>
        <stp>141587Q1:LstPrc</stp>
        <tr r="I67" s="5"/>
      </tp>
      <tp>
        <v>3.24</v>
        <stp/>
        <stp>141587Q0:LstPrc</stp>
        <tr r="I66" s="5"/>
      </tp>
      <tp t="s">
        <v/>
        <stp/>
        <stp>141587Q3:LstPrc</stp>
        <tr r="I69" s="5"/>
      </tp>
      <tp>
        <v>3.5</v>
        <stp/>
        <stp>141587Q2:LstPrc</stp>
        <tr r="I68" s="5"/>
      </tp>
      <tp t="s">
        <v/>
        <stp/>
        <stp>141587Q8:LstPrc</stp>
        <tr r="I74" s="5"/>
      </tp>
      <tp t="s">
        <v/>
        <stp/>
        <stp>41767893M24:LstDate</stp>
        <tr r="J504" s="5"/>
      </tp>
      <tp t="s">
        <v/>
        <stp/>
        <stp>41787896M24:LstDate</stp>
        <tr r="J831" s="5"/>
      </tp>
      <tp t="s">
        <v/>
        <stp/>
        <stp>41767893M22:LstDate</stp>
        <tr r="J502" s="5"/>
      </tp>
      <tp t="s">
        <v/>
        <stp/>
        <stp>41787896M22:LstDate</stp>
        <tr r="J829" s="5"/>
      </tp>
      <tp t="s">
        <v/>
        <stp/>
        <stp>41767893M23:LstDate</stp>
        <tr r="J503" s="5"/>
      </tp>
      <tp t="s">
        <v/>
        <stp/>
        <stp>41787896M23:LstDate</stp>
        <tr r="J830" s="5"/>
      </tp>
      <tp t="s">
        <v/>
        <stp/>
        <stp>41767893M20:LstDate</stp>
        <tr r="J500" s="5"/>
      </tp>
      <tp t="s">
        <v/>
        <stp/>
        <stp>41787896M20:LstDate</stp>
        <tr r="J827" s="5"/>
      </tp>
      <tp t="s">
        <v/>
        <stp/>
        <stp>41767893M21:LstDate</stp>
        <tr r="J501" s="5"/>
      </tp>
      <tp t="s">
        <v/>
        <stp/>
        <stp>41787896M21:LstDate</stp>
        <tr r="J828" s="5"/>
      </tp>
      <tp t="s">
        <v/>
        <stp/>
        <stp>41767893M16:LstDate</stp>
        <tr r="J496" s="5"/>
      </tp>
      <tp t="s">
        <v/>
        <stp/>
        <stp>41787896M16:LstDate</stp>
        <tr r="J823" s="5"/>
      </tp>
      <tp t="s">
        <v/>
        <stp/>
        <stp>41767893M17:LstDate</stp>
        <tr r="J497" s="5"/>
      </tp>
      <tp t="s">
        <v/>
        <stp/>
        <stp>41787896M17:LstDate</stp>
        <tr r="J824" s="5"/>
      </tp>
      <tp t="s">
        <v/>
        <stp/>
        <stp>41767893M14:LstDate</stp>
        <tr r="J494" s="5"/>
      </tp>
      <tp t="s">
        <v/>
        <stp/>
        <stp>41787896M14:LstDate</stp>
        <tr r="J821" s="5"/>
      </tp>
      <tp t="s">
        <v/>
        <stp/>
        <stp>41767893M15:LstDate</stp>
        <tr r="J495" s="5"/>
      </tp>
      <tp t="s">
        <v/>
        <stp/>
        <stp>41787896M15:LstDate</stp>
        <tr r="J822" s="5"/>
      </tp>
      <tp t="s">
        <v/>
        <stp/>
        <stp>41767893M12:LstDate</stp>
        <tr r="J492" s="5"/>
      </tp>
      <tp t="s">
        <v/>
        <stp/>
        <stp>41787896M12:LstDate</stp>
        <tr r="J819" s="5"/>
      </tp>
      <tp t="s">
        <v/>
        <stp/>
        <stp>41767893M13:LstDate</stp>
        <tr r="J493" s="5"/>
      </tp>
      <tp t="s">
        <v/>
        <stp/>
        <stp>41787896M13:LstDate</stp>
        <tr r="J820" s="5"/>
      </tp>
      <tp t="s">
        <v/>
        <stp/>
        <stp>41767893M10:LstDate</stp>
        <tr r="J490" s="5"/>
      </tp>
      <tp t="s">
        <v/>
        <stp/>
        <stp>41787896M10:LstDate</stp>
        <tr r="J817" s="5"/>
      </tp>
      <tp t="s">
        <v/>
        <stp/>
        <stp>41767893M11:LstDate</stp>
        <tr r="J491" s="5"/>
      </tp>
      <tp t="s">
        <v/>
        <stp/>
        <stp>41787896M11:LstDate</stp>
        <tr r="J818" s="5"/>
      </tp>
      <tp t="s">
        <v/>
        <stp/>
        <stp>41767893M18:LstDate</stp>
        <tr r="J498" s="5"/>
      </tp>
      <tp t="s">
        <v/>
        <stp/>
        <stp>41787896M18:LstDate</stp>
        <tr r="J825" s="5"/>
      </tp>
      <tp t="s">
        <v/>
        <stp/>
        <stp>41767893M19:LstDate</stp>
        <tr r="J499" s="5"/>
      </tp>
      <tp t="s">
        <v/>
        <stp/>
        <stp>41787896M19:LstDate</stp>
        <tr r="J826" s="5"/>
      </tp>
      <tp t="s">
        <v>Invalid Market: CALCM15</v>
        <stp/>
        <stp>CALCM15:LstBlkPrc</stp>
        <tr r="K1354" s="5"/>
        <tr r="K1202" s="5"/>
      </tp>
      <tp t="s">
        <v>Invalid Market: CALCM15</v>
        <stp/>
        <stp>CALCM15:BstHitPrc</stp>
        <tr r="G1202" s="5"/>
        <tr r="G1354" s="5"/>
      </tp>
      <tp t="s">
        <v>Q2 27</v>
        <stp/>
        <stp>1517Q2:Strip</stp>
        <tr r="E30" s="5"/>
      </tp>
      <tp t="s">
        <v>Cal 29</v>
        <stp/>
        <stp>1517Y2:Strip</stp>
        <tr r="E39" s="5"/>
      </tp>
      <tp t="s">
        <v>Nov26</v>
        <stp/>
        <stp>1517M2:Strip</stp>
        <tr r="E5" s="5"/>
      </tp>
      <tp t="s">
        <v>Q2 28</v>
        <stp/>
        <stp>5162Q6:Strip</stp>
        <tr r="E800" s="5"/>
      </tp>
      <tp t="s">
        <v>Mar27</v>
        <stp/>
        <stp>5162M6:Strip</stp>
        <tr r="E775" s="5"/>
      </tp>
      <tp t="s">
        <v>Aug27</v>
        <stp/>
        <stp>266M11:Strip</stp>
        <tr r="E932" s="5"/>
      </tp>
      <tp t="s">
        <v>Jun28</v>
        <stp/>
        <stp>266M21:Strip</stp>
        <tr r="E942" s="5"/>
      </tp>
    </main>
    <main first="ice.rtd">
      <tp t="s">
        <v>Invalid Market: CALCM13</v>
        <stp/>
        <stp>CALCM13:LstBlkVol</stp>
        <tr r="L1200" s="5"/>
        <tr r="L1352" s="5"/>
      </tp>
      <tp t="s">
        <v>Invalid Market: CALCM23</v>
        <stp/>
        <stp>CALCM23:LstBlkVol</stp>
        <tr r="L1210" s="5"/>
        <tr r="L1362" s="5"/>
      </tp>
    </main>
    <main first="bofaddin.rtdserver">
      <tp t="s">
        <v>#N/A</v>
        <stp/>
        <stp>BDP|9700483421700363796|222</stp>
        <stp>OQAU29 Comdty</stp>
        <stp>ASK</stp>
        <stp>Fill=#N/A</stp>
        <tr r="L55" s="1"/>
      </tp>
      <tp t="s">
        <v>#N/A</v>
        <stp/>
        <stp>BDP|5569717118250869968|222</stp>
        <stp>MUCH29 Comdty</stp>
        <stp>ASK</stp>
        <stp>Fill=#N/A</stp>
        <tr r="K49" s="1"/>
      </tp>
      <tp t="s">
        <v>#N/A</v>
        <stp/>
        <stp>BDP|7409130520167508799|222</stp>
        <stp>MUCH30 Comdty</stp>
        <stp>BID</stp>
        <stp>Fill=#N/A</stp>
        <tr r="K61" s="1"/>
      </tp>
      <tp t="s">
        <v>#N/A</v>
        <stp/>
        <stp>BDP|7646236086243451954|222</stp>
        <stp>OQAJ29 Comdty</stp>
        <stp>BID</stp>
        <stp>Fill=#N/A</stp>
        <tr r="L50" s="1"/>
      </tp>
      <tp t="s">
        <v>#N/A</v>
        <stp/>
        <stp>BDP|7365950946844263485|222</stp>
        <stp>MUCF29 Comdty</stp>
        <stp>ASK</stp>
        <stp>Fill=#N/A</stp>
        <tr r="K47" s="1"/>
      </tp>
      <tp t="s">
        <v>#N/A</v>
        <stp/>
        <stp>BDP|4080417418551336504|222</stp>
        <stp>MUCZ28 Comdty</stp>
        <stp>BID</stp>
        <stp>Fill=#N/A</stp>
        <tr r="K46" s="1"/>
      </tp>
    </main>
    <main first="esrtd">
      <tp t="s">
        <v/>
        <stp/>
        <stp>BAT B0-IEU</stp>
        <stp>ICE Theoretical Price</stp>
        <tr r="W154" s="5"/>
      </tp>
    </main>
    <main first="ice.rtd">
      <tp>
        <v>0</v>
        <stp/>
        <stp>5162M8:Vol</stp>
        <tr r="N777" s="5"/>
      </tp>
      <tp>
        <v>0</v>
        <stp/>
        <stp>5162M9:Vol</stp>
        <tr r="N778" s="5"/>
      </tp>
      <tp>
        <v>0</v>
        <stp/>
        <stp>5162M4:Vol</stp>
        <tr r="N773" s="5"/>
      </tp>
      <tp>
        <v>0</v>
        <stp/>
        <stp>5162M5:Vol</stp>
        <tr r="N774" s="5"/>
      </tp>
      <tp>
        <v>0</v>
        <stp/>
        <stp>5162M6:Vol</stp>
        <tr r="N775" s="5"/>
      </tp>
      <tp>
        <v>0</v>
        <stp/>
        <stp>5162M7:Vol</stp>
        <tr r="N776" s="5"/>
      </tp>
      <tp>
        <v>0</v>
        <stp/>
        <stp>5162M0:Vol</stp>
        <tr r="N769" s="5"/>
      </tp>
      <tp>
        <v>32</v>
        <stp/>
        <stp>5162M1:Vol</stp>
        <tr r="N770" s="5"/>
      </tp>
      <tp>
        <v>0</v>
        <stp/>
        <stp>5162M2:Vol</stp>
        <tr r="N771" s="5"/>
      </tp>
      <tp>
        <v>0</v>
        <stp/>
        <stp>5162M3:Vol</stp>
        <tr r="N772" s="5"/>
      </tp>
    </main>
    <main first="bofaddin.rtdserver">
      <tp t="s">
        <v>#N/A</v>
        <stp/>
        <stp>BDP|8862535367728360216|222</stp>
        <stp>XBZ9 Comdty</stp>
        <stp>BID</stp>
        <stp>Fill=#N/A</stp>
        <tr r="J58" s="1"/>
      </tp>
      <tp>
        <v>74.010000000000005</v>
        <stp/>
        <stp>BDP|1016792743911731166|222</stp>
        <stp>COQ8 Comdty</stp>
        <stp>BID</stp>
        <stp>Fill=#N/A</stp>
        <tr r="G42" s="1"/>
      </tp>
      <tp>
        <v>314.64</v>
        <stp/>
        <stp>BDP|6729495129759307477|222</stp>
        <stp>XBV6 Comdty</stp>
        <stp>ASK</stp>
        <stp>Fill=#N/A</stp>
        <tr r="J20" s="1"/>
      </tp>
      <tp t="s">
        <v>#N/A Invalid Security</v>
        <stp/>
        <stp>BDP|2719705810191190678|222</stp>
        <stp>COU9 Comdty</stp>
        <stp>ASK</stp>
        <stp>Fill=#N/A</stp>
        <tr r="G55" s="1"/>
      </tp>
      <tp>
        <v>338.14</v>
        <stp/>
        <stp>BDP|5182001777043362838|222</stp>
        <stp>HOV7 Comdty</stp>
        <stp>ASK</stp>
        <stp>Fill=#N/A</stp>
        <tr r="I32" s="1"/>
      </tp>
    </main>
    <main first="ice.rtd">
      <tp t="s">
        <v/>
        <stp/>
        <stp>266M24:LstDate</stp>
        <tr r="J945" s="5"/>
      </tp>
      <tp t="s">
        <v/>
        <stp/>
        <stp>266M22:LstDate</stp>
        <tr r="J943" s="5"/>
      </tp>
      <tp t="s">
        <v/>
        <stp/>
        <stp>266M23:LstDate</stp>
        <tr r="J944" s="5"/>
      </tp>
      <tp t="s">
        <v/>
        <stp/>
        <stp>266M20:LstDate</stp>
        <tr r="J941" s="5"/>
      </tp>
      <tp t="s">
        <v/>
        <stp/>
        <stp>266M21:LstDate</stp>
        <tr r="J942" s="5"/>
      </tp>
      <tp t="s">
        <v/>
        <stp/>
        <stp>266M16:LstDate</stp>
        <tr r="J937" s="5"/>
      </tp>
      <tp t="s">
        <v/>
        <stp/>
        <stp>266M17:LstDate</stp>
        <tr r="J938" s="5"/>
      </tp>
      <tp t="s">
        <v/>
        <stp/>
        <stp>266M14:LstDate</stp>
        <tr r="J935" s="5"/>
      </tp>
      <tp t="s">
        <v/>
        <stp/>
        <stp>266M15:LstDate</stp>
        <tr r="J936" s="5"/>
      </tp>
      <tp t="s">
        <v/>
        <stp/>
        <stp>266M12:LstDate</stp>
        <tr r="J933" s="5"/>
      </tp>
      <tp t="s">
        <v/>
        <stp/>
        <stp>266M13:LstDate</stp>
        <tr r="J934" s="5"/>
      </tp>
      <tp t="s">
        <v/>
        <stp/>
        <stp>266M10:LstDate</stp>
        <tr r="J931" s="5"/>
      </tp>
      <tp t="s">
        <v/>
        <stp/>
        <stp>266M11:LstDate</stp>
        <tr r="J932" s="5"/>
      </tp>
      <tp t="s">
        <v/>
        <stp/>
        <stp>266M18:LstDate</stp>
        <tr r="J939" s="5"/>
      </tp>
      <tp t="s">
        <v/>
        <stp/>
        <stp>266M19:LstDate</stp>
        <tr r="J940" s="5"/>
      </tp>
      <tp>
        <v>0</v>
        <stp/>
        <stp>5162Y0:Vol</stp>
        <tr r="N803" s="5"/>
      </tp>
      <tp>
        <v>0</v>
        <stp/>
        <stp>5162Y1:Vol</stp>
        <tr r="N804" s="5"/>
      </tp>
      <tp>
        <v>0</v>
        <stp/>
        <stp>5162Y2:Vol</stp>
        <tr r="N805" s="5"/>
      </tp>
      <tp t="s">
        <v/>
        <stp/>
        <stp>5162Q4:LstPrc</stp>
        <tr r="I798" s="5"/>
      </tp>
      <tp t="s">
        <v/>
        <stp/>
        <stp>5162Q5:LstPrc</stp>
        <tr r="I799" s="5"/>
      </tp>
      <tp t="s">
        <v/>
        <stp/>
        <stp>5162Q6:LstPrc</stp>
        <tr r="I800" s="5"/>
      </tp>
      <tp t="s">
        <v/>
        <stp/>
        <stp>5162Q7:LstPrc</stp>
        <tr r="I801" s="5"/>
      </tp>
      <tp t="s">
        <v/>
        <stp/>
        <stp>5162Q0:LstPrc</stp>
        <tr r="I794" s="5"/>
      </tp>
      <tp t="s">
        <v/>
        <stp/>
        <stp>5162Q1:LstPrc</stp>
        <tr r="I795" s="5"/>
      </tp>
      <tp t="s">
        <v/>
        <stp/>
        <stp>5162Q2:LstPrc</stp>
        <tr r="I796" s="5"/>
      </tp>
      <tp t="s">
        <v/>
        <stp/>
        <stp>5162Q3:LstPrc</stp>
        <tr r="I797" s="5"/>
      </tp>
      <tp t="s">
        <v/>
        <stp/>
        <stp>5162Q8:LstPrc</stp>
        <tr r="I802" s="5"/>
      </tp>
      <tp t="s">
        <v/>
        <stp/>
        <stp>5162Y0:LstPrc</stp>
        <tr r="I803" s="5"/>
      </tp>
      <tp t="s">
        <v/>
        <stp/>
        <stp>5162Y1:LstPrc</stp>
        <tr r="I804" s="5"/>
      </tp>
      <tp t="s">
        <v/>
        <stp/>
        <stp>5162Y2:LstPrc</stp>
        <tr r="I805" s="5"/>
      </tp>
      <tp t="s">
        <v/>
        <stp/>
        <stp>5162M4:LstPrc</stp>
        <tr r="I773" s="5"/>
      </tp>
      <tp t="s">
        <v/>
        <stp/>
        <stp>5162M5:LstPrc</stp>
        <tr r="I774" s="5"/>
      </tp>
      <tp t="s">
        <v/>
        <stp/>
        <stp>5162M6:LstPrc</stp>
        <tr r="I775" s="5"/>
      </tp>
      <tp t="s">
        <v/>
        <stp/>
        <stp>5162M7:LstPrc</stp>
        <tr r="I776" s="5"/>
      </tp>
      <tp t="s">
        <v/>
        <stp/>
        <stp>5162M0:LstPrc</stp>
        <tr r="I769" s="5"/>
      </tp>
      <tp>
        <v>-12.03</v>
        <stp/>
        <stp>5162M1:LstPrc</stp>
        <tr r="I770" s="5"/>
      </tp>
      <tp t="s">
        <v/>
        <stp/>
        <stp>5162M2:LstPrc</stp>
        <tr r="I771" s="5"/>
      </tp>
      <tp t="s">
        <v/>
        <stp/>
        <stp>5162M3:LstPrc</stp>
        <tr r="I772" s="5"/>
      </tp>
      <tp t="s">
        <v/>
        <stp/>
        <stp>5162M8:LstPrc</stp>
        <tr r="I777" s="5"/>
      </tp>
      <tp t="s">
        <v/>
        <stp/>
        <stp>5162M9:LstPrc</stp>
        <tr r="I778" s="5"/>
      </tp>
      <tp>
        <v>0</v>
        <stp/>
        <stp>5162Q8:Vol</stp>
        <tr r="N802" s="5"/>
      </tp>
      <tp>
        <v>0</v>
        <stp/>
        <stp>5162Q4:Vol</stp>
        <tr r="N798" s="5"/>
      </tp>
      <tp>
        <v>0</v>
        <stp/>
        <stp>5162Q5:Vol</stp>
        <tr r="N799" s="5"/>
      </tp>
      <tp>
        <v>0</v>
        <stp/>
        <stp>5162Q6:Vol</stp>
        <tr r="N800" s="5"/>
      </tp>
      <tp>
        <v>0</v>
        <stp/>
        <stp>5162Q7:Vol</stp>
        <tr r="N801" s="5"/>
      </tp>
      <tp>
        <v>0</v>
        <stp/>
        <stp>5162Q0:Vol</stp>
        <tr r="N794" s="5"/>
      </tp>
      <tp>
        <v>0</v>
        <stp/>
        <stp>5162Q1:Vol</stp>
        <tr r="N795" s="5"/>
      </tp>
      <tp>
        <v>0</v>
        <stp/>
        <stp>5162Q2:Vol</stp>
        <tr r="N796" s="5"/>
      </tp>
      <tp>
        <v>0</v>
        <stp/>
        <stp>5162Q3:Vol</stp>
        <tr r="N797" s="5"/>
      </tp>
    </main>
    <main first="bofaddin.rtdserver">
      <tp t="s">
        <v>#N/A Real Time</v>
        <stp/>
        <stp>BDP|16167262036640623765|22</stp>
        <stp>QSQ6C 1500.00 Comdty</stp>
        <stp>VEGA_LAST_RT</stp>
        <tr r="J74" s="23"/>
        <tr r="J55" s="23"/>
        <tr r="J83" s="23"/>
      </tp>
    </main>
    <main first="ice.rtd">
      <tp t="s">
        <v>Invalid Market: CALCM14</v>
        <stp/>
        <stp>CALCM14:LstBlkPrc</stp>
        <tr r="K1201" s="5"/>
        <tr r="K1353" s="5"/>
      </tp>
      <tp t="s">
        <v>Invalid Market: CALCM24</v>
        <stp/>
        <stp>CALCM24:LstBlkPrc</stp>
        <tr r="K1211" s="5"/>
        <tr r="K1363" s="5"/>
      </tp>
      <tp t="s">
        <v>Invalid Market: CALCM24</v>
        <stp/>
        <stp>CALCM24:BstHitPrc</stp>
        <tr r="G1211" s="5"/>
        <tr r="G1363" s="5"/>
      </tp>
      <tp t="s">
        <v>Invalid Market: CALCM14</v>
        <stp/>
        <stp>CALCM14:BstHitPrc</stp>
        <tr r="G1201" s="5"/>
        <tr r="G1353" s="5"/>
      </tp>
      <tp t="s">
        <v>Q3 27</v>
        <stp/>
        <stp>1517Q3:Strip</stp>
        <tr r="E31" s="5"/>
      </tp>
      <tp t="s">
        <v>Dec26</v>
        <stp/>
        <stp>1517M3:Strip</stp>
        <tr r="E6" s="5"/>
      </tp>
      <tp t="s">
        <v>Q3 28</v>
        <stp/>
        <stp>5162Q7:Strip</stp>
        <tr r="E801" s="5"/>
      </tp>
      <tp t="s">
        <v>Apr27</v>
        <stp/>
        <stp>5162M7:Strip</stp>
        <tr r="E776" s="5"/>
      </tp>
      <tp t="s">
        <v>Jul27</v>
        <stp/>
        <stp>266M10:Strip</stp>
        <tr r="E931" s="5"/>
      </tp>
      <tp t="s">
        <v>May28</v>
        <stp/>
        <stp>266M20:Strip</stp>
        <tr r="E941" s="5"/>
      </tp>
      <tp>
        <v>-5.0200000000000005</v>
        <stp/>
        <stp>3124331018M12:Settle</stp>
        <tr r="U1617" s="5"/>
      </tp>
      <tp>
        <v>-5.26</v>
        <stp/>
        <stp>3124331018M13:Settle</stp>
        <tr r="U1618" s="5"/>
      </tp>
      <tp>
        <v>-5.0200000000000005</v>
        <stp/>
        <stp>3124331018M10:Settle</stp>
        <tr r="U1615" s="5"/>
      </tp>
      <tp>
        <v>-5.0200000000000005</v>
        <stp/>
        <stp>3124331018M11:Settle</stp>
        <tr r="U1616" s="5"/>
      </tp>
      <tp>
        <v>-5.26</v>
        <stp/>
        <stp>3124331018M14:Settle</stp>
        <tr r="U1619" s="5"/>
      </tp>
      <tp>
        <v>112.098</v>
        <stp/>
        <stp>1923422331M14:Settle</stp>
        <tr r="U1641" s="5"/>
      </tp>
      <tp>
        <v>117.63800000000001</v>
        <stp/>
        <stp>1923422331M11:Settle</stp>
        <tr r="U1638" s="5"/>
      </tp>
      <tp>
        <v>119.38800000000001</v>
        <stp/>
        <stp>1923422331M10:Settle</stp>
        <tr r="U1637" s="5"/>
      </tp>
      <tp>
        <v>113.89800000000001</v>
        <stp/>
        <stp>1923422331M13:Settle</stp>
        <tr r="U1640" s="5"/>
      </tp>
      <tp>
        <v>115.88800000000001</v>
        <stp/>
        <stp>1923422331M12:Settle</stp>
        <tr r="U1639" s="5"/>
      </tp>
      <tp t="s">
        <v>Invalid Market: CALCM12</v>
        <stp/>
        <stp>CALCM12:LstBlkVol</stp>
        <tr r="L1199" s="5"/>
        <tr r="L1351" s="5"/>
      </tp>
      <tp t="s">
        <v>Invalid Market: CALCM22</v>
        <stp/>
        <stp>CALCM22:LstBlkVol</stp>
        <tr r="L1361" s="5"/>
        <tr r="L1209" s="5"/>
      </tp>
    </main>
    <main first="bofaddin.rtdserver">
      <tp t="s">
        <v>#N/A</v>
        <stp/>
        <stp>BDP|8007238169170257455|222</stp>
        <stp>OQAJ30 Comdty</stp>
        <stp>ASK</stp>
        <stp>Fill=#N/A</stp>
        <tr r="L62" s="1"/>
      </tp>
      <tp t="s">
        <v>#N/A</v>
        <stp/>
        <stp>BDP|1986127466670155205|222</stp>
        <stp>MUCQ27 Comdty</stp>
        <stp>BID</stp>
        <stp>Fill=#N/A</stp>
        <tr r="K30" s="1"/>
      </tp>
    </main>
    <main first="ice.rtd">
      <tp t="s">
        <v/>
        <stp/>
        <stp>266M13:LstPrc</stp>
        <tr r="I934" s="5"/>
      </tp>
      <tp t="s">
        <v/>
        <stp/>
        <stp>266M12:LstPrc</stp>
        <tr r="I933" s="5"/>
      </tp>
      <tp t="s">
        <v/>
        <stp/>
        <stp>266M11:LstPrc</stp>
        <tr r="I932" s="5"/>
      </tp>
      <tp t="s">
        <v/>
        <stp/>
        <stp>266M10:LstPrc</stp>
        <tr r="I931" s="5"/>
      </tp>
      <tp t="s">
        <v/>
        <stp/>
        <stp>266M17:LstPrc</stp>
        <tr r="I938" s="5"/>
      </tp>
      <tp t="s">
        <v/>
        <stp/>
        <stp>266M16:LstPrc</stp>
        <tr r="I937" s="5"/>
      </tp>
      <tp t="s">
        <v/>
        <stp/>
        <stp>266M15:LstPrc</stp>
        <tr r="I936" s="5"/>
      </tp>
      <tp t="s">
        <v/>
        <stp/>
        <stp>266M14:LstPrc</stp>
        <tr r="I935" s="5"/>
      </tp>
      <tp t="s">
        <v/>
        <stp/>
        <stp>266M19:LstPrc</stp>
        <tr r="I940" s="5"/>
      </tp>
      <tp t="s">
        <v/>
        <stp/>
        <stp>266M18:LstPrc</stp>
        <tr r="I939" s="5"/>
      </tp>
      <tp t="s">
        <v/>
        <stp/>
        <stp>266M23:LstPrc</stp>
        <tr r="I944" s="5"/>
      </tp>
      <tp t="s">
        <v/>
        <stp/>
        <stp>266M22:LstPrc</stp>
        <tr r="I943" s="5"/>
      </tp>
      <tp t="s">
        <v/>
        <stp/>
        <stp>266M21:LstPrc</stp>
        <tr r="I942" s="5"/>
      </tp>
      <tp t="s">
        <v/>
        <stp/>
        <stp>266M20:LstPrc</stp>
        <tr r="I941" s="5"/>
      </tp>
      <tp t="s">
        <v/>
        <stp/>
        <stp>266M24:LstPrc</stp>
        <tr r="I945" s="5"/>
      </tp>
    </main>
    <main first="bofaddin.rtdserver">
      <tp t="s">
        <v>#N/A</v>
        <stp/>
        <stp>BDP|7191991459098242869|222</stp>
        <stp>MUCV29 Comdty</stp>
        <stp>ASK</stp>
        <stp>Fill=#N/A</stp>
        <tr r="K56" s="1"/>
      </tp>
      <tp t="s">
        <v>#N/A</v>
        <stp/>
        <stp>BDP|8931743500793303780|222</stp>
        <stp>MUCU28 Comdty</stp>
        <stp>ASK</stp>
        <stp>Fill=#N/A</stp>
        <tr r="K43" s="1"/>
      </tp>
      <tp t="s">
        <v>#N/A</v>
        <stp/>
        <stp>BDP|5179355747173014807|222</stp>
        <stp>OQAF27 Comdty</stp>
        <stp>ASK</stp>
        <stp>Fill=#N/A</stp>
        <tr r="L23" s="1"/>
      </tp>
      <tp>
        <v>948.75</v>
        <stp/>
        <stp>BDP|1192347715794662674|222</stp>
        <stp>QSV7 Comdty</stp>
        <stp>BID</stp>
        <stp>Fill=#N/A</stp>
        <tr r="H32" s="1"/>
      </tp>
      <tp>
        <v>202</v>
        <stp/>
        <stp>BDP|1290174626421524753|222</stp>
        <stp>HOU8 Comdty</stp>
        <stp>BID</stp>
        <stp>Fill=#N/A</stp>
        <tr r="I43" s="1"/>
      </tp>
      <tp>
        <v>71.48</v>
        <stp/>
        <stp>BDP|8435408396561475231|222</stp>
        <stp>CLZ7 Comdty</stp>
        <stp>ASK</stp>
        <stp>Fill=#N/A</stp>
        <tr r="F34" s="1"/>
      </tp>
      <tp>
        <v>76.92</v>
        <stp/>
        <stp>BDP|1812142050634327600|222</stp>
        <stp>COZ7 Comdty</stp>
        <stp>BID</stp>
        <stp>Fill=#N/A</stp>
        <tr r="G34" s="1"/>
      </tp>
      <tp>
        <v>344.33</v>
        <stp/>
        <stp>BDP|5714173402364010653|222</stp>
        <stp>HOQ7 Comdty</stp>
        <stp>ASK</stp>
        <stp>Fill=#N/A</stp>
        <tr r="I30" s="1"/>
      </tp>
      <tp t="s">
        <v>#N/A</v>
        <stp/>
        <stp>BDP|4568276688442123951|222</stp>
        <stp>XBU9 Comdty</stp>
        <stp>ASK</stp>
        <stp>Fill=#N/A</stp>
        <tr r="J55" s="1"/>
      </tp>
      <tp t="s">
        <v>#N/A Invalid Security</v>
        <stp/>
        <stp>BDP|4585532040792033236|222</stp>
        <stp>COU9 Comdty</stp>
        <stp>BID</stp>
        <stp>Fill=#N/A</stp>
        <tr r="G55" s="1"/>
      </tp>
      <tp t="s">
        <v>#N/A Real Time</v>
        <stp/>
        <stp>BDP|17462202243480245174|22</stp>
        <stp>COQ6 Comdty</stp>
        <stp>MID</stp>
        <tr r="AW31" s="23"/>
        <tr r="AW32" s="23"/>
        <tr r="AL34" s="23"/>
      </tp>
    </main>
    <main first="ice.rtd">
      <tp t="s">
        <v>DBF</v>
        <stp/>
        <stp>1517M7:PCC</stp>
        <tr r="B10" s="5"/>
      </tp>
      <tp t="s">
        <v>DBF</v>
        <stp/>
        <stp>1517M6:PCC</stp>
        <tr r="B9" s="5"/>
      </tp>
      <tp t="s">
        <v>DBF</v>
        <stp/>
        <stp>1517M5:PCC</stp>
        <tr r="B8" s="5"/>
      </tp>
      <tp t="s">
        <v>DBF</v>
        <stp/>
        <stp>1517M4:PCC</stp>
        <tr r="B7" s="5"/>
      </tp>
      <tp t="s">
        <v>DBF</v>
        <stp/>
        <stp>1517M3:PCC</stp>
        <tr r="B6" s="5"/>
      </tp>
      <tp t="s">
        <v>DBF</v>
        <stp/>
        <stp>1517M2:PCC</stp>
        <tr r="B5" s="5"/>
      </tp>
      <tp t="s">
        <v>DBF</v>
        <stp/>
        <stp>1517M1:PCC</stp>
        <tr r="B4" s="5"/>
      </tp>
      <tp t="s">
        <v>DBF</v>
        <stp/>
        <stp>1517M0:PCC</stp>
        <tr r="B3" s="5"/>
      </tp>
      <tp t="s">
        <v>DBF</v>
        <stp/>
        <stp>1517M9:PCC</stp>
        <tr r="B12" s="5"/>
      </tp>
      <tp t="s">
        <v>DBF</v>
        <stp/>
        <stp>1517M8:PCC</stp>
        <tr r="B11" s="5"/>
      </tp>
    </main>
    <main first="esrtd">
      <tp t="s">
        <v/>
        <stp/>
        <stp>BRN 26UC7000-ICE</stp>
        <stp>Market</stp>
        <tr r="AQ73" s="23"/>
      </tp>
      <tp t="s">
        <v/>
        <stp/>
        <stp>BRN 26UP7000-ICE</stp>
        <stp>Market</stp>
        <tr r="AJ73" s="23"/>
      </tp>
    </main>
    <main first="ice.rtd">
      <tp t="s">
        <v>DBF</v>
        <stp/>
        <stp>1517Q7:PCC</stp>
        <tr r="B35" s="5"/>
      </tp>
      <tp t="s">
        <v>DBF</v>
        <stp/>
        <stp>1517Q6:PCC</stp>
        <tr r="B34" s="5"/>
      </tp>
      <tp t="s">
        <v>DBF</v>
        <stp/>
        <stp>1517Q5:PCC</stp>
        <tr r="B33" s="5"/>
      </tp>
      <tp t="s">
        <v>DBF</v>
        <stp/>
        <stp>1517Q4:PCC</stp>
        <tr r="B32" s="5"/>
      </tp>
      <tp t="s">
        <v>DBF</v>
        <stp/>
        <stp>1517Q3:PCC</stp>
        <tr r="B31" s="5"/>
      </tp>
      <tp t="s">
        <v>DBF</v>
        <stp/>
        <stp>1517Q2:PCC</stp>
        <tr r="B30" s="5"/>
      </tp>
      <tp t="s">
        <v>DBF</v>
        <stp/>
        <stp>1517Q1:PCC</stp>
        <tr r="B29" s="5"/>
      </tp>
      <tp t="s">
        <v>DBF</v>
        <stp/>
        <stp>1517Q0:PCC</stp>
        <tr r="B28" s="5"/>
      </tp>
      <tp t="s">
        <v>DBF</v>
        <stp/>
        <stp>1517Q8:PCC</stp>
        <tr r="B36" s="5"/>
      </tp>
      <tp t="s">
        <v/>
        <stp/>
        <stp>29243602M12:LstDate</stp>
        <tr r="J758" s="5"/>
      </tp>
      <tp t="s">
        <v/>
        <stp/>
        <stp>29243602M13:LstDate</stp>
        <tr r="J759" s="5"/>
      </tp>
      <tp t="s">
        <v/>
        <stp/>
        <stp>29243602M10:LstDate</stp>
        <tr r="J756" s="5"/>
      </tp>
      <tp t="s">
        <v/>
        <stp/>
        <stp>29243602M11:LstDate</stp>
        <tr r="J757" s="5"/>
      </tp>
      <tp t="s">
        <v/>
        <stp/>
        <stp>29243602M14:LstDate</stp>
        <tr r="J760" s="5"/>
      </tp>
      <tp t="s">
        <v/>
        <stp/>
        <stp>29243602M15:LstDate</stp>
        <tr r="J761" s="5"/>
      </tp>
      <tp t="s">
        <v>DBF</v>
        <stp/>
        <stp>1517Y2:PCC</stp>
        <tr r="B39" s="5"/>
      </tp>
      <tp t="s">
        <v>DBF</v>
        <stp/>
        <stp>1517Y1:PCC</stp>
        <tr r="B38" s="5"/>
      </tp>
      <tp t="s">
        <v>DBF</v>
        <stp/>
        <stp>1517Y0:PCC</stp>
        <tr r="B37" s="5"/>
      </tp>
      <tp t="s">
        <v>Invalid Market: CALCM17</v>
        <stp/>
        <stp>CALCM17:LstBlkPrc</stp>
        <tr r="K1204" s="5"/>
        <tr r="K1356" s="5"/>
      </tp>
      <tp t="s">
        <v>Invalid Market: CALCM17</v>
        <stp/>
        <stp>CALCM17:BstHitPrc</stp>
        <tr r="G1204" s="5"/>
        <tr r="G1356" s="5"/>
      </tp>
      <tp t="s">
        <v>Q4 26</v>
        <stp/>
        <stp>1517Q0:Strip</stp>
        <tr r="E28" s="5"/>
      </tp>
      <tp t="s">
        <v>Cal 27</v>
        <stp/>
        <stp>1517Y0:Strip</stp>
        <tr r="E37" s="5"/>
      </tp>
      <tp t="s">
        <v>Sep26</v>
        <stp/>
        <stp>1517M0:Strip</stp>
        <tr r="E3" s="5"/>
      </tp>
      <tp t="s">
        <v>Q4 27</v>
        <stp/>
        <stp>5162Q4:Strip</stp>
        <tr r="E798" s="5"/>
      </tp>
      <tp t="s">
        <v>Jan27</v>
        <stp/>
        <stp>5162M4:Strip</stp>
        <tr r="E773" s="5"/>
      </tp>
      <tp t="s">
        <v>Oct27</v>
        <stp/>
        <stp>266M13:Strip</stp>
        <tr r="E934" s="5"/>
      </tp>
      <tp t="s">
        <v>Aug28</v>
        <stp/>
        <stp>266M23:Strip</stp>
        <tr r="E944" s="5"/>
      </tp>
      <tp t="s">
        <v>Invalid Market: CALCM11</v>
        <stp/>
        <stp>CALCM11:LstBlkVol</stp>
        <tr r="L1198" s="5"/>
        <tr r="L1350" s="5"/>
      </tp>
      <tp t="s">
        <v>Invalid Market: CALCM21</v>
        <stp/>
        <stp>CALCM21:LstBlkVol</stp>
        <tr r="L1360" s="5"/>
        <tr r="L1208" s="5"/>
      </tp>
    </main>
    <main first="esrtd">
      <tp t="s">
        <v/>
        <stp/>
        <stp>GCN B0-IEU</stp>
        <stp>ICE Theoretical Price</stp>
        <tr r="W1626" s="5"/>
      </tp>
    </main>
    <main first="bofaddin.rtdserver">
      <tp t="s">
        <v>#N/A</v>
        <stp/>
        <stp>BDP|3486269576515036907|222</stp>
        <stp>OQAX28 Comdty</stp>
        <stp>ASK</stp>
        <stp>Fill=#N/A</stp>
        <tr r="L45" s="1"/>
      </tp>
      <tp t="s">
        <v>#N/A</v>
        <stp/>
        <stp>BDP|3023732650765546346|222</stp>
        <stp>MUCV28 Comdty</stp>
        <stp>BID</stp>
        <stp>Fill=#N/A</stp>
        <tr r="K44" s="1"/>
      </tp>
    </main>
    <main first="esrtd">
      <tp t="s">
        <v/>
        <stp/>
        <stp>GCH B0-IEU</stp>
        <stp>ICE Theoretical Price</stp>
        <tr r="W745" s="5"/>
      </tp>
    </main>
    <main first="bofaddin.rtdserver">
      <tp t="s">
        <v>#N/A</v>
        <stp/>
        <stp>BDP|6814876009708648161|222</stp>
        <stp>MUCH28 Comdty</stp>
        <stp>BID</stp>
        <stp>Fill=#N/A</stp>
        <tr r="K37" s="1"/>
      </tp>
      <tp>
        <v>87.94</v>
        <stp/>
        <stp>BDP|3627692225397357706|222</stp>
        <stp>MUCF27 Comdty</stp>
        <stp>BID</stp>
        <stp>Fill=#N/A</stp>
        <tr r="K23" s="1"/>
      </tp>
      <tp t="s">
        <v>#N/A</v>
        <stp/>
        <stp>BDP|2470109401891625807|222</stp>
        <stp>OQAG29 Comdty</stp>
        <stp>ASK</stp>
        <stp>Fill=#N/A</stp>
        <tr r="L48" s="1"/>
      </tp>
    </main>
    <main first="esrtd">
      <tp t="s">
        <v/>
        <stp/>
        <stp>NCB B0-IEU</stp>
        <stp>ICE Theoretical Price</stp>
        <tr r="W192" s="5"/>
      </tp>
    </main>
    <main first="bofaddin.rtdserver">
      <tp t="s">
        <v>#N/A</v>
        <stp/>
        <stp>BDP|2754602133294164608|222</stp>
        <stp>OQAJ27 Comdty</stp>
        <stp>BID</stp>
        <stp>Fill=#N/A</stp>
        <tr r="L26" s="1"/>
      </tp>
      <tp>
        <v>233.96</v>
        <stp/>
        <stp>BDP|4746123443810632835|222</stp>
        <stp>XBZ7 Comdty</stp>
        <stp>ASK</stp>
        <stp>Fill=#N/A</stp>
        <tr r="J34" s="1"/>
      </tp>
      <tp t="s">
        <v>#N/A Invalid Security</v>
        <stp/>
        <stp>BDP|2670589852957450498|222</stp>
        <stp>CLV9 Comdty</stp>
        <stp>BID</stp>
        <stp>Fill=#N/A</stp>
        <tr r="F56" s="1"/>
      </tp>
    </main>
    <main first="ice.rtd">
      <tp t="s">
        <v/>
        <stp/>
        <stp>30813691M19:LstDate</stp>
        <tr r="J1972" s="5"/>
      </tp>
      <tp t="s">
        <v/>
        <stp/>
        <stp>30793693M16:LstDate</stp>
        <tr r="J899" s="5"/>
      </tp>
      <tp t="s">
        <v/>
        <stp/>
        <stp>15091310M19:LstDate</stp>
        <tr r="J1396" s="5"/>
      </tp>
      <tp t="s">
        <v/>
        <stp/>
        <stp>30813691M18:LstDate</stp>
        <tr r="J1971" s="5"/>
      </tp>
      <tp t="s">
        <v/>
        <stp/>
        <stp>30793693M17:LstDate</stp>
        <tr r="J900" s="5"/>
      </tp>
      <tp t="s">
        <v/>
        <stp/>
        <stp>15091310M18:LstDate</stp>
        <tr r="J1395" s="5"/>
      </tp>
      <tp t="s">
        <v/>
        <stp/>
        <stp>30793693M14:LstDate</stp>
        <tr r="J897" s="5"/>
      </tp>
      <tp t="s">
        <v/>
        <stp/>
        <stp>30793693M15:LstDate</stp>
        <tr r="J898" s="5"/>
      </tp>
      <tp t="s">
        <v/>
        <stp/>
        <stp>30793693M12:LstDate</stp>
        <tr r="J895" s="5"/>
      </tp>
      <tp t="s">
        <v/>
        <stp/>
        <stp>30793693M13:LstDate</stp>
        <tr r="J896" s="5"/>
      </tp>
      <tp t="s">
        <v/>
        <stp/>
        <stp>30793693M10:LstDate</stp>
        <tr r="J893" s="5"/>
      </tp>
      <tp t="s">
        <v/>
        <stp/>
        <stp>30793693M11:LstDate</stp>
        <tr r="J894" s="5"/>
      </tp>
      <tp t="s">
        <v/>
        <stp/>
        <stp>30813691M11:LstDate</stp>
        <tr r="J1964" s="5"/>
      </tp>
      <tp t="s">
        <v/>
        <stp/>
        <stp>15091310M11:LstDate</stp>
        <tr r="J1388" s="5"/>
      </tp>
      <tp t="s">
        <v/>
        <stp/>
        <stp>30813691M10:LstDate</stp>
        <tr r="J1963" s="5"/>
      </tp>
      <tp t="s">
        <v/>
        <stp/>
        <stp>15091310M10:LstDate</stp>
        <tr r="J1387" s="5"/>
      </tp>
      <tp t="s">
        <v/>
        <stp/>
        <stp>30813691M13:LstDate</stp>
        <tr r="J1966" s="5"/>
      </tp>
      <tp t="s">
        <v/>
        <stp/>
        <stp>15091310M13:LstDate</stp>
        <tr r="J1390" s="5"/>
      </tp>
      <tp t="s">
        <v/>
        <stp/>
        <stp>30813691M12:LstDate</stp>
        <tr r="J1965" s="5"/>
      </tp>
      <tp t="s">
        <v/>
        <stp/>
        <stp>15091310M12:LstDate</stp>
        <tr r="J1389" s="5"/>
      </tp>
      <tp t="s">
        <v/>
        <stp/>
        <stp>30813691M15:LstDate</stp>
        <tr r="J1968" s="5"/>
      </tp>
      <tp t="s">
        <v/>
        <stp/>
        <stp>15091310M15:LstDate</stp>
        <tr r="J1392" s="5"/>
      </tp>
      <tp t="s">
        <v/>
        <stp/>
        <stp>30813691M14:LstDate</stp>
        <tr r="J1967" s="5"/>
      </tp>
      <tp t="s">
        <v/>
        <stp/>
        <stp>15091310M14:LstDate</stp>
        <tr r="J1391" s="5"/>
      </tp>
      <tp t="s">
        <v/>
        <stp/>
        <stp>30813691M17:LstDate</stp>
        <tr r="J1970" s="5"/>
      </tp>
      <tp t="s">
        <v/>
        <stp/>
        <stp>30793693M18:LstDate</stp>
        <tr r="J901" s="5"/>
      </tp>
      <tp t="s">
        <v/>
        <stp/>
        <stp>15091310M17:LstDate</stp>
        <tr r="J1394" s="5"/>
      </tp>
      <tp t="s">
        <v/>
        <stp/>
        <stp>30813691M16:LstDate</stp>
        <tr r="J1969" s="5"/>
      </tp>
      <tp t="s">
        <v/>
        <stp/>
        <stp>30793693M19:LstDate</stp>
        <tr r="J902" s="5"/>
      </tp>
      <tp t="s">
        <v/>
        <stp/>
        <stp>15091310M16:LstDate</stp>
        <tr r="J1393" s="5"/>
      </tp>
      <tp t="s">
        <v/>
        <stp/>
        <stp>30793693M24:LstDate</stp>
        <tr r="J907" s="5"/>
      </tp>
      <tp t="s">
        <v/>
        <stp/>
        <stp>30793693M22:LstDate</stp>
        <tr r="J905" s="5"/>
      </tp>
      <tp t="s">
        <v/>
        <stp/>
        <stp>30793693M23:LstDate</stp>
        <tr r="J906" s="5"/>
      </tp>
      <tp t="s">
        <v/>
        <stp/>
        <stp>30793693M20:LstDate</stp>
        <tr r="J903" s="5"/>
      </tp>
      <tp t="s">
        <v/>
        <stp/>
        <stp>30793693M21:LstDate</stp>
        <tr r="J904" s="5"/>
      </tp>
      <tp t="s">
        <v/>
        <stp/>
        <stp>30813691M21:LstDate</stp>
        <tr r="J1974" s="5"/>
      </tp>
      <tp t="s">
        <v/>
        <stp/>
        <stp>15091310M21:LstDate</stp>
        <tr r="J1398" s="5"/>
      </tp>
      <tp t="s">
        <v/>
        <stp/>
        <stp>30813691M20:LstDate</stp>
        <tr r="J1973" s="5"/>
      </tp>
      <tp t="s">
        <v/>
        <stp/>
        <stp>15091310M20:LstDate</stp>
        <tr r="J1397" s="5"/>
      </tp>
      <tp t="s">
        <v/>
        <stp/>
        <stp>30813691M23:LstDate</stp>
        <tr r="J1976" s="5"/>
      </tp>
      <tp t="s">
        <v/>
        <stp/>
        <stp>15091310M23:LstDate</stp>
        <tr r="J1400" s="5"/>
      </tp>
      <tp t="s">
        <v/>
        <stp/>
        <stp>30813691M22:LstDate</stp>
        <tr r="J1975" s="5"/>
      </tp>
      <tp t="s">
        <v/>
        <stp/>
        <stp>15091310M22:LstDate</stp>
        <tr r="J1399" s="5"/>
      </tp>
      <tp t="s">
        <v/>
        <stp/>
        <stp>30813691M24:LstDate</stp>
        <tr r="J1977" s="5"/>
      </tp>
      <tp t="s">
        <v/>
        <stp/>
        <stp>15091310M24:LstDate</stp>
        <tr r="J1401" s="5"/>
      </tp>
      <tp t="s">
        <v/>
        <stp/>
        <stp>16331513M18:LstDate</stp>
        <tr r="J1433" s="5"/>
      </tp>
      <tp t="s">
        <v/>
        <stp/>
        <stp>16341514M18:LstDate</stp>
        <tr r="J1471" s="5"/>
      </tp>
      <tp t="s">
        <v/>
        <stp/>
        <stp>16351515M18:LstDate</stp>
        <tr r="J1509" s="5"/>
      </tp>
      <tp t="s">
        <v/>
        <stp/>
        <stp>16331513M19:LstDate</stp>
        <tr r="J1434" s="5"/>
      </tp>
      <tp t="s">
        <v/>
        <stp/>
        <stp>16341514M19:LstDate</stp>
        <tr r="J1472" s="5"/>
      </tp>
      <tp t="s">
        <v/>
        <stp/>
        <stp>16351515M19:LstDate</stp>
        <tr r="J1510" s="5"/>
      </tp>
      <tp t="s">
        <v/>
        <stp/>
        <stp>16331513M12:LstDate</stp>
        <tr r="J1427" s="5"/>
      </tp>
      <tp t="s">
        <v/>
        <stp/>
        <stp>16341514M12:LstDate</stp>
        <tr r="J1465" s="5"/>
      </tp>
      <tp t="s">
        <v/>
        <stp/>
        <stp>16351515M12:LstDate</stp>
        <tr r="J1503" s="5"/>
      </tp>
      <tp t="s">
        <v/>
        <stp/>
        <stp>16331513M13:LstDate</stp>
        <tr r="J1428" s="5"/>
      </tp>
      <tp t="s">
        <v/>
        <stp/>
        <stp>16341514M13:LstDate</stp>
        <tr r="J1466" s="5"/>
      </tp>
      <tp t="s">
        <v/>
        <stp/>
        <stp>16351515M13:LstDate</stp>
        <tr r="J1504" s="5"/>
      </tp>
      <tp t="s">
        <v/>
        <stp/>
        <stp>16331513M10:LstDate</stp>
        <tr r="J1425" s="5"/>
      </tp>
      <tp t="s">
        <v/>
        <stp/>
        <stp>16341514M10:LstDate</stp>
        <tr r="J1463" s="5"/>
      </tp>
      <tp t="s">
        <v/>
        <stp/>
        <stp>16351515M10:LstDate</stp>
        <tr r="J1501" s="5"/>
      </tp>
      <tp t="s">
        <v/>
        <stp/>
        <stp>16331513M11:LstDate</stp>
        <tr r="J1426" s="5"/>
      </tp>
      <tp t="s">
        <v/>
        <stp/>
        <stp>16341514M11:LstDate</stp>
        <tr r="J1464" s="5"/>
      </tp>
      <tp t="s">
        <v/>
        <stp/>
        <stp>16351515M11:LstDate</stp>
        <tr r="J1502" s="5"/>
      </tp>
      <tp t="s">
        <v/>
        <stp/>
        <stp>16331513M16:LstDate</stp>
        <tr r="J1431" s="5"/>
      </tp>
      <tp t="s">
        <v/>
        <stp/>
        <stp>16341514M16:LstDate</stp>
        <tr r="J1469" s="5"/>
      </tp>
      <tp t="s">
        <v/>
        <stp/>
        <stp>16351515M16:LstDate</stp>
        <tr r="J1507" s="5"/>
      </tp>
      <tp t="s">
        <v/>
        <stp/>
        <stp>16331513M17:LstDate</stp>
        <tr r="J1432" s="5"/>
      </tp>
      <tp t="s">
        <v/>
        <stp/>
        <stp>16341514M17:LstDate</stp>
        <tr r="J1470" s="5"/>
      </tp>
      <tp t="s">
        <v/>
        <stp/>
        <stp>16351515M17:LstDate</stp>
        <tr r="J1508" s="5"/>
      </tp>
      <tp t="s">
        <v/>
        <stp/>
        <stp>16331513M14:LstDate</stp>
        <tr r="J1429" s="5"/>
      </tp>
      <tp t="s">
        <v/>
        <stp/>
        <stp>16341514M14:LstDate</stp>
        <tr r="J1467" s="5"/>
      </tp>
      <tp t="s">
        <v/>
        <stp/>
        <stp>16351515M14:LstDate</stp>
        <tr r="J1505" s="5"/>
      </tp>
      <tp t="s">
        <v/>
        <stp/>
        <stp>16331513M15:LstDate</stp>
        <tr r="J1430" s="5"/>
      </tp>
      <tp t="s">
        <v/>
        <stp/>
        <stp>16341514M15:LstDate</stp>
        <tr r="J1468" s="5"/>
      </tp>
      <tp t="s">
        <v/>
        <stp/>
        <stp>16351515M15:LstDate</stp>
        <tr r="J1506" s="5"/>
      </tp>
      <tp t="s">
        <v/>
        <stp/>
        <stp>16331513M22:LstDate</stp>
        <tr r="J1437" s="5"/>
      </tp>
      <tp t="s">
        <v/>
        <stp/>
        <stp>16341514M22:LstDate</stp>
        <tr r="J1475" s="5"/>
      </tp>
      <tp t="s">
        <v/>
        <stp/>
        <stp>16351515M22:LstDate</stp>
        <tr r="J1513" s="5"/>
      </tp>
      <tp t="s">
        <v/>
        <stp/>
        <stp>16331513M23:LstDate</stp>
        <tr r="J1438" s="5"/>
      </tp>
      <tp t="s">
        <v/>
        <stp/>
        <stp>16341514M23:LstDate</stp>
        <tr r="J1476" s="5"/>
      </tp>
      <tp t="s">
        <v/>
        <stp/>
        <stp>16351515M23:LstDate</stp>
        <tr r="J1514" s="5"/>
      </tp>
      <tp t="s">
        <v/>
        <stp/>
        <stp>16331513M20:LstDate</stp>
        <tr r="J1435" s="5"/>
      </tp>
      <tp t="s">
        <v/>
        <stp/>
        <stp>16341514M20:LstDate</stp>
        <tr r="J1473" s="5"/>
      </tp>
      <tp t="s">
        <v/>
        <stp/>
        <stp>16351515M20:LstDate</stp>
        <tr r="J1511" s="5"/>
      </tp>
      <tp t="s">
        <v/>
        <stp/>
        <stp>16331513M21:LstDate</stp>
        <tr r="J1436" s="5"/>
      </tp>
      <tp t="s">
        <v/>
        <stp/>
        <stp>16341514M21:LstDate</stp>
        <tr r="J1474" s="5"/>
      </tp>
      <tp t="s">
        <v/>
        <stp/>
        <stp>16351515M21:LstDate</stp>
        <tr r="J1512" s="5"/>
      </tp>
      <tp t="s">
        <v/>
        <stp/>
        <stp>16331513M24:LstDate</stp>
        <tr r="J1439" s="5"/>
      </tp>
      <tp t="s">
        <v/>
        <stp/>
        <stp>16341514M24:LstDate</stp>
        <tr r="J1477" s="5"/>
      </tp>
      <tp t="s">
        <v/>
        <stp/>
        <stp>16351515M24:LstDate</stp>
        <tr r="J1515" s="5"/>
      </tp>
      <tp t="s">
        <v/>
        <stp/>
        <stp>18851683M18:LstDate</stp>
        <tr r="J211" s="5"/>
      </tp>
      <tp t="s">
        <v/>
        <stp/>
        <stp>18901687M19:LstDate</stp>
        <tr r="J326" s="5"/>
      </tp>
      <tp t="s">
        <v/>
        <stp/>
        <stp>18871685M18:LstDate</stp>
        <tr r="J439" s="5"/>
      </tp>
      <tp t="s">
        <v/>
        <stp/>
        <stp>18851683M19:LstDate</stp>
        <tr r="J212" s="5"/>
      </tp>
      <tp t="s">
        <v/>
        <stp/>
        <stp>18901687M18:LstDate</stp>
        <tr r="J325" s="5"/>
      </tp>
      <tp t="s">
        <v/>
        <stp/>
        <stp>18871685M19:LstDate</stp>
        <tr r="J440" s="5"/>
      </tp>
      <tp t="s">
        <v/>
        <stp/>
        <stp>18851683M10:LstDate</stp>
        <tr r="J203" s="5"/>
      </tp>
      <tp t="s">
        <v/>
        <stp/>
        <stp>18901687M11:LstDate</stp>
        <tr r="J318" s="5"/>
      </tp>
      <tp t="s">
        <v/>
        <stp/>
        <stp>18871685M10:LstDate</stp>
        <tr r="J431" s="5"/>
      </tp>
      <tp t="s">
        <v/>
        <stp/>
        <stp>18851683M11:LstDate</stp>
        <tr r="J204" s="5"/>
      </tp>
      <tp t="s">
        <v/>
        <stp/>
        <stp>18901687M10:LstDate</stp>
        <tr r="J317" s="5"/>
      </tp>
      <tp t="s">
        <v/>
        <stp/>
        <stp>18871685M11:LstDate</stp>
        <tr r="J432" s="5"/>
      </tp>
      <tp t="s">
        <v/>
        <stp/>
        <stp>18851683M12:LstDate</stp>
        <tr r="J205" s="5"/>
      </tp>
      <tp t="s">
        <v/>
        <stp/>
        <stp>18901687M13:LstDate</stp>
        <tr r="J320" s="5"/>
      </tp>
      <tp t="s">
        <v/>
        <stp/>
        <stp>18871685M12:LstDate</stp>
        <tr r="J433" s="5"/>
      </tp>
      <tp t="s">
        <v/>
        <stp/>
        <stp>18851683M13:LstDate</stp>
        <tr r="J206" s="5"/>
      </tp>
      <tp t="s">
        <v/>
        <stp/>
        <stp>18901687M12:LstDate</stp>
        <tr r="J319" s="5"/>
      </tp>
      <tp t="s">
        <v/>
        <stp/>
        <stp>18871685M13:LstDate</stp>
        <tr r="J434" s="5"/>
      </tp>
      <tp t="s">
        <v/>
        <stp/>
        <stp>18851683M14:LstDate</stp>
        <tr r="J207" s="5"/>
      </tp>
      <tp t="s">
        <v/>
        <stp/>
        <stp>18901687M15:LstDate</stp>
        <tr r="J322" s="5"/>
      </tp>
      <tp t="s">
        <v/>
        <stp/>
        <stp>18871685M14:LstDate</stp>
        <tr r="J435" s="5"/>
      </tp>
      <tp t="s">
        <v/>
        <stp/>
        <stp>18851683M15:LstDate</stp>
        <tr r="J208" s="5"/>
      </tp>
      <tp t="s">
        <v/>
        <stp/>
        <stp>18901687M14:LstDate</stp>
        <tr r="J321" s="5"/>
      </tp>
      <tp t="s">
        <v/>
        <stp/>
        <stp>18871685M15:LstDate</stp>
        <tr r="J436" s="5"/>
      </tp>
      <tp t="s">
        <v/>
        <stp/>
        <stp>18851683M16:LstDate</stp>
        <tr r="J209" s="5"/>
      </tp>
      <tp t="s">
        <v/>
        <stp/>
        <stp>18901687M17:LstDate</stp>
        <tr r="J324" s="5"/>
      </tp>
      <tp t="s">
        <v/>
        <stp/>
        <stp>18871685M16:LstDate</stp>
        <tr r="J437" s="5"/>
      </tp>
      <tp t="s">
        <v/>
        <stp/>
        <stp>18851683M17:LstDate</stp>
        <tr r="J210" s="5"/>
      </tp>
      <tp t="s">
        <v/>
        <stp/>
        <stp>18901687M16:LstDate</stp>
        <tr r="J323" s="5"/>
      </tp>
      <tp t="s">
        <v/>
        <stp/>
        <stp>18871685M17:LstDate</stp>
        <tr r="J438" s="5"/>
      </tp>
      <tp t="s">
        <v/>
        <stp/>
        <stp>18851683M20:LstDate</stp>
        <tr r="J213" s="5"/>
      </tp>
      <tp t="s">
        <v/>
        <stp/>
        <stp>18901687M21:LstDate</stp>
        <tr r="J328" s="5"/>
      </tp>
      <tp t="s">
        <v/>
        <stp/>
        <stp>18871685M20:LstDate</stp>
        <tr r="J441" s="5"/>
      </tp>
      <tp t="s">
        <v/>
        <stp/>
        <stp>18851683M21:LstDate</stp>
        <tr r="J214" s="5"/>
      </tp>
      <tp t="s">
        <v/>
        <stp/>
        <stp>18901687M20:LstDate</stp>
        <tr r="J327" s="5"/>
      </tp>
      <tp t="s">
        <v/>
        <stp/>
        <stp>18871685M21:LstDate</stp>
        <tr r="J442" s="5"/>
      </tp>
      <tp t="s">
        <v/>
        <stp/>
        <stp>18851683M22:LstDate</stp>
        <tr r="J215" s="5"/>
      </tp>
      <tp t="s">
        <v/>
        <stp/>
        <stp>18901687M23:LstDate</stp>
        <tr r="J330" s="5"/>
      </tp>
      <tp t="s">
        <v/>
        <stp/>
        <stp>18871685M22:LstDate</stp>
        <tr r="J443" s="5"/>
      </tp>
      <tp t="s">
        <v/>
        <stp/>
        <stp>18851683M23:LstDate</stp>
        <tr r="J216" s="5"/>
      </tp>
      <tp t="s">
        <v/>
        <stp/>
        <stp>18901687M22:LstDate</stp>
        <tr r="J329" s="5"/>
      </tp>
      <tp t="s">
        <v/>
        <stp/>
        <stp>18871685M23:LstDate</stp>
        <tr r="J444" s="5"/>
      </tp>
      <tp t="s">
        <v/>
        <stp/>
        <stp>18851683M24:LstDate</stp>
        <tr r="J217" s="5"/>
      </tp>
      <tp t="s">
        <v/>
        <stp/>
        <stp>18871685M24:LstDate</stp>
        <tr r="J445" s="5"/>
      </tp>
      <tp t="s">
        <v/>
        <stp/>
        <stp>18901687M24:LstDate</stp>
        <tr r="J331" s="5"/>
      </tp>
      <tp t="s">
        <v/>
        <stp/>
        <stp>32613992M17:LstDate</stp>
        <tr r="J1242" s="5"/>
      </tp>
      <tp t="s">
        <v/>
        <stp/>
        <stp>32623993M17:LstDate</stp>
        <tr r="J2007" s="5"/>
      </tp>
      <tp t="s">
        <v/>
        <stp/>
        <stp>32613992M16:LstDate</stp>
        <tr r="J1241" s="5"/>
      </tp>
      <tp t="s">
        <v/>
        <stp/>
        <stp>32623993M16:LstDate</stp>
        <tr r="J2006" s="5"/>
      </tp>
      <tp t="s">
        <v/>
        <stp/>
        <stp>32613992M15:LstDate</stp>
        <tr r="J1240" s="5"/>
      </tp>
      <tp t="s">
        <v/>
        <stp/>
        <stp>32623993M15:LstDate</stp>
        <tr r="J2005" s="5"/>
      </tp>
      <tp t="s">
        <v/>
        <stp/>
        <stp>32613992M14:LstDate</stp>
        <tr r="J1239" s="5"/>
      </tp>
      <tp t="s">
        <v/>
        <stp/>
        <stp>32623993M14:LstDate</stp>
        <tr r="J2004" s="5"/>
      </tp>
      <tp t="s">
        <v/>
        <stp/>
        <stp>32613992M13:LstDate</stp>
        <tr r="J1238" s="5"/>
      </tp>
      <tp t="s">
        <v/>
        <stp/>
        <stp>32623993M13:LstDate</stp>
        <tr r="J2003" s="5"/>
      </tp>
      <tp t="s">
        <v/>
        <stp/>
        <stp>32613992M12:LstDate</stp>
        <tr r="J1237" s="5"/>
      </tp>
      <tp t="s">
        <v/>
        <stp/>
        <stp>32623993M12:LstDate</stp>
        <tr r="J2002" s="5"/>
      </tp>
      <tp t="s">
        <v/>
        <stp/>
        <stp>32613992M11:LstDate</stp>
        <tr r="J1236" s="5"/>
      </tp>
      <tp t="s">
        <v/>
        <stp/>
        <stp>32623993M11:LstDate</stp>
        <tr r="J2001" s="5"/>
      </tp>
      <tp t="s">
        <v/>
        <stp/>
        <stp>32613992M10:LstDate</stp>
        <tr r="J1235" s="5"/>
      </tp>
      <tp t="s">
        <v/>
        <stp/>
        <stp>32623993M10:LstDate</stp>
        <tr r="J2000" s="5"/>
      </tp>
      <tp t="s">
        <v/>
        <stp/>
        <stp>32613992M19:LstDate</stp>
        <tr r="J1244" s="5"/>
      </tp>
      <tp t="s">
        <v/>
        <stp/>
        <stp>32623993M19:LstDate</stp>
        <tr r="J2009" s="5"/>
      </tp>
      <tp t="s">
        <v/>
        <stp/>
        <stp>32613992M18:LstDate</stp>
        <tr r="J1243" s="5"/>
      </tp>
      <tp t="s">
        <v/>
        <stp/>
        <stp>32623993M18:LstDate</stp>
        <tr r="J2008" s="5"/>
      </tp>
      <tp t="s">
        <v/>
        <stp/>
        <stp>32613992M24:LstDate</stp>
        <tr r="J1249" s="5"/>
      </tp>
      <tp t="s">
        <v/>
        <stp/>
        <stp>32623993M24:LstDate</stp>
        <tr r="J2014" s="5"/>
      </tp>
      <tp t="s">
        <v/>
        <stp/>
        <stp>32613992M23:LstDate</stp>
        <tr r="J1248" s="5"/>
      </tp>
      <tp t="s">
        <v/>
        <stp/>
        <stp>32623993M23:LstDate</stp>
        <tr r="J2013" s="5"/>
      </tp>
      <tp t="s">
        <v/>
        <stp/>
        <stp>32613992M22:LstDate</stp>
        <tr r="J1247" s="5"/>
      </tp>
      <tp t="s">
        <v/>
        <stp/>
        <stp>32623993M22:LstDate</stp>
        <tr r="J2012" s="5"/>
      </tp>
      <tp t="s">
        <v/>
        <stp/>
        <stp>32613992M21:LstDate</stp>
        <tr r="J1246" s="5"/>
      </tp>
      <tp t="s">
        <v/>
        <stp/>
        <stp>32623993M21:LstDate</stp>
        <tr r="J2011" s="5"/>
      </tp>
      <tp t="s">
        <v/>
        <stp/>
        <stp>32613992M20:LstDate</stp>
        <tr r="J1245" s="5"/>
      </tp>
      <tp t="s">
        <v/>
        <stp/>
        <stp>32623993M20:LstDate</stp>
        <tr r="J2010" s="5"/>
      </tp>
      <tp t="s">
        <v>Invalid Market: CALCM16</v>
        <stp/>
        <stp>CALCM16:LstBlkPrc</stp>
        <tr r="K1203" s="5"/>
        <tr r="K1355" s="5"/>
      </tp>
      <tp t="s">
        <v>Invalid Market: CALCM16</v>
        <stp/>
        <stp>CALCM16:BstHitPrc</stp>
        <tr r="G1203" s="5"/>
        <tr r="G1355" s="5"/>
      </tp>
      <tp t="s">
        <v>Q1 27</v>
        <stp/>
        <stp>1517Q1:Strip</stp>
        <tr r="E29" s="5"/>
      </tp>
      <tp t="s">
        <v>Cal 28</v>
        <stp/>
        <stp>1517Y1:Strip</stp>
        <tr r="E38" s="5"/>
      </tp>
      <tp t="s">
        <v>Oct26</v>
        <stp/>
        <stp>1517M1:Strip</stp>
        <tr r="E4" s="5"/>
      </tp>
      <tp t="s">
        <v/>
        <stp/>
        <stp>15061297MM1:LstDate</stp>
        <tr r="J1684" s="5"/>
      </tp>
      <tp t="s">
        <v/>
        <stp/>
        <stp>15061297MM0:LstDate</stp>
        <tr r="J1683" s="5"/>
      </tp>
      <tp t="s">
        <v/>
        <stp/>
        <stp>15061297MM3:LstDate</stp>
        <tr r="J1686" s="5"/>
      </tp>
      <tp t="s">
        <v/>
        <stp/>
        <stp>15061297MM2:LstDate</stp>
        <tr r="J1685" s="5"/>
      </tp>
      <tp t="s">
        <v/>
        <stp/>
        <stp>15061297MM5:LstDate</stp>
        <tr r="J1688" s="5"/>
      </tp>
      <tp t="s">
        <v/>
        <stp/>
        <stp>15061297MM4:LstDate</stp>
        <tr r="J1687" s="5"/>
      </tp>
      <tp t="s">
        <v>Q1 28</v>
        <stp/>
        <stp>5162Q5:Strip</stp>
        <tr r="E799" s="5"/>
      </tp>
      <tp t="s">
        <v>Feb27</v>
        <stp/>
        <stp>5162M5:Strip</stp>
        <tr r="E774" s="5"/>
      </tp>
      <tp t="s">
        <v/>
        <stp/>
        <stp>15061297MM7:LstDate</stp>
        <tr r="J1690" s="5"/>
      </tp>
      <tp t="s">
        <v/>
        <stp/>
        <stp>15061297MM6:LstDate</stp>
        <tr r="J1689" s="5"/>
      </tp>
      <tp t="s">
        <v/>
        <stp/>
        <stp>15061297MM9:LstDate</stp>
        <tr r="J1692" s="5"/>
      </tp>
      <tp t="s">
        <v/>
        <stp/>
        <stp>15061297MM8:LstDate</stp>
        <tr r="J1691" s="5"/>
      </tp>
      <tp t="s">
        <v>Sep27</v>
        <stp/>
        <stp>266M12:Strip</stp>
        <tr r="E933" s="5"/>
      </tp>
      <tp t="s">
        <v>Jul28</v>
        <stp/>
        <stp>266M22:Strip</stp>
        <tr r="E943" s="5"/>
      </tp>
      <tp t="s">
        <v>Invalid Market: CALCM10</v>
        <stp/>
        <stp>CALCM10:LstBlkVol</stp>
        <tr r="L1349" s="5"/>
        <tr r="L1197" s="5"/>
      </tp>
      <tp t="s">
        <v>Invalid Market: CALCM20</v>
        <stp/>
        <stp>CALCM20:LstBlkVol</stp>
        <tr r="L1207" s="5"/>
        <tr r="L1359" s="5"/>
      </tp>
      <tp>
        <v>1.9370000000000001</v>
        <stp/>
        <stp>1840020882M12:Settle</stp>
        <tr r="U1594" s="5"/>
      </tp>
      <tp>
        <v>1.925</v>
        <stp/>
        <stp>1840020882M13:Settle</stp>
        <tr r="U1595" s="5"/>
      </tp>
      <tp>
        <v>1.859</v>
        <stp/>
        <stp>1840020882M10:Settle</stp>
        <tr r="U1592" s="5"/>
      </tp>
      <tp>
        <v>1.9360000000000002</v>
        <stp/>
        <stp>1840020882M11:Settle</stp>
        <tr r="U1593" s="5"/>
      </tp>
      <tp>
        <v>2.0369999999999999</v>
        <stp/>
        <stp>1840020882M16:Settle</stp>
        <tr r="U1598" s="5"/>
      </tp>
      <tp>
        <v>1.9580000000000002</v>
        <stp/>
        <stp>1840020882M14:Settle</stp>
        <tr r="U1596" s="5"/>
      </tp>
      <tp>
        <v>1.986</v>
        <stp/>
        <stp>1840020882M15:Settle</stp>
        <tr r="U1597" s="5"/>
      </tp>
    </main>
    <main first="bofaddin.rtdserver">
      <tp t="s">
        <v>#N/A</v>
        <stp/>
        <stp>BDP|6061694972420243197|222</stp>
        <stp>MUCM28 Comdty</stp>
        <stp>BID</stp>
        <stp>Fill=#N/A</stp>
        <tr r="K40" s="1"/>
      </tp>
    </main>
    <main first="esrtd">
      <tp t="s">
        <v/>
        <stp/>
        <stp>NBL B0-IEU</stp>
        <stp>ICE Theoretical Price</stp>
        <tr r="W230" s="5"/>
      </tp>
    </main>
    <main first="bofaddin.rtdserver">
      <tp t="s">
        <v>#N/A</v>
        <stp/>
        <stp>BDP|1859419581367692338|222</stp>
        <stp>MUCN27 Comdty</stp>
        <stp>ASK</stp>
        <stp>Fill=#N/A</stp>
        <tr r="K29" s="1"/>
      </tp>
    </main>
    <main first="esrtd">
      <tp t="s">
        <v/>
        <stp/>
        <stp>NBJ B0-IEU</stp>
        <stp>ICE Theoretical Price</stp>
        <tr r="W1414" s="5"/>
      </tp>
    </main>
    <main first="bofaddin.rtdserver">
      <tp t="s">
        <v>#N/A</v>
        <stp/>
        <stp>BDP|1800483343901117672|222</stp>
        <stp>MUCQ28 Comdty</stp>
        <stp>BID</stp>
        <stp>Fill=#N/A</stp>
        <tr r="K42" s="1"/>
      </tp>
      <tp t="s">
        <v>#N/A</v>
        <stp/>
        <stp>BDP|1769563630659382762|222</stp>
        <stp>MUCK29 Comdty</stp>
        <stp>ASK</stp>
        <stp>Fill=#N/A</stp>
        <tr r="K51" s="1"/>
      </tp>
      <tp t="s">
        <v>#N/A</v>
        <stp/>
        <stp>BDP|7159431006735695219|222</stp>
        <stp>OQAK28 Comdty</stp>
        <stp>BID</stp>
        <stp>Fill=#N/A</stp>
        <tr r="L39" s="1"/>
      </tp>
      <tp t="s">
        <v>#N/A</v>
        <stp/>
        <stp>BDP|6118591284466599953|222</stp>
        <stp>OQAM29 Comdty</stp>
        <stp>BID</stp>
        <stp>Fill=#N/A</stp>
        <tr r="L52" s="1"/>
      </tp>
      <tp t="s">
        <v>#N/A</v>
        <stp/>
        <stp>BDP|9368855035881153676|222</stp>
        <stp>OQAH30 Comdty</stp>
        <stp>BID</stp>
        <stp>Fill=#N/A</stp>
        <tr r="L61" s="1"/>
      </tp>
    </main>
    <main first="esrtd">
      <tp t="s">
        <v/>
        <stp/>
        <stp>ABG B0-IEU</stp>
        <stp>ICE Theoretical Price</stp>
        <tr r="W1224" s="5"/>
      </tp>
      <tp t="s">
        <v/>
        <stp/>
        <stp>DBG B0-IEU</stp>
        <stp>ICE Theoretical Price</stp>
        <tr r="W2" s="5"/>
      </tp>
    </main>
    <main first="bofaddin.rtdserver">
      <tp t="s">
        <v>#N/A</v>
        <stp/>
        <stp>BDP|1629072289316206618|222</stp>
        <stp>MUCH28 Comdty</stp>
        <stp>ASK</stp>
        <stp>Fill=#N/A</stp>
        <tr r="K37" s="1"/>
      </tp>
      <tp t="s">
        <v>#N/A Real Time</v>
        <stp/>
        <stp>BDP|18202293183820547730|22</stp>
        <stp>QSQ6  Comdty</stp>
        <stp>MID</stp>
        <tr r="J42" s="23"/>
        <tr r="K42" s="23"/>
        <tr r="I42" s="23"/>
      </tp>
      <tp t="s">
        <v>#N/A Invalid Security</v>
        <stp/>
        <stp>BDP|49182619434234958|222</stp>
        <stp>SCPK28 Comdty</stp>
        <stp>ASK</stp>
        <stp>Fill=#N/A</stp>
        <tr r="M39" s="1"/>
      </tp>
      <tp t="s">
        <v>#N/A Invalid Security</v>
        <stp/>
        <stp>BDP|9637261305301415116|222</stp>
        <stp>CLU9 Comdty</stp>
        <stp>BID</stp>
        <stp>Fill=#N/A</stp>
        <tr r="F55" s="1"/>
      </tp>
      <tp>
        <v>918</v>
        <stp/>
        <stp>BDP|5506645988861366262|222</stp>
        <stp>QSZ7 Comdty</stp>
        <stp>BID</stp>
        <stp>Fill=#N/A</stp>
        <tr r="H34" s="1"/>
      </tp>
    </main>
    <main first="ice.rtd">
      <tp t="s">
        <v/>
        <stp/>
        <stp>141587M19:LstDate</stp>
        <tr r="J60" s="5"/>
      </tp>
      <tp t="s">
        <v/>
        <stp/>
        <stp>141587M18:LstDate</stp>
        <tr r="J59" s="5"/>
      </tp>
      <tp t="s">
        <v/>
        <stp/>
        <stp>141587M17:LstDate</stp>
        <tr r="J58" s="5"/>
      </tp>
      <tp t="s">
        <v/>
        <stp/>
        <stp>141587M16:LstDate</stp>
        <tr r="J57" s="5"/>
      </tp>
      <tp t="s">
        <v/>
        <stp/>
        <stp>141587M15:LstDate</stp>
        <tr r="J56" s="5"/>
      </tp>
      <tp t="s">
        <v/>
        <stp/>
        <stp>141587M14:LstDate</stp>
        <tr r="J55" s="5"/>
      </tp>
      <tp t="s">
        <v/>
        <stp/>
        <stp>141587M13:LstDate</stp>
        <tr r="J54" s="5"/>
      </tp>
      <tp t="s">
        <v/>
        <stp/>
        <stp>141587M12:LstDate</stp>
        <tr r="J53" s="5"/>
      </tp>
      <tp t="s">
        <v/>
        <stp/>
        <stp>141587M11:LstDate</stp>
        <tr r="J52" s="5"/>
      </tp>
      <tp t="s">
        <v/>
        <stp/>
        <stp>141587M10:LstDate</stp>
        <tr r="J51" s="5"/>
      </tp>
      <tp t="s">
        <v/>
        <stp/>
        <stp>141587M24:LstDate</stp>
        <tr r="J65" s="5"/>
      </tp>
      <tp t="s">
        <v/>
        <stp/>
        <stp>141587M23:LstDate</stp>
        <tr r="J64" s="5"/>
      </tp>
      <tp t="s">
        <v/>
        <stp/>
        <stp>141587M22:LstDate</stp>
        <tr r="J63" s="5"/>
      </tp>
      <tp t="s">
        <v/>
        <stp/>
        <stp>141587M21:LstDate</stp>
        <tr r="J62" s="5"/>
      </tp>
      <tp t="s">
        <v/>
        <stp/>
        <stp>141587M20:LstDate</stp>
        <tr r="J61" s="5"/>
      </tp>
    </main>
    <main first="bofaddin.rtdserver">
      <tp>
        <v>78.3</v>
        <stp/>
        <stp>BDP|9817013219645790264|222</stp>
        <stp>COU7 Comdty</stp>
        <stp>ASK</stp>
        <stp>Fill=#N/A</stp>
        <tr r="G31" s="1"/>
      </tp>
    </main>
    <main first="ice.rtd">
      <tp>
        <v>0</v>
        <stp/>
        <stp>266419Y2:BlkVol</stp>
        <tr r="O995" s="5"/>
      </tp>
      <tp>
        <v>0</v>
        <stp/>
        <stp>266419Y1:BlkVol</stp>
        <tr r="O994" s="5"/>
      </tp>
      <tp>
        <v>0</v>
        <stp/>
        <stp>266419Y0:BlkVol</stp>
        <tr r="O993" s="5"/>
      </tp>
      <tp>
        <v>0</v>
        <stp/>
        <stp>266419Q8:BlkVol</stp>
        <tr r="O992" s="5"/>
      </tp>
      <tp>
        <v>0</v>
        <stp/>
        <stp>266419Q3:BlkVol</stp>
        <tr r="O987" s="5"/>
      </tp>
      <tp>
        <v>0</v>
        <stp/>
        <stp>266419Q2:BlkVol</stp>
        <tr r="O986" s="5"/>
      </tp>
      <tp>
        <v>0</v>
        <stp/>
        <stp>266419Q1:BlkVol</stp>
        <tr r="O985" s="5"/>
      </tp>
      <tp>
        <v>0</v>
        <stp/>
        <stp>266419Q0:BlkVol</stp>
        <tr r="O984" s="5"/>
      </tp>
      <tp>
        <v>0</v>
        <stp/>
        <stp>266419Q7:BlkVol</stp>
        <tr r="O991" s="5"/>
      </tp>
      <tp>
        <v>0</v>
        <stp/>
        <stp>266419Q6:BlkVol</stp>
        <tr r="O990" s="5"/>
      </tp>
      <tp>
        <v>0</v>
        <stp/>
        <stp>266419Q5:BlkVol</stp>
        <tr r="O989" s="5"/>
      </tp>
      <tp>
        <v>0</v>
        <stp/>
        <stp>266419Q4:BlkVol</stp>
        <tr r="O988" s="5"/>
      </tp>
      <tp>
        <v>0</v>
        <stp/>
        <stp>266419M9:BlkVol</stp>
        <tr r="O968" s="5"/>
      </tp>
      <tp>
        <v>0</v>
        <stp/>
        <stp>266419M8:BlkVol</stp>
        <tr r="O967" s="5"/>
      </tp>
      <tp>
        <v>0</v>
        <stp/>
        <stp>266419M3:BlkVol</stp>
        <tr r="O962" s="5"/>
      </tp>
      <tp>
        <v>0</v>
        <stp/>
        <stp>266419M2:BlkVol</stp>
        <tr r="O961" s="5"/>
      </tp>
      <tp>
        <v>0</v>
        <stp/>
        <stp>266419M1:BlkVol</stp>
        <tr r="O960" s="5"/>
      </tp>
      <tp>
        <v>0</v>
        <stp/>
        <stp>266419M0:BlkVol</stp>
        <tr r="O959" s="5"/>
      </tp>
      <tp>
        <v>0</v>
        <stp/>
        <stp>266419M7:BlkVol</stp>
        <tr r="O966" s="5"/>
      </tp>
      <tp>
        <v>0</v>
        <stp/>
        <stp>266419M6:BlkVol</stp>
        <tr r="O965" s="5"/>
      </tp>
      <tp>
        <v>0</v>
        <stp/>
        <stp>266419M5:BlkVol</stp>
        <tr r="O964" s="5"/>
      </tp>
      <tp>
        <v>0</v>
        <stp/>
        <stp>266419M4:BlkVol</stp>
        <tr r="O963" s="5"/>
      </tp>
      <tp t="s">
        <v>Invalid Market: CALCM19</v>
        <stp/>
        <stp>CALCM19:LstBlkPrc</stp>
        <tr r="K1358" s="5"/>
        <tr r="K1206" s="5"/>
      </tp>
      <tp t="s">
        <v>Invalid Market: CALCM19</v>
        <stp/>
        <stp>CALCM19:BstHitPrc</stp>
        <tr r="G1206" s="5"/>
        <tr r="G1358" s="5"/>
      </tp>
      <tp t="s">
        <v>Invalid Market: 2044823525M22</v>
        <stp/>
        <stp>2044823525M22:Settle</stp>
        <tr r="U1769" s="5"/>
      </tp>
      <tp t="s">
        <v>Invalid Market: 2044823525M21</v>
        <stp/>
        <stp>2044823525M21:Settle</stp>
        <tr r="U1768" s="5"/>
      </tp>
      <tp t="s">
        <v>Invalid Market: 2044823525M20</v>
        <stp/>
        <stp>2044823525M20:Settle</stp>
        <tr r="U1767" s="5"/>
      </tp>
      <tp t="s">
        <v>Invalid Market: 2044823525M19</v>
        <stp/>
        <stp>2044823525M19:Settle</stp>
        <tr r="U1766" s="5"/>
      </tp>
      <tp t="s">
        <v>Invalid Market: 2044823525M18</v>
        <stp/>
        <stp>2044823525M18:Settle</stp>
        <tr r="U1765" s="5"/>
      </tp>
      <tp>
        <v>-8.1999999999999993</v>
        <stp/>
        <stp>2044823525M13:Settle</stp>
        <tr r="U1760" s="5"/>
      </tp>
      <tp>
        <v>-8.1999999999999993</v>
        <stp/>
        <stp>2044823525M12:Settle</stp>
        <tr r="U1759" s="5"/>
      </tp>
      <tp>
        <v>-8.1999999999999993</v>
        <stp/>
        <stp>2044823525M11:Settle</stp>
        <tr r="U1758" s="5"/>
      </tp>
      <tp>
        <v>-7.75</v>
        <stp/>
        <stp>2044823525M10:Settle</stp>
        <tr r="U1757" s="5"/>
      </tp>
      <tp t="s">
        <v>Invalid Market: 2044823525M17</v>
        <stp/>
        <stp>2044823525M17:Settle</stp>
        <tr r="U1764" s="5"/>
      </tp>
      <tp t="s">
        <v>Invalid Market: 2044823525M16</v>
        <stp/>
        <stp>2044823525M16:Settle</stp>
        <tr r="U1763" s="5"/>
      </tp>
      <tp t="s">
        <v>Invalid Market: 2044823525M15</v>
        <stp/>
        <stp>2044823525M15:Settle</stp>
        <tr r="U1762" s="5"/>
      </tp>
      <tp>
        <v>-8.1999999999999993</v>
        <stp/>
        <stp>2044823525M14:Settle</stp>
        <tr r="U1761" s="5"/>
      </tp>
    </main>
    <main first="bofaddin.rtdserver">
      <tp t="s">
        <v>#N/A</v>
        <stp/>
        <stp>BDP|3950649710401613340|222</stp>
        <stp>MUCQ27 Comdty</stp>
        <stp>ASK</stp>
        <stp>Fill=#N/A</stp>
        <tr r="K30" s="1"/>
      </tp>
    </main>
    <main first="esrtd">
      <tp t="s">
        <v/>
        <stp/>
        <stp>BRN 26VP15000-ICE</stp>
        <stp>OldSetIV</stp>
        <tr r="AH196" s="23"/>
      </tp>
      <tp t="s">
        <v/>
        <stp/>
        <stp>BRN 26QP15000-ICE</stp>
        <stp>OldSetIV</stp>
        <tr r="AH50" s="23"/>
      </tp>
      <tp t="s">
        <v/>
        <stp/>
        <stp>BRN 26VP14000-ICE</stp>
        <stp>OldSetIV</stp>
        <tr r="AH194" s="23"/>
      </tp>
      <tp t="s">
        <v/>
        <stp/>
        <stp>BRN 26UP14000-ICE</stp>
        <stp>OldSetIV</stp>
        <tr r="AH121" s="23"/>
      </tp>
      <tp t="s">
        <v/>
        <stp/>
        <stp>BRN 26VP14500-ICE</stp>
        <stp>OldSetIV</stp>
        <tr r="AH195" s="23"/>
      </tp>
      <tp t="s">
        <v/>
        <stp/>
        <stp>BRN 26QP17000-ICE</stp>
        <stp>OldSetIV</stp>
        <tr r="AH52" s="23"/>
      </tp>
      <tp t="s">
        <v/>
        <stp/>
        <stp>BRN 26VP16000-ICE</stp>
        <stp>OldSetIV</stp>
        <tr r="AH197" s="23"/>
      </tp>
      <tp t="s">
        <v/>
        <stp/>
        <stp>BRN 26UP16000-ICE</stp>
        <stp>OldSetIV</stp>
        <tr r="AH122" s="23"/>
      </tp>
      <tp t="s">
        <v/>
        <stp/>
        <stp>BRN 26QP16000-ICE</stp>
        <stp>OldSetIV</stp>
        <tr r="AH51" s="23"/>
      </tp>
      <tp t="s">
        <v/>
        <stp/>
        <stp>BRN 26UP11300-ICE</stp>
        <stp>OldSetIV</stp>
        <tr r="AH116" s="23"/>
      </tp>
      <tp t="s">
        <v/>
        <stp/>
        <stp>BRN 26VP11000-ICE</stp>
        <stp>OldSetIV</stp>
        <tr r="AH186" s="23"/>
      </tp>
      <tp t="s">
        <v/>
        <stp/>
        <stp>BRN 26UP11200-ICE</stp>
        <stp>OldSetIV</stp>
        <tr r="AH115" s="23"/>
      </tp>
      <tp t="s">
        <v/>
        <stp/>
        <stp>BRN 26UP11000-ICE</stp>
        <stp>OldSetIV</stp>
        <tr r="AH114" s="23"/>
      </tp>
      <tp t="s">
        <v/>
        <stp/>
        <stp>BRN 26VP11300-ICE</stp>
        <stp>OldSetIV</stp>
        <tr r="AH187" s="23"/>
      </tp>
      <tp t="s">
        <v/>
        <stp/>
        <stp>BRN 26VP11500-ICE</stp>
        <stp>OldSetIV</stp>
        <tr r="AH188" s="23"/>
      </tp>
      <tp t="s">
        <v/>
        <stp/>
        <stp>BRN 26UP11500-ICE</stp>
        <stp>OldSetIV</stp>
        <tr r="AH117" s="23"/>
      </tp>
      <tp t="s">
        <v/>
        <stp/>
        <stp>BRN 26UP10900-ICE</stp>
        <stp>OldSetIV</stp>
        <tr r="AH113" s="23"/>
      </tp>
      <tp t="s">
        <v/>
        <stp/>
        <stp>BRN 26UP10000-ICE</stp>
        <stp>OldSetIV</stp>
        <tr r="AH112" s="23"/>
      </tp>
      <tp t="s">
        <v/>
        <stp/>
        <stp>BRN 26VP10500-ICE</stp>
        <stp>OldSetIV</stp>
        <tr r="AH184" s="23"/>
      </tp>
      <tp t="s">
        <v/>
        <stp/>
        <stp>BRN 26VP13000-ICE</stp>
        <stp>OldSetIV</stp>
        <tr r="AH191" s="23"/>
      </tp>
      <tp t="s">
        <v/>
        <stp/>
        <stp>BRN 26VP13100-ICE</stp>
        <stp>OldSetIV</stp>
        <tr r="AH192" s="23"/>
      </tp>
      <tp t="s">
        <v/>
        <stp/>
        <stp>BRN 26UP13000-ICE</stp>
        <stp>OldSetIV</stp>
        <tr r="AH120" s="23"/>
      </tp>
      <tp t="s">
        <v/>
        <stp/>
        <stp>BRN 26VP13500-ICE</stp>
        <stp>OldSetIV</stp>
        <tr r="AH193" s="23"/>
      </tp>
      <tp t="s">
        <v/>
        <stp/>
        <stp>BRN 26QP13000-ICE</stp>
        <stp>OldSetIV</stp>
        <tr r="AH49" s="23"/>
      </tp>
      <tp t="s">
        <v/>
        <stp/>
        <stp>BRN 26VP12000-ICE</stp>
        <stp>OldSetIV</stp>
        <tr r="AH189" s="23"/>
      </tp>
      <tp t="s">
        <v/>
        <stp/>
        <stp>BRN 26UP12000-ICE</stp>
        <stp>OldSetIV</stp>
        <tr r="AH118" s="23"/>
      </tp>
      <tp t="s">
        <v/>
        <stp/>
        <stp>BRN 26VP12500-ICE</stp>
        <stp>OldSetIV</stp>
        <tr r="AH190" s="23"/>
      </tp>
      <tp t="s">
        <v/>
        <stp/>
        <stp>BRN 26UP12500-ICE</stp>
        <stp>OldSetIV</stp>
        <tr r="AH119" s="23"/>
      </tp>
      <tp t="s">
        <v/>
        <stp/>
        <stp>BRN 26VP18000-ICE</stp>
        <stp>OldSetIV</stp>
        <tr r="AH198" s="23"/>
      </tp>
      <tp t="s">
        <v/>
        <stp/>
        <stp>BRN 26UP18000-ICE</stp>
        <stp>OldSetIV</stp>
        <tr r="AH123" s="23"/>
      </tp>
      <tp t="s">
        <v/>
        <stp/>
        <stp>BRN 26QP18000-ICE</stp>
        <stp>OldSetIV</stp>
        <tr r="AH53" s="23"/>
      </tp>
      <tp t="s">
        <v/>
        <stp/>
        <stp>UMD B0-IEU</stp>
        <stp>ICE Theoretical Price</stp>
        <tr r="W555" s="5"/>
      </tp>
      <tp t="s">
        <v/>
        <stp/>
        <stp>BRN 26VP30000-ICE</stp>
        <stp>OldSetIV</stp>
        <tr r="AH204" s="23"/>
        <tr r="AH206" s="23"/>
        <tr r="AH207" s="23"/>
        <tr r="AH201" s="23"/>
        <tr r="AH202" s="23"/>
        <tr r="AH203" s="23"/>
        <tr r="AH205" s="23"/>
        <tr r="AH208" s="23"/>
      </tp>
      <tp t="s">
        <v/>
        <stp/>
        <stp>BRN 26UP30000-ICE</stp>
        <stp>OldSetIV</stp>
        <tr r="AH126" s="23"/>
        <tr r="AH134" s="23"/>
        <tr r="AH131" s="23"/>
        <tr r="AH129" s="23"/>
        <tr r="AH137" s="23"/>
        <tr r="AH132" s="23"/>
        <tr r="AH140" s="23"/>
        <tr r="AH135" s="23"/>
        <tr r="AH138" s="23"/>
        <tr r="AH139" s="23"/>
        <tr r="AH133" s="23"/>
        <tr r="AH128" s="23"/>
        <tr r="AH136" s="23"/>
        <tr r="AH127" s="23"/>
        <tr r="AH130" s="23"/>
      </tp>
      <tp t="s">
        <v/>
        <stp/>
        <stp>BRN 26QP30000-ICE</stp>
        <stp>OldSetIV</stp>
        <tr r="AH59" s="23"/>
        <tr r="AH67" s="23"/>
        <tr r="AH68" s="23"/>
        <tr r="AH70" s="23"/>
        <tr r="AH63" s="23"/>
        <tr r="AH61" s="23"/>
        <tr r="AH58" s="23"/>
        <tr r="AH57" s="23"/>
        <tr r="AH64" s="23"/>
        <tr r="AH71" s="23"/>
        <tr r="AH62" s="23"/>
        <tr r="AH65" s="23"/>
        <tr r="AH66" s="23"/>
        <tr r="AH69" s="23"/>
        <tr r="AH60" s="23"/>
        <tr r="AH56" s="23"/>
        <tr r="AH72" s="23"/>
      </tp>
      <tp t="s">
        <v/>
        <stp/>
        <stp>UME B0-IEU</stp>
        <stp>ICE Theoretical Price</stp>
        <tr r="W78" s="5"/>
      </tp>
      <tp t="s">
        <v/>
        <stp/>
        <stp>BRN 26VP25000-ICE</stp>
        <stp>OldSetIV</stp>
        <tr r="AH200" s="23"/>
      </tp>
      <tp t="s">
        <v/>
        <stp/>
        <stp>BRN 26UP25000-ICE</stp>
        <stp>OldSetIV</stp>
        <tr r="AH125" s="23"/>
      </tp>
      <tp t="s">
        <v/>
        <stp/>
        <stp>BRN 26QP25000-ICE</stp>
        <stp>OldSetIV</stp>
        <tr r="AH55" s="23"/>
      </tp>
      <tp t="s">
        <v/>
        <stp/>
        <stp>BRN 26VP20000-ICE</stp>
        <stp>OldSetIV</stp>
        <tr r="AH199" s="23"/>
      </tp>
      <tp t="s">
        <v/>
        <stp/>
        <stp>BRN 26UP20000-ICE</stp>
        <stp>OldSetIV</stp>
        <tr r="AH124" s="23"/>
      </tp>
      <tp t="s">
        <v/>
        <stp/>
        <stp>BRN 26QP20000-ICE</stp>
        <stp>OldSetIV</stp>
        <tr r="AH54" s="23"/>
      </tp>
      <tp t="s">
        <v/>
        <stp/>
        <stp>UMC B0-IEU</stp>
        <stp>ICE Theoretical Price</stp>
        <tr r="W593" s="5"/>
      </tp>
    </main>
    <main first="bofaddin.rtdserver">
      <tp t="s">
        <v>#N/A</v>
        <stp/>
        <stp>BDP|3050318725659018242|222</stp>
        <stp>MUCM27 Comdty</stp>
        <stp>BID</stp>
        <stp>Fill=#N/A</stp>
        <tr r="K28" s="1"/>
      </tp>
    </main>
    <main first="esrtd">
      <tp t="s">
        <v/>
        <stp/>
        <stp>UMA B0-IEU</stp>
        <stp>ICE Theoretical Price</stp>
        <tr r="W517" s="5"/>
      </tp>
    </main>
    <main first="ice.rtd">
      <tp t="s">
        <v>CFS</v>
        <stp/>
        <stp>DBJ29446BM0:PCC</stp>
        <tr r="B1647" s="5"/>
      </tp>
      <tp t="s">
        <v/>
        <stp/>
        <stp>161913535QQ0:LstDate</stp>
        <tr r="J2055" s="5"/>
      </tp>
      <tp t="s">
        <v/>
        <stp/>
        <stp>161913535QQ1:LstDate</stp>
        <tr r="J2056" s="5"/>
      </tp>
    </main>
    <main first="bofaddin.rtdserver">
      <tp t="s">
        <v>#N/A Invalid Security</v>
        <stp/>
        <stp>BDP|6590578459911333997|222</stp>
        <stp>COQ9 Comdty</stp>
        <stp>ASK</stp>
        <stp>Fill=#N/A</stp>
        <tr r="G54" s="1"/>
      </tp>
      <tp>
        <v>78.900000000000006</v>
        <stp/>
        <stp>BDP|3191727161223429892|222</stp>
        <stp>COQ7 Comdty</stp>
        <stp>ASK</stp>
        <stp>Fill=#N/A</stp>
        <tr r="G30" s="1"/>
      </tp>
      <tp>
        <v>266.27999999999997</v>
        <stp/>
        <stp>BDP|9031039984237500340|222</stp>
        <stp>XBU7 Comdty</stp>
        <stp>ASK</stp>
        <stp>Fill=#N/A</stp>
        <tr r="J31" s="1"/>
      </tp>
      <tp>
        <v>71.459999999999994</v>
        <stp/>
        <stp>BDP|9843658628040614895|222</stp>
        <stp>CLZ7 Comdty</stp>
        <stp>BID</stp>
        <stp>Fill=#N/A</stp>
        <tr r="F34" s="1"/>
      </tp>
      <tp t="s">
        <v>#N/A</v>
        <stp/>
        <stp>BDP|4278612385155106378|222</stp>
        <stp>QSQ9 Comdty</stp>
        <stp>ASK</stp>
        <stp>Fill=#N/A</stp>
        <tr r="H54" s="1"/>
      </tp>
    </main>
    <main first="esrtd">
      <tp t="s">
        <v/>
        <stp/>
        <stp>UL8 B0-IEU</stp>
        <stp>ICE Theoretical Price</stp>
        <tr r="W1262" s="5"/>
      </tp>
    </main>
    <main first="ice.rtd">
      <tp>
        <v>14.833</v>
        <stp/>
        <stp>266Q1:Settle</stp>
        <tr r="U947" s="5"/>
      </tp>
      <tp>
        <v>18</v>
        <stp/>
        <stp>266Q0:Settle</stp>
        <tr r="U946" s="5"/>
      </tp>
      <tp>
        <v>12.833</v>
        <stp/>
        <stp>266Q3:Settle</stp>
        <tr r="U949" s="5"/>
      </tp>
      <tp>
        <v>13.5</v>
        <stp/>
        <stp>266Q2:Settle</stp>
        <tr r="U948" s="5"/>
      </tp>
      <tp>
        <v>14.25</v>
        <stp/>
        <stp>266Q5:Settle</stp>
        <tr r="U951" s="5"/>
      </tp>
      <tp>
        <v>12.833</v>
        <stp/>
        <stp>266Q4:Settle</stp>
        <tr r="U950" s="5"/>
      </tp>
      <tp>
        <v>24.333000000000002</v>
        <stp/>
        <stp>266Q7:Settle</stp>
        <tr r="U953" s="5"/>
      </tp>
      <tp>
        <v>18.833000000000002</v>
        <stp/>
        <stp>266Q6:Settle</stp>
        <tr r="U952" s="5"/>
      </tp>
      <tp>
        <v>29.917000000000002</v>
        <stp/>
        <stp>266Q8:Settle</stp>
        <tr r="U954" s="5"/>
      </tp>
      <tp>
        <v>21.833000000000002</v>
        <stp/>
        <stp>266Y1:Settle</stp>
        <tr r="U956" s="5"/>
      </tp>
      <tp>
        <v>13.5</v>
        <stp/>
        <stp>266Y0:Settle</stp>
        <tr r="U955" s="5"/>
      </tp>
      <tp>
        <v>30.75</v>
        <stp/>
        <stp>266Y2:Settle</stp>
        <tr r="U957" s="5"/>
      </tp>
      <tp>
        <v>21.25</v>
        <stp/>
        <stp>266M1:Settle</stp>
        <tr r="U922" s="5"/>
      </tp>
      <tp>
        <v>22.818000000000001</v>
        <stp/>
        <stp>266M0:Settle</stp>
        <tr r="U921" s="5"/>
      </tp>
      <tp>
        <v>15.25</v>
        <stp/>
        <stp>266M3:Settle</stp>
        <tr r="U924" s="5"/>
      </tp>
      <tp>
        <v>17.5</v>
        <stp/>
        <stp>266M2:Settle</stp>
        <tr r="U923" s="5"/>
      </tp>
      <tp>
        <v>14.75</v>
        <stp/>
        <stp>266M5:Settle</stp>
        <tr r="U926" s="5"/>
      </tp>
      <tp>
        <v>15</v>
        <stp/>
        <stp>266M4:Settle</stp>
        <tr r="U925" s="5"/>
      </tp>
      <tp>
        <v>14</v>
        <stp/>
        <stp>266M7:Settle</stp>
        <tr r="U928" s="5"/>
      </tp>
      <tp>
        <v>14.75</v>
        <stp/>
        <stp>266M6:Settle</stp>
        <tr r="U927" s="5"/>
      </tp>
      <tp>
        <v>13</v>
        <stp/>
        <stp>266M9:Settle</stp>
        <tr r="U930" s="5"/>
      </tp>
      <tp>
        <v>13.5</v>
        <stp/>
        <stp>266M8:Settle</stp>
        <tr r="U929" s="5"/>
      </tp>
    </main>
    <main first="esrtd">
      <tp t="s">
        <v/>
        <stp/>
        <stp>BRN 26UC8400-ICE</stp>
        <stp>Market</stp>
        <tr r="AQ77" s="23"/>
      </tp>
      <tp t="s">
        <v/>
        <stp/>
        <stp>BRN 26UP8400-ICE</stp>
        <stp>Market</stp>
        <tr r="AJ77" s="23"/>
      </tp>
      <tp t="s">
        <v/>
        <stp/>
        <stp>BRN 26UC8500-ICE</stp>
        <stp>Market</stp>
        <tr r="AQ78" s="23"/>
        <tr r="AQ79" s="23"/>
      </tp>
      <tp t="s">
        <v/>
        <stp/>
        <stp>BRN 26UP8500-ICE</stp>
        <stp>Market</stp>
        <tr r="AJ79" s="23"/>
        <tr r="AJ78" s="23"/>
      </tp>
      <tp t="s">
        <v/>
        <stp/>
        <stp>BRN 26UC8100-ICE</stp>
        <stp>Market</stp>
        <tr r="AQ74" s="23"/>
      </tp>
      <tp t="s">
        <v/>
        <stp/>
        <stp>BRN 26UP8100-ICE</stp>
        <stp>Market</stp>
        <tr r="AJ74" s="23"/>
      </tp>
      <tp t="s">
        <v/>
        <stp/>
        <stp>BRN 26UC8200-ICE</stp>
        <stp>Market</stp>
        <tr r="AQ75" s="23"/>
      </tp>
      <tp t="s">
        <v/>
        <stp/>
        <stp>BRN 26UP8200-ICE</stp>
        <stp>Market</stp>
        <tr r="AJ75" s="23"/>
      </tp>
      <tp t="s">
        <v/>
        <stp/>
        <stp>BRN 26UC8300-ICE</stp>
        <stp>Market</stp>
        <tr r="AQ76" s="23"/>
      </tp>
      <tp t="s">
        <v/>
        <stp/>
        <stp>BRN 26UP8300-ICE</stp>
        <stp>Market</stp>
        <tr r="AJ76" s="23"/>
      </tp>
    </main>
    <main first="ice.rtd">
      <tp t="s">
        <v>Invalid Market: CALCM18</v>
        <stp/>
        <stp>CALCM18:LstBlkPrc</stp>
        <tr r="K1205" s="5"/>
        <tr r="K1357" s="5"/>
      </tp>
      <tp t="s">
        <v>Invalid Market: CALCM18</v>
        <stp/>
        <stp>CALCM18:BstHitPrc</stp>
        <tr r="G1205" s="5"/>
        <tr r="G1357" s="5"/>
      </tp>
    </main>
    <main first="bofaddin.rtdserver">
      <tp t="s">
        <v>#N/A</v>
        <stp/>
        <stp>BDP|2163182995781149241|222</stp>
        <stp>MUCG30 Comdty</stp>
        <stp>BID</stp>
        <stp>Fill=#N/A</stp>
        <tr r="K60" s="1"/>
      </tp>
      <tp t="s">
        <v>#N/A</v>
        <stp/>
        <stp>BDP|1418866027014397767|222</stp>
        <stp>MUCF28 Comdty</stp>
        <stp>BID</stp>
        <stp>Fill=#N/A</stp>
        <tr r="K35" s="1"/>
      </tp>
      <tp t="s">
        <v>#N/A</v>
        <stp/>
        <stp>BDP|8454119056812744422|222</stp>
        <stp>OQAN29 Comdty</stp>
        <stp>BID</stp>
        <stp>Fill=#N/A</stp>
        <tr r="L53" s="1"/>
      </tp>
      <tp t="s">
        <v>#N/A</v>
        <stp/>
        <stp>BDP|3875275329666431286|222</stp>
        <stp>MUCU27 Comdty</stp>
        <stp>ASK</stp>
        <stp>Fill=#N/A</stp>
        <tr r="K31" s="1"/>
      </tp>
      <tp t="s">
        <v>#N/A</v>
        <stp/>
        <stp>BDP|7340897522673074448|222</stp>
        <stp>OQAH28 Comdty</stp>
        <stp>BID</stp>
        <stp>Fill=#N/A</stp>
        <tr r="L37" s="1"/>
      </tp>
    </main>
    <main first="esrtd">
      <tp t="s">
        <v/>
        <stp/>
        <stp>ULX B0-IEU</stp>
        <stp>ICE Theoretical Price</stp>
        <tr r="W669" s="5"/>
      </tp>
      <tp t="s">
        <v/>
        <stp/>
        <stp>ULY B0-IEU</stp>
        <stp>ICE Theoretical Price</stp>
        <tr r="W631" s="5"/>
      </tp>
      <tp t="s">
        <v/>
        <stp/>
        <stp>ULW B0-IEU</stp>
        <stp>ICE Theoretical Price</stp>
        <tr r="W707" s="5"/>
      </tp>
    </main>
    <main first="bofaddin.rtdserver">
      <tp>
        <v>235.88</v>
        <stp/>
        <stp>BDP|5256183937873564171|222</stp>
        <stp>XBX7 Comdty</stp>
        <stp>BID</stp>
        <stp>Fill=#N/A</stp>
        <tr r="J33" s="1"/>
      </tp>
      <tp>
        <v>74.260000000000005</v>
        <stp/>
        <stp>BDP|9001425442906127008|222</stp>
        <stp>COX8 Comdty</stp>
        <stp>ASK</stp>
        <stp>Fill=#N/A</stp>
        <tr r="G45" s="1"/>
      </tp>
      <tp t="s">
        <v>#N/A</v>
        <stp/>
        <stp>BDP|9111193282988329090|222</stp>
        <stp>XBX8 Comdty</stp>
        <stp>BID</stp>
        <stp>Fill=#N/A</stp>
        <tr r="J45" s="1"/>
      </tp>
      <tp t="s">
        <v>#N/A Invalid Security</v>
        <stp/>
        <stp>BDP|9554040664572394230|222</stp>
        <stp>COX9 Comdty</stp>
        <stp>BID</stp>
        <stp>Fill=#N/A</stp>
        <tr r="G57" s="1"/>
      </tp>
      <tp t="s">
        <v>#N/A Invalid Security</v>
        <stp/>
        <stp>BDP|7486815299630470923|222</stp>
        <stp>CLQ8 Comdty</stp>
        <stp>ASK</stp>
        <stp>Fill=#N/A</stp>
        <tr r="F42" s="1"/>
      </tp>
      <tp>
        <v>233.94</v>
        <stp/>
        <stp>BDP|3780596468488878409|222</stp>
        <stp>XBZ8 Comdty</stp>
        <stp>ASK</stp>
        <stp>Fill=#N/A</stp>
        <tr r="J46" s="1"/>
      </tp>
      <tp>
        <v>232.87</v>
        <stp/>
        <stp>BDP|9117635701738718159|222</stp>
        <stp>XBZ7 Comdty</stp>
        <stp>BID</stp>
        <stp>Fill=#N/A</stp>
        <tr r="J34" s="1"/>
      </tp>
      <tp t="s">
        <v>#N/A Invalid Security</v>
        <stp/>
        <stp>BDP|9580904650745628241|222</stp>
        <stp>CLV8 Comdty</stp>
        <stp>ASK</stp>
        <stp>Fill=#N/A</stp>
        <tr r="F44" s="1"/>
      </tp>
      <tp>
        <v>824.25</v>
        <stp/>
        <stp>BDP|4768802890876459679|222</stp>
        <stp>QSQ8 Comdty</stp>
        <stp>BID</stp>
        <stp>Fill=#N/A</stp>
        <tr r="H42" s="1"/>
      </tp>
      <tp>
        <v>87.89</v>
        <stp/>
        <stp>BDP|8256061252217586067|222</stp>
        <stp>CLX6 Comdty</stp>
        <stp>BID</stp>
        <stp>Fill=#N/A</stp>
        <tr r="F21" s="1"/>
      </tp>
      <tp t="s">
        <v>#N/A Real Time</v>
        <stp/>
        <stp>BDP|536680327154353386|22</stp>
        <stp>QSQ6C 1300.00 Comdty</stp>
        <stp>THETA_LAST_RT</stp>
        <tr r="I77" s="23"/>
        <tr r="I58" s="23"/>
        <tr r="I86" s="23"/>
      </tp>
    </main>
    <main first="ice.rtd">
      <tp>
        <v>1094</v>
        <stp/>
        <stp>DBI1227MM23:Vol</stp>
        <tr r="N1674" s="5"/>
      </tp>
      <tp>
        <v>0</v>
        <stp/>
        <stp>DBI1227MM22:Vol</stp>
        <tr r="N1673" s="5"/>
      </tp>
      <tp>
        <v>0</v>
        <stp/>
        <stp>DBI1227MM21:Vol</stp>
        <tr r="N1672" s="5"/>
      </tp>
      <tp>
        <v>0</v>
        <stp/>
        <stp>DBI1227MM20:Vol</stp>
        <tr r="N1671" s="5"/>
      </tp>
      <tp>
        <v>0</v>
        <stp/>
        <stp>DBI1227MM27:Vol</stp>
        <tr r="N1678" s="5"/>
      </tp>
      <tp>
        <v>1</v>
        <stp/>
        <stp>DBI1227MM26:Vol</stp>
        <tr r="N1677" s="5"/>
      </tp>
      <tp>
        <v>3</v>
        <stp/>
        <stp>DBI1227MM25:Vol</stp>
        <tr r="N1676" s="5"/>
      </tp>
      <tp>
        <v>3</v>
        <stp/>
        <stp>DBI1227MM24:Vol</stp>
        <tr r="N1675" s="5"/>
      </tp>
      <tp>
        <v>0</v>
        <stp/>
        <stp>DBI1227MM19:Vol</stp>
        <tr r="N1650" s="5"/>
        <tr r="N1670" s="5"/>
      </tp>
      <tp>
        <v>0</v>
        <stp/>
        <stp>DBI1227MM18:Vol</stp>
        <tr r="N1669" s="5"/>
      </tp>
      <tp>
        <v>0</v>
        <stp/>
        <stp>DBI1227MM13:Vol</stp>
        <tr r="N1664" s="5"/>
      </tp>
      <tp>
        <v>0</v>
        <stp/>
        <stp>DBI1227MM12:Vol</stp>
        <tr r="N1663" s="5"/>
      </tp>
      <tp>
        <v>0</v>
        <stp/>
        <stp>DBI1227MM11:Vol</stp>
        <tr r="N1662" s="5"/>
      </tp>
      <tp>
        <v>7</v>
        <stp/>
        <stp>DBI1227MM10:Vol</stp>
        <tr r="N1661" s="5"/>
        <tr r="N1649" s="5"/>
      </tp>
      <tp>
        <v>1</v>
        <stp/>
        <stp>DBI1227MM17:Vol</stp>
        <tr r="N1668" s="5"/>
      </tp>
      <tp>
        <v>13</v>
        <stp/>
        <stp>DBI1227MM16:Vol</stp>
        <tr r="N1667" s="5"/>
      </tp>
      <tp>
        <v>4199</v>
        <stp/>
        <stp>DBI1227MM15:Vol</stp>
        <tr r="N1666" s="5"/>
      </tp>
      <tp>
        <v>0</v>
        <stp/>
        <stp>DBI1227MM14:Vol</stp>
        <tr r="N1665" s="5"/>
      </tp>
      <tp t="s">
        <v>Q4 28</v>
        <stp/>
        <stp>5162Q8:Strip</stp>
        <tr r="E802" s="5"/>
      </tp>
      <tp t="s">
        <v>May27</v>
        <stp/>
        <stp>5162M8:Strip</stp>
        <tr r="E777" s="5"/>
      </tp>
    </main>
    <main first="esrtd">
      <tp t="s">
        <v/>
        <stp/>
        <stp>FOO B0-IEU</stp>
        <stp>ICE Theoretical Price</stp>
        <tr r="W806" s="5"/>
      </tp>
    </main>
    <main first="bofaddin.rtdserver">
      <tp t="s">
        <v>#N/A</v>
        <stp/>
        <stp>BDP|7089842838989853166|222</stp>
        <stp>MUCX29 Comdty</stp>
        <stp>ASK</stp>
        <stp>Fill=#N/A</stp>
        <tr r="K57" s="1"/>
      </tp>
    </main>
    <main first="esrtd">
      <tp t="s">
        <v/>
        <stp/>
        <stp>BOH B0-IEU</stp>
        <stp>ICE Theoretical Price</stp>
        <tr r="W40" s="5"/>
      </tp>
    </main>
    <main first="bofaddin.rtdserver">
      <tp t="s">
        <v>#N/A</v>
        <stp/>
        <stp>BDP|4820648155385531944|222</stp>
        <stp>MUCX27 Comdty</stp>
        <stp>BID</stp>
        <stp>Fill=#N/A</stp>
        <tr r="K33" s="1"/>
      </tp>
      <tp t="s">
        <v>#N/A</v>
        <stp/>
        <stp>BDP|7052926152337514729|222</stp>
        <stp>MUCU27 Comdty</stp>
        <stp>BID</stp>
        <stp>Fill=#N/A</stp>
        <tr r="K31" s="1"/>
      </tp>
    </main>
    <main first="esrtd">
      <tp t="s">
        <v/>
        <stp/>
        <stp>JOD B0-IEU</stp>
        <stp>ICE Theoretical Price</stp>
        <tr r="W420" s="5"/>
      </tp>
      <tp t="s">
        <v/>
        <stp/>
        <stp>FOT B0-IEU</stp>
        <stp>ICE Theoretical Price</stp>
        <tr r="W920" s="5"/>
      </tp>
    </main>
    <main first="bofaddin.rtdserver">
      <tp t="s">
        <v>#N/A Invalid Security</v>
        <stp/>
        <stp>BDP|3781616872139951934|222</stp>
        <stp>COQ0 Comdty</stp>
        <stp>ASK</stp>
        <stp>Fill=#N/A</stp>
        <tr r="G66" s="1"/>
      </tp>
      <tp t="s">
        <v>#N/A Invalid Security</v>
        <stp/>
        <stp>BDP|2353817308128022376|222</stp>
        <stp>CLX9 Comdty</stp>
        <stp>ASK</stp>
        <stp>Fill=#N/A</stp>
        <tr r="F57" s="1"/>
      </tp>
      <tp t="s">
        <v>#N/A Invalid Security</v>
        <stp/>
        <stp>BDP|2702242412019757349|222</stp>
        <stp>CLQ9 Comdty</stp>
        <stp>ASK</stp>
        <stp>Fill=#N/A</stp>
        <tr r="F54" s="1"/>
      </tp>
    </main>
    <main first="ice.rtd">
      <tp t="s">
        <v>Invalid Market: CALCQ1</v>
        <stp/>
        <stp>CALCQ1:LstDate</stp>
        <tr r="J1213" s="5"/>
        <tr r="J1365" s="5"/>
      </tp>
      <tp t="s">
        <v>Invalid Market: CALCQ0</v>
        <stp/>
        <stp>CALCQ0:LstDate</stp>
        <tr r="J1364" s="5"/>
        <tr r="J1212" s="5"/>
      </tp>
      <tp t="s">
        <v>Invalid Market: CALCQ3</v>
        <stp/>
        <stp>CALCQ3:LstDate</stp>
        <tr r="J1367" s="5"/>
        <tr r="J1215" s="5"/>
      </tp>
      <tp t="s">
        <v>Invalid Market: CALCQ2</v>
        <stp/>
        <stp>CALCQ2:LstDate</stp>
        <tr r="J1214" s="5"/>
        <tr r="J1366" s="5"/>
      </tp>
      <tp t="s">
        <v>Invalid Market: CALCQ5</v>
        <stp/>
        <stp>CALCQ5:LstDate</stp>
        <tr r="J1217" s="5"/>
        <tr r="J1369" s="5"/>
      </tp>
      <tp t="s">
        <v>Invalid Market: CALCQ4</v>
        <stp/>
        <stp>CALCQ4:LstDate</stp>
        <tr r="J1216" s="5"/>
        <tr r="J1368" s="5"/>
      </tp>
      <tp t="s">
        <v>Invalid Market: CALCQ7</v>
        <stp/>
        <stp>CALCQ7:LstDate</stp>
        <tr r="J1371" s="5"/>
        <tr r="J1219" s="5"/>
      </tp>
      <tp t="s">
        <v>Invalid Market: CALCQ6</v>
        <stp/>
        <stp>CALCQ6:LstDate</stp>
        <tr r="J1218" s="5"/>
        <tr r="J1370" s="5"/>
      </tp>
      <tp t="s">
        <v>Invalid Market: CALCQ8</v>
        <stp/>
        <stp>CALCQ8:LstDate</stp>
        <tr r="J1220" s="5"/>
        <tr r="J1372" s="5"/>
      </tp>
    </main>
    <main first="bofaddin.rtdserver">
      <tp t="s">
        <v>#N/A Invalid Security</v>
        <stp/>
        <stp>BDP|4790156750004001345|222</stp>
        <stp>CLU9 Comdty</stp>
        <stp>ASK</stp>
        <stp>Fill=#N/A</stp>
        <tr r="F55" s="1"/>
      </tp>
      <tp>
        <v>270.02</v>
        <stp/>
        <stp>BDP|3059664860711824915|222</stp>
        <stp>XBQ7 Comdty</stp>
        <stp>BID</stp>
        <stp>Fill=#N/A</stp>
        <tr r="J30" s="1"/>
      </tp>
      <tp>
        <v>974.5</v>
        <stp/>
        <stp>BDP|8396623230174946461|222</stp>
        <stp>QSQ7 Comdty</stp>
        <stp>ASK</stp>
        <stp>Fill=#N/A</stp>
        <tr r="H30" s="1"/>
      </tp>
    </main>
    <main first="ice.rtd">
      <tp t="s">
        <v>Invalid Market: CALCY1</v>
        <stp/>
        <stp>CALCY1:LstDate</stp>
        <tr r="J1374" s="5"/>
        <tr r="J1222" s="5"/>
      </tp>
      <tp t="s">
        <v>Invalid Market: CALCY0</v>
        <stp/>
        <stp>CALCY0:LstDate</stp>
        <tr r="J1221" s="5"/>
        <tr r="J1373" s="5"/>
      </tp>
      <tp t="s">
        <v>Invalid Market: CALCY2</v>
        <stp/>
        <stp>CALCY2:LstDate</stp>
        <tr r="J1223" s="5"/>
        <tr r="J1375" s="5"/>
      </tp>
    </main>
    <main first="bofaddin.rtdserver">
      <tp t="s">
        <v>#N/A Invalid Security</v>
        <stp/>
        <stp>BDP|5530468639361989367|222</stp>
        <stp>COX9 Comdty</stp>
        <stp>ASK</stp>
        <stp>Fill=#N/A</stp>
        <tr r="G57" s="1"/>
      </tp>
      <tp t="s">
        <v>#N/A</v>
        <stp/>
        <stp>BDP|6360743357576834802|222</stp>
        <stp>QSQ0 Comdty</stp>
        <stp>BID</stp>
        <stp>Fill=#N/A</stp>
        <tr r="H66" s="1"/>
      </tp>
      <tp>
        <v>261.76</v>
        <stp/>
        <stp>BDP|5230098793821714937|222</stp>
        <stp>XBU7 Comdty</stp>
        <stp>BID</stp>
        <stp>Fill=#N/A</stp>
        <tr r="J31" s="1"/>
      </tp>
      <tp>
        <v>329.78</v>
        <stp/>
        <stp>BDP|3094460355066253644|222</stp>
        <stp>HOX7 Comdty</stp>
        <stp>BID</stp>
        <stp>Fill=#N/A</stp>
        <tr r="I33" s="1"/>
      </tp>
    </main>
    <main first="ice.rtd">
      <tp t="s">
        <v>Invalid Market: CALCB0</v>
        <stp/>
        <stp>CALCB0:LstDate</stp>
        <tr r="J1186" s="5"/>
        <tr r="J1338" s="5"/>
      </tp>
    </main>
    <main first="bofaddin.rtdserver">
      <tp t="s">
        <v>#N/A N/A</v>
        <stp/>
        <stp>BDP|13903246319856695674|22</stp>
        <stp>COV6 Comdty</stp>
        <stp>MID</stp>
        <tr r="AW71" s="23"/>
        <tr r="AW72" s="23"/>
        <tr r="AL170" s="23"/>
      </tp>
    </main>
    <main first="ice.rtd">
      <tp t="s">
        <v>Invalid Market: CALCM1</v>
        <stp/>
        <stp>CALCM1:LstDate</stp>
        <tr r="J1188" s="5"/>
        <tr r="J1340" s="5"/>
      </tp>
      <tp t="s">
        <v>Invalid Market: CALCM0</v>
        <stp/>
        <stp>CALCM0:LstDate</stp>
        <tr r="J1187" s="5"/>
        <tr r="J1339" s="5"/>
      </tp>
      <tp t="s">
        <v>Invalid Market: CALCM3</v>
        <stp/>
        <stp>CALCM3:LstDate</stp>
        <tr r="J1342" s="5"/>
        <tr r="J1190" s="5"/>
      </tp>
      <tp t="s">
        <v>Invalid Market: CALCM2</v>
        <stp/>
        <stp>CALCM2:LstDate</stp>
        <tr r="J1189" s="5"/>
        <tr r="J1341" s="5"/>
      </tp>
      <tp t="s">
        <v>Invalid Market: CALCM5</v>
        <stp/>
        <stp>CALCM5:LstDate</stp>
        <tr r="J1344" s="5"/>
        <tr r="J1192" s="5"/>
      </tp>
      <tp t="s">
        <v>Invalid Market: CALCM4</v>
        <stp/>
        <stp>CALCM4:LstDate</stp>
        <tr r="J1191" s="5"/>
        <tr r="J1343" s="5"/>
      </tp>
      <tp t="s">
        <v>Invalid Market: CALCM7</v>
        <stp/>
        <stp>CALCM7:LstDate</stp>
        <tr r="J1194" s="5"/>
        <tr r="J1346" s="5"/>
      </tp>
      <tp t="s">
        <v>Invalid Market: CALCM6</v>
        <stp/>
        <stp>CALCM6:LstDate</stp>
        <tr r="J1193" s="5"/>
        <tr r="J1345" s="5"/>
      </tp>
      <tp t="s">
        <v>Invalid Market: CALCM9</v>
        <stp/>
        <stp>CALCM9:LstDate</stp>
        <tr r="J1196" s="5"/>
        <tr r="J1348" s="5"/>
      </tp>
      <tp t="s">
        <v>Invalid Market: CALCM8</v>
        <stp/>
        <stp>CALCM8:LstDate</stp>
        <tr r="J1347" s="5"/>
        <tr r="J1195" s="5"/>
      </tp>
      <tp t="s">
        <v>Invalid Market: 57179020M19</v>
        <stp/>
        <stp>57179020M19:LstDate</stp>
        <tr r="J1566" s="5"/>
      </tp>
      <tp t="s">
        <v>Invalid Market: 57179020M18</v>
        <stp/>
        <stp>57179020M18:LstDate</stp>
        <tr r="J1565" s="5"/>
      </tp>
      <tp t="s">
        <v/>
        <stp/>
        <stp>46678127M18:LstDate</stp>
        <tr r="J363" s="5"/>
      </tp>
      <tp t="s">
        <v/>
        <stp/>
        <stp>46678127M19:LstDate</stp>
        <tr r="J364" s="5"/>
      </tp>
      <tp t="s">
        <v/>
        <stp/>
        <stp>57409036M19:LstDate</stp>
        <tr r="J250" s="5"/>
      </tp>
      <tp t="s">
        <v/>
        <stp/>
        <stp>57409036M18:LstDate</stp>
        <tr r="J249" s="5"/>
      </tp>
      <tp t="s">
        <v/>
        <stp/>
        <stp>57409036M17:LstDate</stp>
        <tr r="J248" s="5"/>
      </tp>
      <tp t="s">
        <v/>
        <stp/>
        <stp>57179020M13:LstDate</stp>
        <tr r="J1560" s="5"/>
      </tp>
      <tp t="s">
        <v/>
        <stp/>
        <stp>46678127M14:LstDate</stp>
        <tr r="J359" s="5"/>
      </tp>
      <tp t="s">
        <v/>
        <stp/>
        <stp>57409036M16:LstDate</stp>
        <tr r="J247" s="5"/>
      </tp>
      <tp t="s">
        <v/>
        <stp/>
        <stp>57179020M12:LstDate</stp>
        <tr r="J1559" s="5"/>
      </tp>
      <tp t="s">
        <v/>
        <stp/>
        <stp>46678127M15:LstDate</stp>
        <tr r="J360" s="5"/>
      </tp>
      <tp t="s">
        <v/>
        <stp/>
        <stp>57409036M15:LstDate</stp>
        <tr r="J246" s="5"/>
      </tp>
      <tp t="s">
        <v/>
        <stp/>
        <stp>57179020M11:LstDate</stp>
        <tr r="J1558" s="5"/>
      </tp>
      <tp t="s">
        <v/>
        <stp/>
        <stp>46678127M16:LstDate</stp>
        <tr r="J361" s="5"/>
      </tp>
      <tp t="s">
        <v/>
        <stp/>
        <stp>57409036M14:LstDate</stp>
        <tr r="J245" s="5"/>
      </tp>
      <tp t="s">
        <v/>
        <stp/>
        <stp>57179020M10:LstDate</stp>
        <tr r="J1557" s="5"/>
      </tp>
      <tp t="s">
        <v/>
        <stp/>
        <stp>46678127M17:LstDate</stp>
        <tr r="J362" s="5"/>
      </tp>
      <tp t="s">
        <v/>
        <stp/>
        <stp>57409036M13:LstDate</stp>
        <tr r="J244" s="5"/>
      </tp>
      <tp t="s">
        <v>Invalid Market: 57179020M17</v>
        <stp/>
        <stp>57179020M17:LstDate</stp>
        <tr r="J1564" s="5"/>
      </tp>
      <tp t="s">
        <v/>
        <stp/>
        <stp>46678127M10:LstDate</stp>
        <tr r="J355" s="5"/>
      </tp>
      <tp t="s">
        <v/>
        <stp/>
        <stp>57409036M12:LstDate</stp>
        <tr r="J243" s="5"/>
      </tp>
      <tp t="s">
        <v>Invalid Market: 57179020M16</v>
        <stp/>
        <stp>57179020M16:LstDate</stp>
        <tr r="J1563" s="5"/>
      </tp>
      <tp t="s">
        <v/>
        <stp/>
        <stp>46678127M11:LstDate</stp>
        <tr r="J356" s="5"/>
      </tp>
      <tp t="s">
        <v/>
        <stp/>
        <stp>57409036M11:LstDate</stp>
        <tr r="J242" s="5"/>
      </tp>
      <tp t="s">
        <v/>
        <stp/>
        <stp>57179020M15:LstDate</stp>
        <tr r="J1562" s="5"/>
      </tp>
      <tp t="s">
        <v/>
        <stp/>
        <stp>46678127M12:LstDate</stp>
        <tr r="J357" s="5"/>
      </tp>
      <tp t="s">
        <v/>
        <stp/>
        <stp>57409036M10:LstDate</stp>
        <tr r="J241" s="5"/>
      </tp>
      <tp t="s">
        <v/>
        <stp/>
        <stp>57179020M14:LstDate</stp>
        <tr r="J1561" s="5"/>
      </tp>
      <tp t="s">
        <v/>
        <stp/>
        <stp>46678127M13:LstDate</stp>
        <tr r="J358" s="5"/>
      </tp>
      <tp t="s">
        <v>Invalid Market: 57179020M23</v>
        <stp/>
        <stp>57179020M23:LstDate</stp>
        <tr r="J1570" s="5"/>
      </tp>
      <tp t="s">
        <v/>
        <stp/>
        <stp>46678127M24:LstDate</stp>
        <tr r="J369" s="5"/>
      </tp>
      <tp t="s">
        <v>Invalid Market: 57179020M22</v>
        <stp/>
        <stp>57179020M22:LstDate</stp>
        <tr r="J1569" s="5"/>
      </tp>
      <tp t="s">
        <v>Invalid Market: 57179020M21</v>
        <stp/>
        <stp>57179020M21:LstDate</stp>
        <tr r="J1568" s="5"/>
      </tp>
      <tp t="s">
        <v/>
        <stp/>
        <stp>57409036M24:LstDate</stp>
        <tr r="J255" s="5"/>
      </tp>
      <tp t="s">
        <v>Invalid Market: 57179020M20</v>
        <stp/>
        <stp>57179020M20:LstDate</stp>
        <tr r="J1567" s="5"/>
      </tp>
      <tp t="s">
        <v/>
        <stp/>
        <stp>57409036M23:LstDate</stp>
        <tr r="J254" s="5"/>
      </tp>
      <tp t="s">
        <v/>
        <stp/>
        <stp>46678127M20:LstDate</stp>
        <tr r="J365" s="5"/>
      </tp>
      <tp t="s">
        <v/>
        <stp/>
        <stp>57409036M22:LstDate</stp>
        <tr r="J253" s="5"/>
      </tp>
      <tp t="s">
        <v/>
        <stp/>
        <stp>46678127M21:LstDate</stp>
        <tr r="J366" s="5"/>
      </tp>
      <tp t="s">
        <v/>
        <stp/>
        <stp>57409036M21:LstDate</stp>
        <tr r="J252" s="5"/>
      </tp>
      <tp t="s">
        <v/>
        <stp/>
        <stp>46678127M22:LstDate</stp>
        <tr r="J367" s="5"/>
      </tp>
      <tp t="s">
        <v/>
        <stp/>
        <stp>57409036M20:LstDate</stp>
        <tr r="J251" s="5"/>
      </tp>
      <tp t="s">
        <v>Invalid Market: 57179020M24</v>
        <stp/>
        <stp>57179020M24:LstDate</stp>
        <tr r="J1571" s="5"/>
      </tp>
      <tp t="s">
        <v/>
        <stp/>
        <stp>46678127M23:LstDate</stp>
        <tr r="J368" s="5"/>
      </tp>
    </main>
    <main first="bofaddin.rtdserver">
      <tp t="s">
        <v>#N/A Real Time</v>
        <stp/>
        <stp>BDP|13833449469725854627|22</stp>
        <stp>QSQ6C 1300.00 Comdty</stp>
        <stp>VEGA_LAST_RT</stp>
        <tr r="I74" s="23"/>
        <tr r="I83" s="23"/>
        <tr r="I55" s="23"/>
      </tp>
    </main>
    <main first="ice.rtd">
      <tp t="s">
        <v>Jun27</v>
        <stp/>
        <stp>5162M9:Strip</stp>
        <tr r="E778" s="5"/>
      </tp>
    </main>
    <main first="bofaddin.rtdserver">
      <tp t="s">
        <v>#N/A</v>
        <stp/>
        <stp>BDP|4386230799020030838|222</stp>
        <stp>OQAJ27 Comdty</stp>
        <stp>ASK</stp>
        <stp>Fill=#N/A</stp>
        <tr r="L26" s="1"/>
      </tp>
      <tp t="s">
        <v>#N/A</v>
        <stp/>
        <stp>BDP|3965746663384586276|222</stp>
        <stp>MUCQ30 Comdty</stp>
        <stp>ASK</stp>
        <stp>Fill=#N/A</stp>
        <tr r="K66" s="1"/>
      </tp>
      <tp t="s">
        <v>#N/A</v>
        <stp/>
        <stp>BDP|8294562074867088522|222</stp>
        <stp>OQAQ27 Comdty</stp>
        <stp>BID</stp>
        <stp>Fill=#N/A</stp>
        <tr r="L30" s="1"/>
      </tp>
      <tp t="s">
        <v>#N/A</v>
        <stp/>
        <stp>BDP|3132506260607251061|222</stp>
        <stp>OQAG27 Comdty</stp>
        <stp>ASK</stp>
        <stp>Fill=#N/A</stp>
        <tr r="L24" s="1"/>
      </tp>
    </main>
    <main first="ice.rtd">
      <tp t="s">
        <v>DBI</v>
        <stp/>
        <stp>DBI1227MM24:PCC</stp>
        <tr r="B1675" s="5"/>
      </tp>
      <tp t="s">
        <v>DBI</v>
        <stp/>
        <stp>DBI1227MM25:PCC</stp>
        <tr r="B1676" s="5"/>
      </tp>
      <tp t="s">
        <v>DBI</v>
        <stp/>
        <stp>DBI1227MM26:PCC</stp>
        <tr r="B1677" s="5"/>
      </tp>
      <tp t="s">
        <v>DBI</v>
        <stp/>
        <stp>DBI1227MM27:PCC</stp>
        <tr r="B1678" s="5"/>
      </tp>
      <tp t="s">
        <v>DBI</v>
        <stp/>
        <stp>DBI1227MM20:PCC</stp>
        <tr r="B1671" s="5"/>
      </tp>
      <tp t="s">
        <v>DBI</v>
        <stp/>
        <stp>DBI1227MM21:PCC</stp>
        <tr r="B1672" s="5"/>
      </tp>
      <tp t="s">
        <v>DBI</v>
        <stp/>
        <stp>DBI1227MM22:PCC</stp>
        <tr r="B1673" s="5"/>
      </tp>
      <tp t="s">
        <v>DBI</v>
        <stp/>
        <stp>DBI1227MM23:PCC</stp>
        <tr r="B1674" s="5"/>
      </tp>
      <tp t="s">
        <v>DBI</v>
        <stp/>
        <stp>DBI1227MM14:PCC</stp>
        <tr r="B1665" s="5"/>
      </tp>
      <tp t="s">
        <v>DBI</v>
        <stp/>
        <stp>DBI1227MM15:PCC</stp>
        <tr r="B1666" s="5"/>
      </tp>
      <tp t="s">
        <v>DBI</v>
        <stp/>
        <stp>DBI1227MM16:PCC</stp>
        <tr r="B1667" s="5"/>
      </tp>
      <tp t="s">
        <v>DBI</v>
        <stp/>
        <stp>DBI1227MM17:PCC</stp>
        <tr r="B1668" s="5"/>
      </tp>
      <tp t="s">
        <v>DBI</v>
        <stp/>
        <stp>DBI1227MM10:PCC</stp>
        <tr r="B1661" s="5"/>
        <tr r="B1649" s="5"/>
      </tp>
      <tp t="s">
        <v>DBI</v>
        <stp/>
        <stp>DBI1227MM11:PCC</stp>
        <tr r="B1662" s="5"/>
      </tp>
      <tp t="s">
        <v>DBI</v>
        <stp/>
        <stp>DBI1227MM12:PCC</stp>
        <tr r="B1663" s="5"/>
      </tp>
      <tp t="s">
        <v>DBI</v>
        <stp/>
        <stp>DBI1227MM13:PCC</stp>
        <tr r="B1664" s="5"/>
      </tp>
      <tp t="s">
        <v>DBI</v>
        <stp/>
        <stp>DBI1227MM18:PCC</stp>
        <tr r="B1669" s="5"/>
      </tp>
      <tp t="s">
        <v>DBI</v>
        <stp/>
        <stp>DBI1227MM19:PCC</stp>
        <tr r="B1650" s="5"/>
        <tr r="B1670" s="5"/>
      </tp>
    </main>
    <main first="bofaddin.rtdserver">
      <tp>
        <v>78.27</v>
        <stp/>
        <stp>BDP|9653805146567221885|222</stp>
        <stp>COU7 Comdty</stp>
        <stp>BID</stp>
        <stp>Fill=#N/A</stp>
        <tr r="G31" s="1"/>
      </tp>
      <tp>
        <v>77.790000000000006</v>
        <stp/>
        <stp>BDP|6750545484173413890|222</stp>
        <stp>COX7 Comdty</stp>
        <stp>ASK</stp>
        <stp>Fill=#N/A</stp>
        <tr r="G33" s="1"/>
      </tp>
    </main>
    <main first="ice.rtd">
      <tp t="s">
        <v/>
        <stp/>
        <stp>15061297MM25:BstLiftPrc</stp>
        <tr r="H1708" s="5"/>
      </tp>
      <tp t="s">
        <v/>
        <stp/>
        <stp>15061297MM24:BstLiftPrc</stp>
        <tr r="H1707" s="5"/>
      </tp>
      <tp t="s">
        <v/>
        <stp/>
        <stp>15061297MM27:BstLiftPrc</stp>
        <tr r="H1710" s="5"/>
      </tp>
      <tp t="s">
        <v/>
        <stp/>
        <stp>15061297MM26:BstLiftPrc</stp>
        <tr r="H1709" s="5"/>
      </tp>
      <tp t="s">
        <v/>
        <stp/>
        <stp>15061297MM21:BstLiftPrc</stp>
        <tr r="H1704" s="5"/>
      </tp>
      <tp t="s">
        <v/>
        <stp/>
        <stp>15061297MM20:BstLiftPrc</stp>
        <tr r="H1703" s="5"/>
      </tp>
      <tp>
        <v>2.61</v>
        <stp/>
        <stp>15061297MM23:BstLiftPrc</stp>
        <tr r="H1706" s="5"/>
      </tp>
      <tp t="s">
        <v/>
        <stp/>
        <stp>15061297MM22:BstLiftPrc</stp>
        <tr r="H1705" s="5"/>
      </tp>
      <tp t="s">
        <v/>
        <stp/>
        <stp>15061297MM19:BstLiftPrc</stp>
        <tr r="H1702" s="5"/>
      </tp>
      <tp>
        <v>3.12</v>
        <stp/>
        <stp>15061297MM18:BstLiftPrc</stp>
        <tr r="H1701" s="5"/>
      </tp>
      <tp t="s">
        <v/>
        <stp/>
        <stp>15061297MM15:BstLiftPrc</stp>
        <tr r="H1698" s="5"/>
      </tp>
      <tp t="s">
        <v/>
        <stp/>
        <stp>15061297MM14:BstLiftPrc</stp>
        <tr r="H1697" s="5"/>
      </tp>
      <tp t="s">
        <v/>
        <stp/>
        <stp>15061297MM17:BstLiftPrc</stp>
        <tr r="H1700" s="5"/>
      </tp>
      <tp t="s">
        <v/>
        <stp/>
        <stp>15061297MM16:BstLiftPrc</stp>
        <tr r="H1699" s="5"/>
      </tp>
      <tp t="s">
        <v/>
        <stp/>
        <stp>15061297MM11:BstLiftPrc</stp>
        <tr r="H1694" s="5"/>
      </tp>
      <tp t="s">
        <v/>
        <stp/>
        <stp>15061297MM10:BstLiftPrc</stp>
        <tr r="H1693" s="5"/>
      </tp>
      <tp t="s">
        <v/>
        <stp/>
        <stp>15061297MM13:BstLiftPrc</stp>
        <tr r="H1696" s="5"/>
      </tp>
      <tp t="s">
        <v/>
        <stp/>
        <stp>15061297MM12:BstLiftPrc</stp>
        <tr r="H1695" s="5"/>
      </tp>
    </main>
    <main first="bofaddin.rtdserver">
      <tp t="s">
        <v>#N/A Real Time</v>
        <stp/>
        <stp>BDP|18411043488959976992|22</stp>
        <stp>COQ6P 85.00 Comdty</stp>
        <stp>GAMMA_MID_RT</stp>
        <tr r="F73" s="23"/>
        <tr r="F82" s="23"/>
        <tr r="F52" s="23"/>
        <tr r="F54" s="23"/>
      </tp>
      <tp t="s">
        <v>#N/A Real Time</v>
        <stp/>
        <stp>BDP|14962234254401856912|22</stp>
        <stp>COU6P 70.00 Comdty</stp>
        <stp>GAMMA_MID_RT</stp>
        <tr r="B73" s="23"/>
        <tr r="B54" s="23"/>
        <tr r="B82" s="23"/>
        <tr r="B52" s="23"/>
      </tp>
    </main>
    <main first="esrtd">
      <tp t="s">
        <v/>
        <stp/>
        <stp>TDL Q3!-IEU</stp>
        <stp>Ask</stp>
        <tr r="H1845" s="5"/>
      </tp>
      <tp t="s">
        <v/>
        <stp/>
        <stp>TDL Q2!-IEU</stp>
        <stp>Ask</stp>
        <tr r="H1844" s="5"/>
      </tp>
      <tp t="s">
        <v/>
        <stp/>
        <stp>TDL Q1!-IEU</stp>
        <stp>Ask</stp>
        <tr r="H1843" s="5"/>
      </tp>
      <tp t="s">
        <v/>
        <stp/>
        <stp>TDL Q4!-IEU</stp>
        <stp>Ask</stp>
        <tr r="H1846" s="5"/>
      </tp>
    </main>
    <main first="ice.rtd">
      <tp t="s">
        <v>Apr28</v>
        <stp/>
        <stp>266M19:Strip</stp>
        <tr r="E940" s="5"/>
      </tp>
    </main>
    <main first="esrtd">
      <tp t="s">
        <v/>
        <stp/>
        <stp>WNS Q3!-IEU</stp>
        <stp>Bid</stp>
        <tr r="G1880" s="5"/>
      </tp>
      <tp t="s">
        <v/>
        <stp/>
        <stp>WHK Q4!-IEU</stp>
        <stp>Bid</stp>
        <tr r="G1951" s="5"/>
      </tp>
      <tp t="s">
        <v/>
        <stp/>
        <stp>WMJ Q1!-IEU</stp>
        <stp>Bid</stp>
        <tr r="G1913" s="5"/>
      </tp>
      <tp t="s">
        <v/>
        <stp/>
        <stp>WNS Q2!-IEU</stp>
        <stp>Bid</stp>
        <tr r="G1879" s="5"/>
      </tp>
      <tp t="s">
        <v/>
        <stp/>
        <stp>WMJ Q2!-IEU</stp>
        <stp>Bid</stp>
        <tr r="G1914" s="5"/>
      </tp>
      <tp t="s">
        <v/>
        <stp/>
        <stp>WNS Q1!-IEU</stp>
        <stp>Bid</stp>
        <tr r="G1878" s="5"/>
      </tp>
      <tp t="s">
        <v/>
        <stp/>
        <stp>WMJ Q3!-IEU</stp>
        <stp>Bid</stp>
        <tr r="G1915" s="5"/>
      </tp>
      <tp t="s">
        <v/>
        <stp/>
        <stp>WHK Q1!-IEU</stp>
        <stp>Bid</stp>
        <tr r="G1948" s="5"/>
      </tp>
      <tp t="s">
        <v/>
        <stp/>
        <stp>WMJ Q4!-IEU</stp>
        <stp>Bid</stp>
        <tr r="G1916" s="5"/>
      </tp>
    </main>
    <main first="ice.rtd">
      <tp>
        <v>2.4450000000000074</v>
        <stp/>
        <stp>3016030250BM0:Settle</stp>
        <tr r="U1682" s="5"/>
      </tp>
    </main>
    <main first="esrtd">
      <tp t="s">
        <v/>
        <stp/>
        <stp>WHK Q3!-IEU</stp>
        <stp>Bid</stp>
        <tr r="G1950" s="5"/>
      </tp>
      <tp t="s">
        <v/>
        <stp/>
        <stp>WHK Q2!-IEU</stp>
        <stp>Bid</stp>
        <tr r="G1949" s="5"/>
      </tp>
      <tp t="s">
        <v/>
        <stp/>
        <stp>WNS Q4!-IEU</stp>
        <stp>Bid</stp>
        <tr r="G1881" s="5"/>
      </tp>
      <tp t="s">
        <v/>
        <stp/>
        <stp>WDF Q1!-IEU</stp>
        <stp>Bid</stp>
        <tr r="G1808" s="5"/>
      </tp>
      <tp t="s">
        <v/>
        <stp/>
        <stp>WDF Q3!-IEU</stp>
        <stp>Bid</stp>
        <tr r="G1810" s="5"/>
      </tp>
      <tp t="s">
        <v/>
        <stp/>
        <stp>WDF Q2!-IEU</stp>
        <stp>Bid</stp>
        <tr r="G1809" s="5"/>
      </tp>
      <tp t="s">
        <v/>
        <stp/>
        <stp>WDF Q4!-IEU</stp>
        <stp>Bid</stp>
        <tr r="G1811" s="5"/>
      </tp>
    </main>
    <main first="bofaddin.rtdserver">
      <tp t="s">
        <v>#N/A</v>
        <stp/>
        <stp>BDP|2296297407252107159|222</stp>
        <stp>MUCM30 Comdty</stp>
        <stp>ASK</stp>
        <stp>Fill=#N/A</stp>
        <tr r="K64" s="1"/>
      </tp>
      <tp t="s">
        <v>#N/A</v>
        <stp/>
        <stp>BDP|2772709547286384747|222</stp>
        <stp>OQAK28 Comdty</stp>
        <stp>ASK</stp>
        <stp>Fill=#N/A</stp>
        <tr r="L39" s="1"/>
      </tp>
      <tp>
        <v>108.15</v>
        <stp/>
        <stp>BDP|7299380702743317532|222</stp>
        <stp>MUCX26 Comdty</stp>
        <stp>ASK</stp>
        <stp>Fill=#N/A</stp>
        <tr r="K21" s="1"/>
      </tp>
      <tp t="s">
        <v>#N/A</v>
        <stp/>
        <stp>BDP|5387201930315163117|222</stp>
        <stp>OQAK29 Comdty</stp>
        <stp>ASK</stp>
        <stp>Fill=#N/A</stp>
        <tr r="L51" s="1"/>
      </tp>
      <tp t="s">
        <v>#N/A</v>
        <stp/>
        <stp>BDP|5882586553373031833|222</stp>
        <stp>OQAJ30 Comdty</stp>
        <stp>BID</stp>
        <stp>Fill=#N/A</stp>
        <tr r="L62" s="1"/>
      </tp>
      <tp t="s">
        <v>#N/A</v>
        <stp/>
        <stp>BDP|6669651611887266656|222</stp>
        <stp>OQAZ27 Comdty</stp>
        <stp>ASK</stp>
        <stp>Fill=#N/A</stp>
        <tr r="L34" s="1"/>
      </tp>
    </main>
    <main first="esrtd">
      <tp t="s">
        <v/>
        <stp/>
        <stp>AIR B0-IEU</stp>
        <stp>ICE Theoretical Price</stp>
        <tr r="W344" s="5"/>
      </tp>
    </main>
    <main first="bofaddin.rtdserver">
      <tp t="s">
        <v>#N/A</v>
        <stp/>
        <stp>BDP|2606593406244385775|222</stp>
        <stp>HOU9 Comdty</stp>
        <stp>ASK</stp>
        <stp>Fill=#N/A</stp>
        <tr r="I55" s="1"/>
      </tp>
      <tp t="s">
        <v>#N/A Invalid Security</v>
        <stp/>
        <stp>BDP|2345528262533094423|222</stp>
        <stp>CLZ8 Comdty</stp>
        <stp>ASK</stp>
        <stp>Fill=#N/A</stp>
        <tr r="F46" s="1"/>
      </tp>
      <tp>
        <v>85</v>
        <stp/>
        <stp>BDP|2989964680798738324|222</stp>
        <stp>CLZ6 Comdty</stp>
        <stp>BID</stp>
        <stp>Fill=#N/A</stp>
        <tr r="F22" s="1"/>
      </tp>
      <tp>
        <v>77.760000000000005</v>
        <stp/>
        <stp>BDP|3319531218764654352|222</stp>
        <stp>COV7 Comdty</stp>
        <stp>BID</stp>
        <stp>Fill=#N/A</stp>
        <tr r="G32" s="1"/>
      </tp>
      <tp t="s">
        <v>#N/A Invalid Security</v>
        <stp/>
        <stp>BDP|3456411103569224560|222</stp>
        <stp>CLU8 Comdty</stp>
        <stp>BID</stp>
        <stp>Fill=#N/A</stp>
        <tr r="F43" s="1"/>
      </tp>
      <tp>
        <v>73.569999999999993</v>
        <stp/>
        <stp>BDP|9951322791948626320|222</stp>
        <stp>COZ8 Comdty</stp>
        <stp>BID</stp>
        <stp>Fill=#N/A</stp>
        <tr r="G46" s="1"/>
      </tp>
      <tp t="s">
        <v>#N/A</v>
        <stp/>
        <stp>BDP|5195155977716587640|222</stp>
        <stp>HOU9 Comdty</stp>
        <stp>BID</stp>
        <stp>Fill=#N/A</stp>
        <tr r="I55" s="1"/>
      </tp>
      <tp>
        <v>782.5</v>
        <stp/>
        <stp>BDP|9369958887379268158|222</stp>
        <stp>QSU9 Comdty</stp>
        <stp>BID</stp>
        <stp>Fill=#N/A</stp>
        <tr r="H55" s="1"/>
      </tp>
    </main>
    <main first="esrtd">
      <tp t="s">
        <v/>
        <stp/>
        <stp>TDL Q4!-IEU</stp>
        <stp>Block Price</stp>
        <tr r="K1846" s="5"/>
      </tp>
      <tp t="s">
        <v/>
        <stp/>
        <stp>TDL Q3!-IEU</stp>
        <stp>Block Price</stp>
        <tr r="K1845" s="5"/>
      </tp>
      <tp t="s">
        <v/>
        <stp/>
        <stp>TDL Q2!-IEU</stp>
        <stp>Block Price</stp>
        <tr r="K1844" s="5"/>
      </tp>
      <tp t="s">
        <v/>
        <stp/>
        <stp>TDL Q1!-IEU</stp>
        <stp>Block Price</stp>
        <tr r="K1843" s="5"/>
      </tp>
    </main>
    <main first="ice.rtd">
      <tp t="s">
        <v>Mar28</v>
        <stp/>
        <stp>266M18:Strip</stp>
        <tr r="E939" s="5"/>
      </tp>
    </main>
    <main first="bofaddin.rtdserver">
      <tp t="s">
        <v>#N/A</v>
        <stp/>
        <stp>BDP|8387297365931624191|222</stp>
        <stp>MUCQ29 Comdty</stp>
        <stp>BID</stp>
        <stp>Fill=#N/A</stp>
        <tr r="K54" s="1"/>
      </tp>
      <tp t="s">
        <v>#N/A</v>
        <stp/>
        <stp>BDP|9461980079592663785|222</stp>
        <stp>MUCH30 Comdty</stp>
        <stp>ASK</stp>
        <stp>Fill=#N/A</stp>
        <tr r="K61" s="1"/>
      </tp>
    </main>
    <main first="esrtd">
      <tp t="s">
        <v/>
        <stp/>
        <stp>MHF B0-IEU</stp>
        <stp>ICE Theoretical Price</stp>
        <tr r="W1110" s="5"/>
      </tp>
      <tp t="s">
        <v/>
        <stp/>
        <stp>BRN 26VP10750-ICE</stp>
        <stp>OldSetIV</stp>
        <tr r="AH185" s="23"/>
      </tp>
      <tp t="s">
        <v/>
        <stp/>
        <stp>MHE B0-IEU</stp>
        <stp>ICE Theoretical Price</stp>
        <tr r="W996" s="5"/>
      </tp>
    </main>
    <main first="bofaddin.rtdserver">
      <tp t="s">
        <v>#N/A</v>
        <stp/>
        <stp>BDP|5913218312262787718|222</stp>
        <stp>MUCK28 Comdty</stp>
        <stp>ASK</stp>
        <stp>Fill=#N/A</stp>
        <tr r="K39" s="1"/>
      </tp>
      <tp t="s">
        <v>#N/A Invalid Security</v>
        <stp/>
        <stp>BDP|8716276067563247156|222</stp>
        <stp>COZ9 Comdty</stp>
        <stp>ASK</stp>
        <stp>Fill=#N/A</stp>
        <tr r="G58" s="1"/>
      </tp>
      <tp>
        <v>71.319999999999993</v>
        <stp/>
        <stp>BDP|2135806826625669548|222</stp>
        <stp>CLX7 Comdty</stp>
        <stp>BID</stp>
        <stp>Fill=#N/A</stp>
        <tr r="F33" s="1"/>
      </tp>
      <tp t="s">
        <v>#N/A Invalid Security</v>
        <stp/>
        <stp>BDP|3291353257592224291|222</stp>
        <stp>COV9 Comdty</stp>
        <stp>ASK</stp>
        <stp>Fill=#N/A</stp>
        <tr r="G56" s="1"/>
      </tp>
      <tp t="s">
        <v>#N/A</v>
        <stp/>
        <stp>BDP|3152761131898084444|222</stp>
        <stp>XBU9 Comdty</stp>
        <stp>BID</stp>
        <stp>Fill=#N/A</stp>
        <tr r="J55" s="1"/>
      </tp>
      <tp t="s">
        <v>#N/A</v>
        <stp/>
        <stp>BDP|4312292101697815226|222</stp>
        <stp>XBX8 Comdty</stp>
        <stp>ASK</stp>
        <stp>Fill=#N/A</stp>
        <tr r="J45" s="1"/>
      </tp>
      <tp>
        <v>852.75</v>
        <stp/>
        <stp>BDP|7318761513779144178|222</stp>
        <stp>QSQ8 Comdty</stp>
        <stp>ASK</stp>
        <stp>Fill=#N/A</stp>
        <tr r="H42" s="1"/>
      </tp>
      <tp t="s">
        <v>#N/A Invalid Security</v>
        <stp/>
        <stp>BDP|4449659023112355254|222</stp>
        <stp>CLX8 Comdty</stp>
        <stp>BID</stp>
        <stp>Fill=#N/A</stp>
        <tr r="F45" s="1"/>
      </tp>
      <tp>
        <v>448.42</v>
        <stp/>
        <stp>BDP|6281147259821113304|222</stp>
        <stp>HOX6 Comdty</stp>
        <stp>ASK</stp>
        <stp>Fill=#N/A</stp>
        <tr r="I21" s="1"/>
      </tp>
      <tp t="s">
        <v>#N/A Invalid Security</v>
        <stp/>
        <stp>BDP|64304032522261996|222</stp>
        <stp>SCPK29 Comdty</stp>
        <stp>ASK</stp>
        <stp>Fill=#N/A</stp>
        <tr r="M51" s="1"/>
      </tp>
    </main>
    <main first="esrtd">
      <tp t="s">
        <v/>
        <stp/>
        <stp>WHK Q3!-IEU</stp>
        <stp>Block Price</stp>
        <tr r="K1950" s="5"/>
      </tp>
      <tp t="s">
        <v/>
        <stp/>
        <stp>WNS Q4!-IEU</stp>
        <stp>Block Price</stp>
        <tr r="K1881" s="5"/>
      </tp>
      <tp t="s">
        <v/>
        <stp/>
        <stp>WHK Q2!-IEU</stp>
        <stp>Block Price</stp>
        <tr r="K1949" s="5"/>
      </tp>
      <tp t="s">
        <v/>
        <stp/>
        <stp>WHK Q1!-IEU</stp>
        <stp>Block Price</stp>
        <tr r="K1948" s="5"/>
      </tp>
      <tp t="s">
        <v/>
        <stp/>
        <stp>WMJ Q4!-IEU</stp>
        <stp>Block Price</stp>
        <tr r="K1916" s="5"/>
      </tp>
      <tp t="s">
        <v/>
        <stp/>
        <stp>WNS Q1!-IEU</stp>
        <stp>Block Price</stp>
        <tr r="K1878" s="5"/>
      </tp>
      <tp t="s">
        <v/>
        <stp/>
        <stp>WMJ Q2!-IEU</stp>
        <stp>Block Price</stp>
        <tr r="K1914" s="5"/>
      </tp>
      <tp t="s">
        <v/>
        <stp/>
        <stp>WMJ Q3!-IEU</stp>
        <stp>Block Price</stp>
        <tr r="K1915" s="5"/>
      </tp>
      <tp t="s">
        <v/>
        <stp/>
        <stp>WNS Q3!-IEU</stp>
        <stp>Block Price</stp>
        <tr r="K1880" s="5"/>
      </tp>
      <tp t="s">
        <v/>
        <stp/>
        <stp>WNS Q2!-IEU</stp>
        <stp>Block Price</stp>
        <tr r="K1879" s="5"/>
      </tp>
      <tp t="s">
        <v/>
        <stp/>
        <stp>WHK Q4!-IEU</stp>
        <stp>Block Price</stp>
        <tr r="K1951" s="5"/>
      </tp>
      <tp t="s">
        <v/>
        <stp/>
        <stp>WMJ Q1!-IEU</stp>
        <stp>Block Price</stp>
        <tr r="K1913" s="5"/>
      </tp>
      <tp t="s">
        <v/>
        <stp/>
        <stp>WDF Q4!-IEU</stp>
        <stp>Block Price</stp>
        <tr r="K1811" s="5"/>
      </tp>
      <tp t="s">
        <v/>
        <stp/>
        <stp>WDF Q3!-IEU</stp>
        <stp>Block Price</stp>
        <tr r="K1810" s="5"/>
      </tp>
      <tp t="s">
        <v/>
        <stp/>
        <stp>WDF Q2!-IEU</stp>
        <stp>Block Price</stp>
        <tr r="K1809" s="5"/>
      </tp>
      <tp t="s">
        <v/>
        <stp/>
        <stp>WDF Q1!-IEU</stp>
        <stp>Block Price</stp>
        <tr r="K1808" s="5"/>
      </tp>
      <tp t="s">
        <v/>
        <stp/>
        <stp>WNS 9!-IEU</stp>
        <stp>Volume</stp>
        <tr r="N1856" s="5"/>
      </tp>
      <tp t="s">
        <v/>
        <stp/>
        <stp>WNS 8!-IEU</stp>
        <stp>Volume</stp>
        <tr r="N1855" s="5"/>
      </tp>
      <tp t="s">
        <v/>
        <stp/>
        <stp>WNS 1!-IEU</stp>
        <stp>Volume</stp>
        <tr r="N1848" s="5"/>
      </tp>
      <tp t="s">
        <v/>
        <stp/>
        <stp>WNS 3!-IEU</stp>
        <stp>Volume</stp>
        <tr r="N1850" s="5"/>
      </tp>
      <tp t="s">
        <v/>
        <stp/>
        <stp>WNS 2!-IEU</stp>
        <stp>Volume</stp>
        <tr r="N1849" s="5"/>
      </tp>
      <tp t="s">
        <v/>
        <stp/>
        <stp>WNS 5!-IEU</stp>
        <stp>Volume</stp>
        <tr r="N1852" s="5"/>
      </tp>
      <tp t="s">
        <v/>
        <stp/>
        <stp>WNS 4!-IEU</stp>
        <stp>Volume</stp>
        <tr r="N1851" s="5"/>
      </tp>
      <tp t="s">
        <v/>
        <stp/>
        <stp>WNS 7!-IEU</stp>
        <stp>Volume</stp>
        <tr r="N1854" s="5"/>
      </tp>
      <tp t="s">
        <v/>
        <stp/>
        <stp>WNS 6!-IEU</stp>
        <stp>Volume</stp>
        <tr r="N1853" s="5"/>
      </tp>
    </main>
    <main first="ice.rtd">
      <tp t="s">
        <v/>
        <stp/>
        <stp>266419M4:LstPrc</stp>
        <tr r="I963" s="5"/>
      </tp>
      <tp t="s">
        <v/>
        <stp/>
        <stp>266419M5:LstPrc</stp>
        <tr r="I964" s="5"/>
      </tp>
      <tp t="s">
        <v/>
        <stp/>
        <stp>266419M6:LstPrc</stp>
        <tr r="I965" s="5"/>
      </tp>
      <tp t="s">
        <v/>
        <stp/>
        <stp>266419M7:LstPrc</stp>
        <tr r="I966" s="5"/>
      </tp>
      <tp t="s">
        <v/>
        <stp/>
        <stp>266419M0:LstPrc</stp>
        <tr r="I959" s="5"/>
      </tp>
      <tp t="s">
        <v/>
        <stp/>
        <stp>266419M1:LstPrc</stp>
        <tr r="I960" s="5"/>
      </tp>
      <tp t="s">
        <v/>
        <stp/>
        <stp>266419M2:LstPrc</stp>
        <tr r="I961" s="5"/>
      </tp>
      <tp t="s">
        <v/>
        <stp/>
        <stp>266419M3:LstPrc</stp>
        <tr r="I962" s="5"/>
      </tp>
      <tp t="s">
        <v/>
        <stp/>
        <stp>266419M8:LstPrc</stp>
        <tr r="I967" s="5"/>
      </tp>
      <tp t="s">
        <v/>
        <stp/>
        <stp>266419M9:LstPrc</stp>
        <tr r="I968" s="5"/>
      </tp>
      <tp t="s">
        <v/>
        <stp/>
        <stp>266419Y0:LstPrc</stp>
        <tr r="I993" s="5"/>
      </tp>
      <tp t="s">
        <v/>
        <stp/>
        <stp>266419Y1:LstPrc</stp>
        <tr r="I994" s="5"/>
      </tp>
      <tp t="s">
        <v/>
        <stp/>
        <stp>266419Y2:LstPrc</stp>
        <tr r="I995" s="5"/>
      </tp>
      <tp t="s">
        <v/>
        <stp/>
        <stp>266419Q4:LstPrc</stp>
        <tr r="I988" s="5"/>
      </tp>
      <tp t="s">
        <v/>
        <stp/>
        <stp>266419Q5:LstPrc</stp>
        <tr r="I989" s="5"/>
      </tp>
      <tp t="s">
        <v/>
        <stp/>
        <stp>266419Q6:LstPrc</stp>
        <tr r="I990" s="5"/>
      </tp>
      <tp t="s">
        <v/>
        <stp/>
        <stp>266419Q7:LstPrc</stp>
        <tr r="I991" s="5"/>
      </tp>
      <tp t="s">
        <v/>
        <stp/>
        <stp>266419Q0:LstPrc</stp>
        <tr r="I984" s="5"/>
      </tp>
      <tp t="s">
        <v/>
        <stp/>
        <stp>266419Q1:LstPrc</stp>
        <tr r="I985" s="5"/>
      </tp>
      <tp t="s">
        <v/>
        <stp/>
        <stp>266419Q2:LstPrc</stp>
        <tr r="I986" s="5"/>
      </tp>
      <tp t="s">
        <v/>
        <stp/>
        <stp>266419Q3:LstPrc</stp>
        <tr r="I987" s="5"/>
      </tp>
      <tp t="s">
        <v/>
        <stp/>
        <stp>266419Q8:LstPrc</stp>
        <tr r="I992" s="5"/>
      </tp>
      <tp t="s">
        <v>Q4 28</v>
        <stp/>
        <stp>1517Q8:Strip</stp>
        <tr r="E36" s="5"/>
      </tp>
      <tp t="s">
        <v>May27</v>
        <stp/>
        <stp>1517M8:Strip</stp>
        <tr r="E11" s="5"/>
      </tp>
      <tp>
        <v>0</v>
        <stp/>
        <stp>DBJ29446BM0:Vol</stp>
        <tr r="N1647" s="5"/>
      </tp>
      <tp>
        <v>-1.5370000000000001</v>
        <stp/>
        <stp>1581618115M14:Settle</stp>
        <tr r="U473" s="5"/>
      </tp>
      <tp>
        <v>-8.0910000000000011</v>
        <stp/>
        <stp>1581618115M11:Settle</stp>
        <tr r="U470" s="5"/>
      </tp>
      <tp>
        <v>-8.6020000000000003</v>
        <stp/>
        <stp>1581618115M10:Settle</stp>
        <tr r="U469" s="5"/>
      </tp>
      <tp>
        <v>-3.3080000000000003</v>
        <stp/>
        <stp>1581618115M13:Settle</stp>
        <tr r="U472" s="5"/>
      </tp>
      <tp>
        <v>-7.12</v>
        <stp/>
        <stp>1581618115M12:Settle</stp>
        <tr r="U471" s="5"/>
      </tp>
      <tp t="s">
        <v>Invalid Market: CALCM19</v>
        <stp/>
        <stp>CALCM19:LstBlkVol</stp>
        <tr r="L1358" s="5"/>
        <tr r="L1206" s="5"/>
      </tp>
      <tp>
        <v>12.555800000000001</v>
        <stp/>
        <stp>2427026287M21:Settle</stp>
        <tr r="U1170" s="5"/>
      </tp>
      <tp>
        <v>12.6501</v>
        <stp/>
        <stp>2427026287M20:Settle</stp>
        <tr r="U1169" s="5"/>
      </tp>
      <tp>
        <v>12.493600000000001</v>
        <stp/>
        <stp>2427026287M23:Settle</stp>
        <tr r="U1172" s="5"/>
      </tp>
      <tp>
        <v>12.530200000000001</v>
        <stp/>
        <stp>2427026287M22:Settle</stp>
        <tr r="U1171" s="5"/>
      </tp>
      <tp>
        <v>12.419700000000001</v>
        <stp/>
        <stp>2427026287M24:Settle</stp>
        <tr r="U1173" s="5"/>
      </tp>
      <tp>
        <v>12.7285</v>
        <stp/>
        <stp>2427026287M19:Settle</stp>
        <tr r="U1168" s="5"/>
      </tp>
      <tp>
        <v>12.799800000000001</v>
        <stp/>
        <stp>2427026287M18:Settle</stp>
        <tr r="U1167" s="5"/>
      </tp>
      <tp>
        <v>14.1455</v>
        <stp/>
        <stp>2427026287M11:Settle</stp>
        <tr r="U1160" s="5"/>
      </tp>
      <tp>
        <v>14.395900000000001</v>
        <stp/>
        <stp>2427026287M10:Settle</stp>
        <tr r="U1159" s="5"/>
      </tp>
      <tp>
        <v>13.606900000000001</v>
        <stp/>
        <stp>2427026287M13:Settle</stp>
        <tr r="U1162" s="5"/>
      </tp>
      <tp>
        <v>13.875500000000001</v>
        <stp/>
        <stp>2427026287M12:Settle</stp>
        <tr r="U1161" s="5"/>
      </tp>
      <tp>
        <v>13.009500000000001</v>
        <stp/>
        <stp>2427026287M15:Settle</stp>
        <tr r="U1164" s="5"/>
      </tp>
      <tp>
        <v>13.3162</v>
        <stp/>
        <stp>2427026287M14:Settle</stp>
        <tr r="U1163" s="5"/>
      </tp>
      <tp>
        <v>12.856100000000001</v>
        <stp/>
        <stp>2427026287M17:Settle</stp>
        <tr r="U1166" s="5"/>
      </tp>
      <tp>
        <v>12.9015</v>
        <stp/>
        <stp>2427026287M16:Settle</stp>
        <tr r="U1165" s="5"/>
      </tp>
    </main>
    <main first="bofaddin.rtdserver">
      <tp t="s">
        <v>#N/A</v>
        <stp/>
        <stp>BDP|1348203328106257795|222</stp>
        <stp>MUCN29 Comdty</stp>
        <stp>ASK</stp>
        <stp>Fill=#N/A</stp>
        <tr r="K53" s="1"/>
      </tp>
      <tp t="s">
        <v>#N/A</v>
        <stp/>
        <stp>BDP|8087506412865415606|222</stp>
        <stp>MUCK29 Comdty</stp>
        <stp>BID</stp>
        <stp>Fill=#N/A</stp>
        <tr r="K51" s="1"/>
      </tp>
      <tp t="s">
        <v>#N/A</v>
        <stp/>
        <stp>BDP|9026269883263250242|222</stp>
        <stp>OQAH27 Comdty</stp>
        <stp>ASK</stp>
        <stp>Fill=#N/A</stp>
        <tr r="L25" s="1"/>
      </tp>
      <tp t="s">
        <v>#N/A</v>
        <stp/>
        <stp>BDP|6467425051949467145|222</stp>
        <stp>MUCV27 Comdty</stp>
        <stp>BID</stp>
        <stp>Fill=#N/A</stp>
        <tr r="K32" s="1"/>
      </tp>
      <tp t="s">
        <v>#N/A</v>
        <stp/>
        <stp>BDP|7013914157050731708|222</stp>
        <stp>OQAK30 Comdty</stp>
        <stp>BID</stp>
        <stp>Fill=#N/A</stp>
        <tr r="L63" s="1"/>
      </tp>
      <tp t="s">
        <v>#N/A</v>
        <stp/>
        <stp>BDP|8670844756499874154|222</stp>
        <stp>OQAX29 Comdty</stp>
        <stp>BID</stp>
        <stp>Fill=#N/A</stp>
        <tr r="L57" s="1"/>
      </tp>
    </main>
    <main first="esrtd">
      <tp t="s">
        <v/>
        <stp/>
        <stp>SKS B0-IEU</stp>
        <stp>ICE Theoretical Price</stp>
        <tr r="W882" s="5"/>
      </tp>
    </main>
    <main first="bofaddin.rtdserver">
      <tp>
        <v>960.25</v>
        <stp/>
        <stp>BDP|9712460800064352615|222</stp>
        <stp>QSU7 Comdty</stp>
        <stp>BID</stp>
        <stp>Fill=#N/A</stp>
        <tr r="H31" s="1"/>
      </tp>
      <tp t="s">
        <v>#N/A</v>
        <stp/>
        <stp>BDP|1582499319547103698|222</stp>
        <stp>HOX9 Comdty</stp>
        <stp>BID</stp>
        <stp>Fill=#N/A</stp>
        <tr r="I57" s="1"/>
      </tp>
      <tp t="s">
        <v>#N/A</v>
        <stp/>
        <stp>BDP|6391119241232264715|222</stp>
        <stp>HOZ9 Comdty</stp>
        <stp>ASK</stp>
        <stp>Fill=#N/A</stp>
        <tr r="I58" s="1"/>
      </tp>
    </main>
    <main first="ice.rtd">
      <tp t="s">
        <v/>
        <stp/>
        <stp>266419M15:LstDate</stp>
        <tr r="J974" s="5"/>
      </tp>
      <tp t="s">
        <v/>
        <stp/>
        <stp>266419M14:LstDate</stp>
        <tr r="J973" s="5"/>
      </tp>
      <tp t="s">
        <v/>
        <stp/>
        <stp>266419M17:LstDate</stp>
        <tr r="J976" s="5"/>
      </tp>
      <tp t="s">
        <v/>
        <stp/>
        <stp>266419M16:LstDate</stp>
        <tr r="J975" s="5"/>
      </tp>
      <tp t="s">
        <v/>
        <stp/>
        <stp>266419M11:LstDate</stp>
        <tr r="J970" s="5"/>
      </tp>
      <tp t="s">
        <v/>
        <stp/>
        <stp>266419M10:LstDate</stp>
        <tr r="J969" s="5"/>
      </tp>
      <tp t="s">
        <v/>
        <stp/>
        <stp>266419M13:LstDate</stp>
        <tr r="J972" s="5"/>
      </tp>
      <tp t="s">
        <v/>
        <stp/>
        <stp>266419M12:LstDate</stp>
        <tr r="J971" s="5"/>
      </tp>
      <tp t="s">
        <v/>
        <stp/>
        <stp>266419M19:LstDate</stp>
        <tr r="J978" s="5"/>
      </tp>
      <tp t="s">
        <v/>
        <stp/>
        <stp>266419M18:LstDate</stp>
        <tr r="J977" s="5"/>
      </tp>
    </main>
    <main first="bofaddin.rtdserver">
      <tp t="s">
        <v>#N/A</v>
        <stp/>
        <stp>BDP|4823824903371027894|222</stp>
        <stp>HOX8 Comdty</stp>
        <stp>ASK</stp>
        <stp>Fill=#N/A</stp>
        <tr r="I45" s="1"/>
      </tp>
    </main>
    <main first="ice.rtd">
      <tp t="s">
        <v/>
        <stp/>
        <stp>266419M24:LstDate</stp>
        <tr r="J983" s="5"/>
      </tp>
      <tp t="s">
        <v/>
        <stp/>
        <stp>266419M21:LstDate</stp>
        <tr r="J980" s="5"/>
      </tp>
      <tp t="s">
        <v/>
        <stp/>
        <stp>266419M20:LstDate</stp>
        <tr r="J979" s="5"/>
      </tp>
      <tp t="s">
        <v/>
        <stp/>
        <stp>266419M23:LstDate</stp>
        <tr r="J982" s="5"/>
      </tp>
      <tp t="s">
        <v/>
        <stp/>
        <stp>266419M22:LstDate</stp>
        <tr r="J981" s="5"/>
      </tp>
    </main>
    <main first="bofaddin.rtdserver">
      <tp t="s">
        <v>#N/A Real Time</v>
        <stp/>
        <stp>BDP|706580369561914866|22</stp>
        <stp>QSQ6C 1500.00 Comdty</stp>
        <stp>THETA_LAST_RT</stp>
        <tr r="J77" s="23"/>
        <tr r="J86" s="23"/>
        <tr r="J58" s="23"/>
      </tp>
    </main>
    <main first="esrtd">
      <tp t="s">
        <v/>
        <stp/>
        <stp>WDF Q3!-IEU</stp>
        <stp>Ask</stp>
        <tr r="H1810" s="5"/>
      </tp>
      <tp t="s">
        <v/>
        <stp/>
        <stp>WDF Q2!-IEU</stp>
        <stp>Ask</stp>
        <tr r="H1809" s="5"/>
      </tp>
      <tp t="s">
        <v/>
        <stp/>
        <stp>WDF Q1!-IEU</stp>
        <stp>Ask</stp>
        <tr r="H1808" s="5"/>
      </tp>
      <tp t="s">
        <v/>
        <stp/>
        <stp>WDF Q4!-IEU</stp>
        <stp>Ask</stp>
        <tr r="H1811" s="5"/>
      </tp>
      <tp t="s">
        <v/>
        <stp/>
        <stp>WMJ Q2!-IEU</stp>
        <stp>Ask</stp>
        <tr r="H1914" s="5"/>
      </tp>
      <tp t="s">
        <v/>
        <stp/>
        <stp>WNS Q1!-IEU</stp>
        <stp>Ask</stp>
        <tr r="H1878" s="5"/>
      </tp>
      <tp t="s">
        <v/>
        <stp/>
        <stp>WMJ Q3!-IEU</stp>
        <stp>Ask</stp>
        <tr r="H1915" s="5"/>
      </tp>
      <tp t="s">
        <v/>
        <stp/>
        <stp>WNS Q3!-IEU</stp>
        <stp>Ask</stp>
        <tr r="H1880" s="5"/>
      </tp>
    </main>
    <main first="ice.rtd">
      <tp t="s">
        <v>Jun27</v>
        <stp/>
        <stp>1517M9:Strip</stp>
        <tr r="E12" s="5"/>
      </tp>
    </main>
    <main first="esrtd">
      <tp t="s">
        <v/>
        <stp/>
        <stp>WMJ Q1!-IEU</stp>
        <stp>Ask</stp>
        <tr r="H1913" s="5"/>
      </tp>
      <tp t="s">
        <v/>
        <stp/>
        <stp>WHK Q4!-IEU</stp>
        <stp>Ask</stp>
        <tr r="H1951" s="5"/>
      </tp>
      <tp t="s">
        <v/>
        <stp/>
        <stp>WNS Q2!-IEU</stp>
        <stp>Ask</stp>
        <tr r="H1879" s="5"/>
      </tp>
      <tp t="s">
        <v/>
        <stp/>
        <stp>WHK Q3!-IEU</stp>
        <stp>Ask</stp>
        <tr r="H1950" s="5"/>
      </tp>
      <tp t="s">
        <v/>
        <stp/>
        <stp>WHK Q2!-IEU</stp>
        <stp>Ask</stp>
        <tr r="H1949" s="5"/>
      </tp>
      <tp t="s">
        <v/>
        <stp/>
        <stp>WNS Q4!-IEU</stp>
        <stp>Ask</stp>
        <tr r="H1881" s="5"/>
      </tp>
      <tp t="s">
        <v/>
        <stp/>
        <stp>WMJ Q4!-IEU</stp>
        <stp>Ask</stp>
        <tr r="H1916" s="5"/>
      </tp>
      <tp t="s">
        <v/>
        <stp/>
        <stp>WHK Q1!-IEU</stp>
        <stp>Ask</stp>
        <tr r="H1948" s="5"/>
      </tp>
      <tp t="s">
        <v/>
        <stp/>
        <stp>TDL Q1!-IEU</stp>
        <stp>Bid</stp>
        <tr r="G1843" s="5"/>
      </tp>
      <tp t="s">
        <v/>
        <stp/>
        <stp>TDL Q3!-IEU</stp>
        <stp>Bid</stp>
        <tr r="G1845" s="5"/>
      </tp>
      <tp t="s">
        <v/>
        <stp/>
        <stp>TDL Q2!-IEU</stp>
        <stp>Bid</stp>
        <tr r="G1844" s="5"/>
      </tp>
      <tp t="s">
        <v/>
        <stp/>
        <stp>TDL Q4!-IEU</stp>
        <stp>Bid</stp>
        <tr r="G1846" s="5"/>
      </tp>
    </main>
    <main first="ice.rtd">
      <tp t="s">
        <v>Invalid Market: CALCM18</v>
        <stp/>
        <stp>CALCM18:LstBlkVol</stp>
        <tr r="L1205" s="5"/>
        <tr r="L1357" s="5"/>
      </tp>
    </main>
    <main first="bofaddin.rtdserver">
      <tp t="s">
        <v>#N/A</v>
        <stp/>
        <stp>BDP|3226700388628456593|222</stp>
        <stp>MUCZ27 Comdty</stp>
        <stp>ASK</stp>
        <stp>Fill=#N/A</stp>
        <tr r="K34" s="1"/>
      </tp>
      <tp t="s">
        <v>#N/A</v>
        <stp/>
        <stp>BDP|4874923138615017954|222</stp>
        <stp>OQAN30 Comdty</stp>
        <stp>ASK</stp>
        <stp>Fill=#N/A</stp>
        <tr r="L65" s="1"/>
      </tp>
      <tp t="s">
        <v>#N/A</v>
        <stp/>
        <stp>BDP|2481962336093176502|222</stp>
        <stp>MUCK27 Comdty</stp>
        <stp>BID</stp>
        <stp>Fill=#N/A</stp>
        <tr r="K27" s="1"/>
      </tp>
    </main>
    <main first="ice.rtd">
      <tp t="s">
        <v/>
        <stp/>
        <stp>366531MM6:LstDate</stp>
        <tr r="J1721" s="5"/>
      </tp>
      <tp t="s">
        <v/>
        <stp/>
        <stp>366531MM7:LstDate</stp>
        <tr r="J1722" s="5"/>
      </tp>
      <tp t="s">
        <v/>
        <stp/>
        <stp>366531MM4:LstDate</stp>
        <tr r="J1719" s="5"/>
      </tp>
      <tp t="s">
        <v/>
        <stp/>
        <stp>366531MM5:LstDate</stp>
        <tr r="J1720" s="5"/>
      </tp>
      <tp t="s">
        <v/>
        <stp/>
        <stp>366531MM2:LstDate</stp>
        <tr r="J1717" s="5"/>
      </tp>
      <tp t="s">
        <v/>
        <stp/>
        <stp>366531MM3:LstDate</stp>
        <tr r="J1718" s="5"/>
      </tp>
      <tp t="s">
        <v/>
        <stp/>
        <stp>366531MM0:LstDate</stp>
        <tr r="J1715" s="5"/>
      </tp>
      <tp t="s">
        <v/>
        <stp/>
        <stp>366531MM1:LstDate</stp>
        <tr r="J1716" s="5"/>
      </tp>
      <tp t="s">
        <v/>
        <stp/>
        <stp>366531MM8:LstDate</stp>
        <tr r="J1723" s="5"/>
      </tp>
      <tp t="s">
        <v/>
        <stp/>
        <stp>366531MM9:LstDate</stp>
        <tr r="J1724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76200</xdr:rowOff>
        </xdr:from>
        <xdr:to>
          <xdr:col>25</xdr:col>
          <xdr:colOff>190500</xdr:colOff>
          <xdr:row>9</xdr:row>
          <xdr:rowOff>85725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E-mail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3</xdr:row>
          <xdr:rowOff>66675</xdr:rowOff>
        </xdr:from>
        <xdr:to>
          <xdr:col>14</xdr:col>
          <xdr:colOff>200025</xdr:colOff>
          <xdr:row>6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Make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</xdr:row>
          <xdr:rowOff>9525</xdr:rowOff>
        </xdr:from>
        <xdr:to>
          <xdr:col>20</xdr:col>
          <xdr:colOff>38100</xdr:colOff>
          <xdr:row>5</xdr:row>
          <xdr:rowOff>95250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Make PDF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D7CBF8-8C00-41D9-B2FF-5A9DD5C9992E}" name="Pos_PnL" displayName="Pos_PnL" ref="A69:H84" totalsRowCount="1" headerRowDxfId="240" dataDxfId="239">
  <autoFilter ref="A69:H83" xr:uid="{24D7CBF8-8C00-41D9-B2FF-5A9DD5C9992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CAE8972-F171-4879-AA62-1053EBF57F71}" name="Index" totalsRowLabel="Total" dataDxfId="238" totalsRowDxfId="237"/>
    <tableColumn id="2" xr3:uid="{EA69A491-048D-4EC5-933A-F34B21FA0730}" name="Month" dataDxfId="236" totalsRowDxfId="235"/>
    <tableColumn id="3" xr3:uid="{0339C74A-0775-48C2-873A-76439E4DF729}" name="Lots" dataDxfId="234" totalsRowDxfId="233"/>
    <tableColumn id="4" xr3:uid="{E9D72AF7-95E2-4089-8ADC-9409824A6317}" name="Entry" dataDxfId="232" totalsRowDxfId="231"/>
    <tableColumn id="6" xr3:uid="{A3C83DE8-46F0-480E-ADCE-22D8004C8676}" name="Previous" dataDxfId="230" totalsRowDxfId="229"/>
    <tableColumn id="5" xr3:uid="{03DE1D69-3C0C-49F3-970A-2E90231A71B9}" name="Live" dataDxfId="228" totalsRowDxfId="227"/>
    <tableColumn id="8" xr3:uid="{1A9EBF91-2DF4-483A-8222-061BDDE913D5}" name="YtD" totalsRowFunction="sum" dataDxfId="226" totalsRowDxfId="4"/>
    <tableColumn id="7" xr3:uid="{623024A0-2046-4364-B194-1BC7446D8764}" name="Daily" totalsRowFunction="sum" dataDxfId="225" totalsRow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4AE8198-3F01-4EF0-A0C2-4DDA3A9F3CD4}" name="New_PnL" displayName="New_PnL" ref="A55:F66" totalsRowCount="1" headerRowDxfId="224" dataDxfId="223">
  <autoFilter ref="A55:F65" xr:uid="{84AE8198-3F01-4EF0-A0C2-4DDA3A9F3CD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349F88C-8CCC-40AB-8FA1-E9EFF03EC31B}" name="Index" totalsRowLabel="Total" dataDxfId="222" totalsRowDxfId="221"/>
    <tableColumn id="2" xr3:uid="{A31235B7-4FEB-4211-B235-620E43FD339C}" name="Month" dataDxfId="220" totalsRowDxfId="219"/>
    <tableColumn id="3" xr3:uid="{D588126D-6638-408A-986A-585486049FDC}" name="Lots" dataDxfId="218" totalsRowDxfId="217"/>
    <tableColumn id="4" xr3:uid="{88C32368-1032-46CA-A5DF-4E84BF1A2436}" name="Entry" dataDxfId="216" totalsRowDxfId="215"/>
    <tableColumn id="5" xr3:uid="{832719E3-18C7-4561-955A-8E34D5480C9C}" name="Live" dataDxfId="214" totalsRowDxfId="213">
      <calculatedColumnFormula>Futs!$BM$21</calculatedColumnFormula>
    </tableColumn>
    <tableColumn id="7" xr3:uid="{1D3E84BE-2B2E-4D74-86BA-855D4217E901}" name="Daily" totalsRowFunction="sum" dataDxfId="212" totalsRow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2A864E-FEF1-4152-A6CC-C2DF84C5CC15}" name="Summary_PnL" displayName="Summary_PnL" ref="A4:C8" totalsRowCount="1" headerRowDxfId="211" dataDxfId="210">
  <autoFilter ref="A4:C7" xr:uid="{002A864E-FEF1-4152-A6CC-C2DF84C5CC15}">
    <filterColumn colId="0" hiddenButton="1"/>
    <filterColumn colId="1" hiddenButton="1"/>
    <filterColumn colId="2" hiddenButton="1"/>
  </autoFilter>
  <tableColumns count="3">
    <tableColumn id="1" xr3:uid="{28977BE3-349F-49AE-B5F5-B9FDA2F6B9EC}" name="Item" totalsRowLabel="Total" dataDxfId="209" totalsRowDxfId="208"/>
    <tableColumn id="4" xr3:uid="{4C7895B5-417B-411D-995D-E9212CE5E02B}" name="YtD " totalsRowFunction="sum" dataDxfId="207" totalsRowDxfId="6"/>
    <tableColumn id="5" xr3:uid="{B7D6F9B1-3E30-4B1A-9BD2-6409A1629D1F}" name="Daily" totalsRowFunction="sum" dataDxfId="206" totalsRow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BB3DD5-6D0F-4F9C-94C1-86D699AE5E98}" name="Risk_Metrics" displayName="Risk_Metrics" ref="A28:D52" headerRowDxfId="205" dataDxfId="204">
  <autoFilter ref="A28:D52" xr:uid="{2DBB3DD5-6D0F-4F9C-94C1-86D699AE5E98}">
    <filterColumn colId="0" hiddenButton="1"/>
    <filterColumn colId="1" hiddenButton="1"/>
    <filterColumn colId="2" hiddenButton="1"/>
    <filterColumn colId="3" hiddenButton="1"/>
  </autoFilter>
  <tableColumns count="4">
    <tableColumn id="1" xr3:uid="{7270799E-FA1C-4192-B5AE-D56AC3A767FA}" name="Metric" totalsRowLabel="Total" dataDxfId="203" totalsRowDxfId="202"/>
    <tableColumn id="4" xr3:uid="{8D2964A9-D5E6-4ACD-BF8D-0E8F1988841B}" name="SoD" totalsRowFunction="sum" dataDxfId="201" totalsRowDxfId="200"/>
    <tableColumn id="2" xr3:uid="{B1AF7813-7B31-4D56-9FF2-DE89E264ADAD}" name="Live" dataDxfId="199"/>
    <tableColumn id="3" xr3:uid="{E5CAD2B8-CFD1-4FBB-BA37-78A661B4215A}" name="Chg" dataDxfId="198">
      <calculatedColumnFormula>Risk_Metrics[[#This Row],[Live]]-Risk_Metrics[[#This Row],[SoD]]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FA22E08-E78F-40D3-9260-8CBFEE8F9226}" name="Table16" displayName="Table16" ref="F4:H47" totalsRowShown="0" headerRowDxfId="197" tableBorderDxfId="196">
  <autoFilter ref="F4:H47" xr:uid="{7FA22E08-E78F-40D3-9260-8CBFEE8F9226}">
    <filterColumn colId="0" hiddenButton="1"/>
    <filterColumn colId="1" hiddenButton="1"/>
    <filterColumn colId="2" hiddenButton="1"/>
  </autoFilter>
  <tableColumns count="3">
    <tableColumn id="1" xr3:uid="{FD31CE53-763A-477B-A691-9114FDB7181B}" name="Index" dataDxfId="195"/>
    <tableColumn id="2" xr3:uid="{4F24BFB7-17AA-4C9A-9D6A-ECDFAFB6AD90}" name="Price" dataDxfId="194"/>
    <tableColumn id="3" xr3:uid="{B1138A0E-610A-4E0A-B98F-B18887BC6C77}" name="Chg" dataDxfId="19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4993D20-8EA8-4DE1-9DA4-411DE22240B0}" name="Table17" displayName="Table17" ref="A11:B25" totalsRowShown="0" headerRowDxfId="192">
  <autoFilter ref="A11:B25" xr:uid="{74993D20-8EA8-4DE1-9DA4-411DE22240B0}">
    <filterColumn colId="0" hiddenButton="1"/>
    <filterColumn colId="1" hiddenButton="1"/>
  </autoFilter>
  <tableColumns count="2">
    <tableColumn id="1" xr3:uid="{66436092-F481-4534-A83F-E5B53F305F34}" name="Component" dataDxfId="191"/>
    <tableColumn id="2" xr3:uid="{7F403C41-5813-4981-8EEE-0964AED1FFF7}" name="Daily" dataDxfId="1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C91B2B-038D-4A93-875D-EE634A18CC6F}" name="Pos_PnL_Mgmt" displayName="Pos_PnL_Mgmt" ref="A87:H102" totalsRowCount="1" headerRowDxfId="189" dataDxfId="188" totalsRowDxfId="187">
  <autoFilter ref="A87:H101" xr:uid="{22C91B2B-038D-4A93-875D-EE634A18CC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8C85A2A-61A2-4FA6-9AB2-15B132646D50}" name="Index" totalsRowLabel="Total" dataDxfId="186" totalsRowDxfId="185"/>
    <tableColumn id="2" xr3:uid="{BD8CC772-40A4-4365-A520-EFFC71A8A2B0}" name="Month" dataDxfId="184" totalsRowDxfId="183"/>
    <tableColumn id="3" xr3:uid="{BF2D3757-A1EB-4E46-8C0B-880561B604D1}" name="Lots" dataDxfId="182" totalsRowDxfId="181"/>
    <tableColumn id="4" xr3:uid="{1802DF01-C804-4973-B8F9-DA7615B5A734}" name="Entry" dataDxfId="180" totalsRowDxfId="179"/>
    <tableColumn id="6" xr3:uid="{AD0DDC91-E5E6-4B89-B891-6F172077BC9A}" name="Previous" dataDxfId="178" totalsRowDxfId="177"/>
    <tableColumn id="5" xr3:uid="{A5716CD4-FEE7-4C70-B52F-8C93711E69D6}" name="Live" dataDxfId="176" totalsRowDxfId="175"/>
    <tableColumn id="8" xr3:uid="{E3D3A4EC-AC94-4840-B323-E3CF1551AFDC}" name="YtD" totalsRowFunction="sum" dataDxfId="174" totalsRowDxfId="2"/>
    <tableColumn id="7" xr3:uid="{21BD7E2B-CE39-44EF-A7B8-D764FCFC9028}" name="Daily" totalsRowFunction="sum" dataDxfId="173" totalsRow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9D90AEE-9C90-47A9-948C-E4877907B909}" name="Options" displayName="Options" ref="AB4:AR208" totalsRowShown="0" headerRowDxfId="172" dataDxfId="171">
  <autoFilter ref="AB4:AR208" xr:uid="{E9D90AEE-9C90-47A9-948C-E4877907B909}"/>
  <tableColumns count="17">
    <tableColumn id="1" xr3:uid="{AA0E1D51-925B-4B58-97DF-5F78D74C8425}" name="Index" dataDxfId="170"/>
    <tableColumn id="2" xr3:uid="{6C6902EC-4B98-46CA-9FFA-DC12507CB87D}" name="Month" dataDxfId="169"/>
    <tableColumn id="14" xr3:uid="{5F19FDD8-158F-4A57-A400-9CA78D266B94}" name="P-Ticker" dataDxfId="168">
      <calculatedColumnFormula>IF(Options[[#This Row],[Index]] = "BRN", "CO", "CL") &amp; RIGHT(Options[[#This Row],[Month]], 1) &amp; MID(Options[[#This Row],[Month]], 2, 1) &amp; "P" &amp; " " &amp; TEXT(Options[[#This Row],[Strike]], "00.00") &amp; " Comdty"</calculatedColumnFormula>
    </tableColumn>
    <tableColumn id="16" xr3:uid="{0A88970B-981D-4F95-84CB-A4BC57D8DEA0}" name="C-Ticker" dataDxfId="167">
      <calculatedColumnFormula>IF(Options[[#This Row],[Index]] = "BRN", "CO", "CL") &amp; RIGHT(Options[[#This Row],[Month]], 1) &amp; MID(Options[[#This Row],[Month]], 2, 1) &amp; "C" &amp; " " &amp; TEXT(Options[[#This Row],[Strike]], "00.00") &amp; " Comdty"</calculatedColumnFormula>
    </tableColumn>
    <tableColumn id="15" xr3:uid="{FF025EE6-A31E-41B1-A257-EF1E111D151C}" name="P-Delta Set" dataDxfId="166">
      <calculatedColumnFormula array="1">ABS(_xll.BDP(Options[[#This Row],[P-Ticker]], "OPT_DELTA_YEST"))*100</calculatedColumnFormula>
    </tableColumn>
    <tableColumn id="4" xr3:uid="{729C4F2C-2EC0-497F-B018-39A8E7F03F8D}" name="P-Settle" dataDxfId="165">
      <calculatedColumnFormula>IFERROR(ABS(RTD("esrtd",,Options[[#This Row],[Index]] &amp; " " &amp; Options[[#This Row],[Month]] &amp; "P" &amp; $AL5*100 &amp; "-ICE", "OldSettlement")), "")</calculatedColumnFormula>
    </tableColumn>
    <tableColumn id="6" xr3:uid="{E63B78D6-6933-4C3C-A365-708985A79532}" name="P-Vol Set" dataDxfId="164">
      <calculatedColumnFormula>IFERROR(ABS(RTD("esrtd",,Options[[#This Row],[Index]] &amp; " " &amp; Options[[#This Row],[Month]] &amp; "P" &amp; $AL5*100 &amp; "-ICE", "OldSetIV"))*100, "")</calculatedColumnFormula>
    </tableColumn>
    <tableColumn id="3" xr3:uid="{A90DEF93-8C72-44AF-8263-8F258DF8D445}" name="P-Delta" dataDxfId="163">
      <calculatedColumnFormula>IFERROR(ABS(RTD("esrtd",,Options[[#This Row],[Index]] &amp; " " &amp; Options[[#This Row],[Month]] &amp; "P" &amp; $AL5*100 &amp; "-ICE", "Delta"))*100, "")</calculatedColumnFormula>
    </tableColumn>
    <tableColumn id="5" xr3:uid="{A62D8B33-FE97-4184-BB48-933F8C1DC89A}" name="P-Market" dataDxfId="162">
      <calculatedColumnFormula>IFERROR(ABS(RTD("esrtd",,Options[[#This Row],[Index]] &amp; " " &amp; Options[[#This Row],[Month]] &amp; "P" &amp; $AL5*100 &amp; "-ICE", "Market")), "")</calculatedColumnFormula>
    </tableColumn>
    <tableColumn id="7" xr3:uid="{C1407C56-02F2-4BF9-9B1D-C9316D2BD2EB}" name="P-Vol" dataDxfId="161">
      <calculatedColumnFormula>IFERROR(ABS(RTD("esrtd",,Options[[#This Row],[Index]] &amp; " " &amp; Options[[#This Row],[Month]] &amp; "P" &amp; $AL5*100 &amp; "-ICE", "ImpVol"))*100, "")</calculatedColumnFormula>
    </tableColumn>
    <tableColumn id="8" xr3:uid="{3A2F3631-00C9-4C69-A184-63CB4E6AC64B}" name="Strike" dataDxfId="160">
      <calculatedColumnFormula>AL4+1</calculatedColumnFormula>
    </tableColumn>
    <tableColumn id="18" xr3:uid="{33C23438-9003-43A6-A210-4345A68BA9B0}" name="C-Delta Set" dataDxfId="159">
      <calculatedColumnFormula>ABS(_xll.BDP(Options[[#This Row],[C-Ticker]], "OPT_DELTA_YEST"))*100</calculatedColumnFormula>
    </tableColumn>
    <tableColumn id="10" xr3:uid="{FA7B9FE4-AC9D-43B8-84FB-2B25B2F7A465}" name="C-Settle" dataDxfId="158">
      <calculatedColumnFormula>IFERROR(ABS(RTD("esrtd",,Options[[#This Row],[Index]] &amp; " " &amp; Options[[#This Row],[Month]] &amp; "C" &amp; $AL5*100 &amp; "-ICE", "OldSettlement")), "")</calculatedColumnFormula>
    </tableColumn>
    <tableColumn id="12" xr3:uid="{48B66E66-EE7D-4FE9-AD36-C58E7A3B3741}" name="C-Vol Set" dataDxfId="157">
      <calculatedColumnFormula>IFERROR(ABS(RTD("esrtd",,Options[[#This Row],[Index]] &amp; " " &amp; Options[[#This Row],[Month]] &amp; "C" &amp; $AL5*100 &amp; "-ICE", "OldSetIV"))*100, "")</calculatedColumnFormula>
    </tableColumn>
    <tableColumn id="9" xr3:uid="{7CD65708-9F42-40C8-8C07-73AB47C59DF8}" name="C-Delta" dataDxfId="156">
      <calculatedColumnFormula>IFERROR(ABS(RTD("esrtd",,Options[[#This Row],[Index]] &amp; " " &amp; Options[[#This Row],[Month]] &amp; "C" &amp; $AL5*100 &amp; "-ICE", "Delta"))*100, "")</calculatedColumnFormula>
    </tableColumn>
    <tableColumn id="11" xr3:uid="{DBFECF22-4460-4960-8EF8-14D88E5CEC39}" name="C-Market" dataDxfId="155">
      <calculatedColumnFormula>IFERROR(ABS(RTD("esrtd",,Options[[#This Row],[Index]] &amp; " " &amp; Options[[#This Row],[Month]] &amp; "C" &amp; $AL5*100 &amp; "-ICE", "Market")), "")</calculatedColumnFormula>
    </tableColumn>
    <tableColumn id="13" xr3:uid="{5A78A908-70BA-42DC-B69E-0BC852E4309B}" name="C-Vol" dataDxfId="154">
      <calculatedColumnFormula>IFERROR(ABS(RTD("esrtd",,Options[[#This Row],[Index]] &amp; " " &amp; Options[[#This Row],[Month]] &amp; "C" &amp; $AL5*100 &amp; "-ICE", "ImpVol"))*100, 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4547712-BA8C-4FAB-B694-116AADE599C5}" name="Table13" displayName="Table13" ref="A2:J1448" totalsRowShown="0" headerRowDxfId="258" dataDxfId="257">
  <autoFilter ref="A2:J1448" xr:uid="{74547712-BA8C-4FAB-B694-116AADE599C5}"/>
  <tableColumns count="10">
    <tableColumn id="1" xr3:uid="{0AD09062-081B-42DB-B665-CA7222A71C7E}" name="Day" dataDxfId="256"/>
    <tableColumn id="10" xr3:uid="{1A18955C-0AF8-44C6-9ED0-C81F83635CC5}" name="Year" dataDxfId="255"/>
    <tableColumn id="6" xr3:uid="{A103E54C-9435-48A7-9360-2BE4BF7C6D33}" name="Broker" dataDxfId="254"/>
    <tableColumn id="2" xr3:uid="{DFDE6D10-B0DE-485C-B404-5F12CC05D9CE}" name="Index" dataDxfId="253"/>
    <tableColumn id="3" xr3:uid="{9A099A19-C425-4286-A119-B209219BA309}" name="Month" dataDxfId="252"/>
    <tableColumn id="4" xr3:uid="{876BF657-F3AD-43C0-98C6-ED0C041D4E11}" name="Lots" dataDxfId="251"/>
    <tableColumn id="5" xr3:uid="{38143BD9-2F94-4F55-89D6-9701DE8882BA}" name="Price" dataDxfId="250"/>
    <tableColumn id="7" xr3:uid="{0CC50698-6238-45D5-B769-DC2F06DB52F1}" name="Book" dataDxfId="249"/>
    <tableColumn id="8" xr3:uid="{FEC0F89F-2A26-4445-848A-533A809A6991}" name="Trader" dataDxfId="248"/>
    <tableColumn id="9" xr3:uid="{5167718F-914F-4D69-8290-4AC3552339A7}" name="Commission" dataDxfId="247">
      <calculatedColumnFormula>IFERROR(INDEX(Table19[], MATCH(Table13[[#This Row],[Broker]]&amp;"_"&amp;Table13[[#This Row],[Index]], Table19[Key],0), MATCH("Commission", Table19[#Headers], 0)) * ABS(Table13[[#This Row],[Lots]]), "")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F574F0A-32C4-4FA3-8C60-2EAF4AEB7C0A}" name="Table19" displayName="Table19" ref="L1:O27" totalsRowShown="0" headerRowDxfId="246" dataDxfId="245">
  <autoFilter ref="L1:O27" xr:uid="{2F574F0A-32C4-4FA3-8C60-2EAF4AEB7C0A}"/>
  <sortState xmlns:xlrd2="http://schemas.microsoft.com/office/spreadsheetml/2017/richdata2" ref="L2:O23">
    <sortCondition ref="L1:L23"/>
  </sortState>
  <tableColumns count="4">
    <tableColumn id="1" xr3:uid="{082DA53D-C448-408D-8A29-E98E4F84B330}" name="Broker" dataDxfId="244"/>
    <tableColumn id="2" xr3:uid="{D5864680-BB88-4937-AF52-818FC0180CB2}" name="Product" dataDxfId="243"/>
    <tableColumn id="4" xr3:uid="{AEF2D5AA-49E1-4539-83F1-94130B7D6CB2}" name="Key" dataDxfId="242">
      <calculatedColumnFormula>Table19[[#This Row],[Broker]]&amp;"_"&amp;Table19[[#This Row],[Product]]</calculatedColumnFormula>
    </tableColumn>
    <tableColumn id="3" xr3:uid="{81B272D3-251A-4595-B275-9EAE4978C98C}" name="Commission" dataDxfId="24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FD2C56F-B19A-464B-9105-DDF0704D1696}" name="Table15" displayName="Table15" ref="A2:M306" totalsRowShown="0" headerRowDxfId="153" dataDxfId="152" tableBorderDxfId="151">
  <autoFilter ref="A2:M306" xr:uid="{0FD2C56F-B19A-464B-9105-DDF0704D16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D62864A5-0F78-494C-9201-BDF290C4B71E}" name="Date" dataDxfId="150"/>
    <tableColumn id="19" xr3:uid="{128E6A20-542C-4276-9DE2-A7E355E03B5E}" name="days" dataDxfId="149"/>
    <tableColumn id="2" xr3:uid="{9AB955F5-8CED-470F-905F-26C214616C48}" name="pnl_est" dataDxfId="148"/>
    <tableColumn id="11" xr3:uid="{D1F4E333-E06D-4339-88AC-DD0F5055B3A1}" name="pnl_official" dataDxfId="147"/>
    <tableColumn id="10" xr3:uid="{C5F78B22-00B8-4A7A-8873-75D551B95302}" name="pnl_ym" dataDxfId="146"/>
    <tableColumn id="9" xr3:uid="{E0054CDA-3A41-4B0D-891B-CEA2AE96363D}" name="pnl_am" dataDxfId="145"/>
    <tableColumn id="3" xr3:uid="{96456194-274A-445D-B825-A82C4D052AAE}" name="daily_est" dataDxfId="144"/>
    <tableColumn id="12" xr3:uid="{938BED65-D142-4C0D-ADAA-90BFB336B093}" name="daily_official" dataDxfId="143"/>
    <tableColumn id="4" xr3:uid="{0B6ED3C7-42A0-4A07-87DB-AF234D169D15}" name="std_actual" dataDxfId="142"/>
    <tableColumn id="13" xr3:uid="{4A052624-C21C-4BC2-896E-7156F9A0B1D9}" name="diff" dataDxfId="141">
      <calculatedColumnFormula>Table15[[#This Row],[pnl_official]]-Table15[[#This Row],[pnl_est]]</calculatedColumnFormula>
    </tableColumn>
    <tableColumn id="14" xr3:uid="{0B916587-10F6-45F0-BBC1-E56D0E040499}" name="split" dataDxfId="140">
      <calculatedColumnFormula>Table15[[#This Row],[pnl_ym]]/Table15[[#This Row],[pnl_am]]</calculatedColumnFormula>
    </tableColumn>
    <tableColumn id="5" xr3:uid="{12A403DB-DF18-4B21-9457-AF8EDD6D8BDE}" name="dd_peak" dataDxfId="139">
      <calculatedColumnFormula>IF(Table15[[#This Row],[pnl_official]]&lt;&gt;"", Table15[[#This Row],[pnl_official]]-MAX($D$3:$D3), NA())</calculatedColumnFormula>
    </tableColumn>
    <tableColumn id="7" xr3:uid="{AD94181C-4C75-4717-A9B8-340E04C80CDD}" name="dd_zero" dataDxfId="13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AA0E-60C2-4953-B662-1589E97FC8A1}" name="ICE" displayName="ICE" ref="A1:X2089" totalsRowShown="0" headerRowDxfId="85" dataDxfId="84">
  <autoFilter ref="A1:X2089" xr:uid="{C8ADAA0E-60C2-4953-B662-1589E97FC8A1}"/>
  <tableColumns count="24">
    <tableColumn id="19" xr3:uid="{CE1EA423-615D-404A-B761-FC7B79727E53}" name="Prod" dataDxfId="83"/>
    <tableColumn id="6" xr3:uid="{17BB86EB-DAAD-4437-9FA8-9D7C2D77478E}" name="PCC" dataDxfId="82"/>
    <tableColumn id="1" xr3:uid="{1FB5395E-D7F4-4483-8077-002B1371986C}" name="Code" dataDxfId="81"/>
    <tableColumn id="2" xr3:uid="{CD1A6166-FB45-438D-A3B0-93FBC50F83BA}" name="Tenor"/>
    <tableColumn id="20" xr3:uid="{AFB73AE0-1905-40D3-9203-A58A87AAF387}" name="Strip" dataDxfId="80">
      <calculatedColumnFormula>RTD("ice.rtd",,$C2 &amp; $D2 &amp; ":" &amp; E$1)</calculatedColumnFormula>
    </tableColumn>
    <tableColumn id="28" xr3:uid="{D6DE7641-6470-4747-8EF2-57C0D7F25194}" name="LongCode" dataDxfId="79">
      <calculatedColumnFormula>ICE[[#This Row],[Prod]]&amp;ICE[[#This Row],[Strip]]</calculatedColumnFormula>
    </tableColumn>
    <tableColumn id="4" xr3:uid="{A5E23393-C0F0-40C4-A0F7-F6A639B030C4}" name="BstHitPrc" dataDxfId="78">
      <calculatedColumnFormula>RTD("ice.rtd",,$C2 &amp; $D2 &amp; ":" &amp; G$1)</calculatedColumnFormula>
    </tableColumn>
    <tableColumn id="5" xr3:uid="{2678D674-2052-4444-9600-E9CB312CB8E3}" name="BstLiftPrc" dataDxfId="77">
      <calculatedColumnFormula>RTD("ice.rtd",,$C2 &amp; $D2 &amp; ":" &amp; H$1)</calculatedColumnFormula>
    </tableColumn>
    <tableColumn id="7" xr3:uid="{59E9074F-AE4F-4907-AFA5-1DC4694F4CBC}" name="LstPrc" dataDxfId="76">
      <calculatedColumnFormula>RTD("ice.rtd",,$C2 &amp; $D2 &amp; ":" &amp; I$1)</calculatedColumnFormula>
    </tableColumn>
    <tableColumn id="9" xr3:uid="{FBDA6DA8-15AD-4BB9-B9E7-727F3E710596}" name="LstDate" dataDxfId="75">
      <calculatedColumnFormula>IFERROR(MOD(RTD("ice.rtd",,$C2 &amp; $D2 &amp; ":" &amp; J$1), 1), "")</calculatedColumnFormula>
    </tableColumn>
    <tableColumn id="11" xr3:uid="{61F89DCB-456A-438A-8AEF-AA2FD8DD553F}" name="LstBlkPrc" dataDxfId="74">
      <calculatedColumnFormula>RTD("ice.rtd",,$C2 &amp; $D2 &amp; ":" &amp; K$1)</calculatedColumnFormula>
    </tableColumn>
    <tableColumn id="12" xr3:uid="{BA0BD66A-F466-4615-BF6D-3D9B30D16CFC}" name="LstBlkVol" dataDxfId="73">
      <calculatedColumnFormula>RTD("ice.rtd",,$C2 &amp; $D2 &amp; ":" &amp; L$1)</calculatedColumnFormula>
    </tableColumn>
    <tableColumn id="13" xr3:uid="{2B2B65AA-FD8A-4288-830F-4C195B837794}" name="LstBlkTime" dataDxfId="72">
      <calculatedColumnFormula>IFERROR(MOD(TIMEVALUE(RTD("ice.rtd",,$C2 &amp; $D2 &amp; ":" &amp; M$1)), 1), "")</calculatedColumnFormula>
    </tableColumn>
    <tableColumn id="14" xr3:uid="{28DA1EF0-C2FE-4731-83FD-1E53C43B9F2D}" name="Vol" dataDxfId="71">
      <calculatedColumnFormula>RTD("ice.rtd",,$C2 &amp; $D2 &amp; ":" &amp; N$1)</calculatedColumnFormula>
    </tableColumn>
    <tableColumn id="15" xr3:uid="{A1B94A95-558F-4941-AECD-62B3A438EA21}" name="BlkVol" dataDxfId="70">
      <calculatedColumnFormula>RTD("ice.rtd",,$C2 &amp; $D2 &amp; ":" &amp; O$1)</calculatedColumnFormula>
    </tableColumn>
    <tableColumn id="25" xr3:uid="{683ACECB-EAFF-4F1D-B659-923C9833425E}" name="LastType" dataDxfId="69">
      <calculatedColumnFormula>IF(OR(ISNUMBER(ICE[[#This Row],[LstDate]]), ISNUMBER(ICE[[#This Row],[LstBlkTime]])), IF(IF(ISNUMBER(ICE[[#This Row],[LstDate]]), ICE[[#This Row],[LstDate]], 0) &gt; IF(ISNUMBER(ICE[[#This Row],[LstBlkTime]]), ICE[[#This Row],[LstBlkTime]], 0), "Scrn", "Blk"), "")</calculatedColumnFormula>
    </tableColumn>
    <tableColumn id="23" xr3:uid="{C6D3DD56-655D-4459-94D7-0A39B082C7E6}" name="LastTime" dataDxfId="68">
      <calculatedColumnFormula>IF(ICE[[#This Row],[LastType]] = "Scrn", ICE[[#This Row],[LstDate]], IF(ICE[[#This Row],[LastType]] = "Blk", ICE[[#This Row],[LstBlkTime]], ""))</calculatedColumnFormula>
    </tableColumn>
    <tableColumn id="24" xr3:uid="{A48915E4-E240-4304-AD86-EF08A434E736}" name="LastPrice" dataDxfId="67">
      <calculatedColumnFormula>IF(ICE[[#This Row],[LastType]] = "Scrn", ICE[[#This Row],[LstPrc]], IF(ICE[[#This Row],[LastType]] = "Blk", ICE[[#This Row],[LstBlkPrc]], ""))</calculatedColumnFormula>
    </tableColumn>
    <tableColumn id="21" xr3:uid="{B9F5F0C3-0705-4270-AB7B-9A4AAE39DE5D}" name="TotVol" dataDxfId="66">
      <calculatedColumnFormula>ICE[[#This Row],[Vol]]+ICE[[#This Row],[BlkVol]]</calculatedColumnFormula>
    </tableColumn>
    <tableColumn id="16" xr3:uid="{F0F42533-2F4B-4020-B83B-C33DF42B397D}" name="OI" dataDxfId="65">
      <calculatedColumnFormula>RTD("ice.rtd",,$C2 &amp; $D2 &amp; ":" &amp; T$1)</calculatedColumnFormula>
    </tableColumn>
    <tableColumn id="17" xr3:uid="{D4E20ABC-F38A-4851-BD45-5AE6D21DDDE2}" name="Settle" dataDxfId="64">
      <calculatedColumnFormula>RTD("ice.rtd",,$C2 &amp; $D2 &amp; ":" &amp; U$1)</calculatedColumnFormula>
    </tableColumn>
    <tableColumn id="18" xr3:uid="{0A8C6C53-0886-4CD4-AB66-58CD37D578B3}" name="Text" dataDxfId="63">
      <calculatedColumnFormula>IFERROR(IF(ISNUMBER(ICE[[#This Row],[BstHitPrc]]), TEXT(ICE[[#This Row],[BstHitPrc]], "0.00"), "") &amp; " / " &amp; IF(ISNUMBER(ICE[[#This Row],[BstLiftPrc]]), TEXT(ICE[[#This Row],[BstLiftPrc]], "0.00"), "") &amp; " " &amp; IF(ISNUMBER(#REF!), "{" &amp; TEXT(ICE[[#This Row],[LastPrice]], "0.00") &amp; "}", "") &amp; IF(ICE[[#This Row],[TotVol]] &gt; 0, " " &amp; "|" &amp; TEXT(ICE[[#This Row],[TotVol]], "#,##0") &amp; "x", ""), "")</calculatedColumnFormula>
    </tableColumn>
    <tableColumn id="3" xr3:uid="{365EBFFD-476E-49CA-803E-D7B6FD479ADC}" name="ICE Theoretical Price" dataDxfId="62">
      <calculatedColumnFormula>IFERROR(IF(LEFT(ICE[[#This Row],[Tenor]], 1) = "B", RTD("esrtd",,$B2 &amp; " " &amp; ICE[[#This Row],[Tenor]] &amp; "-IEU", W$1), RTD("esrtd",,$B2 &amp; " " &amp; VLOOKUP(MONTH(ICE[[#This Row],[Strip]]), MthRef[], 2, 0) &amp; RIGHT(YEAR(ICE[[#This Row],[Strip]]), 2) &amp; "-IEU", W$1)), "")</calculatedColumnFormula>
    </tableColumn>
    <tableColumn id="8" xr3:uid="{4152288C-D7FF-4415-902E-1143CA99B4A8}" name="Rolling" dataDxfId="6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867A8C-039B-4DA5-A009-06F10F75FB4F}" name="ZZSprd" displayName="ZZSprd" ref="A1:F5" totalsRowShown="0" headerRowDxfId="60">
  <autoFilter ref="A1:F5" xr:uid="{0F867A8C-039B-4DA5-A009-06F10F75FB4F}"/>
  <tableColumns count="6">
    <tableColumn id="1" xr3:uid="{77BE5AEE-3877-4E4D-92A8-B3F2C89A4A80}" name="Yr" dataDxfId="59">
      <calculatedColumnFormula>A1+1</calculatedColumnFormula>
    </tableColumn>
    <tableColumn id="2" xr3:uid="{D5F46BD5-2064-44CD-89D9-46BB043EE09C}" name="CL" dataDxfId="58">
      <calculatedColumnFormula>IFERROR(AVERAGE(_xll.BDP(B$1 &amp; "Z" &amp; RIGHT($A2 - 1, 1) &amp; B$1 &amp; "Z" &amp; RIGHT($A2, 1) &amp; " " &amp; "Comdty", "BID"), _xll.BDP(B$1 &amp; "Z" &amp; RIGHT($A2 - 1, 1) &amp; B$1 &amp; "Z" &amp; RIGHT($A2, 1) &amp; " " &amp; "Comdty", "ASK")), NA())</calculatedColumnFormula>
    </tableColumn>
    <tableColumn id="3" xr3:uid="{0F28F470-53D0-4093-9332-F366C534BE3D}" name="CO" dataDxfId="57">
      <calculatedColumnFormula>IFERROR(AVERAGE(_xll.BDP(C$1 &amp; "Z" &amp; RIGHT($A2 - 1, 1) &amp; C$1 &amp; "Z" &amp; RIGHT($A2, 1) &amp; " " &amp; "Comdty", "BID"), _xll.BDP(C$1 &amp; "Z" &amp; RIGHT($A2 - 1, 1) &amp; C$1 &amp; "Z" &amp; RIGHT($A2, 1) &amp; " " &amp; "Comdty", "ASK")), NA())</calculatedColumnFormula>
    </tableColumn>
    <tableColumn id="4" xr3:uid="{DD4BF273-CC5E-4767-BC05-5308F53FFBEA}" name="QS" dataDxfId="56">
      <calculatedColumnFormula>IFERROR(AVERAGE(_xll.BDP(D$1 &amp; "Z" &amp; RIGHT($A2 - 1, 1) &amp; D$1 &amp; "Z" &amp; RIGHT($A2, 1) &amp; " " &amp; "Comdty", "BID"), _xll.BDP(D$1 &amp; "Z" &amp; RIGHT($A2 - 1, 1) &amp; D$1 &amp; "Z" &amp; RIGHT($A2, 1) &amp; " " &amp; "Comdty", "ASK")), NA())</calculatedColumnFormula>
    </tableColumn>
    <tableColumn id="5" xr3:uid="{251CF6CC-27B8-42E9-9D8F-6365198CAD72}" name="HO" dataDxfId="55">
      <calculatedColumnFormula>IFERROR(AVERAGE(_xll.BDP(E$1 &amp; "Z" &amp; RIGHT($A2 - 1, 1) &amp; E$1 &amp; "Z" &amp; RIGHT($A2, 1) &amp; " " &amp; "Comdty", "BID"), _xll.BDP(E$1 &amp; "Z" &amp; RIGHT($A2 - 1, 1) &amp; E$1 &amp; "Z" &amp; RIGHT($A2, 1) &amp; " " &amp; "Comdty", "ASK")), NA())</calculatedColumnFormula>
    </tableColumn>
    <tableColumn id="6" xr3:uid="{59B7659D-CF13-4AE5-8E94-2F05B4074288}" name="XB" dataDxfId="54">
      <calculatedColumnFormula>IFERROR(AVERAGE(_xll.BDP(F$1 &amp; "Z" &amp; RIGHT($A2 - 1, 1) &amp; F$1 &amp; "Z" &amp; RIGHT($A2, 1) &amp; " " &amp; "Comdty", "BID"), _xll.BDP(F$1 &amp; "Z" &amp; RIGHT($A2 - 1, 1) &amp; F$1 &amp; "Z" &amp; RIGHT($A2, 1) &amp; " " &amp; "Comdty", "ASK")), NA())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709BF3-3FC4-4D1B-A6AA-E24AEA3C10B3}" name="ImpSprd" displayName="ImpSprd" ref="A7:F11" totalsRowShown="0" headerRowDxfId="53">
  <autoFilter ref="A7:F11" xr:uid="{0F709BF3-3FC4-4D1B-A6AA-E24AEA3C10B3}"/>
  <tableColumns count="6">
    <tableColumn id="1" xr3:uid="{2321E885-916F-45E9-A903-E4244FB20525}" name="Yr" dataDxfId="52"/>
    <tableColumn id="2" xr3:uid="{30D1014A-897D-4B5B-A762-C7677D036931}" name="CL" dataDxfId="51">
      <calculatedColumnFormula>B2/11</calculatedColumnFormula>
    </tableColumn>
    <tableColumn id="3" xr3:uid="{774E21D7-A490-463D-B971-0D13F2DFD53B}" name="CO" dataDxfId="50">
      <calculatedColumnFormula>C2/11</calculatedColumnFormula>
    </tableColumn>
    <tableColumn id="4" xr3:uid="{485E234D-CE22-469C-B1BE-8FC2D1D70ECE}" name="QS" dataDxfId="49">
      <calculatedColumnFormula>D2/11</calculatedColumnFormula>
    </tableColumn>
    <tableColumn id="5" xr3:uid="{02BFFE5E-8857-4BDB-A3B5-4928265CF05D}" name="HO" dataDxfId="48">
      <calculatedColumnFormula>E2/11</calculatedColumnFormula>
    </tableColumn>
    <tableColumn id="6" xr3:uid="{46B724DB-E9F8-4DA6-87BA-817C77762543}" name="XB" dataDxfId="47">
      <calculatedColumnFormula>F2/11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7F020C-A41A-4E89-BD84-1A6104BD9B50}" name="MthRef" displayName="MthRef" ref="A1:B13" totalsRowShown="0" headerRowDxfId="46" dataDxfId="45">
  <autoFilter ref="A1:B13" xr:uid="{FB7F020C-A41A-4E89-BD84-1A6104BD9B50}"/>
  <tableColumns count="2">
    <tableColumn id="1" xr3:uid="{46A2B2F4-819F-428D-BB4D-FB6E49BD7FE4}" name="Mth" dataDxfId="44"/>
    <tableColumn id="2" xr3:uid="{2D9FF4BF-EAB0-4EF9-B97C-FB25FB5DD2B7}" name="Code" dataDxfId="4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606622-C6D4-4A93-A188-C1E67F553D79}" name="Hols" displayName="Hols" ref="M21:O26" totalsRowShown="0" dataDxfId="42">
  <autoFilter ref="M21:O26" xr:uid="{86606622-C6D4-4A93-A188-C1E67F553D79}"/>
  <tableColumns count="3">
    <tableColumn id="1" xr3:uid="{0A243F39-5552-4F5D-89C3-B17988E83FB8}" name="ICE" dataDxfId="41"/>
    <tableColumn id="2" xr3:uid="{ECC80A47-872D-4E4D-872A-268481AB0DFF}" name="CME" dataDxfId="40"/>
    <tableColumn id="3" xr3:uid="{FC39F765-E263-4A49-84EF-60A7247697E5}" name="Platts Crude" dataDxfId="39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ED3150-D9D5-470B-A0CF-C8AE80A86A6D}" name="Times" displayName="Times" ref="E11:J16" totalsRowShown="0">
  <autoFilter ref="E11:J16" xr:uid="{33ED3150-D9D5-470B-A0CF-C8AE80A86A6D}"/>
  <tableColumns count="6">
    <tableColumn id="1" xr3:uid="{180DBA88-4093-4E0E-89A3-5BE88359CF38}" name="City"/>
    <tableColumn id="2" xr3:uid="{253A6409-6F4E-4CA4-B26B-1F9AFFF0E801}" name="Time" dataDxfId="38">
      <calculatedColumnFormula>NOW() - (Diagnostics!$B$2/24) + ($G12/24) + ($H12/24)</calculatedColumnFormula>
    </tableColumn>
    <tableColumn id="3" xr3:uid="{D8D9F43D-393E-42FC-9B6F-C74381D60128}" name="UTC" dataDxfId="37"/>
    <tableColumn id="4" xr3:uid="{15EC13D8-C38C-4935-81A3-5BE488F66BFA}" name="DST"/>
    <tableColumn id="5" xr3:uid="{ACE25DDC-636B-4085-8B2F-640F48BA76EC}" name="DST Start" dataDxfId="36"/>
    <tableColumn id="6" xr3:uid="{B0A685A1-8A5F-44DD-9180-AA0A07DEA593}" name="DST End" dataDxfId="35"/>
  </tableColumns>
  <tableStyleInfo name="TableStyleLight2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D180FC-6BC7-4EC3-ABD2-0375268E729A}" name="PricingRef" displayName="PricingRef" ref="L1:Q9" totalsRowShown="0" headerRowDxfId="34">
  <autoFilter ref="L1:Q9" xr:uid="{63D180FC-6BC7-4EC3-ABD2-0375268E729A}"/>
  <tableColumns count="6">
    <tableColumn id="1" xr3:uid="{0DDE80E5-F47A-4459-AFB1-388225C7DD16}" name="Fut" dataDxfId="33"/>
    <tableColumn id="2" xr3:uid="{1235DA29-E26A-4A84-9C32-591C7222FAEB}" name="Mth exp" dataDxfId="32">
      <calculatedColumnFormula>INDEX(Expi[], MATCH(Futs!$A$19, Expi[Date], 0), MATCH(PricingRef[[#This Row],[Fut]], Expi[#Headers], 0))</calculatedColumnFormula>
    </tableColumn>
    <tableColumn id="4" xr3:uid="{1D28307D-CBEB-44DF-A31B-32E38CAC9B3E}" name="Settle time" dataDxfId="31">
      <calculatedColumnFormula>IF(#REF! = 0, TIME(16, 30, 0), TIME(12, 0, 0))</calculatedColumnFormula>
    </tableColumn>
    <tableColumn id="7" xr3:uid="{FC3B584A-1025-434C-8CC2-68576335C45C}" name="Exp time" dataDxfId="30">
      <calculatedColumnFormula>TIME(12, 0, 0)</calculatedColumnFormula>
    </tableColumn>
    <tableColumn id="8" xr3:uid="{1033AF83-9C6B-47F9-95F8-FD598CDCC843}" name="Expired" dataDxfId="29">
      <calculatedColumnFormula>IF(MOD(TimeNYC, 1) &gt;= PricingRef[[#This Row],[Exp time]], 1, 0)</calculatedColumnFormula>
    </tableColumn>
    <tableColumn id="5" xr3:uid="{0FD25A2A-872D-4451-BC1A-38C3E4A21456}" name="Settled" dataDxfId="28">
      <calculatedColumnFormula>IF(MOD(TimeNYC, 1) &gt;= $N2, 1, 0)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94DB13-88E9-4AAA-A5C2-04047C02E5D0}" name="Expi" displayName="Expi" ref="A21:I72" totalsRowShown="0" headerRowDxfId="27">
  <autoFilter ref="A21:I72" xr:uid="{2194DB13-88E9-4AAA-A5C2-04047C02E5D0}"/>
  <tableColumns count="9">
    <tableColumn id="1" xr3:uid="{72394E19-5F27-41E1-8810-5831757A2DF2}" name="Date" dataDxfId="26"/>
    <tableColumn id="2" xr3:uid="{E6CBC74C-01C2-4377-AA46-E3B276809BE7}" name="CO" dataDxfId="25"/>
    <tableColumn id="3" xr3:uid="{5898CE36-4636-45C5-8B9B-3ABB9EFA5BC4}" name="CL" dataDxfId="24"/>
    <tableColumn id="4" xr3:uid="{B3B4569A-3442-4A8D-AF10-90A60E69DC0A}" name="QS" dataDxfId="23"/>
    <tableColumn id="5" xr3:uid="{B7B597D4-6273-4452-A2F1-9D7889FA0192}" name="HO" dataDxfId="22"/>
    <tableColumn id="6" xr3:uid="{314DE596-9AD5-4DE4-A47D-EB9D7A84AAA4}" name="XB" dataDxfId="21"/>
    <tableColumn id="7" xr3:uid="{A02499EF-EA1A-4CA1-A375-52848BC2611B}" name="MUC" dataDxfId="20"/>
    <tableColumn id="8" xr3:uid="{4962571D-D727-4DF7-99B6-5ED94284F246}" name="OQA" dataDxfId="19"/>
    <tableColumn id="9" xr3:uid="{98C50DF4-87E2-466A-81CF-5BD2A830AA13}" name="SCP" dataDxfId="1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D5D8FC-5F07-4076-9F77-B28EEC857096}" name="Approved" displayName="Approved" ref="S1:AB121" totalsRowShown="0" headerRowDxfId="17">
  <autoFilter ref="S1:AB121" xr:uid="{2BD5D8FC-5F07-4076-9F77-B28EEC857096}"/>
  <sortState xmlns:xlrd2="http://schemas.microsoft.com/office/spreadsheetml/2017/richdata2" ref="S2:AB121">
    <sortCondition ref="T1:T121"/>
  </sortState>
  <tableColumns count="10">
    <tableColumn id="1" xr3:uid="{5CCF2CC8-6E55-45DA-A049-C61A49521AE1}" name="key" dataDxfId="16"/>
    <tableColumn id="2" xr3:uid="{E91D5C98-6FF4-4B6F-ACC6-82410F0ED031}" name="name"/>
    <tableColumn id="3" xr3:uid="{B4A27DA6-D8EF-41BF-84F2-1E24338D1EC1}" name="xchgCode"/>
    <tableColumn id="4" xr3:uid="{FDCB77A4-2369-4E40-94EA-55936F8B07E7}" name="limit_bid" dataDxfId="15"/>
    <tableColumn id="5" xr3:uid="{3729A4C4-09BB-4127-B9BD-E3E99DBEB74A}" name="limit_offer" dataDxfId="14"/>
    <tableColumn id="6" xr3:uid="{0075885F-D712-4D41-9F7F-0D078AC16A18}" name="limit_spr_bid" dataDxfId="13"/>
    <tableColumn id="7" xr3:uid="{EA307A3B-D06A-4839-8522-CE57B15478A7}" name="limit_spr_offer" dataDxfId="12"/>
    <tableColumn id="8" xr3:uid="{55497E13-1928-440A-BA8A-44FC04881FFB}" name="limit_long" dataDxfId="11"/>
    <tableColumn id="9" xr3:uid="{D501B1A6-CAD7-40D3-A244-8B2B6BF11EC6}" name="limit_short" dataDxfId="10"/>
    <tableColumn id="10" xr3:uid="{2B465B28-78D1-4E86-9248-3EAD1B23B102}" name="multiplier" dataDxfId="9"/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Jain Global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323E48"/>
      </a:accent1>
      <a:accent2>
        <a:srgbClr val="4E738A"/>
      </a:accent2>
      <a:accent3>
        <a:srgbClr val="7A97AB"/>
      </a:accent3>
      <a:accent4>
        <a:srgbClr val="E7E7E0"/>
      </a:accent4>
      <a:accent5>
        <a:srgbClr val="000000"/>
      </a:accent5>
      <a:accent6>
        <a:srgbClr val="C00000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0012A-FAE1-4446-93C3-C2214A1ED7C5}">
  <sheetPr codeName="Sheet17">
    <tabColor rgb="FF003300"/>
    <pageSetUpPr autoPageBreaks="0"/>
  </sheetPr>
  <dimension ref="A1:CL141"/>
  <sheetViews>
    <sheetView tabSelected="1" zoomScale="85" zoomScaleNormal="85" workbookViewId="0">
      <selection activeCell="F59" sqref="A56:F59"/>
    </sheetView>
  </sheetViews>
  <sheetFormatPr defaultColWidth="9.140625" defaultRowHeight="15" x14ac:dyDescent="0.25"/>
  <cols>
    <col min="1" max="1" width="19.140625" style="51" customWidth="1"/>
    <col min="2" max="2" width="12" style="51" customWidth="1"/>
    <col min="3" max="6" width="9.140625" style="51"/>
    <col min="7" max="7" width="10.140625" style="51" customWidth="1"/>
    <col min="8" max="9" width="9.140625" style="51"/>
    <col min="10" max="10" width="12" style="51" bestFit="1" customWidth="1"/>
    <col min="11" max="11" width="10.140625" style="51" customWidth="1"/>
    <col min="12" max="12" width="17.85546875" style="51" bestFit="1" customWidth="1"/>
    <col min="13" max="13" width="7.5703125" style="51" customWidth="1"/>
    <col min="14" max="14" width="19.140625" style="51" customWidth="1"/>
    <col min="15" max="15" width="8.7109375" style="65" customWidth="1"/>
    <col min="16" max="17" width="8.7109375" style="49" customWidth="1"/>
    <col min="18" max="42" width="8.7109375" style="51" customWidth="1"/>
    <col min="43" max="43" width="13.5703125" style="51" customWidth="1"/>
    <col min="44" max="44" width="13.28515625" style="51" customWidth="1"/>
    <col min="45" max="45" width="8.7109375" style="51" customWidth="1"/>
    <col min="46" max="46" width="32.140625" style="51" customWidth="1"/>
    <col min="47" max="49" width="8.7109375" style="51" customWidth="1"/>
    <col min="50" max="50" width="36.85546875" style="51" customWidth="1"/>
    <col min="51" max="51" width="9.140625" style="51"/>
    <col min="52" max="52" width="11.140625" style="51" bestFit="1" customWidth="1"/>
    <col min="53" max="53" width="13" style="51" customWidth="1"/>
    <col min="54" max="54" width="11.42578125" style="51" customWidth="1"/>
    <col min="55" max="55" width="11.5703125" style="51" bestFit="1" customWidth="1"/>
    <col min="56" max="16384" width="9.140625" style="51"/>
  </cols>
  <sheetData>
    <row r="1" spans="1:48" ht="21" x14ac:dyDescent="0.35">
      <c r="A1" s="830" t="s">
        <v>0</v>
      </c>
      <c r="B1" s="830"/>
      <c r="C1" s="830"/>
      <c r="D1" s="830"/>
      <c r="E1" s="830"/>
      <c r="F1" s="830"/>
      <c r="G1" s="830"/>
      <c r="H1" s="830"/>
      <c r="K1" s="404" t="s">
        <v>1</v>
      </c>
      <c r="L1" s="403"/>
      <c r="M1" s="403"/>
      <c r="N1" s="403"/>
      <c r="O1" s="411"/>
      <c r="P1" s="414"/>
      <c r="Q1" s="414"/>
      <c r="R1" s="414"/>
      <c r="S1" s="414"/>
      <c r="U1" s="404" t="s">
        <v>2</v>
      </c>
      <c r="V1" s="403"/>
      <c r="AF1" s="83">
        <v>2025</v>
      </c>
      <c r="AO1" s="101" t="s">
        <v>3</v>
      </c>
      <c r="AP1" s="101"/>
      <c r="AQ1" s="555"/>
      <c r="AR1" s="557"/>
      <c r="AS1" s="51" t="s">
        <v>4</v>
      </c>
    </row>
    <row r="2" spans="1:48" x14ac:dyDescent="0.25">
      <c r="A2" s="569">
        <f ca="1">NOW()</f>
        <v>46267.465217013887</v>
      </c>
      <c r="B2" s="417"/>
      <c r="C2" s="417"/>
      <c r="D2" s="417"/>
      <c r="E2" s="417"/>
      <c r="F2" s="417"/>
      <c r="G2" s="417"/>
      <c r="H2" s="417"/>
      <c r="K2" s="101" t="s">
        <v>5</v>
      </c>
      <c r="L2" s="101" t="s">
        <v>6</v>
      </c>
      <c r="M2" s="101" t="s">
        <v>7</v>
      </c>
      <c r="N2" s="101" t="s">
        <v>8</v>
      </c>
      <c r="O2" s="413" t="s">
        <v>9</v>
      </c>
      <c r="P2" s="415" t="s">
        <v>1319</v>
      </c>
      <c r="Q2" s="415" t="s">
        <v>11</v>
      </c>
      <c r="R2" s="415" t="s">
        <v>12</v>
      </c>
      <c r="S2" s="415" t="s">
        <v>13</v>
      </c>
      <c r="U2" s="542" t="s">
        <v>9</v>
      </c>
      <c r="V2" s="542" t="s">
        <v>10</v>
      </c>
      <c r="X2" s="482" t="s">
        <v>14</v>
      </c>
      <c r="Y2" s="483"/>
      <c r="Z2" s="483"/>
      <c r="AA2" s="483"/>
      <c r="AB2" s="483"/>
      <c r="AC2" s="483"/>
      <c r="AD2" s="484"/>
      <c r="AF2" s="102"/>
      <c r="AG2" s="413" t="s">
        <v>15</v>
      </c>
      <c r="AH2" s="413" t="s">
        <v>16</v>
      </c>
      <c r="AI2" s="413" t="s">
        <v>17</v>
      </c>
      <c r="AJ2" s="413" t="s">
        <v>18</v>
      </c>
      <c r="AK2" s="413" t="s">
        <v>19</v>
      </c>
      <c r="AL2" s="413" t="s">
        <v>20</v>
      </c>
      <c r="AM2" s="413" t="s">
        <v>21</v>
      </c>
    </row>
    <row r="3" spans="1:48" x14ac:dyDescent="0.25">
      <c r="A3" s="831" t="s">
        <v>22</v>
      </c>
      <c r="B3" s="828"/>
      <c r="C3" s="832"/>
      <c r="D3" s="417"/>
      <c r="E3" s="417"/>
      <c r="F3" s="833" t="s">
        <v>23</v>
      </c>
      <c r="G3" s="834"/>
      <c r="H3" s="835"/>
      <c r="K3" s="102"/>
      <c r="L3" s="102"/>
      <c r="M3" s="102"/>
      <c r="N3" s="102"/>
      <c r="O3" s="412"/>
      <c r="P3" s="416"/>
      <c r="Q3" s="416"/>
      <c r="R3" s="416"/>
      <c r="S3" s="685"/>
      <c r="U3" s="825">
        <v>-250</v>
      </c>
      <c r="V3" s="826">
        <v>0.35</v>
      </c>
      <c r="X3" s="485"/>
      <c r="Y3" s="487"/>
      <c r="Z3" s="488"/>
      <c r="AA3" s="488"/>
      <c r="AB3" s="488"/>
      <c r="AC3" s="488"/>
      <c r="AD3" s="489"/>
      <c r="AF3" s="544"/>
      <c r="AG3" s="259">
        <v>1607.2454545454543</v>
      </c>
      <c r="AH3" s="259">
        <v>-261.17500000000001</v>
      </c>
      <c r="AI3" s="259">
        <v>-720.35800799998992</v>
      </c>
      <c r="AJ3" s="259">
        <v>-112</v>
      </c>
      <c r="AK3" s="259">
        <v>-48.631999999999991</v>
      </c>
      <c r="AL3" s="259">
        <v>663</v>
      </c>
      <c r="AM3" s="259"/>
      <c r="AO3" s="810"/>
      <c r="AP3" s="811"/>
      <c r="AQ3" s="811"/>
    </row>
    <row r="4" spans="1:48" x14ac:dyDescent="0.25">
      <c r="A4" s="419" t="s">
        <v>24</v>
      </c>
      <c r="B4" s="418" t="s">
        <v>25</v>
      </c>
      <c r="C4" s="418" t="s">
        <v>26</v>
      </c>
      <c r="D4" s="417"/>
      <c r="E4" s="417"/>
      <c r="F4" s="455" t="s">
        <v>27</v>
      </c>
      <c r="G4" s="456" t="s">
        <v>10</v>
      </c>
      <c r="H4" s="456" t="s">
        <v>28</v>
      </c>
      <c r="K4" s="102"/>
      <c r="L4" s="102"/>
      <c r="M4" s="102"/>
      <c r="N4" s="102"/>
      <c r="O4" s="412"/>
      <c r="P4" s="416"/>
      <c r="Q4" s="416"/>
      <c r="R4" s="416"/>
      <c r="S4" s="685"/>
      <c r="U4" s="825">
        <v>-500</v>
      </c>
      <c r="V4" s="826">
        <v>0.42</v>
      </c>
      <c r="X4" s="485"/>
      <c r="Y4" s="490"/>
      <c r="Z4" s="488"/>
      <c r="AA4" s="488"/>
      <c r="AB4" s="488"/>
      <c r="AC4" s="488"/>
      <c r="AD4" s="489"/>
      <c r="AF4" s="102"/>
      <c r="AG4" s="259"/>
      <c r="AH4" s="259">
        <v>805.62500000000011</v>
      </c>
      <c r="AI4" s="259">
        <v>-164.40000000000055</v>
      </c>
      <c r="AJ4" s="259"/>
      <c r="AK4" s="259">
        <v>-30</v>
      </c>
      <c r="AL4" s="259">
        <v>-37.000000000000007</v>
      </c>
      <c r="AM4" s="259"/>
      <c r="AO4" s="812"/>
      <c r="AP4" s="812"/>
      <c r="AQ4" s="813"/>
      <c r="AS4" s="89" t="s">
        <v>29</v>
      </c>
      <c r="AT4" s="705" t="e">
        <f>(AQ22+AQ40)/$AQ$1</f>
        <v>#DIV/0!</v>
      </c>
    </row>
    <row r="5" spans="1:48" x14ac:dyDescent="0.25">
      <c r="A5" s="452" t="s">
        <v>30</v>
      </c>
      <c r="B5" s="637"/>
      <c r="C5" s="638"/>
      <c r="D5" s="417"/>
      <c r="E5" s="417"/>
      <c r="F5" s="457" t="s">
        <v>31</v>
      </c>
      <c r="G5" s="95"/>
      <c r="H5" s="453"/>
      <c r="K5" s="102"/>
      <c r="L5" s="102"/>
      <c r="M5" s="102"/>
      <c r="N5" s="102"/>
      <c r="O5" s="412"/>
      <c r="P5" s="416"/>
      <c r="Q5" s="416"/>
      <c r="R5" s="416"/>
      <c r="S5" s="685"/>
      <c r="U5" s="825"/>
      <c r="V5" s="826"/>
      <c r="X5" s="486"/>
      <c r="Y5" s="491"/>
      <c r="Z5" s="491"/>
      <c r="AA5" s="491"/>
      <c r="AB5" s="491"/>
      <c r="AC5" s="491"/>
      <c r="AD5" s="492"/>
      <c r="AF5" s="102"/>
      <c r="AG5" s="259"/>
      <c r="AH5" s="259">
        <v>-545.78999999999962</v>
      </c>
      <c r="AI5" s="259">
        <v>-195.0999999999965</v>
      </c>
      <c r="AJ5" s="259"/>
      <c r="AK5" s="259">
        <v>-2.9599999999999937</v>
      </c>
      <c r="AL5" s="259"/>
      <c r="AM5" s="259"/>
      <c r="AO5" s="814"/>
      <c r="AP5" s="102"/>
      <c r="AQ5" s="259"/>
    </row>
    <row r="6" spans="1:48" x14ac:dyDescent="0.25">
      <c r="A6" s="452" t="s">
        <v>32</v>
      </c>
      <c r="B6" s="637"/>
      <c r="C6" s="638"/>
      <c r="D6" s="417"/>
      <c r="E6" s="417"/>
      <c r="F6" s="452" t="s">
        <v>33</v>
      </c>
      <c r="G6" s="546">
        <f>_xll.BDP("ESA Index", "MID")</f>
        <v>7621.88</v>
      </c>
      <c r="H6" s="547" cm="1">
        <f t="array" ref="H6">Table16[[#This Row],[Price]]-_xll.BDP("ESA Index", "PX_SETTLE")</f>
        <v>-20.869999999999891</v>
      </c>
      <c r="K6" s="102"/>
      <c r="L6" s="102"/>
      <c r="M6" s="102"/>
      <c r="N6" s="102"/>
      <c r="O6" s="412"/>
      <c r="P6" s="416"/>
      <c r="Q6" s="416"/>
      <c r="R6" s="416"/>
      <c r="S6" s="685"/>
      <c r="U6" s="825"/>
      <c r="V6" s="826"/>
      <c r="AF6" s="102"/>
      <c r="AG6" s="259"/>
      <c r="AH6" s="259">
        <v>-215.65499999999989</v>
      </c>
      <c r="AI6" s="259">
        <v>4.2500000000007532</v>
      </c>
      <c r="AJ6" s="259"/>
      <c r="AK6" s="259">
        <v>-104.99999999999994</v>
      </c>
      <c r="AL6" s="259"/>
      <c r="AM6" s="259"/>
      <c r="AO6" s="814"/>
      <c r="AP6" s="814"/>
      <c r="AQ6" s="814"/>
    </row>
    <row r="7" spans="1:48" x14ac:dyDescent="0.25">
      <c r="A7" s="452" t="s">
        <v>11</v>
      </c>
      <c r="B7" s="637"/>
      <c r="C7" s="638"/>
      <c r="D7" s="417"/>
      <c r="E7" s="417"/>
      <c r="F7" s="452" t="s">
        <v>34</v>
      </c>
      <c r="G7" s="546" cm="1">
        <f t="array" ref="G7">_xll.BDP("BCOM Index", "PRICE_LAST_RT")</f>
        <v>142.55779999999999</v>
      </c>
      <c r="H7" s="547" cm="1">
        <f t="array" ref="H7">Table16[[#This Row],[Price]]-_xll.BDP("BCOM Index", "PX_SETTLE")</f>
        <v>-0.69870024414063892</v>
      </c>
      <c r="K7" s="102"/>
      <c r="L7" s="102"/>
      <c r="M7" s="102"/>
      <c r="N7" s="102"/>
      <c r="O7" s="412"/>
      <c r="P7" s="416"/>
      <c r="Q7" s="416"/>
      <c r="R7" s="416"/>
      <c r="S7" s="685"/>
      <c r="U7" s="667"/>
      <c r="V7" s="668"/>
      <c r="AF7" s="102"/>
      <c r="AG7" s="259"/>
      <c r="AH7" s="259">
        <v>-242.37999999999997</v>
      </c>
      <c r="AI7" s="259">
        <v>-0.75000000000002842</v>
      </c>
      <c r="AJ7" s="259"/>
      <c r="AK7" s="259">
        <v>532.99999999999989</v>
      </c>
      <c r="AL7" s="259"/>
      <c r="AM7" s="259"/>
      <c r="AO7" s="812"/>
      <c r="AP7" s="815"/>
      <c r="AQ7" s="813"/>
    </row>
    <row r="8" spans="1:48" x14ac:dyDescent="0.25">
      <c r="A8" s="452" t="s">
        <v>35</v>
      </c>
      <c r="B8" s="637">
        <f>SUBTOTAL(109,Summary_PnL[[YtD ]])</f>
        <v>0</v>
      </c>
      <c r="C8" s="638">
        <f>SUBTOTAL(109,Summary_PnL[Daily])</f>
        <v>0</v>
      </c>
      <c r="D8" s="417"/>
      <c r="E8" s="417"/>
      <c r="F8" s="452" t="s">
        <v>36</v>
      </c>
      <c r="G8" s="546">
        <f>_xll.BDP("XAU Curncy", "MID")</f>
        <v>4302.95</v>
      </c>
      <c r="H8" s="547">
        <f>_xll.BDP("XAU Curncy", "RT_PX_CHG_NET_1D")</f>
        <v>-25.9</v>
      </c>
      <c r="K8" s="102"/>
      <c r="L8" s="102"/>
      <c r="M8" s="102"/>
      <c r="N8" s="102"/>
      <c r="O8" s="412"/>
      <c r="P8" s="416"/>
      <c r="Q8" s="416"/>
      <c r="R8" s="416"/>
      <c r="S8" s="685"/>
      <c r="U8" s="667"/>
      <c r="V8" s="668"/>
      <c r="AF8" s="102"/>
      <c r="AG8" s="259"/>
      <c r="AH8" s="259"/>
      <c r="AI8" s="259">
        <v>-71.422999999998552</v>
      </c>
      <c r="AJ8" s="259"/>
      <c r="AK8" s="259">
        <v>-450.93749999999994</v>
      </c>
      <c r="AL8" s="259"/>
      <c r="AM8" s="259"/>
      <c r="AO8" s="814"/>
      <c r="AP8" s="102"/>
      <c r="AQ8" s="259"/>
      <c r="AT8" s="451"/>
    </row>
    <row r="9" spans="1:48" x14ac:dyDescent="0.25">
      <c r="A9" s="417"/>
      <c r="B9" s="417"/>
      <c r="C9" s="417"/>
      <c r="D9" s="417"/>
      <c r="E9" s="417"/>
      <c r="F9" s="452" t="s">
        <v>37</v>
      </c>
      <c r="G9" s="546" t="str">
        <f>_xll.BDP("LMCADS03 Comdty", "MID")</f>
        <v>#N/A Real Time</v>
      </c>
      <c r="H9" s="547" t="str">
        <f>_xll.BDP("LMCADS03 Comdty", "RT_PX_CHG_NET_1D")</f>
        <v>#N/A Real Time</v>
      </c>
      <c r="K9" s="102"/>
      <c r="L9" s="102"/>
      <c r="M9" s="102"/>
      <c r="N9" s="102"/>
      <c r="O9" s="412"/>
      <c r="P9" s="416"/>
      <c r="Q9" s="416"/>
      <c r="R9" s="416"/>
      <c r="S9" s="685"/>
      <c r="U9" s="667"/>
      <c r="V9" s="668"/>
      <c r="AF9" s="102"/>
      <c r="AG9" s="259"/>
      <c r="AH9" s="259"/>
      <c r="AI9" s="259">
        <v>-15.773000000003634</v>
      </c>
      <c r="AJ9" s="259"/>
      <c r="AK9" s="259">
        <v>-130.00000000000011</v>
      </c>
      <c r="AL9" s="259"/>
      <c r="AM9" s="259"/>
      <c r="AO9" s="814"/>
      <c r="AP9" s="102"/>
      <c r="AQ9" s="259"/>
    </row>
    <row r="10" spans="1:48" x14ac:dyDescent="0.25">
      <c r="A10" s="831" t="s">
        <v>38</v>
      </c>
      <c r="B10" s="832"/>
      <c r="C10" s="417"/>
      <c r="D10" s="417"/>
      <c r="E10" s="417"/>
      <c r="F10" s="457" t="s">
        <v>39</v>
      </c>
      <c r="G10" s="95"/>
      <c r="H10" s="453"/>
      <c r="K10" s="102"/>
      <c r="L10" s="102"/>
      <c r="M10" s="102"/>
      <c r="N10" s="102"/>
      <c r="O10" s="412"/>
      <c r="P10" s="416"/>
      <c r="Q10" s="416"/>
      <c r="R10" s="416"/>
      <c r="S10" s="685"/>
      <c r="U10" s="667"/>
      <c r="V10" s="668"/>
      <c r="AF10" s="102"/>
      <c r="AG10" s="259"/>
      <c r="AH10" s="259"/>
      <c r="AI10" s="259"/>
      <c r="AJ10" s="259"/>
      <c r="AK10" s="259">
        <v>-896.56249999999989</v>
      </c>
      <c r="AL10" s="259"/>
      <c r="AM10" s="259"/>
      <c r="AO10" s="814"/>
      <c r="AP10" s="102"/>
      <c r="AQ10" s="259"/>
      <c r="AT10" s="451"/>
    </row>
    <row r="11" spans="1:48" x14ac:dyDescent="0.25">
      <c r="A11" s="419" t="s">
        <v>40</v>
      </c>
      <c r="B11" s="418" t="s">
        <v>26</v>
      </c>
      <c r="C11" s="102"/>
      <c r="D11" s="417"/>
      <c r="E11" s="417"/>
      <c r="F11" s="452" t="s">
        <v>41</v>
      </c>
      <c r="G11" s="95">
        <f ca="1">IF(ISNUMBER(Futs!$BE$20), Futs!$BE$20, Futs!$BE$21)</f>
        <v>90.47999999999999</v>
      </c>
      <c r="H11" s="453">
        <f ca="1">IF(ISNUMBER(Futs!$BF$20), Futs!$BF$20, Futs!$BF$21)</f>
        <v>0.25999999999999091</v>
      </c>
      <c r="K11" s="102"/>
      <c r="L11" s="102"/>
      <c r="M11" s="102"/>
      <c r="N11" s="102"/>
      <c r="O11" s="412"/>
      <c r="P11" s="416"/>
      <c r="Q11" s="416"/>
      <c r="R11" s="416"/>
      <c r="S11" s="685"/>
      <c r="U11" s="667"/>
      <c r="V11" s="668"/>
      <c r="AF11" s="102"/>
      <c r="AG11" s="259"/>
      <c r="AH11" s="259"/>
      <c r="AI11" s="259"/>
      <c r="AJ11" s="259"/>
      <c r="AK11" s="259">
        <v>-350.00000000000006</v>
      </c>
      <c r="AL11" s="259"/>
      <c r="AM11" s="259"/>
      <c r="AO11" s="814"/>
      <c r="AP11" s="102"/>
      <c r="AQ11" s="259"/>
    </row>
    <row r="12" spans="1:48" x14ac:dyDescent="0.25">
      <c r="A12" s="635" t="s">
        <v>42</v>
      </c>
      <c r="B12" s="636">
        <f>New_PnL[[#Totals],[Daily]]</f>
        <v>0</v>
      </c>
      <c r="C12" s="102"/>
      <c r="D12" s="417"/>
      <c r="E12" s="417"/>
      <c r="F12" s="452" t="s">
        <v>43</v>
      </c>
      <c r="G12" s="95">
        <f ca="1">IF(ISNUMBER(Futs!$BI$21), Futs!$BI$21, Futs!$BI$22)</f>
        <v>95.1</v>
      </c>
      <c r="H12" s="453">
        <f ca="1">IF(ISNUMBER(Futs!$BJ$21), Futs!$BJ$21, Futs!$BJ$22)</f>
        <v>0.44999999999998863</v>
      </c>
      <c r="J12" s="51" t="s">
        <v>1415</v>
      </c>
      <c r="K12" s="102"/>
      <c r="L12" s="102"/>
      <c r="M12" s="102"/>
      <c r="N12" s="102"/>
      <c r="O12" s="412"/>
      <c r="P12" s="416"/>
      <c r="Q12" s="416"/>
      <c r="R12" s="416"/>
      <c r="S12" s="685"/>
      <c r="U12" s="667"/>
      <c r="V12" s="668"/>
      <c r="AF12" s="102"/>
      <c r="AG12" s="259"/>
      <c r="AH12" s="259"/>
      <c r="AI12" s="259"/>
      <c r="AJ12" s="259"/>
      <c r="AK12" s="259">
        <v>1234.5</v>
      </c>
      <c r="AL12" s="259"/>
      <c r="AM12" s="259"/>
      <c r="AO12" s="814"/>
      <c r="AP12" s="102"/>
      <c r="AQ12" s="259"/>
    </row>
    <row r="13" spans="1:48" x14ac:dyDescent="0.25">
      <c r="A13" s="635" t="s">
        <v>44</v>
      </c>
      <c r="B13" s="636" t="e">
        <f ca="1">SUM($B$14, $B$15, $B$16)</f>
        <v>#VALUE!</v>
      </c>
      <c r="C13" s="102"/>
      <c r="D13" s="417"/>
      <c r="E13" s="417"/>
      <c r="F13" s="457" t="s">
        <v>45</v>
      </c>
      <c r="G13" s="95"/>
      <c r="H13" s="453"/>
      <c r="K13" s="102"/>
      <c r="L13" s="102"/>
      <c r="M13" s="102"/>
      <c r="N13" s="102"/>
      <c r="O13" s="412"/>
      <c r="P13" s="416"/>
      <c r="Q13" s="416"/>
      <c r="R13" s="416"/>
      <c r="S13" s="685"/>
      <c r="U13" s="667"/>
      <c r="V13" s="668"/>
      <c r="AF13" s="102"/>
      <c r="AG13" s="551"/>
      <c r="AH13" s="551"/>
      <c r="AI13" s="551"/>
      <c r="AJ13" s="551"/>
      <c r="AK13" s="551"/>
      <c r="AL13" s="551"/>
      <c r="AM13" s="551"/>
      <c r="AO13" s="814"/>
      <c r="AP13" s="102"/>
      <c r="AQ13" s="259"/>
    </row>
    <row r="14" spans="1:48" x14ac:dyDescent="0.25">
      <c r="A14" s="452" t="s">
        <v>46</v>
      </c>
      <c r="B14" s="634">
        <f ca="1">$B$33 * $H$12</f>
        <v>0</v>
      </c>
      <c r="C14" s="102"/>
      <c r="D14" s="417"/>
      <c r="E14" s="417"/>
      <c r="F14" s="454" t="s">
        <v>47</v>
      </c>
      <c r="G14" s="95">
        <f ca="1">IF(ISNUMBER(Futs!$BG$21), Futs!$BG$21, Futs!$BG$22)</f>
        <v>2.5849999999999937</v>
      </c>
      <c r="H14" s="453">
        <f ca="1">IF(ISNUMBER(Futs!$BH$21), Futs!$BH$21, Futs!$BH$22)</f>
        <v>0.11499999999999488</v>
      </c>
      <c r="K14" s="102"/>
      <c r="L14" s="102"/>
      <c r="M14" s="102"/>
      <c r="N14" s="102"/>
      <c r="O14" s="412">
        <f>SUM(O3:O13)</f>
        <v>0</v>
      </c>
      <c r="P14" s="416"/>
      <c r="Q14" s="416"/>
      <c r="R14" s="416"/>
      <c r="S14" s="685">
        <f>SUM($S$3:$S$13)</f>
        <v>0</v>
      </c>
      <c r="U14" s="667"/>
      <c r="V14" s="668"/>
      <c r="AF14" s="101" t="s">
        <v>30</v>
      </c>
      <c r="AG14" s="259">
        <f t="shared" ref="AG14:AL14" si="0">SUM(AG$3:AG$13)</f>
        <v>1607.2454545454543</v>
      </c>
      <c r="AH14" s="259">
        <f t="shared" si="0"/>
        <v>-459.37499999999943</v>
      </c>
      <c r="AI14" s="259">
        <f t="shared" si="0"/>
        <v>-1163.5540079999885</v>
      </c>
      <c r="AJ14" s="259">
        <f t="shared" si="0"/>
        <v>-112</v>
      </c>
      <c r="AK14" s="259">
        <f t="shared" si="0"/>
        <v>-246.5920000000001</v>
      </c>
      <c r="AL14" s="259">
        <f t="shared" si="0"/>
        <v>626</v>
      </c>
      <c r="AM14" s="552">
        <f>SUM(AG14:AL14)</f>
        <v>251.72444654546621</v>
      </c>
      <c r="AN14" s="451"/>
      <c r="AO14" s="102"/>
      <c r="AP14" s="102"/>
      <c r="AQ14" s="102"/>
      <c r="AR14" s="451"/>
    </row>
    <row r="15" spans="1:48" x14ac:dyDescent="0.25">
      <c r="A15" s="452" t="s">
        <v>48</v>
      </c>
      <c r="B15" s="634" t="e">
        <f ca="1">$B$34 * $H$26</f>
        <v>#VALUE!</v>
      </c>
      <c r="C15" s="102"/>
      <c r="D15" s="417"/>
      <c r="E15" s="417"/>
      <c r="F15" s="454" t="s">
        <v>49</v>
      </c>
      <c r="G15" s="95">
        <f ca="1">IF(ISNUMBER(Futs!$BK$22), Futs!$BK$22, Futs!$BK$23)</f>
        <v>3.4749999999999943</v>
      </c>
      <c r="H15" s="453">
        <f ca="1">IF(ISNUMBER(Futs!$BL$22), Futs!$BL$22, Futs!$BL$23)</f>
        <v>0.39499999999998181</v>
      </c>
      <c r="O15" s="51"/>
      <c r="P15" s="48"/>
      <c r="Q15" s="48"/>
      <c r="U15" s="667"/>
      <c r="V15" s="668"/>
      <c r="AN15" s="451"/>
      <c r="AO15" s="812"/>
      <c r="AP15" s="812"/>
      <c r="AQ15" s="813"/>
      <c r="AR15" s="451"/>
      <c r="AT15" s="89"/>
      <c r="AU15" s="84"/>
      <c r="AV15" s="556"/>
    </row>
    <row r="16" spans="1:48" x14ac:dyDescent="0.25">
      <c r="A16" s="452" t="s">
        <v>50</v>
      </c>
      <c r="B16" s="634">
        <f ca="1">$B$35 * $H$32</f>
        <v>0</v>
      </c>
      <c r="C16" s="102"/>
      <c r="D16" s="417"/>
      <c r="E16" s="417"/>
      <c r="F16" s="452" t="s">
        <v>51</v>
      </c>
      <c r="G16" s="95" t="str">
        <f ca="1">Crd!$P$21</f>
        <v/>
      </c>
      <c r="H16" s="453" t="str">
        <f ca="1">Crd!$R$21</f>
        <v/>
      </c>
      <c r="O16" s="51"/>
      <c r="P16" s="48"/>
      <c r="Q16" s="48"/>
      <c r="U16" s="667"/>
      <c r="V16" s="668"/>
      <c r="AN16" s="451"/>
      <c r="AO16" s="814"/>
      <c r="AP16" s="102"/>
      <c r="AQ16" s="259"/>
      <c r="AR16" s="451"/>
      <c r="AT16" s="89"/>
      <c r="AU16" s="84"/>
    </row>
    <row r="17" spans="1:47" x14ac:dyDescent="0.25">
      <c r="A17" s="635" t="s">
        <v>52</v>
      </c>
      <c r="B17" s="636" t="e">
        <f>Opt!$S$59 + Opt!$S$77</f>
        <v>#VALUE!</v>
      </c>
      <c r="C17" s="102"/>
      <c r="D17" s="417"/>
      <c r="E17" s="417"/>
      <c r="F17" s="452" t="s">
        <v>53</v>
      </c>
      <c r="G17" s="95">
        <f ca="1">IF(ISNUMBER(Futs!$FW$22), Futs!$FW$22, Futs!$FW$23)</f>
        <v>12.670000000000002</v>
      </c>
      <c r="H17" s="453">
        <f ca="1">IF(ISNUMBER(Futs!$FX$22), Futs!$FX$22, Futs!$FX$23)</f>
        <v>2.4399999999999977</v>
      </c>
      <c r="J17" s="441" t="s">
        <v>951</v>
      </c>
      <c r="K17" s="718">
        <f ca="1">TimeNYC</f>
        <v>46267.256883680551</v>
      </c>
      <c r="O17" s="51"/>
      <c r="P17" s="48"/>
      <c r="Q17" s="48"/>
      <c r="U17" s="667"/>
      <c r="V17" s="668"/>
      <c r="AE17" s="83">
        <v>2026</v>
      </c>
      <c r="AN17" s="451"/>
      <c r="AO17" s="102"/>
      <c r="AP17" s="102"/>
      <c r="AQ17" s="102"/>
      <c r="AR17" s="451"/>
      <c r="AT17" s="89"/>
      <c r="AU17" s="84"/>
    </row>
    <row r="18" spans="1:47" x14ac:dyDescent="0.25">
      <c r="A18" s="452" t="s">
        <v>54</v>
      </c>
      <c r="B18" s="634" t="e">
        <f>Opt!$S$51 + Opt!$S$69</f>
        <v>#VALUE!</v>
      </c>
      <c r="C18" s="102"/>
      <c r="D18" s="417"/>
      <c r="E18" s="417"/>
      <c r="F18" s="452" t="s">
        <v>55</v>
      </c>
      <c r="G18" s="95" t="str">
        <f ca="1">Crd!$Z$21</f>
        <v/>
      </c>
      <c r="H18" s="453" t="str">
        <f ca="1">Crd!$AB$21</f>
        <v/>
      </c>
      <c r="J18" s="441" t="s">
        <v>956</v>
      </c>
      <c r="K18" s="718">
        <f ca="1">TimeLDN</f>
        <v>46267.465217013887</v>
      </c>
      <c r="M18" s="51" t="s">
        <v>1288</v>
      </c>
      <c r="O18" s="51"/>
      <c r="P18" s="48"/>
      <c r="Q18" s="48"/>
      <c r="U18" s="667"/>
      <c r="V18" s="668"/>
      <c r="AE18" s="102"/>
      <c r="AF18" s="413" t="s">
        <v>15</v>
      </c>
      <c r="AG18" s="413" t="s">
        <v>56</v>
      </c>
      <c r="AH18" s="413" t="s">
        <v>17</v>
      </c>
      <c r="AI18" s="413" t="s">
        <v>18</v>
      </c>
      <c r="AJ18" s="413" t="s">
        <v>19</v>
      </c>
      <c r="AK18" s="413" t="s">
        <v>20</v>
      </c>
      <c r="AL18" s="413" t="s">
        <v>733</v>
      </c>
      <c r="AM18" s="413" t="s">
        <v>21</v>
      </c>
      <c r="AN18" s="451"/>
      <c r="AO18" s="812"/>
      <c r="AP18" s="815"/>
      <c r="AQ18" s="813"/>
      <c r="AR18" s="451"/>
      <c r="AT18" s="89"/>
      <c r="AU18" s="84"/>
    </row>
    <row r="19" spans="1:47" x14ac:dyDescent="0.25">
      <c r="A19" s="452" t="s">
        <v>57</v>
      </c>
      <c r="B19" s="634" t="e">
        <f>Opt!$S$52 + Opt!$S$70</f>
        <v>#VALUE!</v>
      </c>
      <c r="C19" s="417"/>
      <c r="D19" s="417"/>
      <c r="E19" s="417"/>
      <c r="F19" s="452" t="s">
        <v>58</v>
      </c>
      <c r="G19" s="95">
        <f ca="1">IF(ISNUMBER(Futs!$BO$20), Futs!$BO$20, Futs!$BO$21)</f>
        <v>73.875</v>
      </c>
      <c r="H19" s="453">
        <f ca="1">IF(ISNUMBER(Futs!$BP$20), Futs!$BP$20, Futs!$BP$21)</f>
        <v>-2.2550000000001091</v>
      </c>
      <c r="J19" s="441" t="s">
        <v>965</v>
      </c>
      <c r="K19" s="718">
        <f ca="1">TimeSGP</f>
        <v>46267.756883680559</v>
      </c>
      <c r="M19" s="458">
        <f>Summary_PnL[[#Totals],[YtD ]]+S14</f>
        <v>0</v>
      </c>
      <c r="O19" s="51"/>
      <c r="P19" s="48"/>
      <c r="Q19" s="48"/>
      <c r="U19" s="667"/>
      <c r="V19" s="668"/>
      <c r="AE19" s="544"/>
      <c r="AF19" s="259">
        <v>290.25</v>
      </c>
      <c r="AG19" s="259">
        <v>3197.2300000000005</v>
      </c>
      <c r="AH19" s="259">
        <v>-11506.791243624994</v>
      </c>
      <c r="AI19" s="259">
        <v>7041.4000000000015</v>
      </c>
      <c r="AJ19" s="259">
        <v>4107.9031260037018</v>
      </c>
      <c r="AK19" s="259">
        <v>24013.465261443253</v>
      </c>
      <c r="AL19" s="259">
        <v>297.08699999999999</v>
      </c>
      <c r="AM19" s="259"/>
      <c r="AN19" s="451"/>
      <c r="AO19" s="814"/>
      <c r="AP19" s="102"/>
      <c r="AQ19" s="259"/>
      <c r="AR19" s="451"/>
      <c r="AT19" s="89"/>
      <c r="AU19" s="84"/>
    </row>
    <row r="20" spans="1:47" x14ac:dyDescent="0.25">
      <c r="A20" s="452" t="s">
        <v>61</v>
      </c>
      <c r="B20" s="634" t="e">
        <f ca="1">Opt!$S$53 + Opt!$S$71</f>
        <v>#VALUE!</v>
      </c>
      <c r="C20" s="417"/>
      <c r="D20" s="417"/>
      <c r="E20" s="417"/>
      <c r="F20" s="452" t="s">
        <v>62</v>
      </c>
      <c r="G20" s="95">
        <f ca="1">Futs!$BS$21</f>
        <v>17.295000000000016</v>
      </c>
      <c r="H20" s="453">
        <f ca="1">Futs!$BT$21</f>
        <v>0.10500000000001819</v>
      </c>
      <c r="O20" s="51"/>
      <c r="P20" s="48"/>
      <c r="Q20" s="48"/>
      <c r="U20" s="667"/>
      <c r="V20" s="668"/>
      <c r="AE20" s="102"/>
      <c r="AF20" s="259">
        <v>82.850000000000037</v>
      </c>
      <c r="AG20" s="259">
        <v>3572.5000000000005</v>
      </c>
      <c r="AH20" s="259">
        <v>-178.84999999999968</v>
      </c>
      <c r="AI20" s="259">
        <v>-35.624999999999972</v>
      </c>
      <c r="AJ20" s="259">
        <v>25</v>
      </c>
      <c r="AK20" s="259">
        <v>264.8499999999998</v>
      </c>
      <c r="AL20" s="259">
        <v>318.3075</v>
      </c>
      <c r="AM20" s="259"/>
      <c r="AN20" s="451"/>
      <c r="AO20" s="814"/>
      <c r="AP20" s="102"/>
      <c r="AQ20" s="259"/>
      <c r="AR20" s="451"/>
      <c r="AT20" s="89"/>
      <c r="AU20" s="84"/>
    </row>
    <row r="21" spans="1:47" x14ac:dyDescent="0.25">
      <c r="A21" s="452" t="s">
        <v>67</v>
      </c>
      <c r="B21" s="634" t="e">
        <f ca="1">Opt!$S$54 + Opt!$S$72</f>
        <v>#VALUE!</v>
      </c>
      <c r="C21" s="417"/>
      <c r="D21" s="417"/>
      <c r="E21" s="417"/>
      <c r="F21" s="452" t="s">
        <v>64</v>
      </c>
      <c r="G21" s="95">
        <f ca="1">Futs!$BW$21</f>
        <v>17.259999999999991</v>
      </c>
      <c r="H21" s="453">
        <f ca="1">Futs!$BX$21</f>
        <v>0.36000000000001364</v>
      </c>
      <c r="O21" s="51"/>
      <c r="P21" s="48"/>
      <c r="Q21" s="48"/>
      <c r="U21" s="667"/>
      <c r="V21" s="668"/>
      <c r="AE21" s="102"/>
      <c r="AF21" s="259"/>
      <c r="AG21" s="259">
        <v>586.77500000000009</v>
      </c>
      <c r="AH21" s="259">
        <v>-2.4989999999997963</v>
      </c>
      <c r="AI21" s="259">
        <v>-103.125</v>
      </c>
      <c r="AJ21" s="259">
        <v>25.000000000000021</v>
      </c>
      <c r="AK21" s="259">
        <v>814.75000000000057</v>
      </c>
      <c r="AL21" s="259">
        <v>348.62250000000006</v>
      </c>
      <c r="AM21" s="259"/>
      <c r="AO21" s="814"/>
      <c r="AP21" s="102"/>
      <c r="AQ21" s="259"/>
      <c r="AT21" s="89"/>
      <c r="AU21" s="84"/>
    </row>
    <row r="22" spans="1:47" x14ac:dyDescent="0.25">
      <c r="A22" s="452" t="s">
        <v>68</v>
      </c>
      <c r="B22" s="634" t="e">
        <f>Opt!$S$55 + Opt!$S$73</f>
        <v>#VALUE!</v>
      </c>
      <c r="C22" s="417"/>
      <c r="D22" s="417"/>
      <c r="E22" s="417"/>
      <c r="F22" s="452" t="s">
        <v>65</v>
      </c>
      <c r="G22" s="95" t="str">
        <f ca="1">Hvy!$Q$21</f>
        <v/>
      </c>
      <c r="H22" s="453" t="str">
        <f ca="1">Hvy!$R$21</f>
        <v/>
      </c>
      <c r="J22" s="51" t="s">
        <v>59</v>
      </c>
      <c r="K22" s="51" t="s">
        <v>60</v>
      </c>
      <c r="M22" s="51" t="s">
        <v>1355</v>
      </c>
      <c r="N22" s="48" t="s">
        <v>1394</v>
      </c>
      <c r="O22" s="48"/>
      <c r="P22" s="48"/>
      <c r="Q22" s="48"/>
      <c r="U22" s="667"/>
      <c r="V22" s="668"/>
      <c r="AE22" s="102"/>
      <c r="AF22" s="259"/>
      <c r="AG22" s="259">
        <v>236.72499999999985</v>
      </c>
      <c r="AH22" s="259">
        <v>100.16800000000057</v>
      </c>
      <c r="AI22" s="259">
        <v>-5.9545454545454124</v>
      </c>
      <c r="AJ22" s="259">
        <v>-9.9999999999999947</v>
      </c>
      <c r="AK22" s="259">
        <v>-319.49999999999983</v>
      </c>
      <c r="AL22" s="259">
        <v>214.6302</v>
      </c>
      <c r="AM22" s="259"/>
      <c r="AO22" s="816"/>
      <c r="AP22" s="102"/>
      <c r="AQ22" s="817"/>
      <c r="AT22" s="89"/>
      <c r="AU22" s="84"/>
    </row>
    <row r="23" spans="1:47" x14ac:dyDescent="0.25">
      <c r="A23" s="452" t="s">
        <v>71</v>
      </c>
      <c r="B23" s="634">
        <f ca="1">Opt!$S$56 + Opt!$S$74</f>
        <v>0</v>
      </c>
      <c r="C23" s="417"/>
      <c r="D23" s="417"/>
      <c r="E23" s="417"/>
      <c r="F23" s="457" t="s">
        <v>66</v>
      </c>
      <c r="G23" s="95"/>
      <c r="H23" s="453"/>
      <c r="J23" s="708">
        <f>Summary_PnL[[#Totals],[YtD ]]/35000</f>
        <v>0</v>
      </c>
      <c r="K23" s="708">
        <f ca="1">NETWORKDAYS(DATE(2026, 1, 1), TODAY()) / NETWORKDAYS(DATE(2026, 1, 1), DATE(2026, 12, 31))</f>
        <v>0.67049808429118773</v>
      </c>
      <c r="M23" s="571">
        <f ca="1">Futs!$BI$26</f>
        <v>82.605000000000004</v>
      </c>
      <c r="N23" s="571">
        <f ca="1">Futs!$BM$21</f>
        <v>1278.125</v>
      </c>
      <c r="O23" s="571"/>
      <c r="P23" s="48"/>
      <c r="Q23" s="48"/>
      <c r="U23" s="667"/>
      <c r="V23" s="668"/>
      <c r="AE23" s="102"/>
      <c r="AF23" s="259"/>
      <c r="AG23" s="259">
        <v>-182.91000000000008</v>
      </c>
      <c r="AH23" s="259">
        <v>172.37700000000069</v>
      </c>
      <c r="AI23" s="259"/>
      <c r="AJ23" s="259">
        <v>39.000000000000007</v>
      </c>
      <c r="AK23" s="259">
        <v>89.028571428571368</v>
      </c>
      <c r="AL23" s="259">
        <v>90.945000000000036</v>
      </c>
      <c r="AM23" s="259"/>
      <c r="AO23" s="818"/>
      <c r="AP23" s="818"/>
      <c r="AQ23" s="818"/>
      <c r="AT23" s="89"/>
      <c r="AU23" s="84"/>
    </row>
    <row r="24" spans="1:47" x14ac:dyDescent="0.25">
      <c r="A24" s="452" t="s">
        <v>73</v>
      </c>
      <c r="B24" s="634" t="e">
        <f ca="1">Opt!$S$58 + Opt!$S$76</f>
        <v>#VALUE!</v>
      </c>
      <c r="C24" s="417"/>
      <c r="D24" s="417"/>
      <c r="E24" s="417"/>
      <c r="F24" s="452" t="s">
        <v>18</v>
      </c>
      <c r="G24" s="95" t="str">
        <f ca="1">Crd!$I$20</f>
        <v/>
      </c>
      <c r="H24" s="453" t="str">
        <f ca="1">Crd!$K$20</f>
        <v/>
      </c>
      <c r="J24" s="83"/>
      <c r="K24" s="83"/>
      <c r="L24" s="458"/>
      <c r="M24" s="83"/>
      <c r="N24" s="554"/>
      <c r="O24" s="83"/>
      <c r="P24" s="48"/>
      <c r="Q24" s="48"/>
      <c r="U24" s="542">
        <f>IF(SUM($U$3:$U$23) &lt;&gt; 0, SUM($U$3:$U$23), "")</f>
        <v>-750</v>
      </c>
      <c r="V24" s="543">
        <f>IFERROR(SUMPRODUCT($U$3:$U$23, $V$3:$V$23)/SUM($U$3:$U$23), "")</f>
        <v>0.39666666666666667</v>
      </c>
      <c r="AE24" s="102"/>
      <c r="AF24" s="259"/>
      <c r="AG24" s="259">
        <v>-223.8600000000001</v>
      </c>
      <c r="AH24" s="259">
        <v>-57.999999999999829</v>
      </c>
      <c r="AI24" s="259"/>
      <c r="AJ24" s="259">
        <v>-355</v>
      </c>
      <c r="AK24" s="259">
        <v>-336.32857142857142</v>
      </c>
      <c r="AL24" s="259"/>
      <c r="AM24" s="259"/>
      <c r="AO24" s="810"/>
      <c r="AP24" s="811"/>
      <c r="AQ24" s="811"/>
      <c r="AT24" s="89"/>
      <c r="AU24" s="84"/>
    </row>
    <row r="25" spans="1:47" x14ac:dyDescent="0.25">
      <c r="A25" s="635" t="s">
        <v>75</v>
      </c>
      <c r="B25" s="636" t="e">
        <f ca="1">Summary_PnL[[#Totals],[Daily]] - $B$13 - $B$17 - $B$12</f>
        <v>#VALUE!</v>
      </c>
      <c r="C25" s="417"/>
      <c r="D25" s="417"/>
      <c r="E25" s="417"/>
      <c r="F25" s="457" t="s">
        <v>69</v>
      </c>
      <c r="G25" s="95"/>
      <c r="H25" s="453"/>
      <c r="J25" s="83"/>
      <c r="K25" s="83"/>
      <c r="M25" s="83"/>
      <c r="N25" s="83"/>
      <c r="O25" s="83"/>
      <c r="P25" s="48"/>
      <c r="Q25" s="48"/>
      <c r="AE25" s="102"/>
      <c r="AF25" s="259"/>
      <c r="AG25" s="259"/>
      <c r="AH25" s="259"/>
      <c r="AI25" s="259"/>
      <c r="AJ25" s="259">
        <v>-375</v>
      </c>
      <c r="AK25" s="259">
        <v>-627.60000000000014</v>
      </c>
      <c r="AL25" s="259"/>
      <c r="AM25" s="259"/>
      <c r="AO25" s="812"/>
      <c r="AP25" s="812"/>
      <c r="AQ25" s="813"/>
      <c r="AT25" s="89"/>
      <c r="AU25" s="84"/>
    </row>
    <row r="26" spans="1:47" x14ac:dyDescent="0.25">
      <c r="A26" s="417"/>
      <c r="B26" s="417"/>
      <c r="C26" s="417"/>
      <c r="D26" s="417"/>
      <c r="E26" s="417"/>
      <c r="F26" s="452" t="s">
        <v>72</v>
      </c>
      <c r="G26" s="95" t="str">
        <f ca="1">Crd!$S$20</f>
        <v/>
      </c>
      <c r="H26" s="453" t="str">
        <f ca="1">Crd!$U$20</f>
        <v/>
      </c>
      <c r="J26" s="83"/>
      <c r="K26" s="83"/>
      <c r="L26" s="83"/>
      <c r="M26" s="83"/>
      <c r="N26" s="83"/>
      <c r="O26" s="83"/>
      <c r="P26" s="48"/>
      <c r="Q26" s="48"/>
      <c r="AE26" s="102"/>
      <c r="AF26" s="259"/>
      <c r="AG26" s="259"/>
      <c r="AH26" s="259"/>
      <c r="AI26" s="259"/>
      <c r="AJ26" s="259">
        <v>-775</v>
      </c>
      <c r="AK26" s="259"/>
      <c r="AL26" s="259"/>
      <c r="AM26" s="259"/>
      <c r="AO26" s="814"/>
      <c r="AP26" s="102"/>
      <c r="AQ26" s="259"/>
    </row>
    <row r="27" spans="1:47" x14ac:dyDescent="0.25">
      <c r="A27" s="831" t="s">
        <v>78</v>
      </c>
      <c r="B27" s="828"/>
      <c r="C27" s="828"/>
      <c r="D27" s="832"/>
      <c r="E27" s="417"/>
      <c r="F27" s="452" t="s">
        <v>74</v>
      </c>
      <c r="G27" s="95" t="str">
        <f ca="1">IF(ISNUMBER(Futs!$GC$21), Futs!$GC$21, Futs!$GC$22)</f>
        <v/>
      </c>
      <c r="H27" s="453" t="str">
        <f ca="1">IF(ISNUMBER(Futs!$GD$21), Futs!$GD$21, Futs!$GD$22)</f>
        <v/>
      </c>
      <c r="J27" s="83"/>
      <c r="K27" s="83"/>
      <c r="M27" s="48"/>
      <c r="O27" s="51"/>
      <c r="P27" s="51"/>
      <c r="Q27" s="51"/>
      <c r="AE27" s="102"/>
      <c r="AF27" s="259"/>
      <c r="AG27" s="259"/>
      <c r="AH27" s="259"/>
      <c r="AI27" s="259"/>
      <c r="AJ27" s="259"/>
      <c r="AK27" s="259"/>
      <c r="AL27" s="259"/>
      <c r="AM27" s="259"/>
      <c r="AN27" s="68"/>
      <c r="AO27" s="814"/>
      <c r="AP27" s="102"/>
      <c r="AQ27" s="259"/>
    </row>
    <row r="28" spans="1:47" x14ac:dyDescent="0.25">
      <c r="A28" s="419" t="s">
        <v>80</v>
      </c>
      <c r="B28" s="418" t="s">
        <v>81</v>
      </c>
      <c r="C28" s="418" t="s">
        <v>11</v>
      </c>
      <c r="D28" s="418" t="s">
        <v>28</v>
      </c>
      <c r="E28" s="417"/>
      <c r="F28" s="452" t="s">
        <v>76</v>
      </c>
      <c r="G28" s="95">
        <f ca="1">IF(ISNUMBER(Futs!$CS$21), Futs!$CS$21, Futs!$CS$22)</f>
        <v>-7.2049999999999983</v>
      </c>
      <c r="H28" s="453">
        <f ca="1">IF(ISNUMBER(Futs!$CT$21), Futs!$CT$21, Futs!$CT$22)</f>
        <v>-0.30499999999999261</v>
      </c>
      <c r="J28" s="51" t="s">
        <v>70</v>
      </c>
      <c r="K28" s="89">
        <f ca="1">C7/H12</f>
        <v>0</v>
      </c>
      <c r="L28" s="83"/>
      <c r="M28" s="48"/>
      <c r="N28" s="797"/>
      <c r="O28" s="48"/>
      <c r="P28" s="51"/>
      <c r="Q28" s="51"/>
      <c r="R28" s="48"/>
      <c r="AE28" s="102"/>
      <c r="AF28" s="259"/>
      <c r="AG28" s="259"/>
      <c r="AH28" s="259"/>
      <c r="AI28" s="259"/>
      <c r="AJ28" s="259"/>
      <c r="AK28" s="259"/>
      <c r="AL28" s="259"/>
      <c r="AM28" s="259"/>
      <c r="AO28" s="812"/>
      <c r="AP28" s="815"/>
      <c r="AQ28" s="813"/>
    </row>
    <row r="29" spans="1:47" x14ac:dyDescent="0.25">
      <c r="A29" s="452" t="s">
        <v>84</v>
      </c>
      <c r="B29" s="639">
        <v>0</v>
      </c>
      <c r="C29" s="639">
        <v>0</v>
      </c>
      <c r="D29" s="634">
        <f>Risk_Metrics[[#This Row],[Live]]-Risk_Metrics[[#This Row],[SoD]]</f>
        <v>0</v>
      </c>
      <c r="E29" s="417"/>
      <c r="F29" s="452" t="s">
        <v>77</v>
      </c>
      <c r="G29" s="95" t="str">
        <f ca="1">Mid!$AB$20</f>
        <v/>
      </c>
      <c r="H29" s="453" t="str">
        <f ca="1">Mid!$AD$20</f>
        <v/>
      </c>
      <c r="L29" s="83"/>
      <c r="M29" s="48"/>
      <c r="O29" s="48"/>
      <c r="P29" s="48"/>
      <c r="Q29" s="732"/>
      <c r="AE29" s="102"/>
      <c r="AF29" s="551"/>
      <c r="AG29" s="551"/>
      <c r="AH29" s="551"/>
      <c r="AI29" s="551"/>
      <c r="AJ29" s="259"/>
      <c r="AK29" s="551"/>
      <c r="AL29" s="551"/>
      <c r="AM29" s="551"/>
      <c r="AO29" s="814"/>
      <c r="AP29" s="102"/>
      <c r="AQ29" s="259"/>
    </row>
    <row r="30" spans="1:47" x14ac:dyDescent="0.25">
      <c r="A30" s="452" t="s">
        <v>86</v>
      </c>
      <c r="B30" s="639">
        <v>0</v>
      </c>
      <c r="C30" s="639">
        <v>0</v>
      </c>
      <c r="D30" s="634">
        <f>Risk_Metrics[[#This Row],[Live]]-Risk_Metrics[[#This Row],[SoD]]</f>
        <v>0</v>
      </c>
      <c r="E30" s="417"/>
      <c r="F30" s="452" t="s">
        <v>79</v>
      </c>
      <c r="G30" s="95" t="str">
        <f ca="1">Hvy!$AB$20</f>
        <v/>
      </c>
      <c r="H30" s="453" t="str">
        <f ca="1">Hvy!$AD$20</f>
        <v/>
      </c>
      <c r="J30" s="558"/>
      <c r="K30" s="558"/>
      <c r="N30" s="68"/>
      <c r="O30" s="51"/>
      <c r="P30" s="51"/>
      <c r="Q30" s="51"/>
      <c r="W30" s="83"/>
      <c r="AE30" s="101" t="s">
        <v>30</v>
      </c>
      <c r="AF30" s="259">
        <f t="shared" ref="AF30:AL30" si="1">SUM(AF$19:AF$29)</f>
        <v>373.1</v>
      </c>
      <c r="AG30" s="259">
        <f t="shared" si="1"/>
        <v>7186.4600000000009</v>
      </c>
      <c r="AH30" s="259">
        <f t="shared" si="1"/>
        <v>-11473.595243624994</v>
      </c>
      <c r="AI30" s="259">
        <f t="shared" si="1"/>
        <v>6896.6954545454564</v>
      </c>
      <c r="AJ30" s="259">
        <f t="shared" si="1"/>
        <v>2681.9031260037018</v>
      </c>
      <c r="AK30" s="259">
        <f t="shared" si="1"/>
        <v>23898.665261443253</v>
      </c>
      <c r="AL30" s="259">
        <f t="shared" si="1"/>
        <v>1269.5922</v>
      </c>
      <c r="AM30" s="552">
        <f>SUM(AF30:AL30)</f>
        <v>30832.820798367418</v>
      </c>
      <c r="AO30" s="814"/>
      <c r="AP30" s="102"/>
      <c r="AQ30" s="259"/>
    </row>
    <row r="31" spans="1:47" x14ac:dyDescent="0.25">
      <c r="A31" s="452" t="s">
        <v>1367</v>
      </c>
      <c r="B31" s="641" t="e">
        <f>B$33 + B$37</f>
        <v>#VALUE!</v>
      </c>
      <c r="C31" s="641" t="e">
        <f>C$33 + C$37</f>
        <v>#VALUE!</v>
      </c>
      <c r="D31" s="634" t="e">
        <f>Risk_Metrics[[#This Row],[Live]]-Risk_Metrics[[#This Row],[SoD]]</f>
        <v>#VALUE!</v>
      </c>
      <c r="E31" s="417"/>
      <c r="F31" s="457" t="s">
        <v>82</v>
      </c>
      <c r="G31" s="95"/>
      <c r="H31" s="453"/>
      <c r="J31" s="558"/>
      <c r="K31" s="558"/>
      <c r="O31" s="48"/>
      <c r="P31" s="51"/>
      <c r="Q31" s="51"/>
      <c r="V31" s="94"/>
      <c r="W31" s="65"/>
      <c r="X31" s="65"/>
      <c r="Y31" s="65"/>
      <c r="Z31" s="65"/>
      <c r="AA31" s="458"/>
      <c r="AO31" s="814"/>
      <c r="AP31" s="102"/>
      <c r="AQ31" s="259"/>
    </row>
    <row r="32" spans="1:47" x14ac:dyDescent="0.25">
      <c r="A32" s="635" t="s">
        <v>44</v>
      </c>
      <c r="B32" s="727"/>
      <c r="C32" s="728"/>
      <c r="D32" s="729"/>
      <c r="E32" s="417"/>
      <c r="F32" s="452" t="s">
        <v>85</v>
      </c>
      <c r="G32" s="95">
        <f ca="1">Futs!$DU$20</f>
        <v>83.058328248932256</v>
      </c>
      <c r="H32" s="453">
        <f ca="1">Futs!$DV$20</f>
        <v>-1.220390482001227</v>
      </c>
      <c r="J32" s="558"/>
      <c r="K32" s="558"/>
      <c r="L32" s="48"/>
      <c r="N32" s="722"/>
      <c r="O32" s="48"/>
      <c r="P32" s="732"/>
      <c r="Q32" s="51"/>
      <c r="W32" s="49"/>
      <c r="X32" s="264"/>
      <c r="Y32" s="264"/>
      <c r="Z32" s="424"/>
      <c r="AA32" s="458"/>
      <c r="AO32" s="814"/>
      <c r="AP32" s="102"/>
      <c r="AQ32" s="259"/>
    </row>
    <row r="33" spans="1:90" x14ac:dyDescent="0.25">
      <c r="A33" s="452" t="s">
        <v>89</v>
      </c>
      <c r="B33" s="642">
        <v>0</v>
      </c>
      <c r="C33" s="642">
        <v>0</v>
      </c>
      <c r="D33" s="643">
        <f>Risk_Metrics[[#This Row],[Live]]-Risk_Metrics[[#This Row],[SoD]]</f>
        <v>0</v>
      </c>
      <c r="E33" s="417"/>
      <c r="F33" s="452" t="s">
        <v>87</v>
      </c>
      <c r="G33" s="95">
        <f ca="1">Futs!$DY$20</f>
        <v>96.810136363636346</v>
      </c>
      <c r="H33" s="453">
        <f ca="1">Futs!$DZ$20</f>
        <v>-0.9784818181818381</v>
      </c>
      <c r="J33" s="738"/>
      <c r="K33" s="738"/>
      <c r="L33" s="789"/>
      <c r="O33" s="51"/>
      <c r="P33" s="51"/>
      <c r="Q33" s="51"/>
      <c r="R33" s="458"/>
      <c r="S33" s="458"/>
      <c r="X33" s="48"/>
      <c r="AO33" s="814"/>
      <c r="AP33" s="102"/>
      <c r="AQ33" s="259"/>
    </row>
    <row r="34" spans="1:90" x14ac:dyDescent="0.25">
      <c r="A34" s="452" t="s">
        <v>48</v>
      </c>
      <c r="B34" s="641">
        <v>0</v>
      </c>
      <c r="C34" s="642">
        <v>0</v>
      </c>
      <c r="D34" s="643">
        <f>Risk_Metrics[[#This Row],[Live]]-Risk_Metrics[[#This Row],[SoD]]</f>
        <v>0</v>
      </c>
      <c r="E34" s="417"/>
      <c r="F34" s="452" t="s">
        <v>88</v>
      </c>
      <c r="G34" s="95">
        <f ca="1">Futs!$EC$20</f>
        <v>33.394336363636384</v>
      </c>
      <c r="H34" s="453">
        <f ca="1">Futs!$ED$20</f>
        <v>0.25631818181818478</v>
      </c>
      <c r="L34" s="68"/>
      <c r="M34" s="48"/>
      <c r="N34" s="48"/>
      <c r="O34" s="558"/>
      <c r="P34" s="51"/>
      <c r="Q34" s="51"/>
      <c r="AO34" s="102"/>
      <c r="AP34" s="102"/>
      <c r="AQ34" s="102"/>
    </row>
    <row r="35" spans="1:90" x14ac:dyDescent="0.25">
      <c r="A35" s="452" t="s">
        <v>50</v>
      </c>
      <c r="B35" s="642">
        <v>0</v>
      </c>
      <c r="C35" s="642">
        <v>0</v>
      </c>
      <c r="D35" s="643">
        <f>Risk_Metrics[[#This Row],[Live]]-Risk_Metrics[[#This Row],[SoD]]</f>
        <v>0</v>
      </c>
      <c r="E35" s="417"/>
      <c r="F35" s="452" t="s">
        <v>90</v>
      </c>
      <c r="G35" s="95" t="str">
        <f ca="1">Lts!$I$20</f>
        <v/>
      </c>
      <c r="H35" s="453" t="str">
        <f ca="1">Lts!$K$20</f>
        <v/>
      </c>
      <c r="J35" s="558"/>
      <c r="W35" s="83"/>
      <c r="AO35" s="812"/>
      <c r="AP35" s="812"/>
      <c r="AQ35" s="813"/>
    </row>
    <row r="36" spans="1:90" x14ac:dyDescent="0.25">
      <c r="A36" s="635" t="s">
        <v>1366</v>
      </c>
      <c r="B36" s="727"/>
      <c r="C36" s="728"/>
      <c r="D36" s="729"/>
      <c r="E36" s="417"/>
      <c r="F36" s="452" t="s">
        <v>91</v>
      </c>
      <c r="G36" s="95" t="str">
        <f ca="1">Hvy!$J$20</f>
        <v/>
      </c>
      <c r="H36" s="453" t="str">
        <f ca="1">Hvy!$L$20</f>
        <v/>
      </c>
      <c r="J36" s="558"/>
      <c r="K36" s="68"/>
      <c r="L36" s="558"/>
      <c r="W36" s="65"/>
      <c r="X36" s="65"/>
      <c r="Y36" s="65"/>
      <c r="Z36" s="65"/>
      <c r="AO36" s="814"/>
      <c r="AP36" s="102"/>
      <c r="AQ36" s="259"/>
    </row>
    <row r="37" spans="1:90" x14ac:dyDescent="0.25">
      <c r="A37" s="452" t="s">
        <v>1358</v>
      </c>
      <c r="B37" s="642" t="e">
        <f>$B$41 + ($B$49*7.45/10)</f>
        <v>#VALUE!</v>
      </c>
      <c r="C37" s="642" t="e">
        <f>$C$41 + ($C$49*7.45/10)</f>
        <v>#VALUE!</v>
      </c>
      <c r="D37" s="643" t="e">
        <f>Risk_Metrics[[#This Row],[Live]]-Risk_Metrics[[#This Row],[SoD]]</f>
        <v>#VALUE!</v>
      </c>
      <c r="E37" s="417"/>
      <c r="F37" s="452" t="s">
        <v>92</v>
      </c>
      <c r="G37" s="95" t="str">
        <f ca="1">Hvy!$BL$20</f>
        <v/>
      </c>
      <c r="H37" s="453" t="str">
        <f ca="1">Hvy!$BN$20</f>
        <v/>
      </c>
      <c r="J37" s="558"/>
      <c r="K37" s="451"/>
      <c r="L37" s="48"/>
      <c r="M37" s="68"/>
      <c r="W37" s="49"/>
      <c r="X37" s="264"/>
      <c r="Y37" s="264"/>
      <c r="Z37" s="424"/>
      <c r="AO37" s="102"/>
      <c r="AP37" s="102"/>
      <c r="AQ37" s="102"/>
    </row>
    <row r="38" spans="1:90" x14ac:dyDescent="0.25">
      <c r="A38" s="452" t="s">
        <v>1365</v>
      </c>
      <c r="B38" s="641" t="e">
        <f>B$44 + B$52</f>
        <v>#VALUE!</v>
      </c>
      <c r="C38" s="642" t="e">
        <f>C$44 + C$52</f>
        <v>#VALUE!</v>
      </c>
      <c r="D38" s="643" t="e">
        <f>Risk_Metrics[[#This Row],[Live]]-Risk_Metrics[[#This Row],[SoD]]</f>
        <v>#VALUE!</v>
      </c>
      <c r="E38" s="417"/>
      <c r="F38" s="457" t="s">
        <v>94</v>
      </c>
      <c r="G38" s="95"/>
      <c r="H38" s="453"/>
      <c r="L38" s="451"/>
      <c r="AJ38" s="89"/>
      <c r="AO38" s="812"/>
      <c r="AP38" s="815"/>
      <c r="AQ38" s="813"/>
    </row>
    <row r="39" spans="1:90" x14ac:dyDescent="0.25">
      <c r="A39" s="452" t="s">
        <v>1391</v>
      </c>
      <c r="B39" s="639">
        <f>750*($E$70-$E$71)/10 + $E$72*1000</f>
        <v>0</v>
      </c>
      <c r="C39" s="639">
        <f>750*($F$70-$F$71)/10 + $F$72*1000</f>
        <v>0</v>
      </c>
      <c r="D39" s="634">
        <f>Risk_Metrics[[#This Row],[Live]]-Risk_Metrics[[#This Row],[SoD]]</f>
        <v>0</v>
      </c>
      <c r="E39" s="417"/>
      <c r="F39" s="452" t="s">
        <v>1301</v>
      </c>
      <c r="G39" s="95" t="str">
        <f ca="1">FFA!$R$20</f>
        <v/>
      </c>
      <c r="H39" s="453" t="str">
        <f ca="1">FFA!$T$20</f>
        <v/>
      </c>
      <c r="L39" s="68"/>
      <c r="AO39" s="814"/>
      <c r="AP39" s="102"/>
      <c r="AQ39" s="259"/>
    </row>
    <row r="40" spans="1:90" x14ac:dyDescent="0.25">
      <c r="A40" s="635" t="s">
        <v>1298</v>
      </c>
      <c r="B40" s="727"/>
      <c r="C40" s="728"/>
      <c r="D40" s="729"/>
      <c r="E40" s="417"/>
      <c r="F40" s="452" t="s">
        <v>96</v>
      </c>
      <c r="G40" s="95" t="str">
        <f ca="1">FFA!$I$20</f>
        <v/>
      </c>
      <c r="H40" s="453" t="str">
        <f ca="1">FFA!$K$20</f>
        <v/>
      </c>
      <c r="K40" s="48"/>
      <c r="L40" s="48"/>
      <c r="N40" s="89"/>
      <c r="AO40" s="816"/>
      <c r="AP40" s="102"/>
      <c r="AQ40" s="817"/>
    </row>
    <row r="41" spans="1:90" x14ac:dyDescent="0.25">
      <c r="A41" s="452" t="s">
        <v>93</v>
      </c>
      <c r="B41" s="641" t="e">
        <f>Risk_Metrics[[#This Row],[Live]] - Risk_Metrics[[#This Row],[Chg]]</f>
        <v>#VALUE!</v>
      </c>
      <c r="C41" s="642" t="e">
        <f>Opt!$O$51</f>
        <v>#VALUE!</v>
      </c>
      <c r="D41" s="643" t="e">
        <f>Opt!$R$51</f>
        <v>#VALUE!</v>
      </c>
      <c r="E41" s="417"/>
      <c r="F41" s="457" t="s">
        <v>97</v>
      </c>
      <c r="G41" s="95"/>
      <c r="H41" s="453"/>
      <c r="J41" s="558"/>
      <c r="K41" s="68"/>
      <c r="O41" s="798"/>
      <c r="AX41" s="84"/>
      <c r="AY41" s="83"/>
    </row>
    <row r="42" spans="1:90" x14ac:dyDescent="0.25">
      <c r="A42" s="452" t="s">
        <v>95</v>
      </c>
      <c r="B42" s="641" t="e">
        <f>Risk_Metrics[[#This Row],[Live]] - Risk_Metrics[[#This Row],[Chg]]</f>
        <v>#VALUE!</v>
      </c>
      <c r="C42" s="642" t="e">
        <f>Opt!$O$52</f>
        <v>#VALUE!</v>
      </c>
      <c r="D42" s="643" t="e">
        <f>Opt!$R$52</f>
        <v>#VALUE!</v>
      </c>
      <c r="E42" s="417"/>
      <c r="F42" s="452" t="s">
        <v>98</v>
      </c>
      <c r="G42" s="95">
        <f ca="1">Futs!$FO$19</f>
        <v>63.531971428571467</v>
      </c>
      <c r="H42" s="453">
        <f ca="1">Futs!$FP$19</f>
        <v>-0.21874285714284122</v>
      </c>
      <c r="J42" s="558"/>
      <c r="K42" s="68"/>
      <c r="L42" s="451"/>
      <c r="N42" s="451"/>
      <c r="O42" s="798"/>
      <c r="AX42" s="572"/>
      <c r="AY42" s="702"/>
    </row>
    <row r="43" spans="1:90" x14ac:dyDescent="0.25">
      <c r="A43" s="454" t="s">
        <v>1317</v>
      </c>
      <c r="B43" s="641" t="e">
        <f>Risk_Metrics[[#This Row],[Live]] - Risk_Metrics[[#This Row],[Chg]]</f>
        <v>#VALUE!</v>
      </c>
      <c r="C43" s="642" t="e">
        <f>Opt!$O$53</f>
        <v>#VALUE!</v>
      </c>
      <c r="D43" s="643" t="e">
        <f>Opt!$R$53</f>
        <v>#VALUE!</v>
      </c>
      <c r="E43" s="417"/>
      <c r="F43" s="452" t="s">
        <v>99</v>
      </c>
      <c r="G43" s="95" t="str">
        <f ca="1">Mrg!$D$20</f>
        <v/>
      </c>
      <c r="H43" s="453" t="str">
        <f ca="1">Mrg!$E$20</f>
        <v/>
      </c>
      <c r="K43" s="68"/>
      <c r="L43" s="51" t="s">
        <v>1403</v>
      </c>
      <c r="N43" s="48"/>
      <c r="O43" s="51"/>
      <c r="S43" s="689"/>
      <c r="T43" s="689"/>
      <c r="U43" s="689"/>
      <c r="AA43" s="48"/>
      <c r="AX43" s="572"/>
      <c r="AY43" s="702"/>
    </row>
    <row r="44" spans="1:90" x14ac:dyDescent="0.25">
      <c r="A44" s="452" t="s">
        <v>100</v>
      </c>
      <c r="B44" s="641" t="e">
        <f>Risk_Metrics[[#This Row],[Live]] - Risk_Metrics[[#This Row],[Chg]]</f>
        <v>#VALUE!</v>
      </c>
      <c r="C44" s="642" t="e">
        <f>Opt!$O$56</f>
        <v>#VALUE!</v>
      </c>
      <c r="D44" s="643" t="e">
        <f>Opt!$R$56</f>
        <v>#VALUE!</v>
      </c>
      <c r="E44" s="417"/>
      <c r="F44" s="457" t="s">
        <v>101</v>
      </c>
      <c r="G44" s="95"/>
      <c r="H44" s="453"/>
      <c r="J44" s="558"/>
      <c r="K44" s="68"/>
      <c r="L44" s="558"/>
      <c r="N44" s="48"/>
      <c r="S44" s="689"/>
      <c r="T44" s="689"/>
      <c r="U44" s="689"/>
      <c r="AA44" s="48"/>
      <c r="AX44" s="572"/>
      <c r="AY44" s="702"/>
    </row>
    <row r="45" spans="1:90" x14ac:dyDescent="0.25">
      <c r="A45" s="452" t="s">
        <v>67</v>
      </c>
      <c r="B45" s="641">
        <f ca="1">Risk_Metrics[[#This Row],[Live]] - Risk_Metrics[[#This Row],[Chg]]</f>
        <v>0</v>
      </c>
      <c r="C45" s="642">
        <f>Opt!$O$54</f>
        <v>0</v>
      </c>
      <c r="D45" s="643">
        <f ca="1">Opt!$R$54</f>
        <v>0</v>
      </c>
      <c r="E45" s="417"/>
      <c r="F45" s="452" t="s">
        <v>102</v>
      </c>
      <c r="G45" s="95" t="e">
        <f>Opt!$P$4</f>
        <v>#VALUE!</v>
      </c>
      <c r="H45" s="453" t="e">
        <f>Opt!$Q$4</f>
        <v>#VALUE!</v>
      </c>
      <c r="K45" s="68"/>
      <c r="N45" s="68"/>
      <c r="S45" s="689"/>
      <c r="T45" s="689"/>
      <c r="U45" s="689"/>
      <c r="V45" s="61"/>
      <c r="W45" s="691"/>
      <c r="AA45" s="48"/>
      <c r="AX45" s="572"/>
      <c r="AY45" s="702"/>
    </row>
    <row r="46" spans="1:90" x14ac:dyDescent="0.25">
      <c r="A46" s="452" t="s">
        <v>68</v>
      </c>
      <c r="B46" s="641">
        <f ca="1">Risk_Metrics[[#This Row],[Live]] - Risk_Metrics[[#This Row],[Chg]]</f>
        <v>0</v>
      </c>
      <c r="C46" s="642">
        <f>Opt!$O$55</f>
        <v>0</v>
      </c>
      <c r="D46" s="643">
        <f ca="1">Opt!$R$55</f>
        <v>0</v>
      </c>
      <c r="E46" s="417"/>
      <c r="F46" s="452" t="s">
        <v>103</v>
      </c>
      <c r="G46" s="95" t="e">
        <f>Opt!$P$7</f>
        <v>#N/A</v>
      </c>
      <c r="H46" s="453" t="e">
        <f>Opt!$Q$7</f>
        <v>#N/A</v>
      </c>
      <c r="K46" s="68"/>
      <c r="L46" s="558"/>
      <c r="S46" s="689"/>
      <c r="T46" s="689"/>
      <c r="U46" s="689"/>
      <c r="V46" s="61"/>
      <c r="AA46" s="48"/>
      <c r="AX46" s="572"/>
      <c r="AY46" s="702"/>
      <c r="CL46" s="68"/>
    </row>
    <row r="47" spans="1:90" x14ac:dyDescent="0.25">
      <c r="A47" s="452" t="s">
        <v>104</v>
      </c>
      <c r="B47" s="641" t="e">
        <f>Risk_Metrics[[#This Row],[Live]] - Risk_Metrics[[#This Row],[Chg]]</f>
        <v>#VALUE!</v>
      </c>
      <c r="C47" s="642">
        <f>Opt!$O$57</f>
        <v>0</v>
      </c>
      <c r="D47" s="643" t="e">
        <f>Opt!$R$57</f>
        <v>#VALUE!</v>
      </c>
      <c r="E47" s="417"/>
      <c r="F47" s="452" t="s">
        <v>105</v>
      </c>
      <c r="G47" s="95" t="e">
        <f>Opt!$P$8</f>
        <v>#N/A</v>
      </c>
      <c r="H47" s="453" t="e">
        <f>Opt!$Q$8</f>
        <v>#N/A</v>
      </c>
      <c r="K47" s="68"/>
      <c r="O47" s="424"/>
      <c r="P47" s="65"/>
      <c r="S47" s="689"/>
      <c r="T47" s="689"/>
      <c r="U47" s="721"/>
      <c r="V47" s="734"/>
      <c r="W47" s="691"/>
      <c r="X47" s="721"/>
      <c r="Y47" s="689"/>
      <c r="AA47" s="721"/>
      <c r="AB47" s="689"/>
      <c r="AD47" s="721"/>
      <c r="AE47" s="689"/>
      <c r="AG47" s="721"/>
      <c r="AH47" s="707"/>
      <c r="AJ47" s="83"/>
      <c r="AX47" s="704"/>
      <c r="AY47" s="703"/>
    </row>
    <row r="48" spans="1:90" x14ac:dyDescent="0.25">
      <c r="A48" s="635" t="s">
        <v>1299</v>
      </c>
      <c r="B48" s="727"/>
      <c r="C48" s="728"/>
      <c r="D48" s="729"/>
      <c r="E48" s="417"/>
      <c r="F48" s="417"/>
      <c r="G48" s="417"/>
      <c r="H48" s="417"/>
      <c r="J48" s="68"/>
      <c r="N48" s="68"/>
      <c r="S48" s="689"/>
      <c r="T48" s="689"/>
      <c r="U48" s="689"/>
      <c r="V48" s="734"/>
      <c r="W48" s="691"/>
      <c r="X48" s="689"/>
      <c r="Y48" s="707"/>
      <c r="AA48" s="689"/>
      <c r="AB48" s="707"/>
      <c r="AD48" s="689"/>
      <c r="AE48" s="707"/>
      <c r="AG48" s="689"/>
      <c r="AH48" s="707"/>
    </row>
    <row r="49" spans="1:47" x14ac:dyDescent="0.25">
      <c r="A49" s="452" t="s">
        <v>93</v>
      </c>
      <c r="B49" s="641" t="e">
        <f>Risk_Metrics[[#This Row],[Live]] - Risk_Metrics[[#This Row],[Chg]]</f>
        <v>#VALUE!</v>
      </c>
      <c r="C49" s="642" t="e">
        <f>Opt!$O$69</f>
        <v>#VALUE!</v>
      </c>
      <c r="D49" s="643" t="e">
        <f>Opt!$R$69</f>
        <v>#VALUE!</v>
      </c>
      <c r="E49" s="417"/>
      <c r="F49" s="417"/>
      <c r="G49" s="417"/>
      <c r="H49" s="417"/>
      <c r="J49" s="68"/>
      <c r="K49" s="48"/>
      <c r="S49" s="724"/>
      <c r="T49" s="724"/>
      <c r="U49" s="724"/>
      <c r="V49" s="89"/>
      <c r="W49" s="89"/>
      <c r="X49" s="689"/>
      <c r="Y49" s="48"/>
      <c r="Z49" s="89"/>
      <c r="AA49" s="689"/>
      <c r="AB49" s="48"/>
      <c r="AD49" s="689"/>
      <c r="AE49" s="48"/>
      <c r="AG49" s="689"/>
      <c r="AH49" s="48"/>
      <c r="AU49" s="779"/>
    </row>
    <row r="50" spans="1:47" x14ac:dyDescent="0.25">
      <c r="A50" s="452" t="s">
        <v>95</v>
      </c>
      <c r="B50" s="641" t="e">
        <f>Risk_Metrics[[#This Row],[Live]] - Risk_Metrics[[#This Row],[Chg]]</f>
        <v>#VALUE!</v>
      </c>
      <c r="C50" s="642" t="e">
        <f>Opt!$O$70</f>
        <v>#VALUE!</v>
      </c>
      <c r="D50" s="643" t="e">
        <f>Opt!$R$70</f>
        <v>#VALUE!</v>
      </c>
      <c r="E50" s="417"/>
      <c r="F50" s="417"/>
      <c r="G50" s="417"/>
      <c r="H50" s="417"/>
      <c r="K50" s="68"/>
      <c r="L50" s="68"/>
      <c r="N50" s="68"/>
      <c r="O50" s="424"/>
      <c r="S50" s="689"/>
      <c r="T50" s="689"/>
      <c r="AB50" s="572"/>
      <c r="AU50" s="779"/>
    </row>
    <row r="51" spans="1:47" x14ac:dyDescent="0.25">
      <c r="A51" s="454" t="s">
        <v>1317</v>
      </c>
      <c r="B51" s="641" t="e">
        <f>Risk_Metrics[[#This Row],[Live]] - Risk_Metrics[[#This Row],[Chg]]</f>
        <v>#VALUE!</v>
      </c>
      <c r="C51" s="642" t="e">
        <f>Opt!$O$71</f>
        <v>#VALUE!</v>
      </c>
      <c r="D51" s="643" t="e">
        <f>Opt!$R$71</f>
        <v>#VALUE!</v>
      </c>
      <c r="E51" s="417"/>
      <c r="F51" s="417"/>
      <c r="G51" s="417"/>
      <c r="H51" s="417"/>
      <c r="J51" s="48"/>
      <c r="K51" s="48"/>
      <c r="L51" s="48"/>
      <c r="S51" s="689"/>
      <c r="T51" s="689"/>
      <c r="Y51" s="451"/>
      <c r="Z51" s="451"/>
      <c r="AM51" s="48"/>
      <c r="AU51" s="779"/>
    </row>
    <row r="52" spans="1:47" x14ac:dyDescent="0.25">
      <c r="A52" s="452" t="s">
        <v>100</v>
      </c>
      <c r="B52" s="641" t="e">
        <f>Risk_Metrics[[#This Row],[Live]] - Risk_Metrics[[#This Row],[Chg]]</f>
        <v>#VALUE!</v>
      </c>
      <c r="C52" s="642" t="e">
        <f>Opt!$O$74</f>
        <v>#VALUE!</v>
      </c>
      <c r="D52" s="643" t="e">
        <f>Opt!$R$74</f>
        <v>#VALUE!</v>
      </c>
      <c r="E52" s="417"/>
      <c r="F52" s="417"/>
      <c r="G52" s="417"/>
      <c r="H52" s="417"/>
      <c r="J52" s="48"/>
      <c r="K52" s="48"/>
      <c r="L52" s="48"/>
      <c r="S52" s="689"/>
      <c r="T52" s="689"/>
      <c r="AM52" s="48"/>
      <c r="AQ52" s="48"/>
      <c r="AU52" s="779"/>
    </row>
    <row r="53" spans="1:47" x14ac:dyDescent="0.25">
      <c r="A53" s="417"/>
      <c r="B53" s="417"/>
      <c r="C53" s="417"/>
      <c r="D53" s="417"/>
      <c r="E53" s="417"/>
      <c r="F53" s="417"/>
      <c r="G53" s="417"/>
      <c r="H53" s="417"/>
      <c r="J53" s="48"/>
      <c r="K53" s="48"/>
      <c r="L53" s="48"/>
      <c r="N53" s="65"/>
      <c r="P53" s="65"/>
      <c r="Q53" s="65"/>
      <c r="R53" s="65"/>
      <c r="S53" s="689"/>
      <c r="T53" s="689"/>
      <c r="V53" s="731"/>
      <c r="W53" s="731"/>
      <c r="X53" s="731" t="s">
        <v>1356</v>
      </c>
      <c r="Y53" s="731">
        <v>-10</v>
      </c>
      <c r="Z53" s="731"/>
      <c r="AA53" s="51" t="s">
        <v>1296</v>
      </c>
      <c r="AB53" s="48">
        <f ca="1">$G$12 + $Y$53</f>
        <v>85.1</v>
      </c>
      <c r="AM53" s="48"/>
    </row>
    <row r="54" spans="1:47" x14ac:dyDescent="0.25">
      <c r="A54" s="831" t="s">
        <v>106</v>
      </c>
      <c r="B54" s="828"/>
      <c r="C54" s="828"/>
      <c r="D54" s="828"/>
      <c r="E54" s="828"/>
      <c r="F54" s="832"/>
      <c r="G54" s="417"/>
      <c r="H54" s="417"/>
      <c r="J54" s="48"/>
      <c r="K54" s="48"/>
      <c r="L54" s="48"/>
      <c r="N54" s="65"/>
      <c r="P54" s="65"/>
      <c r="Q54" s="65"/>
      <c r="R54" s="65"/>
      <c r="S54" s="689"/>
      <c r="X54" s="51" t="s">
        <v>1357</v>
      </c>
      <c r="Y54" s="51">
        <v>-10</v>
      </c>
      <c r="AA54" s="51" t="s">
        <v>16</v>
      </c>
      <c r="AB54" s="48">
        <f ca="1">Futs!$BM$22 + SUM($Y$53, $Y$54) * 7.45</f>
        <v>1066.75</v>
      </c>
      <c r="AG54" s="558"/>
      <c r="AK54" s="89"/>
    </row>
    <row r="55" spans="1:47" x14ac:dyDescent="0.25">
      <c r="A55" s="419" t="s">
        <v>27</v>
      </c>
      <c r="B55" s="419" t="s">
        <v>107</v>
      </c>
      <c r="C55" s="418" t="s">
        <v>9</v>
      </c>
      <c r="D55" s="418" t="s">
        <v>83</v>
      </c>
      <c r="E55" s="418" t="s">
        <v>11</v>
      </c>
      <c r="F55" s="418" t="s">
        <v>26</v>
      </c>
      <c r="G55" s="417"/>
      <c r="H55" s="417"/>
      <c r="J55" s="48"/>
      <c r="K55" s="48"/>
      <c r="L55" s="48"/>
      <c r="M55" s="48"/>
      <c r="N55" s="65"/>
      <c r="P55" s="65"/>
      <c r="Q55" s="65"/>
      <c r="R55" s="65"/>
      <c r="S55" s="689"/>
      <c r="X55" s="83"/>
      <c r="Y55" s="83"/>
      <c r="Z55" s="83"/>
      <c r="AA55" s="83"/>
      <c r="AB55" s="83"/>
      <c r="AC55" s="83"/>
      <c r="AG55" s="558"/>
      <c r="AH55" s="48"/>
    </row>
    <row r="56" spans="1:47" x14ac:dyDescent="0.25">
      <c r="A56" s="452"/>
      <c r="B56" s="452"/>
      <c r="C56" s="639"/>
      <c r="D56" s="750"/>
      <c r="E56" s="750"/>
      <c r="F56" s="645"/>
      <c r="G56" s="417"/>
      <c r="H56" s="417"/>
      <c r="J56" s="48"/>
      <c r="K56" s="48"/>
      <c r="L56" s="48"/>
      <c r="M56" s="83"/>
      <c r="N56" s="65"/>
      <c r="P56" s="65"/>
      <c r="Q56" s="65"/>
      <c r="R56" s="65"/>
      <c r="S56" s="689"/>
      <c r="X56" s="83"/>
      <c r="Y56" s="83"/>
      <c r="AA56" s="84" t="s">
        <v>1313</v>
      </c>
      <c r="AB56" s="84" t="s">
        <v>1314</v>
      </c>
      <c r="AC56" s="84" t="s">
        <v>1315</v>
      </c>
      <c r="AG56" s="558"/>
      <c r="AI56" s="48"/>
      <c r="AJ56" s="48"/>
      <c r="AK56" s="48"/>
      <c r="AL56" s="48"/>
      <c r="AM56" s="48"/>
    </row>
    <row r="57" spans="1:47" x14ac:dyDescent="0.25">
      <c r="A57" s="452"/>
      <c r="B57" s="452"/>
      <c r="C57" s="639"/>
      <c r="D57" s="750"/>
      <c r="E57" s="750"/>
      <c r="F57" s="645"/>
      <c r="G57" s="417"/>
      <c r="H57" s="417"/>
      <c r="J57" s="48"/>
      <c r="K57" s="48"/>
      <c r="L57" s="48"/>
      <c r="M57" s="48"/>
      <c r="N57" s="65"/>
      <c r="P57" s="65"/>
      <c r="Q57" s="65"/>
      <c r="R57" s="65"/>
      <c r="S57" s="707"/>
      <c r="U57" s="83"/>
      <c r="V57" s="83"/>
      <c r="W57" s="83"/>
      <c r="X57" s="780" t="s">
        <v>52</v>
      </c>
      <c r="Y57" s="780"/>
      <c r="Z57" s="781"/>
      <c r="AA57" s="782"/>
      <c r="AB57" s="782"/>
      <c r="AC57" s="781"/>
      <c r="AG57" s="558"/>
      <c r="AI57" s="48"/>
      <c r="AJ57" s="48"/>
      <c r="AK57" s="48"/>
      <c r="AL57" s="48"/>
      <c r="AM57" s="48"/>
    </row>
    <row r="58" spans="1:47" x14ac:dyDescent="0.25">
      <c r="A58" s="452"/>
      <c r="B58" s="452"/>
      <c r="C58" s="639"/>
      <c r="D58" s="750"/>
      <c r="E58" s="750"/>
      <c r="F58" s="645"/>
      <c r="G58" s="417"/>
      <c r="H58" s="417"/>
      <c r="J58" s="48"/>
      <c r="K58" s="48"/>
      <c r="L58" s="48"/>
      <c r="M58" s="48"/>
      <c r="N58" s="65"/>
      <c r="P58" s="65"/>
      <c r="Q58" s="65"/>
      <c r="R58" s="65"/>
      <c r="S58" s="689"/>
      <c r="T58" s="707"/>
      <c r="X58" s="83" t="s">
        <v>1316</v>
      </c>
      <c r="Z58" s="51">
        <v>750</v>
      </c>
      <c r="AA58" s="48">
        <f>$F$70-$F$71</f>
        <v>0</v>
      </c>
      <c r="AB58" s="48">
        <v>7</v>
      </c>
      <c r="AC58" s="89">
        <f>($AB58 - $AA58) * $Z58/10</f>
        <v>525</v>
      </c>
      <c r="AG58" s="558"/>
      <c r="AI58" s="48"/>
      <c r="AJ58" s="48"/>
      <c r="AK58" s="48"/>
      <c r="AL58" s="48"/>
      <c r="AM58" s="48"/>
    </row>
    <row r="59" spans="1:47" x14ac:dyDescent="0.25">
      <c r="A59" s="452"/>
      <c r="B59" s="452"/>
      <c r="C59" s="639"/>
      <c r="D59" s="750"/>
      <c r="E59" s="750"/>
      <c r="F59" s="645"/>
      <c r="G59" s="417"/>
      <c r="H59" s="417"/>
      <c r="J59" s="48"/>
      <c r="K59" s="48"/>
      <c r="L59" s="48"/>
      <c r="M59" s="48"/>
      <c r="N59" s="65"/>
      <c r="P59" s="65"/>
      <c r="Q59" s="65"/>
      <c r="R59" s="65"/>
      <c r="S59" s="689"/>
      <c r="T59" s="707"/>
      <c r="X59" s="780" t="s">
        <v>1385</v>
      </c>
      <c r="Y59" s="780"/>
      <c r="Z59" s="781"/>
      <c r="AA59" s="782"/>
      <c r="AB59" s="782"/>
      <c r="AC59" s="781"/>
      <c r="AG59" s="558"/>
      <c r="AI59" s="48"/>
      <c r="AJ59" s="48"/>
      <c r="AK59" s="48"/>
      <c r="AL59" s="48"/>
      <c r="AM59" s="48"/>
    </row>
    <row r="60" spans="1:47" x14ac:dyDescent="0.25">
      <c r="A60" s="452"/>
      <c r="B60" s="452"/>
      <c r="C60" s="639"/>
      <c r="D60" s="750"/>
      <c r="E60" s="750"/>
      <c r="F60" s="645"/>
      <c r="G60" s="417"/>
      <c r="H60" s="417"/>
      <c r="J60" s="48"/>
      <c r="K60" s="48"/>
      <c r="L60" s="48"/>
      <c r="M60" s="558"/>
      <c r="R60" s="65"/>
      <c r="S60" s="709"/>
      <c r="T60" s="707"/>
      <c r="X60" s="83" t="s">
        <v>1393</v>
      </c>
      <c r="Y60" s="83"/>
      <c r="Z60" s="51">
        <v>600</v>
      </c>
      <c r="AA60" s="48">
        <f>$M$29</f>
        <v>0</v>
      </c>
      <c r="AB60" s="709">
        <f>AA60+Y53*0.25</f>
        <v>-2.5</v>
      </c>
      <c r="AC60" s="89">
        <f>(AB60-AA60)*Z60</f>
        <v>-1500</v>
      </c>
      <c r="AG60" s="558"/>
      <c r="AI60" s="48"/>
      <c r="AJ60" s="48"/>
      <c r="AK60" s="48"/>
      <c r="AL60" s="48"/>
      <c r="AM60" s="48"/>
    </row>
    <row r="61" spans="1:47" x14ac:dyDescent="0.25">
      <c r="A61" s="452"/>
      <c r="B61" s="452"/>
      <c r="C61" s="639"/>
      <c r="D61" s="750"/>
      <c r="E61" s="750"/>
      <c r="F61" s="645"/>
      <c r="G61" s="417"/>
      <c r="H61" s="417"/>
      <c r="I61" s="48"/>
      <c r="J61" s="48"/>
      <c r="K61" s="48"/>
      <c r="L61" s="48"/>
      <c r="N61" s="738" t="s">
        <v>19</v>
      </c>
      <c r="O61" s="48"/>
      <c r="P61" s="51"/>
      <c r="Q61" s="65"/>
      <c r="R61" s="65"/>
      <c r="S61" s="65"/>
      <c r="T61" s="65"/>
      <c r="X61" s="780" t="s">
        <v>1364</v>
      </c>
      <c r="Y61" s="780"/>
      <c r="Z61" s="781"/>
      <c r="AA61" s="782"/>
      <c r="AB61" s="782"/>
      <c r="AC61" s="781"/>
      <c r="AI61" s="48"/>
      <c r="AJ61" s="48"/>
      <c r="AK61" s="48"/>
      <c r="AL61" s="48"/>
      <c r="AM61" s="48"/>
    </row>
    <row r="62" spans="1:47" x14ac:dyDescent="0.25">
      <c r="A62" s="452"/>
      <c r="B62" s="452"/>
      <c r="C62" s="639"/>
      <c r="D62" s="750"/>
      <c r="E62" s="750"/>
      <c r="F62" s="645"/>
      <c r="G62" s="417"/>
      <c r="H62" s="417"/>
      <c r="J62" s="48"/>
      <c r="K62" s="48"/>
      <c r="L62" s="48"/>
      <c r="N62" s="736"/>
      <c r="O62" s="759" t="s">
        <v>9</v>
      </c>
      <c r="P62" s="413" t="s">
        <v>83</v>
      </c>
      <c r="Q62" s="413" t="s">
        <v>11</v>
      </c>
      <c r="R62" s="413" t="s">
        <v>758</v>
      </c>
      <c r="S62" s="413" t="s">
        <v>110</v>
      </c>
      <c r="T62" s="737" t="s">
        <v>13</v>
      </c>
      <c r="X62" s="83" t="s">
        <v>1401</v>
      </c>
      <c r="Y62" s="83"/>
      <c r="Z62" s="51">
        <v>-100</v>
      </c>
      <c r="AA62" s="48">
        <v>93</v>
      </c>
      <c r="AB62" s="709">
        <f ca="1">+$AB$53</f>
        <v>85.1</v>
      </c>
      <c r="AC62" s="89">
        <f ca="1">(AB62-AA62)*Z62</f>
        <v>790.00000000000057</v>
      </c>
      <c r="AG62" s="558"/>
      <c r="AI62" s="48"/>
      <c r="AJ62" s="48"/>
      <c r="AK62" s="48"/>
      <c r="AL62" s="48"/>
      <c r="AM62" s="48"/>
      <c r="AN62" s="689"/>
    </row>
    <row r="63" spans="1:47" x14ac:dyDescent="0.25">
      <c r="A63" s="452"/>
      <c r="B63" s="452"/>
      <c r="C63" s="639"/>
      <c r="D63" s="750"/>
      <c r="E63" s="750"/>
      <c r="F63" s="645"/>
      <c r="G63" s="417"/>
      <c r="H63" s="417"/>
      <c r="J63" s="48"/>
      <c r="K63" s="48"/>
      <c r="L63" s="48"/>
      <c r="N63" s="736"/>
      <c r="O63" s="761"/>
      <c r="P63" s="760"/>
      <c r="Q63" s="416"/>
      <c r="R63" s="259"/>
      <c r="S63" s="259"/>
      <c r="T63" s="259"/>
      <c r="X63" s="83" t="s">
        <v>1401</v>
      </c>
      <c r="Z63" s="51">
        <v>-100</v>
      </c>
      <c r="AA63" s="48">
        <v>91</v>
      </c>
      <c r="AB63" s="709">
        <f ca="1">+$AB$53</f>
        <v>85.1</v>
      </c>
      <c r="AC63" s="89">
        <f ca="1">(AB63-AA63)*Z63</f>
        <v>590.00000000000057</v>
      </c>
      <c r="AH63" s="48"/>
      <c r="AI63" s="48"/>
      <c r="AJ63" s="48"/>
      <c r="AK63" s="48"/>
      <c r="AL63" s="48"/>
      <c r="AM63" s="48"/>
      <c r="AN63" s="689"/>
    </row>
    <row r="64" spans="1:47" x14ac:dyDescent="0.25">
      <c r="A64" s="452"/>
      <c r="B64" s="452"/>
      <c r="C64" s="639"/>
      <c r="D64" s="750"/>
      <c r="E64" s="750"/>
      <c r="F64" s="645"/>
      <c r="G64" s="417"/>
      <c r="H64" s="417"/>
      <c r="J64" s="48"/>
      <c r="K64" s="48"/>
      <c r="L64" s="48"/>
      <c r="N64" s="736"/>
      <c r="O64" s="761"/>
      <c r="P64" s="760"/>
      <c r="Q64" s="416"/>
      <c r="R64" s="259"/>
      <c r="S64" s="259"/>
      <c r="T64" s="259"/>
      <c r="X64" s="721"/>
      <c r="Y64" s="721"/>
      <c r="AA64" s="709"/>
      <c r="AB64" s="48"/>
      <c r="AC64" s="89"/>
      <c r="AG64" s="48"/>
      <c r="AI64" s="48"/>
      <c r="AJ64" s="48"/>
      <c r="AK64" s="48"/>
      <c r="AL64" s="48"/>
      <c r="AM64" s="48"/>
      <c r="AN64" s="689"/>
    </row>
    <row r="65" spans="1:40" x14ac:dyDescent="0.25">
      <c r="A65" s="452"/>
      <c r="B65" s="452"/>
      <c r="C65" s="639"/>
      <c r="D65" s="750"/>
      <c r="E65" s="750"/>
      <c r="F65" s="645"/>
      <c r="G65" s="417"/>
      <c r="H65" s="417"/>
      <c r="J65" s="48"/>
      <c r="K65" s="48"/>
      <c r="L65" s="48"/>
      <c r="N65" s="736" t="s">
        <v>1399</v>
      </c>
      <c r="O65" s="761">
        <f>$C$70</f>
        <v>0</v>
      </c>
      <c r="P65" s="760">
        <v>13</v>
      </c>
      <c r="Q65" s="416">
        <f>$F$70-$F$71</f>
        <v>0</v>
      </c>
      <c r="R65" s="259">
        <f>($P65*$O65)/10</f>
        <v>0</v>
      </c>
      <c r="S65" s="259">
        <f>($Q65-$P65)*$O65/10</f>
        <v>0</v>
      </c>
      <c r="T65" s="259">
        <f>-($R65 + $S65)</f>
        <v>0</v>
      </c>
      <c r="X65" s="721"/>
      <c r="Y65" s="721"/>
      <c r="AA65" s="709"/>
      <c r="AB65" s="48"/>
      <c r="AC65" s="89">
        <f ca="1">SUM(AC58:AC62)</f>
        <v>-184.99999999999943</v>
      </c>
      <c r="AI65" s="48"/>
      <c r="AJ65" s="48"/>
      <c r="AK65" s="48"/>
      <c r="AL65" s="48"/>
      <c r="AM65" s="48"/>
      <c r="AN65" s="689"/>
    </row>
    <row r="66" spans="1:40" x14ac:dyDescent="0.25">
      <c r="A66" s="452" t="s">
        <v>35</v>
      </c>
      <c r="B66" s="452"/>
      <c r="C66" s="452"/>
      <c r="D66" s="452"/>
      <c r="E66" s="452"/>
      <c r="F66" s="645">
        <f>SUBTOTAL(109,New_PnL[Daily])</f>
        <v>0</v>
      </c>
      <c r="G66" s="417"/>
      <c r="H66" s="417"/>
      <c r="J66" s="48"/>
      <c r="K66" s="48"/>
      <c r="L66" s="48"/>
      <c r="N66" s="736"/>
      <c r="O66" s="761"/>
      <c r="P66" s="760"/>
      <c r="Q66" s="416"/>
      <c r="R66" s="259"/>
      <c r="S66" s="259"/>
      <c r="T66" s="259"/>
      <c r="X66" s="83"/>
      <c r="Y66" s="83"/>
      <c r="Z66" s="83"/>
      <c r="AA66" s="100"/>
      <c r="AB66" s="68"/>
      <c r="AC66" s="89"/>
      <c r="AI66" s="48"/>
      <c r="AJ66" s="48"/>
      <c r="AK66" s="48"/>
      <c r="AL66" s="48"/>
      <c r="AM66" s="48"/>
      <c r="AN66" s="689"/>
    </row>
    <row r="67" spans="1:40" x14ac:dyDescent="0.25">
      <c r="A67" s="417"/>
      <c r="B67" s="417"/>
      <c r="C67" s="417"/>
      <c r="D67" s="417"/>
      <c r="E67" s="417"/>
      <c r="F67" s="417"/>
      <c r="G67" s="417"/>
      <c r="H67" s="417"/>
      <c r="I67" s="48"/>
      <c r="J67" s="48"/>
      <c r="K67" s="48"/>
      <c r="L67" s="48"/>
      <c r="N67" s="101" t="s">
        <v>35</v>
      </c>
      <c r="O67" s="760"/>
      <c r="P67" s="102"/>
      <c r="Q67" s="412"/>
      <c r="R67" s="552">
        <f>SUM(R63:R66)</f>
        <v>0</v>
      </c>
      <c r="S67" s="552">
        <f>SUM(S63:S66)</f>
        <v>0</v>
      </c>
      <c r="T67" s="552">
        <f>SUM(T64:T66)</f>
        <v>0</v>
      </c>
      <c r="AC67" s="89"/>
      <c r="AG67" s="48"/>
      <c r="AI67" s="48"/>
      <c r="AJ67" s="48"/>
      <c r="AK67" s="48"/>
      <c r="AL67" s="48"/>
      <c r="AM67" s="48"/>
      <c r="AN67" s="689"/>
    </row>
    <row r="68" spans="1:40" x14ac:dyDescent="0.25">
      <c r="A68" s="828" t="s">
        <v>108</v>
      </c>
      <c r="B68" s="828"/>
      <c r="C68" s="828"/>
      <c r="D68" s="828"/>
      <c r="E68" s="828"/>
      <c r="F68" s="828"/>
      <c r="G68" s="828"/>
      <c r="H68" s="828"/>
      <c r="J68" s="48"/>
      <c r="K68" s="48"/>
      <c r="L68" s="48"/>
      <c r="M68" s="48"/>
      <c r="S68" s="48"/>
      <c r="AG68" s="558"/>
      <c r="AI68" s="48"/>
      <c r="AJ68" s="48"/>
      <c r="AK68" s="48"/>
      <c r="AL68" s="48"/>
      <c r="AM68" s="48"/>
      <c r="AN68" s="689"/>
    </row>
    <row r="69" spans="1:40" x14ac:dyDescent="0.25">
      <c r="A69" s="419" t="s">
        <v>27</v>
      </c>
      <c r="B69" s="419" t="s">
        <v>107</v>
      </c>
      <c r="C69" s="418" t="s">
        <v>9</v>
      </c>
      <c r="D69" s="418" t="s">
        <v>83</v>
      </c>
      <c r="E69" s="418" t="s">
        <v>109</v>
      </c>
      <c r="F69" s="418" t="s">
        <v>11</v>
      </c>
      <c r="G69" s="418" t="s">
        <v>110</v>
      </c>
      <c r="H69" s="418" t="s">
        <v>26</v>
      </c>
      <c r="J69" s="48"/>
      <c r="K69" s="68"/>
      <c r="L69" s="68"/>
      <c r="N69" s="48"/>
      <c r="O69" s="48"/>
      <c r="P69" s="48"/>
      <c r="Q69" s="48"/>
      <c r="R69" s="48"/>
      <c r="S69" s="48"/>
      <c r="T69" s="48"/>
      <c r="AH69" s="558"/>
      <c r="AI69" s="48"/>
      <c r="AJ69" s="48"/>
      <c r="AK69" s="48"/>
      <c r="AL69" s="48"/>
      <c r="AM69" s="48"/>
      <c r="AN69" s="689"/>
    </row>
    <row r="70" spans="1:40" x14ac:dyDescent="0.25">
      <c r="A70" s="452"/>
      <c r="B70" s="452"/>
      <c r="C70" s="639"/>
      <c r="D70" s="750"/>
      <c r="E70" s="750"/>
      <c r="F70" s="750"/>
      <c r="G70" s="640"/>
      <c r="H70" s="645"/>
      <c r="J70" s="756"/>
      <c r="L70" s="48"/>
      <c r="AI70" s="48"/>
      <c r="AJ70" s="48"/>
      <c r="AK70" s="48"/>
      <c r="AL70" s="48"/>
      <c r="AM70" s="48"/>
      <c r="AN70" s="689"/>
    </row>
    <row r="71" spans="1:40" x14ac:dyDescent="0.25">
      <c r="A71" s="452"/>
      <c r="B71" s="452"/>
      <c r="C71" s="639"/>
      <c r="D71" s="750"/>
      <c r="E71" s="750"/>
      <c r="F71" s="750"/>
      <c r="G71" s="640"/>
      <c r="H71" s="645"/>
      <c r="J71" s="758"/>
      <c r="L71" s="48"/>
      <c r="O71" s="51"/>
      <c r="P71" s="51"/>
      <c r="Q71" s="51"/>
      <c r="R71" s="48"/>
      <c r="S71" s="48"/>
      <c r="AG71" s="48"/>
      <c r="AI71" s="48"/>
      <c r="AJ71" s="48"/>
      <c r="AK71" s="48"/>
      <c r="AL71" s="48"/>
      <c r="AM71" s="48"/>
      <c r="AN71" s="689"/>
    </row>
    <row r="72" spans="1:40" x14ac:dyDescent="0.25">
      <c r="A72" s="452"/>
      <c r="B72" s="452"/>
      <c r="C72" s="639"/>
      <c r="D72" s="750"/>
      <c r="E72" s="750"/>
      <c r="F72" s="750"/>
      <c r="G72" s="640"/>
      <c r="H72" s="645"/>
      <c r="J72" s="48"/>
      <c r="K72" s="48"/>
      <c r="O72" s="51"/>
      <c r="P72" s="51"/>
      <c r="Q72" s="51"/>
      <c r="AG72" s="48"/>
      <c r="AI72" s="48"/>
      <c r="AJ72" s="48"/>
      <c r="AK72" s="48"/>
      <c r="AL72" s="48"/>
      <c r="AM72" s="48"/>
      <c r="AN72" s="689"/>
    </row>
    <row r="73" spans="1:40" x14ac:dyDescent="0.25">
      <c r="A73" s="452"/>
      <c r="B73" s="452"/>
      <c r="C73" s="639"/>
      <c r="D73" s="750"/>
      <c r="E73" s="750"/>
      <c r="F73" s="750"/>
      <c r="G73" s="639"/>
      <c r="H73" s="645"/>
      <c r="L73" s="48"/>
      <c r="O73" s="51"/>
      <c r="P73" s="51"/>
      <c r="Q73" s="51"/>
      <c r="AI73" s="48"/>
      <c r="AJ73" s="48"/>
      <c r="AK73" s="48"/>
      <c r="AL73" s="48"/>
      <c r="AM73" s="48"/>
    </row>
    <row r="74" spans="1:40" x14ac:dyDescent="0.25">
      <c r="A74" s="452"/>
      <c r="B74" s="452"/>
      <c r="C74" s="639"/>
      <c r="D74" s="750"/>
      <c r="E74" s="750"/>
      <c r="F74" s="750"/>
      <c r="G74" s="640"/>
      <c r="H74" s="645"/>
      <c r="L74" s="48"/>
      <c r="M74" s="51" t="s">
        <v>266</v>
      </c>
      <c r="O74" s="51"/>
      <c r="P74" s="51"/>
      <c r="Q74" s="51"/>
      <c r="AI74" s="48"/>
      <c r="AJ74" s="48"/>
      <c r="AK74" s="48"/>
      <c r="AL74" s="48"/>
      <c r="AM74" s="48"/>
    </row>
    <row r="75" spans="1:40" x14ac:dyDescent="0.25">
      <c r="A75" s="452"/>
      <c r="B75" s="452"/>
      <c r="C75" s="639"/>
      <c r="D75" s="750"/>
      <c r="E75" s="750"/>
      <c r="F75" s="750"/>
      <c r="G75" s="639"/>
      <c r="H75" s="645"/>
      <c r="K75" s="68"/>
      <c r="L75" s="68"/>
      <c r="M75" s="48">
        <v>82.2</v>
      </c>
      <c r="O75" s="51"/>
      <c r="P75" s="51"/>
      <c r="Q75" s="51"/>
      <c r="S75" s="48"/>
      <c r="AI75" s="48"/>
      <c r="AJ75" s="48"/>
      <c r="AK75" s="48"/>
      <c r="AL75" s="48"/>
      <c r="AM75" s="48"/>
    </row>
    <row r="76" spans="1:40" x14ac:dyDescent="0.25">
      <c r="A76" s="452"/>
      <c r="B76" s="452"/>
      <c r="C76" s="639"/>
      <c r="D76" s="750"/>
      <c r="E76" s="750"/>
      <c r="F76" s="750"/>
      <c r="G76" s="640"/>
      <c r="H76" s="645"/>
      <c r="J76" s="51" t="s">
        <v>1400</v>
      </c>
      <c r="L76" s="48"/>
      <c r="M76" s="48" t="str">
        <f ca="1">Crd!$X$21</f>
        <v/>
      </c>
      <c r="O76" s="51"/>
      <c r="P76" s="51"/>
      <c r="Q76" s="51"/>
    </row>
    <row r="77" spans="1:40" x14ac:dyDescent="0.25">
      <c r="A77" s="452"/>
      <c r="B77" s="452"/>
      <c r="C77" s="639"/>
      <c r="D77" s="750"/>
      <c r="E77" s="750"/>
      <c r="F77" s="750"/>
      <c r="G77" s="640"/>
      <c r="H77" s="645"/>
      <c r="J77" s="799"/>
      <c r="L77" s="94"/>
      <c r="M77" s="48" t="e">
        <f ca="1">M75-M76</f>
        <v>#VALUE!</v>
      </c>
      <c r="N77" s="68"/>
      <c r="O77" s="51"/>
      <c r="P77" s="51"/>
      <c r="Q77" s="51"/>
    </row>
    <row r="78" spans="1:40" x14ac:dyDescent="0.25">
      <c r="A78" s="452"/>
      <c r="B78" s="452"/>
      <c r="C78" s="639"/>
      <c r="D78" s="750"/>
      <c r="E78" s="750"/>
      <c r="F78" s="750"/>
      <c r="G78" s="639"/>
      <c r="H78" s="645"/>
      <c r="O78" s="48"/>
      <c r="P78" s="51"/>
      <c r="Q78" s="51"/>
    </row>
    <row r="79" spans="1:40" x14ac:dyDescent="0.25">
      <c r="A79" s="452"/>
      <c r="B79" s="452"/>
      <c r="C79" s="639"/>
      <c r="D79" s="750"/>
      <c r="E79" s="750"/>
      <c r="F79" s="750"/>
      <c r="G79" s="639"/>
      <c r="H79" s="645"/>
      <c r="L79" s="48"/>
      <c r="N79" s="48"/>
      <c r="O79" s="51"/>
      <c r="P79" s="51"/>
      <c r="Q79" s="51"/>
    </row>
    <row r="80" spans="1:40" x14ac:dyDescent="0.25">
      <c r="A80" s="452"/>
      <c r="B80" s="452"/>
      <c r="C80" s="639"/>
      <c r="D80" s="750"/>
      <c r="E80" s="750"/>
      <c r="F80" s="750"/>
      <c r="G80" s="639"/>
      <c r="H80" s="645"/>
      <c r="O80" s="51"/>
      <c r="P80" s="51"/>
      <c r="Q80" s="51"/>
    </row>
    <row r="81" spans="1:28" x14ac:dyDescent="0.25">
      <c r="A81" s="452"/>
      <c r="B81" s="452"/>
      <c r="C81" s="639"/>
      <c r="D81" s="750"/>
      <c r="E81" s="750"/>
      <c r="F81" s="750"/>
      <c r="G81" s="639"/>
      <c r="H81" s="645"/>
      <c r="J81" s="51" t="s">
        <v>1402</v>
      </c>
      <c r="O81" s="51"/>
      <c r="P81" s="51"/>
      <c r="Q81" s="51"/>
    </row>
    <row r="82" spans="1:28" x14ac:dyDescent="0.25">
      <c r="A82" s="452"/>
      <c r="B82" s="452"/>
      <c r="C82" s="639"/>
      <c r="D82" s="750"/>
      <c r="E82" s="750"/>
      <c r="F82" s="750"/>
      <c r="G82" s="640"/>
      <c r="H82" s="645"/>
      <c r="J82" s="68"/>
      <c r="O82" s="51"/>
      <c r="P82" s="51"/>
      <c r="Q82" s="51"/>
    </row>
    <row r="83" spans="1:28" x14ac:dyDescent="0.25">
      <c r="A83" s="452"/>
      <c r="B83" s="452"/>
      <c r="C83" s="639"/>
      <c r="D83" s="750"/>
      <c r="E83" s="750"/>
      <c r="F83" s="750"/>
      <c r="G83" s="640"/>
      <c r="H83" s="645"/>
      <c r="K83" s="68"/>
      <c r="O83" s="51"/>
      <c r="P83" s="51"/>
      <c r="Q83" s="51"/>
    </row>
    <row r="84" spans="1:28" x14ac:dyDescent="0.25">
      <c r="A84" s="452" t="s">
        <v>35</v>
      </c>
      <c r="B84" s="452"/>
      <c r="C84" s="452"/>
      <c r="D84" s="750"/>
      <c r="E84" s="750"/>
      <c r="F84" s="750"/>
      <c r="G84" s="637">
        <f>SUBTOTAL(109,Pos_PnL[YtD])</f>
        <v>0</v>
      </c>
      <c r="H84" s="645">
        <f>SUBTOTAL(109,Pos_PnL[Daily])</f>
        <v>0</v>
      </c>
      <c r="O84" s="51"/>
      <c r="P84" s="51"/>
      <c r="Q84" s="51"/>
    </row>
    <row r="85" spans="1:28" x14ac:dyDescent="0.25">
      <c r="A85" s="417"/>
      <c r="B85" s="417"/>
      <c r="C85" s="417"/>
      <c r="D85" s="417"/>
      <c r="E85" s="417"/>
      <c r="F85" s="417"/>
      <c r="G85" s="417"/>
      <c r="H85" s="417"/>
      <c r="O85" s="51"/>
      <c r="P85" s="51"/>
      <c r="Q85" s="51"/>
    </row>
    <row r="86" spans="1:28" x14ac:dyDescent="0.25">
      <c r="A86" s="829" t="s">
        <v>1285</v>
      </c>
      <c r="B86" s="829"/>
      <c r="C86" s="829"/>
      <c r="D86" s="829"/>
      <c r="E86" s="829"/>
      <c r="F86" s="829"/>
      <c r="G86" s="829"/>
      <c r="H86" s="829"/>
      <c r="O86" s="51"/>
      <c r="P86" s="51"/>
      <c r="Q86" s="51"/>
    </row>
    <row r="87" spans="1:28" x14ac:dyDescent="0.25">
      <c r="A87" s="712" t="s">
        <v>27</v>
      </c>
      <c r="B87" s="712" t="s">
        <v>107</v>
      </c>
      <c r="C87" s="713" t="s">
        <v>9</v>
      </c>
      <c r="D87" s="713" t="s">
        <v>83</v>
      </c>
      <c r="E87" s="713" t="s">
        <v>109</v>
      </c>
      <c r="F87" s="713" t="s">
        <v>11</v>
      </c>
      <c r="G87" s="713" t="s">
        <v>110</v>
      </c>
      <c r="H87" s="713" t="s">
        <v>26</v>
      </c>
      <c r="O87" s="51"/>
      <c r="P87" s="51"/>
      <c r="Q87" s="51"/>
      <c r="AB87" s="572"/>
    </row>
    <row r="88" spans="1:28" x14ac:dyDescent="0.25">
      <c r="A88" s="517" t="s">
        <v>30</v>
      </c>
      <c r="B88" s="273"/>
      <c r="C88" s="494"/>
      <c r="D88" s="299"/>
      <c r="E88" s="299"/>
      <c r="F88" s="273"/>
      <c r="G88" s="717"/>
      <c r="H88" s="717"/>
      <c r="O88" s="51"/>
      <c r="P88" s="51"/>
      <c r="Q88" s="51"/>
      <c r="AB88" s="572"/>
    </row>
    <row r="89" spans="1:28" x14ac:dyDescent="0.25">
      <c r="A89" s="273"/>
      <c r="B89" s="273"/>
      <c r="C89" s="494"/>
      <c r="D89" s="299"/>
      <c r="E89" s="299"/>
      <c r="F89" s="299"/>
      <c r="G89" s="714"/>
      <c r="H89" s="715"/>
      <c r="O89" s="51"/>
      <c r="P89" s="51"/>
      <c r="Q89" s="51"/>
      <c r="AB89" s="572"/>
    </row>
    <row r="90" spans="1:28" x14ac:dyDescent="0.25">
      <c r="A90" s="273"/>
      <c r="B90" s="273"/>
      <c r="C90" s="494"/>
      <c r="D90" s="299"/>
      <c r="E90" s="299"/>
      <c r="F90" s="299"/>
      <c r="G90" s="714"/>
      <c r="H90" s="715"/>
      <c r="O90" s="51"/>
      <c r="P90" s="51"/>
      <c r="Q90" s="51"/>
    </row>
    <row r="91" spans="1:28" x14ac:dyDescent="0.25">
      <c r="A91" s="273"/>
      <c r="B91" s="273"/>
      <c r="C91" s="494"/>
      <c r="D91" s="299"/>
      <c r="E91" s="299"/>
      <c r="F91" s="299"/>
      <c r="G91" s="714"/>
      <c r="H91" s="715"/>
      <c r="O91" s="51"/>
      <c r="P91" s="51"/>
      <c r="Q91" s="51"/>
    </row>
    <row r="92" spans="1:28" x14ac:dyDescent="0.25">
      <c r="A92" s="273"/>
      <c r="B92" s="273"/>
      <c r="C92" s="494"/>
      <c r="D92" s="299"/>
      <c r="E92" s="299"/>
      <c r="F92" s="299"/>
      <c r="G92" s="714"/>
      <c r="H92" s="715"/>
      <c r="O92" s="51"/>
      <c r="P92" s="51"/>
      <c r="Q92" s="51"/>
    </row>
    <row r="93" spans="1:28" x14ac:dyDescent="0.25">
      <c r="A93" s="273"/>
      <c r="B93" s="273"/>
      <c r="C93" s="494"/>
      <c r="D93" s="299"/>
      <c r="E93" s="299"/>
      <c r="F93" s="299"/>
      <c r="G93" s="714"/>
      <c r="H93" s="715"/>
      <c r="P93" s="51"/>
      <c r="Q93" s="51"/>
    </row>
    <row r="94" spans="1:28" x14ac:dyDescent="0.25">
      <c r="A94" s="273"/>
      <c r="B94" s="273"/>
      <c r="C94" s="494"/>
      <c r="D94" s="299"/>
      <c r="E94" s="299"/>
      <c r="F94" s="273"/>
      <c r="G94" s="716"/>
      <c r="H94" s="715"/>
      <c r="K94" s="48"/>
      <c r="L94" s="68"/>
      <c r="O94" s="51"/>
      <c r="P94" s="51"/>
      <c r="Q94" s="51"/>
    </row>
    <row r="95" spans="1:28" x14ac:dyDescent="0.25">
      <c r="A95" s="273"/>
      <c r="B95" s="273"/>
      <c r="C95" s="494"/>
      <c r="D95" s="299"/>
      <c r="E95" s="299"/>
      <c r="F95" s="299"/>
      <c r="G95" s="714"/>
      <c r="H95" s="715"/>
      <c r="O95" s="51"/>
      <c r="P95" s="51"/>
      <c r="Q95" s="51"/>
    </row>
    <row r="96" spans="1:28" x14ac:dyDescent="0.25">
      <c r="A96" s="273"/>
      <c r="B96" s="273"/>
      <c r="C96" s="494"/>
      <c r="D96" s="299"/>
      <c r="E96" s="299"/>
      <c r="F96" s="273"/>
      <c r="G96" s="716"/>
      <c r="H96" s="715"/>
      <c r="O96" s="51"/>
      <c r="P96" s="51"/>
      <c r="Q96" s="51"/>
    </row>
    <row r="97" spans="1:17" x14ac:dyDescent="0.25">
      <c r="A97" s="273"/>
      <c r="B97" s="273"/>
      <c r="C97" s="494"/>
      <c r="D97" s="299"/>
      <c r="E97" s="299"/>
      <c r="F97" s="299"/>
      <c r="G97" s="714"/>
      <c r="H97" s="715"/>
      <c r="O97" s="51"/>
      <c r="P97" s="51"/>
      <c r="Q97" s="51"/>
    </row>
    <row r="98" spans="1:17" x14ac:dyDescent="0.25">
      <c r="A98" s="273"/>
      <c r="B98" s="273"/>
      <c r="C98" s="494"/>
      <c r="D98" s="299"/>
      <c r="E98" s="299"/>
      <c r="F98" s="273"/>
      <c r="G98" s="716"/>
      <c r="H98" s="715"/>
      <c r="O98" s="51"/>
      <c r="P98" s="51"/>
      <c r="Q98" s="51"/>
    </row>
    <row r="99" spans="1:17" x14ac:dyDescent="0.25">
      <c r="A99" s="273"/>
      <c r="B99" s="273"/>
      <c r="C99" s="494"/>
      <c r="D99" s="299"/>
      <c r="E99" s="299"/>
      <c r="F99" s="299"/>
      <c r="G99" s="714"/>
      <c r="H99" s="715"/>
      <c r="O99" s="51"/>
      <c r="P99" s="51"/>
      <c r="Q99" s="51"/>
    </row>
    <row r="100" spans="1:17" x14ac:dyDescent="0.25">
      <c r="A100" s="273"/>
      <c r="B100" s="273"/>
      <c r="C100" s="494"/>
      <c r="D100" s="299"/>
      <c r="E100" s="299"/>
      <c r="F100" s="299"/>
      <c r="G100" s="714"/>
      <c r="H100" s="715"/>
      <c r="O100" s="51"/>
      <c r="P100" s="51"/>
      <c r="Q100" s="51"/>
    </row>
    <row r="101" spans="1:17" x14ac:dyDescent="0.25">
      <c r="A101" s="273"/>
      <c r="B101" s="273"/>
      <c r="C101" s="494"/>
      <c r="D101" s="299"/>
      <c r="E101" s="299"/>
      <c r="F101" s="273"/>
      <c r="G101" s="716"/>
      <c r="H101" s="715"/>
      <c r="O101" s="51"/>
      <c r="P101" s="51"/>
      <c r="Q101" s="51"/>
    </row>
    <row r="102" spans="1:17" x14ac:dyDescent="0.25">
      <c r="A102" s="273" t="s">
        <v>35</v>
      </c>
      <c r="B102" s="273"/>
      <c r="C102" s="273"/>
      <c r="D102" s="273"/>
      <c r="E102" s="273"/>
      <c r="F102" s="273"/>
      <c r="G102" s="716">
        <f>SUBTOTAL(109,Pos_PnL_Mgmt[YtD])</f>
        <v>0</v>
      </c>
      <c r="H102" s="715">
        <f>SUBTOTAL(109,Pos_PnL_Mgmt[Daily])</f>
        <v>0</v>
      </c>
      <c r="O102" s="51"/>
      <c r="P102" s="51"/>
      <c r="Q102" s="51"/>
    </row>
    <row r="103" spans="1:17" x14ac:dyDescent="0.25">
      <c r="O103" s="51"/>
      <c r="P103" s="51"/>
      <c r="Q103" s="51"/>
    </row>
    <row r="104" spans="1:17" x14ac:dyDescent="0.25">
      <c r="O104" s="51"/>
      <c r="P104" s="51"/>
      <c r="Q104" s="51"/>
    </row>
    <row r="105" spans="1:17" x14ac:dyDescent="0.25">
      <c r="O105" s="51"/>
      <c r="P105" s="51"/>
      <c r="Q105" s="51"/>
    </row>
    <row r="106" spans="1:17" x14ac:dyDescent="0.25">
      <c r="M106" s="689"/>
      <c r="O106" s="51"/>
      <c r="P106" s="51"/>
      <c r="Q106" s="51"/>
    </row>
    <row r="107" spans="1:17" x14ac:dyDescent="0.25">
      <c r="C107" s="90"/>
      <c r="F107" s="94"/>
      <c r="H107" s="94"/>
      <c r="I107" s="48"/>
      <c r="J107" s="94"/>
      <c r="M107" s="94"/>
      <c r="O107" s="51"/>
      <c r="P107" s="51"/>
      <c r="Q107" s="51"/>
    </row>
    <row r="108" spans="1:17" x14ac:dyDescent="0.25">
      <c r="I108" s="48"/>
      <c r="J108" s="94"/>
      <c r="M108" s="48"/>
      <c r="O108" s="51"/>
      <c r="P108" s="51"/>
      <c r="Q108" s="51"/>
    </row>
    <row r="109" spans="1:17" x14ac:dyDescent="0.25">
      <c r="M109" s="48"/>
      <c r="O109" s="51"/>
      <c r="P109" s="51"/>
      <c r="Q109" s="51"/>
    </row>
    <row r="110" spans="1:17" x14ac:dyDescent="0.25">
      <c r="B110" s="84"/>
      <c r="C110" s="84"/>
      <c r="D110" s="84"/>
      <c r="E110" s="84"/>
      <c r="F110" s="84"/>
      <c r="I110" s="783"/>
      <c r="J110" s="801"/>
      <c r="K110" s="84"/>
      <c r="O110" s="51"/>
      <c r="P110" s="51"/>
      <c r="Q110" s="51"/>
    </row>
    <row r="111" spans="1:17" x14ac:dyDescent="0.25">
      <c r="A111" s="90"/>
      <c r="E111" s="94"/>
      <c r="J111" s="705"/>
      <c r="K111" s="451"/>
      <c r="O111" s="51"/>
      <c r="P111" s="51"/>
      <c r="Q111" s="51"/>
    </row>
    <row r="112" spans="1:17" x14ac:dyDescent="0.25">
      <c r="A112" s="90"/>
      <c r="E112" s="94"/>
      <c r="J112" s="705"/>
      <c r="K112" s="451"/>
      <c r="O112" s="51"/>
      <c r="P112" s="51"/>
      <c r="Q112" s="51"/>
    </row>
    <row r="113" spans="1:17" x14ac:dyDescent="0.25">
      <c r="A113" s="90"/>
      <c r="E113" s="94"/>
      <c r="J113" s="705"/>
      <c r="O113" s="51"/>
      <c r="P113" s="51"/>
      <c r="Q113" s="51"/>
    </row>
    <row r="114" spans="1:17" x14ac:dyDescent="0.25">
      <c r="A114" s="90"/>
      <c r="E114" s="94"/>
      <c r="J114" s="94"/>
      <c r="O114" s="51"/>
      <c r="P114" s="51"/>
      <c r="Q114" s="51"/>
    </row>
    <row r="115" spans="1:17" x14ac:dyDescent="0.25">
      <c r="A115" s="90"/>
      <c r="E115" s="94"/>
      <c r="J115" s="94"/>
      <c r="O115" s="51"/>
      <c r="P115" s="51"/>
      <c r="Q115" s="51"/>
    </row>
    <row r="116" spans="1:17" x14ac:dyDescent="0.25">
      <c r="A116" s="90"/>
      <c r="I116" s="94"/>
      <c r="J116" s="94"/>
      <c r="O116" s="51"/>
      <c r="P116" s="51"/>
      <c r="Q116" s="51"/>
    </row>
    <row r="117" spans="1:17" x14ac:dyDescent="0.25">
      <c r="A117" s="90"/>
      <c r="C117" s="48"/>
      <c r="D117" s="48"/>
      <c r="I117" s="94"/>
      <c r="J117" s="94"/>
      <c r="O117" s="51"/>
      <c r="P117" s="51"/>
      <c r="Q117" s="51"/>
    </row>
    <row r="118" spans="1:17" x14ac:dyDescent="0.25">
      <c r="A118" s="90"/>
      <c r="I118" s="94"/>
      <c r="J118" s="94"/>
      <c r="O118" s="51"/>
      <c r="P118" s="51"/>
      <c r="Q118" s="51"/>
    </row>
    <row r="119" spans="1:17" x14ac:dyDescent="0.25">
      <c r="A119" s="90"/>
      <c r="I119" s="94"/>
      <c r="J119" s="94"/>
      <c r="O119" s="51"/>
      <c r="P119" s="51"/>
      <c r="Q119" s="51"/>
    </row>
    <row r="120" spans="1:17" x14ac:dyDescent="0.25">
      <c r="A120" s="90"/>
      <c r="I120" s="94"/>
      <c r="J120" s="94"/>
      <c r="O120" s="51"/>
      <c r="P120" s="51"/>
      <c r="Q120" s="51"/>
    </row>
    <row r="121" spans="1:17" x14ac:dyDescent="0.25">
      <c r="A121" s="90"/>
      <c r="I121" s="94"/>
      <c r="J121" s="94"/>
      <c r="O121" s="51"/>
      <c r="P121" s="51"/>
      <c r="Q121" s="51"/>
    </row>
    <row r="122" spans="1:17" x14ac:dyDescent="0.25">
      <c r="A122" s="90"/>
      <c r="I122" s="94"/>
      <c r="J122" s="94"/>
      <c r="O122" s="51"/>
      <c r="P122" s="51"/>
      <c r="Q122" s="51"/>
    </row>
    <row r="123" spans="1:17" x14ac:dyDescent="0.25">
      <c r="A123" s="90"/>
      <c r="I123" s="94"/>
      <c r="J123" s="94"/>
      <c r="O123" s="51"/>
      <c r="P123" s="51"/>
      <c r="Q123" s="51"/>
    </row>
    <row r="124" spans="1:17" x14ac:dyDescent="0.25">
      <c r="A124" s="90"/>
      <c r="I124" s="94"/>
      <c r="J124" s="94"/>
      <c r="O124" s="51"/>
      <c r="P124" s="51"/>
      <c r="Q124" s="51"/>
    </row>
    <row r="125" spans="1:17" x14ac:dyDescent="0.25">
      <c r="A125" s="90"/>
      <c r="J125" s="94"/>
      <c r="O125" s="51"/>
      <c r="P125" s="51"/>
      <c r="Q125" s="51"/>
    </row>
    <row r="126" spans="1:17" x14ac:dyDescent="0.25">
      <c r="A126" s="90"/>
      <c r="J126" s="94"/>
      <c r="L126" s="733"/>
      <c r="O126" s="51"/>
      <c r="P126" s="51"/>
      <c r="Q126" s="51"/>
    </row>
    <row r="127" spans="1:17" x14ac:dyDescent="0.25">
      <c r="A127" s="90"/>
      <c r="J127" s="94"/>
      <c r="O127" s="51"/>
      <c r="P127" s="51"/>
      <c r="Q127" s="51"/>
    </row>
    <row r="128" spans="1:17" x14ac:dyDescent="0.25">
      <c r="A128" s="90"/>
      <c r="J128" s="94"/>
      <c r="O128" s="51"/>
      <c r="P128" s="51"/>
      <c r="Q128" s="51"/>
    </row>
    <row r="129" spans="1:10" s="51" customFormat="1" x14ac:dyDescent="0.25">
      <c r="A129" s="90"/>
      <c r="J129" s="94"/>
    </row>
    <row r="130" spans="1:10" s="51" customFormat="1" x14ac:dyDescent="0.25">
      <c r="A130" s="90"/>
    </row>
    <row r="131" spans="1:10" s="51" customFormat="1" x14ac:dyDescent="0.25">
      <c r="A131" s="90"/>
    </row>
    <row r="132" spans="1:10" s="51" customFormat="1" x14ac:dyDescent="0.25">
      <c r="A132" s="90"/>
    </row>
    <row r="133" spans="1:10" s="51" customFormat="1" x14ac:dyDescent="0.25"/>
    <row r="134" spans="1:10" s="51" customFormat="1" x14ac:dyDescent="0.25"/>
    <row r="135" spans="1:10" s="51" customFormat="1" x14ac:dyDescent="0.25">
      <c r="E135" s="94"/>
    </row>
    <row r="136" spans="1:10" s="51" customFormat="1" x14ac:dyDescent="0.25"/>
    <row r="137" spans="1:10" s="51" customFormat="1" x14ac:dyDescent="0.25"/>
    <row r="138" spans="1:10" s="51" customFormat="1" x14ac:dyDescent="0.25">
      <c r="A138" s="90"/>
    </row>
    <row r="139" spans="1:10" s="51" customFormat="1" x14ac:dyDescent="0.25">
      <c r="E139" s="94"/>
    </row>
    <row r="140" spans="1:10" s="51" customFormat="1" x14ac:dyDescent="0.25"/>
    <row r="141" spans="1:10" s="51" customFormat="1" x14ac:dyDescent="0.25"/>
  </sheetData>
  <mergeCells count="8">
    <mergeCell ref="A68:H68"/>
    <mergeCell ref="A86:H86"/>
    <mergeCell ref="A1:H1"/>
    <mergeCell ref="A10:B10"/>
    <mergeCell ref="A3:C3"/>
    <mergeCell ref="F3:H3"/>
    <mergeCell ref="A27:D27"/>
    <mergeCell ref="A54:F54"/>
  </mergeCells>
  <phoneticPr fontId="9" type="noConversion"/>
  <conditionalFormatting sqref="H11:H12 H24 H14:H18 H26:H28 H42:H43 H32:H37 H45:H47">
    <cfRule type="colorScale" priority="7">
      <colorScale>
        <cfvo type="num" val="-2"/>
        <cfvo type="num" val="0"/>
        <cfvo type="num" val="2"/>
        <color rgb="FFF8696B"/>
        <color theme="0" tint="-4.9989318521683403E-2"/>
        <color rgb="FF63BE7B"/>
      </colorScale>
    </cfRule>
  </conditionalFormatting>
  <conditionalFormatting sqref="H29:H30 H19 H40">
    <cfRule type="colorScale" priority="6">
      <colorScale>
        <cfvo type="num" val="-15"/>
        <cfvo type="num" val="0"/>
        <cfvo type="num" val="15"/>
        <color rgb="FFF8696B"/>
        <color theme="0" tint="-4.9989318521683403E-2"/>
        <color rgb="FF63BE7B"/>
      </colorScale>
    </cfRule>
  </conditionalFormatting>
  <conditionalFormatting sqref="H6:H9">
    <cfRule type="colorScale" priority="5">
      <colorScale>
        <cfvo type="num" val="-150"/>
        <cfvo type="num" val="0"/>
        <cfvo type="num" val="150"/>
        <color rgb="FFF8696B"/>
        <color theme="0" tint="-4.9989318521683403E-2"/>
        <color rgb="FF63BE7B"/>
      </colorScale>
    </cfRule>
  </conditionalFormatting>
  <conditionalFormatting sqref="H20:H21">
    <cfRule type="colorScale" priority="4">
      <colorScale>
        <cfvo type="num" val="-5"/>
        <cfvo type="num" val="0"/>
        <cfvo type="num" val="5"/>
        <color rgb="FFF8696B"/>
        <color theme="0" tint="-4.9989318521683403E-2"/>
        <color rgb="FF63BE7B"/>
      </colorScale>
    </cfRule>
  </conditionalFormatting>
  <conditionalFormatting sqref="H22">
    <cfRule type="colorScale" priority="3">
      <colorScale>
        <cfvo type="num" val="-15"/>
        <cfvo type="num" val="0"/>
        <cfvo type="num" val="15"/>
        <color rgb="FFF8696B"/>
        <color theme="0" tint="-4.9989318521683403E-2"/>
        <color rgb="FF63BE7B"/>
      </colorScale>
    </cfRule>
  </conditionalFormatting>
  <conditionalFormatting sqref="R3:R13">
    <cfRule type="colorScale" priority="2">
      <colorScale>
        <cfvo type="num" val="0"/>
        <cfvo type="num" val="0.5"/>
        <color rgb="FFF8696B"/>
        <color rgb="FFFCFCFF"/>
      </colorScale>
    </cfRule>
  </conditionalFormatting>
  <conditionalFormatting sqref="Q89">
    <cfRule type="colorScale" priority="1">
      <colorScale>
        <cfvo type="num" val="0"/>
        <cfvo type="num" val="0.5"/>
        <color rgb="FFF8696B"/>
        <color rgb="FFFCFCFF"/>
      </colorScale>
    </cfRule>
  </conditionalFormatting>
  <pageMargins left="0.7" right="0.7" top="0.75" bottom="0.75" header="0.3" footer="0.3"/>
  <pageSetup paperSize="9" orientation="portrait" verticalDpi="1200" r:id="rId1"/>
  <ignoredErrors>
    <ignoredError sqref="D41:D44 D50:D5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EmailRange">
                <anchor moveWithCells="1" sizeWithCells="1">
                  <from>
                    <xdr:col>23</xdr:col>
                    <xdr:colOff>0</xdr:colOff>
                    <xdr:row>6</xdr:row>
                    <xdr:rowOff>76200</xdr:rowOff>
                  </from>
                  <to>
                    <xdr:col>25</xdr:col>
                    <xdr:colOff>190500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webPublishItems count="702">
    <webPublishItem id="28800" divId="Oil Pricer_28800" sourceType="range" sourceRef="A1:H52" destinationFile="C:\Users\YVES~1.MIN\AppData\Local\Temp\rng_20260423_194735.htm"/>
    <webPublishItem id="20815" divId="Oil Pricer_20815" sourceType="range" sourceRef="A1:H52" destinationFile="C:\Users\YVES~1.MIN\AppData\Local\Temp\rng_20260423_195412.htm"/>
    <webPublishItem id="31406" divId="Oil Pricer_31406" sourceType="range" sourceRef="A1:H52" destinationFile="C:\Users\YVES~1.MIN\AppData\Local\Temp\rng_20260423_200546.htm"/>
    <webPublishItem id="3359" divId="Oil Pricer_3359" sourceType="range" sourceRef="A1:H52" destinationFile="C:\Users\YVES~1.MIN\AppData\Local\Temp\rng_20260424_164007.htm"/>
    <webPublishItem id="30323" divId="Oil Pricer_30323" sourceType="range" sourceRef="A1:H52" destinationFile="C:\Users\YVES~1.MIN\AppData\Local\Temp\rng_20260424_170447.htm"/>
    <webPublishItem id="14866" divId="Oil Pricer_14866" sourceType="range" sourceRef="A1:H52" destinationFile="C:\Users\YVES~1.MIN\AppData\Local\Temp\rng_20260424_170924.htm"/>
    <webPublishItem id="21366" divId="Oil Pricer_21366" sourceType="range" sourceRef="A1:H52" destinationFile="C:\Users\YVES~1.MIN\AppData\Local\Temp\rng_20260427_175203.htm"/>
    <webPublishItem id="20355" divId="Oil Pricer_20355" sourceType="range" sourceRef="A1:H52" destinationFile="C:\Users\YVES~1.MIN\AppData\Local\Temp\rng_20260427_181800.htm"/>
    <webPublishItem id="2624" divId="Oil Pricer_2624" sourceType="range" sourceRef="A1:H52" destinationFile="C:\Users\YVES~1.MIN\AppData\Local\Temp\rng_20260427_200652.htm"/>
    <webPublishItem id="19370" divId="Oil Pricer_19370" sourceType="range" sourceRef="A1:H69" destinationFile="C:\Users\YVES~1.MIN\AppData\Local\Temp\rng_20251126_174951.htm"/>
    <webPublishItem id="29281" divId="Oil Pricer_29281" sourceType="range" sourceRef="A1:H69" destinationFile="C:\Users\YVES~1.MIN\AppData\Local\Temp\rng_20251126_183611.htm"/>
    <webPublishItem id="11937" divId="Oil Pricer_11937" sourceType="range" sourceRef="A1:H69" destinationFile="C:\Users\YVES~1.MIN\AppData\Local\Temp\rng_20251126_191515.htm"/>
    <webPublishItem id="18098" divId="Oil Pricer_18098" sourceType="range" sourceRef="A1:H69" destinationFile="C:\Users\YVES~1.MIN\AppData\Local\Temp\rng_20251126_191654.htm"/>
    <webPublishItem id="30607" divId="Oil Pricer_30607" sourceType="range" sourceRef="A1:H69" destinationFile="C:\Users\YVES~1.MIN\AppData\Local\Temp\rng_20251126_192014.htm"/>
    <webPublishItem id="15639" divId="Oil Pricer_15639" sourceType="range" sourceRef="A1:H69" destinationFile="C:\Users\YVES~1.MIN\AppData\Local\Temp\rng_20251126_192459.htm"/>
    <webPublishItem id="31799" divId="Oil Pricer_31799" sourceType="range" sourceRef="A1:H69" destinationFile="C:\Users\YVES~1.MIN\AppData\Local\Temp\rng_20251126_192918.htm"/>
    <webPublishItem id="6768" divId="Oil Pricer_6768" sourceType="range" sourceRef="A1:H71" destinationFile="C:\Users\YVES~1.MIN\AppData\Local\Temp\rng_20250915_184253.htm"/>
    <webPublishItem id="6519" divId="Oil Pricer_6519" sourceType="range" sourceRef="A1:H71" destinationFile="C:\Users\YVES~1.MIN\AppData\Local\Temp\rng_20251205_164735.htm"/>
    <webPublishItem id="12177" divId="Oil Pricer_12177" sourceType="range" sourceRef="A1:H71" destinationFile="C:\Users\YVES~1.MIN\AppData\Local\Temp\rng_20251205_164906.htm"/>
    <webPublishItem id="5907" divId="Oil Pricer_5907" sourceType="range" sourceRef="A1:H71" destinationFile="C:\Users\YVES~1.MIN\AppData\Local\Temp\rng_20251205_165610.htm"/>
    <webPublishItem id="20039" divId="Oil Pricer_20039" sourceType="range" sourceRef="A1:H71" destinationFile="C:\Users\YVES~1.MIN\AppData\Local\Temp\rng_20251205_165956.htm"/>
    <webPublishItem id="9155" divId="Oil Pricer_9155" sourceType="range" sourceRef="A1:H71" destinationFile="C:\Users\YVES~1.MIN\AppData\Local\Temp\rng_20251205_170546.htm"/>
    <webPublishItem id="20021" divId="Oil Pricer_20021" sourceType="range" sourceRef="A1:H71" destinationFile="C:\Users\YVES~1.MIN\AppData\Local\Temp\rng_20251205_170840.htm"/>
    <webPublishItem id="20938" divId="Oil Pricer_20938" sourceType="range" sourceRef="A1:H71" destinationFile="C:\Users\YVES~1.MIN\AppData\Local\Temp\rng_20251205_171739.htm"/>
    <webPublishItem id="27313" divId="Oil Pricer_27313" sourceType="range" sourceRef="A1:H71" destinationFile="C:\Users\YVES~1.MIN\AppData\Local\Temp\rng_20251205_171921.htm"/>
    <webPublishItem id="20311" divId="Oil Pricer_20311" sourceType="range" sourceRef="A1:H71" destinationFile="C:\Users\YVES~1.MIN\AppData\Local\Temp\rng_20251205_174342.htm"/>
    <webPublishItem id="5792" divId="Oil Pricer_5792" sourceType="range" sourceRef="A1:H71" destinationFile="C:\Users\YVES~1.MIN\AppData\Local\Temp\rng_20251208_102638.htm"/>
    <webPublishItem id="17061" divId="Oil Pricer_17061" sourceType="range" sourceRef="A1:H71" destinationFile="C:\Users\YVES~1.MIN\AppData\Local\Temp\rng_20251208_132424.htm"/>
    <webPublishItem id="9820" divId="Oil Pricer_9820" sourceType="range" sourceRef="A1:H71" destinationFile="C:\Users\YVES~1.MIN\AppData\Local\Temp\rng_20251208_133113.htm"/>
    <webPublishItem id="14539" divId="Oil Pricer_14539" sourceType="range" sourceRef="A1:H71" destinationFile="C:\Users\YVES~1.MIN\AppData\Local\Temp\rng_20251209_103047.htm"/>
    <webPublishItem id="31268" divId="Oil Pricer_31268" sourceType="range" sourceRef="A1:H71" destinationFile="C:\Users\YVES~1.MIN\AppData\Local\Temp\rng_20251209_105244.htm"/>
    <webPublishItem id="11427" divId="Oil Pricer_11427" sourceType="range" sourceRef="A1:H71" destinationFile="C:\Users\YVES~1.MIN\AppData\Local\Temp\rng_20251209_105610.htm"/>
    <webPublishItem id="30743" divId="Oil Pricer_30743" sourceType="range" sourceRef="A1:H71" destinationFile="C:\Users\YVES~1.MIN\AppData\Local\Temp\rng_20251210_132257.htm"/>
    <webPublishItem id="9246" divId="Oil Pricer_9246" sourceType="range" sourceRef="A1:H71" destinationFile="C:\Users\YVES~1.MIN\AppData\Local\Temp\rng_20251210_132558.htm"/>
    <webPublishItem id="11422" divId="Oil Pricer_11422" sourceType="range" sourceRef="A1:H71" destinationFile="C:\Users\YVES~1.MIN\AppData\Local\Temp\rng_20251210_132633.htm"/>
    <webPublishItem id="29478" divId="Oil Pricer_29478" sourceType="range" sourceRef="A1:H71" destinationFile="C:\Users\YVES~1.MIN\AppData\Local\Temp\rng_20251211_112206.htm"/>
    <webPublishItem id="27879" divId="Oil Pricer_27879" sourceType="range" sourceRef="A1:H71" destinationFile="C:\Users\YVES~1.MIN\AppData\Local\Temp\rng_20251211_113025.htm"/>
    <webPublishItem id="9046" divId="Oil Pricer_9046" sourceType="range" sourceRef="A1:H71" destinationFile="C:\Users\YVES~1.MIN\AppData\Local\Temp\rng_20251211_113408.htm"/>
    <webPublishItem id="29022" divId="Oil Pricer_29022" sourceType="range" sourceRef="A1:H71" destinationFile="C:\Users\YVES~1.MIN\AppData\Local\Temp\rng_20251211_132419.htm"/>
    <webPublishItem id="30679" divId="Oil Pricer_30679" sourceType="range" sourceRef="A1:H71" destinationFile="C:\Users\YVES~1.MIN\AppData\Local\Temp\rng_20251211_132446.htm"/>
    <webPublishItem id="766" divId="Oil Pricer_766" sourceType="range" sourceRef="A1:H71" destinationFile="C:\Users\YVES~1.MIN\AppData\Local\Temp\rng_20251211_132531.htm"/>
    <webPublishItem id="1121" divId="Oil Pricer_1121" sourceType="range" sourceRef="A1:H71" destinationFile="C:\Users\YVES~1.MIN\AppData\Local\Temp\rng_20251211_132537.htm"/>
    <webPublishItem id="1566" divId="Oil Pricer_1566" sourceType="range" sourceRef="A1:H71" destinationFile="C:\Users\YVES~1.MIN\AppData\Local\Temp\rng_20251211_132544.htm"/>
    <webPublishItem id="2975" divId="Oil Pricer_2975" sourceType="range" sourceRef="A1:H71" destinationFile="C:\Users\YVES~1.MIN\AppData\Local\Temp\rng_20251211_132607.htm"/>
    <webPublishItem id="1678" divId="Oil Pricer_1678" sourceType="range" sourceRef="A1:H71" destinationFile="C:\Users\YVES~1.MIN\AppData\Local\Temp\rng_20251212_105018.htm"/>
    <webPublishItem id="17455" divId="Oil Pricer_17455" sourceType="range" sourceRef="A1:H71" destinationFile="C:\Users\YVES~1.MIN\AppData\Local\Temp\rng_20251215_165627.htm"/>
    <webPublishItem id="1221" divId="Oil Pricer_1221" sourceType="range" sourceRef="A1:H71" destinationFile="C:\Users\YVES~1.MIN\AppData\Local\Temp\rng_20251215_170052.htm"/>
    <webPublishItem id="10074" divId="Oil Pricer_10074" sourceType="range" sourceRef="A1:H71" destinationFile="C:\Users\YVES~1.MIN\AppData\Local\Temp\rng_20251216_170503.htm"/>
    <webPublishItem id="13398" divId="Oil Pricer_13398" sourceType="range" sourceRef="A1:H71" destinationFile="C:\Users\YVES~1.MIN\AppData\Local\Temp\rng_20251216_170556.htm"/>
    <webPublishItem id="3386" divId="Oil Pricer_3386" sourceType="range" sourceRef="A1:H71" destinationFile="C:\Users\YVES~1.MIN\AppData\Local\Temp\rng_20251216_171200.htm"/>
    <webPublishItem id="413" divId="Oil Pricer_413" sourceType="range" sourceRef="A1:H71" destinationFile="C:\Users\YVES~1.MIN\AppData\Local\Temp\rng_20251217_172146.htm"/>
    <webPublishItem id="3462" divId="Oil Pricer_3462" sourceType="range" sourceRef="A1:H71" destinationFile="C:\Users\YVES~1.MIN\AppData\Local\Temp\rng_20251217_172235.htm"/>
    <webPublishItem id="3834" divId="Oil Pricer_3834" sourceType="range" sourceRef="A1:H71" destinationFile="C:\Users\YVES~1.MIN\AppData\Local\Temp\rng_20251218_171546.htm"/>
    <webPublishItem id="709" divId="Oil Pricer_709" sourceType="range" sourceRef="A1:H71" destinationFile="C:\Users\YVES~1.MIN\AppData\Local\Temp\rng_20251218_173224.htm"/>
    <webPublishItem id="2544" divId="Oil Pricer_2544" sourceType="range" sourceRef="A1:H71" destinationFile="C:\Users\YVES~1.MIN\AppData\Local\Temp\rng_20251218_173254.htm"/>
    <webPublishItem id="19157" divId="Oil Pricer_19157" sourceType="range" sourceRef="A1:H71" destinationFile="C:\Users\YVES~1.MIN\AppData\Local\Temp\rng_20251218_193055.htm"/>
    <webPublishItem id="18897" divId="Oil Pricer_18897" sourceType="range" sourceRef="A1:H71" destinationFile="C:\Users\YVES~1.MIN\AppData\Local\Temp\rng_20251219_172136.htm"/>
    <webPublishItem id="2900" divId="Oil Pricer_2900" sourceType="range" sourceRef="A1:H71" destinationFile="C:\Users\YVES~1.MIN\AppData\Local\Temp\rng_20251219_173449.htm"/>
    <webPublishItem id="24648" divId="Oil Pricer_24648" sourceType="range" sourceRef="A1:H71" destinationFile="C:\Users\YVES~1.MIN\AppData\Local\Temp\rng_20251222_163924.htm"/>
    <webPublishItem id="9063" divId="Oil Pricer_9063" sourceType="range" sourceRef="A1:H71" destinationFile="C:\Users\YVES~1.MIN\AppData\Local\Temp\rng_20251222_164359.htm"/>
    <webPublishItem id="30971" divId="Oil Pricer_30971" sourceType="range" sourceRef="A1:H71" destinationFile="C:\Users\YVES~1.MIN\AppData\Local\Temp\rng_20251222_164950.htm"/>
    <webPublishItem id="7928" divId="Oil Pricer_7928" sourceType="range" sourceRef="A1:H71" destinationFile="C:\Users\YVES~1.MIN\AppData\Local\Temp\rng_20251222_165225.htm"/>
    <webPublishItem id="26566" divId="Oil Pricer_26566" sourceType="range" sourceRef="A1:H71" destinationFile="C:\Users\YVES~1.MIN\AppData\Local\Temp\rng_20251229_170833.htm"/>
    <webPublishItem id="6532" divId="Oil Pricer_6532" sourceType="range" sourceRef="A1:H71" destinationFile="C:\Users\YVES~1.MIN\AppData\Local\Temp\rng_20251229_171157.htm"/>
    <webPublishItem id="2990" divId="Oil Pricer_2990" sourceType="range" sourceRef="A1:H71" destinationFile="C:\Users\YVES~1.MIN\AppData\Local\Temp\rng_20251230_184857.htm"/>
    <webPublishItem id="22973" divId="Oil Pricer_22973" sourceType="range" sourceRef="A1:H71" destinationFile="C:\Users\YVES~1.MIN\AppData\Local\Temp\rng_20251231_150010.htm"/>
    <webPublishItem id="27683" divId="Oil Pricer_27683" sourceType="range" sourceRef="A1:H71" destinationFile="C:\Users\YVES~1.MIN\AppData\Local\Temp\rng_20251231_150125.htm"/>
    <webPublishItem id="30882" divId="Oil Pricer_30882" sourceType="range" sourceRef="A1:H71" destinationFile="C:\Users\YVES~1.MIN\AppData\Local\Temp\rng_20251231_151101.htm"/>
    <webPublishItem id="947" divId="Oil Pricer_947" sourceType="range" sourceRef="A1:H71" destinationFile="C:\Users\YVES~1.MIN\AppData\Local\Temp\rng_20251231_151146.htm"/>
    <webPublishItem id="4483" divId="Oil Pricer_4483" sourceType="range" sourceRef="A1:H71" destinationFile="C:\Users\YVES~1.MIN\AppData\Local\Temp\rng_20260102_182836.htm"/>
    <webPublishItem id="2445" divId="Oil Pricer_2445" sourceType="range" sourceRef="A1:H71" destinationFile="C:\Users\YVES~1.MIN\AppData\Local\Temp\rng_20260105_163022.htm"/>
    <webPublishItem id="12259" divId="Oil Pricer_12259" sourceType="range" sourceRef="A1:H71" destinationFile="C:\Users\YVES~1.MIN\AppData\Local\Temp\rng_20260105_163259.htm"/>
    <webPublishItem id="32025" divId="Oil Pricer_32025" sourceType="range" sourceRef="A1:H77" destinationFile="C:\Users\YVES~1.MIN\AppData\Local\Temp\rng_20251002_173624.htm"/>
    <webPublishItem id="19662" divId="Oil Pricer_19662" sourceType="range" sourceRef="A1:H77" destinationFile="C:\Users\YVES~1.MIN\AppData\Local\Temp\rng_20251003_161617.htm"/>
    <webPublishItem id="9111" divId="Oil Pricer_9111" sourceType="range" sourceRef="A1:H77" destinationFile="C:\Users\YVES~1.MIN\AppData\Local\Temp\rng_20251003_165710.htm"/>
    <webPublishItem id="23197" divId="Oil Pricer_23197" sourceType="range" sourceRef="A1:H77" destinationFile="C:\Users\YVES~1.MIN\AppData\Local\Temp\rng_20250930_181406.htm"/>
    <webPublishItem id="9840" divId="Oil Pricer_9840" sourceType="range" sourceRef="A1:H77" destinationFile="C:\Users\YVES~1.MIN\AppData\Local\Temp\rng_20251111_163410.htm"/>
    <webPublishItem id="29144" divId="Oil Pricer_29144" sourceType="range" sourceRef="A1:H77" destinationFile="C:\Users\YVES~1.MIN\AppData\Local\Temp\rng_20251111_171416.htm"/>
    <webPublishItem id="20413" divId="Oil Pricer_20413" sourceType="range" sourceRef="A1:H84" destinationFile="C:\Users\YVES~1.MIN\AppData\Local\Temp\rng_20260105_183729.htm"/>
    <webPublishItem id="1136" divId="Oil Pricer_1136" sourceType="range" sourceRef="A1:H84" destinationFile="C:\Users\YVES~1.MIN\AppData\Local\Temp\rng_20260106_165803.htm"/>
    <webPublishItem id="21906" divId="Oil Pricer_21906" sourceType="range" sourceRef="A1:H84" destinationFile="C:\Users\YVES~1.MIN\AppData\Local\Temp\rng_20260106_170335.htm"/>
    <webPublishItem id="32725" divId="Oil Pricer_32725" sourceType="range" sourceRef="A1:H84" destinationFile="C:\Users\YVES~1.MIN\AppData\Local\Temp\rng_20260106_170628.htm"/>
    <webPublishItem id="20616" divId="Oil Pricer_20616" sourceType="range" sourceRef="A1:H84" destinationFile="C:\Users\YVES~1.MIN\AppData\Local\Temp\rng_20260106_171159.htm"/>
    <webPublishItem id="14646" divId="Oil Pricer_14646" sourceType="range" sourceRef="A1:H84" destinationFile="C:\Users\YVES~1.MIN\AppData\Local\Temp\rng_20260106_171908.htm"/>
    <webPublishItem id="17052" divId="Oil Pricer_17052" sourceType="range" sourceRef="A1:H84" destinationFile="C:\Users\YVES~1.MIN\AppData\Local\Temp\rng_20260106_171946.htm"/>
    <webPublishItem id="2787" divId="Oil Pricer_2787" sourceType="range" sourceRef="A1:H84" destinationFile="C:\Users\YVES~1.MIN\AppData\Local\Temp\rng_20260107_180129.htm"/>
    <webPublishItem id="28294" divId="Oil Pricer_28294" sourceType="range" sourceRef="A1:H84" destinationFile="C:\Users\YVES~1.MIN\AppData\Local\Temp\rng_20260107_180817.htm"/>
    <webPublishItem id="6350" divId="Oil Pricer_6350" sourceType="range" sourceRef="A1:H84" destinationFile="C:\Users\YVES~1.MIN\AppData\Local\Temp\rng_20260108_183912.htm"/>
    <webPublishItem id="28654" divId="Oil Pricer_28654" sourceType="range" sourceRef="A1:H84" destinationFile="C:\Users\YVES~1.MIN\AppData\Local\Temp\rng_20260108_184509.htm"/>
    <webPublishItem id="10215" divId="Oil Pricer_10215" sourceType="range" sourceRef="A1:H84" destinationFile="C:\Users\YVES~1.MIN\AppData\Local\Temp\rng_20260108_184858.htm"/>
    <webPublishItem id="11203" divId="Oil Pricer_11203" sourceType="range" sourceRef="A1:H84" destinationFile="C:\Users\YVES~1.MIN\AppData\Local\Temp\rng_20260108_184914.htm"/>
    <webPublishItem id="15368" divId="Oil Pricer_15368" sourceType="range" sourceRef="A1:H84" destinationFile="C:\Users\YVES~1.MIN\AppData\Local\Temp\rng_20260108_185021.htm"/>
    <webPublishItem id="5689" divId="Oil Pricer_5689" sourceType="range" sourceRef="A1:H84" destinationFile="C:\Users\YVES~1.MIN\AppData\Local\Temp\rng_20260108_185630.htm"/>
    <webPublishItem id="29020" divId="Oil Pricer_29020" sourceType="range" sourceRef="A1:H84" destinationFile="C:\Users\YVES~1.MIN\AppData\Local\Temp\rng_20260109_163600.htm"/>
    <webPublishItem id="5460" divId="Oil Pricer_5460" sourceType="range" sourceRef="A1:H84" destinationFile="C:\Users\YVES~1.MIN\AppData\Local\Temp\rng_20260109_163827.htm"/>
    <webPublishItem id="11769" divId="Oil Pricer_11769" sourceType="range" sourceRef="A1:H84" destinationFile="C:\Users\YVES~1.MIN\AppData\Local\Temp\rng_20260109_170621.htm"/>
    <webPublishItem id="23057" divId="Oil Pricer_23057" sourceType="range" sourceRef="A1:H84" destinationFile="C:\Users\YVES~1.MIN\AppData\Local\Temp\rng_20260109_170921.htm"/>
    <webPublishItem id="16584" divId="Oil Pricer_16584" sourceType="range" sourceRef="A1:H84" destinationFile="C:\Users\YVES~1.MIN\AppData\Local\Temp\rng_20260109_180004.htm"/>
    <webPublishItem id="17228" divId="Oil Pricer_17228" sourceType="range" sourceRef="A1:H84" destinationFile="C:\Users\YVES~1.MIN\AppData\Local\Temp\rng_20260109_180014.htm"/>
    <webPublishItem id="30791" divId="Oil Pricer_30791" sourceType="range" sourceRef="A1:H84" destinationFile="C:\Users\YVES~1.MIN\AppData\Local\Temp\rng_20260112_173851.htm"/>
    <webPublishItem id="31483" divId="Oil Pricer_31483" sourceType="range" sourceRef="A1:H84" destinationFile="C:\Users\YVES~1.MIN\AppData\Local\Temp\rng_20260112_173902.htm"/>
    <webPublishItem id="3128" divId="Oil Pricer_3128" sourceType="range" sourceRef="A1:H84" destinationFile="C:\Users\YVES~1.MIN\AppData\Local\Temp\rng_20260112_174013.htm"/>
    <webPublishItem id="15848" divId="Oil Pricer_15848" sourceType="range" sourceRef="A1:H84" destinationFile="C:\Users\YVES~1.MIN\AppData\Local\Temp\rng_20260112_180105.htm"/>
    <webPublishItem id="10359" divId="Oil Pricer_10359" sourceType="range" sourceRef="A1:H84" destinationFile="C:\Users\YVES~1.MIN\AppData\Local\Temp\rng_20260113_175242.htm"/>
    <webPublishItem id="17834" divId="Oil Pricer_17834" sourceType="range" sourceRef="A1:H84" destinationFile="C:\Users\YVES~1.MIN\AppData\Local\Temp\rng_20260113_180326.htm"/>
    <webPublishItem id="6160" divId="Oil Pricer_6160" sourceType="range" sourceRef="A1:H84" destinationFile="C:\Users\YVES~1.MIN\AppData\Local\Temp\rng_20260114_164329.htm"/>
    <webPublishItem id="29721" divId="Oil Pricer_29721" sourceType="range" sourceRef="A1:H84" destinationFile="C:\Users\YVES~1.MIN\AppData\Local\Temp\rng_20260114_164946.htm"/>
    <webPublishItem id="15510" divId="Oil Pricer_15510" sourceType="range" sourceRef="A1:H84" destinationFile="C:\Users\YVES~1.MIN\AppData\Local\Temp\rng_20260114_165443.htm"/>
    <webPublishItem id="23353" divId="Oil Pricer_23353" sourceType="range" sourceRef="A1:H84" destinationFile="C:\Users\YVES~1.MIN\AppData\Local\Temp\rng_20260114_165649.htm"/>
    <webPublishItem id="9235" divId="Oil Pricer_9235" sourceType="range" sourceRef="A1:H84" destinationFile="C:\Users\YVES~1.MIN\AppData\Local\Temp\rng_20260114_170147.htm"/>
    <webPublishItem id="2443" divId="Oil Pricer_2443" sourceType="range" sourceRef="A1:H84" destinationFile="C:\Users\YVES~1.MIN\AppData\Local\Temp\rng_20260114_171727.htm"/>
    <webPublishItem id="16225" divId="Oil Pricer_16225" sourceType="range" sourceRef="A1:H84" destinationFile="C:\Users\YVES~1.MIN\AppData\Local\Temp\rng_20260114_172107.htm"/>
    <webPublishItem id="17246" divId="Oil Pricer_17246" sourceType="range" sourceRef="A1:H84" destinationFile="C:\Users\YVES~1.MIN\AppData\Local\Temp\rng_20260114_172124.htm"/>
    <webPublishItem id="22771" divId="Oil Pricer_22771" sourceType="range" sourceRef="A1:H84" destinationFile="C:\Users\YVES~1.MIN\AppData\Local\Temp\rng_20260115_171557.htm"/>
    <webPublishItem id="22704" divId="Oil Pricer_22704" sourceType="range" sourceRef="A1:H84" destinationFile="C:\Users\YVES~1.MIN\AppData\Local\Temp\rng_20260115_180822.htm"/>
    <webPublishItem id="24294" divId="Oil Pricer_24294" sourceType="range" sourceRef="A1:H84" destinationFile="C:\Users\YVES~1.MIN\AppData\Local\Temp\rng_20260115_181732.htm"/>
    <webPublishItem id="6334" divId="Oil Pricer_6334" sourceType="range" sourceRef="A1:H84" destinationFile="C:\Users\YVES~1.MIN\AppData\Local\Temp\rng_20260115_183013.htm"/>
    <webPublishItem id="1621" divId="Oil Pricer_1621" sourceType="range" sourceRef="A1:H84" destinationFile="C:\Users\YVES~1.MIN\AppData\Local\Temp\rng_20260115_183742.htm"/>
    <webPublishItem id="4654" divId="Oil Pricer_4654" sourceType="range" sourceRef="A1:H84" destinationFile="C:\Users\YVES~1.MIN\AppData\Local\Temp\rng_20260115_183830.htm"/>
    <webPublishItem id="5537" divId="Oil Pricer_5537" sourceType="range" sourceRef="A1:H84" destinationFile="C:\Users\YVES~1.MIN\AppData\Local\Temp\rng_20260116_162929.htm"/>
    <webPublishItem id="21782" divId="Oil Pricer_21782" sourceType="range" sourceRef="A1:H84" destinationFile="C:\Users\YVES~1.MIN\AppData\Local\Temp\rng_20260116_163349.htm"/>
    <webPublishItem id="23159" divId="Oil Pricer_23159" sourceType="range" sourceRef="A1:H84" destinationFile="C:\Users\YVES~1.MIN\AppData\Local\Temp\rng_20260116_163411.htm"/>
    <webPublishItem id="16114" divId="Oil Pricer_16114" sourceType="range" sourceRef="A1:H84" destinationFile="C:\Users\YVES~1.MIN\AppData\Local\Temp\rng_20260119_171816.htm"/>
    <webPublishItem id="10638" divId="Oil Pricer_10638" sourceType="range" sourceRef="A1:H84" destinationFile="C:\Users\YVES~1.MIN\AppData\Local\Temp\rng_20260120_180219.htm"/>
    <webPublishItem id="20033" divId="Oil Pricer_20033" sourceType="range" sourceRef="A1:H84" destinationFile="C:\Users\YVES~1.MIN\AppData\Local\Temp\rng_20260121_155534.htm"/>
    <webPublishItem id="13556" divId="Oil Pricer_13556" sourceType="range" sourceRef="A1:H84" destinationFile="C:\Users\YVES~1.MIN\AppData\Local\Temp\rng_20260121_174726.htm"/>
    <webPublishItem id="17134" divId="Oil Pricer_17134" sourceType="range" sourceRef="A1:H84" destinationFile="C:\Users\YVES~1.MIN\AppData\Local\Temp\rng_20260121_174824.htm"/>
    <webPublishItem id="26230" divId="Oil Pricer_26230" sourceType="range" sourceRef="A1:H84" destinationFile="C:\Users\YVES~1.MIN\AppData\Local\Temp\rng_20260121_175933.htm"/>
    <webPublishItem id="30314" divId="Oil Pricer_30314" sourceType="range" sourceRef="A1:H84" destinationFile="C:\Users\YVES~1.MIN\AppData\Local\Temp\rng_20260121_180039.htm"/>
    <webPublishItem id="32330" divId="Oil Pricer_32330" sourceType="range" sourceRef="A1:H84" destinationFile="C:\Users\YVES~1.MIN\AppData\Local\Temp\rng_20260121_180111.htm"/>
    <webPublishItem id="3192" divId="Oil Pricer_3192" sourceType="range" sourceRef="A1:H84" destinationFile="C:\Users\YVES~1.MIN\AppData\Local\Temp\rng_20260121_180209.htm"/>
    <webPublishItem id="31501" divId="Oil Pricer_31501" sourceType="range" sourceRef="A1:H84" destinationFile="C:\Users\YVES~1.MIN\AppData\Local\Temp\rng_20260122_171518.htm"/>
    <webPublishItem id="3635" divId="Oil Pricer_3635" sourceType="range" sourceRef="A1:H84" destinationFile="C:\Users\YVES~1.MIN\AppData\Local\Temp\rng_20260122_172521.htm"/>
    <webPublishItem id="13746" divId="Oil Pricer_13746" sourceType="range" sourceRef="A1:H84" destinationFile="C:\Users\YVES~1.MIN\AppData\Local\Temp\rng_20260122_180300.htm"/>
    <webPublishItem id="20990" divId="Oil Pricer_20990" sourceType="range" sourceRef="A1:H84" destinationFile="C:\Users\YVES~1.MIN\AppData\Local\Temp\rng_20260123_162154.htm"/>
    <webPublishItem id="6752" divId="Oil Pricer_6752" sourceType="range" sourceRef="A1:H84" destinationFile="C:\Users\YVES~1.MIN\AppData\Local\Temp\rng_20260123_162650.htm"/>
    <webPublishItem id="12471" divId="Oil Pricer_12471" sourceType="range" sourceRef="A1:H84" destinationFile="C:\Users\YVES~1.MIN\AppData\Local\Temp\rng_20260123_162822.htm"/>
    <webPublishItem id="10238" divId="Oil Pricer_10238" sourceType="range" sourceRef="A1:H84" destinationFile="C:\Users\YVES~1.MIN\AppData\Local\Temp\rng_20260126_180328.htm"/>
    <webPublishItem id="28463" divId="Oil Pricer_28463" sourceType="range" sourceRef="A1:H84" destinationFile="C:\Users\YVES~1.MIN\AppData\Local\Temp\rng_20260127_170855.htm"/>
    <webPublishItem id="12272" divId="Oil Pricer_12272" sourceType="range" sourceRef="A1:H84" destinationFile="C:\Users\YVES~1.MIN\AppData\Local\Temp\rng_20260128_222056.htm"/>
    <webPublishItem id="5511" divId="Oil Pricer_5511" sourceType="range" sourceRef="A1:H84" destinationFile="C:\Users\YVES~1.MIN\AppData\Local\Temp\rng_20260129_171504.htm"/>
    <webPublishItem id="14956" divId="Oil Pricer_14956" sourceType="range" sourceRef="A1:H84" destinationFile="C:\Users\YVES~1.MIN\AppData\Local\Temp\rng_20260129_171735.htm"/>
    <webPublishItem id="28973" divId="Oil Pricer_28973" sourceType="range" sourceRef="A1:H84" destinationFile="C:\Users\YVES~1.MIN\AppData\Local\Temp\rng_20260130_171421.htm"/>
    <webPublishItem id="1523" divId="Oil Pricer_1523" sourceType="range" sourceRef="A1:H84" destinationFile="C:\Users\YVES~1.MIN\AppData\Local\Temp\rng_20260130_171546.htm"/>
    <webPublishItem id="7664" divId="Oil Pricer_7664" sourceType="range" sourceRef="A1:H84" destinationFile="C:\Users\YVES~1.MIN\AppData\Local\Temp\rng_20260202_163130.htm"/>
    <webPublishItem id="9469" divId="Oil Pricer_9469" sourceType="range" sourceRef="A1:H84" destinationFile="C:\Users\YVES~1.MIN\AppData\Local\Temp\rng_20260202_163159.htm"/>
    <webPublishItem id="21637" divId="Oil Pricer_21637" sourceType="range" sourceRef="A1:H84" destinationFile="C:\Users\YVES~1.MIN\AppData\Local\Temp\rng_20260202_163513.htm"/>
    <webPublishItem id="25521" divId="Oil Pricer_25521" sourceType="range" sourceRef="A1:H84" destinationFile="C:\Users\YVES~1.MIN\AppData\Local\Temp\rng_20260202_163615.htm"/>
    <webPublishItem id="10456" divId="Oil Pricer_10456" sourceType="range" sourceRef="A1:H84" destinationFile="C:\Users\YVES~1.MIN\AppData\Local\Temp\rng_20260202_164943.htm"/>
    <webPublishItem id="11913" divId="Oil Pricer_11913" sourceType="range" sourceRef="A1:H84" destinationFile="C:\Users\YVES~1.MIN\AppData\Local\Temp\rng_20260202_165850.htm"/>
    <webPublishItem id="5049" divId="Oil Pricer_5049" sourceType="range" sourceRef="A1:H84" destinationFile="C:\Users\YVES~1.MIN\AppData\Local\Temp\rng_20260203_163234.htm"/>
    <webPublishItem id="28028" divId="Oil Pricer_28028" sourceType="range" sourceRef="A1:H84" destinationFile="C:\Users\YVES~1.MIN\AppData\Local\Temp\rng_20260203_164726.htm"/>
    <webPublishItem id="8923" divId="Oil Pricer_8923" sourceType="range" sourceRef="A1:H84" destinationFile="C:\Users\YVES~1.MIN\AppData\Local\Temp\rng_20260203_165105.htm"/>
    <webPublishItem id="22999" divId="Oil Pricer_22999" sourceType="range" sourceRef="A1:H84" destinationFile="C:\Users\YVES~1.MIN\AppData\Local\Temp\rng_20260203_170334.htm"/>
    <webPublishItem id="27439" divId="Oil Pricer_27439" sourceType="range" sourceRef="A1:H84" destinationFile="C:\Users\YVES~1.MIN\AppData\Local\Temp\rng_20260203_173942.htm"/>
    <webPublishItem id="32509" divId="Oil Pricer_32509" sourceType="range" sourceRef="A1:H84" destinationFile="C:\Users\YVES~1.MIN\AppData\Local\Temp\rng_20260203_185058.htm"/>
    <webPublishItem id="1652" divId="Oil Pricer_1652" sourceType="range" sourceRef="A1:H84" destinationFile="C:\Users\YVES~1.MIN\AppData\Local\Temp\rng_20260203_185128.htm"/>
    <webPublishItem id="6392" divId="Oil Pricer_6392" sourceType="range" sourceRef="A1:H84" destinationFile="C:\Users\YVES~1.MIN\AppData\Local\Temp\rng_20260204_163442.htm"/>
    <webPublishItem id="2870" divId="Oil Pricer_2870" sourceType="range" sourceRef="A1:H84" destinationFile="C:\Users\YVES~1.MIN\AppData\Local\Temp\rng_20260204_165958.htm"/>
    <webPublishItem id="6600" divId="Oil Pricer_6600" sourceType="range" sourceRef="A1:H84" destinationFile="C:\Users\YVES~1.MIN\AppData\Local\Temp\rng_20260205_165400.htm"/>
    <webPublishItem id="28274" divId="Oil Pricer_28274" sourceType="range" sourceRef="A1:H84" destinationFile="C:\Users\YVES~1.MIN\AppData\Local\Temp\rng_20260205_170831.htm"/>
    <webPublishItem id="16283" divId="Oil Pricer_16283" sourceType="range" sourceRef="A1:H84" destinationFile="C:\Users\YVES~1.MIN\AppData\Local\Temp\rng_20260205_171403.htm"/>
    <webPublishItem id="10318" divId="Oil Pricer_10318" sourceType="range" sourceRef="A1:H84" destinationFile="C:\Users\YVES~1.MIN\AppData\Local\Temp\rng_20260206_163032.htm"/>
    <webPublishItem id="526" divId="Oil Pricer_526" sourceType="range" sourceRef="A1:H84" destinationFile="C:\Users\YVES~1.MIN\AppData\Local\Temp\rng_20260206_164524.htm"/>
    <webPublishItem id="2025" divId="Oil Pricer_2025" sourceType="range" sourceRef="A1:H84" destinationFile="C:\Users\YVES~1.MIN\AppData\Local\Temp\rng_20260206_164548.htm"/>
    <webPublishItem id="24243" divId="Oil Pricer_24243" sourceType="range" sourceRef="A1:H84" destinationFile="C:\Users\YVES~1.MIN\AppData\Local\Temp\rng_20260206_165144.htm"/>
    <webPublishItem id="24853" divId="Oil Pricer_24853" sourceType="range" sourceRef="A1:H84" destinationFile="C:\Users\YVES~1.MIN\AppData\Local\Temp\rng_20260206_165153.htm"/>
    <webPublishItem id="11304" divId="Oil Pricer_11304" sourceType="range" sourceRef="A1:H84" destinationFile="C:\Users\YVES~1.MIN\AppData\Local\Temp\rng_20260206_170545.htm"/>
    <webPublishItem id="2813" divId="Oil Pricer_2813" sourceType="range" sourceRef="A1:H84" destinationFile="C:\Users\YVES~1.MIN\AppData\Local\Temp\rng_20260209_164757.htm"/>
    <webPublishItem id="26260" divId="Oil Pricer_26260" sourceType="range" sourceRef="A1:H84" destinationFile="C:\Users\YVES~1.MIN\AppData\Local\Temp\rng_20260210_182324.htm"/>
    <webPublishItem id="4042" divId="Oil Pricer_4042" sourceType="range" sourceRef="A1:H84" destinationFile="C:\Users\YVES~1.MIN\AppData\Local\Temp\rng_20260210_190955.htm"/>
    <webPublishItem id="27294" divId="Oil Pricer_27294" sourceType="range" sourceRef="A1:H84" destinationFile="C:\Users\YVES~1.MIN\AppData\Local\Temp\rng_20260210_191607.htm"/>
    <webPublishItem id="17983" divId="Oil Pricer_17983" sourceType="range" sourceRef="A1:H84" destinationFile="C:\Users\YVES~1.MIN\AppData\Local\Temp\rng_20260210_192222.htm"/>
    <webPublishItem id="23335" divId="Oil Pricer_23335" sourceType="range" sourceRef="A1:H84" destinationFile="C:\Users\YVES~1.MIN\AppData\Local\Temp\rng_20260210_192348.htm"/>
    <webPublishItem id="27337" divId="Oil Pricer_27337" sourceType="range" sourceRef="A1:H84" destinationFile="C:\Users\YVES~1.MIN\AppData\Local\Temp\rng_20260210_192452.htm"/>
    <webPublishItem id="6602" divId="Oil Pricer_6602" sourceType="range" sourceRef="A1:H84" destinationFile="C:\Users\YVES~1.MIN\AppData\Local\Temp\rng_20260210_193649.htm"/>
    <webPublishItem id="24842" divId="Oil Pricer_24842" sourceType="range" sourceRef="A1:H84" destinationFile="C:\Users\YVES~1.MIN\AppData\Local\Temp\rng_20260210_194140.htm"/>
    <webPublishItem id="30287" divId="Oil Pricer_30287" sourceType="range" sourceRef="A1:H84" destinationFile="C:\Users\YVES~1.MIN\AppData\Local\Temp\rng_20260211_182618.htm"/>
    <webPublishItem id="25363" divId="Oil Pricer_25363" sourceType="range" sourceRef="A1:H84" destinationFile="C:\Users\YVES~1.MIN\AppData\Local\Temp\rng_20260211_183344.htm"/>
    <webPublishItem id="3511" divId="Oil Pricer_3511" sourceType="range" sourceRef="A1:H84" destinationFile="C:\Users\YVES~1.MIN\AppData\Local\Temp\rng_20260211_183638.htm"/>
    <webPublishItem id="15380" divId="Oil Pricer_15380" sourceType="range" sourceRef="A1:H84" destinationFile="C:\Users\YVES~1.MIN\AppData\Local\Temp\rng_20260211_183948.htm"/>
    <webPublishItem id="24950" divId="Oil Pricer_24950" sourceType="range" sourceRef="A1:H84" destinationFile="C:\Users\YVES~1.MIN\AppData\Local\Temp\rng_20260212_185255.htm"/>
    <webPublishItem id="8417" divId="Oil Pricer_8417" sourceType="range" sourceRef="A1:H84" destinationFile="C:\Users\YVES~1.MIN\AppData\Local\Temp\rng_20260212_185715.htm"/>
    <webPublishItem id="14314" divId="Oil Pricer_14314" sourceType="range" sourceRef="A1:H84" destinationFile="C:\Users\YVES~1.MIN\AppData\Local\Temp\rng_20260212_185849.htm"/>
    <webPublishItem id="22043" divId="Oil Pricer_22043" sourceType="range" sourceRef="A1:H84" destinationFile="C:\Users\YVES~1.MIN\AppData\Local\Temp\rng_20260212_190053.htm"/>
    <webPublishItem id="22554" divId="Oil Pricer_22554" sourceType="range" sourceRef="A1:H84" destinationFile="C:\Users\YVES~1.MIN\AppData\Local\Temp\rng_20260212_190101.htm"/>
    <webPublishItem id="8383" divId="Oil Pricer_8383" sourceType="range" sourceRef="A1:H84" destinationFile="C:\Users\YVES~1.MIN\AppData\Local\Temp\rng_20260213_163915.htm"/>
    <webPublishItem id="14652" divId="Oil Pricer_14652" sourceType="range" sourceRef="A1:H84" destinationFile="C:\Users\YVES~1.MIN\AppData\Local\Temp\rng_20260213_175934.htm"/>
    <webPublishItem id="27562" divId="Oil Pricer_27562" sourceType="range" sourceRef="A1:H84" destinationFile="C:\Users\YVES~1.MIN\AppData\Local\Temp\rng_20260213_180300.htm"/>
    <webPublishItem id="21901" divId="Oil Pricer_21901" sourceType="range" sourceRef="A1:H84" destinationFile="C:\Users\YVES~1.MIN\AppData\Local\Temp\rng_20260216_164532.htm"/>
    <webPublishItem id="21948" divId="Oil Pricer_21948" sourceType="range" sourceRef="A1:H84" destinationFile="C:\Users\YVES~1.MIN\AppData\Local\Temp\rng_20260216_175527.htm"/>
    <webPublishItem id="9998" divId="Oil Pricer_9998" sourceType="range" sourceRef="A1:H84" destinationFile="C:\Users\YVES~1.MIN\AppData\Local\Temp\rng_20260217_183747.htm"/>
    <webPublishItem id="22992" divId="Oil Pricer_22992" sourceType="range" sourceRef="A1:H84" destinationFile="C:\Users\YVES~1.MIN\AppData\Local\Temp\rng_20260217_184115.htm"/>
    <webPublishItem id="21568" divId="Oil Pricer_21568" sourceType="range" sourceRef="A1:H84" destinationFile="C:\Users\YVES~1.MIN\AppData\Local\Temp\rng_20260218_164906.htm"/>
    <webPublishItem id="21957" divId="Oil Pricer_21957" sourceType="range" sourceRef="A1:H84" destinationFile="C:\Users\YVES~1.MIN\AppData\Local\Temp\rng_20260218_164912.htm"/>
    <webPublishItem id="21171" divId="Oil Pricer_21171" sourceType="range" sourceRef="A1:H84" destinationFile="C:\Users\YVES~1.MIN\AppData\Local\Temp\rng_20260218_165744.htm"/>
    <webPublishItem id="31615" divId="Oil Pricer_31615" sourceType="range" sourceRef="A1:H84" destinationFile="C:\Users\YVES~1.MIN\AppData\Local\Temp\rng_20260218_170915.htm"/>
    <webPublishItem id="2201" divId="Oil Pricer_2201" sourceType="range" sourceRef="A1:H84" destinationFile="C:\Users\YVES~1.MIN\AppData\Local\Temp\rng_20260218_171853.htm"/>
    <webPublishItem id="13419" divId="Oil Pricer_13419" sourceType="range" sourceRef="A1:H84" destinationFile="C:\Users\YVES~1.MIN\AppData\Local\Temp\rng_20260218_175650.htm"/>
    <webPublishItem id="14789" divId="Oil Pricer_14789" sourceType="range" sourceRef="A1:H84" destinationFile="C:\Users\YVES~1.MIN\AppData\Local\Temp\rng_20260219_165751.htm"/>
    <webPublishItem id="6478" divId="Oil Pricer_6478" sourceType="range" sourceRef="A1:H84" destinationFile="C:\Users\YVES~1.MIN\AppData\Local\Temp\rng_20260219_171306.htm"/>
    <webPublishItem id="13794" divId="Oil Pricer_13794" sourceType="range" sourceRef="A1:H84" destinationFile="C:\Users\YVES~1.MIN\AppData\Local\Temp\rng_20260220_160658.htm"/>
    <webPublishItem id="29050" divId="Oil Pricer_29050" sourceType="range" sourceRef="A1:H84" destinationFile="C:\Users\YVES~1.MIN\AppData\Local\Temp\rng_20260220_161102.htm"/>
    <webPublishItem id="470" divId="Oil Pricer_470" sourceType="range" sourceRef="A1:H84" destinationFile="C:\Users\YVES~1.MIN\AppData\Local\Temp\rng_20260220_162938.htm"/>
    <webPublishItem id="6856" divId="Oil Pricer_6856" sourceType="range" sourceRef="A1:H84" destinationFile="C:\Users\YVES~1.MIN\AppData\Local\Temp\rng_20260220_163120.htm"/>
    <webPublishItem id="665" divId="Oil Pricer_665" sourceType="range" sourceRef="A1:H84" destinationFile="C:\Users\YVES~1.MIN\AppData\Local\Temp\rng_20260220_163826.htm"/>
    <webPublishItem id="29468" divId="Oil Pricer_29468" sourceType="range" sourceRef="A1:H84" destinationFile="C:\Users\YVES~1.MIN\AppData\Local\Temp\rng_20260220_164606.htm"/>
    <webPublishItem id="18855" divId="Oil Pricer_18855" sourceType="range" sourceRef="A1:H84" destinationFile="C:\Users\YVES~1.MIN\AppData\Local\Temp\rng_20260223_175408.htm"/>
    <webPublishItem id="13980" divId="Oil Pricer_13980" sourceType="range" sourceRef="A1:H84" destinationFile="C:\Users\YVES~1.MIN\AppData\Local\Temp\rng_20260223_193742.htm"/>
    <webPublishItem id="27301" divId="Oil Pricer_27301" sourceType="range" sourceRef="A1:H84" destinationFile="C:\Users\YVES~1.MIN\AppData\Local\Temp\rng_20260223_194115.htm"/>
    <webPublishItem id="21481" divId="Oil Pricer_21481" sourceType="range" sourceRef="A1:H84" destinationFile="C:\Users\YVES~1.MIN\AppData\Local\Temp\rng_20260224_175558.htm"/>
    <webPublishItem id="9854" divId="Oil Pricer_9854" sourceType="range" sourceRef="A1:H84" destinationFile="C:\Users\YVES~1.MIN\AppData\Local\Temp\rng_20260224_180137.htm"/>
    <webPublishItem id="18816" divId="Oil Pricer_18816" sourceType="range" sourceRef="A1:H84" destinationFile="C:\Users\YVES~1.MIN\AppData\Local\Temp\rng_20260224_180400.htm"/>
    <webPublishItem id="24591" divId="Oil Pricer_24591" sourceType="range" sourceRef="A1:H84" destinationFile="C:\Users\YVES~1.MIN\AppData\Local\Temp\rng_20260224_180532.htm"/>
    <webPublishItem id="20181" divId="Oil Pricer_20181" sourceType="range" sourceRef="A1:H84" destinationFile="C:\Users\YVES~1.MIN\AppData\Local\Temp\rng_20260224_181306.htm"/>
    <webPublishItem id="14725" divId="Oil Pricer_14725" sourceType="range" sourceRef="A1:H84" destinationFile="C:\Users\YVES~1.MIN\AppData\Local\Temp\rng_20260224_182023.htm"/>
    <webPublishItem id="21053" divId="Oil Pricer_21053" sourceType="range" sourceRef="A1:H84" destinationFile="C:\Users\YVES~1.MIN\AppData\Local\Temp\rng_20260224_184817.htm"/>
    <webPublishItem id="32182" divId="Oil Pricer_32182" sourceType="range" sourceRef="A1:H84" destinationFile="C:\Users\YVES~1.MIN\AppData\Local\Temp\rng_20260224_190844.htm"/>
    <webPublishItem id="32663" divId="Oil Pricer_32663" sourceType="range" sourceRef="A1:H84" destinationFile="C:\Users\YVES~1.MIN\AppData\Local\Temp\rng_20260224_190852.htm"/>
    <webPublishItem id="9835" divId="Oil Pricer_9835" sourceType="range" sourceRef="A1:H84" destinationFile="C:\Users\YVES~1.MIN\AppData\Local\Temp\rng_20260225_171944.htm"/>
    <webPublishItem id="658" divId="Oil Pricer_658" sourceType="range" sourceRef="A1:H84" destinationFile="C:\Users\YVES~1.MIN\AppData\Local\Temp\rng_20260225_173446.htm"/>
    <webPublishItem id="949" divId="Oil Pricer_949" sourceType="range" sourceRef="A1:H84" destinationFile="C:\Users\YVES~1.MIN\AppData\Local\Temp\rng_20260225_173450.htm"/>
    <webPublishItem id="1686" divId="Oil Pricer_1686" sourceType="range" sourceRef="A1:H84" destinationFile="C:\Users\YVES~1.MIN\AppData\Local\Temp\rng_20260225_173502.htm"/>
    <webPublishItem id="31376" divId="Oil Pricer_31376" sourceType="range" sourceRef="A1:H84" destinationFile="C:\Users\YVES~1.MIN\AppData\Local\Temp\rng_20260225_174257.htm"/>
    <webPublishItem id="22545" divId="Oil Pricer_22545" sourceType="range" sourceRef="A1:H84" destinationFile="C:\Users\YVES~1.MIN\AppData\Local\Temp\rng_20260225_181533.htm"/>
    <webPublishItem id="16208" divId="Oil Pricer_16208" sourceType="range" sourceRef="A1:H84" destinationFile="C:\Users\YVES~1.MIN\AppData\Local\Temp\rng_20260225_182236.htm"/>
    <webPublishItem id="25369" divId="Oil Pricer_25369" sourceType="range" sourceRef="A1:H84" destinationFile="C:\Users\YVES~1.MIN\AppData\Local\Temp\rng_20260225_182503.htm"/>
    <webPublishItem id="2726" divId="Oil Pricer_2726" sourceType="range" sourceRef="A1:H84" destinationFile="C:\Users\YVES~1.MIN\AppData\Local\Temp\rng_20260225_182745.htm"/>
    <webPublishItem id="4534" divId="Oil Pricer_4534" sourceType="range" sourceRef="A1:H84" destinationFile="C:\Users\YVES~1.MIN\AppData\Local\Temp\rng_20260225_182813.htm"/>
    <webPublishItem id="3812" divId="Oil Pricer_3812" sourceType="range" sourceRef="A1:H84" destinationFile="C:\Users\YVES~1.MIN\AppData\Local\Temp\rng_20260226_174002.htm"/>
    <webPublishItem id="30169" divId="Oil Pricer_30169" sourceType="range" sourceRef="A1:H84" destinationFile="C:\Users\YVES~1.MIN\AppData\Local\Temp\rng_20260226_180432.htm"/>
    <webPublishItem id="10364" divId="Oil Pricer_10364" sourceType="range" sourceRef="A1:H84" destinationFile="C:\Users\YVES~1.MIN\AppData\Local\Temp\rng_20260227_163342.htm"/>
    <webPublishItem id="18159" divId="Oil Pricer_18159" sourceType="range" sourceRef="A1:H84" destinationFile="C:\Users\YVES~1.MIN\AppData\Local\Temp\rng_20260227_163546.htm"/>
    <webPublishItem id="17750" divId="Oil Pricer_17750" sourceType="range" sourceRef="A1:H84" destinationFile="C:\Users\YVES~1.MIN\AppData\Local\Temp\rng_20260227_182031.htm"/>
    <webPublishItem id="16478" divId="Oil Pricer_16478" sourceType="range" sourceRef="A1:H84" destinationFile="C:\Users\YVES~1.MIN\AppData\Local\Temp\rng_20260227_182855.htm"/>
    <webPublishItem id="17199" divId="Oil Pricer_17199" sourceType="range" sourceRef="A1:H84" destinationFile="C:\Users\YVES~1.MIN\AppData\Local\Temp\rng_20260227_182907.htm"/>
    <webPublishItem id="6627" divId="Oil Pricer_6627" sourceType="range" sourceRef="A1:H84" destinationFile="C:\Users\YVES~1.MIN\AppData\Local\Temp\rng_20260227_185230.htm"/>
    <webPublishItem id="25657" divId="Oil Pricer_25657" sourceType="range" sourceRef="A1:H84" destinationFile="C:\Users\YVES~1.MIN\AppData\Local\Temp\rng_20260302_165543.htm"/>
    <webPublishItem id="6212" divId="Oil Pricer_6212" sourceType="range" sourceRef="A1:H84" destinationFile="C:\Users\YVES~1.MIN\AppData\Local\Temp\rng_20260302_180026.htm"/>
    <webPublishItem id="10758" divId="Oil Pricer_10758" sourceType="range" sourceRef="A1:H84" destinationFile="C:\Users\YVES~1.MIN\AppData\Local\Temp\rng_20260302_180139.htm"/>
    <webPublishItem id="8873" divId="Oil Pricer_8873" sourceType="range" sourceRef="A1:H84" destinationFile="C:\Users\YVES~1.MIN\AppData\Local\Temp\rng_20260302_181837.htm"/>
    <webPublishItem id="11500" divId="Oil Pricer_11500" sourceType="range" sourceRef="A1:H84" destinationFile="C:\Users\YVES~1.MIN\AppData\Local\Temp\rng_20260302_181919.htm"/>
    <webPublishItem id="14845" divId="Oil Pricer_14845" sourceType="range" sourceRef="A1:H84" destinationFile="C:\Users\YVES~1.MIN\AppData\Local\Temp\rng_20260302_182013.htm"/>
    <webPublishItem id="15384" divId="Oil Pricer_15384" sourceType="range" sourceRef="A1:H84" destinationFile="C:\Users\YVES~1.MIN\AppData\Local\Temp\rng_20260303_194934.htm"/>
    <webPublishItem id="28742" divId="Oil Pricer_28742" sourceType="range" sourceRef="A1:H84" destinationFile="C:\Users\YVES~1.MIN\AppData\Local\Temp\rng_20260304_214833.htm"/>
    <webPublishItem id="31938" divId="Oil Pricer_31938" sourceType="range" sourceRef="A1:H84" destinationFile="C:\Users\YVES~1.MIN\AppData\Local\Temp\rng_20260304_214924.htm"/>
    <webPublishItem id="8819" divId="Oil Pricer_8819" sourceType="range" sourceRef="A1:H84" destinationFile="C:\Users\YVES~1.MIN\AppData\Local\Temp\rng_20260304_215158.htm"/>
    <webPublishItem id="12789" divId="Oil Pricer_12789" sourceType="range" sourceRef="A1:H84" destinationFile="C:\Users\YVES~1.MIN\AppData\Local\Temp\rng_20260305_164016.htm"/>
    <webPublishItem id="18796" divId="Oil Pricer_18796" sourceType="range" sourceRef="A1:H84" destinationFile="C:\Users\YVES~1.MIN\AppData\Local\Temp\rng_20260305_164152.htm"/>
    <webPublishItem id="16902" divId="Oil Pricer_16902" sourceType="range" sourceRef="A1:H84" destinationFile="C:\Users\YVES~1.MIN\AppData\Local\Temp\rng_20260305_165006.htm"/>
    <webPublishItem id="16138" divId="Oil Pricer_16138" sourceType="range" sourceRef="A1:H84" destinationFile="C:\Users\YVES~1.MIN\AppData\Local\Temp\rng_20260305_171607.htm"/>
    <webPublishItem id="17059" divId="Oil Pricer_17059" sourceType="range" sourceRef="A1:H84" destinationFile="C:\Users\YVES~1.MIN\AppData\Local\Temp\rng_20260305_171622.htm"/>
    <webPublishItem id="27563" divId="Oil Pricer_27563" sourceType="range" sourceRef="A1:H84" destinationFile="C:\Users\YVES~1.MIN\AppData\Local\Temp\rng_20260306_190551.htm"/>
    <webPublishItem id="21270" divId="Oil Pricer_21270" sourceType="range" sourceRef="A1:H84" destinationFile="C:\Users\YVES~1.MIN\AppData\Local\Temp\rng_20260309_145915.htm"/>
    <webPublishItem id="7233" divId="Oil Pricer_7233" sourceType="range" sourceRef="A1:H84" destinationFile="C:\Users\YVES~1.MIN\AppData\Local\Temp\rng_20260310_154945.htm"/>
    <webPublishItem id="11061" divId="Oil Pricer_11061" sourceType="range" sourceRef="A1:H84" destinationFile="C:\Users\YVES~1.MIN\AppData\Local\Temp\rng_20260311_161004.htm"/>
    <webPublishItem id="15266" divId="Oil Pricer_15266" sourceType="range" sourceRef="A1:H87" destinationFile="C:\Users\YVES~1.MIN\AppData\Local\Temp\rng_20250915_182741.htm"/>
    <webPublishItem id="31837" divId="Oil Pricer_31837" sourceType="range" sourceRef="A1:H87" destinationFile="C:\Users\YVES~1.MIN\AppData\Local\Temp\rng_20250915_183206.htm"/>
    <webPublishItem id="4442" divId="Oil Pricer_4442" sourceType="range" sourceRef="A1:H87" destinationFile="C:\Users\YVES~1.MIN\AppData\Local\Temp\rng_20250915_183332.htm"/>
    <webPublishItem id="9802" divId="Oil Pricer_9802" sourceType="range" sourceRef="A1:H87" destinationFile="C:\Users\YVES~1.MIN\AppData\Local\Temp\rng_20250915_183457.htm"/>
    <webPublishItem id="9478" divId="Oil Pricer_9478" sourceType="range" sourceRef="A1:H87" destinationFile="C:\Users\YVES~1.MIN\AppData\Local\Temp\rng_20250915_184337.htm"/>
    <webPublishItem id="10641" divId="Oil Pricer_10641" sourceType="range" sourceRef="A1:H87" destinationFile="C:\Users\YVES~1.MIN\AppData\Local\Temp\rng_20250915_184355.htm"/>
    <webPublishItem id="11933" divId="Oil Pricer_11933" sourceType="range" sourceRef="A1:H87" destinationFile="C:\Users\YVES~1.MIN\AppData\Local\Temp\rng_20250915_184416.htm"/>
    <webPublishItem id="14155" divId="Oil Pricer_14155" sourceType="range" sourceRef="A1:H87" destinationFile="C:\Users\YVES~1.MIN\AppData\Local\Temp\rng_20250915_184451.htm"/>
    <webPublishItem id="15775" divId="Oil Pricer_15775" sourceType="range" sourceRef="A1:H87" destinationFile="C:\Users\YVES~1.MIN\AppData\Local\Temp\rng_20250915_184517.htm"/>
    <webPublishItem id="16909" divId="Oil Pricer_16909" sourceType="range" sourceRef="A1:H87" destinationFile="C:\Users\YVES~1.MIN\AppData\Local\Temp\rng_20250915_184535.htm"/>
    <webPublishItem id="23647" divId="Oil Pricer_23647" sourceType="range" sourceRef="A1:H87" destinationFile="C:\Users\YVES~1.MIN\AppData\Local\Temp\rng_20250915_184723.htm"/>
    <webPublishItem id="26266" divId="Oil Pricer_26266" sourceType="range" sourceRef="A1:H87" destinationFile="C:\Users\YVES~1.MIN\AppData\Local\Temp\rng_20250915_184805.htm"/>
    <webPublishItem id="5423" divId="Oil Pricer_5423" sourceType="range" sourceRef="A1:H87" destinationFile="C:\Users\YVES~1.MIN\AppData\Local\Temp\rng_20250915_185116.htm"/>
    <webPublishItem id="15204" divId="Oil Pricer_15204" sourceType="range" sourceRef="A1:H87" destinationFile="C:\Users\YVES~1.MIN\AppData\Local\Temp\rng_20250915_185353.htm"/>
    <webPublishItem id="15779" divId="Oil Pricer_15779" sourceType="range" sourceRef="A1:H87" destinationFile="C:\Users\YVES~1.MIN\AppData\Local\Temp\rng_20250915_185402.htm"/>
    <webPublishItem id="17907" divId="Oil Pricer_17907" sourceType="range" sourceRef="A1:H87" destinationFile="C:\Users\YVES~1.MIN\AppData\Local\Temp\rng_20250915_185436.htm"/>
    <webPublishItem id="31796" divId="Oil Pricer_31796" sourceType="range" sourceRef="A1:H87" destinationFile="C:\Users\YVES~1.MIN\AppData\Local\Temp\rng_20250915_185818.htm"/>
    <webPublishItem id="5225" divId="Oil Pricer_5225" sourceType="range" sourceRef="A1:H87" destinationFile="C:\Users\YVES~1.MIN\AppData\Local\Temp\rng_20250915_185957.htm"/>
    <webPublishItem id="8218" divId="Oil Pricer_8218" sourceType="range" sourceRef="A1:H87" destinationFile="C:\Users\YVES~1.MIN\AppData\Local\Temp\rng_20250916_165130.htm"/>
    <webPublishItem id="5704" divId="Oil Pricer_5704" sourceType="range" sourceRef="A1:H87" destinationFile="C:\Users\YVES~1.MIN\AppData\Local\Temp\rng_20250917_171008.htm"/>
    <webPublishItem id="30022" divId="Oil Pricer_30022" sourceType="range" sourceRef="A1:H87" destinationFile="C:\Users\YVES~1.MIN\AppData\Local\Temp\rng_20250917_171637.htm"/>
    <webPublishItem id="21046" divId="Oil Pricer_21046" sourceType="range" sourceRef="A1:H87" destinationFile="C:\Users\YVES~1.MIN\AppData\Local\Temp\rng_20250917_172257.htm"/>
    <webPublishItem id="25050" divId="Oil Pricer_25050" sourceType="range" sourceRef="A1:H87" destinationFile="C:\Users\YVES~1.MIN\AppData\Local\Temp\rng_20250917_172401.htm"/>
    <webPublishItem id="26929" divId="Oil Pricer_26929" sourceType="range" sourceRef="A1:H87" destinationFile="C:\Users\YVES~1.MIN\AppData\Local\Temp\rng_20250917_172431.htm"/>
    <webPublishItem id="920" divId="Oil Pricer_920" sourceType="range" sourceRef="A1:H87" destinationFile="C:\Users\YVES~1.MIN\AppData\Local\Temp\rng_20250917_172620.htm"/>
    <webPublishItem id="4999" divId="Oil Pricer_4999" sourceType="range" sourceRef="A1:H87" destinationFile="C:\Users\YVES~1.MIN\AppData\Local\Temp\rng_20250917_172725.htm"/>
    <webPublishItem id="21099" divId="Oil Pricer_21099" sourceType="range" sourceRef="A1:H87" destinationFile="C:\Users\YVES~1.MIN\AppData\Local\Temp\rng_20250919_171752.htm"/>
    <webPublishItem id="22570" divId="Oil Pricer_22570" sourceType="range" sourceRef="A1:H87" destinationFile="C:\Users\YVES~1.MIN\AppData\Local\Temp\rng_20250919_171816.htm"/>
    <webPublishItem id="30689" divId="Oil Pricer_30689" sourceType="range" sourceRef="A1:H87" destinationFile="C:\Users\YVES~1.MIN\AppData\Local\Temp\rng_20250919_172026.htm"/>
    <webPublishItem id="12102" divId="Oil Pricer_12102" sourceType="range" sourceRef="A1:H87" destinationFile="C:\Users\YVES~1.MIN\AppData\Local\Temp\rng_20250919_172413.htm"/>
    <webPublishItem id="17146" divId="Oil Pricer_17146" sourceType="range" sourceRef="A1:H87" destinationFile="C:\Users\YVES~1.MIN\AppData\Local\Temp\rng_20250919_172533.htm"/>
    <webPublishItem id="24053" divId="Oil Pricer_24053" sourceType="range" sourceRef="A1:H87" destinationFile="C:\Users\YVES~1.MIN\AppData\Local\Temp\rng_20250919_172724.htm"/>
    <webPublishItem id="31634" divId="Oil Pricer_31634" sourceType="range" sourceRef="A1:H87" destinationFile="C:\Users\YVES~1.MIN\AppData\Local\Temp\rng_20250919_172925.htm"/>
    <webPublishItem id="4249" divId="Oil Pricer_4249" sourceType="range" sourceRef="A1:H87" destinationFile="C:\Users\YVES~1.MIN\AppData\Local\Temp\rng_20250919_180548.htm"/>
    <webPublishItem id="10412" divId="Oil Pricer_10412" sourceType="range" sourceRef="A1:H87" destinationFile="C:\Users\YVES~1.MIN\AppData\Local\Temp\rng_20250919_180727.htm"/>
    <webPublishItem id="32652" divId="Oil Pricer_32652" sourceType="range" sourceRef="A1:H87" destinationFile="C:\Users\YVES~1.MIN\AppData\Local\Temp\rng_20250919_181323.htm"/>
    <webPublishItem id="4038" divId="Oil Pricer_4038" sourceType="range" sourceRef="A1:H87" destinationFile="C:\Users\YVES~1.MIN\AppData\Local\Temp\rng_20250919_181429.htm"/>
    <webPublishItem id="5499" divId="Oil Pricer_5499" sourceType="range" sourceRef="A1:H87" destinationFile="C:\Users\YVES~1.MIN\AppData\Local\Temp\rng_20250919_181453.htm"/>
    <webPublishItem id="11969" divId="Oil Pricer_11969" sourceType="range" sourceRef="A1:H87" destinationFile="C:\Users\YVES~1.MIN\AppData\Local\Temp\rng_20250919_181636.htm"/>
    <webPublishItem id="28741" divId="Oil Pricer_28741" sourceType="range" sourceRef="A1:H87" destinationFile="C:\Users\YVES~1.MIN\AppData\Local\Temp\rng_20250919_182105.htm"/>
    <webPublishItem id="10087" divId="Oil Pricer_10087" sourceType="range" sourceRef="A1:H87" destinationFile="C:\Users\YVES~1.MIN\AppData\Local\Temp\rng_20250919_182450.htm"/>
    <webPublishItem id="12834" divId="Oil Pricer_12834" sourceType="range" sourceRef="A1:H87" destinationFile="C:\Users\YVES~1.MIN\AppData\Local\Temp\rng_20250919_182534.htm"/>
    <webPublishItem id="17174" divId="Oil Pricer_17174" sourceType="range" sourceRef="A1:H87" destinationFile="C:\Users\YVES~1.MIN\AppData\Local\Temp\rng_20250919_182644.htm"/>
    <webPublishItem id="19583" divId="Oil Pricer_19583" sourceType="range" sourceRef="A1:H87" destinationFile="C:\Users\YVES~1.MIN\AppData\Local\Temp\rng_20250919_182722.htm"/>
    <webPublishItem id="1016" divId="Oil Pricer_1016" sourceType="range" sourceRef="A1:H87" destinationFile="C:\Users\YVES~1.MIN\AppData\Local\Temp\rng_20250919_183110.htm"/>
    <webPublishItem id="6624" divId="Oil Pricer_6624" sourceType="range" sourceRef="A1:H87" destinationFile="C:\Users\YVES~1.MIN\AppData\Local\Temp\rng_20250919_185008.htm"/>
    <webPublishItem id="7864" divId="Oil Pricer_7864" sourceType="range" sourceRef="A1:H87" destinationFile="C:\Users\YVES~1.MIN\AppData\Local\Temp\rng_20250919_185028.htm"/>
    <webPublishItem id="2558" divId="Oil Pricer_2558" sourceType="range" sourceRef="A1:H87" destinationFile="C:\Users\YVES~1.MIN\AppData\Local\Temp\rng_20250922_171408.htm"/>
    <webPublishItem id="1283" divId="Oil Pricer_1283" sourceType="range" sourceRef="A1:H87" destinationFile="C:\Users\YVES~1.MIN\AppData\Local\Temp\rng_20250922_173116.htm"/>
    <webPublishItem id="31766" divId="Oil Pricer_31766" sourceType="range" sourceRef="A1:H87" destinationFile="C:\Users\YVES~1.MIN\AppData\Local\Temp\rng_20250923_164003.htm"/>
    <webPublishItem id="29163" divId="Oil Pricer_29163" sourceType="range" sourceRef="A1:H87" destinationFile="C:\Users\YVES~1.MIN\AppData\Local\Temp\rng_20250923_184142.htm"/>
    <webPublishItem id="3160" divId="Oil Pricer_3160" sourceType="range" sourceRef="A1:H87" destinationFile="C:\Users\YVES~1.MIN\AppData\Local\Temp\rng_20250924_172640.htm"/>
    <webPublishItem id="1034" divId="Oil Pricer_1034" sourceType="range" sourceRef="A1:H87" destinationFile="C:\Users\YVES~1.MIN\AppData\Local\Temp\rng_20250925_163530.htm"/>
    <webPublishItem id="29452" divId="Oil Pricer_29452" sourceType="range" sourceRef="A1:H87" destinationFile="C:\Users\YVES~1.MIN\AppData\Local\Temp\rng_20250925_164304.htm"/>
    <webPublishItem id="31701" divId="Oil Pricer_31701" sourceType="range" sourceRef="A1:H87" destinationFile="C:\Users\YVES~1.MIN\AppData\Local\Temp\rng_20250925_164340.htm"/>
    <webPublishItem id="8118" divId="Oil Pricer_8118" sourceType="range" sourceRef="A1:H87" destinationFile="C:\Users\YVES~1.MIN\AppData\Local\Temp\rng_20250925_170336.htm"/>
    <webPublishItem id="19891" divId="Oil Pricer_19891" sourceType="range" sourceRef="A1:H87" destinationFile="C:\Users\YVES~1.MIN\AppData\Local\Temp\rng_20250926_162452.htm"/>
    <webPublishItem id="24135" divId="Oil Pricer_24135" sourceType="range" sourceRef="A1:H87" destinationFile="C:\Users\YVES~1.MIN\AppData\Local\Temp\rng_20250926_162600.htm"/>
    <webPublishItem id="27678" divId="Oil Pricer_27678" sourceType="range" sourceRef="A1:H87" destinationFile="C:\Users\YVES~1.MIN\AppData\Local\Temp\rng_20250926_162657.htm"/>
    <webPublishItem id="28431" divId="Oil Pricer_28431" sourceType="range" sourceRef="A1:H87" destinationFile="C:\Users\YVES~1.MIN\AppData\Local\Temp\rng_20250926_163553.htm"/>
    <webPublishItem id="28680" divId="Oil Pricer_28680" sourceType="range" sourceRef="A1:H87" destinationFile="C:\Users\YVES~1.MIN\AppData\Local\Temp\rng_20250926_163557.htm"/>
    <webPublishItem id="7454" divId="Oil Pricer_7454" sourceType="range" sourceRef="A1:H87" destinationFile="C:\Users\YVES~1.MIN\AppData\Local\Temp\rng_20250929_163158.htm"/>
    <webPublishItem id="20310" divId="Oil Pricer_20310" sourceType="range" sourceRef="A1:H87" destinationFile="C:\Users\YVES~1.MIN\AppData\Local\Temp\rng_20250929_171021.htm"/>
    <webPublishItem id="22033" divId="Oil Pricer_22033" sourceType="range" sourceRef="A1:H87" destinationFile="C:\Users\YVES~1.MIN\AppData\Local\Temp\rng_20250929_171048.htm"/>
    <webPublishItem id="8751" divId="Oil Pricer_8751" sourceType="range" sourceRef="A1:H87" destinationFile="C:\Users\YVES~1.MIN\AppData\Local\Temp\rng_20250930_161639.htm"/>
    <webPublishItem id="19005" divId="Oil Pricer_19005" sourceType="range" sourceRef="A1:H87" destinationFile="C:\Users\YVES~1.MIN\AppData\Local\Temp\rng_20250930_161923.htm"/>
    <webPublishItem id="22181" divId="Oil Pricer_22181" sourceType="range" sourceRef="A1:H87" destinationFile="C:\Users\YVES~1.MIN\AppData\Local\Temp\rng_20250930_162014.htm"/>
    <webPublishItem id="9943" divId="Oil Pricer_9943" sourceType="range" sourceRef="A1:H87" destinationFile="C:\Users\YVES~1.MIN\AppData\Local\Temp\rng_20250930_162542.htm"/>
    <webPublishItem id="32665" divId="Oil Pricer_32665" sourceType="range" sourceRef="A1:H87" destinationFile="C:\Users\YVES~1.MIN\AppData\Local\Temp\rng_20250930_163146.htm"/>
    <webPublishItem id="6928" divId="Oil Pricer_6928" sourceType="range" sourceRef="A1:H87" destinationFile="C:\Users\YVES~1.MIN\AppData\Local\Temp\rng_20250930_163338.htm"/>
    <webPublishItem id="10393" divId="Oil Pricer_10393" sourceType="range" sourceRef="A1:H87" destinationFile="C:\Users\YVES~1.MIN\AppData\Local\Temp\rng_20250930_163434.htm"/>
    <webPublishItem id="13427" divId="Oil Pricer_13427" sourceType="range" sourceRef="A1:H87" destinationFile="C:\Users\YVES~1.MIN\AppData\Local\Temp\rng_20250930_163522.htm"/>
    <webPublishItem id="15225" divId="Oil Pricer_15225" sourceType="range" sourceRef="A1:H87" destinationFile="C:\Users\YVES~1.MIN\AppData\Local\Temp\rng_20250930_163551.htm"/>
    <webPublishItem id="23303" divId="Oil Pricer_23303" sourceType="range" sourceRef="A1:H87" destinationFile="C:\Users\YVES~1.MIN\AppData\Local\Temp\rng_20250930_163800.htm"/>
    <webPublishItem id="23953" divId="Oil Pricer_23953" sourceType="range" sourceRef="A1:H87" destinationFile="C:\Users\YVES~1.MIN\AppData\Local\Temp\rng_20250930_163811.htm"/>
    <webPublishItem id="26936" divId="Oil Pricer_26936" sourceType="range" sourceRef="A1:H87" destinationFile="C:\Users\YVES~1.MIN\AppData\Local\Temp\rng_20250930_163858.htm"/>
    <webPublishItem id="25564" divId="Oil Pricer_25564" sourceType="range" sourceRef="A1:H87" destinationFile="C:\Users\YVES~1.MIN\AppData\Local\Temp\rng_20250930_172218.htm"/>
    <webPublishItem id="29878" divId="Oil Pricer_29878" sourceType="range" sourceRef="A1:H87" destinationFile="C:\Users\YVES~1.MIN\AppData\Local\Temp\rng_20250930_172327.htm"/>
    <webPublishItem id="25702" divId="Oil Pricer_25702" sourceType="range" sourceRef="A1:H87" destinationFile="C:\Users\YVES~1.MIN\AppData\Local\Temp\rng_20250930_181446.htm"/>
    <webPublishItem id="3492" divId="Oil Pricer_3492" sourceType="range" sourceRef="A1:H87" destinationFile="C:\Users\YVES~1.MIN\AppData\Local\Temp\rng_20250930_192729.htm"/>
    <webPublishItem id="5836" divId="Oil Pricer_5836" sourceType="range" sourceRef="A1:H87" destinationFile="C:\Users\YVES~1.MIN\AppData\Local\Temp\rng_20250930_192807.htm"/>
    <webPublishItem id="11434" divId="Oil Pricer_11434" sourceType="range" sourceRef="A1:H87" destinationFile="C:\Users\YVES~1.MIN\AppData\Local\Temp\rng_20250930_192937.htm"/>
    <webPublishItem id="7614" divId="Oil Pricer_7614" sourceType="range" sourceRef="A1:H87" destinationFile="C:\Users\YVES~1.MIN\AppData\Local\Temp\rng_20251001_141550.htm"/>
    <webPublishItem id="755" divId="Oil Pricer_755" sourceType="range" sourceRef="A1:H87" destinationFile="C:\Users\YVES~1.MIN\AppData\Local\Temp\rng_20251001_163349.htm"/>
    <webPublishItem id="5818" divId="Oil Pricer_5818" sourceType="range" sourceRef="A1:H87" destinationFile="C:\Users\YVES~1.MIN\AppData\Local\Temp\rng_20251001_163510.htm"/>
    <webPublishItem id="20055" divId="Oil Pricer_20055" sourceType="range" sourceRef="A1:H87" destinationFile="C:\Users\YVES~1.MIN\AppData\Local\Temp\rng_20251001_172239.htm"/>
    <webPublishItem id="3581" divId="Oil Pricer_3581" sourceType="range" sourceRef="A1:H87" destinationFile="C:\Users\YVES~1.MIN\AppData\Local\Temp\rng_20251003_182304.htm"/>
    <webPublishItem id="16970" divId="Oil Pricer_16970" sourceType="range" sourceRef="A1:H87" destinationFile="C:\Users\YVES~1.MIN\AppData\Local\Temp\rng_20251006_164311.htm"/>
    <webPublishItem id="10498" divId="Oil Pricer_10498" sourceType="range" sourceRef="A1:H87" destinationFile="C:\Users\YVES~1.MIN\AppData\Local\Temp\rng_20251006_171625.htm"/>
    <webPublishItem id="10757" divId="Oil Pricer_10757" sourceType="range" sourceRef="A1:H87" destinationFile="C:\Users\YVES~1.MIN\AppData\Local\Temp\rng_20251006_171629.htm"/>
    <webPublishItem id="18960" divId="Oil Pricer_18960" sourceType="range" sourceRef="A1:H87" destinationFile="C:\Users\YVES~1.MIN\AppData\Local\Temp\rng_20251006_171840.htm"/>
    <webPublishItem id="20667" divId="Oil Pricer_20667" sourceType="range" sourceRef="A1:H87" destinationFile="C:\Users\YVES~1.MIN\AppData\Local\Temp\rng_20251006_171908.htm"/>
    <webPublishItem id="30279" divId="Oil Pricer_30279" sourceType="range" sourceRef="A1:H87" destinationFile="C:\Users\YVES~1.MIN\AppData\Local\Temp\rng_20251006_172142.htm"/>
    <webPublishItem id="14131" divId="Oil Pricer_14131" sourceType="range" sourceRef="A1:H87" destinationFile="C:\Users\YVES~1.MIN\AppData\Local\Temp\rng_20251007_163531.htm"/>
    <webPublishItem id="19153" divId="Oil Pricer_19153" sourceType="range" sourceRef="A1:H87" destinationFile="C:\Users\YVES~1.MIN\AppData\Local\Temp\rng_20251007_163651.htm"/>
    <webPublishItem id="4769" divId="Oil Pricer_4769" sourceType="range" sourceRef="A1:H87" destinationFile="C:\Users\YVES~1.MIN\AppData\Local\Temp\rng_20251008_134005.htm"/>
    <webPublishItem id="6529" divId="Oil Pricer_6529" sourceType="range" sourceRef="A1:H87" destinationFile="C:\Users\YVES~1.MIN\AppData\Local\Temp\rng_20251008_134033.htm"/>
    <webPublishItem id="7461" divId="Oil Pricer_7461" sourceType="range" sourceRef="A1:H87" destinationFile="C:\Users\YVES~1.MIN\AppData\Local\Temp\rng_20251008_134048.htm"/>
    <webPublishItem id="9206" divId="Oil Pricer_9206" sourceType="range" sourceRef="A1:H87" destinationFile="C:\Users\YVES~1.MIN\AppData\Local\Temp\rng_20251008_134116.htm"/>
    <webPublishItem id="26504" divId="Oil Pricer_26504" sourceType="range" sourceRef="A1:H87" destinationFile="C:\Users\YVES~1.MIN\AppData\Local\Temp\rng_20251008_134552.htm"/>
    <webPublishItem id="6068" divId="Oil Pricer_6068" sourceType="range" sourceRef="A1:H87" destinationFile="C:\Users\YVES~1.MIN\AppData\Local\Temp\rng_20251008_161743.htm"/>
    <webPublishItem id="8009" divId="Oil Pricer_8009" sourceType="range" sourceRef="A1:H87" destinationFile="C:\Users\YVES~1.MIN\AppData\Local\Temp\rng_20251008_161814.htm"/>
    <webPublishItem id="29357" divId="Oil Pricer_29357" sourceType="range" sourceRef="A1:H87" destinationFile="C:\Users\YVES~1.MIN\AppData\Local\Temp\rng_20251008_162355.htm"/>
    <webPublishItem id="28082" divId="Oil Pricer_28082" sourceType="range" sourceRef="A1:H87" destinationFile="C:\Users\YVES~1.MIN\AppData\Local\Temp\rng_20251008_163219.htm"/>
    <webPublishItem id="18230" divId="Oil Pricer_18230" sourceType="range" sourceRef="A1:H87" destinationFile="C:\Users\YVES~1.MIN\AppData\Local\Temp\rng_20251009_163131.htm"/>
    <webPublishItem id="6028" divId="Oil Pricer_6028" sourceType="range" sourceRef="A1:H87" destinationFile="C:\Users\YVES~1.MIN\AppData\Local\Temp\rng_20251009_185649.htm"/>
    <webPublishItem id="29988" divId="Oil Pricer_29988" sourceType="range" sourceRef="A1:H87" destinationFile="C:\Users\YVES~1.MIN\AppData\Local\Temp\rng_20251010_174125.htm"/>
    <webPublishItem id="13343" divId="Oil Pricer_13343" sourceType="range" sourceRef="A1:H87" destinationFile="C:\Users\YVES~1.MIN\AppData\Local\Temp\rng_20251010_174543.htm"/>
    <webPublishItem id="27830" divId="Oil Pricer_27830" sourceType="range" sourceRef="A1:H87" destinationFile="C:\Users\YVES~1.MIN\AppData\Local\Temp\rng_20251013_160929.htm"/>
    <webPublishItem id="25367" divId="Oil Pricer_25367" sourceType="range" sourceRef="A1:H87" destinationFile="C:\Users\YVES~1.MIN\AppData\Local\Temp\rng_20251013_162619.htm"/>
    <webPublishItem id="27214" divId="Oil Pricer_27214" sourceType="range" sourceRef="A1:H87" destinationFile="C:\Users\YVES~1.MIN\AppData\Local\Temp\rng_20251013_162648.htm"/>
    <webPublishItem id="4959" divId="Oil Pricer_4959" sourceType="range" sourceRef="A1:H87" destinationFile="C:\Users\YVES~1.MIN\AppData\Local\Temp\rng_20251013_162936.htm"/>
    <webPublishItem id="5139" divId="Oil Pricer_5139" sourceType="range" sourceRef="A1:H87" destinationFile="C:\Users\YVES~1.MIN\AppData\Local\Temp\rng_20251013_164708.htm"/>
    <webPublishItem id="20535" divId="Oil Pricer_20535" sourceType="range" sourceRef="A1:H87" destinationFile="C:\Users\YVES~1.MIN\AppData\Local\Temp\rng_20251014_172801.htm"/>
    <webPublishItem id="22212" divId="Oil Pricer_22212" sourceType="range" sourceRef="A1:H87" destinationFile="C:\Users\YVES~1.MIN\AppData\Local\Temp\rng_20251014_172827.htm"/>
    <webPublishItem id="7564" divId="Oil Pricer_7564" sourceType="range" sourceRef="A1:H87" destinationFile="C:\Users\YVES~1.MIN\AppData\Local\Temp\rng_20251015_155859.htm"/>
    <webPublishItem id="7022" divId="Oil Pricer_7022" sourceType="range" sourceRef="A1:H87" destinationFile="C:\Users\YVES~1.MIN\AppData\Local\Temp\rng_20251016_173647.htm"/>
    <webPublishItem id="13470" divId="Oil Pricer_13470" sourceType="range" sourceRef="A1:H87" destinationFile="C:\Users\YVES~1.MIN\AppData\Local\Temp\rng_20251016_174714.htm"/>
    <webPublishItem id="1151" divId="Oil Pricer_1151" sourceType="range" sourceRef="A1:H87" destinationFile="C:\Users\YVES~1.MIN\AppData\Local\Temp\rng_20251016_175242.htm"/>
    <webPublishItem id="21045" divId="Oil Pricer_21045" sourceType="range" sourceRef="A1:H87" destinationFile="C:\Users\YVES~1.MIN\AppData\Local\Temp\rng_20251016_181529.htm"/>
    <webPublishItem id="22818" divId="Oil Pricer_22818" sourceType="range" sourceRef="A1:H87" destinationFile="C:\Users\YVES~1.MIN\AppData\Local\Temp\rng_20251016_184210.htm"/>
    <webPublishItem id="23184" divId="Oil Pricer_23184" sourceType="range" sourceRef="A1:H87" destinationFile="C:\Users\YVES~1.MIN\AppData\Local\Temp\rng_20251016_184216.htm"/>
    <webPublishItem id="24176" divId="Oil Pricer_24176" sourceType="range" sourceRef="A1:H87" destinationFile="C:\Users\YVES~1.MIN\AppData\Local\Temp\rng_20251016_184232.htm"/>
    <webPublishItem id="11485" divId="Oil Pricer_11485" sourceType="range" sourceRef="A1:H87" destinationFile="C:\Users\YVES~1.MIN\AppData\Local\Temp\rng_20251017_173103.htm"/>
    <webPublishItem id="15241" divId="Oil Pricer_15241" sourceType="range" sourceRef="A1:H87" destinationFile="C:\Users\YVES~1.MIN\AppData\Local\Temp\rng_20251017_174048.htm"/>
    <webPublishItem id="27107" divId="Oil Pricer_27107" sourceType="range" sourceRef="A1:H87" destinationFile="C:\Users\YVES~1.MIN\AppData\Local\Temp\rng_20251017_174358.htm"/>
    <webPublishItem id="32071" divId="Oil Pricer_32071" sourceType="range" sourceRef="A1:H87" destinationFile="C:\Users\YVES~1.MIN\AppData\Local\Temp\rng_20251017_174517.htm"/>
    <webPublishItem id="7707" divId="Oil Pricer_7707" sourceType="range" sourceRef="A1:H87" destinationFile="C:\Users\YVES~1.MIN\AppData\Local\Temp\rng_20251017_174732.htm"/>
    <webPublishItem id="21335" divId="Oil Pricer_21335" sourceType="range" sourceRef="A1:H87" destinationFile="C:\Users\YVES~1.MIN\AppData\Local\Temp\rng_20251017_175110.htm"/>
    <webPublishItem id="1772" divId="Oil Pricer_1772" sourceType="range" sourceRef="A1:H87" destinationFile="C:\Users\YVES~1.MIN\AppData\Local\Temp\rng_20251017_175441.htm"/>
    <webPublishItem id="2065" divId="Oil Pricer_2065" sourceType="range" sourceRef="A1:H87" destinationFile="C:\Users\YVES~1.MIN\AppData\Local\Temp\rng_20251017_175446.htm"/>
    <webPublishItem id="2405" divId="Oil Pricer_2405" sourceType="range" sourceRef="A1:H87" destinationFile="C:\Users\YVES~1.MIN\AppData\Local\Temp\rng_20251017_175451.htm"/>
    <webPublishItem id="3644" divId="Oil Pricer_3644" sourceType="range" sourceRef="A1:H87" destinationFile="C:\Users\YVES~1.MIN\AppData\Local\Temp\rng_20251017_175511.htm"/>
    <webPublishItem id="3939" divId="Oil Pricer_3939" sourceType="range" sourceRef="A1:H87" destinationFile="C:\Users\YVES~1.MIN\AppData\Local\Temp\rng_20251017_175516.htm"/>
    <webPublishItem id="6638" divId="Oil Pricer_6638" sourceType="range" sourceRef="A1:H87" destinationFile="C:\Users\YVES~1.MIN\AppData\Local\Temp\rng_20251017_175559.htm"/>
    <webPublishItem id="10395" divId="Oil Pricer_10395" sourceType="range" sourceRef="A1:H87" destinationFile="C:\Users\YVES~1.MIN\AppData\Local\Temp\rng_20251017_175659.htm"/>
    <webPublishItem id="18077" divId="Oil Pricer_18077" sourceType="range" sourceRef="A1:H87" destinationFile="C:\Users\YVES~1.MIN\AppData\Local\Temp\rng_20251020_165141.htm"/>
    <webPublishItem id="4615" divId="Oil Pricer_4615" sourceType="range" sourceRef="A1:H87" destinationFile="C:\Users\YVES~1.MIN\AppData\Local\Temp\rng_20251020_165650.htm"/>
    <webPublishItem id="5297" divId="Oil Pricer_5297" sourceType="range" sourceRef="A1:H87" destinationFile="C:\Users\YVES~1.MIN\AppData\Local\Temp\rng_20251020_165701.htm"/>
    <webPublishItem id="5563" divId="Oil Pricer_5563" sourceType="range" sourceRef="A1:H87" destinationFile="C:\Users\YVES~1.MIN\AppData\Local\Temp\rng_20251020_165705.htm"/>
    <webPublishItem id="19744" divId="Oil Pricer_19744" sourceType="range" sourceRef="A1:H87" destinationFile="C:\Users\YVES~1.MIN\AppData\Local\Temp\rng_20251020_170936.htm"/>
    <webPublishItem id="21294" divId="Oil Pricer_21294" sourceType="range" sourceRef="A1:H87" destinationFile="C:\Users\YVES~1.MIN\AppData\Local\Temp\rng_20251020_171001.htm"/>
    <webPublishItem id="16147" divId="Oil Pricer_16147" sourceType="range" sourceRef="A1:H87" destinationFile="C:\Users\YVES~1.MIN\AppData\Local\Temp\rng_20251020_171723.htm"/>
    <webPublishItem id="23066" divId="Oil Pricer_23066" sourceType="range" sourceRef="A1:H87" destinationFile="C:\Users\YVES~1.MIN\AppData\Local\Temp\rng_20251020_171914.htm"/>
    <webPublishItem id="12043" divId="Oil Pricer_12043" sourceType="range" sourceRef="A1:H87" destinationFile="C:\Users\YVES~1.MIN\AppData\Local\Temp\rng_20251020_174230.htm"/>
    <webPublishItem id="14505" divId="Oil Pricer_14505" sourceType="range" sourceRef="A1:H87" destinationFile="C:\Users\YVES~1.MIN\AppData\Local\Temp\rng_20251020_174310.htm"/>
    <webPublishItem id="20840" divId="Oil Pricer_20840" sourceType="range" sourceRef="A1:H87" destinationFile="C:\Users\YVES~1.MIN\AppData\Local\Temp\rng_20251020_174451.htm"/>
    <webPublishItem id="21650" divId="Oil Pricer_21650" sourceType="range" sourceRef="A1:H87" destinationFile="C:\Users\YVES~1.MIN\AppData\Local\Temp\rng_20251020_174504.htm"/>
    <webPublishItem id="24158" divId="Oil Pricer_24158" sourceType="range" sourceRef="A1:H87" destinationFile="C:\Users\YVES~1.MIN\AppData\Local\Temp\rng_20251020_174544.htm"/>
    <webPublishItem id="13870" divId="Oil Pricer_13870" sourceType="range" sourceRef="A1:H87" destinationFile="C:\Users\YVES~1.MIN\AppData\Local\Temp\rng_20251020_180028.htm"/>
    <webPublishItem id="17928" divId="Oil Pricer_17928" sourceType="range" sourceRef="A1:H87" destinationFile="C:\Users\YVES~1.MIN\AppData\Local\Temp\rng_20251020_180133.htm"/>
    <webPublishItem id="2162" divId="Oil Pricer_2162" sourceType="range" sourceRef="A1:H87" destinationFile="C:\Users\YVES~1.MIN\AppData\Local\Temp\rng_20251020_180605.htm"/>
    <webPublishItem id="14532" divId="Oil Pricer_14532" sourceType="range" sourceRef="A1:H87" destinationFile="C:\Users\YVES~1.MIN\AppData\Local\Temp\rng_20251020_180923.htm"/>
    <webPublishItem id="16322" divId="Oil Pricer_16322" sourceType="range" sourceRef="A1:H87" destinationFile="C:\Users\YVES~1.MIN\AppData\Local\Temp\rng_20251020_180952.htm"/>
    <webPublishItem id="11622" divId="Oil Pricer_11622" sourceType="range" sourceRef="A1:H87" destinationFile="C:\Users\YVES~1.MIN\AppData\Local\Temp\rng_20251020_184334.htm"/>
    <webPublishItem id="28845" divId="Oil Pricer_28845" sourceType="range" sourceRef="A1:H87" destinationFile="C:\Users\YVES~1.MIN\AppData\Local\Temp\rng_20251020_194035.htm"/>
    <webPublishItem id="19692" divId="Oil Pricer_19692" sourceType="range" sourceRef="A1:H87" destinationFile="C:\Users\YVES~1.MIN\AppData\Local\Temp\rng_20251021_163423.htm"/>
    <webPublishItem id="7232" divId="Oil Pricer_7232" sourceType="range" sourceRef="A1:H87" destinationFile="C:\Users\YVES~1.MIN\AppData\Local\Temp\rng_20251021_164832.htm"/>
    <webPublishItem id="26764" divId="Oil Pricer_26764" sourceType="range" sourceRef="A1:H87" destinationFile="C:\Users\YVES~1.MIN\AppData\Local\Temp\rng_20251021_165344.htm"/>
    <webPublishItem id="31412" divId="Oil Pricer_31412" sourceType="range" sourceRef="A1:H87" destinationFile="C:\Users\YVES~1.MIN\AppData\Local\Temp\rng_20251021_165459.htm"/>
    <webPublishItem id="6204" divId="Oil Pricer_6204" sourceType="range" sourceRef="A1:H87" destinationFile="C:\Users\YVES~1.MIN\AppData\Local\Temp\rng_20251021_173157.htm"/>
    <webPublishItem id="16397" divId="Oil Pricer_16397" sourceType="range" sourceRef="A1:H87" destinationFile="C:\Users\YVES~1.MIN\AppData\Local\Temp\rng_20251021_180053.htm"/>
    <webPublishItem id="10366" divId="Oil Pricer_10366" sourceType="range" sourceRef="A1:H87" destinationFile="C:\Users\YVES~1.MIN\AppData\Local\Temp\rng_20251021_181645.htm"/>
    <webPublishItem id="7898" divId="Oil Pricer_7898" sourceType="range" sourceRef="A1:H87" destinationFile="C:\Users\YVES~1.MIN\AppData\Local\Temp\rng_20251022_165032.htm"/>
    <webPublishItem id="16402" divId="Oil Pricer_16402" sourceType="range" sourceRef="A1:H87" destinationFile="C:\Users\YVES~1.MIN\AppData\Local\Temp\rng_20251023_163708.htm"/>
    <webPublishItem id="11291" divId="Oil Pricer_11291" sourceType="range" sourceRef="A1:H87" destinationFile="C:\Users\YVES~1.MIN\AppData\Local\Temp\rng_20251024_162851.htm"/>
    <webPublishItem id="5850" divId="Oil Pricer_5850" sourceType="range" sourceRef="A1:H87" destinationFile="C:\Users\YVES~1.MIN\AppData\Local\Temp\rng_20251024_163608.htm"/>
    <webPublishItem id="7080" divId="Oil Pricer_7080" sourceType="range" sourceRef="A1:H87" destinationFile="C:\Users\YVES~1.MIN\AppData\Local\Temp\rng_20251024_163628.htm"/>
    <webPublishItem id="1696" divId="Oil Pricer_1696" sourceType="range" sourceRef="A1:H87" destinationFile="C:\Users\YVES~1.MIN\AppData\Local\Temp\rng_20251024_174456.htm"/>
    <webPublishItem id="21122" divId="Oil Pricer_21122" sourceType="range" sourceRef="A1:H87" destinationFile="C:\Users\YVES~1.MIN\AppData\Local\Temp\rng_20251027_161759.htm"/>
    <webPublishItem id="7959" divId="Oil Pricer_7959" sourceType="range" sourceRef="A1:H87" destinationFile="C:\Users\YVES~1.MIN\AppData\Local\Temp\rng_20251027_162313.htm"/>
    <webPublishItem id="4005" divId="Oil Pricer_4005" sourceType="range" sourceRef="A1:H87" destinationFile="C:\Users\YVES~1.MIN\AppData\Local\Temp\rng_20251028_163243.htm"/>
    <webPublishItem id="15942" divId="Oil Pricer_15942" sourceType="range" sourceRef="A1:H87" destinationFile="C:\Users\YVES~1.MIN\AppData\Local\Temp\rng_20251029_170356.htm"/>
    <webPublishItem id="26678" divId="Oil Pricer_26678" sourceType="range" sourceRef="A1:H87" destinationFile="C:\Users\YVES~1.MIN\AppData\Local\Temp\rng_20251029_172417.htm"/>
    <webPublishItem id="31176" divId="Oil Pricer_31176" sourceType="range" sourceRef="A1:H87" destinationFile="C:\Users\YVES~1.MIN\AppData\Local\Temp\rng_20251030_180215.htm"/>
    <webPublishItem id="31666" divId="Oil Pricer_31666" sourceType="range" sourceRef="A1:H87" destinationFile="C:\Users\YVES~1.MIN\AppData\Local\Temp\rng_20251031_161921.htm"/>
    <webPublishItem id="22886" divId="Oil Pricer_22886" sourceType="range" sourceRef="A1:H87" destinationFile="C:\Users\YVES~1.MIN\AppData\Local\Temp\rng_20251031_162545.htm"/>
    <webPublishItem id="10707" divId="Oil Pricer_10707" sourceType="range" sourceRef="A1:H87" destinationFile="C:\Users\YVES~1.MIN\AppData\Local\Temp\rng_20251031_172340.htm"/>
    <webPublishItem id="11553" divId="Oil Pricer_11553" sourceType="range" sourceRef="A1:H87" destinationFile="C:\Users\YVES~1.MIN\AppData\Local\Temp\rng_20251031_172353.htm"/>
    <webPublishItem id="1637" divId="Oil Pricer_1637" sourceType="range" sourceRef="A1:H87" destinationFile="C:\Users\YVES~1.MIN\AppData\Local\Temp\rng_20251031_173843.htm"/>
    <webPublishItem id="18506" divId="Oil Pricer_18506" sourceType="range" sourceRef="A1:H87" destinationFile="C:\Users\YVES~1.MIN\AppData\Local\Temp\rng_20251103_181857.htm"/>
    <webPublishItem id="17854" divId="Oil Pricer_17854" sourceType="range" sourceRef="A1:H87" destinationFile="C:\Users\YVES~1.MIN\AppData\Local\Temp\rng_20251104_183804.htm"/>
    <webPublishItem id="833" divId="Oil Pricer_833" sourceType="range" sourceRef="A1:H87" destinationFile="C:\Users\YVES~1.MIN\AppData\Local\Temp\rng_20251104_185101.htm"/>
    <webPublishItem id="2514" divId="Oil Pricer_2514" sourceType="range" sourceRef="A1:H87" destinationFile="C:\Users\YVES~1.MIN\AppData\Local\Temp\rng_20251104_190012.htm"/>
    <webPublishItem id="11381" divId="Oil Pricer_11381" sourceType="range" sourceRef="A1:H87" destinationFile="C:\Users\YVES~1.MIN\AppData\Local\Temp\rng_20251105_192152.htm"/>
    <webPublishItem id="15259" divId="Oil Pricer_15259" sourceType="range" sourceRef="A1:H87" destinationFile="C:\Users\YVES~1.MIN\AppData\Local\Temp\rng_20251106_173951.htm"/>
    <webPublishItem id="20120" divId="Oil Pricer_20120" sourceType="range" sourceRef="A1:H87" destinationFile="C:\Users\YVES~1.MIN\AppData\Local\Temp\rng_20251106_180722.htm"/>
    <webPublishItem id="28817" divId="Oil Pricer_28817" sourceType="range" sourceRef="A1:H87" destinationFile="C:\Users\YVES~1.MIN\AppData\Local\Temp\rng_20251106_182710.htm"/>
    <webPublishItem id="29259" divId="Oil Pricer_29259" sourceType="range" sourceRef="A1:H87" destinationFile="C:\Users\YVES~1.MIN\AppData\Local\Temp\rng_20251106_182717.htm"/>
    <webPublishItem id="26404" divId="Oil Pricer_26404" sourceType="range" sourceRef="A1:H87" destinationFile="C:\Users\YVES~1.MIN\AppData\Local\Temp\rng_20251106_183515.htm"/>
    <webPublishItem id="15111" divId="Oil Pricer_15111" sourceType="range" sourceRef="A1:H87" destinationFile="C:\Users\YVES~1.MIN\AppData\Local\Temp\rng_20251106_184059.htm"/>
    <webPublishItem id="19385" divId="Oil Pricer_19385" sourceType="range" sourceRef="A1:H87" destinationFile="C:\Users\YVES~1.MIN\AppData\Local\Temp\rng_20251106_184207.htm"/>
    <webPublishItem id="2651" divId="Oil Pricer_2651" sourceType="range" sourceRef="A1:H87" destinationFile="C:\Users\YVES~1.MIN\AppData\Local\Temp\rng_20251106_193850.htm"/>
    <webPublishItem id="27938" divId="Oil Pricer_27938" sourceType="range" sourceRef="A1:H87" destinationFile="C:\Users\YVES~1.MIN\AppData\Local\Temp\rng_20251107_164354.htm"/>
    <webPublishItem id="3057" divId="Oil Pricer_3057" sourceType="range" sourceRef="A1:H87" destinationFile="C:\Users\YVES~1.MIN\AppData\Local\Temp\rng_20251110_163032.htm"/>
    <webPublishItem id="5120" divId="Oil Pricer_5120" sourceType="range" sourceRef="A1:H87" destinationFile="C:\Users\YVES~1.MIN\AppData\Local\Temp\rng_20251110_163105.htm"/>
    <webPublishItem id="23416" divId="Oil Pricer_23416" sourceType="range" sourceRef="A1:H87" destinationFile="C:\Users\YVES~1.MIN\AppData\Local\Temp\rng_20251110_170211.htm"/>
    <webPublishItem id="3891" divId="Oil Pricer_3891" sourceType="range" sourceRef="A1:H87" destinationFile="C:\Users\YVES~1.MIN\AppData\Local\Temp\rng_20251110_172311.htm"/>
    <webPublishItem id="12128" divId="Oil Pricer_12128" sourceType="range" sourceRef="A1:H87" destinationFile="C:\Users\YVES~1.MIN\AppData\Local\Temp\rng_20251111_163447.htm"/>
    <webPublishItem id="30497" divId="Oil Pricer_30497" sourceType="range" sourceRef="A1:H87" destinationFile="C:\Users\YVES~1.MIN\AppData\Local\Temp\rng_20251111_171438.htm"/>
    <webPublishItem id="18358" divId="Oil Pricer_18358" sourceType="range" sourceRef="A1:H87" destinationFile="C:\Users\YVES~1.MIN\AppData\Local\Temp\rng_20251112_163816.htm"/>
    <webPublishItem id="27511" divId="Oil Pricer_27511" sourceType="range" sourceRef="A1:H87" destinationFile="C:\Users\YVES~1.MIN\AppData\Local\Temp\rng_20251113_164231.htm"/>
    <webPublishItem id="13110" divId="Oil Pricer_13110" sourceType="range" sourceRef="A1:H87" destinationFile="C:\Users\YVES~1.MIN\AppData\Local\Temp\rng_20251114_162302.htm"/>
    <webPublishItem id="23352" divId="Oil Pricer_23352" sourceType="range" sourceRef="A1:H87" destinationFile="C:\Users\YVES~1.MIN\AppData\Local\Temp\rng_20251114_162545.htm"/>
    <webPublishItem id="20233" divId="Oil Pricer_20233" sourceType="range" sourceRef="A1:H87" destinationFile="C:\Users\YVES~1.MIN\AppData\Local\Temp\rng_20251114_163340.htm"/>
    <webPublishItem id="21424" divId="Oil Pricer_21424" sourceType="range" sourceRef="A1:H87" destinationFile="C:\Users\YVES~1.MIN\AppData\Local\Temp\rng_20251114_163359.htm"/>
    <webPublishItem id="27037" divId="Oil Pricer_27037" sourceType="range" sourceRef="A1:H87" destinationFile="C:\Users\YVES~1.MIN\AppData\Local\Temp\rng_20251117_170123.htm"/>
    <webPublishItem id="11244" divId="Oil Pricer_11244" sourceType="range" sourceRef="A1:H87" destinationFile="C:\Users\YVES~1.MIN\AppData\Local\Temp\rng_20251117_170555.htm"/>
    <webPublishItem id="8607" divId="Oil Pricer_8607" sourceType="range" sourceRef="A1:H87" destinationFile="C:\Users\YVES~1.MIN\AppData\Local\Temp\rng_20251117_173125.htm"/>
    <webPublishItem id="7318" divId="Oil Pricer_7318" sourceType="range" sourceRef="A1:H87" destinationFile="C:\Users\YVES~1.MIN\AppData\Local\Temp\rng_20251118_163141.htm"/>
    <webPublishItem id="1231" divId="Oil Pricer_1231" sourceType="range" sourceRef="A1:H87" destinationFile="C:\Users\YVES~1.MIN\AppData\Local\Temp\rng_20251118_165617.htm"/>
    <webPublishItem id="28016" divId="Oil Pricer_28016" sourceType="range" sourceRef="A1:H87" destinationFile="C:\Users\YVES~1.MIN\AppData\Local\Temp\rng_20251119_173124.htm"/>
    <webPublishItem id="22955" divId="Oil Pricer_22955" sourceType="range" sourceRef="A1:H87" destinationFile="C:\Users\YVES~1.MIN\AppData\Local\Temp\rng_20251119_181344.htm"/>
    <webPublishItem id="27238" divId="Oil Pricer_27238" sourceType="range" sourceRef="A1:H87" destinationFile="C:\Users\YVES~1.MIN\AppData\Local\Temp\rng_20251119_181453.htm"/>
    <webPublishItem id="29577" divId="Oil Pricer_29577" sourceType="range" sourceRef="A1:H87" destinationFile="C:\Users\YVES~1.MIN\AppData\Local\Temp\rng_20251119_182415.htm"/>
    <webPublishItem id="8894" divId="Oil Pricer_8894" sourceType="range" sourceRef="A1:H87" destinationFile="C:\Users\YVES~1.MIN\AppData\Local\Temp\rng_20251119_182728.htm"/>
    <webPublishItem id="19218" divId="Oil Pricer_19218" sourceType="range" sourceRef="A1:H87" destinationFile="C:\Users\YVES~1.MIN\AppData\Local\Temp\rng_20251120_184043.htm"/>
    <webPublishItem id="20762" divId="Oil Pricer_20762" sourceType="range" sourceRef="A1:H87" destinationFile="C:\Users\YVES~1.MIN\AppData\Local\Temp\rng_20251120_184108.htm"/>
    <webPublishItem id="25473" divId="Oil Pricer_25473" sourceType="range" sourceRef="A1:H87" destinationFile="C:\Users\YVES~1.MIN\AppData\Local\Temp\rng_20251121_165918.htm"/>
    <webPublishItem id="9568" divId="Oil Pricer_9568" sourceType="range" sourceRef="A1:H87" destinationFile="C:\Users\YVES~1.MIN\AppData\Local\Temp\rng_20251121_172117.htm"/>
    <webPublishItem id="29455" divId="Oil Pricer_29455" sourceType="range" sourceRef="A1:H87" destinationFile="C:\Users\YVES~1.MIN\AppData\Local\Temp\rng_20251121_172635.htm"/>
    <webPublishItem id="9283" divId="Oil Pricer_9283" sourceType="range" sourceRef="A1:H87" destinationFile="C:\Users\YVES~1.MIN\AppData\Local\Temp\rng_20251124_164431.htm"/>
    <webPublishItem id="21331" divId="Oil Pricer_21331" sourceType="range" sourceRef="A1:H87" destinationFile="C:\Users\YVES~1.MIN\AppData\Local\Temp\rng_20251124_164744.htm"/>
    <webPublishItem id="24494" divId="Oil Pricer_24494" sourceType="range" sourceRef="A1:H87" destinationFile="C:\Users\YVES~1.MIN\AppData\Local\Temp\rng_20251124_174101.htm"/>
    <webPublishItem id="28704" divId="Oil Pricer_28704" sourceType="range" sourceRef="A1:H87" destinationFile="C:\Users\YVES~1.MIN\AppData\Local\Temp\rng_20251124_174208.htm"/>
    <webPublishItem id="28765" divId="Oil Pricer_28765" sourceType="range" sourceRef="A1:H87" destinationFile="C:\Users\YVES~1.MIN\AppData\Local\Temp\rng_20251124_175053.htm"/>
    <webPublishItem id="7970" divId="Oil Pricer_7970" sourceType="range" sourceRef="A1:H87" destinationFile="C:\Users\YVES~1.MIN\AppData\Local\Temp\rng_20251124_175405.htm"/>
    <webPublishItem id="18656" divId="Oil Pricer_18656" sourceType="range" sourceRef="A1:H87" destinationFile="C:\Users\YVES~1.MIN\AppData\Local\Temp\rng_20251124_181424.htm"/>
    <webPublishItem id="16257" divId="Oil Pricer_16257" sourceType="range" sourceRef="A1:H87" destinationFile="C:\Users\YVES~1.MIN\AppData\Local\Temp\rng_20251124_182230.htm"/>
    <webPublishItem id="14048" divId="Oil Pricer_14048" sourceType="range" sourceRef="A1:H87" destinationFile="C:\Users\YVES~1.MIN\AppData\Local\Temp\rng_20251124_183039.htm"/>
    <webPublishItem id="29920" divId="Oil Pricer_29920" sourceType="range" sourceRef="A1:H87" destinationFile="C:\Users\YVES~1.MIN\AppData\Local\Temp\rng_20251124_185222.htm"/>
    <webPublishItem id="18905" divId="Oil Pricer_18905" sourceType="range" sourceRef="A1:H87" destinationFile="C:\Users\YVES~1.MIN\AppData\Local\Temp\rng_20251124_185810.htm"/>
    <webPublishItem id="16744" divId="Oil Pricer_16744" sourceType="range" sourceRef="A1:H87" destinationFile="C:\Users\YVES~1.MIN\AppData\Local\Temp\rng_20251125_161113.htm"/>
    <webPublishItem id="1581" divId="Oil Pricer_1581" sourceType="range" sourceRef="A1:H87" destinationFile="C:\Users\YVES~1.MIN\AppData\Local\Temp\rng_20251125_202919.htm"/>
    <webPublishItem id="10479" divId="Oil Pricer_10479" sourceType="range" sourceRef="A1:H87" destinationFile="C:\Users\YVES~1.MIN\AppData\Local\Temp\rng_20251125_203142.htm"/>
    <webPublishItem id="30221" divId="Oil Pricer_30221" sourceType="range" sourceRef="A1:H87" destinationFile="C:\Users\YVES~1.MIN\AppData\Local\Temp\rng_20251126_193737.htm"/>
    <webPublishItem id="31713" divId="Oil Pricer_31713" sourceType="range" sourceRef="A1:H87" destinationFile="C:\Users\YVES~1.MIN\AppData\Local\Temp\rng_20251127_163619.htm"/>
    <webPublishItem id="26658" divId="Oil Pricer_26658" sourceType="range" sourceRef="A1:H87" destinationFile="C:\Users\YVES~1.MIN\AppData\Local\Temp\rng_20251128_162803.htm"/>
    <webPublishItem id="11372" divId="Oil Pricer_11372" sourceType="range" sourceRef="A1:H87" destinationFile="C:\Users\YVES~1.MIN\AppData\Local\Temp\rng_20251128_163243.htm"/>
    <webPublishItem id="25514" divId="Oil Pricer_25514" sourceType="range" sourceRef="A1:H87" destinationFile="C:\Users\YVES~1.MIN\AppData\Local\Temp\rng_20251201_163312.htm"/>
    <webPublishItem id="31812" divId="Oil Pricer_31812" sourceType="range" sourceRef="A1:H87" destinationFile="C:\Users\YVES~1.MIN\AppData\Local\Temp\rng_20251201_163453.htm"/>
    <webPublishItem id="36" divId="Oil Pricer_36" sourceType="range" sourceRef="A1:H87" destinationFile="C:\Users\YVES~1.MIN\AppData\Local\Temp\rng_20251201_163509.htm"/>
    <webPublishItem id="16529" divId="Oil Pricer_16529" sourceType="range" sourceRef="A1:H87" destinationFile="C:\Users\YVES~1.MIN\AppData\Local\Temp\rng_20251201_184153.htm"/>
    <webPublishItem id="18554" divId="Oil Pricer_18554" sourceType="range" sourceRef="A1:H87" destinationFile="C:\Users\YVES~1.MIN\AppData\Local\Temp\rng_20251201_184225.htm"/>
    <webPublishItem id="29672" divId="Oil Pricer_29672" sourceType="range" sourceRef="A1:H87" destinationFile="C:\Users\YVES~1.MIN\AppData\Local\Temp\rng_20251201_184523.htm"/>
    <webPublishItem id="25141" divId="Oil Pricer_25141" sourceType="range" sourceRef="A1:H87" destinationFile="C:\Users\YVES~1.MIN\AppData\Local\Temp\rng_20251201_190139.htm"/>
    <webPublishItem id="27305" divId="Oil Pricer_27305" sourceType="range" sourceRef="A1:H87" destinationFile="C:\Users\YVES~1.MIN\AppData\Local\Temp\rng_20251201_190214.htm"/>
    <webPublishItem id="1459" divId="Oil Pricer_1459" sourceType="range" sourceRef="A1:H87" destinationFile="C:\Users\YVES~1.MIN\AppData\Local\Temp\rng_20251202_164931.htm"/>
    <webPublishItem id="11208" divId="Oil Pricer_11208" sourceType="range" sourceRef="A1:H87" destinationFile="C:\Users\YVES~1.MIN\AppData\Local\Temp\rng_20251202_173549.htm"/>
    <webPublishItem id="26960" divId="Oil Pricer_26960" sourceType="range" sourceRef="A1:H87" destinationFile="C:\Users\YVES~1.MIN\AppData\Local\Temp\rng_20251202_180614.htm"/>
    <webPublishItem id="16668" divId="Oil Pricer_16668" sourceType="range" sourceRef="A1:H87" destinationFile="C:\Users\YVES~1.MIN\AppData\Local\Temp\rng_20251202_181213.htm"/>
    <webPublishItem id="4006" divId="Oil Pricer_4006" sourceType="range" sourceRef="A1:H87" destinationFile="C:\Users\YVES~1.MIN\AppData\Local\Temp\rng_20251202_182619.htm"/>
    <webPublishItem id="13864" divId="Oil Pricer_13864" sourceType="range" sourceRef="A1:H87" destinationFile="C:\Users\YVES~1.MIN\AppData\Local\Temp\rng_20251202_182857.htm"/>
    <webPublishItem id="14287" divId="Oil Pricer_14287" sourceType="range" sourceRef="A1:H87" destinationFile="C:\Users\YVES~1.MIN\AppData\Local\Temp\rng_20251202_182904.htm"/>
    <webPublishItem id="14400" divId="Oil Pricer_14400" sourceType="range" sourceRef="A1:H87" destinationFile="C:\Users\YVES~1.MIN\AppData\Local\Temp\rng_20251202_192132.htm"/>
    <webPublishItem id="32544" divId="Oil Pricer_32544" sourceType="range" sourceRef="A1:H87" destinationFile="C:\Users\YVES~1.MIN\AppData\Local\Temp\rng_20251203_174319.htm"/>
    <webPublishItem id="29303" divId="Oil Pricer_29303" sourceType="range" sourceRef="A1:H87" destinationFile="C:\Users\YVES~1.MIN\AppData\Local\Temp\rng_20251203_175112.htm"/>
    <webPublishItem id="29911" divId="Oil Pricer_29911" sourceType="range" sourceRef="A1:H87" destinationFile="C:\Users\YVES~1.MIN\AppData\Local\Temp\rng_20251203_175122.htm"/>
    <webPublishItem id="14678" divId="Oil Pricer_14678" sourceType="range" sourceRef="A1:H87" destinationFile="C:\Users\YVES~1.MIN\AppData\Local\Temp\rng_20251203_180446.htm"/>
    <webPublishItem id="26798" divId="Oil Pricer_26798" sourceType="range" sourceRef="A1:H87" destinationFile="C:\Users\YVES~1.MIN\AppData\Local\Temp\rng_20251203_180800.htm"/>
    <webPublishItem id="9243" divId="Oil Pricer_9243" sourceType="range" sourceRef="A1:H87" destinationFile="C:\Users\YVES~1.MIN\AppData\Local\Temp\rng_20251204_162017.htm"/>
    <webPublishItem id="328" divId="Oil Pricer_328" sourceType="range" sourceRef="A1:H87" destinationFile="C:\Users\YVES~1.MIN\AppData\Local\Temp\rng_20251204_162639.htm"/>
    <webPublishItem id="5445" divId="Oil Pricer_5445" sourceType="range" sourceRef="A1:H87" destinationFile="C:\Users\YVES~1.MIN\AppData\Local\Temp\rng_20251204_162801.htm"/>
    <webPublishItem id="31951" divId="Oil Pricer_31951" sourceType="range" sourceRef="A1:H87" destinationFile="C:\Users\YVES~1.MIN\AppData\Local\Temp\rng_20251204_163505.htm"/>
    <webPublishItem id="1209" divId="Oil Pricer_1209" sourceType="range" sourceRef="A1:H87" destinationFile="C:\Users\YVES~1.MIN\AppData\Local\Temp\rng_20251204_171919.htm"/>
    <webPublishItem id="1712" divId="Oil Pricer_1712" sourceType="range" sourceRef="A1:H87" destinationFile="C:\Users\YVES~1.MIN\AppData\Local\Temp\rng_20251204_171927.htm"/>
    <webPublishItem id="15238" divId="Oil Pricer_15238" sourceType="range" sourceRef="A1:H87" destinationFile="C:\Users\YVES~1.MIN\AppData\Local\Temp\rng_20251204_172303.htm"/>
    <webPublishItem id="24740" divId="Oil Pricer_24740" sourceType="range" sourceRef="A1:H99" destinationFile="C:\Users\YVES~1.MIN\AppData\Local\Temp\rng_20260410_184437.htm"/>
    <webPublishItem id="2303" divId="Oil Pricer_2303" sourceType="range" sourceRef="A1:H99" destinationFile="C:\Users\YVES~1.MIN\AppData\Local\Temp\rng_20260410_184722.htm"/>
    <webPublishItem id="3882" divId="Oil Pricer_3882" sourceType="range" sourceRef="A1:H99" destinationFile="C:\Users\YVES~1.MIN\AppData\Local\Temp\rng_20260410_184748.htm"/>
    <webPublishItem id="836" divId="Oil Pricer_836" sourceType="range" sourceRef="A1:H99" destinationFile="C:\Users\YVES~1.MIN\AppData\Local\Temp\rng_20260413_162842.htm"/>
    <webPublishItem id="11245" divId="Oil Pricer_11245" sourceType="range" sourceRef="A1:H99" destinationFile="C:\Users\YVES~1.MIN\AppData\Local\Temp\rng_20260413_163129.htm"/>
    <webPublishItem id="17752" divId="Oil Pricer_17752" sourceType="range" sourceRef="A1:H99" destinationFile="C:\Users\YVES~1.MIN\AppData\Local\Temp\rng_20260413_163313.htm"/>
    <webPublishItem id="19745" divId="Oil Pricer_19745" sourceType="range" sourceRef="A1:H99" destinationFile="C:\Users\YVES~1.MIN\AppData\Local\Temp\rng_20260414_170147.htm"/>
    <webPublishItem id="30060" divId="Oil Pricer_30060" sourceType="range" sourceRef="A1:H99" destinationFile="C:\Users\YVES~1.MIN\AppData\Local\Temp\rng_20260414_171316.htm"/>
    <webPublishItem id="24311" divId="Oil Pricer_24311" sourceType="range" sourceRef="A1:H99" destinationFile="C:\Users\YVES~1.MIN\AppData\Local\Temp\rng_20260414_172028.htm"/>
    <webPublishItem id="24819" divId="Oil Pricer_24819" sourceType="range" sourceRef="A1:H99" destinationFile="C:\Users\YVES~1.MIN\AppData\Local\Temp\rng_20260414_172037.htm"/>
    <webPublishItem id="5285" divId="Oil Pricer_5285" sourceType="range" sourceRef="A1:H99" destinationFile="C:\Users\YVES~1.MIN\AppData\Local\Temp\rng_20260414_172408.htm"/>
    <webPublishItem id="26650" divId="Oil Pricer_26650" sourceType="range" sourceRef="A1:H99" destinationFile="C:\Users\YVES~1.MIN\AppData\Local\Temp\rng_20260415_164758.htm"/>
    <webPublishItem id="26533" divId="Oil Pricer_26533" sourceType="range" sourceRef="A1:H99" destinationFile="C:\Users\YVES~1.MIN\AppData\Local\Temp\rng_20260415_175750.htm"/>
    <webPublishItem id="14587" divId="Oil Pricer_14587" sourceType="range" sourceRef="A1:H99" destinationFile="C:\Users\YVES~1.MIN\AppData\Local\Temp\rng_20260415_185549.htm"/>
    <webPublishItem id="22620" divId="Oil Pricer_22620" sourceType="range" sourceRef="A1:H99" destinationFile="C:\Users\YVES~1.MIN\AppData\Local\Temp\rng_20260415_190642.htm"/>
    <webPublishItem id="29770" divId="Oil Pricer_29770" sourceType="range" sourceRef="A1:H99" destinationFile="C:\Users\YVES~1.MIN\AppData\Local\Temp\rng_20260415_190837.htm"/>
    <webPublishItem id="17091" divId="Oil Pricer_17091" sourceType="range" sourceRef="A1:H99" destinationFile="C:\Users\YVES~1.MIN\AppData\Local\Temp\rng_20260415_193127.htm"/>
    <webPublishItem id="12055" divId="Oil Pricer_12055" sourceType="range" sourceRef="A1:H99" destinationFile="C:\Users\YVES~1.MIN\AppData\Local\Temp\rng_20260416_185658.htm"/>
    <webPublishItem id="30148" divId="Oil Pricer_30148" sourceType="range" sourceRef="A1:H99" destinationFile="C:\Users\YVES~1.MIN\AppData\Local\Temp\rng_20260416_191032.htm"/>
    <webPublishItem id="8429" divId="Oil Pricer_8429" sourceType="range" sourceRef="A1:H99" destinationFile="C:\Users\YVES~1.MIN\AppData\Local\Temp\rng_20260416_193057.htm"/>
    <webPublishItem id="16455" divId="Oil Pricer_16455" sourceType="range" sourceRef="A1:H99" destinationFile="C:\Users\YVES~1.MIN\AppData\Local\Temp\rng_20260416_194150.htm"/>
    <webPublishItem id="5240" divId="Oil Pricer_5240" sourceType="range" sourceRef="A1:H99" destinationFile="C:\Users\YVES~1.MIN\AppData\Local\Temp\rng_20260417_161941.htm"/>
    <webPublishItem id="5938" divId="Oil Pricer_5938" sourceType="range" sourceRef="A1:H99" destinationFile="C:\Users\YVES~1.MIN\AppData\Local\Temp\rng_20260417_161952.htm"/>
    <webPublishItem id="18513" divId="Oil Pricer_18513" sourceType="range" sourceRef="A1:H99" destinationFile="C:\Users\YVES~1.MIN\AppData\Local\Temp\rng_20260417_163158.htm"/>
    <webPublishItem id="26049" divId="Oil Pricer_26049" sourceType="range" sourceRef="A1:H99" destinationFile="C:\Users\YVES~1.MIN\AppData\Local\Temp\rng_20260417_163358.htm"/>
    <webPublishItem id="4773" divId="Oil Pricer_4773" sourceType="range" sourceRef="A1:H99" destinationFile="C:\Users\YVES~1.MIN\AppData\Local\Temp\rng_20260417_163702.htm"/>
    <webPublishItem id="14444" divId="Oil Pricer_14444" sourceType="range" sourceRef="A1:H99" destinationFile="C:\Users\YVES~1.MIN\AppData\Local\Temp\rng_20260417_174931.htm"/>
    <webPublishItem id="622" divId="Oil Pricer_622" sourceType="range" sourceRef="A1:H99" destinationFile="C:\Users\YVES~1.MIN\AppData\Local\Temp\rng_20260417_180319.htm"/>
    <webPublishItem id="1611" divId="Oil Pricer_1611" sourceType="range" sourceRef="A1:H99" destinationFile="C:\Users\YVES~1.MIN\AppData\Local\Temp\rng_20260417_180335.htm"/>
    <webPublishItem id="2282" divId="Oil Pricer_2282" sourceType="range" sourceRef="A1:H99" destinationFile="C:\Users\YVES~1.MIN\AppData\Local\Temp\rng_20260417_181230.htm"/>
    <webPublishItem id="22384" divId="Oil Pricer_22384" sourceType="range" sourceRef="A1:H99" destinationFile="C:\Users\YVES~1.MIN\AppData\Local\Temp\rng_20260417_182635.htm"/>
    <webPublishItem id="14739" divId="Oil Pricer_14739" sourceType="range" sourceRef="A1:H99" destinationFile="C:\Users\YVES~1.MIN\AppData\Local\Temp\rng_20260417_191659.htm"/>
    <webPublishItem id="17060" divId="Oil Pricer_17060" sourceType="range" sourceRef="A1:H99" destinationFile="C:\Users\YVES~1.MIN\AppData\Local\Temp\rng_20260420_180857.htm"/>
    <webPublishItem id="4750" divId="Oil Pricer_4750" sourceType="range" sourceRef="A1:H99" destinationFile="C:\Users\YVES~1.MIN\AppData\Local\Temp\rng_20260420_181425.htm"/>
    <webPublishItem id="13935" divId="Oil Pricer_13935" sourceType="range" sourceRef="A1:H99" destinationFile="C:\Users\YVES~1.MIN\AppData\Local\Temp\rng_20260420_193530.htm"/>
    <webPublishItem id="22338" divId="Oil Pricer_22338" sourceType="range" sourceRef="A1:H99" destinationFile="C:\Users\YVES~1.MIN\AppData\Local\Temp\rng_20260421_165612.htm"/>
    <webPublishItem id="27624" divId="Oil Pricer_27624" sourceType="range" sourceRef="A1:H99" destinationFile="C:\Users\YVES~1.MIN\AppData\Local\Temp\rng_20260421_170621.htm"/>
    <webPublishItem id="5939" divId="Oil Pricer_5939" sourceType="range" sourceRef="A1:H99" destinationFile="C:\Users\YVES~1.MIN\AppData\Local\Temp\rng_20260421_171803.htm"/>
    <webPublishItem id="29526" divId="Oil Pricer_29526" sourceType="range" sourceRef="A1:H99" destinationFile="C:\Users\YVES~1.MIN\AppData\Local\Temp\rng_20260421_174149.htm"/>
    <webPublishItem id="14316" divId="Oil Pricer_14316" sourceType="range" sourceRef="A1:H99" destinationFile="C:\Users\YVES~1.MIN\AppData\Local\Temp\rng_20260421_175514.htm"/>
    <webPublishItem id="11088" divId="Oil Pricer_11088" sourceType="range" sourceRef="A1:H99" destinationFile="C:\Users\YVES~1.MIN\AppData\Local\Temp\rng_20260421_180307.htm"/>
    <webPublishItem id="31418" divId="Oil Pricer_31418" sourceType="range" sourceRef="A1:H99" destinationFile="C:\Users\YVES~1.MIN\AppData\Local\Temp\rng_20260421_181716.htm"/>
    <webPublishItem id="1813" divId="Oil Pricer_1813" sourceType="range" sourceRef="A1:H99" destinationFile="C:\Users\YVES~1.MIN\AppData\Local\Temp\rng_20260421_181807.htm"/>
    <webPublishItem id="23912" divId="Oil Pricer_23912" sourceType="range" sourceRef="A1:H99" destinationFile="C:\Users\YVES~1.MIN\AppData\Local\Temp\rng_20260421_182400.htm"/>
    <webPublishItem id="3282" divId="Oil Pricer_3282" sourceType="range" sourceRef="A1:H99" destinationFile="C:\Users\YVES~1.MIN\AppData\Local\Temp\rng_20260422_163528.htm"/>
    <webPublishItem id="27026" divId="Oil Pricer_27026" sourceType="range" sourceRef="A1:H99" destinationFile="C:\Users\YVES~1.MIN\AppData\Local\Temp\rng_20260422_175142.htm"/>
    <webPublishItem id="20496" divId="Oil Pricer_20496" sourceType="range" sourceRef="A1:H101" destinationFile="C:\Users\YVES~1.MIN\AppData\Local\Temp\rng_20260521_164736.htm"/>
    <webPublishItem id="28534" divId="Oil Pricer_28534" sourceType="range" sourceRef="A1:H101" destinationFile="C:\Users\YVES~1.MIN\AppData\Local\Temp\rng_20260526_162902.htm"/>
    <webPublishItem id="11284" divId="Oil Pricer_11284" sourceType="range" sourceRef="A1:H101" destinationFile="C:\Users\YVES~1.MIN\AppData\Local\Temp\rng_20260526_180917.htm"/>
    <webPublishItem id="16321" divId="Oil Pricer_16321" sourceType="range" sourceRef="A1:H101" destinationFile="C:\Users\YVES~1.MIN\AppData\Local\Temp\rng_20260527_172000.htm"/>
    <webPublishItem id="3789" divId="Oil Pricer_3789" sourceType="range" sourceRef="A1:H101" destinationFile="C:\Users\YVES~1.MIN\AppData\Local\Temp\rng_20260527_172524.htm"/>
    <webPublishItem id="4056" divId="Oil Pricer_4056" sourceType="range" sourceRef="A1:H101" destinationFile="C:\Users\YVES~1.MIN\AppData\Local\Temp\rng_20260528_173601.htm"/>
    <webPublishItem id="7352" divId="Oil Pricer_7352" sourceType="range" sourceRef="A1:H101" destinationFile="C:\Users\YVES~1.MIN\AppData\Local\Temp\rng_20260528_181151.htm"/>
    <webPublishItem id="17766" divId="Oil Pricer_17766" sourceType="range" sourceRef="A1:H101" destinationFile="C:\Users\YVES~1.MIN\AppData\Local\Temp\rng_20260528_181438.htm"/>
    <webPublishItem id="29266" divId="Oil Pricer_29266" sourceType="range" sourceRef="A1:H101" destinationFile="C:\Users\YVES~1.MIN\AppData\Local\Temp\rng_20260529_175317.htm"/>
    <webPublishItem id="7174" divId="Oil Pricer_7174" sourceType="range" sourceRef="A1:H101" destinationFile="C:\Users\YVES~1.MIN\AppData\Local\Temp\rng_20260529_180452.htm"/>
    <webPublishItem id="21506" divId="Oil Pricer_21506" sourceType="range" sourceRef="A1:H101" destinationFile="C:\Users\YVES~1.MIN\AppData\Local\Temp\rng_20260529_180841.htm"/>
    <webPublishItem id="750" divId="Oil Pricer_750" sourceType="range" sourceRef="A1:H101" destinationFile="C:\Users\YVES~1.MIN\AppData\Local\Temp\rng_20260529_182922.htm"/>
    <webPublishItem id="1607" divId="Oil Pricer_1607" sourceType="range" sourceRef="A1:H101" destinationFile="C:\Users\YVES~1.MIN\AppData\Local\Temp\rng_20260529_201427.htm"/>
    <webPublishItem id="31015" divId="Oil Pricer_31015" sourceType="range" sourceRef="A1:H101" destinationFile="C:\Users\YVES~1.MIN\AppData\Local\Temp\rng_20260601_163623.htm"/>
    <webPublishItem id="20240" divId="Oil Pricer_20240" sourceType="range" sourceRef="A1:H101" destinationFile="C:\Users\YVES~1.MIN\AppData\Local\Temp\rng_20260601_164215.htm"/>
    <webPublishItem id="11202" divId="Oil Pricer_11202" sourceType="range" sourceRef="A1:H101" destinationFile="C:\Users\YVES~1.MIN\AppData\Local\Temp\rng_20260601_164834.htm"/>
    <webPublishItem id="20251" divId="Oil Pricer_20251" sourceType="range" sourceRef="A1:H101" destinationFile="C:\Users\YVES~1.MIN\AppData\Local\Temp\rng_20260601_165059.htm"/>
    <webPublishItem id="29200" divId="Oil Pricer_29200" sourceType="range" sourceRef="A1:H101" destinationFile="C:\Users\YVES~1.MIN\AppData\Local\Temp\rng_20260601_165322.htm"/>
    <webPublishItem id="27808" divId="Oil Pricer_27808" sourceType="range" sourceRef="A1:H101" destinationFile="C:\Users\YVES~1.MIN\AppData\Local\Temp\rng_20260602_172946.htm"/>
    <webPublishItem id="14589" divId="Oil Pricer_14589" sourceType="range" sourceRef="A1:H101" destinationFile="C:\Users\YVES~1.MIN\AppData\Local\Temp\rng_20260602_174343.htm"/>
    <webPublishItem id="534" divId="Oil Pricer_534" sourceType="range" sourceRef="A1:H101" destinationFile="C:\Users\YVES~1.MIN\AppData\Local\Temp\rng_20260603_171533.htm"/>
    <webPublishItem id="5356" divId="Oil Pricer_5356" sourceType="range" sourceRef="A1:H101" destinationFile="C:\Users\YVES~1.MIN\AppData\Local\Temp\rng_20260604_160844.htm"/>
    <webPublishItem id="20454" divId="Oil Pricer_20454" sourceType="range" sourceRef="A1:H101" destinationFile="C:\Users\YVES~1.MIN\AppData\Local\Temp\rng_20260605_164931.htm"/>
    <webPublishItem id="27173" divId="Oil Pricer_27173" sourceType="range" sourceRef="A1:H101" destinationFile="C:\Users\YVES~1.MIN\AppData\Local\Temp\rng_20260605_165119.htm"/>
    <webPublishItem id="25376" divId="Oil Pricer_25376" sourceType="range" sourceRef="A1:H101" destinationFile="C:\Users\YVES~1.MIN\AppData\Local\Temp\rng_20260605_165934.htm"/>
    <webPublishItem id="26094" divId="Oil Pricer_26094" sourceType="range" sourceRef="A1:H101" destinationFile="C:\Users\YVES~1.MIN\AppData\Local\Temp\rng_20260605_165946.htm"/>
    <webPublishItem id="31243" divId="Oil Pricer_31243" sourceType="range" sourceRef="A1:H101" destinationFile="C:\Users\YVES~1.MIN\AppData\Local\Temp\rng_20260608_170226.htm"/>
    <webPublishItem id="30412" divId="Oil Pricer_30412" sourceType="range" sourceRef="A1:H101" destinationFile="C:\Users\YVES~1.MIN\AppData\Local\Temp\rng_20260609_162904.htm"/>
    <webPublishItem id="17474" divId="Oil Pricer_17474" sourceType="range" sourceRef="A1:H101" destinationFile="C:\Users\YVES~1.MIN\AppData\Local\Temp\rng_20260610_163609.htm"/>
    <webPublishItem id="16703" divId="Oil Pricer_16703" sourceType="range" sourceRef="A1:H101" destinationFile="C:\Users\YVES~1.MIN\AppData\Local\Temp\rng_20260610_165326.htm"/>
    <webPublishItem id="23070" divId="Oil Pricer_23070" sourceType="range" sourceRef="A1:H101" destinationFile="C:\Users\YVES~1.MIN\AppData\Local\Temp\rng_20260610_165508.htm"/>
    <webPublishItem id="16951" divId="Oil Pricer_16951" sourceType="range" sourceRef="A1:H101" destinationFile="C:\Users\YVES~1.MIN\AppData\Local\Temp\rng_20260611_162021.htm"/>
    <webPublishItem id="17809" divId="Oil Pricer_17809" sourceType="range" sourceRef="A1:H107" destinationFile="C:\Users\YVES~1.MIN\AppData\Local\Temp\rng_20260423_171607.htm"/>
    <webPublishItem id="3496" divId="Oil Pricer_3496" sourceType="range" sourceRef="A1:H107" destinationFile="C:\Users\YVES~1.MIN\AppData\Local\Temp\rng_20260423_181328.htm"/>
    <webPublishItem id="7701" divId="Oil Pricer_7701" sourceType="range" sourceRef="A1:H107" destinationFile="C:\Users\YVES~1.MIN\AppData\Local\Temp\rng_20260423_181435.htm"/>
    <webPublishItem id="5284" divId="Oil Pricer_5284" sourceType="range" sourceRef="A1:H107" destinationFile="C:\Users\YVES~1.MIN\AppData\Local\Temp\rng_20260427_200734.htm"/>
    <webPublishItem id="7874" divId="Oil Pricer_7874" sourceType="range" sourceRef="A1:H107" destinationFile="C:\Users\YVES~1.MIN\AppData\Local\Temp\rng_20260427_200816.htm"/>
    <webPublishItem id="14207" divId="Oil Pricer_14207" sourceType="range" sourceRef="A1:H107" destinationFile="C:\Users\YVES~1.MIN\AppData\Local\Temp\rng_20260427_200957.htm"/>
    <webPublishItem id="16411" divId="Oil Pricer_16411" sourceType="range" sourceRef="A1:H107" destinationFile="C:\Users\YVES~1.MIN\AppData\Local\Temp\rng_20260427_201032.htm"/>
    <webPublishItem id="20312" divId="Oil Pricer_20312" sourceType="range" sourceRef="A1:H107" destinationFile="C:\Users\YVES~1.MIN\AppData\Local\Temp\rng_20260427_201135.htm"/>
    <webPublishItem id="31404" divId="Oil Pricer_31404" sourceType="range" sourceRef="A1:H107" destinationFile="C:\Users\YVES~1.MIN\AppData\Local\Temp\rng_20260428_163753.htm"/>
    <webPublishItem id="17929" divId="Oil Pricer_17929" sourceType="range" sourceRef="A1:H107" destinationFile="C:\Users\YVES~1.MIN\AppData\Local\Temp\rng_20260428_165146.htm"/>
    <webPublishItem id="30402" divId="Oil Pricer_30402" sourceType="range" sourceRef="A1:H107" destinationFile="C:\Users\YVES~1.MIN\AppData\Local\Temp\rng_20260428_165506.htm"/>
    <webPublishItem id="6618" divId="Oil Pricer_6618" sourceType="range" sourceRef="A1:H107" destinationFile="C:\Users\YVES~1.MIN\AppData\Local\Temp\rng_20260428_165729.htm"/>
    <webPublishItem id="4640" divId="Oil Pricer_4640" sourceType="range" sourceRef="A1:H107" destinationFile="C:\Users\YVES~1.MIN\AppData\Local\Temp\rng_20260429_182609.htm"/>
    <webPublishItem id="26019" divId="Oil Pricer_26019" sourceType="range" sourceRef="A1:H107" destinationFile="C:\Users\YVES~1.MIN\AppData\Local\Temp\rng_20260429_190648.htm"/>
    <webPublishItem id="23196" divId="Oil Pricer_23196" sourceType="range" sourceRef="A1:H107" destinationFile="C:\Users\YVES~1.MIN\AppData\Local\Temp\rng_20260430_185907.htm"/>
    <webPublishItem id="24352" divId="Oil Pricer_24352" sourceType="range" sourceRef="A1:H107" destinationFile="C:\Users\YVES~1.MIN\AppData\Local\Temp\rng_20260501_164125.htm"/>
    <webPublishItem id="5274" divId="Oil Pricer_5274" sourceType="range" sourceRef="A1:H107" destinationFile="C:\Users\YVES~1.MIN\AppData\Local\Temp\rng_20260501_165348.htm"/>
    <webPublishItem id="2812" divId="Oil Pricer_2812" sourceType="range" sourceRef="A1:H107" destinationFile="C:\Users\YVES~1.MIN\AppData\Local\Temp\rng_20260504_164024.htm"/>
    <webPublishItem id="4868" divId="Oil Pricer_4868" sourceType="range" sourceRef="A1:H107" destinationFile="C:\Users\YVES~1.MIN\AppData\Local\Temp\rng_20260504_164057.htm"/>
    <webPublishItem id="9891" divId="Oil Pricer_9891" sourceType="range" sourceRef="A1:H107" destinationFile="C:\Users\YVES~1.MIN\AppData\Local\Temp\rng_20260504_164218.htm"/>
    <webPublishItem id="14243" divId="Oil Pricer_14243" sourceType="range" sourceRef="A1:H107" destinationFile="C:\Users\YVES~1.MIN\AppData\Local\Temp\rng_20260504_164327.htm"/>
    <webPublishItem id="19628" divId="Oil Pricer_19628" sourceType="range" sourceRef="A1:H107" destinationFile="C:\Users\YVES~1.MIN\AppData\Local\Temp\rng_20260504_175448.htm"/>
    <webPublishItem id="428" divId="Oil Pricer_428" sourceType="range" sourceRef="A1:H107" destinationFile="C:\Users\YVES~1.MIN\AppData\Local\Temp\rng_20260504_175825.htm"/>
    <webPublishItem id="2010" divId="Oil Pricer_2010" sourceType="range" sourceRef="A1:H107" destinationFile="C:\Users\YVES~1.MIN\AppData\Local\Temp\rng_20260504_175850.htm"/>
    <webPublishItem id="11846" divId="Oil Pricer_11846" sourceType="range" sourceRef="A1:H107" destinationFile="C:\Users\YVES~1.MIN\AppData\Local\Temp\rng_20260505_181200.htm"/>
    <webPublishItem id="21425" divId="Oil Pricer_21425" sourceType="range" sourceRef="A1:H107" destinationFile="C:\Users\YVES~1.MIN\AppData\Local\Temp\rng_20260505_184046.htm"/>
    <webPublishItem id="29965" divId="Oil Pricer_29965" sourceType="range" sourceRef="A1:H107" destinationFile="C:\Users\YVES~1.MIN\AppData\Local\Temp\rng_20260506_161618.htm"/>
    <webPublishItem id="14803" divId="Oil Pricer_14803" sourceType="range" sourceRef="A1:H107" destinationFile="C:\Users\YVES~1.MIN\AppData\Local\Temp\rng_20260506_163828.htm"/>
    <webPublishItem id="16840" divId="Oil Pricer_16840" sourceType="range" sourceRef="A1:H107" destinationFile="C:\Users\YVES~1.MIN\AppData\Local\Temp\rng_20260506_163901.htm"/>
    <webPublishItem id="25591" divId="Oil Pricer_25591" sourceType="range" sourceRef="A1:H107" destinationFile="C:\Users\YVES~1.MIN\AppData\Local\Temp\rng_20260506_164121.htm"/>
    <webPublishItem id="30714" divId="Oil Pricer_30714" sourceType="range" sourceRef="A1:H107" destinationFile="C:\Users\YVES~1.MIN\AppData\Local\Temp\rng_20260506_164243.htm"/>
    <webPublishItem id="311" divId="Oil Pricer_311" sourceType="range" sourceRef="A1:H107" destinationFile="C:\Users\YVES~1.MIN\AppData\Local\Temp\rng_20260506_164321.htm"/>
    <webPublishItem id="3660" divId="Oil Pricer_3660" sourceType="range" sourceRef="A1:H107" destinationFile="C:\Users\YVES~1.MIN\AppData\Local\Temp\rng_20260506_164414.htm"/>
    <webPublishItem id="25696" divId="Oil Pricer_25696" sourceType="range" sourceRef="A1:H107" destinationFile="C:\Users\YVES~1.MIN\AppData\Local\Temp\rng_20260506_170736.htm"/>
    <webPublishItem id="31476" divId="Oil Pricer_31476" sourceType="range" sourceRef="A1:H107" destinationFile="C:\Users\YVES~1.MIN\AppData\Local\Temp\rng_20260506_170908.htm"/>
    <webPublishItem id="25541" divId="Oil Pricer_25541" sourceType="range" sourceRef="A1:H107" destinationFile="C:\Users\YVES~1.MIN\AppData\Local\Temp\rng_20260507_160811.htm"/>
    <webPublishItem id="18246" divId="Oil Pricer_18246" sourceType="range" sourceRef="A1:H107" destinationFile="C:\Users\YVES~1.MIN\AppData\Local\Temp\rng_20260507_161459.htm"/>
    <webPublishItem id="16839" divId="Oil Pricer_16839" sourceType="range" sourceRef="A1:H107" destinationFile="C:\Users\YVES~1.MIN\AppData\Local\Temp\rng_20260507_162321.htm"/>
    <webPublishItem id="11433" divId="Oil Pricer_11433" sourceType="range" sourceRef="A1:H107" destinationFile="C:\Users\YVES~1.MIN\AppData\Local\Temp\rng_20260507_163038.htm"/>
    <webPublishItem id="1817" divId="Oil Pricer_1817" sourceType="range" sourceRef="A1:H107" destinationFile="C:\Users\YVES~1.MIN\AppData\Local\Temp\rng_20260507_163649.htm"/>
    <webPublishItem id="24457" divId="Oil Pricer_24457" sourceType="range" sourceRef="A1:H107" destinationFile="C:\Users\YVES~1.MIN\AppData\Local\Temp\rng_20260507_164251.htm"/>
    <webPublishItem id="27036" divId="Oil Pricer_27036" sourceType="range" sourceRef="A1:H107" destinationFile="C:\Users\YVES~1.MIN\AppData\Local\Temp\rng_20260507_164332.htm"/>
    <webPublishItem id="4037" divId="Oil Pricer_4037" sourceType="range" sourceRef="A1:H107" destinationFile="C:\Users\YVES~1.MIN\AppData\Local\Temp\rng_20260507_164609.htm"/>
    <webPublishItem id="7187" divId="Oil Pricer_7187" sourceType="range" sourceRef="A1:H107" destinationFile="C:\Users\YVES~1.MIN\AppData\Local\Temp\rng_20260507_165543.htm"/>
    <webPublishItem id="5876" divId="Oil Pricer_5876" sourceType="range" sourceRef="A1:H107" destinationFile="C:\Users\YVES~1.MIN\AppData\Local\Temp\rng_20260508_163058.htm"/>
    <webPublishItem id="32466" divId="Oil Pricer_32466" sourceType="range" sourceRef="A1:H107" destinationFile="C:\Users\YVES~1.MIN\AppData\Local\Temp\rng_20260511_170300.htm"/>
    <webPublishItem id="30114" divId="Oil Pricer_30114" sourceType="range" sourceRef="A1:H107" destinationFile="C:\Users\YVES~1.MIN\AppData\Local\Temp\rng_20260512_163757.htm"/>
    <webPublishItem id="14500" divId="Oil Pricer_14500" sourceType="range" sourceRef="A1:H107" destinationFile="C:\Users\YVES~1.MIN\AppData\Local\Temp\rng_20260312_153751.htm"/>
    <webPublishItem id="31017" divId="Oil Pricer_31017" sourceType="range" sourceRef="A1:H107" destinationFile="C:\Users\YVES~1.MIN\AppData\Local\Temp\rng_20260312_155100.htm"/>
    <webPublishItem id="21186" divId="Oil Pricer_21186" sourceType="range" sourceRef="A1:H107" destinationFile="C:\Users\YVES~1.MIN\AppData\Local\Temp\rng_20260313_205122.htm"/>
    <webPublishItem id="22445" divId="Oil Pricer_22445" sourceType="range" sourceRef="A1:H107" destinationFile="C:\Users\YVES~1.MIN\AppData\Local\Temp\rng_20260317_195809.htm"/>
    <webPublishItem id="26931" divId="Oil Pricer_26931" sourceType="range" sourceRef="A1:H107" destinationFile="C:\Users\YVES~1.MIN\AppData\Local\Temp\rng_20260318_201838.htm"/>
    <webPublishItem id="10235" divId="Oil Pricer_10235" sourceType="range" sourceRef="A1:H107" destinationFile="C:\Users\YVES~1.MIN\AppData\Local\Temp\rng_20260319_191450.htm"/>
    <webPublishItem id="30932" divId="Oil Pricer_30932" sourceType="range" sourceRef="A1:H107" destinationFile="C:\Users\YVES~1.MIN\AppData\Local\Temp\rng_20260320_223425.htm"/>
    <webPublishItem id="5107" divId="Oil Pricer_5107" sourceType="range" sourceRef="A1:H107" destinationFile="C:\Users\YVES~1.MIN\AppData\Local\Temp\rng_20260323_163059.htm"/>
    <webPublishItem id="11341" divId="Oil Pricer_11341" sourceType="range" sourceRef="A1:H107" destinationFile="C:\Users\YVES~1.MIN\AppData\Local\Temp\rng_20260324_181035.htm"/>
    <webPublishItem id="7325" divId="Oil Pricer_7325" sourceType="range" sourceRef="A1:H107" destinationFile="C:\Users\YVES~1.MIN\AppData\Local\Temp\rng_20260325_163424.htm"/>
    <webPublishItem id="2585" divId="Oil Pricer_2585" sourceType="range" sourceRef="A1:H107" destinationFile="C:\Users\YVES~1.MIN\AppData\Local\Temp\rng_20260325_164153.htm"/>
    <webPublishItem id="26403" divId="Oil Pricer_26403" sourceType="range" sourceRef="A1:H107" destinationFile="C:\Users\YVES~1.MIN\AppData\Local\Temp\rng_20260325_165658.htm"/>
    <webPublishItem id="11665" divId="Oil Pricer_11665" sourceType="range" sourceRef="A1:H107" destinationFile="C:\Users\YVES~1.MIN\AppData\Local\Temp\rng_20260325_171031.htm"/>
    <webPublishItem id="25546" divId="Oil Pricer_25546" sourceType="range" sourceRef="A1:H107" destinationFile="C:\Users\YVES~1.MIN\AppData\Local\Temp\rng_20260325_171413.htm"/>
    <webPublishItem id="31591" divId="Oil Pricer_31591" sourceType="range" sourceRef="A1:H107" destinationFile="C:\Users\YVES~1.MIN\AppData\Local\Temp\rng_20260325_172434.htm"/>
    <webPublishItem id="28607" divId="Oil Pricer_28607" sourceType="range" sourceRef="A1:H107" destinationFile="C:\Users\YVES~1.MIN\AppData\Local\Temp\rng_20260325_173231.htm"/>
    <webPublishItem id="3907" divId="Oil Pricer_3907" sourceType="range" sourceRef="A1:H107" destinationFile="C:\Users\YVES~1.MIN\AppData\Local\Temp\rng_20260326_163519.htm"/>
    <webPublishItem id="9727" divId="Oil Pricer_9727" sourceType="range" sourceRef="A1:H107" destinationFile="C:\Users\YVES~1.MIN\AppData\Local\Temp\rng_20260327_210934.htm"/>
    <webPublishItem id="13162" divId="Oil Pricer_13162" sourceType="range" sourceRef="A1:H107" destinationFile="C:\Users\YVES~1.MIN\AppData\Local\Temp\rng_20260327_211029.htm"/>
    <webPublishItem id="16019" divId="Oil Pricer_16019" sourceType="range" sourceRef="A1:H107" destinationFile="C:\Users\YVES~1.MIN\AppData\Local\Temp\rng_20260330_182051.htm"/>
    <webPublishItem id="22559" divId="Oil Pricer_22559" sourceType="range" sourceRef="A1:H107" destinationFile="C:\Users\YVES~1.MIN\AppData\Local\Temp\rng_20260330_182236.htm"/>
    <webPublishItem id="1529" divId="Oil Pricer_1529" sourceType="range" sourceRef="A1:H107" destinationFile="C:\Users\YVES~1.MIN\AppData\Local\Temp\rng_20260331_165125.htm"/>
    <webPublishItem id="3395" divId="Oil Pricer_3395" sourceType="range" sourceRef="A1:H107" destinationFile="C:\Users\YVES~1.MIN\AppData\Local\Temp\rng_20260331_170924.htm"/>
    <webPublishItem id="6972" divId="Oil Pricer_6972" sourceType="range" sourceRef="A1:H107" destinationFile="C:\Users\YVES~1.MIN\AppData\Local\Temp\rng_20260401_202211.htm"/>
    <webPublishItem id="31867" divId="Oil Pricer_31867" sourceType="range" sourceRef="A1:H107" destinationFile="C:\Users\YVES~1.MIN\AppData\Local\Temp\rng_20260402_123846.htm"/>
    <webPublishItem id="10889" divId="Oil Pricer_10889" sourceType="range" sourceRef="A1:H107" destinationFile="C:\Users\YVES~1.MIN\AppData\Local\Temp\rng_20260402_161138.htm"/>
    <webPublishItem id="15777" divId="Oil Pricer_15777" sourceType="range" sourceRef="A1:H107" destinationFile="C:\Users\YVES~1.MIN\AppData\Local\Temp\rng_20260407_164310.htm"/>
    <webPublishItem id="4419" divId="Oil Pricer_4419" sourceType="range" sourceRef="A1:H107" destinationFile="C:\Users\YVES~1.MIN\AppData\Local\Temp\rng_20260408_161545.htm"/>
    <webPublishItem id="25625" divId="Oil Pricer_25625" sourceType="range" sourceRef="A1:H107" destinationFile="C:\Users\YVES~1.MIN\AppData\Local\Temp\rng_20260408_163008.htm"/>
    <webPublishItem id="27932" divId="Oil Pricer_27932" sourceType="range" sourceRef="A1:H107" destinationFile="C:\Users\YVES~1.MIN\AppData\Local\Temp\rng_20260408_163045.htm"/>
    <webPublishItem id="7096" divId="Oil Pricer_7096" sourceType="range" sourceRef="A1:H107" destinationFile="C:\Users\YVES~1.MIN\AppData\Local\Temp\rng_20260409_175424.htm"/>
    <webPublishItem id="16022" divId="Oil Pricer_16022" sourceType="range" sourceRef="A1:H107" destinationFile="C:\Users\YVES~1.MIN\AppData\Local\Temp\rng_20260409_175647.htm"/>
    <webPublishItem id="6872" divId="Oil Pricer_6872" sourceType="range" sourceRef="A1:H107" destinationFile="C:\Users\YVES~1.MIN\AppData\Local\Temp\rng_20260410_183107.htm"/>
    <webPublishItem id="27213" divId="Oil Pricer_27213" sourceType="range" sourceRef="A1:H107" destinationFile="C:\Users\YVES~1.MIN\AppData\Local\Temp\rng_20260410_183632.htm"/>
    <webPublishItem id="28083" divId="Oil Pricer_28083" sourceType="range" sourceRef="A1:H107" destinationFile="C:\Users\YVES~1.MIN\AppData\Local\Temp\rng_20260410_183646.htm"/>
    <webPublishItem id="11705" divId="Oil Pricer_11705" sourceType="range" sourceRef="A1:H108" destinationFile="C:\Users\YVES~1.MIN\AppData\Local\Temp\rng_20260513_170948.htm"/>
    <webPublishItem id="22549" divId="Oil Pricer_22549" sourceType="range" sourceRef="A1:H108" destinationFile="C:\Users\YVES~1.MIN\AppData\Local\Temp\rng_20260514_174927.htm"/>
    <webPublishItem id="31470" divId="Oil Pricer_31470" sourceType="range" sourceRef="A1:H108" destinationFile="C:\Users\YVES~1.MIN\AppData\Local\Temp\rng_20260515_164819.htm"/>
    <webPublishItem id="22190" divId="Oil Pricer_22190" sourceType="range" sourceRef="A1:H108" destinationFile="C:\Users\YVES~1.MIN\AppData\Local\Temp\rng_20260515_165435.htm"/>
    <webPublishItem id="26508" divId="Oil Pricer_26508" sourceType="range" sourceRef="A1:H108" destinationFile="C:\Users\YVES~1.MIN\AppData\Local\Temp\rng_20260515_165544.htm"/>
    <webPublishItem id="15189" divId="Oil Pricer_15189" sourceType="range" sourceRef="A1:H108" destinationFile="C:\Users\YVES~1.MIN\AppData\Local\Temp\rng_20260518_154820.htm"/>
    <webPublishItem id="26672" divId="Oil Pricer_26672" sourceType="range" sourceRef="A1:H108" destinationFile="C:\Users\YVES~1.MIN\AppData\Local\Temp\rng_20260518_160008.htm"/>
    <webPublishItem id="31101" divId="Oil Pricer_31101" sourceType="range" sourceRef="A1:H108" destinationFile="C:\Users\YVES~1.MIN\AppData\Local\Temp\rng_20260518_161003.htm"/>
    <webPublishItem id="16547" divId="Oil Pricer_16547" sourceType="range" sourceRef="A1:H108" destinationFile="C:\Users\YVES~1.MIN\AppData\Local\Temp\rng_20260518_161455.htm"/>
    <webPublishItem id="16954" divId="Oil Pricer_16954" sourceType="range" sourceRef="A1:H108" destinationFile="C:\Users\YVES~1.MIN\AppData\Local\Temp\rng_20260518_161501.htm"/>
    <webPublishItem id="22920" divId="Oil Pricer_22920" sourceType="range" sourceRef="A1:H108" destinationFile="C:\Users\YVES~1.MIN\AppData\Local\Temp\rng_20260519_160057.htm"/>
    <webPublishItem id="9522" divId="Oil Pricer_9522" sourceType="range" sourceRef="A1:H108" destinationFile="C:\Users\YVES~1.MIN\AppData\Local\Temp\rng_20260519_162335.htm"/>
    <webPublishItem id="16773" divId="Oil Pricer_16773" sourceType="range" sourceRef="A1:H108" destinationFile="C:\Users\YVES~1.MIN\AppData\Local\Temp\rng_20260519_163415.htm"/>
    <webPublishItem id="8630" divId="Oil Pricer_8630" sourceType="range" sourceRef="A1:H108" destinationFile="C:\Users\YVES~1.MIN\AppData\Local\Temp\rng_20260519_164049.htm"/>
    <webPublishItem id="17436" divId="Oil Pricer_17436" sourceType="range" sourceRef="A1:H108" destinationFile="C:\Users\YVES~1.MIN\AppData\Local\Temp\rng_20260520_171112.htm"/>
    <webPublishItem id="27801" divId="Oil Pricer_27801" sourceType="range" sourceRef="A1:H108" destinationFile="C:\Users\YVES~1.MIN\AppData\Local\Temp\rng_20260520_174010.htm"/>
    <webPublishItem id="2148" divId="Oil Pricer_2148" sourceType="range" sourceRef="A1:H108" destinationFile="C:\Users\YVES~1.MIN\AppData\Local\Temp\rng_20260520_174204.htm"/>
    <webPublishItem id="18330" divId="Oil Pricer_18330" sourceType="range" sourceRef="A1:H108" destinationFile="C:\Users\YVES~1.MIN\AppData\Local\Temp\rng_20260520_174623.htm"/>
    <webPublishItem id="7694" divId="Oil Pricer_7694" sourceType="range" sourceRef="A1:H108" destinationFile="C:\Users\YVES~1.MIN\AppData\Local\Temp\rng_20260520_180101.htm"/>
  </webPublishItems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2EC57E-1175-4B91-BBEB-BB529D71DE31}">
          <x14:formula1>
            <xm:f>Refs!$T$2:$T$33</xm:f>
          </x14:formula1>
          <xm:sqref>A95 A101</xm:sqref>
        </x14:dataValidation>
        <x14:dataValidation type="list" allowBlank="1" showInputMessage="1" showErrorMessage="1" xr:uid="{D8DDBDDD-D338-4F12-BE6E-665A462365AD}">
          <x14:formula1>
            <xm:f>Refs!$T$2:$T$105</xm:f>
          </x14:formula1>
          <xm:sqref>A99:A100 A89</xm:sqref>
        </x14:dataValidation>
        <x14:dataValidation type="list" allowBlank="1" showInputMessage="1" showErrorMessage="1" xr:uid="{20A7D180-BFD2-4BBF-86A9-0ED01A92E86C}">
          <x14:formula1>
            <xm:f>Refs!$T$2:$T$116</xm:f>
          </x14:formula1>
          <xm:sqref>A92 A82</xm:sqref>
        </x14:dataValidation>
        <x14:dataValidation type="list" allowBlank="1" showInputMessage="1" showErrorMessage="1" xr:uid="{004C964E-8DC5-4FB7-931A-CC8091DA68BE}">
          <x14:formula1>
            <xm:f>Refs!$T$2:$T$121</xm:f>
          </x14:formula1>
          <xm:sqref>A70:A72 A59:A65 A74 A56:A57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DBFA0-7904-4C3F-84CE-F70AFA1EAE0C}">
  <sheetPr codeName="Sheet21">
    <pageSetUpPr autoPageBreaks="0"/>
  </sheetPr>
  <dimension ref="A1:BC208"/>
  <sheetViews>
    <sheetView zoomScale="85" zoomScaleNormal="85" workbookViewId="0">
      <selection activeCell="B30" sqref="B30"/>
    </sheetView>
  </sheetViews>
  <sheetFormatPr defaultColWidth="9.140625" defaultRowHeight="15" x14ac:dyDescent="0.25"/>
  <cols>
    <col min="1" max="1" width="21.5703125" style="597" customWidth="1"/>
    <col min="2" max="2" width="18.5703125" style="598" customWidth="1"/>
    <col min="3" max="3" width="19.5703125" style="598" bestFit="1" customWidth="1"/>
    <col min="4" max="6" width="18.5703125" style="598" customWidth="1"/>
    <col min="7" max="7" width="6.28515625" style="598" customWidth="1"/>
    <col min="8" max="8" width="21.5703125" style="597" customWidth="1"/>
    <col min="9" max="11" width="23.28515625" style="598" customWidth="1"/>
    <col min="12" max="12" width="18.5703125" style="598" customWidth="1"/>
    <col min="13" max="13" width="13.28515625" style="596" customWidth="1"/>
    <col min="14" max="14" width="12" style="596" bestFit="1" customWidth="1"/>
    <col min="15" max="18" width="9.140625" style="596"/>
    <col min="19" max="19" width="11.28515625" style="596" customWidth="1"/>
    <col min="20" max="21" width="9.140625" style="596"/>
    <col min="22" max="22" width="11" style="596" bestFit="1" customWidth="1"/>
    <col min="23" max="23" width="12" style="596" bestFit="1" customWidth="1"/>
    <col min="24" max="29" width="9.140625" style="596"/>
    <col min="30" max="30" width="33.140625" style="596" customWidth="1"/>
    <col min="31" max="31" width="15.42578125" style="596" customWidth="1"/>
    <col min="32" max="32" width="9.28515625" style="596" customWidth="1"/>
    <col min="33" max="33" width="9.140625" style="596"/>
    <col min="34" max="34" width="10.42578125" style="596" customWidth="1"/>
    <col min="35" max="35" width="11.28515625" style="596" customWidth="1"/>
    <col min="36" max="36" width="11.140625" style="596" customWidth="1"/>
    <col min="37" max="39" width="9.140625" style="596"/>
    <col min="40" max="41" width="10.140625" style="596" customWidth="1"/>
    <col min="42" max="44" width="9.140625" style="596"/>
    <col min="45" max="45" width="10.7109375" style="596" customWidth="1"/>
    <col min="46" max="46" width="11.42578125" style="596" customWidth="1"/>
    <col min="47" max="47" width="11.5703125" style="596" customWidth="1"/>
    <col min="48" max="49" width="9.140625" style="596"/>
    <col min="50" max="52" width="10.42578125" style="596" customWidth="1"/>
    <col min="53" max="53" width="9.140625" style="596"/>
    <col min="54" max="56" width="10.42578125" style="596" customWidth="1"/>
    <col min="57" max="16384" width="9.140625" style="596"/>
  </cols>
  <sheetData>
    <row r="1" spans="1:54" ht="15.75" thickBot="1" x14ac:dyDescent="0.3">
      <c r="A1" s="742" t="s">
        <v>1296</v>
      </c>
      <c r="B1" s="743"/>
      <c r="C1" s="743"/>
      <c r="D1" s="743"/>
      <c r="E1" s="743"/>
      <c r="F1" s="744"/>
      <c r="H1" s="745" t="s">
        <v>16</v>
      </c>
      <c r="I1" s="746"/>
      <c r="J1" s="746"/>
      <c r="K1" s="747"/>
      <c r="L1" s="596"/>
    </row>
    <row r="2" spans="1:54" x14ac:dyDescent="0.25">
      <c r="A2" s="739" t="s">
        <v>114</v>
      </c>
      <c r="B2" s="740"/>
      <c r="C2" s="740"/>
      <c r="D2" s="740"/>
      <c r="E2" s="740"/>
      <c r="F2" s="741"/>
      <c r="G2" s="596"/>
      <c r="H2" s="739" t="s">
        <v>114</v>
      </c>
      <c r="I2" s="740"/>
      <c r="J2" s="740"/>
      <c r="K2" s="740"/>
      <c r="L2" s="596"/>
      <c r="AK2" s="677"/>
    </row>
    <row r="3" spans="1:54" x14ac:dyDescent="0.25">
      <c r="A3" s="601" t="s">
        <v>115</v>
      </c>
      <c r="B3" s="631" t="s">
        <v>116</v>
      </c>
      <c r="C3" s="631" t="s">
        <v>116</v>
      </c>
      <c r="D3" s="631" t="s">
        <v>116</v>
      </c>
      <c r="E3" s="631" t="s">
        <v>116</v>
      </c>
      <c r="F3" s="631" t="s">
        <v>116</v>
      </c>
      <c r="G3" s="596"/>
      <c r="H3" s="601" t="s">
        <v>115</v>
      </c>
      <c r="I3" s="631" t="s">
        <v>288</v>
      </c>
      <c r="J3" s="631" t="s">
        <v>288</v>
      </c>
      <c r="K3" s="631" t="s">
        <v>288</v>
      </c>
      <c r="L3" s="596"/>
      <c r="M3" s="695" t="s">
        <v>117</v>
      </c>
      <c r="N3" s="695" t="s">
        <v>117</v>
      </c>
      <c r="O3" s="696" t="s">
        <v>118</v>
      </c>
      <c r="P3" s="696" t="s">
        <v>11</v>
      </c>
      <c r="Q3" s="696" t="s">
        <v>28</v>
      </c>
      <c r="AB3" s="24" t="s">
        <v>119</v>
      </c>
      <c r="AC3" s="24" t="s">
        <v>120</v>
      </c>
      <c r="AD3" s="597"/>
      <c r="AE3" s="597"/>
      <c r="AF3" s="597" t="s">
        <v>121</v>
      </c>
      <c r="AI3" s="597"/>
      <c r="AK3" s="677"/>
      <c r="AL3" s="597"/>
      <c r="AM3" s="597" t="s">
        <v>122</v>
      </c>
    </row>
    <row r="4" spans="1:54" x14ac:dyDescent="0.25">
      <c r="A4" s="601" t="s">
        <v>123</v>
      </c>
      <c r="B4" s="631" t="s">
        <v>1390</v>
      </c>
      <c r="C4" s="631" t="s">
        <v>1422</v>
      </c>
      <c r="D4" s="631" t="s">
        <v>1422</v>
      </c>
      <c r="E4" s="631" t="s">
        <v>229</v>
      </c>
      <c r="F4" s="631" t="s">
        <v>229</v>
      </c>
      <c r="G4" s="596"/>
      <c r="H4" s="601" t="s">
        <v>123</v>
      </c>
      <c r="I4" s="631" t="s">
        <v>229</v>
      </c>
      <c r="J4" s="631" t="s">
        <v>229</v>
      </c>
      <c r="K4" s="631" t="s">
        <v>229</v>
      </c>
      <c r="L4" s="596"/>
      <c r="M4" s="694" t="s">
        <v>1287</v>
      </c>
      <c r="N4" s="693" t="s">
        <v>63</v>
      </c>
      <c r="O4" s="692" t="e">
        <f>$AY$34</f>
        <v>#VALUE!</v>
      </c>
      <c r="P4" s="692" t="e">
        <f>AVERAGE($AY$31:$AY$32)</f>
        <v>#VALUE!</v>
      </c>
      <c r="Q4" s="692" t="e">
        <f t="shared" ref="Q4:Q18" si="0">$P4-$O4</f>
        <v>#VALUE!</v>
      </c>
      <c r="AB4" s="680" t="s">
        <v>27</v>
      </c>
      <c r="AC4" s="680" t="s">
        <v>107</v>
      </c>
      <c r="AD4" s="680" t="s">
        <v>124</v>
      </c>
      <c r="AE4" s="680" t="s">
        <v>125</v>
      </c>
      <c r="AF4" s="680" t="s">
        <v>126</v>
      </c>
      <c r="AG4" s="681" t="s">
        <v>127</v>
      </c>
      <c r="AH4" s="681" t="s">
        <v>128</v>
      </c>
      <c r="AI4" s="686" t="s">
        <v>129</v>
      </c>
      <c r="AJ4" s="686" t="s">
        <v>130</v>
      </c>
      <c r="AK4" s="686" t="s">
        <v>131</v>
      </c>
      <c r="AL4" s="682" t="s">
        <v>132</v>
      </c>
      <c r="AM4" s="682" t="s">
        <v>133</v>
      </c>
      <c r="AN4" s="681" t="s">
        <v>134</v>
      </c>
      <c r="AO4" s="681" t="s">
        <v>135</v>
      </c>
      <c r="AP4" s="686" t="s">
        <v>136</v>
      </c>
      <c r="AQ4" s="686" t="s">
        <v>137</v>
      </c>
      <c r="AR4" s="686" t="s">
        <v>138</v>
      </c>
    </row>
    <row r="5" spans="1:54" x14ac:dyDescent="0.25">
      <c r="A5" s="601" t="s">
        <v>139</v>
      </c>
      <c r="B5" s="631" t="s">
        <v>1295</v>
      </c>
      <c r="C5" s="631" t="s">
        <v>140</v>
      </c>
      <c r="D5" s="631" t="s">
        <v>140</v>
      </c>
      <c r="E5" s="631" t="s">
        <v>140</v>
      </c>
      <c r="F5" s="631" t="s">
        <v>1295</v>
      </c>
      <c r="G5" s="596"/>
      <c r="H5" s="601" t="s">
        <v>139</v>
      </c>
      <c r="I5" s="631" t="s">
        <v>140</v>
      </c>
      <c r="J5" s="631" t="s">
        <v>140</v>
      </c>
      <c r="K5" s="631" t="s">
        <v>140</v>
      </c>
      <c r="L5" s="596"/>
      <c r="M5" s="694" t="s">
        <v>1287</v>
      </c>
      <c r="N5" s="693" t="s">
        <v>141</v>
      </c>
      <c r="O5" s="692" t="e">
        <f>$BA$22</f>
        <v>#N/A</v>
      </c>
      <c r="P5" s="692" t="e">
        <f>$BA$21</f>
        <v>#N/A</v>
      </c>
      <c r="Q5" s="692" t="e">
        <f t="shared" si="0"/>
        <v>#N/A</v>
      </c>
      <c r="AB5" s="596" t="s">
        <v>119</v>
      </c>
      <c r="AC5" s="596" t="s">
        <v>1286</v>
      </c>
      <c r="AD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5" s="683" t="e">
        <f>ABS(_xll.BDP(Options[[#This Row],[P-Ticker]], "OPT_DELTA_YEST"))*100</f>
        <v>#VALUE!</v>
      </c>
      <c r="AG5" s="683" t="str">
        <f>IFERROR(ABS(RTD("esrtd",,Options[[#This Row],[Index]] &amp; " " &amp; Options[[#This Row],[Month]] &amp; "P" &amp; $AL5*100 &amp; "-ICE", "OldSettlement")), "")</f>
        <v/>
      </c>
      <c r="AH5" s="683" t="str">
        <f>IFERROR(ABS(RTD("esrtd",,Options[[#This Row],[Index]] &amp; " " &amp; Options[[#This Row],[Month]] &amp; "P" &amp; $AL5*100 &amp; "-ICE", "OldSetIV"))*100, "")</f>
        <v/>
      </c>
      <c r="AI5" s="683" t="str">
        <f>IFERROR(ABS(RTD("esrtd",,Options[[#This Row],[Index]] &amp; " " &amp; Options[[#This Row],[Month]] &amp; "P" &amp; $AL5*100 &amp; "-ICE", "Delta"))*100, "")</f>
        <v/>
      </c>
      <c r="AJ5" s="683" t="str">
        <f>IFERROR(ABS(RTD("esrtd",,Options[[#This Row],[Index]] &amp; " " &amp; Options[[#This Row],[Month]] &amp; "P" &amp; $AL5*100 &amp; "-ICE", "Market")), "")</f>
        <v/>
      </c>
      <c r="AK5" s="683" t="str">
        <f>IFERROR(ABS(RTD("esrtd",,Options[[#This Row],[Index]] &amp; " " &amp; Options[[#This Row],[Month]] &amp; "P" &amp; $AL5*100 &amp; "-ICE", "ImpVol"))*100, "")</f>
        <v/>
      </c>
      <c r="AL5" s="676" t="e">
        <f t="shared" ref="AL5:AL30" si="1">AL6-1</f>
        <v>#VALUE!</v>
      </c>
      <c r="AM5" s="684" t="e">
        <f>ABS(_xll.BDP(Options[[#This Row],[C-Ticker]], "OPT_DELTA_YEST"))*100</f>
        <v>#VALUE!</v>
      </c>
      <c r="AN5" s="684" t="str">
        <f>IFERROR(ABS(RTD("esrtd",,Options[[#This Row],[Index]] &amp; " " &amp; Options[[#This Row],[Month]] &amp; "C" &amp; $AL5*100 &amp; "-ICE", "OldSettlement")), "")</f>
        <v/>
      </c>
      <c r="AO5" s="684" t="str">
        <f>IFERROR(ABS(RTD("esrtd",,Options[[#This Row],[Index]] &amp; " " &amp; Options[[#This Row],[Month]] &amp; "C" &amp; $AL5*100 &amp; "-ICE", "OldSetIV"))*100, "")</f>
        <v/>
      </c>
      <c r="AP5" s="684" t="str">
        <f>IFERROR(ABS(RTD("esrtd",,Options[[#This Row],[Index]] &amp; " " &amp; Options[[#This Row],[Month]] &amp; "C" &amp; $AL5*100 &amp; "-ICE", "Delta"))*100, "")</f>
        <v/>
      </c>
      <c r="AQ5" s="684" t="str">
        <f>IFERROR(ABS(RTD("esrtd",,Options[[#This Row],[Index]] &amp; " " &amp; Options[[#This Row],[Month]] &amp; "C" &amp; $AL5*100 &amp; "-ICE", "Market")), "")</f>
        <v/>
      </c>
      <c r="AR5" s="684" t="str">
        <f>IFERROR(ABS(RTD("esrtd",,Options[[#This Row],[Index]] &amp; " " &amp; Options[[#This Row],[Month]] &amp; "C" &amp; $AL5*100 &amp; "-ICE", "ImpVol"))*100, "")</f>
        <v/>
      </c>
      <c r="AW5" s="677"/>
      <c r="AX5" s="677"/>
    </row>
    <row r="6" spans="1:54" x14ac:dyDescent="0.25">
      <c r="A6" s="601" t="s">
        <v>142</v>
      </c>
      <c r="B6" s="632">
        <v>70</v>
      </c>
      <c r="C6" s="632">
        <v>110</v>
      </c>
      <c r="D6" s="632">
        <v>130</v>
      </c>
      <c r="E6" s="632">
        <v>300</v>
      </c>
      <c r="F6" s="632">
        <v>85</v>
      </c>
      <c r="G6" s="596"/>
      <c r="H6" s="601" t="s">
        <v>142</v>
      </c>
      <c r="I6" s="748">
        <v>1300</v>
      </c>
      <c r="J6" s="748">
        <v>1500</v>
      </c>
      <c r="K6" s="748">
        <v>2000</v>
      </c>
      <c r="L6" s="596"/>
      <c r="M6" s="694" t="s">
        <v>1287</v>
      </c>
      <c r="N6" s="693" t="s">
        <v>143</v>
      </c>
      <c r="O6" s="692" t="e">
        <f>$BA$26</f>
        <v>#N/A</v>
      </c>
      <c r="P6" s="692" t="e">
        <f>$BA$25</f>
        <v>#N/A</v>
      </c>
      <c r="Q6" s="692" t="e">
        <f t="shared" si="0"/>
        <v>#N/A</v>
      </c>
      <c r="AB6" s="596" t="s">
        <v>119</v>
      </c>
      <c r="AC6" s="596" t="s">
        <v>1286</v>
      </c>
      <c r="AD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6" s="683" t="e">
        <f>ABS(_xll.BDP(Options[[#This Row],[P-Ticker]], "OPT_DELTA_YEST"))*100</f>
        <v>#VALUE!</v>
      </c>
      <c r="AG6" s="683" t="str">
        <f>IFERROR(ABS(RTD("esrtd",,Options[[#This Row],[Index]] &amp; " " &amp; Options[[#This Row],[Month]] &amp; "P" &amp; $AL6*100 &amp; "-ICE", "OldSettlement")), "")</f>
        <v/>
      </c>
      <c r="AH6" s="683" t="str">
        <f>IFERROR(ABS(RTD("esrtd",,Options[[#This Row],[Index]] &amp; " " &amp; Options[[#This Row],[Month]] &amp; "P" &amp; $AL6*100 &amp; "-ICE", "OldSetIV"))*100, "")</f>
        <v/>
      </c>
      <c r="AI6" s="683" t="str">
        <f>IFERROR(ABS(RTD("esrtd",,Options[[#This Row],[Index]] &amp; " " &amp; Options[[#This Row],[Month]] &amp; "P" &amp; $AL6*100 &amp; "-ICE", "Delta"))*100, "")</f>
        <v/>
      </c>
      <c r="AJ6" s="683" t="str">
        <f>IFERROR(ABS(RTD("esrtd",,Options[[#This Row],[Index]] &amp; " " &amp; Options[[#This Row],[Month]] &amp; "P" &amp; $AL6*100 &amp; "-ICE", "Market")), "")</f>
        <v/>
      </c>
      <c r="AK6" s="683" t="str">
        <f>IFERROR(ABS(RTD("esrtd",,Options[[#This Row],[Index]] &amp; " " &amp; Options[[#This Row],[Month]] &amp; "P" &amp; $AL6*100 &amp; "-ICE", "ImpVol"))*100, "")</f>
        <v/>
      </c>
      <c r="AL6" s="676" t="e">
        <f t="shared" si="1"/>
        <v>#VALUE!</v>
      </c>
      <c r="AM6" s="684" t="e">
        <f>ABS(_xll.BDP(Options[[#This Row],[C-Ticker]], "OPT_DELTA_YEST"))*100</f>
        <v>#VALUE!</v>
      </c>
      <c r="AN6" s="684" t="str">
        <f>IFERROR(ABS(RTD("esrtd",,Options[[#This Row],[Index]] &amp; " " &amp; Options[[#This Row],[Month]] &amp; "C" &amp; $AL6*100 &amp; "-ICE", "OldSettlement")), "")</f>
        <v/>
      </c>
      <c r="AO6" s="684" t="str">
        <f>IFERROR(ABS(RTD("esrtd",,Options[[#This Row],[Index]] &amp; " " &amp; Options[[#This Row],[Month]] &amp; "C" &amp; $AL6*100 &amp; "-ICE", "OldSetIV"))*100, "")</f>
        <v/>
      </c>
      <c r="AP6" s="684" t="str">
        <f>IFERROR(ABS(RTD("esrtd",,Options[[#This Row],[Index]] &amp; " " &amp; Options[[#This Row],[Month]] &amp; "C" &amp; $AL6*100 &amp; "-ICE", "Delta"))*100, "")</f>
        <v/>
      </c>
      <c r="AQ6" s="684" t="str">
        <f>IFERROR(ABS(RTD("esrtd",,Options[[#This Row],[Index]] &amp; " " &amp; Options[[#This Row],[Month]] &amp; "C" &amp; $AL6*100 &amp; "-ICE", "Market")), "")</f>
        <v/>
      </c>
      <c r="AR6" s="684" t="str">
        <f>IFERROR(ABS(RTD("esrtd",,Options[[#This Row],[Index]] &amp; " " &amp; Options[[#This Row],[Month]] &amp; "C" &amp; $AL6*100 &amp; "-ICE", "ImpVol"))*100, "")</f>
        <v/>
      </c>
      <c r="AX6" s="677"/>
    </row>
    <row r="7" spans="1:54" x14ac:dyDescent="0.25">
      <c r="A7" s="601" t="s">
        <v>1320</v>
      </c>
      <c r="B7" s="633">
        <v>1000</v>
      </c>
      <c r="C7" s="633">
        <v>750</v>
      </c>
      <c r="D7" s="633">
        <v>-750</v>
      </c>
      <c r="E7" s="633">
        <v>0</v>
      </c>
      <c r="F7" s="633">
        <v>0</v>
      </c>
      <c r="G7" s="596"/>
      <c r="H7" s="601" t="s">
        <v>1320</v>
      </c>
      <c r="I7" s="633">
        <v>750</v>
      </c>
      <c r="J7" s="633">
        <v>-750</v>
      </c>
      <c r="K7" s="633">
        <v>0</v>
      </c>
      <c r="L7" s="596"/>
      <c r="M7" s="694" t="s">
        <v>1287</v>
      </c>
      <c r="N7" s="693" t="s">
        <v>144</v>
      </c>
      <c r="O7" s="692" t="e">
        <f>O6-O5</f>
        <v>#N/A</v>
      </c>
      <c r="P7" s="692" t="e">
        <f>P6-P5</f>
        <v>#N/A</v>
      </c>
      <c r="Q7" s="692" t="e">
        <f>$P7-$O7</f>
        <v>#N/A</v>
      </c>
      <c r="AB7" s="596" t="s">
        <v>119</v>
      </c>
      <c r="AC7" s="596" t="s">
        <v>1286</v>
      </c>
      <c r="AD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7" s="683" t="e">
        <f>ABS(_xll.BDP(Options[[#This Row],[P-Ticker]], "OPT_DELTA_YEST"))*100</f>
        <v>#VALUE!</v>
      </c>
      <c r="AG7" s="683" t="str">
        <f>IFERROR(ABS(RTD("esrtd",,Options[[#This Row],[Index]] &amp; " " &amp; Options[[#This Row],[Month]] &amp; "P" &amp; $AL7*100 &amp; "-ICE", "OldSettlement")), "")</f>
        <v/>
      </c>
      <c r="AH7" s="683" t="str">
        <f>IFERROR(ABS(RTD("esrtd",,Options[[#This Row],[Index]] &amp; " " &amp; Options[[#This Row],[Month]] &amp; "P" &amp; $AL7*100 &amp; "-ICE", "OldSetIV"))*100, "")</f>
        <v/>
      </c>
      <c r="AI7" s="683" t="str">
        <f>IFERROR(ABS(RTD("esrtd",,Options[[#This Row],[Index]] &amp; " " &amp; Options[[#This Row],[Month]] &amp; "P" &amp; $AL7*100 &amp; "-ICE", "Delta"))*100, "")</f>
        <v/>
      </c>
      <c r="AJ7" s="683" t="str">
        <f>IFERROR(ABS(RTD("esrtd",,Options[[#This Row],[Index]] &amp; " " &amp; Options[[#This Row],[Month]] &amp; "P" &amp; $AL7*100 &amp; "-ICE", "Market")), "")</f>
        <v/>
      </c>
      <c r="AK7" s="683" t="str">
        <f>IFERROR(ABS(RTD("esrtd",,Options[[#This Row],[Index]] &amp; " " &amp; Options[[#This Row],[Month]] &amp; "P" &amp; $AL7*100 &amp; "-ICE", "ImpVol"))*100, "")</f>
        <v/>
      </c>
      <c r="AL7" s="676" t="e">
        <f t="shared" si="1"/>
        <v>#VALUE!</v>
      </c>
      <c r="AM7" s="684" t="e">
        <f>ABS(_xll.BDP(Options[[#This Row],[C-Ticker]], "OPT_DELTA_YEST"))*100</f>
        <v>#VALUE!</v>
      </c>
      <c r="AN7" s="684" t="str">
        <f>IFERROR(ABS(RTD("esrtd",,Options[[#This Row],[Index]] &amp; " " &amp; Options[[#This Row],[Month]] &amp; "C" &amp; $AL7*100 &amp; "-ICE", "OldSettlement")), "")</f>
        <v/>
      </c>
      <c r="AO7" s="684" t="str">
        <f>IFERROR(ABS(RTD("esrtd",,Options[[#This Row],[Index]] &amp; " " &amp; Options[[#This Row],[Month]] &amp; "C" &amp; $AL7*100 &amp; "-ICE", "OldSetIV"))*100, "")</f>
        <v/>
      </c>
      <c r="AP7" s="684" t="str">
        <f>IFERROR(ABS(RTD("esrtd",,Options[[#This Row],[Index]] &amp; " " &amp; Options[[#This Row],[Month]] &amp; "C" &amp; $AL7*100 &amp; "-ICE", "Delta"))*100, "")</f>
        <v/>
      </c>
      <c r="AQ7" s="684" t="str">
        <f>IFERROR(ABS(RTD("esrtd",,Options[[#This Row],[Index]] &amp; " " &amp; Options[[#This Row],[Month]] &amp; "C" &amp; $AL7*100 &amp; "-ICE", "Market")), "")</f>
        <v/>
      </c>
      <c r="AR7" s="684" t="str">
        <f>IFERROR(ABS(RTD("esrtd",,Options[[#This Row],[Index]] &amp; " " &amp; Options[[#This Row],[Month]] &amp; "C" &amp; $AL7*100 &amp; "-ICE", "ImpVol"))*100, "")</f>
        <v/>
      </c>
    </row>
    <row r="8" spans="1:54" x14ac:dyDescent="0.25">
      <c r="A8" s="601" t="s">
        <v>150</v>
      </c>
      <c r="B8" s="633">
        <v>1000</v>
      </c>
      <c r="C8" s="633">
        <v>750</v>
      </c>
      <c r="D8" s="633">
        <v>-750</v>
      </c>
      <c r="E8" s="633">
        <v>0</v>
      </c>
      <c r="F8" s="633">
        <v>0</v>
      </c>
      <c r="G8" s="596"/>
      <c r="H8" s="601" t="s">
        <v>150</v>
      </c>
      <c r="I8" s="633">
        <v>750</v>
      </c>
      <c r="J8" s="633">
        <v>-750</v>
      </c>
      <c r="K8" s="633">
        <v>0</v>
      </c>
      <c r="L8" s="596"/>
      <c r="M8" s="694" t="s">
        <v>1287</v>
      </c>
      <c r="N8" s="693" t="s">
        <v>146</v>
      </c>
      <c r="O8" s="692" t="e">
        <f>1/2*(O5 + O6) - O4</f>
        <v>#N/A</v>
      </c>
      <c r="P8" s="692" t="e">
        <f>1/2*(P5 + P6) - P4</f>
        <v>#N/A</v>
      </c>
      <c r="Q8" s="692" t="e">
        <f t="shared" si="0"/>
        <v>#N/A</v>
      </c>
      <c r="AB8" s="596" t="s">
        <v>119</v>
      </c>
      <c r="AC8" s="596" t="s">
        <v>1286</v>
      </c>
      <c r="AD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" s="683" t="e">
        <f>ABS(_xll.BDP(Options[[#This Row],[P-Ticker]], "OPT_DELTA_YEST"))*100</f>
        <v>#VALUE!</v>
      </c>
      <c r="AG8" s="683" t="str">
        <f>IFERROR(ABS(RTD("esrtd",,Options[[#This Row],[Index]] &amp; " " &amp; Options[[#This Row],[Month]] &amp; "P" &amp; $AL8*100 &amp; "-ICE", "OldSettlement")), "")</f>
        <v/>
      </c>
      <c r="AH8" s="683" t="str">
        <f>IFERROR(ABS(RTD("esrtd",,Options[[#This Row],[Index]] &amp; " " &amp; Options[[#This Row],[Month]] &amp; "P" &amp; $AL8*100 &amp; "-ICE", "OldSetIV"))*100, "")</f>
        <v/>
      </c>
      <c r="AI8" s="683" t="str">
        <f>IFERROR(ABS(RTD("esrtd",,Options[[#This Row],[Index]] &amp; " " &amp; Options[[#This Row],[Month]] &amp; "P" &amp; $AL8*100 &amp; "-ICE", "Delta"))*100, "")</f>
        <v/>
      </c>
      <c r="AJ8" s="683" t="str">
        <f>IFERROR(ABS(RTD("esrtd",,Options[[#This Row],[Index]] &amp; " " &amp; Options[[#This Row],[Month]] &amp; "P" &amp; $AL8*100 &amp; "-ICE", "Market")), "")</f>
        <v/>
      </c>
      <c r="AK8" s="683" t="str">
        <f>IFERROR(ABS(RTD("esrtd",,Options[[#This Row],[Index]] &amp; " " &amp; Options[[#This Row],[Month]] &amp; "P" &amp; $AL8*100 &amp; "-ICE", "ImpVol"))*100, "")</f>
        <v/>
      </c>
      <c r="AL8" s="676" t="e">
        <f t="shared" si="1"/>
        <v>#VALUE!</v>
      </c>
      <c r="AM8" s="684" t="e">
        <f>ABS(_xll.BDP(Options[[#This Row],[C-Ticker]], "OPT_DELTA_YEST"))*100</f>
        <v>#VALUE!</v>
      </c>
      <c r="AN8" s="684" t="str">
        <f>IFERROR(ABS(RTD("esrtd",,Options[[#This Row],[Index]] &amp; " " &amp; Options[[#This Row],[Month]] &amp; "C" &amp; $AL8*100 &amp; "-ICE", "OldSettlement")), "")</f>
        <v/>
      </c>
      <c r="AO8" s="684" t="str">
        <f>IFERROR(ABS(RTD("esrtd",,Options[[#This Row],[Index]] &amp; " " &amp; Options[[#This Row],[Month]] &amp; "C" &amp; $AL8*100 &amp; "-ICE", "OldSetIV"))*100, "")</f>
        <v/>
      </c>
      <c r="AP8" s="684" t="str">
        <f>IFERROR(ABS(RTD("esrtd",,Options[[#This Row],[Index]] &amp; " " &amp; Options[[#This Row],[Month]] &amp; "C" &amp; $AL8*100 &amp; "-ICE", "Delta"))*100, "")</f>
        <v/>
      </c>
      <c r="AQ8" s="684" t="str">
        <f>IFERROR(ABS(RTD("esrtd",,Options[[#This Row],[Index]] &amp; " " &amp; Options[[#This Row],[Month]] &amp; "C" &amp; $AL8*100 &amp; "-ICE", "Market")), "")</f>
        <v/>
      </c>
      <c r="AR8" s="684" t="str">
        <f>IFERROR(ABS(RTD("esrtd",,Options[[#This Row],[Index]] &amp; " " &amp; Options[[#This Row],[Month]] &amp; "C" &amp; $AL8*100 &amp; "-ICE", "ImpVol"))*100, "")</f>
        <v/>
      </c>
    </row>
    <row r="9" spans="1:54" x14ac:dyDescent="0.25">
      <c r="A9" s="605" t="s">
        <v>1321</v>
      </c>
      <c r="B9" s="602" t="str">
        <f t="shared" ref="B9:K9" si="2">B$3 &amp; B$4 &amp; B$5 &amp; " " &amp; TEXT(B$6, "0.00") &amp; " Comdty"</f>
        <v>COU6P 70.00 Comdty</v>
      </c>
      <c r="C9" s="602" t="str">
        <f t="shared" si="2"/>
        <v>COV6C 110.00 Comdty</v>
      </c>
      <c r="D9" s="602" t="str">
        <f t="shared" si="2"/>
        <v>COV6C 130.00 Comdty</v>
      </c>
      <c r="E9" s="602" t="str">
        <f t="shared" si="2"/>
        <v>COQ6C 300.00 Comdty</v>
      </c>
      <c r="F9" s="602" t="str">
        <f t="shared" si="2"/>
        <v>COQ6P 85.00 Comdty</v>
      </c>
      <c r="G9" s="596"/>
      <c r="H9" s="605" t="s">
        <v>1321</v>
      </c>
      <c r="I9" s="602" t="str">
        <f t="shared" si="2"/>
        <v>QSQ6C 1300.00 Comdty</v>
      </c>
      <c r="J9" s="602" t="str">
        <f t="shared" si="2"/>
        <v>QSQ6C 1500.00 Comdty</v>
      </c>
      <c r="K9" s="602" t="str">
        <f t="shared" si="2"/>
        <v>QSQ6C 2000.00 Comdty</v>
      </c>
      <c r="L9" s="596"/>
      <c r="M9" s="694" t="s">
        <v>1337</v>
      </c>
      <c r="N9" s="693" t="s">
        <v>63</v>
      </c>
      <c r="O9" s="692" t="e">
        <f>$AY$51</f>
        <v>#VALUE!</v>
      </c>
      <c r="P9" s="692" t="e">
        <f>AVERAGE($AY$51:$AY$52)</f>
        <v>#VALUE!</v>
      </c>
      <c r="Q9" s="692" t="e">
        <f t="shared" si="0"/>
        <v>#VALUE!</v>
      </c>
      <c r="AB9" s="596" t="s">
        <v>119</v>
      </c>
      <c r="AC9" s="596" t="s">
        <v>1286</v>
      </c>
      <c r="AD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" s="683" t="e">
        <f>ABS(_xll.BDP(Options[[#This Row],[P-Ticker]], "OPT_DELTA_YEST"))*100</f>
        <v>#VALUE!</v>
      </c>
      <c r="AG9" s="683" t="str">
        <f>IFERROR(ABS(RTD("esrtd",,Options[[#This Row],[Index]] &amp; " " &amp; Options[[#This Row],[Month]] &amp; "P" &amp; $AL9*100 &amp; "-ICE", "OldSettlement")), "")</f>
        <v/>
      </c>
      <c r="AH9" s="683" t="str">
        <f>IFERROR(ABS(RTD("esrtd",,Options[[#This Row],[Index]] &amp; " " &amp; Options[[#This Row],[Month]] &amp; "P" &amp; $AL9*100 &amp; "-ICE", "OldSetIV"))*100, "")</f>
        <v/>
      </c>
      <c r="AI9" s="683" t="str">
        <f>IFERROR(ABS(RTD("esrtd",,Options[[#This Row],[Index]] &amp; " " &amp; Options[[#This Row],[Month]] &amp; "P" &amp; $AL9*100 &amp; "-ICE", "Delta"))*100, "")</f>
        <v/>
      </c>
      <c r="AJ9" s="683" t="str">
        <f>IFERROR(ABS(RTD("esrtd",,Options[[#This Row],[Index]] &amp; " " &amp; Options[[#This Row],[Month]] &amp; "P" &amp; $AL9*100 &amp; "-ICE", "Market")), "")</f>
        <v/>
      </c>
      <c r="AK9" s="683" t="str">
        <f>IFERROR(ABS(RTD("esrtd",,Options[[#This Row],[Index]] &amp; " " &amp; Options[[#This Row],[Month]] &amp; "P" &amp; $AL9*100 &amp; "-ICE", "ImpVol"))*100, "")</f>
        <v/>
      </c>
      <c r="AL9" s="676" t="e">
        <f t="shared" si="1"/>
        <v>#VALUE!</v>
      </c>
      <c r="AM9" s="684" t="e">
        <f>ABS(_xll.BDP(Options[[#This Row],[C-Ticker]], "OPT_DELTA_YEST"))*100</f>
        <v>#VALUE!</v>
      </c>
      <c r="AN9" s="684" t="str">
        <f>IFERROR(ABS(RTD("esrtd",,Options[[#This Row],[Index]] &amp; " " &amp; Options[[#This Row],[Month]] &amp; "C" &amp; $AL9*100 &amp; "-ICE", "OldSettlement")), "")</f>
        <v/>
      </c>
      <c r="AO9" s="684" t="str">
        <f>IFERROR(ABS(RTD("esrtd",,Options[[#This Row],[Index]] &amp; " " &amp; Options[[#This Row],[Month]] &amp; "C" &amp; $AL9*100 &amp; "-ICE", "OldSetIV"))*100, "")</f>
        <v/>
      </c>
      <c r="AP9" s="684" t="str">
        <f>IFERROR(ABS(RTD("esrtd",,Options[[#This Row],[Index]] &amp; " " &amp; Options[[#This Row],[Month]] &amp; "C" &amp; $AL9*100 &amp; "-ICE", "Delta"))*100, "")</f>
        <v/>
      </c>
      <c r="AQ9" s="684" t="str">
        <f>IFERROR(ABS(RTD("esrtd",,Options[[#This Row],[Index]] &amp; " " &amp; Options[[#This Row],[Month]] &amp; "C" &amp; $AL9*100 &amp; "-ICE", "Market")), "")</f>
        <v/>
      </c>
      <c r="AR9" s="684" t="str">
        <f>IFERROR(ABS(RTD("esrtd",,Options[[#This Row],[Index]] &amp; " " &amp; Options[[#This Row],[Month]] &amp; "C" &amp; $AL9*100 &amp; "-ICE", "ImpVol"))*100, "")</f>
        <v/>
      </c>
      <c r="AV9" s="678"/>
      <c r="AW9" s="677"/>
      <c r="AX9" s="677"/>
    </row>
    <row r="10" spans="1:54" x14ac:dyDescent="0.25">
      <c r="A10" s="605" t="s">
        <v>145</v>
      </c>
      <c r="B10" s="602" t="str">
        <f t="shared" ref="B10:K10" si="3">B$3 &amp; B$4 &amp; " " &amp; " Comdty"</f>
        <v>COU6  Comdty</v>
      </c>
      <c r="C10" s="602" t="str">
        <f t="shared" si="3"/>
        <v>COV6  Comdty</v>
      </c>
      <c r="D10" s="602" t="str">
        <f t="shared" si="3"/>
        <v>COV6  Comdty</v>
      </c>
      <c r="E10" s="602" t="str">
        <f t="shared" si="3"/>
        <v>COQ6  Comdty</v>
      </c>
      <c r="F10" s="602" t="str">
        <f t="shared" si="3"/>
        <v>COQ6  Comdty</v>
      </c>
      <c r="G10" s="596"/>
      <c r="H10" s="605" t="s">
        <v>145</v>
      </c>
      <c r="I10" s="602" t="str">
        <f t="shared" si="3"/>
        <v>QSQ6  Comdty</v>
      </c>
      <c r="J10" s="602" t="str">
        <f t="shared" si="3"/>
        <v>QSQ6  Comdty</v>
      </c>
      <c r="K10" s="602" t="str">
        <f t="shared" si="3"/>
        <v>QSQ6  Comdty</v>
      </c>
      <c r="L10" s="596"/>
      <c r="M10" s="694" t="s">
        <v>1337</v>
      </c>
      <c r="N10" s="693" t="s">
        <v>141</v>
      </c>
      <c r="O10" s="692" t="e">
        <f>$BA$42</f>
        <v>#N/A</v>
      </c>
      <c r="P10" s="692" t="e">
        <f>BA41</f>
        <v>#N/A</v>
      </c>
      <c r="Q10" s="692" t="e">
        <f t="shared" si="0"/>
        <v>#N/A</v>
      </c>
      <c r="AB10" s="596" t="s">
        <v>119</v>
      </c>
      <c r="AC10" s="596" t="s">
        <v>1286</v>
      </c>
      <c r="AD1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" s="683" t="e">
        <f>ABS(_xll.BDP(Options[[#This Row],[P-Ticker]], "OPT_DELTA_YEST"))*100</f>
        <v>#VALUE!</v>
      </c>
      <c r="AG10" s="683" t="str">
        <f>IFERROR(ABS(RTD("esrtd",,Options[[#This Row],[Index]] &amp; " " &amp; Options[[#This Row],[Month]] &amp; "P" &amp; $AL10*100 &amp; "-ICE", "OldSettlement")), "")</f>
        <v/>
      </c>
      <c r="AH10" s="683" t="str">
        <f>IFERROR(ABS(RTD("esrtd",,Options[[#This Row],[Index]] &amp; " " &amp; Options[[#This Row],[Month]] &amp; "P" &amp; $AL10*100 &amp; "-ICE", "OldSetIV"))*100, "")</f>
        <v/>
      </c>
      <c r="AI10" s="683" t="str">
        <f>IFERROR(ABS(RTD("esrtd",,Options[[#This Row],[Index]] &amp; " " &amp; Options[[#This Row],[Month]] &amp; "P" &amp; $AL10*100 &amp; "-ICE", "Delta"))*100, "")</f>
        <v/>
      </c>
      <c r="AJ10" s="683" t="str">
        <f>IFERROR(ABS(RTD("esrtd",,Options[[#This Row],[Index]] &amp; " " &amp; Options[[#This Row],[Month]] &amp; "P" &amp; $AL10*100 &amp; "-ICE", "Market")), "")</f>
        <v/>
      </c>
      <c r="AK10" s="683" t="str">
        <f>IFERROR(ABS(RTD("esrtd",,Options[[#This Row],[Index]] &amp; " " &amp; Options[[#This Row],[Month]] &amp; "P" &amp; $AL10*100 &amp; "-ICE", "ImpVol"))*100, "")</f>
        <v/>
      </c>
      <c r="AL10" s="676" t="e">
        <f t="shared" si="1"/>
        <v>#VALUE!</v>
      </c>
      <c r="AM10" s="684" t="e">
        <f>ABS(_xll.BDP(Options[[#This Row],[C-Ticker]], "OPT_DELTA_YEST"))*100</f>
        <v>#VALUE!</v>
      </c>
      <c r="AN10" s="684" t="str">
        <f>IFERROR(ABS(RTD("esrtd",,Options[[#This Row],[Index]] &amp; " " &amp; Options[[#This Row],[Month]] &amp; "C" &amp; $AL10*100 &amp; "-ICE", "OldSettlement")), "")</f>
        <v/>
      </c>
      <c r="AO10" s="684" t="str">
        <f>IFERROR(ABS(RTD("esrtd",,Options[[#This Row],[Index]] &amp; " " &amp; Options[[#This Row],[Month]] &amp; "C" &amp; $AL10*100 &amp; "-ICE", "OldSetIV"))*100, "")</f>
        <v/>
      </c>
      <c r="AP10" s="684" t="str">
        <f>IFERROR(ABS(RTD("esrtd",,Options[[#This Row],[Index]] &amp; " " &amp; Options[[#This Row],[Month]] &amp; "C" &amp; $AL10*100 &amp; "-ICE", "Delta"))*100, "")</f>
        <v/>
      </c>
      <c r="AQ10" s="684" t="str">
        <f>IFERROR(ABS(RTD("esrtd",,Options[[#This Row],[Index]] &amp; " " &amp; Options[[#This Row],[Month]] &amp; "C" &amp; $AL10*100 &amp; "-ICE", "Market")), "")</f>
        <v/>
      </c>
      <c r="AR10" s="684" t="str">
        <f>IFERROR(ABS(RTD("esrtd",,Options[[#This Row],[Index]] &amp; " " &amp; Options[[#This Row],[Month]] &amp; "C" &amp; $AL10*100 &amp; "-ICE", "ImpVol"))*100, "")</f>
        <v/>
      </c>
      <c r="AW10" s="677"/>
      <c r="AY10" s="678"/>
      <c r="AZ10" s="678"/>
      <c r="BA10" s="677"/>
      <c r="BB10" s="677"/>
    </row>
    <row r="11" spans="1:54" x14ac:dyDescent="0.25">
      <c r="A11" s="601" t="s">
        <v>147</v>
      </c>
      <c r="B11" s="603" t="str" cm="1">
        <f t="array" ref="B11">IFERROR(ABS(_xll.BDP(B$9, "DELTA_MID_RT") * 100), "")</f>
        <v/>
      </c>
      <c r="C11" s="603" t="str" cm="1">
        <f t="array" ref="C11">IFERROR(ABS(_xll.BDP(C$9, "DELTA_MID_RT") * 100), "")</f>
        <v/>
      </c>
      <c r="D11" s="603" t="str" cm="1">
        <f t="array" ref="D11">IFERROR(ABS(_xll.BDP(D$9, "DELTA_MID_RT") * 100), "")</f>
        <v/>
      </c>
      <c r="E11" s="603" t="str" cm="1">
        <f t="array" ref="E11">IFERROR(ABS(_xll.BDP(E$9, "DELTA_MID_RT") * 100), "")</f>
        <v/>
      </c>
      <c r="F11" s="603" t="str" cm="1">
        <f t="array" ref="F11">IFERROR(ABS(_xll.BDP(F$9, "DELTA_MID_RT") * 100), "")</f>
        <v/>
      </c>
      <c r="G11" s="596"/>
      <c r="H11" s="601" t="s">
        <v>147</v>
      </c>
      <c r="I11" s="603" t="str" cm="1">
        <f t="array" ref="I11">IFERROR(ABS(_xll.BDP(I$9, "DELTA") * 100), "")</f>
        <v/>
      </c>
      <c r="J11" s="603" t="str" cm="1">
        <f t="array" ref="J11">IFERROR(ABS(_xll.BDP(J$9, "DELTA") * 100), "")</f>
        <v/>
      </c>
      <c r="K11" s="603" t="str" cm="1">
        <f t="array" ref="K11">IFERROR(ABS(_xll.BDP(K$9, "DELTA") * 100), "")</f>
        <v/>
      </c>
      <c r="L11" s="596"/>
      <c r="M11" s="694" t="s">
        <v>1337</v>
      </c>
      <c r="N11" s="693" t="s">
        <v>143</v>
      </c>
      <c r="O11" s="692" t="e">
        <f>$BA$46</f>
        <v>#N/A</v>
      </c>
      <c r="P11" s="692" t="e">
        <f>$BA$45</f>
        <v>#N/A</v>
      </c>
      <c r="Q11" s="692" t="e">
        <f t="shared" si="0"/>
        <v>#N/A</v>
      </c>
      <c r="AB11" s="596" t="s">
        <v>119</v>
      </c>
      <c r="AC11" s="596" t="s">
        <v>1286</v>
      </c>
      <c r="AD1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1" s="683" t="e">
        <f>ABS(_xll.BDP(Options[[#This Row],[P-Ticker]], "OPT_DELTA_YEST"))*100</f>
        <v>#VALUE!</v>
      </c>
      <c r="AG11" s="683" t="str">
        <f>IFERROR(ABS(RTD("esrtd",,Options[[#This Row],[Index]] &amp; " " &amp; Options[[#This Row],[Month]] &amp; "P" &amp; $AL11*100 &amp; "-ICE", "OldSettlement")), "")</f>
        <v/>
      </c>
      <c r="AH11" s="683" t="str">
        <f>IFERROR(ABS(RTD("esrtd",,Options[[#This Row],[Index]] &amp; " " &amp; Options[[#This Row],[Month]] &amp; "P" &amp; $AL11*100 &amp; "-ICE", "OldSetIV"))*100, "")</f>
        <v/>
      </c>
      <c r="AI11" s="683" t="str">
        <f>IFERROR(ABS(RTD("esrtd",,Options[[#This Row],[Index]] &amp; " " &amp; Options[[#This Row],[Month]] &amp; "P" &amp; $AL11*100 &amp; "-ICE", "Delta"))*100, "")</f>
        <v/>
      </c>
      <c r="AJ11" s="683" t="str">
        <f>IFERROR(ABS(RTD("esrtd",,Options[[#This Row],[Index]] &amp; " " &amp; Options[[#This Row],[Month]] &amp; "P" &amp; $AL11*100 &amp; "-ICE", "Market")), "")</f>
        <v/>
      </c>
      <c r="AK11" s="683" t="str">
        <f>IFERROR(ABS(RTD("esrtd",,Options[[#This Row],[Index]] &amp; " " &amp; Options[[#This Row],[Month]] &amp; "P" &amp; $AL11*100 &amp; "-ICE", "ImpVol"))*100, "")</f>
        <v/>
      </c>
      <c r="AL11" s="676" t="e">
        <f t="shared" si="1"/>
        <v>#VALUE!</v>
      </c>
      <c r="AM11" s="684" t="e">
        <f>ABS(_xll.BDP(Options[[#This Row],[C-Ticker]], "OPT_DELTA_YEST"))*100</f>
        <v>#VALUE!</v>
      </c>
      <c r="AN11" s="684" t="str">
        <f>IFERROR(ABS(RTD("esrtd",,Options[[#This Row],[Index]] &amp; " " &amp; Options[[#This Row],[Month]] &amp; "C" &amp; $AL11*100 &amp; "-ICE", "OldSettlement")), "")</f>
        <v/>
      </c>
      <c r="AO11" s="684" t="str">
        <f>IFERROR(ABS(RTD("esrtd",,Options[[#This Row],[Index]] &amp; " " &amp; Options[[#This Row],[Month]] &amp; "C" &amp; $AL11*100 &amp; "-ICE", "OldSetIV"))*100, "")</f>
        <v/>
      </c>
      <c r="AP11" s="684" t="str">
        <f>IFERROR(ABS(RTD("esrtd",,Options[[#This Row],[Index]] &amp; " " &amp; Options[[#This Row],[Month]] &amp; "C" &amp; $AL11*100 &amp; "-ICE", "Delta"))*100, "")</f>
        <v/>
      </c>
      <c r="AQ11" s="684" t="str">
        <f>IFERROR(ABS(RTD("esrtd",,Options[[#This Row],[Index]] &amp; " " &amp; Options[[#This Row],[Month]] &amp; "C" &amp; $AL11*100 &amp; "-ICE", "Market")), "")</f>
        <v/>
      </c>
      <c r="AR11" s="684" t="str">
        <f>IFERROR(ABS(RTD("esrtd",,Options[[#This Row],[Index]] &amp; " " &amp; Options[[#This Row],[Month]] &amp; "C" &amp; $AL11*100 &amp; "-ICE", "ImpVol"))*100, "")</f>
        <v/>
      </c>
      <c r="AW11" s="677"/>
      <c r="AX11" s="677"/>
      <c r="AY11" s="677"/>
      <c r="AZ11" s="678"/>
      <c r="BA11" s="677"/>
      <c r="BB11" s="677"/>
    </row>
    <row r="12" spans="1:54" x14ac:dyDescent="0.25">
      <c r="A12" s="601" t="s">
        <v>148</v>
      </c>
      <c r="B12" s="604">
        <f>IFERROR(AVERAGE(_xll.BDP(B$9, "LAST_TRADEABLE_DT")), "")</f>
        <v>46231</v>
      </c>
      <c r="C12" s="604">
        <f>IFERROR(AVERAGE(_xll.BDP(C$9, "LAST_TRADEABLE_DT")), "")</f>
        <v>46259</v>
      </c>
      <c r="D12" s="604">
        <f>IFERROR(AVERAGE(_xll.BDP(D$9, "LAST_TRADEABLE_DT")), "")</f>
        <v>46259</v>
      </c>
      <c r="E12" s="604">
        <f>IFERROR(AVERAGE(_xll.BDP(E$9, "LAST_TRADEABLE_DT")), "")</f>
        <v>46198</v>
      </c>
      <c r="F12" s="604">
        <f>IFERROR(AVERAGE(_xll.BDP(F$9, "LAST_TRADEABLE_DT")), "")</f>
        <v>46198</v>
      </c>
      <c r="G12" s="596"/>
      <c r="H12" s="601" t="s">
        <v>148</v>
      </c>
      <c r="I12" s="604">
        <f>IFERROR(AVERAGE(_xll.BDP(I$9, "LAST_TRADEABLE_DT")), "")</f>
        <v>46239</v>
      </c>
      <c r="J12" s="604">
        <f>IFERROR(AVERAGE(_xll.BDP(J$9, "LAST_TRADEABLE_DT")), "")</f>
        <v>46239</v>
      </c>
      <c r="K12" s="604">
        <f>IFERROR(AVERAGE(_xll.BDP(K$9, "LAST_TRADEABLE_DT")), "")</f>
        <v>46239</v>
      </c>
      <c r="L12" s="627"/>
      <c r="M12" s="694" t="s">
        <v>1337</v>
      </c>
      <c r="N12" s="693" t="s">
        <v>144</v>
      </c>
      <c r="O12" s="692" t="e">
        <f>O11-O10</f>
        <v>#N/A</v>
      </c>
      <c r="P12" s="692" t="e">
        <f>P11-P10</f>
        <v>#N/A</v>
      </c>
      <c r="Q12" s="692" t="e">
        <f t="shared" si="0"/>
        <v>#N/A</v>
      </c>
      <c r="AB12" s="596" t="s">
        <v>119</v>
      </c>
      <c r="AC12" s="596" t="s">
        <v>1286</v>
      </c>
      <c r="AD1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2" s="683" t="e">
        <f>ABS(_xll.BDP(Options[[#This Row],[P-Ticker]], "OPT_DELTA_YEST"))*100</f>
        <v>#VALUE!</v>
      </c>
      <c r="AG12" s="683" t="str">
        <f>IFERROR(ABS(RTD("esrtd",,Options[[#This Row],[Index]] &amp; " " &amp; Options[[#This Row],[Month]] &amp; "P" &amp; $AL12*100 &amp; "-ICE", "OldSettlement")), "")</f>
        <v/>
      </c>
      <c r="AH12" s="683" t="str">
        <f>IFERROR(ABS(RTD("esrtd",,Options[[#This Row],[Index]] &amp; " " &amp; Options[[#This Row],[Month]] &amp; "P" &amp; $AL12*100 &amp; "-ICE", "OldSetIV"))*100, "")</f>
        <v/>
      </c>
      <c r="AI12" s="683" t="str">
        <f>IFERROR(ABS(RTD("esrtd",,Options[[#This Row],[Index]] &amp; " " &amp; Options[[#This Row],[Month]] &amp; "P" &amp; $AL12*100 &amp; "-ICE", "Delta"))*100, "")</f>
        <v/>
      </c>
      <c r="AJ12" s="683" t="str">
        <f>IFERROR(ABS(RTD("esrtd",,Options[[#This Row],[Index]] &amp; " " &amp; Options[[#This Row],[Month]] &amp; "P" &amp; $AL12*100 &amp; "-ICE", "Market")), "")</f>
        <v/>
      </c>
      <c r="AK12" s="683" t="str">
        <f>IFERROR(ABS(RTD("esrtd",,Options[[#This Row],[Index]] &amp; " " &amp; Options[[#This Row],[Month]] &amp; "P" &amp; $AL12*100 &amp; "-ICE", "ImpVol"))*100, "")</f>
        <v/>
      </c>
      <c r="AL12" s="676" t="e">
        <f t="shared" si="1"/>
        <v>#VALUE!</v>
      </c>
      <c r="AM12" s="684" t="e">
        <f>ABS(_xll.BDP(Options[[#This Row],[C-Ticker]], "OPT_DELTA_YEST"))*100</f>
        <v>#VALUE!</v>
      </c>
      <c r="AN12" s="684" t="str">
        <f>IFERROR(ABS(RTD("esrtd",,Options[[#This Row],[Index]] &amp; " " &amp; Options[[#This Row],[Month]] &amp; "C" &amp; $AL12*100 &amp; "-ICE", "OldSettlement")), "")</f>
        <v/>
      </c>
      <c r="AO12" s="684" t="str">
        <f>IFERROR(ABS(RTD("esrtd",,Options[[#This Row],[Index]] &amp; " " &amp; Options[[#This Row],[Month]] &amp; "C" &amp; $AL12*100 &amp; "-ICE", "OldSetIV"))*100, "")</f>
        <v/>
      </c>
      <c r="AP12" s="684" t="str">
        <f>IFERROR(ABS(RTD("esrtd",,Options[[#This Row],[Index]] &amp; " " &amp; Options[[#This Row],[Month]] &amp; "C" &amp; $AL12*100 &amp; "-ICE", "Delta"))*100, "")</f>
        <v/>
      </c>
      <c r="AQ12" s="684" t="str">
        <f>IFERROR(ABS(RTD("esrtd",,Options[[#This Row],[Index]] &amp; " " &amp; Options[[#This Row],[Month]] &amp; "C" &amp; $AL12*100 &amp; "-ICE", "Market")), "")</f>
        <v/>
      </c>
      <c r="AR12" s="684" t="str">
        <f>IFERROR(ABS(RTD("esrtd",,Options[[#This Row],[Index]] &amp; " " &amp; Options[[#This Row],[Month]] &amp; "C" &amp; $AL12*100 &amp; "-ICE", "ImpVol"))*100, "")</f>
        <v/>
      </c>
      <c r="AW12" s="677"/>
      <c r="AX12" s="677"/>
      <c r="AY12" s="677"/>
    </row>
    <row r="13" spans="1:54" x14ac:dyDescent="0.25">
      <c r="A13" s="612"/>
      <c r="B13" s="613"/>
      <c r="C13" s="613"/>
      <c r="D13" s="613"/>
      <c r="E13" s="613"/>
      <c r="F13" s="613"/>
      <c r="G13" s="596"/>
      <c r="H13" s="612"/>
      <c r="I13" s="613"/>
      <c r="J13" s="613"/>
      <c r="K13" s="613"/>
      <c r="L13" s="627"/>
      <c r="M13" s="694" t="s">
        <v>1337</v>
      </c>
      <c r="N13" s="693" t="s">
        <v>146</v>
      </c>
      <c r="O13" s="692" t="e">
        <f>1/2*(O10 + O11) - O9</f>
        <v>#N/A</v>
      </c>
      <c r="P13" s="692" t="e">
        <f>1/2*(P10 + P11) - P9</f>
        <v>#N/A</v>
      </c>
      <c r="Q13" s="692" t="e">
        <f t="shared" si="0"/>
        <v>#N/A</v>
      </c>
      <c r="AB13" s="596" t="s">
        <v>119</v>
      </c>
      <c r="AC13" s="596" t="s">
        <v>1286</v>
      </c>
      <c r="AD1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3" s="683" t="e">
        <f>ABS(_xll.BDP(Options[[#This Row],[P-Ticker]], "OPT_DELTA_YEST"))*100</f>
        <v>#VALUE!</v>
      </c>
      <c r="AG13" s="683" t="str">
        <f>IFERROR(ABS(RTD("esrtd",,Options[[#This Row],[Index]] &amp; " " &amp; Options[[#This Row],[Month]] &amp; "P" &amp; $AL13*100 &amp; "-ICE", "OldSettlement")), "")</f>
        <v/>
      </c>
      <c r="AH13" s="683" t="str">
        <f>IFERROR(ABS(RTD("esrtd",,Options[[#This Row],[Index]] &amp; " " &amp; Options[[#This Row],[Month]] &amp; "P" &amp; $AL13*100 &amp; "-ICE", "OldSetIV"))*100, "")</f>
        <v/>
      </c>
      <c r="AI13" s="683" t="str">
        <f>IFERROR(ABS(RTD("esrtd",,Options[[#This Row],[Index]] &amp; " " &amp; Options[[#This Row],[Month]] &amp; "P" &amp; $AL13*100 &amp; "-ICE", "Delta"))*100, "")</f>
        <v/>
      </c>
      <c r="AJ13" s="683" t="str">
        <f>IFERROR(ABS(RTD("esrtd",,Options[[#This Row],[Index]] &amp; " " &amp; Options[[#This Row],[Month]] &amp; "P" &amp; $AL13*100 &amp; "-ICE", "Market")), "")</f>
        <v/>
      </c>
      <c r="AK13" s="683" t="str">
        <f>IFERROR(ABS(RTD("esrtd",,Options[[#This Row],[Index]] &amp; " " &amp; Options[[#This Row],[Month]] &amp; "P" &amp; $AL13*100 &amp; "-ICE", "ImpVol"))*100, "")</f>
        <v/>
      </c>
      <c r="AL13" s="676" t="e">
        <f t="shared" si="1"/>
        <v>#VALUE!</v>
      </c>
      <c r="AM13" s="684" t="e">
        <f>ABS(_xll.BDP(Options[[#This Row],[C-Ticker]], "OPT_DELTA_YEST"))*100</f>
        <v>#VALUE!</v>
      </c>
      <c r="AN13" s="684" t="str">
        <f>IFERROR(ABS(RTD("esrtd",,Options[[#This Row],[Index]] &amp; " " &amp; Options[[#This Row],[Month]] &amp; "C" &amp; $AL13*100 &amp; "-ICE", "OldSettlement")), "")</f>
        <v/>
      </c>
      <c r="AO13" s="684" t="str">
        <f>IFERROR(ABS(RTD("esrtd",,Options[[#This Row],[Index]] &amp; " " &amp; Options[[#This Row],[Month]] &amp; "C" &amp; $AL13*100 &amp; "-ICE", "OldSetIV"))*100, "")</f>
        <v/>
      </c>
      <c r="AP13" s="684" t="str">
        <f>IFERROR(ABS(RTD("esrtd",,Options[[#This Row],[Index]] &amp; " " &amp; Options[[#This Row],[Month]] &amp; "C" &amp; $AL13*100 &amp; "-ICE", "Delta"))*100, "")</f>
        <v/>
      </c>
      <c r="AQ13" s="684" t="str">
        <f>IFERROR(ABS(RTD("esrtd",,Options[[#This Row],[Index]] &amp; " " &amp; Options[[#This Row],[Month]] &amp; "C" &amp; $AL13*100 &amp; "-ICE", "Market")), "")</f>
        <v/>
      </c>
      <c r="AR13" s="684" t="str">
        <f>IFERROR(ABS(RTD("esrtd",,Options[[#This Row],[Index]] &amp; " " &amp; Options[[#This Row],[Month]] &amp; "C" &amp; $AL13*100 &amp; "-ICE", "ImpVol"))*100, "")</f>
        <v/>
      </c>
      <c r="AY13" s="677"/>
    </row>
    <row r="14" spans="1:54" x14ac:dyDescent="0.25">
      <c r="A14" s="600" t="s">
        <v>109</v>
      </c>
      <c r="B14" s="619"/>
      <c r="C14" s="618"/>
      <c r="D14" s="618"/>
      <c r="E14" s="618"/>
      <c r="F14" s="616"/>
      <c r="G14" s="596"/>
      <c r="H14" s="600" t="s">
        <v>109</v>
      </c>
      <c r="I14" s="619"/>
      <c r="J14" s="618"/>
      <c r="K14" s="618"/>
      <c r="L14" s="627"/>
      <c r="M14" s="694" t="s">
        <v>1396</v>
      </c>
      <c r="N14" s="693" t="s">
        <v>63</v>
      </c>
      <c r="O14" s="692" t="e">
        <f>$AY$71</f>
        <v>#VALUE!</v>
      </c>
      <c r="P14" s="692" t="e">
        <f>AVERAGE($AY$71:$AY$72)</f>
        <v>#VALUE!</v>
      </c>
      <c r="Q14" s="692" t="e">
        <f t="shared" si="0"/>
        <v>#VALUE!</v>
      </c>
      <c r="AB14" s="596" t="s">
        <v>119</v>
      </c>
      <c r="AC14" s="596" t="s">
        <v>1286</v>
      </c>
      <c r="AD1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" s="683" t="e">
        <f>ABS(_xll.BDP(Options[[#This Row],[P-Ticker]], "OPT_DELTA_YEST"))*100</f>
        <v>#VALUE!</v>
      </c>
      <c r="AG14" s="683" t="str">
        <f>IFERROR(ABS(RTD("esrtd",,Options[[#This Row],[Index]] &amp; " " &amp; Options[[#This Row],[Month]] &amp; "P" &amp; $AL14*100 &amp; "-ICE", "OldSettlement")), "")</f>
        <v/>
      </c>
      <c r="AH14" s="683" t="str">
        <f>IFERROR(ABS(RTD("esrtd",,Options[[#This Row],[Index]] &amp; " " &amp; Options[[#This Row],[Month]] &amp; "P" &amp; $AL14*100 &amp; "-ICE", "OldSetIV"))*100, "")</f>
        <v/>
      </c>
      <c r="AI14" s="683" t="str">
        <f>IFERROR(ABS(RTD("esrtd",,Options[[#This Row],[Index]] &amp; " " &amp; Options[[#This Row],[Month]] &amp; "P" &amp; $AL14*100 &amp; "-ICE", "Delta"))*100, "")</f>
        <v/>
      </c>
      <c r="AJ14" s="683" t="str">
        <f>IFERROR(ABS(RTD("esrtd",,Options[[#This Row],[Index]] &amp; " " &amp; Options[[#This Row],[Month]] &amp; "P" &amp; $AL14*100 &amp; "-ICE", "Market")), "")</f>
        <v/>
      </c>
      <c r="AK14" s="683" t="str">
        <f>IFERROR(ABS(RTD("esrtd",,Options[[#This Row],[Index]] &amp; " " &amp; Options[[#This Row],[Month]] &amp; "P" &amp; $AL14*100 &amp; "-ICE", "ImpVol"))*100, "")</f>
        <v/>
      </c>
      <c r="AL14" s="676" t="e">
        <f t="shared" si="1"/>
        <v>#VALUE!</v>
      </c>
      <c r="AM14" s="684" t="e">
        <f>ABS(_xll.BDP(Options[[#This Row],[C-Ticker]], "OPT_DELTA_YEST"))*100</f>
        <v>#VALUE!</v>
      </c>
      <c r="AN14" s="684" t="str">
        <f>IFERROR(ABS(RTD("esrtd",,Options[[#This Row],[Index]] &amp; " " &amp; Options[[#This Row],[Month]] &amp; "C" &amp; $AL14*100 &amp; "-ICE", "OldSettlement")), "")</f>
        <v/>
      </c>
      <c r="AO14" s="684" t="str">
        <f>IFERROR(ABS(RTD("esrtd",,Options[[#This Row],[Index]] &amp; " " &amp; Options[[#This Row],[Month]] &amp; "C" &amp; $AL14*100 &amp; "-ICE", "OldSetIV"))*100, "")</f>
        <v/>
      </c>
      <c r="AP14" s="684" t="str">
        <f>IFERROR(ABS(RTD("esrtd",,Options[[#This Row],[Index]] &amp; " " &amp; Options[[#This Row],[Month]] &amp; "C" &amp; $AL14*100 &amp; "-ICE", "Delta"))*100, "")</f>
        <v/>
      </c>
      <c r="AQ14" s="684" t="str">
        <f>IFERROR(ABS(RTD("esrtd",,Options[[#This Row],[Index]] &amp; " " &amp; Options[[#This Row],[Month]] &amp; "C" &amp; $AL14*100 &amp; "-ICE", "Market")), "")</f>
        <v/>
      </c>
      <c r="AR14" s="684" t="str">
        <f>IFERROR(ABS(RTD("esrtd",,Options[[#This Row],[Index]] &amp; " " &amp; Options[[#This Row],[Month]] &amp; "C" &amp; $AL14*100 &amp; "-ICE", "ImpVol"))*100, "")</f>
        <v/>
      </c>
      <c r="AY14" s="677"/>
      <c r="AZ14" s="677"/>
      <c r="BA14" s="677"/>
      <c r="BB14" s="677"/>
    </row>
    <row r="15" spans="1:54" x14ac:dyDescent="0.25">
      <c r="A15" s="620" t="s">
        <v>149</v>
      </c>
      <c r="B15" s="621"/>
      <c r="C15" s="621"/>
      <c r="D15" s="621"/>
      <c r="E15" s="621"/>
      <c r="F15" s="622"/>
      <c r="G15" s="596"/>
      <c r="H15" s="620" t="s">
        <v>149</v>
      </c>
      <c r="I15" s="720" t="s">
        <v>149</v>
      </c>
      <c r="J15" s="720" t="s">
        <v>149</v>
      </c>
      <c r="K15" s="720" t="s">
        <v>149</v>
      </c>
      <c r="L15" s="627"/>
      <c r="M15" s="694" t="s">
        <v>1396</v>
      </c>
      <c r="N15" s="693" t="s">
        <v>141</v>
      </c>
      <c r="O15" s="692" t="e">
        <f>$BA$62</f>
        <v>#N/A</v>
      </c>
      <c r="P15" s="692" t="e">
        <f>$BA$61</f>
        <v>#N/A</v>
      </c>
      <c r="Q15" s="692" t="e">
        <f t="shared" si="0"/>
        <v>#N/A</v>
      </c>
      <c r="AB15" s="596" t="s">
        <v>119</v>
      </c>
      <c r="AC15" s="596" t="s">
        <v>1286</v>
      </c>
      <c r="AD1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" s="683" t="e">
        <f>ABS(_xll.BDP(Options[[#This Row],[P-Ticker]], "OPT_DELTA_YEST"))*100</f>
        <v>#VALUE!</v>
      </c>
      <c r="AG15" s="683" t="str">
        <f>IFERROR(ABS(RTD("esrtd",,Options[[#This Row],[Index]] &amp; " " &amp; Options[[#This Row],[Month]] &amp; "P" &amp; $AL15*100 &amp; "-ICE", "OldSettlement")), "")</f>
        <v/>
      </c>
      <c r="AH15" s="683" t="str">
        <f>IFERROR(ABS(RTD("esrtd",,Options[[#This Row],[Index]] &amp; " " &amp; Options[[#This Row],[Month]] &amp; "P" &amp; $AL15*100 &amp; "-ICE", "OldSetIV"))*100, "")</f>
        <v/>
      </c>
      <c r="AI15" s="683" t="str">
        <f>IFERROR(ABS(RTD("esrtd",,Options[[#This Row],[Index]] &amp; " " &amp; Options[[#This Row],[Month]] &amp; "P" &amp; $AL15*100 &amp; "-ICE", "Delta"))*100, "")</f>
        <v/>
      </c>
      <c r="AJ15" s="683" t="str">
        <f>IFERROR(ABS(RTD("esrtd",,Options[[#This Row],[Index]] &amp; " " &amp; Options[[#This Row],[Month]] &amp; "P" &amp; $AL15*100 &amp; "-ICE", "Market")), "")</f>
        <v/>
      </c>
      <c r="AK15" s="683" t="str">
        <f>IFERROR(ABS(RTD("esrtd",,Options[[#This Row],[Index]] &amp; " " &amp; Options[[#This Row],[Month]] &amp; "P" &amp; $AL15*100 &amp; "-ICE", "ImpVol"))*100, "")</f>
        <v/>
      </c>
      <c r="AL15" s="676" t="e">
        <f t="shared" si="1"/>
        <v>#VALUE!</v>
      </c>
      <c r="AM15" s="684" t="e">
        <f>ABS(_xll.BDP(Options[[#This Row],[C-Ticker]], "OPT_DELTA_YEST"))*100</f>
        <v>#VALUE!</v>
      </c>
      <c r="AN15" s="684" t="str">
        <f>IFERROR(ABS(RTD("esrtd",,Options[[#This Row],[Index]] &amp; " " &amp; Options[[#This Row],[Month]] &amp; "C" &amp; $AL15*100 &amp; "-ICE", "OldSettlement")), "")</f>
        <v/>
      </c>
      <c r="AO15" s="684" t="str">
        <f>IFERROR(ABS(RTD("esrtd",,Options[[#This Row],[Index]] &amp; " " &amp; Options[[#This Row],[Month]] &amp; "C" &amp; $AL15*100 &amp; "-ICE", "OldSetIV"))*100, "")</f>
        <v/>
      </c>
      <c r="AP15" s="684" t="str">
        <f>IFERROR(ABS(RTD("esrtd",,Options[[#This Row],[Index]] &amp; " " &amp; Options[[#This Row],[Month]] &amp; "C" &amp; $AL15*100 &amp; "-ICE", "Delta"))*100, "")</f>
        <v/>
      </c>
      <c r="AQ15" s="684" t="str">
        <f>IFERROR(ABS(RTD("esrtd",,Options[[#This Row],[Index]] &amp; " " &amp; Options[[#This Row],[Month]] &amp; "C" &amp; $AL15*100 &amp; "-ICE", "Market")), "")</f>
        <v/>
      </c>
      <c r="AR15" s="684" t="str">
        <f>IFERROR(ABS(RTD("esrtd",,Options[[#This Row],[Index]] &amp; " " &amp; Options[[#This Row],[Month]] &amp; "C" &amp; $AL15*100 &amp; "-ICE", "ImpVol"))*100, "")</f>
        <v/>
      </c>
      <c r="AW15" s="677"/>
      <c r="AX15" s="677"/>
      <c r="AY15" s="677"/>
      <c r="BB15" s="677"/>
    </row>
    <row r="16" spans="1:54" x14ac:dyDescent="0.25">
      <c r="A16" s="605" t="s">
        <v>151</v>
      </c>
      <c r="B16" s="606" t="str">
        <f>IF(B$5="P",INDEX(Options[],MATCH(B$9,Options[P-Ticker],0),MATCH("P-Settle",Options[#Headers],0)),INDEX(Options[],MATCH(B$9,Options[C-Ticker],0),MATCH("C-Settle",Options[#Headers],0)))</f>
        <v/>
      </c>
      <c r="C16" s="606" t="str">
        <f>IF(C$5="P",INDEX(Options[],MATCH(C$9,Options[P-Ticker],0),MATCH("P-Settle",Options[#Headers],0)),INDEX(Options[],MATCH(C$9,Options[C-Ticker],0),MATCH("C-Settle",Options[#Headers],0)))</f>
        <v/>
      </c>
      <c r="D16" s="606" t="str">
        <f>IF(D$5="P",INDEX(Options[],MATCH(D$9,Options[P-Ticker],0),MATCH("P-Settle",Options[#Headers],0)),INDEX(Options[],MATCH(D$9,Options[C-Ticker],0),MATCH("C-Settle",Options[#Headers],0)))</f>
        <v/>
      </c>
      <c r="E16" s="606" t="str">
        <f>IF(E$5="P",INDEX(Options[],MATCH(E$9,Options[P-Ticker],0),MATCH("P-Settle",Options[#Headers],0)),INDEX(Options[],MATCH(E$9,Options[C-Ticker],0),MATCH("C-Settle",Options[#Headers],0)))</f>
        <v/>
      </c>
      <c r="F16" s="606" t="e">
        <f>IF(F$5="P",INDEX(Options[],MATCH(F$9,Options[P-Ticker],0),MATCH("P-Settle",Options[#Headers],0)),INDEX(Options[],MATCH(F$9,Options[C-Ticker],0),MATCH("C-Settle",Options[#Headers],0)))</f>
        <v>#N/A</v>
      </c>
      <c r="G16" s="596"/>
      <c r="H16" s="605" t="s">
        <v>1333</v>
      </c>
      <c r="I16" s="606" t="str">
        <f>IFERROR(ABS(RTD("esrtd",,"GAS" &amp; " " &amp; "26Q" &amp; "C" &amp; "130000" &amp; "-ICE", "OldSettlement")), "")</f>
        <v/>
      </c>
      <c r="J16" s="606" t="str">
        <f>IFERROR(ABS(RTD("esrtd",,"GAS" &amp; " " &amp; "26Q" &amp; "C" &amp; "150000" &amp; "-ICE", "OldSettlement")), "")</f>
        <v/>
      </c>
      <c r="K16" s="606" t="str">
        <f>IFERROR(ABS(RTD("esrtd",,"GAS" &amp; " " &amp; "26Q" &amp; "C" &amp; "200000" &amp; "-ICE", "OldSettlement")), "")</f>
        <v/>
      </c>
      <c r="L16" s="627"/>
      <c r="M16" s="694" t="s">
        <v>1396</v>
      </c>
      <c r="N16" s="693" t="s">
        <v>143</v>
      </c>
      <c r="O16" s="692" t="e">
        <f>$BA$66</f>
        <v>#N/A</v>
      </c>
      <c r="P16" s="692" t="e">
        <f>$BA$65</f>
        <v>#N/A</v>
      </c>
      <c r="Q16" s="692" t="e">
        <f t="shared" si="0"/>
        <v>#N/A</v>
      </c>
      <c r="AB16" s="596" t="s">
        <v>119</v>
      </c>
      <c r="AC16" s="596" t="s">
        <v>1286</v>
      </c>
      <c r="AD1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" s="683" t="e">
        <f>ABS(_xll.BDP(Options[[#This Row],[P-Ticker]], "OPT_DELTA_YEST"))*100</f>
        <v>#VALUE!</v>
      </c>
      <c r="AG16" s="683" t="str">
        <f>IFERROR(ABS(RTD("esrtd",,Options[[#This Row],[Index]] &amp; " " &amp; Options[[#This Row],[Month]] &amp; "P" &amp; $AL16*100 &amp; "-ICE", "OldSettlement")), "")</f>
        <v/>
      </c>
      <c r="AH16" s="683" t="str">
        <f>IFERROR(ABS(RTD("esrtd",,Options[[#This Row],[Index]] &amp; " " &amp; Options[[#This Row],[Month]] &amp; "P" &amp; $AL16*100 &amp; "-ICE", "OldSetIV"))*100, "")</f>
        <v/>
      </c>
      <c r="AI16" s="683" t="str">
        <f>IFERROR(ABS(RTD("esrtd",,Options[[#This Row],[Index]] &amp; " " &amp; Options[[#This Row],[Month]] &amp; "P" &amp; $AL16*100 &amp; "-ICE", "Delta"))*100, "")</f>
        <v/>
      </c>
      <c r="AJ16" s="683" t="str">
        <f>IFERROR(ABS(RTD("esrtd",,Options[[#This Row],[Index]] &amp; " " &amp; Options[[#This Row],[Month]] &amp; "P" &amp; $AL16*100 &amp; "-ICE", "Market")), "")</f>
        <v/>
      </c>
      <c r="AK16" s="683" t="str">
        <f>IFERROR(ABS(RTD("esrtd",,Options[[#This Row],[Index]] &amp; " " &amp; Options[[#This Row],[Month]] &amp; "P" &amp; $AL16*100 &amp; "-ICE", "ImpVol"))*100, "")</f>
        <v/>
      </c>
      <c r="AL16" s="676" t="e">
        <f t="shared" si="1"/>
        <v>#VALUE!</v>
      </c>
      <c r="AM16" s="684" t="e">
        <f>ABS(_xll.BDP(Options[[#This Row],[C-Ticker]], "OPT_DELTA_YEST"))*100</f>
        <v>#VALUE!</v>
      </c>
      <c r="AN16" s="684" t="str">
        <f>IFERROR(ABS(RTD("esrtd",,Options[[#This Row],[Index]] &amp; " " &amp; Options[[#This Row],[Month]] &amp; "C" &amp; $AL16*100 &amp; "-ICE", "OldSettlement")), "")</f>
        <v/>
      </c>
      <c r="AO16" s="684" t="str">
        <f>IFERROR(ABS(RTD("esrtd",,Options[[#This Row],[Index]] &amp; " " &amp; Options[[#This Row],[Month]] &amp; "C" &amp; $AL16*100 &amp; "-ICE", "OldSetIV"))*100, "")</f>
        <v/>
      </c>
      <c r="AP16" s="684" t="str">
        <f>IFERROR(ABS(RTD("esrtd",,Options[[#This Row],[Index]] &amp; " " &amp; Options[[#This Row],[Month]] &amp; "C" &amp; $AL16*100 &amp; "-ICE", "Delta"))*100, "")</f>
        <v/>
      </c>
      <c r="AQ16" s="684" t="str">
        <f>IFERROR(ABS(RTD("esrtd",,Options[[#This Row],[Index]] &amp; " " &amp; Options[[#This Row],[Month]] &amp; "C" &amp; $AL16*100 &amp; "-ICE", "Market")), "")</f>
        <v/>
      </c>
      <c r="AR16" s="684" t="str">
        <f>IFERROR(ABS(RTD("esrtd",,Options[[#This Row],[Index]] &amp; " " &amp; Options[[#This Row],[Month]] &amp; "C" &amp; $AL16*100 &amp; "-ICE", "ImpVol"))*100, "")</f>
        <v/>
      </c>
      <c r="AW16" s="677"/>
      <c r="AX16" s="677"/>
      <c r="AY16" s="677"/>
      <c r="AZ16" s="677"/>
      <c r="BA16" s="677"/>
      <c r="BB16" s="677"/>
    </row>
    <row r="17" spans="1:55" x14ac:dyDescent="0.25">
      <c r="A17" s="605" t="s">
        <v>152</v>
      </c>
      <c r="B17" s="602" t="str" cm="1">
        <f t="array" ref="B17">_xll.BDH(B$10, "PX_SETTLE", "-1AD", "-1AD", "fill=previous", "days=a")</f>
        <v>#N/A N/A</v>
      </c>
      <c r="C17" s="602" cm="1">
        <f t="array" ref="C17">_xll.BDH(C$10, "PX_SETTLE", "-1AD", "-1AD", "fill=previous", "days=a")</f>
        <v>89.31</v>
      </c>
      <c r="D17" s="602" cm="1">
        <f t="array" ref="D17">_xll.BDH(D$10, "PX_SETTLE", "-1AD", "-1AD", "fill=previous", "days=a")</f>
        <v>89.31</v>
      </c>
      <c r="E17" s="602" t="str" cm="1">
        <f t="array" ref="E17">_xll.BDH(E$10, "PX_SETTLE", "-1AD", "-1AD", "fill=previous", "days=a")</f>
        <v>#N/A N/A</v>
      </c>
      <c r="F17" s="602" t="str" cm="1">
        <f t="array" ref="F17">_xll.BDH(F$10, "PX_SETTLE", "-1AD", "-1AD", "fill=previous", "days=a")</f>
        <v>#N/A N/A</v>
      </c>
      <c r="G17" s="596"/>
      <c r="H17" s="605" t="s">
        <v>1300</v>
      </c>
      <c r="I17" s="719" cm="1">
        <f t="array" ref="I17">_xll.BDH(I$10, "PX_SETTLE", "-1AD", "-1AD", "fill=previous", "days=a")</f>
        <v>1324.5</v>
      </c>
      <c r="J17" s="719" cm="1">
        <f t="array" ref="J17">_xll.BDH(J$10, "PX_SETTLE", "-1AD", "-1AD", "fill=previous", "days=a")</f>
        <v>1324.5</v>
      </c>
      <c r="K17" s="719" cm="1">
        <f t="array" ref="K17">_xll.BDH(K$10, "PX_SETTLE", "-1AD", "-1AD", "fill=previous", "days=a")</f>
        <v>1324.5</v>
      </c>
      <c r="L17" s="626"/>
      <c r="M17" s="694" t="s">
        <v>1396</v>
      </c>
      <c r="N17" s="693" t="s">
        <v>144</v>
      </c>
      <c r="O17" s="692" t="e">
        <f>O16-O15</f>
        <v>#N/A</v>
      </c>
      <c r="P17" s="692" t="e">
        <f>P16-P15</f>
        <v>#N/A</v>
      </c>
      <c r="Q17" s="692" t="e">
        <f t="shared" si="0"/>
        <v>#N/A</v>
      </c>
      <c r="AB17" s="596" t="s">
        <v>119</v>
      </c>
      <c r="AC17" s="596" t="s">
        <v>1286</v>
      </c>
      <c r="AD1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" s="683" t="e">
        <f>ABS(_xll.BDP(Options[[#This Row],[P-Ticker]], "OPT_DELTA_YEST"))*100</f>
        <v>#VALUE!</v>
      </c>
      <c r="AG17" s="683" t="str">
        <f>IFERROR(ABS(RTD("esrtd",,Options[[#This Row],[Index]] &amp; " " &amp; Options[[#This Row],[Month]] &amp; "P" &amp; $AL17*100 &amp; "-ICE", "OldSettlement")), "")</f>
        <v/>
      </c>
      <c r="AH17" s="683" t="str">
        <f>IFERROR(ABS(RTD("esrtd",,Options[[#This Row],[Index]] &amp; " " &amp; Options[[#This Row],[Month]] &amp; "P" &amp; $AL17*100 &amp; "-ICE", "OldSetIV"))*100, "")</f>
        <v/>
      </c>
      <c r="AI17" s="683" t="str">
        <f>IFERROR(ABS(RTD("esrtd",,Options[[#This Row],[Index]] &amp; " " &amp; Options[[#This Row],[Month]] &amp; "P" &amp; $AL17*100 &amp; "-ICE", "Delta"))*100, "")</f>
        <v/>
      </c>
      <c r="AJ17" s="683" t="str">
        <f>IFERROR(ABS(RTD("esrtd",,Options[[#This Row],[Index]] &amp; " " &amp; Options[[#This Row],[Month]] &amp; "P" &amp; $AL17*100 &amp; "-ICE", "Market")), "")</f>
        <v/>
      </c>
      <c r="AK17" s="683" t="str">
        <f>IFERROR(ABS(RTD("esrtd",,Options[[#This Row],[Index]] &amp; " " &amp; Options[[#This Row],[Month]] &amp; "P" &amp; $AL17*100 &amp; "-ICE", "ImpVol"))*100, "")</f>
        <v/>
      </c>
      <c r="AL17" s="676" t="e">
        <f t="shared" si="1"/>
        <v>#VALUE!</v>
      </c>
      <c r="AM17" s="684" t="e">
        <f>ABS(_xll.BDP(Options[[#This Row],[C-Ticker]], "OPT_DELTA_YEST"))*100</f>
        <v>#VALUE!</v>
      </c>
      <c r="AN17" s="684" t="str">
        <f>IFERROR(ABS(RTD("esrtd",,Options[[#This Row],[Index]] &amp; " " &amp; Options[[#This Row],[Month]] &amp; "C" &amp; $AL17*100 &amp; "-ICE", "OldSettlement")), "")</f>
        <v/>
      </c>
      <c r="AO17" s="684" t="str">
        <f>IFERROR(ABS(RTD("esrtd",,Options[[#This Row],[Index]] &amp; " " &amp; Options[[#This Row],[Month]] &amp; "C" &amp; $AL17*100 &amp; "-ICE", "OldSetIV"))*100, "")</f>
        <v/>
      </c>
      <c r="AP17" s="684" t="str">
        <f>IFERROR(ABS(RTD("esrtd",,Options[[#This Row],[Index]] &amp; " " &amp; Options[[#This Row],[Month]] &amp; "C" &amp; $AL17*100 &amp; "-ICE", "Delta"))*100, "")</f>
        <v/>
      </c>
      <c r="AQ17" s="684" t="str">
        <f>IFERROR(ABS(RTD("esrtd",,Options[[#This Row],[Index]] &amp; " " &amp; Options[[#This Row],[Month]] &amp; "C" &amp; $AL17*100 &amp; "-ICE", "Market")), "")</f>
        <v/>
      </c>
      <c r="AR17" s="684" t="str">
        <f>IFERROR(ABS(RTD("esrtd",,Options[[#This Row],[Index]] &amp; " " &amp; Options[[#This Row],[Month]] &amp; "C" &amp; $AL17*100 &amp; "-ICE", "ImpVol"))*100, "")</f>
        <v/>
      </c>
      <c r="BA17" s="677"/>
      <c r="BB17" s="677"/>
    </row>
    <row r="18" spans="1:55" x14ac:dyDescent="0.25">
      <c r="A18" s="605" t="s">
        <v>153</v>
      </c>
      <c r="B18" s="607">
        <f ca="1">IFERROR((B$12 - WORKDAY(TODAY(), -1))/365, "")</f>
        <v>-9.5890410958904104E-2</v>
      </c>
      <c r="C18" s="607">
        <f ca="1">IFERROR((C$12 - WORKDAY(TODAY(), -1))/365, "")</f>
        <v>-1.9178082191780823E-2</v>
      </c>
      <c r="D18" s="607">
        <f ca="1">IFERROR((D$12 - WORKDAY(TODAY(), -1))/365, "")</f>
        <v>-1.9178082191780823E-2</v>
      </c>
      <c r="E18" s="607">
        <f ca="1">IFERROR((E$12 - WORKDAY(TODAY(), -1))/365, "")</f>
        <v>-0.18630136986301371</v>
      </c>
      <c r="F18" s="607">
        <f ca="1">IFERROR((F$12 - WORKDAY(TODAY(), -1))/365, "")</f>
        <v>-0.18630136986301371</v>
      </c>
      <c r="G18" s="596"/>
      <c r="H18" s="605" t="s">
        <v>1327</v>
      </c>
      <c r="I18" s="607">
        <f ca="1">IFERROR((I$12 - WORKDAY(TODAY(), -1))/365, "")</f>
        <v>-7.3972602739726029E-2</v>
      </c>
      <c r="J18" s="607">
        <f ca="1">IFERROR((J$12 - WORKDAY(TODAY(), -1))/365, "")</f>
        <v>-7.3972602739726029E-2</v>
      </c>
      <c r="K18" s="607">
        <f ca="1">IFERROR((K$12 - WORKDAY(TODAY(), -1))/365, "")</f>
        <v>-7.3972602739726029E-2</v>
      </c>
      <c r="L18" s="627"/>
      <c r="M18" s="694" t="s">
        <v>1396</v>
      </c>
      <c r="N18" s="693" t="s">
        <v>146</v>
      </c>
      <c r="O18" s="692" t="e">
        <f>1/2*(O15 + O16) - O14</f>
        <v>#N/A</v>
      </c>
      <c r="P18" s="692" t="e">
        <f>1/2*(P15 + P16) - P14</f>
        <v>#N/A</v>
      </c>
      <c r="Q18" s="692" t="e">
        <f t="shared" si="0"/>
        <v>#N/A</v>
      </c>
      <c r="AB18" s="596" t="s">
        <v>119</v>
      </c>
      <c r="AC18" s="596" t="s">
        <v>1286</v>
      </c>
      <c r="AD1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8" s="683" t="e">
        <f>ABS(_xll.BDP(Options[[#This Row],[P-Ticker]], "OPT_DELTA_YEST"))*100</f>
        <v>#VALUE!</v>
      </c>
      <c r="AG18" s="683" t="str">
        <f>IFERROR(ABS(RTD("esrtd",,Options[[#This Row],[Index]] &amp; " " &amp; Options[[#This Row],[Month]] &amp; "P" &amp; $AL18*100 &amp; "-ICE", "OldSettlement")), "")</f>
        <v/>
      </c>
      <c r="AH18" s="683" t="str">
        <f>IFERROR(ABS(RTD("esrtd",,Options[[#This Row],[Index]] &amp; " " &amp; Options[[#This Row],[Month]] &amp; "P" &amp; $AL18*100 &amp; "-ICE", "OldSetIV"))*100, "")</f>
        <v/>
      </c>
      <c r="AI18" s="683" t="str">
        <f>IFERROR(ABS(RTD("esrtd",,Options[[#This Row],[Index]] &amp; " " &amp; Options[[#This Row],[Month]] &amp; "P" &amp; $AL18*100 &amp; "-ICE", "Delta"))*100, "")</f>
        <v/>
      </c>
      <c r="AJ18" s="683" t="str">
        <f>IFERROR(ABS(RTD("esrtd",,Options[[#This Row],[Index]] &amp; " " &amp; Options[[#This Row],[Month]] &amp; "P" &amp; $AL18*100 &amp; "-ICE", "Market")), "")</f>
        <v/>
      </c>
      <c r="AK18" s="683" t="str">
        <f>IFERROR(ABS(RTD("esrtd",,Options[[#This Row],[Index]] &amp; " " &amp; Options[[#This Row],[Month]] &amp; "P" &amp; $AL18*100 &amp; "-ICE", "ImpVol"))*100, "")</f>
        <v/>
      </c>
      <c r="AL18" s="676" t="e">
        <f t="shared" si="1"/>
        <v>#VALUE!</v>
      </c>
      <c r="AM18" s="684" t="e">
        <f>ABS(_xll.BDP(Options[[#This Row],[C-Ticker]], "OPT_DELTA_YEST"))*100</f>
        <v>#VALUE!</v>
      </c>
      <c r="AN18" s="684" t="str">
        <f>IFERROR(ABS(RTD("esrtd",,Options[[#This Row],[Index]] &amp; " " &amp; Options[[#This Row],[Month]] &amp; "C" &amp; $AL18*100 &amp; "-ICE", "OldSettlement")), "")</f>
        <v/>
      </c>
      <c r="AO18" s="684" t="str">
        <f>IFERROR(ABS(RTD("esrtd",,Options[[#This Row],[Index]] &amp; " " &amp; Options[[#This Row],[Month]] &amp; "C" &amp; $AL18*100 &amp; "-ICE", "OldSetIV"))*100, "")</f>
        <v/>
      </c>
      <c r="AP18" s="684" t="str">
        <f>IFERROR(ABS(RTD("esrtd",,Options[[#This Row],[Index]] &amp; " " &amp; Options[[#This Row],[Month]] &amp; "C" &amp; $AL18*100 &amp; "-ICE", "Delta"))*100, "")</f>
        <v/>
      </c>
      <c r="AQ18" s="684" t="str">
        <f>IFERROR(ABS(RTD("esrtd",,Options[[#This Row],[Index]] &amp; " " &amp; Options[[#This Row],[Month]] &amp; "C" &amp; $AL18*100 &amp; "-ICE", "Market")), "")</f>
        <v/>
      </c>
      <c r="AR18" s="684" t="str">
        <f>IFERROR(ABS(RTD("esrtd",,Options[[#This Row],[Index]] &amp; " " &amp; Options[[#This Row],[Month]] &amp; "C" &amp; $AL18*100 &amp; "-ICE", "ImpVol"))*100, "")</f>
        <v/>
      </c>
      <c r="AZ18" s="677"/>
      <c r="BA18" s="677"/>
      <c r="BB18" s="677"/>
    </row>
    <row r="19" spans="1:55" x14ac:dyDescent="0.25">
      <c r="A19" s="601" t="s">
        <v>154</v>
      </c>
      <c r="B19" s="623" t="e">
        <f>B$17 * 1000</f>
        <v>#VALUE!</v>
      </c>
      <c r="C19" s="623">
        <f>C$17 * 1000</f>
        <v>89310</v>
      </c>
      <c r="D19" s="623">
        <f>D$17 * 1000</f>
        <v>89310</v>
      </c>
      <c r="E19" s="623" t="e">
        <f>E$17 * 1000</f>
        <v>#VALUE!</v>
      </c>
      <c r="F19" s="623" t="e">
        <f>F$17 * 1000</f>
        <v>#VALUE!</v>
      </c>
      <c r="G19" s="596"/>
      <c r="H19" s="601" t="s">
        <v>1328</v>
      </c>
      <c r="I19" s="623">
        <f>I$17 * 100</f>
        <v>132450</v>
      </c>
      <c r="J19" s="623">
        <f>J$17 * 100</f>
        <v>132450</v>
      </c>
      <c r="K19" s="623">
        <f>K$17 * 100</f>
        <v>132450</v>
      </c>
      <c r="L19" s="625"/>
      <c r="AB19" s="596" t="s">
        <v>119</v>
      </c>
      <c r="AC19" s="596" t="s">
        <v>1286</v>
      </c>
      <c r="AD1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9" s="683" t="e">
        <f>ABS(_xll.BDP(Options[[#This Row],[P-Ticker]], "OPT_DELTA_YEST"))*100</f>
        <v>#VALUE!</v>
      </c>
      <c r="AG19" s="683" t="str">
        <f>IFERROR(ABS(RTD("esrtd",,Options[[#This Row],[Index]] &amp; " " &amp; Options[[#This Row],[Month]] &amp; "P" &amp; $AL19*100 &amp; "-ICE", "OldSettlement")), "")</f>
        <v/>
      </c>
      <c r="AH19" s="683" t="str">
        <f>IFERROR(ABS(RTD("esrtd",,Options[[#This Row],[Index]] &amp; " " &amp; Options[[#This Row],[Month]] &amp; "P" &amp; $AL19*100 &amp; "-ICE", "OldSetIV"))*100, "")</f>
        <v/>
      </c>
      <c r="AI19" s="683" t="str">
        <f>IFERROR(ABS(RTD("esrtd",,Options[[#This Row],[Index]] &amp; " " &amp; Options[[#This Row],[Month]] &amp; "P" &amp; $AL19*100 &amp; "-ICE", "Delta"))*100, "")</f>
        <v/>
      </c>
      <c r="AJ19" s="683" t="str">
        <f>IFERROR(ABS(RTD("esrtd",,Options[[#This Row],[Index]] &amp; " " &amp; Options[[#This Row],[Month]] &amp; "P" &amp; $AL19*100 &amp; "-ICE", "Market")), "")</f>
        <v/>
      </c>
      <c r="AK19" s="683" t="str">
        <f>IFERROR(ABS(RTD("esrtd",,Options[[#This Row],[Index]] &amp; " " &amp; Options[[#This Row],[Month]] &amp; "P" &amp; $AL19*100 &amp; "-ICE", "ImpVol"))*100, "")</f>
        <v/>
      </c>
      <c r="AL19" s="676" t="e">
        <f t="shared" si="1"/>
        <v>#VALUE!</v>
      </c>
      <c r="AM19" s="684" t="e">
        <f>ABS(_xll.BDP(Options[[#This Row],[C-Ticker]], "OPT_DELTA_YEST"))*100</f>
        <v>#VALUE!</v>
      </c>
      <c r="AN19" s="684" t="str">
        <f>IFERROR(ABS(RTD("esrtd",,Options[[#This Row],[Index]] &amp; " " &amp; Options[[#This Row],[Month]] &amp; "C" &amp; $AL19*100 &amp; "-ICE", "OldSettlement")), "")</f>
        <v/>
      </c>
      <c r="AO19" s="684" t="str">
        <f>IFERROR(ABS(RTD("esrtd",,Options[[#This Row],[Index]] &amp; " " &amp; Options[[#This Row],[Month]] &amp; "C" &amp; $AL19*100 &amp; "-ICE", "OldSetIV"))*100, "")</f>
        <v/>
      </c>
      <c r="AP19" s="684" t="str">
        <f>IFERROR(ABS(RTD("esrtd",,Options[[#This Row],[Index]] &amp; " " &amp; Options[[#This Row],[Month]] &amp; "C" &amp; $AL19*100 &amp; "-ICE", "Delta"))*100, "")</f>
        <v/>
      </c>
      <c r="AQ19" s="684" t="str">
        <f>IFERROR(ABS(RTD("esrtd",,Options[[#This Row],[Index]] &amp; " " &amp; Options[[#This Row],[Month]] &amp; "C" &amp; $AL19*100 &amp; "-ICE", "Market")), "")</f>
        <v/>
      </c>
      <c r="AR19" s="684" t="str">
        <f>IFERROR(ABS(RTD("esrtd",,Options[[#This Row],[Index]] &amp; " " &amp; Options[[#This Row],[Month]] &amp; "C" &amp; $AL19*100 &amp; "-ICE", "ImpVol"))*100, "")</f>
        <v/>
      </c>
      <c r="AV19" s="678"/>
      <c r="AW19" s="677"/>
      <c r="AX19" s="677"/>
      <c r="AZ19" s="678"/>
      <c r="BA19" s="677"/>
      <c r="BB19" s="677"/>
    </row>
    <row r="20" spans="1:55" x14ac:dyDescent="0.25">
      <c r="A20" s="605" t="s">
        <v>155</v>
      </c>
      <c r="B20" s="606" t="str">
        <f>IF(B$5="P",INDEX(Options[],MATCH(B$9,Options[P-Ticker],0),MATCH("P-Vol Set",Options[#Headers],0)),INDEX(Options[],MATCH(B$9,Options[C-Ticker],0),MATCH("C-Vol Set",Options[#Headers],0)))</f>
        <v/>
      </c>
      <c r="C20" s="606" t="str">
        <f>IF(C$5="P",INDEX(Options[],MATCH(C$9,Options[P-Ticker],0),MATCH("P-Vol Set",Options[#Headers],0)),INDEX(Options[],MATCH(C$9,Options[C-Ticker],0),MATCH("C-Vol Set",Options[#Headers],0)))</f>
        <v/>
      </c>
      <c r="D20" s="606" t="str">
        <f>IF(D$5="P",INDEX(Options[],MATCH(D$9,Options[P-Ticker],0),MATCH("P-Vol Set",Options[#Headers],0)),INDEX(Options[],MATCH(D$9,Options[C-Ticker],0),MATCH("C-Vol Set",Options[#Headers],0)))</f>
        <v/>
      </c>
      <c r="E20" s="606" t="str">
        <f>IF(E$5="P",INDEX(Options[],MATCH(E$9,Options[P-Ticker],0),MATCH("P-Vol Set",Options[#Headers],0)),INDEX(Options[],MATCH(E$9,Options[C-Ticker],0),MATCH("C-Vol Set",Options[#Headers],0)))</f>
        <v/>
      </c>
      <c r="F20" s="606" t="e">
        <f>IF(F$5="P",INDEX(Options[],MATCH(F$9,Options[P-Ticker],0),MATCH("P-Vol Set",Options[#Headers],0)),INDEX(Options[],MATCH(F$9,Options[C-Ticker],0),MATCH("C-Vol Set",Options[#Headers],0)))</f>
        <v>#N/A</v>
      </c>
      <c r="G20" s="596"/>
      <c r="H20" s="605" t="s">
        <v>1329</v>
      </c>
      <c r="I20" s="606" t="e" cm="1">
        <f t="array" aca="1" ref="I20" ca="1">VolFromPrice(1, I$17, I$6, I$18, 0.04, I$16) * 100</f>
        <v>#VALUE!</v>
      </c>
      <c r="J20" s="606" t="e" cm="1">
        <f t="array" aca="1" ref="J20" ca="1">VolFromPrice(1, J$17, J$6, J$18, 0.04, J$16) * 100</f>
        <v>#VALUE!</v>
      </c>
      <c r="K20" s="606" t="e" cm="1">
        <f t="array" aca="1" ref="K20" ca="1">VolFromPrice(1, K$17, K$6, K$18, 0.04, K$16) * 100</f>
        <v>#VALUE!</v>
      </c>
      <c r="L20" s="625"/>
      <c r="M20" s="597"/>
      <c r="P20" s="597"/>
      <c r="S20" s="597"/>
      <c r="AB20" s="596" t="s">
        <v>119</v>
      </c>
      <c r="AC20" s="596" t="s">
        <v>1286</v>
      </c>
      <c r="AD2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0" s="683" t="e">
        <f>ABS(_xll.BDP(Options[[#This Row],[P-Ticker]], "OPT_DELTA_YEST"))*100</f>
        <v>#VALUE!</v>
      </c>
      <c r="AG20" s="683" t="str">
        <f>IFERROR(ABS(RTD("esrtd",,Options[[#This Row],[Index]] &amp; " " &amp; Options[[#This Row],[Month]] &amp; "P" &amp; $AL20*100 &amp; "-ICE", "OldSettlement")), "")</f>
        <v/>
      </c>
      <c r="AH20" s="683" t="str">
        <f>IFERROR(ABS(RTD("esrtd",,Options[[#This Row],[Index]] &amp; " " &amp; Options[[#This Row],[Month]] &amp; "P" &amp; $AL20*100 &amp; "-ICE", "OldSetIV"))*100, "")</f>
        <v/>
      </c>
      <c r="AI20" s="683" t="str">
        <f>IFERROR(ABS(RTD("esrtd",,Options[[#This Row],[Index]] &amp; " " &amp; Options[[#This Row],[Month]] &amp; "P" &amp; $AL20*100 &amp; "-ICE", "Delta"))*100, "")</f>
        <v/>
      </c>
      <c r="AJ20" s="683" t="str">
        <f>IFERROR(ABS(RTD("esrtd",,Options[[#This Row],[Index]] &amp; " " &amp; Options[[#This Row],[Month]] &amp; "P" &amp; $AL20*100 &amp; "-ICE", "Market")), "")</f>
        <v/>
      </c>
      <c r="AK20" s="683" t="str">
        <f>IFERROR(ABS(RTD("esrtd",,Options[[#This Row],[Index]] &amp; " " &amp; Options[[#This Row],[Month]] &amp; "P" &amp; $AL20*100 &amp; "-ICE", "ImpVol"))*100, "")</f>
        <v/>
      </c>
      <c r="AL20" s="676" t="e">
        <f t="shared" si="1"/>
        <v>#VALUE!</v>
      </c>
      <c r="AM20" s="684" t="e">
        <f>ABS(_xll.BDP(Options[[#This Row],[C-Ticker]], "OPT_DELTA_YEST"))*100</f>
        <v>#VALUE!</v>
      </c>
      <c r="AN20" s="684" t="str">
        <f>IFERROR(ABS(RTD("esrtd",,Options[[#This Row],[Index]] &amp; " " &amp; Options[[#This Row],[Month]] &amp; "C" &amp; $AL20*100 &amp; "-ICE", "OldSettlement")), "")</f>
        <v/>
      </c>
      <c r="AO20" s="684" t="str">
        <f>IFERROR(ABS(RTD("esrtd",,Options[[#This Row],[Index]] &amp; " " &amp; Options[[#This Row],[Month]] &amp; "C" &amp; $AL20*100 &amp; "-ICE", "OldSetIV"))*100, "")</f>
        <v/>
      </c>
      <c r="AP20" s="684" t="str">
        <f>IFERROR(ABS(RTD("esrtd",,Options[[#This Row],[Index]] &amp; " " &amp; Options[[#This Row],[Month]] &amp; "C" &amp; $AL20*100 &amp; "-ICE", "Delta"))*100, "")</f>
        <v/>
      </c>
      <c r="AQ20" s="684" t="str">
        <f>IFERROR(ABS(RTD("esrtd",,Options[[#This Row],[Index]] &amp; " " &amp; Options[[#This Row],[Month]] &amp; "C" &amp; $AL20*100 &amp; "-ICE", "Market")), "")</f>
        <v/>
      </c>
      <c r="AR20" s="684" t="str">
        <f>IFERROR(ABS(RTD("esrtd",,Options[[#This Row],[Index]] &amp; " " &amp; Options[[#This Row],[Month]] &amp; "C" &amp; $AL20*100 &amp; "-ICE", "ImpVol"))*100, "")</f>
        <v/>
      </c>
      <c r="AU20" s="757" t="s">
        <v>1343</v>
      </c>
      <c r="AV20" s="597" t="s">
        <v>157</v>
      </c>
      <c r="AW20" s="687" t="s">
        <v>158</v>
      </c>
      <c r="AX20" s="688" t="s">
        <v>159</v>
      </c>
      <c r="AY20" s="688" t="s">
        <v>160</v>
      </c>
      <c r="AZ20" s="688" t="s">
        <v>161</v>
      </c>
      <c r="BA20" s="687" t="s">
        <v>162</v>
      </c>
      <c r="BC20" s="678"/>
    </row>
    <row r="21" spans="1:55" x14ac:dyDescent="0.25">
      <c r="A21" s="605" t="s">
        <v>156</v>
      </c>
      <c r="B21" s="706" t="e">
        <f>$O$9</f>
        <v>#VALUE!</v>
      </c>
      <c r="C21" s="706" t="e">
        <f>$O$14</f>
        <v>#VALUE!</v>
      </c>
      <c r="D21" s="706" t="e">
        <f>$O$14</f>
        <v>#VALUE!</v>
      </c>
      <c r="E21" s="706" t="e">
        <f>$O$4</f>
        <v>#VALUE!</v>
      </c>
      <c r="F21" s="706" t="e">
        <f>$O$4</f>
        <v>#VALUE!</v>
      </c>
      <c r="G21" s="596"/>
      <c r="H21" s="605" t="s">
        <v>1330</v>
      </c>
      <c r="I21" s="706">
        <v>95</v>
      </c>
      <c r="J21" s="706">
        <v>95</v>
      </c>
      <c r="K21" s="706">
        <v>95</v>
      </c>
      <c r="L21" s="625"/>
      <c r="N21" s="677"/>
      <c r="Q21" s="677"/>
      <c r="T21" s="677"/>
      <c r="AB21" s="596" t="s">
        <v>119</v>
      </c>
      <c r="AC21" s="596" t="s">
        <v>1286</v>
      </c>
      <c r="AD2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1" s="683" t="e">
        <f>ABS(_xll.BDP(Options[[#This Row],[P-Ticker]], "OPT_DELTA_YEST"))*100</f>
        <v>#VALUE!</v>
      </c>
      <c r="AG21" s="683" t="str">
        <f>IFERROR(ABS(RTD("esrtd",,Options[[#This Row],[Index]] &amp; " " &amp; Options[[#This Row],[Month]] &amp; "P" &amp; $AL21*100 &amp; "-ICE", "OldSettlement")), "")</f>
        <v/>
      </c>
      <c r="AH21" s="683" t="str">
        <f>IFERROR(ABS(RTD("esrtd",,Options[[#This Row],[Index]] &amp; " " &amp; Options[[#This Row],[Month]] &amp; "P" &amp; $AL21*100 &amp; "-ICE", "OldSetIV"))*100, "")</f>
        <v/>
      </c>
      <c r="AI21" s="683" t="str">
        <f>IFERROR(ABS(RTD("esrtd",,Options[[#This Row],[Index]] &amp; " " &amp; Options[[#This Row],[Month]] &amp; "P" &amp; $AL21*100 &amp; "-ICE", "Delta"))*100, "")</f>
        <v/>
      </c>
      <c r="AJ21" s="683" t="str">
        <f>IFERROR(ABS(RTD("esrtd",,Options[[#This Row],[Index]] &amp; " " &amp; Options[[#This Row],[Month]] &amp; "P" &amp; $AL21*100 &amp; "-ICE", "Market")), "")</f>
        <v/>
      </c>
      <c r="AK21" s="683" t="str">
        <f>IFERROR(ABS(RTD("esrtd",,Options[[#This Row],[Index]] &amp; " " &amp; Options[[#This Row],[Month]] &amp; "P" &amp; $AL21*100 &amp; "-ICE", "ImpVol"))*100, "")</f>
        <v/>
      </c>
      <c r="AL21" s="676" t="e">
        <f t="shared" si="1"/>
        <v>#VALUE!</v>
      </c>
      <c r="AM21" s="684" t="e">
        <f>ABS(_xll.BDP(Options[[#This Row],[C-Ticker]], "OPT_DELTA_YEST"))*100</f>
        <v>#VALUE!</v>
      </c>
      <c r="AN21" s="684" t="str">
        <f>IFERROR(ABS(RTD("esrtd",,Options[[#This Row],[Index]] &amp; " " &amp; Options[[#This Row],[Month]] &amp; "C" &amp; $AL21*100 &amp; "-ICE", "OldSettlement")), "")</f>
        <v/>
      </c>
      <c r="AO21" s="684" t="str">
        <f>IFERROR(ABS(RTD("esrtd",,Options[[#This Row],[Index]] &amp; " " &amp; Options[[#This Row],[Month]] &amp; "C" &amp; $AL21*100 &amp; "-ICE", "OldSetIV"))*100, "")</f>
        <v/>
      </c>
      <c r="AP21" s="684" t="str">
        <f>IFERROR(ABS(RTD("esrtd",,Options[[#This Row],[Index]] &amp; " " &amp; Options[[#This Row],[Month]] &amp; "C" &amp; $AL21*100 &amp; "-ICE", "Delta"))*100, "")</f>
        <v/>
      </c>
      <c r="AQ21" s="684" t="str">
        <f>IFERROR(ABS(RTD("esrtd",,Options[[#This Row],[Index]] &amp; " " &amp; Options[[#This Row],[Month]] &amp; "C" &amp; $AL21*100 &amp; "-ICE", "Market")), "")</f>
        <v/>
      </c>
      <c r="AR21" s="684" t="str">
        <f>IFERROR(ABS(RTD("esrtd",,Options[[#This Row],[Index]] &amp; " " &amp; Options[[#This Row],[Month]] &amp; "C" &amp; $AL21*100 &amp; "-ICE", "ImpVol"))*100, "")</f>
        <v/>
      </c>
      <c r="AU21" s="596" t="s">
        <v>11</v>
      </c>
      <c r="AV21" s="596">
        <v>25</v>
      </c>
      <c r="AW21" s="677" t="e" cm="1">
        <f t="array" ref="AW21">INDEX($AI$5:$AI$72, MATCH($AV$21, $AI$5:$AI$72, 1), 0)</f>
        <v>#N/A</v>
      </c>
      <c r="AX21" s="677" t="e" cm="1">
        <f t="array" ref="AX21">INDEX($AI$5:$AI$72, MATCH($AV$21, $AI$5:$AI$72, 1) + 1, 0)</f>
        <v>#N/A</v>
      </c>
      <c r="AY21" s="677" t="e" cm="1">
        <f t="array" ref="AY21">INDEX($AK$5:$AK$72, MATCH($AW21, $AI$5:$AI$72, 0), 0)</f>
        <v>#N/A</v>
      </c>
      <c r="AZ21" s="677" t="e" cm="1">
        <f t="array" ref="AZ21">INDEX($AK$5:$AK$72, MATCH($AX21, $AI$5:$AI$72, 0), 0)</f>
        <v>#N/A</v>
      </c>
      <c r="BA21" s="677" t="e">
        <f>($AV21 - $AW21) * ($AZ21-$AY21)/($AX21-$AW21) + $AY21</f>
        <v>#N/A</v>
      </c>
      <c r="BC21" s="677"/>
    </row>
    <row r="22" spans="1:55" x14ac:dyDescent="0.25">
      <c r="A22" s="605" t="s">
        <v>163</v>
      </c>
      <c r="B22" s="706" t="e">
        <f>$O$12</f>
        <v>#N/A</v>
      </c>
      <c r="C22" s="706" t="e">
        <f>$O$17</f>
        <v>#N/A</v>
      </c>
      <c r="D22" s="706" t="e">
        <f>$O$17</f>
        <v>#N/A</v>
      </c>
      <c r="E22" s="706" t="e">
        <f>$O$7</f>
        <v>#N/A</v>
      </c>
      <c r="F22" s="706" t="e">
        <f>$O$7</f>
        <v>#N/A</v>
      </c>
      <c r="G22" s="596"/>
      <c r="H22" s="605" t="s">
        <v>1331</v>
      </c>
      <c r="I22" s="706">
        <v>30</v>
      </c>
      <c r="J22" s="706">
        <v>30</v>
      </c>
      <c r="K22" s="706">
        <v>30</v>
      </c>
      <c r="L22" s="625"/>
      <c r="N22" s="725"/>
      <c r="Q22" s="725"/>
      <c r="T22" s="677"/>
      <c r="AB22" s="596" t="s">
        <v>119</v>
      </c>
      <c r="AC22" s="596" t="s">
        <v>1286</v>
      </c>
      <c r="AD2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2" s="683" t="e" cm="1">
        <f t="array" ref="AF22">ABS(_xll.BDP(Options[[#This Row],[P-Ticker]], "OPT_DELTA_YEST"))*100</f>
        <v>#VALUE!</v>
      </c>
      <c r="AG22" s="683" t="str">
        <f>IFERROR(ABS(RTD("esrtd",,Options[[#This Row],[Index]] &amp; " " &amp; Options[[#This Row],[Month]] &amp; "P" &amp; $AL22*100 &amp; "-ICE", "OldSettlement")), "")</f>
        <v/>
      </c>
      <c r="AH22" s="683" t="str">
        <f>IFERROR(ABS(RTD("esrtd",,Options[[#This Row],[Index]] &amp; " " &amp; Options[[#This Row],[Month]] &amp; "P" &amp; $AL22*100 &amp; "-ICE", "OldSetIV"))*100, "")</f>
        <v/>
      </c>
      <c r="AI22" s="683" t="str">
        <f>IFERROR(ABS(RTD("esrtd",,Options[[#This Row],[Index]] &amp; " " &amp; Options[[#This Row],[Month]] &amp; "P" &amp; $AL22*100 &amp; "-ICE", "Delta"))*100, "")</f>
        <v/>
      </c>
      <c r="AJ22" s="683" t="str">
        <f>IFERROR(ABS(RTD("esrtd",,Options[[#This Row],[Index]] &amp; " " &amp; Options[[#This Row],[Month]] &amp; "P" &amp; $AL22*100 &amp; "-ICE", "Market")), "")</f>
        <v/>
      </c>
      <c r="AK22" s="683" t="str">
        <f>IFERROR(ABS(RTD("esrtd",,Options[[#This Row],[Index]] &amp; " " &amp; Options[[#This Row],[Month]] &amp; "P" &amp; $AL22*100 &amp; "-ICE", "ImpVol"))*100, "")</f>
        <v/>
      </c>
      <c r="AL22" s="676" t="e">
        <f t="shared" si="1"/>
        <v>#VALUE!</v>
      </c>
      <c r="AM22" s="684" t="e">
        <f>ABS(_xll.BDP(Options[[#This Row],[C-Ticker]], "OPT_DELTA_YEST"))*100</f>
        <v>#VALUE!</v>
      </c>
      <c r="AN22" s="684" t="str">
        <f>IFERROR(ABS(RTD("esrtd",,Options[[#This Row],[Index]] &amp; " " &amp; Options[[#This Row],[Month]] &amp; "C" &amp; $AL22*100 &amp; "-ICE", "OldSettlement")), "")</f>
        <v/>
      </c>
      <c r="AO22" s="684" t="str">
        <f>IFERROR(ABS(RTD("esrtd",,Options[[#This Row],[Index]] &amp; " " &amp; Options[[#This Row],[Month]] &amp; "C" &amp; $AL22*100 &amp; "-ICE", "OldSetIV"))*100, "")</f>
        <v/>
      </c>
      <c r="AP22" s="684" t="str">
        <f>IFERROR(ABS(RTD("esrtd",,Options[[#This Row],[Index]] &amp; " " &amp; Options[[#This Row],[Month]] &amp; "C" &amp; $AL22*100 &amp; "-ICE", "Delta"))*100, "")</f>
        <v/>
      </c>
      <c r="AQ22" s="684" t="str">
        <f>IFERROR(ABS(RTD("esrtd",,Options[[#This Row],[Index]] &amp; " " &amp; Options[[#This Row],[Month]] &amp; "C" &amp; $AL22*100 &amp; "-ICE", "Market")), "")</f>
        <v/>
      </c>
      <c r="AR22" s="684" t="str">
        <f>IFERROR(ABS(RTD("esrtd",,Options[[#This Row],[Index]] &amp; " " &amp; Options[[#This Row],[Month]] &amp; "C" &amp; $AL22*100 &amp; "-ICE", "ImpVol"))*100, "")</f>
        <v/>
      </c>
      <c r="AT22" s="678"/>
      <c r="AU22" s="677" t="s">
        <v>165</v>
      </c>
      <c r="AV22" s="596">
        <v>25</v>
      </c>
      <c r="AW22" s="677" t="e" cm="1">
        <f t="array" ref="AW22">INDEX($AF$5:$AF$72, MATCH($AV$21, $AF$5:$AF$72, 1), 0)</f>
        <v>#N/A</v>
      </c>
      <c r="AX22" s="677" t="e" cm="1">
        <f t="array" ref="AX22">INDEX($AF$5:$AF$72, MATCH($AV$21, $AF$5:$AF$72, 1) + 1, 0)</f>
        <v>#N/A</v>
      </c>
      <c r="AY22" s="677" t="e" cm="1">
        <f t="array" ref="AY22">INDEX($AH$5:$AH$72, MATCH($AW22, $AF$5:$AF$72, 0), 0)</f>
        <v>#N/A</v>
      </c>
      <c r="AZ22" s="677" t="e" cm="1">
        <f t="array" ref="AZ22">INDEX($AH$5:$AH$72, MATCH($AX22, $AF$5:$AF$72, 0), 0)</f>
        <v>#N/A</v>
      </c>
      <c r="BA22" s="677" t="e">
        <f>($AV22 - $AW22) * ($AZ22-$AY22)/($AX22-$AW22) + $AY22</f>
        <v>#N/A</v>
      </c>
    </row>
    <row r="23" spans="1:55" x14ac:dyDescent="0.25">
      <c r="A23" s="605" t="s">
        <v>164</v>
      </c>
      <c r="B23" s="706" t="e">
        <f>$O$13</f>
        <v>#N/A</v>
      </c>
      <c r="C23" s="706" t="e">
        <f>$O$18</f>
        <v>#N/A</v>
      </c>
      <c r="D23" s="706" t="e">
        <f>$O$18</f>
        <v>#N/A</v>
      </c>
      <c r="E23" s="706" t="e">
        <f>$O$8</f>
        <v>#N/A</v>
      </c>
      <c r="F23" s="706" t="e">
        <f>$O$8</f>
        <v>#N/A</v>
      </c>
      <c r="G23" s="596"/>
      <c r="H23" s="605" t="s">
        <v>1332</v>
      </c>
      <c r="I23" s="706">
        <v>1</v>
      </c>
      <c r="J23" s="706">
        <v>1</v>
      </c>
      <c r="K23" s="706">
        <v>1</v>
      </c>
      <c r="L23" s="625"/>
      <c r="N23" s="677"/>
      <c r="Q23" s="677"/>
      <c r="T23" s="677"/>
      <c r="AB23" s="596" t="s">
        <v>119</v>
      </c>
      <c r="AC23" s="596" t="s">
        <v>1286</v>
      </c>
      <c r="AD2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3" s="683" t="e">
        <f>ABS(_xll.BDP(Options[[#This Row],[P-Ticker]], "OPT_DELTA_YEST"))*100</f>
        <v>#VALUE!</v>
      </c>
      <c r="AG23" s="683" t="str">
        <f>IFERROR(ABS(RTD("esrtd",,Options[[#This Row],[Index]] &amp; " " &amp; Options[[#This Row],[Month]] &amp; "P" &amp; $AL23*100 &amp; "-ICE", "OldSettlement")), "")</f>
        <v/>
      </c>
      <c r="AH23" s="683" t="str">
        <f>IFERROR(ABS(RTD("esrtd",,Options[[#This Row],[Index]] &amp; " " &amp; Options[[#This Row],[Month]] &amp; "P" &amp; $AL23*100 &amp; "-ICE", "OldSetIV"))*100, "")</f>
        <v/>
      </c>
      <c r="AI23" s="683" t="str">
        <f>IFERROR(ABS(RTD("esrtd",,Options[[#This Row],[Index]] &amp; " " &amp; Options[[#This Row],[Month]] &amp; "P" &amp; $AL23*100 &amp; "-ICE", "Delta"))*100, "")</f>
        <v/>
      </c>
      <c r="AJ23" s="683" t="str">
        <f>IFERROR(ABS(RTD("esrtd",,Options[[#This Row],[Index]] &amp; " " &amp; Options[[#This Row],[Month]] &amp; "P" &amp; $AL23*100 &amp; "-ICE", "Market")), "")</f>
        <v/>
      </c>
      <c r="AK23" s="683" t="str">
        <f>IFERROR(ABS(RTD("esrtd",,Options[[#This Row],[Index]] &amp; " " &amp; Options[[#This Row],[Month]] &amp; "P" &amp; $AL23*100 &amp; "-ICE", "ImpVol"))*100, "")</f>
        <v/>
      </c>
      <c r="AL23" s="676" t="e">
        <f t="shared" si="1"/>
        <v>#VALUE!</v>
      </c>
      <c r="AM23" s="684" t="e">
        <f>ABS(_xll.BDP(Options[[#This Row],[C-Ticker]], "OPT_DELTA_YEST"))*100</f>
        <v>#VALUE!</v>
      </c>
      <c r="AN23" s="684" t="str">
        <f>IFERROR(ABS(RTD("esrtd",,Options[[#This Row],[Index]] &amp; " " &amp; Options[[#This Row],[Month]] &amp; "C" &amp; $AL23*100 &amp; "-ICE", "OldSettlement")), "")</f>
        <v/>
      </c>
      <c r="AO23" s="684" t="str">
        <f>IFERROR(ABS(RTD("esrtd",,Options[[#This Row],[Index]] &amp; " " &amp; Options[[#This Row],[Month]] &amp; "C" &amp; $AL23*100 &amp; "-ICE", "OldSetIV"))*100, "")</f>
        <v/>
      </c>
      <c r="AP23" s="684" t="str">
        <f>IFERROR(ABS(RTD("esrtd",,Options[[#This Row],[Index]] &amp; " " &amp; Options[[#This Row],[Month]] &amp; "C" &amp; $AL23*100 &amp; "-ICE", "Delta"))*100, "")</f>
        <v/>
      </c>
      <c r="AQ23" s="684" t="str">
        <f>IFERROR(ABS(RTD("esrtd",,Options[[#This Row],[Index]] &amp; " " &amp; Options[[#This Row],[Month]] &amp; "C" &amp; $AL23*100 &amp; "-ICE", "Market")), "")</f>
        <v/>
      </c>
      <c r="AR23" s="684" t="str">
        <f>IFERROR(ABS(RTD("esrtd",,Options[[#This Row],[Index]] &amp; " " &amp; Options[[#This Row],[Month]] &amp; "C" &amp; $AL23*100 &amp; "-ICE", "ImpVol"))*100, "")</f>
        <v/>
      </c>
      <c r="AT23" s="678"/>
      <c r="AU23" s="677"/>
      <c r="AY23" s="677"/>
      <c r="AZ23" s="677"/>
    </row>
    <row r="24" spans="1:55" x14ac:dyDescent="0.25">
      <c r="L24" s="628"/>
      <c r="N24" s="726"/>
      <c r="R24" s="730"/>
      <c r="AB24" s="596" t="s">
        <v>119</v>
      </c>
      <c r="AC24" s="596" t="s">
        <v>1286</v>
      </c>
      <c r="AD2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4" s="683" t="e">
        <f>ABS(_xll.BDP(Options[[#This Row],[P-Ticker]], "OPT_DELTA_YEST"))*100</f>
        <v>#VALUE!</v>
      </c>
      <c r="AG24" s="683" t="str">
        <f>IFERROR(ABS(RTD("esrtd",,Options[[#This Row],[Index]] &amp; " " &amp; Options[[#This Row],[Month]] &amp; "P" &amp; $AL24*100 &amp; "-ICE", "OldSettlement")), "")</f>
        <v/>
      </c>
      <c r="AH24" s="683" t="str">
        <f>IFERROR(ABS(RTD("esrtd",,Options[[#This Row],[Index]] &amp; " " &amp; Options[[#This Row],[Month]] &amp; "P" &amp; $AL24*100 &amp; "-ICE", "OldSetIV"))*100, "")</f>
        <v/>
      </c>
      <c r="AI24" s="683" t="str">
        <f>IFERROR(ABS(RTD("esrtd",,Options[[#This Row],[Index]] &amp; " " &amp; Options[[#This Row],[Month]] &amp; "P" &amp; $AL24*100 &amp; "-ICE", "Delta"))*100, "")</f>
        <v/>
      </c>
      <c r="AJ24" s="683" t="str">
        <f>IFERROR(ABS(RTD("esrtd",,Options[[#This Row],[Index]] &amp; " " &amp; Options[[#This Row],[Month]] &amp; "P" &amp; $AL24*100 &amp; "-ICE", "Market")), "")</f>
        <v/>
      </c>
      <c r="AK24" s="683" t="str">
        <f>IFERROR(ABS(RTD("esrtd",,Options[[#This Row],[Index]] &amp; " " &amp; Options[[#This Row],[Month]] &amp; "P" &amp; $AL24*100 &amp; "-ICE", "ImpVol"))*100, "")</f>
        <v/>
      </c>
      <c r="AL24" s="676" t="e">
        <f t="shared" si="1"/>
        <v>#VALUE!</v>
      </c>
      <c r="AM24" s="684" t="e">
        <f>ABS(_xll.BDP(Options[[#This Row],[C-Ticker]], "OPT_DELTA_YEST"))*100</f>
        <v>#VALUE!</v>
      </c>
      <c r="AN24" s="684" t="str">
        <f>IFERROR(ABS(RTD("esrtd",,Options[[#This Row],[Index]] &amp; " " &amp; Options[[#This Row],[Month]] &amp; "C" &amp; $AL24*100 &amp; "-ICE", "OldSettlement")), "")</f>
        <v/>
      </c>
      <c r="AO24" s="684" t="str">
        <f>IFERROR(ABS(RTD("esrtd",,Options[[#This Row],[Index]] &amp; " " &amp; Options[[#This Row],[Month]] &amp; "C" &amp; $AL24*100 &amp; "-ICE", "OldSetIV"))*100, "")</f>
        <v/>
      </c>
      <c r="AP24" s="684" t="str">
        <f>IFERROR(ABS(RTD("esrtd",,Options[[#This Row],[Index]] &amp; " " &amp; Options[[#This Row],[Month]] &amp; "C" &amp; $AL24*100 &amp; "-ICE", "Delta"))*100, "")</f>
        <v/>
      </c>
      <c r="AQ24" s="684" t="str">
        <f>IFERROR(ABS(RTD("esrtd",,Options[[#This Row],[Index]] &amp; " " &amp; Options[[#This Row],[Month]] &amp; "C" &amp; $AL24*100 &amp; "-ICE", "Market")), "")</f>
        <v/>
      </c>
      <c r="AR24" s="684" t="str">
        <f>IFERROR(ABS(RTD("esrtd",,Options[[#This Row],[Index]] &amp; " " &amp; Options[[#This Row],[Month]] &amp; "C" &amp; $AL24*100 &amp; "-ICE", "ImpVol"))*100, "")</f>
        <v/>
      </c>
      <c r="AT24" s="678"/>
      <c r="AU24" s="677"/>
      <c r="AV24" s="597" t="s">
        <v>167</v>
      </c>
      <c r="AW24" s="687" t="s">
        <v>158</v>
      </c>
      <c r="AX24" s="688" t="s">
        <v>159</v>
      </c>
      <c r="AY24" s="688" t="s">
        <v>160</v>
      </c>
      <c r="AZ24" s="688" t="s">
        <v>161</v>
      </c>
      <c r="BA24" s="687" t="s">
        <v>162</v>
      </c>
    </row>
    <row r="25" spans="1:55" x14ac:dyDescent="0.25">
      <c r="A25" s="620" t="s">
        <v>166</v>
      </c>
      <c r="B25" s="621"/>
      <c r="C25" s="621"/>
      <c r="D25" s="621"/>
      <c r="E25" s="621"/>
      <c r="F25" s="622"/>
      <c r="G25" s="596"/>
      <c r="H25" s="620" t="s">
        <v>166</v>
      </c>
      <c r="I25" s="622"/>
      <c r="J25" s="622"/>
      <c r="K25" s="622"/>
      <c r="L25" s="624"/>
      <c r="T25" s="725"/>
      <c r="AB25" s="596" t="s">
        <v>119</v>
      </c>
      <c r="AC25" s="596" t="s">
        <v>1286</v>
      </c>
      <c r="AD2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5" s="683" t="e" cm="1">
        <f t="array" ref="AF25">ABS(_xll.BDP(Options[[#This Row],[P-Ticker]], "OPT_DELTA_YEST"))*100</f>
        <v>#VALUE!</v>
      </c>
      <c r="AG25" s="683" t="str">
        <f>IFERROR(ABS(RTD("esrtd",,Options[[#This Row],[Index]] &amp; " " &amp; Options[[#This Row],[Month]] &amp; "P" &amp; $AL25*100 &amp; "-ICE", "OldSettlement")), "")</f>
        <v/>
      </c>
      <c r="AH25" s="683" t="str">
        <f>IFERROR(ABS(RTD("esrtd",,Options[[#This Row],[Index]] &amp; " " &amp; Options[[#This Row],[Month]] &amp; "P" &amp; $AL25*100 &amp; "-ICE", "OldSetIV"))*100, "")</f>
        <v/>
      </c>
      <c r="AI25" s="683" t="str">
        <f>IFERROR(ABS(RTD("esrtd",,Options[[#This Row],[Index]] &amp; " " &amp; Options[[#This Row],[Month]] &amp; "P" &amp; $AL25*100 &amp; "-ICE", "Delta"))*100, "")</f>
        <v/>
      </c>
      <c r="AJ25" s="683" t="str">
        <f>IFERROR(ABS(RTD("esrtd",,Options[[#This Row],[Index]] &amp; " " &amp; Options[[#This Row],[Month]] &amp; "P" &amp; $AL25*100 &amp; "-ICE", "Market")), "")</f>
        <v/>
      </c>
      <c r="AK25" s="683" t="str">
        <f>IFERROR(ABS(RTD("esrtd",,Options[[#This Row],[Index]] &amp; " " &amp; Options[[#This Row],[Month]] &amp; "P" &amp; $AL25*100 &amp; "-ICE", "ImpVol"))*100, "")</f>
        <v/>
      </c>
      <c r="AL25" s="676" t="e">
        <f t="shared" si="1"/>
        <v>#VALUE!</v>
      </c>
      <c r="AM25" s="684" t="e">
        <f>ABS(_xll.BDP(Options[[#This Row],[C-Ticker]], "OPT_DELTA_YEST"))*100</f>
        <v>#VALUE!</v>
      </c>
      <c r="AN25" s="684" t="str">
        <f>IFERROR(ABS(RTD("esrtd",,Options[[#This Row],[Index]] &amp; " " &amp; Options[[#This Row],[Month]] &amp; "C" &amp; $AL25*100 &amp; "-ICE", "OldSettlement")), "")</f>
        <v/>
      </c>
      <c r="AO25" s="684" t="str">
        <f>IFERROR(ABS(RTD("esrtd",,Options[[#This Row],[Index]] &amp; " " &amp; Options[[#This Row],[Month]] &amp; "C" &amp; $AL25*100 &amp; "-ICE", "OldSetIV"))*100, "")</f>
        <v/>
      </c>
      <c r="AP25" s="684" t="str">
        <f>IFERROR(ABS(RTD("esrtd",,Options[[#This Row],[Index]] &amp; " " &amp; Options[[#This Row],[Month]] &amp; "C" &amp; $AL25*100 &amp; "-ICE", "Delta"))*100, "")</f>
        <v/>
      </c>
      <c r="AQ25" s="684" t="str">
        <f>IFERROR(ABS(RTD("esrtd",,Options[[#This Row],[Index]] &amp; " " &amp; Options[[#This Row],[Month]] &amp; "C" &amp; $AL25*100 &amp; "-ICE", "Market")), "")</f>
        <v/>
      </c>
      <c r="AR25" s="684" t="str">
        <f>IFERROR(ABS(RTD("esrtd",,Options[[#This Row],[Index]] &amp; " " &amp; Options[[#This Row],[Month]] &amp; "C" &amp; $AL25*100 &amp; "-ICE", "ImpVol"))*100, "")</f>
        <v/>
      </c>
      <c r="AT25" s="678"/>
      <c r="AU25" s="596" t="s">
        <v>11</v>
      </c>
      <c r="AV25" s="596">
        <v>25</v>
      </c>
      <c r="AW25" s="677" t="e" cm="1">
        <f t="array" ref="AW25">INDEX($AP$5:$AP$72, MATCH($AV25, $AP$5:$AP$72, -1), 0)</f>
        <v>#N/A</v>
      </c>
      <c r="AX25" s="677" t="e" cm="1">
        <f t="array" ref="AX25">INDEX($AP$5:$AP$72, MATCH($AV25, $AP$5:$AP$72, -1) + 1, 0)</f>
        <v>#N/A</v>
      </c>
      <c r="AY25" s="677" t="e" cm="1">
        <f t="array" ref="AY25">INDEX($AR$5:$AR$72, MATCH($AW25, $AP$5:$AP$72, 0), 0)</f>
        <v>#N/A</v>
      </c>
      <c r="AZ25" s="677" t="e" cm="1">
        <f t="array" ref="AZ25">INDEX($AR$5:$AR$72, MATCH($AX25, $AP$5:$AP$72, 0), 0)</f>
        <v>#N/A</v>
      </c>
      <c r="BA25" s="677" t="e">
        <f>($AV25 - $AW25) * ($AZ25-$AY25)/($AX25-$AW25) + $AY25</f>
        <v>#N/A</v>
      </c>
    </row>
    <row r="26" spans="1:55" x14ac:dyDescent="0.25">
      <c r="A26" s="605" t="s">
        <v>168</v>
      </c>
      <c r="B26" s="606" t="str" cm="1">
        <f t="array" ref="B26">IFERROR(_xll.BDP(B$9, "OPT_DELTA_YEST"), 0)</f>
        <v>#N/A N/A</v>
      </c>
      <c r="C26" s="606" t="str" cm="1">
        <f t="array" ref="C26">IFERROR(_xll.BDP(C$9, "OPT_DELTA_YEST"), 0)</f>
        <v>#N/A N/A</v>
      </c>
      <c r="D26" s="606" t="str" cm="1">
        <f t="array" ref="D26">IFERROR(_xll.BDP(D$9, "OPT_DELTA_YEST"), 0)</f>
        <v>#N/A N/A</v>
      </c>
      <c r="E26" s="606" t="str" cm="1">
        <f t="array" ref="E26">IFERROR(_xll.BDP(E$9, "OPT_DELTA_YEST"), 0)</f>
        <v>#N/A N/A</v>
      </c>
      <c r="F26" s="606" t="str" cm="1">
        <f t="array" ref="F26">IFERROR(_xll.BDP(F$9, "OPT_DELTA_YEST"), 0)</f>
        <v>#N/A N/A</v>
      </c>
      <c r="G26" s="596"/>
      <c r="H26" s="605" t="s">
        <v>168</v>
      </c>
      <c r="I26" s="606" t="str" cm="1">
        <f t="array" ref="I26">IFERROR(_xll.BDP(I$9, "OPT_DELTA_YEST"), 0)</f>
        <v>#N/A N/A</v>
      </c>
      <c r="J26" s="606" t="str" cm="1">
        <f t="array" ref="J26">IFERROR(_xll.BDP(J$9, "OPT_DELTA_YEST"), 0)</f>
        <v>#N/A N/A</v>
      </c>
      <c r="K26" s="606" t="str" cm="1">
        <f t="array" ref="K26">IFERROR(_xll.BDP(K$9, "OPT_DELTA_YEST"), 0)</f>
        <v>#N/A N/A</v>
      </c>
      <c r="L26" s="628"/>
      <c r="T26" s="677"/>
      <c r="AB26" s="596" t="s">
        <v>119</v>
      </c>
      <c r="AC26" s="596" t="s">
        <v>1286</v>
      </c>
      <c r="AD2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6" s="683" t="e">
        <f>ABS(_xll.BDP(Options[[#This Row],[P-Ticker]], "OPT_DELTA_YEST"))*100</f>
        <v>#VALUE!</v>
      </c>
      <c r="AG26" s="683" t="str">
        <f>IFERROR(ABS(RTD("esrtd",,Options[[#This Row],[Index]] &amp; " " &amp; Options[[#This Row],[Month]] &amp; "P" &amp; $AL26*100 &amp; "-ICE", "OldSettlement")), "")</f>
        <v/>
      </c>
      <c r="AH26" s="683" t="str">
        <f>IFERROR(ABS(RTD("esrtd",,Options[[#This Row],[Index]] &amp; " " &amp; Options[[#This Row],[Month]] &amp; "P" &amp; $AL26*100 &amp; "-ICE", "OldSetIV"))*100, "")</f>
        <v/>
      </c>
      <c r="AI26" s="683" t="str">
        <f>IFERROR(ABS(RTD("esrtd",,Options[[#This Row],[Index]] &amp; " " &amp; Options[[#This Row],[Month]] &amp; "P" &amp; $AL26*100 &amp; "-ICE", "Delta"))*100, "")</f>
        <v/>
      </c>
      <c r="AJ26" s="683" t="str">
        <f>IFERROR(ABS(RTD("esrtd",,Options[[#This Row],[Index]] &amp; " " &amp; Options[[#This Row],[Month]] &amp; "P" &amp; $AL26*100 &amp; "-ICE", "Market")), "")</f>
        <v/>
      </c>
      <c r="AK26" s="683" t="str">
        <f>IFERROR(ABS(RTD("esrtd",,Options[[#This Row],[Index]] &amp; " " &amp; Options[[#This Row],[Month]] &amp; "P" &amp; $AL26*100 &amp; "-ICE", "ImpVol"))*100, "")</f>
        <v/>
      </c>
      <c r="AL26" s="676" t="e">
        <f t="shared" si="1"/>
        <v>#VALUE!</v>
      </c>
      <c r="AM26" s="684" t="e">
        <f>ABS(_xll.BDP(Options[[#This Row],[C-Ticker]], "OPT_DELTA_YEST"))*100</f>
        <v>#VALUE!</v>
      </c>
      <c r="AN26" s="684" t="str">
        <f>IFERROR(ABS(RTD("esrtd",,Options[[#This Row],[Index]] &amp; " " &amp; Options[[#This Row],[Month]] &amp; "C" &amp; $AL26*100 &amp; "-ICE", "OldSettlement")), "")</f>
        <v/>
      </c>
      <c r="AO26" s="684" t="str">
        <f>IFERROR(ABS(RTD("esrtd",,Options[[#This Row],[Index]] &amp; " " &amp; Options[[#This Row],[Month]] &amp; "C" &amp; $AL26*100 &amp; "-ICE", "OldSetIV"))*100, "")</f>
        <v/>
      </c>
      <c r="AP26" s="684" t="str">
        <f>IFERROR(ABS(RTD("esrtd",,Options[[#This Row],[Index]] &amp; " " &amp; Options[[#This Row],[Month]] &amp; "C" &amp; $AL26*100 &amp; "-ICE", "Delta"))*100, "")</f>
        <v/>
      </c>
      <c r="AQ26" s="684" t="str">
        <f>IFERROR(ABS(RTD("esrtd",,Options[[#This Row],[Index]] &amp; " " &amp; Options[[#This Row],[Month]] &amp; "C" &amp; $AL26*100 &amp; "-ICE", "Market")), "")</f>
        <v/>
      </c>
      <c r="AR26" s="684" t="str">
        <f>IFERROR(ABS(RTD("esrtd",,Options[[#This Row],[Index]] &amp; " " &amp; Options[[#This Row],[Month]] &amp; "C" &amp; $AL26*100 &amp; "-ICE", "ImpVol"))*100, "")</f>
        <v/>
      </c>
      <c r="AT26" s="678"/>
      <c r="AU26" s="677" t="s">
        <v>165</v>
      </c>
      <c r="AV26" s="596">
        <v>25</v>
      </c>
      <c r="AW26" s="677" t="e" cm="1">
        <f t="array" ref="AW26">INDEX($AM$5:$AM$72, MATCH($AV26, $AM$5:$AM$72, -1), 0)</f>
        <v>#N/A</v>
      </c>
      <c r="AX26" s="677" t="e" cm="1">
        <f t="array" ref="AX26">INDEX($AM$5:$AM$72, MATCH($AV26, $AM$5:$AM$72, -1) + 1, 0)</f>
        <v>#N/A</v>
      </c>
      <c r="AY26" s="677" t="e" cm="1">
        <f t="array" ref="AY26">INDEX($AO$5:$AO$72, MATCH($AW26, $AM$5:$AM$72, 0), 0)</f>
        <v>#N/A</v>
      </c>
      <c r="AZ26" s="677" t="e" cm="1">
        <f t="array" ref="AZ26">INDEX($AO$5:$AO$72, MATCH($AX26, $AM$5:$AM$72, 0), 0)</f>
        <v>#N/A</v>
      </c>
      <c r="BA26" s="677" t="e">
        <f>($AV26 - $AW26) * ($AZ26-$AY26)/($AX26-$AW26) + $AY26</f>
        <v>#N/A</v>
      </c>
    </row>
    <row r="27" spans="1:55" x14ac:dyDescent="0.25">
      <c r="A27" s="605" t="s">
        <v>169</v>
      </c>
      <c r="B27" s="607" t="str" cm="1">
        <f t="array" ref="B27">_xll.BDP(B$9, "OPT_GAMMA_YEST")</f>
        <v>#N/A N/A</v>
      </c>
      <c r="C27" s="607" t="str" cm="1">
        <f t="array" ref="C27">_xll.BDP(C$9, "OPT_GAMMA_YEST")</f>
        <v>#N/A N/A</v>
      </c>
      <c r="D27" s="607" t="str" cm="1">
        <f t="array" ref="D27">_xll.BDP(D$9, "OPT_GAMMA_YEST")</f>
        <v>#N/A N/A</v>
      </c>
      <c r="E27" s="607" t="str" cm="1">
        <f t="array" ref="E27">_xll.BDP(E$9, "OPT_GAMMA_YEST")</f>
        <v>#N/A N/A</v>
      </c>
      <c r="F27" s="607" t="str" cm="1">
        <f t="array" ref="F27">_xll.BDP(F$9, "OPT_GAMMA_YEST")</f>
        <v>#N/A N/A</v>
      </c>
      <c r="G27" s="596"/>
      <c r="H27" s="605" t="s">
        <v>169</v>
      </c>
      <c r="I27" s="607" t="str" cm="1">
        <f t="array" ref="I27">_xll.BDP(I$9, "OPT_GAMMA_YEST")</f>
        <v>#N/A N/A</v>
      </c>
      <c r="J27" s="607" t="str" cm="1">
        <f t="array" ref="J27">_xll.BDP(J$9, "OPT_GAMMA_YEST")</f>
        <v>#N/A N/A</v>
      </c>
      <c r="K27" s="607" t="str" cm="1">
        <f t="array" ref="K27">_xll.BDP(K$9, "OPT_GAMMA_YEST")</f>
        <v>#N/A N/A</v>
      </c>
      <c r="L27" s="628"/>
      <c r="AB27" s="596" t="s">
        <v>119</v>
      </c>
      <c r="AC27" s="596" t="s">
        <v>1286</v>
      </c>
      <c r="AD2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7" s="683" t="e">
        <f>ABS(_xll.BDP(Options[[#This Row],[P-Ticker]], "OPT_DELTA_YEST"))*100</f>
        <v>#VALUE!</v>
      </c>
      <c r="AG27" s="683" t="str">
        <f>IFERROR(ABS(RTD("esrtd",,Options[[#This Row],[Index]] &amp; " " &amp; Options[[#This Row],[Month]] &amp; "P" &amp; $AL27*100 &amp; "-ICE", "OldSettlement")), "")</f>
        <v/>
      </c>
      <c r="AH27" s="683" t="str">
        <f>IFERROR(ABS(RTD("esrtd",,Options[[#This Row],[Index]] &amp; " " &amp; Options[[#This Row],[Month]] &amp; "P" &amp; $AL27*100 &amp; "-ICE", "OldSetIV"))*100, "")</f>
        <v/>
      </c>
      <c r="AI27" s="683" t="str">
        <f>IFERROR(ABS(RTD("esrtd",,Options[[#This Row],[Index]] &amp; " " &amp; Options[[#This Row],[Month]] &amp; "P" &amp; $AL27*100 &amp; "-ICE", "Delta"))*100, "")</f>
        <v/>
      </c>
      <c r="AJ27" s="683" t="str">
        <f>IFERROR(ABS(RTD("esrtd",,Options[[#This Row],[Index]] &amp; " " &amp; Options[[#This Row],[Month]] &amp; "P" &amp; $AL27*100 &amp; "-ICE", "Market")), "")</f>
        <v/>
      </c>
      <c r="AK27" s="683" t="str">
        <f>IFERROR(ABS(RTD("esrtd",,Options[[#This Row],[Index]] &amp; " " &amp; Options[[#This Row],[Month]] &amp; "P" &amp; $AL27*100 &amp; "-ICE", "ImpVol"))*100, "")</f>
        <v/>
      </c>
      <c r="AL27" s="676" t="e">
        <f t="shared" si="1"/>
        <v>#VALUE!</v>
      </c>
      <c r="AM27" s="684" t="e">
        <f>ABS(_xll.BDP(Options[[#This Row],[C-Ticker]], "OPT_DELTA_YEST"))*100</f>
        <v>#VALUE!</v>
      </c>
      <c r="AN27" s="684" t="str">
        <f>IFERROR(ABS(RTD("esrtd",,Options[[#This Row],[Index]] &amp; " " &amp; Options[[#This Row],[Month]] &amp; "C" &amp; $AL27*100 &amp; "-ICE", "OldSettlement")), "")</f>
        <v/>
      </c>
      <c r="AO27" s="684" t="str">
        <f>IFERROR(ABS(RTD("esrtd",,Options[[#This Row],[Index]] &amp; " " &amp; Options[[#This Row],[Month]] &amp; "C" &amp; $AL27*100 &amp; "-ICE", "OldSetIV"))*100, "")</f>
        <v/>
      </c>
      <c r="AP27" s="684" t="str">
        <f>IFERROR(ABS(RTD("esrtd",,Options[[#This Row],[Index]] &amp; " " &amp; Options[[#This Row],[Month]] &amp; "C" &amp; $AL27*100 &amp; "-ICE", "Delta"))*100, "")</f>
        <v/>
      </c>
      <c r="AQ27" s="684" t="str">
        <f>IFERROR(ABS(RTD("esrtd",,Options[[#This Row],[Index]] &amp; " " &amp; Options[[#This Row],[Month]] &amp; "C" &amp; $AL27*100 &amp; "-ICE", "Market")), "")</f>
        <v/>
      </c>
      <c r="AR27" s="684" t="str">
        <f>IFERROR(ABS(RTD("esrtd",,Options[[#This Row],[Index]] &amp; " " &amp; Options[[#This Row],[Month]] &amp; "C" &amp; $AL27*100 &amp; "-ICE", "ImpVol"))*100, "")</f>
        <v/>
      </c>
      <c r="AT27" s="678"/>
      <c r="AU27" s="677"/>
    </row>
    <row r="28" spans="1:55" x14ac:dyDescent="0.25">
      <c r="A28" s="605" t="s">
        <v>1325</v>
      </c>
      <c r="B28" s="603">
        <f>IFERROR(B$7 * B$26, 0)</f>
        <v>0</v>
      </c>
      <c r="C28" s="603">
        <f t="shared" ref="C28:F28" si="4">IFERROR(C$7 * C$26, 0)</f>
        <v>0</v>
      </c>
      <c r="D28" s="603">
        <f>IFERROR(D$7 * D$26, 0)</f>
        <v>0</v>
      </c>
      <c r="E28" s="603">
        <f t="shared" si="4"/>
        <v>0</v>
      </c>
      <c r="F28" s="603">
        <f t="shared" si="4"/>
        <v>0</v>
      </c>
      <c r="G28" s="596"/>
      <c r="H28" s="605" t="s">
        <v>1325</v>
      </c>
      <c r="I28" s="603">
        <f>IFERROR(I$7 * I$26, 0)</f>
        <v>0</v>
      </c>
      <c r="J28" s="603">
        <f t="shared" ref="J28:K28" si="5">IFERROR(J$7 * J$26, 0)</f>
        <v>0</v>
      </c>
      <c r="K28" s="603">
        <f t="shared" si="5"/>
        <v>0</v>
      </c>
      <c r="L28" s="628"/>
      <c r="AB28" s="596" t="s">
        <v>119</v>
      </c>
      <c r="AC28" s="596" t="s">
        <v>1286</v>
      </c>
      <c r="AD2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8" s="683" t="e">
        <f>ABS(_xll.BDP(Options[[#This Row],[P-Ticker]], "OPT_DELTA_YEST"))*100</f>
        <v>#VALUE!</v>
      </c>
      <c r="AG28" s="683" t="str">
        <f>IFERROR(ABS(RTD("esrtd",,Options[[#This Row],[Index]] &amp; " " &amp; Options[[#This Row],[Month]] &amp; "P" &amp; $AL28*100 &amp; "-ICE", "OldSettlement")), "")</f>
        <v/>
      </c>
      <c r="AH28" s="683" t="str">
        <f>IFERROR(ABS(RTD("esrtd",,Options[[#This Row],[Index]] &amp; " " &amp; Options[[#This Row],[Month]] &amp; "P" &amp; $AL28*100 &amp; "-ICE", "OldSetIV"))*100, "")</f>
        <v/>
      </c>
      <c r="AI28" s="683" t="str">
        <f>IFERROR(ABS(RTD("esrtd",,Options[[#This Row],[Index]] &amp; " " &amp; Options[[#This Row],[Month]] &amp; "P" &amp; $AL28*100 &amp; "-ICE", "Delta"))*100, "")</f>
        <v/>
      </c>
      <c r="AJ28" s="683" t="str">
        <f>IFERROR(ABS(RTD("esrtd",,Options[[#This Row],[Index]] &amp; " " &amp; Options[[#This Row],[Month]] &amp; "P" &amp; $AL28*100 &amp; "-ICE", "Market")), "")</f>
        <v/>
      </c>
      <c r="AK28" s="683" t="str">
        <f>IFERROR(ABS(RTD("esrtd",,Options[[#This Row],[Index]] &amp; " " &amp; Options[[#This Row],[Month]] &amp; "P" &amp; $AL28*100 &amp; "-ICE", "ImpVol"))*100, "")</f>
        <v/>
      </c>
      <c r="AL28" s="676" t="e">
        <f t="shared" si="1"/>
        <v>#VALUE!</v>
      </c>
      <c r="AM28" s="684" t="e">
        <f>ABS(_xll.BDP(Options[[#This Row],[C-Ticker]], "OPT_DELTA_YEST"))*100</f>
        <v>#VALUE!</v>
      </c>
      <c r="AN28" s="684" t="str">
        <f>IFERROR(ABS(RTD("esrtd",,Options[[#This Row],[Index]] &amp; " " &amp; Options[[#This Row],[Month]] &amp; "C" &amp; $AL28*100 &amp; "-ICE", "OldSettlement")), "")</f>
        <v/>
      </c>
      <c r="AO28" s="684" t="str">
        <f>IFERROR(ABS(RTD("esrtd",,Options[[#This Row],[Index]] &amp; " " &amp; Options[[#This Row],[Month]] &amp; "C" &amp; $AL28*100 &amp; "-ICE", "OldSetIV"))*100, "")</f>
        <v/>
      </c>
      <c r="AP28" s="684" t="str">
        <f>IFERROR(ABS(RTD("esrtd",,Options[[#This Row],[Index]] &amp; " " &amp; Options[[#This Row],[Month]] &amp; "C" &amp; $AL28*100 &amp; "-ICE", "Delta"))*100, "")</f>
        <v/>
      </c>
      <c r="AQ28" s="684" t="str">
        <f>IFERROR(ABS(RTD("esrtd",,Options[[#This Row],[Index]] &amp; " " &amp; Options[[#This Row],[Month]] &amp; "C" &amp; $AL28*100 &amp; "-ICE", "Market")), "")</f>
        <v/>
      </c>
      <c r="AR28" s="684" t="str">
        <f>IFERROR(ABS(RTD("esrtd",,Options[[#This Row],[Index]] &amp; " " &amp; Options[[#This Row],[Month]] &amp; "C" &amp; $AL28*100 &amp; "-ICE", "ImpVol"))*100, "")</f>
        <v/>
      </c>
      <c r="AT28" s="678"/>
      <c r="AU28" s="677"/>
    </row>
    <row r="29" spans="1:55" x14ac:dyDescent="0.25">
      <c r="A29" s="605" t="s">
        <v>1326</v>
      </c>
      <c r="B29" s="608" t="e">
        <f>B$7 * B$27</f>
        <v>#VALUE!</v>
      </c>
      <c r="C29" s="608" t="e">
        <f t="shared" ref="C29:F29" si="6">C$7 * C$27</f>
        <v>#VALUE!</v>
      </c>
      <c r="D29" s="608" t="e">
        <f t="shared" si="6"/>
        <v>#VALUE!</v>
      </c>
      <c r="E29" s="608" t="e">
        <f t="shared" si="6"/>
        <v>#VALUE!</v>
      </c>
      <c r="F29" s="608" t="e">
        <f t="shared" si="6"/>
        <v>#VALUE!</v>
      </c>
      <c r="G29" s="596"/>
      <c r="H29" s="605" t="s">
        <v>1326</v>
      </c>
      <c r="I29" s="608" t="e">
        <f>I$7 * I$27</f>
        <v>#VALUE!</v>
      </c>
      <c r="J29" s="608" t="e">
        <f t="shared" ref="J29:K29" si="7">J$7 * J$27</f>
        <v>#VALUE!</v>
      </c>
      <c r="K29" s="608" t="e">
        <f t="shared" si="7"/>
        <v>#VALUE!</v>
      </c>
      <c r="L29" s="628"/>
      <c r="M29" s="597"/>
      <c r="P29" s="597"/>
      <c r="S29" s="597"/>
      <c r="AB29" s="596" t="s">
        <v>119</v>
      </c>
      <c r="AC29" s="596" t="s">
        <v>1286</v>
      </c>
      <c r="AD2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2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29" s="683" t="e">
        <f>ABS(_xll.BDP(Options[[#This Row],[P-Ticker]], "OPT_DELTA_YEST"))*100</f>
        <v>#VALUE!</v>
      </c>
      <c r="AG29" s="683" t="str">
        <f>IFERROR(ABS(RTD("esrtd",,Options[[#This Row],[Index]] &amp; " " &amp; Options[[#This Row],[Month]] &amp; "P" &amp; $AL29*100 &amp; "-ICE", "OldSettlement")), "")</f>
        <v/>
      </c>
      <c r="AH29" s="683" t="str">
        <f>IFERROR(ABS(RTD("esrtd",,Options[[#This Row],[Index]] &amp; " " &amp; Options[[#This Row],[Month]] &amp; "P" &amp; $AL29*100 &amp; "-ICE", "OldSetIV"))*100, "")</f>
        <v/>
      </c>
      <c r="AI29" s="683" t="str">
        <f>IFERROR(ABS(RTD("esrtd",,Options[[#This Row],[Index]] &amp; " " &amp; Options[[#This Row],[Month]] &amp; "P" &amp; $AL29*100 &amp; "-ICE", "Delta"))*100, "")</f>
        <v/>
      </c>
      <c r="AJ29" s="683" t="str">
        <f>IFERROR(ABS(RTD("esrtd",,Options[[#This Row],[Index]] &amp; " " &amp; Options[[#This Row],[Month]] &amp; "P" &amp; $AL29*100 &amp; "-ICE", "Market")), "")</f>
        <v/>
      </c>
      <c r="AK29" s="683" t="str">
        <f>IFERROR(ABS(RTD("esrtd",,Options[[#This Row],[Index]] &amp; " " &amp; Options[[#This Row],[Month]] &amp; "P" &amp; $AL29*100 &amp; "-ICE", "ImpVol"))*100, "")</f>
        <v/>
      </c>
      <c r="AL29" s="676" t="e">
        <f t="shared" si="1"/>
        <v>#VALUE!</v>
      </c>
      <c r="AM29" s="684" t="e">
        <f>ABS(_xll.BDP(Options[[#This Row],[C-Ticker]], "OPT_DELTA_YEST"))*100</f>
        <v>#VALUE!</v>
      </c>
      <c r="AN29" s="684" t="str">
        <f>IFERROR(ABS(RTD("esrtd",,Options[[#This Row],[Index]] &amp; " " &amp; Options[[#This Row],[Month]] &amp; "C" &amp; $AL29*100 &amp; "-ICE", "OldSettlement")), "")</f>
        <v/>
      </c>
      <c r="AO29" s="684" t="str">
        <f>IFERROR(ABS(RTD("esrtd",,Options[[#This Row],[Index]] &amp; " " &amp; Options[[#This Row],[Month]] &amp; "C" &amp; $AL29*100 &amp; "-ICE", "OldSetIV"))*100, "")</f>
        <v/>
      </c>
      <c r="AP29" s="684" t="str">
        <f>IFERROR(ABS(RTD("esrtd",,Options[[#This Row],[Index]] &amp; " " &amp; Options[[#This Row],[Month]] &amp; "C" &amp; $AL29*100 &amp; "-ICE", "Delta"))*100, "")</f>
        <v/>
      </c>
      <c r="AQ29" s="684" t="str">
        <f>IFERROR(ABS(RTD("esrtd",,Options[[#This Row],[Index]] &amp; " " &amp; Options[[#This Row],[Month]] &amp; "C" &amp; $AL29*100 &amp; "-ICE", "Market")), "")</f>
        <v/>
      </c>
      <c r="AR29" s="684" t="str">
        <f>IFERROR(ABS(RTD("esrtd",,Options[[#This Row],[Index]] &amp; " " &amp; Options[[#This Row],[Month]] &amp; "C" &amp; $AL29*100 &amp; "-ICE", "ImpVol"))*100, "")</f>
        <v/>
      </c>
      <c r="AT29" s="678"/>
      <c r="AU29" s="677"/>
    </row>
    <row r="30" spans="1:55" x14ac:dyDescent="0.25">
      <c r="A30" s="605" t="s">
        <v>170</v>
      </c>
      <c r="B30" s="608" t="e" cm="1">
        <f t="array" ref="B30">B$7 * _xll.BDP(B$9, "OPT_VEGA_YEST")</f>
        <v>#VALUE!</v>
      </c>
      <c r="C30" s="608" t="e" cm="1">
        <f t="array" ref="C30">C$7 * _xll.BDP(C$9, "OPT_VEGA_YEST")</f>
        <v>#VALUE!</v>
      </c>
      <c r="D30" s="608" t="e" cm="1">
        <f t="array" ref="D30">D$7 * _xll.BDP(D$9, "OPT_VEGA_YEST")</f>
        <v>#VALUE!</v>
      </c>
      <c r="E30" s="608" t="e" cm="1">
        <f t="array" ref="E30">E$7 * _xll.BDP(E$9, "OPT_VEGA_YEST")</f>
        <v>#VALUE!</v>
      </c>
      <c r="F30" s="608" t="e" cm="1">
        <f t="array" ref="F30">F$7 * _xll.BDP(F$9, "OPT_VEGA_YEST")</f>
        <v>#VALUE!</v>
      </c>
      <c r="G30" s="596"/>
      <c r="H30" s="605" t="s">
        <v>170</v>
      </c>
      <c r="I30" s="608" t="e" cm="1">
        <f t="array" ref="I30">I$7 * _xll.BDP(I$9, "OPT_VEGA_YEST") / 10</f>
        <v>#VALUE!</v>
      </c>
      <c r="J30" s="608" t="e" cm="1">
        <f t="array" ref="J30">J$7 * _xll.BDP(J$9, "OPT_VEGA_YEST") / 10</f>
        <v>#VALUE!</v>
      </c>
      <c r="K30" s="608" t="e" cm="1">
        <f t="array" ref="K30">K$7 * _xll.BDP(K$9, "OPT_VEGA_YEST") / 10</f>
        <v>#VALUE!</v>
      </c>
      <c r="L30" s="628"/>
      <c r="N30" s="677"/>
      <c r="Q30" s="677"/>
      <c r="T30" s="677"/>
      <c r="AB30" s="596" t="s">
        <v>119</v>
      </c>
      <c r="AC30" s="596" t="s">
        <v>1286</v>
      </c>
      <c r="AD3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0" s="683" t="e">
        <f>ABS(_xll.BDP(Options[[#This Row],[P-Ticker]], "OPT_DELTA_YEST"))*100</f>
        <v>#VALUE!</v>
      </c>
      <c r="AG30" s="683" t="str">
        <f>IFERROR(ABS(RTD("esrtd",,Options[[#This Row],[Index]] &amp; " " &amp; Options[[#This Row],[Month]] &amp; "P" &amp; $AL30*100 &amp; "-ICE", "OldSettlement")), "")</f>
        <v/>
      </c>
      <c r="AH30" s="683" t="str">
        <f>IFERROR(ABS(RTD("esrtd",,Options[[#This Row],[Index]] &amp; " " &amp; Options[[#This Row],[Month]] &amp; "P" &amp; $AL30*100 &amp; "-ICE", "OldSetIV"))*100, "")</f>
        <v/>
      </c>
      <c r="AI30" s="683" t="str">
        <f>IFERROR(ABS(RTD("esrtd",,Options[[#This Row],[Index]] &amp; " " &amp; Options[[#This Row],[Month]] &amp; "P" &amp; $AL30*100 &amp; "-ICE", "Delta"))*100, "")</f>
        <v/>
      </c>
      <c r="AJ30" s="683" t="str">
        <f>IFERROR(ABS(RTD("esrtd",,Options[[#This Row],[Index]] &amp; " " &amp; Options[[#This Row],[Month]] &amp; "P" &amp; $AL30*100 &amp; "-ICE", "Market")), "")</f>
        <v/>
      </c>
      <c r="AK30" s="683" t="str">
        <f>IFERROR(ABS(RTD("esrtd",,Options[[#This Row],[Index]] &amp; " " &amp; Options[[#This Row],[Month]] &amp; "P" &amp; $AL30*100 &amp; "-ICE", "ImpVol"))*100, "")</f>
        <v/>
      </c>
      <c r="AL30" s="676" t="e">
        <f t="shared" si="1"/>
        <v>#VALUE!</v>
      </c>
      <c r="AM30" s="684" t="e">
        <f>ABS(_xll.BDP(Options[[#This Row],[C-Ticker]], "OPT_DELTA_YEST"))*100</f>
        <v>#VALUE!</v>
      </c>
      <c r="AN30" s="684" t="str">
        <f>IFERROR(ABS(RTD("esrtd",,Options[[#This Row],[Index]] &amp; " " &amp; Options[[#This Row],[Month]] &amp; "C" &amp; $AL30*100 &amp; "-ICE", "OldSettlement")), "")</f>
        <v/>
      </c>
      <c r="AO30" s="684" t="str">
        <f>IFERROR(ABS(RTD("esrtd",,Options[[#This Row],[Index]] &amp; " " &amp; Options[[#This Row],[Month]] &amp; "C" &amp; $AL30*100 &amp; "-ICE", "OldSetIV"))*100, "")</f>
        <v/>
      </c>
      <c r="AP30" s="684" t="str">
        <f>IFERROR(ABS(RTD("esrtd",,Options[[#This Row],[Index]] &amp; " " &amp; Options[[#This Row],[Month]] &amp; "C" &amp; $AL30*100 &amp; "-ICE", "Delta"))*100, "")</f>
        <v/>
      </c>
      <c r="AQ30" s="684" t="str">
        <f>IFERROR(ABS(RTD("esrtd",,Options[[#This Row],[Index]] &amp; " " &amp; Options[[#This Row],[Month]] &amp; "C" &amp; $AL30*100 &amp; "-ICE", "Market")), "")</f>
        <v/>
      </c>
      <c r="AR30" s="684" t="str">
        <f>IFERROR(ABS(RTD("esrtd",,Options[[#This Row],[Index]] &amp; " " &amp; Options[[#This Row],[Month]] &amp; "C" &amp; $AL30*100 &amp; "-ICE", "ImpVol"))*100, "")</f>
        <v/>
      </c>
      <c r="AT30" s="678"/>
      <c r="AU30" s="677"/>
    </row>
    <row r="31" spans="1:55" x14ac:dyDescent="0.25">
      <c r="A31" s="605" t="s">
        <v>171</v>
      </c>
      <c r="B31" s="608">
        <f>IFERROR(OptVegaATM(IF(B$5="C",1,0), B$17, B$6, B$18, 0.04, B$20/100, B$21/100, B$22/100, B$23/100) * B$7, 0)</f>
        <v>0</v>
      </c>
      <c r="C31" s="608">
        <f ca="1">IFERROR(OptVegaATM(IF(C$5="C",1,0), C$17, C$6, C$18, 0.04, C$20/100, C$21/100, C$22/100, C$23/100) * C$7, 0)</f>
        <v>0</v>
      </c>
      <c r="D31" s="608">
        <f ca="1">IFERROR(OptVegaATM(IF(D$5="C",1,0), D$17, D$6, D$18, 0.04, D$20/100, D$21/100, D$22/100, D$23/100) * D$7, 0)</f>
        <v>0</v>
      </c>
      <c r="E31" s="608">
        <f>IFERROR(OptVegaATM(IF(E$5="C",1,0), E$17, E$6, E$18, 0.04, E$20/100, E$21/100, E$22/100, E$23/100) * E$7, 0)</f>
        <v>0</v>
      </c>
      <c r="F31" s="608">
        <f>IFERROR(OptVegaATM(IF(F$5="C",1,0), F$17, F$6, F$18, 0.04, F$20/100, F$21/100, F$22/100, F$23/100) * F$7, 0)</f>
        <v>0</v>
      </c>
      <c r="G31" s="596"/>
      <c r="H31" s="605" t="s">
        <v>171</v>
      </c>
      <c r="I31" s="608">
        <f ca="1">IFERROR(OptVegaATM(IF(I$5="C",1,0), I$17, I$6, I$18, 0.04, I$20/100, I$21/100, I$22/100, I$23/100) * I$7 / 10, 0)</f>
        <v>0</v>
      </c>
      <c r="J31" s="608">
        <f ca="1">IFERROR(OptVegaATM(IF(J$5="C",1,0), J$17, J$6, J$18, 0.04, J$20/100, J$21/100, J$22/100, J$23/100) * J$7 / 10, 0)</f>
        <v>0</v>
      </c>
      <c r="K31" s="608">
        <f ca="1">IFERROR(OptVegaATM(IF(K$5="C",1,0), K$17, K$6, K$18, 0.04, K$20/100, K$21/100, K$22/100, K$23/100) * K$7 / 10, 0)</f>
        <v>0</v>
      </c>
      <c r="N31" s="725"/>
      <c r="Q31" s="725"/>
      <c r="T31" s="677"/>
      <c r="AB31" s="596" t="s">
        <v>119</v>
      </c>
      <c r="AC31" s="596" t="s">
        <v>1286</v>
      </c>
      <c r="AD3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1" s="683" t="e">
        <f>ABS(_xll.BDP(Options[[#This Row],[P-Ticker]], "OPT_DELTA_YEST"))*100</f>
        <v>#VALUE!</v>
      </c>
      <c r="AG31" s="683" t="str">
        <f>IFERROR(ABS(RTD("esrtd",,Options[[#This Row],[Index]] &amp; " " &amp; Options[[#This Row],[Month]] &amp; "P" &amp; $AL31*100 &amp; "-ICE", "OldSettlement")), "")</f>
        <v/>
      </c>
      <c r="AH31" s="683" t="str">
        <f>IFERROR(ABS(RTD("esrtd",,Options[[#This Row],[Index]] &amp; " " &amp; Options[[#This Row],[Month]] &amp; "P" &amp; $AL31*100 &amp; "-ICE", "OldSetIV"))*100, "")</f>
        <v/>
      </c>
      <c r="AI31" s="683" t="str">
        <f>IFERROR(ABS(RTD("esrtd",,Options[[#This Row],[Index]] &amp; " " &amp; Options[[#This Row],[Month]] &amp; "P" &amp; $AL31*100 &amp; "-ICE", "Delta"))*100, "")</f>
        <v/>
      </c>
      <c r="AJ31" s="683" t="str">
        <f>IFERROR(ABS(RTD("esrtd",,Options[[#This Row],[Index]] &amp; " " &amp; Options[[#This Row],[Month]] &amp; "P" &amp; $AL31*100 &amp; "-ICE", "Market")), "")</f>
        <v/>
      </c>
      <c r="AK31" s="683" t="str">
        <f>IFERROR(ABS(RTD("esrtd",,Options[[#This Row],[Index]] &amp; " " &amp; Options[[#This Row],[Month]] &amp; "P" &amp; $AL31*100 &amp; "-ICE", "ImpVol"))*100, "")</f>
        <v/>
      </c>
      <c r="AL31" s="676" t="e">
        <f>AL32-1</f>
        <v>#VALUE!</v>
      </c>
      <c r="AM31" s="684" t="e">
        <f>ABS(_xll.BDP(Options[[#This Row],[C-Ticker]], "OPT_DELTA_YEST"))*100</f>
        <v>#VALUE!</v>
      </c>
      <c r="AN31" s="684" t="str">
        <f>IFERROR(ABS(RTD("esrtd",,Options[[#This Row],[Index]] &amp; " " &amp; Options[[#This Row],[Month]] &amp; "C" &amp; $AL31*100 &amp; "-ICE", "OldSettlement")), "")</f>
        <v/>
      </c>
      <c r="AO31" s="684" t="str">
        <f>IFERROR(ABS(RTD("esrtd",,Options[[#This Row],[Index]] &amp; " " &amp; Options[[#This Row],[Month]] &amp; "C" &amp; $AL31*100 &amp; "-ICE", "OldSetIV"))*100, "")</f>
        <v/>
      </c>
      <c r="AP31" s="684" t="str">
        <f>IFERROR(ABS(RTD("esrtd",,Options[[#This Row],[Index]] &amp; " " &amp; Options[[#This Row],[Month]] &amp; "C" &amp; $AL31*100 &amp; "-ICE", "Delta"))*100, "")</f>
        <v/>
      </c>
      <c r="AQ31" s="684" t="str">
        <f>IFERROR(ABS(RTD("esrtd",,Options[[#This Row],[Index]] &amp; " " &amp; Options[[#This Row],[Month]] &amp; "C" &amp; $AL31*100 &amp; "-ICE", "Market")), "")</f>
        <v/>
      </c>
      <c r="AR31" s="684" t="str">
        <f>IFERROR(ABS(RTD("esrtd",,Options[[#This Row],[Index]] &amp; " " &amp; Options[[#This Row],[Month]] &amp; "C" &amp; $AL31*100 &amp; "-ICE", "ImpVol"))*100, "")</f>
        <v/>
      </c>
      <c r="AT31" s="678"/>
      <c r="AU31" s="677"/>
      <c r="AV31" s="596" t="s">
        <v>175</v>
      </c>
      <c r="AW31" s="677" t="str" cm="1">
        <f t="array" ref="AW31">_xll.BDP($AU$20, "MID")</f>
        <v>#N/A Real Time</v>
      </c>
      <c r="AX31" s="677" t="e">
        <f>FLOOR(AW31, 1)</f>
        <v>#VALUE!</v>
      </c>
      <c r="AY31" s="677" t="e" cm="1">
        <f t="array" ref="AY31">INDEX($AR$5:$AR$72, MATCH($AX31, $AL$5:$AL$72, 0), 0)</f>
        <v>#VALUE!</v>
      </c>
    </row>
    <row r="32" spans="1:55" x14ac:dyDescent="0.25">
      <c r="A32" s="605" t="s">
        <v>172</v>
      </c>
      <c r="B32" s="608">
        <f>IFERROR(OptVegaSkew(IF(B$5="C",1,0), B$17, B$6, B$18, 0.04, (B$20)/100, B$21/100, B$22/100, B$23/100) * B$7, 0)</f>
        <v>0</v>
      </c>
      <c r="C32" s="608">
        <f ca="1">IFERROR(OptVegaSkew(IF(C$5="C",1,0), C$17, C$6, C$18, 0.04, (C$20)/100, C$21/100, C$22/100, C$23/100) * C$7, 0)</f>
        <v>0</v>
      </c>
      <c r="D32" s="608">
        <f ca="1">IFERROR(OptVegaSkew(IF(D$5="C",1,0), D$17, D$6, D$18, 0.04, (D$20)/100, D$21/100, D$22/100, D$23/100) * D$7, 0)</f>
        <v>0</v>
      </c>
      <c r="E32" s="608">
        <f>IFERROR(OptVegaSkew(IF(E$5="C",1,0), E$17, E$6, E$18, 0.04, (E$20)/100, E$21/100, E$22/100, E$23/100) * E$7, 0)</f>
        <v>0</v>
      </c>
      <c r="F32" s="608">
        <f>IFERROR(OptVegaSkew(IF(F$5="C",1,0), F$17, F$6, F$18, 0.04, (F$20)/100, F$21/100, F$22/100, F$23/100) * F$7, 0)</f>
        <v>0</v>
      </c>
      <c r="G32" s="596"/>
      <c r="H32" s="605" t="s">
        <v>172</v>
      </c>
      <c r="I32" s="608">
        <f ca="1">IFERROR(OptVegaSkew(IF(I$5="C",1,0), I$17, I$6, I$18, 0.04, (I$20)/100, I$21/100, I$22/100, I$23/100) * I$7 / 10, 0)</f>
        <v>0</v>
      </c>
      <c r="J32" s="608">
        <f ca="1">IFERROR(OptVegaSkew(IF(J$5="C",1,0), J$17, J$6, J$18, 0.04, (J$20)/100, J$21/100, J$22/100, J$23/100) * J$7 / 10, 0)</f>
        <v>0</v>
      </c>
      <c r="K32" s="608">
        <f ca="1">IFERROR(OptVegaSkew(IF(K$5="C",1,0), K$17, K$6, K$18, 0.04, (K$20)/100, K$21/100, K$22/100, K$23/100) * K$7 / 10, 0)</f>
        <v>0</v>
      </c>
      <c r="N32" s="677"/>
      <c r="Q32" s="677"/>
      <c r="T32" s="677"/>
      <c r="AB32" s="596" t="s">
        <v>119</v>
      </c>
      <c r="AC32" s="596" t="s">
        <v>1286</v>
      </c>
      <c r="AD3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2" s="683" t="e">
        <f>ABS(_xll.BDP(Options[[#This Row],[P-Ticker]], "OPT_DELTA_YEST"))*100</f>
        <v>#VALUE!</v>
      </c>
      <c r="AG32" s="683" t="str">
        <f>IFERROR(ABS(RTD("esrtd",,Options[[#This Row],[Index]] &amp; " " &amp; Options[[#This Row],[Month]] &amp; "P" &amp; $AL32*100 &amp; "-ICE", "OldSettlement")), "")</f>
        <v/>
      </c>
      <c r="AH32" s="683" t="str">
        <f>IFERROR(ABS(RTD("esrtd",,Options[[#This Row],[Index]] &amp; " " &amp; Options[[#This Row],[Month]] &amp; "P" &amp; $AL32*100 &amp; "-ICE", "OldSetIV"))*100, "")</f>
        <v/>
      </c>
      <c r="AI32" s="683" t="str">
        <f>IFERROR(ABS(RTD("esrtd",,Options[[#This Row],[Index]] &amp; " " &amp; Options[[#This Row],[Month]] &amp; "P" &amp; $AL32*100 &amp; "-ICE", "Delta"))*100, "")</f>
        <v/>
      </c>
      <c r="AJ32" s="683" t="str">
        <f>IFERROR(ABS(RTD("esrtd",,Options[[#This Row],[Index]] &amp; " " &amp; Options[[#This Row],[Month]] &amp; "P" &amp; $AL32*100 &amp; "-ICE", "Market")), "")</f>
        <v/>
      </c>
      <c r="AK32" s="683" t="str">
        <f>IFERROR(ABS(RTD("esrtd",,Options[[#This Row],[Index]] &amp; " " &amp; Options[[#This Row],[Month]] &amp; "P" &amp; $AL32*100 &amp; "-ICE", "ImpVol"))*100, "")</f>
        <v/>
      </c>
      <c r="AL32" s="676" t="e">
        <f>FLOOR(AL33-0.25, 1)</f>
        <v>#VALUE!</v>
      </c>
      <c r="AM32" s="684" t="e">
        <f>ABS(_xll.BDP(Options[[#This Row],[C-Ticker]], "OPT_DELTA_YEST"))*100</f>
        <v>#VALUE!</v>
      </c>
      <c r="AN32" s="684" t="str">
        <f>IFERROR(ABS(RTD("esrtd",,Options[[#This Row],[Index]] &amp; " " &amp; Options[[#This Row],[Month]] &amp; "C" &amp; $AL32*100 &amp; "-ICE", "OldSettlement")), "")</f>
        <v/>
      </c>
      <c r="AO32" s="684" t="str">
        <f>IFERROR(ABS(RTD("esrtd",,Options[[#This Row],[Index]] &amp; " " &amp; Options[[#This Row],[Month]] &amp; "C" &amp; $AL32*100 &amp; "-ICE", "OldSetIV"))*100, "")</f>
        <v/>
      </c>
      <c r="AP32" s="684" t="str">
        <f>IFERROR(ABS(RTD("esrtd",,Options[[#This Row],[Index]] &amp; " " &amp; Options[[#This Row],[Month]] &amp; "C" &amp; $AL32*100 &amp; "-ICE", "Delta"))*100, "")</f>
        <v/>
      </c>
      <c r="AQ32" s="684" t="str">
        <f>IFERROR(ABS(RTD("esrtd",,Options[[#This Row],[Index]] &amp; " " &amp; Options[[#This Row],[Month]] &amp; "C" &amp; $AL32*100 &amp; "-ICE", "Market")), "")</f>
        <v/>
      </c>
      <c r="AR32" s="684" t="str">
        <f>IFERROR(ABS(RTD("esrtd",,Options[[#This Row],[Index]] &amp; " " &amp; Options[[#This Row],[Month]] &amp; "C" &amp; $AL32*100 &amp; "-ICE", "ImpVol"))*100, "")</f>
        <v/>
      </c>
      <c r="AT32" s="678"/>
      <c r="AU32" s="677"/>
      <c r="AV32" s="596" t="s">
        <v>180</v>
      </c>
      <c r="AW32" s="677" t="str" cm="1">
        <f t="array" ref="AW32">_xll.BDP($AU$20, "MID")</f>
        <v>#N/A Real Time</v>
      </c>
      <c r="AX32" s="677" t="e">
        <f>FLOOR(AW32, 1)</f>
        <v>#VALUE!</v>
      </c>
      <c r="AY32" s="677" t="e" cm="1">
        <f t="array" ref="AY32">INDEX($AK$5:$AK$72, MATCH($AX32, $AL$5:$AL$72, 0), 0)</f>
        <v>#VALUE!</v>
      </c>
    </row>
    <row r="33" spans="1:53" x14ac:dyDescent="0.25">
      <c r="A33" s="605" t="s">
        <v>173</v>
      </c>
      <c r="B33" s="608">
        <f>IFERROR(OptVegaWings(IF(B$5="C",1,0), B$17, B$6, B$18, 0.04, (B$20)/100, B$21/100, B$22/100, B$23/100) * B$7, 0)</f>
        <v>0</v>
      </c>
      <c r="C33" s="608">
        <f ca="1">IFERROR(OptVegaWings(IF(C$5="C",1,0), C$17, C$6, C$18, 0.04, (C$20)/100, C$21/100, C$22/100, C$23/100) * C$7, 0)</f>
        <v>0</v>
      </c>
      <c r="D33" s="608">
        <f ca="1">IFERROR(OptVegaWings(IF(D$5="C",1,0), D$17, D$6, D$18, 0.04, (D$20)/100, D$21/100, D$22/100, D$23/100) * D$7, 0)</f>
        <v>0</v>
      </c>
      <c r="E33" s="608">
        <f>IFERROR(OptVegaWings(IF(E$5="C",1,0), E$17, E$6, E$18, 0.04, (E$20)/100, E$21/100, E$22/100, E$23/100) * E$7, 0)</f>
        <v>0</v>
      </c>
      <c r="F33" s="608">
        <f>IFERROR(OptVegaWings(IF(F$5="C",1,0), F$17, F$6, F$18, 0.04, (F$20)/100, F$21/100, F$22/100, F$23/100) * F$7, 0)</f>
        <v>0</v>
      </c>
      <c r="G33" s="596"/>
      <c r="H33" s="605" t="s">
        <v>173</v>
      </c>
      <c r="I33" s="608">
        <f ca="1">IFERROR(OptVegaWings(IF(I$5="C",1,0), I$17, I$6, I$18, 0.04, (I$20)/100, I$21/100, I$22/100, I$23/100) * I$7 / 10, 0)</f>
        <v>0</v>
      </c>
      <c r="J33" s="608">
        <f ca="1">IFERROR(OptVegaWings(IF(J$5="C",1,0), J$17, J$6, J$18, 0.04, (J$20)/100, J$21/100, J$22/100, J$23/100) * J$7 / 10, 0)</f>
        <v>0</v>
      </c>
      <c r="K33" s="608">
        <f ca="1">IFERROR(OptVegaWings(IF(K$5="C",1,0), K$17, K$6, K$18, 0.04, (K$20)/100, K$21/100, K$22/100, K$23/100) * K$7 / 10, 0)</f>
        <v>0</v>
      </c>
      <c r="N33" s="726"/>
      <c r="R33" s="730"/>
      <c r="AB33" s="596" t="s">
        <v>119</v>
      </c>
      <c r="AC33" s="596" t="s">
        <v>1286</v>
      </c>
      <c r="AD3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3" s="683" t="e">
        <f>ABS(_xll.BDP(Options[[#This Row],[P-Ticker]], "OPT_DELTA_YEST"))*100</f>
        <v>#VALUE!</v>
      </c>
      <c r="AG33" s="683" t="str">
        <f>IFERROR(ABS(RTD("esrtd",,Options[[#This Row],[Index]] &amp; " " &amp; Options[[#This Row],[Month]] &amp; "P" &amp; $AL33*100 &amp; "-ICE", "OldSettlement")), "")</f>
        <v/>
      </c>
      <c r="AH33" s="683" t="str">
        <f>IFERROR(ABS(RTD("esrtd",,Options[[#This Row],[Index]] &amp; " " &amp; Options[[#This Row],[Month]] &amp; "P" &amp; $AL33*100 &amp; "-ICE", "OldSetIV"))*100, "")</f>
        <v/>
      </c>
      <c r="AI33" s="683" t="str">
        <f>IFERROR(ABS(RTD("esrtd",,Options[[#This Row],[Index]] &amp; " " &amp; Options[[#This Row],[Month]] &amp; "P" &amp; $AL33*100 &amp; "-ICE", "Delta"))*100, "")</f>
        <v/>
      </c>
      <c r="AJ33" s="683" t="str">
        <f>IFERROR(ABS(RTD("esrtd",,Options[[#This Row],[Index]] &amp; " " &amp; Options[[#This Row],[Month]] &amp; "P" &amp; $AL33*100 &amp; "-ICE", "Market")), "")</f>
        <v/>
      </c>
      <c r="AK33" s="683" t="str">
        <f>IFERROR(ABS(RTD("esrtd",,Options[[#This Row],[Index]] &amp; " " &amp; Options[[#This Row],[Month]] &amp; "P" &amp; $AL33*100 &amp; "-ICE", "ImpVol"))*100, "")</f>
        <v/>
      </c>
      <c r="AL33" s="676" t="e">
        <f>FLOOR(AL34-0.5, 1)</f>
        <v>#VALUE!</v>
      </c>
      <c r="AM33" s="684" t="e">
        <f>ABS(_xll.BDP(Options[[#This Row],[C-Ticker]], "OPT_DELTA_YEST"))*100</f>
        <v>#VALUE!</v>
      </c>
      <c r="AN33" s="684" t="str">
        <f>IFERROR(ABS(RTD("esrtd",,Options[[#This Row],[Index]] &amp; " " &amp; Options[[#This Row],[Month]] &amp; "C" &amp; $AL33*100 &amp; "-ICE", "OldSettlement")), "")</f>
        <v/>
      </c>
      <c r="AO33" s="684" t="str">
        <f>IFERROR(ABS(RTD("esrtd",,Options[[#This Row],[Index]] &amp; " " &amp; Options[[#This Row],[Month]] &amp; "C" &amp; $AL33*100 &amp; "-ICE", "OldSetIV"))*100, "")</f>
        <v/>
      </c>
      <c r="AP33" s="684" t="str">
        <f>IFERROR(ABS(RTD("esrtd",,Options[[#This Row],[Index]] &amp; " " &amp; Options[[#This Row],[Month]] &amp; "C" &amp; $AL33*100 &amp; "-ICE", "Delta"))*100, "")</f>
        <v/>
      </c>
      <c r="AQ33" s="684" t="str">
        <f>IFERROR(ABS(RTD("esrtd",,Options[[#This Row],[Index]] &amp; " " &amp; Options[[#This Row],[Month]] &amp; "C" &amp; $AL33*100 &amp; "-ICE", "Market")), "")</f>
        <v/>
      </c>
      <c r="AR33" s="684" t="str">
        <f>IFERROR(ABS(RTD("esrtd",,Options[[#This Row],[Index]] &amp; " " &amp; Options[[#This Row],[Month]] &amp; "C" &amp; $AL33*100 &amp; "-ICE", "ImpVol"))*100, "")</f>
        <v/>
      </c>
      <c r="AT33" s="678"/>
      <c r="AU33" s="677"/>
      <c r="AZ33" s="677"/>
    </row>
    <row r="34" spans="1:53" x14ac:dyDescent="0.25">
      <c r="A34" s="605" t="s">
        <v>174</v>
      </c>
      <c r="B34" s="608" t="str">
        <f>IFERROR(OptVanna(IF(B$5 = "C", 1, 0), B$17, B$6, B$18, 0.04, B$20/100) * B$7, "")</f>
        <v/>
      </c>
      <c r="C34" s="608" t="str">
        <f ca="1">IFERROR(OptVanna(IF(C$5 = "C", 1, 0), C$17, C$6, C$18, 0.04, C$20/100) * C$7, "")</f>
        <v/>
      </c>
      <c r="D34" s="608" t="str">
        <f ca="1">IFERROR(OptVanna(IF(D$5 = "C", 1, 0), D$17, D$6, D$18, 0.04, D$20/100) * D$7, "")</f>
        <v/>
      </c>
      <c r="E34" s="608" t="str">
        <f>IFERROR(OptVanna(IF(E$5 = "C", 1, 0), E$17, E$6, E$18, 0.04, E$20/100) * E$7, "")</f>
        <v/>
      </c>
      <c r="F34" s="608" t="str">
        <f>IFERROR(OptVanna(IF(F$5 = "C", 1, 0), F$17, F$6, F$18, 0.04, F$20/100) * F$7, "")</f>
        <v/>
      </c>
      <c r="G34" s="596"/>
      <c r="H34" s="605" t="s">
        <v>174</v>
      </c>
      <c r="I34" s="608" t="str">
        <f ca="1">IFERROR(OptVanna(IF(I$5 = "C", 1, 0), I$17, I$6, I$18, 0.04, I$20/100) * I$7 / 10, "")</f>
        <v/>
      </c>
      <c r="J34" s="608" t="str">
        <f ca="1">IFERROR(OptVanna(IF(J$5 = "C", 1, 0), J$17, J$6, J$18, 0.04, J$20/100) * J$7 / 10, "")</f>
        <v/>
      </c>
      <c r="K34" s="608" t="str">
        <f ca="1">IFERROR(OptVanna(IF(K$5 = "C", 1, 0), K$17, K$6, K$18, 0.04, K$20/100) * K$7 / 10, "")</f>
        <v/>
      </c>
      <c r="T34" s="725"/>
      <c r="AB34" s="596" t="s">
        <v>119</v>
      </c>
      <c r="AC34" s="596" t="s">
        <v>1286</v>
      </c>
      <c r="AD3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4" s="683" t="e">
        <f>ABS(_xll.BDP(Options[[#This Row],[P-Ticker]], "OPT_DELTA_YEST"))*100</f>
        <v>#VALUE!</v>
      </c>
      <c r="AG34" s="683" t="str">
        <f>IFERROR(ABS(RTD("esrtd",,Options[[#This Row],[Index]] &amp; " " &amp; Options[[#This Row],[Month]] &amp; "P" &amp; $AL34*100 &amp; "-ICE", "OldSettlement")), "")</f>
        <v/>
      </c>
      <c r="AH34" s="683" t="str">
        <f>IFERROR(ABS(RTD("esrtd",,Options[[#This Row],[Index]] &amp; " " &amp; Options[[#This Row],[Month]] &amp; "P" &amp; $AL34*100 &amp; "-ICE", "OldSetIV"))*100, "")</f>
        <v/>
      </c>
      <c r="AI34" s="683" t="str">
        <f>IFERROR(ABS(RTD("esrtd",,Options[[#This Row],[Index]] &amp; " " &amp; Options[[#This Row],[Month]] &amp; "P" &amp; $AL34*100 &amp; "-ICE", "Delta"))*100, "")</f>
        <v/>
      </c>
      <c r="AJ34" s="683" t="str">
        <f>IFERROR(ABS(RTD("esrtd",,Options[[#This Row],[Index]] &amp; " " &amp; Options[[#This Row],[Month]] &amp; "P" &amp; $AL34*100 &amp; "-ICE", "Market")), "")</f>
        <v/>
      </c>
      <c r="AK34" s="683" t="str">
        <f>IFERROR(ABS(RTD("esrtd",,Options[[#This Row],[Index]] &amp; " " &amp; Options[[#This Row],[Month]] &amp; "P" &amp; $AL34*100 &amp; "-ICE", "ImpVol"))*100, "")</f>
        <v/>
      </c>
      <c r="AL34" s="690" t="e" cm="1">
        <f t="array" ref="AL34">CEILING(_xll.BDP("COQ6 Comdty", "MID"), 1)</f>
        <v>#VALUE!</v>
      </c>
      <c r="AM34" s="684" t="e">
        <f>ABS(_xll.BDP(Options[[#This Row],[C-Ticker]], "OPT_DELTA_YEST"))*100</f>
        <v>#VALUE!</v>
      </c>
      <c r="AN34" s="684" t="str">
        <f>IFERROR(ABS(RTD("esrtd",,Options[[#This Row],[Index]] &amp; " " &amp; Options[[#This Row],[Month]] &amp; "C" &amp; $AL34*100 &amp; "-ICE", "OldSettlement")), "")</f>
        <v/>
      </c>
      <c r="AO34" s="684" t="str">
        <f>IFERROR(ABS(RTD("esrtd",,Options[[#This Row],[Index]] &amp; " " &amp; Options[[#This Row],[Month]] &amp; "C" &amp; $AL34*100 &amp; "-ICE", "OldSetIV"))*100, "")</f>
        <v/>
      </c>
      <c r="AP34" s="684" t="str">
        <f>IFERROR(ABS(RTD("esrtd",,Options[[#This Row],[Index]] &amp; " " &amp; Options[[#This Row],[Month]] &amp; "C" &amp; $AL34*100 &amp; "-ICE", "Delta"))*100, "")</f>
        <v/>
      </c>
      <c r="AQ34" s="684" t="str">
        <f>IFERROR(ABS(RTD("esrtd",,Options[[#This Row],[Index]] &amp; " " &amp; Options[[#This Row],[Month]] &amp; "C" &amp; $AL34*100 &amp; "-ICE", "Market")), "")</f>
        <v/>
      </c>
      <c r="AR34" s="684" t="str">
        <f>IFERROR(ABS(RTD("esrtd",,Options[[#This Row],[Index]] &amp; " " &amp; Options[[#This Row],[Month]] &amp; "C" &amp; $AL34*100 &amp; "-ICE", "ImpVol"))*100, "")</f>
        <v/>
      </c>
      <c r="AT34" s="678"/>
      <c r="AU34" s="677"/>
      <c r="AV34" s="677" t="s">
        <v>118</v>
      </c>
      <c r="AW34" s="677" t="str" cm="1">
        <f t="array" ref="AW34">_xll.BDP($AU$20, "PX_SETTLE")</f>
        <v>#N/A N/A</v>
      </c>
      <c r="AX34" s="677" t="e">
        <f>FLOOR(AW34, 1)</f>
        <v>#VALUE!</v>
      </c>
      <c r="AY34" s="677" t="e" cm="1">
        <f t="array" ref="AY34">INDEX($AO$5:$AO$72, MATCH($AX34, $AL$5:$AL$72, 0), 0)</f>
        <v>#VALUE!</v>
      </c>
      <c r="AZ34" s="677"/>
    </row>
    <row r="35" spans="1:53" x14ac:dyDescent="0.25">
      <c r="A35" s="605" t="s">
        <v>176</v>
      </c>
      <c r="B35" s="608" t="str">
        <f>IFERROR(OptVolga(IF(B$5 = "C", 1, 0), B$17, B$6, B$18, 0.04, B$20/100) * B$7, "")</f>
        <v/>
      </c>
      <c r="C35" s="608" t="str">
        <f ca="1">IFERROR(OptVolga(IF(C$5 = "C", 1, 0), C$17, C$6, C$18, 0.04, C$20/100) * C$7, "")</f>
        <v/>
      </c>
      <c r="D35" s="608" t="str">
        <f ca="1">IFERROR(OptVolga(IF(D$5 = "C", 1, 0), D$17, D$6, D$18, 0.04, D$20/100) * D$7, "")</f>
        <v/>
      </c>
      <c r="E35" s="608" t="str">
        <f>IFERROR(OptVolga(IF(E$5 = "C", 1, 0), E$17, E$6, E$18, 0.04, E$20/100) * E$7, "")</f>
        <v/>
      </c>
      <c r="F35" s="608" t="str">
        <f>IFERROR(OptVolga(IF(F$5 = "C", 1, 0), F$17, F$6, F$18, 0.04, F$20/100) * F$7, "")</f>
        <v/>
      </c>
      <c r="G35" s="596"/>
      <c r="H35" s="605" t="s">
        <v>176</v>
      </c>
      <c r="I35" s="608" t="str">
        <f ca="1">IFERROR(OptVolga(IF(I$5 = "C", 1, 0), I$17, I$6, I$18, 0.04, I$20/100) * I$7 / 10, "")</f>
        <v/>
      </c>
      <c r="J35" s="608" t="str">
        <f ca="1">IFERROR(OptVolga(IF(J$5 = "C", 1, 0), J$17, J$6, J$18, 0.04, J$20/100) * J$7 / 10, "")</f>
        <v/>
      </c>
      <c r="K35" s="608" t="str">
        <f ca="1">IFERROR(OptVolga(IF(K$5 = "C", 1, 0), K$17, K$6, K$18, 0.04, K$20/100) * K$7 / 10, "")</f>
        <v/>
      </c>
      <c r="T35" s="677"/>
      <c r="AB35" s="596" t="s">
        <v>119</v>
      </c>
      <c r="AC35" s="596" t="s">
        <v>1286</v>
      </c>
      <c r="AD3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5" s="683" t="e">
        <f>ABS(_xll.BDP(Options[[#This Row],[P-Ticker]], "OPT_DELTA_YEST"))*100</f>
        <v>#VALUE!</v>
      </c>
      <c r="AG35" s="683" t="str">
        <f>IFERROR(ABS(RTD("esrtd",,Options[[#This Row],[Index]] &amp; " " &amp; Options[[#This Row],[Month]] &amp; "P" &amp; $AL35*100 &amp; "-ICE", "OldSettlement")), "")</f>
        <v/>
      </c>
      <c r="AH35" s="683" t="str">
        <f>IFERROR(ABS(RTD("esrtd",,Options[[#This Row],[Index]] &amp; " " &amp; Options[[#This Row],[Month]] &amp; "P" &amp; $AL35*100 &amp; "-ICE", "OldSetIV"))*100, "")</f>
        <v/>
      </c>
      <c r="AI35" s="683" t="str">
        <f>IFERROR(ABS(RTD("esrtd",,Options[[#This Row],[Index]] &amp; " " &amp; Options[[#This Row],[Month]] &amp; "P" &amp; $AL35*100 &amp; "-ICE", "Delta"))*100, "")</f>
        <v/>
      </c>
      <c r="AJ35" s="683" t="str">
        <f>IFERROR(ABS(RTD("esrtd",,Options[[#This Row],[Index]] &amp; " " &amp; Options[[#This Row],[Month]] &amp; "P" &amp; $AL35*100 &amp; "-ICE", "Market")), "")</f>
        <v/>
      </c>
      <c r="AK35" s="683" t="str">
        <f>IFERROR(ABS(RTD("esrtd",,Options[[#This Row],[Index]] &amp; " " &amp; Options[[#This Row],[Month]] &amp; "P" &amp; $AL35*100 &amp; "-ICE", "ImpVol"))*100, "")</f>
        <v/>
      </c>
      <c r="AL35" s="676" t="e">
        <f>CEILING(AL34+0.5,1)</f>
        <v>#VALUE!</v>
      </c>
      <c r="AM35" s="684" t="e">
        <f>ABS(_xll.BDP(Options[[#This Row],[C-Ticker]], "OPT_DELTA_YEST"))*100</f>
        <v>#VALUE!</v>
      </c>
      <c r="AN35" s="684" t="str">
        <f>IFERROR(ABS(RTD("esrtd",,Options[[#This Row],[Index]] &amp; " " &amp; Options[[#This Row],[Month]] &amp; "C" &amp; $AL35*100 &amp; "-ICE", "OldSettlement")), "")</f>
        <v/>
      </c>
      <c r="AO35" s="684" t="str">
        <f>IFERROR(ABS(RTD("esrtd",,Options[[#This Row],[Index]] &amp; " " &amp; Options[[#This Row],[Month]] &amp; "C" &amp; $AL35*100 &amp; "-ICE", "OldSetIV"))*100, "")</f>
        <v/>
      </c>
      <c r="AP35" s="684" t="str">
        <f>IFERROR(ABS(RTD("esrtd",,Options[[#This Row],[Index]] &amp; " " &amp; Options[[#This Row],[Month]] &amp; "C" &amp; $AL35*100 &amp; "-ICE", "Delta"))*100, "")</f>
        <v/>
      </c>
      <c r="AQ35" s="684" t="str">
        <f>IFERROR(ABS(RTD("esrtd",,Options[[#This Row],[Index]] &amp; " " &amp; Options[[#This Row],[Month]] &amp; "C" &amp; $AL35*100 &amp; "-ICE", "Market")), "")</f>
        <v/>
      </c>
      <c r="AR35" s="684" t="str">
        <f>IFERROR(ABS(RTD("esrtd",,Options[[#This Row],[Index]] &amp; " " &amp; Options[[#This Row],[Month]] &amp; "C" &amp; $AL35*100 &amp; "-ICE", "ImpVol"))*100, "")</f>
        <v/>
      </c>
      <c r="AT35" s="678"/>
      <c r="AU35" s="677"/>
      <c r="AV35" s="677"/>
      <c r="AX35" s="678"/>
      <c r="AY35" s="677"/>
      <c r="AZ35" s="677"/>
    </row>
    <row r="36" spans="1:53" x14ac:dyDescent="0.25">
      <c r="A36" s="605" t="s">
        <v>181</v>
      </c>
      <c r="B36" s="608" cm="1">
        <f t="array" ref="B36">IFERROR(B$7 * _xll.BDP(B$9, "OPT_THETA_YEST"), 0)</f>
        <v>0</v>
      </c>
      <c r="C36" s="608" cm="1">
        <f t="array" ref="C36">IFERROR(C$7 * _xll.BDP(C$9, "OPT_THETA_YEST"), 0)</f>
        <v>0</v>
      </c>
      <c r="D36" s="608" cm="1">
        <f t="array" ref="D36">IFERROR(D$7 * _xll.BDP(D$9, "OPT_THETA_YEST"), 0)</f>
        <v>0</v>
      </c>
      <c r="E36" s="608" cm="1">
        <f t="array" ref="E36">IFERROR(E$7 * _xll.BDP(E$9, "OPT_THETA_YEST"), 0)</f>
        <v>0</v>
      </c>
      <c r="F36" s="608" cm="1">
        <f t="array" ref="F36">IFERROR(F$7 * _xll.BDP(F$9, "OPT_THETA_YEST"), 0)</f>
        <v>0</v>
      </c>
      <c r="G36" s="596"/>
      <c r="H36" s="605" t="s">
        <v>181</v>
      </c>
      <c r="I36" s="608" cm="1">
        <f t="array" ref="I36">IFERROR(I$7 * _xll.BDP(I$9, "OPT_THETA_YEST"), 0)/10</f>
        <v>0</v>
      </c>
      <c r="J36" s="608" cm="1">
        <f t="array" ref="J36">IFERROR(J$7 * _xll.BDP(J$9, "OPT_THETA_YEST"), 0)/10</f>
        <v>0</v>
      </c>
      <c r="K36" s="608" cm="1">
        <f t="array" ref="K36">IFERROR(K$7 * _xll.BDP(K$9, "OPT_THETA_YEST"), 0)/10</f>
        <v>0</v>
      </c>
      <c r="AB36" s="596" t="s">
        <v>119</v>
      </c>
      <c r="AC36" s="596" t="s">
        <v>1286</v>
      </c>
      <c r="AD3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6" s="683" t="e">
        <f>ABS(_xll.BDP(Options[[#This Row],[P-Ticker]], "OPT_DELTA_YEST"))*100</f>
        <v>#VALUE!</v>
      </c>
      <c r="AG36" s="683" t="str">
        <f>IFERROR(ABS(RTD("esrtd",,Options[[#This Row],[Index]] &amp; " " &amp; Options[[#This Row],[Month]] &amp; "P" &amp; $AL36*100 &amp; "-ICE", "OldSettlement")), "")</f>
        <v/>
      </c>
      <c r="AH36" s="683" t="str">
        <f>IFERROR(ABS(RTD("esrtd",,Options[[#This Row],[Index]] &amp; " " &amp; Options[[#This Row],[Month]] &amp; "P" &amp; $AL36*100 &amp; "-ICE", "OldSetIV"))*100, "")</f>
        <v/>
      </c>
      <c r="AI36" s="683" t="str">
        <f>IFERROR(ABS(RTD("esrtd",,Options[[#This Row],[Index]] &amp; " " &amp; Options[[#This Row],[Month]] &amp; "P" &amp; $AL36*100 &amp; "-ICE", "Delta"))*100, "")</f>
        <v/>
      </c>
      <c r="AJ36" s="683" t="str">
        <f>IFERROR(ABS(RTD("esrtd",,Options[[#This Row],[Index]] &amp; " " &amp; Options[[#This Row],[Month]] &amp; "P" &amp; $AL36*100 &amp; "-ICE", "Market")), "")</f>
        <v/>
      </c>
      <c r="AK36" s="683" t="str">
        <f>IFERROR(ABS(RTD("esrtd",,Options[[#This Row],[Index]] &amp; " " &amp; Options[[#This Row],[Month]] &amp; "P" &amp; $AL36*100 &amp; "-ICE", "ImpVol"))*100, "")</f>
        <v/>
      </c>
      <c r="AL36" s="676" t="e">
        <f t="shared" ref="AL36:AL48" si="8">AL35+1</f>
        <v>#VALUE!</v>
      </c>
      <c r="AM36" s="684" t="e">
        <f>ABS(_xll.BDP(Options[[#This Row],[C-Ticker]], "OPT_DELTA_YEST"))*100</f>
        <v>#VALUE!</v>
      </c>
      <c r="AN36" s="684" t="str">
        <f>IFERROR(ABS(RTD("esrtd",,Options[[#This Row],[Index]] &amp; " " &amp; Options[[#This Row],[Month]] &amp; "C" &amp; $AL36*100 &amp; "-ICE", "OldSettlement")), "")</f>
        <v/>
      </c>
      <c r="AO36" s="684" t="str">
        <f>IFERROR(ABS(RTD("esrtd",,Options[[#This Row],[Index]] &amp; " " &amp; Options[[#This Row],[Month]] &amp; "C" &amp; $AL36*100 &amp; "-ICE", "OldSetIV"))*100, "")</f>
        <v/>
      </c>
      <c r="AP36" s="684" t="str">
        <f>IFERROR(ABS(RTD("esrtd",,Options[[#This Row],[Index]] &amp; " " &amp; Options[[#This Row],[Month]] &amp; "C" &amp; $AL36*100 &amp; "-ICE", "Delta"))*100, "")</f>
        <v/>
      </c>
      <c r="AQ36" s="684" t="str">
        <f>IFERROR(ABS(RTD("esrtd",,Options[[#This Row],[Index]] &amp; " " &amp; Options[[#This Row],[Month]] &amp; "C" &amp; $AL36*100 &amp; "-ICE", "Market")), "")</f>
        <v/>
      </c>
      <c r="AR36" s="684" t="str">
        <f>IFERROR(ABS(RTD("esrtd",,Options[[#This Row],[Index]] &amp; " " &amp; Options[[#This Row],[Month]] &amp; "C" &amp; $AL36*100 &amp; "-ICE", "ImpVol"))*100, "")</f>
        <v/>
      </c>
      <c r="AT36" s="678"/>
      <c r="AU36" s="677"/>
      <c r="AV36" s="677"/>
      <c r="AY36" s="677"/>
      <c r="AZ36" s="677"/>
    </row>
    <row r="37" spans="1:53" x14ac:dyDescent="0.25">
      <c r="A37" s="605" t="s">
        <v>182</v>
      </c>
      <c r="B37" s="608" t="str" cm="1">
        <f t="array" ref="B37">IFERROR(OptSpeed(IF(B$5 = "C", 1, 0), B$17, B$6, B$18, 0.04, B$20/100) * B$7, "")</f>
        <v/>
      </c>
      <c r="C37" s="608" t="str" cm="1">
        <f t="array" aca="1" ref="C37" ca="1">IFERROR(OptSpeed(IF(C$5 = "C", 1, 0), C$17, C$6, C$18, 0.04, C$20/100) * C$7, "")</f>
        <v/>
      </c>
      <c r="D37" s="608" t="str" cm="1">
        <f t="array" aca="1" ref="D37" ca="1">IFERROR(OptSpeed(IF(D$5 = "C", 1, 0), D$17, D$6, D$18, 0.04, D$20/100) * D$7, "")</f>
        <v/>
      </c>
      <c r="E37" s="608" t="str" cm="1">
        <f t="array" ref="E37">IFERROR(OptSpeed(IF(E$5 = "C", 1, 0), E$17, E$6, E$18, 0.04, E$20/100) * E$7, "")</f>
        <v/>
      </c>
      <c r="F37" s="608" t="str" cm="1">
        <f t="array" ref="F37">IFERROR(OptSpeed(IF(F$5 = "C", 1, 0), F$17, F$6, F$18, 0.04, F$20/100) * F$7, "")</f>
        <v/>
      </c>
      <c r="G37" s="596"/>
      <c r="H37" s="605" t="s">
        <v>182</v>
      </c>
      <c r="I37" s="608" t="str" cm="1">
        <f t="array" aca="1" ref="I37" ca="1">IFERROR(OptSpeed(IF(I$5 = "C", 1, 0), I$17, I$6, I$18, 0.04, I$20/100) * I$7 / 10, "")</f>
        <v/>
      </c>
      <c r="J37" s="608" t="str" cm="1">
        <f t="array" aca="1" ref="J37" ca="1">IFERROR(OptSpeed(IF(J$5 = "C", 1, 0), J$17, J$6, J$18, 0.04, J$20/100) * J$7 / 10, "")</f>
        <v/>
      </c>
      <c r="K37" s="608" t="str" cm="1">
        <f t="array" aca="1" ref="K37" ca="1">IFERROR(OptSpeed(IF(K$5 = "C", 1, 0), K$17, K$6, K$18, 0.04, K$20/100) * K$7 / 10, "")</f>
        <v/>
      </c>
      <c r="L37" s="628"/>
      <c r="M37" s="597"/>
      <c r="P37" s="597"/>
      <c r="S37" s="597"/>
      <c r="AB37" s="596" t="s">
        <v>119</v>
      </c>
      <c r="AC37" s="596" t="s">
        <v>1286</v>
      </c>
      <c r="AD3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7" s="683" t="e">
        <f>ABS(_xll.BDP(Options[[#This Row],[P-Ticker]], "OPT_DELTA_YEST"))*100</f>
        <v>#VALUE!</v>
      </c>
      <c r="AG37" s="683" t="str">
        <f>IFERROR(ABS(RTD("esrtd",,Options[[#This Row],[Index]] &amp; " " &amp; Options[[#This Row],[Month]] &amp; "P" &amp; $AL37*100 &amp; "-ICE", "OldSettlement")), "")</f>
        <v/>
      </c>
      <c r="AH37" s="683" t="str">
        <f>IFERROR(ABS(RTD("esrtd",,Options[[#This Row],[Index]] &amp; " " &amp; Options[[#This Row],[Month]] &amp; "P" &amp; $AL37*100 &amp; "-ICE", "OldSetIV"))*100, "")</f>
        <v/>
      </c>
      <c r="AI37" s="683" t="str">
        <f>IFERROR(ABS(RTD("esrtd",,Options[[#This Row],[Index]] &amp; " " &amp; Options[[#This Row],[Month]] &amp; "P" &amp; $AL37*100 &amp; "-ICE", "Delta"))*100, "")</f>
        <v/>
      </c>
      <c r="AJ37" s="683" t="str">
        <f>IFERROR(ABS(RTD("esrtd",,Options[[#This Row],[Index]] &amp; " " &amp; Options[[#This Row],[Month]] &amp; "P" &amp; $AL37*100 &amp; "-ICE", "Market")), "")</f>
        <v/>
      </c>
      <c r="AK37" s="683" t="str">
        <f>IFERROR(ABS(RTD("esrtd",,Options[[#This Row],[Index]] &amp; " " &amp; Options[[#This Row],[Month]] &amp; "P" &amp; $AL37*100 &amp; "-ICE", "ImpVol"))*100, "")</f>
        <v/>
      </c>
      <c r="AL37" s="676" t="e">
        <f t="shared" si="8"/>
        <v>#VALUE!</v>
      </c>
      <c r="AM37" s="684" t="e">
        <f>ABS(_xll.BDP(Options[[#This Row],[C-Ticker]], "OPT_DELTA_YEST"))*100</f>
        <v>#VALUE!</v>
      </c>
      <c r="AN37" s="684" t="str">
        <f>IFERROR(ABS(RTD("esrtd",,Options[[#This Row],[Index]] &amp; " " &amp; Options[[#This Row],[Month]] &amp; "C" &amp; $AL37*100 &amp; "-ICE", "OldSettlement")), "")</f>
        <v/>
      </c>
      <c r="AO37" s="684" t="str">
        <f>IFERROR(ABS(RTD("esrtd",,Options[[#This Row],[Index]] &amp; " " &amp; Options[[#This Row],[Month]] &amp; "C" &amp; $AL37*100 &amp; "-ICE", "OldSetIV"))*100, "")</f>
        <v/>
      </c>
      <c r="AP37" s="684" t="str">
        <f>IFERROR(ABS(RTD("esrtd",,Options[[#This Row],[Index]] &amp; " " &amp; Options[[#This Row],[Month]] &amp; "C" &amp; $AL37*100 &amp; "-ICE", "Delta"))*100, "")</f>
        <v/>
      </c>
      <c r="AQ37" s="684" t="str">
        <f>IFERROR(ABS(RTD("esrtd",,Options[[#This Row],[Index]] &amp; " " &amp; Options[[#This Row],[Month]] &amp; "C" &amp; $AL37*100 &amp; "-ICE", "Market")), "")</f>
        <v/>
      </c>
      <c r="AR37" s="684" t="str">
        <f>IFERROR(ABS(RTD("esrtd",,Options[[#This Row],[Index]] &amp; " " &amp; Options[[#This Row],[Month]] &amp; "C" &amp; $AL37*100 &amp; "-ICE", "ImpVol"))*100, "")</f>
        <v/>
      </c>
      <c r="BA37" s="677"/>
    </row>
    <row r="38" spans="1:53" x14ac:dyDescent="0.25">
      <c r="A38" s="614"/>
      <c r="B38" s="615"/>
      <c r="C38" s="615"/>
      <c r="D38" s="615"/>
      <c r="E38" s="615"/>
      <c r="F38" s="615"/>
      <c r="G38" s="596"/>
      <c r="H38" s="614"/>
      <c r="I38" s="615"/>
      <c r="J38" s="615"/>
      <c r="K38" s="615"/>
      <c r="L38" s="628"/>
      <c r="N38" s="677"/>
      <c r="Q38" s="677"/>
      <c r="T38" s="677"/>
      <c r="AB38" s="596" t="s">
        <v>119</v>
      </c>
      <c r="AC38" s="596" t="s">
        <v>1286</v>
      </c>
      <c r="AD3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8" s="683" t="e">
        <f>ABS(_xll.BDP(Options[[#This Row],[P-Ticker]], "OPT_DELTA_YEST"))*100</f>
        <v>#VALUE!</v>
      </c>
      <c r="AG38" s="683" t="str">
        <f>IFERROR(ABS(RTD("esrtd",,Options[[#This Row],[Index]] &amp; " " &amp; Options[[#This Row],[Month]] &amp; "P" &amp; $AL38*100 &amp; "-ICE", "OldSettlement")), "")</f>
        <v/>
      </c>
      <c r="AH38" s="683" t="str">
        <f>IFERROR(ABS(RTD("esrtd",,Options[[#This Row],[Index]] &amp; " " &amp; Options[[#This Row],[Month]] &amp; "P" &amp; $AL38*100 &amp; "-ICE", "OldSetIV"))*100, "")</f>
        <v/>
      </c>
      <c r="AI38" s="683" t="str">
        <f>IFERROR(ABS(RTD("esrtd",,Options[[#This Row],[Index]] &amp; " " &amp; Options[[#This Row],[Month]] &amp; "P" &amp; $AL38*100 &amp; "-ICE", "Delta"))*100, "")</f>
        <v/>
      </c>
      <c r="AJ38" s="683" t="str">
        <f>IFERROR(ABS(RTD("esrtd",,Options[[#This Row],[Index]] &amp; " " &amp; Options[[#This Row],[Month]] &amp; "P" &amp; $AL38*100 &amp; "-ICE", "Market")), "")</f>
        <v/>
      </c>
      <c r="AK38" s="683" t="str">
        <f>IFERROR(ABS(RTD("esrtd",,Options[[#This Row],[Index]] &amp; " " &amp; Options[[#This Row],[Month]] &amp; "P" &amp; $AL38*100 &amp; "-ICE", "ImpVol"))*100, "")</f>
        <v/>
      </c>
      <c r="AL38" s="676" t="e">
        <f t="shared" si="8"/>
        <v>#VALUE!</v>
      </c>
      <c r="AM38" s="684" t="e">
        <f>ABS(_xll.BDP(Options[[#This Row],[C-Ticker]], "OPT_DELTA_YEST"))*100</f>
        <v>#VALUE!</v>
      </c>
      <c r="AN38" s="684" t="str">
        <f>IFERROR(ABS(RTD("esrtd",,Options[[#This Row],[Index]] &amp; " " &amp; Options[[#This Row],[Month]] &amp; "C" &amp; $AL38*100 &amp; "-ICE", "OldSettlement")), "")</f>
        <v/>
      </c>
      <c r="AO38" s="684" t="str">
        <f>IFERROR(ABS(RTD("esrtd",,Options[[#This Row],[Index]] &amp; " " &amp; Options[[#This Row],[Month]] &amp; "C" &amp; $AL38*100 &amp; "-ICE", "OldSetIV"))*100, "")</f>
        <v/>
      </c>
      <c r="AP38" s="684" t="str">
        <f>IFERROR(ABS(RTD("esrtd",,Options[[#This Row],[Index]] &amp; " " &amp; Options[[#This Row],[Month]] &amp; "C" &amp; $AL38*100 &amp; "-ICE", "Delta"))*100, "")</f>
        <v/>
      </c>
      <c r="AQ38" s="684" t="str">
        <f>IFERROR(ABS(RTD("esrtd",,Options[[#This Row],[Index]] &amp; " " &amp; Options[[#This Row],[Month]] &amp; "C" &amp; $AL38*100 &amp; "-ICE", "Market")), "")</f>
        <v/>
      </c>
      <c r="AR38" s="684" t="str">
        <f>IFERROR(ABS(RTD("esrtd",,Options[[#This Row],[Index]] &amp; " " &amp; Options[[#This Row],[Month]] &amp; "C" &amp; $AL38*100 &amp; "-ICE", "ImpVol"))*100, "")</f>
        <v/>
      </c>
      <c r="AZ38" s="677"/>
      <c r="BA38" s="677"/>
    </row>
    <row r="39" spans="1:53" x14ac:dyDescent="0.25">
      <c r="A39" s="617" t="s">
        <v>11</v>
      </c>
      <c r="B39" s="618"/>
      <c r="C39" s="618"/>
      <c r="D39" s="618"/>
      <c r="E39" s="618"/>
      <c r="F39" s="616"/>
      <c r="G39" s="596"/>
      <c r="H39" s="617" t="s">
        <v>11</v>
      </c>
      <c r="I39" s="618"/>
      <c r="J39" s="618"/>
      <c r="K39" s="618"/>
      <c r="N39" s="725"/>
      <c r="Q39" s="725"/>
      <c r="T39" s="677"/>
      <c r="AB39" s="596" t="s">
        <v>119</v>
      </c>
      <c r="AC39" s="596" t="s">
        <v>1286</v>
      </c>
      <c r="AD3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3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39" s="683" t="e">
        <f>ABS(_xll.BDP(Options[[#This Row],[P-Ticker]], "OPT_DELTA_YEST"))*100</f>
        <v>#VALUE!</v>
      </c>
      <c r="AG39" s="683" t="str">
        <f>IFERROR(ABS(RTD("esrtd",,Options[[#This Row],[Index]] &amp; " " &amp; Options[[#This Row],[Month]] &amp; "P" &amp; $AL39*100 &amp; "-ICE", "OldSettlement")), "")</f>
        <v/>
      </c>
      <c r="AH39" s="683" t="str">
        <f>IFERROR(ABS(RTD("esrtd",,Options[[#This Row],[Index]] &amp; " " &amp; Options[[#This Row],[Month]] &amp; "P" &amp; $AL39*100 &amp; "-ICE", "OldSetIV"))*100, "")</f>
        <v/>
      </c>
      <c r="AI39" s="683" t="str">
        <f>IFERROR(ABS(RTD("esrtd",,Options[[#This Row],[Index]] &amp; " " &amp; Options[[#This Row],[Month]] &amp; "P" &amp; $AL39*100 &amp; "-ICE", "Delta"))*100, "")</f>
        <v/>
      </c>
      <c r="AJ39" s="683" t="str">
        <f>IFERROR(ABS(RTD("esrtd",,Options[[#This Row],[Index]] &amp; " " &amp; Options[[#This Row],[Month]] &amp; "P" &amp; $AL39*100 &amp; "-ICE", "Market")), "")</f>
        <v/>
      </c>
      <c r="AK39" s="683" t="str">
        <f>IFERROR(ABS(RTD("esrtd",,Options[[#This Row],[Index]] &amp; " " &amp; Options[[#This Row],[Month]] &amp; "P" &amp; $AL39*100 &amp; "-ICE", "ImpVol"))*100, "")</f>
        <v/>
      </c>
      <c r="AL39" s="676" t="e">
        <f t="shared" si="8"/>
        <v>#VALUE!</v>
      </c>
      <c r="AM39" s="684" t="e">
        <f>ABS(_xll.BDP(Options[[#This Row],[C-Ticker]], "OPT_DELTA_YEST"))*100</f>
        <v>#VALUE!</v>
      </c>
      <c r="AN39" s="684" t="str">
        <f>IFERROR(ABS(RTD("esrtd",,Options[[#This Row],[Index]] &amp; " " &amp; Options[[#This Row],[Month]] &amp; "C" &amp; $AL39*100 &amp; "-ICE", "OldSettlement")), "")</f>
        <v/>
      </c>
      <c r="AO39" s="684" t="str">
        <f>IFERROR(ABS(RTD("esrtd",,Options[[#This Row],[Index]] &amp; " " &amp; Options[[#This Row],[Month]] &amp; "C" &amp; $AL39*100 &amp; "-ICE", "OldSetIV"))*100, "")</f>
        <v/>
      </c>
      <c r="AP39" s="684" t="str">
        <f>IFERROR(ABS(RTD("esrtd",,Options[[#This Row],[Index]] &amp; " " &amp; Options[[#This Row],[Month]] &amp; "C" &amp; $AL39*100 &amp; "-ICE", "Delta"))*100, "")</f>
        <v/>
      </c>
      <c r="AQ39" s="684" t="str">
        <f>IFERROR(ABS(RTD("esrtd",,Options[[#This Row],[Index]] &amp; " " &amp; Options[[#This Row],[Month]] &amp; "C" &amp; $AL39*100 &amp; "-ICE", "Market")), "")</f>
        <v/>
      </c>
      <c r="AR39" s="684" t="str">
        <f>IFERROR(ABS(RTD("esrtd",,Options[[#This Row],[Index]] &amp; " " &amp; Options[[#This Row],[Month]] &amp; "C" &amp; $AL39*100 &amp; "-ICE", "ImpVol"))*100, "")</f>
        <v/>
      </c>
      <c r="AV39" s="678"/>
      <c r="AW39" s="677"/>
      <c r="AX39" s="677"/>
      <c r="AZ39" s="678"/>
      <c r="BA39" s="677"/>
    </row>
    <row r="40" spans="1:53" x14ac:dyDescent="0.25">
      <c r="A40" s="620" t="s">
        <v>149</v>
      </c>
      <c r="B40" s="621"/>
      <c r="C40" s="621"/>
      <c r="D40" s="621"/>
      <c r="E40" s="621"/>
      <c r="F40" s="622"/>
      <c r="G40" s="596"/>
      <c r="H40" s="620" t="s">
        <v>149</v>
      </c>
      <c r="I40" s="720" t="s">
        <v>149</v>
      </c>
      <c r="J40" s="720" t="s">
        <v>149</v>
      </c>
      <c r="K40" s="720" t="s">
        <v>149</v>
      </c>
      <c r="N40" s="677"/>
      <c r="Q40" s="677"/>
      <c r="T40" s="677"/>
      <c r="AB40" s="596" t="s">
        <v>119</v>
      </c>
      <c r="AC40" s="596" t="s">
        <v>1286</v>
      </c>
      <c r="AD4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0" s="683" t="e">
        <f>ABS(_xll.BDP(Options[[#This Row],[P-Ticker]], "OPT_DELTA_YEST"))*100</f>
        <v>#VALUE!</v>
      </c>
      <c r="AG40" s="683" t="str">
        <f>IFERROR(ABS(RTD("esrtd",,Options[[#This Row],[Index]] &amp; " " &amp; Options[[#This Row],[Month]] &amp; "P" &amp; $AL40*100 &amp; "-ICE", "OldSettlement")), "")</f>
        <v/>
      </c>
      <c r="AH40" s="683" t="str">
        <f>IFERROR(ABS(RTD("esrtd",,Options[[#This Row],[Index]] &amp; " " &amp; Options[[#This Row],[Month]] &amp; "P" &amp; $AL40*100 &amp; "-ICE", "OldSetIV"))*100, "")</f>
        <v/>
      </c>
      <c r="AI40" s="683" t="str">
        <f>IFERROR(ABS(RTD("esrtd",,Options[[#This Row],[Index]] &amp; " " &amp; Options[[#This Row],[Month]] &amp; "P" &amp; $AL40*100 &amp; "-ICE", "Delta"))*100, "")</f>
        <v/>
      </c>
      <c r="AJ40" s="683" t="str">
        <f>IFERROR(ABS(RTD("esrtd",,Options[[#This Row],[Index]] &amp; " " &amp; Options[[#This Row],[Month]] &amp; "P" &amp; $AL40*100 &amp; "-ICE", "Market")), "")</f>
        <v/>
      </c>
      <c r="AK40" s="683" t="str">
        <f>IFERROR(ABS(RTD("esrtd",,Options[[#This Row],[Index]] &amp; " " &amp; Options[[#This Row],[Month]] &amp; "P" &amp; $AL40*100 &amp; "-ICE", "ImpVol"))*100, "")</f>
        <v/>
      </c>
      <c r="AL40" s="676" t="e">
        <f t="shared" si="8"/>
        <v>#VALUE!</v>
      </c>
      <c r="AM40" s="684" t="e">
        <f>ABS(_xll.BDP(Options[[#This Row],[C-Ticker]], "OPT_DELTA_YEST"))*100</f>
        <v>#VALUE!</v>
      </c>
      <c r="AN40" s="684" t="str">
        <f>IFERROR(ABS(RTD("esrtd",,Options[[#This Row],[Index]] &amp; " " &amp; Options[[#This Row],[Month]] &amp; "C" &amp; $AL40*100 &amp; "-ICE", "OldSettlement")), "")</f>
        <v/>
      </c>
      <c r="AO40" s="684" t="str">
        <f>IFERROR(ABS(RTD("esrtd",,Options[[#This Row],[Index]] &amp; " " &amp; Options[[#This Row],[Month]] &amp; "C" &amp; $AL40*100 &amp; "-ICE", "OldSetIV"))*100, "")</f>
        <v/>
      </c>
      <c r="AP40" s="684" t="str">
        <f>IFERROR(ABS(RTD("esrtd",,Options[[#This Row],[Index]] &amp; " " &amp; Options[[#This Row],[Month]] &amp; "C" &amp; $AL40*100 &amp; "-ICE", "Delta"))*100, "")</f>
        <v/>
      </c>
      <c r="AQ40" s="684" t="str">
        <f>IFERROR(ABS(RTD("esrtd",,Options[[#This Row],[Index]] &amp; " " &amp; Options[[#This Row],[Month]] &amp; "C" &amp; $AL40*100 &amp; "-ICE", "Market")), "")</f>
        <v/>
      </c>
      <c r="AR40" s="684" t="str">
        <f>IFERROR(ABS(RTD("esrtd",,Options[[#This Row],[Index]] &amp; " " &amp; Options[[#This Row],[Month]] &amp; "C" &amp; $AL40*100 &amp; "-ICE", "ImpVol"))*100, "")</f>
        <v/>
      </c>
      <c r="AU40" s="757" t="s">
        <v>1344</v>
      </c>
      <c r="AV40" s="597" t="s">
        <v>157</v>
      </c>
      <c r="AW40" s="687" t="s">
        <v>158</v>
      </c>
      <c r="AX40" s="688" t="s">
        <v>159</v>
      </c>
      <c r="AY40" s="688" t="s">
        <v>160</v>
      </c>
      <c r="AZ40" s="688" t="s">
        <v>161</v>
      </c>
      <c r="BA40" s="687" t="s">
        <v>162</v>
      </c>
    </row>
    <row r="41" spans="1:53" x14ac:dyDescent="0.25">
      <c r="A41" s="605" t="s">
        <v>151</v>
      </c>
      <c r="B41" s="606" t="str" cm="1">
        <f t="array" ref="B41">_xll.BDP(B$9, "MID")</f>
        <v>#N/A Real Time</v>
      </c>
      <c r="C41" s="606" t="str" cm="1">
        <f t="array" ref="C41">_xll.BDP(C$9, "MID")</f>
        <v>#N/A Real Time</v>
      </c>
      <c r="D41" s="606" t="str" cm="1">
        <f t="array" ref="D41">_xll.BDP(D$9, "MID")</f>
        <v>#N/A Real Time</v>
      </c>
      <c r="E41" s="606" t="str" cm="1">
        <f t="array" ref="E41">_xll.BDP(E$9, "MID")</f>
        <v>#N/A Real Time</v>
      </c>
      <c r="F41" s="606" t="str" cm="1">
        <f t="array" ref="F41">_xll.BDP(F$9, "MID")</f>
        <v>#N/A Real Time</v>
      </c>
      <c r="G41" s="596"/>
      <c r="H41" s="605" t="s">
        <v>1333</v>
      </c>
      <c r="I41" s="735" t="e">
        <f>I$16 + I$26 * I$65 + (0.5 * I$27 * (I$66 * 100)^2 * I$42/100)</f>
        <v>#VALUE!</v>
      </c>
      <c r="J41" s="735" t="e">
        <f t="shared" ref="J41:K41" si="9">J$16 + J$26 * J$65 + (0.5 * J$27 * (J$66 * 100)^2 * J$42/100)</f>
        <v>#VALUE!</v>
      </c>
      <c r="K41" s="735" t="e">
        <f t="shared" si="9"/>
        <v>#VALUE!</v>
      </c>
      <c r="N41" s="726"/>
      <c r="R41" s="730"/>
      <c r="AB41" s="596" t="s">
        <v>119</v>
      </c>
      <c r="AC41" s="596" t="s">
        <v>1286</v>
      </c>
      <c r="AD4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1" s="683" t="e">
        <f>ABS(_xll.BDP(Options[[#This Row],[P-Ticker]], "OPT_DELTA_YEST"))*100</f>
        <v>#VALUE!</v>
      </c>
      <c r="AG41" s="683" t="str">
        <f>IFERROR(ABS(RTD("esrtd",,Options[[#This Row],[Index]] &amp; " " &amp; Options[[#This Row],[Month]] &amp; "P" &amp; $AL41*100 &amp; "-ICE", "OldSettlement")), "")</f>
        <v/>
      </c>
      <c r="AH41" s="683" t="str">
        <f>IFERROR(ABS(RTD("esrtd",,Options[[#This Row],[Index]] &amp; " " &amp; Options[[#This Row],[Month]] &amp; "P" &amp; $AL41*100 &amp; "-ICE", "OldSetIV"))*100, "")</f>
        <v/>
      </c>
      <c r="AI41" s="683" t="str">
        <f>IFERROR(ABS(RTD("esrtd",,Options[[#This Row],[Index]] &amp; " " &amp; Options[[#This Row],[Month]] &amp; "P" &amp; $AL41*100 &amp; "-ICE", "Delta"))*100, "")</f>
        <v/>
      </c>
      <c r="AJ41" s="683" t="str">
        <f>IFERROR(ABS(RTD("esrtd",,Options[[#This Row],[Index]] &amp; " " &amp; Options[[#This Row],[Month]] &amp; "P" &amp; $AL41*100 &amp; "-ICE", "Market")), "")</f>
        <v/>
      </c>
      <c r="AK41" s="683" t="str">
        <f>IFERROR(ABS(RTD("esrtd",,Options[[#This Row],[Index]] &amp; " " &amp; Options[[#This Row],[Month]] &amp; "P" &amp; $AL41*100 &amp; "-ICE", "ImpVol"))*100, "")</f>
        <v/>
      </c>
      <c r="AL41" s="676" t="e">
        <f t="shared" si="8"/>
        <v>#VALUE!</v>
      </c>
      <c r="AM41" s="684" t="e">
        <f>ABS(_xll.BDP(Options[[#This Row],[C-Ticker]], "OPT_DELTA_YEST"))*100</f>
        <v>#VALUE!</v>
      </c>
      <c r="AN41" s="684" t="str">
        <f>IFERROR(ABS(RTD("esrtd",,Options[[#This Row],[Index]] &amp; " " &amp; Options[[#This Row],[Month]] &amp; "C" &amp; $AL41*100 &amp; "-ICE", "OldSettlement")), "")</f>
        <v/>
      </c>
      <c r="AO41" s="684" t="str">
        <f>IFERROR(ABS(RTD("esrtd",,Options[[#This Row],[Index]] &amp; " " &amp; Options[[#This Row],[Month]] &amp; "C" &amp; $AL41*100 &amp; "-ICE", "OldSetIV"))*100, "")</f>
        <v/>
      </c>
      <c r="AP41" s="684" t="str">
        <f>IFERROR(ABS(RTD("esrtd",,Options[[#This Row],[Index]] &amp; " " &amp; Options[[#This Row],[Month]] &amp; "C" &amp; $AL41*100 &amp; "-ICE", "Delta"))*100, "")</f>
        <v/>
      </c>
      <c r="AQ41" s="684" t="str">
        <f>IFERROR(ABS(RTD("esrtd",,Options[[#This Row],[Index]] &amp; " " &amp; Options[[#This Row],[Month]] &amp; "C" &amp; $AL41*100 &amp; "-ICE", "Market")), "")</f>
        <v/>
      </c>
      <c r="AR41" s="684" t="str">
        <f>IFERROR(ABS(RTD("esrtd",,Options[[#This Row],[Index]] &amp; " " &amp; Options[[#This Row],[Month]] &amp; "C" &amp; $AL41*100 &amp; "-ICE", "ImpVol"))*100, "")</f>
        <v/>
      </c>
      <c r="AU41" s="596" t="s">
        <v>11</v>
      </c>
      <c r="AV41" s="596">
        <v>25</v>
      </c>
      <c r="AW41" s="677" t="e" cm="1">
        <f t="array" ref="AW41">INDEX($AI$73:$AI$140, MATCH($AV41, $AI$73:$AI$140, 1), 0)</f>
        <v>#N/A</v>
      </c>
      <c r="AX41" s="677" t="e" cm="1">
        <f t="array" ref="AX41">INDEX($AI$73:$AI$140, MATCH($AV$21, $AI$73:$AI$140, 1) + 1, 0)</f>
        <v>#N/A</v>
      </c>
      <c r="AY41" s="677" t="e" cm="1">
        <f t="array" ref="AY41">INDEX($AK$73:$AK$140, MATCH($AW41, $AI$73:$AI$140, 0), 0)</f>
        <v>#N/A</v>
      </c>
      <c r="AZ41" s="677" t="e" cm="1">
        <f t="array" ref="AZ41">INDEX($AK$73:$AK$140, MATCH($AX41, $AI$73:$AI$140, 0), 0)</f>
        <v>#N/A</v>
      </c>
      <c r="BA41" s="677" t="e">
        <f>($AV41 - $AW41) * ($AZ41-$AY41)/($AX41-$AW41) + $AY41</f>
        <v>#N/A</v>
      </c>
    </row>
    <row r="42" spans="1:53" x14ac:dyDescent="0.25">
      <c r="A42" s="605" t="s">
        <v>152</v>
      </c>
      <c r="B42" s="606" t="str" cm="1">
        <f t="array" ref="B42">_xll.BDP(B$10, "MID")</f>
        <v>#N/A Real Time</v>
      </c>
      <c r="C42" s="606" t="str" cm="1">
        <f t="array" ref="C42">_xll.BDP(C$10, "MID")</f>
        <v>#N/A N/A</v>
      </c>
      <c r="D42" s="606" t="str" cm="1">
        <f t="array" ref="D42">_xll.BDP(D$10, "MID")</f>
        <v>#N/A N/A</v>
      </c>
      <c r="E42" s="606" t="str" cm="1">
        <f t="array" ref="E42">_xll.BDP(E$10, "MID")</f>
        <v>#N/A Real Time</v>
      </c>
      <c r="F42" s="606" t="str" cm="1">
        <f t="array" ref="F42">_xll.BDP(F$10, "MID")</f>
        <v>#N/A Real Time</v>
      </c>
      <c r="G42" s="596"/>
      <c r="H42" s="605" t="s">
        <v>1300</v>
      </c>
      <c r="I42" s="719" t="str" cm="1">
        <f t="array" ref="I42">_xll.BDP(I$10, "MID")</f>
        <v>#N/A Real Time</v>
      </c>
      <c r="J42" s="719" t="str" cm="1">
        <f t="array" ref="J42">_xll.BDP(J$10, "MID")</f>
        <v>#N/A Real Time</v>
      </c>
      <c r="K42" s="719" t="str" cm="1">
        <f t="array" ref="K42">_xll.BDP(K$10, "MID")</f>
        <v>#N/A Real Time</v>
      </c>
      <c r="T42" s="725"/>
      <c r="AB42" s="596" t="s">
        <v>119</v>
      </c>
      <c r="AC42" s="596" t="s">
        <v>1286</v>
      </c>
      <c r="AD4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2" s="683" t="e">
        <f>ABS(_xll.BDP(Options[[#This Row],[P-Ticker]], "OPT_DELTA_YEST"))*100</f>
        <v>#VALUE!</v>
      </c>
      <c r="AG42" s="683" t="str">
        <f>IFERROR(ABS(RTD("esrtd",,Options[[#This Row],[Index]] &amp; " " &amp; Options[[#This Row],[Month]] &amp; "P" &amp; $AL42*100 &amp; "-ICE", "OldSettlement")), "")</f>
        <v/>
      </c>
      <c r="AH42" s="683" t="str">
        <f>IFERROR(ABS(RTD("esrtd",,Options[[#This Row],[Index]] &amp; " " &amp; Options[[#This Row],[Month]] &amp; "P" &amp; $AL42*100 &amp; "-ICE", "OldSetIV"))*100, "")</f>
        <v/>
      </c>
      <c r="AI42" s="683" t="str">
        <f>IFERROR(ABS(RTD("esrtd",,Options[[#This Row],[Index]] &amp; " " &amp; Options[[#This Row],[Month]] &amp; "P" &amp; $AL42*100 &amp; "-ICE", "Delta"))*100, "")</f>
        <v/>
      </c>
      <c r="AJ42" s="683" t="str">
        <f>IFERROR(ABS(RTD("esrtd",,Options[[#This Row],[Index]] &amp; " " &amp; Options[[#This Row],[Month]] &amp; "P" &amp; $AL42*100 &amp; "-ICE", "Market")), "")</f>
        <v/>
      </c>
      <c r="AK42" s="683" t="str">
        <f>IFERROR(ABS(RTD("esrtd",,Options[[#This Row],[Index]] &amp; " " &amp; Options[[#This Row],[Month]] &amp; "P" &amp; $AL42*100 &amp; "-ICE", "ImpVol"))*100, "")</f>
        <v/>
      </c>
      <c r="AL42" s="676" t="e">
        <f t="shared" si="8"/>
        <v>#VALUE!</v>
      </c>
      <c r="AM42" s="684" t="e">
        <f>ABS(_xll.BDP(Options[[#This Row],[C-Ticker]], "OPT_DELTA_YEST"))*100</f>
        <v>#VALUE!</v>
      </c>
      <c r="AN42" s="684" t="str">
        <f>IFERROR(ABS(RTD("esrtd",,Options[[#This Row],[Index]] &amp; " " &amp; Options[[#This Row],[Month]] &amp; "C" &amp; $AL42*100 &amp; "-ICE", "OldSettlement")), "")</f>
        <v/>
      </c>
      <c r="AO42" s="684" t="str">
        <f>IFERROR(ABS(RTD("esrtd",,Options[[#This Row],[Index]] &amp; " " &amp; Options[[#This Row],[Month]] &amp; "C" &amp; $AL42*100 &amp; "-ICE", "OldSetIV"))*100, "")</f>
        <v/>
      </c>
      <c r="AP42" s="684" t="str">
        <f>IFERROR(ABS(RTD("esrtd",,Options[[#This Row],[Index]] &amp; " " &amp; Options[[#This Row],[Month]] &amp; "C" &amp; $AL42*100 &amp; "-ICE", "Delta"))*100, "")</f>
        <v/>
      </c>
      <c r="AQ42" s="684" t="str">
        <f>IFERROR(ABS(RTD("esrtd",,Options[[#This Row],[Index]] &amp; " " &amp; Options[[#This Row],[Month]] &amp; "C" &amp; $AL42*100 &amp; "-ICE", "Market")), "")</f>
        <v/>
      </c>
      <c r="AR42" s="684" t="str">
        <f>IFERROR(ABS(RTD("esrtd",,Options[[#This Row],[Index]] &amp; " " &amp; Options[[#This Row],[Month]] &amp; "C" &amp; $AL42*100 &amp; "-ICE", "ImpVol"))*100, "")</f>
        <v/>
      </c>
      <c r="AT42" s="678"/>
      <c r="AU42" s="677" t="s">
        <v>165</v>
      </c>
      <c r="AV42" s="596">
        <v>25</v>
      </c>
      <c r="AW42" s="677" t="e" cm="1">
        <f t="array" ref="AW42">INDEX($AF$73:$AF$140, MATCH($AV42, $AF$73:$AF$140, 1), 0)</f>
        <v>#N/A</v>
      </c>
      <c r="AX42" s="677" t="e" cm="1">
        <f t="array" ref="AX42">INDEX($AF$73:$AF$140, MATCH($AV21, $AF$73:$AF$140, 1) + 1, 0)</f>
        <v>#N/A</v>
      </c>
      <c r="AY42" s="677" t="e" cm="1">
        <f t="array" ref="AY42">INDEX($AH$73:$AH$140, MATCH($AW42, $AF$73:$AF$140, 0), 0)</f>
        <v>#N/A</v>
      </c>
      <c r="AZ42" s="677" t="e" cm="1">
        <f t="array" ref="AZ42">INDEX($AH$73:$AH$140, MATCH($AX42, $AF$73:$AF$140, 0), 0)</f>
        <v>#N/A</v>
      </c>
      <c r="BA42" s="677" t="e">
        <f>($AV42 - $AW42) * ($AZ42-$AY42)/($AX42-$AW42) + $AY42</f>
        <v>#N/A</v>
      </c>
    </row>
    <row r="43" spans="1:53" x14ac:dyDescent="0.25">
      <c r="A43" s="605" t="s">
        <v>153</v>
      </c>
      <c r="B43" s="607">
        <f ca="1">IFERROR((B$12 - TODAY())/365, "")</f>
        <v>-9.8630136986301367E-2</v>
      </c>
      <c r="C43" s="607">
        <f ca="1">IFERROR((C$12 - TODAY())/365, "")</f>
        <v>-2.1917808219178082E-2</v>
      </c>
      <c r="D43" s="607">
        <f ca="1">IFERROR((D$12 - TODAY())/365, "")</f>
        <v>-2.1917808219178082E-2</v>
      </c>
      <c r="E43" s="607">
        <f ca="1">IFERROR((E$12 - TODAY())/365, "")</f>
        <v>-0.18904109589041096</v>
      </c>
      <c r="F43" s="607">
        <f ca="1">IFERROR((F$12 - TODAY())/365, "")</f>
        <v>-0.18904109589041096</v>
      </c>
      <c r="G43" s="596"/>
      <c r="H43" s="605" t="s">
        <v>1327</v>
      </c>
      <c r="I43" s="607">
        <f ca="1">IFERROR((I$12 - TODAY())/365, "")</f>
        <v>-7.6712328767123292E-2</v>
      </c>
      <c r="J43" s="607">
        <f ca="1">IFERROR((J$12 - TODAY())/365, "")</f>
        <v>-7.6712328767123292E-2</v>
      </c>
      <c r="K43" s="607">
        <f ca="1">IFERROR((K$12 - TODAY())/365, "")</f>
        <v>-7.6712328767123292E-2</v>
      </c>
      <c r="T43" s="677"/>
      <c r="AB43" s="596" t="s">
        <v>119</v>
      </c>
      <c r="AC43" s="596" t="s">
        <v>1286</v>
      </c>
      <c r="AD4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3" s="683" t="e">
        <f>ABS(_xll.BDP(Options[[#This Row],[P-Ticker]], "OPT_DELTA_YEST"))*100</f>
        <v>#VALUE!</v>
      </c>
      <c r="AG43" s="683" t="str">
        <f>IFERROR(ABS(RTD("esrtd",,Options[[#This Row],[Index]] &amp; " " &amp; Options[[#This Row],[Month]] &amp; "P" &amp; $AL43*100 &amp; "-ICE", "OldSettlement")), "")</f>
        <v/>
      </c>
      <c r="AH43" s="683" t="str">
        <f>IFERROR(ABS(RTD("esrtd",,Options[[#This Row],[Index]] &amp; " " &amp; Options[[#This Row],[Month]] &amp; "P" &amp; $AL43*100 &amp; "-ICE", "OldSetIV"))*100, "")</f>
        <v/>
      </c>
      <c r="AI43" s="683" t="str">
        <f>IFERROR(ABS(RTD("esrtd",,Options[[#This Row],[Index]] &amp; " " &amp; Options[[#This Row],[Month]] &amp; "P" &amp; $AL43*100 &amp; "-ICE", "Delta"))*100, "")</f>
        <v/>
      </c>
      <c r="AJ43" s="683" t="str">
        <f>IFERROR(ABS(RTD("esrtd",,Options[[#This Row],[Index]] &amp; " " &amp; Options[[#This Row],[Month]] &amp; "P" &amp; $AL43*100 &amp; "-ICE", "Market")), "")</f>
        <v/>
      </c>
      <c r="AK43" s="683" t="str">
        <f>IFERROR(ABS(RTD("esrtd",,Options[[#This Row],[Index]] &amp; " " &amp; Options[[#This Row],[Month]] &amp; "P" &amp; $AL43*100 &amp; "-ICE", "ImpVol"))*100, "")</f>
        <v/>
      </c>
      <c r="AL43" s="676" t="e">
        <f t="shared" si="8"/>
        <v>#VALUE!</v>
      </c>
      <c r="AM43" s="684" t="e">
        <f>ABS(_xll.BDP(Options[[#This Row],[C-Ticker]], "OPT_DELTA_YEST"))*100</f>
        <v>#VALUE!</v>
      </c>
      <c r="AN43" s="684" t="str">
        <f>IFERROR(ABS(RTD("esrtd",,Options[[#This Row],[Index]] &amp; " " &amp; Options[[#This Row],[Month]] &amp; "C" &amp; $AL43*100 &amp; "-ICE", "OldSettlement")), "")</f>
        <v/>
      </c>
      <c r="AO43" s="684" t="str">
        <f>IFERROR(ABS(RTD("esrtd",,Options[[#This Row],[Index]] &amp; " " &amp; Options[[#This Row],[Month]] &amp; "C" &amp; $AL43*100 &amp; "-ICE", "OldSetIV"))*100, "")</f>
        <v/>
      </c>
      <c r="AP43" s="684" t="str">
        <f>IFERROR(ABS(RTD("esrtd",,Options[[#This Row],[Index]] &amp; " " &amp; Options[[#This Row],[Month]] &amp; "C" &amp; $AL43*100 &amp; "-ICE", "Delta"))*100, "")</f>
        <v/>
      </c>
      <c r="AQ43" s="684" t="str">
        <f>IFERROR(ABS(RTD("esrtd",,Options[[#This Row],[Index]] &amp; " " &amp; Options[[#This Row],[Month]] &amp; "C" &amp; $AL43*100 &amp; "-ICE", "Market")), "")</f>
        <v/>
      </c>
      <c r="AR43" s="684" t="str">
        <f>IFERROR(ABS(RTD("esrtd",,Options[[#This Row],[Index]] &amp; " " &amp; Options[[#This Row],[Month]] &amp; "C" &amp; $AL43*100 &amp; "-ICE", "ImpVol"))*100, "")</f>
        <v/>
      </c>
      <c r="AT43" s="678"/>
      <c r="AU43" s="677"/>
      <c r="AY43" s="677"/>
      <c r="AZ43" s="677"/>
    </row>
    <row r="44" spans="1:53" x14ac:dyDescent="0.25">
      <c r="A44" s="601" t="s">
        <v>154</v>
      </c>
      <c r="B44" s="623" t="e">
        <f>B$42 * 1000</f>
        <v>#VALUE!</v>
      </c>
      <c r="C44" s="623" t="e">
        <f>C$42 * 1000</f>
        <v>#VALUE!</v>
      </c>
      <c r="D44" s="623" t="e">
        <f>D$42 * 1000</f>
        <v>#VALUE!</v>
      </c>
      <c r="E44" s="623" t="e">
        <f>E$42 * 1000</f>
        <v>#VALUE!</v>
      </c>
      <c r="F44" s="623" t="e">
        <f>F$42 * 1000</f>
        <v>#VALUE!</v>
      </c>
      <c r="G44" s="596"/>
      <c r="H44" s="601" t="s">
        <v>1328</v>
      </c>
      <c r="I44" s="623" t="e">
        <f>I$42 * 100</f>
        <v>#VALUE!</v>
      </c>
      <c r="J44" s="623" t="e">
        <f>J$42 * 100</f>
        <v>#VALUE!</v>
      </c>
      <c r="K44" s="623" t="e">
        <f>K$42 * 100</f>
        <v>#VALUE!</v>
      </c>
      <c r="AB44" s="596" t="s">
        <v>119</v>
      </c>
      <c r="AC44" s="596" t="s">
        <v>1286</v>
      </c>
      <c r="AD4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4" s="683" t="e">
        <f>ABS(_xll.BDP(Options[[#This Row],[P-Ticker]], "OPT_DELTA_YEST"))*100</f>
        <v>#VALUE!</v>
      </c>
      <c r="AG44" s="683" t="str">
        <f>IFERROR(ABS(RTD("esrtd",,Options[[#This Row],[Index]] &amp; " " &amp; Options[[#This Row],[Month]] &amp; "P" &amp; $AL44*100 &amp; "-ICE", "OldSettlement")), "")</f>
        <v/>
      </c>
      <c r="AH44" s="683" t="str">
        <f>IFERROR(ABS(RTD("esrtd",,Options[[#This Row],[Index]] &amp; " " &amp; Options[[#This Row],[Month]] &amp; "P" &amp; $AL44*100 &amp; "-ICE", "OldSetIV"))*100, "")</f>
        <v/>
      </c>
      <c r="AI44" s="683" t="str">
        <f>IFERROR(ABS(RTD("esrtd",,Options[[#This Row],[Index]] &amp; " " &amp; Options[[#This Row],[Month]] &amp; "P" &amp; $AL44*100 &amp; "-ICE", "Delta"))*100, "")</f>
        <v/>
      </c>
      <c r="AJ44" s="683" t="str">
        <f>IFERROR(ABS(RTD("esrtd",,Options[[#This Row],[Index]] &amp; " " &amp; Options[[#This Row],[Month]] &amp; "P" &amp; $AL44*100 &amp; "-ICE", "Market")), "")</f>
        <v/>
      </c>
      <c r="AK44" s="683" t="str">
        <f>IFERROR(ABS(RTD("esrtd",,Options[[#This Row],[Index]] &amp; " " &amp; Options[[#This Row],[Month]] &amp; "P" &amp; $AL44*100 &amp; "-ICE", "ImpVol"))*100, "")</f>
        <v/>
      </c>
      <c r="AL44" s="676" t="e">
        <f t="shared" si="8"/>
        <v>#VALUE!</v>
      </c>
      <c r="AM44" s="684" t="e">
        <f>ABS(_xll.BDP(Options[[#This Row],[C-Ticker]], "OPT_DELTA_YEST"))*100</f>
        <v>#VALUE!</v>
      </c>
      <c r="AN44" s="684" t="str">
        <f>IFERROR(ABS(RTD("esrtd",,Options[[#This Row],[Index]] &amp; " " &amp; Options[[#This Row],[Month]] &amp; "C" &amp; $AL44*100 &amp; "-ICE", "OldSettlement")), "")</f>
        <v/>
      </c>
      <c r="AO44" s="684" t="str">
        <f>IFERROR(ABS(RTD("esrtd",,Options[[#This Row],[Index]] &amp; " " &amp; Options[[#This Row],[Month]] &amp; "C" &amp; $AL44*100 &amp; "-ICE", "OldSetIV"))*100, "")</f>
        <v/>
      </c>
      <c r="AP44" s="684" t="str">
        <f>IFERROR(ABS(RTD("esrtd",,Options[[#This Row],[Index]] &amp; " " &amp; Options[[#This Row],[Month]] &amp; "C" &amp; $AL44*100 &amp; "-ICE", "Delta"))*100, "")</f>
        <v/>
      </c>
      <c r="AQ44" s="684" t="str">
        <f>IFERROR(ABS(RTD("esrtd",,Options[[#This Row],[Index]] &amp; " " &amp; Options[[#This Row],[Month]] &amp; "C" &amp; $AL44*100 &amp; "-ICE", "Market")), "")</f>
        <v/>
      </c>
      <c r="AR44" s="684" t="str">
        <f>IFERROR(ABS(RTD("esrtd",,Options[[#This Row],[Index]] &amp; " " &amp; Options[[#This Row],[Month]] &amp; "C" &amp; $AL44*100 &amp; "-ICE", "ImpVol"))*100, "")</f>
        <v/>
      </c>
      <c r="AT44" s="678"/>
      <c r="AU44" s="677"/>
      <c r="AV44" s="597" t="s">
        <v>167</v>
      </c>
      <c r="AW44" s="687" t="s">
        <v>158</v>
      </c>
      <c r="AX44" s="688" t="s">
        <v>159</v>
      </c>
      <c r="AY44" s="688" t="s">
        <v>160</v>
      </c>
      <c r="AZ44" s="688" t="s">
        <v>161</v>
      </c>
      <c r="BA44" s="687" t="s">
        <v>162</v>
      </c>
    </row>
    <row r="45" spans="1:53" x14ac:dyDescent="0.25">
      <c r="A45" s="605" t="s">
        <v>155</v>
      </c>
      <c r="B45" s="606" t="str">
        <f>IF(B$5="P",INDEX(Options[],MATCH(B$9,Options[P-Ticker],0),MATCH("P-Vol",Options[#Headers],0)),INDEX(Options[],MATCH(B$9,Options[C-Ticker],0),MATCH("C-Vol",Options[#Headers],0)))</f>
        <v/>
      </c>
      <c r="C45" s="606" t="str">
        <f>IF(C$5="P",INDEX(Options[],MATCH(C$9,Options[P-Ticker],0),MATCH("P-Vol",Options[#Headers],0)),INDEX(Options[],MATCH(C$9,Options[C-Ticker],0),MATCH("C-Vol",Options[#Headers],0)))</f>
        <v/>
      </c>
      <c r="D45" s="606" t="str">
        <f>IF(D$5="P",INDEX(Options[],MATCH(D$9,Options[P-Ticker],0),MATCH("P-Vol",Options[#Headers],0)),INDEX(Options[],MATCH(D$9,Options[C-Ticker],0),MATCH("C-Vol",Options[#Headers],0)))</f>
        <v/>
      </c>
      <c r="E45" s="606" t="str">
        <f>IF(E$5="P",INDEX(Options[],MATCH(E$9,Options[P-Ticker],0),MATCH("P-Vol",Options[#Headers],0)),INDEX(Options[],MATCH(E$9,Options[C-Ticker],0),MATCH("C-Vol",Options[#Headers],0)))</f>
        <v/>
      </c>
      <c r="F45" s="606" t="e">
        <f>IF(F$5="P",INDEX(Options[],MATCH(F$9,Options[P-Ticker],0),MATCH("P-Vol",Options[#Headers],0)),INDEX(Options[],MATCH(F$9,Options[C-Ticker],0),MATCH("C-Vol",Options[#Headers],0)))</f>
        <v>#N/A</v>
      </c>
      <c r="G45" s="596"/>
      <c r="H45" s="605" t="s">
        <v>1329</v>
      </c>
      <c r="I45" s="606" t="e" cm="1">
        <f t="array" ref="I45">VolFromPrice(1, I$42, I$6, I$43, 0.04, I$41) * 100</f>
        <v>#VALUE!</v>
      </c>
      <c r="J45" s="606" t="e" cm="1">
        <f t="array" ref="J45">VolFromPrice(1, J$42, J$6, J$43, 0.04, J$41) * 100</f>
        <v>#VALUE!</v>
      </c>
      <c r="K45" s="606" t="e" cm="1">
        <f t="array" ref="K45">VolFromPrice(1, K$42, K$6, K$43, 0.04, K$41) * 100</f>
        <v>#VALUE!</v>
      </c>
      <c r="AB45" s="596" t="s">
        <v>119</v>
      </c>
      <c r="AC45" s="596" t="s">
        <v>1286</v>
      </c>
      <c r="AD4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5" s="683" t="e">
        <f>ABS(_xll.BDP(Options[[#This Row],[P-Ticker]], "OPT_DELTA_YEST"))*100</f>
        <v>#VALUE!</v>
      </c>
      <c r="AG45" s="683" t="str">
        <f>IFERROR(ABS(RTD("esrtd",,Options[[#This Row],[Index]] &amp; " " &amp; Options[[#This Row],[Month]] &amp; "P" &amp; $AL45*100 &amp; "-ICE", "OldSettlement")), "")</f>
        <v/>
      </c>
      <c r="AH45" s="683" t="str">
        <f>IFERROR(ABS(RTD("esrtd",,Options[[#This Row],[Index]] &amp; " " &amp; Options[[#This Row],[Month]] &amp; "P" &amp; $AL45*100 &amp; "-ICE", "OldSetIV"))*100, "")</f>
        <v/>
      </c>
      <c r="AI45" s="683" t="str">
        <f>IFERROR(ABS(RTD("esrtd",,Options[[#This Row],[Index]] &amp; " " &amp; Options[[#This Row],[Month]] &amp; "P" &amp; $AL45*100 &amp; "-ICE", "Delta"))*100, "")</f>
        <v/>
      </c>
      <c r="AJ45" s="683" t="str">
        <f>IFERROR(ABS(RTD("esrtd",,Options[[#This Row],[Index]] &amp; " " &amp; Options[[#This Row],[Month]] &amp; "P" &amp; $AL45*100 &amp; "-ICE", "Market")), "")</f>
        <v/>
      </c>
      <c r="AK45" s="683" t="str">
        <f>IFERROR(ABS(RTD("esrtd",,Options[[#This Row],[Index]] &amp; " " &amp; Options[[#This Row],[Month]] &amp; "P" &amp; $AL45*100 &amp; "-ICE", "ImpVol"))*100, "")</f>
        <v/>
      </c>
      <c r="AL45" s="676" t="e">
        <f t="shared" si="8"/>
        <v>#VALUE!</v>
      </c>
      <c r="AM45" s="684" t="e">
        <f>ABS(_xll.BDP(Options[[#This Row],[C-Ticker]], "OPT_DELTA_YEST"))*100</f>
        <v>#VALUE!</v>
      </c>
      <c r="AN45" s="684" t="str">
        <f>IFERROR(ABS(RTD("esrtd",,Options[[#This Row],[Index]] &amp; " " &amp; Options[[#This Row],[Month]] &amp; "C" &amp; $AL45*100 &amp; "-ICE", "OldSettlement")), "")</f>
        <v/>
      </c>
      <c r="AO45" s="684" t="str">
        <f>IFERROR(ABS(RTD("esrtd",,Options[[#This Row],[Index]] &amp; " " &amp; Options[[#This Row],[Month]] &amp; "C" &amp; $AL45*100 &amp; "-ICE", "OldSetIV"))*100, "")</f>
        <v/>
      </c>
      <c r="AP45" s="684" t="str">
        <f>IFERROR(ABS(RTD("esrtd",,Options[[#This Row],[Index]] &amp; " " &amp; Options[[#This Row],[Month]] &amp; "C" &amp; $AL45*100 &amp; "-ICE", "Delta"))*100, "")</f>
        <v/>
      </c>
      <c r="AQ45" s="684" t="str">
        <f>IFERROR(ABS(RTD("esrtd",,Options[[#This Row],[Index]] &amp; " " &amp; Options[[#This Row],[Month]] &amp; "C" &amp; $AL45*100 &amp; "-ICE", "Market")), "")</f>
        <v/>
      </c>
      <c r="AR45" s="684" t="str">
        <f>IFERROR(ABS(RTD("esrtd",,Options[[#This Row],[Index]] &amp; " " &amp; Options[[#This Row],[Month]] &amp; "C" &amp; $AL45*100 &amp; "-ICE", "ImpVol"))*100, "")</f>
        <v/>
      </c>
      <c r="AT45" s="678"/>
      <c r="AU45" s="596" t="s">
        <v>11</v>
      </c>
      <c r="AV45" s="596">
        <v>25</v>
      </c>
      <c r="AW45" s="677" t="e" cm="1">
        <f t="array" ref="AW45">INDEX($AP$73:$AP$140, MATCH($AV45, $AP$73:$AP$140, -1), 0)</f>
        <v>#N/A</v>
      </c>
      <c r="AX45" s="677" t="e" cm="1">
        <f t="array" ref="AX45">INDEX($AP$73:$AP$140, MATCH($AV45, $AP$73:$AP$140, -1) + 1, 0)</f>
        <v>#N/A</v>
      </c>
      <c r="AY45" s="677" t="e" cm="1">
        <f t="array" ref="AY45">INDEX($AR$73:$AR$140, MATCH($AW45, $AP$73:$AP$140, 0), 0)</f>
        <v>#N/A</v>
      </c>
      <c r="AZ45" s="677" t="e" cm="1">
        <f t="array" ref="AZ45">INDEX($AR$73:$AR$140, MATCH($AX45, $AP$73:$AP$140, 0), 0)</f>
        <v>#N/A</v>
      </c>
      <c r="BA45" s="677" t="e">
        <f>($AV45 - $AW45) * ($AZ45-$AY45)/($AX45-$AW45) + $AY45</f>
        <v>#N/A</v>
      </c>
    </row>
    <row r="46" spans="1:53" x14ac:dyDescent="0.25">
      <c r="A46" s="605" t="s">
        <v>156</v>
      </c>
      <c r="B46" s="706" t="e">
        <f>$P$4</f>
        <v>#VALUE!</v>
      </c>
      <c r="C46" s="706" t="e">
        <f>$P$14</f>
        <v>#VALUE!</v>
      </c>
      <c r="D46" s="706" t="e">
        <f>$P$14</f>
        <v>#VALUE!</v>
      </c>
      <c r="E46" s="706" t="e">
        <f t="shared" ref="E46:F46" si="10">$P$4</f>
        <v>#VALUE!</v>
      </c>
      <c r="F46" s="706" t="e">
        <f t="shared" si="10"/>
        <v>#VALUE!</v>
      </c>
      <c r="G46" s="596"/>
      <c r="H46" s="605" t="s">
        <v>1330</v>
      </c>
      <c r="I46" s="706">
        <v>95</v>
      </c>
      <c r="J46" s="706">
        <v>95</v>
      </c>
      <c r="K46" s="706">
        <v>95</v>
      </c>
      <c r="AB46" s="596" t="s">
        <v>119</v>
      </c>
      <c r="AC46" s="596" t="s">
        <v>1286</v>
      </c>
      <c r="AD4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6" s="683" t="e">
        <f>ABS(_xll.BDP(Options[[#This Row],[P-Ticker]], "OPT_DELTA_YEST"))*100</f>
        <v>#VALUE!</v>
      </c>
      <c r="AG46" s="683" t="str">
        <f>IFERROR(ABS(RTD("esrtd",,Options[[#This Row],[Index]] &amp; " " &amp; Options[[#This Row],[Month]] &amp; "P" &amp; $AL46*100 &amp; "-ICE", "OldSettlement")), "")</f>
        <v/>
      </c>
      <c r="AH46" s="683" t="str">
        <f>IFERROR(ABS(RTD("esrtd",,Options[[#This Row],[Index]] &amp; " " &amp; Options[[#This Row],[Month]] &amp; "P" &amp; $AL46*100 &amp; "-ICE", "OldSetIV"))*100, "")</f>
        <v/>
      </c>
      <c r="AI46" s="683" t="str">
        <f>IFERROR(ABS(RTD("esrtd",,Options[[#This Row],[Index]] &amp; " " &amp; Options[[#This Row],[Month]] &amp; "P" &amp; $AL46*100 &amp; "-ICE", "Delta"))*100, "")</f>
        <v/>
      </c>
      <c r="AJ46" s="683" t="str">
        <f>IFERROR(ABS(RTD("esrtd",,Options[[#This Row],[Index]] &amp; " " &amp; Options[[#This Row],[Month]] &amp; "P" &amp; $AL46*100 &amp; "-ICE", "Market")), "")</f>
        <v/>
      </c>
      <c r="AK46" s="683" t="str">
        <f>IFERROR(ABS(RTD("esrtd",,Options[[#This Row],[Index]] &amp; " " &amp; Options[[#This Row],[Month]] &amp; "P" &amp; $AL46*100 &amp; "-ICE", "ImpVol"))*100, "")</f>
        <v/>
      </c>
      <c r="AL46" s="676" t="e">
        <f t="shared" si="8"/>
        <v>#VALUE!</v>
      </c>
      <c r="AM46" s="684" t="e">
        <f>ABS(_xll.BDP(Options[[#This Row],[C-Ticker]], "OPT_DELTA_YEST"))*100</f>
        <v>#VALUE!</v>
      </c>
      <c r="AN46" s="684" t="str">
        <f>IFERROR(ABS(RTD("esrtd",,Options[[#This Row],[Index]] &amp; " " &amp; Options[[#This Row],[Month]] &amp; "C" &amp; $AL46*100 &amp; "-ICE", "OldSettlement")), "")</f>
        <v/>
      </c>
      <c r="AO46" s="684" t="str">
        <f>IFERROR(ABS(RTD("esrtd",,Options[[#This Row],[Index]] &amp; " " &amp; Options[[#This Row],[Month]] &amp; "C" &amp; $AL46*100 &amp; "-ICE", "OldSetIV"))*100, "")</f>
        <v/>
      </c>
      <c r="AP46" s="684" t="str">
        <f>IFERROR(ABS(RTD("esrtd",,Options[[#This Row],[Index]] &amp; " " &amp; Options[[#This Row],[Month]] &amp; "C" &amp; $AL46*100 &amp; "-ICE", "Delta"))*100, "")</f>
        <v/>
      </c>
      <c r="AQ46" s="684" t="str">
        <f>IFERROR(ABS(RTD("esrtd",,Options[[#This Row],[Index]] &amp; " " &amp; Options[[#This Row],[Month]] &amp; "C" &amp; $AL46*100 &amp; "-ICE", "Market")), "")</f>
        <v/>
      </c>
      <c r="AR46" s="684" t="str">
        <f>IFERROR(ABS(RTD("esrtd",,Options[[#This Row],[Index]] &amp; " " &amp; Options[[#This Row],[Month]] &amp; "C" &amp; $AL46*100 &amp; "-ICE", "ImpVol"))*100, "")</f>
        <v/>
      </c>
      <c r="AT46" s="678"/>
      <c r="AU46" s="677" t="s">
        <v>165</v>
      </c>
      <c r="AV46" s="596">
        <v>25</v>
      </c>
      <c r="AW46" s="677" t="e" cm="1">
        <f t="array" ref="AW46">INDEX($AM$73:$AM$140, MATCH($AV46, $AM$73:$AM$140, -1), 0)</f>
        <v>#N/A</v>
      </c>
      <c r="AX46" s="677" t="e" cm="1">
        <f t="array" ref="AX46">INDEX($AM$73:$AM$140, MATCH($AV46, $AM$73:$AM$140, -1) + 1, 0)</f>
        <v>#N/A</v>
      </c>
      <c r="AY46" s="677" t="e" cm="1">
        <f t="array" ref="AY46">INDEX($AO$73:$AO$140, MATCH($AW46, $AM$73:$AM$140, 0), 0)</f>
        <v>#N/A</v>
      </c>
      <c r="AZ46" s="677" t="e" cm="1">
        <f t="array" ref="AZ46">INDEX($AO$73:$AO$140, MATCH($AX46, $AM$73:$AM$140, 0), 0)</f>
        <v>#N/A</v>
      </c>
      <c r="BA46" s="677" t="e">
        <f>($AV46 - $AW46) * ($AZ46-$AY46)/($AX46-$AW46) + $AY46</f>
        <v>#N/A</v>
      </c>
    </row>
    <row r="47" spans="1:53" x14ac:dyDescent="0.25">
      <c r="A47" s="605" t="s">
        <v>163</v>
      </c>
      <c r="B47" s="706" t="e">
        <f>$P$7</f>
        <v>#N/A</v>
      </c>
      <c r="C47" s="706" t="e">
        <f>$P$17</f>
        <v>#N/A</v>
      </c>
      <c r="D47" s="706" t="e">
        <f>$P$17</f>
        <v>#N/A</v>
      </c>
      <c r="E47" s="706" t="e">
        <f t="shared" ref="E47:F47" si="11">$P$7</f>
        <v>#N/A</v>
      </c>
      <c r="F47" s="706" t="e">
        <f t="shared" si="11"/>
        <v>#N/A</v>
      </c>
      <c r="G47" s="596"/>
      <c r="H47" s="605" t="s">
        <v>1331</v>
      </c>
      <c r="I47" s="706">
        <v>30</v>
      </c>
      <c r="J47" s="706">
        <v>30</v>
      </c>
      <c r="K47" s="706">
        <v>30</v>
      </c>
      <c r="AB47" s="596" t="s">
        <v>119</v>
      </c>
      <c r="AC47" s="596" t="s">
        <v>1286</v>
      </c>
      <c r="AD4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7" s="683" t="e">
        <f>ABS(_xll.BDP(Options[[#This Row],[P-Ticker]], "OPT_DELTA_YEST"))*100</f>
        <v>#VALUE!</v>
      </c>
      <c r="AG47" s="683" t="str">
        <f>IFERROR(ABS(RTD("esrtd",,Options[[#This Row],[Index]] &amp; " " &amp; Options[[#This Row],[Month]] &amp; "P" &amp; $AL47*100 &amp; "-ICE", "OldSettlement")), "")</f>
        <v/>
      </c>
      <c r="AH47" s="683" t="str">
        <f>IFERROR(ABS(RTD("esrtd",,Options[[#This Row],[Index]] &amp; " " &amp; Options[[#This Row],[Month]] &amp; "P" &amp; $AL47*100 &amp; "-ICE", "OldSetIV"))*100, "")</f>
        <v/>
      </c>
      <c r="AI47" s="683" t="str">
        <f>IFERROR(ABS(RTD("esrtd",,Options[[#This Row],[Index]] &amp; " " &amp; Options[[#This Row],[Month]] &amp; "P" &amp; $AL47*100 &amp; "-ICE", "Delta"))*100, "")</f>
        <v/>
      </c>
      <c r="AJ47" s="683" t="str">
        <f>IFERROR(ABS(RTD("esrtd",,Options[[#This Row],[Index]] &amp; " " &amp; Options[[#This Row],[Month]] &amp; "P" &amp; $AL47*100 &amp; "-ICE", "Market")), "")</f>
        <v/>
      </c>
      <c r="AK47" s="683" t="str">
        <f>IFERROR(ABS(RTD("esrtd",,Options[[#This Row],[Index]] &amp; " " &amp; Options[[#This Row],[Month]] &amp; "P" &amp; $AL47*100 &amp; "-ICE", "ImpVol"))*100, "")</f>
        <v/>
      </c>
      <c r="AL47" s="676" t="e">
        <f t="shared" si="8"/>
        <v>#VALUE!</v>
      </c>
      <c r="AM47" s="684" t="e">
        <f>ABS(_xll.BDP(Options[[#This Row],[C-Ticker]], "OPT_DELTA_YEST"))*100</f>
        <v>#VALUE!</v>
      </c>
      <c r="AN47" s="684" t="str">
        <f>IFERROR(ABS(RTD("esrtd",,Options[[#This Row],[Index]] &amp; " " &amp; Options[[#This Row],[Month]] &amp; "C" &amp; $AL47*100 &amp; "-ICE", "OldSettlement")), "")</f>
        <v/>
      </c>
      <c r="AO47" s="684" t="str">
        <f>IFERROR(ABS(RTD("esrtd",,Options[[#This Row],[Index]] &amp; " " &amp; Options[[#This Row],[Month]] &amp; "C" &amp; $AL47*100 &amp; "-ICE", "OldSetIV"))*100, "")</f>
        <v/>
      </c>
      <c r="AP47" s="684" t="str">
        <f>IFERROR(ABS(RTD("esrtd",,Options[[#This Row],[Index]] &amp; " " &amp; Options[[#This Row],[Month]] &amp; "C" &amp; $AL47*100 &amp; "-ICE", "Delta"))*100, "")</f>
        <v/>
      </c>
      <c r="AQ47" s="684" t="str">
        <f>IFERROR(ABS(RTD("esrtd",,Options[[#This Row],[Index]] &amp; " " &amp; Options[[#This Row],[Month]] &amp; "C" &amp; $AL47*100 &amp; "-ICE", "Market")), "")</f>
        <v/>
      </c>
      <c r="AR47" s="684" t="str">
        <f>IFERROR(ABS(RTD("esrtd",,Options[[#This Row],[Index]] &amp; " " &amp; Options[[#This Row],[Month]] &amp; "C" &amp; $AL47*100 &amp; "-ICE", "ImpVol"))*100, "")</f>
        <v/>
      </c>
      <c r="AT47" s="678"/>
      <c r="AU47" s="677"/>
    </row>
    <row r="48" spans="1:53" x14ac:dyDescent="0.25">
      <c r="A48" s="605" t="s">
        <v>164</v>
      </c>
      <c r="B48" s="706" t="e">
        <f>$P$8</f>
        <v>#N/A</v>
      </c>
      <c r="C48" s="706" t="e">
        <f>$P$18</f>
        <v>#N/A</v>
      </c>
      <c r="D48" s="706" t="e">
        <f>$P$18</f>
        <v>#N/A</v>
      </c>
      <c r="E48" s="706" t="e">
        <f t="shared" ref="E48:F48" si="12">$P$8</f>
        <v>#N/A</v>
      </c>
      <c r="F48" s="706" t="e">
        <f t="shared" si="12"/>
        <v>#N/A</v>
      </c>
      <c r="G48" s="596"/>
      <c r="H48" s="605" t="s">
        <v>1332</v>
      </c>
      <c r="I48" s="706">
        <v>1</v>
      </c>
      <c r="J48" s="706">
        <v>1</v>
      </c>
      <c r="K48" s="706">
        <v>1</v>
      </c>
      <c r="N48" s="596" t="s">
        <v>1318</v>
      </c>
      <c r="AB48" s="596" t="s">
        <v>119</v>
      </c>
      <c r="AC48" s="596" t="s">
        <v>1286</v>
      </c>
      <c r="AD4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4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48" s="683" t="e">
        <f>ABS(_xll.BDP(Options[[#This Row],[P-Ticker]], "OPT_DELTA_YEST"))*100</f>
        <v>#VALUE!</v>
      </c>
      <c r="AG48" s="683" t="str">
        <f>IFERROR(ABS(RTD("esrtd",,Options[[#This Row],[Index]] &amp; " " &amp; Options[[#This Row],[Month]] &amp; "P" &amp; $AL48*100 &amp; "-ICE", "OldSettlement")), "")</f>
        <v/>
      </c>
      <c r="AH48" s="683" t="str">
        <f>IFERROR(ABS(RTD("esrtd",,Options[[#This Row],[Index]] &amp; " " &amp; Options[[#This Row],[Month]] &amp; "P" &amp; $AL48*100 &amp; "-ICE", "OldSetIV"))*100, "")</f>
        <v/>
      </c>
      <c r="AI48" s="683" t="str">
        <f>IFERROR(ABS(RTD("esrtd",,Options[[#This Row],[Index]] &amp; " " &amp; Options[[#This Row],[Month]] &amp; "P" &amp; $AL48*100 &amp; "-ICE", "Delta"))*100, "")</f>
        <v/>
      </c>
      <c r="AJ48" s="683" t="str">
        <f>IFERROR(ABS(RTD("esrtd",,Options[[#This Row],[Index]] &amp; " " &amp; Options[[#This Row],[Month]] &amp; "P" &amp; $AL48*100 &amp; "-ICE", "Market")), "")</f>
        <v/>
      </c>
      <c r="AK48" s="683" t="str">
        <f>IFERROR(ABS(RTD("esrtd",,Options[[#This Row],[Index]] &amp; " " &amp; Options[[#This Row],[Month]] &amp; "P" &amp; $AL48*100 &amp; "-ICE", "ImpVol"))*100, "")</f>
        <v/>
      </c>
      <c r="AL48" s="676" t="e">
        <f t="shared" si="8"/>
        <v>#VALUE!</v>
      </c>
      <c r="AM48" s="684" t="e">
        <f>ABS(_xll.BDP(Options[[#This Row],[C-Ticker]], "OPT_DELTA_YEST"))*100</f>
        <v>#VALUE!</v>
      </c>
      <c r="AN48" s="684" t="str">
        <f>IFERROR(ABS(RTD("esrtd",,Options[[#This Row],[Index]] &amp; " " &amp; Options[[#This Row],[Month]] &amp; "C" &amp; $AL48*100 &amp; "-ICE", "OldSettlement")), "")</f>
        <v/>
      </c>
      <c r="AO48" s="684" t="str">
        <f>IFERROR(ABS(RTD("esrtd",,Options[[#This Row],[Index]] &amp; " " &amp; Options[[#This Row],[Month]] &amp; "C" &amp; $AL48*100 &amp; "-ICE", "OldSetIV"))*100, "")</f>
        <v/>
      </c>
      <c r="AP48" s="684" t="str">
        <f>IFERROR(ABS(RTD("esrtd",,Options[[#This Row],[Index]] &amp; " " &amp; Options[[#This Row],[Month]] &amp; "C" &amp; $AL48*100 &amp; "-ICE", "Delta"))*100, "")</f>
        <v/>
      </c>
      <c r="AQ48" s="684" t="str">
        <f>IFERROR(ABS(RTD("esrtd",,Options[[#This Row],[Index]] &amp; " " &amp; Options[[#This Row],[Month]] &amp; "C" &amp; $AL48*100 &amp; "-ICE", "Market")), "")</f>
        <v/>
      </c>
      <c r="AR48" s="684" t="str">
        <f>IFERROR(ABS(RTD("esrtd",,Options[[#This Row],[Index]] &amp; " " &amp; Options[[#This Row],[Month]] &amp; "C" &amp; $AL48*100 &amp; "-ICE", "ImpVol"))*100, "")</f>
        <v/>
      </c>
      <c r="AT48" s="678"/>
      <c r="AU48" s="677"/>
    </row>
    <row r="49" spans="1:53" x14ac:dyDescent="0.25">
      <c r="M49" s="628"/>
      <c r="AB49" s="596" t="s">
        <v>119</v>
      </c>
      <c r="AC49" s="596" t="s">
        <v>1286</v>
      </c>
      <c r="AD49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130.00 Comdty</v>
      </c>
      <c r="AE49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130.00 Comdty</v>
      </c>
      <c r="AF49" s="683" t="e">
        <f>ABS(_xll.BDP(Options[[#This Row],[P-Ticker]], "OPT_DELTA_YEST"))*100</f>
        <v>#VALUE!</v>
      </c>
      <c r="AG49" s="683" t="str">
        <f>IFERROR(ABS(RTD("esrtd",,Options[[#This Row],[Index]] &amp; " " &amp; Options[[#This Row],[Month]] &amp; "P" &amp; $AL49*100 &amp; "-ICE", "OldSettlement")), "")</f>
        <v/>
      </c>
      <c r="AH49" s="683" t="str">
        <f>IFERROR(ABS(RTD("esrtd",,Options[[#This Row],[Index]] &amp; " " &amp; Options[[#This Row],[Month]] &amp; "P" &amp; $AL49*100 &amp; "-ICE", "OldSetIV"))*100, "")</f>
        <v/>
      </c>
      <c r="AI49" s="683" t="str">
        <f>IFERROR(ABS(RTD("esrtd",,Options[[#This Row],[Index]] &amp; " " &amp; Options[[#This Row],[Month]] &amp; "P" &amp; $AL49*100 &amp; "-ICE", "Delta"))*100, "")</f>
        <v/>
      </c>
      <c r="AJ49" s="683" t="str">
        <f>IFERROR(ABS(RTD("esrtd",,Options[[#This Row],[Index]] &amp; " " &amp; Options[[#This Row],[Month]] &amp; "P" &amp; $AL49*100 &amp; "-ICE", "Market")), "")</f>
        <v/>
      </c>
      <c r="AK49" s="683" t="str">
        <f>IFERROR(ABS(RTD("esrtd",,Options[[#This Row],[Index]] &amp; " " &amp; Options[[#This Row],[Month]] &amp; "P" &amp; $AL49*100 &amp; "-ICE", "ImpVol"))*100, "")</f>
        <v/>
      </c>
      <c r="AL49" s="676">
        <v>130</v>
      </c>
      <c r="AM49" s="684" t="e">
        <f>ABS(_xll.BDP(Options[[#This Row],[C-Ticker]], "OPT_DELTA_YEST"))*100</f>
        <v>#VALUE!</v>
      </c>
      <c r="AN49" s="684" t="str">
        <f>IFERROR(ABS(RTD("esrtd",,Options[[#This Row],[Index]] &amp; " " &amp; Options[[#This Row],[Month]] &amp; "C" &amp; $AL49*100 &amp; "-ICE", "OldSettlement")), "")</f>
        <v/>
      </c>
      <c r="AO49" s="684" t="str">
        <f>IFERROR(ABS(RTD("esrtd",,Options[[#This Row],[Index]] &amp; " " &amp; Options[[#This Row],[Month]] &amp; "C" &amp; $AL49*100 &amp; "-ICE", "OldSetIV"))*100, "")</f>
        <v/>
      </c>
      <c r="AP49" s="684" t="str">
        <f>IFERROR(ABS(RTD("esrtd",,Options[[#This Row],[Index]] &amp; " " &amp; Options[[#This Row],[Month]] &amp; "C" &amp; $AL49*100 &amp; "-ICE", "Delta"))*100, "")</f>
        <v/>
      </c>
      <c r="AQ49" s="684" t="str">
        <f>IFERROR(ABS(RTD("esrtd",,Options[[#This Row],[Index]] &amp; " " &amp; Options[[#This Row],[Month]] &amp; "C" &amp; $AL49*100 &amp; "-ICE", "Market")), "")</f>
        <v/>
      </c>
      <c r="AR49" s="684" t="str">
        <f>IFERROR(ABS(RTD("esrtd",,Options[[#This Row],[Index]] &amp; " " &amp; Options[[#This Row],[Month]] &amp; "C" &amp; $AL49*100 &amp; "-ICE", "ImpVol"))*100, "")</f>
        <v/>
      </c>
      <c r="AT49" s="678"/>
      <c r="AU49" s="677"/>
    </row>
    <row r="50" spans="1:53" x14ac:dyDescent="0.25">
      <c r="A50" s="620" t="s">
        <v>166</v>
      </c>
      <c r="B50" s="621"/>
      <c r="C50" s="621"/>
      <c r="D50" s="621"/>
      <c r="E50" s="621"/>
      <c r="F50" s="622"/>
      <c r="G50" s="596"/>
      <c r="H50" s="620" t="s">
        <v>166</v>
      </c>
      <c r="I50" s="720" t="s">
        <v>166</v>
      </c>
      <c r="J50" s="720" t="s">
        <v>166</v>
      </c>
      <c r="K50" s="720" t="s">
        <v>166</v>
      </c>
      <c r="M50" s="628"/>
      <c r="O50" s="599" t="s">
        <v>166</v>
      </c>
      <c r="P50" s="599" t="s">
        <v>177</v>
      </c>
      <c r="Q50" s="599" t="s">
        <v>178</v>
      </c>
      <c r="R50" s="599" t="s">
        <v>28</v>
      </c>
      <c r="S50" s="597" t="s">
        <v>179</v>
      </c>
      <c r="AB50" s="596" t="s">
        <v>119</v>
      </c>
      <c r="AC50" s="596" t="s">
        <v>1286</v>
      </c>
      <c r="AD50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150.00 Comdty</v>
      </c>
      <c r="AE50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150.00 Comdty</v>
      </c>
      <c r="AF50" s="683" t="e">
        <f>ABS(_xll.BDP(Options[[#This Row],[P-Ticker]], "OPT_DELTA_YEST"))*100</f>
        <v>#VALUE!</v>
      </c>
      <c r="AG50" s="683" t="str">
        <f>IFERROR(ABS(RTD("esrtd",,Options[[#This Row],[Index]] &amp; " " &amp; Options[[#This Row],[Month]] &amp; "P" &amp; $AL50*100 &amp; "-ICE", "OldSettlement")), "")</f>
        <v/>
      </c>
      <c r="AH50" s="683" t="str">
        <f>IFERROR(ABS(RTD("esrtd",,Options[[#This Row],[Index]] &amp; " " &amp; Options[[#This Row],[Month]] &amp; "P" &amp; $AL50*100 &amp; "-ICE", "OldSetIV"))*100, "")</f>
        <v/>
      </c>
      <c r="AI50" s="683" t="str">
        <f>IFERROR(ABS(RTD("esrtd",,Options[[#This Row],[Index]] &amp; " " &amp; Options[[#This Row],[Month]] &amp; "P" &amp; $AL50*100 &amp; "-ICE", "Delta"))*100, "")</f>
        <v/>
      </c>
      <c r="AJ50" s="683" t="str">
        <f>IFERROR(ABS(RTD("esrtd",,Options[[#This Row],[Index]] &amp; " " &amp; Options[[#This Row],[Month]] &amp; "P" &amp; $AL50*100 &amp; "-ICE", "Market")), "")</f>
        <v/>
      </c>
      <c r="AK50" s="683" t="str">
        <f>IFERROR(ABS(RTD("esrtd",,Options[[#This Row],[Index]] &amp; " " &amp; Options[[#This Row],[Month]] &amp; "P" &amp; $AL50*100 &amp; "-ICE", "ImpVol"))*100, "")</f>
        <v/>
      </c>
      <c r="AL50" s="676">
        <v>150</v>
      </c>
      <c r="AM50" s="684" t="e">
        <f>ABS(_xll.BDP(Options[[#This Row],[C-Ticker]], "OPT_DELTA_YEST"))*100</f>
        <v>#VALUE!</v>
      </c>
      <c r="AN50" s="684" t="str">
        <f>IFERROR(ABS(RTD("esrtd",,Options[[#This Row],[Index]] &amp; " " &amp; Options[[#This Row],[Month]] &amp; "C" &amp; $AL50*100 &amp; "-ICE", "OldSettlement")), "")</f>
        <v/>
      </c>
      <c r="AO50" s="684" t="str">
        <f>IFERROR(ABS(RTD("esrtd",,Options[[#This Row],[Index]] &amp; " " &amp; Options[[#This Row],[Month]] &amp; "C" &amp; $AL50*100 &amp; "-ICE", "OldSetIV"))*100, "")</f>
        <v/>
      </c>
      <c r="AP50" s="684" t="str">
        <f>IFERROR(ABS(RTD("esrtd",,Options[[#This Row],[Index]] &amp; " " &amp; Options[[#This Row],[Month]] &amp; "C" &amp; $AL50*100 &amp; "-ICE", "Delta"))*100, "")</f>
        <v/>
      </c>
      <c r="AQ50" s="684" t="str">
        <f>IFERROR(ABS(RTD("esrtd",,Options[[#This Row],[Index]] &amp; " " &amp; Options[[#This Row],[Month]] &amp; "C" &amp; $AL50*100 &amp; "-ICE", "Market")), "")</f>
        <v/>
      </c>
      <c r="AR50" s="684" t="str">
        <f>IFERROR(ABS(RTD("esrtd",,Options[[#This Row],[Index]] &amp; " " &amp; Options[[#This Row],[Month]] &amp; "C" &amp; $AL50*100 &amp; "-ICE", "ImpVol"))*100, "")</f>
        <v/>
      </c>
      <c r="AT50" s="678"/>
      <c r="AU50" s="677"/>
    </row>
    <row r="51" spans="1:53" x14ac:dyDescent="0.25">
      <c r="A51" s="605" t="s">
        <v>168</v>
      </c>
      <c r="B51" s="606" t="str" cm="1">
        <f t="array" ref="B51">_xll.BDP(B$9, "DELTA_MID_RT")</f>
        <v>#N/A Real Time</v>
      </c>
      <c r="C51" s="606" t="str" cm="1">
        <f t="array" ref="C51">_xll.BDP(C$9, "DELTA_MID_RT")</f>
        <v>#N/A Real Time</v>
      </c>
      <c r="D51" s="606" t="str" cm="1">
        <f t="array" ref="D51">_xll.BDP(D$9, "DELTA_MID_RT")</f>
        <v>#N/A Real Time</v>
      </c>
      <c r="E51" s="606" t="str" cm="1">
        <f t="array" ref="E51">_xll.BDP(E$9, "DELTA_MID_RT")</f>
        <v>#N/A Real Time</v>
      </c>
      <c r="F51" s="606" t="str" cm="1">
        <f t="array" ref="F51">_xll.BDP(F$9, "DELTA_MID_RT")</f>
        <v>#N/A Real Time</v>
      </c>
      <c r="G51" s="596"/>
      <c r="H51" s="605" t="s">
        <v>168</v>
      </c>
      <c r="I51" s="735" t="e">
        <f>I$26 + I$27 * (I$66 * 100)</f>
        <v>#VALUE!</v>
      </c>
      <c r="J51" s="735" t="e">
        <f>J$26 + J$27 * (J$66 * 100)</f>
        <v>#VALUE!</v>
      </c>
      <c r="K51" s="735" t="e">
        <f>K$26 + K$27 * (K$66 * 100)</f>
        <v>#VALUE!</v>
      </c>
      <c r="M51" s="628"/>
      <c r="N51" s="605" t="s">
        <v>168</v>
      </c>
      <c r="O51" s="623" t="e">
        <f t="shared" ref="O51:O57" si="13">SUM($B53:$F53)</f>
        <v>#VALUE!</v>
      </c>
      <c r="P51" s="623">
        <f t="shared" ref="P51:P57" si="14">SUM($B72:$F72)</f>
        <v>0</v>
      </c>
      <c r="Q51" s="623" t="e">
        <f t="shared" ref="Q51:Q57" si="15">SUM($B81:$F81)</f>
        <v>#VALUE!</v>
      </c>
      <c r="R51" s="629" t="e">
        <f t="shared" ref="R51:R57" si="16">SUM($P51:$Q51)</f>
        <v>#VALUE!</v>
      </c>
      <c r="S51" s="623" t="e">
        <f t="shared" ref="S51:S58" si="17">SUM($B92:$F92)</f>
        <v>#VALUE!</v>
      </c>
      <c r="AB51" s="596" t="s">
        <v>119</v>
      </c>
      <c r="AC51" s="596" t="s">
        <v>1286</v>
      </c>
      <c r="AD51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160.00 Comdty</v>
      </c>
      <c r="AE51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160.00 Comdty</v>
      </c>
      <c r="AF51" s="683" t="e">
        <f>ABS(_xll.BDP(Options[[#This Row],[P-Ticker]], "OPT_DELTA_YEST"))*100</f>
        <v>#VALUE!</v>
      </c>
      <c r="AG51" s="683" t="str">
        <f>IFERROR(ABS(RTD("esrtd",,Options[[#This Row],[Index]] &amp; " " &amp; Options[[#This Row],[Month]] &amp; "P" &amp; $AL51*100 &amp; "-ICE", "OldSettlement")), "")</f>
        <v/>
      </c>
      <c r="AH51" s="683" t="str">
        <f>IFERROR(ABS(RTD("esrtd",,Options[[#This Row],[Index]] &amp; " " &amp; Options[[#This Row],[Month]] &amp; "P" &amp; $AL51*100 &amp; "-ICE", "OldSetIV"))*100, "")</f>
        <v/>
      </c>
      <c r="AI51" s="683" t="str">
        <f>IFERROR(ABS(RTD("esrtd",,Options[[#This Row],[Index]] &amp; " " &amp; Options[[#This Row],[Month]] &amp; "P" &amp; $AL51*100 &amp; "-ICE", "Delta"))*100, "")</f>
        <v/>
      </c>
      <c r="AJ51" s="683" t="str">
        <f>IFERROR(ABS(RTD("esrtd",,Options[[#This Row],[Index]] &amp; " " &amp; Options[[#This Row],[Month]] &amp; "P" &amp; $AL51*100 &amp; "-ICE", "Market")), "")</f>
        <v/>
      </c>
      <c r="AK51" s="683" t="str">
        <f>IFERROR(ABS(RTD("esrtd",,Options[[#This Row],[Index]] &amp; " " &amp; Options[[#This Row],[Month]] &amp; "P" &amp; $AL51*100 &amp; "-ICE", "ImpVol"))*100, "")</f>
        <v/>
      </c>
      <c r="AL51" s="676">
        <v>160</v>
      </c>
      <c r="AM51" s="684" t="e">
        <f>ABS(_xll.BDP(Options[[#This Row],[C-Ticker]], "OPT_DELTA_YEST"))*100</f>
        <v>#VALUE!</v>
      </c>
      <c r="AN51" s="684" t="str">
        <f>IFERROR(ABS(RTD("esrtd",,Options[[#This Row],[Index]] &amp; " " &amp; Options[[#This Row],[Month]] &amp; "C" &amp; $AL51*100 &amp; "-ICE", "OldSettlement")), "")</f>
        <v/>
      </c>
      <c r="AO51" s="684" t="str">
        <f>IFERROR(ABS(RTD("esrtd",,Options[[#This Row],[Index]] &amp; " " &amp; Options[[#This Row],[Month]] &amp; "C" &amp; $AL51*100 &amp; "-ICE", "OldSetIV"))*100, "")</f>
        <v/>
      </c>
      <c r="AP51" s="684" t="str">
        <f>IFERROR(ABS(RTD("esrtd",,Options[[#This Row],[Index]] &amp; " " &amp; Options[[#This Row],[Month]] &amp; "C" &amp; $AL51*100 &amp; "-ICE", "Delta"))*100, "")</f>
        <v/>
      </c>
      <c r="AQ51" s="684" t="str">
        <f>IFERROR(ABS(RTD("esrtd",,Options[[#This Row],[Index]] &amp; " " &amp; Options[[#This Row],[Month]] &amp; "C" &amp; $AL51*100 &amp; "-ICE", "Market")), "")</f>
        <v/>
      </c>
      <c r="AR51" s="684" t="str">
        <f>IFERROR(ABS(RTD("esrtd",,Options[[#This Row],[Index]] &amp; " " &amp; Options[[#This Row],[Month]] &amp; "C" &amp; $AL51*100 &amp; "-ICE", "ImpVol"))*100, "")</f>
        <v/>
      </c>
      <c r="AT51" s="678"/>
      <c r="AU51" s="677"/>
      <c r="AV51" s="596" t="s">
        <v>175</v>
      </c>
      <c r="AW51" s="677" t="str" cm="1">
        <f t="array" ref="AW51">_xll.BDP($AU$40, "MID")</f>
        <v>#N/A Real Time</v>
      </c>
      <c r="AX51" s="677" t="e">
        <f>FLOOR(AW51, 1)</f>
        <v>#VALUE!</v>
      </c>
      <c r="AY51" s="677" t="e" cm="1">
        <f t="array" ref="AY51">INDEX($AR$73:$AR$140, MATCH($AX51, $AL$73:$AL$140, 0), 0)</f>
        <v>#VALUE!</v>
      </c>
    </row>
    <row r="52" spans="1:53" x14ac:dyDescent="0.25">
      <c r="A52" s="605" t="s">
        <v>169</v>
      </c>
      <c r="B52" s="607" t="str" cm="1">
        <f t="array" ref="B52">_xll.BDP(B$9, "GAMMA_MID_RT")</f>
        <v>#N/A Real Time</v>
      </c>
      <c r="C52" s="607" t="str" cm="1">
        <f t="array" ref="C52">_xll.BDP(C$9, "GAMMA_MID_RT")</f>
        <v>#N/A Real Time</v>
      </c>
      <c r="D52" s="607" t="str" cm="1">
        <f t="array" ref="D52">_xll.BDP(D$9, "GAMMA_MID_RT")</f>
        <v>#N/A Real Time</v>
      </c>
      <c r="E52" s="607" t="str" cm="1">
        <f t="array" ref="E52">_xll.BDP(E$9, "GAMMA_MID_RT")</f>
        <v>#N/A Real Time</v>
      </c>
      <c r="F52" s="607" t="str" cm="1">
        <f t="array" ref="F52">_xll.BDP(F$9, "GAMMA_MID_RT")</f>
        <v>#N/A Real Time</v>
      </c>
      <c r="G52" s="596"/>
      <c r="H52" s="605" t="s">
        <v>169</v>
      </c>
      <c r="I52" s="607" t="str" cm="1">
        <f t="array" ref="I52">_xll.BDP(I$9, "GAMMA_LAST_RT")</f>
        <v>#N/A Real Time</v>
      </c>
      <c r="J52" s="607" t="str" cm="1">
        <f t="array" ref="J52">_xll.BDP(J$9, "GAMMA_LAST_RT")</f>
        <v>#N/A Real Time</v>
      </c>
      <c r="K52" s="607" t="str" cm="1">
        <f t="array" ref="K52">_xll.BDP(K$9, "GAMMA_LAST_RT")</f>
        <v>#N/A Real Time</v>
      </c>
      <c r="M52" s="628"/>
      <c r="N52" s="605" t="s">
        <v>169</v>
      </c>
      <c r="O52" s="623" t="e">
        <f t="shared" si="13"/>
        <v>#VALUE!</v>
      </c>
      <c r="P52" s="623" t="e">
        <f t="shared" si="14"/>
        <v>#VALUE!</v>
      </c>
      <c r="Q52" s="623" t="e">
        <f t="shared" si="15"/>
        <v>#VALUE!</v>
      </c>
      <c r="R52" s="629" t="e">
        <f t="shared" si="16"/>
        <v>#VALUE!</v>
      </c>
      <c r="S52" s="623" t="e">
        <f t="shared" si="17"/>
        <v>#VALUE!</v>
      </c>
      <c r="AB52" s="596" t="s">
        <v>119</v>
      </c>
      <c r="AC52" s="596" t="s">
        <v>1286</v>
      </c>
      <c r="AD52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170.00 Comdty</v>
      </c>
      <c r="AE52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170.00 Comdty</v>
      </c>
      <c r="AF52" s="683" t="e">
        <f>ABS(_xll.BDP(Options[[#This Row],[P-Ticker]], "OPT_DELTA_YEST"))*100</f>
        <v>#VALUE!</v>
      </c>
      <c r="AG52" s="683" t="str">
        <f>IFERROR(ABS(RTD("esrtd",,Options[[#This Row],[Index]] &amp; " " &amp; Options[[#This Row],[Month]] &amp; "P" &amp; $AL52*100 &amp; "-ICE", "OldSettlement")), "")</f>
        <v/>
      </c>
      <c r="AH52" s="683" t="str">
        <f>IFERROR(ABS(RTD("esrtd",,Options[[#This Row],[Index]] &amp; " " &amp; Options[[#This Row],[Month]] &amp; "P" &amp; $AL52*100 &amp; "-ICE", "OldSetIV"))*100, "")</f>
        <v/>
      </c>
      <c r="AI52" s="683" t="str">
        <f>IFERROR(ABS(RTD("esrtd",,Options[[#This Row],[Index]] &amp; " " &amp; Options[[#This Row],[Month]] &amp; "P" &amp; $AL52*100 &amp; "-ICE", "Delta"))*100, "")</f>
        <v/>
      </c>
      <c r="AJ52" s="683" t="str">
        <f>IFERROR(ABS(RTD("esrtd",,Options[[#This Row],[Index]] &amp; " " &amp; Options[[#This Row],[Month]] &amp; "P" &amp; $AL52*100 &amp; "-ICE", "Market")), "")</f>
        <v/>
      </c>
      <c r="AK52" s="683" t="str">
        <f>IFERROR(ABS(RTD("esrtd",,Options[[#This Row],[Index]] &amp; " " &amp; Options[[#This Row],[Month]] &amp; "P" &amp; $AL52*100 &amp; "-ICE", "ImpVol"))*100, "")</f>
        <v/>
      </c>
      <c r="AL52" s="676">
        <v>170</v>
      </c>
      <c r="AM52" s="684" t="e">
        <f>ABS(_xll.BDP(Options[[#This Row],[C-Ticker]], "OPT_DELTA_YEST"))*100</f>
        <v>#VALUE!</v>
      </c>
      <c r="AN52" s="684" t="str">
        <f>IFERROR(ABS(RTD("esrtd",,Options[[#This Row],[Index]] &amp; " " &amp; Options[[#This Row],[Month]] &amp; "C" &amp; $AL52*100 &amp; "-ICE", "OldSettlement")), "")</f>
        <v/>
      </c>
      <c r="AO52" s="684" t="str">
        <f>IFERROR(ABS(RTD("esrtd",,Options[[#This Row],[Index]] &amp; " " &amp; Options[[#This Row],[Month]] &amp; "C" &amp; $AL52*100 &amp; "-ICE", "OldSetIV"))*100, "")</f>
        <v/>
      </c>
      <c r="AP52" s="684" t="str">
        <f>IFERROR(ABS(RTD("esrtd",,Options[[#This Row],[Index]] &amp; " " &amp; Options[[#This Row],[Month]] &amp; "C" &amp; $AL52*100 &amp; "-ICE", "Delta"))*100, "")</f>
        <v/>
      </c>
      <c r="AQ52" s="684" t="str">
        <f>IFERROR(ABS(RTD("esrtd",,Options[[#This Row],[Index]] &amp; " " &amp; Options[[#This Row],[Month]] &amp; "C" &amp; $AL52*100 &amp; "-ICE", "Market")), "")</f>
        <v/>
      </c>
      <c r="AR52" s="684" t="str">
        <f>IFERROR(ABS(RTD("esrtd",,Options[[#This Row],[Index]] &amp; " " &amp; Options[[#This Row],[Month]] &amp; "C" &amp; $AL52*100 &amp; "-ICE", "ImpVol"))*100, "")</f>
        <v/>
      </c>
      <c r="AT52" s="678"/>
      <c r="AU52" s="677"/>
      <c r="AV52" s="596" t="s">
        <v>180</v>
      </c>
      <c r="AW52" s="677" t="str" cm="1">
        <f t="array" ref="AW52">_xll.BDP($AU$40, "MID")</f>
        <v>#N/A Real Time</v>
      </c>
      <c r="AX52" s="677" t="e">
        <f>FLOOR(AW52, 1)</f>
        <v>#VALUE!</v>
      </c>
      <c r="AY52" s="677" t="e" cm="1">
        <f t="array" ref="AY52">INDEX($AK$73:$AK$140, MATCH($AX52, $AL$73:$AL$140, 0), 0)</f>
        <v>#VALUE!</v>
      </c>
    </row>
    <row r="53" spans="1:53" x14ac:dyDescent="0.25">
      <c r="A53" s="605" t="s">
        <v>168</v>
      </c>
      <c r="B53" s="603" t="e" cm="1">
        <f t="array" ref="B53">B$8 * _xll.BDP(B$9, "DELTA_MID_RT")</f>
        <v>#VALUE!</v>
      </c>
      <c r="C53" s="603" t="e" cm="1">
        <f t="array" ref="C53">C$8 * _xll.BDP(C$9, "DELTA_MID_RT")</f>
        <v>#VALUE!</v>
      </c>
      <c r="D53" s="603" t="e" cm="1">
        <f t="array" ref="D53">D$8 * _xll.BDP(D$9, "DELTA_MID_RT")</f>
        <v>#VALUE!</v>
      </c>
      <c r="E53" s="603" t="e" cm="1">
        <f t="array" ref="E53">E$8 * _xll.BDP(E$9, "DELTA_MID_RT")</f>
        <v>#VALUE!</v>
      </c>
      <c r="F53" s="603" t="e" cm="1">
        <f t="array" ref="F53">F$8 * _xll.BDP(F$9, "DELTA_MID_RT")</f>
        <v>#VALUE!</v>
      </c>
      <c r="G53" s="596"/>
      <c r="H53" s="605" t="s">
        <v>1325</v>
      </c>
      <c r="I53" s="603" t="e">
        <f>I$8 * I$51</f>
        <v>#VALUE!</v>
      </c>
      <c r="J53" s="603" t="e">
        <f>J$8 * J$51</f>
        <v>#VALUE!</v>
      </c>
      <c r="K53" s="603" t="e">
        <f t="shared" ref="K53" si="18">K$8 * K$51</f>
        <v>#VALUE!</v>
      </c>
      <c r="N53" s="605" t="s">
        <v>170</v>
      </c>
      <c r="O53" s="623" t="e">
        <f t="shared" si="13"/>
        <v>#VALUE!</v>
      </c>
      <c r="P53" s="623" t="e">
        <f t="shared" si="14"/>
        <v>#VALUE!</v>
      </c>
      <c r="Q53" s="623" t="e">
        <f t="shared" si="15"/>
        <v>#VALUE!</v>
      </c>
      <c r="R53" s="629" t="e">
        <f t="shared" si="16"/>
        <v>#VALUE!</v>
      </c>
      <c r="S53" s="623" t="e">
        <f t="shared" si="17"/>
        <v>#VALUE!</v>
      </c>
      <c r="AB53" s="596" t="s">
        <v>119</v>
      </c>
      <c r="AC53" s="596" t="s">
        <v>1286</v>
      </c>
      <c r="AD53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180.00 Comdty</v>
      </c>
      <c r="AE53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180.00 Comdty</v>
      </c>
      <c r="AF53" s="683" t="e">
        <f>ABS(_xll.BDP(Options[[#This Row],[P-Ticker]], "OPT_DELTA_YEST"))*100</f>
        <v>#VALUE!</v>
      </c>
      <c r="AG53" s="683" t="str">
        <f>IFERROR(ABS(RTD("esrtd",,Options[[#This Row],[Index]] &amp; " " &amp; Options[[#This Row],[Month]] &amp; "P" &amp; $AL53*100 &amp; "-ICE", "OldSettlement")), "")</f>
        <v/>
      </c>
      <c r="AH53" s="683" t="str">
        <f>IFERROR(ABS(RTD("esrtd",,Options[[#This Row],[Index]] &amp; " " &amp; Options[[#This Row],[Month]] &amp; "P" &amp; $AL53*100 &amp; "-ICE", "OldSetIV"))*100, "")</f>
        <v/>
      </c>
      <c r="AI53" s="683" t="str">
        <f>IFERROR(ABS(RTD("esrtd",,Options[[#This Row],[Index]] &amp; " " &amp; Options[[#This Row],[Month]] &amp; "P" &amp; $AL53*100 &amp; "-ICE", "Delta"))*100, "")</f>
        <v/>
      </c>
      <c r="AJ53" s="683" t="str">
        <f>IFERROR(ABS(RTD("esrtd",,Options[[#This Row],[Index]] &amp; " " &amp; Options[[#This Row],[Month]] &amp; "P" &amp; $AL53*100 &amp; "-ICE", "Market")), "")</f>
        <v/>
      </c>
      <c r="AK53" s="683" t="str">
        <f>IFERROR(ABS(RTD("esrtd",,Options[[#This Row],[Index]] &amp; " " &amp; Options[[#This Row],[Month]] &amp; "P" &amp; $AL53*100 &amp; "-ICE", "ImpVol"))*100, "")</f>
        <v/>
      </c>
      <c r="AL53" s="676">
        <v>180</v>
      </c>
      <c r="AM53" s="684" t="e">
        <f>ABS(_xll.BDP(Options[[#This Row],[C-Ticker]], "OPT_DELTA_YEST"))*100</f>
        <v>#VALUE!</v>
      </c>
      <c r="AN53" s="684" t="str">
        <f>IFERROR(ABS(RTD("esrtd",,Options[[#This Row],[Index]] &amp; " " &amp; Options[[#This Row],[Month]] &amp; "C" &amp; $AL53*100 &amp; "-ICE", "OldSettlement")), "")</f>
        <v/>
      </c>
      <c r="AO53" s="684" t="str">
        <f>IFERROR(ABS(RTD("esrtd",,Options[[#This Row],[Index]] &amp; " " &amp; Options[[#This Row],[Month]] &amp; "C" &amp; $AL53*100 &amp; "-ICE", "OldSetIV"))*100, "")</f>
        <v/>
      </c>
      <c r="AP53" s="684" t="str">
        <f>IFERROR(ABS(RTD("esrtd",,Options[[#This Row],[Index]] &amp; " " &amp; Options[[#This Row],[Month]] &amp; "C" &amp; $AL53*100 &amp; "-ICE", "Delta"))*100, "")</f>
        <v/>
      </c>
      <c r="AQ53" s="684" t="str">
        <f>IFERROR(ABS(RTD("esrtd",,Options[[#This Row],[Index]] &amp; " " &amp; Options[[#This Row],[Month]] &amp; "C" &amp; $AL53*100 &amp; "-ICE", "Market")), "")</f>
        <v/>
      </c>
      <c r="AR53" s="684" t="str">
        <f>IFERROR(ABS(RTD("esrtd",,Options[[#This Row],[Index]] &amp; " " &amp; Options[[#This Row],[Month]] &amp; "C" &amp; $AL53*100 &amp; "-ICE", "ImpVol"))*100, "")</f>
        <v/>
      </c>
      <c r="AT53" s="678"/>
      <c r="AU53" s="677"/>
      <c r="AZ53" s="677"/>
    </row>
    <row r="54" spans="1:53" x14ac:dyDescent="0.25">
      <c r="A54" s="605" t="s">
        <v>169</v>
      </c>
      <c r="B54" s="608" t="e" cm="1">
        <f t="array" ref="B54">B$8 * _xll.BDP(B$9, "GAMMA_MID_RT")</f>
        <v>#VALUE!</v>
      </c>
      <c r="C54" s="608" t="e" cm="1">
        <f t="array" ref="C54">C$8 * _xll.BDP(C$9, "GAMMA_MID_RT")</f>
        <v>#VALUE!</v>
      </c>
      <c r="D54" s="608" t="e" cm="1">
        <f t="array" ref="D54">D$8 * _xll.BDP(D$9, "GAMMA_MID_RT")</f>
        <v>#VALUE!</v>
      </c>
      <c r="E54" s="608" t="e" cm="1">
        <f t="array" ref="E54">E$8 * _xll.BDP(E$9, "GAMMA_MID_RT")</f>
        <v>#VALUE!</v>
      </c>
      <c r="F54" s="608" t="e" cm="1">
        <f t="array" ref="F54">F$8 * _xll.BDP(F$9, "GAMMA_MID_RT")</f>
        <v>#VALUE!</v>
      </c>
      <c r="G54" s="596"/>
      <c r="H54" s="605" t="s">
        <v>1326</v>
      </c>
      <c r="I54" s="608" t="e" cm="1">
        <f t="array" ref="I54">I$8 * _xll.BDP(I$9, "GAMMA_LAST_RT")</f>
        <v>#VALUE!</v>
      </c>
      <c r="J54" s="608" t="e" cm="1">
        <f t="array" ref="J54">J$8 * _xll.BDP(J$9, "GAMMA_LAST_RT")</f>
        <v>#VALUE!</v>
      </c>
      <c r="K54" s="608" t="e" cm="1">
        <f t="array" ref="K54">K$8 * _xll.BDP(K$9, "GAMMA_LAST_RT")</f>
        <v>#VALUE!</v>
      </c>
      <c r="N54" s="605" t="s">
        <v>174</v>
      </c>
      <c r="O54" s="623">
        <f t="shared" si="13"/>
        <v>0</v>
      </c>
      <c r="P54" s="623">
        <f t="shared" ca="1" si="14"/>
        <v>0</v>
      </c>
      <c r="Q54" s="623">
        <f t="shared" si="15"/>
        <v>0</v>
      </c>
      <c r="R54" s="629">
        <f t="shared" ca="1" si="16"/>
        <v>0</v>
      </c>
      <c r="S54" s="623" t="e">
        <f t="shared" si="17"/>
        <v>#VALUE!</v>
      </c>
      <c r="AB54" s="596" t="s">
        <v>119</v>
      </c>
      <c r="AC54" s="596" t="s">
        <v>1286</v>
      </c>
      <c r="AD54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200.00 Comdty</v>
      </c>
      <c r="AE54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200.00 Comdty</v>
      </c>
      <c r="AF54" s="683" t="e">
        <f>ABS(_xll.BDP(Options[[#This Row],[P-Ticker]], "OPT_DELTA_YEST"))*100</f>
        <v>#VALUE!</v>
      </c>
      <c r="AG54" s="683" t="str">
        <f>IFERROR(ABS(RTD("esrtd",,Options[[#This Row],[Index]] &amp; " " &amp; Options[[#This Row],[Month]] &amp; "P" &amp; $AL54*100 &amp; "-ICE", "OldSettlement")), "")</f>
        <v/>
      </c>
      <c r="AH54" s="683" t="str">
        <f>IFERROR(ABS(RTD("esrtd",,Options[[#This Row],[Index]] &amp; " " &amp; Options[[#This Row],[Month]] &amp; "P" &amp; $AL54*100 &amp; "-ICE", "OldSetIV"))*100, "")</f>
        <v/>
      </c>
      <c r="AI54" s="683" t="str">
        <f>IFERROR(ABS(RTD("esrtd",,Options[[#This Row],[Index]] &amp; " " &amp; Options[[#This Row],[Month]] &amp; "P" &amp; $AL54*100 &amp; "-ICE", "Delta"))*100, "")</f>
        <v/>
      </c>
      <c r="AJ54" s="683" t="str">
        <f>IFERROR(ABS(RTD("esrtd",,Options[[#This Row],[Index]] &amp; " " &amp; Options[[#This Row],[Month]] &amp; "P" &amp; $AL54*100 &amp; "-ICE", "Market")), "")</f>
        <v/>
      </c>
      <c r="AK54" s="683" t="str">
        <f>IFERROR(ABS(RTD("esrtd",,Options[[#This Row],[Index]] &amp; " " &amp; Options[[#This Row],[Month]] &amp; "P" &amp; $AL54*100 &amp; "-ICE", "ImpVol"))*100, "")</f>
        <v/>
      </c>
      <c r="AL54" s="676">
        <v>200</v>
      </c>
      <c r="AM54" s="684" t="e">
        <f>ABS(_xll.BDP(Options[[#This Row],[C-Ticker]], "OPT_DELTA_YEST"))*100</f>
        <v>#VALUE!</v>
      </c>
      <c r="AN54" s="684" t="str">
        <f>IFERROR(ABS(RTD("esrtd",,Options[[#This Row],[Index]] &amp; " " &amp; Options[[#This Row],[Month]] &amp; "C" &amp; $AL54*100 &amp; "-ICE", "OldSettlement")), "")</f>
        <v/>
      </c>
      <c r="AO54" s="684" t="str">
        <f>IFERROR(ABS(RTD("esrtd",,Options[[#This Row],[Index]] &amp; " " &amp; Options[[#This Row],[Month]] &amp; "C" &amp; $AL54*100 &amp; "-ICE", "OldSetIV"))*100, "")</f>
        <v/>
      </c>
      <c r="AP54" s="684" t="str">
        <f>IFERROR(ABS(RTD("esrtd",,Options[[#This Row],[Index]] &amp; " " &amp; Options[[#This Row],[Month]] &amp; "C" &amp; $AL54*100 &amp; "-ICE", "Delta"))*100, "")</f>
        <v/>
      </c>
      <c r="AQ54" s="684" t="str">
        <f>IFERROR(ABS(RTD("esrtd",,Options[[#This Row],[Index]] &amp; " " &amp; Options[[#This Row],[Month]] &amp; "C" &amp; $AL54*100 &amp; "-ICE", "Market")), "")</f>
        <v/>
      </c>
      <c r="AR54" s="684" t="str">
        <f>IFERROR(ABS(RTD("esrtd",,Options[[#This Row],[Index]] &amp; " " &amp; Options[[#This Row],[Month]] &amp; "C" &amp; $AL54*100 &amp; "-ICE", "ImpVol"))*100, "")</f>
        <v/>
      </c>
      <c r="AT54" s="678"/>
      <c r="AU54" s="677"/>
      <c r="AV54" s="677" t="s">
        <v>118</v>
      </c>
      <c r="AW54" s="677" t="str" cm="1">
        <f t="array" ref="AW54">_xll.BDP($AU$40, "PX_SETTLE")</f>
        <v>#N/A N/A</v>
      </c>
      <c r="AX54" s="677" t="e">
        <f>FLOOR(AW54, 1)</f>
        <v>#VALUE!</v>
      </c>
      <c r="AY54" s="677" t="e" cm="1">
        <f t="array" ref="AY54">INDEX($AO$73:$AO$140, MATCH($AX54, $AL$73:$AL$140, 0), 0)</f>
        <v>#VALUE!</v>
      </c>
      <c r="AZ54" s="677"/>
    </row>
    <row r="55" spans="1:53" x14ac:dyDescent="0.25">
      <c r="A55" s="605" t="s">
        <v>170</v>
      </c>
      <c r="B55" s="608" t="e" cm="1">
        <f t="array" ref="B55">B$8 * _xll.BDP(B$9, "VEGA_MID_RT")</f>
        <v>#VALUE!</v>
      </c>
      <c r="C55" s="608" t="e" cm="1">
        <f t="array" ref="C55">C$8 * _xll.BDP(C$9, "VEGA_MID_RT")</f>
        <v>#VALUE!</v>
      </c>
      <c r="D55" s="608" t="e" cm="1">
        <f t="array" ref="D55">D$8 * _xll.BDP(D$9, "VEGA_MID_RT")</f>
        <v>#VALUE!</v>
      </c>
      <c r="E55" s="608" t="e" cm="1">
        <f t="array" ref="E55">E$8 * _xll.BDP(E$9, "VEGA_MID_RT")</f>
        <v>#VALUE!</v>
      </c>
      <c r="F55" s="608" t="e" cm="1">
        <f t="array" ref="F55">F$8 * _xll.BDP(F$9, "VEGA_MID_RT")</f>
        <v>#VALUE!</v>
      </c>
      <c r="G55" s="596"/>
      <c r="H55" s="605" t="s">
        <v>1324</v>
      </c>
      <c r="I55" s="608" t="e" cm="1">
        <f t="array" ref="I55">I$8 * _xll.BDP(I$9, "VEGA_LAST_RT") / 10</f>
        <v>#VALUE!</v>
      </c>
      <c r="J55" s="608" t="e" cm="1">
        <f t="array" ref="J55">J$8 * _xll.BDP(J$9, "VEGA_LAST_RT") / 10</f>
        <v>#VALUE!</v>
      </c>
      <c r="K55" s="608" t="e" cm="1">
        <f t="array" ref="K55">K$8 * _xll.BDP(K$9, "VEGA_LAST_RT") / 10</f>
        <v>#VALUE!</v>
      </c>
      <c r="N55" s="605" t="s">
        <v>176</v>
      </c>
      <c r="O55" s="623">
        <f t="shared" si="13"/>
        <v>0</v>
      </c>
      <c r="P55" s="623">
        <f t="shared" ca="1" si="14"/>
        <v>0</v>
      </c>
      <c r="Q55" s="623">
        <f t="shared" si="15"/>
        <v>0</v>
      </c>
      <c r="R55" s="629">
        <f t="shared" ca="1" si="16"/>
        <v>0</v>
      </c>
      <c r="S55" s="623" t="e">
        <f t="shared" si="17"/>
        <v>#VALUE!</v>
      </c>
      <c r="AB55" s="596" t="s">
        <v>119</v>
      </c>
      <c r="AC55" s="596" t="s">
        <v>1286</v>
      </c>
      <c r="AD55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250.00 Comdty</v>
      </c>
      <c r="AE55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250.00 Comdty</v>
      </c>
      <c r="AF55" s="683" t="e">
        <f>ABS(_xll.BDP(Options[[#This Row],[P-Ticker]], "OPT_DELTA_YEST"))*100</f>
        <v>#VALUE!</v>
      </c>
      <c r="AG55" s="683" t="str">
        <f>IFERROR(ABS(RTD("esrtd",,Options[[#This Row],[Index]] &amp; " " &amp; Options[[#This Row],[Month]] &amp; "P" &amp; $AL55*100 &amp; "-ICE", "OldSettlement")), "")</f>
        <v/>
      </c>
      <c r="AH55" s="683" t="str">
        <f>IFERROR(ABS(RTD("esrtd",,Options[[#This Row],[Index]] &amp; " " &amp; Options[[#This Row],[Month]] &amp; "P" &amp; $AL55*100 &amp; "-ICE", "OldSetIV"))*100, "")</f>
        <v/>
      </c>
      <c r="AI55" s="683" t="str">
        <f>IFERROR(ABS(RTD("esrtd",,Options[[#This Row],[Index]] &amp; " " &amp; Options[[#This Row],[Month]] &amp; "P" &amp; $AL55*100 &amp; "-ICE", "Delta"))*100, "")</f>
        <v/>
      </c>
      <c r="AJ55" s="683" t="str">
        <f>IFERROR(ABS(RTD("esrtd",,Options[[#This Row],[Index]] &amp; " " &amp; Options[[#This Row],[Month]] &amp; "P" &amp; $AL55*100 &amp; "-ICE", "Market")), "")</f>
        <v/>
      </c>
      <c r="AK55" s="683" t="str">
        <f>IFERROR(ABS(RTD("esrtd",,Options[[#This Row],[Index]] &amp; " " &amp; Options[[#This Row],[Month]] &amp; "P" &amp; $AL55*100 &amp; "-ICE", "ImpVol"))*100, "")</f>
        <v/>
      </c>
      <c r="AL55" s="676">
        <v>250</v>
      </c>
      <c r="AM55" s="684" t="e">
        <f>ABS(_xll.BDP(Options[[#This Row],[C-Ticker]], "OPT_DELTA_YEST"))*100</f>
        <v>#VALUE!</v>
      </c>
      <c r="AN55" s="684" t="str">
        <f>IFERROR(ABS(RTD("esrtd",,Options[[#This Row],[Index]] &amp; " " &amp; Options[[#This Row],[Month]] &amp; "C" &amp; $AL55*100 &amp; "-ICE", "OldSettlement")), "")</f>
        <v/>
      </c>
      <c r="AO55" s="684" t="str">
        <f>IFERROR(ABS(RTD("esrtd",,Options[[#This Row],[Index]] &amp; " " &amp; Options[[#This Row],[Month]] &amp; "C" &amp; $AL55*100 &amp; "-ICE", "OldSetIV"))*100, "")</f>
        <v/>
      </c>
      <c r="AP55" s="684" t="str">
        <f>IFERROR(ABS(RTD("esrtd",,Options[[#This Row],[Index]] &amp; " " &amp; Options[[#This Row],[Month]] &amp; "C" &amp; $AL55*100 &amp; "-ICE", "Delta"))*100, "")</f>
        <v/>
      </c>
      <c r="AQ55" s="684" t="str">
        <f>IFERROR(ABS(RTD("esrtd",,Options[[#This Row],[Index]] &amp; " " &amp; Options[[#This Row],[Month]] &amp; "C" &amp; $AL55*100 &amp; "-ICE", "Market")), "")</f>
        <v/>
      </c>
      <c r="AR55" s="684" t="str">
        <f>IFERROR(ABS(RTD("esrtd",,Options[[#This Row],[Index]] &amp; " " &amp; Options[[#This Row],[Month]] &amp; "C" &amp; $AL55*100 &amp; "-ICE", "ImpVol"))*100, "")</f>
        <v/>
      </c>
      <c r="AT55" s="678"/>
      <c r="AU55" s="677"/>
      <c r="AV55" s="677"/>
      <c r="AX55" s="678"/>
      <c r="AY55" s="677"/>
      <c r="AZ55" s="677"/>
    </row>
    <row r="56" spans="1:53" x14ac:dyDescent="0.25">
      <c r="A56" s="605" t="s">
        <v>174</v>
      </c>
      <c r="B56" s="608" t="str">
        <f>IF(B$8 = 0, 0, IFERROR(OptVanna(IF(B$5 = "C", 1, 0), B$42, B$6, B$43, 0.04, B$45/100) * B$8, ""))</f>
        <v/>
      </c>
      <c r="C56" s="608" t="str">
        <f>IF(C$8 = 0, 0, IFERROR(OptVanna(IF(C$5 = "C", 1, 0), C$42, C$6, C$43, 0.04, C$45/100) * C$8, ""))</f>
        <v/>
      </c>
      <c r="D56" s="608" t="str">
        <f>IF(D$8 = 0, 0, IFERROR(OptVanna(IF(D$5 = "C", 1, 0), D$42, D$6, D$43, 0.04, D$45/100) * D$8, ""))</f>
        <v/>
      </c>
      <c r="E56" s="608">
        <f>IF(E$8 = 0, 0, IFERROR(OptVanna(IF(E$5 = "C", 1, 0), E$42, E$6, E$43, 0.04, E$45/100) * E$8, ""))</f>
        <v>0</v>
      </c>
      <c r="F56" s="608">
        <f>IF(F$8 = 0, 0, IFERROR(OptVanna(IF(F$5 = "C", 1, 0), F$42, F$6, F$43, 0.04, F$45/100) * F$8, ""))</f>
        <v>0</v>
      </c>
      <c r="G56" s="596"/>
      <c r="H56" s="605" t="s">
        <v>174</v>
      </c>
      <c r="I56" s="608" t="str">
        <f>IF(I$8 = 0, 0, IFERROR(OptVanna(IF(I$5 = "C", 1, 0), I$42, I$6, I$43, 0.04, I$45/100) * I$8, ""))</f>
        <v/>
      </c>
      <c r="J56" s="608" t="str">
        <f>IF(J$8 = 0, 0, IFERROR(OptVanna(IF(J$5 = "C", 1, 0), J$42, J$6, J$43, 0.04, J$45/100) * J$8, ""))</f>
        <v/>
      </c>
      <c r="K56" s="608">
        <f>IF(K$8 = 0, 0, IFERROR(OptVanna(IF(K$5 = "C", 1, 0), K$42, K$6, K$43, 0.04, K$45/100) * K$8, ""))</f>
        <v>0</v>
      </c>
      <c r="N56" s="605" t="s">
        <v>181</v>
      </c>
      <c r="O56" s="623" t="e">
        <f t="shared" si="13"/>
        <v>#VALUE!</v>
      </c>
      <c r="P56" s="623" t="e">
        <f t="shared" si="14"/>
        <v>#VALUE!</v>
      </c>
      <c r="Q56" s="623" t="e">
        <f t="shared" si="15"/>
        <v>#VALUE!</v>
      </c>
      <c r="R56" s="629" t="e">
        <f t="shared" si="16"/>
        <v>#VALUE!</v>
      </c>
      <c r="S56" s="623">
        <f ca="1">SUM($B97:$F97)</f>
        <v>0</v>
      </c>
      <c r="AB56" s="596" t="s">
        <v>119</v>
      </c>
      <c r="AC56" s="596" t="s">
        <v>1286</v>
      </c>
      <c r="AD56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56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56" s="683" t="e">
        <f>ABS(_xll.BDP(Options[[#This Row],[P-Ticker]], "OPT_DELTA_YEST"))*100</f>
        <v>#VALUE!</v>
      </c>
      <c r="AG56" s="683" t="str">
        <f>IFERROR(ABS(RTD("esrtd",,Options[[#This Row],[Index]] &amp; " " &amp; Options[[#This Row],[Month]] &amp; "P" &amp; $AL56*100 &amp; "-ICE", "OldSettlement")), "")</f>
        <v/>
      </c>
      <c r="AH56" s="683" t="str">
        <f>IFERROR(ABS(RTD("esrtd",,Options[[#This Row],[Index]] &amp; " " &amp; Options[[#This Row],[Month]] &amp; "P" &amp; $AL56*100 &amp; "-ICE", "OldSetIV"))*100, "")</f>
        <v/>
      </c>
      <c r="AI56" s="683" t="str">
        <f>IFERROR(ABS(RTD("esrtd",,Options[[#This Row],[Index]] &amp; " " &amp; Options[[#This Row],[Month]] &amp; "P" &amp; $AL56*100 &amp; "-ICE", "Delta"))*100, "")</f>
        <v/>
      </c>
      <c r="AJ56" s="683" t="str">
        <f>IFERROR(ABS(RTD("esrtd",,Options[[#This Row],[Index]] &amp; " " &amp; Options[[#This Row],[Month]] &amp; "P" &amp; $AL56*100 &amp; "-ICE", "Market")), "")</f>
        <v/>
      </c>
      <c r="AK56" s="683" t="str">
        <f>IFERROR(ABS(RTD("esrtd",,Options[[#This Row],[Index]] &amp; " " &amp; Options[[#This Row],[Month]] &amp; "P" &amp; $AL56*100 &amp; "-ICE", "ImpVol"))*100, "")</f>
        <v/>
      </c>
      <c r="AL56" s="676">
        <v>300</v>
      </c>
      <c r="AM56" s="684" t="e">
        <f>ABS(_xll.BDP(Options[[#This Row],[C-Ticker]], "OPT_DELTA_YEST"))*100</f>
        <v>#VALUE!</v>
      </c>
      <c r="AN56" s="684" t="str">
        <f>IFERROR(ABS(RTD("esrtd",,Options[[#This Row],[Index]] &amp; " " &amp; Options[[#This Row],[Month]] &amp; "C" &amp; $AL56*100 &amp; "-ICE", "OldSettlement")), "")</f>
        <v/>
      </c>
      <c r="AO56" s="684" t="str">
        <f>IFERROR(ABS(RTD("esrtd",,Options[[#This Row],[Index]] &amp; " " &amp; Options[[#This Row],[Month]] &amp; "C" &amp; $AL56*100 &amp; "-ICE", "OldSetIV"))*100, "")</f>
        <v/>
      </c>
      <c r="AP56" s="684" t="str">
        <f>IFERROR(ABS(RTD("esrtd",,Options[[#This Row],[Index]] &amp; " " &amp; Options[[#This Row],[Month]] &amp; "C" &amp; $AL56*100 &amp; "-ICE", "Delta"))*100, "")</f>
        <v/>
      </c>
      <c r="AQ56" s="684" t="str">
        <f>IFERROR(ABS(RTD("esrtd",,Options[[#This Row],[Index]] &amp; " " &amp; Options[[#This Row],[Month]] &amp; "C" &amp; $AL56*100 &amp; "-ICE", "Market")), "")</f>
        <v/>
      </c>
      <c r="AR56" s="684" t="str">
        <f>IFERROR(ABS(RTD("esrtd",,Options[[#This Row],[Index]] &amp; " " &amp; Options[[#This Row],[Month]] &amp; "C" &amp; $AL56*100 &amp; "-ICE", "ImpVol"))*100, "")</f>
        <v/>
      </c>
      <c r="AT56" s="678"/>
      <c r="AU56" s="677"/>
      <c r="AV56" s="677"/>
      <c r="AX56" s="678"/>
      <c r="AY56" s="677"/>
      <c r="AZ56" s="677"/>
    </row>
    <row r="57" spans="1:53" x14ac:dyDescent="0.25">
      <c r="A57" s="605" t="s">
        <v>176</v>
      </c>
      <c r="B57" s="608" t="str">
        <f>IF(B$8 = 0, 0, IFERROR(OptVolga(IF(B$5 = "C", 1, 0), B$42, B$6, B$43, 0.04, B$45/100) * B$8, ""))</f>
        <v/>
      </c>
      <c r="C57" s="608" t="str">
        <f>IF(C$8 = 0, 0, IFERROR(OptVolga(IF(C$5 = "C", 1, 0), C$42, C$6, C$43, 0.04, C$45/100) * C$8, ""))</f>
        <v/>
      </c>
      <c r="D57" s="608" t="str">
        <f>IF(D$8 = 0, 0, IFERROR(OptVolga(IF(D$5 = "C", 1, 0), D$42, D$6, D$43, 0.04, D$45/100) * D$8, ""))</f>
        <v/>
      </c>
      <c r="E57" s="608">
        <f>IF(E$8 = 0, 0, IFERROR(OptVolga(IF(E$5 = "C", 1, 0), E$42, E$6, E$43, 0.04, E$45/100) * E$8, ""))</f>
        <v>0</v>
      </c>
      <c r="F57" s="608">
        <f>IF(F$8 = 0, 0, IFERROR(OptVolga(IF(F$5 = "C", 1, 0), F$42, F$6, F$43, 0.04, F$45/100) * F$8, ""))</f>
        <v>0</v>
      </c>
      <c r="G57" s="596"/>
      <c r="H57" s="605" t="s">
        <v>176</v>
      </c>
      <c r="I57" s="608" t="str">
        <f>IF(I$8 = 0, 0, IFERROR(OptVolga(IF(I$5 = "C", 1, 0), I$42, I$6, I$43, 0.04, I$45/100) * I$8, ""))</f>
        <v/>
      </c>
      <c r="J57" s="608" t="str">
        <f>IF(J$8 = 0, 0, IFERROR(OptVolga(IF(J$5 = "C", 1, 0), J$42, J$6, J$43, 0.04, J$45/100) * J$8, ""))</f>
        <v/>
      </c>
      <c r="K57" s="608">
        <f>IF(K$8 = 0, 0, IFERROR(OptVolga(IF(K$5 = "C", 1, 0), K$42, K$6, K$43, 0.04, K$45/100) * K$8, ""))</f>
        <v>0</v>
      </c>
      <c r="N57" s="605" t="s">
        <v>182</v>
      </c>
      <c r="O57" s="623">
        <f t="shared" si="13"/>
        <v>0</v>
      </c>
      <c r="P57" s="623" t="e">
        <f t="shared" si="14"/>
        <v>#VALUE!</v>
      </c>
      <c r="Q57" s="623">
        <f t="shared" si="15"/>
        <v>0</v>
      </c>
      <c r="R57" s="629" t="e">
        <f t="shared" si="16"/>
        <v>#VALUE!</v>
      </c>
      <c r="S57" s="623" t="e">
        <f t="shared" si="17"/>
        <v>#VALUE!</v>
      </c>
      <c r="AB57" s="596" t="s">
        <v>119</v>
      </c>
      <c r="AC57" s="596" t="s">
        <v>1286</v>
      </c>
      <c r="AD57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57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57" s="683" t="e">
        <f>ABS(_xll.BDP(Options[[#This Row],[P-Ticker]], "OPT_DELTA_YEST"))*100</f>
        <v>#VALUE!</v>
      </c>
      <c r="AG57" s="683" t="str">
        <f>IFERROR(ABS(RTD("esrtd",,Options[[#This Row],[Index]] &amp; " " &amp; Options[[#This Row],[Month]] &amp; "P" &amp; $AL57*100 &amp; "-ICE", "OldSettlement")), "")</f>
        <v/>
      </c>
      <c r="AH57" s="683" t="str">
        <f>IFERROR(ABS(RTD("esrtd",,Options[[#This Row],[Index]] &amp; " " &amp; Options[[#This Row],[Month]] &amp; "P" &amp; $AL57*100 &amp; "-ICE", "OldSetIV"))*100, "")</f>
        <v/>
      </c>
      <c r="AI57" s="683" t="str">
        <f>IFERROR(ABS(RTD("esrtd",,Options[[#This Row],[Index]] &amp; " " &amp; Options[[#This Row],[Month]] &amp; "P" &amp; $AL57*100 &amp; "-ICE", "Delta"))*100, "")</f>
        <v/>
      </c>
      <c r="AJ57" s="683" t="str">
        <f>IFERROR(ABS(RTD("esrtd",,Options[[#This Row],[Index]] &amp; " " &amp; Options[[#This Row],[Month]] &amp; "P" &amp; $AL57*100 &amp; "-ICE", "Market")), "")</f>
        <v/>
      </c>
      <c r="AK57" s="683" t="str">
        <f>IFERROR(ABS(RTD("esrtd",,Options[[#This Row],[Index]] &amp; " " &amp; Options[[#This Row],[Month]] &amp; "P" &amp; $AL57*100 &amp; "-ICE", "ImpVol"))*100, "")</f>
        <v/>
      </c>
      <c r="AL57" s="676">
        <v>300</v>
      </c>
      <c r="AM57" s="684" t="e">
        <f>ABS(_xll.BDP(Options[[#This Row],[C-Ticker]], "OPT_DELTA_YEST"))*100</f>
        <v>#VALUE!</v>
      </c>
      <c r="AN57" s="684" t="str">
        <f>IFERROR(ABS(RTD("esrtd",,Options[[#This Row],[Index]] &amp; " " &amp; Options[[#This Row],[Month]] &amp; "C" &amp; $AL57*100 &amp; "-ICE", "OldSettlement")), "")</f>
        <v/>
      </c>
      <c r="AO57" s="684" t="str">
        <f>IFERROR(ABS(RTD("esrtd",,Options[[#This Row],[Index]] &amp; " " &amp; Options[[#This Row],[Month]] &amp; "C" &amp; $AL57*100 &amp; "-ICE", "OldSetIV"))*100, "")</f>
        <v/>
      </c>
      <c r="AP57" s="684" t="str">
        <f>IFERROR(ABS(RTD("esrtd",,Options[[#This Row],[Index]] &amp; " " &amp; Options[[#This Row],[Month]] &amp; "C" &amp; $AL57*100 &amp; "-ICE", "Delta"))*100, "")</f>
        <v/>
      </c>
      <c r="AQ57" s="684" t="str">
        <f>IFERROR(ABS(RTD("esrtd",,Options[[#This Row],[Index]] &amp; " " &amp; Options[[#This Row],[Month]] &amp; "C" &amp; $AL57*100 &amp; "-ICE", "Market")), "")</f>
        <v/>
      </c>
      <c r="AR57" s="684" t="str">
        <f>IFERROR(ABS(RTD("esrtd",,Options[[#This Row],[Index]] &amp; " " &amp; Options[[#This Row],[Month]] &amp; "C" &amp; $AL57*100 &amp; "-ICE", "ImpVol"))*100, "")</f>
        <v/>
      </c>
      <c r="AT57" s="678"/>
      <c r="AU57" s="677"/>
      <c r="AV57" s="677"/>
      <c r="AX57" s="678"/>
      <c r="AY57" s="677"/>
      <c r="AZ57" s="677"/>
    </row>
    <row r="58" spans="1:53" x14ac:dyDescent="0.25">
      <c r="A58" s="605" t="s">
        <v>181</v>
      </c>
      <c r="B58" s="608" t="e" cm="1">
        <f t="array" ref="B58">B$8 * _xll.BDP(B$9, "THETA_MID_RT")</f>
        <v>#VALUE!</v>
      </c>
      <c r="C58" s="608" t="e" cm="1">
        <f t="array" ref="C58">C$8 * _xll.BDP(C$9, "THETA_MID_RT")</f>
        <v>#VALUE!</v>
      </c>
      <c r="D58" s="608" t="e" cm="1">
        <f t="array" ref="D58">D$8 * _xll.BDP(D$9, "THETA_MID_RT")</f>
        <v>#VALUE!</v>
      </c>
      <c r="E58" s="608" t="e" cm="1">
        <f t="array" ref="E58">E$8 * _xll.BDP(E$9, "THETA_MID_RT")</f>
        <v>#VALUE!</v>
      </c>
      <c r="F58" s="608" t="e" cm="1">
        <f t="array" ref="F58">F$8 * _xll.BDP(F$9, "THETA_MID_RT")</f>
        <v>#VALUE!</v>
      </c>
      <c r="G58" s="596"/>
      <c r="H58" s="605" t="s">
        <v>181</v>
      </c>
      <c r="I58" s="608" t="e" cm="1">
        <f t="array" ref="I58">I$8 * _xll.BDP(I$9, "THETA_LAST_RT")/10</f>
        <v>#VALUE!</v>
      </c>
      <c r="J58" s="608" t="e" cm="1">
        <f t="array" ref="J58">J$8 * _xll.BDP(J$9, "THETA_LAST_RT")/10</f>
        <v>#VALUE!</v>
      </c>
      <c r="K58" s="608" t="e" cm="1">
        <f t="array" ref="K58">K$8 * _xll.BDP(K$9, "THETA_LAST_RT")/10</f>
        <v>#VALUE!</v>
      </c>
      <c r="R58" s="597" t="s">
        <v>73</v>
      </c>
      <c r="S58" s="623" t="e">
        <f t="shared" ca="1" si="17"/>
        <v>#VALUE!</v>
      </c>
      <c r="AB58" s="596" t="s">
        <v>119</v>
      </c>
      <c r="AC58" s="596" t="s">
        <v>1286</v>
      </c>
      <c r="AD58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58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58" s="683" t="e">
        <f>ABS(_xll.BDP(Options[[#This Row],[P-Ticker]], "OPT_DELTA_YEST"))*100</f>
        <v>#VALUE!</v>
      </c>
      <c r="AG58" s="683" t="str">
        <f>IFERROR(ABS(RTD("esrtd",,Options[[#This Row],[Index]] &amp; " " &amp; Options[[#This Row],[Month]] &amp; "P" &amp; $AL58*100 &amp; "-ICE", "OldSettlement")), "")</f>
        <v/>
      </c>
      <c r="AH58" s="683" t="str">
        <f>IFERROR(ABS(RTD("esrtd",,Options[[#This Row],[Index]] &amp; " " &amp; Options[[#This Row],[Month]] &amp; "P" &amp; $AL58*100 &amp; "-ICE", "OldSetIV"))*100, "")</f>
        <v/>
      </c>
      <c r="AI58" s="683" t="str">
        <f>IFERROR(ABS(RTD("esrtd",,Options[[#This Row],[Index]] &amp; " " &amp; Options[[#This Row],[Month]] &amp; "P" &amp; $AL58*100 &amp; "-ICE", "Delta"))*100, "")</f>
        <v/>
      </c>
      <c r="AJ58" s="683" t="str">
        <f>IFERROR(ABS(RTD("esrtd",,Options[[#This Row],[Index]] &amp; " " &amp; Options[[#This Row],[Month]] &amp; "P" &amp; $AL58*100 &amp; "-ICE", "Market")), "")</f>
        <v/>
      </c>
      <c r="AK58" s="683" t="str">
        <f>IFERROR(ABS(RTD("esrtd",,Options[[#This Row],[Index]] &amp; " " &amp; Options[[#This Row],[Month]] &amp; "P" &amp; $AL58*100 &amp; "-ICE", "ImpVol"))*100, "")</f>
        <v/>
      </c>
      <c r="AL58" s="676">
        <v>300</v>
      </c>
      <c r="AM58" s="684" t="e">
        <f>ABS(_xll.BDP(Options[[#This Row],[C-Ticker]], "OPT_DELTA_YEST"))*100</f>
        <v>#VALUE!</v>
      </c>
      <c r="AN58" s="684" t="str">
        <f>IFERROR(ABS(RTD("esrtd",,Options[[#This Row],[Index]] &amp; " " &amp; Options[[#This Row],[Month]] &amp; "C" &amp; $AL58*100 &amp; "-ICE", "OldSettlement")), "")</f>
        <v/>
      </c>
      <c r="AO58" s="684" t="str">
        <f>IFERROR(ABS(RTD("esrtd",,Options[[#This Row],[Index]] &amp; " " &amp; Options[[#This Row],[Month]] &amp; "C" &amp; $AL58*100 &amp; "-ICE", "OldSetIV"))*100, "")</f>
        <v/>
      </c>
      <c r="AP58" s="684" t="str">
        <f>IFERROR(ABS(RTD("esrtd",,Options[[#This Row],[Index]] &amp; " " &amp; Options[[#This Row],[Month]] &amp; "C" &amp; $AL58*100 &amp; "-ICE", "Delta"))*100, "")</f>
        <v/>
      </c>
      <c r="AQ58" s="684" t="str">
        <f>IFERROR(ABS(RTD("esrtd",,Options[[#This Row],[Index]] &amp; " " &amp; Options[[#This Row],[Month]] &amp; "C" &amp; $AL58*100 &amp; "-ICE", "Market")), "")</f>
        <v/>
      </c>
      <c r="AR58" s="684" t="str">
        <f>IFERROR(ABS(RTD("esrtd",,Options[[#This Row],[Index]] &amp; " " &amp; Options[[#This Row],[Month]] &amp; "C" &amp; $AL58*100 &amp; "-ICE", "ImpVol"))*100, "")</f>
        <v/>
      </c>
      <c r="AT58" s="678"/>
      <c r="AU58" s="677"/>
      <c r="AV58" s="677"/>
      <c r="AX58" s="678"/>
      <c r="AY58" s="677"/>
      <c r="AZ58" s="677"/>
    </row>
    <row r="59" spans="1:53" x14ac:dyDescent="0.25">
      <c r="A59" s="605" t="s">
        <v>182</v>
      </c>
      <c r="B59" s="608" t="str" cm="1">
        <f t="array" ref="B59">IF(B$8 = 0, 0, IFERROR(OptSpeed(IF(B$5 = "C", 1, 0), B$42, B$6, B$43, 0.04, B$45/100) * B$8, ""))</f>
        <v/>
      </c>
      <c r="C59" s="608" t="str" cm="1">
        <f t="array" ref="C59">IF(C$8 = 0, 0, IFERROR(OptSpeed(IF(C$5 = "C", 1, 0), C$42, C$6, C$43, 0.04, C$45/100) * C$8, ""))</f>
        <v/>
      </c>
      <c r="D59" s="608" t="str" cm="1">
        <f t="array" ref="D59">IF(D$8 = 0, 0, IFERROR(OptSpeed(IF(D$5 = "C", 1, 0), D$42, D$6, D$43, 0.04, D$45/100) * D$8, ""))</f>
        <v/>
      </c>
      <c r="E59" s="608" cm="1">
        <f t="array" ref="E59">IF(E$8 = 0, 0, IFERROR(OptSpeed(IF(E$5 = "C", 1, 0), E$42, E$6, E$43, 0.04, E$45/100) * E$8, ""))</f>
        <v>0</v>
      </c>
      <c r="F59" s="608" cm="1">
        <f t="array" ref="F59">IF(F$8 = 0, 0, IFERROR(OptSpeed(IF(F$5 = "C", 1, 0), F$42, F$6, F$43, 0.04, F$45/100) * F$8, ""))</f>
        <v>0</v>
      </c>
      <c r="G59" s="596"/>
      <c r="H59" s="605" t="s">
        <v>182</v>
      </c>
      <c r="I59" s="608" t="str" cm="1">
        <f t="array" ref="I59">IF(I$8 = 0, 0, IFERROR(OptSpeed(IF(I$5 = "C", 1, 0), I$42, I$6, I$43, 0.04, I$45/100) * I$8, ""))</f>
        <v/>
      </c>
      <c r="J59" s="608" t="str" cm="1">
        <f t="array" ref="J59">IF(J$8 = 0, 0, IFERROR(OptSpeed(IF(J$5 = "C", 1, 0), J$42, J$6, J$43, 0.04, J$45/100) * J$8, ""))</f>
        <v/>
      </c>
      <c r="K59" s="608" cm="1">
        <f t="array" ref="K59">IF(K$8 = 0, 0, IFERROR(OptSpeed(IF(K$5 = "C", 1, 0), K$42, K$6, K$43, 0.04, K$45/100) * K$8, ""))</f>
        <v>0</v>
      </c>
      <c r="R59" s="597" t="s">
        <v>35</v>
      </c>
      <c r="S59" s="630" t="e">
        <f>SUM(B$91:F$91)</f>
        <v>#VALUE!</v>
      </c>
      <c r="AB59" s="596" t="s">
        <v>119</v>
      </c>
      <c r="AC59" s="596" t="s">
        <v>1286</v>
      </c>
      <c r="AD59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59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59" s="683" t="e">
        <f>ABS(_xll.BDP(Options[[#This Row],[P-Ticker]], "OPT_DELTA_YEST"))*100</f>
        <v>#VALUE!</v>
      </c>
      <c r="AG59" s="683" t="str">
        <f>IFERROR(ABS(RTD("esrtd",,Options[[#This Row],[Index]] &amp; " " &amp; Options[[#This Row],[Month]] &amp; "P" &amp; $AL59*100 &amp; "-ICE", "OldSettlement")), "")</f>
        <v/>
      </c>
      <c r="AH59" s="683" t="str">
        <f>IFERROR(ABS(RTD("esrtd",,Options[[#This Row],[Index]] &amp; " " &amp; Options[[#This Row],[Month]] &amp; "P" &amp; $AL59*100 &amp; "-ICE", "OldSetIV"))*100, "")</f>
        <v/>
      </c>
      <c r="AI59" s="683" t="str">
        <f>IFERROR(ABS(RTD("esrtd",,Options[[#This Row],[Index]] &amp; " " &amp; Options[[#This Row],[Month]] &amp; "P" &amp; $AL59*100 &amp; "-ICE", "Delta"))*100, "")</f>
        <v/>
      </c>
      <c r="AJ59" s="683" t="str">
        <f>IFERROR(ABS(RTD("esrtd",,Options[[#This Row],[Index]] &amp; " " &amp; Options[[#This Row],[Month]] &amp; "P" &amp; $AL59*100 &amp; "-ICE", "Market")), "")</f>
        <v/>
      </c>
      <c r="AK59" s="683" t="str">
        <f>IFERROR(ABS(RTD("esrtd",,Options[[#This Row],[Index]] &amp; " " &amp; Options[[#This Row],[Month]] &amp; "P" &amp; $AL59*100 &amp; "-ICE", "ImpVol"))*100, "")</f>
        <v/>
      </c>
      <c r="AL59" s="676">
        <v>300</v>
      </c>
      <c r="AM59" s="684" t="e">
        <f>ABS(_xll.BDP(Options[[#This Row],[C-Ticker]], "OPT_DELTA_YEST"))*100</f>
        <v>#VALUE!</v>
      </c>
      <c r="AN59" s="684" t="str">
        <f>IFERROR(ABS(RTD("esrtd",,Options[[#This Row],[Index]] &amp; " " &amp; Options[[#This Row],[Month]] &amp; "C" &amp; $AL59*100 &amp; "-ICE", "OldSettlement")), "")</f>
        <v/>
      </c>
      <c r="AO59" s="684" t="str">
        <f>IFERROR(ABS(RTD("esrtd",,Options[[#This Row],[Index]] &amp; " " &amp; Options[[#This Row],[Month]] &amp; "C" &amp; $AL59*100 &amp; "-ICE", "OldSetIV"))*100, "")</f>
        <v/>
      </c>
      <c r="AP59" s="684" t="str">
        <f>IFERROR(ABS(RTD("esrtd",,Options[[#This Row],[Index]] &amp; " " &amp; Options[[#This Row],[Month]] &amp; "C" &amp; $AL59*100 &amp; "-ICE", "Delta"))*100, "")</f>
        <v/>
      </c>
      <c r="AQ59" s="684" t="str">
        <f>IFERROR(ABS(RTD("esrtd",,Options[[#This Row],[Index]] &amp; " " &amp; Options[[#This Row],[Month]] &amp; "C" &amp; $AL59*100 &amp; "-ICE", "Market")), "")</f>
        <v/>
      </c>
      <c r="AR59" s="684" t="str">
        <f>IFERROR(ABS(RTD("esrtd",,Options[[#This Row],[Index]] &amp; " " &amp; Options[[#This Row],[Month]] &amp; "C" &amp; $AL59*100 &amp; "-ICE", "ImpVol"))*100, "")</f>
        <v/>
      </c>
      <c r="AT59" s="678"/>
      <c r="AU59" s="677"/>
      <c r="AV59" s="677"/>
      <c r="AX59" s="678"/>
      <c r="AY59" s="677"/>
      <c r="AZ59" s="677"/>
    </row>
    <row r="60" spans="1:53" x14ac:dyDescent="0.25">
      <c r="A60" s="612"/>
      <c r="B60" s="611"/>
      <c r="C60" s="611"/>
      <c r="D60" s="611"/>
      <c r="E60" s="611"/>
      <c r="F60" s="611"/>
      <c r="G60" s="596"/>
      <c r="H60" s="612"/>
      <c r="I60" s="611"/>
      <c r="J60" s="611"/>
      <c r="K60" s="611"/>
      <c r="L60" s="596"/>
      <c r="AB60" s="596" t="s">
        <v>119</v>
      </c>
      <c r="AC60" s="596" t="s">
        <v>1286</v>
      </c>
      <c r="AD60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0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0" s="683" t="e">
        <f>ABS(_xll.BDP(Options[[#This Row],[P-Ticker]], "OPT_DELTA_YEST"))*100</f>
        <v>#VALUE!</v>
      </c>
      <c r="AG60" s="683" t="str">
        <f>IFERROR(ABS(RTD("esrtd",,Options[[#This Row],[Index]] &amp; " " &amp; Options[[#This Row],[Month]] &amp; "P" &amp; $AL60*100 &amp; "-ICE", "OldSettlement")), "")</f>
        <v/>
      </c>
      <c r="AH60" s="683" t="str">
        <f>IFERROR(ABS(RTD("esrtd",,Options[[#This Row],[Index]] &amp; " " &amp; Options[[#This Row],[Month]] &amp; "P" &amp; $AL60*100 &amp; "-ICE", "OldSetIV"))*100, "")</f>
        <v/>
      </c>
      <c r="AI60" s="683" t="str">
        <f>IFERROR(ABS(RTD("esrtd",,Options[[#This Row],[Index]] &amp; " " &amp; Options[[#This Row],[Month]] &amp; "P" &amp; $AL60*100 &amp; "-ICE", "Delta"))*100, "")</f>
        <v/>
      </c>
      <c r="AJ60" s="683" t="str">
        <f>IFERROR(ABS(RTD("esrtd",,Options[[#This Row],[Index]] &amp; " " &amp; Options[[#This Row],[Month]] &amp; "P" &amp; $AL60*100 &amp; "-ICE", "Market")), "")</f>
        <v/>
      </c>
      <c r="AK60" s="683" t="str">
        <f>IFERROR(ABS(RTD("esrtd",,Options[[#This Row],[Index]] &amp; " " &amp; Options[[#This Row],[Month]] &amp; "P" &amp; $AL60*100 &amp; "-ICE", "ImpVol"))*100, "")</f>
        <v/>
      </c>
      <c r="AL60" s="676">
        <v>300</v>
      </c>
      <c r="AM60" s="684" t="e">
        <f>ABS(_xll.BDP(Options[[#This Row],[C-Ticker]], "OPT_DELTA_YEST"))*100</f>
        <v>#VALUE!</v>
      </c>
      <c r="AN60" s="684" t="str">
        <f>IFERROR(ABS(RTD("esrtd",,Options[[#This Row],[Index]] &amp; " " &amp; Options[[#This Row],[Month]] &amp; "C" &amp; $AL60*100 &amp; "-ICE", "OldSettlement")), "")</f>
        <v/>
      </c>
      <c r="AO60" s="684" t="str">
        <f>IFERROR(ABS(RTD("esrtd",,Options[[#This Row],[Index]] &amp; " " &amp; Options[[#This Row],[Month]] &amp; "C" &amp; $AL60*100 &amp; "-ICE", "OldSetIV"))*100, "")</f>
        <v/>
      </c>
      <c r="AP60" s="684" t="str">
        <f>IFERROR(ABS(RTD("esrtd",,Options[[#This Row],[Index]] &amp; " " &amp; Options[[#This Row],[Month]] &amp; "C" &amp; $AL60*100 &amp; "-ICE", "Delta"))*100, "")</f>
        <v/>
      </c>
      <c r="AQ60" s="684" t="str">
        <f>IFERROR(ABS(RTD("esrtd",,Options[[#This Row],[Index]] &amp; " " &amp; Options[[#This Row],[Month]] &amp; "C" &amp; $AL60*100 &amp; "-ICE", "Market")), "")</f>
        <v/>
      </c>
      <c r="AR60" s="684" t="str">
        <f>IFERROR(ABS(RTD("esrtd",,Options[[#This Row],[Index]] &amp; " " &amp; Options[[#This Row],[Month]] &amp; "C" &amp; $AL60*100 &amp; "-ICE", "ImpVol"))*100, "")</f>
        <v/>
      </c>
      <c r="AT60" s="678"/>
      <c r="AU60" s="757" t="s">
        <v>1397</v>
      </c>
      <c r="AV60" s="597" t="s">
        <v>157</v>
      </c>
      <c r="AW60" s="687" t="s">
        <v>158</v>
      </c>
      <c r="AX60" s="688" t="s">
        <v>159</v>
      </c>
      <c r="AY60" s="688" t="s">
        <v>160</v>
      </c>
      <c r="AZ60" s="688" t="s">
        <v>161</v>
      </c>
      <c r="BA60" s="687" t="s">
        <v>162</v>
      </c>
    </row>
    <row r="61" spans="1:53" x14ac:dyDescent="0.25">
      <c r="A61" s="600" t="s">
        <v>28</v>
      </c>
      <c r="B61" s="619"/>
      <c r="C61" s="618"/>
      <c r="D61" s="616"/>
      <c r="E61" s="619"/>
      <c r="F61" s="616"/>
      <c r="G61" s="596"/>
      <c r="H61" s="600" t="s">
        <v>28</v>
      </c>
      <c r="I61" s="619"/>
      <c r="J61" s="618"/>
      <c r="K61" s="616"/>
      <c r="L61" s="596"/>
      <c r="AB61" s="596" t="s">
        <v>119</v>
      </c>
      <c r="AC61" s="596" t="s">
        <v>1286</v>
      </c>
      <c r="AD61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1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1" s="683" t="e">
        <f>ABS(_xll.BDP(Options[[#This Row],[P-Ticker]], "OPT_DELTA_YEST"))*100</f>
        <v>#VALUE!</v>
      </c>
      <c r="AG61" s="683" t="str">
        <f>IFERROR(ABS(RTD("esrtd",,Options[[#This Row],[Index]] &amp; " " &amp; Options[[#This Row],[Month]] &amp; "P" &amp; $AL61*100 &amp; "-ICE", "OldSettlement")), "")</f>
        <v/>
      </c>
      <c r="AH61" s="683" t="str">
        <f>IFERROR(ABS(RTD("esrtd",,Options[[#This Row],[Index]] &amp; " " &amp; Options[[#This Row],[Month]] &amp; "P" &amp; $AL61*100 &amp; "-ICE", "OldSetIV"))*100, "")</f>
        <v/>
      </c>
      <c r="AI61" s="683" t="str">
        <f>IFERROR(ABS(RTD("esrtd",,Options[[#This Row],[Index]] &amp; " " &amp; Options[[#This Row],[Month]] &amp; "P" &amp; $AL61*100 &amp; "-ICE", "Delta"))*100, "")</f>
        <v/>
      </c>
      <c r="AJ61" s="683" t="str">
        <f>IFERROR(ABS(RTD("esrtd",,Options[[#This Row],[Index]] &amp; " " &amp; Options[[#This Row],[Month]] &amp; "P" &amp; $AL61*100 &amp; "-ICE", "Market")), "")</f>
        <v/>
      </c>
      <c r="AK61" s="683" t="str">
        <f>IFERROR(ABS(RTD("esrtd",,Options[[#This Row],[Index]] &amp; " " &amp; Options[[#This Row],[Month]] &amp; "P" &amp; $AL61*100 &amp; "-ICE", "ImpVol"))*100, "")</f>
        <v/>
      </c>
      <c r="AL61" s="676">
        <v>300</v>
      </c>
      <c r="AM61" s="684" t="e">
        <f>ABS(_xll.BDP(Options[[#This Row],[C-Ticker]], "OPT_DELTA_YEST"))*100</f>
        <v>#VALUE!</v>
      </c>
      <c r="AN61" s="684" t="str">
        <f>IFERROR(ABS(RTD("esrtd",,Options[[#This Row],[Index]] &amp; " " &amp; Options[[#This Row],[Month]] &amp; "C" &amp; $AL61*100 &amp; "-ICE", "OldSettlement")), "")</f>
        <v/>
      </c>
      <c r="AO61" s="684" t="str">
        <f>IFERROR(ABS(RTD("esrtd",,Options[[#This Row],[Index]] &amp; " " &amp; Options[[#This Row],[Month]] &amp; "C" &amp; $AL61*100 &amp; "-ICE", "OldSetIV"))*100, "")</f>
        <v/>
      </c>
      <c r="AP61" s="684" t="str">
        <f>IFERROR(ABS(RTD("esrtd",,Options[[#This Row],[Index]] &amp; " " &amp; Options[[#This Row],[Month]] &amp; "C" &amp; $AL61*100 &amp; "-ICE", "Delta"))*100, "")</f>
        <v/>
      </c>
      <c r="AQ61" s="684" t="str">
        <f>IFERROR(ABS(RTD("esrtd",,Options[[#This Row],[Index]] &amp; " " &amp; Options[[#This Row],[Month]] &amp; "C" &amp; $AL61*100 &amp; "-ICE", "Market")), "")</f>
        <v/>
      </c>
      <c r="AR61" s="684" t="str">
        <f>IFERROR(ABS(RTD("esrtd",,Options[[#This Row],[Index]] &amp; " " &amp; Options[[#This Row],[Month]] &amp; "C" &amp; $AL61*100 &amp; "-ICE", "ImpVol"))*100, "")</f>
        <v/>
      </c>
      <c r="AT61" s="678"/>
      <c r="AU61" s="596" t="s">
        <v>11</v>
      </c>
      <c r="AV61" s="596">
        <v>25</v>
      </c>
      <c r="AW61" s="677" t="e" cm="1">
        <f t="array" ref="AW61">INDEX($AI$141:$AI$208, MATCH($AV61, $AI$141:$AI$208, 1), 0)</f>
        <v>#N/A</v>
      </c>
      <c r="AX61" s="677" t="e" cm="1">
        <f t="array" ref="AX61">INDEX($AI$141:$AI$208, MATCH($AV$21, $AI$141:$AI$208, 1) + 1, 0)</f>
        <v>#N/A</v>
      </c>
      <c r="AY61" s="677" t="e" cm="1">
        <f t="array" ref="AY61">INDEX($AK$141:$AK$208, MATCH($AW61, $AI$141:$AI$208, 0), 0)</f>
        <v>#N/A</v>
      </c>
      <c r="AZ61" s="677" t="e" cm="1">
        <f t="array" ref="AZ61">INDEX($AK$141:$AK$208, MATCH($AX61, $AI$141:$AI$208, 0), 0)</f>
        <v>#N/A</v>
      </c>
      <c r="BA61" s="677" t="e">
        <f>($AV61 - $AW61) * ($AZ61-$AY61)/($AX61-$AW61) + $AY61</f>
        <v>#N/A</v>
      </c>
    </row>
    <row r="62" spans="1:53" x14ac:dyDescent="0.25">
      <c r="A62" s="620" t="s">
        <v>149</v>
      </c>
      <c r="B62" s="621"/>
      <c r="C62" s="621"/>
      <c r="D62" s="621"/>
      <c r="E62" s="621"/>
      <c r="F62" s="622"/>
      <c r="G62" s="596"/>
      <c r="H62" s="620" t="s">
        <v>149</v>
      </c>
      <c r="I62" s="720" t="s">
        <v>149</v>
      </c>
      <c r="J62" s="720" t="s">
        <v>149</v>
      </c>
      <c r="K62" s="720" t="s">
        <v>149</v>
      </c>
      <c r="L62" s="596"/>
      <c r="AB62" s="596" t="s">
        <v>119</v>
      </c>
      <c r="AC62" s="596" t="s">
        <v>1286</v>
      </c>
      <c r="AD62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2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2" s="683" t="e">
        <f>ABS(_xll.BDP(Options[[#This Row],[P-Ticker]], "OPT_DELTA_YEST"))*100</f>
        <v>#VALUE!</v>
      </c>
      <c r="AG62" s="683" t="str">
        <f>IFERROR(ABS(RTD("esrtd",,Options[[#This Row],[Index]] &amp; " " &amp; Options[[#This Row],[Month]] &amp; "P" &amp; $AL62*100 &amp; "-ICE", "OldSettlement")), "")</f>
        <v/>
      </c>
      <c r="AH62" s="683" t="str">
        <f>IFERROR(ABS(RTD("esrtd",,Options[[#This Row],[Index]] &amp; " " &amp; Options[[#This Row],[Month]] &amp; "P" &amp; $AL62*100 &amp; "-ICE", "OldSetIV"))*100, "")</f>
        <v/>
      </c>
      <c r="AI62" s="683" t="str">
        <f>IFERROR(ABS(RTD("esrtd",,Options[[#This Row],[Index]] &amp; " " &amp; Options[[#This Row],[Month]] &amp; "P" &amp; $AL62*100 &amp; "-ICE", "Delta"))*100, "")</f>
        <v/>
      </c>
      <c r="AJ62" s="683" t="str">
        <f>IFERROR(ABS(RTD("esrtd",,Options[[#This Row],[Index]] &amp; " " &amp; Options[[#This Row],[Month]] &amp; "P" &amp; $AL62*100 &amp; "-ICE", "Market")), "")</f>
        <v/>
      </c>
      <c r="AK62" s="683" t="str">
        <f>IFERROR(ABS(RTD("esrtd",,Options[[#This Row],[Index]] &amp; " " &amp; Options[[#This Row],[Month]] &amp; "P" &amp; $AL62*100 &amp; "-ICE", "ImpVol"))*100, "")</f>
        <v/>
      </c>
      <c r="AL62" s="676">
        <v>300</v>
      </c>
      <c r="AM62" s="684" t="e">
        <f>ABS(_xll.BDP(Options[[#This Row],[C-Ticker]], "OPT_DELTA_YEST"))*100</f>
        <v>#VALUE!</v>
      </c>
      <c r="AN62" s="684" t="str">
        <f>IFERROR(ABS(RTD("esrtd",,Options[[#This Row],[Index]] &amp; " " &amp; Options[[#This Row],[Month]] &amp; "C" &amp; $AL62*100 &amp; "-ICE", "OldSettlement")), "")</f>
        <v/>
      </c>
      <c r="AO62" s="684" t="str">
        <f>IFERROR(ABS(RTD("esrtd",,Options[[#This Row],[Index]] &amp; " " &amp; Options[[#This Row],[Month]] &amp; "C" &amp; $AL62*100 &amp; "-ICE", "OldSetIV"))*100, "")</f>
        <v/>
      </c>
      <c r="AP62" s="684" t="str">
        <f>IFERROR(ABS(RTD("esrtd",,Options[[#This Row],[Index]] &amp; " " &amp; Options[[#This Row],[Month]] &amp; "C" &amp; $AL62*100 &amp; "-ICE", "Delta"))*100, "")</f>
        <v/>
      </c>
      <c r="AQ62" s="684" t="str">
        <f>IFERROR(ABS(RTD("esrtd",,Options[[#This Row],[Index]] &amp; " " &amp; Options[[#This Row],[Month]] &amp; "C" &amp; $AL62*100 &amp; "-ICE", "Market")), "")</f>
        <v/>
      </c>
      <c r="AR62" s="684" t="str">
        <f>IFERROR(ABS(RTD("esrtd",,Options[[#This Row],[Index]] &amp; " " &amp; Options[[#This Row],[Month]] &amp; "C" &amp; $AL62*100 &amp; "-ICE", "ImpVol"))*100, "")</f>
        <v/>
      </c>
      <c r="AT62" s="678"/>
      <c r="AU62" s="677" t="s">
        <v>165</v>
      </c>
      <c r="AV62" s="596">
        <v>25</v>
      </c>
      <c r="AW62" s="677" t="e" cm="1">
        <f t="array" ref="AW62">INDEX($AF$141:$AF$208, MATCH($AV62, $AF$141:$AF$208, 1), 0)</f>
        <v>#N/A</v>
      </c>
      <c r="AX62" s="677" t="e" cm="1">
        <f t="array" ref="AX62">INDEX($AF$141:$AF$208, MATCH($AV41, $AF$141:$AF$208, 1) + 1, 0)</f>
        <v>#N/A</v>
      </c>
      <c r="AY62" s="677" t="e" cm="1">
        <f t="array" ref="AY62">INDEX($AH$141:$AH$208, MATCH($AW62, $AF$141:$AF$208, 0), 0)</f>
        <v>#N/A</v>
      </c>
      <c r="AZ62" s="677" t="e" cm="1">
        <f t="array" ref="AZ62">INDEX($AH$141:$AH$208, MATCH($AX62, $AF$141:$AF$208, 0), 0)</f>
        <v>#N/A</v>
      </c>
      <c r="BA62" s="677" t="e">
        <f>($AV62 - $AW62) * ($AZ62-$AY62)/($AX62-$AW62) + $AY62</f>
        <v>#N/A</v>
      </c>
    </row>
    <row r="63" spans="1:53" x14ac:dyDescent="0.25">
      <c r="A63" s="601" t="s">
        <v>150</v>
      </c>
      <c r="B63" s="623">
        <f>B$8 - B$7</f>
        <v>0</v>
      </c>
      <c r="C63" s="623">
        <f>C$8 - C$7</f>
        <v>0</v>
      </c>
      <c r="D63" s="623">
        <f>D$8 - D$7</f>
        <v>0</v>
      </c>
      <c r="E63" s="623">
        <f>E$8 - E$7</f>
        <v>0</v>
      </c>
      <c r="F63" s="623">
        <f>F$8 - F$7</f>
        <v>0</v>
      </c>
      <c r="G63" s="596"/>
      <c r="H63" s="601" t="s">
        <v>150</v>
      </c>
      <c r="I63" s="623">
        <f>I$8 - I$7</f>
        <v>0</v>
      </c>
      <c r="J63" s="623">
        <f>J$8 - J$7</f>
        <v>0</v>
      </c>
      <c r="K63" s="623">
        <f>K$8 - K$7</f>
        <v>0</v>
      </c>
      <c r="L63" s="596"/>
      <c r="AB63" s="596" t="s">
        <v>119</v>
      </c>
      <c r="AC63" s="596" t="s">
        <v>1286</v>
      </c>
      <c r="AD63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3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3" s="683" t="e">
        <f>ABS(_xll.BDP(Options[[#This Row],[P-Ticker]], "OPT_DELTA_YEST"))*100</f>
        <v>#VALUE!</v>
      </c>
      <c r="AG63" s="683" t="str">
        <f>IFERROR(ABS(RTD("esrtd",,Options[[#This Row],[Index]] &amp; " " &amp; Options[[#This Row],[Month]] &amp; "P" &amp; $AL63*100 &amp; "-ICE", "OldSettlement")), "")</f>
        <v/>
      </c>
      <c r="AH63" s="683" t="str">
        <f>IFERROR(ABS(RTD("esrtd",,Options[[#This Row],[Index]] &amp; " " &amp; Options[[#This Row],[Month]] &amp; "P" &amp; $AL63*100 &amp; "-ICE", "OldSetIV"))*100, "")</f>
        <v/>
      </c>
      <c r="AI63" s="683" t="str">
        <f>IFERROR(ABS(RTD("esrtd",,Options[[#This Row],[Index]] &amp; " " &amp; Options[[#This Row],[Month]] &amp; "P" &amp; $AL63*100 &amp; "-ICE", "Delta"))*100, "")</f>
        <v/>
      </c>
      <c r="AJ63" s="683" t="str">
        <f>IFERROR(ABS(RTD("esrtd",,Options[[#This Row],[Index]] &amp; " " &amp; Options[[#This Row],[Month]] &amp; "P" &amp; $AL63*100 &amp; "-ICE", "Market")), "")</f>
        <v/>
      </c>
      <c r="AK63" s="683" t="str">
        <f>IFERROR(ABS(RTD("esrtd",,Options[[#This Row],[Index]] &amp; " " &amp; Options[[#This Row],[Month]] &amp; "P" &amp; $AL63*100 &amp; "-ICE", "ImpVol"))*100, "")</f>
        <v/>
      </c>
      <c r="AL63" s="676">
        <v>300</v>
      </c>
      <c r="AM63" s="684" t="e">
        <f>ABS(_xll.BDP(Options[[#This Row],[C-Ticker]], "OPT_DELTA_YEST"))*100</f>
        <v>#VALUE!</v>
      </c>
      <c r="AN63" s="684" t="str">
        <f>IFERROR(ABS(RTD("esrtd",,Options[[#This Row],[Index]] &amp; " " &amp; Options[[#This Row],[Month]] &amp; "C" &amp; $AL63*100 &amp; "-ICE", "OldSettlement")), "")</f>
        <v/>
      </c>
      <c r="AO63" s="684" t="str">
        <f>IFERROR(ABS(RTD("esrtd",,Options[[#This Row],[Index]] &amp; " " &amp; Options[[#This Row],[Month]] &amp; "C" &amp; $AL63*100 &amp; "-ICE", "OldSetIV"))*100, "")</f>
        <v/>
      </c>
      <c r="AP63" s="684" t="str">
        <f>IFERROR(ABS(RTD("esrtd",,Options[[#This Row],[Index]] &amp; " " &amp; Options[[#This Row],[Month]] &amp; "C" &amp; $AL63*100 &amp; "-ICE", "Delta"))*100, "")</f>
        <v/>
      </c>
      <c r="AQ63" s="684" t="str">
        <f>IFERROR(ABS(RTD("esrtd",,Options[[#This Row],[Index]] &amp; " " &amp; Options[[#This Row],[Month]] &amp; "C" &amp; $AL63*100 &amp; "-ICE", "Market")), "")</f>
        <v/>
      </c>
      <c r="AR63" s="684" t="str">
        <f>IFERROR(ABS(RTD("esrtd",,Options[[#This Row],[Index]] &amp; " " &amp; Options[[#This Row],[Month]] &amp; "C" &amp; $AL63*100 &amp; "-ICE", "ImpVol"))*100, "")</f>
        <v/>
      </c>
      <c r="AT63" s="678"/>
      <c r="AU63" s="677"/>
      <c r="AY63" s="677"/>
      <c r="AZ63" s="677"/>
    </row>
    <row r="64" spans="1:53" x14ac:dyDescent="0.25">
      <c r="A64" s="605" t="s">
        <v>1323</v>
      </c>
      <c r="B64" s="606" t="e">
        <f>B$41 - B$16</f>
        <v>#VALUE!</v>
      </c>
      <c r="C64" s="606" t="e">
        <f>C$41 - C$16</f>
        <v>#VALUE!</v>
      </c>
      <c r="D64" s="606" t="e">
        <f>D$41 - D$16</f>
        <v>#VALUE!</v>
      </c>
      <c r="E64" s="606" t="e">
        <f>E$41 - E$16</f>
        <v>#VALUE!</v>
      </c>
      <c r="F64" s="606" t="e">
        <f>F$41 - F$16</f>
        <v>#VALUE!</v>
      </c>
      <c r="G64" s="596"/>
      <c r="H64" s="605" t="s">
        <v>1333</v>
      </c>
      <c r="I64" s="606" t="e">
        <f>I$41 - I$16</f>
        <v>#VALUE!</v>
      </c>
      <c r="J64" s="606" t="e">
        <f>J$41 - J$16</f>
        <v>#VALUE!</v>
      </c>
      <c r="K64" s="606" t="e">
        <f>K$41 - K$16</f>
        <v>#VALUE!</v>
      </c>
      <c r="L64" s="596"/>
      <c r="AB64" s="596" t="s">
        <v>119</v>
      </c>
      <c r="AC64" s="596" t="s">
        <v>1286</v>
      </c>
      <c r="AD64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4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4" s="683" t="e">
        <f>ABS(_xll.BDP(Options[[#This Row],[P-Ticker]], "OPT_DELTA_YEST"))*100</f>
        <v>#VALUE!</v>
      </c>
      <c r="AG64" s="683" t="str">
        <f>IFERROR(ABS(RTD("esrtd",,Options[[#This Row],[Index]] &amp; " " &amp; Options[[#This Row],[Month]] &amp; "P" &amp; $AL64*100 &amp; "-ICE", "OldSettlement")), "")</f>
        <v/>
      </c>
      <c r="AH64" s="683" t="str">
        <f>IFERROR(ABS(RTD("esrtd",,Options[[#This Row],[Index]] &amp; " " &amp; Options[[#This Row],[Month]] &amp; "P" &amp; $AL64*100 &amp; "-ICE", "OldSetIV"))*100, "")</f>
        <v/>
      </c>
      <c r="AI64" s="683" t="str">
        <f>IFERROR(ABS(RTD("esrtd",,Options[[#This Row],[Index]] &amp; " " &amp; Options[[#This Row],[Month]] &amp; "P" &amp; $AL64*100 &amp; "-ICE", "Delta"))*100, "")</f>
        <v/>
      </c>
      <c r="AJ64" s="683" t="str">
        <f>IFERROR(ABS(RTD("esrtd",,Options[[#This Row],[Index]] &amp; " " &amp; Options[[#This Row],[Month]] &amp; "P" &amp; $AL64*100 &amp; "-ICE", "Market")), "")</f>
        <v/>
      </c>
      <c r="AK64" s="683" t="str">
        <f>IFERROR(ABS(RTD("esrtd",,Options[[#This Row],[Index]] &amp; " " &amp; Options[[#This Row],[Month]] &amp; "P" &amp; $AL64*100 &amp; "-ICE", "ImpVol"))*100, "")</f>
        <v/>
      </c>
      <c r="AL64" s="676">
        <v>300</v>
      </c>
      <c r="AM64" s="684" t="e">
        <f>ABS(_xll.BDP(Options[[#This Row],[C-Ticker]], "OPT_DELTA_YEST"))*100</f>
        <v>#VALUE!</v>
      </c>
      <c r="AN64" s="684" t="str">
        <f>IFERROR(ABS(RTD("esrtd",,Options[[#This Row],[Index]] &amp; " " &amp; Options[[#This Row],[Month]] &amp; "C" &amp; $AL64*100 &amp; "-ICE", "OldSettlement")), "")</f>
        <v/>
      </c>
      <c r="AO64" s="684" t="str">
        <f>IFERROR(ABS(RTD("esrtd",,Options[[#This Row],[Index]] &amp; " " &amp; Options[[#This Row],[Month]] &amp; "C" &amp; $AL64*100 &amp; "-ICE", "OldSetIV"))*100, "")</f>
        <v/>
      </c>
      <c r="AP64" s="684" t="str">
        <f>IFERROR(ABS(RTD("esrtd",,Options[[#This Row],[Index]] &amp; " " &amp; Options[[#This Row],[Month]] &amp; "C" &amp; $AL64*100 &amp; "-ICE", "Delta"))*100, "")</f>
        <v/>
      </c>
      <c r="AQ64" s="684" t="str">
        <f>IFERROR(ABS(RTD("esrtd",,Options[[#This Row],[Index]] &amp; " " &amp; Options[[#This Row],[Month]] &amp; "C" &amp; $AL64*100 &amp; "-ICE", "Market")), "")</f>
        <v/>
      </c>
      <c r="AR64" s="684" t="str">
        <f>IFERROR(ABS(RTD("esrtd",,Options[[#This Row],[Index]] &amp; " " &amp; Options[[#This Row],[Month]] &amp; "C" &amp; $AL64*100 &amp; "-ICE", "ImpVol"))*100, "")</f>
        <v/>
      </c>
      <c r="AT64" s="678"/>
      <c r="AU64" s="677"/>
      <c r="AV64" s="597" t="s">
        <v>167</v>
      </c>
      <c r="AW64" s="687" t="s">
        <v>158</v>
      </c>
      <c r="AX64" s="688" t="s">
        <v>159</v>
      </c>
      <c r="AY64" s="688" t="s">
        <v>160</v>
      </c>
      <c r="AZ64" s="688" t="s">
        <v>161</v>
      </c>
      <c r="BA64" s="687" t="s">
        <v>162</v>
      </c>
    </row>
    <row r="65" spans="1:53" x14ac:dyDescent="0.25">
      <c r="A65" s="601" t="s">
        <v>1335</v>
      </c>
      <c r="B65" s="602" t="e">
        <f>B$42 - B$17</f>
        <v>#VALUE!</v>
      </c>
      <c r="C65" s="602" t="e">
        <f t="shared" ref="C65:F65" si="19">C$42 - C$17</f>
        <v>#VALUE!</v>
      </c>
      <c r="D65" s="602" t="e">
        <f t="shared" si="19"/>
        <v>#VALUE!</v>
      </c>
      <c r="E65" s="602" t="e">
        <f t="shared" si="19"/>
        <v>#VALUE!</v>
      </c>
      <c r="F65" s="602" t="e">
        <f t="shared" si="19"/>
        <v>#VALUE!</v>
      </c>
      <c r="G65" s="596"/>
      <c r="H65" s="601" t="s">
        <v>1300</v>
      </c>
      <c r="I65" s="602" t="e">
        <f t="shared" ref="I65:K65" si="20">I$42 - I$17</f>
        <v>#VALUE!</v>
      </c>
      <c r="J65" s="602" t="e">
        <f t="shared" si="20"/>
        <v>#VALUE!</v>
      </c>
      <c r="K65" s="602" t="e">
        <f t="shared" si="20"/>
        <v>#VALUE!</v>
      </c>
      <c r="L65" s="596"/>
      <c r="M65" s="598"/>
      <c r="AB65" s="596" t="s">
        <v>119</v>
      </c>
      <c r="AC65" s="596" t="s">
        <v>1286</v>
      </c>
      <c r="AD65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5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5" s="683" t="e">
        <f>ABS(_xll.BDP(Options[[#This Row],[P-Ticker]], "OPT_DELTA_YEST"))*100</f>
        <v>#VALUE!</v>
      </c>
      <c r="AG65" s="683" t="str">
        <f>IFERROR(ABS(RTD("esrtd",,Options[[#This Row],[Index]] &amp; " " &amp; Options[[#This Row],[Month]] &amp; "P" &amp; $AL65*100 &amp; "-ICE", "OldSettlement")), "")</f>
        <v/>
      </c>
      <c r="AH65" s="683" t="str">
        <f>IFERROR(ABS(RTD("esrtd",,Options[[#This Row],[Index]] &amp; " " &amp; Options[[#This Row],[Month]] &amp; "P" &amp; $AL65*100 &amp; "-ICE", "OldSetIV"))*100, "")</f>
        <v/>
      </c>
      <c r="AI65" s="683" t="str">
        <f>IFERROR(ABS(RTD("esrtd",,Options[[#This Row],[Index]] &amp; " " &amp; Options[[#This Row],[Month]] &amp; "P" &amp; $AL65*100 &amp; "-ICE", "Delta"))*100, "")</f>
        <v/>
      </c>
      <c r="AJ65" s="683" t="str">
        <f>IFERROR(ABS(RTD("esrtd",,Options[[#This Row],[Index]] &amp; " " &amp; Options[[#This Row],[Month]] &amp; "P" &amp; $AL65*100 &amp; "-ICE", "Market")), "")</f>
        <v/>
      </c>
      <c r="AK65" s="683" t="str">
        <f>IFERROR(ABS(RTD("esrtd",,Options[[#This Row],[Index]] &amp; " " &amp; Options[[#This Row],[Month]] &amp; "P" &amp; $AL65*100 &amp; "-ICE", "ImpVol"))*100, "")</f>
        <v/>
      </c>
      <c r="AL65" s="676">
        <v>300</v>
      </c>
      <c r="AM65" s="684" t="e">
        <f>ABS(_xll.BDP(Options[[#This Row],[C-Ticker]], "OPT_DELTA_YEST"))*100</f>
        <v>#VALUE!</v>
      </c>
      <c r="AN65" s="684" t="str">
        <f>IFERROR(ABS(RTD("esrtd",,Options[[#This Row],[Index]] &amp; " " &amp; Options[[#This Row],[Month]] &amp; "C" &amp; $AL65*100 &amp; "-ICE", "OldSettlement")), "")</f>
        <v/>
      </c>
      <c r="AO65" s="684" t="str">
        <f>IFERROR(ABS(RTD("esrtd",,Options[[#This Row],[Index]] &amp; " " &amp; Options[[#This Row],[Month]] &amp; "C" &amp; $AL65*100 &amp; "-ICE", "OldSetIV"))*100, "")</f>
        <v/>
      </c>
      <c r="AP65" s="684" t="str">
        <f>IFERROR(ABS(RTD("esrtd",,Options[[#This Row],[Index]] &amp; " " &amp; Options[[#This Row],[Month]] &amp; "C" &amp; $AL65*100 &amp; "-ICE", "Delta"))*100, "")</f>
        <v/>
      </c>
      <c r="AQ65" s="684" t="str">
        <f>IFERROR(ABS(RTD("esrtd",,Options[[#This Row],[Index]] &amp; " " &amp; Options[[#This Row],[Month]] &amp; "C" &amp; $AL65*100 &amp; "-ICE", "Market")), "")</f>
        <v/>
      </c>
      <c r="AR65" s="684" t="str">
        <f>IFERROR(ABS(RTD("esrtd",,Options[[#This Row],[Index]] &amp; " " &amp; Options[[#This Row],[Month]] &amp; "C" &amp; $AL65*100 &amp; "-ICE", "ImpVol"))*100, "")</f>
        <v/>
      </c>
      <c r="AT65" s="678"/>
      <c r="AU65" s="596" t="s">
        <v>11</v>
      </c>
      <c r="AV65" s="596">
        <v>25</v>
      </c>
      <c r="AW65" s="677" t="e" cm="1">
        <f t="array" ref="AW65">INDEX($AP$141:$AP$208, MATCH($AV65, $AP$141:$AP$208, -1), 0)</f>
        <v>#N/A</v>
      </c>
      <c r="AX65" s="677" t="e" cm="1">
        <f t="array" ref="AX65">INDEX($AP$141:$AP$208, MATCH($AV65, $AP$141:$AP$208, -1) + 1, 0)</f>
        <v>#N/A</v>
      </c>
      <c r="AY65" s="677" t="e" cm="1">
        <f t="array" ref="AY65">INDEX($AR$141:$AR$208, MATCH($AW65, $AP$141:$AP$208, 0), 0)</f>
        <v>#N/A</v>
      </c>
      <c r="AZ65" s="677" t="e" cm="1">
        <f t="array" ref="AZ65">INDEX($AR$141:$AR$208, MATCH($AX65, $AP$141:$AP$208, 0), 0)</f>
        <v>#N/A</v>
      </c>
      <c r="BA65" s="677" t="e">
        <f>($AV65 - $AW65) * ($AZ65-$AY65)/($AX65-$AW65) + $AY65</f>
        <v>#N/A</v>
      </c>
    </row>
    <row r="66" spans="1:53" x14ac:dyDescent="0.25">
      <c r="A66" s="601" t="s">
        <v>1334</v>
      </c>
      <c r="B66" s="609" t="e">
        <f>(B$42-B$17)/B$17</f>
        <v>#VALUE!</v>
      </c>
      <c r="C66" s="609" t="e">
        <f>(C$42-C$17)/C$17</f>
        <v>#VALUE!</v>
      </c>
      <c r="D66" s="609" t="e">
        <f>(D$42-D$17)/D$17</f>
        <v>#VALUE!</v>
      </c>
      <c r="E66" s="609" t="e">
        <f>(E$42-E$17)/E$17</f>
        <v>#VALUE!</v>
      </c>
      <c r="F66" s="609" t="e">
        <f>(F$42-F$17)/F$17</f>
        <v>#VALUE!</v>
      </c>
      <c r="G66" s="596"/>
      <c r="H66" s="601" t="s">
        <v>1334</v>
      </c>
      <c r="I66" s="609" t="e">
        <f>(I$42-I$17)/I$17</f>
        <v>#VALUE!</v>
      </c>
      <c r="J66" s="609" t="e">
        <f>(J$42-J$17)/J$17</f>
        <v>#VALUE!</v>
      </c>
      <c r="K66" s="609" t="e">
        <f>(K$42-K$17)/K$17</f>
        <v>#VALUE!</v>
      </c>
      <c r="L66" s="596"/>
      <c r="N66" s="596" t="s">
        <v>16</v>
      </c>
      <c r="AB66" s="596" t="s">
        <v>119</v>
      </c>
      <c r="AC66" s="596" t="s">
        <v>1286</v>
      </c>
      <c r="AD66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6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6" s="683" t="e">
        <f>ABS(_xll.BDP(Options[[#This Row],[P-Ticker]], "OPT_DELTA_YEST"))*100</f>
        <v>#VALUE!</v>
      </c>
      <c r="AG66" s="683" t="str">
        <f>IFERROR(ABS(RTD("esrtd",,Options[[#This Row],[Index]] &amp; " " &amp; Options[[#This Row],[Month]] &amp; "P" &amp; $AL66*100 &amp; "-ICE", "OldSettlement")), "")</f>
        <v/>
      </c>
      <c r="AH66" s="683" t="str">
        <f>IFERROR(ABS(RTD("esrtd",,Options[[#This Row],[Index]] &amp; " " &amp; Options[[#This Row],[Month]] &amp; "P" &amp; $AL66*100 &amp; "-ICE", "OldSetIV"))*100, "")</f>
        <v/>
      </c>
      <c r="AI66" s="683" t="str">
        <f>IFERROR(ABS(RTD("esrtd",,Options[[#This Row],[Index]] &amp; " " &amp; Options[[#This Row],[Month]] &amp; "P" &amp; $AL66*100 &amp; "-ICE", "Delta"))*100, "")</f>
        <v/>
      </c>
      <c r="AJ66" s="683" t="str">
        <f>IFERROR(ABS(RTD("esrtd",,Options[[#This Row],[Index]] &amp; " " &amp; Options[[#This Row],[Month]] &amp; "P" &amp; $AL66*100 &amp; "-ICE", "Market")), "")</f>
        <v/>
      </c>
      <c r="AK66" s="683" t="str">
        <f>IFERROR(ABS(RTD("esrtd",,Options[[#This Row],[Index]] &amp; " " &amp; Options[[#This Row],[Month]] &amp; "P" &amp; $AL66*100 &amp; "-ICE", "ImpVol"))*100, "")</f>
        <v/>
      </c>
      <c r="AL66" s="676">
        <v>300</v>
      </c>
      <c r="AM66" s="684" t="e">
        <f>ABS(_xll.BDP(Options[[#This Row],[C-Ticker]], "OPT_DELTA_YEST"))*100</f>
        <v>#VALUE!</v>
      </c>
      <c r="AN66" s="684" t="str">
        <f>IFERROR(ABS(RTD("esrtd",,Options[[#This Row],[Index]] &amp; " " &amp; Options[[#This Row],[Month]] &amp; "C" &amp; $AL66*100 &amp; "-ICE", "OldSettlement")), "")</f>
        <v/>
      </c>
      <c r="AO66" s="684" t="str">
        <f>IFERROR(ABS(RTD("esrtd",,Options[[#This Row],[Index]] &amp; " " &amp; Options[[#This Row],[Month]] &amp; "C" &amp; $AL66*100 &amp; "-ICE", "OldSetIV"))*100, "")</f>
        <v/>
      </c>
      <c r="AP66" s="684" t="str">
        <f>IFERROR(ABS(RTD("esrtd",,Options[[#This Row],[Index]] &amp; " " &amp; Options[[#This Row],[Month]] &amp; "C" &amp; $AL66*100 &amp; "-ICE", "Delta"))*100, "")</f>
        <v/>
      </c>
      <c r="AQ66" s="684" t="str">
        <f>IFERROR(ABS(RTD("esrtd",,Options[[#This Row],[Index]] &amp; " " &amp; Options[[#This Row],[Month]] &amp; "C" &amp; $AL66*100 &amp; "-ICE", "Market")), "")</f>
        <v/>
      </c>
      <c r="AR66" s="684" t="str">
        <f>IFERROR(ABS(RTD("esrtd",,Options[[#This Row],[Index]] &amp; " " &amp; Options[[#This Row],[Month]] &amp; "C" &amp; $AL66*100 &amp; "-ICE", "ImpVol"))*100, "")</f>
        <v/>
      </c>
      <c r="AT66" s="678"/>
      <c r="AU66" s="677" t="s">
        <v>165</v>
      </c>
      <c r="AV66" s="596">
        <v>25</v>
      </c>
      <c r="AW66" s="677" t="e" cm="1">
        <f t="array" ref="AW66">INDEX($AM$141:$AM$208, MATCH($AV66, $AM$141:$AM$208, -1), 0)</f>
        <v>#N/A</v>
      </c>
      <c r="AX66" s="677" t="e" cm="1">
        <f t="array" ref="AX66">INDEX($AM$141:$AM$208, MATCH($AV66, $AM$141:$AM$208, -1) + 1, 0)</f>
        <v>#N/A</v>
      </c>
      <c r="AY66" s="677" t="e" cm="1">
        <f t="array" ref="AY66">INDEX($AO$141:$AO$208, MATCH($AW66, $AM$141:$AM$208, 0), 0)</f>
        <v>#N/A</v>
      </c>
      <c r="AZ66" s="677" t="e" cm="1">
        <f t="array" ref="AZ66">INDEX($AO$141:$AO$208, MATCH($AX66, $AM$141:$AM$208, 0), 0)</f>
        <v>#N/A</v>
      </c>
      <c r="BA66" s="677" t="e">
        <f>($AV66 - $AW66) * ($AZ66-$AY66)/($AX66-$AW66) + $AY66</f>
        <v>#N/A</v>
      </c>
    </row>
    <row r="67" spans="1:53" x14ac:dyDescent="0.25">
      <c r="A67" s="601" t="s">
        <v>153</v>
      </c>
      <c r="B67" s="607">
        <f ca="1">B$43-B$18</f>
        <v>-2.7397260273972629E-3</v>
      </c>
      <c r="C67" s="607">
        <f ca="1">C$43-C$18</f>
        <v>-2.7397260273972594E-3</v>
      </c>
      <c r="D67" s="607">
        <f ca="1">D$43-D$18</f>
        <v>-2.7397260273972594E-3</v>
      </c>
      <c r="E67" s="607">
        <f ca="1">E$43-E$18</f>
        <v>-2.739726027397249E-3</v>
      </c>
      <c r="F67" s="607">
        <f ca="1">F$43-F$18</f>
        <v>-2.739726027397249E-3</v>
      </c>
      <c r="G67" s="596"/>
      <c r="H67" s="601" t="s">
        <v>153</v>
      </c>
      <c r="I67" s="607">
        <f ca="1">I$43-I$18</f>
        <v>-2.7397260273972629E-3</v>
      </c>
      <c r="J67" s="607">
        <f ca="1">J$43-J$18</f>
        <v>-2.7397260273972629E-3</v>
      </c>
      <c r="K67" s="607">
        <f ca="1">K$43-K$18</f>
        <v>-2.7397260273972629E-3</v>
      </c>
      <c r="L67" s="596"/>
      <c r="M67" s="598"/>
      <c r="AB67" s="596" t="s">
        <v>119</v>
      </c>
      <c r="AC67" s="596" t="s">
        <v>1286</v>
      </c>
      <c r="AD67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7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7" s="683" t="e">
        <f>ABS(_xll.BDP(Options[[#This Row],[P-Ticker]], "OPT_DELTA_YEST"))*100</f>
        <v>#VALUE!</v>
      </c>
      <c r="AG67" s="683" t="str">
        <f>IFERROR(ABS(RTD("esrtd",,Options[[#This Row],[Index]] &amp; " " &amp; Options[[#This Row],[Month]] &amp; "P" &amp; $AL67*100 &amp; "-ICE", "OldSettlement")), "")</f>
        <v/>
      </c>
      <c r="AH67" s="683" t="str">
        <f>IFERROR(ABS(RTD("esrtd",,Options[[#This Row],[Index]] &amp; " " &amp; Options[[#This Row],[Month]] &amp; "P" &amp; $AL67*100 &amp; "-ICE", "OldSetIV"))*100, "")</f>
        <v/>
      </c>
      <c r="AI67" s="683" t="str">
        <f>IFERROR(ABS(RTD("esrtd",,Options[[#This Row],[Index]] &amp; " " &amp; Options[[#This Row],[Month]] &amp; "P" &amp; $AL67*100 &amp; "-ICE", "Delta"))*100, "")</f>
        <v/>
      </c>
      <c r="AJ67" s="683" t="str">
        <f>IFERROR(ABS(RTD("esrtd",,Options[[#This Row],[Index]] &amp; " " &amp; Options[[#This Row],[Month]] &amp; "P" &amp; $AL67*100 &amp; "-ICE", "Market")), "")</f>
        <v/>
      </c>
      <c r="AK67" s="683" t="str">
        <f>IFERROR(ABS(RTD("esrtd",,Options[[#This Row],[Index]] &amp; " " &amp; Options[[#This Row],[Month]] &amp; "P" &amp; $AL67*100 &amp; "-ICE", "ImpVol"))*100, "")</f>
        <v/>
      </c>
      <c r="AL67" s="676">
        <v>300</v>
      </c>
      <c r="AM67" s="684" t="e">
        <f>ABS(_xll.BDP(Options[[#This Row],[C-Ticker]], "OPT_DELTA_YEST"))*100</f>
        <v>#VALUE!</v>
      </c>
      <c r="AN67" s="684" t="str">
        <f>IFERROR(ABS(RTD("esrtd",,Options[[#This Row],[Index]] &amp; " " &amp; Options[[#This Row],[Month]] &amp; "C" &amp; $AL67*100 &amp; "-ICE", "OldSettlement")), "")</f>
        <v/>
      </c>
      <c r="AO67" s="684" t="str">
        <f>IFERROR(ABS(RTD("esrtd",,Options[[#This Row],[Index]] &amp; " " &amp; Options[[#This Row],[Month]] &amp; "C" &amp; $AL67*100 &amp; "-ICE", "OldSetIV"))*100, "")</f>
        <v/>
      </c>
      <c r="AP67" s="684" t="str">
        <f>IFERROR(ABS(RTD("esrtd",,Options[[#This Row],[Index]] &amp; " " &amp; Options[[#This Row],[Month]] &amp; "C" &amp; $AL67*100 &amp; "-ICE", "Delta"))*100, "")</f>
        <v/>
      </c>
      <c r="AQ67" s="684" t="str">
        <f>IFERROR(ABS(RTD("esrtd",,Options[[#This Row],[Index]] &amp; " " &amp; Options[[#This Row],[Month]] &amp; "C" &amp; $AL67*100 &amp; "-ICE", "Market")), "")</f>
        <v/>
      </c>
      <c r="AR67" s="684" t="str">
        <f>IFERROR(ABS(RTD("esrtd",,Options[[#This Row],[Index]] &amp; " " &amp; Options[[#This Row],[Month]] &amp; "C" &amp; $AL67*100 &amp; "-ICE", "ImpVol"))*100, "")</f>
        <v/>
      </c>
      <c r="AT67" s="678"/>
      <c r="AU67" s="677"/>
    </row>
    <row r="68" spans="1:53" x14ac:dyDescent="0.25">
      <c r="A68" s="601" t="s">
        <v>155</v>
      </c>
      <c r="B68" s="610" t="e">
        <f>B$45 - B$20</f>
        <v>#VALUE!</v>
      </c>
      <c r="C68" s="610" t="e">
        <f>C$45 - C$20</f>
        <v>#VALUE!</v>
      </c>
      <c r="D68" s="610" t="e">
        <f>D$45 - D$20</f>
        <v>#VALUE!</v>
      </c>
      <c r="E68" s="610" t="e">
        <f>E$45 - E$20</f>
        <v>#VALUE!</v>
      </c>
      <c r="F68" s="610" t="e">
        <f>F$45 - F$20</f>
        <v>#N/A</v>
      </c>
      <c r="G68" s="596"/>
      <c r="H68" s="601" t="s">
        <v>155</v>
      </c>
      <c r="I68" s="610" t="e">
        <f ca="1">I$45 - I$20</f>
        <v>#VALUE!</v>
      </c>
      <c r="J68" s="610" t="e">
        <f ca="1">J$45 - J$20</f>
        <v>#VALUE!</v>
      </c>
      <c r="K68" s="610" t="e">
        <f ca="1">K$45 - K$20</f>
        <v>#VALUE!</v>
      </c>
      <c r="L68" s="596"/>
      <c r="M68" s="598"/>
      <c r="O68" s="599" t="s">
        <v>166</v>
      </c>
      <c r="P68" s="599" t="s">
        <v>177</v>
      </c>
      <c r="Q68" s="599" t="s">
        <v>178</v>
      </c>
      <c r="R68" s="599" t="s">
        <v>28</v>
      </c>
      <c r="S68" s="597" t="s">
        <v>179</v>
      </c>
      <c r="AB68" s="596" t="s">
        <v>119</v>
      </c>
      <c r="AC68" s="596" t="s">
        <v>1286</v>
      </c>
      <c r="AD68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8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8" s="683" t="e">
        <f>ABS(_xll.BDP(Options[[#This Row],[P-Ticker]], "OPT_DELTA_YEST"))*100</f>
        <v>#VALUE!</v>
      </c>
      <c r="AG68" s="683" t="str">
        <f>IFERROR(ABS(RTD("esrtd",,Options[[#This Row],[Index]] &amp; " " &amp; Options[[#This Row],[Month]] &amp; "P" &amp; $AL68*100 &amp; "-ICE", "OldSettlement")), "")</f>
        <v/>
      </c>
      <c r="AH68" s="683" t="str">
        <f>IFERROR(ABS(RTD("esrtd",,Options[[#This Row],[Index]] &amp; " " &amp; Options[[#This Row],[Month]] &amp; "P" &amp; $AL68*100 &amp; "-ICE", "OldSetIV"))*100, "")</f>
        <v/>
      </c>
      <c r="AI68" s="683" t="str">
        <f>IFERROR(ABS(RTD("esrtd",,Options[[#This Row],[Index]] &amp; " " &amp; Options[[#This Row],[Month]] &amp; "P" &amp; $AL68*100 &amp; "-ICE", "Delta"))*100, "")</f>
        <v/>
      </c>
      <c r="AJ68" s="683" t="str">
        <f>IFERROR(ABS(RTD("esrtd",,Options[[#This Row],[Index]] &amp; " " &amp; Options[[#This Row],[Month]] &amp; "P" &amp; $AL68*100 &amp; "-ICE", "Market")), "")</f>
        <v/>
      </c>
      <c r="AK68" s="683" t="str">
        <f>IFERROR(ABS(RTD("esrtd",,Options[[#This Row],[Index]] &amp; " " &amp; Options[[#This Row],[Month]] &amp; "P" &amp; $AL68*100 &amp; "-ICE", "ImpVol"))*100, "")</f>
        <v/>
      </c>
      <c r="AL68" s="676">
        <v>300</v>
      </c>
      <c r="AM68" s="684" t="e">
        <f>ABS(_xll.BDP(Options[[#This Row],[C-Ticker]], "OPT_DELTA_YEST"))*100</f>
        <v>#VALUE!</v>
      </c>
      <c r="AN68" s="684" t="str">
        <f>IFERROR(ABS(RTD("esrtd",,Options[[#This Row],[Index]] &amp; " " &amp; Options[[#This Row],[Month]] &amp; "C" &amp; $AL68*100 &amp; "-ICE", "OldSettlement")), "")</f>
        <v/>
      </c>
      <c r="AO68" s="684" t="str">
        <f>IFERROR(ABS(RTD("esrtd",,Options[[#This Row],[Index]] &amp; " " &amp; Options[[#This Row],[Month]] &amp; "C" &amp; $AL68*100 &amp; "-ICE", "OldSetIV"))*100, "")</f>
        <v/>
      </c>
      <c r="AP68" s="684" t="str">
        <f>IFERROR(ABS(RTD("esrtd",,Options[[#This Row],[Index]] &amp; " " &amp; Options[[#This Row],[Month]] &amp; "C" &amp; $AL68*100 &amp; "-ICE", "Delta"))*100, "")</f>
        <v/>
      </c>
      <c r="AQ68" s="684" t="str">
        <f>IFERROR(ABS(RTD("esrtd",,Options[[#This Row],[Index]] &amp; " " &amp; Options[[#This Row],[Month]] &amp; "C" &amp; $AL68*100 &amp; "-ICE", "Market")), "")</f>
        <v/>
      </c>
      <c r="AR68" s="684" t="str">
        <f>IFERROR(ABS(RTD("esrtd",,Options[[#This Row],[Index]] &amp; " " &amp; Options[[#This Row],[Month]] &amp; "C" &amp; $AL68*100 &amp; "-ICE", "ImpVol"))*100, "")</f>
        <v/>
      </c>
      <c r="AT68" s="678"/>
      <c r="AU68" s="677"/>
    </row>
    <row r="69" spans="1:53" x14ac:dyDescent="0.25">
      <c r="A69" s="601" t="s">
        <v>156</v>
      </c>
      <c r="B69" s="610" t="e">
        <f>B$46 - B$21</f>
        <v>#VALUE!</v>
      </c>
      <c r="C69" s="610" t="e">
        <f>C$46 - C$21</f>
        <v>#VALUE!</v>
      </c>
      <c r="D69" s="610" t="e">
        <f>D$46 - D$21</f>
        <v>#VALUE!</v>
      </c>
      <c r="E69" s="610" t="e">
        <f>E$46 - E$21</f>
        <v>#VALUE!</v>
      </c>
      <c r="F69" s="610" t="e">
        <f>F$46 - F$21</f>
        <v>#VALUE!</v>
      </c>
      <c r="G69" s="596"/>
      <c r="H69" s="601" t="s">
        <v>156</v>
      </c>
      <c r="I69" s="610">
        <f>I$46 - I$21</f>
        <v>0</v>
      </c>
      <c r="J69" s="610">
        <f>J$46 - J$21</f>
        <v>0</v>
      </c>
      <c r="K69" s="610">
        <f>K$46 - K$21</f>
        <v>0</v>
      </c>
      <c r="L69" s="596"/>
      <c r="M69" s="598"/>
      <c r="N69" s="605" t="s">
        <v>168</v>
      </c>
      <c r="O69" s="623" t="e">
        <f t="shared" ref="O69:O75" si="21">SUM($I53:$K53)</f>
        <v>#VALUE!</v>
      </c>
      <c r="P69" s="623">
        <f t="shared" ref="P69:P75" si="22">SUM($I72:$K72)</f>
        <v>0</v>
      </c>
      <c r="Q69" s="623" t="e">
        <f t="shared" ref="Q69:Q75" si="23">SUM($I81:$K81)</f>
        <v>#VALUE!</v>
      </c>
      <c r="R69" s="629" t="e">
        <f t="shared" ref="R69:R75" si="24">SUM($P69:$Q69)</f>
        <v>#VALUE!</v>
      </c>
      <c r="S69" s="623" t="e">
        <f>SUM($I92:$K92)</f>
        <v>#VALUE!</v>
      </c>
      <c r="AB69" s="596" t="s">
        <v>119</v>
      </c>
      <c r="AC69" s="596" t="s">
        <v>1286</v>
      </c>
      <c r="AD69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69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69" s="683" t="e">
        <f>ABS(_xll.BDP(Options[[#This Row],[P-Ticker]], "OPT_DELTA_YEST"))*100</f>
        <v>#VALUE!</v>
      </c>
      <c r="AG69" s="683" t="str">
        <f>IFERROR(ABS(RTD("esrtd",,Options[[#This Row],[Index]] &amp; " " &amp; Options[[#This Row],[Month]] &amp; "P" &amp; $AL69*100 &amp; "-ICE", "OldSettlement")), "")</f>
        <v/>
      </c>
      <c r="AH69" s="683" t="str">
        <f>IFERROR(ABS(RTD("esrtd",,Options[[#This Row],[Index]] &amp; " " &amp; Options[[#This Row],[Month]] &amp; "P" &amp; $AL69*100 &amp; "-ICE", "OldSetIV"))*100, "")</f>
        <v/>
      </c>
      <c r="AI69" s="683" t="str">
        <f>IFERROR(ABS(RTD("esrtd",,Options[[#This Row],[Index]] &amp; " " &amp; Options[[#This Row],[Month]] &amp; "P" &amp; $AL69*100 &amp; "-ICE", "Delta"))*100, "")</f>
        <v/>
      </c>
      <c r="AJ69" s="683" t="str">
        <f>IFERROR(ABS(RTD("esrtd",,Options[[#This Row],[Index]] &amp; " " &amp; Options[[#This Row],[Month]] &amp; "P" &amp; $AL69*100 &amp; "-ICE", "Market")), "")</f>
        <v/>
      </c>
      <c r="AK69" s="683" t="str">
        <f>IFERROR(ABS(RTD("esrtd",,Options[[#This Row],[Index]] &amp; " " &amp; Options[[#This Row],[Month]] &amp; "P" &amp; $AL69*100 &amp; "-ICE", "ImpVol"))*100, "")</f>
        <v/>
      </c>
      <c r="AL69" s="676">
        <v>300</v>
      </c>
      <c r="AM69" s="684" t="e">
        <f>ABS(_xll.BDP(Options[[#This Row],[C-Ticker]], "OPT_DELTA_YEST"))*100</f>
        <v>#VALUE!</v>
      </c>
      <c r="AN69" s="684" t="str">
        <f>IFERROR(ABS(RTD("esrtd",,Options[[#This Row],[Index]] &amp; " " &amp; Options[[#This Row],[Month]] &amp; "C" &amp; $AL69*100 &amp; "-ICE", "OldSettlement")), "")</f>
        <v/>
      </c>
      <c r="AO69" s="684" t="str">
        <f>IFERROR(ABS(RTD("esrtd",,Options[[#This Row],[Index]] &amp; " " &amp; Options[[#This Row],[Month]] &amp; "C" &amp; $AL69*100 &amp; "-ICE", "OldSetIV"))*100, "")</f>
        <v/>
      </c>
      <c r="AP69" s="684" t="str">
        <f>IFERROR(ABS(RTD("esrtd",,Options[[#This Row],[Index]] &amp; " " &amp; Options[[#This Row],[Month]] &amp; "C" &amp; $AL69*100 &amp; "-ICE", "Delta"))*100, "")</f>
        <v/>
      </c>
      <c r="AQ69" s="684" t="str">
        <f>IFERROR(ABS(RTD("esrtd",,Options[[#This Row],[Index]] &amp; " " &amp; Options[[#This Row],[Month]] &amp; "C" &amp; $AL69*100 &amp; "-ICE", "Market")), "")</f>
        <v/>
      </c>
      <c r="AR69" s="684" t="str">
        <f>IFERROR(ABS(RTD("esrtd",,Options[[#This Row],[Index]] &amp; " " &amp; Options[[#This Row],[Month]] &amp; "C" &amp; $AL69*100 &amp; "-ICE", "ImpVol"))*100, "")</f>
        <v/>
      </c>
      <c r="AT69" s="678"/>
      <c r="AU69" s="677"/>
    </row>
    <row r="70" spans="1:53" x14ac:dyDescent="0.25">
      <c r="A70" s="596"/>
      <c r="B70" s="596"/>
      <c r="C70" s="596"/>
      <c r="D70" s="596"/>
      <c r="E70" s="596"/>
      <c r="F70" s="596"/>
      <c r="G70" s="596"/>
      <c r="H70" s="596"/>
      <c r="I70" s="596"/>
      <c r="J70" s="596"/>
      <c r="K70" s="596"/>
      <c r="L70" s="596"/>
      <c r="M70" s="598"/>
      <c r="N70" s="605" t="s">
        <v>169</v>
      </c>
      <c r="O70" s="623" t="e">
        <f t="shared" si="21"/>
        <v>#VALUE!</v>
      </c>
      <c r="P70" s="623" t="e">
        <f t="shared" si="22"/>
        <v>#VALUE!</v>
      </c>
      <c r="Q70" s="623" t="e">
        <f t="shared" si="23"/>
        <v>#VALUE!</v>
      </c>
      <c r="R70" s="629" t="e">
        <f t="shared" si="24"/>
        <v>#VALUE!</v>
      </c>
      <c r="S70" s="623" t="e">
        <f>SUM($I93:$K93)</f>
        <v>#VALUE!</v>
      </c>
      <c r="AB70" s="596" t="s">
        <v>119</v>
      </c>
      <c r="AC70" s="596" t="s">
        <v>1286</v>
      </c>
      <c r="AD70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70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70" s="683" t="e">
        <f>ABS(_xll.BDP(Options[[#This Row],[P-Ticker]], "OPT_DELTA_YEST"))*100</f>
        <v>#VALUE!</v>
      </c>
      <c r="AG70" s="683" t="str">
        <f>IFERROR(ABS(RTD("esrtd",,Options[[#This Row],[Index]] &amp; " " &amp; Options[[#This Row],[Month]] &amp; "P" &amp; $AL70*100 &amp; "-ICE", "OldSettlement")), "")</f>
        <v/>
      </c>
      <c r="AH70" s="683" t="str">
        <f>IFERROR(ABS(RTD("esrtd",,Options[[#This Row],[Index]] &amp; " " &amp; Options[[#This Row],[Month]] &amp; "P" &amp; $AL70*100 &amp; "-ICE", "OldSetIV"))*100, "")</f>
        <v/>
      </c>
      <c r="AI70" s="683" t="str">
        <f>IFERROR(ABS(RTD("esrtd",,Options[[#This Row],[Index]] &amp; " " &amp; Options[[#This Row],[Month]] &amp; "P" &amp; $AL70*100 &amp; "-ICE", "Delta"))*100, "")</f>
        <v/>
      </c>
      <c r="AJ70" s="683" t="str">
        <f>IFERROR(ABS(RTD("esrtd",,Options[[#This Row],[Index]] &amp; " " &amp; Options[[#This Row],[Month]] &amp; "P" &amp; $AL70*100 &amp; "-ICE", "Market")), "")</f>
        <v/>
      </c>
      <c r="AK70" s="683" t="str">
        <f>IFERROR(ABS(RTD("esrtd",,Options[[#This Row],[Index]] &amp; " " &amp; Options[[#This Row],[Month]] &amp; "P" &amp; $AL70*100 &amp; "-ICE", "ImpVol"))*100, "")</f>
        <v/>
      </c>
      <c r="AL70" s="676">
        <v>300</v>
      </c>
      <c r="AM70" s="684" t="e">
        <f>ABS(_xll.BDP(Options[[#This Row],[C-Ticker]], "OPT_DELTA_YEST"))*100</f>
        <v>#VALUE!</v>
      </c>
      <c r="AN70" s="684" t="str">
        <f>IFERROR(ABS(RTD("esrtd",,Options[[#This Row],[Index]] &amp; " " &amp; Options[[#This Row],[Month]] &amp; "C" &amp; $AL70*100 &amp; "-ICE", "OldSettlement")), "")</f>
        <v/>
      </c>
      <c r="AO70" s="684" t="str">
        <f>IFERROR(ABS(RTD("esrtd",,Options[[#This Row],[Index]] &amp; " " &amp; Options[[#This Row],[Month]] &amp; "C" &amp; $AL70*100 &amp; "-ICE", "OldSetIV"))*100, "")</f>
        <v/>
      </c>
      <c r="AP70" s="684" t="str">
        <f>IFERROR(ABS(RTD("esrtd",,Options[[#This Row],[Index]] &amp; " " &amp; Options[[#This Row],[Month]] &amp; "C" &amp; $AL70*100 &amp; "-ICE", "Delta"))*100, "")</f>
        <v/>
      </c>
      <c r="AQ70" s="684" t="str">
        <f>IFERROR(ABS(RTD("esrtd",,Options[[#This Row],[Index]] &amp; " " &amp; Options[[#This Row],[Month]] &amp; "C" &amp; $AL70*100 &amp; "-ICE", "Market")), "")</f>
        <v/>
      </c>
      <c r="AR70" s="684" t="str">
        <f>IFERROR(ABS(RTD("esrtd",,Options[[#This Row],[Index]] &amp; " " &amp; Options[[#This Row],[Month]] &amp; "C" &amp; $AL70*100 &amp; "-ICE", "ImpVol"))*100, "")</f>
        <v/>
      </c>
      <c r="AT70" s="678"/>
      <c r="AU70" s="677"/>
    </row>
    <row r="71" spans="1:53" x14ac:dyDescent="0.25">
      <c r="A71" s="620" t="s">
        <v>183</v>
      </c>
      <c r="B71" s="621"/>
      <c r="C71" s="621"/>
      <c r="D71" s="621"/>
      <c r="E71" s="621"/>
      <c r="F71" s="622"/>
      <c r="G71" s="596"/>
      <c r="H71" s="620" t="s">
        <v>183</v>
      </c>
      <c r="I71" s="620" t="s">
        <v>183</v>
      </c>
      <c r="J71" s="620" t="s">
        <v>183</v>
      </c>
      <c r="K71" s="620" t="s">
        <v>183</v>
      </c>
      <c r="N71" s="605" t="s">
        <v>170</v>
      </c>
      <c r="O71" s="623" t="e">
        <f t="shared" si="21"/>
        <v>#VALUE!</v>
      </c>
      <c r="P71" s="623" t="e">
        <f t="shared" si="22"/>
        <v>#VALUE!</v>
      </c>
      <c r="Q71" s="623" t="e">
        <f t="shared" si="23"/>
        <v>#VALUE!</v>
      </c>
      <c r="R71" s="629" t="e">
        <f t="shared" si="24"/>
        <v>#VALUE!</v>
      </c>
      <c r="S71" s="623" t="e">
        <f ca="1">SUM($I94:$K94)</f>
        <v>#VALUE!</v>
      </c>
      <c r="AB71" s="596" t="s">
        <v>119</v>
      </c>
      <c r="AC71" s="596" t="s">
        <v>1286</v>
      </c>
      <c r="AD71" s="596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71" s="596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71" s="683" t="e">
        <f>ABS(_xll.BDP(Options[[#This Row],[P-Ticker]], "OPT_DELTA_YEST"))*100</f>
        <v>#VALUE!</v>
      </c>
      <c r="AG71" s="683" t="str">
        <f>IFERROR(ABS(RTD("esrtd",,Options[[#This Row],[Index]] &amp; " " &amp; Options[[#This Row],[Month]] &amp; "P" &amp; $AL71*100 &amp; "-ICE", "OldSettlement")), "")</f>
        <v/>
      </c>
      <c r="AH71" s="683" t="str">
        <f>IFERROR(ABS(RTD("esrtd",,Options[[#This Row],[Index]] &amp; " " &amp; Options[[#This Row],[Month]] &amp; "P" &amp; $AL71*100 &amp; "-ICE", "OldSetIV"))*100, "")</f>
        <v/>
      </c>
      <c r="AI71" s="683" t="str">
        <f>IFERROR(ABS(RTD("esrtd",,Options[[#This Row],[Index]] &amp; " " &amp; Options[[#This Row],[Month]] &amp; "P" &amp; $AL71*100 &amp; "-ICE", "Delta"))*100, "")</f>
        <v/>
      </c>
      <c r="AJ71" s="683" t="str">
        <f>IFERROR(ABS(RTD("esrtd",,Options[[#This Row],[Index]] &amp; " " &amp; Options[[#This Row],[Month]] &amp; "P" &amp; $AL71*100 &amp; "-ICE", "Market")), "")</f>
        <v/>
      </c>
      <c r="AK71" s="683" t="str">
        <f>IFERROR(ABS(RTD("esrtd",,Options[[#This Row],[Index]] &amp; " " &amp; Options[[#This Row],[Month]] &amp; "P" &amp; $AL71*100 &amp; "-ICE", "ImpVol"))*100, "")</f>
        <v/>
      </c>
      <c r="AL71" s="676">
        <v>300</v>
      </c>
      <c r="AM71" s="684" t="e">
        <f>ABS(_xll.BDP(Options[[#This Row],[C-Ticker]], "OPT_DELTA_YEST"))*100</f>
        <v>#VALUE!</v>
      </c>
      <c r="AN71" s="684" t="str">
        <f>IFERROR(ABS(RTD("esrtd",,Options[[#This Row],[Index]] &amp; " " &amp; Options[[#This Row],[Month]] &amp; "C" &amp; $AL71*100 &amp; "-ICE", "OldSettlement")), "")</f>
        <v/>
      </c>
      <c r="AO71" s="684" t="str">
        <f>IFERROR(ABS(RTD("esrtd",,Options[[#This Row],[Index]] &amp; " " &amp; Options[[#This Row],[Month]] &amp; "C" &amp; $AL71*100 &amp; "-ICE", "OldSetIV"))*100, "")</f>
        <v/>
      </c>
      <c r="AP71" s="684" t="str">
        <f>IFERROR(ABS(RTD("esrtd",,Options[[#This Row],[Index]] &amp; " " &amp; Options[[#This Row],[Month]] &amp; "C" &amp; $AL71*100 &amp; "-ICE", "Delta"))*100, "")</f>
        <v/>
      </c>
      <c r="AQ71" s="684" t="str">
        <f>IFERROR(ABS(RTD("esrtd",,Options[[#This Row],[Index]] &amp; " " &amp; Options[[#This Row],[Month]] &amp; "C" &amp; $AL71*100 &amp; "-ICE", "Market")), "")</f>
        <v/>
      </c>
      <c r="AR71" s="684" t="str">
        <f>IFERROR(ABS(RTD("esrtd",,Options[[#This Row],[Index]] &amp; " " &amp; Options[[#This Row],[Month]] &amp; "C" &amp; $AL71*100 &amp; "-ICE", "ImpVol"))*100, "")</f>
        <v/>
      </c>
      <c r="AT71" s="678"/>
      <c r="AU71" s="677"/>
      <c r="AV71" s="596" t="s">
        <v>175</v>
      </c>
      <c r="AW71" s="677" t="str" cm="1">
        <f t="array" ref="AW71">_xll.BDP($AU$60, "MID")</f>
        <v>#N/A N/A</v>
      </c>
      <c r="AX71" s="677" t="e">
        <f>FLOOR(AW71, 1)</f>
        <v>#VALUE!</v>
      </c>
      <c r="AY71" s="677" t="e" cm="1">
        <f t="array" ref="AY71">INDEX($AR$141:$AR$208, MATCH($AX71, $AL$141:$AL$208, 0), 0)</f>
        <v>#VALUE!</v>
      </c>
    </row>
    <row r="72" spans="1:53" ht="15.75" thickBot="1" x14ac:dyDescent="0.3">
      <c r="A72" s="605" t="s">
        <v>168</v>
      </c>
      <c r="B72" s="603" cm="1">
        <f t="array" ref="B72">IFERROR(B$7 * (_xll.BDP(B$9, "DELTA_MID_RT") - _xll.BDP(B$9, "OPT_DELTA_YEST")), 0)</f>
        <v>0</v>
      </c>
      <c r="C72" s="603" cm="1">
        <f t="array" ref="C72">IFERROR(C$7 * (_xll.BDP(C$9, "DELTA_MID_RT") - _xll.BDP(C$9, "OPT_DELTA_YEST")), 0)</f>
        <v>0</v>
      </c>
      <c r="D72" s="603" cm="1">
        <f t="array" ref="D72">IFERROR(D$7 * (_xll.BDP(D$9, "DELTA_MID_RT") - _xll.BDP(D$9, "OPT_DELTA_YEST")), 0)</f>
        <v>0</v>
      </c>
      <c r="E72" s="603" cm="1">
        <f t="array" ref="E72">IFERROR(E$7 * (_xll.BDP(E$9, "DELTA_MID_RT") - _xll.BDP(E$9, "OPT_DELTA_YEST")), 0)</f>
        <v>0</v>
      </c>
      <c r="F72" s="603" cm="1">
        <f t="array" ref="F72">IFERROR(F$7 * (_xll.BDP(F$9, "DELTA_MID_RT") - _xll.BDP(F$9, "OPT_DELTA_YEST")), 0)</f>
        <v>0</v>
      </c>
      <c r="G72" s="596"/>
      <c r="H72" s="605" t="s">
        <v>168</v>
      </c>
      <c r="I72" s="603">
        <f>IFERROR(I$7 * (I$51 - I$26), 0)</f>
        <v>0</v>
      </c>
      <c r="J72" s="603">
        <f t="shared" ref="J72:K72" si="25">IFERROR(J$7 * (J$51 - J$26), 0)</f>
        <v>0</v>
      </c>
      <c r="K72" s="603">
        <f t="shared" si="25"/>
        <v>0</v>
      </c>
      <c r="N72" s="605" t="s">
        <v>174</v>
      </c>
      <c r="O72" s="623">
        <f t="shared" si="21"/>
        <v>0</v>
      </c>
      <c r="P72" s="623">
        <f t="shared" ca="1" si="22"/>
        <v>0</v>
      </c>
      <c r="Q72" s="623">
        <f t="shared" si="23"/>
        <v>0</v>
      </c>
      <c r="R72" s="629">
        <f t="shared" ca="1" si="24"/>
        <v>0</v>
      </c>
      <c r="S72" s="623" t="e">
        <f ca="1">SUM($I95:$K95)</f>
        <v>#VALUE!</v>
      </c>
      <c r="AB72" s="697" t="s">
        <v>119</v>
      </c>
      <c r="AC72" s="697" t="s">
        <v>1286</v>
      </c>
      <c r="AD72" s="697" t="str">
        <f>IF(Options[[#This Row],[Index]] = "BRN", "CO", "CL") &amp; RIGHT(Options[[#This Row],[Month]], 1) &amp; MID(Options[[#This Row],[Month]], 2, 1) &amp; "P" &amp; " " &amp; TEXT(Options[[#This Row],[Strike]], "00.00") &amp; " Comdty"</f>
        <v>COQ6P 300.00 Comdty</v>
      </c>
      <c r="AE72" s="697" t="str">
        <f>IF(Options[[#This Row],[Index]] = "BRN", "CO", "CL") &amp; RIGHT(Options[[#This Row],[Month]], 1) &amp; MID(Options[[#This Row],[Month]], 2, 1) &amp; "C" &amp; " " &amp; TEXT(Options[[#This Row],[Strike]], "00.00") &amp; " Comdty"</f>
        <v>COQ6C 300.00 Comdty</v>
      </c>
      <c r="AF72" s="698" t="e">
        <f>ABS(_xll.BDP(Options[[#This Row],[P-Ticker]], "OPT_DELTA_YEST"))*100</f>
        <v>#VALUE!</v>
      </c>
      <c r="AG72" s="698" t="str">
        <f>IFERROR(ABS(RTD("esrtd",,Options[[#This Row],[Index]] &amp; " " &amp; Options[[#This Row],[Month]] &amp; "P" &amp; $AL72*100 &amp; "-ICE", "OldSettlement")), "")</f>
        <v/>
      </c>
      <c r="AH72" s="698" t="str">
        <f>IFERROR(ABS(RTD("esrtd",,Options[[#This Row],[Index]] &amp; " " &amp; Options[[#This Row],[Month]] &amp; "P" &amp; $AL72*100 &amp; "-ICE", "OldSetIV"))*100, "")</f>
        <v/>
      </c>
      <c r="AI72" s="698" t="str">
        <f>IFERROR(ABS(RTD("esrtd",,Options[[#This Row],[Index]] &amp; " " &amp; Options[[#This Row],[Month]] &amp; "P" &amp; $AL72*100 &amp; "-ICE", "Delta"))*100, "")</f>
        <v/>
      </c>
      <c r="AJ72" s="698" t="str">
        <f>IFERROR(ABS(RTD("esrtd",,Options[[#This Row],[Index]] &amp; " " &amp; Options[[#This Row],[Month]] &amp; "P" &amp; $AL72*100 &amp; "-ICE", "Market")), "")</f>
        <v/>
      </c>
      <c r="AK72" s="698" t="str">
        <f>IFERROR(ABS(RTD("esrtd",,Options[[#This Row],[Index]] &amp; " " &amp; Options[[#This Row],[Month]] &amp; "P" &amp; $AL72*100 &amp; "-ICE", "ImpVol"))*100, "")</f>
        <v/>
      </c>
      <c r="AL72" s="699">
        <v>300</v>
      </c>
      <c r="AM72" s="700" t="e">
        <f>ABS(_xll.BDP(Options[[#This Row],[C-Ticker]], "OPT_DELTA_YEST"))*100</f>
        <v>#VALUE!</v>
      </c>
      <c r="AN72" s="700" t="str">
        <f>IFERROR(ABS(RTD("esrtd",,Options[[#This Row],[Index]] &amp; " " &amp; Options[[#This Row],[Month]] &amp; "C" &amp; $AL72*100 &amp; "-ICE", "OldSettlement")), "")</f>
        <v/>
      </c>
      <c r="AO72" s="700" t="str">
        <f>IFERROR(ABS(RTD("esrtd",,Options[[#This Row],[Index]] &amp; " " &amp; Options[[#This Row],[Month]] &amp; "C" &amp; $AL72*100 &amp; "-ICE", "OldSetIV"))*100, "")</f>
        <v/>
      </c>
      <c r="AP72" s="700" t="str">
        <f>IFERROR(ABS(RTD("esrtd",,Options[[#This Row],[Index]] &amp; " " &amp; Options[[#This Row],[Month]] &amp; "C" &amp; $AL72*100 &amp; "-ICE", "Delta"))*100, "")</f>
        <v/>
      </c>
      <c r="AQ72" s="700" t="str">
        <f>IFERROR(ABS(RTD("esrtd",,Options[[#This Row],[Index]] &amp; " " &amp; Options[[#This Row],[Month]] &amp; "C" &amp; $AL72*100 &amp; "-ICE", "Market")), "")</f>
        <v/>
      </c>
      <c r="AR72" s="700" t="str">
        <f>IFERROR(ABS(RTD("esrtd",,Options[[#This Row],[Index]] &amp; " " &amp; Options[[#This Row],[Month]] &amp; "C" &amp; $AL72*100 &amp; "-ICE", "ImpVol"))*100, "")</f>
        <v/>
      </c>
      <c r="AT72" s="678"/>
      <c r="AU72" s="677"/>
      <c r="AV72" s="596" t="s">
        <v>180</v>
      </c>
      <c r="AW72" s="677" t="str" cm="1">
        <f t="array" ref="AW72">_xll.BDP($AU$60, "MID")</f>
        <v>#N/A N/A</v>
      </c>
      <c r="AX72" s="677" t="e">
        <f>FLOOR(AW72, 1)</f>
        <v>#VALUE!</v>
      </c>
      <c r="AY72" s="677" t="e" cm="1">
        <f t="array" ref="AY72">INDEX($AK$141:$AK$208, MATCH($AX72, $AL$141:$AL$208, 0), 0)</f>
        <v>#VALUE!</v>
      </c>
    </row>
    <row r="73" spans="1:53" x14ac:dyDescent="0.25">
      <c r="A73" s="605" t="s">
        <v>169</v>
      </c>
      <c r="B73" s="608" t="e" cm="1">
        <f t="array" ref="B73">B$7 * (_xll.BDP(B$9, "GAMMA_MID_RT") - _xll.BDP(B$9, "OPT_GAMMA_YEST"))</f>
        <v>#VALUE!</v>
      </c>
      <c r="C73" s="608" t="e" cm="1">
        <f t="array" ref="C73">C$7 * (_xll.BDP(C$9, "GAMMA_MID_RT") - _xll.BDP(C$9, "OPT_GAMMA_YEST"))</f>
        <v>#VALUE!</v>
      </c>
      <c r="D73" s="608" t="e" cm="1">
        <f t="array" ref="D73">D$7 * (_xll.BDP(D$9, "GAMMA_MID_RT") - _xll.BDP(D$9, "OPT_GAMMA_YEST"))</f>
        <v>#VALUE!</v>
      </c>
      <c r="E73" s="608" t="e" cm="1">
        <f t="array" ref="E73">E$7 * (_xll.BDP(E$9, "GAMMA_MID_RT") - _xll.BDP(E$9, "OPT_GAMMA_YEST"))</f>
        <v>#VALUE!</v>
      </c>
      <c r="F73" s="608" t="e" cm="1">
        <f t="array" ref="F73">F$7 * (_xll.BDP(F$9, "GAMMA_MID_RT") - _xll.BDP(F$9, "OPT_GAMMA_YEST"))</f>
        <v>#VALUE!</v>
      </c>
      <c r="G73" s="596"/>
      <c r="H73" s="605" t="s">
        <v>169</v>
      </c>
      <c r="I73" s="608" t="e">
        <f>I$7 * (I$52 - I$27)</f>
        <v>#VALUE!</v>
      </c>
      <c r="J73" s="608" t="e">
        <f t="shared" ref="J73:K73" si="26">J$7 * (J$52 - J$27)</f>
        <v>#VALUE!</v>
      </c>
      <c r="K73" s="608" t="e">
        <f t="shared" si="26"/>
        <v>#VALUE!</v>
      </c>
      <c r="N73" s="605" t="s">
        <v>176</v>
      </c>
      <c r="O73" s="623">
        <f t="shared" si="21"/>
        <v>0</v>
      </c>
      <c r="P73" s="623">
        <f t="shared" ca="1" si="22"/>
        <v>0</v>
      </c>
      <c r="Q73" s="623">
        <f t="shared" si="23"/>
        <v>0</v>
      </c>
      <c r="R73" s="629">
        <f t="shared" ca="1" si="24"/>
        <v>0</v>
      </c>
      <c r="S73" s="623" t="e">
        <f>SUM($B96:$F96)</f>
        <v>#VALUE!</v>
      </c>
      <c r="AB73" s="596" t="s">
        <v>119</v>
      </c>
      <c r="AC73" s="596" t="s">
        <v>1336</v>
      </c>
      <c r="AD73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70.00 Comdty</v>
      </c>
      <c r="AE73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70.00 Comdty</v>
      </c>
      <c r="AF73" s="683" t="e">
        <f>ABS(_xll.BDP(Options[[#This Row],[P-Ticker]], "OPT_DELTA_YEST"))*100</f>
        <v>#VALUE!</v>
      </c>
      <c r="AG73" s="683" t="str">
        <f>IFERROR(ABS(RTD("esrtd",,Options[[#This Row],[Index]] &amp; " " &amp; Options[[#This Row],[Month]] &amp; "P" &amp; $AL73*100 &amp; "-ICE", "OldSettlement")), "")</f>
        <v/>
      </c>
      <c r="AH73" s="683" t="str">
        <f>IFERROR(ABS(RTD("esrtd",,Options[[#This Row],[Index]] &amp; " " &amp; Options[[#This Row],[Month]] &amp; "P" &amp; $AL73*100 &amp; "-ICE", "OldSetIV"))*100, "")</f>
        <v/>
      </c>
      <c r="AI73" s="683" t="str">
        <f>IFERROR(ABS(RTD("esrtd",,Options[[#This Row],[Index]] &amp; " " &amp; Options[[#This Row],[Month]] &amp; "P" &amp; $AL73*100 &amp; "-ICE", "Delta"))*100, "")</f>
        <v/>
      </c>
      <c r="AJ73" s="683" t="str">
        <f>IFERROR(ABS(RTD("esrtd",,Options[[#This Row],[Index]] &amp; " " &amp; Options[[#This Row],[Month]] &amp; "P" &amp; $AL73*100 &amp; "-ICE", "Market")), "")</f>
        <v/>
      </c>
      <c r="AK73" s="683" t="str">
        <f>IFERROR(ABS(RTD("esrtd",,Options[[#This Row],[Index]] &amp; " " &amp; Options[[#This Row],[Month]] &amp; "P" &amp; $AL73*100 &amp; "-ICE", "ImpVol"))*100, "")</f>
        <v/>
      </c>
      <c r="AL73" s="676">
        <v>70</v>
      </c>
      <c r="AM73" s="684" t="e">
        <f>ABS(_xll.BDP(Options[[#This Row],[C-Ticker]], "OPT_DELTA_YEST"))*100</f>
        <v>#VALUE!</v>
      </c>
      <c r="AN73" s="684" t="str">
        <f>IFERROR(ABS(RTD("esrtd",,Options[[#This Row],[Index]] &amp; " " &amp; Options[[#This Row],[Month]] &amp; "C" &amp; $AL73*100 &amp; "-ICE", "OldSettlement")), "")</f>
        <v/>
      </c>
      <c r="AO73" s="684" t="str">
        <f>IFERROR(ABS(RTD("esrtd",,Options[[#This Row],[Index]] &amp; " " &amp; Options[[#This Row],[Month]] &amp; "C" &amp; $AL73*100 &amp; "-ICE", "OldSetIV"))*100, "")</f>
        <v/>
      </c>
      <c r="AP73" s="684" t="str">
        <f>IFERROR(ABS(RTD("esrtd",,Options[[#This Row],[Index]] &amp; " " &amp; Options[[#This Row],[Month]] &amp; "C" &amp; $AL73*100 &amp; "-ICE", "Delta"))*100, "")</f>
        <v/>
      </c>
      <c r="AQ73" s="684" t="str">
        <f>IFERROR(ABS(RTD("esrtd",,Options[[#This Row],[Index]] &amp; " " &amp; Options[[#This Row],[Month]] &amp; "C" &amp; $AL73*100 &amp; "-ICE", "Market")), "")</f>
        <v/>
      </c>
      <c r="AR73" s="684" t="str">
        <f>IFERROR(ABS(RTD("esrtd",,Options[[#This Row],[Index]] &amp; " " &amp; Options[[#This Row],[Month]] &amp; "C" &amp; $AL73*100 &amp; "-ICE", "ImpVol"))*100, "")</f>
        <v/>
      </c>
      <c r="AU73" s="677"/>
      <c r="AZ73" s="677"/>
    </row>
    <row r="74" spans="1:53" x14ac:dyDescent="0.25">
      <c r="A74" s="605" t="s">
        <v>170</v>
      </c>
      <c r="B74" s="608" t="e" cm="1">
        <f t="array" ref="B74">B$7 * (_xll.BDP(B$9, "VEGA_MID_RT") - _xll.BDP(B$9, "OPT_VEGA_YEST"))</f>
        <v>#VALUE!</v>
      </c>
      <c r="C74" s="608" t="e" cm="1">
        <f t="array" ref="C74">C$7 * (_xll.BDP(C$9, "VEGA_MID_RT") - _xll.BDP(C$9, "OPT_VEGA_YEST"))</f>
        <v>#VALUE!</v>
      </c>
      <c r="D74" s="608" t="e" cm="1">
        <f t="array" ref="D74">D$7 * (_xll.BDP(D$9, "VEGA_MID_RT") - _xll.BDP(D$9, "OPT_VEGA_YEST"))</f>
        <v>#VALUE!</v>
      </c>
      <c r="E74" s="608" t="e" cm="1">
        <f t="array" ref="E74">E$7 * (_xll.BDP(E$9, "VEGA_MID_RT") - _xll.BDP(E$9, "OPT_VEGA_YEST"))</f>
        <v>#VALUE!</v>
      </c>
      <c r="F74" s="608" t="e" cm="1">
        <f t="array" ref="F74">F$7 * (_xll.BDP(F$9, "VEGA_MID_RT") - _xll.BDP(F$9, "OPT_VEGA_YEST"))</f>
        <v>#VALUE!</v>
      </c>
      <c r="G74" s="596"/>
      <c r="H74" s="605" t="s">
        <v>170</v>
      </c>
      <c r="I74" s="608" t="e" cm="1">
        <f t="array" ref="I74">I$7 * (_xll.BDP(I$9, "VEGA_LAST_RT") - _xll.BDP(I$9, "OPT_VEGA_YEST"))</f>
        <v>#VALUE!</v>
      </c>
      <c r="J74" s="608" t="e" cm="1">
        <f t="array" ref="J74">J$7 * (_xll.BDP(J$9, "VEGA_LAST_RT") - _xll.BDP(J$9, "OPT_VEGA_YEST"))</f>
        <v>#VALUE!</v>
      </c>
      <c r="K74" s="608" t="e" cm="1">
        <f t="array" ref="K74">K$7 * (_xll.BDP(K$9, "VEGA_LAST_RT") - _xll.BDP(K$9, "OPT_VEGA_YEST"))</f>
        <v>#VALUE!</v>
      </c>
      <c r="N74" s="605" t="s">
        <v>181</v>
      </c>
      <c r="O74" s="623" t="e">
        <f t="shared" si="21"/>
        <v>#VALUE!</v>
      </c>
      <c r="P74" s="623" t="e">
        <f t="shared" si="22"/>
        <v>#VALUE!</v>
      </c>
      <c r="Q74" s="623" t="e">
        <f t="shared" si="23"/>
        <v>#VALUE!</v>
      </c>
      <c r="R74" s="629" t="e">
        <f t="shared" si="24"/>
        <v>#VALUE!</v>
      </c>
      <c r="S74" s="623">
        <f ca="1">SUM($I97:$K97)</f>
        <v>0</v>
      </c>
      <c r="AB74" s="596" t="s">
        <v>119</v>
      </c>
      <c r="AC74" s="596" t="s">
        <v>1336</v>
      </c>
      <c r="AD74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81.00 Comdty</v>
      </c>
      <c r="AE74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81.00 Comdty</v>
      </c>
      <c r="AF74" s="683" t="e">
        <f>ABS(_xll.BDP(Options[[#This Row],[P-Ticker]], "OPT_DELTA_YEST"))*100</f>
        <v>#VALUE!</v>
      </c>
      <c r="AG74" s="683" t="str">
        <f>IFERROR(ABS(RTD("esrtd",,Options[[#This Row],[Index]] &amp; " " &amp; Options[[#This Row],[Month]] &amp; "P" &amp; $AL74*100 &amp; "-ICE", "OldSettlement")), "")</f>
        <v/>
      </c>
      <c r="AH74" s="683" t="str">
        <f>IFERROR(ABS(RTD("esrtd",,Options[[#This Row],[Index]] &amp; " " &amp; Options[[#This Row],[Month]] &amp; "P" &amp; $AL74*100 &amp; "-ICE", "OldSetIV"))*100, "")</f>
        <v/>
      </c>
      <c r="AI74" s="683" t="str">
        <f>IFERROR(ABS(RTD("esrtd",,Options[[#This Row],[Index]] &amp; " " &amp; Options[[#This Row],[Month]] &amp; "P" &amp; $AL74*100 &amp; "-ICE", "Delta"))*100, "")</f>
        <v/>
      </c>
      <c r="AJ74" s="683" t="str">
        <f>IFERROR(ABS(RTD("esrtd",,Options[[#This Row],[Index]] &amp; " " &amp; Options[[#This Row],[Month]] &amp; "P" &amp; $AL74*100 &amp; "-ICE", "Market")), "")</f>
        <v/>
      </c>
      <c r="AK74" s="683" t="str">
        <f>IFERROR(ABS(RTD("esrtd",,Options[[#This Row],[Index]] &amp; " " &amp; Options[[#This Row],[Month]] &amp; "P" &amp; $AL74*100 &amp; "-ICE", "ImpVol"))*100, "")</f>
        <v/>
      </c>
      <c r="AL74" s="676">
        <v>81</v>
      </c>
      <c r="AM74" s="684" t="e">
        <f>ABS(_xll.BDP(Options[[#This Row],[C-Ticker]], "OPT_DELTA_YEST"))*100</f>
        <v>#VALUE!</v>
      </c>
      <c r="AN74" s="684" t="str">
        <f>IFERROR(ABS(RTD("esrtd",,Options[[#This Row],[Index]] &amp; " " &amp; Options[[#This Row],[Month]] &amp; "C" &amp; $AL74*100 &amp; "-ICE", "OldSettlement")), "")</f>
        <v/>
      </c>
      <c r="AO74" s="684" t="str">
        <f>IFERROR(ABS(RTD("esrtd",,Options[[#This Row],[Index]] &amp; " " &amp; Options[[#This Row],[Month]] &amp; "C" &amp; $AL74*100 &amp; "-ICE", "OldSetIV"))*100, "")</f>
        <v/>
      </c>
      <c r="AP74" s="684" t="str">
        <f>IFERROR(ABS(RTD("esrtd",,Options[[#This Row],[Index]] &amp; " " &amp; Options[[#This Row],[Month]] &amp; "C" &amp; $AL74*100 &amp; "-ICE", "Delta"))*100, "")</f>
        <v/>
      </c>
      <c r="AQ74" s="684" t="str">
        <f>IFERROR(ABS(RTD("esrtd",,Options[[#This Row],[Index]] &amp; " " &amp; Options[[#This Row],[Month]] &amp; "C" &amp; $AL74*100 &amp; "-ICE", "Market")), "")</f>
        <v/>
      </c>
      <c r="AR74" s="684" t="str">
        <f>IFERROR(ABS(RTD("esrtd",,Options[[#This Row],[Index]] &amp; " " &amp; Options[[#This Row],[Month]] &amp; "C" &amp; $AL74*100 &amp; "-ICE", "ImpVol"))*100, "")</f>
        <v/>
      </c>
      <c r="AU74" s="677"/>
      <c r="AV74" s="677" t="s">
        <v>118</v>
      </c>
      <c r="AW74" s="677" cm="1">
        <f t="array" ref="AW74">_xll.BDP($AU$60, "PX_SETTLE")</f>
        <v>89.31</v>
      </c>
      <c r="AX74" s="677">
        <f>FLOOR(AW74, 1)</f>
        <v>89</v>
      </c>
      <c r="AY74" s="677" t="e" cm="1">
        <f t="array" ref="AY74">INDEX($AO$141:$AO$208, MATCH($AX74, $AL$141:$AL$208, 0), 0)</f>
        <v>#N/A</v>
      </c>
      <c r="AZ74" s="677"/>
    </row>
    <row r="75" spans="1:53" x14ac:dyDescent="0.25">
      <c r="A75" s="605" t="s">
        <v>174</v>
      </c>
      <c r="B75" s="608">
        <f>IF(B$7 = 0, 0, IFERROR(OptVanna(IF(B$5 = "C", 1, 0), B$42, B$6, B$43, 0.04, B$45/100) * B$7, 0) - IFERROR(OptVanna(IF(B$5 = "C", 1, 0), B$17, B$6, B$18, 0.04, B$20/100) * B$7, 0))</f>
        <v>0</v>
      </c>
      <c r="C75" s="608">
        <f ca="1">IF(C$7 = 0, 0, IFERROR(OptVanna(IF(C$5 = "C", 1, 0), C$42, C$6, C$43, 0.04, C$45/100) * C$7, 0) - IFERROR(OptVanna(IF(C$5 = "C", 1, 0), C$17, C$6, C$18, 0.04, C$20/100) * C$7, 0))</f>
        <v>0</v>
      </c>
      <c r="D75" s="608">
        <f ca="1">IF(D$7 = 0, 0, IFERROR(OptVanna(IF(D$5 = "C", 1, 0), D$42, D$6, D$43, 0.04, D$45/100) * D$7, 0) - IFERROR(OptVanna(IF(D$5 = "C", 1, 0), D$17, D$6, D$18, 0.04, D$20/100) * D$7, 0))</f>
        <v>0</v>
      </c>
      <c r="E75" s="608">
        <f>IF(E$7 = 0, 0, IFERROR(OptVanna(IF(E$5 = "C", 1, 0), E$42, E$6, E$43, 0.04, E$45/100) * E$7, 0) - IFERROR(OptVanna(IF(E$5 = "C", 1, 0), E$17, E$6, E$18, 0.04, E$20/100) * E$7, 0))</f>
        <v>0</v>
      </c>
      <c r="F75" s="608">
        <f>IF(F$7 = 0, 0, IFERROR(OptVanna(IF(F$5 = "C", 1, 0), F$42, F$6, F$43, 0.04, F$45/100) * F$7, 0) - IFERROR(OptVanna(IF(F$5 = "C", 1, 0), F$17, F$6, F$18, 0.04, F$20/100) * F$7, 0))</f>
        <v>0</v>
      </c>
      <c r="G75" s="596"/>
      <c r="H75" s="605" t="s">
        <v>174</v>
      </c>
      <c r="I75" s="608">
        <f ca="1">IF(I$7 = 0, 0, IFERROR(OptVanna(IF(I$5 = "C", 1, 0), I$42, I$6, I$43, 0.04, I$45/100) * I$7 / 10, 0) - IFERROR(OptVanna(IF(I$5 = "C", 1, 0), I$17, I$6, I$18, 0.04, I$20/100) * I$7 / 10, 0))</f>
        <v>0</v>
      </c>
      <c r="J75" s="608">
        <f ca="1">IF(J$7 = 0, 0, IFERROR(OptVanna(IF(J$5 = "C", 1, 0), J$42, J$6, J$43, 0.04, J$45/100) * J$7 / 10, 0) - IFERROR(OptVanna(IF(J$5 = "C", 1, 0), J$17, J$6, J$18, 0.04, J$20/100) * J$7 / 10, 0))</f>
        <v>0</v>
      </c>
      <c r="K75" s="608">
        <f>IF(K$7 = 0, 0, IFERROR(OptVanna(IF(K$5 = "C", 1, 0), K$42, K$6, K$43, 0.04, K$45/100) * K$7 / 10, 0) - IFERROR(OptVanna(IF(K$5 = "C", 1, 0), K$17, K$6, K$18, 0.04, K$20/100) * K$7 / 10, 0))</f>
        <v>0</v>
      </c>
      <c r="N75" s="605" t="s">
        <v>182</v>
      </c>
      <c r="O75" s="623">
        <f t="shared" si="21"/>
        <v>0</v>
      </c>
      <c r="P75" s="623" t="e">
        <f t="shared" ca="1" si="22"/>
        <v>#VALUE!</v>
      </c>
      <c r="Q75" s="623">
        <f t="shared" si="23"/>
        <v>0</v>
      </c>
      <c r="R75" s="629" t="e">
        <f t="shared" ca="1" si="24"/>
        <v>#VALUE!</v>
      </c>
      <c r="S75" s="623" t="e">
        <f>SUM($B98:$F98)</f>
        <v>#VALUE!</v>
      </c>
      <c r="AB75" s="596" t="s">
        <v>119</v>
      </c>
      <c r="AC75" s="596" t="s">
        <v>1336</v>
      </c>
      <c r="AD75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82.00 Comdty</v>
      </c>
      <c r="AE75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82.00 Comdty</v>
      </c>
      <c r="AF75" s="683" t="e">
        <f>ABS(_xll.BDP(Options[[#This Row],[P-Ticker]], "OPT_DELTA_YEST"))*100</f>
        <v>#VALUE!</v>
      </c>
      <c r="AG75" s="683" t="str">
        <f>IFERROR(ABS(RTD("esrtd",,Options[[#This Row],[Index]] &amp; " " &amp; Options[[#This Row],[Month]] &amp; "P" &amp; $AL75*100 &amp; "-ICE", "OldSettlement")), "")</f>
        <v/>
      </c>
      <c r="AH75" s="683" t="str">
        <f>IFERROR(ABS(RTD("esrtd",,Options[[#This Row],[Index]] &amp; " " &amp; Options[[#This Row],[Month]] &amp; "P" &amp; $AL75*100 &amp; "-ICE", "OldSetIV"))*100, "")</f>
        <v/>
      </c>
      <c r="AI75" s="683" t="str">
        <f>IFERROR(ABS(RTD("esrtd",,Options[[#This Row],[Index]] &amp; " " &amp; Options[[#This Row],[Month]] &amp; "P" &amp; $AL75*100 &amp; "-ICE", "Delta"))*100, "")</f>
        <v/>
      </c>
      <c r="AJ75" s="683" t="str">
        <f>IFERROR(ABS(RTD("esrtd",,Options[[#This Row],[Index]] &amp; " " &amp; Options[[#This Row],[Month]] &amp; "P" &amp; $AL75*100 &amp; "-ICE", "Market")), "")</f>
        <v/>
      </c>
      <c r="AK75" s="683" t="str">
        <f>IFERROR(ABS(RTD("esrtd",,Options[[#This Row],[Index]] &amp; " " &amp; Options[[#This Row],[Month]] &amp; "P" &amp; $AL75*100 &amp; "-ICE", "ImpVol"))*100, "")</f>
        <v/>
      </c>
      <c r="AL75" s="676">
        <v>82</v>
      </c>
      <c r="AM75" s="684" t="e">
        <f>ABS(_xll.BDP(Options[[#This Row],[C-Ticker]], "OPT_DELTA_YEST"))*100</f>
        <v>#VALUE!</v>
      </c>
      <c r="AN75" s="684" t="str">
        <f>IFERROR(ABS(RTD("esrtd",,Options[[#This Row],[Index]] &amp; " " &amp; Options[[#This Row],[Month]] &amp; "C" &amp; $AL75*100 &amp; "-ICE", "OldSettlement")), "")</f>
        <v/>
      </c>
      <c r="AO75" s="684" t="str">
        <f>IFERROR(ABS(RTD("esrtd",,Options[[#This Row],[Index]] &amp; " " &amp; Options[[#This Row],[Month]] &amp; "C" &amp; $AL75*100 &amp; "-ICE", "OldSetIV"))*100, "")</f>
        <v/>
      </c>
      <c r="AP75" s="684" t="str">
        <f>IFERROR(ABS(RTD("esrtd",,Options[[#This Row],[Index]] &amp; " " &amp; Options[[#This Row],[Month]] &amp; "C" &amp; $AL75*100 &amp; "-ICE", "Delta"))*100, "")</f>
        <v/>
      </c>
      <c r="AQ75" s="684" t="str">
        <f>IFERROR(ABS(RTD("esrtd",,Options[[#This Row],[Index]] &amp; " " &amp; Options[[#This Row],[Month]] &amp; "C" &amp; $AL75*100 &amp; "-ICE", "Market")), "")</f>
        <v/>
      </c>
      <c r="AR75" s="684" t="str">
        <f>IFERROR(ABS(RTD("esrtd",,Options[[#This Row],[Index]] &amp; " " &amp; Options[[#This Row],[Month]] &amp; "C" &amp; $AL75*100 &amp; "-ICE", "ImpVol"))*100, "")</f>
        <v/>
      </c>
    </row>
    <row r="76" spans="1:53" x14ac:dyDescent="0.25">
      <c r="A76" s="605" t="s">
        <v>176</v>
      </c>
      <c r="B76" s="608">
        <f>IF(B$7 = 0, 0, IFERROR(OptVolga(IF(B$5 = "C", 1, 0), B$42, B$6, B$43, 0.04, B$45/100) * B$7, 0) - IFERROR(OptVolga(IF(B$5 = "C", 1, 0), B$17, B$6, B$18, 0.04, B$20/100) * B$7, 0))</f>
        <v>0</v>
      </c>
      <c r="C76" s="608">
        <f ca="1">IF(C$7 = 0, 0, IFERROR(OptVolga(IF(C$5 = "C", 1, 0), C$42, C$6, C$43, 0.04, C$45/100) * C$7, 0) - IFERROR(OptVolga(IF(C$5 = "C", 1, 0), C$17, C$6, C$18, 0.04, C$20/100) * C$7, 0))</f>
        <v>0</v>
      </c>
      <c r="D76" s="608">
        <f ca="1">IF(D$7 = 0, 0, IFERROR(OptVolga(IF(D$5 = "C", 1, 0), D$42, D$6, D$43, 0.04, D$45/100) * D$7, 0) - IFERROR(OptVolga(IF(D$5 = "C", 1, 0), D$17, D$6, D$18, 0.04, D$20/100) * D$7, 0))</f>
        <v>0</v>
      </c>
      <c r="E76" s="608">
        <f>IF(E$7 = 0, 0, IFERROR(OptVolga(IF(E$5 = "C", 1, 0), E$42, E$6, E$43, 0.04, E$45/100) * E$7, 0) - IFERROR(OptVolga(IF(E$5 = "C", 1, 0), E$17, E$6, E$18, 0.04, E$20/100) * E$7, 0))</f>
        <v>0</v>
      </c>
      <c r="F76" s="608">
        <f>IF(F$7 = 0, 0, IFERROR(OptVolga(IF(F$5 = "C", 1, 0), F$42, F$6, F$43, 0.04, F$45/100) * F$7, 0) - IFERROR(OptVolga(IF(F$5 = "C", 1, 0), F$17, F$6, F$18, 0.04, F$20/100) * F$7, 0))</f>
        <v>0</v>
      </c>
      <c r="G76" s="596"/>
      <c r="H76" s="605" t="s">
        <v>176</v>
      </c>
      <c r="I76" s="608">
        <f ca="1">IF(I$7 = 0, 0, IFERROR(OptVolga(IF(I$5 = "C", 1, 0), I$42, I$6, I$43, 0.04, I$45/100) * I$7 / 10, 0) - IFERROR(OptVolga(IF(I$5 = "C", 1, 0), I$17, I$6, I$18, 0.04, I$20/100) * I$7 / 10, 0))</f>
        <v>0</v>
      </c>
      <c r="J76" s="608">
        <f ca="1">IF(J$7 = 0, 0, IFERROR(OptVolga(IF(J$5 = "C", 1, 0), J$42, J$6, J$43, 0.04, J$45/100) * J$7 / 10, 0) - IFERROR(OptVolga(IF(J$5 = "C", 1, 0), J$17, J$6, J$18, 0.04, J$20/100) * J$7 / 10, 0))</f>
        <v>0</v>
      </c>
      <c r="K76" s="608">
        <f>IF(K$7 = 0, 0, IFERROR(OptVolga(IF(K$5 = "C", 1, 0), K$42, K$6, K$43, 0.04, K$45/100) * K$7 / 10, 0) - IFERROR(OptVolga(IF(K$5 = "C", 1, 0), K$17, K$6, K$18, 0.04, K$20/100) * K$7 / 10, 0))</f>
        <v>0</v>
      </c>
      <c r="R76" s="597" t="s">
        <v>73</v>
      </c>
      <c r="S76" s="623" t="e">
        <f ca="1">SUM($I99:$K99)</f>
        <v>#VALUE!</v>
      </c>
      <c r="AB76" s="596" t="s">
        <v>119</v>
      </c>
      <c r="AC76" s="596" t="s">
        <v>1336</v>
      </c>
      <c r="AD76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83.00 Comdty</v>
      </c>
      <c r="AE76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83.00 Comdty</v>
      </c>
      <c r="AF76" s="683" t="e">
        <f>ABS(_xll.BDP(Options[[#This Row],[P-Ticker]], "OPT_DELTA_YEST"))*100</f>
        <v>#VALUE!</v>
      </c>
      <c r="AG76" s="683" t="str">
        <f>IFERROR(ABS(RTD("esrtd",,Options[[#This Row],[Index]] &amp; " " &amp; Options[[#This Row],[Month]] &amp; "P" &amp; $AL76*100 &amp; "-ICE", "OldSettlement")), "")</f>
        <v/>
      </c>
      <c r="AH76" s="683" t="str">
        <f>IFERROR(ABS(RTD("esrtd",,Options[[#This Row],[Index]] &amp; " " &amp; Options[[#This Row],[Month]] &amp; "P" &amp; $AL76*100 &amp; "-ICE", "OldSetIV"))*100, "")</f>
        <v/>
      </c>
      <c r="AI76" s="683" t="str">
        <f>IFERROR(ABS(RTD("esrtd",,Options[[#This Row],[Index]] &amp; " " &amp; Options[[#This Row],[Month]] &amp; "P" &amp; $AL76*100 &amp; "-ICE", "Delta"))*100, "")</f>
        <v/>
      </c>
      <c r="AJ76" s="683" t="str">
        <f>IFERROR(ABS(RTD("esrtd",,Options[[#This Row],[Index]] &amp; " " &amp; Options[[#This Row],[Month]] &amp; "P" &amp; $AL76*100 &amp; "-ICE", "Market")), "")</f>
        <v/>
      </c>
      <c r="AK76" s="683" t="str">
        <f>IFERROR(ABS(RTD("esrtd",,Options[[#This Row],[Index]] &amp; " " &amp; Options[[#This Row],[Month]] &amp; "P" &amp; $AL76*100 &amp; "-ICE", "ImpVol"))*100, "")</f>
        <v/>
      </c>
      <c r="AL76" s="676">
        <v>83</v>
      </c>
      <c r="AM76" s="684" t="e">
        <f>ABS(_xll.BDP(Options[[#This Row],[C-Ticker]], "OPT_DELTA_YEST"))*100</f>
        <v>#VALUE!</v>
      </c>
      <c r="AN76" s="684" t="str">
        <f>IFERROR(ABS(RTD("esrtd",,Options[[#This Row],[Index]] &amp; " " &amp; Options[[#This Row],[Month]] &amp; "C" &amp; $AL76*100 &amp; "-ICE", "OldSettlement")), "")</f>
        <v/>
      </c>
      <c r="AO76" s="684" t="str">
        <f>IFERROR(ABS(RTD("esrtd",,Options[[#This Row],[Index]] &amp; " " &amp; Options[[#This Row],[Month]] &amp; "C" &amp; $AL76*100 &amp; "-ICE", "OldSetIV"))*100, "")</f>
        <v/>
      </c>
      <c r="AP76" s="684" t="str">
        <f>IFERROR(ABS(RTD("esrtd",,Options[[#This Row],[Index]] &amp; " " &amp; Options[[#This Row],[Month]] &amp; "C" &amp; $AL76*100 &amp; "-ICE", "Delta"))*100, "")</f>
        <v/>
      </c>
      <c r="AQ76" s="684" t="str">
        <f>IFERROR(ABS(RTD("esrtd",,Options[[#This Row],[Index]] &amp; " " &amp; Options[[#This Row],[Month]] &amp; "C" &amp; $AL76*100 &amp; "-ICE", "Market")), "")</f>
        <v/>
      </c>
      <c r="AR76" s="684" t="str">
        <f>IFERROR(ABS(RTD("esrtd",,Options[[#This Row],[Index]] &amp; " " &amp; Options[[#This Row],[Month]] &amp; "C" &amp; $AL76*100 &amp; "-ICE", "ImpVol"))*100, "")</f>
        <v/>
      </c>
    </row>
    <row r="77" spans="1:53" x14ac:dyDescent="0.25">
      <c r="A77" s="605" t="s">
        <v>181</v>
      </c>
      <c r="B77" s="608" t="e" cm="1">
        <f t="array" ref="B77">IF(B$7 = 0, 0, B$7 * (_xll.BDP(B$9, "THETA_MID_RT") - _xll.BDP(B$9, "OPT_THETA_YEST")))</f>
        <v>#VALUE!</v>
      </c>
      <c r="C77" s="608" t="e" cm="1">
        <f t="array" ref="C77">IF(C$7 = 0, 0, C$7 * (_xll.BDP(C$9, "THETA_MID_RT") - _xll.BDP(C$9, "OPT_THETA_YEST")))</f>
        <v>#VALUE!</v>
      </c>
      <c r="D77" s="608" t="e" cm="1">
        <f t="array" ref="D77">IF(D$7 = 0, 0, D$7 * (_xll.BDP(D$9, "THETA_MID_RT") - _xll.BDP(D$9, "OPT_THETA_YEST")))</f>
        <v>#VALUE!</v>
      </c>
      <c r="E77" s="608" cm="1">
        <f t="array" ref="E77">IF(E$7 = 0, 0, E$7 * (_xll.BDP(E$9, "THETA_MID_RT") - _xll.BDP(E$9, "OPT_THETA_YEST")))</f>
        <v>0</v>
      </c>
      <c r="F77" s="608" cm="1">
        <f t="array" ref="F77">IF(F$7 = 0, 0, F$7 * (_xll.BDP(F$9, "THETA_MID_RT") - _xll.BDP(F$9, "OPT_THETA_YEST")))</f>
        <v>0</v>
      </c>
      <c r="G77" s="596"/>
      <c r="H77" s="605" t="s">
        <v>181</v>
      </c>
      <c r="I77" s="608" t="e" cm="1">
        <f t="array" ref="I77">IF(I$7 = 0, 0, I$7 * (_xll.BDP(I$9, "THETA_LAST_RT") - _xll.BDP(I$9, "OPT_THETA_YEST"))) / 10</f>
        <v>#VALUE!</v>
      </c>
      <c r="J77" s="608" t="e" cm="1">
        <f t="array" ref="J77">IF(J$7 = 0, 0, J$7 * (_xll.BDP(J$9, "THETA_LAST_RT") - _xll.BDP(J$9, "OPT_THETA_YEST"))) / 10</f>
        <v>#VALUE!</v>
      </c>
      <c r="K77" s="608" cm="1">
        <f t="array" ref="K77">IF(K$7 = 0, 0, K$7 * (_xll.BDP(K$9, "THETA_LAST_RT") - _xll.BDP(K$9, "OPT_THETA_YEST"))) / 10</f>
        <v>0</v>
      </c>
      <c r="R77" s="597" t="s">
        <v>35</v>
      </c>
      <c r="S77" s="749" t="e">
        <f>SUM(I$91:K$91)</f>
        <v>#VALUE!</v>
      </c>
      <c r="AB77" s="596" t="s">
        <v>119</v>
      </c>
      <c r="AC77" s="596" t="s">
        <v>1336</v>
      </c>
      <c r="AD77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84.00 Comdty</v>
      </c>
      <c r="AE77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84.00 Comdty</v>
      </c>
      <c r="AF77" s="683" t="e">
        <f>ABS(_xll.BDP(Options[[#This Row],[P-Ticker]], "OPT_DELTA_YEST"))*100</f>
        <v>#VALUE!</v>
      </c>
      <c r="AG77" s="683" t="str">
        <f>IFERROR(ABS(RTD("esrtd",,Options[[#This Row],[Index]] &amp; " " &amp; Options[[#This Row],[Month]] &amp; "P" &amp; $AL77*100 &amp; "-ICE", "OldSettlement")), "")</f>
        <v/>
      </c>
      <c r="AH77" s="683" t="str">
        <f>IFERROR(ABS(RTD("esrtd",,Options[[#This Row],[Index]] &amp; " " &amp; Options[[#This Row],[Month]] &amp; "P" &amp; $AL77*100 &amp; "-ICE", "OldSetIV"))*100, "")</f>
        <v/>
      </c>
      <c r="AI77" s="683" t="str">
        <f>IFERROR(ABS(RTD("esrtd",,Options[[#This Row],[Index]] &amp; " " &amp; Options[[#This Row],[Month]] &amp; "P" &amp; $AL77*100 &amp; "-ICE", "Delta"))*100, "")</f>
        <v/>
      </c>
      <c r="AJ77" s="683" t="str">
        <f>IFERROR(ABS(RTD("esrtd",,Options[[#This Row],[Index]] &amp; " " &amp; Options[[#This Row],[Month]] &amp; "P" &amp; $AL77*100 &amp; "-ICE", "Market")), "")</f>
        <v/>
      </c>
      <c r="AK77" s="683" t="str">
        <f>IFERROR(ABS(RTD("esrtd",,Options[[#This Row],[Index]] &amp; " " &amp; Options[[#This Row],[Month]] &amp; "P" &amp; $AL77*100 &amp; "-ICE", "ImpVol"))*100, "")</f>
        <v/>
      </c>
      <c r="AL77" s="676">
        <v>84</v>
      </c>
      <c r="AM77" s="684" t="e">
        <f>ABS(_xll.BDP(Options[[#This Row],[C-Ticker]], "OPT_DELTA_YEST"))*100</f>
        <v>#VALUE!</v>
      </c>
      <c r="AN77" s="684" t="str">
        <f>IFERROR(ABS(RTD("esrtd",,Options[[#This Row],[Index]] &amp; " " &amp; Options[[#This Row],[Month]] &amp; "C" &amp; $AL77*100 &amp; "-ICE", "OldSettlement")), "")</f>
        <v/>
      </c>
      <c r="AO77" s="684" t="str">
        <f>IFERROR(ABS(RTD("esrtd",,Options[[#This Row],[Index]] &amp; " " &amp; Options[[#This Row],[Month]] &amp; "C" &amp; $AL77*100 &amp; "-ICE", "OldSetIV"))*100, "")</f>
        <v/>
      </c>
      <c r="AP77" s="684" t="str">
        <f>IFERROR(ABS(RTD("esrtd",,Options[[#This Row],[Index]] &amp; " " &amp; Options[[#This Row],[Month]] &amp; "C" &amp; $AL77*100 &amp; "-ICE", "Delta"))*100, "")</f>
        <v/>
      </c>
      <c r="AQ77" s="684" t="str">
        <f>IFERROR(ABS(RTD("esrtd",,Options[[#This Row],[Index]] &amp; " " &amp; Options[[#This Row],[Month]] &amp; "C" &amp; $AL77*100 &amp; "-ICE", "Market")), "")</f>
        <v/>
      </c>
      <c r="AR77" s="684" t="str">
        <f>IFERROR(ABS(RTD("esrtd",,Options[[#This Row],[Index]] &amp; " " &amp; Options[[#This Row],[Month]] &amp; "C" &amp; $AL77*100 &amp; "-ICE", "ImpVol"))*100, "")</f>
        <v/>
      </c>
    </row>
    <row r="78" spans="1:53" x14ac:dyDescent="0.25">
      <c r="A78" s="605" t="s">
        <v>182</v>
      </c>
      <c r="B78" s="608" t="e" cm="1">
        <f t="array" ref="B78">IF(B$7 = 0, 0, IFERROR(OptSpeed(IF(B$5 = "C", 1, 0), B$42, B$6, B$43, 0.04, B$45/100) * B$7, "") - IFERROR(OptSpeed(IF(B$5 = "C", 1, 0), B$17, B$6, B$18, 0.04, B$20/100) * B$7, ""))</f>
        <v>#VALUE!</v>
      </c>
      <c r="C78" s="608" t="e" cm="1">
        <f t="array" aca="1" ref="C78" ca="1">IF(C$7 = 0, 0, IFERROR(OptSpeed(IF(C$5 = "C", 1, 0), C$42, C$6, C$43, 0.04, C$45/100) * C$7, "") - IFERROR(OptSpeed(IF(C$5 = "C", 1, 0), C$17, C$6, C$18, 0.04, C$20/100) * C$7, ""))</f>
        <v>#VALUE!</v>
      </c>
      <c r="D78" s="608" t="e" cm="1">
        <f t="array" aca="1" ref="D78" ca="1">IF(D$7 = 0, 0, IFERROR(OptSpeed(IF(D$5 = "C", 1, 0), D$42, D$6, D$43, 0.04, D$45/100) * D$7, "") - IFERROR(OptSpeed(IF(D$5 = "C", 1, 0), D$17, D$6, D$18, 0.04, D$20/100) * D$7, ""))</f>
        <v>#VALUE!</v>
      </c>
      <c r="E78" s="608" cm="1">
        <f t="array" ref="E78">IF(E$7 = 0, 0, IFERROR(OptSpeed(IF(E$5 = "C", 1, 0), E$42, E$6, E$43, 0.04, E$45/100) * E$7, "") - IFERROR(OptSpeed(IF(E$5 = "C", 1, 0), E$17, E$6, E$18, 0.04, E$20/100) * E$7, ""))</f>
        <v>0</v>
      </c>
      <c r="F78" s="608" cm="1">
        <f t="array" ref="F78">IF(F$7 = 0, 0, IFERROR(OptSpeed(IF(F$5 = "C", 1, 0), F$42, F$6, F$43, 0.04, F$45/100) * F$7, "") - IFERROR(OptSpeed(IF(F$5 = "C", 1, 0), F$17, F$6, F$18, 0.04, F$20/100) * F$7, ""))</f>
        <v>0</v>
      </c>
      <c r="G78" s="596"/>
      <c r="H78" s="605" t="s">
        <v>182</v>
      </c>
      <c r="I78" s="608" t="e" cm="1">
        <f t="array" aca="1" ref="I78" ca="1">IF(I$7 = 0, 0, IFERROR(OptSpeed(IF(I$5 = "C", 1, 0), I$42, I$6, I$43, 0.04, I$45/100) * I$7, "") - IFERROR(OptSpeed(IF(I$5 = "C", 1, 0), I$17, I$6, I$18, 0.04, I$20/100) * I$7 / 10, ""))</f>
        <v>#VALUE!</v>
      </c>
      <c r="J78" s="608" t="e" cm="1">
        <f t="array" aca="1" ref="J78" ca="1">IF(J$7 = 0, 0, IFERROR(OptSpeed(IF(J$5 = "C", 1, 0), J$42, J$6, J$43, 0.04, J$45/100) * J$7, "") - IFERROR(OptSpeed(IF(J$5 = "C", 1, 0), J$17, J$6, J$18, 0.04, J$20/100) * J$7 / 10, ""))</f>
        <v>#VALUE!</v>
      </c>
      <c r="K78" s="608" cm="1">
        <f t="array" ref="K78">IF(K$7 = 0, 0, IFERROR(OptSpeed(IF(K$5 = "C", 1, 0), K$42, K$6, K$43, 0.04, K$45/100) * K$7, "") - IFERROR(OptSpeed(IF(K$5 = "C", 1, 0), K$17, K$6, K$18, 0.04, K$20/100) * K$7 / 10, ""))</f>
        <v>0</v>
      </c>
      <c r="AB78" s="596" t="s">
        <v>119</v>
      </c>
      <c r="AC78" s="596" t="s">
        <v>1336</v>
      </c>
      <c r="AD78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85.00 Comdty</v>
      </c>
      <c r="AE78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85.00 Comdty</v>
      </c>
      <c r="AF78" s="683" t="e">
        <f>ABS(_xll.BDP(Options[[#This Row],[P-Ticker]], "OPT_DELTA_YEST"))*100</f>
        <v>#VALUE!</v>
      </c>
      <c r="AG78" s="683" t="str">
        <f>IFERROR(ABS(RTD("esrtd",,Options[[#This Row],[Index]] &amp; " " &amp; Options[[#This Row],[Month]] &amp; "P" &amp; $AL78*100 &amp; "-ICE", "OldSettlement")), "")</f>
        <v/>
      </c>
      <c r="AH78" s="683" t="str">
        <f>IFERROR(ABS(RTD("esrtd",,Options[[#This Row],[Index]] &amp; " " &amp; Options[[#This Row],[Month]] &amp; "P" &amp; $AL78*100 &amp; "-ICE", "OldSetIV"))*100, "")</f>
        <v/>
      </c>
      <c r="AI78" s="683" t="str">
        <f>IFERROR(ABS(RTD("esrtd",,Options[[#This Row],[Index]] &amp; " " &amp; Options[[#This Row],[Month]] &amp; "P" &amp; $AL78*100 &amp; "-ICE", "Delta"))*100, "")</f>
        <v/>
      </c>
      <c r="AJ78" s="683" t="str">
        <f>IFERROR(ABS(RTD("esrtd",,Options[[#This Row],[Index]] &amp; " " &amp; Options[[#This Row],[Month]] &amp; "P" &amp; $AL78*100 &amp; "-ICE", "Market")), "")</f>
        <v/>
      </c>
      <c r="AK78" s="683" t="str">
        <f>IFERROR(ABS(RTD("esrtd",,Options[[#This Row],[Index]] &amp; " " &amp; Options[[#This Row],[Month]] &amp; "P" &amp; $AL78*100 &amp; "-ICE", "ImpVol"))*100, "")</f>
        <v/>
      </c>
      <c r="AL78" s="676">
        <v>85</v>
      </c>
      <c r="AM78" s="684" t="e">
        <f>ABS(_xll.BDP(Options[[#This Row],[C-Ticker]], "OPT_DELTA_YEST"))*100</f>
        <v>#VALUE!</v>
      </c>
      <c r="AN78" s="684" t="str">
        <f>IFERROR(ABS(RTD("esrtd",,Options[[#This Row],[Index]] &amp; " " &amp; Options[[#This Row],[Month]] &amp; "C" &amp; $AL78*100 &amp; "-ICE", "OldSettlement")), "")</f>
        <v/>
      </c>
      <c r="AO78" s="684" t="str">
        <f>IFERROR(ABS(RTD("esrtd",,Options[[#This Row],[Index]] &amp; " " &amp; Options[[#This Row],[Month]] &amp; "C" &amp; $AL78*100 &amp; "-ICE", "OldSetIV"))*100, "")</f>
        <v/>
      </c>
      <c r="AP78" s="684" t="str">
        <f>IFERROR(ABS(RTD("esrtd",,Options[[#This Row],[Index]] &amp; " " &amp; Options[[#This Row],[Month]] &amp; "C" &amp; $AL78*100 &amp; "-ICE", "Delta"))*100, "")</f>
        <v/>
      </c>
      <c r="AQ78" s="684" t="str">
        <f>IFERROR(ABS(RTD("esrtd",,Options[[#This Row],[Index]] &amp; " " &amp; Options[[#This Row],[Month]] &amp; "C" &amp; $AL78*100 &amp; "-ICE", "Market")), "")</f>
        <v/>
      </c>
      <c r="AR78" s="684" t="str">
        <f>IFERROR(ABS(RTD("esrtd",,Options[[#This Row],[Index]] &amp; " " &amp; Options[[#This Row],[Month]] &amp; "C" &amp; $AL78*100 &amp; "-ICE", "ImpVol"))*100, "")</f>
        <v/>
      </c>
    </row>
    <row r="79" spans="1:53" x14ac:dyDescent="0.25">
      <c r="G79" s="596"/>
      <c r="AB79" s="596" t="s">
        <v>119</v>
      </c>
      <c r="AC79" s="596" t="s">
        <v>1336</v>
      </c>
      <c r="AD79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85.00 Comdty</v>
      </c>
      <c r="AE79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85.00 Comdty</v>
      </c>
      <c r="AF79" s="683" t="e">
        <f>ABS(_xll.BDP(Options[[#This Row],[P-Ticker]], "OPT_DELTA_YEST"))*100</f>
        <v>#VALUE!</v>
      </c>
      <c r="AG79" s="683" t="str">
        <f>IFERROR(ABS(RTD("esrtd",,Options[[#This Row],[Index]] &amp; " " &amp; Options[[#This Row],[Month]] &amp; "P" &amp; $AL79*100 &amp; "-ICE", "OldSettlement")), "")</f>
        <v/>
      </c>
      <c r="AH79" s="683" t="str">
        <f>IFERROR(ABS(RTD("esrtd",,Options[[#This Row],[Index]] &amp; " " &amp; Options[[#This Row],[Month]] &amp; "P" &amp; $AL79*100 &amp; "-ICE", "OldSetIV"))*100, "")</f>
        <v/>
      </c>
      <c r="AI79" s="683" t="str">
        <f>IFERROR(ABS(RTD("esrtd",,Options[[#This Row],[Index]] &amp; " " &amp; Options[[#This Row],[Month]] &amp; "P" &amp; $AL79*100 &amp; "-ICE", "Delta"))*100, "")</f>
        <v/>
      </c>
      <c r="AJ79" s="683" t="str">
        <f>IFERROR(ABS(RTD("esrtd",,Options[[#This Row],[Index]] &amp; " " &amp; Options[[#This Row],[Month]] &amp; "P" &amp; $AL79*100 &amp; "-ICE", "Market")), "")</f>
        <v/>
      </c>
      <c r="AK79" s="683" t="str">
        <f>IFERROR(ABS(RTD("esrtd",,Options[[#This Row],[Index]] &amp; " " &amp; Options[[#This Row],[Month]] &amp; "P" &amp; $AL79*100 &amp; "-ICE", "ImpVol"))*100, "")</f>
        <v/>
      </c>
      <c r="AL79" s="676">
        <v>85</v>
      </c>
      <c r="AM79" s="684" t="e">
        <f>ABS(_xll.BDP(Options[[#This Row],[C-Ticker]], "OPT_DELTA_YEST"))*100</f>
        <v>#VALUE!</v>
      </c>
      <c r="AN79" s="684" t="str">
        <f>IFERROR(ABS(RTD("esrtd",,Options[[#This Row],[Index]] &amp; " " &amp; Options[[#This Row],[Month]] &amp; "C" &amp; $AL79*100 &amp; "-ICE", "OldSettlement")), "")</f>
        <v/>
      </c>
      <c r="AO79" s="684" t="str">
        <f>IFERROR(ABS(RTD("esrtd",,Options[[#This Row],[Index]] &amp; " " &amp; Options[[#This Row],[Month]] &amp; "C" &amp; $AL79*100 &amp; "-ICE", "OldSetIV"))*100, "")</f>
        <v/>
      </c>
      <c r="AP79" s="684" t="str">
        <f>IFERROR(ABS(RTD("esrtd",,Options[[#This Row],[Index]] &amp; " " &amp; Options[[#This Row],[Month]] &amp; "C" &amp; $AL79*100 &amp; "-ICE", "Delta"))*100, "")</f>
        <v/>
      </c>
      <c r="AQ79" s="684" t="str">
        <f>IFERROR(ABS(RTD("esrtd",,Options[[#This Row],[Index]] &amp; " " &amp; Options[[#This Row],[Month]] &amp; "C" &amp; $AL79*100 &amp; "-ICE", "Market")), "")</f>
        <v/>
      </c>
      <c r="AR79" s="684" t="str">
        <f>IFERROR(ABS(RTD("esrtd",,Options[[#This Row],[Index]] &amp; " " &amp; Options[[#This Row],[Month]] &amp; "C" &amp; $AL79*100 &amp; "-ICE", "ImpVol"))*100, "")</f>
        <v/>
      </c>
    </row>
    <row r="80" spans="1:53" x14ac:dyDescent="0.25">
      <c r="A80" s="620" t="s">
        <v>184</v>
      </c>
      <c r="B80" s="621"/>
      <c r="C80" s="621"/>
      <c r="D80" s="621"/>
      <c r="E80" s="621"/>
      <c r="F80" s="622"/>
      <c r="G80" s="596"/>
      <c r="H80" s="620" t="s">
        <v>184</v>
      </c>
      <c r="I80" s="620" t="s">
        <v>184</v>
      </c>
      <c r="J80" s="620" t="s">
        <v>184</v>
      </c>
      <c r="K80" s="620" t="s">
        <v>184</v>
      </c>
      <c r="AB80" s="596" t="s">
        <v>119</v>
      </c>
      <c r="AC80" s="596" t="s">
        <v>1336</v>
      </c>
      <c r="AD8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0" s="683" t="e">
        <f>ABS(_xll.BDP(Options[[#This Row],[P-Ticker]], "OPT_DELTA_YEST"))*100</f>
        <v>#VALUE!</v>
      </c>
      <c r="AG80" s="683" t="str">
        <f>IFERROR(ABS(RTD("esrtd",,Options[[#This Row],[Index]] &amp; " " &amp; Options[[#This Row],[Month]] &amp; "P" &amp; $AL80*100 &amp; "-ICE", "OldSettlement")), "")</f>
        <v/>
      </c>
      <c r="AH80" s="683" t="str">
        <f>IFERROR(ABS(RTD("esrtd",,Options[[#This Row],[Index]] &amp; " " &amp; Options[[#This Row],[Month]] &amp; "P" &amp; $AL80*100 &amp; "-ICE", "OldSetIV"))*100, "")</f>
        <v/>
      </c>
      <c r="AI80" s="683" t="str">
        <f>IFERROR(ABS(RTD("esrtd",,Options[[#This Row],[Index]] &amp; " " &amp; Options[[#This Row],[Month]] &amp; "P" &amp; $AL80*100 &amp; "-ICE", "Delta"))*100, "")</f>
        <v/>
      </c>
      <c r="AJ80" s="683" t="str">
        <f>IFERROR(ABS(RTD("esrtd",,Options[[#This Row],[Index]] &amp; " " &amp; Options[[#This Row],[Month]] &amp; "P" &amp; $AL80*100 &amp; "-ICE", "Market")), "")</f>
        <v/>
      </c>
      <c r="AK80" s="683" t="str">
        <f>IFERROR(ABS(RTD("esrtd",,Options[[#This Row],[Index]] &amp; " " &amp; Options[[#This Row],[Month]] &amp; "P" &amp; $AL80*100 &amp; "-ICE", "ImpVol"))*100, "")</f>
        <v/>
      </c>
      <c r="AL80" s="676" t="e">
        <f t="shared" ref="AL80:AL92" si="27">AL81-1</f>
        <v>#VALUE!</v>
      </c>
      <c r="AM80" s="684" t="e">
        <f>ABS(_xll.BDP(Options[[#This Row],[C-Ticker]], "OPT_DELTA_YEST"))*100</f>
        <v>#VALUE!</v>
      </c>
      <c r="AN80" s="684" t="str">
        <f>IFERROR(ABS(RTD("esrtd",,Options[[#This Row],[Index]] &amp; " " &amp; Options[[#This Row],[Month]] &amp; "C" &amp; $AL80*100 &amp; "-ICE", "OldSettlement")), "")</f>
        <v/>
      </c>
      <c r="AO80" s="684" t="str">
        <f>IFERROR(ABS(RTD("esrtd",,Options[[#This Row],[Index]] &amp; " " &amp; Options[[#This Row],[Month]] &amp; "C" &amp; $AL80*100 &amp; "-ICE", "OldSetIV"))*100, "")</f>
        <v/>
      </c>
      <c r="AP80" s="684" t="str">
        <f>IFERROR(ABS(RTD("esrtd",,Options[[#This Row],[Index]] &amp; " " &amp; Options[[#This Row],[Month]] &amp; "C" &amp; $AL80*100 &amp; "-ICE", "Delta"))*100, "")</f>
        <v/>
      </c>
      <c r="AQ80" s="684" t="str">
        <f>IFERROR(ABS(RTD("esrtd",,Options[[#This Row],[Index]] &amp; " " &amp; Options[[#This Row],[Month]] &amp; "C" &amp; $AL80*100 &amp; "-ICE", "Market")), "")</f>
        <v/>
      </c>
      <c r="AR80" s="684" t="str">
        <f>IFERROR(ABS(RTD("esrtd",,Options[[#This Row],[Index]] &amp; " " &amp; Options[[#This Row],[Month]] &amp; "C" &amp; $AL80*100 &amp; "-ICE", "ImpVol"))*100, "")</f>
        <v/>
      </c>
      <c r="AW80" s="677"/>
      <c r="AX80" s="677"/>
    </row>
    <row r="81" spans="1:53" x14ac:dyDescent="0.25">
      <c r="A81" s="605" t="s">
        <v>168</v>
      </c>
      <c r="B81" s="603" t="e" cm="1">
        <f t="array" ref="B81">B$63 * _xll.BDP(B$9, "DELTA_MID_RT")</f>
        <v>#VALUE!</v>
      </c>
      <c r="C81" s="603" t="e" cm="1">
        <f t="array" ref="C81">C$63 * _xll.BDP(C$9, "DELTA_MID_RT")</f>
        <v>#VALUE!</v>
      </c>
      <c r="D81" s="603" t="e" cm="1">
        <f t="array" ref="D81">D$63 * _xll.BDP(D$9, "DELTA_MID_RT")</f>
        <v>#VALUE!</v>
      </c>
      <c r="E81" s="603" t="e" cm="1">
        <f t="array" ref="E81">E$63 * _xll.BDP(E$9, "DELTA_MID_RT")</f>
        <v>#VALUE!</v>
      </c>
      <c r="F81" s="603" t="e" cm="1">
        <f t="array" ref="F81">F$63 * _xll.BDP(F$9, "DELTA_MID_RT")</f>
        <v>#VALUE!</v>
      </c>
      <c r="G81" s="596"/>
      <c r="H81" s="605" t="s">
        <v>168</v>
      </c>
      <c r="I81" s="603" t="e" cm="1">
        <f t="array" ref="I81">I$63 * _xll.BDP(I$9, "DELTA_LAST_RT")</f>
        <v>#VALUE!</v>
      </c>
      <c r="J81" s="603" t="e" cm="1">
        <f t="array" ref="J81">J$63 * _xll.BDP(J$9, "DELTA_LAST_RT")</f>
        <v>#VALUE!</v>
      </c>
      <c r="K81" s="603" t="e" cm="1">
        <f t="array" ref="K81">K$63 * _xll.BDP(K$9, "DELTA_LAST_RT")</f>
        <v>#VALUE!</v>
      </c>
      <c r="AB81" s="596" t="s">
        <v>119</v>
      </c>
      <c r="AC81" s="596" t="s">
        <v>1336</v>
      </c>
      <c r="AD8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1" s="683" t="e">
        <f>ABS(_xll.BDP(Options[[#This Row],[P-Ticker]], "OPT_DELTA_YEST"))*100</f>
        <v>#VALUE!</v>
      </c>
      <c r="AG81" s="683" t="str">
        <f>IFERROR(ABS(RTD("esrtd",,Options[[#This Row],[Index]] &amp; " " &amp; Options[[#This Row],[Month]] &amp; "P" &amp; $AL81*100 &amp; "-ICE", "OldSettlement")), "")</f>
        <v/>
      </c>
      <c r="AH81" s="683" t="str">
        <f>IFERROR(ABS(RTD("esrtd",,Options[[#This Row],[Index]] &amp; " " &amp; Options[[#This Row],[Month]] &amp; "P" &amp; $AL81*100 &amp; "-ICE", "OldSetIV"))*100, "")</f>
        <v/>
      </c>
      <c r="AI81" s="683" t="str">
        <f>IFERROR(ABS(RTD("esrtd",,Options[[#This Row],[Index]] &amp; " " &amp; Options[[#This Row],[Month]] &amp; "P" &amp; $AL81*100 &amp; "-ICE", "Delta"))*100, "")</f>
        <v/>
      </c>
      <c r="AJ81" s="683" t="str">
        <f>IFERROR(ABS(RTD("esrtd",,Options[[#This Row],[Index]] &amp; " " &amp; Options[[#This Row],[Month]] &amp; "P" &amp; $AL81*100 &amp; "-ICE", "Market")), "")</f>
        <v/>
      </c>
      <c r="AK81" s="683" t="str">
        <f>IFERROR(ABS(RTD("esrtd",,Options[[#This Row],[Index]] &amp; " " &amp; Options[[#This Row],[Month]] &amp; "P" &amp; $AL81*100 &amp; "-ICE", "ImpVol"))*100, "")</f>
        <v/>
      </c>
      <c r="AL81" s="676" t="e">
        <f t="shared" si="27"/>
        <v>#VALUE!</v>
      </c>
      <c r="AM81" s="684" t="e">
        <f>ABS(_xll.BDP(Options[[#This Row],[C-Ticker]], "OPT_DELTA_YEST"))*100</f>
        <v>#VALUE!</v>
      </c>
      <c r="AN81" s="684" t="str">
        <f>IFERROR(ABS(RTD("esrtd",,Options[[#This Row],[Index]] &amp; " " &amp; Options[[#This Row],[Month]] &amp; "C" &amp; $AL81*100 &amp; "-ICE", "OldSettlement")), "")</f>
        <v/>
      </c>
      <c r="AO81" s="684" t="str">
        <f>IFERROR(ABS(RTD("esrtd",,Options[[#This Row],[Index]] &amp; " " &amp; Options[[#This Row],[Month]] &amp; "C" &amp; $AL81*100 &amp; "-ICE", "OldSetIV"))*100, "")</f>
        <v/>
      </c>
      <c r="AP81" s="684" t="str">
        <f>IFERROR(ABS(RTD("esrtd",,Options[[#This Row],[Index]] &amp; " " &amp; Options[[#This Row],[Month]] &amp; "C" &amp; $AL81*100 &amp; "-ICE", "Delta"))*100, "")</f>
        <v/>
      </c>
      <c r="AQ81" s="684" t="str">
        <f>IFERROR(ABS(RTD("esrtd",,Options[[#This Row],[Index]] &amp; " " &amp; Options[[#This Row],[Month]] &amp; "C" &amp; $AL81*100 &amp; "-ICE", "Market")), "")</f>
        <v/>
      </c>
      <c r="AR81" s="684" t="str">
        <f>IFERROR(ABS(RTD("esrtd",,Options[[#This Row],[Index]] &amp; " " &amp; Options[[#This Row],[Month]] &amp; "C" &amp; $AL81*100 &amp; "-ICE", "ImpVol"))*100, "")</f>
        <v/>
      </c>
      <c r="AX81" s="677"/>
    </row>
    <row r="82" spans="1:53" x14ac:dyDescent="0.25">
      <c r="A82" s="605" t="s">
        <v>169</v>
      </c>
      <c r="B82" s="608" t="e" cm="1">
        <f t="array" ref="B82">B$63 * _xll.BDP(B$9, "GAMMA_MID_RT")</f>
        <v>#VALUE!</v>
      </c>
      <c r="C82" s="608" t="e" cm="1">
        <f t="array" ref="C82">C$63 * _xll.BDP(C$9, "GAMMA_MID_RT")</f>
        <v>#VALUE!</v>
      </c>
      <c r="D82" s="608" t="e" cm="1">
        <f t="array" ref="D82">D$63 * _xll.BDP(D$9, "GAMMA_MID_RT")</f>
        <v>#VALUE!</v>
      </c>
      <c r="E82" s="608" t="e" cm="1">
        <f t="array" ref="E82">E$63 * _xll.BDP(E$9, "GAMMA_MID_RT")</f>
        <v>#VALUE!</v>
      </c>
      <c r="F82" s="608" t="e" cm="1">
        <f t="array" ref="F82">F$63 * _xll.BDP(F$9, "GAMMA_MID_RT")</f>
        <v>#VALUE!</v>
      </c>
      <c r="G82" s="596"/>
      <c r="H82" s="605" t="s">
        <v>169</v>
      </c>
      <c r="I82" s="608" t="e" cm="1">
        <f t="array" ref="I82">I$63 * _xll.BDP(I$9, "GAMMA_LAST_RT")</f>
        <v>#VALUE!</v>
      </c>
      <c r="J82" s="608" t="e" cm="1">
        <f t="array" ref="J82">J$63 * _xll.BDP(J$9, "GAMMA_LAST_RT")</f>
        <v>#VALUE!</v>
      </c>
      <c r="K82" s="608" t="e" cm="1">
        <f t="array" ref="K82">K$63 * _xll.BDP(K$9, "GAMMA_LAST_RT")</f>
        <v>#VALUE!</v>
      </c>
      <c r="AB82" s="596" t="s">
        <v>119</v>
      </c>
      <c r="AC82" s="596" t="s">
        <v>1336</v>
      </c>
      <c r="AD8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2" s="683" t="e">
        <f>ABS(_xll.BDP(Options[[#This Row],[P-Ticker]], "OPT_DELTA_YEST"))*100</f>
        <v>#VALUE!</v>
      </c>
      <c r="AG82" s="683" t="str">
        <f>IFERROR(ABS(RTD("esrtd",,Options[[#This Row],[Index]] &amp; " " &amp; Options[[#This Row],[Month]] &amp; "P" &amp; $AL82*100 &amp; "-ICE", "OldSettlement")), "")</f>
        <v/>
      </c>
      <c r="AH82" s="683" t="str">
        <f>IFERROR(ABS(RTD("esrtd",,Options[[#This Row],[Index]] &amp; " " &amp; Options[[#This Row],[Month]] &amp; "P" &amp; $AL82*100 &amp; "-ICE", "OldSetIV"))*100, "")</f>
        <v/>
      </c>
      <c r="AI82" s="683" t="str">
        <f>IFERROR(ABS(RTD("esrtd",,Options[[#This Row],[Index]] &amp; " " &amp; Options[[#This Row],[Month]] &amp; "P" &amp; $AL82*100 &amp; "-ICE", "Delta"))*100, "")</f>
        <v/>
      </c>
      <c r="AJ82" s="683" t="str">
        <f>IFERROR(ABS(RTD("esrtd",,Options[[#This Row],[Index]] &amp; " " &amp; Options[[#This Row],[Month]] &amp; "P" &amp; $AL82*100 &amp; "-ICE", "Market")), "")</f>
        <v/>
      </c>
      <c r="AK82" s="683" t="str">
        <f>IFERROR(ABS(RTD("esrtd",,Options[[#This Row],[Index]] &amp; " " &amp; Options[[#This Row],[Month]] &amp; "P" &amp; $AL82*100 &amp; "-ICE", "ImpVol"))*100, "")</f>
        <v/>
      </c>
      <c r="AL82" s="676" t="e">
        <f t="shared" si="27"/>
        <v>#VALUE!</v>
      </c>
      <c r="AM82" s="684" t="e">
        <f>ABS(_xll.BDP(Options[[#This Row],[C-Ticker]], "OPT_DELTA_YEST"))*100</f>
        <v>#VALUE!</v>
      </c>
      <c r="AN82" s="684" t="str">
        <f>IFERROR(ABS(RTD("esrtd",,Options[[#This Row],[Index]] &amp; " " &amp; Options[[#This Row],[Month]] &amp; "C" &amp; $AL82*100 &amp; "-ICE", "OldSettlement")), "")</f>
        <v/>
      </c>
      <c r="AO82" s="684" t="str">
        <f>IFERROR(ABS(RTD("esrtd",,Options[[#This Row],[Index]] &amp; " " &amp; Options[[#This Row],[Month]] &amp; "C" &amp; $AL82*100 &amp; "-ICE", "OldSetIV"))*100, "")</f>
        <v/>
      </c>
      <c r="AP82" s="684" t="str">
        <f>IFERROR(ABS(RTD("esrtd",,Options[[#This Row],[Index]] &amp; " " &amp; Options[[#This Row],[Month]] &amp; "C" &amp; $AL82*100 &amp; "-ICE", "Delta"))*100, "")</f>
        <v/>
      </c>
      <c r="AQ82" s="684" t="str">
        <f>IFERROR(ABS(RTD("esrtd",,Options[[#This Row],[Index]] &amp; " " &amp; Options[[#This Row],[Month]] &amp; "C" &amp; $AL82*100 &amp; "-ICE", "Market")), "")</f>
        <v/>
      </c>
      <c r="AR82" s="684" t="str">
        <f>IFERROR(ABS(RTD("esrtd",,Options[[#This Row],[Index]] &amp; " " &amp; Options[[#This Row],[Month]] &amp; "C" &amp; $AL82*100 &amp; "-ICE", "ImpVol"))*100, "")</f>
        <v/>
      </c>
    </row>
    <row r="83" spans="1:53" x14ac:dyDescent="0.25">
      <c r="A83" s="605" t="s">
        <v>170</v>
      </c>
      <c r="B83" s="608" t="e" cm="1">
        <f t="array" ref="B83">B$63 * _xll.BDP(B$9, "VEGA_MID_RT")</f>
        <v>#VALUE!</v>
      </c>
      <c r="C83" s="608" t="e" cm="1">
        <f t="array" ref="C83">C$63 * _xll.BDP(C$9, "VEGA_MID_RT")</f>
        <v>#VALUE!</v>
      </c>
      <c r="D83" s="608" t="e" cm="1">
        <f t="array" ref="D83">D$63 * _xll.BDP(D$9, "VEGA_MID_RT")</f>
        <v>#VALUE!</v>
      </c>
      <c r="E83" s="608" t="e" cm="1">
        <f t="array" ref="E83">E$63 * _xll.BDP(E$9, "VEGA_MID_RT")</f>
        <v>#VALUE!</v>
      </c>
      <c r="F83" s="608" t="e" cm="1">
        <f t="array" ref="F83">F$63 * _xll.BDP(F$9, "VEGA_MID_RT")</f>
        <v>#VALUE!</v>
      </c>
      <c r="G83" s="596"/>
      <c r="H83" s="605" t="s">
        <v>170</v>
      </c>
      <c r="I83" s="608" t="e" cm="1">
        <f t="array" ref="I83">I$63 * _xll.BDP(I$9, "VEGA_LAST_RT")/10</f>
        <v>#VALUE!</v>
      </c>
      <c r="J83" s="608" t="e" cm="1">
        <f t="array" ref="J83">J$63 * _xll.BDP(J$9, "VEGA_LAST_RT")/10</f>
        <v>#VALUE!</v>
      </c>
      <c r="K83" s="608" t="e" cm="1">
        <f t="array" ref="K83">K$63 * _xll.BDP(K$9, "VEGA_LAST_RT")/10</f>
        <v>#VALUE!</v>
      </c>
      <c r="AB83" s="596" t="s">
        <v>119</v>
      </c>
      <c r="AC83" s="596" t="s">
        <v>1336</v>
      </c>
      <c r="AD8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3" s="683" t="e">
        <f>ABS(_xll.BDP(Options[[#This Row],[P-Ticker]], "OPT_DELTA_YEST"))*100</f>
        <v>#VALUE!</v>
      </c>
      <c r="AG83" s="683" t="str">
        <f>IFERROR(ABS(RTD("esrtd",,Options[[#This Row],[Index]] &amp; " " &amp; Options[[#This Row],[Month]] &amp; "P" &amp; $AL83*100 &amp; "-ICE", "OldSettlement")), "")</f>
        <v/>
      </c>
      <c r="AH83" s="683" t="str">
        <f>IFERROR(ABS(RTD("esrtd",,Options[[#This Row],[Index]] &amp; " " &amp; Options[[#This Row],[Month]] &amp; "P" &amp; $AL83*100 &amp; "-ICE", "OldSetIV"))*100, "")</f>
        <v/>
      </c>
      <c r="AI83" s="683" t="str">
        <f>IFERROR(ABS(RTD("esrtd",,Options[[#This Row],[Index]] &amp; " " &amp; Options[[#This Row],[Month]] &amp; "P" &amp; $AL83*100 &amp; "-ICE", "Delta"))*100, "")</f>
        <v/>
      </c>
      <c r="AJ83" s="683" t="str">
        <f>IFERROR(ABS(RTD("esrtd",,Options[[#This Row],[Index]] &amp; " " &amp; Options[[#This Row],[Month]] &amp; "P" &amp; $AL83*100 &amp; "-ICE", "Market")), "")</f>
        <v/>
      </c>
      <c r="AK83" s="683" t="str">
        <f>IFERROR(ABS(RTD("esrtd",,Options[[#This Row],[Index]] &amp; " " &amp; Options[[#This Row],[Month]] &amp; "P" &amp; $AL83*100 &amp; "-ICE", "ImpVol"))*100, "")</f>
        <v/>
      </c>
      <c r="AL83" s="676" t="e">
        <f t="shared" si="27"/>
        <v>#VALUE!</v>
      </c>
      <c r="AM83" s="684" t="e">
        <f>ABS(_xll.BDP(Options[[#This Row],[C-Ticker]], "OPT_DELTA_YEST"))*100</f>
        <v>#VALUE!</v>
      </c>
      <c r="AN83" s="684" t="str">
        <f>IFERROR(ABS(RTD("esrtd",,Options[[#This Row],[Index]] &amp; " " &amp; Options[[#This Row],[Month]] &amp; "C" &amp; $AL83*100 &amp; "-ICE", "OldSettlement")), "")</f>
        <v/>
      </c>
      <c r="AO83" s="684" t="str">
        <f>IFERROR(ABS(RTD("esrtd",,Options[[#This Row],[Index]] &amp; " " &amp; Options[[#This Row],[Month]] &amp; "C" &amp; $AL83*100 &amp; "-ICE", "OldSetIV"))*100, "")</f>
        <v/>
      </c>
      <c r="AP83" s="684" t="str">
        <f>IFERROR(ABS(RTD("esrtd",,Options[[#This Row],[Index]] &amp; " " &amp; Options[[#This Row],[Month]] &amp; "C" &amp; $AL83*100 &amp; "-ICE", "Delta"))*100, "")</f>
        <v/>
      </c>
      <c r="AQ83" s="684" t="str">
        <f>IFERROR(ABS(RTD("esrtd",,Options[[#This Row],[Index]] &amp; " " &amp; Options[[#This Row],[Month]] &amp; "C" &amp; $AL83*100 &amp; "-ICE", "Market")), "")</f>
        <v/>
      </c>
      <c r="AR83" s="684" t="str">
        <f>IFERROR(ABS(RTD("esrtd",,Options[[#This Row],[Index]] &amp; " " &amp; Options[[#This Row],[Month]] &amp; "C" &amp; $AL83*100 &amp; "-ICE", "ImpVol"))*100, "")</f>
        <v/>
      </c>
    </row>
    <row r="84" spans="1:53" x14ac:dyDescent="0.25">
      <c r="A84" s="605" t="s">
        <v>174</v>
      </c>
      <c r="B84" s="608" t="str">
        <f>IFERROR(OptVanna(IF(B$5 = "C", 1, 0), B$42, B$6, B$43, 0.04, B$45/100) * B$63, "")</f>
        <v/>
      </c>
      <c r="C84" s="608" t="str">
        <f>IFERROR(OptVanna(IF(C$5 = "C", 1, 0), C$42, C$6, C$43, 0.04, C$45/100) * C$63, "")</f>
        <v/>
      </c>
      <c r="D84" s="608" t="str">
        <f>IFERROR(OptVanna(IF(D$5 = "C", 1, 0), D$42, D$6, D$43, 0.04, D$45/100) * D$63, "")</f>
        <v/>
      </c>
      <c r="E84" s="608" t="str">
        <f>IFERROR(OptVanna(IF(E$5 = "C", 1, 0), E$42, E$6, E$43, 0.04, E$45/100) * E$63, "")</f>
        <v/>
      </c>
      <c r="F84" s="608" t="str">
        <f>IFERROR(OptVanna(IF(F$5 = "C", 1, 0), F$42, F$6, F$43, 0.04, F$45/100) * F$63, "")</f>
        <v/>
      </c>
      <c r="G84" s="596"/>
      <c r="H84" s="605" t="s">
        <v>174</v>
      </c>
      <c r="I84" s="608" t="str">
        <f>IFERROR(OptVanna(IF(I$5 = "C", 1, 0), I$42, I$6, I$43, 0.04, I$45/100) * I$63, "")</f>
        <v/>
      </c>
      <c r="J84" s="608" t="str">
        <f>IFERROR(OptVanna(IF(J$5 = "C", 1, 0), J$42, J$6, J$43, 0.04, J$45/100) * J$63, "")</f>
        <v/>
      </c>
      <c r="K84" s="608" t="str">
        <f>IFERROR(OptVanna(IF(K$5 = "C", 1, 0), K$42, K$6, K$43, 0.04, K$45/100) * K$63, "")</f>
        <v/>
      </c>
      <c r="AB84" s="596" t="s">
        <v>119</v>
      </c>
      <c r="AC84" s="596" t="s">
        <v>1336</v>
      </c>
      <c r="AD8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4" s="683" t="e">
        <f>ABS(_xll.BDP(Options[[#This Row],[P-Ticker]], "OPT_DELTA_YEST"))*100</f>
        <v>#VALUE!</v>
      </c>
      <c r="AG84" s="683" t="str">
        <f>IFERROR(ABS(RTD("esrtd",,Options[[#This Row],[Index]] &amp; " " &amp; Options[[#This Row],[Month]] &amp; "P" &amp; $AL84*100 &amp; "-ICE", "OldSettlement")), "")</f>
        <v/>
      </c>
      <c r="AH84" s="683" t="str">
        <f>IFERROR(ABS(RTD("esrtd",,Options[[#This Row],[Index]] &amp; " " &amp; Options[[#This Row],[Month]] &amp; "P" &amp; $AL84*100 &amp; "-ICE", "OldSetIV"))*100, "")</f>
        <v/>
      </c>
      <c r="AI84" s="683" t="str">
        <f>IFERROR(ABS(RTD("esrtd",,Options[[#This Row],[Index]] &amp; " " &amp; Options[[#This Row],[Month]] &amp; "P" &amp; $AL84*100 &amp; "-ICE", "Delta"))*100, "")</f>
        <v/>
      </c>
      <c r="AJ84" s="683" t="str">
        <f>IFERROR(ABS(RTD("esrtd",,Options[[#This Row],[Index]] &amp; " " &amp; Options[[#This Row],[Month]] &amp; "P" &amp; $AL84*100 &amp; "-ICE", "Market")), "")</f>
        <v/>
      </c>
      <c r="AK84" s="683" t="str">
        <f>IFERROR(ABS(RTD("esrtd",,Options[[#This Row],[Index]] &amp; " " &amp; Options[[#This Row],[Month]] &amp; "P" &amp; $AL84*100 &amp; "-ICE", "ImpVol"))*100, "")</f>
        <v/>
      </c>
      <c r="AL84" s="676" t="e">
        <f t="shared" si="27"/>
        <v>#VALUE!</v>
      </c>
      <c r="AM84" s="684" t="e">
        <f>ABS(_xll.BDP(Options[[#This Row],[C-Ticker]], "OPT_DELTA_YEST"))*100</f>
        <v>#VALUE!</v>
      </c>
      <c r="AN84" s="684" t="str">
        <f>IFERROR(ABS(RTD("esrtd",,Options[[#This Row],[Index]] &amp; " " &amp; Options[[#This Row],[Month]] &amp; "C" &amp; $AL84*100 &amp; "-ICE", "OldSettlement")), "")</f>
        <v/>
      </c>
      <c r="AO84" s="684" t="str">
        <f>IFERROR(ABS(RTD("esrtd",,Options[[#This Row],[Index]] &amp; " " &amp; Options[[#This Row],[Month]] &amp; "C" &amp; $AL84*100 &amp; "-ICE", "OldSetIV"))*100, "")</f>
        <v/>
      </c>
      <c r="AP84" s="684" t="str">
        <f>IFERROR(ABS(RTD("esrtd",,Options[[#This Row],[Index]] &amp; " " &amp; Options[[#This Row],[Month]] &amp; "C" &amp; $AL84*100 &amp; "-ICE", "Delta"))*100, "")</f>
        <v/>
      </c>
      <c r="AQ84" s="684" t="str">
        <f>IFERROR(ABS(RTD("esrtd",,Options[[#This Row],[Index]] &amp; " " &amp; Options[[#This Row],[Month]] &amp; "C" &amp; $AL84*100 &amp; "-ICE", "Market")), "")</f>
        <v/>
      </c>
      <c r="AR84" s="684" t="str">
        <f>IFERROR(ABS(RTD("esrtd",,Options[[#This Row],[Index]] &amp; " " &amp; Options[[#This Row],[Month]] &amp; "C" &amp; $AL84*100 &amp; "-ICE", "ImpVol"))*100, "")</f>
        <v/>
      </c>
      <c r="AV84" s="678"/>
      <c r="AW84" s="677"/>
      <c r="AX84" s="677"/>
    </row>
    <row r="85" spans="1:53" x14ac:dyDescent="0.25">
      <c r="A85" s="605" t="s">
        <v>176</v>
      </c>
      <c r="B85" s="608" t="str">
        <f>IFERROR(OptVolga(IF(B$5 = "C", 1, 0), B$42, B$6, B$43, 0.04, B$45/100) * B$63, "")</f>
        <v/>
      </c>
      <c r="C85" s="608" t="str">
        <f>IFERROR(OptVolga(IF(C$5 = "C", 1, 0), C$42, C$6, C$43, 0.04, C$45/100) * C$63, "")</f>
        <v/>
      </c>
      <c r="D85" s="608" t="str">
        <f>IFERROR(OptVolga(IF(D$5 = "C", 1, 0), D$42, D$6, D$43, 0.04, D$45/100) * D$63, "")</f>
        <v/>
      </c>
      <c r="E85" s="608" t="str">
        <f>IFERROR(OptVolga(IF(E$5 = "C", 1, 0), E$42, E$6, E$43, 0.04, E$45/100) * E$63, "")</f>
        <v/>
      </c>
      <c r="F85" s="608" t="str">
        <f>IFERROR(OptVolga(IF(F$5 = "C", 1, 0), F$42, F$6, F$43, 0.04, F$45/100) * F$63, "")</f>
        <v/>
      </c>
      <c r="G85" s="596"/>
      <c r="H85" s="605" t="s">
        <v>176</v>
      </c>
      <c r="I85" s="608" t="str">
        <f>IFERROR(OptVolga(IF(I$5 = "C", 1, 0), I$42, I$6, I$43, 0.04, I$45/100) * I$63, "")</f>
        <v/>
      </c>
      <c r="J85" s="608" t="str">
        <f>IFERROR(OptVolga(IF(J$5 = "C", 1, 0), J$42, J$6, J$43, 0.04, J$45/100) * J$63, "")</f>
        <v/>
      </c>
      <c r="K85" s="608" t="str">
        <f>IFERROR(OptVolga(IF(K$5 = "C", 1, 0), K$42, K$6, K$43, 0.04, K$45/100) * K$63, "")</f>
        <v/>
      </c>
      <c r="AB85" s="596" t="s">
        <v>119</v>
      </c>
      <c r="AC85" s="596" t="s">
        <v>1336</v>
      </c>
      <c r="AD8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5" s="683" t="e">
        <f>ABS(_xll.BDP(Options[[#This Row],[P-Ticker]], "OPT_DELTA_YEST"))*100</f>
        <v>#VALUE!</v>
      </c>
      <c r="AG85" s="683" t="str">
        <f>IFERROR(ABS(RTD("esrtd",,Options[[#This Row],[Index]] &amp; " " &amp; Options[[#This Row],[Month]] &amp; "P" &amp; $AL85*100 &amp; "-ICE", "OldSettlement")), "")</f>
        <v/>
      </c>
      <c r="AH85" s="683" t="str">
        <f>IFERROR(ABS(RTD("esrtd",,Options[[#This Row],[Index]] &amp; " " &amp; Options[[#This Row],[Month]] &amp; "P" &amp; $AL85*100 &amp; "-ICE", "OldSetIV"))*100, "")</f>
        <v/>
      </c>
      <c r="AI85" s="683" t="str">
        <f>IFERROR(ABS(RTD("esrtd",,Options[[#This Row],[Index]] &amp; " " &amp; Options[[#This Row],[Month]] &amp; "P" &amp; $AL85*100 &amp; "-ICE", "Delta"))*100, "")</f>
        <v/>
      </c>
      <c r="AJ85" s="683" t="str">
        <f>IFERROR(ABS(RTD("esrtd",,Options[[#This Row],[Index]] &amp; " " &amp; Options[[#This Row],[Month]] &amp; "P" &amp; $AL85*100 &amp; "-ICE", "Market")), "")</f>
        <v/>
      </c>
      <c r="AK85" s="683" t="str">
        <f>IFERROR(ABS(RTD("esrtd",,Options[[#This Row],[Index]] &amp; " " &amp; Options[[#This Row],[Month]] &amp; "P" &amp; $AL85*100 &amp; "-ICE", "ImpVol"))*100, "")</f>
        <v/>
      </c>
      <c r="AL85" s="676" t="e">
        <f t="shared" si="27"/>
        <v>#VALUE!</v>
      </c>
      <c r="AM85" s="684" t="e">
        <f>ABS(_xll.BDP(Options[[#This Row],[C-Ticker]], "OPT_DELTA_YEST"))*100</f>
        <v>#VALUE!</v>
      </c>
      <c r="AN85" s="684" t="str">
        <f>IFERROR(ABS(RTD("esrtd",,Options[[#This Row],[Index]] &amp; " " &amp; Options[[#This Row],[Month]] &amp; "C" &amp; $AL85*100 &amp; "-ICE", "OldSettlement")), "")</f>
        <v/>
      </c>
      <c r="AO85" s="684" t="str">
        <f>IFERROR(ABS(RTD("esrtd",,Options[[#This Row],[Index]] &amp; " " &amp; Options[[#This Row],[Month]] &amp; "C" &amp; $AL85*100 &amp; "-ICE", "OldSetIV"))*100, "")</f>
        <v/>
      </c>
      <c r="AP85" s="684" t="str">
        <f>IFERROR(ABS(RTD("esrtd",,Options[[#This Row],[Index]] &amp; " " &amp; Options[[#This Row],[Month]] &amp; "C" &amp; $AL85*100 &amp; "-ICE", "Delta"))*100, "")</f>
        <v/>
      </c>
      <c r="AQ85" s="684" t="str">
        <f>IFERROR(ABS(RTD("esrtd",,Options[[#This Row],[Index]] &amp; " " &amp; Options[[#This Row],[Month]] &amp; "C" &amp; $AL85*100 &amp; "-ICE", "Market")), "")</f>
        <v/>
      </c>
      <c r="AR85" s="684" t="str">
        <f>IFERROR(ABS(RTD("esrtd",,Options[[#This Row],[Index]] &amp; " " &amp; Options[[#This Row],[Month]] &amp; "C" &amp; $AL85*100 &amp; "-ICE", "ImpVol"))*100, "")</f>
        <v/>
      </c>
      <c r="AW85" s="677"/>
      <c r="AY85" s="678"/>
      <c r="AZ85" s="678"/>
      <c r="BA85" s="677"/>
    </row>
    <row r="86" spans="1:53" x14ac:dyDescent="0.25">
      <c r="A86" s="605" t="s">
        <v>181</v>
      </c>
      <c r="B86" s="608" t="e" cm="1">
        <f t="array" ref="B86">B$63 * _xll.BDP(B$9, "THETA_MID_RT")</f>
        <v>#VALUE!</v>
      </c>
      <c r="C86" s="608" t="e" cm="1">
        <f t="array" ref="C86">C$63 * _xll.BDP(C$9, "THETA_MID_RT")</f>
        <v>#VALUE!</v>
      </c>
      <c r="D86" s="608" t="e" cm="1">
        <f t="array" ref="D86">D$63 * _xll.BDP(D$9, "THETA_MID_RT")</f>
        <v>#VALUE!</v>
      </c>
      <c r="E86" s="608" t="e" cm="1">
        <f t="array" ref="E86">E$63 * _xll.BDP(E$9, "THETA_MID_RT")</f>
        <v>#VALUE!</v>
      </c>
      <c r="F86" s="608" t="e" cm="1">
        <f t="array" ref="F86">F$63 * _xll.BDP(F$9, "THETA_MID_RT")</f>
        <v>#VALUE!</v>
      </c>
      <c r="G86" s="596"/>
      <c r="H86" s="605" t="s">
        <v>181</v>
      </c>
      <c r="I86" s="608" t="e" cm="1">
        <f t="array" ref="I86">I$63 * _xll.BDP(I$9, "THETA_LAST_RT")/10</f>
        <v>#VALUE!</v>
      </c>
      <c r="J86" s="608" t="e" cm="1">
        <f t="array" ref="J86">J$63 * _xll.BDP(J$9, "THETA_LAST_RT")/10</f>
        <v>#VALUE!</v>
      </c>
      <c r="K86" s="608" t="e" cm="1">
        <f t="array" ref="K86">K$63 * _xll.BDP(K$9, "THETA_LAST_RT")/10</f>
        <v>#VALUE!</v>
      </c>
      <c r="AB86" s="596" t="s">
        <v>119</v>
      </c>
      <c r="AC86" s="596" t="s">
        <v>1336</v>
      </c>
      <c r="AD8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6" s="683" t="e">
        <f>ABS(_xll.BDP(Options[[#This Row],[P-Ticker]], "OPT_DELTA_YEST"))*100</f>
        <v>#VALUE!</v>
      </c>
      <c r="AG86" s="683" t="str">
        <f>IFERROR(ABS(RTD("esrtd",,Options[[#This Row],[Index]] &amp; " " &amp; Options[[#This Row],[Month]] &amp; "P" &amp; $AL86*100 &amp; "-ICE", "OldSettlement")), "")</f>
        <v/>
      </c>
      <c r="AH86" s="683" t="str">
        <f>IFERROR(ABS(RTD("esrtd",,Options[[#This Row],[Index]] &amp; " " &amp; Options[[#This Row],[Month]] &amp; "P" &amp; $AL86*100 &amp; "-ICE", "OldSetIV"))*100, "")</f>
        <v/>
      </c>
      <c r="AI86" s="683" t="str">
        <f>IFERROR(ABS(RTD("esrtd",,Options[[#This Row],[Index]] &amp; " " &amp; Options[[#This Row],[Month]] &amp; "P" &amp; $AL86*100 &amp; "-ICE", "Delta"))*100, "")</f>
        <v/>
      </c>
      <c r="AJ86" s="683" t="str">
        <f>IFERROR(ABS(RTD("esrtd",,Options[[#This Row],[Index]] &amp; " " &amp; Options[[#This Row],[Month]] &amp; "P" &amp; $AL86*100 &amp; "-ICE", "Market")), "")</f>
        <v/>
      </c>
      <c r="AK86" s="683" t="str">
        <f>IFERROR(ABS(RTD("esrtd",,Options[[#This Row],[Index]] &amp; " " &amp; Options[[#This Row],[Month]] &amp; "P" &amp; $AL86*100 &amp; "-ICE", "ImpVol"))*100, "")</f>
        <v/>
      </c>
      <c r="AL86" s="676" t="e">
        <f t="shared" si="27"/>
        <v>#VALUE!</v>
      </c>
      <c r="AM86" s="684" t="e">
        <f>ABS(_xll.BDP(Options[[#This Row],[C-Ticker]], "OPT_DELTA_YEST"))*100</f>
        <v>#VALUE!</v>
      </c>
      <c r="AN86" s="684" t="str">
        <f>IFERROR(ABS(RTD("esrtd",,Options[[#This Row],[Index]] &amp; " " &amp; Options[[#This Row],[Month]] &amp; "C" &amp; $AL86*100 &amp; "-ICE", "OldSettlement")), "")</f>
        <v/>
      </c>
      <c r="AO86" s="684" t="str">
        <f>IFERROR(ABS(RTD("esrtd",,Options[[#This Row],[Index]] &amp; " " &amp; Options[[#This Row],[Month]] &amp; "C" &amp; $AL86*100 &amp; "-ICE", "OldSetIV"))*100, "")</f>
        <v/>
      </c>
      <c r="AP86" s="684" t="str">
        <f>IFERROR(ABS(RTD("esrtd",,Options[[#This Row],[Index]] &amp; " " &amp; Options[[#This Row],[Month]] &amp; "C" &amp; $AL86*100 &amp; "-ICE", "Delta"))*100, "")</f>
        <v/>
      </c>
      <c r="AQ86" s="684" t="str">
        <f>IFERROR(ABS(RTD("esrtd",,Options[[#This Row],[Index]] &amp; " " &amp; Options[[#This Row],[Month]] &amp; "C" &amp; $AL86*100 &amp; "-ICE", "Market")), "")</f>
        <v/>
      </c>
      <c r="AR86" s="684" t="str">
        <f>IFERROR(ABS(RTD("esrtd",,Options[[#This Row],[Index]] &amp; " " &amp; Options[[#This Row],[Month]] &amp; "C" &amp; $AL86*100 &amp; "-ICE", "ImpVol"))*100, "")</f>
        <v/>
      </c>
      <c r="AW86" s="677"/>
      <c r="AX86" s="677"/>
      <c r="AY86" s="677"/>
      <c r="AZ86" s="678"/>
      <c r="BA86" s="677"/>
    </row>
    <row r="87" spans="1:53" x14ac:dyDescent="0.25">
      <c r="A87" s="605" t="s">
        <v>182</v>
      </c>
      <c r="B87" s="608" t="str" cm="1">
        <f t="array" ref="B87">IFERROR(OptSpeed(IF(B$5 = "C", 1, 0), B$42, B$6, B$43, 0.04, B$45/100) * B$63, "")</f>
        <v/>
      </c>
      <c r="C87" s="608" t="str" cm="1">
        <f t="array" ref="C87">IFERROR(OptSpeed(IF(C$5 = "C", 1, 0), C$42, C$6, C$43, 0.04, C$45/100) * C$63, "")</f>
        <v/>
      </c>
      <c r="D87" s="608" t="str" cm="1">
        <f t="array" ref="D87">IFERROR(OptSpeed(IF(D$5 = "C", 1, 0), D$42, D$6, D$43, 0.04, D$45/100) * D$63, "")</f>
        <v/>
      </c>
      <c r="E87" s="608" t="str" cm="1">
        <f t="array" ref="E87">IFERROR(OptSpeed(IF(E$5 = "C", 1, 0), E$42, E$6, E$43, 0.04, E$45/100) * E$63, "")</f>
        <v/>
      </c>
      <c r="F87" s="608" t="str" cm="1">
        <f t="array" ref="F87">IFERROR(OptSpeed(IF(F$5 = "C", 1, 0), F$42, F$6, F$43, 0.04, F$45/100) * F$63, "")</f>
        <v/>
      </c>
      <c r="G87" s="596"/>
      <c r="H87" s="605" t="s">
        <v>182</v>
      </c>
      <c r="I87" s="608" t="str" cm="1">
        <f t="array" ref="I87">IFERROR(OptSpeed(IF(I$5 = "C", 1, 0), I$42, I$6, I$43, 0.04, I$45/100) * I$63, "")</f>
        <v/>
      </c>
      <c r="J87" s="608" t="str" cm="1">
        <f t="array" ref="J87">IFERROR(OptSpeed(IF(J$5 = "C", 1, 0), J$42, J$6, J$43, 0.04, J$45/100) * J$63, "")</f>
        <v/>
      </c>
      <c r="K87" s="608" t="str" cm="1">
        <f t="array" ref="K87">IFERROR(OptSpeed(IF(K$5 = "C", 1, 0), K$42, K$6, K$43, 0.04, K$45/100) * K$63, "")</f>
        <v/>
      </c>
      <c r="AB87" s="596" t="s">
        <v>119</v>
      </c>
      <c r="AC87" s="596" t="s">
        <v>1336</v>
      </c>
      <c r="AD8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7" s="683" t="e">
        <f>ABS(_xll.BDP(Options[[#This Row],[P-Ticker]], "OPT_DELTA_YEST"))*100</f>
        <v>#VALUE!</v>
      </c>
      <c r="AG87" s="683" t="str">
        <f>IFERROR(ABS(RTD("esrtd",,Options[[#This Row],[Index]] &amp; " " &amp; Options[[#This Row],[Month]] &amp; "P" &amp; $AL87*100 &amp; "-ICE", "OldSettlement")), "")</f>
        <v/>
      </c>
      <c r="AH87" s="683" t="str">
        <f>IFERROR(ABS(RTD("esrtd",,Options[[#This Row],[Index]] &amp; " " &amp; Options[[#This Row],[Month]] &amp; "P" &amp; $AL87*100 &amp; "-ICE", "OldSetIV"))*100, "")</f>
        <v/>
      </c>
      <c r="AI87" s="683" t="str">
        <f>IFERROR(ABS(RTD("esrtd",,Options[[#This Row],[Index]] &amp; " " &amp; Options[[#This Row],[Month]] &amp; "P" &amp; $AL87*100 &amp; "-ICE", "Delta"))*100, "")</f>
        <v/>
      </c>
      <c r="AJ87" s="683" t="str">
        <f>IFERROR(ABS(RTD("esrtd",,Options[[#This Row],[Index]] &amp; " " &amp; Options[[#This Row],[Month]] &amp; "P" &amp; $AL87*100 &amp; "-ICE", "Market")), "")</f>
        <v/>
      </c>
      <c r="AK87" s="683" t="str">
        <f>IFERROR(ABS(RTD("esrtd",,Options[[#This Row],[Index]] &amp; " " &amp; Options[[#This Row],[Month]] &amp; "P" &amp; $AL87*100 &amp; "-ICE", "ImpVol"))*100, "")</f>
        <v/>
      </c>
      <c r="AL87" s="676" t="e">
        <f t="shared" si="27"/>
        <v>#VALUE!</v>
      </c>
      <c r="AM87" s="684" t="e">
        <f>ABS(_xll.BDP(Options[[#This Row],[C-Ticker]], "OPT_DELTA_YEST"))*100</f>
        <v>#VALUE!</v>
      </c>
      <c r="AN87" s="684" t="str">
        <f>IFERROR(ABS(RTD("esrtd",,Options[[#This Row],[Index]] &amp; " " &amp; Options[[#This Row],[Month]] &amp; "C" &amp; $AL87*100 &amp; "-ICE", "OldSettlement")), "")</f>
        <v/>
      </c>
      <c r="AO87" s="684" t="str">
        <f>IFERROR(ABS(RTD("esrtd",,Options[[#This Row],[Index]] &amp; " " &amp; Options[[#This Row],[Month]] &amp; "C" &amp; $AL87*100 &amp; "-ICE", "OldSetIV"))*100, "")</f>
        <v/>
      </c>
      <c r="AP87" s="684" t="str">
        <f>IFERROR(ABS(RTD("esrtd",,Options[[#This Row],[Index]] &amp; " " &amp; Options[[#This Row],[Month]] &amp; "C" &amp; $AL87*100 &amp; "-ICE", "Delta"))*100, "")</f>
        <v/>
      </c>
      <c r="AQ87" s="684" t="str">
        <f>IFERROR(ABS(RTD("esrtd",,Options[[#This Row],[Index]] &amp; " " &amp; Options[[#This Row],[Month]] &amp; "C" &amp; $AL87*100 &amp; "-ICE", "Market")), "")</f>
        <v/>
      </c>
      <c r="AR87" s="684" t="str">
        <f>IFERROR(ABS(RTD("esrtd",,Options[[#This Row],[Index]] &amp; " " &amp; Options[[#This Row],[Month]] &amp; "C" &amp; $AL87*100 &amp; "-ICE", "ImpVol"))*100, "")</f>
        <v/>
      </c>
      <c r="AW87" s="677"/>
      <c r="AX87" s="677"/>
      <c r="AY87" s="677"/>
    </row>
    <row r="88" spans="1:53" x14ac:dyDescent="0.25">
      <c r="G88" s="596"/>
      <c r="AB88" s="596" t="s">
        <v>119</v>
      </c>
      <c r="AC88" s="596" t="s">
        <v>1336</v>
      </c>
      <c r="AD8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8" s="683" t="e">
        <f>ABS(_xll.BDP(Options[[#This Row],[P-Ticker]], "OPT_DELTA_YEST"))*100</f>
        <v>#VALUE!</v>
      </c>
      <c r="AG88" s="683" t="str">
        <f>IFERROR(ABS(RTD("esrtd",,Options[[#This Row],[Index]] &amp; " " &amp; Options[[#This Row],[Month]] &amp; "P" &amp; $AL88*100 &amp; "-ICE", "OldSettlement")), "")</f>
        <v/>
      </c>
      <c r="AH88" s="683" t="str">
        <f>IFERROR(ABS(RTD("esrtd",,Options[[#This Row],[Index]] &amp; " " &amp; Options[[#This Row],[Month]] &amp; "P" &amp; $AL88*100 &amp; "-ICE", "OldSetIV"))*100, "")</f>
        <v/>
      </c>
      <c r="AI88" s="683" t="str">
        <f>IFERROR(ABS(RTD("esrtd",,Options[[#This Row],[Index]] &amp; " " &amp; Options[[#This Row],[Month]] &amp; "P" &amp; $AL88*100 &amp; "-ICE", "Delta"))*100, "")</f>
        <v/>
      </c>
      <c r="AJ88" s="683" t="str">
        <f>IFERROR(ABS(RTD("esrtd",,Options[[#This Row],[Index]] &amp; " " &amp; Options[[#This Row],[Month]] &amp; "P" &amp; $AL88*100 &amp; "-ICE", "Market")), "")</f>
        <v/>
      </c>
      <c r="AK88" s="683" t="str">
        <f>IFERROR(ABS(RTD("esrtd",,Options[[#This Row],[Index]] &amp; " " &amp; Options[[#This Row],[Month]] &amp; "P" &amp; $AL88*100 &amp; "-ICE", "ImpVol"))*100, "")</f>
        <v/>
      </c>
      <c r="AL88" s="676" t="e">
        <f t="shared" si="27"/>
        <v>#VALUE!</v>
      </c>
      <c r="AM88" s="684" t="e">
        <f>ABS(_xll.BDP(Options[[#This Row],[C-Ticker]], "OPT_DELTA_YEST"))*100</f>
        <v>#VALUE!</v>
      </c>
      <c r="AN88" s="684" t="str">
        <f>IFERROR(ABS(RTD("esrtd",,Options[[#This Row],[Index]] &amp; " " &amp; Options[[#This Row],[Month]] &amp; "C" &amp; $AL88*100 &amp; "-ICE", "OldSettlement")), "")</f>
        <v/>
      </c>
      <c r="AO88" s="684" t="str">
        <f>IFERROR(ABS(RTD("esrtd",,Options[[#This Row],[Index]] &amp; " " &amp; Options[[#This Row],[Month]] &amp; "C" &amp; $AL88*100 &amp; "-ICE", "OldSetIV"))*100, "")</f>
        <v/>
      </c>
      <c r="AP88" s="684" t="str">
        <f>IFERROR(ABS(RTD("esrtd",,Options[[#This Row],[Index]] &amp; " " &amp; Options[[#This Row],[Month]] &amp; "C" &amp; $AL88*100 &amp; "-ICE", "Delta"))*100, "")</f>
        <v/>
      </c>
      <c r="AQ88" s="684" t="str">
        <f>IFERROR(ABS(RTD("esrtd",,Options[[#This Row],[Index]] &amp; " " &amp; Options[[#This Row],[Month]] &amp; "C" &amp; $AL88*100 &amp; "-ICE", "Market")), "")</f>
        <v/>
      </c>
      <c r="AR88" s="684" t="str">
        <f>IFERROR(ABS(RTD("esrtd",,Options[[#This Row],[Index]] &amp; " " &amp; Options[[#This Row],[Month]] &amp; "C" &amp; $AL88*100 &amp; "-ICE", "ImpVol"))*100, "")</f>
        <v/>
      </c>
      <c r="AY88" s="677"/>
    </row>
    <row r="89" spans="1:53" x14ac:dyDescent="0.25">
      <c r="A89" s="600" t="s">
        <v>179</v>
      </c>
      <c r="B89" s="619"/>
      <c r="C89" s="618"/>
      <c r="D89" s="618"/>
      <c r="E89" s="618"/>
      <c r="F89" s="616"/>
      <c r="G89" s="596"/>
      <c r="H89" s="600" t="s">
        <v>179</v>
      </c>
      <c r="I89" s="600" t="s">
        <v>179</v>
      </c>
      <c r="J89" s="600" t="s">
        <v>179</v>
      </c>
      <c r="K89" s="600" t="s">
        <v>179</v>
      </c>
      <c r="AB89" s="596" t="s">
        <v>119</v>
      </c>
      <c r="AC89" s="596" t="s">
        <v>1336</v>
      </c>
      <c r="AD8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8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89" s="683" t="e">
        <f>ABS(_xll.BDP(Options[[#This Row],[P-Ticker]], "OPT_DELTA_YEST"))*100</f>
        <v>#VALUE!</v>
      </c>
      <c r="AG89" s="683" t="str">
        <f>IFERROR(ABS(RTD("esrtd",,Options[[#This Row],[Index]] &amp; " " &amp; Options[[#This Row],[Month]] &amp; "P" &amp; $AL89*100 &amp; "-ICE", "OldSettlement")), "")</f>
        <v/>
      </c>
      <c r="AH89" s="683" t="str">
        <f>IFERROR(ABS(RTD("esrtd",,Options[[#This Row],[Index]] &amp; " " &amp; Options[[#This Row],[Month]] &amp; "P" &amp; $AL89*100 &amp; "-ICE", "OldSetIV"))*100, "")</f>
        <v/>
      </c>
      <c r="AI89" s="683" t="str">
        <f>IFERROR(ABS(RTD("esrtd",,Options[[#This Row],[Index]] &amp; " " &amp; Options[[#This Row],[Month]] &amp; "P" &amp; $AL89*100 &amp; "-ICE", "Delta"))*100, "")</f>
        <v/>
      </c>
      <c r="AJ89" s="683" t="str">
        <f>IFERROR(ABS(RTD("esrtd",,Options[[#This Row],[Index]] &amp; " " &amp; Options[[#This Row],[Month]] &amp; "P" &amp; $AL89*100 &amp; "-ICE", "Market")), "")</f>
        <v/>
      </c>
      <c r="AK89" s="683" t="str">
        <f>IFERROR(ABS(RTD("esrtd",,Options[[#This Row],[Index]] &amp; " " &amp; Options[[#This Row],[Month]] &amp; "P" &amp; $AL89*100 &amp; "-ICE", "ImpVol"))*100, "")</f>
        <v/>
      </c>
      <c r="AL89" s="676" t="e">
        <f t="shared" si="27"/>
        <v>#VALUE!</v>
      </c>
      <c r="AM89" s="684" t="e">
        <f>ABS(_xll.BDP(Options[[#This Row],[C-Ticker]], "OPT_DELTA_YEST"))*100</f>
        <v>#VALUE!</v>
      </c>
      <c r="AN89" s="684" t="str">
        <f>IFERROR(ABS(RTD("esrtd",,Options[[#This Row],[Index]] &amp; " " &amp; Options[[#This Row],[Month]] &amp; "C" &amp; $AL89*100 &amp; "-ICE", "OldSettlement")), "")</f>
        <v/>
      </c>
      <c r="AO89" s="684" t="str">
        <f>IFERROR(ABS(RTD("esrtd",,Options[[#This Row],[Index]] &amp; " " &amp; Options[[#This Row],[Month]] &amp; "C" &amp; $AL89*100 &amp; "-ICE", "OldSetIV"))*100, "")</f>
        <v/>
      </c>
      <c r="AP89" s="684" t="str">
        <f>IFERROR(ABS(RTD("esrtd",,Options[[#This Row],[Index]] &amp; " " &amp; Options[[#This Row],[Month]] &amp; "C" &amp; $AL89*100 &amp; "-ICE", "Delta"))*100, "")</f>
        <v/>
      </c>
      <c r="AQ89" s="684" t="str">
        <f>IFERROR(ABS(RTD("esrtd",,Options[[#This Row],[Index]] &amp; " " &amp; Options[[#This Row],[Month]] &amp; "C" &amp; $AL89*100 &amp; "-ICE", "Market")), "")</f>
        <v/>
      </c>
      <c r="AR89" s="684" t="str">
        <f>IFERROR(ABS(RTD("esrtd",,Options[[#This Row],[Index]] &amp; " " &amp; Options[[#This Row],[Month]] &amp; "C" &amp; $AL89*100 &amp; "-ICE", "ImpVol"))*100, "")</f>
        <v/>
      </c>
      <c r="AY89" s="677"/>
      <c r="AZ89" s="677"/>
      <c r="BA89" s="677"/>
    </row>
    <row r="90" spans="1:53" x14ac:dyDescent="0.25">
      <c r="A90" s="620" t="s">
        <v>185</v>
      </c>
      <c r="B90" s="621"/>
      <c r="C90" s="621"/>
      <c r="D90" s="621"/>
      <c r="E90" s="621"/>
      <c r="F90" s="622"/>
      <c r="G90" s="596"/>
      <c r="H90" s="620" t="s">
        <v>185</v>
      </c>
      <c r="I90" s="720" t="s">
        <v>185</v>
      </c>
      <c r="J90" s="720" t="s">
        <v>185</v>
      </c>
      <c r="K90" s="720" t="s">
        <v>185</v>
      </c>
      <c r="AB90" s="596" t="s">
        <v>119</v>
      </c>
      <c r="AC90" s="596" t="s">
        <v>1336</v>
      </c>
      <c r="AD9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0" s="683" t="e">
        <f>ABS(_xll.BDP(Options[[#This Row],[P-Ticker]], "OPT_DELTA_YEST"))*100</f>
        <v>#VALUE!</v>
      </c>
      <c r="AG90" s="683" t="str">
        <f>IFERROR(ABS(RTD("esrtd",,Options[[#This Row],[Index]] &amp; " " &amp; Options[[#This Row],[Month]] &amp; "P" &amp; $AL90*100 &amp; "-ICE", "OldSettlement")), "")</f>
        <v/>
      </c>
      <c r="AH90" s="683" t="str">
        <f>IFERROR(ABS(RTD("esrtd",,Options[[#This Row],[Index]] &amp; " " &amp; Options[[#This Row],[Month]] &amp; "P" &amp; $AL90*100 &amp; "-ICE", "OldSetIV"))*100, "")</f>
        <v/>
      </c>
      <c r="AI90" s="683" t="str">
        <f>IFERROR(ABS(RTD("esrtd",,Options[[#This Row],[Index]] &amp; " " &amp; Options[[#This Row],[Month]] &amp; "P" &amp; $AL90*100 &amp; "-ICE", "Delta"))*100, "")</f>
        <v/>
      </c>
      <c r="AJ90" s="683" t="str">
        <f>IFERROR(ABS(RTD("esrtd",,Options[[#This Row],[Index]] &amp; " " &amp; Options[[#This Row],[Month]] &amp; "P" &amp; $AL90*100 &amp; "-ICE", "Market")), "")</f>
        <v/>
      </c>
      <c r="AK90" s="683" t="str">
        <f>IFERROR(ABS(RTD("esrtd",,Options[[#This Row],[Index]] &amp; " " &amp; Options[[#This Row],[Month]] &amp; "P" &amp; $AL90*100 &amp; "-ICE", "ImpVol"))*100, "")</f>
        <v/>
      </c>
      <c r="AL90" s="676" t="e">
        <f t="shared" si="27"/>
        <v>#VALUE!</v>
      </c>
      <c r="AM90" s="684" t="e">
        <f>ABS(_xll.BDP(Options[[#This Row],[C-Ticker]], "OPT_DELTA_YEST"))*100</f>
        <v>#VALUE!</v>
      </c>
      <c r="AN90" s="684" t="str">
        <f>IFERROR(ABS(RTD("esrtd",,Options[[#This Row],[Index]] &amp; " " &amp; Options[[#This Row],[Month]] &amp; "C" &amp; $AL90*100 &amp; "-ICE", "OldSettlement")), "")</f>
        <v/>
      </c>
      <c r="AO90" s="684" t="str">
        <f>IFERROR(ABS(RTD("esrtd",,Options[[#This Row],[Index]] &amp; " " &amp; Options[[#This Row],[Month]] &amp; "C" &amp; $AL90*100 &amp; "-ICE", "OldSetIV"))*100, "")</f>
        <v/>
      </c>
      <c r="AP90" s="684" t="str">
        <f>IFERROR(ABS(RTD("esrtd",,Options[[#This Row],[Index]] &amp; " " &amp; Options[[#This Row],[Month]] &amp; "C" &amp; $AL90*100 &amp; "-ICE", "Delta"))*100, "")</f>
        <v/>
      </c>
      <c r="AQ90" s="684" t="str">
        <f>IFERROR(ABS(RTD("esrtd",,Options[[#This Row],[Index]] &amp; " " &amp; Options[[#This Row],[Month]] &amp; "C" &amp; $AL90*100 &amp; "-ICE", "Market")), "")</f>
        <v/>
      </c>
      <c r="AR90" s="684" t="str">
        <f>IFERROR(ABS(RTD("esrtd",,Options[[#This Row],[Index]] &amp; " " &amp; Options[[#This Row],[Month]] &amp; "C" &amp; $AL90*100 &amp; "-ICE", "ImpVol"))*100, "")</f>
        <v/>
      </c>
      <c r="AW90" s="677"/>
      <c r="AX90" s="677"/>
      <c r="AY90" s="677"/>
    </row>
    <row r="91" spans="1:53" x14ac:dyDescent="0.25">
      <c r="A91" s="601" t="s">
        <v>186</v>
      </c>
      <c r="B91" s="602" t="e">
        <f t="shared" ref="B91:D91" si="28">B$7 * B$64</f>
        <v>#VALUE!</v>
      </c>
      <c r="C91" s="602" t="e">
        <f t="shared" si="28"/>
        <v>#VALUE!</v>
      </c>
      <c r="D91" s="602" t="e">
        <f t="shared" si="28"/>
        <v>#VALUE!</v>
      </c>
      <c r="E91" s="602" t="e">
        <f>E$7 * E$64</f>
        <v>#VALUE!</v>
      </c>
      <c r="F91" s="602" t="e">
        <f>F$7 * F$64</f>
        <v>#VALUE!</v>
      </c>
      <c r="G91" s="596"/>
      <c r="H91" s="601" t="s">
        <v>186</v>
      </c>
      <c r="I91" s="623" t="e">
        <f>I$7 * I$64 / 10</f>
        <v>#VALUE!</v>
      </c>
      <c r="J91" s="623" t="e">
        <f>J$7 * J$64 / 10</f>
        <v>#VALUE!</v>
      </c>
      <c r="K91" s="623" t="e">
        <f>K$7 * K$64 / 10</f>
        <v>#VALUE!</v>
      </c>
      <c r="AB91" s="596" t="s">
        <v>119</v>
      </c>
      <c r="AC91" s="596" t="s">
        <v>1336</v>
      </c>
      <c r="AD9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1" s="683" t="e">
        <f>ABS(_xll.BDP(Options[[#This Row],[P-Ticker]], "OPT_DELTA_YEST"))*100</f>
        <v>#VALUE!</v>
      </c>
      <c r="AG91" s="683" t="str">
        <f>IFERROR(ABS(RTD("esrtd",,Options[[#This Row],[Index]] &amp; " " &amp; Options[[#This Row],[Month]] &amp; "P" &amp; $AL91*100 &amp; "-ICE", "OldSettlement")), "")</f>
        <v/>
      </c>
      <c r="AH91" s="683" t="str">
        <f>IFERROR(ABS(RTD("esrtd",,Options[[#This Row],[Index]] &amp; " " &amp; Options[[#This Row],[Month]] &amp; "P" &amp; $AL91*100 &amp; "-ICE", "OldSetIV"))*100, "")</f>
        <v/>
      </c>
      <c r="AI91" s="683" t="str">
        <f>IFERROR(ABS(RTD("esrtd",,Options[[#This Row],[Index]] &amp; " " &amp; Options[[#This Row],[Month]] &amp; "P" &amp; $AL91*100 &amp; "-ICE", "Delta"))*100, "")</f>
        <v/>
      </c>
      <c r="AJ91" s="683" t="str">
        <f>IFERROR(ABS(RTD("esrtd",,Options[[#This Row],[Index]] &amp; " " &amp; Options[[#This Row],[Month]] &amp; "P" &amp; $AL91*100 &amp; "-ICE", "Market")), "")</f>
        <v/>
      </c>
      <c r="AK91" s="683" t="str">
        <f>IFERROR(ABS(RTD("esrtd",,Options[[#This Row],[Index]] &amp; " " &amp; Options[[#This Row],[Month]] &amp; "P" &amp; $AL91*100 &amp; "-ICE", "ImpVol"))*100, "")</f>
        <v/>
      </c>
      <c r="AL91" s="676" t="e">
        <f t="shared" si="27"/>
        <v>#VALUE!</v>
      </c>
      <c r="AM91" s="684" t="e">
        <f>ABS(_xll.BDP(Options[[#This Row],[C-Ticker]], "OPT_DELTA_YEST"))*100</f>
        <v>#VALUE!</v>
      </c>
      <c r="AN91" s="684" t="str">
        <f>IFERROR(ABS(RTD("esrtd",,Options[[#This Row],[Index]] &amp; " " &amp; Options[[#This Row],[Month]] &amp; "C" &amp; $AL91*100 &amp; "-ICE", "OldSettlement")), "")</f>
        <v/>
      </c>
      <c r="AO91" s="684" t="str">
        <f>IFERROR(ABS(RTD("esrtd",,Options[[#This Row],[Index]] &amp; " " &amp; Options[[#This Row],[Month]] &amp; "C" &amp; $AL91*100 &amp; "-ICE", "OldSetIV"))*100, "")</f>
        <v/>
      </c>
      <c r="AP91" s="684" t="str">
        <f>IFERROR(ABS(RTD("esrtd",,Options[[#This Row],[Index]] &amp; " " &amp; Options[[#This Row],[Month]] &amp; "C" &amp; $AL91*100 &amp; "-ICE", "Delta"))*100, "")</f>
        <v/>
      </c>
      <c r="AQ91" s="684" t="str">
        <f>IFERROR(ABS(RTD("esrtd",,Options[[#This Row],[Index]] &amp; " " &amp; Options[[#This Row],[Month]] &amp; "C" &amp; $AL91*100 &amp; "-ICE", "Market")), "")</f>
        <v/>
      </c>
      <c r="AR91" s="684" t="str">
        <f>IFERROR(ABS(RTD("esrtd",,Options[[#This Row],[Index]] &amp; " " &amp; Options[[#This Row],[Month]] &amp; "C" &amp; $AL91*100 &amp; "-ICE", "ImpVol"))*100, "")</f>
        <v/>
      </c>
      <c r="AW91" s="677"/>
      <c r="AX91" s="677"/>
      <c r="AY91" s="677"/>
      <c r="AZ91" s="677"/>
      <c r="BA91" s="677"/>
    </row>
    <row r="92" spans="1:53" x14ac:dyDescent="0.25">
      <c r="A92" s="601" t="s">
        <v>187</v>
      </c>
      <c r="B92" s="623" t="e">
        <f t="shared" ref="B92:D92" si="29">(B$28 * B$66 * B$19) / 1000</f>
        <v>#VALUE!</v>
      </c>
      <c r="C92" s="623" t="e">
        <f t="shared" si="29"/>
        <v>#VALUE!</v>
      </c>
      <c r="D92" s="623" t="e">
        <f t="shared" si="29"/>
        <v>#VALUE!</v>
      </c>
      <c r="E92" s="623" t="e">
        <f>(E$28 * E$66 * E$19) / 1000</f>
        <v>#VALUE!</v>
      </c>
      <c r="F92" s="623" t="e">
        <f>(F$28 * F$66 * F$19) / 1000</f>
        <v>#VALUE!</v>
      </c>
      <c r="G92" s="596"/>
      <c r="H92" s="601" t="s">
        <v>187</v>
      </c>
      <c r="I92" s="623" t="e">
        <f>(I$28 * I$66 * I$19) / 1000</f>
        <v>#VALUE!</v>
      </c>
      <c r="J92" s="623" t="e">
        <f>(J$28 * J$66 * J$19) / 1000</f>
        <v>#VALUE!</v>
      </c>
      <c r="K92" s="623" t="e">
        <f>(K$28 * K$66 * K$19) / 1000</f>
        <v>#VALUE!</v>
      </c>
      <c r="AB92" s="596" t="s">
        <v>119</v>
      </c>
      <c r="AC92" s="596" t="s">
        <v>1336</v>
      </c>
      <c r="AD9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2" s="683" t="e">
        <f>ABS(_xll.BDP(Options[[#This Row],[P-Ticker]], "OPT_DELTA_YEST"))*100</f>
        <v>#VALUE!</v>
      </c>
      <c r="AG92" s="683" t="str">
        <f>IFERROR(ABS(RTD("esrtd",,Options[[#This Row],[Index]] &amp; " " &amp; Options[[#This Row],[Month]] &amp; "P" &amp; $AL92*100 &amp; "-ICE", "OldSettlement")), "")</f>
        <v/>
      </c>
      <c r="AH92" s="683" t="str">
        <f>IFERROR(ABS(RTD("esrtd",,Options[[#This Row],[Index]] &amp; " " &amp; Options[[#This Row],[Month]] &amp; "P" &amp; $AL92*100 &amp; "-ICE", "OldSetIV"))*100, "")</f>
        <v/>
      </c>
      <c r="AI92" s="683" t="str">
        <f>IFERROR(ABS(RTD("esrtd",,Options[[#This Row],[Index]] &amp; " " &amp; Options[[#This Row],[Month]] &amp; "P" &amp; $AL92*100 &amp; "-ICE", "Delta"))*100, "")</f>
        <v/>
      </c>
      <c r="AJ92" s="683" t="str">
        <f>IFERROR(ABS(RTD("esrtd",,Options[[#This Row],[Index]] &amp; " " &amp; Options[[#This Row],[Month]] &amp; "P" &amp; $AL92*100 &amp; "-ICE", "Market")), "")</f>
        <v/>
      </c>
      <c r="AK92" s="683" t="str">
        <f>IFERROR(ABS(RTD("esrtd",,Options[[#This Row],[Index]] &amp; " " &amp; Options[[#This Row],[Month]] &amp; "P" &amp; $AL92*100 &amp; "-ICE", "ImpVol"))*100, "")</f>
        <v/>
      </c>
      <c r="AL92" s="676" t="e">
        <f t="shared" si="27"/>
        <v>#VALUE!</v>
      </c>
      <c r="AM92" s="684" t="e">
        <f>ABS(_xll.BDP(Options[[#This Row],[C-Ticker]], "OPT_DELTA_YEST"))*100</f>
        <v>#VALUE!</v>
      </c>
      <c r="AN92" s="684" t="str">
        <f>IFERROR(ABS(RTD("esrtd",,Options[[#This Row],[Index]] &amp; " " &amp; Options[[#This Row],[Month]] &amp; "C" &amp; $AL92*100 &amp; "-ICE", "OldSettlement")), "")</f>
        <v/>
      </c>
      <c r="AO92" s="684" t="str">
        <f>IFERROR(ABS(RTD("esrtd",,Options[[#This Row],[Index]] &amp; " " &amp; Options[[#This Row],[Month]] &amp; "C" &amp; $AL92*100 &amp; "-ICE", "OldSetIV"))*100, "")</f>
        <v/>
      </c>
      <c r="AP92" s="684" t="str">
        <f>IFERROR(ABS(RTD("esrtd",,Options[[#This Row],[Index]] &amp; " " &amp; Options[[#This Row],[Month]] &amp; "C" &amp; $AL92*100 &amp; "-ICE", "Delta"))*100, "")</f>
        <v/>
      </c>
      <c r="AQ92" s="684" t="str">
        <f>IFERROR(ABS(RTD("esrtd",,Options[[#This Row],[Index]] &amp; " " &amp; Options[[#This Row],[Month]] &amp; "C" &amp; $AL92*100 &amp; "-ICE", "Market")), "")</f>
        <v/>
      </c>
      <c r="AR92" s="684" t="str">
        <f>IFERROR(ABS(RTD("esrtd",,Options[[#This Row],[Index]] &amp; " " &amp; Options[[#This Row],[Month]] &amp; "C" &amp; $AL92*100 &amp; "-ICE", "ImpVol"))*100, "")</f>
        <v/>
      </c>
    </row>
    <row r="93" spans="1:53" x14ac:dyDescent="0.25">
      <c r="A93" s="601" t="s">
        <v>188</v>
      </c>
      <c r="B93" s="623" t="e">
        <f t="shared" ref="B93:D93" si="30">(0.5 * B$27 * B$66^2 * B$44/10) * B$7</f>
        <v>#VALUE!</v>
      </c>
      <c r="C93" s="623" t="e">
        <f t="shared" si="30"/>
        <v>#VALUE!</v>
      </c>
      <c r="D93" s="623" t="e">
        <f t="shared" si="30"/>
        <v>#VALUE!</v>
      </c>
      <c r="E93" s="623" t="e">
        <f>(0.5 * E$27 * E$66^2 * E$44/10) * E$7</f>
        <v>#VALUE!</v>
      </c>
      <c r="F93" s="623" t="e">
        <f>(0.5 * F$27 * F$66^2 * F$44/10) * F$7</f>
        <v>#VALUE!</v>
      </c>
      <c r="G93" s="596"/>
      <c r="H93" s="601" t="s">
        <v>188</v>
      </c>
      <c r="I93" s="623" t="e">
        <f>(0.5 * I$27 * I$66^2 * I$44/10) * I$7</f>
        <v>#VALUE!</v>
      </c>
      <c r="J93" s="623" t="e">
        <f>(0.5 * J$27 * J$66^2 * J$44/10) * J$7</f>
        <v>#VALUE!</v>
      </c>
      <c r="K93" s="623" t="e">
        <f>(0.5 * K$27 * K$66^2 * K$44/10) * K$7</f>
        <v>#VALUE!</v>
      </c>
      <c r="AB93" s="596" t="s">
        <v>119</v>
      </c>
      <c r="AC93" s="596" t="s">
        <v>1336</v>
      </c>
      <c r="AD9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3" s="683" t="e">
        <f>ABS(_xll.BDP(Options[[#This Row],[P-Ticker]], "OPT_DELTA_YEST"))*100</f>
        <v>#VALUE!</v>
      </c>
      <c r="AG93" s="683" t="str">
        <f>IFERROR(ABS(RTD("esrtd",,Options[[#This Row],[Index]] &amp; " " &amp; Options[[#This Row],[Month]] &amp; "P" &amp; $AL93*100 &amp; "-ICE", "OldSettlement")), "")</f>
        <v/>
      </c>
      <c r="AH93" s="683" t="str">
        <f>IFERROR(ABS(RTD("esrtd",,Options[[#This Row],[Index]] &amp; " " &amp; Options[[#This Row],[Month]] &amp; "P" &amp; $AL93*100 &amp; "-ICE", "OldSetIV"))*100, "")</f>
        <v/>
      </c>
      <c r="AI93" s="683" t="str">
        <f>IFERROR(ABS(RTD("esrtd",,Options[[#This Row],[Index]] &amp; " " &amp; Options[[#This Row],[Month]] &amp; "P" &amp; $AL93*100 &amp; "-ICE", "Delta"))*100, "")</f>
        <v/>
      </c>
      <c r="AJ93" s="683" t="str">
        <f>IFERROR(ABS(RTD("esrtd",,Options[[#This Row],[Index]] &amp; " " &amp; Options[[#This Row],[Month]] &amp; "P" &amp; $AL93*100 &amp; "-ICE", "Market")), "")</f>
        <v/>
      </c>
      <c r="AK93" s="683" t="str">
        <f>IFERROR(ABS(RTD("esrtd",,Options[[#This Row],[Index]] &amp; " " &amp; Options[[#This Row],[Month]] &amp; "P" &amp; $AL93*100 &amp; "-ICE", "ImpVol"))*100, "")</f>
        <v/>
      </c>
      <c r="AL93" s="676" t="e">
        <f>FLOOR(AL94-0.25, 1)</f>
        <v>#VALUE!</v>
      </c>
      <c r="AM93" s="684" t="e">
        <f>ABS(_xll.BDP(Options[[#This Row],[C-Ticker]], "OPT_DELTA_YEST"))*100</f>
        <v>#VALUE!</v>
      </c>
      <c r="AN93" s="684" t="str">
        <f>IFERROR(ABS(RTD("esrtd",,Options[[#This Row],[Index]] &amp; " " &amp; Options[[#This Row],[Month]] &amp; "C" &amp; $AL93*100 &amp; "-ICE", "OldSettlement")), "")</f>
        <v/>
      </c>
      <c r="AO93" s="684" t="str">
        <f>IFERROR(ABS(RTD("esrtd",,Options[[#This Row],[Index]] &amp; " " &amp; Options[[#This Row],[Month]] &amp; "C" &amp; $AL93*100 &amp; "-ICE", "OldSetIV"))*100, "")</f>
        <v/>
      </c>
      <c r="AP93" s="684" t="str">
        <f>IFERROR(ABS(RTD("esrtd",,Options[[#This Row],[Index]] &amp; " " &amp; Options[[#This Row],[Month]] &amp; "C" &amp; $AL93*100 &amp; "-ICE", "Delta"))*100, "")</f>
        <v/>
      </c>
      <c r="AQ93" s="684" t="str">
        <f>IFERROR(ABS(RTD("esrtd",,Options[[#This Row],[Index]] &amp; " " &amp; Options[[#This Row],[Month]] &amp; "C" &amp; $AL93*100 &amp; "-ICE", "Market")), "")</f>
        <v/>
      </c>
      <c r="AR93" s="684" t="str">
        <f>IFERROR(ABS(RTD("esrtd",,Options[[#This Row],[Index]] &amp; " " &amp; Options[[#This Row],[Month]] &amp; "C" &amp; $AL93*100 &amp; "-ICE", "ImpVol"))*100, "")</f>
        <v/>
      </c>
    </row>
    <row r="94" spans="1:53" x14ac:dyDescent="0.25">
      <c r="A94" s="601" t="s">
        <v>189</v>
      </c>
      <c r="B94" s="623" t="e">
        <f>B$68 * (B$30 + B$74)</f>
        <v>#VALUE!</v>
      </c>
      <c r="C94" s="623" t="e">
        <f>C$68 * (C$30 + C$74)</f>
        <v>#VALUE!</v>
      </c>
      <c r="D94" s="623" t="e">
        <f>D$68 * (D$30 + D$74)</f>
        <v>#VALUE!</v>
      </c>
      <c r="E94" s="623" t="e">
        <f>E$68 * (E$30 + E$74)</f>
        <v>#VALUE!</v>
      </c>
      <c r="F94" s="623" t="e">
        <f>F$68 * (F$30 + F$74)</f>
        <v>#N/A</v>
      </c>
      <c r="G94" s="596"/>
      <c r="H94" s="601" t="s">
        <v>189</v>
      </c>
      <c r="I94" s="623" t="e">
        <f ca="1">I$68 * (I$30 + I$74)</f>
        <v>#VALUE!</v>
      </c>
      <c r="J94" s="623" t="e">
        <f ca="1">J$68 * (J$30 + J$74)</f>
        <v>#VALUE!</v>
      </c>
      <c r="K94" s="623" t="e">
        <f ca="1">K$68 * (K$30 + K$74)</f>
        <v>#VALUE!</v>
      </c>
      <c r="AB94" s="596" t="s">
        <v>119</v>
      </c>
      <c r="AC94" s="596" t="s">
        <v>1336</v>
      </c>
      <c r="AD9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4" s="683" t="e">
        <f>ABS(_xll.BDP(Options[[#This Row],[P-Ticker]], "OPT_DELTA_YEST"))*100</f>
        <v>#VALUE!</v>
      </c>
      <c r="AG94" s="683" t="str">
        <f>IFERROR(ABS(RTD("esrtd",,Options[[#This Row],[Index]] &amp; " " &amp; Options[[#This Row],[Month]] &amp; "P" &amp; $AL94*100 &amp; "-ICE", "OldSettlement")), "")</f>
        <v/>
      </c>
      <c r="AH94" s="683" t="str">
        <f>IFERROR(ABS(RTD("esrtd",,Options[[#This Row],[Index]] &amp; " " &amp; Options[[#This Row],[Month]] &amp; "P" &amp; $AL94*100 &amp; "-ICE", "OldSetIV"))*100, "")</f>
        <v/>
      </c>
      <c r="AI94" s="683" t="str">
        <f>IFERROR(ABS(RTD("esrtd",,Options[[#This Row],[Index]] &amp; " " &amp; Options[[#This Row],[Month]] &amp; "P" &amp; $AL94*100 &amp; "-ICE", "Delta"))*100, "")</f>
        <v/>
      </c>
      <c r="AJ94" s="683" t="str">
        <f>IFERROR(ABS(RTD("esrtd",,Options[[#This Row],[Index]] &amp; " " &amp; Options[[#This Row],[Month]] &amp; "P" &amp; $AL94*100 &amp; "-ICE", "Market")), "")</f>
        <v/>
      </c>
      <c r="AK94" s="683" t="str">
        <f>IFERROR(ABS(RTD("esrtd",,Options[[#This Row],[Index]] &amp; " " &amp; Options[[#This Row],[Month]] &amp; "P" &amp; $AL94*100 &amp; "-ICE", "ImpVol"))*100, "")</f>
        <v/>
      </c>
      <c r="AL94" s="676" t="e">
        <f t="shared" ref="AL94:AL99" si="31">AL95-1</f>
        <v>#VALUE!</v>
      </c>
      <c r="AM94" s="684" t="e">
        <f>ABS(_xll.BDP(Options[[#This Row],[C-Ticker]], "OPT_DELTA_YEST"))*100</f>
        <v>#VALUE!</v>
      </c>
      <c r="AN94" s="684" t="str">
        <f>IFERROR(ABS(RTD("esrtd",,Options[[#This Row],[Index]] &amp; " " &amp; Options[[#This Row],[Month]] &amp; "C" &amp; $AL94*100 &amp; "-ICE", "OldSettlement")), "")</f>
        <v/>
      </c>
      <c r="AO94" s="684" t="str">
        <f>IFERROR(ABS(RTD("esrtd",,Options[[#This Row],[Index]] &amp; " " &amp; Options[[#This Row],[Month]] &amp; "C" &amp; $AL94*100 &amp; "-ICE", "OldSetIV"))*100, "")</f>
        <v/>
      </c>
      <c r="AP94" s="684" t="str">
        <f>IFERROR(ABS(RTD("esrtd",,Options[[#This Row],[Index]] &amp; " " &amp; Options[[#This Row],[Month]] &amp; "C" &amp; $AL94*100 &amp; "-ICE", "Delta"))*100, "")</f>
        <v/>
      </c>
      <c r="AQ94" s="684" t="str">
        <f>IFERROR(ABS(RTD("esrtd",,Options[[#This Row],[Index]] &amp; " " &amp; Options[[#This Row],[Month]] &amp; "C" &amp; $AL94*100 &amp; "-ICE", "Market")), "")</f>
        <v/>
      </c>
      <c r="AR94" s="684" t="str">
        <f>IFERROR(ABS(RTD("esrtd",,Options[[#This Row],[Index]] &amp; " " &amp; Options[[#This Row],[Month]] &amp; "C" &amp; $AL94*100 &amp; "-ICE", "ImpVol"))*100, "")</f>
        <v/>
      </c>
    </row>
    <row r="95" spans="1:53" x14ac:dyDescent="0.25">
      <c r="A95" s="601" t="s">
        <v>190</v>
      </c>
      <c r="B95" s="623" t="e">
        <f>(B$34 + B$75) * B$17 * B$66 * B$68</f>
        <v>#VALUE!</v>
      </c>
      <c r="C95" s="623" t="e">
        <f ca="1">(C$34 + C$75) * C$17 * C$66 * C$68</f>
        <v>#VALUE!</v>
      </c>
      <c r="D95" s="623" t="e">
        <f ca="1">(D$34 + D$75) * D$17 * D$66 * D$68</f>
        <v>#VALUE!</v>
      </c>
      <c r="E95" s="623" t="e">
        <f>(E$34 + E$75) * E$17 * E$66 * E$68</f>
        <v>#VALUE!</v>
      </c>
      <c r="F95" s="623" t="e">
        <f>(F$34 + F$75) * F$17 * F$66 * F$68</f>
        <v>#VALUE!</v>
      </c>
      <c r="G95" s="596"/>
      <c r="H95" s="601" t="s">
        <v>190</v>
      </c>
      <c r="I95" s="623" t="e">
        <f ca="1">(I$34 + I$75) * I$17 * I$66 * I$68</f>
        <v>#VALUE!</v>
      </c>
      <c r="J95" s="623" t="e">
        <f ca="1">(J$34 + J$75) * J$17 * J$66 * J$68</f>
        <v>#VALUE!</v>
      </c>
      <c r="K95" s="623" t="e">
        <f ca="1">(K$34 + K$75) * K$17 * K$66 * K$68</f>
        <v>#VALUE!</v>
      </c>
      <c r="AB95" s="596" t="s">
        <v>119</v>
      </c>
      <c r="AC95" s="596" t="s">
        <v>1336</v>
      </c>
      <c r="AD9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5" s="683" t="e">
        <f>ABS(_xll.BDP(Options[[#This Row],[P-Ticker]], "OPT_DELTA_YEST"))*100</f>
        <v>#VALUE!</v>
      </c>
      <c r="AG95" s="683" t="str">
        <f>IFERROR(ABS(RTD("esrtd",,Options[[#This Row],[Index]] &amp; " " &amp; Options[[#This Row],[Month]] &amp; "P" &amp; $AL95*100 &amp; "-ICE", "OldSettlement")), "")</f>
        <v/>
      </c>
      <c r="AH95" s="683" t="str">
        <f>IFERROR(ABS(RTD("esrtd",,Options[[#This Row],[Index]] &amp; " " &amp; Options[[#This Row],[Month]] &amp; "P" &amp; $AL95*100 &amp; "-ICE", "OldSetIV"))*100, "")</f>
        <v/>
      </c>
      <c r="AI95" s="683" t="str">
        <f>IFERROR(ABS(RTD("esrtd",,Options[[#This Row],[Index]] &amp; " " &amp; Options[[#This Row],[Month]] &amp; "P" &amp; $AL95*100 &amp; "-ICE", "Delta"))*100, "")</f>
        <v/>
      </c>
      <c r="AJ95" s="683" t="str">
        <f>IFERROR(ABS(RTD("esrtd",,Options[[#This Row],[Index]] &amp; " " &amp; Options[[#This Row],[Month]] &amp; "P" &amp; $AL95*100 &amp; "-ICE", "Market")), "")</f>
        <v/>
      </c>
      <c r="AK95" s="683" t="str">
        <f>IFERROR(ABS(RTD("esrtd",,Options[[#This Row],[Index]] &amp; " " &amp; Options[[#This Row],[Month]] &amp; "P" &amp; $AL95*100 &amp; "-ICE", "ImpVol"))*100, "")</f>
        <v/>
      </c>
      <c r="AL95" s="676" t="e">
        <f t="shared" si="31"/>
        <v>#VALUE!</v>
      </c>
      <c r="AM95" s="684" t="e">
        <f>ABS(_xll.BDP(Options[[#This Row],[C-Ticker]], "OPT_DELTA_YEST"))*100</f>
        <v>#VALUE!</v>
      </c>
      <c r="AN95" s="684" t="str">
        <f>IFERROR(ABS(RTD("esrtd",,Options[[#This Row],[Index]] &amp; " " &amp; Options[[#This Row],[Month]] &amp; "C" &amp; $AL95*100 &amp; "-ICE", "OldSettlement")), "")</f>
        <v/>
      </c>
      <c r="AO95" s="684" t="str">
        <f>IFERROR(ABS(RTD("esrtd",,Options[[#This Row],[Index]] &amp; " " &amp; Options[[#This Row],[Month]] &amp; "C" &amp; $AL95*100 &amp; "-ICE", "OldSetIV"))*100, "")</f>
        <v/>
      </c>
      <c r="AP95" s="684" t="str">
        <f>IFERROR(ABS(RTD("esrtd",,Options[[#This Row],[Index]] &amp; " " &amp; Options[[#This Row],[Month]] &amp; "C" &amp; $AL95*100 &amp; "-ICE", "Delta"))*100, "")</f>
        <v/>
      </c>
      <c r="AQ95" s="684" t="str">
        <f>IFERROR(ABS(RTD("esrtd",,Options[[#This Row],[Index]] &amp; " " &amp; Options[[#This Row],[Month]] &amp; "C" &amp; $AL95*100 &amp; "-ICE", "Market")), "")</f>
        <v/>
      </c>
      <c r="AR95" s="684" t="str">
        <f>IFERROR(ABS(RTD("esrtd",,Options[[#This Row],[Index]] &amp; " " &amp; Options[[#This Row],[Month]] &amp; "C" &amp; $AL95*100 &amp; "-ICE", "ImpVol"))*100, "")</f>
        <v/>
      </c>
    </row>
    <row r="96" spans="1:53" x14ac:dyDescent="0.25">
      <c r="A96" s="601" t="s">
        <v>191</v>
      </c>
      <c r="B96" s="623" t="e">
        <f>(B$35 + B$76) * B$68^2</f>
        <v>#VALUE!</v>
      </c>
      <c r="C96" s="623" t="e">
        <f ca="1">(C$35 + C$76) * C$68^2</f>
        <v>#VALUE!</v>
      </c>
      <c r="D96" s="623" t="e">
        <f ca="1">(D$35 + D$76) * D$68^2</f>
        <v>#VALUE!</v>
      </c>
      <c r="E96" s="623" t="e">
        <f>(E$35 + E$76) * E$68^2</f>
        <v>#VALUE!</v>
      </c>
      <c r="F96" s="623" t="e">
        <f>(F$35 + F$76) * F$68^2</f>
        <v>#VALUE!</v>
      </c>
      <c r="G96" s="596"/>
      <c r="H96" s="601" t="s">
        <v>191</v>
      </c>
      <c r="I96" s="623" t="e">
        <f ca="1">(I$35 + I$76) * I$68^2</f>
        <v>#VALUE!</v>
      </c>
      <c r="J96" s="623" t="e">
        <f ca="1">(J$35 + J$76) * J$68^2</f>
        <v>#VALUE!</v>
      </c>
      <c r="K96" s="623" t="e">
        <f ca="1">(K$35 + K$76) * K$68^2</f>
        <v>#VALUE!</v>
      </c>
      <c r="AB96" s="596" t="s">
        <v>119</v>
      </c>
      <c r="AC96" s="596" t="s">
        <v>1336</v>
      </c>
      <c r="AD9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6" s="683" t="e">
        <f>ABS(_xll.BDP(Options[[#This Row],[P-Ticker]], "OPT_DELTA_YEST"))*100</f>
        <v>#VALUE!</v>
      </c>
      <c r="AG96" s="683" t="str">
        <f>IFERROR(ABS(RTD("esrtd",,Options[[#This Row],[Index]] &amp; " " &amp; Options[[#This Row],[Month]] &amp; "P" &amp; $AL96*100 &amp; "-ICE", "OldSettlement")), "")</f>
        <v/>
      </c>
      <c r="AH96" s="683" t="str">
        <f>IFERROR(ABS(RTD("esrtd",,Options[[#This Row],[Index]] &amp; " " &amp; Options[[#This Row],[Month]] &amp; "P" &amp; $AL96*100 &amp; "-ICE", "OldSetIV"))*100, "")</f>
        <v/>
      </c>
      <c r="AI96" s="683" t="str">
        <f>IFERROR(ABS(RTD("esrtd",,Options[[#This Row],[Index]] &amp; " " &amp; Options[[#This Row],[Month]] &amp; "P" &amp; $AL96*100 &amp; "-ICE", "Delta"))*100, "")</f>
        <v/>
      </c>
      <c r="AJ96" s="683" t="str">
        <f>IFERROR(ABS(RTD("esrtd",,Options[[#This Row],[Index]] &amp; " " &amp; Options[[#This Row],[Month]] &amp; "P" &amp; $AL96*100 &amp; "-ICE", "Market")), "")</f>
        <v/>
      </c>
      <c r="AK96" s="683" t="str">
        <f>IFERROR(ABS(RTD("esrtd",,Options[[#This Row],[Index]] &amp; " " &amp; Options[[#This Row],[Month]] &amp; "P" &amp; $AL96*100 &amp; "-ICE", "ImpVol"))*100, "")</f>
        <v/>
      </c>
      <c r="AL96" s="676" t="e">
        <f t="shared" si="31"/>
        <v>#VALUE!</v>
      </c>
      <c r="AM96" s="684" t="e">
        <f>ABS(_xll.BDP(Options[[#This Row],[C-Ticker]], "OPT_DELTA_YEST"))*100</f>
        <v>#VALUE!</v>
      </c>
      <c r="AN96" s="684" t="str">
        <f>IFERROR(ABS(RTD("esrtd",,Options[[#This Row],[Index]] &amp; " " &amp; Options[[#This Row],[Month]] &amp; "C" &amp; $AL96*100 &amp; "-ICE", "OldSettlement")), "")</f>
        <v/>
      </c>
      <c r="AO96" s="684" t="str">
        <f>IFERROR(ABS(RTD("esrtd",,Options[[#This Row],[Index]] &amp; " " &amp; Options[[#This Row],[Month]] &amp; "C" &amp; $AL96*100 &amp; "-ICE", "OldSetIV"))*100, "")</f>
        <v/>
      </c>
      <c r="AP96" s="684" t="str">
        <f>IFERROR(ABS(RTD("esrtd",,Options[[#This Row],[Index]] &amp; " " &amp; Options[[#This Row],[Month]] &amp; "C" &amp; $AL96*100 &amp; "-ICE", "Delta"))*100, "")</f>
        <v/>
      </c>
      <c r="AQ96" s="684" t="str">
        <f>IFERROR(ABS(RTD("esrtd",,Options[[#This Row],[Index]] &amp; " " &amp; Options[[#This Row],[Month]] &amp; "C" &amp; $AL96*100 &amp; "-ICE", "Market")), "")</f>
        <v/>
      </c>
      <c r="AR96" s="684" t="str">
        <f>IFERROR(ABS(RTD("esrtd",,Options[[#This Row],[Index]] &amp; " " &amp; Options[[#This Row],[Month]] &amp; "C" &amp; $AL96*100 &amp; "-ICE", "ImpVol"))*100, "")</f>
        <v/>
      </c>
    </row>
    <row r="97" spans="1:52" x14ac:dyDescent="0.25">
      <c r="A97" s="601" t="s">
        <v>192</v>
      </c>
      <c r="B97" s="623">
        <f ca="1">B$36 * IF(WEEKDAY(TODAY(), 11)=1, 3, 1)</f>
        <v>0</v>
      </c>
      <c r="C97" s="623">
        <f ca="1">C$36 * IF(WEEKDAY(TODAY(), 11)=1, 3, 1)</f>
        <v>0</v>
      </c>
      <c r="D97" s="623">
        <f ca="1">D$36 * IF(WEEKDAY(TODAY(), 11)=1, 3, 1)</f>
        <v>0</v>
      </c>
      <c r="E97" s="623">
        <f ca="1">E$36 * IF(WEEKDAY(TODAY(), 11)=1, 3, 1)</f>
        <v>0</v>
      </c>
      <c r="F97" s="623">
        <f ca="1">F$36 * IF(WEEKDAY(TODAY(), 11)=1, 3, 1)</f>
        <v>0</v>
      </c>
      <c r="G97" s="596"/>
      <c r="H97" s="601" t="s">
        <v>192</v>
      </c>
      <c r="I97" s="623">
        <f ca="1">I$36 * IF(WEEKDAY(TODAY(), 11)=1, 3, 1)</f>
        <v>0</v>
      </c>
      <c r="J97" s="623">
        <f ca="1">J$36 * IF(WEEKDAY(TODAY(), 11)=1, 3, 1)</f>
        <v>0</v>
      </c>
      <c r="K97" s="623">
        <f ca="1">K$36 * IF(WEEKDAY(TODAY(), 11)=1, 3, 1)</f>
        <v>0</v>
      </c>
      <c r="AB97" s="596" t="s">
        <v>119</v>
      </c>
      <c r="AC97" s="596" t="s">
        <v>1336</v>
      </c>
      <c r="AD9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7" s="683" t="e">
        <f>ABS(_xll.BDP(Options[[#This Row],[P-Ticker]], "OPT_DELTA_YEST"))*100</f>
        <v>#VALUE!</v>
      </c>
      <c r="AG97" s="683" t="str">
        <f>IFERROR(ABS(RTD("esrtd",,Options[[#This Row],[Index]] &amp; " " &amp; Options[[#This Row],[Month]] &amp; "P" &amp; $AL97*100 &amp; "-ICE", "OldSettlement")), "")</f>
        <v/>
      </c>
      <c r="AH97" s="683" t="str">
        <f>IFERROR(ABS(RTD("esrtd",,Options[[#This Row],[Index]] &amp; " " &amp; Options[[#This Row],[Month]] &amp; "P" &amp; $AL97*100 &amp; "-ICE", "OldSetIV"))*100, "")</f>
        <v/>
      </c>
      <c r="AI97" s="683" t="str">
        <f>IFERROR(ABS(RTD("esrtd",,Options[[#This Row],[Index]] &amp; " " &amp; Options[[#This Row],[Month]] &amp; "P" &amp; $AL97*100 &amp; "-ICE", "Delta"))*100, "")</f>
        <v/>
      </c>
      <c r="AJ97" s="683" t="str">
        <f>IFERROR(ABS(RTD("esrtd",,Options[[#This Row],[Index]] &amp; " " &amp; Options[[#This Row],[Month]] &amp; "P" &amp; $AL97*100 &amp; "-ICE", "Market")), "")</f>
        <v/>
      </c>
      <c r="AK97" s="683" t="str">
        <f>IFERROR(ABS(RTD("esrtd",,Options[[#This Row],[Index]] &amp; " " &amp; Options[[#This Row],[Month]] &amp; "P" &amp; $AL97*100 &amp; "-ICE", "ImpVol"))*100, "")</f>
        <v/>
      </c>
      <c r="AL97" s="676" t="e">
        <f t="shared" si="31"/>
        <v>#VALUE!</v>
      </c>
      <c r="AM97" s="684" t="e">
        <f>ABS(_xll.BDP(Options[[#This Row],[C-Ticker]], "OPT_DELTA_YEST"))*100</f>
        <v>#VALUE!</v>
      </c>
      <c r="AN97" s="684" t="str">
        <f>IFERROR(ABS(RTD("esrtd",,Options[[#This Row],[Index]] &amp; " " &amp; Options[[#This Row],[Month]] &amp; "C" &amp; $AL97*100 &amp; "-ICE", "OldSettlement")), "")</f>
        <v/>
      </c>
      <c r="AO97" s="684" t="str">
        <f>IFERROR(ABS(RTD("esrtd",,Options[[#This Row],[Index]] &amp; " " &amp; Options[[#This Row],[Month]] &amp; "C" &amp; $AL97*100 &amp; "-ICE", "OldSetIV"))*100, "")</f>
        <v/>
      </c>
      <c r="AP97" s="684" t="str">
        <f>IFERROR(ABS(RTD("esrtd",,Options[[#This Row],[Index]] &amp; " " &amp; Options[[#This Row],[Month]] &amp; "C" &amp; $AL97*100 &amp; "-ICE", "Delta"))*100, "")</f>
        <v/>
      </c>
      <c r="AQ97" s="684" t="str">
        <f>IFERROR(ABS(RTD("esrtd",,Options[[#This Row],[Index]] &amp; " " &amp; Options[[#This Row],[Month]] &amp; "C" &amp; $AL97*100 &amp; "-ICE", "Market")), "")</f>
        <v/>
      </c>
      <c r="AR97" s="684" t="str">
        <f>IFERROR(ABS(RTD("esrtd",,Options[[#This Row],[Index]] &amp; " " &amp; Options[[#This Row],[Month]] &amp; "C" &amp; $AL97*100 &amp; "-ICE", "ImpVol"))*100, "")</f>
        <v/>
      </c>
    </row>
    <row r="98" spans="1:52" x14ac:dyDescent="0.25">
      <c r="A98" s="601" t="s">
        <v>193</v>
      </c>
      <c r="B98" s="623" t="e">
        <f>(1/6 * (B$29 + B$73) * B$66^3 * B$42 * B$44) / 1000</f>
        <v>#VALUE!</v>
      </c>
      <c r="C98" s="623" t="e">
        <f>(1/6 * (C$29 + C$73) * C$66^3 * C$42 * C$44) / 1000</f>
        <v>#VALUE!</v>
      </c>
      <c r="D98" s="623" t="e">
        <f>(1/6 * (D$29 + D$73) * D$66^3 * D$42 * D$44) / 1000</f>
        <v>#VALUE!</v>
      </c>
      <c r="E98" s="623" t="e">
        <f>(1/6 * (E$29 + E$73) * E$66^3 * E$42 * E$44) / 1000</f>
        <v>#VALUE!</v>
      </c>
      <c r="F98" s="623" t="e">
        <f>(1/6 * (F$29 + F$73) * F$66^3 * F$42 * F$44) / 1000</f>
        <v>#VALUE!</v>
      </c>
      <c r="G98" s="596"/>
      <c r="H98" s="601" t="s">
        <v>193</v>
      </c>
      <c r="I98" s="623" t="e">
        <f>(1/6 * (I$29 + I$73) * I$66^3 * I$42 * I$44) / 1000</f>
        <v>#VALUE!</v>
      </c>
      <c r="J98" s="623" t="e">
        <f>(1/6 * (J$29 + J$73) * J$66^3 * J$42 * J$44) / 1000</f>
        <v>#VALUE!</v>
      </c>
      <c r="K98" s="623" t="e">
        <f>(1/6 * (K$29 + K$73) * K$66^3 * K$42 * K$44) / 1000</f>
        <v>#VALUE!</v>
      </c>
      <c r="AB98" s="596" t="s">
        <v>119</v>
      </c>
      <c r="AC98" s="596" t="s">
        <v>1336</v>
      </c>
      <c r="AD9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8" s="683" t="e">
        <f>ABS(_xll.BDP(Options[[#This Row],[P-Ticker]], "OPT_DELTA_YEST"))*100</f>
        <v>#VALUE!</v>
      </c>
      <c r="AG98" s="683" t="str">
        <f>IFERROR(ABS(RTD("esrtd",,Options[[#This Row],[Index]] &amp; " " &amp; Options[[#This Row],[Month]] &amp; "P" &amp; $AL98*100 &amp; "-ICE", "OldSettlement")), "")</f>
        <v/>
      </c>
      <c r="AH98" s="683" t="str">
        <f>IFERROR(ABS(RTD("esrtd",,Options[[#This Row],[Index]] &amp; " " &amp; Options[[#This Row],[Month]] &amp; "P" &amp; $AL98*100 &amp; "-ICE", "OldSetIV"))*100, "")</f>
        <v/>
      </c>
      <c r="AI98" s="683" t="str">
        <f>IFERROR(ABS(RTD("esrtd",,Options[[#This Row],[Index]] &amp; " " &amp; Options[[#This Row],[Month]] &amp; "P" &amp; $AL98*100 &amp; "-ICE", "Delta"))*100, "")</f>
        <v/>
      </c>
      <c r="AJ98" s="683" t="str">
        <f>IFERROR(ABS(RTD("esrtd",,Options[[#This Row],[Index]] &amp; " " &amp; Options[[#This Row],[Month]] &amp; "P" &amp; $AL98*100 &amp; "-ICE", "Market")), "")</f>
        <v/>
      </c>
      <c r="AK98" s="683" t="str">
        <f>IFERROR(ABS(RTD("esrtd",,Options[[#This Row],[Index]] &amp; " " &amp; Options[[#This Row],[Month]] &amp; "P" &amp; $AL98*100 &amp; "-ICE", "ImpVol"))*100, "")</f>
        <v/>
      </c>
      <c r="AL98" s="676" t="e">
        <f t="shared" si="31"/>
        <v>#VALUE!</v>
      </c>
      <c r="AM98" s="684" t="e">
        <f>ABS(_xll.BDP(Options[[#This Row],[C-Ticker]], "OPT_DELTA_YEST"))*100</f>
        <v>#VALUE!</v>
      </c>
      <c r="AN98" s="684" t="str">
        <f>IFERROR(ABS(RTD("esrtd",,Options[[#This Row],[Index]] &amp; " " &amp; Options[[#This Row],[Month]] &amp; "C" &amp; $AL98*100 &amp; "-ICE", "OldSettlement")), "")</f>
        <v/>
      </c>
      <c r="AO98" s="684" t="str">
        <f>IFERROR(ABS(RTD("esrtd",,Options[[#This Row],[Index]] &amp; " " &amp; Options[[#This Row],[Month]] &amp; "C" &amp; $AL98*100 &amp; "-ICE", "OldSetIV"))*100, "")</f>
        <v/>
      </c>
      <c r="AP98" s="684" t="str">
        <f>IFERROR(ABS(RTD("esrtd",,Options[[#This Row],[Index]] &amp; " " &amp; Options[[#This Row],[Month]] &amp; "C" &amp; $AL98*100 &amp; "-ICE", "Delta"))*100, "")</f>
        <v/>
      </c>
      <c r="AQ98" s="684" t="str">
        <f>IFERROR(ABS(RTD("esrtd",,Options[[#This Row],[Index]] &amp; " " &amp; Options[[#This Row],[Month]] &amp; "C" &amp; $AL98*100 &amp; "-ICE", "Market")), "")</f>
        <v/>
      </c>
      <c r="AR98" s="684" t="str">
        <f>IFERROR(ABS(RTD("esrtd",,Options[[#This Row],[Index]] &amp; " " &amp; Options[[#This Row],[Month]] &amp; "C" &amp; $AL98*100 &amp; "-ICE", "ImpVol"))*100, "")</f>
        <v/>
      </c>
    </row>
    <row r="99" spans="1:52" x14ac:dyDescent="0.25">
      <c r="A99" s="601" t="s">
        <v>194</v>
      </c>
      <c r="B99" s="623" t="e">
        <f ca="1">B$91 - (B$92 + B$93 + B$94 + B$96 + B$97 + B$98)</f>
        <v>#VALUE!</v>
      </c>
      <c r="C99" s="623" t="e">
        <f ca="1">C$91 - (C$92 + C$93 + C$94 + C$96 + C$97 + C$98)</f>
        <v>#VALUE!</v>
      </c>
      <c r="D99" s="623" t="e">
        <f ca="1">D$91 - (D$92 + D$93 + D$94 + D$96 + D$97 + D$98)</f>
        <v>#VALUE!</v>
      </c>
      <c r="E99" s="623" t="e">
        <f ca="1">E$91 - (E$92 + E$93 + E$94 + E$96 + E$97 + E$98)</f>
        <v>#VALUE!</v>
      </c>
      <c r="F99" s="623" t="e">
        <f ca="1">F$91 - (F$92 + F$93 + F$94 + F$96 + F$97 + F$98)</f>
        <v>#VALUE!</v>
      </c>
      <c r="G99" s="596"/>
      <c r="H99" s="601" t="s">
        <v>194</v>
      </c>
      <c r="I99" s="623" t="e">
        <f ca="1">I$91 - (I$92 + I$93 + I$94 + I$96 + I$97 + I$98)</f>
        <v>#VALUE!</v>
      </c>
      <c r="J99" s="623" t="e">
        <f ca="1">J$91 - (J$92 + J$93 + J$94 + J$96 + J$97 + J$98)</f>
        <v>#VALUE!</v>
      </c>
      <c r="K99" s="623" t="e">
        <f ca="1">K$91 - (K$92 + K$93 + K$94 + K$96 + K$97 + K$98)</f>
        <v>#VALUE!</v>
      </c>
      <c r="AB99" s="596" t="s">
        <v>119</v>
      </c>
      <c r="AC99" s="596" t="s">
        <v>1336</v>
      </c>
      <c r="AD9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9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99" s="683" t="e">
        <f>ABS(_xll.BDP(Options[[#This Row],[P-Ticker]], "OPT_DELTA_YEST"))*100</f>
        <v>#VALUE!</v>
      </c>
      <c r="AG99" s="683" t="str">
        <f>IFERROR(ABS(RTD("esrtd",,Options[[#This Row],[Index]] &amp; " " &amp; Options[[#This Row],[Month]] &amp; "P" &amp; $AL99*100 &amp; "-ICE", "OldSettlement")), "")</f>
        <v/>
      </c>
      <c r="AH99" s="683" t="str">
        <f>IFERROR(ABS(RTD("esrtd",,Options[[#This Row],[Index]] &amp; " " &amp; Options[[#This Row],[Month]] &amp; "P" &amp; $AL99*100 &amp; "-ICE", "OldSetIV"))*100, "")</f>
        <v/>
      </c>
      <c r="AI99" s="683" t="str">
        <f>IFERROR(ABS(RTD("esrtd",,Options[[#This Row],[Index]] &amp; " " &amp; Options[[#This Row],[Month]] &amp; "P" &amp; $AL99*100 &amp; "-ICE", "Delta"))*100, "")</f>
        <v/>
      </c>
      <c r="AJ99" s="683" t="str">
        <f>IFERROR(ABS(RTD("esrtd",,Options[[#This Row],[Index]] &amp; " " &amp; Options[[#This Row],[Month]] &amp; "P" &amp; $AL99*100 &amp; "-ICE", "Market")), "")</f>
        <v/>
      </c>
      <c r="AK99" s="683" t="str">
        <f>IFERROR(ABS(RTD("esrtd",,Options[[#This Row],[Index]] &amp; " " &amp; Options[[#This Row],[Month]] &amp; "P" &amp; $AL99*100 &amp; "-ICE", "ImpVol"))*100, "")</f>
        <v/>
      </c>
      <c r="AL99" s="676" t="e">
        <f t="shared" si="31"/>
        <v>#VALUE!</v>
      </c>
      <c r="AM99" s="684" t="e">
        <f>ABS(_xll.BDP(Options[[#This Row],[C-Ticker]], "OPT_DELTA_YEST"))*100</f>
        <v>#VALUE!</v>
      </c>
      <c r="AN99" s="684" t="str">
        <f>IFERROR(ABS(RTD("esrtd",,Options[[#This Row],[Index]] &amp; " " &amp; Options[[#This Row],[Month]] &amp; "C" &amp; $AL99*100 &amp; "-ICE", "OldSettlement")), "")</f>
        <v/>
      </c>
      <c r="AO99" s="684" t="str">
        <f>IFERROR(ABS(RTD("esrtd",,Options[[#This Row],[Index]] &amp; " " &amp; Options[[#This Row],[Month]] &amp; "C" &amp; $AL99*100 &amp; "-ICE", "OldSetIV"))*100, "")</f>
        <v/>
      </c>
      <c r="AP99" s="684" t="str">
        <f>IFERROR(ABS(RTD("esrtd",,Options[[#This Row],[Index]] &amp; " " &amp; Options[[#This Row],[Month]] &amp; "C" &amp; $AL99*100 &amp; "-ICE", "Delta"))*100, "")</f>
        <v/>
      </c>
      <c r="AQ99" s="684" t="str">
        <f>IFERROR(ABS(RTD("esrtd",,Options[[#This Row],[Index]] &amp; " " &amp; Options[[#This Row],[Month]] &amp; "C" &amp; $AL99*100 &amp; "-ICE", "Market")), "")</f>
        <v/>
      </c>
      <c r="AR99" s="684" t="str">
        <f>IFERROR(ABS(RTD("esrtd",,Options[[#This Row],[Index]] &amp; " " &amp; Options[[#This Row],[Month]] &amp; "C" &amp; $AL99*100 &amp; "-ICE", "ImpVol"))*100, "")</f>
        <v/>
      </c>
    </row>
    <row r="100" spans="1:52" x14ac:dyDescent="0.25">
      <c r="AB100" s="596" t="s">
        <v>119</v>
      </c>
      <c r="AC100" s="596" t="s">
        <v>1336</v>
      </c>
      <c r="AD10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0" s="683" t="e">
        <f>ABS(_xll.BDP(Options[[#This Row],[P-Ticker]], "OPT_DELTA_YEST"))*100</f>
        <v>#VALUE!</v>
      </c>
      <c r="AG100" s="683" t="str">
        <f>IFERROR(ABS(RTD("esrtd",,Options[[#This Row],[Index]] &amp; " " &amp; Options[[#This Row],[Month]] &amp; "P" &amp; $AL100*100 &amp; "-ICE", "OldSettlement")), "")</f>
        <v/>
      </c>
      <c r="AH100" s="683" t="str">
        <f>IFERROR(ABS(RTD("esrtd",,Options[[#This Row],[Index]] &amp; " " &amp; Options[[#This Row],[Month]] &amp; "P" &amp; $AL100*100 &amp; "-ICE", "OldSetIV"))*100, "")</f>
        <v/>
      </c>
      <c r="AI100" s="683" t="str">
        <f>IFERROR(ABS(RTD("esrtd",,Options[[#This Row],[Index]] &amp; " " &amp; Options[[#This Row],[Month]] &amp; "P" &amp; $AL100*100 &amp; "-ICE", "Delta"))*100, "")</f>
        <v/>
      </c>
      <c r="AJ100" s="683" t="str">
        <f>IFERROR(ABS(RTD("esrtd",,Options[[#This Row],[Index]] &amp; " " &amp; Options[[#This Row],[Month]] &amp; "P" &amp; $AL100*100 &amp; "-ICE", "Market")), "")</f>
        <v/>
      </c>
      <c r="AK100" s="683" t="str">
        <f>IFERROR(ABS(RTD("esrtd",,Options[[#This Row],[Index]] &amp; " " &amp; Options[[#This Row],[Month]] &amp; "P" &amp; $AL100*100 &amp; "-ICE", "ImpVol"))*100, "")</f>
        <v/>
      </c>
      <c r="AL100" s="676" t="e">
        <f>FLOOR(AL101-0.25, 1)</f>
        <v>#VALUE!</v>
      </c>
      <c r="AM100" s="684" t="e">
        <f>ABS(_xll.BDP(Options[[#This Row],[C-Ticker]], "OPT_DELTA_YEST"))*100</f>
        <v>#VALUE!</v>
      </c>
      <c r="AN100" s="684" t="str">
        <f>IFERROR(ABS(RTD("esrtd",,Options[[#This Row],[Index]] &amp; " " &amp; Options[[#This Row],[Month]] &amp; "C" &amp; $AL100*100 &amp; "-ICE", "OldSettlement")), "")</f>
        <v/>
      </c>
      <c r="AO100" s="684" t="str">
        <f>IFERROR(ABS(RTD("esrtd",,Options[[#This Row],[Index]] &amp; " " &amp; Options[[#This Row],[Month]] &amp; "C" &amp; $AL100*100 &amp; "-ICE", "OldSetIV"))*100, "")</f>
        <v/>
      </c>
      <c r="AP100" s="684" t="str">
        <f>IFERROR(ABS(RTD("esrtd",,Options[[#This Row],[Index]] &amp; " " &amp; Options[[#This Row],[Month]] &amp; "C" &amp; $AL100*100 &amp; "-ICE", "Delta"))*100, "")</f>
        <v/>
      </c>
      <c r="AQ100" s="684" t="str">
        <f>IFERROR(ABS(RTD("esrtd",,Options[[#This Row],[Index]] &amp; " " &amp; Options[[#This Row],[Month]] &amp; "C" &amp; $AL100*100 &amp; "-ICE", "Market")), "")</f>
        <v/>
      </c>
      <c r="AR100" s="684" t="str">
        <f>IFERROR(ABS(RTD("esrtd",,Options[[#This Row],[Index]] &amp; " " &amp; Options[[#This Row],[Month]] &amp; "C" &amp; $AL100*100 &amp; "-ICE", "ImpVol"))*100, "")</f>
        <v/>
      </c>
    </row>
    <row r="101" spans="1:52" x14ac:dyDescent="0.25">
      <c r="AB101" s="596" t="s">
        <v>119</v>
      </c>
      <c r="AC101" s="596" t="s">
        <v>1336</v>
      </c>
      <c r="AD10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1" s="683" t="e">
        <f>ABS(_xll.BDP(Options[[#This Row],[P-Ticker]], "OPT_DELTA_YEST"))*100</f>
        <v>#VALUE!</v>
      </c>
      <c r="AG101" s="683" t="str">
        <f>IFERROR(ABS(RTD("esrtd",,Options[[#This Row],[Index]] &amp; " " &amp; Options[[#This Row],[Month]] &amp; "P" &amp; $AL101*100 &amp; "-ICE", "OldSettlement")), "")</f>
        <v/>
      </c>
      <c r="AH101" s="683" t="str">
        <f>IFERROR(ABS(RTD("esrtd",,Options[[#This Row],[Index]] &amp; " " &amp; Options[[#This Row],[Month]] &amp; "P" &amp; $AL101*100 &amp; "-ICE", "OldSetIV"))*100, "")</f>
        <v/>
      </c>
      <c r="AI101" s="683" t="str">
        <f>IFERROR(ABS(RTD("esrtd",,Options[[#This Row],[Index]] &amp; " " &amp; Options[[#This Row],[Month]] &amp; "P" &amp; $AL101*100 &amp; "-ICE", "Delta"))*100, "")</f>
        <v/>
      </c>
      <c r="AJ101" s="683" t="str">
        <f>IFERROR(ABS(RTD("esrtd",,Options[[#This Row],[Index]] &amp; " " &amp; Options[[#This Row],[Month]] &amp; "P" &amp; $AL101*100 &amp; "-ICE", "Market")), "")</f>
        <v/>
      </c>
      <c r="AK101" s="683" t="str">
        <f>IFERROR(ABS(RTD("esrtd",,Options[[#This Row],[Index]] &amp; " " &amp; Options[[#This Row],[Month]] &amp; "P" &amp; $AL101*100 &amp; "-ICE", "ImpVol"))*100, "")</f>
        <v/>
      </c>
      <c r="AL101" s="676" t="e">
        <f>FLOOR(AL102-0.25, 1)</f>
        <v>#VALUE!</v>
      </c>
      <c r="AM101" s="684" t="e">
        <f>ABS(_xll.BDP(Options[[#This Row],[C-Ticker]], "OPT_DELTA_YEST"))*100</f>
        <v>#VALUE!</v>
      </c>
      <c r="AN101" s="684" t="str">
        <f>IFERROR(ABS(RTD("esrtd",,Options[[#This Row],[Index]] &amp; " " &amp; Options[[#This Row],[Month]] &amp; "C" &amp; $AL101*100 &amp; "-ICE", "OldSettlement")), "")</f>
        <v/>
      </c>
      <c r="AO101" s="684" t="str">
        <f>IFERROR(ABS(RTD("esrtd",,Options[[#This Row],[Index]] &amp; " " &amp; Options[[#This Row],[Month]] &amp; "C" &amp; $AL101*100 &amp; "-ICE", "OldSetIV"))*100, "")</f>
        <v/>
      </c>
      <c r="AP101" s="684" t="str">
        <f>IFERROR(ABS(RTD("esrtd",,Options[[#This Row],[Index]] &amp; " " &amp; Options[[#This Row],[Month]] &amp; "C" &amp; $AL101*100 &amp; "-ICE", "Delta"))*100, "")</f>
        <v/>
      </c>
      <c r="AQ101" s="684" t="str">
        <f>IFERROR(ABS(RTD("esrtd",,Options[[#This Row],[Index]] &amp; " " &amp; Options[[#This Row],[Month]] &amp; "C" &amp; $AL101*100 &amp; "-ICE", "Market")), "")</f>
        <v/>
      </c>
      <c r="AR101" s="684" t="str">
        <f>IFERROR(ABS(RTD("esrtd",,Options[[#This Row],[Index]] &amp; " " &amp; Options[[#This Row],[Month]] &amp; "C" &amp; $AL101*100 &amp; "-ICE", "ImpVol"))*100, "")</f>
        <v/>
      </c>
    </row>
    <row r="102" spans="1:52" x14ac:dyDescent="0.25">
      <c r="AB102" s="596" t="s">
        <v>119</v>
      </c>
      <c r="AC102" s="596" t="s">
        <v>1336</v>
      </c>
      <c r="AD10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2" s="683" t="e">
        <f>ABS(_xll.BDP(Options[[#This Row],[P-Ticker]], "OPT_DELTA_YEST"))*100</f>
        <v>#VALUE!</v>
      </c>
      <c r="AG102" s="683" t="str">
        <f>IFERROR(ABS(RTD("esrtd",,Options[[#This Row],[Index]] &amp; " " &amp; Options[[#This Row],[Month]] &amp; "P" &amp; $AL102*100 &amp; "-ICE", "OldSettlement")), "")</f>
        <v/>
      </c>
      <c r="AH102" s="683" t="str">
        <f>IFERROR(ABS(RTD("esrtd",,Options[[#This Row],[Index]] &amp; " " &amp; Options[[#This Row],[Month]] &amp; "P" &amp; $AL102*100 &amp; "-ICE", "OldSetIV"))*100, "")</f>
        <v/>
      </c>
      <c r="AI102" s="683" t="str">
        <f>IFERROR(ABS(RTD("esrtd",,Options[[#This Row],[Index]] &amp; " " &amp; Options[[#This Row],[Month]] &amp; "P" &amp; $AL102*100 &amp; "-ICE", "Delta"))*100, "")</f>
        <v/>
      </c>
      <c r="AJ102" s="683" t="str">
        <f>IFERROR(ABS(RTD("esrtd",,Options[[#This Row],[Index]] &amp; " " &amp; Options[[#This Row],[Month]] &amp; "P" &amp; $AL102*100 &amp; "-ICE", "Market")), "")</f>
        <v/>
      </c>
      <c r="AK102" s="683" t="str">
        <f>IFERROR(ABS(RTD("esrtd",,Options[[#This Row],[Index]] &amp; " " &amp; Options[[#This Row],[Month]] &amp; "P" &amp; $AL102*100 &amp; "-ICE", "ImpVol"))*100, "")</f>
        <v/>
      </c>
      <c r="AL102" s="690" t="e" cm="1">
        <f t="array" ref="AL102">CEILING(_xll.BDP("COU6 Comdty", "MID"), 1)</f>
        <v>#VALUE!</v>
      </c>
      <c r="AM102" s="684" t="e">
        <f>ABS(_xll.BDP(Options[[#This Row],[C-Ticker]], "OPT_DELTA_YEST"))*100</f>
        <v>#VALUE!</v>
      </c>
      <c r="AN102" s="684" t="str">
        <f>IFERROR(ABS(RTD("esrtd",,Options[[#This Row],[Index]] &amp; " " &amp; Options[[#This Row],[Month]] &amp; "C" &amp; $AL102*100 &amp; "-ICE", "OldSettlement")), "")</f>
        <v/>
      </c>
      <c r="AO102" s="684" t="str">
        <f>IFERROR(ABS(RTD("esrtd",,Options[[#This Row],[Index]] &amp; " " &amp; Options[[#This Row],[Month]] &amp; "C" &amp; $AL102*100 &amp; "-ICE", "OldSetIV"))*100, "")</f>
        <v/>
      </c>
      <c r="AP102" s="684" t="str">
        <f>IFERROR(ABS(RTD("esrtd",,Options[[#This Row],[Index]] &amp; " " &amp; Options[[#This Row],[Month]] &amp; "C" &amp; $AL102*100 &amp; "-ICE", "Delta"))*100, "")</f>
        <v/>
      </c>
      <c r="AQ102" s="684" t="str">
        <f>IFERROR(ABS(RTD("esrtd",,Options[[#This Row],[Index]] &amp; " " &amp; Options[[#This Row],[Month]] &amp; "C" &amp; $AL102*100 &amp; "-ICE", "Market")), "")</f>
        <v/>
      </c>
      <c r="AR102" s="684" t="str">
        <f>IFERROR(ABS(RTD("esrtd",,Options[[#This Row],[Index]] &amp; " " &amp; Options[[#This Row],[Month]] &amp; "C" &amp; $AL102*100 &amp; "-ICE", "ImpVol"))*100, "")</f>
        <v/>
      </c>
    </row>
    <row r="103" spans="1:52" x14ac:dyDescent="0.25">
      <c r="L103" s="596"/>
      <c r="AB103" s="596" t="s">
        <v>119</v>
      </c>
      <c r="AC103" s="596" t="s">
        <v>1336</v>
      </c>
      <c r="AD10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3" s="683" t="e">
        <f>ABS(_xll.BDP(Options[[#This Row],[P-Ticker]], "OPT_DELTA_YEST"))*100</f>
        <v>#VALUE!</v>
      </c>
      <c r="AG103" s="683" t="str">
        <f>IFERROR(ABS(RTD("esrtd",,Options[[#This Row],[Index]] &amp; " " &amp; Options[[#This Row],[Month]] &amp; "P" &amp; $AL103*100 &amp; "-ICE", "OldSettlement")), "")</f>
        <v/>
      </c>
      <c r="AH103" s="683" t="str">
        <f>IFERROR(ABS(RTD("esrtd",,Options[[#This Row],[Index]] &amp; " " &amp; Options[[#This Row],[Month]] &amp; "P" &amp; $AL103*100 &amp; "-ICE", "OldSetIV"))*100, "")</f>
        <v/>
      </c>
      <c r="AI103" s="683" t="str">
        <f>IFERROR(ABS(RTD("esrtd",,Options[[#This Row],[Index]] &amp; " " &amp; Options[[#This Row],[Month]] &amp; "P" &amp; $AL103*100 &amp; "-ICE", "Delta"))*100, "")</f>
        <v/>
      </c>
      <c r="AJ103" s="683" t="str">
        <f>IFERROR(ABS(RTD("esrtd",,Options[[#This Row],[Index]] &amp; " " &amp; Options[[#This Row],[Month]] &amp; "P" &amp; $AL103*100 &amp; "-ICE", "Market")), "")</f>
        <v/>
      </c>
      <c r="AK103" s="683" t="str">
        <f>IFERROR(ABS(RTD("esrtd",,Options[[#This Row],[Index]] &amp; " " &amp; Options[[#This Row],[Month]] &amp; "P" &amp; $AL103*100 &amp; "-ICE", "ImpVol"))*100, "")</f>
        <v/>
      </c>
      <c r="AL103" s="676" t="e">
        <f>CEILING(AL102+0.25, 1)</f>
        <v>#VALUE!</v>
      </c>
      <c r="AM103" s="684" t="e">
        <f>ABS(_xll.BDP(Options[[#This Row],[C-Ticker]], "OPT_DELTA_YEST"))*100</f>
        <v>#VALUE!</v>
      </c>
      <c r="AN103" s="684" t="str">
        <f>IFERROR(ABS(RTD("esrtd",,Options[[#This Row],[Index]] &amp; " " &amp; Options[[#This Row],[Month]] &amp; "C" &amp; $AL103*100 &amp; "-ICE", "OldSettlement")), "")</f>
        <v/>
      </c>
      <c r="AO103" s="684" t="str">
        <f>IFERROR(ABS(RTD("esrtd",,Options[[#This Row],[Index]] &amp; " " &amp; Options[[#This Row],[Month]] &amp; "C" &amp; $AL103*100 &amp; "-ICE", "OldSetIV"))*100, "")</f>
        <v/>
      </c>
      <c r="AP103" s="684" t="str">
        <f>IFERROR(ABS(RTD("esrtd",,Options[[#This Row],[Index]] &amp; " " &amp; Options[[#This Row],[Month]] &amp; "C" &amp; $AL103*100 &amp; "-ICE", "Delta"))*100, "")</f>
        <v/>
      </c>
      <c r="AQ103" s="684" t="str">
        <f>IFERROR(ABS(RTD("esrtd",,Options[[#This Row],[Index]] &amp; " " &amp; Options[[#This Row],[Month]] &amp; "C" &amp; $AL103*100 &amp; "-ICE", "Market")), "")</f>
        <v/>
      </c>
      <c r="AR103" s="684" t="str">
        <f>IFERROR(ABS(RTD("esrtd",,Options[[#This Row],[Index]] &amp; " " &amp; Options[[#This Row],[Month]] &amp; "C" &amp; $AL103*100 &amp; "-ICE", "ImpVol"))*100, "")</f>
        <v/>
      </c>
    </row>
    <row r="104" spans="1:52" x14ac:dyDescent="0.25">
      <c r="L104" s="596"/>
      <c r="AB104" s="596" t="s">
        <v>119</v>
      </c>
      <c r="AC104" s="596" t="s">
        <v>1336</v>
      </c>
      <c r="AD10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4" s="683" t="e">
        <f>ABS(_xll.BDP(Options[[#This Row],[P-Ticker]], "OPT_DELTA_YEST"))*100</f>
        <v>#VALUE!</v>
      </c>
      <c r="AG104" s="683" t="str">
        <f>IFERROR(ABS(RTD("esrtd",,Options[[#This Row],[Index]] &amp; " " &amp; Options[[#This Row],[Month]] &amp; "P" &amp; $AL104*100 &amp; "-ICE", "OldSettlement")), "")</f>
        <v/>
      </c>
      <c r="AH104" s="683" t="str">
        <f>IFERROR(ABS(RTD("esrtd",,Options[[#This Row],[Index]] &amp; " " &amp; Options[[#This Row],[Month]] &amp; "P" &amp; $AL104*100 &amp; "-ICE", "OldSetIV"))*100, "")</f>
        <v/>
      </c>
      <c r="AI104" s="683" t="str">
        <f>IFERROR(ABS(RTD("esrtd",,Options[[#This Row],[Index]] &amp; " " &amp; Options[[#This Row],[Month]] &amp; "P" &amp; $AL104*100 &amp; "-ICE", "Delta"))*100, "")</f>
        <v/>
      </c>
      <c r="AJ104" s="683" t="str">
        <f>IFERROR(ABS(RTD("esrtd",,Options[[#This Row],[Index]] &amp; " " &amp; Options[[#This Row],[Month]] &amp; "P" &amp; $AL104*100 &amp; "-ICE", "Market")), "")</f>
        <v/>
      </c>
      <c r="AK104" s="683" t="str">
        <f>IFERROR(ABS(RTD("esrtd",,Options[[#This Row],[Index]] &amp; " " &amp; Options[[#This Row],[Month]] &amp; "P" &amp; $AL104*100 &amp; "-ICE", "ImpVol"))*100, "")</f>
        <v/>
      </c>
      <c r="AL104" s="676" t="e">
        <f>AL103+1</f>
        <v>#VALUE!</v>
      </c>
      <c r="AM104" s="684" t="e">
        <f>ABS(_xll.BDP(Options[[#This Row],[C-Ticker]], "OPT_DELTA_YEST"))*100</f>
        <v>#VALUE!</v>
      </c>
      <c r="AN104" s="684" t="str">
        <f>IFERROR(ABS(RTD("esrtd",,Options[[#This Row],[Index]] &amp; " " &amp; Options[[#This Row],[Month]] &amp; "C" &amp; $AL104*100 &amp; "-ICE", "OldSettlement")), "")</f>
        <v/>
      </c>
      <c r="AO104" s="684" t="str">
        <f>IFERROR(ABS(RTD("esrtd",,Options[[#This Row],[Index]] &amp; " " &amp; Options[[#This Row],[Month]] &amp; "C" &amp; $AL104*100 &amp; "-ICE", "OldSetIV"))*100, "")</f>
        <v/>
      </c>
      <c r="AP104" s="684" t="str">
        <f>IFERROR(ABS(RTD("esrtd",,Options[[#This Row],[Index]] &amp; " " &amp; Options[[#This Row],[Month]] &amp; "C" &amp; $AL104*100 &amp; "-ICE", "Delta"))*100, "")</f>
        <v/>
      </c>
      <c r="AQ104" s="684" t="str">
        <f>IFERROR(ABS(RTD("esrtd",,Options[[#This Row],[Index]] &amp; " " &amp; Options[[#This Row],[Month]] &amp; "C" &amp; $AL104*100 &amp; "-ICE", "Market")), "")</f>
        <v/>
      </c>
      <c r="AR104" s="684" t="str">
        <f>IFERROR(ABS(RTD("esrtd",,Options[[#This Row],[Index]] &amp; " " &amp; Options[[#This Row],[Month]] &amp; "C" &amp; $AL104*100 &amp; "-ICE", "ImpVol"))*100, "")</f>
        <v/>
      </c>
    </row>
    <row r="105" spans="1:52" x14ac:dyDescent="0.25">
      <c r="L105" s="596"/>
      <c r="AB105" s="596" t="s">
        <v>119</v>
      </c>
      <c r="AC105" s="596" t="s">
        <v>1336</v>
      </c>
      <c r="AD10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5" s="683" t="e">
        <f>ABS(_xll.BDP(Options[[#This Row],[P-Ticker]], "OPT_DELTA_YEST"))*100</f>
        <v>#VALUE!</v>
      </c>
      <c r="AG105" s="683" t="str">
        <f>IFERROR(ABS(RTD("esrtd",,Options[[#This Row],[Index]] &amp; " " &amp; Options[[#This Row],[Month]] &amp; "P" &amp; $AL105*100 &amp; "-ICE", "OldSettlement")), "")</f>
        <v/>
      </c>
      <c r="AH105" s="683" t="str">
        <f>IFERROR(ABS(RTD("esrtd",,Options[[#This Row],[Index]] &amp; " " &amp; Options[[#This Row],[Month]] &amp; "P" &amp; $AL105*100 &amp; "-ICE", "OldSetIV"))*100, "")</f>
        <v/>
      </c>
      <c r="AI105" s="683" t="str">
        <f>IFERROR(ABS(RTD("esrtd",,Options[[#This Row],[Index]] &amp; " " &amp; Options[[#This Row],[Month]] &amp; "P" &amp; $AL105*100 &amp; "-ICE", "Delta"))*100, "")</f>
        <v/>
      </c>
      <c r="AJ105" s="683" t="str">
        <f>IFERROR(ABS(RTD("esrtd",,Options[[#This Row],[Index]] &amp; " " &amp; Options[[#This Row],[Month]] &amp; "P" &amp; $AL105*100 &amp; "-ICE", "Market")), "")</f>
        <v/>
      </c>
      <c r="AK105" s="683" t="str">
        <f>IFERROR(ABS(RTD("esrtd",,Options[[#This Row],[Index]] &amp; " " &amp; Options[[#This Row],[Month]] &amp; "P" &amp; $AL105*100 &amp; "-ICE", "ImpVol"))*100, "")</f>
        <v/>
      </c>
      <c r="AL105" s="676" t="e">
        <f>AL104+1</f>
        <v>#VALUE!</v>
      </c>
      <c r="AM105" s="684" t="e">
        <f>ABS(_xll.BDP(Options[[#This Row],[C-Ticker]], "OPT_DELTA_YEST"))*100</f>
        <v>#VALUE!</v>
      </c>
      <c r="AN105" s="684" t="str">
        <f>IFERROR(ABS(RTD("esrtd",,Options[[#This Row],[Index]] &amp; " " &amp; Options[[#This Row],[Month]] &amp; "C" &amp; $AL105*100 &amp; "-ICE", "OldSettlement")), "")</f>
        <v/>
      </c>
      <c r="AO105" s="684" t="str">
        <f>IFERROR(ABS(RTD("esrtd",,Options[[#This Row],[Index]] &amp; " " &amp; Options[[#This Row],[Month]] &amp; "C" &amp; $AL105*100 &amp; "-ICE", "OldSetIV"))*100, "")</f>
        <v/>
      </c>
      <c r="AP105" s="684" t="str">
        <f>IFERROR(ABS(RTD("esrtd",,Options[[#This Row],[Index]] &amp; " " &amp; Options[[#This Row],[Month]] &amp; "C" &amp; $AL105*100 &amp; "-ICE", "Delta"))*100, "")</f>
        <v/>
      </c>
      <c r="AQ105" s="684" t="str">
        <f>IFERROR(ABS(RTD("esrtd",,Options[[#This Row],[Index]] &amp; " " &amp; Options[[#This Row],[Month]] &amp; "C" &amp; $AL105*100 &amp; "-ICE", "Market")), "")</f>
        <v/>
      </c>
      <c r="AR105" s="684" t="str">
        <f>IFERROR(ABS(RTD("esrtd",,Options[[#This Row],[Index]] &amp; " " &amp; Options[[#This Row],[Month]] &amp; "C" &amp; $AL105*100 &amp; "-ICE", "ImpVol"))*100, "")</f>
        <v/>
      </c>
    </row>
    <row r="106" spans="1:52" x14ac:dyDescent="0.25">
      <c r="L106" s="596"/>
      <c r="AB106" s="596" t="s">
        <v>119</v>
      </c>
      <c r="AC106" s="596" t="s">
        <v>1336</v>
      </c>
      <c r="AD10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6" s="683" t="e">
        <f>ABS(_xll.BDP(Options[[#This Row],[P-Ticker]], "OPT_DELTA_YEST"))*100</f>
        <v>#VALUE!</v>
      </c>
      <c r="AG106" s="683" t="str">
        <f>IFERROR(ABS(RTD("esrtd",,Options[[#This Row],[Index]] &amp; " " &amp; Options[[#This Row],[Month]] &amp; "P" &amp; $AL106*100 &amp; "-ICE", "OldSettlement")), "")</f>
        <v/>
      </c>
      <c r="AH106" s="683" t="str">
        <f>IFERROR(ABS(RTD("esrtd",,Options[[#This Row],[Index]] &amp; " " &amp; Options[[#This Row],[Month]] &amp; "P" &amp; $AL106*100 &amp; "-ICE", "OldSetIV"))*100, "")</f>
        <v/>
      </c>
      <c r="AI106" s="683" t="str">
        <f>IFERROR(ABS(RTD("esrtd",,Options[[#This Row],[Index]] &amp; " " &amp; Options[[#This Row],[Month]] &amp; "P" &amp; $AL106*100 &amp; "-ICE", "Delta"))*100, "")</f>
        <v/>
      </c>
      <c r="AJ106" s="683" t="str">
        <f>IFERROR(ABS(RTD("esrtd",,Options[[#This Row],[Index]] &amp; " " &amp; Options[[#This Row],[Month]] &amp; "P" &amp; $AL106*100 &amp; "-ICE", "Market")), "")</f>
        <v/>
      </c>
      <c r="AK106" s="683" t="str">
        <f>IFERROR(ABS(RTD("esrtd",,Options[[#This Row],[Index]] &amp; " " &amp; Options[[#This Row],[Month]] &amp; "P" &amp; $AL106*100 &amp; "-ICE", "ImpVol"))*100, "")</f>
        <v/>
      </c>
      <c r="AL106" s="676" t="e">
        <f t="shared" ref="AL106:AL111" si="32">AL105+1</f>
        <v>#VALUE!</v>
      </c>
      <c r="AM106" s="684" t="e">
        <f>ABS(_xll.BDP(Options[[#This Row],[C-Ticker]], "OPT_DELTA_YEST"))*100</f>
        <v>#VALUE!</v>
      </c>
      <c r="AN106" s="684" t="str">
        <f>IFERROR(ABS(RTD("esrtd",,Options[[#This Row],[Index]] &amp; " " &amp; Options[[#This Row],[Month]] &amp; "C" &amp; $AL106*100 &amp; "-ICE", "OldSettlement")), "")</f>
        <v/>
      </c>
      <c r="AO106" s="684" t="str">
        <f>IFERROR(ABS(RTD("esrtd",,Options[[#This Row],[Index]] &amp; " " &amp; Options[[#This Row],[Month]] &amp; "C" &amp; $AL106*100 &amp; "-ICE", "OldSetIV"))*100, "")</f>
        <v/>
      </c>
      <c r="AP106" s="684" t="str">
        <f>IFERROR(ABS(RTD("esrtd",,Options[[#This Row],[Index]] &amp; " " &amp; Options[[#This Row],[Month]] &amp; "C" &amp; $AL106*100 &amp; "-ICE", "Delta"))*100, "")</f>
        <v/>
      </c>
      <c r="AQ106" s="684" t="str">
        <f>IFERROR(ABS(RTD("esrtd",,Options[[#This Row],[Index]] &amp; " " &amp; Options[[#This Row],[Month]] &amp; "C" &amp; $AL106*100 &amp; "-ICE", "Market")), "")</f>
        <v/>
      </c>
      <c r="AR106" s="684" t="str">
        <f>IFERROR(ABS(RTD("esrtd",,Options[[#This Row],[Index]] &amp; " " &amp; Options[[#This Row],[Month]] &amp; "C" &amp; $AL106*100 &amp; "-ICE", "ImpVol"))*100, "")</f>
        <v/>
      </c>
    </row>
    <row r="107" spans="1:52" x14ac:dyDescent="0.25">
      <c r="L107" s="596"/>
      <c r="AB107" s="596" t="s">
        <v>119</v>
      </c>
      <c r="AC107" s="596" t="s">
        <v>1336</v>
      </c>
      <c r="AD10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7" s="683" t="e">
        <f>ABS(_xll.BDP(Options[[#This Row],[P-Ticker]], "OPT_DELTA_YEST"))*100</f>
        <v>#VALUE!</v>
      </c>
      <c r="AG107" s="683" t="str">
        <f>IFERROR(ABS(RTD("esrtd",,Options[[#This Row],[Index]] &amp; " " &amp; Options[[#This Row],[Month]] &amp; "P" &amp; $AL107*100 &amp; "-ICE", "OldSettlement")), "")</f>
        <v/>
      </c>
      <c r="AH107" s="683" t="str">
        <f>IFERROR(ABS(RTD("esrtd",,Options[[#This Row],[Index]] &amp; " " &amp; Options[[#This Row],[Month]] &amp; "P" &amp; $AL107*100 &amp; "-ICE", "OldSetIV"))*100, "")</f>
        <v/>
      </c>
      <c r="AI107" s="683" t="str">
        <f>IFERROR(ABS(RTD("esrtd",,Options[[#This Row],[Index]] &amp; " " &amp; Options[[#This Row],[Month]] &amp; "P" &amp; $AL107*100 &amp; "-ICE", "Delta"))*100, "")</f>
        <v/>
      </c>
      <c r="AJ107" s="683" t="str">
        <f>IFERROR(ABS(RTD("esrtd",,Options[[#This Row],[Index]] &amp; " " &amp; Options[[#This Row],[Month]] &amp; "P" &amp; $AL107*100 &amp; "-ICE", "Market")), "")</f>
        <v/>
      </c>
      <c r="AK107" s="683" t="str">
        <f>IFERROR(ABS(RTD("esrtd",,Options[[#This Row],[Index]] &amp; " " &amp; Options[[#This Row],[Month]] &amp; "P" &amp; $AL107*100 &amp; "-ICE", "ImpVol"))*100, "")</f>
        <v/>
      </c>
      <c r="AL107" s="676" t="e">
        <f t="shared" si="32"/>
        <v>#VALUE!</v>
      </c>
      <c r="AM107" s="684" t="e">
        <f>ABS(_xll.BDP(Options[[#This Row],[C-Ticker]], "OPT_DELTA_YEST"))*100</f>
        <v>#VALUE!</v>
      </c>
      <c r="AN107" s="684" t="str">
        <f>IFERROR(ABS(RTD("esrtd",,Options[[#This Row],[Index]] &amp; " " &amp; Options[[#This Row],[Month]] &amp; "C" &amp; $AL107*100 &amp; "-ICE", "OldSettlement")), "")</f>
        <v/>
      </c>
      <c r="AO107" s="684" t="str">
        <f>IFERROR(ABS(RTD("esrtd",,Options[[#This Row],[Index]] &amp; " " &amp; Options[[#This Row],[Month]] &amp; "C" &amp; $AL107*100 &amp; "-ICE", "OldSetIV"))*100, "")</f>
        <v/>
      </c>
      <c r="AP107" s="684" t="str">
        <f>IFERROR(ABS(RTD("esrtd",,Options[[#This Row],[Index]] &amp; " " &amp; Options[[#This Row],[Month]] &amp; "C" &amp; $AL107*100 &amp; "-ICE", "Delta"))*100, "")</f>
        <v/>
      </c>
      <c r="AQ107" s="684" t="str">
        <f>IFERROR(ABS(RTD("esrtd",,Options[[#This Row],[Index]] &amp; " " &amp; Options[[#This Row],[Month]] &amp; "C" &amp; $AL107*100 &amp; "-ICE", "Market")), "")</f>
        <v/>
      </c>
      <c r="AR107" s="684" t="str">
        <f>IFERROR(ABS(RTD("esrtd",,Options[[#This Row],[Index]] &amp; " " &amp; Options[[#This Row],[Month]] &amp; "C" &amp; $AL107*100 &amp; "-ICE", "ImpVol"))*100, "")</f>
        <v/>
      </c>
    </row>
    <row r="108" spans="1:52" x14ac:dyDescent="0.25">
      <c r="L108" s="596"/>
      <c r="AB108" s="596" t="s">
        <v>119</v>
      </c>
      <c r="AC108" s="596" t="s">
        <v>1336</v>
      </c>
      <c r="AD10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8" s="683" t="e">
        <f>ABS(_xll.BDP(Options[[#This Row],[P-Ticker]], "OPT_DELTA_YEST"))*100</f>
        <v>#VALUE!</v>
      </c>
      <c r="AG108" s="683" t="str">
        <f>IFERROR(ABS(RTD("esrtd",,Options[[#This Row],[Index]] &amp; " " &amp; Options[[#This Row],[Month]] &amp; "P" &amp; $AL108*100 &amp; "-ICE", "OldSettlement")), "")</f>
        <v/>
      </c>
      <c r="AH108" s="683" t="str">
        <f>IFERROR(ABS(RTD("esrtd",,Options[[#This Row],[Index]] &amp; " " &amp; Options[[#This Row],[Month]] &amp; "P" &amp; $AL108*100 &amp; "-ICE", "OldSetIV"))*100, "")</f>
        <v/>
      </c>
      <c r="AI108" s="683" t="str">
        <f>IFERROR(ABS(RTD("esrtd",,Options[[#This Row],[Index]] &amp; " " &amp; Options[[#This Row],[Month]] &amp; "P" &amp; $AL108*100 &amp; "-ICE", "Delta"))*100, "")</f>
        <v/>
      </c>
      <c r="AJ108" s="683" t="str">
        <f>IFERROR(ABS(RTD("esrtd",,Options[[#This Row],[Index]] &amp; " " &amp; Options[[#This Row],[Month]] &amp; "P" &amp; $AL108*100 &amp; "-ICE", "Market")), "")</f>
        <v/>
      </c>
      <c r="AK108" s="683" t="str">
        <f>IFERROR(ABS(RTD("esrtd",,Options[[#This Row],[Index]] &amp; " " &amp; Options[[#This Row],[Month]] &amp; "P" &amp; $AL108*100 &amp; "-ICE", "ImpVol"))*100, "")</f>
        <v/>
      </c>
      <c r="AL108" s="676" t="e">
        <f t="shared" si="32"/>
        <v>#VALUE!</v>
      </c>
      <c r="AM108" s="684" t="e">
        <f>ABS(_xll.BDP(Options[[#This Row],[C-Ticker]], "OPT_DELTA_YEST"))*100</f>
        <v>#VALUE!</v>
      </c>
      <c r="AN108" s="684" t="str">
        <f>IFERROR(ABS(RTD("esrtd",,Options[[#This Row],[Index]] &amp; " " &amp; Options[[#This Row],[Month]] &amp; "C" &amp; $AL108*100 &amp; "-ICE", "OldSettlement")), "")</f>
        <v/>
      </c>
      <c r="AO108" s="684" t="str">
        <f>IFERROR(ABS(RTD("esrtd",,Options[[#This Row],[Index]] &amp; " " &amp; Options[[#This Row],[Month]] &amp; "C" &amp; $AL108*100 &amp; "-ICE", "OldSetIV"))*100, "")</f>
        <v/>
      </c>
      <c r="AP108" s="684" t="str">
        <f>IFERROR(ABS(RTD("esrtd",,Options[[#This Row],[Index]] &amp; " " &amp; Options[[#This Row],[Month]] &amp; "C" &amp; $AL108*100 &amp; "-ICE", "Delta"))*100, "")</f>
        <v/>
      </c>
      <c r="AQ108" s="684" t="str">
        <f>IFERROR(ABS(RTD("esrtd",,Options[[#This Row],[Index]] &amp; " " &amp; Options[[#This Row],[Month]] &amp; "C" &amp; $AL108*100 &amp; "-ICE", "Market")), "")</f>
        <v/>
      </c>
      <c r="AR108" s="684" t="str">
        <f>IFERROR(ABS(RTD("esrtd",,Options[[#This Row],[Index]] &amp; " " &amp; Options[[#This Row],[Month]] &amp; "C" &amp; $AL108*100 &amp; "-ICE", "ImpVol"))*100, "")</f>
        <v/>
      </c>
    </row>
    <row r="109" spans="1:52" x14ac:dyDescent="0.25">
      <c r="AB109" s="596" t="s">
        <v>119</v>
      </c>
      <c r="AC109" s="596" t="s">
        <v>1336</v>
      </c>
      <c r="AD10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0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09" s="683" t="e">
        <f>ABS(_xll.BDP(Options[[#This Row],[P-Ticker]], "OPT_DELTA_YEST"))*100</f>
        <v>#VALUE!</v>
      </c>
      <c r="AG109" s="683" t="str">
        <f>IFERROR(ABS(RTD("esrtd",,Options[[#This Row],[Index]] &amp; " " &amp; Options[[#This Row],[Month]] &amp; "P" &amp; $AL109*100 &amp; "-ICE", "OldSettlement")), "")</f>
        <v/>
      </c>
      <c r="AH109" s="683" t="str">
        <f>IFERROR(ABS(RTD("esrtd",,Options[[#This Row],[Index]] &amp; " " &amp; Options[[#This Row],[Month]] &amp; "P" &amp; $AL109*100 &amp; "-ICE", "OldSetIV"))*100, "")</f>
        <v/>
      </c>
      <c r="AI109" s="683" t="str">
        <f>IFERROR(ABS(RTD("esrtd",,Options[[#This Row],[Index]] &amp; " " &amp; Options[[#This Row],[Month]] &amp; "P" &amp; $AL109*100 &amp; "-ICE", "Delta"))*100, "")</f>
        <v/>
      </c>
      <c r="AJ109" s="683" t="str">
        <f>IFERROR(ABS(RTD("esrtd",,Options[[#This Row],[Index]] &amp; " " &amp; Options[[#This Row],[Month]] &amp; "P" &amp; $AL109*100 &amp; "-ICE", "Market")), "")</f>
        <v/>
      </c>
      <c r="AK109" s="683" t="str">
        <f>IFERROR(ABS(RTD("esrtd",,Options[[#This Row],[Index]] &amp; " " &amp; Options[[#This Row],[Month]] &amp; "P" &amp; $AL109*100 &amp; "-ICE", "ImpVol"))*100, "")</f>
        <v/>
      </c>
      <c r="AL109" s="676" t="e">
        <f t="shared" si="32"/>
        <v>#VALUE!</v>
      </c>
      <c r="AM109" s="684" t="e">
        <f>ABS(_xll.BDP(Options[[#This Row],[C-Ticker]], "OPT_DELTA_YEST"))*100</f>
        <v>#VALUE!</v>
      </c>
      <c r="AN109" s="684" t="str">
        <f>IFERROR(ABS(RTD("esrtd",,Options[[#This Row],[Index]] &amp; " " &amp; Options[[#This Row],[Month]] &amp; "C" &amp; $AL109*100 &amp; "-ICE", "OldSettlement")), "")</f>
        <v/>
      </c>
      <c r="AO109" s="684" t="str">
        <f>IFERROR(ABS(RTD("esrtd",,Options[[#This Row],[Index]] &amp; " " &amp; Options[[#This Row],[Month]] &amp; "C" &amp; $AL109*100 &amp; "-ICE", "OldSetIV"))*100, "")</f>
        <v/>
      </c>
      <c r="AP109" s="684" t="str">
        <f>IFERROR(ABS(RTD("esrtd",,Options[[#This Row],[Index]] &amp; " " &amp; Options[[#This Row],[Month]] &amp; "C" &amp; $AL109*100 &amp; "-ICE", "Delta"))*100, "")</f>
        <v/>
      </c>
      <c r="AQ109" s="684" t="str">
        <f>IFERROR(ABS(RTD("esrtd",,Options[[#This Row],[Index]] &amp; " " &amp; Options[[#This Row],[Month]] &amp; "C" &amp; $AL109*100 &amp; "-ICE", "Market")), "")</f>
        <v/>
      </c>
      <c r="AR109" s="684" t="str">
        <f>IFERROR(ABS(RTD("esrtd",,Options[[#This Row],[Index]] &amp; " " &amp; Options[[#This Row],[Month]] &amp; "C" &amp; $AL109*100 &amp; "-ICE", "ImpVol"))*100, "")</f>
        <v/>
      </c>
    </row>
    <row r="110" spans="1:52" x14ac:dyDescent="0.25">
      <c r="AB110" s="596" t="s">
        <v>119</v>
      </c>
      <c r="AC110" s="596" t="s">
        <v>1336</v>
      </c>
      <c r="AD11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1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10" s="683" t="e">
        <f>ABS(_xll.BDP(Options[[#This Row],[P-Ticker]], "OPT_DELTA_YEST"))*100</f>
        <v>#VALUE!</v>
      </c>
      <c r="AG110" s="683" t="str">
        <f>IFERROR(ABS(RTD("esrtd",,Options[[#This Row],[Index]] &amp; " " &amp; Options[[#This Row],[Month]] &amp; "P" &amp; $AL110*100 &amp; "-ICE", "OldSettlement")), "")</f>
        <v/>
      </c>
      <c r="AH110" s="683" t="str">
        <f>IFERROR(ABS(RTD("esrtd",,Options[[#This Row],[Index]] &amp; " " &amp; Options[[#This Row],[Month]] &amp; "P" &amp; $AL110*100 &amp; "-ICE", "OldSetIV"))*100, "")</f>
        <v/>
      </c>
      <c r="AI110" s="683" t="str">
        <f>IFERROR(ABS(RTD("esrtd",,Options[[#This Row],[Index]] &amp; " " &amp; Options[[#This Row],[Month]] &amp; "P" &amp; $AL110*100 &amp; "-ICE", "Delta"))*100, "")</f>
        <v/>
      </c>
      <c r="AJ110" s="683" t="str">
        <f>IFERROR(ABS(RTD("esrtd",,Options[[#This Row],[Index]] &amp; " " &amp; Options[[#This Row],[Month]] &amp; "P" &amp; $AL110*100 &amp; "-ICE", "Market")), "")</f>
        <v/>
      </c>
      <c r="AK110" s="683" t="str">
        <f>IFERROR(ABS(RTD("esrtd",,Options[[#This Row],[Index]] &amp; " " &amp; Options[[#This Row],[Month]] &amp; "P" &amp; $AL110*100 &amp; "-ICE", "ImpVol"))*100, "")</f>
        <v/>
      </c>
      <c r="AL110" s="676" t="e">
        <f t="shared" si="32"/>
        <v>#VALUE!</v>
      </c>
      <c r="AM110" s="684" t="e">
        <f>ABS(_xll.BDP(Options[[#This Row],[C-Ticker]], "OPT_DELTA_YEST"))*100</f>
        <v>#VALUE!</v>
      </c>
      <c r="AN110" s="684" t="str">
        <f>IFERROR(ABS(RTD("esrtd",,Options[[#This Row],[Index]] &amp; " " &amp; Options[[#This Row],[Month]] &amp; "C" &amp; $AL110*100 &amp; "-ICE", "OldSettlement")), "")</f>
        <v/>
      </c>
      <c r="AO110" s="684" t="str">
        <f>IFERROR(ABS(RTD("esrtd",,Options[[#This Row],[Index]] &amp; " " &amp; Options[[#This Row],[Month]] &amp; "C" &amp; $AL110*100 &amp; "-ICE", "OldSetIV"))*100, "")</f>
        <v/>
      </c>
      <c r="AP110" s="684" t="str">
        <f>IFERROR(ABS(RTD("esrtd",,Options[[#This Row],[Index]] &amp; " " &amp; Options[[#This Row],[Month]] &amp; "C" &amp; $AL110*100 &amp; "-ICE", "Delta"))*100, "")</f>
        <v/>
      </c>
      <c r="AQ110" s="684" t="str">
        <f>IFERROR(ABS(RTD("esrtd",,Options[[#This Row],[Index]] &amp; " " &amp; Options[[#This Row],[Month]] &amp; "C" &amp; $AL110*100 &amp; "-ICE", "Market")), "")</f>
        <v/>
      </c>
      <c r="AR110" s="684" t="str">
        <f>IFERROR(ABS(RTD("esrtd",,Options[[#This Row],[Index]] &amp; " " &amp; Options[[#This Row],[Month]] &amp; "C" &amp; $AL110*100 &amp; "-ICE", "ImpVol"))*100, "")</f>
        <v/>
      </c>
      <c r="AT110" s="678"/>
      <c r="AU110" s="677"/>
      <c r="AV110" s="677"/>
      <c r="AX110" s="678"/>
      <c r="AY110" s="677"/>
      <c r="AZ110" s="677"/>
    </row>
    <row r="111" spans="1:52" x14ac:dyDescent="0.25">
      <c r="AB111" s="596" t="s">
        <v>119</v>
      </c>
      <c r="AC111" s="596" t="s">
        <v>1336</v>
      </c>
      <c r="AD11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1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11" s="683" t="e">
        <f>ABS(_xll.BDP(Options[[#This Row],[P-Ticker]], "OPT_DELTA_YEST"))*100</f>
        <v>#VALUE!</v>
      </c>
      <c r="AG111" s="683" t="str">
        <f>IFERROR(ABS(RTD("esrtd",,Options[[#This Row],[Index]] &amp; " " &amp; Options[[#This Row],[Month]] &amp; "P" &amp; $AL111*100 &amp; "-ICE", "OldSettlement")), "")</f>
        <v/>
      </c>
      <c r="AH111" s="683" t="str">
        <f>IFERROR(ABS(RTD("esrtd",,Options[[#This Row],[Index]] &amp; " " &amp; Options[[#This Row],[Month]] &amp; "P" &amp; $AL111*100 &amp; "-ICE", "OldSetIV"))*100, "")</f>
        <v/>
      </c>
      <c r="AI111" s="683" t="str">
        <f>IFERROR(ABS(RTD("esrtd",,Options[[#This Row],[Index]] &amp; " " &amp; Options[[#This Row],[Month]] &amp; "P" &amp; $AL111*100 &amp; "-ICE", "Delta"))*100, "")</f>
        <v/>
      </c>
      <c r="AJ111" s="683" t="str">
        <f>IFERROR(ABS(RTD("esrtd",,Options[[#This Row],[Index]] &amp; " " &amp; Options[[#This Row],[Month]] &amp; "P" &amp; $AL111*100 &amp; "-ICE", "Market")), "")</f>
        <v/>
      </c>
      <c r="AK111" s="683" t="str">
        <f>IFERROR(ABS(RTD("esrtd",,Options[[#This Row],[Index]] &amp; " " &amp; Options[[#This Row],[Month]] &amp; "P" &amp; $AL111*100 &amp; "-ICE", "ImpVol"))*100, "")</f>
        <v/>
      </c>
      <c r="AL111" s="676" t="e">
        <f t="shared" si="32"/>
        <v>#VALUE!</v>
      </c>
      <c r="AM111" s="684" t="e">
        <f>ABS(_xll.BDP(Options[[#This Row],[C-Ticker]], "OPT_DELTA_YEST"))*100</f>
        <v>#VALUE!</v>
      </c>
      <c r="AN111" s="684" t="str">
        <f>IFERROR(ABS(RTD("esrtd",,Options[[#This Row],[Index]] &amp; " " &amp; Options[[#This Row],[Month]] &amp; "C" &amp; $AL111*100 &amp; "-ICE", "OldSettlement")), "")</f>
        <v/>
      </c>
      <c r="AO111" s="684" t="str">
        <f>IFERROR(ABS(RTD("esrtd",,Options[[#This Row],[Index]] &amp; " " &amp; Options[[#This Row],[Month]] &amp; "C" &amp; $AL111*100 &amp; "-ICE", "OldSetIV"))*100, "")</f>
        <v/>
      </c>
      <c r="AP111" s="684" t="str">
        <f>IFERROR(ABS(RTD("esrtd",,Options[[#This Row],[Index]] &amp; " " &amp; Options[[#This Row],[Month]] &amp; "C" &amp; $AL111*100 &amp; "-ICE", "Delta"))*100, "")</f>
        <v/>
      </c>
      <c r="AQ111" s="684" t="str">
        <f>IFERROR(ABS(RTD("esrtd",,Options[[#This Row],[Index]] &amp; " " &amp; Options[[#This Row],[Month]] &amp; "C" &amp; $AL111*100 &amp; "-ICE", "Market")), "")</f>
        <v/>
      </c>
      <c r="AR111" s="684" t="str">
        <f>IFERROR(ABS(RTD("esrtd",,Options[[#This Row],[Index]] &amp; " " &amp; Options[[#This Row],[Month]] &amp; "C" &amp; $AL111*100 &amp; "-ICE", "ImpVol"))*100, "")</f>
        <v/>
      </c>
      <c r="AT111" s="678"/>
      <c r="AU111" s="677"/>
      <c r="AV111" s="677"/>
      <c r="AY111" s="677"/>
      <c r="AZ111" s="677"/>
    </row>
    <row r="112" spans="1:52" x14ac:dyDescent="0.25">
      <c r="AB112" s="596" t="s">
        <v>119</v>
      </c>
      <c r="AC112" s="596" t="s">
        <v>1336</v>
      </c>
      <c r="AD112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100.00 Comdty</v>
      </c>
      <c r="AE112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100.00 Comdty</v>
      </c>
      <c r="AF112" s="683" t="e">
        <f>ABS(_xll.BDP(Options[[#This Row],[P-Ticker]], "OPT_DELTA_YEST"))*100</f>
        <v>#VALUE!</v>
      </c>
      <c r="AG112" s="683" t="str">
        <f>IFERROR(ABS(RTD("esrtd",,Options[[#This Row],[Index]] &amp; " " &amp; Options[[#This Row],[Month]] &amp; "P" &amp; $AL112*100 &amp; "-ICE", "OldSettlement")), "")</f>
        <v/>
      </c>
      <c r="AH112" s="683" t="str">
        <f>IFERROR(ABS(RTD("esrtd",,Options[[#This Row],[Index]] &amp; " " &amp; Options[[#This Row],[Month]] &amp; "P" &amp; $AL112*100 &amp; "-ICE", "OldSetIV"))*100, "")</f>
        <v/>
      </c>
      <c r="AI112" s="683" t="str">
        <f>IFERROR(ABS(RTD("esrtd",,Options[[#This Row],[Index]] &amp; " " &amp; Options[[#This Row],[Month]] &amp; "P" &amp; $AL112*100 &amp; "-ICE", "Delta"))*100, "")</f>
        <v/>
      </c>
      <c r="AJ112" s="683" t="str">
        <f>IFERROR(ABS(RTD("esrtd",,Options[[#This Row],[Index]] &amp; " " &amp; Options[[#This Row],[Month]] &amp; "P" &amp; $AL112*100 &amp; "-ICE", "Market")), "")</f>
        <v/>
      </c>
      <c r="AK112" s="683" t="str">
        <f>IFERROR(ABS(RTD("esrtd",,Options[[#This Row],[Index]] &amp; " " &amp; Options[[#This Row],[Month]] &amp; "P" &amp; $AL112*100 &amp; "-ICE", "ImpVol"))*100, "")</f>
        <v/>
      </c>
      <c r="AL112" s="676">
        <v>100</v>
      </c>
      <c r="AM112" s="684" t="e">
        <f>ABS(_xll.BDP(Options[[#This Row],[C-Ticker]], "OPT_DELTA_YEST"))*100</f>
        <v>#VALUE!</v>
      </c>
      <c r="AN112" s="684" t="str">
        <f>IFERROR(ABS(RTD("esrtd",,Options[[#This Row],[Index]] &amp; " " &amp; Options[[#This Row],[Month]] &amp; "C" &amp; $AL112*100 &amp; "-ICE", "OldSettlement")), "")</f>
        <v/>
      </c>
      <c r="AO112" s="684" t="str">
        <f>IFERROR(ABS(RTD("esrtd",,Options[[#This Row],[Index]] &amp; " " &amp; Options[[#This Row],[Month]] &amp; "C" &amp; $AL112*100 &amp; "-ICE", "OldSetIV"))*100, "")</f>
        <v/>
      </c>
      <c r="AP112" s="684" t="str">
        <f>IFERROR(ABS(RTD("esrtd",,Options[[#This Row],[Index]] &amp; " " &amp; Options[[#This Row],[Month]] &amp; "C" &amp; $AL112*100 &amp; "-ICE", "Delta"))*100, "")</f>
        <v/>
      </c>
      <c r="AQ112" s="684" t="str">
        <f>IFERROR(ABS(RTD("esrtd",,Options[[#This Row],[Index]] &amp; " " &amp; Options[[#This Row],[Month]] &amp; "C" &amp; $AL112*100 &amp; "-ICE", "Market")), "")</f>
        <v/>
      </c>
      <c r="AR112" s="684" t="str">
        <f>IFERROR(ABS(RTD("esrtd",,Options[[#This Row],[Index]] &amp; " " &amp; Options[[#This Row],[Month]] &amp; "C" &amp; $AL112*100 &amp; "-ICE", "ImpVol"))*100, "")</f>
        <v/>
      </c>
      <c r="AT112" s="678"/>
      <c r="AU112" s="677"/>
      <c r="AV112" s="677"/>
      <c r="AX112" s="678"/>
      <c r="AY112" s="677"/>
      <c r="AZ112" s="677"/>
    </row>
    <row r="113" spans="7:52" x14ac:dyDescent="0.25">
      <c r="G113" s="596"/>
      <c r="AB113" s="596" t="s">
        <v>119</v>
      </c>
      <c r="AC113" s="596" t="s">
        <v>1336</v>
      </c>
      <c r="AD113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109.00 Comdty</v>
      </c>
      <c r="AE113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109.00 Comdty</v>
      </c>
      <c r="AF113" s="683" t="e">
        <f>ABS(_xll.BDP(Options[[#This Row],[P-Ticker]], "OPT_DELTA_YEST"))*100</f>
        <v>#VALUE!</v>
      </c>
      <c r="AG113" s="683" t="str">
        <f>IFERROR(ABS(RTD("esrtd",,Options[[#This Row],[Index]] &amp; " " &amp; Options[[#This Row],[Month]] &amp; "P" &amp; $AL113*100 &amp; "-ICE", "OldSettlement")), "")</f>
        <v/>
      </c>
      <c r="AH113" s="683" t="str">
        <f>IFERROR(ABS(RTD("esrtd",,Options[[#This Row],[Index]] &amp; " " &amp; Options[[#This Row],[Month]] &amp; "P" &amp; $AL113*100 &amp; "-ICE", "OldSetIV"))*100, "")</f>
        <v/>
      </c>
      <c r="AI113" s="683" t="str">
        <f>IFERROR(ABS(RTD("esrtd",,Options[[#This Row],[Index]] &amp; " " &amp; Options[[#This Row],[Month]] &amp; "P" &amp; $AL113*100 &amp; "-ICE", "Delta"))*100, "")</f>
        <v/>
      </c>
      <c r="AJ113" s="683" t="str">
        <f>IFERROR(ABS(RTD("esrtd",,Options[[#This Row],[Index]] &amp; " " &amp; Options[[#This Row],[Month]] &amp; "P" &amp; $AL113*100 &amp; "-ICE", "Market")), "")</f>
        <v/>
      </c>
      <c r="AK113" s="683" t="str">
        <f>IFERROR(ABS(RTD("esrtd",,Options[[#This Row],[Index]] &amp; " " &amp; Options[[#This Row],[Month]] &amp; "P" &amp; $AL113*100 &amp; "-ICE", "ImpVol"))*100, "")</f>
        <v/>
      </c>
      <c r="AL113" s="676">
        <v>109</v>
      </c>
      <c r="AM113" s="684" t="e">
        <f>ABS(_xll.BDP(Options[[#This Row],[C-Ticker]], "OPT_DELTA_YEST"))*100</f>
        <v>#VALUE!</v>
      </c>
      <c r="AN113" s="684" t="str">
        <f>IFERROR(ABS(RTD("esrtd",,Options[[#This Row],[Index]] &amp; " " &amp; Options[[#This Row],[Month]] &amp; "C" &amp; $AL113*100 &amp; "-ICE", "OldSettlement")), "")</f>
        <v/>
      </c>
      <c r="AO113" s="684" t="str">
        <f>IFERROR(ABS(RTD("esrtd",,Options[[#This Row],[Index]] &amp; " " &amp; Options[[#This Row],[Month]] &amp; "C" &amp; $AL113*100 &amp; "-ICE", "OldSetIV"))*100, "")</f>
        <v/>
      </c>
      <c r="AP113" s="684" t="str">
        <f>IFERROR(ABS(RTD("esrtd",,Options[[#This Row],[Index]] &amp; " " &amp; Options[[#This Row],[Month]] &amp; "C" &amp; $AL113*100 &amp; "-ICE", "Delta"))*100, "")</f>
        <v/>
      </c>
      <c r="AQ113" s="684" t="str">
        <f>IFERROR(ABS(RTD("esrtd",,Options[[#This Row],[Index]] &amp; " " &amp; Options[[#This Row],[Month]] &amp; "C" &amp; $AL113*100 &amp; "-ICE", "Market")), "")</f>
        <v/>
      </c>
      <c r="AR113" s="684" t="str">
        <f>IFERROR(ABS(RTD("esrtd",,Options[[#This Row],[Index]] &amp; " " &amp; Options[[#This Row],[Month]] &amp; "C" &amp; $AL113*100 &amp; "-ICE", "ImpVol"))*100, "")</f>
        <v/>
      </c>
      <c r="AT113" s="678"/>
      <c r="AU113" s="677"/>
      <c r="AV113" s="677"/>
      <c r="AX113" s="678"/>
      <c r="AY113" s="677"/>
      <c r="AZ113" s="677"/>
    </row>
    <row r="114" spans="7:52" x14ac:dyDescent="0.25">
      <c r="G114" s="596"/>
      <c r="AB114" s="596" t="s">
        <v>119</v>
      </c>
      <c r="AC114" s="596" t="s">
        <v>1336</v>
      </c>
      <c r="AD114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110.00 Comdty</v>
      </c>
      <c r="AE114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110.00 Comdty</v>
      </c>
      <c r="AF114" s="683" t="e">
        <f>ABS(_xll.BDP(Options[[#This Row],[P-Ticker]], "OPT_DELTA_YEST"))*100</f>
        <v>#VALUE!</v>
      </c>
      <c r="AG114" s="683" t="str">
        <f>IFERROR(ABS(RTD("esrtd",,Options[[#This Row],[Index]] &amp; " " &amp; Options[[#This Row],[Month]] &amp; "P" &amp; $AL114*100 &amp; "-ICE", "OldSettlement")), "")</f>
        <v/>
      </c>
      <c r="AH114" s="683" t="str">
        <f>IFERROR(ABS(RTD("esrtd",,Options[[#This Row],[Index]] &amp; " " &amp; Options[[#This Row],[Month]] &amp; "P" &amp; $AL114*100 &amp; "-ICE", "OldSetIV"))*100, "")</f>
        <v/>
      </c>
      <c r="AI114" s="683" t="str">
        <f>IFERROR(ABS(RTD("esrtd",,Options[[#This Row],[Index]] &amp; " " &amp; Options[[#This Row],[Month]] &amp; "P" &amp; $AL114*100 &amp; "-ICE", "Delta"))*100, "")</f>
        <v/>
      </c>
      <c r="AJ114" s="683" t="str">
        <f>IFERROR(ABS(RTD("esrtd",,Options[[#This Row],[Index]] &amp; " " &amp; Options[[#This Row],[Month]] &amp; "P" &amp; $AL114*100 &amp; "-ICE", "Market")), "")</f>
        <v/>
      </c>
      <c r="AK114" s="683" t="str">
        <f>IFERROR(ABS(RTD("esrtd",,Options[[#This Row],[Index]] &amp; " " &amp; Options[[#This Row],[Month]] &amp; "P" &amp; $AL114*100 &amp; "-ICE", "ImpVol"))*100, "")</f>
        <v/>
      </c>
      <c r="AL114" s="676">
        <v>110</v>
      </c>
      <c r="AM114" s="684" t="e">
        <f>ABS(_xll.BDP(Options[[#This Row],[C-Ticker]], "OPT_DELTA_YEST"))*100</f>
        <v>#VALUE!</v>
      </c>
      <c r="AN114" s="684" t="str">
        <f>IFERROR(ABS(RTD("esrtd",,Options[[#This Row],[Index]] &amp; " " &amp; Options[[#This Row],[Month]] &amp; "C" &amp; $AL114*100 &amp; "-ICE", "OldSettlement")), "")</f>
        <v/>
      </c>
      <c r="AO114" s="684" t="str">
        <f>IFERROR(ABS(RTD("esrtd",,Options[[#This Row],[Index]] &amp; " " &amp; Options[[#This Row],[Month]] &amp; "C" &amp; $AL114*100 &amp; "-ICE", "OldSetIV"))*100, "")</f>
        <v/>
      </c>
      <c r="AP114" s="684" t="str">
        <f>IFERROR(ABS(RTD("esrtd",,Options[[#This Row],[Index]] &amp; " " &amp; Options[[#This Row],[Month]] &amp; "C" &amp; $AL114*100 &amp; "-ICE", "Delta"))*100, "")</f>
        <v/>
      </c>
      <c r="AQ114" s="684" t="str">
        <f>IFERROR(ABS(RTD("esrtd",,Options[[#This Row],[Index]] &amp; " " &amp; Options[[#This Row],[Month]] &amp; "C" &amp; $AL114*100 &amp; "-ICE", "Market")), "")</f>
        <v/>
      </c>
      <c r="AR114" s="684" t="str">
        <f>IFERROR(ABS(RTD("esrtd",,Options[[#This Row],[Index]] &amp; " " &amp; Options[[#This Row],[Month]] &amp; "C" &amp; $AL114*100 &amp; "-ICE", "ImpVol"))*100, "")</f>
        <v/>
      </c>
      <c r="AT114" s="678"/>
      <c r="AU114" s="677"/>
      <c r="AV114" s="677"/>
      <c r="AX114" s="678"/>
      <c r="AY114" s="677"/>
      <c r="AZ114" s="677"/>
    </row>
    <row r="115" spans="7:52" x14ac:dyDescent="0.25">
      <c r="G115" s="596"/>
      <c r="AB115" s="596" t="s">
        <v>119</v>
      </c>
      <c r="AC115" s="596" t="s">
        <v>1336</v>
      </c>
      <c r="AD115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112.00 Comdty</v>
      </c>
      <c r="AE115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112.00 Comdty</v>
      </c>
      <c r="AF115" s="683" t="e">
        <f>ABS(_xll.BDP(Options[[#This Row],[P-Ticker]], "OPT_DELTA_YEST"))*100</f>
        <v>#VALUE!</v>
      </c>
      <c r="AG115" s="683" t="str">
        <f>IFERROR(ABS(RTD("esrtd",,Options[[#This Row],[Index]] &amp; " " &amp; Options[[#This Row],[Month]] &amp; "P" &amp; $AL115*100 &amp; "-ICE", "OldSettlement")), "")</f>
        <v/>
      </c>
      <c r="AH115" s="683" t="str">
        <f>IFERROR(ABS(RTD("esrtd",,Options[[#This Row],[Index]] &amp; " " &amp; Options[[#This Row],[Month]] &amp; "P" &amp; $AL115*100 &amp; "-ICE", "OldSetIV"))*100, "")</f>
        <v/>
      </c>
      <c r="AI115" s="683" t="str">
        <f>IFERROR(ABS(RTD("esrtd",,Options[[#This Row],[Index]] &amp; " " &amp; Options[[#This Row],[Month]] &amp; "P" &amp; $AL115*100 &amp; "-ICE", "Delta"))*100, "")</f>
        <v/>
      </c>
      <c r="AJ115" s="683" t="str">
        <f>IFERROR(ABS(RTD("esrtd",,Options[[#This Row],[Index]] &amp; " " &amp; Options[[#This Row],[Month]] &amp; "P" &amp; $AL115*100 &amp; "-ICE", "Market")), "")</f>
        <v/>
      </c>
      <c r="AK115" s="683" t="str">
        <f>IFERROR(ABS(RTD("esrtd",,Options[[#This Row],[Index]] &amp; " " &amp; Options[[#This Row],[Month]] &amp; "P" &amp; $AL115*100 &amp; "-ICE", "ImpVol"))*100, "")</f>
        <v/>
      </c>
      <c r="AL115" s="676">
        <v>112</v>
      </c>
      <c r="AM115" s="684" t="e">
        <f>ABS(_xll.BDP(Options[[#This Row],[C-Ticker]], "OPT_DELTA_YEST"))*100</f>
        <v>#VALUE!</v>
      </c>
      <c r="AN115" s="684" t="str">
        <f>IFERROR(ABS(RTD("esrtd",,Options[[#This Row],[Index]] &amp; " " &amp; Options[[#This Row],[Month]] &amp; "C" &amp; $AL115*100 &amp; "-ICE", "OldSettlement")), "")</f>
        <v/>
      </c>
      <c r="AO115" s="684" t="str">
        <f>IFERROR(ABS(RTD("esrtd",,Options[[#This Row],[Index]] &amp; " " &amp; Options[[#This Row],[Month]] &amp; "C" &amp; $AL115*100 &amp; "-ICE", "OldSetIV"))*100, "")</f>
        <v/>
      </c>
      <c r="AP115" s="684" t="str">
        <f>IFERROR(ABS(RTD("esrtd",,Options[[#This Row],[Index]] &amp; " " &amp; Options[[#This Row],[Month]] &amp; "C" &amp; $AL115*100 &amp; "-ICE", "Delta"))*100, "")</f>
        <v/>
      </c>
      <c r="AQ115" s="684" t="str">
        <f>IFERROR(ABS(RTD("esrtd",,Options[[#This Row],[Index]] &amp; " " &amp; Options[[#This Row],[Month]] &amp; "C" &amp; $AL115*100 &amp; "-ICE", "Market")), "")</f>
        <v/>
      </c>
      <c r="AR115" s="684" t="str">
        <f>IFERROR(ABS(RTD("esrtd",,Options[[#This Row],[Index]] &amp; " " &amp; Options[[#This Row],[Month]] &amp; "C" &amp; $AL115*100 &amp; "-ICE", "ImpVol"))*100, "")</f>
        <v/>
      </c>
      <c r="AT115" s="678"/>
      <c r="AU115" s="677"/>
      <c r="AV115" s="677"/>
      <c r="AX115" s="678"/>
      <c r="AY115" s="677"/>
      <c r="AZ115" s="677"/>
    </row>
    <row r="116" spans="7:52" x14ac:dyDescent="0.25">
      <c r="G116" s="596"/>
      <c r="AB116" s="596" t="s">
        <v>119</v>
      </c>
      <c r="AC116" s="596" t="s">
        <v>1336</v>
      </c>
      <c r="AD116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113.00 Comdty</v>
      </c>
      <c r="AE116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113.00 Comdty</v>
      </c>
      <c r="AF116" s="683" t="e">
        <f>ABS(_xll.BDP(Options[[#This Row],[P-Ticker]], "OPT_DELTA_YEST"))*100</f>
        <v>#VALUE!</v>
      </c>
      <c r="AG116" s="683" t="str">
        <f>IFERROR(ABS(RTD("esrtd",,Options[[#This Row],[Index]] &amp; " " &amp; Options[[#This Row],[Month]] &amp; "P" &amp; $AL116*100 &amp; "-ICE", "OldSettlement")), "")</f>
        <v/>
      </c>
      <c r="AH116" s="683" t="str">
        <f>IFERROR(ABS(RTD("esrtd",,Options[[#This Row],[Index]] &amp; " " &amp; Options[[#This Row],[Month]] &amp; "P" &amp; $AL116*100 &amp; "-ICE", "OldSetIV"))*100, "")</f>
        <v/>
      </c>
      <c r="AI116" s="683" t="str">
        <f>IFERROR(ABS(RTD("esrtd",,Options[[#This Row],[Index]] &amp; " " &amp; Options[[#This Row],[Month]] &amp; "P" &amp; $AL116*100 &amp; "-ICE", "Delta"))*100, "")</f>
        <v/>
      </c>
      <c r="AJ116" s="683" t="str">
        <f>IFERROR(ABS(RTD("esrtd",,Options[[#This Row],[Index]] &amp; " " &amp; Options[[#This Row],[Month]] &amp; "P" &amp; $AL116*100 &amp; "-ICE", "Market")), "")</f>
        <v/>
      </c>
      <c r="AK116" s="683" t="str">
        <f>IFERROR(ABS(RTD("esrtd",,Options[[#This Row],[Index]] &amp; " " &amp; Options[[#This Row],[Month]] &amp; "P" &amp; $AL116*100 &amp; "-ICE", "ImpVol"))*100, "")</f>
        <v/>
      </c>
      <c r="AL116" s="676">
        <v>113</v>
      </c>
      <c r="AM116" s="684" t="e">
        <f>ABS(_xll.BDP(Options[[#This Row],[C-Ticker]], "OPT_DELTA_YEST"))*100</f>
        <v>#VALUE!</v>
      </c>
      <c r="AN116" s="684" t="str">
        <f>IFERROR(ABS(RTD("esrtd",,Options[[#This Row],[Index]] &amp; " " &amp; Options[[#This Row],[Month]] &amp; "C" &amp; $AL116*100 &amp; "-ICE", "OldSettlement")), "")</f>
        <v/>
      </c>
      <c r="AO116" s="684" t="str">
        <f>IFERROR(ABS(RTD("esrtd",,Options[[#This Row],[Index]] &amp; " " &amp; Options[[#This Row],[Month]] &amp; "C" &amp; $AL116*100 &amp; "-ICE", "OldSetIV"))*100, "")</f>
        <v/>
      </c>
      <c r="AP116" s="684" t="str">
        <f>IFERROR(ABS(RTD("esrtd",,Options[[#This Row],[Index]] &amp; " " &amp; Options[[#This Row],[Month]] &amp; "C" &amp; $AL116*100 &amp; "-ICE", "Delta"))*100, "")</f>
        <v/>
      </c>
      <c r="AQ116" s="684" t="str">
        <f>IFERROR(ABS(RTD("esrtd",,Options[[#This Row],[Index]] &amp; " " &amp; Options[[#This Row],[Month]] &amp; "C" &amp; $AL116*100 &amp; "-ICE", "Market")), "")</f>
        <v/>
      </c>
      <c r="AR116" s="684" t="str">
        <f>IFERROR(ABS(RTD("esrtd",,Options[[#This Row],[Index]] &amp; " " &amp; Options[[#This Row],[Month]] &amp; "C" &amp; $AL116*100 &amp; "-ICE", "ImpVol"))*100, "")</f>
        <v/>
      </c>
      <c r="AT116" s="678"/>
      <c r="AU116" s="677"/>
      <c r="AV116" s="677"/>
      <c r="AX116" s="678"/>
      <c r="AY116" s="677"/>
      <c r="AZ116" s="677"/>
    </row>
    <row r="117" spans="7:52" x14ac:dyDescent="0.25">
      <c r="G117" s="596"/>
      <c r="AB117" s="596" t="s">
        <v>119</v>
      </c>
      <c r="AC117" s="596" t="s">
        <v>1336</v>
      </c>
      <c r="AD117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115.00 Comdty</v>
      </c>
      <c r="AE117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115.00 Comdty</v>
      </c>
      <c r="AF117" s="683" t="e">
        <f>ABS(_xll.BDP(Options[[#This Row],[P-Ticker]], "OPT_DELTA_YEST"))*100</f>
        <v>#VALUE!</v>
      </c>
      <c r="AG117" s="683" t="str">
        <f>IFERROR(ABS(RTD("esrtd",,Options[[#This Row],[Index]] &amp; " " &amp; Options[[#This Row],[Month]] &amp; "P" &amp; $AL117*100 &amp; "-ICE", "OldSettlement")), "")</f>
        <v/>
      </c>
      <c r="AH117" s="683" t="str">
        <f>IFERROR(ABS(RTD("esrtd",,Options[[#This Row],[Index]] &amp; " " &amp; Options[[#This Row],[Month]] &amp; "P" &amp; $AL117*100 &amp; "-ICE", "OldSetIV"))*100, "")</f>
        <v/>
      </c>
      <c r="AI117" s="683" t="str">
        <f>IFERROR(ABS(RTD("esrtd",,Options[[#This Row],[Index]] &amp; " " &amp; Options[[#This Row],[Month]] &amp; "P" &amp; $AL117*100 &amp; "-ICE", "Delta"))*100, "")</f>
        <v/>
      </c>
      <c r="AJ117" s="683" t="str">
        <f>IFERROR(ABS(RTD("esrtd",,Options[[#This Row],[Index]] &amp; " " &amp; Options[[#This Row],[Month]] &amp; "P" &amp; $AL117*100 &amp; "-ICE", "Market")), "")</f>
        <v/>
      </c>
      <c r="AK117" s="683" t="str">
        <f>IFERROR(ABS(RTD("esrtd",,Options[[#This Row],[Index]] &amp; " " &amp; Options[[#This Row],[Month]] &amp; "P" &amp; $AL117*100 &amp; "-ICE", "ImpVol"))*100, "")</f>
        <v/>
      </c>
      <c r="AL117" s="676">
        <v>115</v>
      </c>
      <c r="AM117" s="684" t="e">
        <f>ABS(_xll.BDP(Options[[#This Row],[C-Ticker]], "OPT_DELTA_YEST"))*100</f>
        <v>#VALUE!</v>
      </c>
      <c r="AN117" s="684" t="str">
        <f>IFERROR(ABS(RTD("esrtd",,Options[[#This Row],[Index]] &amp; " " &amp; Options[[#This Row],[Month]] &amp; "C" &amp; $AL117*100 &amp; "-ICE", "OldSettlement")), "")</f>
        <v/>
      </c>
      <c r="AO117" s="684" t="str">
        <f>IFERROR(ABS(RTD("esrtd",,Options[[#This Row],[Index]] &amp; " " &amp; Options[[#This Row],[Month]] &amp; "C" &amp; $AL117*100 &amp; "-ICE", "OldSetIV"))*100, "")</f>
        <v/>
      </c>
      <c r="AP117" s="684" t="str">
        <f>IFERROR(ABS(RTD("esrtd",,Options[[#This Row],[Index]] &amp; " " &amp; Options[[#This Row],[Month]] &amp; "C" &amp; $AL117*100 &amp; "-ICE", "Delta"))*100, "")</f>
        <v/>
      </c>
      <c r="AQ117" s="684" t="str">
        <f>IFERROR(ABS(RTD("esrtd",,Options[[#This Row],[Index]] &amp; " " &amp; Options[[#This Row],[Month]] &amp; "C" &amp; $AL117*100 &amp; "-ICE", "Market")), "")</f>
        <v/>
      </c>
      <c r="AR117" s="684" t="str">
        <f>IFERROR(ABS(RTD("esrtd",,Options[[#This Row],[Index]] &amp; " " &amp; Options[[#This Row],[Month]] &amp; "C" &amp; $AL117*100 &amp; "-ICE", "ImpVol"))*100, "")</f>
        <v/>
      </c>
      <c r="AT117" s="678"/>
      <c r="AU117" s="677"/>
      <c r="AV117" s="677"/>
      <c r="AX117" s="678"/>
      <c r="AY117" s="677"/>
      <c r="AZ117" s="677"/>
    </row>
    <row r="118" spans="7:52" x14ac:dyDescent="0.25">
      <c r="G118" s="596"/>
      <c r="AB118" s="596" t="s">
        <v>119</v>
      </c>
      <c r="AC118" s="596" t="s">
        <v>1336</v>
      </c>
      <c r="AD118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120.00 Comdty</v>
      </c>
      <c r="AE118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120.00 Comdty</v>
      </c>
      <c r="AF118" s="683" t="e">
        <f>ABS(_xll.BDP(Options[[#This Row],[P-Ticker]], "OPT_DELTA_YEST"))*100</f>
        <v>#VALUE!</v>
      </c>
      <c r="AG118" s="683" t="str">
        <f>IFERROR(ABS(RTD("esrtd",,Options[[#This Row],[Index]] &amp; " " &amp; Options[[#This Row],[Month]] &amp; "P" &amp; $AL118*100 &amp; "-ICE", "OldSettlement")), "")</f>
        <v/>
      </c>
      <c r="AH118" s="683" t="str">
        <f>IFERROR(ABS(RTD("esrtd",,Options[[#This Row],[Index]] &amp; " " &amp; Options[[#This Row],[Month]] &amp; "P" &amp; $AL118*100 &amp; "-ICE", "OldSetIV"))*100, "")</f>
        <v/>
      </c>
      <c r="AI118" s="683" t="str">
        <f>IFERROR(ABS(RTD("esrtd",,Options[[#This Row],[Index]] &amp; " " &amp; Options[[#This Row],[Month]] &amp; "P" &amp; $AL118*100 &amp; "-ICE", "Delta"))*100, "")</f>
        <v/>
      </c>
      <c r="AJ118" s="683" t="str">
        <f>IFERROR(ABS(RTD("esrtd",,Options[[#This Row],[Index]] &amp; " " &amp; Options[[#This Row],[Month]] &amp; "P" &amp; $AL118*100 &amp; "-ICE", "Market")), "")</f>
        <v/>
      </c>
      <c r="AK118" s="683" t="str">
        <f>IFERROR(ABS(RTD("esrtd",,Options[[#This Row],[Index]] &amp; " " &amp; Options[[#This Row],[Month]] &amp; "P" &amp; $AL118*100 &amp; "-ICE", "ImpVol"))*100, "")</f>
        <v/>
      </c>
      <c r="AL118" s="676">
        <v>120</v>
      </c>
      <c r="AM118" s="684" t="e">
        <f>ABS(_xll.BDP(Options[[#This Row],[C-Ticker]], "OPT_DELTA_YEST"))*100</f>
        <v>#VALUE!</v>
      </c>
      <c r="AN118" s="684" t="str">
        <f>IFERROR(ABS(RTD("esrtd",,Options[[#This Row],[Index]] &amp; " " &amp; Options[[#This Row],[Month]] &amp; "C" &amp; $AL118*100 &amp; "-ICE", "OldSettlement")), "")</f>
        <v/>
      </c>
      <c r="AO118" s="684" t="str">
        <f>IFERROR(ABS(RTD("esrtd",,Options[[#This Row],[Index]] &amp; " " &amp; Options[[#This Row],[Month]] &amp; "C" &amp; $AL118*100 &amp; "-ICE", "OldSetIV"))*100, "")</f>
        <v/>
      </c>
      <c r="AP118" s="684" t="str">
        <f>IFERROR(ABS(RTD("esrtd",,Options[[#This Row],[Index]] &amp; " " &amp; Options[[#This Row],[Month]] &amp; "C" &amp; $AL118*100 &amp; "-ICE", "Delta"))*100, "")</f>
        <v/>
      </c>
      <c r="AQ118" s="684" t="str">
        <f>IFERROR(ABS(RTD("esrtd",,Options[[#This Row],[Index]] &amp; " " &amp; Options[[#This Row],[Month]] &amp; "C" &amp; $AL118*100 &amp; "-ICE", "Market")), "")</f>
        <v/>
      </c>
      <c r="AR118" s="684" t="str">
        <f>IFERROR(ABS(RTD("esrtd",,Options[[#This Row],[Index]] &amp; " " &amp; Options[[#This Row],[Month]] &amp; "C" &amp; $AL118*100 &amp; "-ICE", "ImpVol"))*100, "")</f>
        <v/>
      </c>
      <c r="AT118" s="678"/>
      <c r="AU118" s="677"/>
      <c r="AV118" s="677"/>
      <c r="AX118" s="678"/>
      <c r="AY118" s="677"/>
      <c r="AZ118" s="677"/>
    </row>
    <row r="119" spans="7:52" x14ac:dyDescent="0.25">
      <c r="G119" s="596"/>
      <c r="AB119" s="596" t="s">
        <v>119</v>
      </c>
      <c r="AC119" s="596" t="s">
        <v>1336</v>
      </c>
      <c r="AD119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125.00 Comdty</v>
      </c>
      <c r="AE119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125.00 Comdty</v>
      </c>
      <c r="AF119" s="683" t="e">
        <f>ABS(_xll.BDP(Options[[#This Row],[P-Ticker]], "OPT_DELTA_YEST"))*100</f>
        <v>#VALUE!</v>
      </c>
      <c r="AG119" s="683" t="str">
        <f>IFERROR(ABS(RTD("esrtd",,Options[[#This Row],[Index]] &amp; " " &amp; Options[[#This Row],[Month]] &amp; "P" &amp; $AL119*100 &amp; "-ICE", "OldSettlement")), "")</f>
        <v/>
      </c>
      <c r="AH119" s="683" t="str">
        <f>IFERROR(ABS(RTD("esrtd",,Options[[#This Row],[Index]] &amp; " " &amp; Options[[#This Row],[Month]] &amp; "P" &amp; $AL119*100 &amp; "-ICE", "OldSetIV"))*100, "")</f>
        <v/>
      </c>
      <c r="AI119" s="683" t="str">
        <f>IFERROR(ABS(RTD("esrtd",,Options[[#This Row],[Index]] &amp; " " &amp; Options[[#This Row],[Month]] &amp; "P" &amp; $AL119*100 &amp; "-ICE", "Delta"))*100, "")</f>
        <v/>
      </c>
      <c r="AJ119" s="683" t="str">
        <f>IFERROR(ABS(RTD("esrtd",,Options[[#This Row],[Index]] &amp; " " &amp; Options[[#This Row],[Month]] &amp; "P" &amp; $AL119*100 &amp; "-ICE", "Market")), "")</f>
        <v/>
      </c>
      <c r="AK119" s="683" t="str">
        <f>IFERROR(ABS(RTD("esrtd",,Options[[#This Row],[Index]] &amp; " " &amp; Options[[#This Row],[Month]] &amp; "P" &amp; $AL119*100 &amp; "-ICE", "ImpVol"))*100, "")</f>
        <v/>
      </c>
      <c r="AL119" s="676">
        <v>125</v>
      </c>
      <c r="AM119" s="684" t="e">
        <f>ABS(_xll.BDP(Options[[#This Row],[C-Ticker]], "OPT_DELTA_YEST"))*100</f>
        <v>#VALUE!</v>
      </c>
      <c r="AN119" s="684" t="str">
        <f>IFERROR(ABS(RTD("esrtd",,Options[[#This Row],[Index]] &amp; " " &amp; Options[[#This Row],[Month]] &amp; "C" &amp; $AL119*100 &amp; "-ICE", "OldSettlement")), "")</f>
        <v/>
      </c>
      <c r="AO119" s="684" t="str">
        <f>IFERROR(ABS(RTD("esrtd",,Options[[#This Row],[Index]] &amp; " " &amp; Options[[#This Row],[Month]] &amp; "C" &amp; $AL119*100 &amp; "-ICE", "OldSetIV"))*100, "")</f>
        <v/>
      </c>
      <c r="AP119" s="684" t="str">
        <f>IFERROR(ABS(RTD("esrtd",,Options[[#This Row],[Index]] &amp; " " &amp; Options[[#This Row],[Month]] &amp; "C" &amp; $AL119*100 &amp; "-ICE", "Delta"))*100, "")</f>
        <v/>
      </c>
      <c r="AQ119" s="684" t="str">
        <f>IFERROR(ABS(RTD("esrtd",,Options[[#This Row],[Index]] &amp; " " &amp; Options[[#This Row],[Month]] &amp; "C" &amp; $AL119*100 &amp; "-ICE", "Market")), "")</f>
        <v/>
      </c>
      <c r="AR119" s="684" t="str">
        <f>IFERROR(ABS(RTD("esrtd",,Options[[#This Row],[Index]] &amp; " " &amp; Options[[#This Row],[Month]] &amp; "C" &amp; $AL119*100 &amp; "-ICE", "ImpVol"))*100, "")</f>
        <v/>
      </c>
      <c r="AT119" s="678"/>
      <c r="AU119" s="677"/>
      <c r="AV119" s="677"/>
      <c r="AX119" s="678"/>
      <c r="AY119" s="677"/>
      <c r="AZ119" s="677"/>
    </row>
    <row r="120" spans="7:52" x14ac:dyDescent="0.25">
      <c r="G120" s="596"/>
      <c r="AB120" s="596" t="s">
        <v>119</v>
      </c>
      <c r="AC120" s="596" t="s">
        <v>1336</v>
      </c>
      <c r="AD120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130.00 Comdty</v>
      </c>
      <c r="AE120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130.00 Comdty</v>
      </c>
      <c r="AF120" s="683" t="e">
        <f>ABS(_xll.BDP(Options[[#This Row],[P-Ticker]], "OPT_DELTA_YEST"))*100</f>
        <v>#VALUE!</v>
      </c>
      <c r="AG120" s="683" t="str">
        <f>IFERROR(ABS(RTD("esrtd",,Options[[#This Row],[Index]] &amp; " " &amp; Options[[#This Row],[Month]] &amp; "P" &amp; $AL120*100 &amp; "-ICE", "OldSettlement")), "")</f>
        <v/>
      </c>
      <c r="AH120" s="683" t="str">
        <f>IFERROR(ABS(RTD("esrtd",,Options[[#This Row],[Index]] &amp; " " &amp; Options[[#This Row],[Month]] &amp; "P" &amp; $AL120*100 &amp; "-ICE", "OldSetIV"))*100, "")</f>
        <v/>
      </c>
      <c r="AI120" s="683" t="str">
        <f>IFERROR(ABS(RTD("esrtd",,Options[[#This Row],[Index]] &amp; " " &amp; Options[[#This Row],[Month]] &amp; "P" &amp; $AL120*100 &amp; "-ICE", "Delta"))*100, "")</f>
        <v/>
      </c>
      <c r="AJ120" s="683" t="str">
        <f>IFERROR(ABS(RTD("esrtd",,Options[[#This Row],[Index]] &amp; " " &amp; Options[[#This Row],[Month]] &amp; "P" &amp; $AL120*100 &amp; "-ICE", "Market")), "")</f>
        <v/>
      </c>
      <c r="AK120" s="683" t="str">
        <f>IFERROR(ABS(RTD("esrtd",,Options[[#This Row],[Index]] &amp; " " &amp; Options[[#This Row],[Month]] &amp; "P" &amp; $AL120*100 &amp; "-ICE", "ImpVol"))*100, "")</f>
        <v/>
      </c>
      <c r="AL120" s="676">
        <v>130</v>
      </c>
      <c r="AM120" s="684" t="e">
        <f>ABS(_xll.BDP(Options[[#This Row],[C-Ticker]], "OPT_DELTA_YEST"))*100</f>
        <v>#VALUE!</v>
      </c>
      <c r="AN120" s="684" t="str">
        <f>IFERROR(ABS(RTD("esrtd",,Options[[#This Row],[Index]] &amp; " " &amp; Options[[#This Row],[Month]] &amp; "C" &amp; $AL120*100 &amp; "-ICE", "OldSettlement")), "")</f>
        <v/>
      </c>
      <c r="AO120" s="684" t="str">
        <f>IFERROR(ABS(RTD("esrtd",,Options[[#This Row],[Index]] &amp; " " &amp; Options[[#This Row],[Month]] &amp; "C" &amp; $AL120*100 &amp; "-ICE", "OldSetIV"))*100, "")</f>
        <v/>
      </c>
      <c r="AP120" s="684" t="str">
        <f>IFERROR(ABS(RTD("esrtd",,Options[[#This Row],[Index]] &amp; " " &amp; Options[[#This Row],[Month]] &amp; "C" &amp; $AL120*100 &amp; "-ICE", "Delta"))*100, "")</f>
        <v/>
      </c>
      <c r="AQ120" s="684" t="str">
        <f>IFERROR(ABS(RTD("esrtd",,Options[[#This Row],[Index]] &amp; " " &amp; Options[[#This Row],[Month]] &amp; "C" &amp; $AL120*100 &amp; "-ICE", "Market")), "")</f>
        <v/>
      </c>
      <c r="AR120" s="684" t="str">
        <f>IFERROR(ABS(RTD("esrtd",,Options[[#This Row],[Index]] &amp; " " &amp; Options[[#This Row],[Month]] &amp; "C" &amp; $AL120*100 &amp; "-ICE", "ImpVol"))*100, "")</f>
        <v/>
      </c>
      <c r="AT120" s="678"/>
      <c r="AU120" s="677"/>
      <c r="AV120" s="677"/>
      <c r="AX120" s="678"/>
      <c r="AY120" s="677"/>
      <c r="AZ120" s="677"/>
    </row>
    <row r="121" spans="7:52" x14ac:dyDescent="0.25">
      <c r="G121" s="596"/>
      <c r="AB121" s="596" t="s">
        <v>119</v>
      </c>
      <c r="AC121" s="596" t="s">
        <v>1336</v>
      </c>
      <c r="AD121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140.00 Comdty</v>
      </c>
      <c r="AE121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140.00 Comdty</v>
      </c>
      <c r="AF121" s="683" t="e">
        <f>ABS(_xll.BDP(Options[[#This Row],[P-Ticker]], "OPT_DELTA_YEST"))*100</f>
        <v>#VALUE!</v>
      </c>
      <c r="AG121" s="683" t="str">
        <f>IFERROR(ABS(RTD("esrtd",,Options[[#This Row],[Index]] &amp; " " &amp; Options[[#This Row],[Month]] &amp; "P" &amp; $AL121*100 &amp; "-ICE", "OldSettlement")), "")</f>
        <v/>
      </c>
      <c r="AH121" s="683" t="str">
        <f>IFERROR(ABS(RTD("esrtd",,Options[[#This Row],[Index]] &amp; " " &amp; Options[[#This Row],[Month]] &amp; "P" &amp; $AL121*100 &amp; "-ICE", "OldSetIV"))*100, "")</f>
        <v/>
      </c>
      <c r="AI121" s="683" t="str">
        <f>IFERROR(ABS(RTD("esrtd",,Options[[#This Row],[Index]] &amp; " " &amp; Options[[#This Row],[Month]] &amp; "P" &amp; $AL121*100 &amp; "-ICE", "Delta"))*100, "")</f>
        <v/>
      </c>
      <c r="AJ121" s="683" t="str">
        <f>IFERROR(ABS(RTD("esrtd",,Options[[#This Row],[Index]] &amp; " " &amp; Options[[#This Row],[Month]] &amp; "P" &amp; $AL121*100 &amp; "-ICE", "Market")), "")</f>
        <v/>
      </c>
      <c r="AK121" s="683" t="str">
        <f>IFERROR(ABS(RTD("esrtd",,Options[[#This Row],[Index]] &amp; " " &amp; Options[[#This Row],[Month]] &amp; "P" &amp; $AL121*100 &amp; "-ICE", "ImpVol"))*100, "")</f>
        <v/>
      </c>
      <c r="AL121" s="676">
        <v>140</v>
      </c>
      <c r="AM121" s="684" t="e">
        <f>ABS(_xll.BDP(Options[[#This Row],[C-Ticker]], "OPT_DELTA_YEST"))*100</f>
        <v>#VALUE!</v>
      </c>
      <c r="AN121" s="684" t="str">
        <f>IFERROR(ABS(RTD("esrtd",,Options[[#This Row],[Index]] &amp; " " &amp; Options[[#This Row],[Month]] &amp; "C" &amp; $AL121*100 &amp; "-ICE", "OldSettlement")), "")</f>
        <v/>
      </c>
      <c r="AO121" s="684" t="str">
        <f>IFERROR(ABS(RTD("esrtd",,Options[[#This Row],[Index]] &amp; " " &amp; Options[[#This Row],[Month]] &amp; "C" &amp; $AL121*100 &amp; "-ICE", "OldSetIV"))*100, "")</f>
        <v/>
      </c>
      <c r="AP121" s="684" t="str">
        <f>IFERROR(ABS(RTD("esrtd",,Options[[#This Row],[Index]] &amp; " " &amp; Options[[#This Row],[Month]] &amp; "C" &amp; $AL121*100 &amp; "-ICE", "Delta"))*100, "")</f>
        <v/>
      </c>
      <c r="AQ121" s="684" t="str">
        <f>IFERROR(ABS(RTD("esrtd",,Options[[#This Row],[Index]] &amp; " " &amp; Options[[#This Row],[Month]] &amp; "C" &amp; $AL121*100 &amp; "-ICE", "Market")), "")</f>
        <v/>
      </c>
      <c r="AR121" s="684" t="str">
        <f>IFERROR(ABS(RTD("esrtd",,Options[[#This Row],[Index]] &amp; " " &amp; Options[[#This Row],[Month]] &amp; "C" &amp; $AL121*100 &amp; "-ICE", "ImpVol"))*100, "")</f>
        <v/>
      </c>
      <c r="AT121" s="678"/>
      <c r="AU121" s="677"/>
      <c r="AV121" s="677"/>
      <c r="AX121" s="678"/>
      <c r="AY121" s="677"/>
      <c r="AZ121" s="677"/>
    </row>
    <row r="122" spans="7:52" x14ac:dyDescent="0.25">
      <c r="G122" s="596"/>
      <c r="AB122" s="596" t="s">
        <v>119</v>
      </c>
      <c r="AC122" s="596" t="s">
        <v>1336</v>
      </c>
      <c r="AD122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160.00 Comdty</v>
      </c>
      <c r="AE122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160.00 Comdty</v>
      </c>
      <c r="AF122" s="683" t="e">
        <f>ABS(_xll.BDP(Options[[#This Row],[P-Ticker]], "OPT_DELTA_YEST"))*100</f>
        <v>#VALUE!</v>
      </c>
      <c r="AG122" s="683" t="str">
        <f>IFERROR(ABS(RTD("esrtd",,Options[[#This Row],[Index]] &amp; " " &amp; Options[[#This Row],[Month]] &amp; "P" &amp; $AL122*100 &amp; "-ICE", "OldSettlement")), "")</f>
        <v/>
      </c>
      <c r="AH122" s="683" t="str">
        <f>IFERROR(ABS(RTD("esrtd",,Options[[#This Row],[Index]] &amp; " " &amp; Options[[#This Row],[Month]] &amp; "P" &amp; $AL122*100 &amp; "-ICE", "OldSetIV"))*100, "")</f>
        <v/>
      </c>
      <c r="AI122" s="683" t="str">
        <f>IFERROR(ABS(RTD("esrtd",,Options[[#This Row],[Index]] &amp; " " &amp; Options[[#This Row],[Month]] &amp; "P" &amp; $AL122*100 &amp; "-ICE", "Delta"))*100, "")</f>
        <v/>
      </c>
      <c r="AJ122" s="683" t="str">
        <f>IFERROR(ABS(RTD("esrtd",,Options[[#This Row],[Index]] &amp; " " &amp; Options[[#This Row],[Month]] &amp; "P" &amp; $AL122*100 &amp; "-ICE", "Market")), "")</f>
        <v/>
      </c>
      <c r="AK122" s="683" t="str">
        <f>IFERROR(ABS(RTD("esrtd",,Options[[#This Row],[Index]] &amp; " " &amp; Options[[#This Row],[Month]] &amp; "P" &amp; $AL122*100 &amp; "-ICE", "ImpVol"))*100, "")</f>
        <v/>
      </c>
      <c r="AL122" s="676">
        <v>160</v>
      </c>
      <c r="AM122" s="684" t="e">
        <f>ABS(_xll.BDP(Options[[#This Row],[C-Ticker]], "OPT_DELTA_YEST"))*100</f>
        <v>#VALUE!</v>
      </c>
      <c r="AN122" s="684" t="str">
        <f>IFERROR(ABS(RTD("esrtd",,Options[[#This Row],[Index]] &amp; " " &amp; Options[[#This Row],[Month]] &amp; "C" &amp; $AL122*100 &amp; "-ICE", "OldSettlement")), "")</f>
        <v/>
      </c>
      <c r="AO122" s="684" t="str">
        <f>IFERROR(ABS(RTD("esrtd",,Options[[#This Row],[Index]] &amp; " " &amp; Options[[#This Row],[Month]] &amp; "C" &amp; $AL122*100 &amp; "-ICE", "OldSetIV"))*100, "")</f>
        <v/>
      </c>
      <c r="AP122" s="684" t="str">
        <f>IFERROR(ABS(RTD("esrtd",,Options[[#This Row],[Index]] &amp; " " &amp; Options[[#This Row],[Month]] &amp; "C" &amp; $AL122*100 &amp; "-ICE", "Delta"))*100, "")</f>
        <v/>
      </c>
      <c r="AQ122" s="684" t="str">
        <f>IFERROR(ABS(RTD("esrtd",,Options[[#This Row],[Index]] &amp; " " &amp; Options[[#This Row],[Month]] &amp; "C" &amp; $AL122*100 &amp; "-ICE", "Market")), "")</f>
        <v/>
      </c>
      <c r="AR122" s="684" t="str">
        <f>IFERROR(ABS(RTD("esrtd",,Options[[#This Row],[Index]] &amp; " " &amp; Options[[#This Row],[Month]] &amp; "C" &amp; $AL122*100 &amp; "-ICE", "ImpVol"))*100, "")</f>
        <v/>
      </c>
      <c r="AT122" s="678"/>
      <c r="AU122" s="677"/>
      <c r="AV122" s="677"/>
      <c r="AX122" s="678"/>
      <c r="AY122" s="677"/>
      <c r="AZ122" s="677"/>
    </row>
    <row r="123" spans="7:52" x14ac:dyDescent="0.25">
      <c r="G123" s="596"/>
      <c r="AB123" s="596" t="s">
        <v>119</v>
      </c>
      <c r="AC123" s="596" t="s">
        <v>1336</v>
      </c>
      <c r="AD123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180.00 Comdty</v>
      </c>
      <c r="AE123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180.00 Comdty</v>
      </c>
      <c r="AF123" s="683" t="e">
        <f>ABS(_xll.BDP(Options[[#This Row],[P-Ticker]], "OPT_DELTA_YEST"))*100</f>
        <v>#VALUE!</v>
      </c>
      <c r="AG123" s="683" t="str">
        <f>IFERROR(ABS(RTD("esrtd",,Options[[#This Row],[Index]] &amp; " " &amp; Options[[#This Row],[Month]] &amp; "P" &amp; $AL123*100 &amp; "-ICE", "OldSettlement")), "")</f>
        <v/>
      </c>
      <c r="AH123" s="683" t="str">
        <f>IFERROR(ABS(RTD("esrtd",,Options[[#This Row],[Index]] &amp; " " &amp; Options[[#This Row],[Month]] &amp; "P" &amp; $AL123*100 &amp; "-ICE", "OldSetIV"))*100, "")</f>
        <v/>
      </c>
      <c r="AI123" s="683" t="str">
        <f>IFERROR(ABS(RTD("esrtd",,Options[[#This Row],[Index]] &amp; " " &amp; Options[[#This Row],[Month]] &amp; "P" &amp; $AL123*100 &amp; "-ICE", "Delta"))*100, "")</f>
        <v/>
      </c>
      <c r="AJ123" s="683" t="str">
        <f>IFERROR(ABS(RTD("esrtd",,Options[[#This Row],[Index]] &amp; " " &amp; Options[[#This Row],[Month]] &amp; "P" &amp; $AL123*100 &amp; "-ICE", "Market")), "")</f>
        <v/>
      </c>
      <c r="AK123" s="683" t="str">
        <f>IFERROR(ABS(RTD("esrtd",,Options[[#This Row],[Index]] &amp; " " &amp; Options[[#This Row],[Month]] &amp; "P" &amp; $AL123*100 &amp; "-ICE", "ImpVol"))*100, "")</f>
        <v/>
      </c>
      <c r="AL123" s="676">
        <v>180</v>
      </c>
      <c r="AM123" s="684" t="e">
        <f>ABS(_xll.BDP(Options[[#This Row],[C-Ticker]], "OPT_DELTA_YEST"))*100</f>
        <v>#VALUE!</v>
      </c>
      <c r="AN123" s="684" t="str">
        <f>IFERROR(ABS(RTD("esrtd",,Options[[#This Row],[Index]] &amp; " " &amp; Options[[#This Row],[Month]] &amp; "C" &amp; $AL123*100 &amp; "-ICE", "OldSettlement")), "")</f>
        <v/>
      </c>
      <c r="AO123" s="684" t="str">
        <f>IFERROR(ABS(RTD("esrtd",,Options[[#This Row],[Index]] &amp; " " &amp; Options[[#This Row],[Month]] &amp; "C" &amp; $AL123*100 &amp; "-ICE", "OldSetIV"))*100, "")</f>
        <v/>
      </c>
      <c r="AP123" s="684" t="str">
        <f>IFERROR(ABS(RTD("esrtd",,Options[[#This Row],[Index]] &amp; " " &amp; Options[[#This Row],[Month]] &amp; "C" &amp; $AL123*100 &amp; "-ICE", "Delta"))*100, "")</f>
        <v/>
      </c>
      <c r="AQ123" s="684" t="str">
        <f>IFERROR(ABS(RTD("esrtd",,Options[[#This Row],[Index]] &amp; " " &amp; Options[[#This Row],[Month]] &amp; "C" &amp; $AL123*100 &amp; "-ICE", "Market")), "")</f>
        <v/>
      </c>
      <c r="AR123" s="684" t="str">
        <f>IFERROR(ABS(RTD("esrtd",,Options[[#This Row],[Index]] &amp; " " &amp; Options[[#This Row],[Month]] &amp; "C" &amp; $AL123*100 &amp; "-ICE", "ImpVol"))*100, "")</f>
        <v/>
      </c>
      <c r="AT123" s="678"/>
      <c r="AU123" s="677"/>
      <c r="AV123" s="677"/>
      <c r="AX123" s="678"/>
      <c r="AY123" s="677"/>
      <c r="AZ123" s="677"/>
    </row>
    <row r="124" spans="7:52" x14ac:dyDescent="0.25">
      <c r="G124" s="596"/>
      <c r="AB124" s="596" t="s">
        <v>119</v>
      </c>
      <c r="AC124" s="596" t="s">
        <v>1336</v>
      </c>
      <c r="AD124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200.00 Comdty</v>
      </c>
      <c r="AE124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200.00 Comdty</v>
      </c>
      <c r="AF124" s="683" t="e">
        <f>ABS(_xll.BDP(Options[[#This Row],[P-Ticker]], "OPT_DELTA_YEST"))*100</f>
        <v>#VALUE!</v>
      </c>
      <c r="AG124" s="683" t="str">
        <f>IFERROR(ABS(RTD("esrtd",,Options[[#This Row],[Index]] &amp; " " &amp; Options[[#This Row],[Month]] &amp; "P" &amp; $AL124*100 &amp; "-ICE", "OldSettlement")), "")</f>
        <v/>
      </c>
      <c r="AH124" s="683" t="str">
        <f>IFERROR(ABS(RTD("esrtd",,Options[[#This Row],[Index]] &amp; " " &amp; Options[[#This Row],[Month]] &amp; "P" &amp; $AL124*100 &amp; "-ICE", "OldSetIV"))*100, "")</f>
        <v/>
      </c>
      <c r="AI124" s="683" t="str">
        <f>IFERROR(ABS(RTD("esrtd",,Options[[#This Row],[Index]] &amp; " " &amp; Options[[#This Row],[Month]] &amp; "P" &amp; $AL124*100 &amp; "-ICE", "Delta"))*100, "")</f>
        <v/>
      </c>
      <c r="AJ124" s="683" t="str">
        <f>IFERROR(ABS(RTD("esrtd",,Options[[#This Row],[Index]] &amp; " " &amp; Options[[#This Row],[Month]] &amp; "P" &amp; $AL124*100 &amp; "-ICE", "Market")), "")</f>
        <v/>
      </c>
      <c r="AK124" s="683" t="str">
        <f>IFERROR(ABS(RTD("esrtd",,Options[[#This Row],[Index]] &amp; " " &amp; Options[[#This Row],[Month]] &amp; "P" &amp; $AL124*100 &amp; "-ICE", "ImpVol"))*100, "")</f>
        <v/>
      </c>
      <c r="AL124" s="676">
        <v>200</v>
      </c>
      <c r="AM124" s="684" t="e">
        <f>ABS(_xll.BDP(Options[[#This Row],[C-Ticker]], "OPT_DELTA_YEST"))*100</f>
        <v>#VALUE!</v>
      </c>
      <c r="AN124" s="684" t="str">
        <f>IFERROR(ABS(RTD("esrtd",,Options[[#This Row],[Index]] &amp; " " &amp; Options[[#This Row],[Month]] &amp; "C" &amp; $AL124*100 &amp; "-ICE", "OldSettlement")), "")</f>
        <v/>
      </c>
      <c r="AO124" s="684" t="str">
        <f>IFERROR(ABS(RTD("esrtd",,Options[[#This Row],[Index]] &amp; " " &amp; Options[[#This Row],[Month]] &amp; "C" &amp; $AL124*100 &amp; "-ICE", "OldSetIV"))*100, "")</f>
        <v/>
      </c>
      <c r="AP124" s="684" t="str">
        <f>IFERROR(ABS(RTD("esrtd",,Options[[#This Row],[Index]] &amp; " " &amp; Options[[#This Row],[Month]] &amp; "C" &amp; $AL124*100 &amp; "-ICE", "Delta"))*100, "")</f>
        <v/>
      </c>
      <c r="AQ124" s="684" t="str">
        <f>IFERROR(ABS(RTD("esrtd",,Options[[#This Row],[Index]] &amp; " " &amp; Options[[#This Row],[Month]] &amp; "C" &amp; $AL124*100 &amp; "-ICE", "Market")), "")</f>
        <v/>
      </c>
      <c r="AR124" s="684" t="str">
        <f>IFERROR(ABS(RTD("esrtd",,Options[[#This Row],[Index]] &amp; " " &amp; Options[[#This Row],[Month]] &amp; "C" &amp; $AL124*100 &amp; "-ICE", "ImpVol"))*100, "")</f>
        <v/>
      </c>
      <c r="AT124" s="678"/>
      <c r="AU124" s="677"/>
      <c r="AV124" s="677"/>
      <c r="AX124" s="678"/>
      <c r="AY124" s="677"/>
      <c r="AZ124" s="677"/>
    </row>
    <row r="125" spans="7:52" x14ac:dyDescent="0.25">
      <c r="G125" s="596"/>
      <c r="AB125" s="596" t="s">
        <v>119</v>
      </c>
      <c r="AC125" s="596" t="s">
        <v>1336</v>
      </c>
      <c r="AD125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250.00 Comdty</v>
      </c>
      <c r="AE125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250.00 Comdty</v>
      </c>
      <c r="AF125" s="683" t="e">
        <f>ABS(_xll.BDP(Options[[#This Row],[P-Ticker]], "OPT_DELTA_YEST"))*100</f>
        <v>#VALUE!</v>
      </c>
      <c r="AG125" s="683" t="str">
        <f>IFERROR(ABS(RTD("esrtd",,Options[[#This Row],[Index]] &amp; " " &amp; Options[[#This Row],[Month]] &amp; "P" &amp; $AL125*100 &amp; "-ICE", "OldSettlement")), "")</f>
        <v/>
      </c>
      <c r="AH125" s="683" t="str">
        <f>IFERROR(ABS(RTD("esrtd",,Options[[#This Row],[Index]] &amp; " " &amp; Options[[#This Row],[Month]] &amp; "P" &amp; $AL125*100 &amp; "-ICE", "OldSetIV"))*100, "")</f>
        <v/>
      </c>
      <c r="AI125" s="683" t="str">
        <f>IFERROR(ABS(RTD("esrtd",,Options[[#This Row],[Index]] &amp; " " &amp; Options[[#This Row],[Month]] &amp; "P" &amp; $AL125*100 &amp; "-ICE", "Delta"))*100, "")</f>
        <v/>
      </c>
      <c r="AJ125" s="683" t="str">
        <f>IFERROR(ABS(RTD("esrtd",,Options[[#This Row],[Index]] &amp; " " &amp; Options[[#This Row],[Month]] &amp; "P" &amp; $AL125*100 &amp; "-ICE", "Market")), "")</f>
        <v/>
      </c>
      <c r="AK125" s="683" t="str">
        <f>IFERROR(ABS(RTD("esrtd",,Options[[#This Row],[Index]] &amp; " " &amp; Options[[#This Row],[Month]] &amp; "P" &amp; $AL125*100 &amp; "-ICE", "ImpVol"))*100, "")</f>
        <v/>
      </c>
      <c r="AL125" s="676">
        <v>250</v>
      </c>
      <c r="AM125" s="684" t="e">
        <f>ABS(_xll.BDP(Options[[#This Row],[C-Ticker]], "OPT_DELTA_YEST"))*100</f>
        <v>#VALUE!</v>
      </c>
      <c r="AN125" s="684" t="str">
        <f>IFERROR(ABS(RTD("esrtd",,Options[[#This Row],[Index]] &amp; " " &amp; Options[[#This Row],[Month]] &amp; "C" &amp; $AL125*100 &amp; "-ICE", "OldSettlement")), "")</f>
        <v/>
      </c>
      <c r="AO125" s="684" t="str">
        <f>IFERROR(ABS(RTD("esrtd",,Options[[#This Row],[Index]] &amp; " " &amp; Options[[#This Row],[Month]] &amp; "C" &amp; $AL125*100 &amp; "-ICE", "OldSetIV"))*100, "")</f>
        <v/>
      </c>
      <c r="AP125" s="684" t="str">
        <f>IFERROR(ABS(RTD("esrtd",,Options[[#This Row],[Index]] &amp; " " &amp; Options[[#This Row],[Month]] &amp; "C" &amp; $AL125*100 &amp; "-ICE", "Delta"))*100, "")</f>
        <v/>
      </c>
      <c r="AQ125" s="684" t="str">
        <f>IFERROR(ABS(RTD("esrtd",,Options[[#This Row],[Index]] &amp; " " &amp; Options[[#This Row],[Month]] &amp; "C" &amp; $AL125*100 &amp; "-ICE", "Market")), "")</f>
        <v/>
      </c>
      <c r="AR125" s="684" t="str">
        <f>IFERROR(ABS(RTD("esrtd",,Options[[#This Row],[Index]] &amp; " " &amp; Options[[#This Row],[Month]] &amp; "C" &amp; $AL125*100 &amp; "-ICE", "ImpVol"))*100, "")</f>
        <v/>
      </c>
      <c r="AT125" s="678"/>
      <c r="AU125" s="677"/>
      <c r="AV125" s="677"/>
      <c r="AX125" s="678"/>
      <c r="AY125" s="677"/>
      <c r="AZ125" s="677"/>
    </row>
    <row r="126" spans="7:52" x14ac:dyDescent="0.25">
      <c r="G126" s="596"/>
      <c r="AB126" s="596" t="s">
        <v>119</v>
      </c>
      <c r="AC126" s="596" t="s">
        <v>1336</v>
      </c>
      <c r="AD126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26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26" s="683" t="e">
        <f>ABS(_xll.BDP(Options[[#This Row],[P-Ticker]], "OPT_DELTA_YEST"))*100</f>
        <v>#VALUE!</v>
      </c>
      <c r="AG126" s="683" t="str">
        <f>IFERROR(ABS(RTD("esrtd",,Options[[#This Row],[Index]] &amp; " " &amp; Options[[#This Row],[Month]] &amp; "P" &amp; $AL126*100 &amp; "-ICE", "OldSettlement")), "")</f>
        <v/>
      </c>
      <c r="AH126" s="683" t="str">
        <f>IFERROR(ABS(RTD("esrtd",,Options[[#This Row],[Index]] &amp; " " &amp; Options[[#This Row],[Month]] &amp; "P" &amp; $AL126*100 &amp; "-ICE", "OldSetIV"))*100, "")</f>
        <v/>
      </c>
      <c r="AI126" s="683" t="str">
        <f>IFERROR(ABS(RTD("esrtd",,Options[[#This Row],[Index]] &amp; " " &amp; Options[[#This Row],[Month]] &amp; "P" &amp; $AL126*100 &amp; "-ICE", "Delta"))*100, "")</f>
        <v/>
      </c>
      <c r="AJ126" s="683" t="str">
        <f>IFERROR(ABS(RTD("esrtd",,Options[[#This Row],[Index]] &amp; " " &amp; Options[[#This Row],[Month]] &amp; "P" &amp; $AL126*100 &amp; "-ICE", "Market")), "")</f>
        <v/>
      </c>
      <c r="AK126" s="683" t="str">
        <f>IFERROR(ABS(RTD("esrtd",,Options[[#This Row],[Index]] &amp; " " &amp; Options[[#This Row],[Month]] &amp; "P" &amp; $AL126*100 &amp; "-ICE", "ImpVol"))*100, "")</f>
        <v/>
      </c>
      <c r="AL126" s="676">
        <v>300</v>
      </c>
      <c r="AM126" s="684" t="e">
        <f>ABS(_xll.BDP(Options[[#This Row],[C-Ticker]], "OPT_DELTA_YEST"))*100</f>
        <v>#VALUE!</v>
      </c>
      <c r="AN126" s="684" t="str">
        <f>IFERROR(ABS(RTD("esrtd",,Options[[#This Row],[Index]] &amp; " " &amp; Options[[#This Row],[Month]] &amp; "C" &amp; $AL126*100 &amp; "-ICE", "OldSettlement")), "")</f>
        <v/>
      </c>
      <c r="AO126" s="684" t="str">
        <f>IFERROR(ABS(RTD("esrtd",,Options[[#This Row],[Index]] &amp; " " &amp; Options[[#This Row],[Month]] &amp; "C" &amp; $AL126*100 &amp; "-ICE", "OldSetIV"))*100, "")</f>
        <v/>
      </c>
      <c r="AP126" s="684" t="str">
        <f>IFERROR(ABS(RTD("esrtd",,Options[[#This Row],[Index]] &amp; " " &amp; Options[[#This Row],[Month]] &amp; "C" &amp; $AL126*100 &amp; "-ICE", "Delta"))*100, "")</f>
        <v/>
      </c>
      <c r="AQ126" s="684" t="str">
        <f>IFERROR(ABS(RTD("esrtd",,Options[[#This Row],[Index]] &amp; " " &amp; Options[[#This Row],[Month]] &amp; "C" &amp; $AL126*100 &amp; "-ICE", "Market")), "")</f>
        <v/>
      </c>
      <c r="AR126" s="684" t="str">
        <f>IFERROR(ABS(RTD("esrtd",,Options[[#This Row],[Index]] &amp; " " &amp; Options[[#This Row],[Month]] &amp; "C" &amp; $AL126*100 &amp; "-ICE", "ImpVol"))*100, "")</f>
        <v/>
      </c>
      <c r="AT126" s="678"/>
      <c r="AU126" s="677"/>
      <c r="AV126" s="677"/>
      <c r="AX126" s="678"/>
      <c r="AY126" s="677"/>
      <c r="AZ126" s="677"/>
    </row>
    <row r="127" spans="7:52" x14ac:dyDescent="0.25">
      <c r="G127" s="596"/>
      <c r="AB127" s="596" t="s">
        <v>119</v>
      </c>
      <c r="AC127" s="596" t="s">
        <v>1336</v>
      </c>
      <c r="AD127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27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27" s="683" t="e">
        <f>ABS(_xll.BDP(Options[[#This Row],[P-Ticker]], "OPT_DELTA_YEST"))*100</f>
        <v>#VALUE!</v>
      </c>
      <c r="AG127" s="683" t="str">
        <f>IFERROR(ABS(RTD("esrtd",,Options[[#This Row],[Index]] &amp; " " &amp; Options[[#This Row],[Month]] &amp; "P" &amp; $AL127*100 &amp; "-ICE", "OldSettlement")), "")</f>
        <v/>
      </c>
      <c r="AH127" s="683" t="str">
        <f>IFERROR(ABS(RTD("esrtd",,Options[[#This Row],[Index]] &amp; " " &amp; Options[[#This Row],[Month]] &amp; "P" &amp; $AL127*100 &amp; "-ICE", "OldSetIV"))*100, "")</f>
        <v/>
      </c>
      <c r="AI127" s="683" t="str">
        <f>IFERROR(ABS(RTD("esrtd",,Options[[#This Row],[Index]] &amp; " " &amp; Options[[#This Row],[Month]] &amp; "P" &amp; $AL127*100 &amp; "-ICE", "Delta"))*100, "")</f>
        <v/>
      </c>
      <c r="AJ127" s="683" t="str">
        <f>IFERROR(ABS(RTD("esrtd",,Options[[#This Row],[Index]] &amp; " " &amp; Options[[#This Row],[Month]] &amp; "P" &amp; $AL127*100 &amp; "-ICE", "Market")), "")</f>
        <v/>
      </c>
      <c r="AK127" s="683" t="str">
        <f>IFERROR(ABS(RTD("esrtd",,Options[[#This Row],[Index]] &amp; " " &amp; Options[[#This Row],[Month]] &amp; "P" &amp; $AL127*100 &amp; "-ICE", "ImpVol"))*100, "")</f>
        <v/>
      </c>
      <c r="AL127" s="676">
        <v>300</v>
      </c>
      <c r="AM127" s="684" t="e">
        <f>ABS(_xll.BDP(Options[[#This Row],[C-Ticker]], "OPT_DELTA_YEST"))*100</f>
        <v>#VALUE!</v>
      </c>
      <c r="AN127" s="684" t="str">
        <f>IFERROR(ABS(RTD("esrtd",,Options[[#This Row],[Index]] &amp; " " &amp; Options[[#This Row],[Month]] &amp; "C" &amp; $AL127*100 &amp; "-ICE", "OldSettlement")), "")</f>
        <v/>
      </c>
      <c r="AO127" s="684" t="str">
        <f>IFERROR(ABS(RTD("esrtd",,Options[[#This Row],[Index]] &amp; " " &amp; Options[[#This Row],[Month]] &amp; "C" &amp; $AL127*100 &amp; "-ICE", "OldSetIV"))*100, "")</f>
        <v/>
      </c>
      <c r="AP127" s="684" t="str">
        <f>IFERROR(ABS(RTD("esrtd",,Options[[#This Row],[Index]] &amp; " " &amp; Options[[#This Row],[Month]] &amp; "C" &amp; $AL127*100 &amp; "-ICE", "Delta"))*100, "")</f>
        <v/>
      </c>
      <c r="AQ127" s="684" t="str">
        <f>IFERROR(ABS(RTD("esrtd",,Options[[#This Row],[Index]] &amp; " " &amp; Options[[#This Row],[Month]] &amp; "C" &amp; $AL127*100 &amp; "-ICE", "Market")), "")</f>
        <v/>
      </c>
      <c r="AR127" s="684" t="str">
        <f>IFERROR(ABS(RTD("esrtd",,Options[[#This Row],[Index]] &amp; " " &amp; Options[[#This Row],[Month]] &amp; "C" &amp; $AL127*100 &amp; "-ICE", "ImpVol"))*100, "")</f>
        <v/>
      </c>
      <c r="AT127" s="678"/>
      <c r="AU127" s="677"/>
      <c r="AV127" s="677"/>
      <c r="AX127" s="678"/>
      <c r="AY127" s="677"/>
      <c r="AZ127" s="677"/>
    </row>
    <row r="128" spans="7:52" x14ac:dyDescent="0.25">
      <c r="G128" s="596"/>
      <c r="AB128" s="596" t="s">
        <v>119</v>
      </c>
      <c r="AC128" s="596" t="s">
        <v>1336</v>
      </c>
      <c r="AD128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28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28" s="683" t="e">
        <f>ABS(_xll.BDP(Options[[#This Row],[P-Ticker]], "OPT_DELTA_YEST"))*100</f>
        <v>#VALUE!</v>
      </c>
      <c r="AG128" s="683" t="str">
        <f>IFERROR(ABS(RTD("esrtd",,Options[[#This Row],[Index]] &amp; " " &amp; Options[[#This Row],[Month]] &amp; "P" &amp; $AL128*100 &amp; "-ICE", "OldSettlement")), "")</f>
        <v/>
      </c>
      <c r="AH128" s="683" t="str">
        <f>IFERROR(ABS(RTD("esrtd",,Options[[#This Row],[Index]] &amp; " " &amp; Options[[#This Row],[Month]] &amp; "P" &amp; $AL128*100 &amp; "-ICE", "OldSetIV"))*100, "")</f>
        <v/>
      </c>
      <c r="AI128" s="683" t="str">
        <f>IFERROR(ABS(RTD("esrtd",,Options[[#This Row],[Index]] &amp; " " &amp; Options[[#This Row],[Month]] &amp; "P" &amp; $AL128*100 &amp; "-ICE", "Delta"))*100, "")</f>
        <v/>
      </c>
      <c r="AJ128" s="683" t="str">
        <f>IFERROR(ABS(RTD("esrtd",,Options[[#This Row],[Index]] &amp; " " &amp; Options[[#This Row],[Month]] &amp; "P" &amp; $AL128*100 &amp; "-ICE", "Market")), "")</f>
        <v/>
      </c>
      <c r="AK128" s="683" t="str">
        <f>IFERROR(ABS(RTD("esrtd",,Options[[#This Row],[Index]] &amp; " " &amp; Options[[#This Row],[Month]] &amp; "P" &amp; $AL128*100 &amp; "-ICE", "ImpVol"))*100, "")</f>
        <v/>
      </c>
      <c r="AL128" s="676">
        <v>300</v>
      </c>
      <c r="AM128" s="684" t="e">
        <f>ABS(_xll.BDP(Options[[#This Row],[C-Ticker]], "OPT_DELTA_YEST"))*100</f>
        <v>#VALUE!</v>
      </c>
      <c r="AN128" s="684" t="str">
        <f>IFERROR(ABS(RTD("esrtd",,Options[[#This Row],[Index]] &amp; " " &amp; Options[[#This Row],[Month]] &amp; "C" &amp; $AL128*100 &amp; "-ICE", "OldSettlement")), "")</f>
        <v/>
      </c>
      <c r="AO128" s="684" t="str">
        <f>IFERROR(ABS(RTD("esrtd",,Options[[#This Row],[Index]] &amp; " " &amp; Options[[#This Row],[Month]] &amp; "C" &amp; $AL128*100 &amp; "-ICE", "OldSetIV"))*100, "")</f>
        <v/>
      </c>
      <c r="AP128" s="684" t="str">
        <f>IFERROR(ABS(RTD("esrtd",,Options[[#This Row],[Index]] &amp; " " &amp; Options[[#This Row],[Month]] &amp; "C" &amp; $AL128*100 &amp; "-ICE", "Delta"))*100, "")</f>
        <v/>
      </c>
      <c r="AQ128" s="684" t="str">
        <f>IFERROR(ABS(RTD("esrtd",,Options[[#This Row],[Index]] &amp; " " &amp; Options[[#This Row],[Month]] &amp; "C" &amp; $AL128*100 &amp; "-ICE", "Market")), "")</f>
        <v/>
      </c>
      <c r="AR128" s="684" t="str">
        <f>IFERROR(ABS(RTD("esrtd",,Options[[#This Row],[Index]] &amp; " " &amp; Options[[#This Row],[Month]] &amp; "C" &amp; $AL128*100 &amp; "-ICE", "ImpVol"))*100, "")</f>
        <v/>
      </c>
      <c r="AT128" s="678"/>
      <c r="AU128" s="677"/>
      <c r="AV128" s="677"/>
      <c r="AX128" s="678"/>
      <c r="AY128" s="677"/>
      <c r="AZ128" s="677"/>
    </row>
    <row r="129" spans="7:52" x14ac:dyDescent="0.25">
      <c r="G129" s="596"/>
      <c r="AB129" s="596" t="s">
        <v>119</v>
      </c>
      <c r="AC129" s="596" t="s">
        <v>1336</v>
      </c>
      <c r="AD129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29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29" s="683" t="e">
        <f>ABS(_xll.BDP(Options[[#This Row],[P-Ticker]], "OPT_DELTA_YEST"))*100</f>
        <v>#VALUE!</v>
      </c>
      <c r="AG129" s="683" t="str">
        <f>IFERROR(ABS(RTD("esrtd",,Options[[#This Row],[Index]] &amp; " " &amp; Options[[#This Row],[Month]] &amp; "P" &amp; $AL129*100 &amp; "-ICE", "OldSettlement")), "")</f>
        <v/>
      </c>
      <c r="AH129" s="683" t="str">
        <f>IFERROR(ABS(RTD("esrtd",,Options[[#This Row],[Index]] &amp; " " &amp; Options[[#This Row],[Month]] &amp; "P" &amp; $AL129*100 &amp; "-ICE", "OldSetIV"))*100, "")</f>
        <v/>
      </c>
      <c r="AI129" s="683" t="str">
        <f>IFERROR(ABS(RTD("esrtd",,Options[[#This Row],[Index]] &amp; " " &amp; Options[[#This Row],[Month]] &amp; "P" &amp; $AL129*100 &amp; "-ICE", "Delta"))*100, "")</f>
        <v/>
      </c>
      <c r="AJ129" s="683" t="str">
        <f>IFERROR(ABS(RTD("esrtd",,Options[[#This Row],[Index]] &amp; " " &amp; Options[[#This Row],[Month]] &amp; "P" &amp; $AL129*100 &amp; "-ICE", "Market")), "")</f>
        <v/>
      </c>
      <c r="AK129" s="683" t="str">
        <f>IFERROR(ABS(RTD("esrtd",,Options[[#This Row],[Index]] &amp; " " &amp; Options[[#This Row],[Month]] &amp; "P" &amp; $AL129*100 &amp; "-ICE", "ImpVol"))*100, "")</f>
        <v/>
      </c>
      <c r="AL129" s="676">
        <v>300</v>
      </c>
      <c r="AM129" s="684" t="e">
        <f>ABS(_xll.BDP(Options[[#This Row],[C-Ticker]], "OPT_DELTA_YEST"))*100</f>
        <v>#VALUE!</v>
      </c>
      <c r="AN129" s="684" t="str">
        <f>IFERROR(ABS(RTD("esrtd",,Options[[#This Row],[Index]] &amp; " " &amp; Options[[#This Row],[Month]] &amp; "C" &amp; $AL129*100 &amp; "-ICE", "OldSettlement")), "")</f>
        <v/>
      </c>
      <c r="AO129" s="684" t="str">
        <f>IFERROR(ABS(RTD("esrtd",,Options[[#This Row],[Index]] &amp; " " &amp; Options[[#This Row],[Month]] &amp; "C" &amp; $AL129*100 &amp; "-ICE", "OldSetIV"))*100, "")</f>
        <v/>
      </c>
      <c r="AP129" s="684" t="str">
        <f>IFERROR(ABS(RTD("esrtd",,Options[[#This Row],[Index]] &amp; " " &amp; Options[[#This Row],[Month]] &amp; "C" &amp; $AL129*100 &amp; "-ICE", "Delta"))*100, "")</f>
        <v/>
      </c>
      <c r="AQ129" s="684" t="str">
        <f>IFERROR(ABS(RTD("esrtd",,Options[[#This Row],[Index]] &amp; " " &amp; Options[[#This Row],[Month]] &amp; "C" &amp; $AL129*100 &amp; "-ICE", "Market")), "")</f>
        <v/>
      </c>
      <c r="AR129" s="684" t="str">
        <f>IFERROR(ABS(RTD("esrtd",,Options[[#This Row],[Index]] &amp; " " &amp; Options[[#This Row],[Month]] &amp; "C" &amp; $AL129*100 &amp; "-ICE", "ImpVol"))*100, "")</f>
        <v/>
      </c>
      <c r="AT129" s="678"/>
      <c r="AU129" s="677"/>
      <c r="AV129" s="677"/>
      <c r="AX129" s="678"/>
      <c r="AY129" s="677"/>
      <c r="AZ129" s="677"/>
    </row>
    <row r="130" spans="7:52" x14ac:dyDescent="0.25">
      <c r="G130" s="596"/>
      <c r="AB130" s="596" t="s">
        <v>119</v>
      </c>
      <c r="AC130" s="596" t="s">
        <v>1336</v>
      </c>
      <c r="AD130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0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0" s="683" t="e">
        <f>ABS(_xll.BDP(Options[[#This Row],[P-Ticker]], "OPT_DELTA_YEST"))*100</f>
        <v>#VALUE!</v>
      </c>
      <c r="AG130" s="683" t="str">
        <f>IFERROR(ABS(RTD("esrtd",,Options[[#This Row],[Index]] &amp; " " &amp; Options[[#This Row],[Month]] &amp; "P" &amp; $AL130*100 &amp; "-ICE", "OldSettlement")), "")</f>
        <v/>
      </c>
      <c r="AH130" s="683" t="str">
        <f>IFERROR(ABS(RTD("esrtd",,Options[[#This Row],[Index]] &amp; " " &amp; Options[[#This Row],[Month]] &amp; "P" &amp; $AL130*100 &amp; "-ICE", "OldSetIV"))*100, "")</f>
        <v/>
      </c>
      <c r="AI130" s="683" t="str">
        <f>IFERROR(ABS(RTD("esrtd",,Options[[#This Row],[Index]] &amp; " " &amp; Options[[#This Row],[Month]] &amp; "P" &amp; $AL130*100 &amp; "-ICE", "Delta"))*100, "")</f>
        <v/>
      </c>
      <c r="AJ130" s="683" t="str">
        <f>IFERROR(ABS(RTD("esrtd",,Options[[#This Row],[Index]] &amp; " " &amp; Options[[#This Row],[Month]] &amp; "P" &amp; $AL130*100 &amp; "-ICE", "Market")), "")</f>
        <v/>
      </c>
      <c r="AK130" s="683" t="str">
        <f>IFERROR(ABS(RTD("esrtd",,Options[[#This Row],[Index]] &amp; " " &amp; Options[[#This Row],[Month]] &amp; "P" &amp; $AL130*100 &amp; "-ICE", "ImpVol"))*100, "")</f>
        <v/>
      </c>
      <c r="AL130" s="676">
        <v>300</v>
      </c>
      <c r="AM130" s="684" t="e">
        <f>ABS(_xll.BDP(Options[[#This Row],[C-Ticker]], "OPT_DELTA_YEST"))*100</f>
        <v>#VALUE!</v>
      </c>
      <c r="AN130" s="684" t="str">
        <f>IFERROR(ABS(RTD("esrtd",,Options[[#This Row],[Index]] &amp; " " &amp; Options[[#This Row],[Month]] &amp; "C" &amp; $AL130*100 &amp; "-ICE", "OldSettlement")), "")</f>
        <v/>
      </c>
      <c r="AO130" s="684" t="str">
        <f>IFERROR(ABS(RTD("esrtd",,Options[[#This Row],[Index]] &amp; " " &amp; Options[[#This Row],[Month]] &amp; "C" &amp; $AL130*100 &amp; "-ICE", "OldSetIV"))*100, "")</f>
        <v/>
      </c>
      <c r="AP130" s="684" t="str">
        <f>IFERROR(ABS(RTD("esrtd",,Options[[#This Row],[Index]] &amp; " " &amp; Options[[#This Row],[Month]] &amp; "C" &amp; $AL130*100 &amp; "-ICE", "Delta"))*100, "")</f>
        <v/>
      </c>
      <c r="AQ130" s="684" t="str">
        <f>IFERROR(ABS(RTD("esrtd",,Options[[#This Row],[Index]] &amp; " " &amp; Options[[#This Row],[Month]] &amp; "C" &amp; $AL130*100 &amp; "-ICE", "Market")), "")</f>
        <v/>
      </c>
      <c r="AR130" s="684" t="str">
        <f>IFERROR(ABS(RTD("esrtd",,Options[[#This Row],[Index]] &amp; " " &amp; Options[[#This Row],[Month]] &amp; "C" &amp; $AL130*100 &amp; "-ICE", "ImpVol"))*100, "")</f>
        <v/>
      </c>
      <c r="AT130" s="678"/>
      <c r="AU130" s="677"/>
      <c r="AV130" s="677"/>
      <c r="AX130" s="678"/>
      <c r="AY130" s="677"/>
      <c r="AZ130" s="677"/>
    </row>
    <row r="131" spans="7:52" x14ac:dyDescent="0.25">
      <c r="G131" s="596"/>
      <c r="AB131" s="596" t="s">
        <v>119</v>
      </c>
      <c r="AC131" s="596" t="s">
        <v>1336</v>
      </c>
      <c r="AD131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1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1" s="683" t="e">
        <f>ABS(_xll.BDP(Options[[#This Row],[P-Ticker]], "OPT_DELTA_YEST"))*100</f>
        <v>#VALUE!</v>
      </c>
      <c r="AG131" s="683" t="str">
        <f>IFERROR(ABS(RTD("esrtd",,Options[[#This Row],[Index]] &amp; " " &amp; Options[[#This Row],[Month]] &amp; "P" &amp; $AL131*100 &amp; "-ICE", "OldSettlement")), "")</f>
        <v/>
      </c>
      <c r="AH131" s="683" t="str">
        <f>IFERROR(ABS(RTD("esrtd",,Options[[#This Row],[Index]] &amp; " " &amp; Options[[#This Row],[Month]] &amp; "P" &amp; $AL131*100 &amp; "-ICE", "OldSetIV"))*100, "")</f>
        <v/>
      </c>
      <c r="AI131" s="683" t="str">
        <f>IFERROR(ABS(RTD("esrtd",,Options[[#This Row],[Index]] &amp; " " &amp; Options[[#This Row],[Month]] &amp; "P" &amp; $AL131*100 &amp; "-ICE", "Delta"))*100, "")</f>
        <v/>
      </c>
      <c r="AJ131" s="683" t="str">
        <f>IFERROR(ABS(RTD("esrtd",,Options[[#This Row],[Index]] &amp; " " &amp; Options[[#This Row],[Month]] &amp; "P" &amp; $AL131*100 &amp; "-ICE", "Market")), "")</f>
        <v/>
      </c>
      <c r="AK131" s="683" t="str">
        <f>IFERROR(ABS(RTD("esrtd",,Options[[#This Row],[Index]] &amp; " " &amp; Options[[#This Row],[Month]] &amp; "P" &amp; $AL131*100 &amp; "-ICE", "ImpVol"))*100, "")</f>
        <v/>
      </c>
      <c r="AL131" s="676">
        <v>300</v>
      </c>
      <c r="AM131" s="684" t="e">
        <f>ABS(_xll.BDP(Options[[#This Row],[C-Ticker]], "OPT_DELTA_YEST"))*100</f>
        <v>#VALUE!</v>
      </c>
      <c r="AN131" s="684" t="str">
        <f>IFERROR(ABS(RTD("esrtd",,Options[[#This Row],[Index]] &amp; " " &amp; Options[[#This Row],[Month]] &amp; "C" &amp; $AL131*100 &amp; "-ICE", "OldSettlement")), "")</f>
        <v/>
      </c>
      <c r="AO131" s="684" t="str">
        <f>IFERROR(ABS(RTD("esrtd",,Options[[#This Row],[Index]] &amp; " " &amp; Options[[#This Row],[Month]] &amp; "C" &amp; $AL131*100 &amp; "-ICE", "OldSetIV"))*100, "")</f>
        <v/>
      </c>
      <c r="AP131" s="684" t="str">
        <f>IFERROR(ABS(RTD("esrtd",,Options[[#This Row],[Index]] &amp; " " &amp; Options[[#This Row],[Month]] &amp; "C" &amp; $AL131*100 &amp; "-ICE", "Delta"))*100, "")</f>
        <v/>
      </c>
      <c r="AQ131" s="684" t="str">
        <f>IFERROR(ABS(RTD("esrtd",,Options[[#This Row],[Index]] &amp; " " &amp; Options[[#This Row],[Month]] &amp; "C" &amp; $AL131*100 &amp; "-ICE", "Market")), "")</f>
        <v/>
      </c>
      <c r="AR131" s="684" t="str">
        <f>IFERROR(ABS(RTD("esrtd",,Options[[#This Row],[Index]] &amp; " " &amp; Options[[#This Row],[Month]] &amp; "C" &amp; $AL131*100 &amp; "-ICE", "ImpVol"))*100, "")</f>
        <v/>
      </c>
      <c r="AT131" s="678"/>
      <c r="AU131" s="677"/>
      <c r="AV131" s="677"/>
      <c r="AX131" s="678"/>
      <c r="AY131" s="677"/>
      <c r="AZ131" s="677"/>
    </row>
    <row r="132" spans="7:52" x14ac:dyDescent="0.25">
      <c r="G132" s="596"/>
      <c r="AB132" s="596" t="s">
        <v>119</v>
      </c>
      <c r="AC132" s="596" t="s">
        <v>1336</v>
      </c>
      <c r="AD132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2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2" s="683" t="e">
        <f>ABS(_xll.BDP(Options[[#This Row],[P-Ticker]], "OPT_DELTA_YEST"))*100</f>
        <v>#VALUE!</v>
      </c>
      <c r="AG132" s="683" t="str">
        <f>IFERROR(ABS(RTD("esrtd",,Options[[#This Row],[Index]] &amp; " " &amp; Options[[#This Row],[Month]] &amp; "P" &amp; $AL132*100 &amp; "-ICE", "OldSettlement")), "")</f>
        <v/>
      </c>
      <c r="AH132" s="683" t="str">
        <f>IFERROR(ABS(RTD("esrtd",,Options[[#This Row],[Index]] &amp; " " &amp; Options[[#This Row],[Month]] &amp; "P" &amp; $AL132*100 &amp; "-ICE", "OldSetIV"))*100, "")</f>
        <v/>
      </c>
      <c r="AI132" s="683" t="str">
        <f>IFERROR(ABS(RTD("esrtd",,Options[[#This Row],[Index]] &amp; " " &amp; Options[[#This Row],[Month]] &amp; "P" &amp; $AL132*100 &amp; "-ICE", "Delta"))*100, "")</f>
        <v/>
      </c>
      <c r="AJ132" s="683" t="str">
        <f>IFERROR(ABS(RTD("esrtd",,Options[[#This Row],[Index]] &amp; " " &amp; Options[[#This Row],[Month]] &amp; "P" &amp; $AL132*100 &amp; "-ICE", "Market")), "")</f>
        <v/>
      </c>
      <c r="AK132" s="683" t="str">
        <f>IFERROR(ABS(RTD("esrtd",,Options[[#This Row],[Index]] &amp; " " &amp; Options[[#This Row],[Month]] &amp; "P" &amp; $AL132*100 &amp; "-ICE", "ImpVol"))*100, "")</f>
        <v/>
      </c>
      <c r="AL132" s="676">
        <v>300</v>
      </c>
      <c r="AM132" s="684" t="e">
        <f>ABS(_xll.BDP(Options[[#This Row],[C-Ticker]], "OPT_DELTA_YEST"))*100</f>
        <v>#VALUE!</v>
      </c>
      <c r="AN132" s="684" t="str">
        <f>IFERROR(ABS(RTD("esrtd",,Options[[#This Row],[Index]] &amp; " " &amp; Options[[#This Row],[Month]] &amp; "C" &amp; $AL132*100 &amp; "-ICE", "OldSettlement")), "")</f>
        <v/>
      </c>
      <c r="AO132" s="684" t="str">
        <f>IFERROR(ABS(RTD("esrtd",,Options[[#This Row],[Index]] &amp; " " &amp; Options[[#This Row],[Month]] &amp; "C" &amp; $AL132*100 &amp; "-ICE", "OldSetIV"))*100, "")</f>
        <v/>
      </c>
      <c r="AP132" s="684" t="str">
        <f>IFERROR(ABS(RTD("esrtd",,Options[[#This Row],[Index]] &amp; " " &amp; Options[[#This Row],[Month]] &amp; "C" &amp; $AL132*100 &amp; "-ICE", "Delta"))*100, "")</f>
        <v/>
      </c>
      <c r="AQ132" s="684" t="str">
        <f>IFERROR(ABS(RTD("esrtd",,Options[[#This Row],[Index]] &amp; " " &amp; Options[[#This Row],[Month]] &amp; "C" &amp; $AL132*100 &amp; "-ICE", "Market")), "")</f>
        <v/>
      </c>
      <c r="AR132" s="684" t="str">
        <f>IFERROR(ABS(RTD("esrtd",,Options[[#This Row],[Index]] &amp; " " &amp; Options[[#This Row],[Month]] &amp; "C" &amp; $AL132*100 &amp; "-ICE", "ImpVol"))*100, "")</f>
        <v/>
      </c>
      <c r="AT132" s="678"/>
      <c r="AU132" s="677"/>
      <c r="AV132" s="677"/>
      <c r="AX132" s="678"/>
      <c r="AY132" s="677"/>
      <c r="AZ132" s="677"/>
    </row>
    <row r="133" spans="7:52" x14ac:dyDescent="0.25">
      <c r="G133" s="596"/>
      <c r="AB133" s="596" t="s">
        <v>119</v>
      </c>
      <c r="AC133" s="596" t="s">
        <v>1336</v>
      </c>
      <c r="AD133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3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3" s="683" t="e">
        <f>ABS(_xll.BDP(Options[[#This Row],[P-Ticker]], "OPT_DELTA_YEST"))*100</f>
        <v>#VALUE!</v>
      </c>
      <c r="AG133" s="683" t="str">
        <f>IFERROR(ABS(RTD("esrtd",,Options[[#This Row],[Index]] &amp; " " &amp; Options[[#This Row],[Month]] &amp; "P" &amp; $AL133*100 &amp; "-ICE", "OldSettlement")), "")</f>
        <v/>
      </c>
      <c r="AH133" s="683" t="str">
        <f>IFERROR(ABS(RTD("esrtd",,Options[[#This Row],[Index]] &amp; " " &amp; Options[[#This Row],[Month]] &amp; "P" &amp; $AL133*100 &amp; "-ICE", "OldSetIV"))*100, "")</f>
        <v/>
      </c>
      <c r="AI133" s="683" t="str">
        <f>IFERROR(ABS(RTD("esrtd",,Options[[#This Row],[Index]] &amp; " " &amp; Options[[#This Row],[Month]] &amp; "P" &amp; $AL133*100 &amp; "-ICE", "Delta"))*100, "")</f>
        <v/>
      </c>
      <c r="AJ133" s="683" t="str">
        <f>IFERROR(ABS(RTD("esrtd",,Options[[#This Row],[Index]] &amp; " " &amp; Options[[#This Row],[Month]] &amp; "P" &amp; $AL133*100 &amp; "-ICE", "Market")), "")</f>
        <v/>
      </c>
      <c r="AK133" s="683" t="str">
        <f>IFERROR(ABS(RTD("esrtd",,Options[[#This Row],[Index]] &amp; " " &amp; Options[[#This Row],[Month]] &amp; "P" &amp; $AL133*100 &amp; "-ICE", "ImpVol"))*100, "")</f>
        <v/>
      </c>
      <c r="AL133" s="676">
        <v>300</v>
      </c>
      <c r="AM133" s="684" t="e">
        <f>ABS(_xll.BDP(Options[[#This Row],[C-Ticker]], "OPT_DELTA_YEST"))*100</f>
        <v>#VALUE!</v>
      </c>
      <c r="AN133" s="684" t="str">
        <f>IFERROR(ABS(RTD("esrtd",,Options[[#This Row],[Index]] &amp; " " &amp; Options[[#This Row],[Month]] &amp; "C" &amp; $AL133*100 &amp; "-ICE", "OldSettlement")), "")</f>
        <v/>
      </c>
      <c r="AO133" s="684" t="str">
        <f>IFERROR(ABS(RTD("esrtd",,Options[[#This Row],[Index]] &amp; " " &amp; Options[[#This Row],[Month]] &amp; "C" &amp; $AL133*100 &amp; "-ICE", "OldSetIV"))*100, "")</f>
        <v/>
      </c>
      <c r="AP133" s="684" t="str">
        <f>IFERROR(ABS(RTD("esrtd",,Options[[#This Row],[Index]] &amp; " " &amp; Options[[#This Row],[Month]] &amp; "C" &amp; $AL133*100 &amp; "-ICE", "Delta"))*100, "")</f>
        <v/>
      </c>
      <c r="AQ133" s="684" t="str">
        <f>IFERROR(ABS(RTD("esrtd",,Options[[#This Row],[Index]] &amp; " " &amp; Options[[#This Row],[Month]] &amp; "C" &amp; $AL133*100 &amp; "-ICE", "Market")), "")</f>
        <v/>
      </c>
      <c r="AR133" s="684" t="str">
        <f>IFERROR(ABS(RTD("esrtd",,Options[[#This Row],[Index]] &amp; " " &amp; Options[[#This Row],[Month]] &amp; "C" &amp; $AL133*100 &amp; "-ICE", "ImpVol"))*100, "")</f>
        <v/>
      </c>
      <c r="AT133" s="678"/>
      <c r="AU133" s="677"/>
      <c r="AV133" s="677"/>
      <c r="AX133" s="678"/>
      <c r="AY133" s="677"/>
      <c r="AZ133" s="677"/>
    </row>
    <row r="134" spans="7:52" x14ac:dyDescent="0.25">
      <c r="G134" s="596"/>
      <c r="AB134" s="596" t="s">
        <v>119</v>
      </c>
      <c r="AC134" s="596" t="s">
        <v>1336</v>
      </c>
      <c r="AD134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4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4" s="683" t="e">
        <f>ABS(_xll.BDP(Options[[#This Row],[P-Ticker]], "OPT_DELTA_YEST"))*100</f>
        <v>#VALUE!</v>
      </c>
      <c r="AG134" s="683" t="str">
        <f>IFERROR(ABS(RTD("esrtd",,Options[[#This Row],[Index]] &amp; " " &amp; Options[[#This Row],[Month]] &amp; "P" &amp; $AL134*100 &amp; "-ICE", "OldSettlement")), "")</f>
        <v/>
      </c>
      <c r="AH134" s="683" t="str">
        <f>IFERROR(ABS(RTD("esrtd",,Options[[#This Row],[Index]] &amp; " " &amp; Options[[#This Row],[Month]] &amp; "P" &amp; $AL134*100 &amp; "-ICE", "OldSetIV"))*100, "")</f>
        <v/>
      </c>
      <c r="AI134" s="683" t="str">
        <f>IFERROR(ABS(RTD("esrtd",,Options[[#This Row],[Index]] &amp; " " &amp; Options[[#This Row],[Month]] &amp; "P" &amp; $AL134*100 &amp; "-ICE", "Delta"))*100, "")</f>
        <v/>
      </c>
      <c r="AJ134" s="683" t="str">
        <f>IFERROR(ABS(RTD("esrtd",,Options[[#This Row],[Index]] &amp; " " &amp; Options[[#This Row],[Month]] &amp; "P" &amp; $AL134*100 &amp; "-ICE", "Market")), "")</f>
        <v/>
      </c>
      <c r="AK134" s="683" t="str">
        <f>IFERROR(ABS(RTD("esrtd",,Options[[#This Row],[Index]] &amp; " " &amp; Options[[#This Row],[Month]] &amp; "P" &amp; $AL134*100 &amp; "-ICE", "ImpVol"))*100, "")</f>
        <v/>
      </c>
      <c r="AL134" s="676">
        <v>300</v>
      </c>
      <c r="AM134" s="684" t="e">
        <f>ABS(_xll.BDP(Options[[#This Row],[C-Ticker]], "OPT_DELTA_YEST"))*100</f>
        <v>#VALUE!</v>
      </c>
      <c r="AN134" s="684" t="str">
        <f>IFERROR(ABS(RTD("esrtd",,Options[[#This Row],[Index]] &amp; " " &amp; Options[[#This Row],[Month]] &amp; "C" &amp; $AL134*100 &amp; "-ICE", "OldSettlement")), "")</f>
        <v/>
      </c>
      <c r="AO134" s="684" t="str">
        <f>IFERROR(ABS(RTD("esrtd",,Options[[#This Row],[Index]] &amp; " " &amp; Options[[#This Row],[Month]] &amp; "C" &amp; $AL134*100 &amp; "-ICE", "OldSetIV"))*100, "")</f>
        <v/>
      </c>
      <c r="AP134" s="684" t="str">
        <f>IFERROR(ABS(RTD("esrtd",,Options[[#This Row],[Index]] &amp; " " &amp; Options[[#This Row],[Month]] &amp; "C" &amp; $AL134*100 &amp; "-ICE", "Delta"))*100, "")</f>
        <v/>
      </c>
      <c r="AQ134" s="684" t="str">
        <f>IFERROR(ABS(RTD("esrtd",,Options[[#This Row],[Index]] &amp; " " &amp; Options[[#This Row],[Month]] &amp; "C" &amp; $AL134*100 &amp; "-ICE", "Market")), "")</f>
        <v/>
      </c>
      <c r="AR134" s="684" t="str">
        <f>IFERROR(ABS(RTD("esrtd",,Options[[#This Row],[Index]] &amp; " " &amp; Options[[#This Row],[Month]] &amp; "C" &amp; $AL134*100 &amp; "-ICE", "ImpVol"))*100, "")</f>
        <v/>
      </c>
      <c r="AT134" s="678"/>
      <c r="AU134" s="677"/>
      <c r="AV134" s="677"/>
      <c r="AX134" s="678"/>
      <c r="AY134" s="677"/>
      <c r="AZ134" s="677"/>
    </row>
    <row r="135" spans="7:52" x14ac:dyDescent="0.25">
      <c r="G135" s="596"/>
      <c r="AB135" s="596" t="s">
        <v>119</v>
      </c>
      <c r="AC135" s="596" t="s">
        <v>1336</v>
      </c>
      <c r="AD135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5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5" s="683" t="e">
        <f>ABS(_xll.BDP(Options[[#This Row],[P-Ticker]], "OPT_DELTA_YEST"))*100</f>
        <v>#VALUE!</v>
      </c>
      <c r="AG135" s="683" t="str">
        <f>IFERROR(ABS(RTD("esrtd",,Options[[#This Row],[Index]] &amp; " " &amp; Options[[#This Row],[Month]] &amp; "P" &amp; $AL135*100 &amp; "-ICE", "OldSettlement")), "")</f>
        <v/>
      </c>
      <c r="AH135" s="683" t="str">
        <f>IFERROR(ABS(RTD("esrtd",,Options[[#This Row],[Index]] &amp; " " &amp; Options[[#This Row],[Month]] &amp; "P" &amp; $AL135*100 &amp; "-ICE", "OldSetIV"))*100, "")</f>
        <v/>
      </c>
      <c r="AI135" s="683" t="str">
        <f>IFERROR(ABS(RTD("esrtd",,Options[[#This Row],[Index]] &amp; " " &amp; Options[[#This Row],[Month]] &amp; "P" &amp; $AL135*100 &amp; "-ICE", "Delta"))*100, "")</f>
        <v/>
      </c>
      <c r="AJ135" s="683" t="str">
        <f>IFERROR(ABS(RTD("esrtd",,Options[[#This Row],[Index]] &amp; " " &amp; Options[[#This Row],[Month]] &amp; "P" &amp; $AL135*100 &amp; "-ICE", "Market")), "")</f>
        <v/>
      </c>
      <c r="AK135" s="683" t="str">
        <f>IFERROR(ABS(RTD("esrtd",,Options[[#This Row],[Index]] &amp; " " &amp; Options[[#This Row],[Month]] &amp; "P" &amp; $AL135*100 &amp; "-ICE", "ImpVol"))*100, "")</f>
        <v/>
      </c>
      <c r="AL135" s="676">
        <v>300</v>
      </c>
      <c r="AM135" s="684" t="e">
        <f>ABS(_xll.BDP(Options[[#This Row],[C-Ticker]], "OPT_DELTA_YEST"))*100</f>
        <v>#VALUE!</v>
      </c>
      <c r="AN135" s="684" t="str">
        <f>IFERROR(ABS(RTD("esrtd",,Options[[#This Row],[Index]] &amp; " " &amp; Options[[#This Row],[Month]] &amp; "C" &amp; $AL135*100 &amp; "-ICE", "OldSettlement")), "")</f>
        <v/>
      </c>
      <c r="AO135" s="684" t="str">
        <f>IFERROR(ABS(RTD("esrtd",,Options[[#This Row],[Index]] &amp; " " &amp; Options[[#This Row],[Month]] &amp; "C" &amp; $AL135*100 &amp; "-ICE", "OldSetIV"))*100, "")</f>
        <v/>
      </c>
      <c r="AP135" s="684" t="str">
        <f>IFERROR(ABS(RTD("esrtd",,Options[[#This Row],[Index]] &amp; " " &amp; Options[[#This Row],[Month]] &amp; "C" &amp; $AL135*100 &amp; "-ICE", "Delta"))*100, "")</f>
        <v/>
      </c>
      <c r="AQ135" s="684" t="str">
        <f>IFERROR(ABS(RTD("esrtd",,Options[[#This Row],[Index]] &amp; " " &amp; Options[[#This Row],[Month]] &amp; "C" &amp; $AL135*100 &amp; "-ICE", "Market")), "")</f>
        <v/>
      </c>
      <c r="AR135" s="684" t="str">
        <f>IFERROR(ABS(RTD("esrtd",,Options[[#This Row],[Index]] &amp; " " &amp; Options[[#This Row],[Month]] &amp; "C" &amp; $AL135*100 &amp; "-ICE", "ImpVol"))*100, "")</f>
        <v/>
      </c>
      <c r="AT135" s="678"/>
      <c r="AU135" s="677"/>
      <c r="AV135" s="677"/>
      <c r="AX135" s="678"/>
      <c r="AY135" s="677"/>
      <c r="AZ135" s="677"/>
    </row>
    <row r="136" spans="7:52" x14ac:dyDescent="0.25">
      <c r="G136" s="596"/>
      <c r="AB136" s="596" t="s">
        <v>119</v>
      </c>
      <c r="AC136" s="596" t="s">
        <v>1336</v>
      </c>
      <c r="AD136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6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6" s="683" t="e">
        <f>ABS(_xll.BDP(Options[[#This Row],[P-Ticker]], "OPT_DELTA_YEST"))*100</f>
        <v>#VALUE!</v>
      </c>
      <c r="AG136" s="683" t="str">
        <f>IFERROR(ABS(RTD("esrtd",,Options[[#This Row],[Index]] &amp; " " &amp; Options[[#This Row],[Month]] &amp; "P" &amp; $AL136*100 &amp; "-ICE", "OldSettlement")), "")</f>
        <v/>
      </c>
      <c r="AH136" s="683" t="str">
        <f>IFERROR(ABS(RTD("esrtd",,Options[[#This Row],[Index]] &amp; " " &amp; Options[[#This Row],[Month]] &amp; "P" &amp; $AL136*100 &amp; "-ICE", "OldSetIV"))*100, "")</f>
        <v/>
      </c>
      <c r="AI136" s="683" t="str">
        <f>IFERROR(ABS(RTD("esrtd",,Options[[#This Row],[Index]] &amp; " " &amp; Options[[#This Row],[Month]] &amp; "P" &amp; $AL136*100 &amp; "-ICE", "Delta"))*100, "")</f>
        <v/>
      </c>
      <c r="AJ136" s="683" t="str">
        <f>IFERROR(ABS(RTD("esrtd",,Options[[#This Row],[Index]] &amp; " " &amp; Options[[#This Row],[Month]] &amp; "P" &amp; $AL136*100 &amp; "-ICE", "Market")), "")</f>
        <v/>
      </c>
      <c r="AK136" s="683" t="str">
        <f>IFERROR(ABS(RTD("esrtd",,Options[[#This Row],[Index]] &amp; " " &amp; Options[[#This Row],[Month]] &amp; "P" &amp; $AL136*100 &amp; "-ICE", "ImpVol"))*100, "")</f>
        <v/>
      </c>
      <c r="AL136" s="676">
        <v>300</v>
      </c>
      <c r="AM136" s="684" t="e">
        <f>ABS(_xll.BDP(Options[[#This Row],[C-Ticker]], "OPT_DELTA_YEST"))*100</f>
        <v>#VALUE!</v>
      </c>
      <c r="AN136" s="684" t="str">
        <f>IFERROR(ABS(RTD("esrtd",,Options[[#This Row],[Index]] &amp; " " &amp; Options[[#This Row],[Month]] &amp; "C" &amp; $AL136*100 &amp; "-ICE", "OldSettlement")), "")</f>
        <v/>
      </c>
      <c r="AO136" s="684" t="str">
        <f>IFERROR(ABS(RTD("esrtd",,Options[[#This Row],[Index]] &amp; " " &amp; Options[[#This Row],[Month]] &amp; "C" &amp; $AL136*100 &amp; "-ICE", "OldSetIV"))*100, "")</f>
        <v/>
      </c>
      <c r="AP136" s="684" t="str">
        <f>IFERROR(ABS(RTD("esrtd",,Options[[#This Row],[Index]] &amp; " " &amp; Options[[#This Row],[Month]] &amp; "C" &amp; $AL136*100 &amp; "-ICE", "Delta"))*100, "")</f>
        <v/>
      </c>
      <c r="AQ136" s="684" t="str">
        <f>IFERROR(ABS(RTD("esrtd",,Options[[#This Row],[Index]] &amp; " " &amp; Options[[#This Row],[Month]] &amp; "C" &amp; $AL136*100 &amp; "-ICE", "Market")), "")</f>
        <v/>
      </c>
      <c r="AR136" s="684" t="str">
        <f>IFERROR(ABS(RTD("esrtd",,Options[[#This Row],[Index]] &amp; " " &amp; Options[[#This Row],[Month]] &amp; "C" &amp; $AL136*100 &amp; "-ICE", "ImpVol"))*100, "")</f>
        <v/>
      </c>
      <c r="AT136" s="678"/>
      <c r="AU136" s="677"/>
      <c r="AV136" s="677"/>
      <c r="AX136" s="678"/>
      <c r="AY136" s="677"/>
      <c r="AZ136" s="677"/>
    </row>
    <row r="137" spans="7:52" x14ac:dyDescent="0.25">
      <c r="G137" s="596"/>
      <c r="AB137" s="596" t="s">
        <v>119</v>
      </c>
      <c r="AC137" s="596" t="s">
        <v>1336</v>
      </c>
      <c r="AD137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7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7" s="683" t="e">
        <f>ABS(_xll.BDP(Options[[#This Row],[P-Ticker]], "OPT_DELTA_YEST"))*100</f>
        <v>#VALUE!</v>
      </c>
      <c r="AG137" s="683" t="str">
        <f>IFERROR(ABS(RTD("esrtd",,Options[[#This Row],[Index]] &amp; " " &amp; Options[[#This Row],[Month]] &amp; "P" &amp; $AL137*100 &amp; "-ICE", "OldSettlement")), "")</f>
        <v/>
      </c>
      <c r="AH137" s="683" t="str">
        <f>IFERROR(ABS(RTD("esrtd",,Options[[#This Row],[Index]] &amp; " " &amp; Options[[#This Row],[Month]] &amp; "P" &amp; $AL137*100 &amp; "-ICE", "OldSetIV"))*100, "")</f>
        <v/>
      </c>
      <c r="AI137" s="683" t="str">
        <f>IFERROR(ABS(RTD("esrtd",,Options[[#This Row],[Index]] &amp; " " &amp; Options[[#This Row],[Month]] &amp; "P" &amp; $AL137*100 &amp; "-ICE", "Delta"))*100, "")</f>
        <v/>
      </c>
      <c r="AJ137" s="683" t="str">
        <f>IFERROR(ABS(RTD("esrtd",,Options[[#This Row],[Index]] &amp; " " &amp; Options[[#This Row],[Month]] &amp; "P" &amp; $AL137*100 &amp; "-ICE", "Market")), "")</f>
        <v/>
      </c>
      <c r="AK137" s="683" t="str">
        <f>IFERROR(ABS(RTD("esrtd",,Options[[#This Row],[Index]] &amp; " " &amp; Options[[#This Row],[Month]] &amp; "P" &amp; $AL137*100 &amp; "-ICE", "ImpVol"))*100, "")</f>
        <v/>
      </c>
      <c r="AL137" s="676">
        <v>300</v>
      </c>
      <c r="AM137" s="684" t="e">
        <f>ABS(_xll.BDP(Options[[#This Row],[C-Ticker]], "OPT_DELTA_YEST"))*100</f>
        <v>#VALUE!</v>
      </c>
      <c r="AN137" s="684" t="str">
        <f>IFERROR(ABS(RTD("esrtd",,Options[[#This Row],[Index]] &amp; " " &amp; Options[[#This Row],[Month]] &amp; "C" &amp; $AL137*100 &amp; "-ICE", "OldSettlement")), "")</f>
        <v/>
      </c>
      <c r="AO137" s="684" t="str">
        <f>IFERROR(ABS(RTD("esrtd",,Options[[#This Row],[Index]] &amp; " " &amp; Options[[#This Row],[Month]] &amp; "C" &amp; $AL137*100 &amp; "-ICE", "OldSetIV"))*100, "")</f>
        <v/>
      </c>
      <c r="AP137" s="684" t="str">
        <f>IFERROR(ABS(RTD("esrtd",,Options[[#This Row],[Index]] &amp; " " &amp; Options[[#This Row],[Month]] &amp; "C" &amp; $AL137*100 &amp; "-ICE", "Delta"))*100, "")</f>
        <v/>
      </c>
      <c r="AQ137" s="684" t="str">
        <f>IFERROR(ABS(RTD("esrtd",,Options[[#This Row],[Index]] &amp; " " &amp; Options[[#This Row],[Month]] &amp; "C" &amp; $AL137*100 &amp; "-ICE", "Market")), "")</f>
        <v/>
      </c>
      <c r="AR137" s="684" t="str">
        <f>IFERROR(ABS(RTD("esrtd",,Options[[#This Row],[Index]] &amp; " " &amp; Options[[#This Row],[Month]] &amp; "C" &amp; $AL137*100 &amp; "-ICE", "ImpVol"))*100, "")</f>
        <v/>
      </c>
      <c r="AT137" s="678"/>
      <c r="AU137" s="677"/>
      <c r="AV137" s="677"/>
      <c r="AX137" s="678"/>
      <c r="AY137" s="677"/>
      <c r="AZ137" s="677"/>
    </row>
    <row r="138" spans="7:52" x14ac:dyDescent="0.25">
      <c r="G138" s="596"/>
      <c r="AB138" s="596" t="s">
        <v>119</v>
      </c>
      <c r="AC138" s="596" t="s">
        <v>1336</v>
      </c>
      <c r="AD138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8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8" s="683" t="e">
        <f>ABS(_xll.BDP(Options[[#This Row],[P-Ticker]], "OPT_DELTA_YEST"))*100</f>
        <v>#VALUE!</v>
      </c>
      <c r="AG138" s="683" t="str">
        <f>IFERROR(ABS(RTD("esrtd",,Options[[#This Row],[Index]] &amp; " " &amp; Options[[#This Row],[Month]] &amp; "P" &amp; $AL138*100 &amp; "-ICE", "OldSettlement")), "")</f>
        <v/>
      </c>
      <c r="AH138" s="683" t="str">
        <f>IFERROR(ABS(RTD("esrtd",,Options[[#This Row],[Index]] &amp; " " &amp; Options[[#This Row],[Month]] &amp; "P" &amp; $AL138*100 &amp; "-ICE", "OldSetIV"))*100, "")</f>
        <v/>
      </c>
      <c r="AI138" s="683" t="str">
        <f>IFERROR(ABS(RTD("esrtd",,Options[[#This Row],[Index]] &amp; " " &amp; Options[[#This Row],[Month]] &amp; "P" &amp; $AL138*100 &amp; "-ICE", "Delta"))*100, "")</f>
        <v/>
      </c>
      <c r="AJ138" s="683" t="str">
        <f>IFERROR(ABS(RTD("esrtd",,Options[[#This Row],[Index]] &amp; " " &amp; Options[[#This Row],[Month]] &amp; "P" &amp; $AL138*100 &amp; "-ICE", "Market")), "")</f>
        <v/>
      </c>
      <c r="AK138" s="683" t="str">
        <f>IFERROR(ABS(RTD("esrtd",,Options[[#This Row],[Index]] &amp; " " &amp; Options[[#This Row],[Month]] &amp; "P" &amp; $AL138*100 &amp; "-ICE", "ImpVol"))*100, "")</f>
        <v/>
      </c>
      <c r="AL138" s="676">
        <v>300</v>
      </c>
      <c r="AM138" s="684" t="e">
        <f>ABS(_xll.BDP(Options[[#This Row],[C-Ticker]], "OPT_DELTA_YEST"))*100</f>
        <v>#VALUE!</v>
      </c>
      <c r="AN138" s="684" t="str">
        <f>IFERROR(ABS(RTD("esrtd",,Options[[#This Row],[Index]] &amp; " " &amp; Options[[#This Row],[Month]] &amp; "C" &amp; $AL138*100 &amp; "-ICE", "OldSettlement")), "")</f>
        <v/>
      </c>
      <c r="AO138" s="684" t="str">
        <f>IFERROR(ABS(RTD("esrtd",,Options[[#This Row],[Index]] &amp; " " &amp; Options[[#This Row],[Month]] &amp; "C" &amp; $AL138*100 &amp; "-ICE", "OldSetIV"))*100, "")</f>
        <v/>
      </c>
      <c r="AP138" s="684" t="str">
        <f>IFERROR(ABS(RTD("esrtd",,Options[[#This Row],[Index]] &amp; " " &amp; Options[[#This Row],[Month]] &amp; "C" &amp; $AL138*100 &amp; "-ICE", "Delta"))*100, "")</f>
        <v/>
      </c>
      <c r="AQ138" s="684" t="str">
        <f>IFERROR(ABS(RTD("esrtd",,Options[[#This Row],[Index]] &amp; " " &amp; Options[[#This Row],[Month]] &amp; "C" &amp; $AL138*100 &amp; "-ICE", "Market")), "")</f>
        <v/>
      </c>
      <c r="AR138" s="684" t="str">
        <f>IFERROR(ABS(RTD("esrtd",,Options[[#This Row],[Index]] &amp; " " &amp; Options[[#This Row],[Month]] &amp; "C" &amp; $AL138*100 &amp; "-ICE", "ImpVol"))*100, "")</f>
        <v/>
      </c>
      <c r="AT138" s="678"/>
      <c r="AU138" s="677"/>
      <c r="AV138" s="677"/>
      <c r="AX138" s="678"/>
      <c r="AY138" s="677"/>
      <c r="AZ138" s="677"/>
    </row>
    <row r="139" spans="7:52" x14ac:dyDescent="0.25">
      <c r="G139" s="596"/>
      <c r="AB139" s="596" t="s">
        <v>119</v>
      </c>
      <c r="AC139" s="596" t="s">
        <v>1336</v>
      </c>
      <c r="AD139" s="596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39" s="596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39" s="683" t="e">
        <f>ABS(_xll.BDP(Options[[#This Row],[P-Ticker]], "OPT_DELTA_YEST"))*100</f>
        <v>#VALUE!</v>
      </c>
      <c r="AG139" s="683" t="str">
        <f>IFERROR(ABS(RTD("esrtd",,Options[[#This Row],[Index]] &amp; " " &amp; Options[[#This Row],[Month]] &amp; "P" &amp; $AL139*100 &amp; "-ICE", "OldSettlement")), "")</f>
        <v/>
      </c>
      <c r="AH139" s="683" t="str">
        <f>IFERROR(ABS(RTD("esrtd",,Options[[#This Row],[Index]] &amp; " " &amp; Options[[#This Row],[Month]] &amp; "P" &amp; $AL139*100 &amp; "-ICE", "OldSetIV"))*100, "")</f>
        <v/>
      </c>
      <c r="AI139" s="683" t="str">
        <f>IFERROR(ABS(RTD("esrtd",,Options[[#This Row],[Index]] &amp; " " &amp; Options[[#This Row],[Month]] &amp; "P" &amp; $AL139*100 &amp; "-ICE", "Delta"))*100, "")</f>
        <v/>
      </c>
      <c r="AJ139" s="683" t="str">
        <f>IFERROR(ABS(RTD("esrtd",,Options[[#This Row],[Index]] &amp; " " &amp; Options[[#This Row],[Month]] &amp; "P" &amp; $AL139*100 &amp; "-ICE", "Market")), "")</f>
        <v/>
      </c>
      <c r="AK139" s="683" t="str">
        <f>IFERROR(ABS(RTD("esrtd",,Options[[#This Row],[Index]] &amp; " " &amp; Options[[#This Row],[Month]] &amp; "P" &amp; $AL139*100 &amp; "-ICE", "ImpVol"))*100, "")</f>
        <v/>
      </c>
      <c r="AL139" s="676">
        <v>300</v>
      </c>
      <c r="AM139" s="684" t="e">
        <f>ABS(_xll.BDP(Options[[#This Row],[C-Ticker]], "OPT_DELTA_YEST"))*100</f>
        <v>#VALUE!</v>
      </c>
      <c r="AN139" s="684" t="str">
        <f>IFERROR(ABS(RTD("esrtd",,Options[[#This Row],[Index]] &amp; " " &amp; Options[[#This Row],[Month]] &amp; "C" &amp; $AL139*100 &amp; "-ICE", "OldSettlement")), "")</f>
        <v/>
      </c>
      <c r="AO139" s="684" t="str">
        <f>IFERROR(ABS(RTD("esrtd",,Options[[#This Row],[Index]] &amp; " " &amp; Options[[#This Row],[Month]] &amp; "C" &amp; $AL139*100 &amp; "-ICE", "OldSetIV"))*100, "")</f>
        <v/>
      </c>
      <c r="AP139" s="684" t="str">
        <f>IFERROR(ABS(RTD("esrtd",,Options[[#This Row],[Index]] &amp; " " &amp; Options[[#This Row],[Month]] &amp; "C" &amp; $AL139*100 &amp; "-ICE", "Delta"))*100, "")</f>
        <v/>
      </c>
      <c r="AQ139" s="684" t="str">
        <f>IFERROR(ABS(RTD("esrtd",,Options[[#This Row],[Index]] &amp; " " &amp; Options[[#This Row],[Month]] &amp; "C" &amp; $AL139*100 &amp; "-ICE", "Market")), "")</f>
        <v/>
      </c>
      <c r="AR139" s="684" t="str">
        <f>IFERROR(ABS(RTD("esrtd",,Options[[#This Row],[Index]] &amp; " " &amp; Options[[#This Row],[Month]] &amp; "C" &amp; $AL139*100 &amp; "-ICE", "ImpVol"))*100, "")</f>
        <v/>
      </c>
      <c r="AT139" s="678"/>
      <c r="AU139" s="677"/>
      <c r="AV139" s="677"/>
      <c r="AX139" s="678"/>
      <c r="AY139" s="677"/>
      <c r="AZ139" s="677"/>
    </row>
    <row r="140" spans="7:52" ht="15.75" thickBot="1" x14ac:dyDescent="0.3">
      <c r="G140" s="596"/>
      <c r="AB140" s="697" t="s">
        <v>119</v>
      </c>
      <c r="AC140" s="697" t="s">
        <v>1336</v>
      </c>
      <c r="AD140" s="697" t="str">
        <f>IF(Options[[#This Row],[Index]] = "BRN", "CO", "CL") &amp; RIGHT(Options[[#This Row],[Month]], 1) &amp; MID(Options[[#This Row],[Month]], 2, 1) &amp; "P" &amp; " " &amp; TEXT(Options[[#This Row],[Strike]], "00.00") &amp; " Comdty"</f>
        <v>COU6P 300.00 Comdty</v>
      </c>
      <c r="AE140" s="697" t="str">
        <f>IF(Options[[#This Row],[Index]] = "BRN", "CO", "CL") &amp; RIGHT(Options[[#This Row],[Month]], 1) &amp; MID(Options[[#This Row],[Month]], 2, 1) &amp; "C" &amp; " " &amp; TEXT(Options[[#This Row],[Strike]], "00.00") &amp; " Comdty"</f>
        <v>COU6C 300.00 Comdty</v>
      </c>
      <c r="AF140" s="698" t="e">
        <f>ABS(_xll.BDP(Options[[#This Row],[P-Ticker]], "OPT_DELTA_YEST"))*100</f>
        <v>#VALUE!</v>
      </c>
      <c r="AG140" s="698" t="str">
        <f>IFERROR(ABS(RTD("esrtd",,Options[[#This Row],[Index]] &amp; " " &amp; Options[[#This Row],[Month]] &amp; "P" &amp; $AL140*100 &amp; "-ICE", "OldSettlement")), "")</f>
        <v/>
      </c>
      <c r="AH140" s="698" t="str">
        <f>IFERROR(ABS(RTD("esrtd",,Options[[#This Row],[Index]] &amp; " " &amp; Options[[#This Row],[Month]] &amp; "P" &amp; $AL140*100 &amp; "-ICE", "OldSetIV"))*100, "")</f>
        <v/>
      </c>
      <c r="AI140" s="698" t="str">
        <f>IFERROR(ABS(RTD("esrtd",,Options[[#This Row],[Index]] &amp; " " &amp; Options[[#This Row],[Month]] &amp; "P" &amp; $AL140*100 &amp; "-ICE", "Delta"))*100, "")</f>
        <v/>
      </c>
      <c r="AJ140" s="698" t="str">
        <f>IFERROR(ABS(RTD("esrtd",,Options[[#This Row],[Index]] &amp; " " &amp; Options[[#This Row],[Month]] &amp; "P" &amp; $AL140*100 &amp; "-ICE", "Market")), "")</f>
        <v/>
      </c>
      <c r="AK140" s="698" t="str">
        <f>IFERROR(ABS(RTD("esrtd",,Options[[#This Row],[Index]] &amp; " " &amp; Options[[#This Row],[Month]] &amp; "P" &amp; $AL140*100 &amp; "-ICE", "ImpVol"))*100, "")</f>
        <v/>
      </c>
      <c r="AL140" s="699">
        <v>300</v>
      </c>
      <c r="AM140" s="700" t="e">
        <f>ABS(_xll.BDP(Options[[#This Row],[C-Ticker]], "OPT_DELTA_YEST"))*100</f>
        <v>#VALUE!</v>
      </c>
      <c r="AN140" s="700" t="str">
        <f>IFERROR(ABS(RTD("esrtd",,Options[[#This Row],[Index]] &amp; " " &amp; Options[[#This Row],[Month]] &amp; "C" &amp; $AL140*100 &amp; "-ICE", "OldSettlement")), "")</f>
        <v/>
      </c>
      <c r="AO140" s="700" t="str">
        <f>IFERROR(ABS(RTD("esrtd",,Options[[#This Row],[Index]] &amp; " " &amp; Options[[#This Row],[Month]] &amp; "C" &amp; $AL140*100 &amp; "-ICE", "OldSetIV"))*100, "")</f>
        <v/>
      </c>
      <c r="AP140" s="700" t="str">
        <f>IFERROR(ABS(RTD("esrtd",,Options[[#This Row],[Index]] &amp; " " &amp; Options[[#This Row],[Month]] &amp; "C" &amp; $AL140*100 &amp; "-ICE", "Delta"))*100, "")</f>
        <v/>
      </c>
      <c r="AQ140" s="700" t="str">
        <f>IFERROR(ABS(RTD("esrtd",,Options[[#This Row],[Index]] &amp; " " &amp; Options[[#This Row],[Month]] &amp; "C" &amp; $AL140*100 &amp; "-ICE", "Market")), "")</f>
        <v/>
      </c>
      <c r="AR140" s="700" t="str">
        <f>IFERROR(ABS(RTD("esrtd",,Options[[#This Row],[Index]] &amp; " " &amp; Options[[#This Row],[Month]] &amp; "C" &amp; $AL140*100 &amp; "-ICE", "ImpVol"))*100, "")</f>
        <v/>
      </c>
      <c r="AT140" s="678"/>
      <c r="AU140" s="677"/>
      <c r="AV140" s="677"/>
      <c r="AX140" s="678"/>
      <c r="AY140" s="677"/>
      <c r="AZ140" s="677"/>
    </row>
    <row r="141" spans="7:52" x14ac:dyDescent="0.25">
      <c r="G141" s="596"/>
      <c r="AB141" s="596" t="s">
        <v>119</v>
      </c>
      <c r="AC141" s="596" t="s">
        <v>1395</v>
      </c>
      <c r="AD14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1" s="683" t="e">
        <f>ABS(_xll.BDP(Options[[#This Row],[P-Ticker]], "OPT_DELTA_YEST"))*100</f>
        <v>#VALUE!</v>
      </c>
      <c r="AG141" s="683" t="str">
        <f>IFERROR(ABS(RTD("esrtd",,Options[[#This Row],[Index]] &amp; " " &amp; Options[[#This Row],[Month]] &amp; "P" &amp; $AL141*100 &amp; "-ICE", "OldSettlement")), "")</f>
        <v/>
      </c>
      <c r="AH141" s="683" t="str">
        <f>IFERROR(ABS(RTD("esrtd",,Options[[#This Row],[Index]] &amp; " " &amp; Options[[#This Row],[Month]] &amp; "P" &amp; $AL141*100 &amp; "-ICE", "OldSetIV"))*100, "")</f>
        <v/>
      </c>
      <c r="AI141" s="683" t="str">
        <f>IFERROR(ABS(RTD("esrtd",,Options[[#This Row],[Index]] &amp; " " &amp; Options[[#This Row],[Month]] &amp; "P" &amp; $AL141*100 &amp; "-ICE", "Delta"))*100, "")</f>
        <v/>
      </c>
      <c r="AJ141" s="683" t="str">
        <f>IFERROR(ABS(RTD("esrtd",,Options[[#This Row],[Index]] &amp; " " &amp; Options[[#This Row],[Month]] &amp; "P" &amp; $AL141*100 &amp; "-ICE", "Market")), "")</f>
        <v/>
      </c>
      <c r="AK141" s="683" t="str">
        <f>IFERROR(ABS(RTD("esrtd",,Options[[#This Row],[Index]] &amp; " " &amp; Options[[#This Row],[Month]] &amp; "P" &amp; $AL141*100 &amp; "-ICE", "ImpVol"))*100, "")</f>
        <v/>
      </c>
      <c r="AL141" s="676" t="e">
        <f t="shared" ref="AL141:AL166" si="33">AL142-1</f>
        <v>#VALUE!</v>
      </c>
      <c r="AM141" s="711" t="e">
        <f>ABS(_xll.BDP(Options[[#This Row],[C-Ticker]], "OPT_DELTA_YEST"))*100</f>
        <v>#VALUE!</v>
      </c>
      <c r="AN141" s="684" t="str">
        <f>IFERROR(ABS(RTD("esrtd",,Options[[#This Row],[Index]] &amp; " " &amp; Options[[#This Row],[Month]] &amp; "C" &amp; $AL141*100 &amp; "-ICE", "OldSettlement")), "")</f>
        <v/>
      </c>
      <c r="AO141" s="684" t="str">
        <f>IFERROR(ABS(RTD("esrtd",,Options[[#This Row],[Index]] &amp; " " &amp; Options[[#This Row],[Month]] &amp; "C" &amp; $AL141*100 &amp; "-ICE", "OldSetIV"))*100, "")</f>
        <v/>
      </c>
      <c r="AP141" s="684" t="str">
        <f>IFERROR(ABS(RTD("esrtd",,Options[[#This Row],[Index]] &amp; " " &amp; Options[[#This Row],[Month]] &amp; "C" &amp; $AL141*100 &amp; "-ICE", "Delta"))*100, "")</f>
        <v/>
      </c>
      <c r="AQ141" s="684" t="str">
        <f>IFERROR(ABS(RTD("esrtd",,Options[[#This Row],[Index]] &amp; " " &amp; Options[[#This Row],[Month]] &amp; "C" &amp; $AL141*100 &amp; "-ICE", "Market")), "")</f>
        <v/>
      </c>
      <c r="AR141" s="684" t="str">
        <f>IFERROR(ABS(RTD("esrtd",,Options[[#This Row],[Index]] &amp; " " &amp; Options[[#This Row],[Month]] &amp; "C" &amp; $AL141*100 &amp; "-ICE", "ImpVol"))*100, "")</f>
        <v/>
      </c>
      <c r="AT141" s="678"/>
      <c r="AU141" s="677"/>
      <c r="AV141" s="677"/>
      <c r="AX141" s="678"/>
      <c r="AY141" s="677"/>
      <c r="AZ141" s="677"/>
    </row>
    <row r="142" spans="7:52" x14ac:dyDescent="0.25">
      <c r="G142" s="596"/>
      <c r="AB142" s="596" t="s">
        <v>119</v>
      </c>
      <c r="AC142" s="596" t="s">
        <v>1395</v>
      </c>
      <c r="AD14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2" s="683" t="e">
        <f>ABS(_xll.BDP(Options[[#This Row],[P-Ticker]], "OPT_DELTA_YEST"))*100</f>
        <v>#VALUE!</v>
      </c>
      <c r="AG142" s="683" t="str">
        <f>IFERROR(ABS(RTD("esrtd",,Options[[#This Row],[Index]] &amp; " " &amp; Options[[#This Row],[Month]] &amp; "P" &amp; $AL142*100 &amp; "-ICE", "OldSettlement")), "")</f>
        <v/>
      </c>
      <c r="AH142" s="683" t="str">
        <f>IFERROR(ABS(RTD("esrtd",,Options[[#This Row],[Index]] &amp; " " &amp; Options[[#This Row],[Month]] &amp; "P" &amp; $AL142*100 &amp; "-ICE", "OldSetIV"))*100, "")</f>
        <v/>
      </c>
      <c r="AI142" s="683" t="str">
        <f>IFERROR(ABS(RTD("esrtd",,Options[[#This Row],[Index]] &amp; " " &amp; Options[[#This Row],[Month]] &amp; "P" &amp; $AL142*100 &amp; "-ICE", "Delta"))*100, "")</f>
        <v/>
      </c>
      <c r="AJ142" s="683" t="str">
        <f>IFERROR(ABS(RTD("esrtd",,Options[[#This Row],[Index]] &amp; " " &amp; Options[[#This Row],[Month]] &amp; "P" &amp; $AL142*100 &amp; "-ICE", "Market")), "")</f>
        <v/>
      </c>
      <c r="AK142" s="683" t="str">
        <f>IFERROR(ABS(RTD("esrtd",,Options[[#This Row],[Index]] &amp; " " &amp; Options[[#This Row],[Month]] &amp; "P" &amp; $AL142*100 &amp; "-ICE", "ImpVol"))*100, "")</f>
        <v/>
      </c>
      <c r="AL142" s="676" t="e">
        <f t="shared" si="33"/>
        <v>#VALUE!</v>
      </c>
      <c r="AM142" s="711" t="e">
        <f>ABS(_xll.BDP(Options[[#This Row],[C-Ticker]], "OPT_DELTA_YEST"))*100</f>
        <v>#VALUE!</v>
      </c>
      <c r="AN142" s="684" t="str">
        <f>IFERROR(ABS(RTD("esrtd",,Options[[#This Row],[Index]] &amp; " " &amp; Options[[#This Row],[Month]] &amp; "C" &amp; $AL142*100 &amp; "-ICE", "OldSettlement")), "")</f>
        <v/>
      </c>
      <c r="AO142" s="684" t="str">
        <f>IFERROR(ABS(RTD("esrtd",,Options[[#This Row],[Index]] &amp; " " &amp; Options[[#This Row],[Month]] &amp; "C" &amp; $AL142*100 &amp; "-ICE", "OldSetIV"))*100, "")</f>
        <v/>
      </c>
      <c r="AP142" s="684" t="str">
        <f>IFERROR(ABS(RTD("esrtd",,Options[[#This Row],[Index]] &amp; " " &amp; Options[[#This Row],[Month]] &amp; "C" &amp; $AL142*100 &amp; "-ICE", "Delta"))*100, "")</f>
        <v/>
      </c>
      <c r="AQ142" s="684" t="str">
        <f>IFERROR(ABS(RTD("esrtd",,Options[[#This Row],[Index]] &amp; " " &amp; Options[[#This Row],[Month]] &amp; "C" &amp; $AL142*100 &amp; "-ICE", "Market")), "")</f>
        <v/>
      </c>
      <c r="AR142" s="684" t="str">
        <f>IFERROR(ABS(RTD("esrtd",,Options[[#This Row],[Index]] &amp; " " &amp; Options[[#This Row],[Month]] &amp; "C" &amp; $AL142*100 &amp; "-ICE", "ImpVol"))*100, "")</f>
        <v/>
      </c>
      <c r="AT142" s="678"/>
      <c r="AU142" s="677"/>
      <c r="AV142" s="677"/>
      <c r="AX142" s="678"/>
      <c r="AY142" s="677"/>
      <c r="AZ142" s="677"/>
    </row>
    <row r="143" spans="7:52" x14ac:dyDescent="0.25">
      <c r="G143" s="596"/>
      <c r="AB143" s="596" t="s">
        <v>119</v>
      </c>
      <c r="AC143" s="596" t="s">
        <v>1395</v>
      </c>
      <c r="AD14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3" s="683" t="e">
        <f>ABS(_xll.BDP(Options[[#This Row],[P-Ticker]], "OPT_DELTA_YEST"))*100</f>
        <v>#VALUE!</v>
      </c>
      <c r="AG143" s="683" t="str">
        <f>IFERROR(ABS(RTD("esrtd",,Options[[#This Row],[Index]] &amp; " " &amp; Options[[#This Row],[Month]] &amp; "P" &amp; $AL143*100 &amp; "-ICE", "OldSettlement")), "")</f>
        <v/>
      </c>
      <c r="AH143" s="683" t="str">
        <f>IFERROR(ABS(RTD("esrtd",,Options[[#This Row],[Index]] &amp; " " &amp; Options[[#This Row],[Month]] &amp; "P" &amp; $AL143*100 &amp; "-ICE", "OldSetIV"))*100, "")</f>
        <v/>
      </c>
      <c r="AI143" s="683" t="str">
        <f>IFERROR(ABS(RTD("esrtd",,Options[[#This Row],[Index]] &amp; " " &amp; Options[[#This Row],[Month]] &amp; "P" &amp; $AL143*100 &amp; "-ICE", "Delta"))*100, "")</f>
        <v/>
      </c>
      <c r="AJ143" s="683" t="str">
        <f>IFERROR(ABS(RTD("esrtd",,Options[[#This Row],[Index]] &amp; " " &amp; Options[[#This Row],[Month]] &amp; "P" &amp; $AL143*100 &amp; "-ICE", "Market")), "")</f>
        <v/>
      </c>
      <c r="AK143" s="683" t="str">
        <f>IFERROR(ABS(RTD("esrtd",,Options[[#This Row],[Index]] &amp; " " &amp; Options[[#This Row],[Month]] &amp; "P" &amp; $AL143*100 &amp; "-ICE", "ImpVol"))*100, "")</f>
        <v/>
      </c>
      <c r="AL143" s="676" t="e">
        <f t="shared" si="33"/>
        <v>#VALUE!</v>
      </c>
      <c r="AM143" s="711" t="e">
        <f>ABS(_xll.BDP(Options[[#This Row],[C-Ticker]], "OPT_DELTA_YEST"))*100</f>
        <v>#VALUE!</v>
      </c>
      <c r="AN143" s="684" t="str">
        <f>IFERROR(ABS(RTD("esrtd",,Options[[#This Row],[Index]] &amp; " " &amp; Options[[#This Row],[Month]] &amp; "C" &amp; $AL143*100 &amp; "-ICE", "OldSettlement")), "")</f>
        <v/>
      </c>
      <c r="AO143" s="684" t="str">
        <f>IFERROR(ABS(RTD("esrtd",,Options[[#This Row],[Index]] &amp; " " &amp; Options[[#This Row],[Month]] &amp; "C" &amp; $AL143*100 &amp; "-ICE", "OldSetIV"))*100, "")</f>
        <v/>
      </c>
      <c r="AP143" s="684" t="str">
        <f>IFERROR(ABS(RTD("esrtd",,Options[[#This Row],[Index]] &amp; " " &amp; Options[[#This Row],[Month]] &amp; "C" &amp; $AL143*100 &amp; "-ICE", "Delta"))*100, "")</f>
        <v/>
      </c>
      <c r="AQ143" s="684" t="str">
        <f>IFERROR(ABS(RTD("esrtd",,Options[[#This Row],[Index]] &amp; " " &amp; Options[[#This Row],[Month]] &amp; "C" &amp; $AL143*100 &amp; "-ICE", "Market")), "")</f>
        <v/>
      </c>
      <c r="AR143" s="684" t="str">
        <f>IFERROR(ABS(RTD("esrtd",,Options[[#This Row],[Index]] &amp; " " &amp; Options[[#This Row],[Month]] &amp; "C" &amp; $AL143*100 &amp; "-ICE", "ImpVol"))*100, "")</f>
        <v/>
      </c>
      <c r="AT143" s="678"/>
      <c r="AU143" s="677"/>
      <c r="AV143" s="677"/>
      <c r="AX143" s="678"/>
      <c r="AY143" s="677"/>
      <c r="AZ143" s="677"/>
    </row>
    <row r="144" spans="7:52" x14ac:dyDescent="0.25">
      <c r="G144" s="596"/>
      <c r="AB144" s="596" t="s">
        <v>119</v>
      </c>
      <c r="AC144" s="596" t="s">
        <v>1395</v>
      </c>
      <c r="AD14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4" s="683" t="e">
        <f>ABS(_xll.BDP(Options[[#This Row],[P-Ticker]], "OPT_DELTA_YEST"))*100</f>
        <v>#VALUE!</v>
      </c>
      <c r="AG144" s="683" t="str">
        <f>IFERROR(ABS(RTD("esrtd",,Options[[#This Row],[Index]] &amp; " " &amp; Options[[#This Row],[Month]] &amp; "P" &amp; $AL144*100 &amp; "-ICE", "OldSettlement")), "")</f>
        <v/>
      </c>
      <c r="AH144" s="683" t="str">
        <f>IFERROR(ABS(RTD("esrtd",,Options[[#This Row],[Index]] &amp; " " &amp; Options[[#This Row],[Month]] &amp; "P" &amp; $AL144*100 &amp; "-ICE", "OldSetIV"))*100, "")</f>
        <v/>
      </c>
      <c r="AI144" s="683" t="str">
        <f>IFERROR(ABS(RTD("esrtd",,Options[[#This Row],[Index]] &amp; " " &amp; Options[[#This Row],[Month]] &amp; "P" &amp; $AL144*100 &amp; "-ICE", "Delta"))*100, "")</f>
        <v/>
      </c>
      <c r="AJ144" s="683" t="str">
        <f>IFERROR(ABS(RTD("esrtd",,Options[[#This Row],[Index]] &amp; " " &amp; Options[[#This Row],[Month]] &amp; "P" &amp; $AL144*100 &amp; "-ICE", "Market")), "")</f>
        <v/>
      </c>
      <c r="AK144" s="683" t="str">
        <f>IFERROR(ABS(RTD("esrtd",,Options[[#This Row],[Index]] &amp; " " &amp; Options[[#This Row],[Month]] &amp; "P" &amp; $AL144*100 &amp; "-ICE", "ImpVol"))*100, "")</f>
        <v/>
      </c>
      <c r="AL144" s="676" t="e">
        <f t="shared" si="33"/>
        <v>#VALUE!</v>
      </c>
      <c r="AM144" s="711" t="e">
        <f>ABS(_xll.BDP(Options[[#This Row],[C-Ticker]], "OPT_DELTA_YEST"))*100</f>
        <v>#VALUE!</v>
      </c>
      <c r="AN144" s="684" t="str">
        <f>IFERROR(ABS(RTD("esrtd",,Options[[#This Row],[Index]] &amp; " " &amp; Options[[#This Row],[Month]] &amp; "C" &amp; $AL144*100 &amp; "-ICE", "OldSettlement")), "")</f>
        <v/>
      </c>
      <c r="AO144" s="684" t="str">
        <f>IFERROR(ABS(RTD("esrtd",,Options[[#This Row],[Index]] &amp; " " &amp; Options[[#This Row],[Month]] &amp; "C" &amp; $AL144*100 &amp; "-ICE", "OldSetIV"))*100, "")</f>
        <v/>
      </c>
      <c r="AP144" s="684" t="str">
        <f>IFERROR(ABS(RTD("esrtd",,Options[[#This Row],[Index]] &amp; " " &amp; Options[[#This Row],[Month]] &amp; "C" &amp; $AL144*100 &amp; "-ICE", "Delta"))*100, "")</f>
        <v/>
      </c>
      <c r="AQ144" s="684" t="str">
        <f>IFERROR(ABS(RTD("esrtd",,Options[[#This Row],[Index]] &amp; " " &amp; Options[[#This Row],[Month]] &amp; "C" &amp; $AL144*100 &amp; "-ICE", "Market")), "")</f>
        <v/>
      </c>
      <c r="AR144" s="684" t="str">
        <f>IFERROR(ABS(RTD("esrtd",,Options[[#This Row],[Index]] &amp; " " &amp; Options[[#This Row],[Month]] &amp; "C" &amp; $AL144*100 &amp; "-ICE", "ImpVol"))*100, "")</f>
        <v/>
      </c>
      <c r="AT144" s="678"/>
      <c r="AU144" s="677"/>
      <c r="AV144" s="677"/>
      <c r="AX144" s="678"/>
      <c r="AY144" s="677"/>
      <c r="AZ144" s="677"/>
    </row>
    <row r="145" spans="7:52" x14ac:dyDescent="0.25">
      <c r="G145" s="596"/>
      <c r="AB145" s="596" t="s">
        <v>119</v>
      </c>
      <c r="AC145" s="596" t="s">
        <v>1395</v>
      </c>
      <c r="AD14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5" s="683" t="e">
        <f>ABS(_xll.BDP(Options[[#This Row],[P-Ticker]], "OPT_DELTA_YEST"))*100</f>
        <v>#VALUE!</v>
      </c>
      <c r="AG145" s="683" t="str">
        <f>IFERROR(ABS(RTD("esrtd",,Options[[#This Row],[Index]] &amp; " " &amp; Options[[#This Row],[Month]] &amp; "P" &amp; $AL145*100 &amp; "-ICE", "OldSettlement")), "")</f>
        <v/>
      </c>
      <c r="AH145" s="683" t="str">
        <f>IFERROR(ABS(RTD("esrtd",,Options[[#This Row],[Index]] &amp; " " &amp; Options[[#This Row],[Month]] &amp; "P" &amp; $AL145*100 &amp; "-ICE", "OldSetIV"))*100, "")</f>
        <v/>
      </c>
      <c r="AI145" s="683" t="str">
        <f>IFERROR(ABS(RTD("esrtd",,Options[[#This Row],[Index]] &amp; " " &amp; Options[[#This Row],[Month]] &amp; "P" &amp; $AL145*100 &amp; "-ICE", "Delta"))*100, "")</f>
        <v/>
      </c>
      <c r="AJ145" s="683" t="str">
        <f>IFERROR(ABS(RTD("esrtd",,Options[[#This Row],[Index]] &amp; " " &amp; Options[[#This Row],[Month]] &amp; "P" &amp; $AL145*100 &amp; "-ICE", "Market")), "")</f>
        <v/>
      </c>
      <c r="AK145" s="683" t="str">
        <f>IFERROR(ABS(RTD("esrtd",,Options[[#This Row],[Index]] &amp; " " &amp; Options[[#This Row],[Month]] &amp; "P" &amp; $AL145*100 &amp; "-ICE", "ImpVol"))*100, "")</f>
        <v/>
      </c>
      <c r="AL145" s="676" t="e">
        <f t="shared" si="33"/>
        <v>#VALUE!</v>
      </c>
      <c r="AM145" s="711" t="e">
        <f>ABS(_xll.BDP(Options[[#This Row],[C-Ticker]], "OPT_DELTA_YEST"))*100</f>
        <v>#VALUE!</v>
      </c>
      <c r="AN145" s="684" t="str">
        <f>IFERROR(ABS(RTD("esrtd",,Options[[#This Row],[Index]] &amp; " " &amp; Options[[#This Row],[Month]] &amp; "C" &amp; $AL145*100 &amp; "-ICE", "OldSettlement")), "")</f>
        <v/>
      </c>
      <c r="AO145" s="684" t="str">
        <f>IFERROR(ABS(RTD("esrtd",,Options[[#This Row],[Index]] &amp; " " &amp; Options[[#This Row],[Month]] &amp; "C" &amp; $AL145*100 &amp; "-ICE", "OldSetIV"))*100, "")</f>
        <v/>
      </c>
      <c r="AP145" s="684" t="str">
        <f>IFERROR(ABS(RTD("esrtd",,Options[[#This Row],[Index]] &amp; " " &amp; Options[[#This Row],[Month]] &amp; "C" &amp; $AL145*100 &amp; "-ICE", "Delta"))*100, "")</f>
        <v/>
      </c>
      <c r="AQ145" s="684" t="str">
        <f>IFERROR(ABS(RTD("esrtd",,Options[[#This Row],[Index]] &amp; " " &amp; Options[[#This Row],[Month]] &amp; "C" &amp; $AL145*100 &amp; "-ICE", "Market")), "")</f>
        <v/>
      </c>
      <c r="AR145" s="684" t="str">
        <f>IFERROR(ABS(RTD("esrtd",,Options[[#This Row],[Index]] &amp; " " &amp; Options[[#This Row],[Month]] &amp; "C" &amp; $AL145*100 &amp; "-ICE", "ImpVol"))*100, "")</f>
        <v/>
      </c>
      <c r="AT145" s="678"/>
      <c r="AU145" s="677"/>
      <c r="AV145" s="677"/>
      <c r="AX145" s="678"/>
      <c r="AY145" s="677"/>
      <c r="AZ145" s="677"/>
    </row>
    <row r="146" spans="7:52" x14ac:dyDescent="0.25">
      <c r="G146" s="596"/>
      <c r="AB146" s="596" t="s">
        <v>119</v>
      </c>
      <c r="AC146" s="596" t="s">
        <v>1395</v>
      </c>
      <c r="AD14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6" s="683" t="e">
        <f>ABS(_xll.BDP(Options[[#This Row],[P-Ticker]], "OPT_DELTA_YEST"))*100</f>
        <v>#VALUE!</v>
      </c>
      <c r="AG146" s="683" t="str">
        <f>IFERROR(ABS(RTD("esrtd",,Options[[#This Row],[Index]] &amp; " " &amp; Options[[#This Row],[Month]] &amp; "P" &amp; $AL146*100 &amp; "-ICE", "OldSettlement")), "")</f>
        <v/>
      </c>
      <c r="AH146" s="683" t="str">
        <f>IFERROR(ABS(RTD("esrtd",,Options[[#This Row],[Index]] &amp; " " &amp; Options[[#This Row],[Month]] &amp; "P" &amp; $AL146*100 &amp; "-ICE", "OldSetIV"))*100, "")</f>
        <v/>
      </c>
      <c r="AI146" s="683" t="str">
        <f>IFERROR(ABS(RTD("esrtd",,Options[[#This Row],[Index]] &amp; " " &amp; Options[[#This Row],[Month]] &amp; "P" &amp; $AL146*100 &amp; "-ICE", "Delta"))*100, "")</f>
        <v/>
      </c>
      <c r="AJ146" s="683" t="str">
        <f>IFERROR(ABS(RTD("esrtd",,Options[[#This Row],[Index]] &amp; " " &amp; Options[[#This Row],[Month]] &amp; "P" &amp; $AL146*100 &amp; "-ICE", "Market")), "")</f>
        <v/>
      </c>
      <c r="AK146" s="683" t="str">
        <f>IFERROR(ABS(RTD("esrtd",,Options[[#This Row],[Index]] &amp; " " &amp; Options[[#This Row],[Month]] &amp; "P" &amp; $AL146*100 &amp; "-ICE", "ImpVol"))*100, "")</f>
        <v/>
      </c>
      <c r="AL146" s="676" t="e">
        <f t="shared" si="33"/>
        <v>#VALUE!</v>
      </c>
      <c r="AM146" s="711" t="e">
        <f>ABS(_xll.BDP(Options[[#This Row],[C-Ticker]], "OPT_DELTA_YEST"))*100</f>
        <v>#VALUE!</v>
      </c>
      <c r="AN146" s="684" t="str">
        <f>IFERROR(ABS(RTD("esrtd",,Options[[#This Row],[Index]] &amp; " " &amp; Options[[#This Row],[Month]] &amp; "C" &amp; $AL146*100 &amp; "-ICE", "OldSettlement")), "")</f>
        <v/>
      </c>
      <c r="AO146" s="684" t="str">
        <f>IFERROR(ABS(RTD("esrtd",,Options[[#This Row],[Index]] &amp; " " &amp; Options[[#This Row],[Month]] &amp; "C" &amp; $AL146*100 &amp; "-ICE", "OldSetIV"))*100, "")</f>
        <v/>
      </c>
      <c r="AP146" s="684" t="str">
        <f>IFERROR(ABS(RTD("esrtd",,Options[[#This Row],[Index]] &amp; " " &amp; Options[[#This Row],[Month]] &amp; "C" &amp; $AL146*100 &amp; "-ICE", "Delta"))*100, "")</f>
        <v/>
      </c>
      <c r="AQ146" s="684" t="str">
        <f>IFERROR(ABS(RTD("esrtd",,Options[[#This Row],[Index]] &amp; " " &amp; Options[[#This Row],[Month]] &amp; "C" &amp; $AL146*100 &amp; "-ICE", "Market")), "")</f>
        <v/>
      </c>
      <c r="AR146" s="684" t="str">
        <f>IFERROR(ABS(RTD("esrtd",,Options[[#This Row],[Index]] &amp; " " &amp; Options[[#This Row],[Month]] &amp; "C" &amp; $AL146*100 &amp; "-ICE", "ImpVol"))*100, "")</f>
        <v/>
      </c>
      <c r="AT146" s="678"/>
      <c r="AU146" s="677"/>
      <c r="AV146" s="677"/>
      <c r="AX146" s="678"/>
      <c r="AY146" s="677"/>
      <c r="AZ146" s="677"/>
    </row>
    <row r="147" spans="7:52" x14ac:dyDescent="0.25">
      <c r="G147" s="596"/>
      <c r="AB147" s="596" t="s">
        <v>119</v>
      </c>
      <c r="AC147" s="596" t="s">
        <v>1395</v>
      </c>
      <c r="AD14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7" s="683" t="e">
        <f>ABS(_xll.BDP(Options[[#This Row],[P-Ticker]], "OPT_DELTA_YEST"))*100</f>
        <v>#VALUE!</v>
      </c>
      <c r="AG147" s="683" t="str">
        <f>IFERROR(ABS(RTD("esrtd",,Options[[#This Row],[Index]] &amp; " " &amp; Options[[#This Row],[Month]] &amp; "P" &amp; $AL147*100 &amp; "-ICE", "OldSettlement")), "")</f>
        <v/>
      </c>
      <c r="AH147" s="683" t="str">
        <f>IFERROR(ABS(RTD("esrtd",,Options[[#This Row],[Index]] &amp; " " &amp; Options[[#This Row],[Month]] &amp; "P" &amp; $AL147*100 &amp; "-ICE", "OldSetIV"))*100, "")</f>
        <v/>
      </c>
      <c r="AI147" s="683" t="str">
        <f>IFERROR(ABS(RTD("esrtd",,Options[[#This Row],[Index]] &amp; " " &amp; Options[[#This Row],[Month]] &amp; "P" &amp; $AL147*100 &amp; "-ICE", "Delta"))*100, "")</f>
        <v/>
      </c>
      <c r="AJ147" s="683" t="str">
        <f>IFERROR(ABS(RTD("esrtd",,Options[[#This Row],[Index]] &amp; " " &amp; Options[[#This Row],[Month]] &amp; "P" &amp; $AL147*100 &amp; "-ICE", "Market")), "")</f>
        <v/>
      </c>
      <c r="AK147" s="683" t="str">
        <f>IFERROR(ABS(RTD("esrtd",,Options[[#This Row],[Index]] &amp; " " &amp; Options[[#This Row],[Month]] &amp; "P" &amp; $AL147*100 &amp; "-ICE", "ImpVol"))*100, "")</f>
        <v/>
      </c>
      <c r="AL147" s="676" t="e">
        <f t="shared" si="33"/>
        <v>#VALUE!</v>
      </c>
      <c r="AM147" s="711" t="e">
        <f>ABS(_xll.BDP(Options[[#This Row],[C-Ticker]], "OPT_DELTA_YEST"))*100</f>
        <v>#VALUE!</v>
      </c>
      <c r="AN147" s="684" t="str">
        <f>IFERROR(ABS(RTD("esrtd",,Options[[#This Row],[Index]] &amp; " " &amp; Options[[#This Row],[Month]] &amp; "C" &amp; $AL147*100 &amp; "-ICE", "OldSettlement")), "")</f>
        <v/>
      </c>
      <c r="AO147" s="684" t="str">
        <f>IFERROR(ABS(RTD("esrtd",,Options[[#This Row],[Index]] &amp; " " &amp; Options[[#This Row],[Month]] &amp; "C" &amp; $AL147*100 &amp; "-ICE", "OldSetIV"))*100, "")</f>
        <v/>
      </c>
      <c r="AP147" s="684" t="str">
        <f>IFERROR(ABS(RTD("esrtd",,Options[[#This Row],[Index]] &amp; " " &amp; Options[[#This Row],[Month]] &amp; "C" &amp; $AL147*100 &amp; "-ICE", "Delta"))*100, "")</f>
        <v/>
      </c>
      <c r="AQ147" s="684" t="str">
        <f>IFERROR(ABS(RTD("esrtd",,Options[[#This Row],[Index]] &amp; " " &amp; Options[[#This Row],[Month]] &amp; "C" &amp; $AL147*100 &amp; "-ICE", "Market")), "")</f>
        <v/>
      </c>
      <c r="AR147" s="684" t="str">
        <f>IFERROR(ABS(RTD("esrtd",,Options[[#This Row],[Index]] &amp; " " &amp; Options[[#This Row],[Month]] &amp; "C" &amp; $AL147*100 &amp; "-ICE", "ImpVol"))*100, "")</f>
        <v/>
      </c>
      <c r="AT147" s="678"/>
      <c r="AU147" s="677"/>
      <c r="AV147" s="677"/>
      <c r="AX147" s="678"/>
      <c r="AY147" s="677"/>
      <c r="AZ147" s="677"/>
    </row>
    <row r="148" spans="7:52" x14ac:dyDescent="0.25">
      <c r="G148" s="596"/>
      <c r="AB148" s="596" t="s">
        <v>119</v>
      </c>
      <c r="AC148" s="596" t="s">
        <v>1395</v>
      </c>
      <c r="AD14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8" s="683" t="e">
        <f>ABS(_xll.BDP(Options[[#This Row],[P-Ticker]], "OPT_DELTA_YEST"))*100</f>
        <v>#VALUE!</v>
      </c>
      <c r="AG148" s="683" t="str">
        <f>IFERROR(ABS(RTD("esrtd",,Options[[#This Row],[Index]] &amp; " " &amp; Options[[#This Row],[Month]] &amp; "P" &amp; $AL148*100 &amp; "-ICE", "OldSettlement")), "")</f>
        <v/>
      </c>
      <c r="AH148" s="683" t="str">
        <f>IFERROR(ABS(RTD("esrtd",,Options[[#This Row],[Index]] &amp; " " &amp; Options[[#This Row],[Month]] &amp; "P" &amp; $AL148*100 &amp; "-ICE", "OldSetIV"))*100, "")</f>
        <v/>
      </c>
      <c r="AI148" s="683" t="str">
        <f>IFERROR(ABS(RTD("esrtd",,Options[[#This Row],[Index]] &amp; " " &amp; Options[[#This Row],[Month]] &amp; "P" &amp; $AL148*100 &amp; "-ICE", "Delta"))*100, "")</f>
        <v/>
      </c>
      <c r="AJ148" s="683" t="str">
        <f>IFERROR(ABS(RTD("esrtd",,Options[[#This Row],[Index]] &amp; " " &amp; Options[[#This Row],[Month]] &amp; "P" &amp; $AL148*100 &amp; "-ICE", "Market")), "")</f>
        <v/>
      </c>
      <c r="AK148" s="683" t="str">
        <f>IFERROR(ABS(RTD("esrtd",,Options[[#This Row],[Index]] &amp; " " &amp; Options[[#This Row],[Month]] &amp; "P" &amp; $AL148*100 &amp; "-ICE", "ImpVol"))*100, "")</f>
        <v/>
      </c>
      <c r="AL148" s="676" t="e">
        <f t="shared" si="33"/>
        <v>#VALUE!</v>
      </c>
      <c r="AM148" s="711" t="e">
        <f>ABS(_xll.BDP(Options[[#This Row],[C-Ticker]], "OPT_DELTA_YEST"))*100</f>
        <v>#VALUE!</v>
      </c>
      <c r="AN148" s="684" t="str">
        <f>IFERROR(ABS(RTD("esrtd",,Options[[#This Row],[Index]] &amp; " " &amp; Options[[#This Row],[Month]] &amp; "C" &amp; $AL148*100 &amp; "-ICE", "OldSettlement")), "")</f>
        <v/>
      </c>
      <c r="AO148" s="684" t="str">
        <f>IFERROR(ABS(RTD("esrtd",,Options[[#This Row],[Index]] &amp; " " &amp; Options[[#This Row],[Month]] &amp; "C" &amp; $AL148*100 &amp; "-ICE", "OldSetIV"))*100, "")</f>
        <v/>
      </c>
      <c r="AP148" s="684" t="str">
        <f>IFERROR(ABS(RTD("esrtd",,Options[[#This Row],[Index]] &amp; " " &amp; Options[[#This Row],[Month]] &amp; "C" &amp; $AL148*100 &amp; "-ICE", "Delta"))*100, "")</f>
        <v/>
      </c>
      <c r="AQ148" s="684" t="str">
        <f>IFERROR(ABS(RTD("esrtd",,Options[[#This Row],[Index]] &amp; " " &amp; Options[[#This Row],[Month]] &amp; "C" &amp; $AL148*100 &amp; "-ICE", "Market")), "")</f>
        <v/>
      </c>
      <c r="AR148" s="684" t="str">
        <f>IFERROR(ABS(RTD("esrtd",,Options[[#This Row],[Index]] &amp; " " &amp; Options[[#This Row],[Month]] &amp; "C" &amp; $AL148*100 &amp; "-ICE", "ImpVol"))*100, "")</f>
        <v/>
      </c>
    </row>
    <row r="149" spans="7:52" x14ac:dyDescent="0.25">
      <c r="G149" s="596"/>
      <c r="AB149" s="596" t="s">
        <v>119</v>
      </c>
      <c r="AC149" s="596" t="s">
        <v>1395</v>
      </c>
      <c r="AD14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4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49" s="683" t="e">
        <f>ABS(_xll.BDP(Options[[#This Row],[P-Ticker]], "OPT_DELTA_YEST"))*100</f>
        <v>#VALUE!</v>
      </c>
      <c r="AG149" s="683" t="str">
        <f>IFERROR(ABS(RTD("esrtd",,Options[[#This Row],[Index]] &amp; " " &amp; Options[[#This Row],[Month]] &amp; "P" &amp; $AL149*100 &amp; "-ICE", "OldSettlement")), "")</f>
        <v/>
      </c>
      <c r="AH149" s="683" t="str">
        <f>IFERROR(ABS(RTD("esrtd",,Options[[#This Row],[Index]] &amp; " " &amp; Options[[#This Row],[Month]] &amp; "P" &amp; $AL149*100 &amp; "-ICE", "OldSetIV"))*100, "")</f>
        <v/>
      </c>
      <c r="AI149" s="683" t="str">
        <f>IFERROR(ABS(RTD("esrtd",,Options[[#This Row],[Index]] &amp; " " &amp; Options[[#This Row],[Month]] &amp; "P" &amp; $AL149*100 &amp; "-ICE", "Delta"))*100, "")</f>
        <v/>
      </c>
      <c r="AJ149" s="683" t="str">
        <f>IFERROR(ABS(RTD("esrtd",,Options[[#This Row],[Index]] &amp; " " &amp; Options[[#This Row],[Month]] &amp; "P" &amp; $AL149*100 &amp; "-ICE", "Market")), "")</f>
        <v/>
      </c>
      <c r="AK149" s="683" t="str">
        <f>IFERROR(ABS(RTD("esrtd",,Options[[#This Row],[Index]] &amp; " " &amp; Options[[#This Row],[Month]] &amp; "P" &amp; $AL149*100 &amp; "-ICE", "ImpVol"))*100, "")</f>
        <v/>
      </c>
      <c r="AL149" s="676" t="e">
        <f t="shared" si="33"/>
        <v>#VALUE!</v>
      </c>
      <c r="AM149" s="711" t="e">
        <f>ABS(_xll.BDP(Options[[#This Row],[C-Ticker]], "OPT_DELTA_YEST"))*100</f>
        <v>#VALUE!</v>
      </c>
      <c r="AN149" s="684" t="str">
        <f>IFERROR(ABS(RTD("esrtd",,Options[[#This Row],[Index]] &amp; " " &amp; Options[[#This Row],[Month]] &amp; "C" &amp; $AL149*100 &amp; "-ICE", "OldSettlement")), "")</f>
        <v/>
      </c>
      <c r="AO149" s="684" t="str">
        <f>IFERROR(ABS(RTD("esrtd",,Options[[#This Row],[Index]] &amp; " " &amp; Options[[#This Row],[Month]] &amp; "C" &amp; $AL149*100 &amp; "-ICE", "OldSetIV"))*100, "")</f>
        <v/>
      </c>
      <c r="AP149" s="684" t="str">
        <f>IFERROR(ABS(RTD("esrtd",,Options[[#This Row],[Index]] &amp; " " &amp; Options[[#This Row],[Month]] &amp; "C" &amp; $AL149*100 &amp; "-ICE", "Delta"))*100, "")</f>
        <v/>
      </c>
      <c r="AQ149" s="684" t="str">
        <f>IFERROR(ABS(RTD("esrtd",,Options[[#This Row],[Index]] &amp; " " &amp; Options[[#This Row],[Month]] &amp; "C" &amp; $AL149*100 &amp; "-ICE", "Market")), "")</f>
        <v/>
      </c>
      <c r="AR149" s="684" t="str">
        <f>IFERROR(ABS(RTD("esrtd",,Options[[#This Row],[Index]] &amp; " " &amp; Options[[#This Row],[Month]] &amp; "C" &amp; $AL149*100 &amp; "-ICE", "ImpVol"))*100, "")</f>
        <v/>
      </c>
    </row>
    <row r="150" spans="7:52" x14ac:dyDescent="0.25">
      <c r="G150" s="596"/>
      <c r="AB150" s="596" t="s">
        <v>119</v>
      </c>
      <c r="AC150" s="596" t="s">
        <v>1395</v>
      </c>
      <c r="AD15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0" s="683" t="e">
        <f>ABS(_xll.BDP(Options[[#This Row],[P-Ticker]], "OPT_DELTA_YEST"))*100</f>
        <v>#VALUE!</v>
      </c>
      <c r="AG150" s="683" t="str">
        <f>IFERROR(ABS(RTD("esrtd",,Options[[#This Row],[Index]] &amp; " " &amp; Options[[#This Row],[Month]] &amp; "P" &amp; $AL150*100 &amp; "-ICE", "OldSettlement")), "")</f>
        <v/>
      </c>
      <c r="AH150" s="683" t="str">
        <f>IFERROR(ABS(RTD("esrtd",,Options[[#This Row],[Index]] &amp; " " &amp; Options[[#This Row],[Month]] &amp; "P" &amp; $AL150*100 &amp; "-ICE", "OldSetIV"))*100, "")</f>
        <v/>
      </c>
      <c r="AI150" s="683" t="str">
        <f>IFERROR(ABS(RTD("esrtd",,Options[[#This Row],[Index]] &amp; " " &amp; Options[[#This Row],[Month]] &amp; "P" &amp; $AL150*100 &amp; "-ICE", "Delta"))*100, "")</f>
        <v/>
      </c>
      <c r="AJ150" s="683" t="str">
        <f>IFERROR(ABS(RTD("esrtd",,Options[[#This Row],[Index]] &amp; " " &amp; Options[[#This Row],[Month]] &amp; "P" &amp; $AL150*100 &amp; "-ICE", "Market")), "")</f>
        <v/>
      </c>
      <c r="AK150" s="683" t="str">
        <f>IFERROR(ABS(RTD("esrtd",,Options[[#This Row],[Index]] &amp; " " &amp; Options[[#This Row],[Month]] &amp; "P" &amp; $AL150*100 &amp; "-ICE", "ImpVol"))*100, "")</f>
        <v/>
      </c>
      <c r="AL150" s="676" t="e">
        <f t="shared" si="33"/>
        <v>#VALUE!</v>
      </c>
      <c r="AM150" s="711" t="e">
        <f>ABS(_xll.BDP(Options[[#This Row],[C-Ticker]], "OPT_DELTA_YEST"))*100</f>
        <v>#VALUE!</v>
      </c>
      <c r="AN150" s="684" t="str">
        <f>IFERROR(ABS(RTD("esrtd",,Options[[#This Row],[Index]] &amp; " " &amp; Options[[#This Row],[Month]] &amp; "C" &amp; $AL150*100 &amp; "-ICE", "OldSettlement")), "")</f>
        <v/>
      </c>
      <c r="AO150" s="684" t="str">
        <f>IFERROR(ABS(RTD("esrtd",,Options[[#This Row],[Index]] &amp; " " &amp; Options[[#This Row],[Month]] &amp; "C" &amp; $AL150*100 &amp; "-ICE", "OldSetIV"))*100, "")</f>
        <v/>
      </c>
      <c r="AP150" s="684" t="str">
        <f>IFERROR(ABS(RTD("esrtd",,Options[[#This Row],[Index]] &amp; " " &amp; Options[[#This Row],[Month]] &amp; "C" &amp; $AL150*100 &amp; "-ICE", "Delta"))*100, "")</f>
        <v/>
      </c>
      <c r="AQ150" s="684" t="str">
        <f>IFERROR(ABS(RTD("esrtd",,Options[[#This Row],[Index]] &amp; " " &amp; Options[[#This Row],[Month]] &amp; "C" &amp; $AL150*100 &amp; "-ICE", "Market")), "")</f>
        <v/>
      </c>
      <c r="AR150" s="684" t="str">
        <f>IFERROR(ABS(RTD("esrtd",,Options[[#This Row],[Index]] &amp; " " &amp; Options[[#This Row],[Month]] &amp; "C" &amp; $AL150*100 &amp; "-ICE", "ImpVol"))*100, "")</f>
        <v/>
      </c>
    </row>
    <row r="151" spans="7:52" x14ac:dyDescent="0.25">
      <c r="G151" s="596"/>
      <c r="AB151" s="596" t="s">
        <v>119</v>
      </c>
      <c r="AC151" s="596" t="s">
        <v>1395</v>
      </c>
      <c r="AD15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1" s="683" t="e">
        <f>ABS(_xll.BDP(Options[[#This Row],[P-Ticker]], "OPT_DELTA_YEST"))*100</f>
        <v>#VALUE!</v>
      </c>
      <c r="AG151" s="683" t="str">
        <f>IFERROR(ABS(RTD("esrtd",,Options[[#This Row],[Index]] &amp; " " &amp; Options[[#This Row],[Month]] &amp; "P" &amp; $AL151*100 &amp; "-ICE", "OldSettlement")), "")</f>
        <v/>
      </c>
      <c r="AH151" s="683" t="str">
        <f>IFERROR(ABS(RTD("esrtd",,Options[[#This Row],[Index]] &amp; " " &amp; Options[[#This Row],[Month]] &amp; "P" &amp; $AL151*100 &amp; "-ICE", "OldSetIV"))*100, "")</f>
        <v/>
      </c>
      <c r="AI151" s="683" t="str">
        <f>IFERROR(ABS(RTD("esrtd",,Options[[#This Row],[Index]] &amp; " " &amp; Options[[#This Row],[Month]] &amp; "P" &amp; $AL151*100 &amp; "-ICE", "Delta"))*100, "")</f>
        <v/>
      </c>
      <c r="AJ151" s="683" t="str">
        <f>IFERROR(ABS(RTD("esrtd",,Options[[#This Row],[Index]] &amp; " " &amp; Options[[#This Row],[Month]] &amp; "P" &amp; $AL151*100 &amp; "-ICE", "Market")), "")</f>
        <v/>
      </c>
      <c r="AK151" s="683" t="str">
        <f>IFERROR(ABS(RTD("esrtd",,Options[[#This Row],[Index]] &amp; " " &amp; Options[[#This Row],[Month]] &amp; "P" &amp; $AL151*100 &amp; "-ICE", "ImpVol"))*100, "")</f>
        <v/>
      </c>
      <c r="AL151" s="676" t="e">
        <f t="shared" si="33"/>
        <v>#VALUE!</v>
      </c>
      <c r="AM151" s="711" t="e">
        <f>ABS(_xll.BDP(Options[[#This Row],[C-Ticker]], "OPT_DELTA_YEST"))*100</f>
        <v>#VALUE!</v>
      </c>
      <c r="AN151" s="684" t="str">
        <f>IFERROR(ABS(RTD("esrtd",,Options[[#This Row],[Index]] &amp; " " &amp; Options[[#This Row],[Month]] &amp; "C" &amp; $AL151*100 &amp; "-ICE", "OldSettlement")), "")</f>
        <v/>
      </c>
      <c r="AO151" s="684" t="str">
        <f>IFERROR(ABS(RTD("esrtd",,Options[[#This Row],[Index]] &amp; " " &amp; Options[[#This Row],[Month]] &amp; "C" &amp; $AL151*100 &amp; "-ICE", "OldSetIV"))*100, "")</f>
        <v/>
      </c>
      <c r="AP151" s="684" t="str">
        <f>IFERROR(ABS(RTD("esrtd",,Options[[#This Row],[Index]] &amp; " " &amp; Options[[#This Row],[Month]] &amp; "C" &amp; $AL151*100 &amp; "-ICE", "Delta"))*100, "")</f>
        <v/>
      </c>
      <c r="AQ151" s="684" t="str">
        <f>IFERROR(ABS(RTD("esrtd",,Options[[#This Row],[Index]] &amp; " " &amp; Options[[#This Row],[Month]] &amp; "C" &amp; $AL151*100 &amp; "-ICE", "Market")), "")</f>
        <v/>
      </c>
      <c r="AR151" s="684" t="str">
        <f>IFERROR(ABS(RTD("esrtd",,Options[[#This Row],[Index]] &amp; " " &amp; Options[[#This Row],[Month]] &amp; "C" &amp; $AL151*100 &amp; "-ICE", "ImpVol"))*100, "")</f>
        <v/>
      </c>
    </row>
    <row r="152" spans="7:52" x14ac:dyDescent="0.25">
      <c r="G152" s="596"/>
      <c r="AB152" s="596" t="s">
        <v>119</v>
      </c>
      <c r="AC152" s="596" t="s">
        <v>1395</v>
      </c>
      <c r="AD15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2" s="683" t="e">
        <f>ABS(_xll.BDP(Options[[#This Row],[P-Ticker]], "OPT_DELTA_YEST"))*100</f>
        <v>#VALUE!</v>
      </c>
      <c r="AG152" s="683" t="str">
        <f>IFERROR(ABS(RTD("esrtd",,Options[[#This Row],[Index]] &amp; " " &amp; Options[[#This Row],[Month]] &amp; "P" &amp; $AL152*100 &amp; "-ICE", "OldSettlement")), "")</f>
        <v/>
      </c>
      <c r="AH152" s="683" t="str">
        <f>IFERROR(ABS(RTD("esrtd",,Options[[#This Row],[Index]] &amp; " " &amp; Options[[#This Row],[Month]] &amp; "P" &amp; $AL152*100 &amp; "-ICE", "OldSetIV"))*100, "")</f>
        <v/>
      </c>
      <c r="AI152" s="683" t="str">
        <f>IFERROR(ABS(RTD("esrtd",,Options[[#This Row],[Index]] &amp; " " &amp; Options[[#This Row],[Month]] &amp; "P" &amp; $AL152*100 &amp; "-ICE", "Delta"))*100, "")</f>
        <v/>
      </c>
      <c r="AJ152" s="683" t="str">
        <f>IFERROR(ABS(RTD("esrtd",,Options[[#This Row],[Index]] &amp; " " &amp; Options[[#This Row],[Month]] &amp; "P" &amp; $AL152*100 &amp; "-ICE", "Market")), "")</f>
        <v/>
      </c>
      <c r="AK152" s="683" t="str">
        <f>IFERROR(ABS(RTD("esrtd",,Options[[#This Row],[Index]] &amp; " " &amp; Options[[#This Row],[Month]] &amp; "P" &amp; $AL152*100 &amp; "-ICE", "ImpVol"))*100, "")</f>
        <v/>
      </c>
      <c r="AL152" s="676" t="e">
        <f t="shared" si="33"/>
        <v>#VALUE!</v>
      </c>
      <c r="AM152" s="711" t="e">
        <f>ABS(_xll.BDP(Options[[#This Row],[C-Ticker]], "OPT_DELTA_YEST"))*100</f>
        <v>#VALUE!</v>
      </c>
      <c r="AN152" s="684" t="str">
        <f>IFERROR(ABS(RTD("esrtd",,Options[[#This Row],[Index]] &amp; " " &amp; Options[[#This Row],[Month]] &amp; "C" &amp; $AL152*100 &amp; "-ICE", "OldSettlement")), "")</f>
        <v/>
      </c>
      <c r="AO152" s="684" t="str">
        <f>IFERROR(ABS(RTD("esrtd",,Options[[#This Row],[Index]] &amp; " " &amp; Options[[#This Row],[Month]] &amp; "C" &amp; $AL152*100 &amp; "-ICE", "OldSetIV"))*100, "")</f>
        <v/>
      </c>
      <c r="AP152" s="684" t="str">
        <f>IFERROR(ABS(RTD("esrtd",,Options[[#This Row],[Index]] &amp; " " &amp; Options[[#This Row],[Month]] &amp; "C" &amp; $AL152*100 &amp; "-ICE", "Delta"))*100, "")</f>
        <v/>
      </c>
      <c r="AQ152" s="684" t="str">
        <f>IFERROR(ABS(RTD("esrtd",,Options[[#This Row],[Index]] &amp; " " &amp; Options[[#This Row],[Month]] &amp; "C" &amp; $AL152*100 &amp; "-ICE", "Market")), "")</f>
        <v/>
      </c>
      <c r="AR152" s="684" t="str">
        <f>IFERROR(ABS(RTD("esrtd",,Options[[#This Row],[Index]] &amp; " " &amp; Options[[#This Row],[Month]] &amp; "C" &amp; $AL152*100 &amp; "-ICE", "ImpVol"))*100, "")</f>
        <v/>
      </c>
    </row>
    <row r="153" spans="7:52" x14ac:dyDescent="0.25">
      <c r="G153" s="596"/>
      <c r="AB153" s="596" t="s">
        <v>119</v>
      </c>
      <c r="AC153" s="596" t="s">
        <v>1395</v>
      </c>
      <c r="AD15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3" s="683" t="e">
        <f>ABS(_xll.BDP(Options[[#This Row],[P-Ticker]], "OPT_DELTA_YEST"))*100</f>
        <v>#VALUE!</v>
      </c>
      <c r="AG153" s="683" t="str">
        <f>IFERROR(ABS(RTD("esrtd",,Options[[#This Row],[Index]] &amp; " " &amp; Options[[#This Row],[Month]] &amp; "P" &amp; $AL153*100 &amp; "-ICE", "OldSettlement")), "")</f>
        <v/>
      </c>
      <c r="AH153" s="683" t="str">
        <f>IFERROR(ABS(RTD("esrtd",,Options[[#This Row],[Index]] &amp; " " &amp; Options[[#This Row],[Month]] &amp; "P" &amp; $AL153*100 &amp; "-ICE", "OldSetIV"))*100, "")</f>
        <v/>
      </c>
      <c r="AI153" s="683" t="str">
        <f>IFERROR(ABS(RTD("esrtd",,Options[[#This Row],[Index]] &amp; " " &amp; Options[[#This Row],[Month]] &amp; "P" &amp; $AL153*100 &amp; "-ICE", "Delta"))*100, "")</f>
        <v/>
      </c>
      <c r="AJ153" s="683" t="str">
        <f>IFERROR(ABS(RTD("esrtd",,Options[[#This Row],[Index]] &amp; " " &amp; Options[[#This Row],[Month]] &amp; "P" &amp; $AL153*100 &amp; "-ICE", "Market")), "")</f>
        <v/>
      </c>
      <c r="AK153" s="683" t="str">
        <f>IFERROR(ABS(RTD("esrtd",,Options[[#This Row],[Index]] &amp; " " &amp; Options[[#This Row],[Month]] &amp; "P" &amp; $AL153*100 &amp; "-ICE", "ImpVol"))*100, "")</f>
        <v/>
      </c>
      <c r="AL153" s="676" t="e">
        <f t="shared" si="33"/>
        <v>#VALUE!</v>
      </c>
      <c r="AM153" s="711" t="e">
        <f>ABS(_xll.BDP(Options[[#This Row],[C-Ticker]], "OPT_DELTA_YEST"))*100</f>
        <v>#VALUE!</v>
      </c>
      <c r="AN153" s="684" t="str">
        <f>IFERROR(ABS(RTD("esrtd",,Options[[#This Row],[Index]] &amp; " " &amp; Options[[#This Row],[Month]] &amp; "C" &amp; $AL153*100 &amp; "-ICE", "OldSettlement")), "")</f>
        <v/>
      </c>
      <c r="AO153" s="684" t="str">
        <f>IFERROR(ABS(RTD("esrtd",,Options[[#This Row],[Index]] &amp; " " &amp; Options[[#This Row],[Month]] &amp; "C" &amp; $AL153*100 &amp; "-ICE", "OldSetIV"))*100, "")</f>
        <v/>
      </c>
      <c r="AP153" s="684" t="str">
        <f>IFERROR(ABS(RTD("esrtd",,Options[[#This Row],[Index]] &amp; " " &amp; Options[[#This Row],[Month]] &amp; "C" &amp; $AL153*100 &amp; "-ICE", "Delta"))*100, "")</f>
        <v/>
      </c>
      <c r="AQ153" s="684" t="str">
        <f>IFERROR(ABS(RTD("esrtd",,Options[[#This Row],[Index]] &amp; " " &amp; Options[[#This Row],[Month]] &amp; "C" &amp; $AL153*100 &amp; "-ICE", "Market")), "")</f>
        <v/>
      </c>
      <c r="AR153" s="684" t="str">
        <f>IFERROR(ABS(RTD("esrtd",,Options[[#This Row],[Index]] &amp; " " &amp; Options[[#This Row],[Month]] &amp; "C" &amp; $AL153*100 &amp; "-ICE", "ImpVol"))*100, "")</f>
        <v/>
      </c>
    </row>
    <row r="154" spans="7:52" x14ac:dyDescent="0.25">
      <c r="G154" s="596"/>
      <c r="AB154" s="596" t="s">
        <v>119</v>
      </c>
      <c r="AC154" s="596" t="s">
        <v>1395</v>
      </c>
      <c r="AD15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4" s="683" t="e">
        <f>ABS(_xll.BDP(Options[[#This Row],[P-Ticker]], "OPT_DELTA_YEST"))*100</f>
        <v>#VALUE!</v>
      </c>
      <c r="AG154" s="683" t="str">
        <f>IFERROR(ABS(RTD("esrtd",,Options[[#This Row],[Index]] &amp; " " &amp; Options[[#This Row],[Month]] &amp; "P" &amp; $AL154*100 &amp; "-ICE", "OldSettlement")), "")</f>
        <v/>
      </c>
      <c r="AH154" s="683" t="str">
        <f>IFERROR(ABS(RTD("esrtd",,Options[[#This Row],[Index]] &amp; " " &amp; Options[[#This Row],[Month]] &amp; "P" &amp; $AL154*100 &amp; "-ICE", "OldSetIV"))*100, "")</f>
        <v/>
      </c>
      <c r="AI154" s="683" t="str">
        <f>IFERROR(ABS(RTD("esrtd",,Options[[#This Row],[Index]] &amp; " " &amp; Options[[#This Row],[Month]] &amp; "P" &amp; $AL154*100 &amp; "-ICE", "Delta"))*100, "")</f>
        <v/>
      </c>
      <c r="AJ154" s="683" t="str">
        <f>IFERROR(ABS(RTD("esrtd",,Options[[#This Row],[Index]] &amp; " " &amp; Options[[#This Row],[Month]] &amp; "P" &amp; $AL154*100 &amp; "-ICE", "Market")), "")</f>
        <v/>
      </c>
      <c r="AK154" s="683" t="str">
        <f>IFERROR(ABS(RTD("esrtd",,Options[[#This Row],[Index]] &amp; " " &amp; Options[[#This Row],[Month]] &amp; "P" &amp; $AL154*100 &amp; "-ICE", "ImpVol"))*100, "")</f>
        <v/>
      </c>
      <c r="AL154" s="676" t="e">
        <f t="shared" si="33"/>
        <v>#VALUE!</v>
      </c>
      <c r="AM154" s="711" t="e">
        <f>ABS(_xll.BDP(Options[[#This Row],[C-Ticker]], "OPT_DELTA_YEST"))*100</f>
        <v>#VALUE!</v>
      </c>
      <c r="AN154" s="684" t="str">
        <f>IFERROR(ABS(RTD("esrtd",,Options[[#This Row],[Index]] &amp; " " &amp; Options[[#This Row],[Month]] &amp; "C" &amp; $AL154*100 &amp; "-ICE", "OldSettlement")), "")</f>
        <v/>
      </c>
      <c r="AO154" s="684" t="str">
        <f>IFERROR(ABS(RTD("esrtd",,Options[[#This Row],[Index]] &amp; " " &amp; Options[[#This Row],[Month]] &amp; "C" &amp; $AL154*100 &amp; "-ICE", "OldSetIV"))*100, "")</f>
        <v/>
      </c>
      <c r="AP154" s="684" t="str">
        <f>IFERROR(ABS(RTD("esrtd",,Options[[#This Row],[Index]] &amp; " " &amp; Options[[#This Row],[Month]] &amp; "C" &amp; $AL154*100 &amp; "-ICE", "Delta"))*100, "")</f>
        <v/>
      </c>
      <c r="AQ154" s="684" t="str">
        <f>IFERROR(ABS(RTD("esrtd",,Options[[#This Row],[Index]] &amp; " " &amp; Options[[#This Row],[Month]] &amp; "C" &amp; $AL154*100 &amp; "-ICE", "Market")), "")</f>
        <v/>
      </c>
      <c r="AR154" s="684" t="str">
        <f>IFERROR(ABS(RTD("esrtd",,Options[[#This Row],[Index]] &amp; " " &amp; Options[[#This Row],[Month]] &amp; "C" &amp; $AL154*100 &amp; "-ICE", "ImpVol"))*100, "")</f>
        <v/>
      </c>
    </row>
    <row r="155" spans="7:52" x14ac:dyDescent="0.25">
      <c r="G155" s="596"/>
      <c r="AB155" s="596" t="s">
        <v>119</v>
      </c>
      <c r="AC155" s="596" t="s">
        <v>1395</v>
      </c>
      <c r="AD15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5" s="683" t="e">
        <f>ABS(_xll.BDP(Options[[#This Row],[P-Ticker]], "OPT_DELTA_YEST"))*100</f>
        <v>#VALUE!</v>
      </c>
      <c r="AG155" s="683" t="str">
        <f>IFERROR(ABS(RTD("esrtd",,Options[[#This Row],[Index]] &amp; " " &amp; Options[[#This Row],[Month]] &amp; "P" &amp; $AL155*100 &amp; "-ICE", "OldSettlement")), "")</f>
        <v/>
      </c>
      <c r="AH155" s="683" t="str">
        <f>IFERROR(ABS(RTD("esrtd",,Options[[#This Row],[Index]] &amp; " " &amp; Options[[#This Row],[Month]] &amp; "P" &amp; $AL155*100 &amp; "-ICE", "OldSetIV"))*100, "")</f>
        <v/>
      </c>
      <c r="AI155" s="683" t="str">
        <f>IFERROR(ABS(RTD("esrtd",,Options[[#This Row],[Index]] &amp; " " &amp; Options[[#This Row],[Month]] &amp; "P" &amp; $AL155*100 &amp; "-ICE", "Delta"))*100, "")</f>
        <v/>
      </c>
      <c r="AJ155" s="683" t="str">
        <f>IFERROR(ABS(RTD("esrtd",,Options[[#This Row],[Index]] &amp; " " &amp; Options[[#This Row],[Month]] &amp; "P" &amp; $AL155*100 &amp; "-ICE", "Market")), "")</f>
        <v/>
      </c>
      <c r="AK155" s="683" t="str">
        <f>IFERROR(ABS(RTD("esrtd",,Options[[#This Row],[Index]] &amp; " " &amp; Options[[#This Row],[Month]] &amp; "P" &amp; $AL155*100 &amp; "-ICE", "ImpVol"))*100, "")</f>
        <v/>
      </c>
      <c r="AL155" s="676" t="e">
        <f t="shared" si="33"/>
        <v>#VALUE!</v>
      </c>
      <c r="AM155" s="711" t="e">
        <f>ABS(_xll.BDP(Options[[#This Row],[C-Ticker]], "OPT_DELTA_YEST"))*100</f>
        <v>#VALUE!</v>
      </c>
      <c r="AN155" s="684" t="str">
        <f>IFERROR(ABS(RTD("esrtd",,Options[[#This Row],[Index]] &amp; " " &amp; Options[[#This Row],[Month]] &amp; "C" &amp; $AL155*100 &amp; "-ICE", "OldSettlement")), "")</f>
        <v/>
      </c>
      <c r="AO155" s="684" t="str">
        <f>IFERROR(ABS(RTD("esrtd",,Options[[#This Row],[Index]] &amp; " " &amp; Options[[#This Row],[Month]] &amp; "C" &amp; $AL155*100 &amp; "-ICE", "OldSetIV"))*100, "")</f>
        <v/>
      </c>
      <c r="AP155" s="684" t="str">
        <f>IFERROR(ABS(RTD("esrtd",,Options[[#This Row],[Index]] &amp; " " &amp; Options[[#This Row],[Month]] &amp; "C" &amp; $AL155*100 &amp; "-ICE", "Delta"))*100, "")</f>
        <v/>
      </c>
      <c r="AQ155" s="684" t="str">
        <f>IFERROR(ABS(RTD("esrtd",,Options[[#This Row],[Index]] &amp; " " &amp; Options[[#This Row],[Month]] &amp; "C" &amp; $AL155*100 &amp; "-ICE", "Market")), "")</f>
        <v/>
      </c>
      <c r="AR155" s="684" t="str">
        <f>IFERROR(ABS(RTD("esrtd",,Options[[#This Row],[Index]] &amp; " " &amp; Options[[#This Row],[Month]] &amp; "C" &amp; $AL155*100 &amp; "-ICE", "ImpVol"))*100, "")</f>
        <v/>
      </c>
    </row>
    <row r="156" spans="7:52" x14ac:dyDescent="0.25">
      <c r="G156" s="596"/>
      <c r="AB156" s="596" t="s">
        <v>119</v>
      </c>
      <c r="AC156" s="596" t="s">
        <v>1395</v>
      </c>
      <c r="AD15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6" s="683" t="e">
        <f>ABS(_xll.BDP(Options[[#This Row],[P-Ticker]], "OPT_DELTA_YEST"))*100</f>
        <v>#VALUE!</v>
      </c>
      <c r="AG156" s="683" t="str">
        <f>IFERROR(ABS(RTD("esrtd",,Options[[#This Row],[Index]] &amp; " " &amp; Options[[#This Row],[Month]] &amp; "P" &amp; $AL156*100 &amp; "-ICE", "OldSettlement")), "")</f>
        <v/>
      </c>
      <c r="AH156" s="683" t="str">
        <f>IFERROR(ABS(RTD("esrtd",,Options[[#This Row],[Index]] &amp; " " &amp; Options[[#This Row],[Month]] &amp; "P" &amp; $AL156*100 &amp; "-ICE", "OldSetIV"))*100, "")</f>
        <v/>
      </c>
      <c r="AI156" s="683" t="str">
        <f>IFERROR(ABS(RTD("esrtd",,Options[[#This Row],[Index]] &amp; " " &amp; Options[[#This Row],[Month]] &amp; "P" &amp; $AL156*100 &amp; "-ICE", "Delta"))*100, "")</f>
        <v/>
      </c>
      <c r="AJ156" s="683" t="str">
        <f>IFERROR(ABS(RTD("esrtd",,Options[[#This Row],[Index]] &amp; " " &amp; Options[[#This Row],[Month]] &amp; "P" &amp; $AL156*100 &amp; "-ICE", "Market")), "")</f>
        <v/>
      </c>
      <c r="AK156" s="683" t="str">
        <f>IFERROR(ABS(RTD("esrtd",,Options[[#This Row],[Index]] &amp; " " &amp; Options[[#This Row],[Month]] &amp; "P" &amp; $AL156*100 &amp; "-ICE", "ImpVol"))*100, "")</f>
        <v/>
      </c>
      <c r="AL156" s="676" t="e">
        <f t="shared" si="33"/>
        <v>#VALUE!</v>
      </c>
      <c r="AM156" s="711" t="e">
        <f>ABS(_xll.BDP(Options[[#This Row],[C-Ticker]], "OPT_DELTA_YEST"))*100</f>
        <v>#VALUE!</v>
      </c>
      <c r="AN156" s="684" t="str">
        <f>IFERROR(ABS(RTD("esrtd",,Options[[#This Row],[Index]] &amp; " " &amp; Options[[#This Row],[Month]] &amp; "C" &amp; $AL156*100 &amp; "-ICE", "OldSettlement")), "")</f>
        <v/>
      </c>
      <c r="AO156" s="684" t="str">
        <f>IFERROR(ABS(RTD("esrtd",,Options[[#This Row],[Index]] &amp; " " &amp; Options[[#This Row],[Month]] &amp; "C" &amp; $AL156*100 &amp; "-ICE", "OldSetIV"))*100, "")</f>
        <v/>
      </c>
      <c r="AP156" s="684" t="str">
        <f>IFERROR(ABS(RTD("esrtd",,Options[[#This Row],[Index]] &amp; " " &amp; Options[[#This Row],[Month]] &amp; "C" &amp; $AL156*100 &amp; "-ICE", "Delta"))*100, "")</f>
        <v/>
      </c>
      <c r="AQ156" s="684" t="str">
        <f>IFERROR(ABS(RTD("esrtd",,Options[[#This Row],[Index]] &amp; " " &amp; Options[[#This Row],[Month]] &amp; "C" &amp; $AL156*100 &amp; "-ICE", "Market")), "")</f>
        <v/>
      </c>
      <c r="AR156" s="684" t="str">
        <f>IFERROR(ABS(RTD("esrtd",,Options[[#This Row],[Index]] &amp; " " &amp; Options[[#This Row],[Month]] &amp; "C" &amp; $AL156*100 &amp; "-ICE", "ImpVol"))*100, "")</f>
        <v/>
      </c>
    </row>
    <row r="157" spans="7:52" x14ac:dyDescent="0.25">
      <c r="G157" s="596"/>
      <c r="AB157" s="596" t="s">
        <v>119</v>
      </c>
      <c r="AC157" s="596" t="s">
        <v>1395</v>
      </c>
      <c r="AD15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7" s="683" t="e">
        <f>ABS(_xll.BDP(Options[[#This Row],[P-Ticker]], "OPT_DELTA_YEST"))*100</f>
        <v>#VALUE!</v>
      </c>
      <c r="AG157" s="683" t="str">
        <f>IFERROR(ABS(RTD("esrtd",,Options[[#This Row],[Index]] &amp; " " &amp; Options[[#This Row],[Month]] &amp; "P" &amp; $AL157*100 &amp; "-ICE", "OldSettlement")), "")</f>
        <v/>
      </c>
      <c r="AH157" s="683" t="str">
        <f>IFERROR(ABS(RTD("esrtd",,Options[[#This Row],[Index]] &amp; " " &amp; Options[[#This Row],[Month]] &amp; "P" &amp; $AL157*100 &amp; "-ICE", "OldSetIV"))*100, "")</f>
        <v/>
      </c>
      <c r="AI157" s="683" t="str">
        <f>IFERROR(ABS(RTD("esrtd",,Options[[#This Row],[Index]] &amp; " " &amp; Options[[#This Row],[Month]] &amp; "P" &amp; $AL157*100 &amp; "-ICE", "Delta"))*100, "")</f>
        <v/>
      </c>
      <c r="AJ157" s="683" t="str">
        <f>IFERROR(ABS(RTD("esrtd",,Options[[#This Row],[Index]] &amp; " " &amp; Options[[#This Row],[Month]] &amp; "P" &amp; $AL157*100 &amp; "-ICE", "Market")), "")</f>
        <v/>
      </c>
      <c r="AK157" s="683" t="str">
        <f>IFERROR(ABS(RTD("esrtd",,Options[[#This Row],[Index]] &amp; " " &amp; Options[[#This Row],[Month]] &amp; "P" &amp; $AL157*100 &amp; "-ICE", "ImpVol"))*100, "")</f>
        <v/>
      </c>
      <c r="AL157" s="676" t="e">
        <f t="shared" si="33"/>
        <v>#VALUE!</v>
      </c>
      <c r="AM157" s="711" t="e">
        <f>ABS(_xll.BDP(Options[[#This Row],[C-Ticker]], "OPT_DELTA_YEST"))*100</f>
        <v>#VALUE!</v>
      </c>
      <c r="AN157" s="684" t="str">
        <f>IFERROR(ABS(RTD("esrtd",,Options[[#This Row],[Index]] &amp; " " &amp; Options[[#This Row],[Month]] &amp; "C" &amp; $AL157*100 &amp; "-ICE", "OldSettlement")), "")</f>
        <v/>
      </c>
      <c r="AO157" s="684" t="str">
        <f>IFERROR(ABS(RTD("esrtd",,Options[[#This Row],[Index]] &amp; " " &amp; Options[[#This Row],[Month]] &amp; "C" &amp; $AL157*100 &amp; "-ICE", "OldSetIV"))*100, "")</f>
        <v/>
      </c>
      <c r="AP157" s="684" t="str">
        <f>IFERROR(ABS(RTD("esrtd",,Options[[#This Row],[Index]] &amp; " " &amp; Options[[#This Row],[Month]] &amp; "C" &amp; $AL157*100 &amp; "-ICE", "Delta"))*100, "")</f>
        <v/>
      </c>
      <c r="AQ157" s="684" t="str">
        <f>IFERROR(ABS(RTD("esrtd",,Options[[#This Row],[Index]] &amp; " " &amp; Options[[#This Row],[Month]] &amp; "C" &amp; $AL157*100 &amp; "-ICE", "Market")), "")</f>
        <v/>
      </c>
      <c r="AR157" s="684" t="str">
        <f>IFERROR(ABS(RTD("esrtd",,Options[[#This Row],[Index]] &amp; " " &amp; Options[[#This Row],[Month]] &amp; "C" &amp; $AL157*100 &amp; "-ICE", "ImpVol"))*100, "")</f>
        <v/>
      </c>
    </row>
    <row r="158" spans="7:52" x14ac:dyDescent="0.25">
      <c r="G158" s="596"/>
      <c r="AB158" s="596" t="s">
        <v>119</v>
      </c>
      <c r="AC158" s="596" t="s">
        <v>1395</v>
      </c>
      <c r="AD15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8" s="683" t="e">
        <f>ABS(_xll.BDP(Options[[#This Row],[P-Ticker]], "OPT_DELTA_YEST"))*100</f>
        <v>#VALUE!</v>
      </c>
      <c r="AG158" s="683" t="str">
        <f>IFERROR(ABS(RTD("esrtd",,Options[[#This Row],[Index]] &amp; " " &amp; Options[[#This Row],[Month]] &amp; "P" &amp; $AL158*100 &amp; "-ICE", "OldSettlement")), "")</f>
        <v/>
      </c>
      <c r="AH158" s="683" t="str">
        <f>IFERROR(ABS(RTD("esrtd",,Options[[#This Row],[Index]] &amp; " " &amp; Options[[#This Row],[Month]] &amp; "P" &amp; $AL158*100 &amp; "-ICE", "OldSetIV"))*100, "")</f>
        <v/>
      </c>
      <c r="AI158" s="683" t="str">
        <f>IFERROR(ABS(RTD("esrtd",,Options[[#This Row],[Index]] &amp; " " &amp; Options[[#This Row],[Month]] &amp; "P" &amp; $AL158*100 &amp; "-ICE", "Delta"))*100, "")</f>
        <v/>
      </c>
      <c r="AJ158" s="683" t="str">
        <f>IFERROR(ABS(RTD("esrtd",,Options[[#This Row],[Index]] &amp; " " &amp; Options[[#This Row],[Month]] &amp; "P" &amp; $AL158*100 &amp; "-ICE", "Market")), "")</f>
        <v/>
      </c>
      <c r="AK158" s="683" t="str">
        <f>IFERROR(ABS(RTD("esrtd",,Options[[#This Row],[Index]] &amp; " " &amp; Options[[#This Row],[Month]] &amp; "P" &amp; $AL158*100 &amp; "-ICE", "ImpVol"))*100, "")</f>
        <v/>
      </c>
      <c r="AL158" s="676" t="e">
        <f t="shared" si="33"/>
        <v>#VALUE!</v>
      </c>
      <c r="AM158" s="711" t="e">
        <f>ABS(_xll.BDP(Options[[#This Row],[C-Ticker]], "OPT_DELTA_YEST"))*100</f>
        <v>#VALUE!</v>
      </c>
      <c r="AN158" s="684" t="str">
        <f>IFERROR(ABS(RTD("esrtd",,Options[[#This Row],[Index]] &amp; " " &amp; Options[[#This Row],[Month]] &amp; "C" &amp; $AL158*100 &amp; "-ICE", "OldSettlement")), "")</f>
        <v/>
      </c>
      <c r="AO158" s="684" t="str">
        <f>IFERROR(ABS(RTD("esrtd",,Options[[#This Row],[Index]] &amp; " " &amp; Options[[#This Row],[Month]] &amp; "C" &amp; $AL158*100 &amp; "-ICE", "OldSetIV"))*100, "")</f>
        <v/>
      </c>
      <c r="AP158" s="684" t="str">
        <f>IFERROR(ABS(RTD("esrtd",,Options[[#This Row],[Index]] &amp; " " &amp; Options[[#This Row],[Month]] &amp; "C" &amp; $AL158*100 &amp; "-ICE", "Delta"))*100, "")</f>
        <v/>
      </c>
      <c r="AQ158" s="684" t="str">
        <f>IFERROR(ABS(RTD("esrtd",,Options[[#This Row],[Index]] &amp; " " &amp; Options[[#This Row],[Month]] &amp; "C" &amp; $AL158*100 &amp; "-ICE", "Market")), "")</f>
        <v/>
      </c>
      <c r="AR158" s="684" t="str">
        <f>IFERROR(ABS(RTD("esrtd",,Options[[#This Row],[Index]] &amp; " " &amp; Options[[#This Row],[Month]] &amp; "C" &amp; $AL158*100 &amp; "-ICE", "ImpVol"))*100, "")</f>
        <v/>
      </c>
    </row>
    <row r="159" spans="7:52" x14ac:dyDescent="0.25">
      <c r="G159" s="596"/>
      <c r="AB159" s="596" t="s">
        <v>119</v>
      </c>
      <c r="AC159" s="596" t="s">
        <v>1395</v>
      </c>
      <c r="AD15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5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59" s="683" t="e">
        <f>ABS(_xll.BDP(Options[[#This Row],[P-Ticker]], "OPT_DELTA_YEST"))*100</f>
        <v>#VALUE!</v>
      </c>
      <c r="AG159" s="683" t="str">
        <f>IFERROR(ABS(RTD("esrtd",,Options[[#This Row],[Index]] &amp; " " &amp; Options[[#This Row],[Month]] &amp; "P" &amp; $AL159*100 &amp; "-ICE", "OldSettlement")), "")</f>
        <v/>
      </c>
      <c r="AH159" s="683" t="str">
        <f>IFERROR(ABS(RTD("esrtd",,Options[[#This Row],[Index]] &amp; " " &amp; Options[[#This Row],[Month]] &amp; "P" &amp; $AL159*100 &amp; "-ICE", "OldSetIV"))*100, "")</f>
        <v/>
      </c>
      <c r="AI159" s="683" t="str">
        <f>IFERROR(ABS(RTD("esrtd",,Options[[#This Row],[Index]] &amp; " " &amp; Options[[#This Row],[Month]] &amp; "P" &amp; $AL159*100 &amp; "-ICE", "Delta"))*100, "")</f>
        <v/>
      </c>
      <c r="AJ159" s="683" t="str">
        <f>IFERROR(ABS(RTD("esrtd",,Options[[#This Row],[Index]] &amp; " " &amp; Options[[#This Row],[Month]] &amp; "P" &amp; $AL159*100 &amp; "-ICE", "Market")), "")</f>
        <v/>
      </c>
      <c r="AK159" s="683" t="str">
        <f>IFERROR(ABS(RTD("esrtd",,Options[[#This Row],[Index]] &amp; " " &amp; Options[[#This Row],[Month]] &amp; "P" &amp; $AL159*100 &amp; "-ICE", "ImpVol"))*100, "")</f>
        <v/>
      </c>
      <c r="AL159" s="676" t="e">
        <f t="shared" si="33"/>
        <v>#VALUE!</v>
      </c>
      <c r="AM159" s="711" t="e">
        <f>ABS(_xll.BDP(Options[[#This Row],[C-Ticker]], "OPT_DELTA_YEST"))*100</f>
        <v>#VALUE!</v>
      </c>
      <c r="AN159" s="684" t="str">
        <f>IFERROR(ABS(RTD("esrtd",,Options[[#This Row],[Index]] &amp; " " &amp; Options[[#This Row],[Month]] &amp; "C" &amp; $AL159*100 &amp; "-ICE", "OldSettlement")), "")</f>
        <v/>
      </c>
      <c r="AO159" s="684" t="str">
        <f>IFERROR(ABS(RTD("esrtd",,Options[[#This Row],[Index]] &amp; " " &amp; Options[[#This Row],[Month]] &amp; "C" &amp; $AL159*100 &amp; "-ICE", "OldSetIV"))*100, "")</f>
        <v/>
      </c>
      <c r="AP159" s="684" t="str">
        <f>IFERROR(ABS(RTD("esrtd",,Options[[#This Row],[Index]] &amp; " " &amp; Options[[#This Row],[Month]] &amp; "C" &amp; $AL159*100 &amp; "-ICE", "Delta"))*100, "")</f>
        <v/>
      </c>
      <c r="AQ159" s="684" t="str">
        <f>IFERROR(ABS(RTD("esrtd",,Options[[#This Row],[Index]] &amp; " " &amp; Options[[#This Row],[Month]] &amp; "C" &amp; $AL159*100 &amp; "-ICE", "Market")), "")</f>
        <v/>
      </c>
      <c r="AR159" s="684" t="str">
        <f>IFERROR(ABS(RTD("esrtd",,Options[[#This Row],[Index]] &amp; " " &amp; Options[[#This Row],[Month]] &amp; "C" &amp; $AL159*100 &amp; "-ICE", "ImpVol"))*100, "")</f>
        <v/>
      </c>
    </row>
    <row r="160" spans="7:52" x14ac:dyDescent="0.25">
      <c r="G160" s="596"/>
      <c r="AB160" s="596" t="s">
        <v>119</v>
      </c>
      <c r="AC160" s="596" t="s">
        <v>1395</v>
      </c>
      <c r="AD16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0" s="683" t="e">
        <f>ABS(_xll.BDP(Options[[#This Row],[P-Ticker]], "OPT_DELTA_YEST"))*100</f>
        <v>#VALUE!</v>
      </c>
      <c r="AG160" s="683" t="str">
        <f>IFERROR(ABS(RTD("esrtd",,Options[[#This Row],[Index]] &amp; " " &amp; Options[[#This Row],[Month]] &amp; "P" &amp; $AL160*100 &amp; "-ICE", "OldSettlement")), "")</f>
        <v/>
      </c>
      <c r="AH160" s="683" t="str">
        <f>IFERROR(ABS(RTD("esrtd",,Options[[#This Row],[Index]] &amp; " " &amp; Options[[#This Row],[Month]] &amp; "P" &amp; $AL160*100 &amp; "-ICE", "OldSetIV"))*100, "")</f>
        <v/>
      </c>
      <c r="AI160" s="683" t="str">
        <f>IFERROR(ABS(RTD("esrtd",,Options[[#This Row],[Index]] &amp; " " &amp; Options[[#This Row],[Month]] &amp; "P" &amp; $AL160*100 &amp; "-ICE", "Delta"))*100, "")</f>
        <v/>
      </c>
      <c r="AJ160" s="683" t="str">
        <f>IFERROR(ABS(RTD("esrtd",,Options[[#This Row],[Index]] &amp; " " &amp; Options[[#This Row],[Month]] &amp; "P" &amp; $AL160*100 &amp; "-ICE", "Market")), "")</f>
        <v/>
      </c>
      <c r="AK160" s="683" t="str">
        <f>IFERROR(ABS(RTD("esrtd",,Options[[#This Row],[Index]] &amp; " " &amp; Options[[#This Row],[Month]] &amp; "P" &amp; $AL160*100 &amp; "-ICE", "ImpVol"))*100, "")</f>
        <v/>
      </c>
      <c r="AL160" s="676" t="e">
        <f t="shared" si="33"/>
        <v>#VALUE!</v>
      </c>
      <c r="AM160" s="711" t="e">
        <f>ABS(_xll.BDP(Options[[#This Row],[C-Ticker]], "OPT_DELTA_YEST"))*100</f>
        <v>#VALUE!</v>
      </c>
      <c r="AN160" s="684" t="str">
        <f>IFERROR(ABS(RTD("esrtd",,Options[[#This Row],[Index]] &amp; " " &amp; Options[[#This Row],[Month]] &amp; "C" &amp; $AL160*100 &amp; "-ICE", "OldSettlement")), "")</f>
        <v/>
      </c>
      <c r="AO160" s="684" t="str">
        <f>IFERROR(ABS(RTD("esrtd",,Options[[#This Row],[Index]] &amp; " " &amp; Options[[#This Row],[Month]] &amp; "C" &amp; $AL160*100 &amp; "-ICE", "OldSetIV"))*100, "")</f>
        <v/>
      </c>
      <c r="AP160" s="684" t="str">
        <f>IFERROR(ABS(RTD("esrtd",,Options[[#This Row],[Index]] &amp; " " &amp; Options[[#This Row],[Month]] &amp; "C" &amp; $AL160*100 &amp; "-ICE", "Delta"))*100, "")</f>
        <v/>
      </c>
      <c r="AQ160" s="684" t="str">
        <f>IFERROR(ABS(RTD("esrtd",,Options[[#This Row],[Index]] &amp; " " &amp; Options[[#This Row],[Month]] &amp; "C" &amp; $AL160*100 &amp; "-ICE", "Market")), "")</f>
        <v/>
      </c>
      <c r="AR160" s="684" t="str">
        <f>IFERROR(ABS(RTD("esrtd",,Options[[#This Row],[Index]] &amp; " " &amp; Options[[#This Row],[Month]] &amp; "C" &amp; $AL160*100 &amp; "-ICE", "ImpVol"))*100, "")</f>
        <v/>
      </c>
    </row>
    <row r="161" spans="7:44" x14ac:dyDescent="0.25">
      <c r="G161" s="596"/>
      <c r="AB161" s="596" t="s">
        <v>119</v>
      </c>
      <c r="AC161" s="596" t="s">
        <v>1395</v>
      </c>
      <c r="AD16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1" s="683" t="e">
        <f>ABS(_xll.BDP(Options[[#This Row],[P-Ticker]], "OPT_DELTA_YEST"))*100</f>
        <v>#VALUE!</v>
      </c>
      <c r="AG161" s="683" t="str">
        <f>IFERROR(ABS(RTD("esrtd",,Options[[#This Row],[Index]] &amp; " " &amp; Options[[#This Row],[Month]] &amp; "P" &amp; $AL161*100 &amp; "-ICE", "OldSettlement")), "")</f>
        <v/>
      </c>
      <c r="AH161" s="683" t="str">
        <f>IFERROR(ABS(RTD("esrtd",,Options[[#This Row],[Index]] &amp; " " &amp; Options[[#This Row],[Month]] &amp; "P" &amp; $AL161*100 &amp; "-ICE", "OldSetIV"))*100, "")</f>
        <v/>
      </c>
      <c r="AI161" s="683" t="str">
        <f>IFERROR(ABS(RTD("esrtd",,Options[[#This Row],[Index]] &amp; " " &amp; Options[[#This Row],[Month]] &amp; "P" &amp; $AL161*100 &amp; "-ICE", "Delta"))*100, "")</f>
        <v/>
      </c>
      <c r="AJ161" s="683" t="str">
        <f>IFERROR(ABS(RTD("esrtd",,Options[[#This Row],[Index]] &amp; " " &amp; Options[[#This Row],[Month]] &amp; "P" &amp; $AL161*100 &amp; "-ICE", "Market")), "")</f>
        <v/>
      </c>
      <c r="AK161" s="683" t="str">
        <f>IFERROR(ABS(RTD("esrtd",,Options[[#This Row],[Index]] &amp; " " &amp; Options[[#This Row],[Month]] &amp; "P" &amp; $AL161*100 &amp; "-ICE", "ImpVol"))*100, "")</f>
        <v/>
      </c>
      <c r="AL161" s="676" t="e">
        <f t="shared" si="33"/>
        <v>#VALUE!</v>
      </c>
      <c r="AM161" s="711" t="e">
        <f>ABS(_xll.BDP(Options[[#This Row],[C-Ticker]], "OPT_DELTA_YEST"))*100</f>
        <v>#VALUE!</v>
      </c>
      <c r="AN161" s="684" t="str">
        <f>IFERROR(ABS(RTD("esrtd",,Options[[#This Row],[Index]] &amp; " " &amp; Options[[#This Row],[Month]] &amp; "C" &amp; $AL161*100 &amp; "-ICE", "OldSettlement")), "")</f>
        <v/>
      </c>
      <c r="AO161" s="684" t="str">
        <f>IFERROR(ABS(RTD("esrtd",,Options[[#This Row],[Index]] &amp; " " &amp; Options[[#This Row],[Month]] &amp; "C" &amp; $AL161*100 &amp; "-ICE", "OldSetIV"))*100, "")</f>
        <v/>
      </c>
      <c r="AP161" s="684" t="str">
        <f>IFERROR(ABS(RTD("esrtd",,Options[[#This Row],[Index]] &amp; " " &amp; Options[[#This Row],[Month]] &amp; "C" &amp; $AL161*100 &amp; "-ICE", "Delta"))*100, "")</f>
        <v/>
      </c>
      <c r="AQ161" s="684" t="str">
        <f>IFERROR(ABS(RTD("esrtd",,Options[[#This Row],[Index]] &amp; " " &amp; Options[[#This Row],[Month]] &amp; "C" &amp; $AL161*100 &amp; "-ICE", "Market")), "")</f>
        <v/>
      </c>
      <c r="AR161" s="684" t="str">
        <f>IFERROR(ABS(RTD("esrtd",,Options[[#This Row],[Index]] &amp; " " &amp; Options[[#This Row],[Month]] &amp; "C" &amp; $AL161*100 &amp; "-ICE", "ImpVol"))*100, "")</f>
        <v/>
      </c>
    </row>
    <row r="162" spans="7:44" x14ac:dyDescent="0.25">
      <c r="G162" s="596"/>
      <c r="AB162" s="596" t="s">
        <v>119</v>
      </c>
      <c r="AC162" s="596" t="s">
        <v>1395</v>
      </c>
      <c r="AD16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2" s="683" t="e">
        <f>ABS(_xll.BDP(Options[[#This Row],[P-Ticker]], "OPT_DELTA_YEST"))*100</f>
        <v>#VALUE!</v>
      </c>
      <c r="AG162" s="683" t="str">
        <f>IFERROR(ABS(RTD("esrtd",,Options[[#This Row],[Index]] &amp; " " &amp; Options[[#This Row],[Month]] &amp; "P" &amp; $AL162*100 &amp; "-ICE", "OldSettlement")), "")</f>
        <v/>
      </c>
      <c r="AH162" s="683" t="str">
        <f>IFERROR(ABS(RTD("esrtd",,Options[[#This Row],[Index]] &amp; " " &amp; Options[[#This Row],[Month]] &amp; "P" &amp; $AL162*100 &amp; "-ICE", "OldSetIV"))*100, "")</f>
        <v/>
      </c>
      <c r="AI162" s="683" t="str">
        <f>IFERROR(ABS(RTD("esrtd",,Options[[#This Row],[Index]] &amp; " " &amp; Options[[#This Row],[Month]] &amp; "P" &amp; $AL162*100 &amp; "-ICE", "Delta"))*100, "")</f>
        <v/>
      </c>
      <c r="AJ162" s="683" t="str">
        <f>IFERROR(ABS(RTD("esrtd",,Options[[#This Row],[Index]] &amp; " " &amp; Options[[#This Row],[Month]] &amp; "P" &amp; $AL162*100 &amp; "-ICE", "Market")), "")</f>
        <v/>
      </c>
      <c r="AK162" s="683" t="str">
        <f>IFERROR(ABS(RTD("esrtd",,Options[[#This Row],[Index]] &amp; " " &amp; Options[[#This Row],[Month]] &amp; "P" &amp; $AL162*100 &amp; "-ICE", "ImpVol"))*100, "")</f>
        <v/>
      </c>
      <c r="AL162" s="676" t="e">
        <f t="shared" si="33"/>
        <v>#VALUE!</v>
      </c>
      <c r="AM162" s="711" t="e">
        <f>ABS(_xll.BDP(Options[[#This Row],[C-Ticker]], "OPT_DELTA_YEST"))*100</f>
        <v>#VALUE!</v>
      </c>
      <c r="AN162" s="684" t="str">
        <f>IFERROR(ABS(RTD("esrtd",,Options[[#This Row],[Index]] &amp; " " &amp; Options[[#This Row],[Month]] &amp; "C" &amp; $AL162*100 &amp; "-ICE", "OldSettlement")), "")</f>
        <v/>
      </c>
      <c r="AO162" s="684" t="str">
        <f>IFERROR(ABS(RTD("esrtd",,Options[[#This Row],[Index]] &amp; " " &amp; Options[[#This Row],[Month]] &amp; "C" &amp; $AL162*100 &amp; "-ICE", "OldSetIV"))*100, "")</f>
        <v/>
      </c>
      <c r="AP162" s="684" t="str">
        <f>IFERROR(ABS(RTD("esrtd",,Options[[#This Row],[Index]] &amp; " " &amp; Options[[#This Row],[Month]] &amp; "C" &amp; $AL162*100 &amp; "-ICE", "Delta"))*100, "")</f>
        <v/>
      </c>
      <c r="AQ162" s="684" t="str">
        <f>IFERROR(ABS(RTD("esrtd",,Options[[#This Row],[Index]] &amp; " " &amp; Options[[#This Row],[Month]] &amp; "C" &amp; $AL162*100 &amp; "-ICE", "Market")), "")</f>
        <v/>
      </c>
      <c r="AR162" s="684" t="str">
        <f>IFERROR(ABS(RTD("esrtd",,Options[[#This Row],[Index]] &amp; " " &amp; Options[[#This Row],[Month]] &amp; "C" &amp; $AL162*100 &amp; "-ICE", "ImpVol"))*100, "")</f>
        <v/>
      </c>
    </row>
    <row r="163" spans="7:44" x14ac:dyDescent="0.25">
      <c r="G163" s="596"/>
      <c r="AB163" s="596" t="s">
        <v>119</v>
      </c>
      <c r="AC163" s="596" t="s">
        <v>1395</v>
      </c>
      <c r="AD16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3" s="683" t="e">
        <f>ABS(_xll.BDP(Options[[#This Row],[P-Ticker]], "OPT_DELTA_YEST"))*100</f>
        <v>#VALUE!</v>
      </c>
      <c r="AG163" s="683" t="str">
        <f>IFERROR(ABS(RTD("esrtd",,Options[[#This Row],[Index]] &amp; " " &amp; Options[[#This Row],[Month]] &amp; "P" &amp; $AL163*100 &amp; "-ICE", "OldSettlement")), "")</f>
        <v/>
      </c>
      <c r="AH163" s="683" t="str">
        <f>IFERROR(ABS(RTD("esrtd",,Options[[#This Row],[Index]] &amp; " " &amp; Options[[#This Row],[Month]] &amp; "P" &amp; $AL163*100 &amp; "-ICE", "OldSetIV"))*100, "")</f>
        <v/>
      </c>
      <c r="AI163" s="683" t="str">
        <f>IFERROR(ABS(RTD("esrtd",,Options[[#This Row],[Index]] &amp; " " &amp; Options[[#This Row],[Month]] &amp; "P" &amp; $AL163*100 &amp; "-ICE", "Delta"))*100, "")</f>
        <v/>
      </c>
      <c r="AJ163" s="683" t="str">
        <f>IFERROR(ABS(RTD("esrtd",,Options[[#This Row],[Index]] &amp; " " &amp; Options[[#This Row],[Month]] &amp; "P" &amp; $AL163*100 &amp; "-ICE", "Market")), "")</f>
        <v/>
      </c>
      <c r="AK163" s="683" t="str">
        <f>IFERROR(ABS(RTD("esrtd",,Options[[#This Row],[Index]] &amp; " " &amp; Options[[#This Row],[Month]] &amp; "P" &amp; $AL163*100 &amp; "-ICE", "ImpVol"))*100, "")</f>
        <v/>
      </c>
      <c r="AL163" s="676" t="e">
        <f t="shared" si="33"/>
        <v>#VALUE!</v>
      </c>
      <c r="AM163" s="711" t="e">
        <f>ABS(_xll.BDP(Options[[#This Row],[C-Ticker]], "OPT_DELTA_YEST"))*100</f>
        <v>#VALUE!</v>
      </c>
      <c r="AN163" s="684" t="str">
        <f>IFERROR(ABS(RTD("esrtd",,Options[[#This Row],[Index]] &amp; " " &amp; Options[[#This Row],[Month]] &amp; "C" &amp; $AL163*100 &amp; "-ICE", "OldSettlement")), "")</f>
        <v/>
      </c>
      <c r="AO163" s="684" t="str">
        <f>IFERROR(ABS(RTD("esrtd",,Options[[#This Row],[Index]] &amp; " " &amp; Options[[#This Row],[Month]] &amp; "C" &amp; $AL163*100 &amp; "-ICE", "OldSetIV"))*100, "")</f>
        <v/>
      </c>
      <c r="AP163" s="684" t="str">
        <f>IFERROR(ABS(RTD("esrtd",,Options[[#This Row],[Index]] &amp; " " &amp; Options[[#This Row],[Month]] &amp; "C" &amp; $AL163*100 &amp; "-ICE", "Delta"))*100, "")</f>
        <v/>
      </c>
      <c r="AQ163" s="684" t="str">
        <f>IFERROR(ABS(RTD("esrtd",,Options[[#This Row],[Index]] &amp; " " &amp; Options[[#This Row],[Month]] &amp; "C" &amp; $AL163*100 &amp; "-ICE", "Market")), "")</f>
        <v/>
      </c>
      <c r="AR163" s="684" t="str">
        <f>IFERROR(ABS(RTD("esrtd",,Options[[#This Row],[Index]] &amp; " " &amp; Options[[#This Row],[Month]] &amp; "C" &amp; $AL163*100 &amp; "-ICE", "ImpVol"))*100, "")</f>
        <v/>
      </c>
    </row>
    <row r="164" spans="7:44" x14ac:dyDescent="0.25">
      <c r="G164" s="596"/>
      <c r="AB164" s="596" t="s">
        <v>119</v>
      </c>
      <c r="AC164" s="596" t="s">
        <v>1395</v>
      </c>
      <c r="AD16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4" s="683" t="e">
        <f>ABS(_xll.BDP(Options[[#This Row],[P-Ticker]], "OPT_DELTA_YEST"))*100</f>
        <v>#VALUE!</v>
      </c>
      <c r="AG164" s="683" t="str">
        <f>IFERROR(ABS(RTD("esrtd",,Options[[#This Row],[Index]] &amp; " " &amp; Options[[#This Row],[Month]] &amp; "P" &amp; $AL164*100 &amp; "-ICE", "OldSettlement")), "")</f>
        <v/>
      </c>
      <c r="AH164" s="683" t="str">
        <f>IFERROR(ABS(RTD("esrtd",,Options[[#This Row],[Index]] &amp; " " &amp; Options[[#This Row],[Month]] &amp; "P" &amp; $AL164*100 &amp; "-ICE", "OldSetIV"))*100, "")</f>
        <v/>
      </c>
      <c r="AI164" s="683" t="str">
        <f>IFERROR(ABS(RTD("esrtd",,Options[[#This Row],[Index]] &amp; " " &amp; Options[[#This Row],[Month]] &amp; "P" &amp; $AL164*100 &amp; "-ICE", "Delta"))*100, "")</f>
        <v/>
      </c>
      <c r="AJ164" s="683" t="str">
        <f>IFERROR(ABS(RTD("esrtd",,Options[[#This Row],[Index]] &amp; " " &amp; Options[[#This Row],[Month]] &amp; "P" &amp; $AL164*100 &amp; "-ICE", "Market")), "")</f>
        <v/>
      </c>
      <c r="AK164" s="683" t="str">
        <f>IFERROR(ABS(RTD("esrtd",,Options[[#This Row],[Index]] &amp; " " &amp; Options[[#This Row],[Month]] &amp; "P" &amp; $AL164*100 &amp; "-ICE", "ImpVol"))*100, "")</f>
        <v/>
      </c>
      <c r="AL164" s="676" t="e">
        <f t="shared" si="33"/>
        <v>#VALUE!</v>
      </c>
      <c r="AM164" s="711" t="e">
        <f>ABS(_xll.BDP(Options[[#This Row],[C-Ticker]], "OPT_DELTA_YEST"))*100</f>
        <v>#VALUE!</v>
      </c>
      <c r="AN164" s="684" t="str">
        <f>IFERROR(ABS(RTD("esrtd",,Options[[#This Row],[Index]] &amp; " " &amp; Options[[#This Row],[Month]] &amp; "C" &amp; $AL164*100 &amp; "-ICE", "OldSettlement")), "")</f>
        <v/>
      </c>
      <c r="AO164" s="684" t="str">
        <f>IFERROR(ABS(RTD("esrtd",,Options[[#This Row],[Index]] &amp; " " &amp; Options[[#This Row],[Month]] &amp; "C" &amp; $AL164*100 &amp; "-ICE", "OldSetIV"))*100, "")</f>
        <v/>
      </c>
      <c r="AP164" s="684" t="str">
        <f>IFERROR(ABS(RTD("esrtd",,Options[[#This Row],[Index]] &amp; " " &amp; Options[[#This Row],[Month]] &amp; "C" &amp; $AL164*100 &amp; "-ICE", "Delta"))*100, "")</f>
        <v/>
      </c>
      <c r="AQ164" s="684" t="str">
        <f>IFERROR(ABS(RTD("esrtd",,Options[[#This Row],[Index]] &amp; " " &amp; Options[[#This Row],[Month]] &amp; "C" &amp; $AL164*100 &amp; "-ICE", "Market")), "")</f>
        <v/>
      </c>
      <c r="AR164" s="684" t="str">
        <f>IFERROR(ABS(RTD("esrtd",,Options[[#This Row],[Index]] &amp; " " &amp; Options[[#This Row],[Month]] &amp; "C" &amp; $AL164*100 &amp; "-ICE", "ImpVol"))*100, "")</f>
        <v/>
      </c>
    </row>
    <row r="165" spans="7:44" x14ac:dyDescent="0.25">
      <c r="G165" s="596"/>
      <c r="AB165" s="596" t="s">
        <v>119</v>
      </c>
      <c r="AC165" s="596" t="s">
        <v>1395</v>
      </c>
      <c r="AD16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5" s="683" t="e">
        <f>ABS(_xll.BDP(Options[[#This Row],[P-Ticker]], "OPT_DELTA_YEST"))*100</f>
        <v>#VALUE!</v>
      </c>
      <c r="AG165" s="683" t="str">
        <f>IFERROR(ABS(RTD("esrtd",,Options[[#This Row],[Index]] &amp; " " &amp; Options[[#This Row],[Month]] &amp; "P" &amp; $AL165*100 &amp; "-ICE", "OldSettlement")), "")</f>
        <v/>
      </c>
      <c r="AH165" s="683" t="str">
        <f>IFERROR(ABS(RTD("esrtd",,Options[[#This Row],[Index]] &amp; " " &amp; Options[[#This Row],[Month]] &amp; "P" &amp; $AL165*100 &amp; "-ICE", "OldSetIV"))*100, "")</f>
        <v/>
      </c>
      <c r="AI165" s="683" t="str">
        <f>IFERROR(ABS(RTD("esrtd",,Options[[#This Row],[Index]] &amp; " " &amp; Options[[#This Row],[Month]] &amp; "P" &amp; $AL165*100 &amp; "-ICE", "Delta"))*100, "")</f>
        <v/>
      </c>
      <c r="AJ165" s="683" t="str">
        <f>IFERROR(ABS(RTD("esrtd",,Options[[#This Row],[Index]] &amp; " " &amp; Options[[#This Row],[Month]] &amp; "P" &amp; $AL165*100 &amp; "-ICE", "Market")), "")</f>
        <v/>
      </c>
      <c r="AK165" s="683" t="str">
        <f>IFERROR(ABS(RTD("esrtd",,Options[[#This Row],[Index]] &amp; " " &amp; Options[[#This Row],[Month]] &amp; "P" &amp; $AL165*100 &amp; "-ICE", "ImpVol"))*100, "")</f>
        <v/>
      </c>
      <c r="AL165" s="676" t="e">
        <f t="shared" si="33"/>
        <v>#VALUE!</v>
      </c>
      <c r="AM165" s="711" t="e">
        <f>ABS(_xll.BDP(Options[[#This Row],[C-Ticker]], "OPT_DELTA_YEST"))*100</f>
        <v>#VALUE!</v>
      </c>
      <c r="AN165" s="684" t="str">
        <f>IFERROR(ABS(RTD("esrtd",,Options[[#This Row],[Index]] &amp; " " &amp; Options[[#This Row],[Month]] &amp; "C" &amp; $AL165*100 &amp; "-ICE", "OldSettlement")), "")</f>
        <v/>
      </c>
      <c r="AO165" s="684" t="str">
        <f>IFERROR(ABS(RTD("esrtd",,Options[[#This Row],[Index]] &amp; " " &amp; Options[[#This Row],[Month]] &amp; "C" &amp; $AL165*100 &amp; "-ICE", "OldSetIV"))*100, "")</f>
        <v/>
      </c>
      <c r="AP165" s="684" t="str">
        <f>IFERROR(ABS(RTD("esrtd",,Options[[#This Row],[Index]] &amp; " " &amp; Options[[#This Row],[Month]] &amp; "C" &amp; $AL165*100 &amp; "-ICE", "Delta"))*100, "")</f>
        <v/>
      </c>
      <c r="AQ165" s="684" t="str">
        <f>IFERROR(ABS(RTD("esrtd",,Options[[#This Row],[Index]] &amp; " " &amp; Options[[#This Row],[Month]] &amp; "C" &amp; $AL165*100 &amp; "-ICE", "Market")), "")</f>
        <v/>
      </c>
      <c r="AR165" s="684" t="str">
        <f>IFERROR(ABS(RTD("esrtd",,Options[[#This Row],[Index]] &amp; " " &amp; Options[[#This Row],[Month]] &amp; "C" &amp; $AL165*100 &amp; "-ICE", "ImpVol"))*100, "")</f>
        <v/>
      </c>
    </row>
    <row r="166" spans="7:44" x14ac:dyDescent="0.25">
      <c r="G166" s="596"/>
      <c r="AB166" s="596" t="s">
        <v>119</v>
      </c>
      <c r="AC166" s="596" t="s">
        <v>1395</v>
      </c>
      <c r="AD16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6" s="683" t="e">
        <f>ABS(_xll.BDP(Options[[#This Row],[P-Ticker]], "OPT_DELTA_YEST"))*100</f>
        <v>#VALUE!</v>
      </c>
      <c r="AG166" s="683" t="str">
        <f>IFERROR(ABS(RTD("esrtd",,Options[[#This Row],[Index]] &amp; " " &amp; Options[[#This Row],[Month]] &amp; "P" &amp; $AL166*100 &amp; "-ICE", "OldSettlement")), "")</f>
        <v/>
      </c>
      <c r="AH166" s="683" t="str">
        <f>IFERROR(ABS(RTD("esrtd",,Options[[#This Row],[Index]] &amp; " " &amp; Options[[#This Row],[Month]] &amp; "P" &amp; $AL166*100 &amp; "-ICE", "OldSetIV"))*100, "")</f>
        <v/>
      </c>
      <c r="AI166" s="683" t="str">
        <f>IFERROR(ABS(RTD("esrtd",,Options[[#This Row],[Index]] &amp; " " &amp; Options[[#This Row],[Month]] &amp; "P" &amp; $AL166*100 &amp; "-ICE", "Delta"))*100, "")</f>
        <v/>
      </c>
      <c r="AJ166" s="683" t="str">
        <f>IFERROR(ABS(RTD("esrtd",,Options[[#This Row],[Index]] &amp; " " &amp; Options[[#This Row],[Month]] &amp; "P" &amp; $AL166*100 &amp; "-ICE", "Market")), "")</f>
        <v/>
      </c>
      <c r="AK166" s="683" t="str">
        <f>IFERROR(ABS(RTD("esrtd",,Options[[#This Row],[Index]] &amp; " " &amp; Options[[#This Row],[Month]] &amp; "P" &amp; $AL166*100 &amp; "-ICE", "ImpVol"))*100, "")</f>
        <v/>
      </c>
      <c r="AL166" s="676" t="e">
        <f t="shared" si="33"/>
        <v>#VALUE!</v>
      </c>
      <c r="AM166" s="711" t="e">
        <f>ABS(_xll.BDP(Options[[#This Row],[C-Ticker]], "OPT_DELTA_YEST"))*100</f>
        <v>#VALUE!</v>
      </c>
      <c r="AN166" s="684" t="str">
        <f>IFERROR(ABS(RTD("esrtd",,Options[[#This Row],[Index]] &amp; " " &amp; Options[[#This Row],[Month]] &amp; "C" &amp; $AL166*100 &amp; "-ICE", "OldSettlement")), "")</f>
        <v/>
      </c>
      <c r="AO166" s="684" t="str">
        <f>IFERROR(ABS(RTD("esrtd",,Options[[#This Row],[Index]] &amp; " " &amp; Options[[#This Row],[Month]] &amp; "C" &amp; $AL166*100 &amp; "-ICE", "OldSetIV"))*100, "")</f>
        <v/>
      </c>
      <c r="AP166" s="684" t="str">
        <f>IFERROR(ABS(RTD("esrtd",,Options[[#This Row],[Index]] &amp; " " &amp; Options[[#This Row],[Month]] &amp; "C" &amp; $AL166*100 &amp; "-ICE", "Delta"))*100, "")</f>
        <v/>
      </c>
      <c r="AQ166" s="684" t="str">
        <f>IFERROR(ABS(RTD("esrtd",,Options[[#This Row],[Index]] &amp; " " &amp; Options[[#This Row],[Month]] &amp; "C" &amp; $AL166*100 &amp; "-ICE", "Market")), "")</f>
        <v/>
      </c>
      <c r="AR166" s="684" t="str">
        <f>IFERROR(ABS(RTD("esrtd",,Options[[#This Row],[Index]] &amp; " " &amp; Options[[#This Row],[Month]] &amp; "C" &amp; $AL166*100 &amp; "-ICE", "ImpVol"))*100, "")</f>
        <v/>
      </c>
    </row>
    <row r="167" spans="7:44" x14ac:dyDescent="0.25">
      <c r="G167" s="596"/>
      <c r="AB167" s="596" t="s">
        <v>119</v>
      </c>
      <c r="AC167" s="596" t="s">
        <v>1395</v>
      </c>
      <c r="AD16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7" s="683" t="e">
        <f>ABS(_xll.BDP(Options[[#This Row],[P-Ticker]], "OPT_DELTA_YEST"))*100</f>
        <v>#VALUE!</v>
      </c>
      <c r="AG167" s="683" t="str">
        <f>IFERROR(ABS(RTD("esrtd",,Options[[#This Row],[Index]] &amp; " " &amp; Options[[#This Row],[Month]] &amp; "P" &amp; $AL167*100 &amp; "-ICE", "OldSettlement")), "")</f>
        <v/>
      </c>
      <c r="AH167" s="683" t="str">
        <f>IFERROR(ABS(RTD("esrtd",,Options[[#This Row],[Index]] &amp; " " &amp; Options[[#This Row],[Month]] &amp; "P" &amp; $AL167*100 &amp; "-ICE", "OldSetIV"))*100, "")</f>
        <v/>
      </c>
      <c r="AI167" s="683" t="str">
        <f>IFERROR(ABS(RTD("esrtd",,Options[[#This Row],[Index]] &amp; " " &amp; Options[[#This Row],[Month]] &amp; "P" &amp; $AL167*100 &amp; "-ICE", "Delta"))*100, "")</f>
        <v/>
      </c>
      <c r="AJ167" s="683" t="str">
        <f>IFERROR(ABS(RTD("esrtd",,Options[[#This Row],[Index]] &amp; " " &amp; Options[[#This Row],[Month]] &amp; "P" &amp; $AL167*100 &amp; "-ICE", "Market")), "")</f>
        <v/>
      </c>
      <c r="AK167" s="683" t="str">
        <f>IFERROR(ABS(RTD("esrtd",,Options[[#This Row],[Index]] &amp; " " &amp; Options[[#This Row],[Month]] &amp; "P" &amp; $AL167*100 &amp; "-ICE", "ImpVol"))*100, "")</f>
        <v/>
      </c>
      <c r="AL167" s="676" t="e">
        <f>AL168-1</f>
        <v>#VALUE!</v>
      </c>
      <c r="AM167" s="711" t="e">
        <f>ABS(_xll.BDP(Options[[#This Row],[C-Ticker]], "OPT_DELTA_YEST"))*100</f>
        <v>#VALUE!</v>
      </c>
      <c r="AN167" s="684" t="str">
        <f>IFERROR(ABS(RTD("esrtd",,Options[[#This Row],[Index]] &amp; " " &amp; Options[[#This Row],[Month]] &amp; "C" &amp; $AL167*100 &amp; "-ICE", "OldSettlement")), "")</f>
        <v/>
      </c>
      <c r="AO167" s="684" t="str">
        <f>IFERROR(ABS(RTD("esrtd",,Options[[#This Row],[Index]] &amp; " " &amp; Options[[#This Row],[Month]] &amp; "C" &amp; $AL167*100 &amp; "-ICE", "OldSetIV"))*100, "")</f>
        <v/>
      </c>
      <c r="AP167" s="684" t="str">
        <f>IFERROR(ABS(RTD("esrtd",,Options[[#This Row],[Index]] &amp; " " &amp; Options[[#This Row],[Month]] &amp; "C" &amp; $AL167*100 &amp; "-ICE", "Delta"))*100, "")</f>
        <v/>
      </c>
      <c r="AQ167" s="684" t="str">
        <f>IFERROR(ABS(RTD("esrtd",,Options[[#This Row],[Index]] &amp; " " &amp; Options[[#This Row],[Month]] &amp; "C" &amp; $AL167*100 &amp; "-ICE", "Market")), "")</f>
        <v/>
      </c>
      <c r="AR167" s="684" t="str">
        <f>IFERROR(ABS(RTD("esrtd",,Options[[#This Row],[Index]] &amp; " " &amp; Options[[#This Row],[Month]] &amp; "C" &amp; $AL167*100 &amp; "-ICE", "ImpVol"))*100, "")</f>
        <v/>
      </c>
    </row>
    <row r="168" spans="7:44" x14ac:dyDescent="0.25">
      <c r="G168" s="596"/>
      <c r="AB168" s="596" t="s">
        <v>119</v>
      </c>
      <c r="AC168" s="596" t="s">
        <v>1395</v>
      </c>
      <c r="AD16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8" s="683" t="e">
        <f>ABS(_xll.BDP(Options[[#This Row],[P-Ticker]], "OPT_DELTA_YEST"))*100</f>
        <v>#VALUE!</v>
      </c>
      <c r="AG168" s="683" t="str">
        <f>IFERROR(ABS(RTD("esrtd",,Options[[#This Row],[Index]] &amp; " " &amp; Options[[#This Row],[Month]] &amp; "P" &amp; $AL168*100 &amp; "-ICE", "OldSettlement")), "")</f>
        <v/>
      </c>
      <c r="AH168" s="683" t="str">
        <f>IFERROR(ABS(RTD("esrtd",,Options[[#This Row],[Index]] &amp; " " &amp; Options[[#This Row],[Month]] &amp; "P" &amp; $AL168*100 &amp; "-ICE", "OldSetIV"))*100, "")</f>
        <v/>
      </c>
      <c r="AI168" s="683" t="str">
        <f>IFERROR(ABS(RTD("esrtd",,Options[[#This Row],[Index]] &amp; " " &amp; Options[[#This Row],[Month]] &amp; "P" &amp; $AL168*100 &amp; "-ICE", "Delta"))*100, "")</f>
        <v/>
      </c>
      <c r="AJ168" s="683" t="str">
        <f>IFERROR(ABS(RTD("esrtd",,Options[[#This Row],[Index]] &amp; " " &amp; Options[[#This Row],[Month]] &amp; "P" &amp; $AL168*100 &amp; "-ICE", "Market")), "")</f>
        <v/>
      </c>
      <c r="AK168" s="683" t="str">
        <f>IFERROR(ABS(RTD("esrtd",,Options[[#This Row],[Index]] &amp; " " &amp; Options[[#This Row],[Month]] &amp; "P" &amp; $AL168*100 &amp; "-ICE", "ImpVol"))*100, "")</f>
        <v/>
      </c>
      <c r="AL168" s="676" t="e">
        <f>FLOOR(AL169-0.25, 1)</f>
        <v>#VALUE!</v>
      </c>
      <c r="AM168" s="711" t="e">
        <f>ABS(_xll.BDP(Options[[#This Row],[C-Ticker]], "OPT_DELTA_YEST"))*100</f>
        <v>#VALUE!</v>
      </c>
      <c r="AN168" s="684" t="str">
        <f>IFERROR(ABS(RTD("esrtd",,Options[[#This Row],[Index]] &amp; " " &amp; Options[[#This Row],[Month]] &amp; "C" &amp; $AL168*100 &amp; "-ICE", "OldSettlement")), "")</f>
        <v/>
      </c>
      <c r="AO168" s="684" t="str">
        <f>IFERROR(ABS(RTD("esrtd",,Options[[#This Row],[Index]] &amp; " " &amp; Options[[#This Row],[Month]] &amp; "C" &amp; $AL168*100 &amp; "-ICE", "OldSetIV"))*100, "")</f>
        <v/>
      </c>
      <c r="AP168" s="684" t="str">
        <f>IFERROR(ABS(RTD("esrtd",,Options[[#This Row],[Index]] &amp; " " &amp; Options[[#This Row],[Month]] &amp; "C" &amp; $AL168*100 &amp; "-ICE", "Delta"))*100, "")</f>
        <v/>
      </c>
      <c r="AQ168" s="684" t="str">
        <f>IFERROR(ABS(RTD("esrtd",,Options[[#This Row],[Index]] &amp; " " &amp; Options[[#This Row],[Month]] &amp; "C" &amp; $AL168*100 &amp; "-ICE", "Market")), "")</f>
        <v/>
      </c>
      <c r="AR168" s="684" t="str">
        <f>IFERROR(ABS(RTD("esrtd",,Options[[#This Row],[Index]] &amp; " " &amp; Options[[#This Row],[Month]] &amp; "C" &amp; $AL168*100 &amp; "-ICE", "ImpVol"))*100, "")</f>
        <v/>
      </c>
    </row>
    <row r="169" spans="7:44" x14ac:dyDescent="0.25">
      <c r="G169" s="596"/>
      <c r="AB169" s="596" t="s">
        <v>119</v>
      </c>
      <c r="AC169" s="596" t="s">
        <v>1395</v>
      </c>
      <c r="AD16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6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69" s="683" t="e">
        <f>ABS(_xll.BDP(Options[[#This Row],[P-Ticker]], "OPT_DELTA_YEST"))*100</f>
        <v>#VALUE!</v>
      </c>
      <c r="AG169" s="683" t="str">
        <f>IFERROR(ABS(RTD("esrtd",,Options[[#This Row],[Index]] &amp; " " &amp; Options[[#This Row],[Month]] &amp; "P" &amp; $AL169*100 &amp; "-ICE", "OldSettlement")), "")</f>
        <v/>
      </c>
      <c r="AH169" s="683" t="str">
        <f>IFERROR(ABS(RTD("esrtd",,Options[[#This Row],[Index]] &amp; " " &amp; Options[[#This Row],[Month]] &amp; "P" &amp; $AL169*100 &amp; "-ICE", "OldSetIV"))*100, "")</f>
        <v/>
      </c>
      <c r="AI169" s="683" t="str">
        <f>IFERROR(ABS(RTD("esrtd",,Options[[#This Row],[Index]] &amp; " " &amp; Options[[#This Row],[Month]] &amp; "P" &amp; $AL169*100 &amp; "-ICE", "Delta"))*100, "")</f>
        <v/>
      </c>
      <c r="AJ169" s="683" t="str">
        <f>IFERROR(ABS(RTD("esrtd",,Options[[#This Row],[Index]] &amp; " " &amp; Options[[#This Row],[Month]] &amp; "P" &amp; $AL169*100 &amp; "-ICE", "Market")), "")</f>
        <v/>
      </c>
      <c r="AK169" s="683" t="str">
        <f>IFERROR(ABS(RTD("esrtd",,Options[[#This Row],[Index]] &amp; " " &amp; Options[[#This Row],[Month]] &amp; "P" &amp; $AL169*100 &amp; "-ICE", "ImpVol"))*100, "")</f>
        <v/>
      </c>
      <c r="AL169" s="676" t="e">
        <f>FLOOR(AL170-0.25, 1)</f>
        <v>#VALUE!</v>
      </c>
      <c r="AM169" s="711" t="e">
        <f>ABS(_xll.BDP(Options[[#This Row],[C-Ticker]], "OPT_DELTA_YEST"))*100</f>
        <v>#VALUE!</v>
      </c>
      <c r="AN169" s="684" t="str">
        <f>IFERROR(ABS(RTD("esrtd",,Options[[#This Row],[Index]] &amp; " " &amp; Options[[#This Row],[Month]] &amp; "C" &amp; $AL169*100 &amp; "-ICE", "OldSettlement")), "")</f>
        <v/>
      </c>
      <c r="AO169" s="684" t="str">
        <f>IFERROR(ABS(RTD("esrtd",,Options[[#This Row],[Index]] &amp; " " &amp; Options[[#This Row],[Month]] &amp; "C" &amp; $AL169*100 &amp; "-ICE", "OldSetIV"))*100, "")</f>
        <v/>
      </c>
      <c r="AP169" s="684" t="str">
        <f>IFERROR(ABS(RTD("esrtd",,Options[[#This Row],[Index]] &amp; " " &amp; Options[[#This Row],[Month]] &amp; "C" &amp; $AL169*100 &amp; "-ICE", "Delta"))*100, "")</f>
        <v/>
      </c>
      <c r="AQ169" s="684" t="str">
        <f>IFERROR(ABS(RTD("esrtd",,Options[[#This Row],[Index]] &amp; " " &amp; Options[[#This Row],[Month]] &amp; "C" &amp; $AL169*100 &amp; "-ICE", "Market")), "")</f>
        <v/>
      </c>
      <c r="AR169" s="684" t="str">
        <f>IFERROR(ABS(RTD("esrtd",,Options[[#This Row],[Index]] &amp; " " &amp; Options[[#This Row],[Month]] &amp; "C" &amp; $AL169*100 &amp; "-ICE", "ImpVol"))*100, "")</f>
        <v/>
      </c>
    </row>
    <row r="170" spans="7:44" x14ac:dyDescent="0.25">
      <c r="G170" s="596"/>
      <c r="AB170" s="596" t="s">
        <v>119</v>
      </c>
      <c r="AC170" s="596" t="s">
        <v>1395</v>
      </c>
      <c r="AD17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0" s="683" t="e">
        <f>ABS(_xll.BDP(Options[[#This Row],[P-Ticker]], "OPT_DELTA_YEST"))*100</f>
        <v>#VALUE!</v>
      </c>
      <c r="AG170" s="683" t="str">
        <f>IFERROR(ABS(RTD("esrtd",,Options[[#This Row],[Index]] &amp; " " &amp; Options[[#This Row],[Month]] &amp; "P" &amp; $AL170*100 &amp; "-ICE", "OldSettlement")), "")</f>
        <v/>
      </c>
      <c r="AH170" s="683" t="str">
        <f>IFERROR(ABS(RTD("esrtd",,Options[[#This Row],[Index]] &amp; " " &amp; Options[[#This Row],[Month]] &amp; "P" &amp; $AL170*100 &amp; "-ICE", "OldSetIV"))*100, "")</f>
        <v/>
      </c>
      <c r="AI170" s="683" t="str">
        <f>IFERROR(ABS(RTD("esrtd",,Options[[#This Row],[Index]] &amp; " " &amp; Options[[#This Row],[Month]] &amp; "P" &amp; $AL170*100 &amp; "-ICE", "Delta"))*100, "")</f>
        <v/>
      </c>
      <c r="AJ170" s="683" t="str">
        <f>IFERROR(ABS(RTD("esrtd",,Options[[#This Row],[Index]] &amp; " " &amp; Options[[#This Row],[Month]] &amp; "P" &amp; $AL170*100 &amp; "-ICE", "Market")), "")</f>
        <v/>
      </c>
      <c r="AK170" s="683" t="str">
        <f>IFERROR(ABS(RTD("esrtd",,Options[[#This Row],[Index]] &amp; " " &amp; Options[[#This Row],[Month]] &amp; "P" &amp; $AL170*100 &amp; "-ICE", "ImpVol"))*100, "")</f>
        <v/>
      </c>
      <c r="AL170" s="690" t="e" cm="1">
        <f t="array" ref="AL170">CEILING(_xll.BDP("COV6 Comdty", "MID"), 1)</f>
        <v>#VALUE!</v>
      </c>
      <c r="AM170" s="711" t="e">
        <f>ABS(_xll.BDP(Options[[#This Row],[C-Ticker]], "OPT_DELTA_YEST"))*100</f>
        <v>#VALUE!</v>
      </c>
      <c r="AN170" s="684" t="str">
        <f>IFERROR(ABS(RTD("esrtd",,Options[[#This Row],[Index]] &amp; " " &amp; Options[[#This Row],[Month]] &amp; "C" &amp; $AL170*100 &amp; "-ICE", "OldSettlement")), "")</f>
        <v/>
      </c>
      <c r="AO170" s="684" t="str">
        <f>IFERROR(ABS(RTD("esrtd",,Options[[#This Row],[Index]] &amp; " " &amp; Options[[#This Row],[Month]] &amp; "C" &amp; $AL170*100 &amp; "-ICE", "OldSetIV"))*100, "")</f>
        <v/>
      </c>
      <c r="AP170" s="684" t="str">
        <f>IFERROR(ABS(RTD("esrtd",,Options[[#This Row],[Index]] &amp; " " &amp; Options[[#This Row],[Month]] &amp; "C" &amp; $AL170*100 &amp; "-ICE", "Delta"))*100, "")</f>
        <v/>
      </c>
      <c r="AQ170" s="684" t="str">
        <f>IFERROR(ABS(RTD("esrtd",,Options[[#This Row],[Index]] &amp; " " &amp; Options[[#This Row],[Month]] &amp; "C" &amp; $AL170*100 &amp; "-ICE", "Market")), "")</f>
        <v/>
      </c>
      <c r="AR170" s="684" t="str">
        <f>IFERROR(ABS(RTD("esrtd",,Options[[#This Row],[Index]] &amp; " " &amp; Options[[#This Row],[Month]] &amp; "C" &amp; $AL170*100 &amp; "-ICE", "ImpVol"))*100, "")</f>
        <v/>
      </c>
    </row>
    <row r="171" spans="7:44" x14ac:dyDescent="0.25">
      <c r="G171" s="596"/>
      <c r="AB171" s="596" t="s">
        <v>119</v>
      </c>
      <c r="AC171" s="596" t="s">
        <v>1395</v>
      </c>
      <c r="AD17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1" s="683" t="e">
        <f>ABS(_xll.BDP(Options[[#This Row],[P-Ticker]], "OPT_DELTA_YEST"))*100</f>
        <v>#VALUE!</v>
      </c>
      <c r="AG171" s="683" t="str">
        <f>IFERROR(ABS(RTD("esrtd",,Options[[#This Row],[Index]] &amp; " " &amp; Options[[#This Row],[Month]] &amp; "P" &amp; $AL171*100 &amp; "-ICE", "OldSettlement")), "")</f>
        <v/>
      </c>
      <c r="AH171" s="683" t="str">
        <f>IFERROR(ABS(RTD("esrtd",,Options[[#This Row],[Index]] &amp; " " &amp; Options[[#This Row],[Month]] &amp; "P" &amp; $AL171*100 &amp; "-ICE", "OldSetIV"))*100, "")</f>
        <v/>
      </c>
      <c r="AI171" s="683" t="str">
        <f>IFERROR(ABS(RTD("esrtd",,Options[[#This Row],[Index]] &amp; " " &amp; Options[[#This Row],[Month]] &amp; "P" &amp; $AL171*100 &amp; "-ICE", "Delta"))*100, "")</f>
        <v/>
      </c>
      <c r="AJ171" s="683" t="str">
        <f>IFERROR(ABS(RTD("esrtd",,Options[[#This Row],[Index]] &amp; " " &amp; Options[[#This Row],[Month]] &amp; "P" &amp; $AL171*100 &amp; "-ICE", "Market")), "")</f>
        <v/>
      </c>
      <c r="AK171" s="683" t="str">
        <f>IFERROR(ABS(RTD("esrtd",,Options[[#This Row],[Index]] &amp; " " &amp; Options[[#This Row],[Month]] &amp; "P" &amp; $AL171*100 &amp; "-ICE", "ImpVol"))*100, "")</f>
        <v/>
      </c>
      <c r="AL171" s="676" t="e">
        <f>CEILING(AL170+0.25,1)</f>
        <v>#VALUE!</v>
      </c>
      <c r="AM171" s="711" t="e">
        <f>ABS(_xll.BDP(Options[[#This Row],[C-Ticker]], "OPT_DELTA_YEST"))*100</f>
        <v>#VALUE!</v>
      </c>
      <c r="AN171" s="684" t="str">
        <f>IFERROR(ABS(RTD("esrtd",,Options[[#This Row],[Index]] &amp; " " &amp; Options[[#This Row],[Month]] &amp; "C" &amp; $AL171*100 &amp; "-ICE", "OldSettlement")), "")</f>
        <v/>
      </c>
      <c r="AO171" s="684" t="str">
        <f>IFERROR(ABS(RTD("esrtd",,Options[[#This Row],[Index]] &amp; " " &amp; Options[[#This Row],[Month]] &amp; "C" &amp; $AL171*100 &amp; "-ICE", "OldSetIV"))*100, "")</f>
        <v/>
      </c>
      <c r="AP171" s="684" t="str">
        <f>IFERROR(ABS(RTD("esrtd",,Options[[#This Row],[Index]] &amp; " " &amp; Options[[#This Row],[Month]] &amp; "C" &amp; $AL171*100 &amp; "-ICE", "Delta"))*100, "")</f>
        <v/>
      </c>
      <c r="AQ171" s="684" t="str">
        <f>IFERROR(ABS(RTD("esrtd",,Options[[#This Row],[Index]] &amp; " " &amp; Options[[#This Row],[Month]] &amp; "C" &amp; $AL171*100 &amp; "-ICE", "Market")), "")</f>
        <v/>
      </c>
      <c r="AR171" s="684" t="str">
        <f>IFERROR(ABS(RTD("esrtd",,Options[[#This Row],[Index]] &amp; " " &amp; Options[[#This Row],[Month]] &amp; "C" &amp; $AL171*100 &amp; "-ICE", "ImpVol"))*100, "")</f>
        <v/>
      </c>
    </row>
    <row r="172" spans="7:44" x14ac:dyDescent="0.25">
      <c r="G172" s="596"/>
      <c r="AB172" s="596" t="s">
        <v>119</v>
      </c>
      <c r="AC172" s="596" t="s">
        <v>1395</v>
      </c>
      <c r="AD17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2" s="683" t="e">
        <f>ABS(_xll.BDP(Options[[#This Row],[P-Ticker]], "OPT_DELTA_YEST"))*100</f>
        <v>#VALUE!</v>
      </c>
      <c r="AG172" s="683" t="str">
        <f>IFERROR(ABS(RTD("esrtd",,Options[[#This Row],[Index]] &amp; " " &amp; Options[[#This Row],[Month]] &amp; "P" &amp; $AL172*100 &amp; "-ICE", "OldSettlement")), "")</f>
        <v/>
      </c>
      <c r="AH172" s="683" t="str">
        <f>IFERROR(ABS(RTD("esrtd",,Options[[#This Row],[Index]] &amp; " " &amp; Options[[#This Row],[Month]] &amp; "P" &amp; $AL172*100 &amp; "-ICE", "OldSetIV"))*100, "")</f>
        <v/>
      </c>
      <c r="AI172" s="683" t="str">
        <f>IFERROR(ABS(RTD("esrtd",,Options[[#This Row],[Index]] &amp; " " &amp; Options[[#This Row],[Month]] &amp; "P" &amp; $AL172*100 &amp; "-ICE", "Delta"))*100, "")</f>
        <v/>
      </c>
      <c r="AJ172" s="683" t="str">
        <f>IFERROR(ABS(RTD("esrtd",,Options[[#This Row],[Index]] &amp; " " &amp; Options[[#This Row],[Month]] &amp; "P" &amp; $AL172*100 &amp; "-ICE", "Market")), "")</f>
        <v/>
      </c>
      <c r="AK172" s="683" t="str">
        <f>IFERROR(ABS(RTD("esrtd",,Options[[#This Row],[Index]] &amp; " " &amp; Options[[#This Row],[Month]] &amp; "P" &amp; $AL172*100 &amp; "-ICE", "ImpVol"))*100, "")</f>
        <v/>
      </c>
      <c r="AL172" s="676" t="e">
        <f>AL171+1</f>
        <v>#VALUE!</v>
      </c>
      <c r="AM172" s="711" t="e">
        <f>ABS(_xll.BDP(Options[[#This Row],[C-Ticker]], "OPT_DELTA_YEST"))*100</f>
        <v>#VALUE!</v>
      </c>
      <c r="AN172" s="684" t="str">
        <f>IFERROR(ABS(RTD("esrtd",,Options[[#This Row],[Index]] &amp; " " &amp; Options[[#This Row],[Month]] &amp; "C" &amp; $AL172*100 &amp; "-ICE", "OldSettlement")), "")</f>
        <v/>
      </c>
      <c r="AO172" s="684" t="str">
        <f>IFERROR(ABS(RTD("esrtd",,Options[[#This Row],[Index]] &amp; " " &amp; Options[[#This Row],[Month]] &amp; "C" &amp; $AL172*100 &amp; "-ICE", "OldSetIV"))*100, "")</f>
        <v/>
      </c>
      <c r="AP172" s="684" t="str">
        <f>IFERROR(ABS(RTD("esrtd",,Options[[#This Row],[Index]] &amp; " " &amp; Options[[#This Row],[Month]] &amp; "C" &amp; $AL172*100 &amp; "-ICE", "Delta"))*100, "")</f>
        <v/>
      </c>
      <c r="AQ172" s="684" t="str">
        <f>IFERROR(ABS(RTD("esrtd",,Options[[#This Row],[Index]] &amp; " " &amp; Options[[#This Row],[Month]] &amp; "C" &amp; $AL172*100 &amp; "-ICE", "Market")), "")</f>
        <v/>
      </c>
      <c r="AR172" s="684" t="str">
        <f>IFERROR(ABS(RTD("esrtd",,Options[[#This Row],[Index]] &amp; " " &amp; Options[[#This Row],[Month]] &amp; "C" &amp; $AL172*100 &amp; "-ICE", "ImpVol"))*100, "")</f>
        <v/>
      </c>
    </row>
    <row r="173" spans="7:44" x14ac:dyDescent="0.25">
      <c r="G173" s="596"/>
      <c r="AB173" s="596" t="s">
        <v>119</v>
      </c>
      <c r="AC173" s="596" t="s">
        <v>1395</v>
      </c>
      <c r="AD17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3" s="683" t="e">
        <f>ABS(_xll.BDP(Options[[#This Row],[P-Ticker]], "OPT_DELTA_YEST"))*100</f>
        <v>#VALUE!</v>
      </c>
      <c r="AG173" s="683" t="str">
        <f>IFERROR(ABS(RTD("esrtd",,Options[[#This Row],[Index]] &amp; " " &amp; Options[[#This Row],[Month]] &amp; "P" &amp; $AL173*100 &amp; "-ICE", "OldSettlement")), "")</f>
        <v/>
      </c>
      <c r="AH173" s="683" t="str">
        <f>IFERROR(ABS(RTD("esrtd",,Options[[#This Row],[Index]] &amp; " " &amp; Options[[#This Row],[Month]] &amp; "P" &amp; $AL173*100 &amp; "-ICE", "OldSetIV"))*100, "")</f>
        <v/>
      </c>
      <c r="AI173" s="683" t="str">
        <f>IFERROR(ABS(RTD("esrtd",,Options[[#This Row],[Index]] &amp; " " &amp; Options[[#This Row],[Month]] &amp; "P" &amp; $AL173*100 &amp; "-ICE", "Delta"))*100, "")</f>
        <v/>
      </c>
      <c r="AJ173" s="683" t="str">
        <f>IFERROR(ABS(RTD("esrtd",,Options[[#This Row],[Index]] &amp; " " &amp; Options[[#This Row],[Month]] &amp; "P" &amp; $AL173*100 &amp; "-ICE", "Market")), "")</f>
        <v/>
      </c>
      <c r="AK173" s="683" t="str">
        <f>IFERROR(ABS(RTD("esrtd",,Options[[#This Row],[Index]] &amp; " " &amp; Options[[#This Row],[Month]] &amp; "P" &amp; $AL173*100 &amp; "-ICE", "ImpVol"))*100, "")</f>
        <v/>
      </c>
      <c r="AL173" s="676" t="e">
        <f t="shared" ref="AL173:AL183" si="34">AL172+1</f>
        <v>#VALUE!</v>
      </c>
      <c r="AM173" s="711" t="e">
        <f>ABS(_xll.BDP(Options[[#This Row],[C-Ticker]], "OPT_DELTA_YEST"))*100</f>
        <v>#VALUE!</v>
      </c>
      <c r="AN173" s="684" t="str">
        <f>IFERROR(ABS(RTD("esrtd",,Options[[#This Row],[Index]] &amp; " " &amp; Options[[#This Row],[Month]] &amp; "C" &amp; $AL173*100 &amp; "-ICE", "OldSettlement")), "")</f>
        <v/>
      </c>
      <c r="AO173" s="684" t="str">
        <f>IFERROR(ABS(RTD("esrtd",,Options[[#This Row],[Index]] &amp; " " &amp; Options[[#This Row],[Month]] &amp; "C" &amp; $AL173*100 &amp; "-ICE", "OldSetIV"))*100, "")</f>
        <v/>
      </c>
      <c r="AP173" s="684" t="str">
        <f>IFERROR(ABS(RTD("esrtd",,Options[[#This Row],[Index]] &amp; " " &amp; Options[[#This Row],[Month]] &amp; "C" &amp; $AL173*100 &amp; "-ICE", "Delta"))*100, "")</f>
        <v/>
      </c>
      <c r="AQ173" s="684" t="str">
        <f>IFERROR(ABS(RTD("esrtd",,Options[[#This Row],[Index]] &amp; " " &amp; Options[[#This Row],[Month]] &amp; "C" &amp; $AL173*100 &amp; "-ICE", "Market")), "")</f>
        <v/>
      </c>
      <c r="AR173" s="684" t="str">
        <f>IFERROR(ABS(RTD("esrtd",,Options[[#This Row],[Index]] &amp; " " &amp; Options[[#This Row],[Month]] &amp; "C" &amp; $AL173*100 &amp; "-ICE", "ImpVol"))*100, "")</f>
        <v/>
      </c>
    </row>
    <row r="174" spans="7:44" x14ac:dyDescent="0.25">
      <c r="G174" s="596"/>
      <c r="AB174" s="596" t="s">
        <v>119</v>
      </c>
      <c r="AC174" s="596" t="s">
        <v>1395</v>
      </c>
      <c r="AD174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4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4" s="683" t="e">
        <f>ABS(_xll.BDP(Options[[#This Row],[P-Ticker]], "OPT_DELTA_YEST"))*100</f>
        <v>#VALUE!</v>
      </c>
      <c r="AG174" s="683" t="str">
        <f>IFERROR(ABS(RTD("esrtd",,Options[[#This Row],[Index]] &amp; " " &amp; Options[[#This Row],[Month]] &amp; "P" &amp; $AL174*100 &amp; "-ICE", "OldSettlement")), "")</f>
        <v/>
      </c>
      <c r="AH174" s="683" t="str">
        <f>IFERROR(ABS(RTD("esrtd",,Options[[#This Row],[Index]] &amp; " " &amp; Options[[#This Row],[Month]] &amp; "P" &amp; $AL174*100 &amp; "-ICE", "OldSetIV"))*100, "")</f>
        <v/>
      </c>
      <c r="AI174" s="683" t="str">
        <f>IFERROR(ABS(RTD("esrtd",,Options[[#This Row],[Index]] &amp; " " &amp; Options[[#This Row],[Month]] &amp; "P" &amp; $AL174*100 &amp; "-ICE", "Delta"))*100, "")</f>
        <v/>
      </c>
      <c r="AJ174" s="683" t="str">
        <f>IFERROR(ABS(RTD("esrtd",,Options[[#This Row],[Index]] &amp; " " &amp; Options[[#This Row],[Month]] &amp; "P" &amp; $AL174*100 &amp; "-ICE", "Market")), "")</f>
        <v/>
      </c>
      <c r="AK174" s="683" t="str">
        <f>IFERROR(ABS(RTD("esrtd",,Options[[#This Row],[Index]] &amp; " " &amp; Options[[#This Row],[Month]] &amp; "P" &amp; $AL174*100 &amp; "-ICE", "ImpVol"))*100, "")</f>
        <v/>
      </c>
      <c r="AL174" s="676" t="e">
        <f t="shared" si="34"/>
        <v>#VALUE!</v>
      </c>
      <c r="AM174" s="711" t="e">
        <f>ABS(_xll.BDP(Options[[#This Row],[C-Ticker]], "OPT_DELTA_YEST"))*100</f>
        <v>#VALUE!</v>
      </c>
      <c r="AN174" s="684" t="str">
        <f>IFERROR(ABS(RTD("esrtd",,Options[[#This Row],[Index]] &amp; " " &amp; Options[[#This Row],[Month]] &amp; "C" &amp; $AL174*100 &amp; "-ICE", "OldSettlement")), "")</f>
        <v/>
      </c>
      <c r="AO174" s="684" t="str">
        <f>IFERROR(ABS(RTD("esrtd",,Options[[#This Row],[Index]] &amp; " " &amp; Options[[#This Row],[Month]] &amp; "C" &amp; $AL174*100 &amp; "-ICE", "OldSetIV"))*100, "")</f>
        <v/>
      </c>
      <c r="AP174" s="684" t="str">
        <f>IFERROR(ABS(RTD("esrtd",,Options[[#This Row],[Index]] &amp; " " &amp; Options[[#This Row],[Month]] &amp; "C" &amp; $AL174*100 &amp; "-ICE", "Delta"))*100, "")</f>
        <v/>
      </c>
      <c r="AQ174" s="684" t="str">
        <f>IFERROR(ABS(RTD("esrtd",,Options[[#This Row],[Index]] &amp; " " &amp; Options[[#This Row],[Month]] &amp; "C" &amp; $AL174*100 &amp; "-ICE", "Market")), "")</f>
        <v/>
      </c>
      <c r="AR174" s="684" t="str">
        <f>IFERROR(ABS(RTD("esrtd",,Options[[#This Row],[Index]] &amp; " " &amp; Options[[#This Row],[Month]] &amp; "C" &amp; $AL174*100 &amp; "-ICE", "ImpVol"))*100, "")</f>
        <v/>
      </c>
    </row>
    <row r="175" spans="7:44" x14ac:dyDescent="0.25">
      <c r="G175" s="596"/>
      <c r="AB175" s="596" t="s">
        <v>119</v>
      </c>
      <c r="AC175" s="596" t="s">
        <v>1395</v>
      </c>
      <c r="AD175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5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5" s="683" t="e">
        <f>ABS(_xll.BDP(Options[[#This Row],[P-Ticker]], "OPT_DELTA_YEST"))*100</f>
        <v>#VALUE!</v>
      </c>
      <c r="AG175" s="683" t="str">
        <f>IFERROR(ABS(RTD("esrtd",,Options[[#This Row],[Index]] &amp; " " &amp; Options[[#This Row],[Month]] &amp; "P" &amp; $AL175*100 &amp; "-ICE", "OldSettlement")), "")</f>
        <v/>
      </c>
      <c r="AH175" s="683" t="str">
        <f>IFERROR(ABS(RTD("esrtd",,Options[[#This Row],[Index]] &amp; " " &amp; Options[[#This Row],[Month]] &amp; "P" &amp; $AL175*100 &amp; "-ICE", "OldSetIV"))*100, "")</f>
        <v/>
      </c>
      <c r="AI175" s="683" t="str">
        <f>IFERROR(ABS(RTD("esrtd",,Options[[#This Row],[Index]] &amp; " " &amp; Options[[#This Row],[Month]] &amp; "P" &amp; $AL175*100 &amp; "-ICE", "Delta"))*100, "")</f>
        <v/>
      </c>
      <c r="AJ175" s="683" t="str">
        <f>IFERROR(ABS(RTD("esrtd",,Options[[#This Row],[Index]] &amp; " " &amp; Options[[#This Row],[Month]] &amp; "P" &amp; $AL175*100 &amp; "-ICE", "Market")), "")</f>
        <v/>
      </c>
      <c r="AK175" s="683" t="str">
        <f>IFERROR(ABS(RTD("esrtd",,Options[[#This Row],[Index]] &amp; " " &amp; Options[[#This Row],[Month]] &amp; "P" &amp; $AL175*100 &amp; "-ICE", "ImpVol"))*100, "")</f>
        <v/>
      </c>
      <c r="AL175" s="676" t="e">
        <f t="shared" si="34"/>
        <v>#VALUE!</v>
      </c>
      <c r="AM175" s="711" t="e">
        <f>ABS(_xll.BDP(Options[[#This Row],[C-Ticker]], "OPT_DELTA_YEST"))*100</f>
        <v>#VALUE!</v>
      </c>
      <c r="AN175" s="684" t="str">
        <f>IFERROR(ABS(RTD("esrtd",,Options[[#This Row],[Index]] &amp; " " &amp; Options[[#This Row],[Month]] &amp; "C" &amp; $AL175*100 &amp; "-ICE", "OldSettlement")), "")</f>
        <v/>
      </c>
      <c r="AO175" s="684" t="str">
        <f>IFERROR(ABS(RTD("esrtd",,Options[[#This Row],[Index]] &amp; " " &amp; Options[[#This Row],[Month]] &amp; "C" &amp; $AL175*100 &amp; "-ICE", "OldSetIV"))*100, "")</f>
        <v/>
      </c>
      <c r="AP175" s="684" t="str">
        <f>IFERROR(ABS(RTD("esrtd",,Options[[#This Row],[Index]] &amp; " " &amp; Options[[#This Row],[Month]] &amp; "C" &amp; $AL175*100 &amp; "-ICE", "Delta"))*100, "")</f>
        <v/>
      </c>
      <c r="AQ175" s="684" t="str">
        <f>IFERROR(ABS(RTD("esrtd",,Options[[#This Row],[Index]] &amp; " " &amp; Options[[#This Row],[Month]] &amp; "C" &amp; $AL175*100 &amp; "-ICE", "Market")), "")</f>
        <v/>
      </c>
      <c r="AR175" s="684" t="str">
        <f>IFERROR(ABS(RTD("esrtd",,Options[[#This Row],[Index]] &amp; " " &amp; Options[[#This Row],[Month]] &amp; "C" &amp; $AL175*100 &amp; "-ICE", "ImpVol"))*100, "")</f>
        <v/>
      </c>
    </row>
    <row r="176" spans="7:44" x14ac:dyDescent="0.25">
      <c r="G176" s="596"/>
      <c r="AB176" s="596" t="s">
        <v>119</v>
      </c>
      <c r="AC176" s="596" t="s">
        <v>1395</v>
      </c>
      <c r="AD176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6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6" s="683" t="e">
        <f>ABS(_xll.BDP(Options[[#This Row],[P-Ticker]], "OPT_DELTA_YEST"))*100</f>
        <v>#VALUE!</v>
      </c>
      <c r="AG176" s="683" t="str">
        <f>IFERROR(ABS(RTD("esrtd",,Options[[#This Row],[Index]] &amp; " " &amp; Options[[#This Row],[Month]] &amp; "P" &amp; $AL176*100 &amp; "-ICE", "OldSettlement")), "")</f>
        <v/>
      </c>
      <c r="AH176" s="683" t="str">
        <f>IFERROR(ABS(RTD("esrtd",,Options[[#This Row],[Index]] &amp; " " &amp; Options[[#This Row],[Month]] &amp; "P" &amp; $AL176*100 &amp; "-ICE", "OldSetIV"))*100, "")</f>
        <v/>
      </c>
      <c r="AI176" s="683" t="str">
        <f>IFERROR(ABS(RTD("esrtd",,Options[[#This Row],[Index]] &amp; " " &amp; Options[[#This Row],[Month]] &amp; "P" &amp; $AL176*100 &amp; "-ICE", "Delta"))*100, "")</f>
        <v/>
      </c>
      <c r="AJ176" s="683" t="str">
        <f>IFERROR(ABS(RTD("esrtd",,Options[[#This Row],[Index]] &amp; " " &amp; Options[[#This Row],[Month]] &amp; "P" &amp; $AL176*100 &amp; "-ICE", "Market")), "")</f>
        <v/>
      </c>
      <c r="AK176" s="683" t="str">
        <f>IFERROR(ABS(RTD("esrtd",,Options[[#This Row],[Index]] &amp; " " &amp; Options[[#This Row],[Month]] &amp; "P" &amp; $AL176*100 &amp; "-ICE", "ImpVol"))*100, "")</f>
        <v/>
      </c>
      <c r="AL176" s="676" t="e">
        <f t="shared" si="34"/>
        <v>#VALUE!</v>
      </c>
      <c r="AM176" s="711" t="e">
        <f>ABS(_xll.BDP(Options[[#This Row],[C-Ticker]], "OPT_DELTA_YEST"))*100</f>
        <v>#VALUE!</v>
      </c>
      <c r="AN176" s="684" t="str">
        <f>IFERROR(ABS(RTD("esrtd",,Options[[#This Row],[Index]] &amp; " " &amp; Options[[#This Row],[Month]] &amp; "C" &amp; $AL176*100 &amp; "-ICE", "OldSettlement")), "")</f>
        <v/>
      </c>
      <c r="AO176" s="684" t="str">
        <f>IFERROR(ABS(RTD("esrtd",,Options[[#This Row],[Index]] &amp; " " &amp; Options[[#This Row],[Month]] &amp; "C" &amp; $AL176*100 &amp; "-ICE", "OldSetIV"))*100, "")</f>
        <v/>
      </c>
      <c r="AP176" s="684" t="str">
        <f>IFERROR(ABS(RTD("esrtd",,Options[[#This Row],[Index]] &amp; " " &amp; Options[[#This Row],[Month]] &amp; "C" &amp; $AL176*100 &amp; "-ICE", "Delta"))*100, "")</f>
        <v/>
      </c>
      <c r="AQ176" s="684" t="str">
        <f>IFERROR(ABS(RTD("esrtd",,Options[[#This Row],[Index]] &amp; " " &amp; Options[[#This Row],[Month]] &amp; "C" &amp; $AL176*100 &amp; "-ICE", "Market")), "")</f>
        <v/>
      </c>
      <c r="AR176" s="684" t="str">
        <f>IFERROR(ABS(RTD("esrtd",,Options[[#This Row],[Index]] &amp; " " &amp; Options[[#This Row],[Month]] &amp; "C" &amp; $AL176*100 &amp; "-ICE", "ImpVol"))*100, "")</f>
        <v/>
      </c>
    </row>
    <row r="177" spans="28:44" x14ac:dyDescent="0.25">
      <c r="AB177" s="596" t="s">
        <v>119</v>
      </c>
      <c r="AC177" s="596" t="s">
        <v>1395</v>
      </c>
      <c r="AD177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7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7" s="683" t="e">
        <f>ABS(_xll.BDP(Options[[#This Row],[P-Ticker]], "OPT_DELTA_YEST"))*100</f>
        <v>#VALUE!</v>
      </c>
      <c r="AG177" s="683" t="str">
        <f>IFERROR(ABS(RTD("esrtd",,Options[[#This Row],[Index]] &amp; " " &amp; Options[[#This Row],[Month]] &amp; "P" &amp; $AL177*100 &amp; "-ICE", "OldSettlement")), "")</f>
        <v/>
      </c>
      <c r="AH177" s="683" t="str">
        <f>IFERROR(ABS(RTD("esrtd",,Options[[#This Row],[Index]] &amp; " " &amp; Options[[#This Row],[Month]] &amp; "P" &amp; $AL177*100 &amp; "-ICE", "OldSetIV"))*100, "")</f>
        <v/>
      </c>
      <c r="AI177" s="683" t="str">
        <f>IFERROR(ABS(RTD("esrtd",,Options[[#This Row],[Index]] &amp; " " &amp; Options[[#This Row],[Month]] &amp; "P" &amp; $AL177*100 &amp; "-ICE", "Delta"))*100, "")</f>
        <v/>
      </c>
      <c r="AJ177" s="683" t="str">
        <f>IFERROR(ABS(RTD("esrtd",,Options[[#This Row],[Index]] &amp; " " &amp; Options[[#This Row],[Month]] &amp; "P" &amp; $AL177*100 &amp; "-ICE", "Market")), "")</f>
        <v/>
      </c>
      <c r="AK177" s="683" t="str">
        <f>IFERROR(ABS(RTD("esrtd",,Options[[#This Row],[Index]] &amp; " " &amp; Options[[#This Row],[Month]] &amp; "P" &amp; $AL177*100 &amp; "-ICE", "ImpVol"))*100, "")</f>
        <v/>
      </c>
      <c r="AL177" s="676" t="e">
        <f t="shared" si="34"/>
        <v>#VALUE!</v>
      </c>
      <c r="AM177" s="711" t="e">
        <f>ABS(_xll.BDP(Options[[#This Row],[C-Ticker]], "OPT_DELTA_YEST"))*100</f>
        <v>#VALUE!</v>
      </c>
      <c r="AN177" s="684" t="str">
        <f>IFERROR(ABS(RTD("esrtd",,Options[[#This Row],[Index]] &amp; " " &amp; Options[[#This Row],[Month]] &amp; "C" &amp; $AL177*100 &amp; "-ICE", "OldSettlement")), "")</f>
        <v/>
      </c>
      <c r="AO177" s="684" t="str">
        <f>IFERROR(ABS(RTD("esrtd",,Options[[#This Row],[Index]] &amp; " " &amp; Options[[#This Row],[Month]] &amp; "C" &amp; $AL177*100 &amp; "-ICE", "OldSetIV"))*100, "")</f>
        <v/>
      </c>
      <c r="AP177" s="684" t="str">
        <f>IFERROR(ABS(RTD("esrtd",,Options[[#This Row],[Index]] &amp; " " &amp; Options[[#This Row],[Month]] &amp; "C" &amp; $AL177*100 &amp; "-ICE", "Delta"))*100, "")</f>
        <v/>
      </c>
      <c r="AQ177" s="684" t="str">
        <f>IFERROR(ABS(RTD("esrtd",,Options[[#This Row],[Index]] &amp; " " &amp; Options[[#This Row],[Month]] &amp; "C" &amp; $AL177*100 &amp; "-ICE", "Market")), "")</f>
        <v/>
      </c>
      <c r="AR177" s="684" t="str">
        <f>IFERROR(ABS(RTD("esrtd",,Options[[#This Row],[Index]] &amp; " " &amp; Options[[#This Row],[Month]] &amp; "C" &amp; $AL177*100 &amp; "-ICE", "ImpVol"))*100, "")</f>
        <v/>
      </c>
    </row>
    <row r="178" spans="28:44" x14ac:dyDescent="0.25">
      <c r="AB178" s="596" t="s">
        <v>119</v>
      </c>
      <c r="AC178" s="596" t="s">
        <v>1395</v>
      </c>
      <c r="AD178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8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8" s="683" t="e">
        <f>ABS(_xll.BDP(Options[[#This Row],[P-Ticker]], "OPT_DELTA_YEST"))*100</f>
        <v>#VALUE!</v>
      </c>
      <c r="AG178" s="683" t="str">
        <f>IFERROR(ABS(RTD("esrtd",,Options[[#This Row],[Index]] &amp; " " &amp; Options[[#This Row],[Month]] &amp; "P" &amp; $AL178*100 &amp; "-ICE", "OldSettlement")), "")</f>
        <v/>
      </c>
      <c r="AH178" s="683" t="str">
        <f>IFERROR(ABS(RTD("esrtd",,Options[[#This Row],[Index]] &amp; " " &amp; Options[[#This Row],[Month]] &amp; "P" &amp; $AL178*100 &amp; "-ICE", "OldSetIV"))*100, "")</f>
        <v/>
      </c>
      <c r="AI178" s="683" t="str">
        <f>IFERROR(ABS(RTD("esrtd",,Options[[#This Row],[Index]] &amp; " " &amp; Options[[#This Row],[Month]] &amp; "P" &amp; $AL178*100 &amp; "-ICE", "Delta"))*100, "")</f>
        <v/>
      </c>
      <c r="AJ178" s="683" t="str">
        <f>IFERROR(ABS(RTD("esrtd",,Options[[#This Row],[Index]] &amp; " " &amp; Options[[#This Row],[Month]] &amp; "P" &amp; $AL178*100 &amp; "-ICE", "Market")), "")</f>
        <v/>
      </c>
      <c r="AK178" s="683" t="str">
        <f>IFERROR(ABS(RTD("esrtd",,Options[[#This Row],[Index]] &amp; " " &amp; Options[[#This Row],[Month]] &amp; "P" &amp; $AL178*100 &amp; "-ICE", "ImpVol"))*100, "")</f>
        <v/>
      </c>
      <c r="AL178" s="676" t="e">
        <f t="shared" si="34"/>
        <v>#VALUE!</v>
      </c>
      <c r="AM178" s="711" t="e">
        <f>ABS(_xll.BDP(Options[[#This Row],[C-Ticker]], "OPT_DELTA_YEST"))*100</f>
        <v>#VALUE!</v>
      </c>
      <c r="AN178" s="684" t="str">
        <f>IFERROR(ABS(RTD("esrtd",,Options[[#This Row],[Index]] &amp; " " &amp; Options[[#This Row],[Month]] &amp; "C" &amp; $AL178*100 &amp; "-ICE", "OldSettlement")), "")</f>
        <v/>
      </c>
      <c r="AO178" s="684" t="str">
        <f>IFERROR(ABS(RTD("esrtd",,Options[[#This Row],[Index]] &amp; " " &amp; Options[[#This Row],[Month]] &amp; "C" &amp; $AL178*100 &amp; "-ICE", "OldSetIV"))*100, "")</f>
        <v/>
      </c>
      <c r="AP178" s="684" t="str">
        <f>IFERROR(ABS(RTD("esrtd",,Options[[#This Row],[Index]] &amp; " " &amp; Options[[#This Row],[Month]] &amp; "C" &amp; $AL178*100 &amp; "-ICE", "Delta"))*100, "")</f>
        <v/>
      </c>
      <c r="AQ178" s="684" t="str">
        <f>IFERROR(ABS(RTD("esrtd",,Options[[#This Row],[Index]] &amp; " " &amp; Options[[#This Row],[Month]] &amp; "C" &amp; $AL178*100 &amp; "-ICE", "Market")), "")</f>
        <v/>
      </c>
      <c r="AR178" s="684" t="str">
        <f>IFERROR(ABS(RTD("esrtd",,Options[[#This Row],[Index]] &amp; " " &amp; Options[[#This Row],[Month]] &amp; "C" &amp; $AL178*100 &amp; "-ICE", "ImpVol"))*100, "")</f>
        <v/>
      </c>
    </row>
    <row r="179" spans="28:44" x14ac:dyDescent="0.25">
      <c r="AB179" s="596" t="s">
        <v>119</v>
      </c>
      <c r="AC179" s="596" t="s">
        <v>1395</v>
      </c>
      <c r="AD179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79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79" s="683" t="e">
        <f>ABS(_xll.BDP(Options[[#This Row],[P-Ticker]], "OPT_DELTA_YEST"))*100</f>
        <v>#VALUE!</v>
      </c>
      <c r="AG179" s="683" t="str">
        <f>IFERROR(ABS(RTD("esrtd",,Options[[#This Row],[Index]] &amp; " " &amp; Options[[#This Row],[Month]] &amp; "P" &amp; $AL179*100 &amp; "-ICE", "OldSettlement")), "")</f>
        <v/>
      </c>
      <c r="AH179" s="683" t="str">
        <f>IFERROR(ABS(RTD("esrtd",,Options[[#This Row],[Index]] &amp; " " &amp; Options[[#This Row],[Month]] &amp; "P" &amp; $AL179*100 &amp; "-ICE", "OldSetIV"))*100, "")</f>
        <v/>
      </c>
      <c r="AI179" s="683" t="str">
        <f>IFERROR(ABS(RTD("esrtd",,Options[[#This Row],[Index]] &amp; " " &amp; Options[[#This Row],[Month]] &amp; "P" &amp; $AL179*100 &amp; "-ICE", "Delta"))*100, "")</f>
        <v/>
      </c>
      <c r="AJ179" s="683" t="str">
        <f>IFERROR(ABS(RTD("esrtd",,Options[[#This Row],[Index]] &amp; " " &amp; Options[[#This Row],[Month]] &amp; "P" &amp; $AL179*100 &amp; "-ICE", "Market")), "")</f>
        <v/>
      </c>
      <c r="AK179" s="683" t="str">
        <f>IFERROR(ABS(RTD("esrtd",,Options[[#This Row],[Index]] &amp; " " &amp; Options[[#This Row],[Month]] &amp; "P" &amp; $AL179*100 &amp; "-ICE", "ImpVol"))*100, "")</f>
        <v/>
      </c>
      <c r="AL179" s="676" t="e">
        <f t="shared" si="34"/>
        <v>#VALUE!</v>
      </c>
      <c r="AM179" s="711" t="e">
        <f>ABS(_xll.BDP(Options[[#This Row],[C-Ticker]], "OPT_DELTA_YEST"))*100</f>
        <v>#VALUE!</v>
      </c>
      <c r="AN179" s="684" t="str">
        <f>IFERROR(ABS(RTD("esrtd",,Options[[#This Row],[Index]] &amp; " " &amp; Options[[#This Row],[Month]] &amp; "C" &amp; $AL179*100 &amp; "-ICE", "OldSettlement")), "")</f>
        <v/>
      </c>
      <c r="AO179" s="684" t="str">
        <f>IFERROR(ABS(RTD("esrtd",,Options[[#This Row],[Index]] &amp; " " &amp; Options[[#This Row],[Month]] &amp; "C" &amp; $AL179*100 &amp; "-ICE", "OldSetIV"))*100, "")</f>
        <v/>
      </c>
      <c r="AP179" s="684" t="str">
        <f>IFERROR(ABS(RTD("esrtd",,Options[[#This Row],[Index]] &amp; " " &amp; Options[[#This Row],[Month]] &amp; "C" &amp; $AL179*100 &amp; "-ICE", "Delta"))*100, "")</f>
        <v/>
      </c>
      <c r="AQ179" s="684" t="str">
        <f>IFERROR(ABS(RTD("esrtd",,Options[[#This Row],[Index]] &amp; " " &amp; Options[[#This Row],[Month]] &amp; "C" &amp; $AL179*100 &amp; "-ICE", "Market")), "")</f>
        <v/>
      </c>
      <c r="AR179" s="684" t="str">
        <f>IFERROR(ABS(RTD("esrtd",,Options[[#This Row],[Index]] &amp; " " &amp; Options[[#This Row],[Month]] &amp; "C" &amp; $AL179*100 &amp; "-ICE", "ImpVol"))*100, "")</f>
        <v/>
      </c>
    </row>
    <row r="180" spans="28:44" x14ac:dyDescent="0.25">
      <c r="AB180" s="596" t="s">
        <v>119</v>
      </c>
      <c r="AC180" s="596" t="s">
        <v>1395</v>
      </c>
      <c r="AD180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80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80" s="683" t="e">
        <f>ABS(_xll.BDP(Options[[#This Row],[P-Ticker]], "OPT_DELTA_YEST"))*100</f>
        <v>#VALUE!</v>
      </c>
      <c r="AG180" s="683" t="str">
        <f>IFERROR(ABS(RTD("esrtd",,Options[[#This Row],[Index]] &amp; " " &amp; Options[[#This Row],[Month]] &amp; "P" &amp; $AL180*100 &amp; "-ICE", "OldSettlement")), "")</f>
        <v/>
      </c>
      <c r="AH180" s="683" t="str">
        <f>IFERROR(ABS(RTD("esrtd",,Options[[#This Row],[Index]] &amp; " " &amp; Options[[#This Row],[Month]] &amp; "P" &amp; $AL180*100 &amp; "-ICE", "OldSetIV"))*100, "")</f>
        <v/>
      </c>
      <c r="AI180" s="683" t="str">
        <f>IFERROR(ABS(RTD("esrtd",,Options[[#This Row],[Index]] &amp; " " &amp; Options[[#This Row],[Month]] &amp; "P" &amp; $AL180*100 &amp; "-ICE", "Delta"))*100, "")</f>
        <v/>
      </c>
      <c r="AJ180" s="683" t="str">
        <f>IFERROR(ABS(RTD("esrtd",,Options[[#This Row],[Index]] &amp; " " &amp; Options[[#This Row],[Month]] &amp; "P" &amp; $AL180*100 &amp; "-ICE", "Market")), "")</f>
        <v/>
      </c>
      <c r="AK180" s="683" t="str">
        <f>IFERROR(ABS(RTD("esrtd",,Options[[#This Row],[Index]] &amp; " " &amp; Options[[#This Row],[Month]] &amp; "P" &amp; $AL180*100 &amp; "-ICE", "ImpVol"))*100, "")</f>
        <v/>
      </c>
      <c r="AL180" s="676" t="e">
        <f t="shared" si="34"/>
        <v>#VALUE!</v>
      </c>
      <c r="AM180" s="711" t="e">
        <f>ABS(_xll.BDP(Options[[#This Row],[C-Ticker]], "OPT_DELTA_YEST"))*100</f>
        <v>#VALUE!</v>
      </c>
      <c r="AN180" s="684" t="str">
        <f>IFERROR(ABS(RTD("esrtd",,Options[[#This Row],[Index]] &amp; " " &amp; Options[[#This Row],[Month]] &amp; "C" &amp; $AL180*100 &amp; "-ICE", "OldSettlement")), "")</f>
        <v/>
      </c>
      <c r="AO180" s="684" t="str">
        <f>IFERROR(ABS(RTD("esrtd",,Options[[#This Row],[Index]] &amp; " " &amp; Options[[#This Row],[Month]] &amp; "C" &amp; $AL180*100 &amp; "-ICE", "OldSetIV"))*100, "")</f>
        <v/>
      </c>
      <c r="AP180" s="684" t="str">
        <f>IFERROR(ABS(RTD("esrtd",,Options[[#This Row],[Index]] &amp; " " &amp; Options[[#This Row],[Month]] &amp; "C" &amp; $AL180*100 &amp; "-ICE", "Delta"))*100, "")</f>
        <v/>
      </c>
      <c r="AQ180" s="684" t="str">
        <f>IFERROR(ABS(RTD("esrtd",,Options[[#This Row],[Index]] &amp; " " &amp; Options[[#This Row],[Month]] &amp; "C" &amp; $AL180*100 &amp; "-ICE", "Market")), "")</f>
        <v/>
      </c>
      <c r="AR180" s="684" t="str">
        <f>IFERROR(ABS(RTD("esrtd",,Options[[#This Row],[Index]] &amp; " " &amp; Options[[#This Row],[Month]] &amp; "C" &amp; $AL180*100 &amp; "-ICE", "ImpVol"))*100, "")</f>
        <v/>
      </c>
    </row>
    <row r="181" spans="28:44" x14ac:dyDescent="0.25">
      <c r="AB181" s="596" t="s">
        <v>119</v>
      </c>
      <c r="AC181" s="596" t="s">
        <v>1395</v>
      </c>
      <c r="AD181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81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81" s="683" t="e">
        <f>ABS(_xll.BDP(Options[[#This Row],[P-Ticker]], "OPT_DELTA_YEST"))*100</f>
        <v>#VALUE!</v>
      </c>
      <c r="AG181" s="683" t="str">
        <f>IFERROR(ABS(RTD("esrtd",,Options[[#This Row],[Index]] &amp; " " &amp; Options[[#This Row],[Month]] &amp; "P" &amp; $AL181*100 &amp; "-ICE", "OldSettlement")), "")</f>
        <v/>
      </c>
      <c r="AH181" s="683" t="str">
        <f>IFERROR(ABS(RTD("esrtd",,Options[[#This Row],[Index]] &amp; " " &amp; Options[[#This Row],[Month]] &amp; "P" &amp; $AL181*100 &amp; "-ICE", "OldSetIV"))*100, "")</f>
        <v/>
      </c>
      <c r="AI181" s="683" t="str">
        <f>IFERROR(ABS(RTD("esrtd",,Options[[#This Row],[Index]] &amp; " " &amp; Options[[#This Row],[Month]] &amp; "P" &amp; $AL181*100 &amp; "-ICE", "Delta"))*100, "")</f>
        <v/>
      </c>
      <c r="AJ181" s="683" t="str">
        <f>IFERROR(ABS(RTD("esrtd",,Options[[#This Row],[Index]] &amp; " " &amp; Options[[#This Row],[Month]] &amp; "P" &amp; $AL181*100 &amp; "-ICE", "Market")), "")</f>
        <v/>
      </c>
      <c r="AK181" s="683" t="str">
        <f>IFERROR(ABS(RTD("esrtd",,Options[[#This Row],[Index]] &amp; " " &amp; Options[[#This Row],[Month]] &amp; "P" &amp; $AL181*100 &amp; "-ICE", "ImpVol"))*100, "")</f>
        <v/>
      </c>
      <c r="AL181" s="676" t="e">
        <f t="shared" si="34"/>
        <v>#VALUE!</v>
      </c>
      <c r="AM181" s="711" t="e">
        <f>ABS(_xll.BDP(Options[[#This Row],[C-Ticker]], "OPT_DELTA_YEST"))*100</f>
        <v>#VALUE!</v>
      </c>
      <c r="AN181" s="684" t="str">
        <f>IFERROR(ABS(RTD("esrtd",,Options[[#This Row],[Index]] &amp; " " &amp; Options[[#This Row],[Month]] &amp; "C" &amp; $AL181*100 &amp; "-ICE", "OldSettlement")), "")</f>
        <v/>
      </c>
      <c r="AO181" s="684" t="str">
        <f>IFERROR(ABS(RTD("esrtd",,Options[[#This Row],[Index]] &amp; " " &amp; Options[[#This Row],[Month]] &amp; "C" &amp; $AL181*100 &amp; "-ICE", "OldSetIV"))*100, "")</f>
        <v/>
      </c>
      <c r="AP181" s="684" t="str">
        <f>IFERROR(ABS(RTD("esrtd",,Options[[#This Row],[Index]] &amp; " " &amp; Options[[#This Row],[Month]] &amp; "C" &amp; $AL181*100 &amp; "-ICE", "Delta"))*100, "")</f>
        <v/>
      </c>
      <c r="AQ181" s="684" t="str">
        <f>IFERROR(ABS(RTD("esrtd",,Options[[#This Row],[Index]] &amp; " " &amp; Options[[#This Row],[Month]] &amp; "C" &amp; $AL181*100 &amp; "-ICE", "Market")), "")</f>
        <v/>
      </c>
      <c r="AR181" s="684" t="str">
        <f>IFERROR(ABS(RTD("esrtd",,Options[[#This Row],[Index]] &amp; " " &amp; Options[[#This Row],[Month]] &amp; "C" &amp; $AL181*100 &amp; "-ICE", "ImpVol"))*100, "")</f>
        <v/>
      </c>
    </row>
    <row r="182" spans="28:44" x14ac:dyDescent="0.25">
      <c r="AB182" s="596" t="s">
        <v>119</v>
      </c>
      <c r="AC182" s="596" t="s">
        <v>1395</v>
      </c>
      <c r="AD182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82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82" s="683" t="e">
        <f>ABS(_xll.BDP(Options[[#This Row],[P-Ticker]], "OPT_DELTA_YEST"))*100</f>
        <v>#VALUE!</v>
      </c>
      <c r="AG182" s="683" t="str">
        <f>IFERROR(ABS(RTD("esrtd",,Options[[#This Row],[Index]] &amp; " " &amp; Options[[#This Row],[Month]] &amp; "P" &amp; $AL182*100 &amp; "-ICE", "OldSettlement")), "")</f>
        <v/>
      </c>
      <c r="AH182" s="683" t="str">
        <f>IFERROR(ABS(RTD("esrtd",,Options[[#This Row],[Index]] &amp; " " &amp; Options[[#This Row],[Month]] &amp; "P" &amp; $AL182*100 &amp; "-ICE", "OldSetIV"))*100, "")</f>
        <v/>
      </c>
      <c r="AI182" s="683" t="str">
        <f>IFERROR(ABS(RTD("esrtd",,Options[[#This Row],[Index]] &amp; " " &amp; Options[[#This Row],[Month]] &amp; "P" &amp; $AL182*100 &amp; "-ICE", "Delta"))*100, "")</f>
        <v/>
      </c>
      <c r="AJ182" s="683" t="str">
        <f>IFERROR(ABS(RTD("esrtd",,Options[[#This Row],[Index]] &amp; " " &amp; Options[[#This Row],[Month]] &amp; "P" &amp; $AL182*100 &amp; "-ICE", "Market")), "")</f>
        <v/>
      </c>
      <c r="AK182" s="683" t="str">
        <f>IFERROR(ABS(RTD("esrtd",,Options[[#This Row],[Index]] &amp; " " &amp; Options[[#This Row],[Month]] &amp; "P" &amp; $AL182*100 &amp; "-ICE", "ImpVol"))*100, "")</f>
        <v/>
      </c>
      <c r="AL182" s="676" t="e">
        <f t="shared" si="34"/>
        <v>#VALUE!</v>
      </c>
      <c r="AM182" s="711" t="e">
        <f>ABS(_xll.BDP(Options[[#This Row],[C-Ticker]], "OPT_DELTA_YEST"))*100</f>
        <v>#VALUE!</v>
      </c>
      <c r="AN182" s="684" t="str">
        <f>IFERROR(ABS(RTD("esrtd",,Options[[#This Row],[Index]] &amp; " " &amp; Options[[#This Row],[Month]] &amp; "C" &amp; $AL182*100 &amp; "-ICE", "OldSettlement")), "")</f>
        <v/>
      </c>
      <c r="AO182" s="684" t="str">
        <f>IFERROR(ABS(RTD("esrtd",,Options[[#This Row],[Index]] &amp; " " &amp; Options[[#This Row],[Month]] &amp; "C" &amp; $AL182*100 &amp; "-ICE", "OldSetIV"))*100, "")</f>
        <v/>
      </c>
      <c r="AP182" s="684" t="str">
        <f>IFERROR(ABS(RTD("esrtd",,Options[[#This Row],[Index]] &amp; " " &amp; Options[[#This Row],[Month]] &amp; "C" &amp; $AL182*100 &amp; "-ICE", "Delta"))*100, "")</f>
        <v/>
      </c>
      <c r="AQ182" s="684" t="str">
        <f>IFERROR(ABS(RTD("esrtd",,Options[[#This Row],[Index]] &amp; " " &amp; Options[[#This Row],[Month]] &amp; "C" &amp; $AL182*100 &amp; "-ICE", "Market")), "")</f>
        <v/>
      </c>
      <c r="AR182" s="684" t="str">
        <f>IFERROR(ABS(RTD("esrtd",,Options[[#This Row],[Index]] &amp; " " &amp; Options[[#This Row],[Month]] &amp; "C" &amp; $AL182*100 &amp; "-ICE", "ImpVol"))*100, "")</f>
        <v/>
      </c>
    </row>
    <row r="183" spans="28:44" x14ac:dyDescent="0.25">
      <c r="AB183" s="596" t="s">
        <v>119</v>
      </c>
      <c r="AC183" s="596" t="s">
        <v>1395</v>
      </c>
      <c r="AD183" s="596" t="e">
        <f>IF(Options[[#This Row],[Index]] = "BRN", "CO", "CL") &amp; RIGHT(Options[[#This Row],[Month]], 1) &amp; MID(Options[[#This Row],[Month]], 2, 1) &amp; "P" &amp; " " &amp; TEXT(Options[[#This Row],[Strike]], "00.00") &amp; " Comdty"</f>
        <v>#VALUE!</v>
      </c>
      <c r="AE183" s="596" t="e">
        <f>IF(Options[[#This Row],[Index]] = "BRN", "CO", "CL") &amp; RIGHT(Options[[#This Row],[Month]], 1) &amp; MID(Options[[#This Row],[Month]], 2, 1) &amp; "C" &amp; " " &amp; TEXT(Options[[#This Row],[Strike]], "00.00") &amp; " Comdty"</f>
        <v>#VALUE!</v>
      </c>
      <c r="AF183" s="683" t="e">
        <f>ABS(_xll.BDP(Options[[#This Row],[P-Ticker]], "OPT_DELTA_YEST"))*100</f>
        <v>#VALUE!</v>
      </c>
      <c r="AG183" s="683" t="str">
        <f>IFERROR(ABS(RTD("esrtd",,Options[[#This Row],[Index]] &amp; " " &amp; Options[[#This Row],[Month]] &amp; "P" &amp; $AL183*100 &amp; "-ICE", "OldSettlement")), "")</f>
        <v/>
      </c>
      <c r="AH183" s="683" t="str">
        <f>IFERROR(ABS(RTD("esrtd",,Options[[#This Row],[Index]] &amp; " " &amp; Options[[#This Row],[Month]] &amp; "P" &amp; $AL183*100 &amp; "-ICE", "OldSetIV"))*100, "")</f>
        <v/>
      </c>
      <c r="AI183" s="683" t="str">
        <f>IFERROR(ABS(RTD("esrtd",,Options[[#This Row],[Index]] &amp; " " &amp; Options[[#This Row],[Month]] &amp; "P" &amp; $AL183*100 &amp; "-ICE", "Delta"))*100, "")</f>
        <v/>
      </c>
      <c r="AJ183" s="683" t="str">
        <f>IFERROR(ABS(RTD("esrtd",,Options[[#This Row],[Index]] &amp; " " &amp; Options[[#This Row],[Month]] &amp; "P" &amp; $AL183*100 &amp; "-ICE", "Market")), "")</f>
        <v/>
      </c>
      <c r="AK183" s="683" t="str">
        <f>IFERROR(ABS(RTD("esrtd",,Options[[#This Row],[Index]] &amp; " " &amp; Options[[#This Row],[Month]] &amp; "P" &amp; $AL183*100 &amp; "-ICE", "ImpVol"))*100, "")</f>
        <v/>
      </c>
      <c r="AL183" s="676" t="e">
        <f t="shared" si="34"/>
        <v>#VALUE!</v>
      </c>
      <c r="AM183" s="711" t="e">
        <f>ABS(_xll.BDP(Options[[#This Row],[C-Ticker]], "OPT_DELTA_YEST"))*100</f>
        <v>#VALUE!</v>
      </c>
      <c r="AN183" s="684" t="str">
        <f>IFERROR(ABS(RTD("esrtd",,Options[[#This Row],[Index]] &amp; " " &amp; Options[[#This Row],[Month]] &amp; "C" &amp; $AL183*100 &amp; "-ICE", "OldSettlement")), "")</f>
        <v/>
      </c>
      <c r="AO183" s="684" t="str">
        <f>IFERROR(ABS(RTD("esrtd",,Options[[#This Row],[Index]] &amp; " " &amp; Options[[#This Row],[Month]] &amp; "C" &amp; $AL183*100 &amp; "-ICE", "OldSetIV"))*100, "")</f>
        <v/>
      </c>
      <c r="AP183" s="684" t="str">
        <f>IFERROR(ABS(RTD("esrtd",,Options[[#This Row],[Index]] &amp; " " &amp; Options[[#This Row],[Month]] &amp; "C" &amp; $AL183*100 &amp; "-ICE", "Delta"))*100, "")</f>
        <v/>
      </c>
      <c r="AQ183" s="684" t="str">
        <f>IFERROR(ABS(RTD("esrtd",,Options[[#This Row],[Index]] &amp; " " &amp; Options[[#This Row],[Month]] &amp; "C" &amp; $AL183*100 &amp; "-ICE", "Market")), "")</f>
        <v/>
      </c>
      <c r="AR183" s="684" t="str">
        <f>IFERROR(ABS(RTD("esrtd",,Options[[#This Row],[Index]] &amp; " " &amp; Options[[#This Row],[Month]] &amp; "C" &amp; $AL183*100 &amp; "-ICE", "ImpVol"))*100, "")</f>
        <v/>
      </c>
    </row>
    <row r="184" spans="28:44" x14ac:dyDescent="0.25">
      <c r="AB184" s="596" t="s">
        <v>119</v>
      </c>
      <c r="AC184" s="596" t="s">
        <v>1395</v>
      </c>
      <c r="AD184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105.00 Comdty</v>
      </c>
      <c r="AE184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105.00 Comdty</v>
      </c>
      <c r="AF184" s="683" t="e">
        <f>ABS(_xll.BDP(Options[[#This Row],[P-Ticker]], "OPT_DELTA_YEST"))*100</f>
        <v>#VALUE!</v>
      </c>
      <c r="AG184" s="683" t="str">
        <f>IFERROR(ABS(RTD("esrtd",,Options[[#This Row],[Index]] &amp; " " &amp; Options[[#This Row],[Month]] &amp; "P" &amp; $AL184*100 &amp; "-ICE", "OldSettlement")), "")</f>
        <v/>
      </c>
      <c r="AH184" s="683" t="str">
        <f>IFERROR(ABS(RTD("esrtd",,Options[[#This Row],[Index]] &amp; " " &amp; Options[[#This Row],[Month]] &amp; "P" &amp; $AL184*100 &amp; "-ICE", "OldSetIV"))*100, "")</f>
        <v/>
      </c>
      <c r="AI184" s="683" t="str">
        <f>IFERROR(ABS(RTD("esrtd",,Options[[#This Row],[Index]] &amp; " " &amp; Options[[#This Row],[Month]] &amp; "P" &amp; $AL184*100 &amp; "-ICE", "Delta"))*100, "")</f>
        <v/>
      </c>
      <c r="AJ184" s="683" t="str">
        <f>IFERROR(ABS(RTD("esrtd",,Options[[#This Row],[Index]] &amp; " " &amp; Options[[#This Row],[Month]] &amp; "P" &amp; $AL184*100 &amp; "-ICE", "Market")), "")</f>
        <v/>
      </c>
      <c r="AK184" s="683" t="str">
        <f>IFERROR(ABS(RTD("esrtd",,Options[[#This Row],[Index]] &amp; " " &amp; Options[[#This Row],[Month]] &amp; "P" &amp; $AL184*100 &amp; "-ICE", "ImpVol"))*100, "")</f>
        <v/>
      </c>
      <c r="AL184" s="676">
        <v>105</v>
      </c>
      <c r="AM184" s="711" t="e">
        <f>ABS(_xll.BDP(Options[[#This Row],[C-Ticker]], "OPT_DELTA_YEST"))*100</f>
        <v>#VALUE!</v>
      </c>
      <c r="AN184" s="684" t="str">
        <f>IFERROR(ABS(RTD("esrtd",,Options[[#This Row],[Index]] &amp; " " &amp; Options[[#This Row],[Month]] &amp; "C" &amp; $AL184*100 &amp; "-ICE", "OldSettlement")), "")</f>
        <v/>
      </c>
      <c r="AO184" s="684" t="str">
        <f>IFERROR(ABS(RTD("esrtd",,Options[[#This Row],[Index]] &amp; " " &amp; Options[[#This Row],[Month]] &amp; "C" &amp; $AL184*100 &amp; "-ICE", "OldSetIV"))*100, "")</f>
        <v/>
      </c>
      <c r="AP184" s="684" t="str">
        <f>IFERROR(ABS(RTD("esrtd",,Options[[#This Row],[Index]] &amp; " " &amp; Options[[#This Row],[Month]] &amp; "C" &amp; $AL184*100 &amp; "-ICE", "Delta"))*100, "")</f>
        <v/>
      </c>
      <c r="AQ184" s="684" t="str">
        <f>IFERROR(ABS(RTD("esrtd",,Options[[#This Row],[Index]] &amp; " " &amp; Options[[#This Row],[Month]] &amp; "C" &amp; $AL184*100 &amp; "-ICE", "Market")), "")</f>
        <v/>
      </c>
      <c r="AR184" s="684" t="str">
        <f>IFERROR(ABS(RTD("esrtd",,Options[[#This Row],[Index]] &amp; " " &amp; Options[[#This Row],[Month]] &amp; "C" &amp; $AL184*100 &amp; "-ICE", "ImpVol"))*100, "")</f>
        <v/>
      </c>
    </row>
    <row r="185" spans="28:44" x14ac:dyDescent="0.25">
      <c r="AB185" s="596" t="s">
        <v>119</v>
      </c>
      <c r="AC185" s="596" t="s">
        <v>1395</v>
      </c>
      <c r="AD185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107.50 Comdty</v>
      </c>
      <c r="AE185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107.50 Comdty</v>
      </c>
      <c r="AF185" s="683" t="e">
        <f>ABS(_xll.BDP(Options[[#This Row],[P-Ticker]], "OPT_DELTA_YEST"))*100</f>
        <v>#VALUE!</v>
      </c>
      <c r="AG185" s="683" t="str">
        <f>IFERROR(ABS(RTD("esrtd",,Options[[#This Row],[Index]] &amp; " " &amp; Options[[#This Row],[Month]] &amp; "P" &amp; $AL185*100 &amp; "-ICE", "OldSettlement")), "")</f>
        <v/>
      </c>
      <c r="AH185" s="683" t="str">
        <f>IFERROR(ABS(RTD("esrtd",,Options[[#This Row],[Index]] &amp; " " &amp; Options[[#This Row],[Month]] &amp; "P" &amp; $AL185*100 &amp; "-ICE", "OldSetIV"))*100, "")</f>
        <v/>
      </c>
      <c r="AI185" s="683" t="str">
        <f>IFERROR(ABS(RTD("esrtd",,Options[[#This Row],[Index]] &amp; " " &amp; Options[[#This Row],[Month]] &amp; "P" &amp; $AL185*100 &amp; "-ICE", "Delta"))*100, "")</f>
        <v/>
      </c>
      <c r="AJ185" s="683" t="str">
        <f>IFERROR(ABS(RTD("esrtd",,Options[[#This Row],[Index]] &amp; " " &amp; Options[[#This Row],[Month]] &amp; "P" &amp; $AL185*100 &amp; "-ICE", "Market")), "")</f>
        <v/>
      </c>
      <c r="AK185" s="683" t="str">
        <f>IFERROR(ABS(RTD("esrtd",,Options[[#This Row],[Index]] &amp; " " &amp; Options[[#This Row],[Month]] &amp; "P" &amp; $AL185*100 &amp; "-ICE", "ImpVol"))*100, "")</f>
        <v/>
      </c>
      <c r="AL185" s="676">
        <v>107.5</v>
      </c>
      <c r="AM185" s="711" t="e">
        <f>ABS(_xll.BDP(Options[[#This Row],[C-Ticker]], "OPT_DELTA_YEST"))*100</f>
        <v>#VALUE!</v>
      </c>
      <c r="AN185" s="684" t="str">
        <f>IFERROR(ABS(RTD("esrtd",,Options[[#This Row],[Index]] &amp; " " &amp; Options[[#This Row],[Month]] &amp; "C" &amp; $AL185*100 &amp; "-ICE", "OldSettlement")), "")</f>
        <v/>
      </c>
      <c r="AO185" s="684" t="str">
        <f>IFERROR(ABS(RTD("esrtd",,Options[[#This Row],[Index]] &amp; " " &amp; Options[[#This Row],[Month]] &amp; "C" &amp; $AL185*100 &amp; "-ICE", "OldSetIV"))*100, "")</f>
        <v/>
      </c>
      <c r="AP185" s="684" t="str">
        <f>IFERROR(ABS(RTD("esrtd",,Options[[#This Row],[Index]] &amp; " " &amp; Options[[#This Row],[Month]] &amp; "C" &amp; $AL185*100 &amp; "-ICE", "Delta"))*100, "")</f>
        <v/>
      </c>
      <c r="AQ185" s="684" t="str">
        <f>IFERROR(ABS(RTD("esrtd",,Options[[#This Row],[Index]] &amp; " " &amp; Options[[#This Row],[Month]] &amp; "C" &amp; $AL185*100 &amp; "-ICE", "Market")), "")</f>
        <v/>
      </c>
      <c r="AR185" s="684" t="str">
        <f>IFERROR(ABS(RTD("esrtd",,Options[[#This Row],[Index]] &amp; " " &amp; Options[[#This Row],[Month]] &amp; "C" &amp; $AL185*100 &amp; "-ICE", "ImpVol"))*100, "")</f>
        <v/>
      </c>
    </row>
    <row r="186" spans="28:44" x14ac:dyDescent="0.25">
      <c r="AB186" s="596" t="s">
        <v>119</v>
      </c>
      <c r="AC186" s="596" t="s">
        <v>1395</v>
      </c>
      <c r="AD186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110.00 Comdty</v>
      </c>
      <c r="AE186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110.00 Comdty</v>
      </c>
      <c r="AF186" s="683" t="e">
        <f>ABS(_xll.BDP(Options[[#This Row],[P-Ticker]], "OPT_DELTA_YEST"))*100</f>
        <v>#VALUE!</v>
      </c>
      <c r="AG186" s="683" t="str">
        <f>IFERROR(ABS(RTD("esrtd",,Options[[#This Row],[Index]] &amp; " " &amp; Options[[#This Row],[Month]] &amp; "P" &amp; $AL186*100 &amp; "-ICE", "OldSettlement")), "")</f>
        <v/>
      </c>
      <c r="AH186" s="683" t="str">
        <f>IFERROR(ABS(RTD("esrtd",,Options[[#This Row],[Index]] &amp; " " &amp; Options[[#This Row],[Month]] &amp; "P" &amp; $AL186*100 &amp; "-ICE", "OldSetIV"))*100, "")</f>
        <v/>
      </c>
      <c r="AI186" s="683" t="str">
        <f>IFERROR(ABS(RTD("esrtd",,Options[[#This Row],[Index]] &amp; " " &amp; Options[[#This Row],[Month]] &amp; "P" &amp; $AL186*100 &amp; "-ICE", "Delta"))*100, "")</f>
        <v/>
      </c>
      <c r="AJ186" s="683" t="str">
        <f>IFERROR(ABS(RTD("esrtd",,Options[[#This Row],[Index]] &amp; " " &amp; Options[[#This Row],[Month]] &amp; "P" &amp; $AL186*100 &amp; "-ICE", "Market")), "")</f>
        <v/>
      </c>
      <c r="AK186" s="683" t="str">
        <f>IFERROR(ABS(RTD("esrtd",,Options[[#This Row],[Index]] &amp; " " &amp; Options[[#This Row],[Month]] &amp; "P" &amp; $AL186*100 &amp; "-ICE", "ImpVol"))*100, "")</f>
        <v/>
      </c>
      <c r="AL186" s="676">
        <v>110</v>
      </c>
      <c r="AM186" s="711" t="e">
        <f>ABS(_xll.BDP(Options[[#This Row],[C-Ticker]], "OPT_DELTA_YEST"))*100</f>
        <v>#VALUE!</v>
      </c>
      <c r="AN186" s="684" t="str">
        <f>IFERROR(ABS(RTD("esrtd",,Options[[#This Row],[Index]] &amp; " " &amp; Options[[#This Row],[Month]] &amp; "C" &amp; $AL186*100 &amp; "-ICE", "OldSettlement")), "")</f>
        <v/>
      </c>
      <c r="AO186" s="684" t="str">
        <f>IFERROR(ABS(RTD("esrtd",,Options[[#This Row],[Index]] &amp; " " &amp; Options[[#This Row],[Month]] &amp; "C" &amp; $AL186*100 &amp; "-ICE", "OldSetIV"))*100, "")</f>
        <v/>
      </c>
      <c r="AP186" s="684" t="str">
        <f>IFERROR(ABS(RTD("esrtd",,Options[[#This Row],[Index]] &amp; " " &amp; Options[[#This Row],[Month]] &amp; "C" &amp; $AL186*100 &amp; "-ICE", "Delta"))*100, "")</f>
        <v/>
      </c>
      <c r="AQ186" s="684" t="str">
        <f>IFERROR(ABS(RTD("esrtd",,Options[[#This Row],[Index]] &amp; " " &amp; Options[[#This Row],[Month]] &amp; "C" &amp; $AL186*100 &amp; "-ICE", "Market")), "")</f>
        <v/>
      </c>
      <c r="AR186" s="684" t="str">
        <f>IFERROR(ABS(RTD("esrtd",,Options[[#This Row],[Index]] &amp; " " &amp; Options[[#This Row],[Month]] &amp; "C" &amp; $AL186*100 &amp; "-ICE", "ImpVol"))*100, "")</f>
        <v/>
      </c>
    </row>
    <row r="187" spans="28:44" x14ac:dyDescent="0.25">
      <c r="AB187" s="596" t="s">
        <v>119</v>
      </c>
      <c r="AC187" s="596" t="s">
        <v>1395</v>
      </c>
      <c r="AD187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113.00 Comdty</v>
      </c>
      <c r="AE187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113.00 Comdty</v>
      </c>
      <c r="AF187" s="683" t="e">
        <f>ABS(_xll.BDP(Options[[#This Row],[P-Ticker]], "OPT_DELTA_YEST"))*100</f>
        <v>#VALUE!</v>
      </c>
      <c r="AG187" s="683" t="str">
        <f>IFERROR(ABS(RTD("esrtd",,Options[[#This Row],[Index]] &amp; " " &amp; Options[[#This Row],[Month]] &amp; "P" &amp; $AL187*100 &amp; "-ICE", "OldSettlement")), "")</f>
        <v/>
      </c>
      <c r="AH187" s="683" t="str">
        <f>IFERROR(ABS(RTD("esrtd",,Options[[#This Row],[Index]] &amp; " " &amp; Options[[#This Row],[Month]] &amp; "P" &amp; $AL187*100 &amp; "-ICE", "OldSetIV"))*100, "")</f>
        <v/>
      </c>
      <c r="AI187" s="683" t="str">
        <f>IFERROR(ABS(RTD("esrtd",,Options[[#This Row],[Index]] &amp; " " &amp; Options[[#This Row],[Month]] &amp; "P" &amp; $AL187*100 &amp; "-ICE", "Delta"))*100, "")</f>
        <v/>
      </c>
      <c r="AJ187" s="683" t="str">
        <f>IFERROR(ABS(RTD("esrtd",,Options[[#This Row],[Index]] &amp; " " &amp; Options[[#This Row],[Month]] &amp; "P" &amp; $AL187*100 &amp; "-ICE", "Market")), "")</f>
        <v/>
      </c>
      <c r="AK187" s="683" t="str">
        <f>IFERROR(ABS(RTD("esrtd",,Options[[#This Row],[Index]] &amp; " " &amp; Options[[#This Row],[Month]] &amp; "P" &amp; $AL187*100 &amp; "-ICE", "ImpVol"))*100, "")</f>
        <v/>
      </c>
      <c r="AL187" s="676">
        <v>113</v>
      </c>
      <c r="AM187" s="711" t="e">
        <f>ABS(_xll.BDP(Options[[#This Row],[C-Ticker]], "OPT_DELTA_YEST"))*100</f>
        <v>#VALUE!</v>
      </c>
      <c r="AN187" s="684" t="str">
        <f>IFERROR(ABS(RTD("esrtd",,Options[[#This Row],[Index]] &amp; " " &amp; Options[[#This Row],[Month]] &amp; "C" &amp; $AL187*100 &amp; "-ICE", "OldSettlement")), "")</f>
        <v/>
      </c>
      <c r="AO187" s="684" t="str">
        <f>IFERROR(ABS(RTD("esrtd",,Options[[#This Row],[Index]] &amp; " " &amp; Options[[#This Row],[Month]] &amp; "C" &amp; $AL187*100 &amp; "-ICE", "OldSetIV"))*100, "")</f>
        <v/>
      </c>
      <c r="AP187" s="684" t="str">
        <f>IFERROR(ABS(RTD("esrtd",,Options[[#This Row],[Index]] &amp; " " &amp; Options[[#This Row],[Month]] &amp; "C" &amp; $AL187*100 &amp; "-ICE", "Delta"))*100, "")</f>
        <v/>
      </c>
      <c r="AQ187" s="684" t="str">
        <f>IFERROR(ABS(RTD("esrtd",,Options[[#This Row],[Index]] &amp; " " &amp; Options[[#This Row],[Month]] &amp; "C" &amp; $AL187*100 &amp; "-ICE", "Market")), "")</f>
        <v/>
      </c>
      <c r="AR187" s="684" t="str">
        <f>IFERROR(ABS(RTD("esrtd",,Options[[#This Row],[Index]] &amp; " " &amp; Options[[#This Row],[Month]] &amp; "C" &amp; $AL187*100 &amp; "-ICE", "ImpVol"))*100, "")</f>
        <v/>
      </c>
    </row>
    <row r="188" spans="28:44" x14ac:dyDescent="0.25">
      <c r="AB188" s="596" t="s">
        <v>119</v>
      </c>
      <c r="AC188" s="596" t="s">
        <v>1395</v>
      </c>
      <c r="AD188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115.00 Comdty</v>
      </c>
      <c r="AE188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115.00 Comdty</v>
      </c>
      <c r="AF188" s="683" t="e">
        <f>ABS(_xll.BDP(Options[[#This Row],[P-Ticker]], "OPT_DELTA_YEST"))*100</f>
        <v>#VALUE!</v>
      </c>
      <c r="AG188" s="683" t="str">
        <f>IFERROR(ABS(RTD("esrtd",,Options[[#This Row],[Index]] &amp; " " &amp; Options[[#This Row],[Month]] &amp; "P" &amp; $AL188*100 &amp; "-ICE", "OldSettlement")), "")</f>
        <v/>
      </c>
      <c r="AH188" s="683" t="str">
        <f>IFERROR(ABS(RTD("esrtd",,Options[[#This Row],[Index]] &amp; " " &amp; Options[[#This Row],[Month]] &amp; "P" &amp; $AL188*100 &amp; "-ICE", "OldSetIV"))*100, "")</f>
        <v/>
      </c>
      <c r="AI188" s="683" t="str">
        <f>IFERROR(ABS(RTD("esrtd",,Options[[#This Row],[Index]] &amp; " " &amp; Options[[#This Row],[Month]] &amp; "P" &amp; $AL188*100 &amp; "-ICE", "Delta"))*100, "")</f>
        <v/>
      </c>
      <c r="AJ188" s="683" t="str">
        <f>IFERROR(ABS(RTD("esrtd",,Options[[#This Row],[Index]] &amp; " " &amp; Options[[#This Row],[Month]] &amp; "P" &amp; $AL188*100 &amp; "-ICE", "Market")), "")</f>
        <v/>
      </c>
      <c r="AK188" s="683" t="str">
        <f>IFERROR(ABS(RTD("esrtd",,Options[[#This Row],[Index]] &amp; " " &amp; Options[[#This Row],[Month]] &amp; "P" &amp; $AL188*100 &amp; "-ICE", "ImpVol"))*100, "")</f>
        <v/>
      </c>
      <c r="AL188" s="676">
        <v>115</v>
      </c>
      <c r="AM188" s="711" t="e">
        <f>ABS(_xll.BDP(Options[[#This Row],[C-Ticker]], "OPT_DELTA_YEST"))*100</f>
        <v>#VALUE!</v>
      </c>
      <c r="AN188" s="684" t="str">
        <f>IFERROR(ABS(RTD("esrtd",,Options[[#This Row],[Index]] &amp; " " &amp; Options[[#This Row],[Month]] &amp; "C" &amp; $AL188*100 &amp; "-ICE", "OldSettlement")), "")</f>
        <v/>
      </c>
      <c r="AO188" s="684" t="str">
        <f>IFERROR(ABS(RTD("esrtd",,Options[[#This Row],[Index]] &amp; " " &amp; Options[[#This Row],[Month]] &amp; "C" &amp; $AL188*100 &amp; "-ICE", "OldSetIV"))*100, "")</f>
        <v/>
      </c>
      <c r="AP188" s="684" t="str">
        <f>IFERROR(ABS(RTD("esrtd",,Options[[#This Row],[Index]] &amp; " " &amp; Options[[#This Row],[Month]] &amp; "C" &amp; $AL188*100 &amp; "-ICE", "Delta"))*100, "")</f>
        <v/>
      </c>
      <c r="AQ188" s="684" t="str">
        <f>IFERROR(ABS(RTD("esrtd",,Options[[#This Row],[Index]] &amp; " " &amp; Options[[#This Row],[Month]] &amp; "C" &amp; $AL188*100 &amp; "-ICE", "Market")), "")</f>
        <v/>
      </c>
      <c r="AR188" s="684" t="str">
        <f>IFERROR(ABS(RTD("esrtd",,Options[[#This Row],[Index]] &amp; " " &amp; Options[[#This Row],[Month]] &amp; "C" &amp; $AL188*100 &amp; "-ICE", "ImpVol"))*100, "")</f>
        <v/>
      </c>
    </row>
    <row r="189" spans="28:44" x14ac:dyDescent="0.25">
      <c r="AB189" s="596" t="s">
        <v>119</v>
      </c>
      <c r="AC189" s="596" t="s">
        <v>1395</v>
      </c>
      <c r="AD189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120.00 Comdty</v>
      </c>
      <c r="AE189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120.00 Comdty</v>
      </c>
      <c r="AF189" s="683" t="e">
        <f>ABS(_xll.BDP(Options[[#This Row],[P-Ticker]], "OPT_DELTA_YEST"))*100</f>
        <v>#VALUE!</v>
      </c>
      <c r="AG189" s="683" t="str">
        <f>IFERROR(ABS(RTD("esrtd",,Options[[#This Row],[Index]] &amp; " " &amp; Options[[#This Row],[Month]] &amp; "P" &amp; $AL189*100 &amp; "-ICE", "OldSettlement")), "")</f>
        <v/>
      </c>
      <c r="AH189" s="683" t="str">
        <f>IFERROR(ABS(RTD("esrtd",,Options[[#This Row],[Index]] &amp; " " &amp; Options[[#This Row],[Month]] &amp; "P" &amp; $AL189*100 &amp; "-ICE", "OldSetIV"))*100, "")</f>
        <v/>
      </c>
      <c r="AI189" s="683" t="str">
        <f>IFERROR(ABS(RTD("esrtd",,Options[[#This Row],[Index]] &amp; " " &amp; Options[[#This Row],[Month]] &amp; "P" &amp; $AL189*100 &amp; "-ICE", "Delta"))*100, "")</f>
        <v/>
      </c>
      <c r="AJ189" s="683" t="str">
        <f>IFERROR(ABS(RTD("esrtd",,Options[[#This Row],[Index]] &amp; " " &amp; Options[[#This Row],[Month]] &amp; "P" &amp; $AL189*100 &amp; "-ICE", "Market")), "")</f>
        <v/>
      </c>
      <c r="AK189" s="683" t="str">
        <f>IFERROR(ABS(RTD("esrtd",,Options[[#This Row],[Index]] &amp; " " &amp; Options[[#This Row],[Month]] &amp; "P" &amp; $AL189*100 &amp; "-ICE", "ImpVol"))*100, "")</f>
        <v/>
      </c>
      <c r="AL189" s="676">
        <v>120</v>
      </c>
      <c r="AM189" s="711" t="e">
        <f>ABS(_xll.BDP(Options[[#This Row],[C-Ticker]], "OPT_DELTA_YEST"))*100</f>
        <v>#VALUE!</v>
      </c>
      <c r="AN189" s="684" t="str">
        <f>IFERROR(ABS(RTD("esrtd",,Options[[#This Row],[Index]] &amp; " " &amp; Options[[#This Row],[Month]] &amp; "C" &amp; $AL189*100 &amp; "-ICE", "OldSettlement")), "")</f>
        <v/>
      </c>
      <c r="AO189" s="684" t="str">
        <f>IFERROR(ABS(RTD("esrtd",,Options[[#This Row],[Index]] &amp; " " &amp; Options[[#This Row],[Month]] &amp; "C" &amp; $AL189*100 &amp; "-ICE", "OldSetIV"))*100, "")</f>
        <v/>
      </c>
      <c r="AP189" s="684" t="str">
        <f>IFERROR(ABS(RTD("esrtd",,Options[[#This Row],[Index]] &amp; " " &amp; Options[[#This Row],[Month]] &amp; "C" &amp; $AL189*100 &amp; "-ICE", "Delta"))*100, "")</f>
        <v/>
      </c>
      <c r="AQ189" s="684" t="str">
        <f>IFERROR(ABS(RTD("esrtd",,Options[[#This Row],[Index]] &amp; " " &amp; Options[[#This Row],[Month]] &amp; "C" &amp; $AL189*100 &amp; "-ICE", "Market")), "")</f>
        <v/>
      </c>
      <c r="AR189" s="684" t="str">
        <f>IFERROR(ABS(RTD("esrtd",,Options[[#This Row],[Index]] &amp; " " &amp; Options[[#This Row],[Month]] &amp; "C" &amp; $AL189*100 &amp; "-ICE", "ImpVol"))*100, "")</f>
        <v/>
      </c>
    </row>
    <row r="190" spans="28:44" x14ac:dyDescent="0.25">
      <c r="AB190" s="596" t="s">
        <v>119</v>
      </c>
      <c r="AC190" s="596" t="s">
        <v>1395</v>
      </c>
      <c r="AD190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125.00 Comdty</v>
      </c>
      <c r="AE190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125.00 Comdty</v>
      </c>
      <c r="AF190" s="683" t="e">
        <f>ABS(_xll.BDP(Options[[#This Row],[P-Ticker]], "OPT_DELTA_YEST"))*100</f>
        <v>#VALUE!</v>
      </c>
      <c r="AG190" s="683" t="str">
        <f>IFERROR(ABS(RTD("esrtd",,Options[[#This Row],[Index]] &amp; " " &amp; Options[[#This Row],[Month]] &amp; "P" &amp; $AL190*100 &amp; "-ICE", "OldSettlement")), "")</f>
        <v/>
      </c>
      <c r="AH190" s="683" t="str">
        <f>IFERROR(ABS(RTD("esrtd",,Options[[#This Row],[Index]] &amp; " " &amp; Options[[#This Row],[Month]] &amp; "P" &amp; $AL190*100 &amp; "-ICE", "OldSetIV"))*100, "")</f>
        <v/>
      </c>
      <c r="AI190" s="683" t="str">
        <f>IFERROR(ABS(RTD("esrtd",,Options[[#This Row],[Index]] &amp; " " &amp; Options[[#This Row],[Month]] &amp; "P" &amp; $AL190*100 &amp; "-ICE", "Delta"))*100, "")</f>
        <v/>
      </c>
      <c r="AJ190" s="683" t="str">
        <f>IFERROR(ABS(RTD("esrtd",,Options[[#This Row],[Index]] &amp; " " &amp; Options[[#This Row],[Month]] &amp; "P" &amp; $AL190*100 &amp; "-ICE", "Market")), "")</f>
        <v/>
      </c>
      <c r="AK190" s="683" t="str">
        <f>IFERROR(ABS(RTD("esrtd",,Options[[#This Row],[Index]] &amp; " " &amp; Options[[#This Row],[Month]] &amp; "P" &amp; $AL190*100 &amp; "-ICE", "ImpVol"))*100, "")</f>
        <v/>
      </c>
      <c r="AL190" s="676">
        <v>125</v>
      </c>
      <c r="AM190" s="711" t="e">
        <f>ABS(_xll.BDP(Options[[#This Row],[C-Ticker]], "OPT_DELTA_YEST"))*100</f>
        <v>#VALUE!</v>
      </c>
      <c r="AN190" s="684" t="str">
        <f>IFERROR(ABS(RTD("esrtd",,Options[[#This Row],[Index]] &amp; " " &amp; Options[[#This Row],[Month]] &amp; "C" &amp; $AL190*100 &amp; "-ICE", "OldSettlement")), "")</f>
        <v/>
      </c>
      <c r="AO190" s="684" t="str">
        <f>IFERROR(ABS(RTD("esrtd",,Options[[#This Row],[Index]] &amp; " " &amp; Options[[#This Row],[Month]] &amp; "C" &amp; $AL190*100 &amp; "-ICE", "OldSetIV"))*100, "")</f>
        <v/>
      </c>
      <c r="AP190" s="684" t="str">
        <f>IFERROR(ABS(RTD("esrtd",,Options[[#This Row],[Index]] &amp; " " &amp; Options[[#This Row],[Month]] &amp; "C" &amp; $AL190*100 &amp; "-ICE", "Delta"))*100, "")</f>
        <v/>
      </c>
      <c r="AQ190" s="684" t="str">
        <f>IFERROR(ABS(RTD("esrtd",,Options[[#This Row],[Index]] &amp; " " &amp; Options[[#This Row],[Month]] &amp; "C" &amp; $AL190*100 &amp; "-ICE", "Market")), "")</f>
        <v/>
      </c>
      <c r="AR190" s="684" t="str">
        <f>IFERROR(ABS(RTD("esrtd",,Options[[#This Row],[Index]] &amp; " " &amp; Options[[#This Row],[Month]] &amp; "C" &amp; $AL190*100 &amp; "-ICE", "ImpVol"))*100, "")</f>
        <v/>
      </c>
    </row>
    <row r="191" spans="28:44" x14ac:dyDescent="0.25">
      <c r="AB191" s="596" t="s">
        <v>119</v>
      </c>
      <c r="AC191" s="596" t="s">
        <v>1395</v>
      </c>
      <c r="AD191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130.00 Comdty</v>
      </c>
      <c r="AE191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130.00 Comdty</v>
      </c>
      <c r="AF191" s="683" t="e">
        <f>ABS(_xll.BDP(Options[[#This Row],[P-Ticker]], "OPT_DELTA_YEST"))*100</f>
        <v>#VALUE!</v>
      </c>
      <c r="AG191" s="683" t="str">
        <f>IFERROR(ABS(RTD("esrtd",,Options[[#This Row],[Index]] &amp; " " &amp; Options[[#This Row],[Month]] &amp; "P" &amp; $AL191*100 &amp; "-ICE", "OldSettlement")), "")</f>
        <v/>
      </c>
      <c r="AH191" s="683" t="str">
        <f>IFERROR(ABS(RTD("esrtd",,Options[[#This Row],[Index]] &amp; " " &amp; Options[[#This Row],[Month]] &amp; "P" &amp; $AL191*100 &amp; "-ICE", "OldSetIV"))*100, "")</f>
        <v/>
      </c>
      <c r="AI191" s="683" t="str">
        <f>IFERROR(ABS(RTD("esrtd",,Options[[#This Row],[Index]] &amp; " " &amp; Options[[#This Row],[Month]] &amp; "P" &amp; $AL191*100 &amp; "-ICE", "Delta"))*100, "")</f>
        <v/>
      </c>
      <c r="AJ191" s="683" t="str">
        <f>IFERROR(ABS(RTD("esrtd",,Options[[#This Row],[Index]] &amp; " " &amp; Options[[#This Row],[Month]] &amp; "P" &amp; $AL191*100 &amp; "-ICE", "Market")), "")</f>
        <v/>
      </c>
      <c r="AK191" s="683" t="str">
        <f>IFERROR(ABS(RTD("esrtd",,Options[[#This Row],[Index]] &amp; " " &amp; Options[[#This Row],[Month]] &amp; "P" &amp; $AL191*100 &amp; "-ICE", "ImpVol"))*100, "")</f>
        <v/>
      </c>
      <c r="AL191" s="676">
        <v>130</v>
      </c>
      <c r="AM191" s="711" t="e">
        <f>ABS(_xll.BDP(Options[[#This Row],[C-Ticker]], "OPT_DELTA_YEST"))*100</f>
        <v>#VALUE!</v>
      </c>
      <c r="AN191" s="684" t="str">
        <f>IFERROR(ABS(RTD("esrtd",,Options[[#This Row],[Index]] &amp; " " &amp; Options[[#This Row],[Month]] &amp; "C" &amp; $AL191*100 &amp; "-ICE", "OldSettlement")), "")</f>
        <v/>
      </c>
      <c r="AO191" s="684" t="str">
        <f>IFERROR(ABS(RTD("esrtd",,Options[[#This Row],[Index]] &amp; " " &amp; Options[[#This Row],[Month]] &amp; "C" &amp; $AL191*100 &amp; "-ICE", "OldSetIV"))*100, "")</f>
        <v/>
      </c>
      <c r="AP191" s="684" t="str">
        <f>IFERROR(ABS(RTD("esrtd",,Options[[#This Row],[Index]] &amp; " " &amp; Options[[#This Row],[Month]] &amp; "C" &amp; $AL191*100 &amp; "-ICE", "Delta"))*100, "")</f>
        <v/>
      </c>
      <c r="AQ191" s="684" t="str">
        <f>IFERROR(ABS(RTD("esrtd",,Options[[#This Row],[Index]] &amp; " " &amp; Options[[#This Row],[Month]] &amp; "C" &amp; $AL191*100 &amp; "-ICE", "Market")), "")</f>
        <v/>
      </c>
      <c r="AR191" s="684" t="str">
        <f>IFERROR(ABS(RTD("esrtd",,Options[[#This Row],[Index]] &amp; " " &amp; Options[[#This Row],[Month]] &amp; "C" &amp; $AL191*100 &amp; "-ICE", "ImpVol"))*100, "")</f>
        <v/>
      </c>
    </row>
    <row r="192" spans="28:44" x14ac:dyDescent="0.25">
      <c r="AB192" s="596" t="s">
        <v>119</v>
      </c>
      <c r="AC192" s="596" t="s">
        <v>1395</v>
      </c>
      <c r="AD192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131.00 Comdty</v>
      </c>
      <c r="AE192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131.00 Comdty</v>
      </c>
      <c r="AF192" s="683" t="e">
        <f>ABS(_xll.BDP(Options[[#This Row],[P-Ticker]], "OPT_DELTA_YEST"))*100</f>
        <v>#VALUE!</v>
      </c>
      <c r="AG192" s="683" t="str">
        <f>IFERROR(ABS(RTD("esrtd",,Options[[#This Row],[Index]] &amp; " " &amp; Options[[#This Row],[Month]] &amp; "P" &amp; $AL192*100 &amp; "-ICE", "OldSettlement")), "")</f>
        <v/>
      </c>
      <c r="AH192" s="683" t="str">
        <f>IFERROR(ABS(RTD("esrtd",,Options[[#This Row],[Index]] &amp; " " &amp; Options[[#This Row],[Month]] &amp; "P" &amp; $AL192*100 &amp; "-ICE", "OldSetIV"))*100, "")</f>
        <v/>
      </c>
      <c r="AI192" s="683" t="str">
        <f>IFERROR(ABS(RTD("esrtd",,Options[[#This Row],[Index]] &amp; " " &amp; Options[[#This Row],[Month]] &amp; "P" &amp; $AL192*100 &amp; "-ICE", "Delta"))*100, "")</f>
        <v/>
      </c>
      <c r="AJ192" s="683" t="str">
        <f>IFERROR(ABS(RTD("esrtd",,Options[[#This Row],[Index]] &amp; " " &amp; Options[[#This Row],[Month]] &amp; "P" &amp; $AL192*100 &amp; "-ICE", "Market")), "")</f>
        <v/>
      </c>
      <c r="AK192" s="683" t="str">
        <f>IFERROR(ABS(RTD("esrtd",,Options[[#This Row],[Index]] &amp; " " &amp; Options[[#This Row],[Month]] &amp; "P" &amp; $AL192*100 &amp; "-ICE", "ImpVol"))*100, "")</f>
        <v/>
      </c>
      <c r="AL192" s="676">
        <v>131</v>
      </c>
      <c r="AM192" s="711" t="e">
        <f>ABS(_xll.BDP(Options[[#This Row],[C-Ticker]], "OPT_DELTA_YEST"))*100</f>
        <v>#VALUE!</v>
      </c>
      <c r="AN192" s="684" t="str">
        <f>IFERROR(ABS(RTD("esrtd",,Options[[#This Row],[Index]] &amp; " " &amp; Options[[#This Row],[Month]] &amp; "C" &amp; $AL192*100 &amp; "-ICE", "OldSettlement")), "")</f>
        <v/>
      </c>
      <c r="AO192" s="684" t="str">
        <f>IFERROR(ABS(RTD("esrtd",,Options[[#This Row],[Index]] &amp; " " &amp; Options[[#This Row],[Month]] &amp; "C" &amp; $AL192*100 &amp; "-ICE", "OldSetIV"))*100, "")</f>
        <v/>
      </c>
      <c r="AP192" s="684" t="str">
        <f>IFERROR(ABS(RTD("esrtd",,Options[[#This Row],[Index]] &amp; " " &amp; Options[[#This Row],[Month]] &amp; "C" &amp; $AL192*100 &amp; "-ICE", "Delta"))*100, "")</f>
        <v/>
      </c>
      <c r="AQ192" s="684" t="str">
        <f>IFERROR(ABS(RTD("esrtd",,Options[[#This Row],[Index]] &amp; " " &amp; Options[[#This Row],[Month]] &amp; "C" &amp; $AL192*100 &amp; "-ICE", "Market")), "")</f>
        <v/>
      </c>
      <c r="AR192" s="684" t="str">
        <f>IFERROR(ABS(RTD("esrtd",,Options[[#This Row],[Index]] &amp; " " &amp; Options[[#This Row],[Month]] &amp; "C" &amp; $AL192*100 &amp; "-ICE", "ImpVol"))*100, "")</f>
        <v/>
      </c>
    </row>
    <row r="193" spans="28:44" x14ac:dyDescent="0.25">
      <c r="AB193" s="596" t="s">
        <v>119</v>
      </c>
      <c r="AC193" s="596" t="s">
        <v>1395</v>
      </c>
      <c r="AD193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135.00 Comdty</v>
      </c>
      <c r="AE193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135.00 Comdty</v>
      </c>
      <c r="AF193" s="683" t="e">
        <f>ABS(_xll.BDP(Options[[#This Row],[P-Ticker]], "OPT_DELTA_YEST"))*100</f>
        <v>#VALUE!</v>
      </c>
      <c r="AG193" s="683" t="str">
        <f>IFERROR(ABS(RTD("esrtd",,Options[[#This Row],[Index]] &amp; " " &amp; Options[[#This Row],[Month]] &amp; "P" &amp; $AL193*100 &amp; "-ICE", "OldSettlement")), "")</f>
        <v/>
      </c>
      <c r="AH193" s="683" t="str">
        <f>IFERROR(ABS(RTD("esrtd",,Options[[#This Row],[Index]] &amp; " " &amp; Options[[#This Row],[Month]] &amp; "P" &amp; $AL193*100 &amp; "-ICE", "OldSetIV"))*100, "")</f>
        <v/>
      </c>
      <c r="AI193" s="683" t="str">
        <f>IFERROR(ABS(RTD("esrtd",,Options[[#This Row],[Index]] &amp; " " &amp; Options[[#This Row],[Month]] &amp; "P" &amp; $AL193*100 &amp; "-ICE", "Delta"))*100, "")</f>
        <v/>
      </c>
      <c r="AJ193" s="683" t="str">
        <f>IFERROR(ABS(RTD("esrtd",,Options[[#This Row],[Index]] &amp; " " &amp; Options[[#This Row],[Month]] &amp; "P" &amp; $AL193*100 &amp; "-ICE", "Market")), "")</f>
        <v/>
      </c>
      <c r="AK193" s="683" t="str">
        <f>IFERROR(ABS(RTD("esrtd",,Options[[#This Row],[Index]] &amp; " " &amp; Options[[#This Row],[Month]] &amp; "P" &amp; $AL193*100 &amp; "-ICE", "ImpVol"))*100, "")</f>
        <v/>
      </c>
      <c r="AL193" s="676">
        <v>135</v>
      </c>
      <c r="AM193" s="711" t="e">
        <f>ABS(_xll.BDP(Options[[#This Row],[C-Ticker]], "OPT_DELTA_YEST"))*100</f>
        <v>#VALUE!</v>
      </c>
      <c r="AN193" s="684" t="str">
        <f>IFERROR(ABS(RTD("esrtd",,Options[[#This Row],[Index]] &amp; " " &amp; Options[[#This Row],[Month]] &amp; "C" &amp; $AL193*100 &amp; "-ICE", "OldSettlement")), "")</f>
        <v/>
      </c>
      <c r="AO193" s="684" t="str">
        <f>IFERROR(ABS(RTD("esrtd",,Options[[#This Row],[Index]] &amp; " " &amp; Options[[#This Row],[Month]] &amp; "C" &amp; $AL193*100 &amp; "-ICE", "OldSetIV"))*100, "")</f>
        <v/>
      </c>
      <c r="AP193" s="684" t="str">
        <f>IFERROR(ABS(RTD("esrtd",,Options[[#This Row],[Index]] &amp; " " &amp; Options[[#This Row],[Month]] &amp; "C" &amp; $AL193*100 &amp; "-ICE", "Delta"))*100, "")</f>
        <v/>
      </c>
      <c r="AQ193" s="684" t="str">
        <f>IFERROR(ABS(RTD("esrtd",,Options[[#This Row],[Index]] &amp; " " &amp; Options[[#This Row],[Month]] &amp; "C" &amp; $AL193*100 &amp; "-ICE", "Market")), "")</f>
        <v/>
      </c>
      <c r="AR193" s="684" t="str">
        <f>IFERROR(ABS(RTD("esrtd",,Options[[#This Row],[Index]] &amp; " " &amp; Options[[#This Row],[Month]] &amp; "C" &amp; $AL193*100 &amp; "-ICE", "ImpVol"))*100, "")</f>
        <v/>
      </c>
    </row>
    <row r="194" spans="28:44" x14ac:dyDescent="0.25">
      <c r="AB194" s="596" t="s">
        <v>119</v>
      </c>
      <c r="AC194" s="596" t="s">
        <v>1395</v>
      </c>
      <c r="AD194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140.00 Comdty</v>
      </c>
      <c r="AE194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140.00 Comdty</v>
      </c>
      <c r="AF194" s="683" t="e">
        <f>ABS(_xll.BDP(Options[[#This Row],[P-Ticker]], "OPT_DELTA_YEST"))*100</f>
        <v>#VALUE!</v>
      </c>
      <c r="AG194" s="683" t="str">
        <f>IFERROR(ABS(RTD("esrtd",,Options[[#This Row],[Index]] &amp; " " &amp; Options[[#This Row],[Month]] &amp; "P" &amp; $AL194*100 &amp; "-ICE", "OldSettlement")), "")</f>
        <v/>
      </c>
      <c r="AH194" s="683" t="str">
        <f>IFERROR(ABS(RTD("esrtd",,Options[[#This Row],[Index]] &amp; " " &amp; Options[[#This Row],[Month]] &amp; "P" &amp; $AL194*100 &amp; "-ICE", "OldSetIV"))*100, "")</f>
        <v/>
      </c>
      <c r="AI194" s="683" t="str">
        <f>IFERROR(ABS(RTD("esrtd",,Options[[#This Row],[Index]] &amp; " " &amp; Options[[#This Row],[Month]] &amp; "P" &amp; $AL194*100 &amp; "-ICE", "Delta"))*100, "")</f>
        <v/>
      </c>
      <c r="AJ194" s="683" t="str">
        <f>IFERROR(ABS(RTD("esrtd",,Options[[#This Row],[Index]] &amp; " " &amp; Options[[#This Row],[Month]] &amp; "P" &amp; $AL194*100 &amp; "-ICE", "Market")), "")</f>
        <v/>
      </c>
      <c r="AK194" s="683" t="str">
        <f>IFERROR(ABS(RTD("esrtd",,Options[[#This Row],[Index]] &amp; " " &amp; Options[[#This Row],[Month]] &amp; "P" &amp; $AL194*100 &amp; "-ICE", "ImpVol"))*100, "")</f>
        <v/>
      </c>
      <c r="AL194" s="676">
        <v>140</v>
      </c>
      <c r="AM194" s="711" t="e">
        <f>ABS(_xll.BDP(Options[[#This Row],[C-Ticker]], "OPT_DELTA_YEST"))*100</f>
        <v>#VALUE!</v>
      </c>
      <c r="AN194" s="684" t="str">
        <f>IFERROR(ABS(RTD("esrtd",,Options[[#This Row],[Index]] &amp; " " &amp; Options[[#This Row],[Month]] &amp; "C" &amp; $AL194*100 &amp; "-ICE", "OldSettlement")), "")</f>
        <v/>
      </c>
      <c r="AO194" s="684" t="str">
        <f>IFERROR(ABS(RTD("esrtd",,Options[[#This Row],[Index]] &amp; " " &amp; Options[[#This Row],[Month]] &amp; "C" &amp; $AL194*100 &amp; "-ICE", "OldSetIV"))*100, "")</f>
        <v/>
      </c>
      <c r="AP194" s="684" t="str">
        <f>IFERROR(ABS(RTD("esrtd",,Options[[#This Row],[Index]] &amp; " " &amp; Options[[#This Row],[Month]] &amp; "C" &amp; $AL194*100 &amp; "-ICE", "Delta"))*100, "")</f>
        <v/>
      </c>
      <c r="AQ194" s="684" t="str">
        <f>IFERROR(ABS(RTD("esrtd",,Options[[#This Row],[Index]] &amp; " " &amp; Options[[#This Row],[Month]] &amp; "C" &amp; $AL194*100 &amp; "-ICE", "Market")), "")</f>
        <v/>
      </c>
      <c r="AR194" s="684" t="str">
        <f>IFERROR(ABS(RTD("esrtd",,Options[[#This Row],[Index]] &amp; " " &amp; Options[[#This Row],[Month]] &amp; "C" &amp; $AL194*100 &amp; "-ICE", "ImpVol"))*100, "")</f>
        <v/>
      </c>
    </row>
    <row r="195" spans="28:44" x14ac:dyDescent="0.25">
      <c r="AB195" s="596" t="s">
        <v>119</v>
      </c>
      <c r="AC195" s="596" t="s">
        <v>1395</v>
      </c>
      <c r="AD195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145.00 Comdty</v>
      </c>
      <c r="AE195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145.00 Comdty</v>
      </c>
      <c r="AF195" s="683" t="e">
        <f>ABS(_xll.BDP(Options[[#This Row],[P-Ticker]], "OPT_DELTA_YEST"))*100</f>
        <v>#VALUE!</v>
      </c>
      <c r="AG195" s="683" t="str">
        <f>IFERROR(ABS(RTD("esrtd",,Options[[#This Row],[Index]] &amp; " " &amp; Options[[#This Row],[Month]] &amp; "P" &amp; $AL195*100 &amp; "-ICE", "OldSettlement")), "")</f>
        <v/>
      </c>
      <c r="AH195" s="683" t="str">
        <f>IFERROR(ABS(RTD("esrtd",,Options[[#This Row],[Index]] &amp; " " &amp; Options[[#This Row],[Month]] &amp; "P" &amp; $AL195*100 &amp; "-ICE", "OldSetIV"))*100, "")</f>
        <v/>
      </c>
      <c r="AI195" s="683" t="str">
        <f>IFERROR(ABS(RTD("esrtd",,Options[[#This Row],[Index]] &amp; " " &amp; Options[[#This Row],[Month]] &amp; "P" &amp; $AL195*100 &amp; "-ICE", "Delta"))*100, "")</f>
        <v/>
      </c>
      <c r="AJ195" s="683" t="str">
        <f>IFERROR(ABS(RTD("esrtd",,Options[[#This Row],[Index]] &amp; " " &amp; Options[[#This Row],[Month]] &amp; "P" &amp; $AL195*100 &amp; "-ICE", "Market")), "")</f>
        <v/>
      </c>
      <c r="AK195" s="683" t="str">
        <f>IFERROR(ABS(RTD("esrtd",,Options[[#This Row],[Index]] &amp; " " &amp; Options[[#This Row],[Month]] &amp; "P" &amp; $AL195*100 &amp; "-ICE", "ImpVol"))*100, "")</f>
        <v/>
      </c>
      <c r="AL195" s="676">
        <v>145</v>
      </c>
      <c r="AM195" s="711" t="e">
        <f>ABS(_xll.BDP(Options[[#This Row],[C-Ticker]], "OPT_DELTA_YEST"))*100</f>
        <v>#VALUE!</v>
      </c>
      <c r="AN195" s="684" t="str">
        <f>IFERROR(ABS(RTD("esrtd",,Options[[#This Row],[Index]] &amp; " " &amp; Options[[#This Row],[Month]] &amp; "C" &amp; $AL195*100 &amp; "-ICE", "OldSettlement")), "")</f>
        <v/>
      </c>
      <c r="AO195" s="684" t="str">
        <f>IFERROR(ABS(RTD("esrtd",,Options[[#This Row],[Index]] &amp; " " &amp; Options[[#This Row],[Month]] &amp; "C" &amp; $AL195*100 &amp; "-ICE", "OldSetIV"))*100, "")</f>
        <v/>
      </c>
      <c r="AP195" s="684" t="str">
        <f>IFERROR(ABS(RTD("esrtd",,Options[[#This Row],[Index]] &amp; " " &amp; Options[[#This Row],[Month]] &amp; "C" &amp; $AL195*100 &amp; "-ICE", "Delta"))*100, "")</f>
        <v/>
      </c>
      <c r="AQ195" s="684" t="str">
        <f>IFERROR(ABS(RTD("esrtd",,Options[[#This Row],[Index]] &amp; " " &amp; Options[[#This Row],[Month]] &amp; "C" &amp; $AL195*100 &amp; "-ICE", "Market")), "")</f>
        <v/>
      </c>
      <c r="AR195" s="684" t="str">
        <f>IFERROR(ABS(RTD("esrtd",,Options[[#This Row],[Index]] &amp; " " &amp; Options[[#This Row],[Month]] &amp; "C" &amp; $AL195*100 &amp; "-ICE", "ImpVol"))*100, "")</f>
        <v/>
      </c>
    </row>
    <row r="196" spans="28:44" x14ac:dyDescent="0.25">
      <c r="AB196" s="596" t="s">
        <v>119</v>
      </c>
      <c r="AC196" s="596" t="s">
        <v>1395</v>
      </c>
      <c r="AD196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150.00 Comdty</v>
      </c>
      <c r="AE196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150.00 Comdty</v>
      </c>
      <c r="AF196" s="683" t="e">
        <f>ABS(_xll.BDP(Options[[#This Row],[P-Ticker]], "OPT_DELTA_YEST"))*100</f>
        <v>#VALUE!</v>
      </c>
      <c r="AG196" s="683" t="str">
        <f>IFERROR(ABS(RTD("esrtd",,Options[[#This Row],[Index]] &amp; " " &amp; Options[[#This Row],[Month]] &amp; "P" &amp; $AL196*100 &amp; "-ICE", "OldSettlement")), "")</f>
        <v/>
      </c>
      <c r="AH196" s="683" t="str">
        <f>IFERROR(ABS(RTD("esrtd",,Options[[#This Row],[Index]] &amp; " " &amp; Options[[#This Row],[Month]] &amp; "P" &amp; $AL196*100 &amp; "-ICE", "OldSetIV"))*100, "")</f>
        <v/>
      </c>
      <c r="AI196" s="683" t="str">
        <f>IFERROR(ABS(RTD("esrtd",,Options[[#This Row],[Index]] &amp; " " &amp; Options[[#This Row],[Month]] &amp; "P" &amp; $AL196*100 &amp; "-ICE", "Delta"))*100, "")</f>
        <v/>
      </c>
      <c r="AJ196" s="683" t="str">
        <f>IFERROR(ABS(RTD("esrtd",,Options[[#This Row],[Index]] &amp; " " &amp; Options[[#This Row],[Month]] &amp; "P" &amp; $AL196*100 &amp; "-ICE", "Market")), "")</f>
        <v/>
      </c>
      <c r="AK196" s="683" t="str">
        <f>IFERROR(ABS(RTD("esrtd",,Options[[#This Row],[Index]] &amp; " " &amp; Options[[#This Row],[Month]] &amp; "P" &amp; $AL196*100 &amp; "-ICE", "ImpVol"))*100, "")</f>
        <v/>
      </c>
      <c r="AL196" s="676">
        <v>150</v>
      </c>
      <c r="AM196" s="711" t="e">
        <f>ABS(_xll.BDP(Options[[#This Row],[C-Ticker]], "OPT_DELTA_YEST"))*100</f>
        <v>#VALUE!</v>
      </c>
      <c r="AN196" s="684" t="str">
        <f>IFERROR(ABS(RTD("esrtd",,Options[[#This Row],[Index]] &amp; " " &amp; Options[[#This Row],[Month]] &amp; "C" &amp; $AL196*100 &amp; "-ICE", "OldSettlement")), "")</f>
        <v/>
      </c>
      <c r="AO196" s="684" t="str">
        <f>IFERROR(ABS(RTD("esrtd",,Options[[#This Row],[Index]] &amp; " " &amp; Options[[#This Row],[Month]] &amp; "C" &amp; $AL196*100 &amp; "-ICE", "OldSetIV"))*100, "")</f>
        <v/>
      </c>
      <c r="AP196" s="684" t="str">
        <f>IFERROR(ABS(RTD("esrtd",,Options[[#This Row],[Index]] &amp; " " &amp; Options[[#This Row],[Month]] &amp; "C" &amp; $AL196*100 &amp; "-ICE", "Delta"))*100, "")</f>
        <v/>
      </c>
      <c r="AQ196" s="684" t="str">
        <f>IFERROR(ABS(RTD("esrtd",,Options[[#This Row],[Index]] &amp; " " &amp; Options[[#This Row],[Month]] &amp; "C" &amp; $AL196*100 &amp; "-ICE", "Market")), "")</f>
        <v/>
      </c>
      <c r="AR196" s="684" t="str">
        <f>IFERROR(ABS(RTD("esrtd",,Options[[#This Row],[Index]] &amp; " " &amp; Options[[#This Row],[Month]] &amp; "C" &amp; $AL196*100 &amp; "-ICE", "ImpVol"))*100, "")</f>
        <v/>
      </c>
    </row>
    <row r="197" spans="28:44" x14ac:dyDescent="0.25">
      <c r="AB197" s="596" t="s">
        <v>119</v>
      </c>
      <c r="AC197" s="596" t="s">
        <v>1395</v>
      </c>
      <c r="AD197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160.00 Comdty</v>
      </c>
      <c r="AE197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160.00 Comdty</v>
      </c>
      <c r="AF197" s="683" t="e">
        <f>ABS(_xll.BDP(Options[[#This Row],[P-Ticker]], "OPT_DELTA_YEST"))*100</f>
        <v>#VALUE!</v>
      </c>
      <c r="AG197" s="683" t="str">
        <f>IFERROR(ABS(RTD("esrtd",,Options[[#This Row],[Index]] &amp; " " &amp; Options[[#This Row],[Month]] &amp; "P" &amp; $AL197*100 &amp; "-ICE", "OldSettlement")), "")</f>
        <v/>
      </c>
      <c r="AH197" s="683" t="str">
        <f>IFERROR(ABS(RTD("esrtd",,Options[[#This Row],[Index]] &amp; " " &amp; Options[[#This Row],[Month]] &amp; "P" &amp; $AL197*100 &amp; "-ICE", "OldSetIV"))*100, "")</f>
        <v/>
      </c>
      <c r="AI197" s="683" t="str">
        <f>IFERROR(ABS(RTD("esrtd",,Options[[#This Row],[Index]] &amp; " " &amp; Options[[#This Row],[Month]] &amp; "P" &amp; $AL197*100 &amp; "-ICE", "Delta"))*100, "")</f>
        <v/>
      </c>
      <c r="AJ197" s="683" t="str">
        <f>IFERROR(ABS(RTD("esrtd",,Options[[#This Row],[Index]] &amp; " " &amp; Options[[#This Row],[Month]] &amp; "P" &amp; $AL197*100 &amp; "-ICE", "Market")), "")</f>
        <v/>
      </c>
      <c r="AK197" s="683" t="str">
        <f>IFERROR(ABS(RTD("esrtd",,Options[[#This Row],[Index]] &amp; " " &amp; Options[[#This Row],[Month]] &amp; "P" &amp; $AL197*100 &amp; "-ICE", "ImpVol"))*100, "")</f>
        <v/>
      </c>
      <c r="AL197" s="676">
        <v>160</v>
      </c>
      <c r="AM197" s="711" t="e">
        <f>ABS(_xll.BDP(Options[[#This Row],[C-Ticker]], "OPT_DELTA_YEST"))*100</f>
        <v>#VALUE!</v>
      </c>
      <c r="AN197" s="684" t="str">
        <f>IFERROR(ABS(RTD("esrtd",,Options[[#This Row],[Index]] &amp; " " &amp; Options[[#This Row],[Month]] &amp; "C" &amp; $AL197*100 &amp; "-ICE", "OldSettlement")), "")</f>
        <v/>
      </c>
      <c r="AO197" s="684" t="str">
        <f>IFERROR(ABS(RTD("esrtd",,Options[[#This Row],[Index]] &amp; " " &amp; Options[[#This Row],[Month]] &amp; "C" &amp; $AL197*100 &amp; "-ICE", "OldSetIV"))*100, "")</f>
        <v/>
      </c>
      <c r="AP197" s="684" t="str">
        <f>IFERROR(ABS(RTD("esrtd",,Options[[#This Row],[Index]] &amp; " " &amp; Options[[#This Row],[Month]] &amp; "C" &amp; $AL197*100 &amp; "-ICE", "Delta"))*100, "")</f>
        <v/>
      </c>
      <c r="AQ197" s="684" t="str">
        <f>IFERROR(ABS(RTD("esrtd",,Options[[#This Row],[Index]] &amp; " " &amp; Options[[#This Row],[Month]] &amp; "C" &amp; $AL197*100 &amp; "-ICE", "Market")), "")</f>
        <v/>
      </c>
      <c r="AR197" s="684" t="str">
        <f>IFERROR(ABS(RTD("esrtd",,Options[[#This Row],[Index]] &amp; " " &amp; Options[[#This Row],[Month]] &amp; "C" &amp; $AL197*100 &amp; "-ICE", "ImpVol"))*100, "")</f>
        <v/>
      </c>
    </row>
    <row r="198" spans="28:44" x14ac:dyDescent="0.25">
      <c r="AB198" s="596" t="s">
        <v>119</v>
      </c>
      <c r="AC198" s="596" t="s">
        <v>1395</v>
      </c>
      <c r="AD198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180.00 Comdty</v>
      </c>
      <c r="AE198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180.00 Comdty</v>
      </c>
      <c r="AF198" s="683" t="e">
        <f>ABS(_xll.BDP(Options[[#This Row],[P-Ticker]], "OPT_DELTA_YEST"))*100</f>
        <v>#VALUE!</v>
      </c>
      <c r="AG198" s="683" t="str">
        <f>IFERROR(ABS(RTD("esrtd",,Options[[#This Row],[Index]] &amp; " " &amp; Options[[#This Row],[Month]] &amp; "P" &amp; $AL198*100 &amp; "-ICE", "OldSettlement")), "")</f>
        <v/>
      </c>
      <c r="AH198" s="683" t="str">
        <f>IFERROR(ABS(RTD("esrtd",,Options[[#This Row],[Index]] &amp; " " &amp; Options[[#This Row],[Month]] &amp; "P" &amp; $AL198*100 &amp; "-ICE", "OldSetIV"))*100, "")</f>
        <v/>
      </c>
      <c r="AI198" s="683" t="str">
        <f>IFERROR(ABS(RTD("esrtd",,Options[[#This Row],[Index]] &amp; " " &amp; Options[[#This Row],[Month]] &amp; "P" &amp; $AL198*100 &amp; "-ICE", "Delta"))*100, "")</f>
        <v/>
      </c>
      <c r="AJ198" s="683" t="str">
        <f>IFERROR(ABS(RTD("esrtd",,Options[[#This Row],[Index]] &amp; " " &amp; Options[[#This Row],[Month]] &amp; "P" &amp; $AL198*100 &amp; "-ICE", "Market")), "")</f>
        <v/>
      </c>
      <c r="AK198" s="683" t="str">
        <f>IFERROR(ABS(RTD("esrtd",,Options[[#This Row],[Index]] &amp; " " &amp; Options[[#This Row],[Month]] &amp; "P" &amp; $AL198*100 &amp; "-ICE", "ImpVol"))*100, "")</f>
        <v/>
      </c>
      <c r="AL198" s="676">
        <v>180</v>
      </c>
      <c r="AM198" s="711" t="e">
        <f>ABS(_xll.BDP(Options[[#This Row],[C-Ticker]], "OPT_DELTA_YEST"))*100</f>
        <v>#VALUE!</v>
      </c>
      <c r="AN198" s="684" t="str">
        <f>IFERROR(ABS(RTD("esrtd",,Options[[#This Row],[Index]] &amp; " " &amp; Options[[#This Row],[Month]] &amp; "C" &amp; $AL198*100 &amp; "-ICE", "OldSettlement")), "")</f>
        <v/>
      </c>
      <c r="AO198" s="684" t="str">
        <f>IFERROR(ABS(RTD("esrtd",,Options[[#This Row],[Index]] &amp; " " &amp; Options[[#This Row],[Month]] &amp; "C" &amp; $AL198*100 &amp; "-ICE", "OldSetIV"))*100, "")</f>
        <v/>
      </c>
      <c r="AP198" s="684" t="str">
        <f>IFERROR(ABS(RTD("esrtd",,Options[[#This Row],[Index]] &amp; " " &amp; Options[[#This Row],[Month]] &amp; "C" &amp; $AL198*100 &amp; "-ICE", "Delta"))*100, "")</f>
        <v/>
      </c>
      <c r="AQ198" s="684" t="str">
        <f>IFERROR(ABS(RTD("esrtd",,Options[[#This Row],[Index]] &amp; " " &amp; Options[[#This Row],[Month]] &amp; "C" &amp; $AL198*100 &amp; "-ICE", "Market")), "")</f>
        <v/>
      </c>
      <c r="AR198" s="684" t="str">
        <f>IFERROR(ABS(RTD("esrtd",,Options[[#This Row],[Index]] &amp; " " &amp; Options[[#This Row],[Month]] &amp; "C" &amp; $AL198*100 &amp; "-ICE", "ImpVol"))*100, "")</f>
        <v/>
      </c>
    </row>
    <row r="199" spans="28:44" x14ac:dyDescent="0.25">
      <c r="AB199" s="596" t="s">
        <v>119</v>
      </c>
      <c r="AC199" s="596" t="s">
        <v>1395</v>
      </c>
      <c r="AD199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200.00 Comdty</v>
      </c>
      <c r="AE199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200.00 Comdty</v>
      </c>
      <c r="AF199" s="683" t="e">
        <f>ABS(_xll.BDP(Options[[#This Row],[P-Ticker]], "OPT_DELTA_YEST"))*100</f>
        <v>#VALUE!</v>
      </c>
      <c r="AG199" s="683" t="str">
        <f>IFERROR(ABS(RTD("esrtd",,Options[[#This Row],[Index]] &amp; " " &amp; Options[[#This Row],[Month]] &amp; "P" &amp; $AL199*100 &amp; "-ICE", "OldSettlement")), "")</f>
        <v/>
      </c>
      <c r="AH199" s="683" t="str">
        <f>IFERROR(ABS(RTD("esrtd",,Options[[#This Row],[Index]] &amp; " " &amp; Options[[#This Row],[Month]] &amp; "P" &amp; $AL199*100 &amp; "-ICE", "OldSetIV"))*100, "")</f>
        <v/>
      </c>
      <c r="AI199" s="683" t="str">
        <f>IFERROR(ABS(RTD("esrtd",,Options[[#This Row],[Index]] &amp; " " &amp; Options[[#This Row],[Month]] &amp; "P" &amp; $AL199*100 &amp; "-ICE", "Delta"))*100, "")</f>
        <v/>
      </c>
      <c r="AJ199" s="683" t="str">
        <f>IFERROR(ABS(RTD("esrtd",,Options[[#This Row],[Index]] &amp; " " &amp; Options[[#This Row],[Month]] &amp; "P" &amp; $AL199*100 &amp; "-ICE", "Market")), "")</f>
        <v/>
      </c>
      <c r="AK199" s="683" t="str">
        <f>IFERROR(ABS(RTD("esrtd",,Options[[#This Row],[Index]] &amp; " " &amp; Options[[#This Row],[Month]] &amp; "P" &amp; $AL199*100 &amp; "-ICE", "ImpVol"))*100, "")</f>
        <v/>
      </c>
      <c r="AL199" s="676">
        <v>200</v>
      </c>
      <c r="AM199" s="711" t="e">
        <f>ABS(_xll.BDP(Options[[#This Row],[C-Ticker]], "OPT_DELTA_YEST"))*100</f>
        <v>#VALUE!</v>
      </c>
      <c r="AN199" s="684" t="str">
        <f>IFERROR(ABS(RTD("esrtd",,Options[[#This Row],[Index]] &amp; " " &amp; Options[[#This Row],[Month]] &amp; "C" &amp; $AL199*100 &amp; "-ICE", "OldSettlement")), "")</f>
        <v/>
      </c>
      <c r="AO199" s="684" t="str">
        <f>IFERROR(ABS(RTD("esrtd",,Options[[#This Row],[Index]] &amp; " " &amp; Options[[#This Row],[Month]] &amp; "C" &amp; $AL199*100 &amp; "-ICE", "OldSetIV"))*100, "")</f>
        <v/>
      </c>
      <c r="AP199" s="684" t="str">
        <f>IFERROR(ABS(RTD("esrtd",,Options[[#This Row],[Index]] &amp; " " &amp; Options[[#This Row],[Month]] &amp; "C" &amp; $AL199*100 &amp; "-ICE", "Delta"))*100, "")</f>
        <v/>
      </c>
      <c r="AQ199" s="684" t="str">
        <f>IFERROR(ABS(RTD("esrtd",,Options[[#This Row],[Index]] &amp; " " &amp; Options[[#This Row],[Month]] &amp; "C" &amp; $AL199*100 &amp; "-ICE", "Market")), "")</f>
        <v/>
      </c>
      <c r="AR199" s="684" t="str">
        <f>IFERROR(ABS(RTD("esrtd",,Options[[#This Row],[Index]] &amp; " " &amp; Options[[#This Row],[Month]] &amp; "C" &amp; $AL199*100 &amp; "-ICE", "ImpVol"))*100, "")</f>
        <v/>
      </c>
    </row>
    <row r="200" spans="28:44" x14ac:dyDescent="0.25">
      <c r="AB200" s="596" t="s">
        <v>119</v>
      </c>
      <c r="AC200" s="596" t="s">
        <v>1395</v>
      </c>
      <c r="AD200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250.00 Comdty</v>
      </c>
      <c r="AE200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250.00 Comdty</v>
      </c>
      <c r="AF200" s="683" t="e">
        <f>ABS(_xll.BDP(Options[[#This Row],[P-Ticker]], "OPT_DELTA_YEST"))*100</f>
        <v>#VALUE!</v>
      </c>
      <c r="AG200" s="683" t="str">
        <f>IFERROR(ABS(RTD("esrtd",,Options[[#This Row],[Index]] &amp; " " &amp; Options[[#This Row],[Month]] &amp; "P" &amp; $AL200*100 &amp; "-ICE", "OldSettlement")), "")</f>
        <v/>
      </c>
      <c r="AH200" s="683" t="str">
        <f>IFERROR(ABS(RTD("esrtd",,Options[[#This Row],[Index]] &amp; " " &amp; Options[[#This Row],[Month]] &amp; "P" &amp; $AL200*100 &amp; "-ICE", "OldSetIV"))*100, "")</f>
        <v/>
      </c>
      <c r="AI200" s="683" t="str">
        <f>IFERROR(ABS(RTD("esrtd",,Options[[#This Row],[Index]] &amp; " " &amp; Options[[#This Row],[Month]] &amp; "P" &amp; $AL200*100 &amp; "-ICE", "Delta"))*100, "")</f>
        <v/>
      </c>
      <c r="AJ200" s="683" t="str">
        <f>IFERROR(ABS(RTD("esrtd",,Options[[#This Row],[Index]] &amp; " " &amp; Options[[#This Row],[Month]] &amp; "P" &amp; $AL200*100 &amp; "-ICE", "Market")), "")</f>
        <v/>
      </c>
      <c r="AK200" s="683" t="str">
        <f>IFERROR(ABS(RTD("esrtd",,Options[[#This Row],[Index]] &amp; " " &amp; Options[[#This Row],[Month]] &amp; "P" &amp; $AL200*100 &amp; "-ICE", "ImpVol"))*100, "")</f>
        <v/>
      </c>
      <c r="AL200" s="676">
        <v>250</v>
      </c>
      <c r="AM200" s="711" t="e">
        <f>ABS(_xll.BDP(Options[[#This Row],[C-Ticker]], "OPT_DELTA_YEST"))*100</f>
        <v>#VALUE!</v>
      </c>
      <c r="AN200" s="684" t="str">
        <f>IFERROR(ABS(RTD("esrtd",,Options[[#This Row],[Index]] &amp; " " &amp; Options[[#This Row],[Month]] &amp; "C" &amp; $AL200*100 &amp; "-ICE", "OldSettlement")), "")</f>
        <v/>
      </c>
      <c r="AO200" s="684" t="str">
        <f>IFERROR(ABS(RTD("esrtd",,Options[[#This Row],[Index]] &amp; " " &amp; Options[[#This Row],[Month]] &amp; "C" &amp; $AL200*100 &amp; "-ICE", "OldSetIV"))*100, "")</f>
        <v/>
      </c>
      <c r="AP200" s="684" t="str">
        <f>IFERROR(ABS(RTD("esrtd",,Options[[#This Row],[Index]] &amp; " " &amp; Options[[#This Row],[Month]] &amp; "C" &amp; $AL200*100 &amp; "-ICE", "Delta"))*100, "")</f>
        <v/>
      </c>
      <c r="AQ200" s="684" t="str">
        <f>IFERROR(ABS(RTD("esrtd",,Options[[#This Row],[Index]] &amp; " " &amp; Options[[#This Row],[Month]] &amp; "C" &amp; $AL200*100 &amp; "-ICE", "Market")), "")</f>
        <v/>
      </c>
      <c r="AR200" s="684" t="str">
        <f>IFERROR(ABS(RTD("esrtd",,Options[[#This Row],[Index]] &amp; " " &amp; Options[[#This Row],[Month]] &amp; "C" &amp; $AL200*100 &amp; "-ICE", "ImpVol"))*100, "")</f>
        <v/>
      </c>
    </row>
    <row r="201" spans="28:44" x14ac:dyDescent="0.25">
      <c r="AB201" s="596" t="s">
        <v>119</v>
      </c>
      <c r="AC201" s="596" t="s">
        <v>1395</v>
      </c>
      <c r="AD201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300.00 Comdty</v>
      </c>
      <c r="AE201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300.00 Comdty</v>
      </c>
      <c r="AF201" s="683" t="e">
        <f>ABS(_xll.BDP(Options[[#This Row],[P-Ticker]], "OPT_DELTA_YEST"))*100</f>
        <v>#VALUE!</v>
      </c>
      <c r="AG201" s="683" t="str">
        <f>IFERROR(ABS(RTD("esrtd",,Options[[#This Row],[Index]] &amp; " " &amp; Options[[#This Row],[Month]] &amp; "P" &amp; $AL201*100 &amp; "-ICE", "OldSettlement")), "")</f>
        <v/>
      </c>
      <c r="AH201" s="683" t="str">
        <f>IFERROR(ABS(RTD("esrtd",,Options[[#This Row],[Index]] &amp; " " &amp; Options[[#This Row],[Month]] &amp; "P" &amp; $AL201*100 &amp; "-ICE", "OldSetIV"))*100, "")</f>
        <v/>
      </c>
      <c r="AI201" s="683" t="str">
        <f>IFERROR(ABS(RTD("esrtd",,Options[[#This Row],[Index]] &amp; " " &amp; Options[[#This Row],[Month]] &amp; "P" &amp; $AL201*100 &amp; "-ICE", "Delta"))*100, "")</f>
        <v/>
      </c>
      <c r="AJ201" s="683" t="str">
        <f>IFERROR(ABS(RTD("esrtd",,Options[[#This Row],[Index]] &amp; " " &amp; Options[[#This Row],[Month]] &amp; "P" &amp; $AL201*100 &amp; "-ICE", "Market")), "")</f>
        <v/>
      </c>
      <c r="AK201" s="683" t="str">
        <f>IFERROR(ABS(RTD("esrtd",,Options[[#This Row],[Index]] &amp; " " &amp; Options[[#This Row],[Month]] &amp; "P" &amp; $AL201*100 &amp; "-ICE", "ImpVol"))*100, "")</f>
        <v/>
      </c>
      <c r="AL201" s="676">
        <v>300</v>
      </c>
      <c r="AM201" s="711" t="e">
        <f>ABS(_xll.BDP(Options[[#This Row],[C-Ticker]], "OPT_DELTA_YEST"))*100</f>
        <v>#VALUE!</v>
      </c>
      <c r="AN201" s="684" t="str">
        <f>IFERROR(ABS(RTD("esrtd",,Options[[#This Row],[Index]] &amp; " " &amp; Options[[#This Row],[Month]] &amp; "C" &amp; $AL201*100 &amp; "-ICE", "OldSettlement")), "")</f>
        <v/>
      </c>
      <c r="AO201" s="684" t="str">
        <f>IFERROR(ABS(RTD("esrtd",,Options[[#This Row],[Index]] &amp; " " &amp; Options[[#This Row],[Month]] &amp; "C" &amp; $AL201*100 &amp; "-ICE", "OldSetIV"))*100, "")</f>
        <v/>
      </c>
      <c r="AP201" s="684" t="str">
        <f>IFERROR(ABS(RTD("esrtd",,Options[[#This Row],[Index]] &amp; " " &amp; Options[[#This Row],[Month]] &amp; "C" &amp; $AL201*100 &amp; "-ICE", "Delta"))*100, "")</f>
        <v/>
      </c>
      <c r="AQ201" s="684" t="str">
        <f>IFERROR(ABS(RTD("esrtd",,Options[[#This Row],[Index]] &amp; " " &amp; Options[[#This Row],[Month]] &amp; "C" &amp; $AL201*100 &amp; "-ICE", "Market")), "")</f>
        <v/>
      </c>
      <c r="AR201" s="684" t="str">
        <f>IFERROR(ABS(RTD("esrtd",,Options[[#This Row],[Index]] &amp; " " &amp; Options[[#This Row],[Month]] &amp; "C" &amp; $AL201*100 &amp; "-ICE", "ImpVol"))*100, "")</f>
        <v/>
      </c>
    </row>
    <row r="202" spans="28:44" x14ac:dyDescent="0.25">
      <c r="AB202" s="596" t="s">
        <v>119</v>
      </c>
      <c r="AC202" s="596" t="s">
        <v>1395</v>
      </c>
      <c r="AD202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300.00 Comdty</v>
      </c>
      <c r="AE202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300.00 Comdty</v>
      </c>
      <c r="AF202" s="683" t="e">
        <f>ABS(_xll.BDP(Options[[#This Row],[P-Ticker]], "OPT_DELTA_YEST"))*100</f>
        <v>#VALUE!</v>
      </c>
      <c r="AG202" s="683" t="str">
        <f>IFERROR(ABS(RTD("esrtd",,Options[[#This Row],[Index]] &amp; " " &amp; Options[[#This Row],[Month]] &amp; "P" &amp; $AL202*100 &amp; "-ICE", "OldSettlement")), "")</f>
        <v/>
      </c>
      <c r="AH202" s="683" t="str">
        <f>IFERROR(ABS(RTD("esrtd",,Options[[#This Row],[Index]] &amp; " " &amp; Options[[#This Row],[Month]] &amp; "P" &amp; $AL202*100 &amp; "-ICE", "OldSetIV"))*100, "")</f>
        <v/>
      </c>
      <c r="AI202" s="683" t="str">
        <f>IFERROR(ABS(RTD("esrtd",,Options[[#This Row],[Index]] &amp; " " &amp; Options[[#This Row],[Month]] &amp; "P" &amp; $AL202*100 &amp; "-ICE", "Delta"))*100, "")</f>
        <v/>
      </c>
      <c r="AJ202" s="683" t="str">
        <f>IFERROR(ABS(RTD("esrtd",,Options[[#This Row],[Index]] &amp; " " &amp; Options[[#This Row],[Month]] &amp; "P" &amp; $AL202*100 &amp; "-ICE", "Market")), "")</f>
        <v/>
      </c>
      <c r="AK202" s="683" t="str">
        <f>IFERROR(ABS(RTD("esrtd",,Options[[#This Row],[Index]] &amp; " " &amp; Options[[#This Row],[Month]] &amp; "P" &amp; $AL202*100 &amp; "-ICE", "ImpVol"))*100, "")</f>
        <v/>
      </c>
      <c r="AL202" s="676">
        <v>300</v>
      </c>
      <c r="AM202" s="711" t="e">
        <f>ABS(_xll.BDP(Options[[#This Row],[C-Ticker]], "OPT_DELTA_YEST"))*100</f>
        <v>#VALUE!</v>
      </c>
      <c r="AN202" s="684" t="str">
        <f>IFERROR(ABS(RTD("esrtd",,Options[[#This Row],[Index]] &amp; " " &amp; Options[[#This Row],[Month]] &amp; "C" &amp; $AL202*100 &amp; "-ICE", "OldSettlement")), "")</f>
        <v/>
      </c>
      <c r="AO202" s="684" t="str">
        <f>IFERROR(ABS(RTD("esrtd",,Options[[#This Row],[Index]] &amp; " " &amp; Options[[#This Row],[Month]] &amp; "C" &amp; $AL202*100 &amp; "-ICE", "OldSetIV"))*100, "")</f>
        <v/>
      </c>
      <c r="AP202" s="684" t="str">
        <f>IFERROR(ABS(RTD("esrtd",,Options[[#This Row],[Index]] &amp; " " &amp; Options[[#This Row],[Month]] &amp; "C" &amp; $AL202*100 &amp; "-ICE", "Delta"))*100, "")</f>
        <v/>
      </c>
      <c r="AQ202" s="684" t="str">
        <f>IFERROR(ABS(RTD("esrtd",,Options[[#This Row],[Index]] &amp; " " &amp; Options[[#This Row],[Month]] &amp; "C" &amp; $AL202*100 &amp; "-ICE", "Market")), "")</f>
        <v/>
      </c>
      <c r="AR202" s="684" t="str">
        <f>IFERROR(ABS(RTD("esrtd",,Options[[#This Row],[Index]] &amp; " " &amp; Options[[#This Row],[Month]] &amp; "C" &amp; $AL202*100 &amp; "-ICE", "ImpVol"))*100, "")</f>
        <v/>
      </c>
    </row>
    <row r="203" spans="28:44" x14ac:dyDescent="0.25">
      <c r="AB203" s="596" t="s">
        <v>119</v>
      </c>
      <c r="AC203" s="596" t="s">
        <v>1395</v>
      </c>
      <c r="AD203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300.00 Comdty</v>
      </c>
      <c r="AE203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300.00 Comdty</v>
      </c>
      <c r="AF203" s="683" t="e">
        <f>ABS(_xll.BDP(Options[[#This Row],[P-Ticker]], "OPT_DELTA_YEST"))*100</f>
        <v>#VALUE!</v>
      </c>
      <c r="AG203" s="683" t="str">
        <f>IFERROR(ABS(RTD("esrtd",,Options[[#This Row],[Index]] &amp; " " &amp; Options[[#This Row],[Month]] &amp; "P" &amp; $AL203*100 &amp; "-ICE", "OldSettlement")), "")</f>
        <v/>
      </c>
      <c r="AH203" s="683" t="str">
        <f>IFERROR(ABS(RTD("esrtd",,Options[[#This Row],[Index]] &amp; " " &amp; Options[[#This Row],[Month]] &amp; "P" &amp; $AL203*100 &amp; "-ICE", "OldSetIV"))*100, "")</f>
        <v/>
      </c>
      <c r="AI203" s="683" t="str">
        <f>IFERROR(ABS(RTD("esrtd",,Options[[#This Row],[Index]] &amp; " " &amp; Options[[#This Row],[Month]] &amp; "P" &amp; $AL203*100 &amp; "-ICE", "Delta"))*100, "")</f>
        <v/>
      </c>
      <c r="AJ203" s="683" t="str">
        <f>IFERROR(ABS(RTD("esrtd",,Options[[#This Row],[Index]] &amp; " " &amp; Options[[#This Row],[Month]] &amp; "P" &amp; $AL203*100 &amp; "-ICE", "Market")), "")</f>
        <v/>
      </c>
      <c r="AK203" s="683" t="str">
        <f>IFERROR(ABS(RTD("esrtd",,Options[[#This Row],[Index]] &amp; " " &amp; Options[[#This Row],[Month]] &amp; "P" &amp; $AL203*100 &amp; "-ICE", "ImpVol"))*100, "")</f>
        <v/>
      </c>
      <c r="AL203" s="676">
        <v>300</v>
      </c>
      <c r="AM203" s="711" t="e">
        <f>ABS(_xll.BDP(Options[[#This Row],[C-Ticker]], "OPT_DELTA_YEST"))*100</f>
        <v>#VALUE!</v>
      </c>
      <c r="AN203" s="684" t="str">
        <f>IFERROR(ABS(RTD("esrtd",,Options[[#This Row],[Index]] &amp; " " &amp; Options[[#This Row],[Month]] &amp; "C" &amp; $AL203*100 &amp; "-ICE", "OldSettlement")), "")</f>
        <v/>
      </c>
      <c r="AO203" s="684" t="str">
        <f>IFERROR(ABS(RTD("esrtd",,Options[[#This Row],[Index]] &amp; " " &amp; Options[[#This Row],[Month]] &amp; "C" &amp; $AL203*100 &amp; "-ICE", "OldSetIV"))*100, "")</f>
        <v/>
      </c>
      <c r="AP203" s="684" t="str">
        <f>IFERROR(ABS(RTD("esrtd",,Options[[#This Row],[Index]] &amp; " " &amp; Options[[#This Row],[Month]] &amp; "C" &amp; $AL203*100 &amp; "-ICE", "Delta"))*100, "")</f>
        <v/>
      </c>
      <c r="AQ203" s="684" t="str">
        <f>IFERROR(ABS(RTD("esrtd",,Options[[#This Row],[Index]] &amp; " " &amp; Options[[#This Row],[Month]] &amp; "C" &amp; $AL203*100 &amp; "-ICE", "Market")), "")</f>
        <v/>
      </c>
      <c r="AR203" s="684" t="str">
        <f>IFERROR(ABS(RTD("esrtd",,Options[[#This Row],[Index]] &amp; " " &amp; Options[[#This Row],[Month]] &amp; "C" &amp; $AL203*100 &amp; "-ICE", "ImpVol"))*100, "")</f>
        <v/>
      </c>
    </row>
    <row r="204" spans="28:44" x14ac:dyDescent="0.25">
      <c r="AB204" s="596" t="s">
        <v>119</v>
      </c>
      <c r="AC204" s="596" t="s">
        <v>1395</v>
      </c>
      <c r="AD204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300.00 Comdty</v>
      </c>
      <c r="AE204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300.00 Comdty</v>
      </c>
      <c r="AF204" s="683" t="e">
        <f>ABS(_xll.BDP(Options[[#This Row],[P-Ticker]], "OPT_DELTA_YEST"))*100</f>
        <v>#VALUE!</v>
      </c>
      <c r="AG204" s="683" t="str">
        <f>IFERROR(ABS(RTD("esrtd",,Options[[#This Row],[Index]] &amp; " " &amp; Options[[#This Row],[Month]] &amp; "P" &amp; $AL204*100 &amp; "-ICE", "OldSettlement")), "")</f>
        <v/>
      </c>
      <c r="AH204" s="683" t="str">
        <f>IFERROR(ABS(RTD("esrtd",,Options[[#This Row],[Index]] &amp; " " &amp; Options[[#This Row],[Month]] &amp; "P" &amp; $AL204*100 &amp; "-ICE", "OldSetIV"))*100, "")</f>
        <v/>
      </c>
      <c r="AI204" s="683" t="str">
        <f>IFERROR(ABS(RTD("esrtd",,Options[[#This Row],[Index]] &amp; " " &amp; Options[[#This Row],[Month]] &amp; "P" &amp; $AL204*100 &amp; "-ICE", "Delta"))*100, "")</f>
        <v/>
      </c>
      <c r="AJ204" s="683" t="str">
        <f>IFERROR(ABS(RTD("esrtd",,Options[[#This Row],[Index]] &amp; " " &amp; Options[[#This Row],[Month]] &amp; "P" &amp; $AL204*100 &amp; "-ICE", "Market")), "")</f>
        <v/>
      </c>
      <c r="AK204" s="683" t="str">
        <f>IFERROR(ABS(RTD("esrtd",,Options[[#This Row],[Index]] &amp; " " &amp; Options[[#This Row],[Month]] &amp; "P" &amp; $AL204*100 &amp; "-ICE", "ImpVol"))*100, "")</f>
        <v/>
      </c>
      <c r="AL204" s="676">
        <v>300</v>
      </c>
      <c r="AM204" s="711" t="e">
        <f>ABS(_xll.BDP(Options[[#This Row],[C-Ticker]], "OPT_DELTA_YEST"))*100</f>
        <v>#VALUE!</v>
      </c>
      <c r="AN204" s="684" t="str">
        <f>IFERROR(ABS(RTD("esrtd",,Options[[#This Row],[Index]] &amp; " " &amp; Options[[#This Row],[Month]] &amp; "C" &amp; $AL204*100 &amp; "-ICE", "OldSettlement")), "")</f>
        <v/>
      </c>
      <c r="AO204" s="684" t="str">
        <f>IFERROR(ABS(RTD("esrtd",,Options[[#This Row],[Index]] &amp; " " &amp; Options[[#This Row],[Month]] &amp; "C" &amp; $AL204*100 &amp; "-ICE", "OldSetIV"))*100, "")</f>
        <v/>
      </c>
      <c r="AP204" s="684" t="str">
        <f>IFERROR(ABS(RTD("esrtd",,Options[[#This Row],[Index]] &amp; " " &amp; Options[[#This Row],[Month]] &amp; "C" &amp; $AL204*100 &amp; "-ICE", "Delta"))*100, "")</f>
        <v/>
      </c>
      <c r="AQ204" s="684" t="str">
        <f>IFERROR(ABS(RTD("esrtd",,Options[[#This Row],[Index]] &amp; " " &amp; Options[[#This Row],[Month]] &amp; "C" &amp; $AL204*100 &amp; "-ICE", "Market")), "")</f>
        <v/>
      </c>
      <c r="AR204" s="684" t="str">
        <f>IFERROR(ABS(RTD("esrtd",,Options[[#This Row],[Index]] &amp; " " &amp; Options[[#This Row],[Month]] &amp; "C" &amp; $AL204*100 &amp; "-ICE", "ImpVol"))*100, "")</f>
        <v/>
      </c>
    </row>
    <row r="205" spans="28:44" x14ac:dyDescent="0.25">
      <c r="AB205" s="596" t="s">
        <v>119</v>
      </c>
      <c r="AC205" s="596" t="s">
        <v>1395</v>
      </c>
      <c r="AD205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300.00 Comdty</v>
      </c>
      <c r="AE205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300.00 Comdty</v>
      </c>
      <c r="AF205" s="683" t="e">
        <f>ABS(_xll.BDP(Options[[#This Row],[P-Ticker]], "OPT_DELTA_YEST"))*100</f>
        <v>#VALUE!</v>
      </c>
      <c r="AG205" s="683" t="str">
        <f>IFERROR(ABS(RTD("esrtd",,Options[[#This Row],[Index]] &amp; " " &amp; Options[[#This Row],[Month]] &amp; "P" &amp; $AL205*100 &amp; "-ICE", "OldSettlement")), "")</f>
        <v/>
      </c>
      <c r="AH205" s="683" t="str">
        <f>IFERROR(ABS(RTD("esrtd",,Options[[#This Row],[Index]] &amp; " " &amp; Options[[#This Row],[Month]] &amp; "P" &amp; $AL205*100 &amp; "-ICE", "OldSetIV"))*100, "")</f>
        <v/>
      </c>
      <c r="AI205" s="683" t="str">
        <f>IFERROR(ABS(RTD("esrtd",,Options[[#This Row],[Index]] &amp; " " &amp; Options[[#This Row],[Month]] &amp; "P" &amp; $AL205*100 &amp; "-ICE", "Delta"))*100, "")</f>
        <v/>
      </c>
      <c r="AJ205" s="683" t="str">
        <f>IFERROR(ABS(RTD("esrtd",,Options[[#This Row],[Index]] &amp; " " &amp; Options[[#This Row],[Month]] &amp; "P" &amp; $AL205*100 &amp; "-ICE", "Market")), "")</f>
        <v/>
      </c>
      <c r="AK205" s="683" t="str">
        <f>IFERROR(ABS(RTD("esrtd",,Options[[#This Row],[Index]] &amp; " " &amp; Options[[#This Row],[Month]] &amp; "P" &amp; $AL205*100 &amp; "-ICE", "ImpVol"))*100, "")</f>
        <v/>
      </c>
      <c r="AL205" s="676">
        <v>300</v>
      </c>
      <c r="AM205" s="711" t="e">
        <f>ABS(_xll.BDP(Options[[#This Row],[C-Ticker]], "OPT_DELTA_YEST"))*100</f>
        <v>#VALUE!</v>
      </c>
      <c r="AN205" s="684" t="str">
        <f>IFERROR(ABS(RTD("esrtd",,Options[[#This Row],[Index]] &amp; " " &amp; Options[[#This Row],[Month]] &amp; "C" &amp; $AL205*100 &amp; "-ICE", "OldSettlement")), "")</f>
        <v/>
      </c>
      <c r="AO205" s="684" t="str">
        <f>IFERROR(ABS(RTD("esrtd",,Options[[#This Row],[Index]] &amp; " " &amp; Options[[#This Row],[Month]] &amp; "C" &amp; $AL205*100 &amp; "-ICE", "OldSetIV"))*100, "")</f>
        <v/>
      </c>
      <c r="AP205" s="684" t="str">
        <f>IFERROR(ABS(RTD("esrtd",,Options[[#This Row],[Index]] &amp; " " &amp; Options[[#This Row],[Month]] &amp; "C" &amp; $AL205*100 &amp; "-ICE", "Delta"))*100, "")</f>
        <v/>
      </c>
      <c r="AQ205" s="684" t="str">
        <f>IFERROR(ABS(RTD("esrtd",,Options[[#This Row],[Index]] &amp; " " &amp; Options[[#This Row],[Month]] &amp; "C" &amp; $AL205*100 &amp; "-ICE", "Market")), "")</f>
        <v/>
      </c>
      <c r="AR205" s="684" t="str">
        <f>IFERROR(ABS(RTD("esrtd",,Options[[#This Row],[Index]] &amp; " " &amp; Options[[#This Row],[Month]] &amp; "C" &amp; $AL205*100 &amp; "-ICE", "ImpVol"))*100, "")</f>
        <v/>
      </c>
    </row>
    <row r="206" spans="28:44" x14ac:dyDescent="0.25">
      <c r="AB206" s="596" t="s">
        <v>119</v>
      </c>
      <c r="AC206" s="596" t="s">
        <v>1395</v>
      </c>
      <c r="AD206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300.00 Comdty</v>
      </c>
      <c r="AE206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300.00 Comdty</v>
      </c>
      <c r="AF206" s="683" t="e">
        <f>ABS(_xll.BDP(Options[[#This Row],[P-Ticker]], "OPT_DELTA_YEST"))*100</f>
        <v>#VALUE!</v>
      </c>
      <c r="AG206" s="683" t="str">
        <f>IFERROR(ABS(RTD("esrtd",,Options[[#This Row],[Index]] &amp; " " &amp; Options[[#This Row],[Month]] &amp; "P" &amp; $AL206*100 &amp; "-ICE", "OldSettlement")), "")</f>
        <v/>
      </c>
      <c r="AH206" s="683" t="str">
        <f>IFERROR(ABS(RTD("esrtd",,Options[[#This Row],[Index]] &amp; " " &amp; Options[[#This Row],[Month]] &amp; "P" &amp; $AL206*100 &amp; "-ICE", "OldSetIV"))*100, "")</f>
        <v/>
      </c>
      <c r="AI206" s="683" t="str">
        <f>IFERROR(ABS(RTD("esrtd",,Options[[#This Row],[Index]] &amp; " " &amp; Options[[#This Row],[Month]] &amp; "P" &amp; $AL206*100 &amp; "-ICE", "Delta"))*100, "")</f>
        <v/>
      </c>
      <c r="AJ206" s="683" t="str">
        <f>IFERROR(ABS(RTD("esrtd",,Options[[#This Row],[Index]] &amp; " " &amp; Options[[#This Row],[Month]] &amp; "P" &amp; $AL206*100 &amp; "-ICE", "Market")), "")</f>
        <v/>
      </c>
      <c r="AK206" s="683" t="str">
        <f>IFERROR(ABS(RTD("esrtd",,Options[[#This Row],[Index]] &amp; " " &amp; Options[[#This Row],[Month]] &amp; "P" &amp; $AL206*100 &amp; "-ICE", "ImpVol"))*100, "")</f>
        <v/>
      </c>
      <c r="AL206" s="676">
        <v>300</v>
      </c>
      <c r="AM206" s="711" t="e">
        <f>ABS(_xll.BDP(Options[[#This Row],[C-Ticker]], "OPT_DELTA_YEST"))*100</f>
        <v>#VALUE!</v>
      </c>
      <c r="AN206" s="684" t="str">
        <f>IFERROR(ABS(RTD("esrtd",,Options[[#This Row],[Index]] &amp; " " &amp; Options[[#This Row],[Month]] &amp; "C" &amp; $AL206*100 &amp; "-ICE", "OldSettlement")), "")</f>
        <v/>
      </c>
      <c r="AO206" s="684" t="str">
        <f>IFERROR(ABS(RTD("esrtd",,Options[[#This Row],[Index]] &amp; " " &amp; Options[[#This Row],[Month]] &amp; "C" &amp; $AL206*100 &amp; "-ICE", "OldSetIV"))*100, "")</f>
        <v/>
      </c>
      <c r="AP206" s="684" t="str">
        <f>IFERROR(ABS(RTD("esrtd",,Options[[#This Row],[Index]] &amp; " " &amp; Options[[#This Row],[Month]] &amp; "C" &amp; $AL206*100 &amp; "-ICE", "Delta"))*100, "")</f>
        <v/>
      </c>
      <c r="AQ206" s="684" t="str">
        <f>IFERROR(ABS(RTD("esrtd",,Options[[#This Row],[Index]] &amp; " " &amp; Options[[#This Row],[Month]] &amp; "C" &amp; $AL206*100 &amp; "-ICE", "Market")), "")</f>
        <v/>
      </c>
      <c r="AR206" s="684" t="str">
        <f>IFERROR(ABS(RTD("esrtd",,Options[[#This Row],[Index]] &amp; " " &amp; Options[[#This Row],[Month]] &amp; "C" &amp; $AL206*100 &amp; "-ICE", "ImpVol"))*100, "")</f>
        <v/>
      </c>
    </row>
    <row r="207" spans="28:44" x14ac:dyDescent="0.25">
      <c r="AB207" s="596" t="s">
        <v>119</v>
      </c>
      <c r="AC207" s="596" t="s">
        <v>1395</v>
      </c>
      <c r="AD207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300.00 Comdty</v>
      </c>
      <c r="AE207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300.00 Comdty</v>
      </c>
      <c r="AF207" s="683" t="e">
        <f>ABS(_xll.BDP(Options[[#This Row],[P-Ticker]], "OPT_DELTA_YEST"))*100</f>
        <v>#VALUE!</v>
      </c>
      <c r="AG207" s="683" t="str">
        <f>IFERROR(ABS(RTD("esrtd",,Options[[#This Row],[Index]] &amp; " " &amp; Options[[#This Row],[Month]] &amp; "P" &amp; $AL207*100 &amp; "-ICE", "OldSettlement")), "")</f>
        <v/>
      </c>
      <c r="AH207" s="683" t="str">
        <f>IFERROR(ABS(RTD("esrtd",,Options[[#This Row],[Index]] &amp; " " &amp; Options[[#This Row],[Month]] &amp; "P" &amp; $AL207*100 &amp; "-ICE", "OldSetIV"))*100, "")</f>
        <v/>
      </c>
      <c r="AI207" s="683" t="str">
        <f>IFERROR(ABS(RTD("esrtd",,Options[[#This Row],[Index]] &amp; " " &amp; Options[[#This Row],[Month]] &amp; "P" &amp; $AL207*100 &amp; "-ICE", "Delta"))*100, "")</f>
        <v/>
      </c>
      <c r="AJ207" s="683" t="str">
        <f>IFERROR(ABS(RTD("esrtd",,Options[[#This Row],[Index]] &amp; " " &amp; Options[[#This Row],[Month]] &amp; "P" &amp; $AL207*100 &amp; "-ICE", "Market")), "")</f>
        <v/>
      </c>
      <c r="AK207" s="683" t="str">
        <f>IFERROR(ABS(RTD("esrtd",,Options[[#This Row],[Index]] &amp; " " &amp; Options[[#This Row],[Month]] &amp; "P" &amp; $AL207*100 &amp; "-ICE", "ImpVol"))*100, "")</f>
        <v/>
      </c>
      <c r="AL207" s="676">
        <v>300</v>
      </c>
      <c r="AM207" s="711" t="e">
        <f>ABS(_xll.BDP(Options[[#This Row],[C-Ticker]], "OPT_DELTA_YEST"))*100</f>
        <v>#VALUE!</v>
      </c>
      <c r="AN207" s="684" t="str">
        <f>IFERROR(ABS(RTD("esrtd",,Options[[#This Row],[Index]] &amp; " " &amp; Options[[#This Row],[Month]] &amp; "C" &amp; $AL207*100 &amp; "-ICE", "OldSettlement")), "")</f>
        <v/>
      </c>
      <c r="AO207" s="684" t="str">
        <f>IFERROR(ABS(RTD("esrtd",,Options[[#This Row],[Index]] &amp; " " &amp; Options[[#This Row],[Month]] &amp; "C" &amp; $AL207*100 &amp; "-ICE", "OldSetIV"))*100, "")</f>
        <v/>
      </c>
      <c r="AP207" s="684" t="str">
        <f>IFERROR(ABS(RTD("esrtd",,Options[[#This Row],[Index]] &amp; " " &amp; Options[[#This Row],[Month]] &amp; "C" &amp; $AL207*100 &amp; "-ICE", "Delta"))*100, "")</f>
        <v/>
      </c>
      <c r="AQ207" s="684" t="str">
        <f>IFERROR(ABS(RTD("esrtd",,Options[[#This Row],[Index]] &amp; " " &amp; Options[[#This Row],[Month]] &amp; "C" &amp; $AL207*100 &amp; "-ICE", "Market")), "")</f>
        <v/>
      </c>
      <c r="AR207" s="684" t="str">
        <f>IFERROR(ABS(RTD("esrtd",,Options[[#This Row],[Index]] &amp; " " &amp; Options[[#This Row],[Month]] &amp; "C" &amp; $AL207*100 &amp; "-ICE", "ImpVol"))*100, "")</f>
        <v/>
      </c>
    </row>
    <row r="208" spans="28:44" x14ac:dyDescent="0.25">
      <c r="AB208" s="596" t="s">
        <v>119</v>
      </c>
      <c r="AC208" s="596" t="s">
        <v>1395</v>
      </c>
      <c r="AD208" s="596" t="str">
        <f>IF(Options[[#This Row],[Index]] = "BRN", "CO", "CL") &amp; RIGHT(Options[[#This Row],[Month]], 1) &amp; MID(Options[[#This Row],[Month]], 2, 1) &amp; "P" &amp; " " &amp; TEXT(Options[[#This Row],[Strike]], "00.00") &amp; " Comdty"</f>
        <v>COV6P 300.00 Comdty</v>
      </c>
      <c r="AE208" s="596" t="str">
        <f>IF(Options[[#This Row],[Index]] = "BRN", "CO", "CL") &amp; RIGHT(Options[[#This Row],[Month]], 1) &amp; MID(Options[[#This Row],[Month]], 2, 1) &amp; "C" &amp; " " &amp; TEXT(Options[[#This Row],[Strike]], "00.00") &amp; " Comdty"</f>
        <v>COV6C 300.00 Comdty</v>
      </c>
      <c r="AF208" s="683" t="e">
        <f>ABS(_xll.BDP(Options[[#This Row],[P-Ticker]], "OPT_DELTA_YEST"))*100</f>
        <v>#VALUE!</v>
      </c>
      <c r="AG208" s="683" t="str">
        <f>IFERROR(ABS(RTD("esrtd",,Options[[#This Row],[Index]] &amp; " " &amp; Options[[#This Row],[Month]] &amp; "P" &amp; $AL208*100 &amp; "-ICE", "OldSettlement")), "")</f>
        <v/>
      </c>
      <c r="AH208" s="683" t="str">
        <f>IFERROR(ABS(RTD("esrtd",,Options[[#This Row],[Index]] &amp; " " &amp; Options[[#This Row],[Month]] &amp; "P" &amp; $AL208*100 &amp; "-ICE", "OldSetIV"))*100, "")</f>
        <v/>
      </c>
      <c r="AI208" s="683" t="str">
        <f>IFERROR(ABS(RTD("esrtd",,Options[[#This Row],[Index]] &amp; " " &amp; Options[[#This Row],[Month]] &amp; "P" &amp; $AL208*100 &amp; "-ICE", "Delta"))*100, "")</f>
        <v/>
      </c>
      <c r="AJ208" s="683" t="str">
        <f>IFERROR(ABS(RTD("esrtd",,Options[[#This Row],[Index]] &amp; " " &amp; Options[[#This Row],[Month]] &amp; "P" &amp; $AL208*100 &amp; "-ICE", "Market")), "")</f>
        <v/>
      </c>
      <c r="AK208" s="683" t="str">
        <f>IFERROR(ABS(RTD("esrtd",,Options[[#This Row],[Index]] &amp; " " &amp; Options[[#This Row],[Month]] &amp; "P" &amp; $AL208*100 &amp; "-ICE", "ImpVol"))*100, "")</f>
        <v/>
      </c>
      <c r="AL208" s="676">
        <v>300</v>
      </c>
      <c r="AM208" s="711" t="e">
        <f>ABS(_xll.BDP(Options[[#This Row],[C-Ticker]], "OPT_DELTA_YEST"))*100</f>
        <v>#VALUE!</v>
      </c>
      <c r="AN208" s="684" t="str">
        <f>IFERROR(ABS(RTD("esrtd",,Options[[#This Row],[Index]] &amp; " " &amp; Options[[#This Row],[Month]] &amp; "C" &amp; $AL208*100 &amp; "-ICE", "OldSettlement")), "")</f>
        <v/>
      </c>
      <c r="AO208" s="684" t="str">
        <f>IFERROR(ABS(RTD("esrtd",,Options[[#This Row],[Index]] &amp; " " &amp; Options[[#This Row],[Month]] &amp; "C" &amp; $AL208*100 &amp; "-ICE", "OldSetIV"))*100, "")</f>
        <v/>
      </c>
      <c r="AP208" s="684" t="str">
        <f>IFERROR(ABS(RTD("esrtd",,Options[[#This Row],[Index]] &amp; " " &amp; Options[[#This Row],[Month]] &amp; "C" &amp; $AL208*100 &amp; "-ICE", "Delta"))*100, "")</f>
        <v/>
      </c>
      <c r="AQ208" s="684" t="str">
        <f>IFERROR(ABS(RTD("esrtd",,Options[[#This Row],[Index]] &amp; " " &amp; Options[[#This Row],[Month]] &amp; "C" &amp; $AL208*100 &amp; "-ICE", "Market")), "")</f>
        <v/>
      </c>
      <c r="AR208" s="684" t="str">
        <f>IFERROR(ABS(RTD("esrtd",,Options[[#This Row],[Index]] &amp; " " &amp; Options[[#This Row],[Month]] &amp; "C" &amp; $AL208*100 &amp; "-ICE", "ImpVol"))*100, "")</f>
        <v/>
      </c>
    </row>
  </sheetData>
  <phoneticPr fontId="9" type="noConversion"/>
  <conditionalFormatting sqref="S51:S58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{D72EB2C0-FF1C-4C88-906C-CAAB7D8FD7DB}</x14:id>
        </ext>
      </extLst>
    </cfRule>
  </conditionalFormatting>
  <conditionalFormatting sqref="S69:S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{78D5F9D4-9A97-4D33-A3CA-1EF844A8D80B}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2EB2C0-FF1C-4C88-906C-CAAB7D8FD7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S51:S58</xm:sqref>
        </x14:conditionalFormatting>
        <x14:conditionalFormatting xmlns:xm="http://schemas.microsoft.com/office/excel/2006/main">
          <x14:cfRule type="dataBar" id="{78D5F9D4-9A97-4D33-A3CA-1EF844A8D8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S69:S76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C7594-339B-435E-AA60-575E56E6DA82}">
  <sheetPr codeName="Sheet18">
    <tabColor theme="1"/>
    <pageSetUpPr autoPageBreaks="0"/>
  </sheetPr>
  <dimension ref="A1:AB1448"/>
  <sheetViews>
    <sheetView workbookViewId="0">
      <selection activeCell="J1008" sqref="A3:J1008"/>
    </sheetView>
  </sheetViews>
  <sheetFormatPr defaultColWidth="9.140625" defaultRowHeight="15" x14ac:dyDescent="0.25"/>
  <cols>
    <col min="1" max="2" width="13.140625" style="405" customWidth="1"/>
    <col min="3" max="3" width="10.7109375" style="57" customWidth="1"/>
    <col min="4" max="4" width="29" style="57" customWidth="1"/>
    <col min="5" max="5" width="15.7109375" style="57" customWidth="1"/>
    <col min="6" max="6" width="10.7109375" style="424" customWidth="1"/>
    <col min="7" max="7" width="10.7109375" style="264" customWidth="1"/>
    <col min="8" max="8" width="9" style="97" customWidth="1"/>
    <col min="9" max="9" width="9.140625" style="51"/>
    <col min="10" max="10" width="14.85546875" style="51" customWidth="1"/>
    <col min="11" max="12" width="9.140625" style="51"/>
    <col min="13" max="14" width="21.7109375" style="51" customWidth="1"/>
    <col min="15" max="15" width="14.5703125" style="51" customWidth="1"/>
    <col min="16" max="21" width="9.140625" style="51"/>
    <col min="22" max="22" width="16.85546875" style="51" customWidth="1"/>
    <col min="23" max="23" width="9.5703125" style="51" bestFit="1" customWidth="1"/>
    <col min="24" max="16384" width="9.140625" style="51"/>
  </cols>
  <sheetData>
    <row r="1" spans="1:23" x14ac:dyDescent="0.25">
      <c r="A1" s="409" t="s">
        <v>195</v>
      </c>
      <c r="B1" s="679"/>
      <c r="C1" s="407"/>
      <c r="D1" s="410"/>
      <c r="E1" s="410"/>
      <c r="F1" s="420"/>
      <c r="G1" s="420"/>
      <c r="H1" s="420"/>
      <c r="I1" s="420"/>
      <c r="J1" s="420"/>
      <c r="L1" s="51" t="s">
        <v>5</v>
      </c>
      <c r="M1" s="51" t="s">
        <v>196</v>
      </c>
      <c r="N1" s="51" t="s">
        <v>197</v>
      </c>
      <c r="O1" s="51" t="s">
        <v>198</v>
      </c>
      <c r="Q1" s="83" t="s">
        <v>5</v>
      </c>
      <c r="R1" s="84" t="s">
        <v>35</v>
      </c>
      <c r="V1" s="83" t="s">
        <v>199</v>
      </c>
    </row>
    <row r="2" spans="1:23" x14ac:dyDescent="0.25">
      <c r="A2" s="406" t="s">
        <v>200</v>
      </c>
      <c r="B2" s="406" t="s">
        <v>201</v>
      </c>
      <c r="C2" s="408" t="s">
        <v>5</v>
      </c>
      <c r="D2" s="408" t="s">
        <v>27</v>
      </c>
      <c r="E2" s="408" t="s">
        <v>107</v>
      </c>
      <c r="F2" s="421" t="s">
        <v>9</v>
      </c>
      <c r="G2" s="422" t="s">
        <v>10</v>
      </c>
      <c r="H2" s="408" t="s">
        <v>202</v>
      </c>
      <c r="I2" s="408" t="s">
        <v>203</v>
      </c>
      <c r="J2" s="408" t="s">
        <v>198</v>
      </c>
      <c r="L2" s="51" t="s">
        <v>204</v>
      </c>
      <c r="M2" s="51" t="s">
        <v>205</v>
      </c>
      <c r="N2" s="51" t="str">
        <f>Table19[[#This Row],[Broker]]&amp;"_"&amp;Table19[[#This Row],[Product]]</f>
        <v>AEM_Brent/Dubai Swap</v>
      </c>
      <c r="O2" s="51">
        <v>3.5</v>
      </c>
      <c r="Q2" s="51" t="s">
        <v>206</v>
      </c>
      <c r="R2" s="89">
        <f>SUMIF(Table13[Broker], $Q2, Table13[Commission])</f>
        <v>0</v>
      </c>
      <c r="V2" s="51" t="s">
        <v>207</v>
      </c>
      <c r="W2" s="89">
        <f>SUMIF( Table13[Year], "2026", Table13[Commission])</f>
        <v>0</v>
      </c>
    </row>
    <row r="3" spans="1:23" x14ac:dyDescent="0.25">
      <c r="A3" s="648"/>
      <c r="B3" s="454"/>
      <c r="C3" s="454"/>
      <c r="D3" s="454"/>
      <c r="E3" s="649"/>
      <c r="F3" s="640"/>
      <c r="G3" s="546"/>
      <c r="H3" s="650"/>
      <c r="I3" s="454"/>
      <c r="J3" s="640"/>
      <c r="L3" s="51" t="s">
        <v>204</v>
      </c>
      <c r="M3" s="51" t="s">
        <v>208</v>
      </c>
      <c r="N3" s="51" t="str">
        <f>Table19[[#This Row],[Broker]]&amp;"_"&amp;Table19[[#This Row],[Product]]</f>
        <v>AEM_Dubai Swap</v>
      </c>
      <c r="O3" s="51">
        <v>3.5</v>
      </c>
      <c r="Q3" s="51" t="s">
        <v>209</v>
      </c>
      <c r="R3" s="89">
        <f>SUMIF(Table13[Broker], $Q3, Table13[Commission])</f>
        <v>0</v>
      </c>
      <c r="V3" s="51" t="s">
        <v>210</v>
      </c>
      <c r="W3" s="89">
        <v>15000</v>
      </c>
    </row>
    <row r="4" spans="1:23" x14ac:dyDescent="0.25">
      <c r="A4" s="648"/>
      <c r="B4" s="454"/>
      <c r="C4" s="454"/>
      <c r="D4" s="454"/>
      <c r="E4" s="649"/>
      <c r="F4" s="640"/>
      <c r="G4" s="546"/>
      <c r="H4" s="650"/>
      <c r="I4" s="454"/>
      <c r="J4" s="640"/>
      <c r="L4" s="51" t="s">
        <v>204</v>
      </c>
      <c r="M4" s="51" t="s">
        <v>211</v>
      </c>
      <c r="N4" s="51" t="str">
        <f>Table19[[#This Row],[Broker]]&amp;"_"&amp;Table19[[#This Row],[Product]]</f>
        <v>AEM_DFL Swap</v>
      </c>
      <c r="O4" s="51">
        <v>3.5</v>
      </c>
      <c r="Q4" s="51" t="s">
        <v>212</v>
      </c>
      <c r="R4" s="89">
        <f>SUMIF(Table13[Broker], $Q4, Table13[Commission])</f>
        <v>0</v>
      </c>
      <c r="V4" s="51" t="s">
        <v>213</v>
      </c>
      <c r="W4" s="89">
        <v>60000</v>
      </c>
    </row>
    <row r="5" spans="1:23" x14ac:dyDescent="0.25">
      <c r="A5" s="648"/>
      <c r="B5" s="454"/>
      <c r="C5" s="454"/>
      <c r="D5" s="454"/>
      <c r="E5" s="649"/>
      <c r="F5" s="640"/>
      <c r="G5" s="546"/>
      <c r="H5" s="650"/>
      <c r="I5" s="454"/>
      <c r="J5" s="640"/>
      <c r="L5" s="51" t="s">
        <v>214</v>
      </c>
      <c r="M5" s="51" t="s">
        <v>111</v>
      </c>
      <c r="N5" s="51" t="str">
        <f>Table19[[#This Row],[Broker]]&amp;"_"&amp;Table19[[#This Row],[Product]]</f>
        <v>ATF_ICE Brent Opt</v>
      </c>
      <c r="O5" s="51">
        <v>3</v>
      </c>
      <c r="Q5" s="51" t="s">
        <v>215</v>
      </c>
      <c r="R5" s="89">
        <f>SUMIF(Table13[Broker], $Q5, Table13[Commission])</f>
        <v>0</v>
      </c>
      <c r="V5" s="51" t="s">
        <v>75</v>
      </c>
      <c r="W5" s="89">
        <v>22390</v>
      </c>
    </row>
    <row r="6" spans="1:23" x14ac:dyDescent="0.25">
      <c r="A6" s="648"/>
      <c r="B6" s="454"/>
      <c r="C6" s="454"/>
      <c r="D6" s="454"/>
      <c r="E6" s="649"/>
      <c r="F6" s="640"/>
      <c r="G6" s="546"/>
      <c r="H6" s="650"/>
      <c r="I6" s="454"/>
      <c r="J6" s="640"/>
      <c r="L6" s="51" t="s">
        <v>206</v>
      </c>
      <c r="M6" s="51" t="s">
        <v>205</v>
      </c>
      <c r="N6" s="51" t="str">
        <f>Table19[[#This Row],[Broker]]&amp;"_"&amp;Table19[[#This Row],[Product]]</f>
        <v>GFI_Brent/Dubai Swap</v>
      </c>
      <c r="O6" s="570">
        <v>3.5</v>
      </c>
      <c r="Q6" s="51" t="s">
        <v>214</v>
      </c>
      <c r="R6" s="89">
        <f>SUMIF(Table13[Broker], $Q6, Table13[Commission])</f>
        <v>0</v>
      </c>
      <c r="V6" s="51" t="s">
        <v>21</v>
      </c>
      <c r="W6" s="89">
        <f>SUM(W2:W5)</f>
        <v>97390</v>
      </c>
    </row>
    <row r="7" spans="1:23" x14ac:dyDescent="0.25">
      <c r="A7" s="648"/>
      <c r="B7" s="454"/>
      <c r="C7" s="454"/>
      <c r="D7" s="454"/>
      <c r="E7" s="454"/>
      <c r="F7" s="640"/>
      <c r="G7" s="546"/>
      <c r="H7" s="650"/>
      <c r="I7" s="454"/>
      <c r="J7" s="640"/>
      <c r="L7" s="51" t="s">
        <v>206</v>
      </c>
      <c r="M7" s="51" t="s">
        <v>208</v>
      </c>
      <c r="N7" s="51" t="str">
        <f>Table19[[#This Row],[Broker]]&amp;"_"&amp;Table19[[#This Row],[Product]]</f>
        <v>GFI_Dubai Swap</v>
      </c>
      <c r="O7" s="570">
        <v>3.5</v>
      </c>
      <c r="Q7" s="51" t="s">
        <v>216</v>
      </c>
      <c r="R7" s="89">
        <f>SUMIF(Table13[Broker], $Q7, Table13[Commission])</f>
        <v>0</v>
      </c>
    </row>
    <row r="8" spans="1:23" x14ac:dyDescent="0.25">
      <c r="A8" s="648"/>
      <c r="B8" s="454"/>
      <c r="C8" s="454"/>
      <c r="D8" s="454"/>
      <c r="E8" s="454"/>
      <c r="F8" s="640"/>
      <c r="G8" s="546"/>
      <c r="H8" s="454"/>
      <c r="I8" s="454"/>
      <c r="J8" s="640"/>
      <c r="L8" s="51" t="s">
        <v>206</v>
      </c>
      <c r="M8" s="51" t="s">
        <v>211</v>
      </c>
      <c r="N8" s="51" t="str">
        <f>Table19[[#This Row],[Broker]]&amp;"_"&amp;Table19[[#This Row],[Product]]</f>
        <v>GFI_DFL Swap</v>
      </c>
      <c r="O8" s="570">
        <v>3.5</v>
      </c>
      <c r="Q8" s="51" t="s">
        <v>204</v>
      </c>
      <c r="R8" s="89">
        <f>SUMIF(Table13[Broker], $Q8, Table13[Commission])</f>
        <v>0</v>
      </c>
    </row>
    <row r="9" spans="1:23" x14ac:dyDescent="0.25">
      <c r="A9" s="648"/>
      <c r="B9" s="454"/>
      <c r="C9" s="454"/>
      <c r="D9" s="454"/>
      <c r="E9" s="454"/>
      <c r="F9" s="640"/>
      <c r="G9" s="546"/>
      <c r="H9" s="454"/>
      <c r="I9" s="454"/>
      <c r="J9" s="640"/>
      <c r="L9" s="51" t="s">
        <v>206</v>
      </c>
      <c r="M9" s="51" t="s">
        <v>217</v>
      </c>
      <c r="N9" s="51" t="str">
        <f>Table19[[#This Row],[Broker]]&amp;"_"&amp;Table19[[#This Row],[Product]]</f>
        <v>GFI_Dated Brent Swap</v>
      </c>
      <c r="O9" s="570">
        <v>3.5</v>
      </c>
      <c r="Q9" s="51" t="s">
        <v>218</v>
      </c>
      <c r="R9" s="89">
        <f>SUMIF(Table13[Broker], $Q9, Table13[Commission])</f>
        <v>0</v>
      </c>
    </row>
    <row r="10" spans="1:23" x14ac:dyDescent="0.25">
      <c r="A10" s="648"/>
      <c r="B10" s="454"/>
      <c r="C10" s="454"/>
      <c r="D10" s="454"/>
      <c r="E10" s="454"/>
      <c r="F10" s="640"/>
      <c r="G10" s="546"/>
      <c r="H10" s="454"/>
      <c r="I10" s="454"/>
      <c r="J10" s="640"/>
      <c r="L10" s="51" t="s">
        <v>206</v>
      </c>
      <c r="M10" s="51" t="s">
        <v>219</v>
      </c>
      <c r="N10" s="51" t="str">
        <f>Table19[[#This Row],[Broker]]&amp;"_"&amp;Table19[[#This Row],[Product]]</f>
        <v>GFI_ICE Brent Fut</v>
      </c>
      <c r="O10" s="570">
        <v>1</v>
      </c>
      <c r="Q10" s="51" t="s">
        <v>214</v>
      </c>
      <c r="R10" s="89">
        <f>SUMIF(Table13[Broker], $Q10, Table13[Commission])</f>
        <v>0</v>
      </c>
    </row>
    <row r="11" spans="1:23" x14ac:dyDescent="0.25">
      <c r="A11" s="648"/>
      <c r="B11" s="454"/>
      <c r="C11" s="454"/>
      <c r="D11" s="454"/>
      <c r="E11" s="454"/>
      <c r="F11" s="640"/>
      <c r="G11" s="546"/>
      <c r="H11" s="454"/>
      <c r="I11" s="454"/>
      <c r="J11" s="640"/>
      <c r="L11" s="51" t="s">
        <v>206</v>
      </c>
      <c r="M11" s="51" t="s">
        <v>220</v>
      </c>
      <c r="N11" s="51" t="str">
        <f>Table19[[#This Row],[Broker]]&amp;"_"&amp;Table19[[#This Row],[Product]]</f>
        <v>GFI_ICE WTI Fut</v>
      </c>
      <c r="O11" s="570">
        <v>1</v>
      </c>
      <c r="Q11" s="83" t="s">
        <v>35</v>
      </c>
      <c r="R11" s="545">
        <f>SUM(R2:R10)</f>
        <v>0</v>
      </c>
    </row>
    <row r="12" spans="1:23" x14ac:dyDescent="0.25">
      <c r="A12" s="648"/>
      <c r="B12" s="454"/>
      <c r="C12" s="454"/>
      <c r="D12" s="454"/>
      <c r="E12" s="454"/>
      <c r="F12" s="640"/>
      <c r="G12" s="546"/>
      <c r="H12" s="454"/>
      <c r="I12" s="454"/>
      <c r="J12" s="640"/>
      <c r="L12" s="51" t="s">
        <v>206</v>
      </c>
      <c r="M12" s="51" t="s">
        <v>111</v>
      </c>
      <c r="N12" s="51" t="str">
        <f>Table19[[#This Row],[Broker]]&amp;"_"&amp;Table19[[#This Row],[Product]]</f>
        <v>GFI_ICE Brent Opt</v>
      </c>
      <c r="O12" s="570">
        <v>3.5</v>
      </c>
    </row>
    <row r="13" spans="1:23" x14ac:dyDescent="0.25">
      <c r="A13" s="648"/>
      <c r="B13" s="454"/>
      <c r="C13" s="454"/>
      <c r="D13" s="454"/>
      <c r="E13" s="454"/>
      <c r="F13" s="640"/>
      <c r="G13" s="546"/>
      <c r="H13" s="454"/>
      <c r="I13" s="454"/>
      <c r="J13" s="640"/>
      <c r="L13" s="51" t="s">
        <v>206</v>
      </c>
      <c r="M13" s="51" t="s">
        <v>221</v>
      </c>
      <c r="N13" s="51" t="str">
        <f>Table19[[#This Row],[Broker]]&amp;"_"&amp;Table19[[#This Row],[Product]]</f>
        <v>GFI_ICE WTI Opt</v>
      </c>
      <c r="O13" s="570">
        <v>3.5</v>
      </c>
    </row>
    <row r="14" spans="1:23" x14ac:dyDescent="0.25">
      <c r="A14" s="648"/>
      <c r="B14" s="454"/>
      <c r="C14" s="454"/>
      <c r="D14" s="454"/>
      <c r="E14" s="454"/>
      <c r="F14" s="640"/>
      <c r="G14" s="546"/>
      <c r="H14" s="454"/>
      <c r="I14" s="454"/>
      <c r="J14" s="640"/>
      <c r="L14" s="51" t="s">
        <v>209</v>
      </c>
      <c r="M14" s="51" t="s">
        <v>219</v>
      </c>
      <c r="N14" s="51" t="str">
        <f>Table19[[#This Row],[Broker]]&amp;"_"&amp;Table19[[#This Row],[Product]]</f>
        <v>MAREX_ICE Brent Fut</v>
      </c>
      <c r="O14" s="51">
        <v>1</v>
      </c>
    </row>
    <row r="15" spans="1:23" x14ac:dyDescent="0.25">
      <c r="A15" s="648"/>
      <c r="B15" s="454"/>
      <c r="C15" s="454"/>
      <c r="D15" s="454"/>
      <c r="E15" s="454"/>
      <c r="F15" s="640"/>
      <c r="G15" s="546"/>
      <c r="H15" s="454"/>
      <c r="I15" s="454"/>
      <c r="J15" s="640"/>
      <c r="L15" s="51" t="s">
        <v>209</v>
      </c>
      <c r="M15" s="51" t="s">
        <v>222</v>
      </c>
      <c r="N15" s="51" t="str">
        <f>Table19[[#This Row],[Broker]]&amp;"_"&amp;Table19[[#This Row],[Product]]</f>
        <v>MAREX_ICE Gasoil Fut</v>
      </c>
      <c r="O15" s="51">
        <v>1</v>
      </c>
    </row>
    <row r="16" spans="1:23" x14ac:dyDescent="0.25">
      <c r="A16" s="648"/>
      <c r="B16" s="454"/>
      <c r="C16" s="454"/>
      <c r="D16" s="454"/>
      <c r="E16" s="454"/>
      <c r="F16" s="640"/>
      <c r="G16" s="546"/>
      <c r="H16" s="454"/>
      <c r="I16" s="454"/>
      <c r="J16" s="640"/>
      <c r="L16" s="51" t="s">
        <v>209</v>
      </c>
      <c r="M16" s="51" t="s">
        <v>220</v>
      </c>
      <c r="N16" s="51" t="str">
        <f>Table19[[#This Row],[Broker]]&amp;"_"&amp;Table19[[#This Row],[Product]]</f>
        <v>MAREX_ICE WTI Fut</v>
      </c>
      <c r="O16" s="51">
        <v>1</v>
      </c>
    </row>
    <row r="17" spans="1:15" x14ac:dyDescent="0.25">
      <c r="A17" s="648"/>
      <c r="B17" s="454"/>
      <c r="C17" s="454"/>
      <c r="D17" s="454"/>
      <c r="E17" s="454"/>
      <c r="F17" s="640"/>
      <c r="G17" s="546"/>
      <c r="H17" s="454"/>
      <c r="I17" s="454"/>
      <c r="J17" s="640"/>
      <c r="L17" s="51" t="s">
        <v>209</v>
      </c>
      <c r="M17" s="51" t="s">
        <v>111</v>
      </c>
      <c r="N17" s="51" t="str">
        <f>Table19[[#This Row],[Broker]]&amp;"_"&amp;Table19[[#This Row],[Product]]</f>
        <v>MAREX_ICE Brent Opt</v>
      </c>
      <c r="O17" s="51">
        <v>1</v>
      </c>
    </row>
    <row r="18" spans="1:15" x14ac:dyDescent="0.25">
      <c r="A18" s="648"/>
      <c r="B18" s="454"/>
      <c r="C18" s="454"/>
      <c r="D18" s="454"/>
      <c r="E18" s="454"/>
      <c r="F18" s="640"/>
      <c r="G18" s="546"/>
      <c r="H18" s="454"/>
      <c r="I18" s="454"/>
      <c r="J18" s="640"/>
      <c r="L18" s="51" t="s">
        <v>212</v>
      </c>
      <c r="M18" s="51" t="s">
        <v>211</v>
      </c>
      <c r="N18" s="51" t="str">
        <f>Table19[[#This Row],[Broker]]&amp;"_"&amp;Table19[[#This Row],[Product]]</f>
        <v>OB_DFL Swap</v>
      </c>
      <c r="O18" s="570">
        <v>3.5</v>
      </c>
    </row>
    <row r="19" spans="1:15" x14ac:dyDescent="0.25">
      <c r="A19" s="648"/>
      <c r="B19" s="454"/>
      <c r="C19" s="454"/>
      <c r="D19" s="454"/>
      <c r="E19" s="454"/>
      <c r="F19" s="640"/>
      <c r="G19" s="546"/>
      <c r="H19" s="454"/>
      <c r="I19" s="454"/>
      <c r="J19" s="640"/>
      <c r="L19" s="51" t="s">
        <v>212</v>
      </c>
      <c r="M19" s="51" t="s">
        <v>205</v>
      </c>
      <c r="N19" s="51" t="str">
        <f>Table19[[#This Row],[Broker]]&amp;"_"&amp;Table19[[#This Row],[Product]]</f>
        <v>OB_Brent/Dubai Swap</v>
      </c>
      <c r="O19" s="570">
        <v>3.5</v>
      </c>
    </row>
    <row r="20" spans="1:15" x14ac:dyDescent="0.25">
      <c r="A20" s="648"/>
      <c r="B20" s="454"/>
      <c r="C20" s="454"/>
      <c r="D20" s="454"/>
      <c r="E20" s="454"/>
      <c r="F20" s="640"/>
      <c r="G20" s="546"/>
      <c r="H20" s="454"/>
      <c r="I20" s="454"/>
      <c r="J20" s="640"/>
      <c r="L20" s="51" t="s">
        <v>212</v>
      </c>
      <c r="M20" s="51" t="s">
        <v>208</v>
      </c>
      <c r="N20" s="51" t="str">
        <f>Table19[[#This Row],[Broker]]&amp;"_"&amp;Table19[[#This Row],[Product]]</f>
        <v>OB_Dubai Swap</v>
      </c>
      <c r="O20" s="51">
        <v>3.5</v>
      </c>
    </row>
    <row r="21" spans="1:15" x14ac:dyDescent="0.25">
      <c r="A21" s="648"/>
      <c r="B21" s="454"/>
      <c r="C21" s="454"/>
      <c r="D21" s="454"/>
      <c r="E21" s="454"/>
      <c r="F21" s="640"/>
      <c r="G21" s="546"/>
      <c r="H21" s="454"/>
      <c r="I21" s="454"/>
      <c r="J21" s="640"/>
      <c r="L21" s="51" t="s">
        <v>218</v>
      </c>
      <c r="M21" s="51" t="s">
        <v>111</v>
      </c>
      <c r="N21" s="51" t="str">
        <f>Table19[[#This Row],[Broker]]&amp;"_"&amp;Table19[[#This Row],[Product]]</f>
        <v>PVM_ICE Brent Opt</v>
      </c>
      <c r="O21" s="570">
        <v>2.5</v>
      </c>
    </row>
    <row r="22" spans="1:15" x14ac:dyDescent="0.25">
      <c r="A22" s="648"/>
      <c r="B22" s="454"/>
      <c r="C22" s="454"/>
      <c r="D22" s="454"/>
      <c r="E22" s="454"/>
      <c r="F22" s="640"/>
      <c r="G22" s="546"/>
      <c r="H22" s="454"/>
      <c r="I22" s="454"/>
      <c r="J22" s="640"/>
      <c r="L22" s="51" t="s">
        <v>215</v>
      </c>
      <c r="M22" s="51" t="s">
        <v>205</v>
      </c>
      <c r="N22" s="51" t="str">
        <f>Table19[[#This Row],[Broker]]&amp;"_"&amp;Table19[[#This Row],[Product]]</f>
        <v>TP_Brent/Dubai Swap</v>
      </c>
      <c r="O22" s="51">
        <v>3.5</v>
      </c>
    </row>
    <row r="23" spans="1:15" x14ac:dyDescent="0.25">
      <c r="A23" s="648"/>
      <c r="B23" s="454"/>
      <c r="C23" s="454"/>
      <c r="D23" s="454"/>
      <c r="E23" s="454"/>
      <c r="F23" s="640"/>
      <c r="G23" s="546"/>
      <c r="H23" s="454"/>
      <c r="I23" s="454"/>
      <c r="J23" s="640"/>
      <c r="L23" s="51" t="s">
        <v>215</v>
      </c>
      <c r="M23" s="51" t="s">
        <v>208</v>
      </c>
      <c r="N23" s="51" t="str">
        <f>Table19[[#This Row],[Broker]]&amp;"_"&amp;Table19[[#This Row],[Product]]</f>
        <v>TP_Dubai Swap</v>
      </c>
      <c r="O23" s="51">
        <v>3.5</v>
      </c>
    </row>
    <row r="24" spans="1:15" x14ac:dyDescent="0.25">
      <c r="A24" s="648"/>
      <c r="B24" s="454"/>
      <c r="C24" s="454"/>
      <c r="D24" s="454"/>
      <c r="E24" s="454"/>
      <c r="F24" s="640"/>
      <c r="G24" s="546"/>
      <c r="H24" s="454"/>
      <c r="I24" s="454"/>
      <c r="J24" s="640"/>
      <c r="L24" s="51" t="s">
        <v>212</v>
      </c>
      <c r="M24" s="51" t="s">
        <v>224</v>
      </c>
      <c r="N24" s="51" t="str">
        <f>Table19[[#This Row],[Broker]]&amp;"_"&amp;Table19[[#This Row],[Product]]</f>
        <v>OB_FO 380cst Sing Swap</v>
      </c>
      <c r="O24" s="51">
        <v>50</v>
      </c>
    </row>
    <row r="25" spans="1:15" x14ac:dyDescent="0.25">
      <c r="A25" s="648"/>
      <c r="B25" s="454"/>
      <c r="C25" s="454"/>
      <c r="D25" s="454"/>
      <c r="E25" s="454"/>
      <c r="F25" s="640"/>
      <c r="G25" s="546"/>
      <c r="H25" s="454"/>
      <c r="I25" s="454"/>
      <c r="J25" s="640"/>
      <c r="L25" s="51" t="s">
        <v>209</v>
      </c>
      <c r="M25" s="51" t="s">
        <v>225</v>
      </c>
      <c r="N25" s="51" t="str">
        <f>Table19[[#This Row],[Broker]]&amp;"_"&amp;Table19[[#This Row],[Product]]</f>
        <v>MAREX_NYM WTI Fut</v>
      </c>
      <c r="O25" s="51">
        <v>1</v>
      </c>
    </row>
    <row r="26" spans="1:15" x14ac:dyDescent="0.25">
      <c r="A26" s="648"/>
      <c r="B26" s="454"/>
      <c r="C26" s="454"/>
      <c r="D26" s="454"/>
      <c r="E26" s="454"/>
      <c r="F26" s="640"/>
      <c r="G26" s="546"/>
      <c r="H26" s="454"/>
      <c r="I26" s="454"/>
      <c r="J26" s="640"/>
      <c r="L26" s="51" t="s">
        <v>226</v>
      </c>
      <c r="M26" s="51" t="s">
        <v>205</v>
      </c>
      <c r="N26" s="51" t="str">
        <f>Table19[[#This Row],[Broker]]&amp;"_"&amp;Table19[[#This Row],[Product]]</f>
        <v>ICAP_Brent/Dubai Swap</v>
      </c>
      <c r="O26" s="51">
        <v>3.5</v>
      </c>
    </row>
    <row r="27" spans="1:15" x14ac:dyDescent="0.25">
      <c r="A27" s="648"/>
      <c r="B27" s="454"/>
      <c r="C27" s="454"/>
      <c r="D27" s="454"/>
      <c r="E27" s="454"/>
      <c r="F27" s="640"/>
      <c r="G27" s="546"/>
      <c r="H27" s="454"/>
      <c r="I27" s="454"/>
      <c r="J27" s="640"/>
      <c r="L27" s="51" t="s">
        <v>215</v>
      </c>
      <c r="M27" s="51" t="s">
        <v>227</v>
      </c>
      <c r="N27" s="51" t="str">
        <f>Table19[[#This Row],[Broker]]&amp;"_"&amp;Table19[[#This Row],[Product]]</f>
        <v>TP_ICE Gasoil/Brent Crx Swap bbl</v>
      </c>
      <c r="O27" s="51">
        <v>5</v>
      </c>
    </row>
    <row r="28" spans="1:15" x14ac:dyDescent="0.25">
      <c r="A28" s="648"/>
      <c r="B28" s="454"/>
      <c r="C28" s="454"/>
      <c r="D28" s="454"/>
      <c r="E28" s="454"/>
      <c r="F28" s="640"/>
      <c r="G28" s="546"/>
      <c r="H28" s="454"/>
      <c r="I28" s="454"/>
      <c r="J28" s="640"/>
    </row>
    <row r="29" spans="1:15" x14ac:dyDescent="0.25">
      <c r="A29" s="648"/>
      <c r="B29" s="454"/>
      <c r="C29" s="454"/>
      <c r="D29" s="454"/>
      <c r="E29" s="454"/>
      <c r="F29" s="640"/>
      <c r="G29" s="546"/>
      <c r="H29" s="454"/>
      <c r="I29" s="454"/>
      <c r="J29" s="640"/>
    </row>
    <row r="30" spans="1:15" x14ac:dyDescent="0.25">
      <c r="A30" s="648"/>
      <c r="B30" s="454"/>
      <c r="C30" s="454"/>
      <c r="D30" s="454"/>
      <c r="E30" s="454"/>
      <c r="F30" s="640"/>
      <c r="G30" s="546"/>
      <c r="H30" s="454"/>
      <c r="I30" s="454"/>
      <c r="J30" s="640"/>
    </row>
    <row r="31" spans="1:15" x14ac:dyDescent="0.25">
      <c r="A31" s="648"/>
      <c r="B31" s="454"/>
      <c r="C31" s="454"/>
      <c r="D31" s="454"/>
      <c r="E31" s="454"/>
      <c r="F31" s="640"/>
      <c r="G31" s="546"/>
      <c r="H31" s="454"/>
      <c r="I31" s="454"/>
      <c r="J31" s="640"/>
    </row>
    <row r="32" spans="1:15" x14ac:dyDescent="0.25">
      <c r="A32" s="648"/>
      <c r="B32" s="454"/>
      <c r="C32" s="454"/>
      <c r="D32" s="454"/>
      <c r="E32" s="454"/>
      <c r="F32" s="640"/>
      <c r="G32" s="546"/>
      <c r="H32" s="454"/>
      <c r="I32" s="454"/>
      <c r="J32" s="640"/>
    </row>
    <row r="33" spans="1:15" x14ac:dyDescent="0.25">
      <c r="A33" s="648"/>
      <c r="B33" s="454"/>
      <c r="C33" s="454"/>
      <c r="D33" s="454"/>
      <c r="E33" s="454"/>
      <c r="F33" s="640"/>
      <c r="G33" s="546"/>
      <c r="H33" s="454"/>
      <c r="I33" s="454"/>
      <c r="J33" s="640"/>
    </row>
    <row r="34" spans="1:15" x14ac:dyDescent="0.25">
      <c r="A34" s="648"/>
      <c r="B34" s="454"/>
      <c r="C34" s="454"/>
      <c r="D34" s="454"/>
      <c r="E34" s="454"/>
      <c r="F34" s="640"/>
      <c r="G34" s="546"/>
      <c r="H34" s="454"/>
      <c r="I34" s="454"/>
      <c r="J34" s="640"/>
    </row>
    <row r="35" spans="1:15" x14ac:dyDescent="0.25">
      <c r="A35" s="648"/>
      <c r="B35" s="454"/>
      <c r="C35" s="454"/>
      <c r="D35" s="454"/>
      <c r="E35" s="454"/>
      <c r="F35" s="640"/>
      <c r="G35" s="546"/>
      <c r="H35" s="454"/>
      <c r="I35" s="454"/>
      <c r="J35" s="640"/>
    </row>
    <row r="36" spans="1:15" x14ac:dyDescent="0.25">
      <c r="A36" s="648"/>
      <c r="B36" s="454"/>
      <c r="C36" s="454"/>
      <c r="D36" s="454"/>
      <c r="E36" s="454"/>
      <c r="F36" s="640"/>
      <c r="G36" s="546"/>
      <c r="H36" s="454"/>
      <c r="I36" s="454"/>
      <c r="J36" s="640"/>
    </row>
    <row r="37" spans="1:15" x14ac:dyDescent="0.25">
      <c r="A37" s="648"/>
      <c r="B37" s="454"/>
      <c r="C37" s="454"/>
      <c r="D37" s="454"/>
      <c r="E37" s="454"/>
      <c r="F37" s="640"/>
      <c r="G37" s="546"/>
      <c r="H37" s="454"/>
      <c r="I37" s="454"/>
      <c r="J37" s="640"/>
    </row>
    <row r="38" spans="1:15" x14ac:dyDescent="0.25">
      <c r="A38" s="648"/>
      <c r="B38" s="454"/>
      <c r="C38" s="454"/>
      <c r="D38" s="454"/>
      <c r="E38" s="454"/>
      <c r="F38" s="640"/>
      <c r="G38" s="546"/>
      <c r="H38" s="454"/>
      <c r="I38" s="454"/>
      <c r="J38" s="640"/>
    </row>
    <row r="39" spans="1:15" x14ac:dyDescent="0.25">
      <c r="A39" s="648"/>
      <c r="B39" s="454"/>
      <c r="C39" s="454"/>
      <c r="D39" s="454"/>
      <c r="E39" s="454"/>
      <c r="F39" s="640"/>
      <c r="G39" s="546"/>
      <c r="H39" s="454"/>
      <c r="I39" s="454"/>
      <c r="J39" s="640"/>
    </row>
    <row r="40" spans="1:15" x14ac:dyDescent="0.25">
      <c r="A40" s="648"/>
      <c r="B40" s="454"/>
      <c r="C40" s="454"/>
      <c r="D40" s="454"/>
      <c r="E40" s="454"/>
      <c r="F40" s="640"/>
      <c r="G40" s="546"/>
      <c r="H40" s="454"/>
      <c r="I40" s="454"/>
      <c r="J40" s="640"/>
    </row>
    <row r="41" spans="1:15" x14ac:dyDescent="0.25">
      <c r="A41" s="648"/>
      <c r="B41" s="454"/>
      <c r="C41" s="454"/>
      <c r="D41" s="454"/>
      <c r="E41" s="454"/>
      <c r="F41" s="640"/>
      <c r="G41" s="546"/>
      <c r="H41" s="454"/>
      <c r="I41" s="454"/>
      <c r="J41" s="640"/>
      <c r="K41" s="68"/>
    </row>
    <row r="42" spans="1:15" x14ac:dyDescent="0.25">
      <c r="A42" s="648"/>
      <c r="B42" s="454"/>
      <c r="C42" s="454"/>
      <c r="D42" s="454"/>
      <c r="E42" s="454"/>
      <c r="F42" s="640"/>
      <c r="G42" s="546"/>
      <c r="H42" s="454"/>
      <c r="I42" s="454"/>
      <c r="J42" s="640"/>
      <c r="O42" s="68"/>
    </row>
    <row r="43" spans="1:15" x14ac:dyDescent="0.25">
      <c r="A43" s="648"/>
      <c r="B43" s="454"/>
      <c r="C43" s="454"/>
      <c r="D43" s="454"/>
      <c r="E43" s="454"/>
      <c r="F43" s="640"/>
      <c r="G43" s="546"/>
      <c r="H43" s="454"/>
      <c r="I43" s="454"/>
      <c r="J43" s="640"/>
    </row>
    <row r="44" spans="1:15" x14ac:dyDescent="0.25">
      <c r="A44" s="648"/>
      <c r="B44" s="454"/>
      <c r="C44" s="454"/>
      <c r="D44" s="454"/>
      <c r="E44" s="454"/>
      <c r="F44" s="640"/>
      <c r="G44" s="546"/>
      <c r="H44" s="454"/>
      <c r="I44" s="454"/>
      <c r="J44" s="640"/>
      <c r="K44" s="68"/>
    </row>
    <row r="45" spans="1:15" x14ac:dyDescent="0.25">
      <c r="A45" s="648"/>
      <c r="B45" s="454"/>
      <c r="C45" s="454"/>
      <c r="D45" s="454"/>
      <c r="E45" s="454"/>
      <c r="F45" s="640"/>
      <c r="G45" s="546"/>
      <c r="H45" s="454"/>
      <c r="I45" s="454"/>
      <c r="J45" s="640"/>
    </row>
    <row r="46" spans="1:15" x14ac:dyDescent="0.25">
      <c r="A46" s="648"/>
      <c r="B46" s="454"/>
      <c r="C46" s="454"/>
      <c r="D46" s="454"/>
      <c r="E46" s="454"/>
      <c r="F46" s="640"/>
      <c r="G46" s="546"/>
      <c r="H46" s="454"/>
      <c r="I46" s="454"/>
      <c r="J46" s="640"/>
    </row>
    <row r="47" spans="1:15" x14ac:dyDescent="0.25">
      <c r="A47" s="648"/>
      <c r="B47" s="454"/>
      <c r="C47" s="454"/>
      <c r="D47" s="454"/>
      <c r="E47" s="454"/>
      <c r="F47" s="640"/>
      <c r="G47" s="546"/>
      <c r="H47" s="454"/>
      <c r="I47" s="454"/>
      <c r="J47" s="640"/>
    </row>
    <row r="48" spans="1:15" x14ac:dyDescent="0.25">
      <c r="A48" s="648"/>
      <c r="B48" s="454"/>
      <c r="C48" s="454"/>
      <c r="D48" s="454"/>
      <c r="E48" s="454"/>
      <c r="F48" s="640"/>
      <c r="G48" s="546"/>
      <c r="H48" s="454"/>
      <c r="I48" s="454"/>
      <c r="J48" s="640"/>
    </row>
    <row r="49" spans="1:10" x14ac:dyDescent="0.25">
      <c r="A49" s="648"/>
      <c r="B49" s="454"/>
      <c r="C49" s="648"/>
      <c r="D49" s="454"/>
      <c r="E49" s="454"/>
      <c r="F49" s="640"/>
      <c r="G49" s="546"/>
      <c r="H49" s="454"/>
      <c r="I49" s="454"/>
      <c r="J49" s="640"/>
    </row>
    <row r="50" spans="1:10" x14ac:dyDescent="0.25">
      <c r="A50" s="648"/>
      <c r="B50" s="454"/>
      <c r="C50" s="454"/>
      <c r="D50" s="454"/>
      <c r="E50" s="454"/>
      <c r="F50" s="640"/>
      <c r="G50" s="546"/>
      <c r="H50" s="454"/>
      <c r="I50" s="454"/>
      <c r="J50" s="640"/>
    </row>
    <row r="51" spans="1:10" x14ac:dyDescent="0.25">
      <c r="A51" s="648"/>
      <c r="B51" s="454"/>
      <c r="C51" s="454"/>
      <c r="D51" s="454"/>
      <c r="E51" s="454"/>
      <c r="F51" s="640"/>
      <c r="G51" s="546"/>
      <c r="H51" s="454"/>
      <c r="I51" s="454"/>
      <c r="J51" s="640"/>
    </row>
    <row r="52" spans="1:10" x14ac:dyDescent="0.25">
      <c r="A52" s="648"/>
      <c r="B52" s="454"/>
      <c r="C52" s="454"/>
      <c r="D52" s="454"/>
      <c r="E52" s="454"/>
      <c r="F52" s="640"/>
      <c r="G52" s="546"/>
      <c r="H52" s="454"/>
      <c r="I52" s="454"/>
      <c r="J52" s="640"/>
    </row>
    <row r="53" spans="1:10" x14ac:dyDescent="0.25">
      <c r="A53" s="648"/>
      <c r="B53" s="454"/>
      <c r="C53" s="454"/>
      <c r="D53" s="454"/>
      <c r="E53" s="454"/>
      <c r="F53" s="640"/>
      <c r="G53" s="546"/>
      <c r="H53" s="454"/>
      <c r="I53" s="454"/>
      <c r="J53" s="640"/>
    </row>
    <row r="54" spans="1:10" x14ac:dyDescent="0.25">
      <c r="A54" s="648"/>
      <c r="B54" s="454"/>
      <c r="C54" s="454"/>
      <c r="D54" s="454"/>
      <c r="E54" s="454"/>
      <c r="F54" s="640"/>
      <c r="G54" s="546"/>
      <c r="H54" s="454"/>
      <c r="I54" s="454"/>
      <c r="J54" s="640"/>
    </row>
    <row r="55" spans="1:10" x14ac:dyDescent="0.25">
      <c r="A55" s="648"/>
      <c r="B55" s="454"/>
      <c r="C55" s="454"/>
      <c r="D55" s="454"/>
      <c r="E55" s="454"/>
      <c r="F55" s="640"/>
      <c r="G55" s="546"/>
      <c r="H55" s="454"/>
      <c r="I55" s="454"/>
      <c r="J55" s="640"/>
    </row>
    <row r="56" spans="1:10" x14ac:dyDescent="0.25">
      <c r="A56" s="648"/>
      <c r="B56" s="454"/>
      <c r="C56" s="454"/>
      <c r="D56" s="454"/>
      <c r="E56" s="454"/>
      <c r="F56" s="640"/>
      <c r="G56" s="546"/>
      <c r="H56" s="454"/>
      <c r="I56" s="454"/>
      <c r="J56" s="640"/>
    </row>
    <row r="57" spans="1:10" x14ac:dyDescent="0.25">
      <c r="A57" s="648"/>
      <c r="B57" s="454"/>
      <c r="C57" s="454"/>
      <c r="D57" s="454"/>
      <c r="E57" s="454"/>
      <c r="F57" s="640"/>
      <c r="G57" s="546"/>
      <c r="H57" s="454"/>
      <c r="I57" s="454"/>
      <c r="J57" s="640"/>
    </row>
    <row r="58" spans="1:10" x14ac:dyDescent="0.25">
      <c r="A58" s="648"/>
      <c r="B58" s="454"/>
      <c r="C58" s="454"/>
      <c r="D58" s="454"/>
      <c r="E58" s="454"/>
      <c r="F58" s="640"/>
      <c r="G58" s="546"/>
      <c r="H58" s="454"/>
      <c r="I58" s="454"/>
      <c r="J58" s="640"/>
    </row>
    <row r="59" spans="1:10" x14ac:dyDescent="0.25">
      <c r="A59" s="648"/>
      <c r="B59" s="454"/>
      <c r="C59" s="454"/>
      <c r="D59" s="454"/>
      <c r="E59" s="454"/>
      <c r="F59" s="640"/>
      <c r="G59" s="546"/>
      <c r="H59" s="454"/>
      <c r="I59" s="454"/>
      <c r="J59" s="640"/>
    </row>
    <row r="60" spans="1:10" x14ac:dyDescent="0.25">
      <c r="A60" s="648"/>
      <c r="B60" s="454"/>
      <c r="C60" s="454"/>
      <c r="D60" s="454"/>
      <c r="E60" s="454"/>
      <c r="F60" s="640"/>
      <c r="G60" s="546"/>
      <c r="H60" s="454"/>
      <c r="I60" s="454"/>
      <c r="J60" s="640"/>
    </row>
    <row r="61" spans="1:10" x14ac:dyDescent="0.25">
      <c r="A61" s="648"/>
      <c r="B61" s="454"/>
      <c r="C61" s="454"/>
      <c r="D61" s="454"/>
      <c r="E61" s="454"/>
      <c r="F61" s="640"/>
      <c r="G61" s="546"/>
      <c r="H61" s="454"/>
      <c r="I61" s="454"/>
      <c r="J61" s="640"/>
    </row>
    <row r="62" spans="1:10" x14ac:dyDescent="0.25">
      <c r="A62" s="648"/>
      <c r="B62" s="454"/>
      <c r="C62" s="454"/>
      <c r="D62" s="454"/>
      <c r="E62" s="454"/>
      <c r="F62" s="640"/>
      <c r="G62" s="546"/>
      <c r="H62" s="454"/>
      <c r="I62" s="454"/>
      <c r="J62" s="640"/>
    </row>
    <row r="63" spans="1:10" x14ac:dyDescent="0.25">
      <c r="A63" s="796"/>
      <c r="B63" s="796"/>
      <c r="C63" s="796"/>
      <c r="D63" s="454"/>
      <c r="E63" s="454"/>
      <c r="F63" s="640"/>
      <c r="G63" s="546"/>
      <c r="H63" s="454"/>
      <c r="I63" s="454"/>
      <c r="J63" s="640"/>
    </row>
    <row r="64" spans="1:10" x14ac:dyDescent="0.25">
      <c r="A64" s="648"/>
      <c r="B64" s="454"/>
      <c r="C64" s="454"/>
      <c r="D64" s="454"/>
      <c r="E64" s="454"/>
      <c r="F64" s="640"/>
      <c r="G64" s="546"/>
      <c r="H64" s="454"/>
      <c r="I64" s="454"/>
      <c r="J64" s="640"/>
    </row>
    <row r="65" spans="1:10" x14ac:dyDescent="0.25">
      <c r="A65" s="648"/>
      <c r="B65" s="454"/>
      <c r="C65" s="454"/>
      <c r="D65" s="454"/>
      <c r="E65" s="454"/>
      <c r="F65" s="640"/>
      <c r="G65" s="546"/>
      <c r="H65" s="454"/>
      <c r="I65" s="454"/>
      <c r="J65" s="640"/>
    </row>
    <row r="66" spans="1:10" x14ac:dyDescent="0.25">
      <c r="A66" s="648"/>
      <c r="B66" s="454"/>
      <c r="C66" s="454"/>
      <c r="D66" s="454"/>
      <c r="E66" s="454"/>
      <c r="F66" s="640"/>
      <c r="G66" s="546"/>
      <c r="H66" s="454"/>
      <c r="I66" s="454"/>
      <c r="J66" s="640"/>
    </row>
    <row r="67" spans="1:10" x14ac:dyDescent="0.25">
      <c r="A67" s="648"/>
      <c r="B67" s="454"/>
      <c r="C67" s="454"/>
      <c r="D67" s="454"/>
      <c r="E67" s="454"/>
      <c r="F67" s="640"/>
      <c r="G67" s="546"/>
      <c r="H67" s="454"/>
      <c r="I67" s="454"/>
      <c r="J67" s="640"/>
    </row>
    <row r="68" spans="1:10" x14ac:dyDescent="0.25">
      <c r="A68" s="648"/>
      <c r="B68" s="454"/>
      <c r="C68" s="454"/>
      <c r="D68" s="454"/>
      <c r="E68" s="454"/>
      <c r="F68" s="640"/>
      <c r="G68" s="546"/>
      <c r="H68" s="454"/>
      <c r="I68" s="454"/>
      <c r="J68" s="640"/>
    </row>
    <row r="69" spans="1:10" x14ac:dyDescent="0.25">
      <c r="A69" s="648"/>
      <c r="B69" s="454"/>
      <c r="C69" s="454"/>
      <c r="D69" s="454"/>
      <c r="E69" s="454"/>
      <c r="F69" s="640"/>
      <c r="G69" s="546"/>
      <c r="H69" s="454"/>
      <c r="I69" s="454"/>
      <c r="J69" s="640"/>
    </row>
    <row r="70" spans="1:10" x14ac:dyDescent="0.25">
      <c r="A70" s="648"/>
      <c r="B70" s="454"/>
      <c r="C70" s="454"/>
      <c r="D70" s="454"/>
      <c r="E70" s="454"/>
      <c r="F70" s="640"/>
      <c r="G70" s="546"/>
      <c r="H70" s="454"/>
      <c r="I70" s="454"/>
      <c r="J70" s="640"/>
    </row>
    <row r="71" spans="1:10" x14ac:dyDescent="0.25">
      <c r="A71" s="648"/>
      <c r="B71" s="454"/>
      <c r="C71" s="454"/>
      <c r="D71" s="454"/>
      <c r="E71" s="454"/>
      <c r="F71" s="640"/>
      <c r="G71" s="546"/>
      <c r="H71" s="454"/>
      <c r="I71" s="454"/>
      <c r="J71" s="640"/>
    </row>
    <row r="72" spans="1:10" x14ac:dyDescent="0.25">
      <c r="A72" s="648"/>
      <c r="B72" s="454"/>
      <c r="C72" s="454"/>
      <c r="D72" s="454"/>
      <c r="E72" s="454"/>
      <c r="F72" s="640"/>
      <c r="G72" s="546"/>
      <c r="H72" s="454"/>
      <c r="I72" s="454"/>
      <c r="J72" s="640"/>
    </row>
    <row r="73" spans="1:10" x14ac:dyDescent="0.25">
      <c r="A73" s="648"/>
      <c r="B73" s="454"/>
      <c r="C73" s="454"/>
      <c r="D73" s="454"/>
      <c r="E73" s="454"/>
      <c r="F73" s="640"/>
      <c r="G73" s="546"/>
      <c r="H73" s="454"/>
      <c r="I73" s="454"/>
      <c r="J73" s="640"/>
    </row>
    <row r="74" spans="1:10" x14ac:dyDescent="0.25">
      <c r="A74" s="648"/>
      <c r="B74" s="454"/>
      <c r="C74" s="454"/>
      <c r="D74" s="454"/>
      <c r="E74" s="454"/>
      <c r="F74" s="640"/>
      <c r="G74" s="546"/>
      <c r="H74" s="454"/>
      <c r="I74" s="454"/>
      <c r="J74" s="640"/>
    </row>
    <row r="75" spans="1:10" x14ac:dyDescent="0.25">
      <c r="A75" s="648"/>
      <c r="B75" s="454"/>
      <c r="C75" s="454"/>
      <c r="D75" s="454"/>
      <c r="E75" s="454"/>
      <c r="F75" s="640"/>
      <c r="G75" s="546"/>
      <c r="H75" s="454"/>
      <c r="I75" s="454"/>
      <c r="J75" s="640"/>
    </row>
    <row r="76" spans="1:10" x14ac:dyDescent="0.25">
      <c r="A76" s="648"/>
      <c r="B76" s="454"/>
      <c r="C76" s="454"/>
      <c r="D76" s="454"/>
      <c r="E76" s="454"/>
      <c r="F76" s="640"/>
      <c r="G76" s="546"/>
      <c r="H76" s="454"/>
      <c r="I76" s="454"/>
      <c r="J76" s="640"/>
    </row>
    <row r="77" spans="1:10" x14ac:dyDescent="0.25">
      <c r="A77" s="648"/>
      <c r="B77" s="454"/>
      <c r="C77" s="454"/>
      <c r="D77" s="454"/>
      <c r="E77" s="454"/>
      <c r="F77" s="640"/>
      <c r="G77" s="546"/>
      <c r="H77" s="454"/>
      <c r="I77" s="454"/>
      <c r="J77" s="640"/>
    </row>
    <row r="78" spans="1:10" x14ac:dyDescent="0.25">
      <c r="A78" s="648"/>
      <c r="B78" s="454"/>
      <c r="C78" s="454"/>
      <c r="D78" s="454"/>
      <c r="E78" s="454"/>
      <c r="F78" s="640"/>
      <c r="G78" s="546"/>
      <c r="H78" s="454"/>
      <c r="I78" s="454"/>
      <c r="J78" s="640"/>
    </row>
    <row r="79" spans="1:10" x14ac:dyDescent="0.25">
      <c r="A79" s="648"/>
      <c r="B79" s="454"/>
      <c r="C79" s="454"/>
      <c r="D79" s="454"/>
      <c r="E79" s="454"/>
      <c r="F79" s="640"/>
      <c r="G79" s="546"/>
      <c r="H79" s="454"/>
      <c r="I79" s="454"/>
      <c r="J79" s="640"/>
    </row>
    <row r="80" spans="1:10" x14ac:dyDescent="0.25">
      <c r="A80" s="648"/>
      <c r="B80" s="454"/>
      <c r="C80" s="454"/>
      <c r="D80" s="454"/>
      <c r="E80" s="454"/>
      <c r="F80" s="640"/>
      <c r="G80" s="546"/>
      <c r="H80" s="454"/>
      <c r="I80" s="454"/>
      <c r="J80" s="640"/>
    </row>
    <row r="81" spans="1:18" x14ac:dyDescent="0.25">
      <c r="A81" s="648"/>
      <c r="B81" s="454"/>
      <c r="C81" s="454"/>
      <c r="D81" s="454"/>
      <c r="E81" s="454"/>
      <c r="F81" s="640"/>
      <c r="G81" s="546"/>
      <c r="H81" s="454"/>
      <c r="I81" s="454"/>
      <c r="J81" s="640"/>
    </row>
    <row r="82" spans="1:18" x14ac:dyDescent="0.25">
      <c r="A82" s="648"/>
      <c r="B82" s="454"/>
      <c r="C82" s="454"/>
      <c r="D82" s="454"/>
      <c r="E82" s="454"/>
      <c r="F82" s="640"/>
      <c r="G82" s="546"/>
      <c r="H82" s="454"/>
      <c r="I82" s="454"/>
      <c r="J82" s="640"/>
      <c r="O82" s="68"/>
    </row>
    <row r="83" spans="1:18" x14ac:dyDescent="0.25">
      <c r="A83" s="648"/>
      <c r="B83" s="454"/>
      <c r="C83" s="454"/>
      <c r="D83" s="454"/>
      <c r="E83" s="454"/>
      <c r="F83" s="640"/>
      <c r="G83" s="546"/>
      <c r="H83" s="454"/>
      <c r="I83" s="454"/>
      <c r="J83" s="640"/>
      <c r="L83" s="68"/>
    </row>
    <row r="84" spans="1:18" x14ac:dyDescent="0.25">
      <c r="A84" s="648"/>
      <c r="B84" s="454"/>
      <c r="C84" s="454"/>
      <c r="D84" s="454"/>
      <c r="E84" s="454"/>
      <c r="F84" s="640"/>
      <c r="G84" s="546"/>
      <c r="H84" s="454"/>
      <c r="I84" s="454"/>
      <c r="J84" s="640"/>
      <c r="Q84" s="48"/>
      <c r="R84" s="68"/>
    </row>
    <row r="85" spans="1:18" x14ac:dyDescent="0.25">
      <c r="A85" s="648"/>
      <c r="B85" s="454"/>
      <c r="C85" s="454"/>
      <c r="D85" s="454"/>
      <c r="E85" s="454"/>
      <c r="F85" s="640"/>
      <c r="G85" s="546"/>
      <c r="H85" s="454"/>
      <c r="I85" s="454"/>
      <c r="J85" s="640"/>
    </row>
    <row r="86" spans="1:18" x14ac:dyDescent="0.25">
      <c r="A86" s="648"/>
      <c r="B86" s="454"/>
      <c r="C86" s="454"/>
      <c r="D86" s="454"/>
      <c r="E86" s="454"/>
      <c r="F86" s="640"/>
      <c r="G86" s="546"/>
      <c r="H86" s="454"/>
      <c r="I86" s="454"/>
      <c r="J86" s="640"/>
    </row>
    <row r="87" spans="1:18" x14ac:dyDescent="0.25">
      <c r="A87" s="648"/>
      <c r="B87" s="454"/>
      <c r="C87" s="454"/>
      <c r="D87" s="454"/>
      <c r="E87" s="454"/>
      <c r="F87" s="640"/>
      <c r="G87" s="546"/>
      <c r="H87" s="454"/>
      <c r="I87" s="454"/>
      <c r="J87" s="640"/>
    </row>
    <row r="88" spans="1:18" x14ac:dyDescent="0.25">
      <c r="A88" s="648"/>
      <c r="B88" s="454"/>
      <c r="C88" s="454"/>
      <c r="D88" s="454"/>
      <c r="E88" s="454"/>
      <c r="F88" s="640"/>
      <c r="G88" s="546"/>
      <c r="H88" s="454"/>
      <c r="I88" s="454"/>
      <c r="J88" s="640"/>
    </row>
    <row r="89" spans="1:18" x14ac:dyDescent="0.25">
      <c r="A89" s="648"/>
      <c r="B89" s="454"/>
      <c r="C89" s="454"/>
      <c r="D89" s="454"/>
      <c r="E89" s="454"/>
      <c r="F89" s="640"/>
      <c r="G89" s="546"/>
      <c r="H89" s="454"/>
      <c r="I89" s="454"/>
      <c r="J89" s="640"/>
    </row>
    <row r="90" spans="1:18" x14ac:dyDescent="0.25">
      <c r="A90" s="648"/>
      <c r="B90" s="454"/>
      <c r="C90" s="454"/>
      <c r="D90" s="454"/>
      <c r="E90" s="454"/>
      <c r="F90" s="640"/>
      <c r="G90" s="546"/>
      <c r="H90" s="454"/>
      <c r="I90" s="454"/>
      <c r="J90" s="640"/>
    </row>
    <row r="91" spans="1:18" x14ac:dyDescent="0.25">
      <c r="A91" s="648"/>
      <c r="B91" s="454"/>
      <c r="C91" s="454"/>
      <c r="D91" s="454"/>
      <c r="E91" s="454"/>
      <c r="F91" s="640"/>
      <c r="G91" s="546"/>
      <c r="H91" s="454"/>
      <c r="I91" s="454"/>
      <c r="J91" s="640"/>
    </row>
    <row r="92" spans="1:18" x14ac:dyDescent="0.25">
      <c r="A92" s="648"/>
      <c r="B92" s="454"/>
      <c r="C92" s="454"/>
      <c r="D92" s="454"/>
      <c r="E92" s="454"/>
      <c r="F92" s="640"/>
      <c r="G92" s="546"/>
      <c r="H92" s="454"/>
      <c r="I92" s="454"/>
      <c r="J92" s="640"/>
    </row>
    <row r="93" spans="1:18" x14ac:dyDescent="0.25">
      <c r="A93" s="648"/>
      <c r="B93" s="454"/>
      <c r="C93" s="454"/>
      <c r="D93" s="454"/>
      <c r="E93" s="454"/>
      <c r="F93" s="640"/>
      <c r="G93" s="546"/>
      <c r="H93" s="454"/>
      <c r="I93" s="454"/>
      <c r="J93" s="640"/>
    </row>
    <row r="94" spans="1:18" x14ac:dyDescent="0.25">
      <c r="A94" s="648"/>
      <c r="B94" s="454"/>
      <c r="C94" s="454"/>
      <c r="D94" s="454"/>
      <c r="E94" s="454"/>
      <c r="F94" s="640"/>
      <c r="G94" s="546"/>
      <c r="H94" s="454"/>
      <c r="I94" s="454"/>
      <c r="J94" s="640"/>
    </row>
    <row r="95" spans="1:18" x14ac:dyDescent="0.25">
      <c r="A95" s="648"/>
      <c r="B95" s="454"/>
      <c r="C95" s="454"/>
      <c r="D95" s="454"/>
      <c r="E95" s="454"/>
      <c r="F95" s="640"/>
      <c r="G95" s="546"/>
      <c r="H95" s="454"/>
      <c r="I95" s="454"/>
      <c r="J95" s="640"/>
    </row>
    <row r="96" spans="1:18" x14ac:dyDescent="0.25">
      <c r="A96" s="648"/>
      <c r="B96" s="454"/>
      <c r="C96" s="454"/>
      <c r="D96" s="454"/>
      <c r="E96" s="454"/>
      <c r="F96" s="640"/>
      <c r="G96" s="546"/>
      <c r="H96" s="454"/>
      <c r="I96" s="454"/>
      <c r="J96" s="640"/>
    </row>
    <row r="97" spans="1:10" x14ac:dyDescent="0.25">
      <c r="A97" s="648"/>
      <c r="B97" s="454"/>
      <c r="C97" s="454"/>
      <c r="D97" s="454"/>
      <c r="E97" s="454"/>
      <c r="F97" s="640"/>
      <c r="G97" s="546"/>
      <c r="H97" s="454"/>
      <c r="I97" s="454"/>
      <c r="J97" s="640"/>
    </row>
    <row r="98" spans="1:10" x14ac:dyDescent="0.25">
      <c r="A98" s="648"/>
      <c r="B98" s="454"/>
      <c r="C98" s="454"/>
      <c r="D98" s="454"/>
      <c r="E98" s="454"/>
      <c r="F98" s="640"/>
      <c r="G98" s="546"/>
      <c r="H98" s="454"/>
      <c r="I98" s="454"/>
      <c r="J98" s="640"/>
    </row>
    <row r="99" spans="1:10" x14ac:dyDescent="0.25">
      <c r="A99" s="648"/>
      <c r="B99" s="454"/>
      <c r="C99" s="454"/>
      <c r="D99" s="454"/>
      <c r="E99" s="454"/>
      <c r="F99" s="640"/>
      <c r="G99" s="546"/>
      <c r="H99" s="454"/>
      <c r="I99" s="454"/>
      <c r="J99" s="640"/>
    </row>
    <row r="100" spans="1:10" x14ac:dyDescent="0.25">
      <c r="A100" s="648"/>
      <c r="B100" s="454"/>
      <c r="C100" s="454"/>
      <c r="D100" s="454"/>
      <c r="E100" s="454"/>
      <c r="F100" s="640"/>
      <c r="G100" s="546"/>
      <c r="H100" s="454"/>
      <c r="I100" s="454"/>
      <c r="J100" s="640"/>
    </row>
    <row r="101" spans="1:10" x14ac:dyDescent="0.25">
      <c r="A101" s="648"/>
      <c r="B101" s="454"/>
      <c r="C101" s="454"/>
      <c r="D101" s="454"/>
      <c r="E101" s="454"/>
      <c r="F101" s="640"/>
      <c r="G101" s="546"/>
      <c r="H101" s="454"/>
      <c r="I101" s="454"/>
      <c r="J101" s="640"/>
    </row>
    <row r="102" spans="1:10" x14ac:dyDescent="0.25">
      <c r="A102" s="648"/>
      <c r="B102" s="454"/>
      <c r="C102" s="454"/>
      <c r="D102" s="454"/>
      <c r="E102" s="454"/>
      <c r="F102" s="640"/>
      <c r="G102" s="546"/>
      <c r="H102" s="454"/>
      <c r="I102" s="454"/>
      <c r="J102" s="640"/>
    </row>
    <row r="103" spans="1:10" x14ac:dyDescent="0.25">
      <c r="A103" s="648"/>
      <c r="B103" s="454"/>
      <c r="C103" s="454"/>
      <c r="D103" s="454"/>
      <c r="E103" s="454"/>
      <c r="F103" s="640"/>
      <c r="G103" s="546"/>
      <c r="H103" s="454"/>
      <c r="I103" s="454"/>
      <c r="J103" s="640"/>
    </row>
    <row r="104" spans="1:10" x14ac:dyDescent="0.25">
      <c r="A104" s="648"/>
      <c r="B104" s="454"/>
      <c r="C104" s="454"/>
      <c r="D104" s="454"/>
      <c r="E104" s="454"/>
      <c r="F104" s="640"/>
      <c r="G104" s="546"/>
      <c r="H104" s="454"/>
      <c r="I104" s="454"/>
      <c r="J104" s="640"/>
    </row>
    <row r="105" spans="1:10" x14ac:dyDescent="0.25">
      <c r="A105" s="648"/>
      <c r="B105" s="454"/>
      <c r="C105" s="454"/>
      <c r="D105" s="454"/>
      <c r="E105" s="454"/>
      <c r="F105" s="640"/>
      <c r="G105" s="546"/>
      <c r="H105" s="454"/>
      <c r="I105" s="454"/>
      <c r="J105" s="640"/>
    </row>
    <row r="106" spans="1:10" x14ac:dyDescent="0.25">
      <c r="A106" s="648"/>
      <c r="B106" s="454"/>
      <c r="C106" s="454"/>
      <c r="D106" s="454"/>
      <c r="E106" s="454"/>
      <c r="F106" s="640"/>
      <c r="G106" s="546"/>
      <c r="H106" s="454"/>
      <c r="I106" s="454"/>
      <c r="J106" s="640"/>
    </row>
    <row r="107" spans="1:10" x14ac:dyDescent="0.25">
      <c r="A107" s="648"/>
      <c r="B107" s="454"/>
      <c r="C107" s="648"/>
      <c r="D107" s="454"/>
      <c r="E107" s="454"/>
      <c r="F107" s="640"/>
      <c r="G107" s="546"/>
      <c r="H107" s="454"/>
      <c r="I107" s="454"/>
      <c r="J107" s="640"/>
    </row>
    <row r="108" spans="1:10" x14ac:dyDescent="0.25">
      <c r="A108" s="648"/>
      <c r="B108" s="454"/>
      <c r="C108" s="648"/>
      <c r="D108" s="454"/>
      <c r="E108" s="454"/>
      <c r="F108" s="640"/>
      <c r="G108" s="546"/>
      <c r="H108" s="454"/>
      <c r="I108" s="454"/>
      <c r="J108" s="640"/>
    </row>
    <row r="109" spans="1:10" x14ac:dyDescent="0.25">
      <c r="A109" s="648"/>
      <c r="B109" s="454"/>
      <c r="C109" s="648"/>
      <c r="D109" s="454"/>
      <c r="E109" s="454"/>
      <c r="F109" s="640"/>
      <c r="G109" s="546"/>
      <c r="H109" s="454"/>
      <c r="I109" s="454"/>
      <c r="J109" s="640"/>
    </row>
    <row r="110" spans="1:10" x14ac:dyDescent="0.25">
      <c r="A110" s="648"/>
      <c r="B110" s="454"/>
      <c r="C110" s="648"/>
      <c r="D110" s="454"/>
      <c r="E110" s="454"/>
      <c r="F110" s="640"/>
      <c r="G110" s="546"/>
      <c r="H110" s="454"/>
      <c r="I110" s="454"/>
      <c r="J110" s="640"/>
    </row>
    <row r="111" spans="1:10" x14ac:dyDescent="0.25">
      <c r="A111" s="648"/>
      <c r="B111" s="454"/>
      <c r="C111" s="648"/>
      <c r="D111" s="454"/>
      <c r="E111" s="454"/>
      <c r="F111" s="640"/>
      <c r="G111" s="546"/>
      <c r="H111" s="454"/>
      <c r="I111" s="454"/>
      <c r="J111" s="640"/>
    </row>
    <row r="112" spans="1:10" x14ac:dyDescent="0.25">
      <c r="A112" s="648"/>
      <c r="B112" s="454"/>
      <c r="C112" s="648"/>
      <c r="D112" s="454"/>
      <c r="E112" s="454"/>
      <c r="F112" s="640"/>
      <c r="G112" s="546"/>
      <c r="H112" s="454"/>
      <c r="I112" s="454"/>
      <c r="J112" s="640"/>
    </row>
    <row r="113" spans="1:10" x14ac:dyDescent="0.25">
      <c r="A113" s="648"/>
      <c r="B113" s="454"/>
      <c r="C113" s="648"/>
      <c r="D113" s="454"/>
      <c r="E113" s="454"/>
      <c r="F113" s="640"/>
      <c r="G113" s="546"/>
      <c r="H113" s="454"/>
      <c r="I113" s="454"/>
      <c r="J113" s="640"/>
    </row>
    <row r="114" spans="1:10" x14ac:dyDescent="0.25">
      <c r="A114" s="648"/>
      <c r="B114" s="454"/>
      <c r="C114" s="648"/>
      <c r="D114" s="454"/>
      <c r="E114" s="454"/>
      <c r="F114" s="640"/>
      <c r="G114" s="546"/>
      <c r="H114" s="454"/>
      <c r="I114" s="454"/>
      <c r="J114" s="640"/>
    </row>
    <row r="115" spans="1:10" x14ac:dyDescent="0.25">
      <c r="A115" s="648"/>
      <c r="B115" s="454"/>
      <c r="C115" s="648"/>
      <c r="D115" s="454"/>
      <c r="E115" s="454"/>
      <c r="F115" s="640"/>
      <c r="G115" s="546"/>
      <c r="H115" s="454"/>
      <c r="I115" s="454"/>
      <c r="J115" s="640"/>
    </row>
    <row r="116" spans="1:10" x14ac:dyDescent="0.25">
      <c r="A116" s="648"/>
      <c r="B116" s="454"/>
      <c r="C116" s="454"/>
      <c r="D116" s="454"/>
      <c r="E116" s="454"/>
      <c r="F116" s="640"/>
      <c r="G116" s="546"/>
      <c r="H116" s="454"/>
      <c r="I116" s="454"/>
      <c r="J116" s="640"/>
    </row>
    <row r="117" spans="1:10" x14ac:dyDescent="0.25">
      <c r="A117" s="648"/>
      <c r="B117" s="454"/>
      <c r="C117" s="454"/>
      <c r="D117" s="454"/>
      <c r="E117" s="454"/>
      <c r="F117" s="640"/>
      <c r="G117" s="546"/>
      <c r="H117" s="454"/>
      <c r="I117" s="454"/>
      <c r="J117" s="640"/>
    </row>
    <row r="118" spans="1:10" x14ac:dyDescent="0.25">
      <c r="A118" s="648"/>
      <c r="B118" s="454"/>
      <c r="C118" s="454"/>
      <c r="D118" s="454"/>
      <c r="E118" s="454"/>
      <c r="F118" s="640"/>
      <c r="G118" s="546"/>
      <c r="H118" s="454"/>
      <c r="I118" s="454"/>
      <c r="J118" s="640"/>
    </row>
    <row r="119" spans="1:10" x14ac:dyDescent="0.25">
      <c r="A119" s="648"/>
      <c r="B119" s="454"/>
      <c r="C119" s="454"/>
      <c r="D119" s="454"/>
      <c r="E119" s="454"/>
      <c r="F119" s="640"/>
      <c r="G119" s="546"/>
      <c r="H119" s="454"/>
      <c r="I119" s="454"/>
      <c r="J119" s="640"/>
    </row>
    <row r="120" spans="1:10" x14ac:dyDescent="0.25">
      <c r="A120" s="648"/>
      <c r="B120" s="454"/>
      <c r="C120" s="454"/>
      <c r="D120" s="454"/>
      <c r="E120" s="454"/>
      <c r="F120" s="640"/>
      <c r="G120" s="546"/>
      <c r="H120" s="454"/>
      <c r="I120" s="454"/>
      <c r="J120" s="640"/>
    </row>
    <row r="121" spans="1:10" x14ac:dyDescent="0.25">
      <c r="A121" s="648"/>
      <c r="B121" s="454"/>
      <c r="C121" s="454"/>
      <c r="D121" s="454"/>
      <c r="E121" s="454"/>
      <c r="F121" s="640"/>
      <c r="G121" s="546"/>
      <c r="H121" s="454"/>
      <c r="I121" s="454"/>
      <c r="J121" s="640"/>
    </row>
    <row r="122" spans="1:10" x14ac:dyDescent="0.25">
      <c r="A122" s="648"/>
      <c r="B122" s="454"/>
      <c r="C122" s="454"/>
      <c r="D122" s="454"/>
      <c r="E122" s="454"/>
      <c r="F122" s="640"/>
      <c r="G122" s="546"/>
      <c r="H122" s="454"/>
      <c r="I122" s="454"/>
      <c r="J122" s="640"/>
    </row>
    <row r="123" spans="1:10" x14ac:dyDescent="0.25">
      <c r="A123" s="648"/>
      <c r="B123" s="454"/>
      <c r="C123" s="454"/>
      <c r="D123" s="454"/>
      <c r="E123" s="454"/>
      <c r="F123" s="640"/>
      <c r="G123" s="546"/>
      <c r="H123" s="454"/>
      <c r="I123" s="454"/>
      <c r="J123" s="640"/>
    </row>
    <row r="124" spans="1:10" x14ac:dyDescent="0.25">
      <c r="A124" s="648"/>
      <c r="B124" s="454"/>
      <c r="C124" s="454"/>
      <c r="D124" s="454"/>
      <c r="E124" s="454"/>
      <c r="F124" s="640"/>
      <c r="G124" s="546"/>
      <c r="H124" s="454"/>
      <c r="I124" s="454"/>
      <c r="J124" s="640"/>
    </row>
    <row r="125" spans="1:10" x14ac:dyDescent="0.25">
      <c r="A125" s="648"/>
      <c r="B125" s="454"/>
      <c r="C125" s="454"/>
      <c r="D125" s="454"/>
      <c r="E125" s="454"/>
      <c r="F125" s="640"/>
      <c r="G125" s="546"/>
      <c r="H125" s="454"/>
      <c r="I125" s="454"/>
      <c r="J125" s="640"/>
    </row>
    <row r="126" spans="1:10" x14ac:dyDescent="0.25">
      <c r="A126" s="648"/>
      <c r="B126" s="454"/>
      <c r="C126" s="454"/>
      <c r="D126" s="454"/>
      <c r="E126" s="454"/>
      <c r="F126" s="640"/>
      <c r="G126" s="546"/>
      <c r="H126" s="454"/>
      <c r="I126" s="454"/>
      <c r="J126" s="640"/>
    </row>
    <row r="127" spans="1:10" x14ac:dyDescent="0.25">
      <c r="A127" s="648"/>
      <c r="B127" s="454"/>
      <c r="C127" s="454"/>
      <c r="D127" s="454"/>
      <c r="E127" s="454"/>
      <c r="F127" s="640"/>
      <c r="G127" s="546"/>
      <c r="H127" s="454"/>
      <c r="I127" s="454"/>
      <c r="J127" s="640"/>
    </row>
    <row r="128" spans="1:10" x14ac:dyDescent="0.25">
      <c r="A128" s="648"/>
      <c r="B128" s="454"/>
      <c r="C128" s="454"/>
      <c r="D128" s="454"/>
      <c r="E128" s="454"/>
      <c r="F128" s="640"/>
      <c r="G128" s="546"/>
      <c r="H128" s="454"/>
      <c r="I128" s="454"/>
      <c r="J128" s="640"/>
    </row>
    <row r="129" spans="1:10" x14ac:dyDescent="0.25">
      <c r="A129" s="648"/>
      <c r="B129" s="454"/>
      <c r="C129" s="454"/>
      <c r="D129" s="454"/>
      <c r="E129" s="454"/>
      <c r="F129" s="640"/>
      <c r="G129" s="546"/>
      <c r="H129" s="454"/>
      <c r="I129" s="454"/>
      <c r="J129" s="640"/>
    </row>
    <row r="130" spans="1:10" x14ac:dyDescent="0.25">
      <c r="A130" s="648"/>
      <c r="B130" s="454"/>
      <c r="C130" s="454"/>
      <c r="D130" s="454"/>
      <c r="E130" s="454"/>
      <c r="F130" s="640"/>
      <c r="G130" s="546"/>
      <c r="H130" s="454"/>
      <c r="I130" s="454"/>
      <c r="J130" s="640"/>
    </row>
    <row r="131" spans="1:10" x14ac:dyDescent="0.25">
      <c r="A131" s="648"/>
      <c r="B131" s="454"/>
      <c r="C131" s="454"/>
      <c r="D131" s="454"/>
      <c r="E131" s="454"/>
      <c r="F131" s="640"/>
      <c r="G131" s="546"/>
      <c r="H131" s="454"/>
      <c r="I131" s="454"/>
      <c r="J131" s="640"/>
    </row>
    <row r="132" spans="1:10" x14ac:dyDescent="0.25">
      <c r="A132" s="648"/>
      <c r="B132" s="454"/>
      <c r="C132" s="454"/>
      <c r="D132" s="454"/>
      <c r="E132" s="454"/>
      <c r="F132" s="640"/>
      <c r="G132" s="546"/>
      <c r="H132" s="454"/>
      <c r="I132" s="454"/>
      <c r="J132" s="640"/>
    </row>
    <row r="133" spans="1:10" x14ac:dyDescent="0.25">
      <c r="A133" s="648"/>
      <c r="B133" s="454"/>
      <c r="C133" s="454"/>
      <c r="D133" s="454"/>
      <c r="E133" s="454"/>
      <c r="F133" s="640"/>
      <c r="G133" s="546"/>
      <c r="H133" s="454"/>
      <c r="I133" s="454"/>
      <c r="J133" s="640"/>
    </row>
    <row r="134" spans="1:10" x14ac:dyDescent="0.25">
      <c r="A134" s="648"/>
      <c r="B134" s="454"/>
      <c r="C134" s="454"/>
      <c r="D134" s="454"/>
      <c r="E134" s="454"/>
      <c r="F134" s="640"/>
      <c r="G134" s="546"/>
      <c r="H134" s="454"/>
      <c r="I134" s="454"/>
      <c r="J134" s="640"/>
    </row>
    <row r="135" spans="1:10" x14ac:dyDescent="0.25">
      <c r="A135" s="648"/>
      <c r="B135" s="454"/>
      <c r="C135" s="454"/>
      <c r="D135" s="454"/>
      <c r="E135" s="454"/>
      <c r="F135" s="640"/>
      <c r="G135" s="546"/>
      <c r="H135" s="454"/>
      <c r="I135" s="454"/>
      <c r="J135" s="640"/>
    </row>
    <row r="136" spans="1:10" x14ac:dyDescent="0.25">
      <c r="A136" s="648"/>
      <c r="B136" s="454"/>
      <c r="C136" s="454"/>
      <c r="D136" s="454"/>
      <c r="E136" s="454"/>
      <c r="F136" s="640"/>
      <c r="G136" s="546"/>
      <c r="H136" s="454"/>
      <c r="I136" s="454"/>
      <c r="J136" s="640"/>
    </row>
    <row r="137" spans="1:10" x14ac:dyDescent="0.25">
      <c r="A137" s="648"/>
      <c r="B137" s="454"/>
      <c r="C137" s="454"/>
      <c r="D137" s="454"/>
      <c r="E137" s="454"/>
      <c r="F137" s="640"/>
      <c r="G137" s="546"/>
      <c r="H137" s="454"/>
      <c r="I137" s="454"/>
      <c r="J137" s="640"/>
    </row>
    <row r="138" spans="1:10" x14ac:dyDescent="0.25">
      <c r="A138" s="648"/>
      <c r="B138" s="454"/>
      <c r="C138" s="454"/>
      <c r="D138" s="454"/>
      <c r="E138" s="454"/>
      <c r="F138" s="640"/>
      <c r="G138" s="546"/>
      <c r="H138" s="454"/>
      <c r="I138" s="454"/>
      <c r="J138" s="640"/>
    </row>
    <row r="139" spans="1:10" x14ac:dyDescent="0.25">
      <c r="A139" s="648"/>
      <c r="B139" s="454"/>
      <c r="C139" s="454"/>
      <c r="D139" s="454"/>
      <c r="E139" s="454"/>
      <c r="F139" s="640"/>
      <c r="G139" s="546"/>
      <c r="H139" s="454"/>
      <c r="I139" s="454"/>
      <c r="J139" s="640"/>
    </row>
    <row r="140" spans="1:10" x14ac:dyDescent="0.25">
      <c r="A140" s="648"/>
      <c r="B140" s="454"/>
      <c r="C140" s="454"/>
      <c r="D140" s="454"/>
      <c r="E140" s="454"/>
      <c r="F140" s="640"/>
      <c r="G140" s="546"/>
      <c r="H140" s="454"/>
      <c r="I140" s="454"/>
      <c r="J140" s="640"/>
    </row>
    <row r="141" spans="1:10" x14ac:dyDescent="0.25">
      <c r="A141" s="648"/>
      <c r="B141" s="454"/>
      <c r="C141" s="454"/>
      <c r="D141" s="454"/>
      <c r="E141" s="454"/>
      <c r="F141" s="640"/>
      <c r="G141" s="546"/>
      <c r="H141" s="454"/>
      <c r="I141" s="454"/>
      <c r="J141" s="640"/>
    </row>
    <row r="142" spans="1:10" x14ac:dyDescent="0.25">
      <c r="A142" s="648"/>
      <c r="B142" s="454"/>
      <c r="C142" s="454"/>
      <c r="D142" s="454"/>
      <c r="E142" s="454"/>
      <c r="F142" s="640"/>
      <c r="G142" s="546"/>
      <c r="H142" s="454"/>
      <c r="I142" s="454"/>
      <c r="J142" s="640"/>
    </row>
    <row r="143" spans="1:10" x14ac:dyDescent="0.25">
      <c r="A143" s="648"/>
      <c r="B143" s="454"/>
      <c r="C143" s="454"/>
      <c r="D143" s="454"/>
      <c r="E143" s="454"/>
      <c r="F143" s="640"/>
      <c r="G143" s="546"/>
      <c r="H143" s="454"/>
      <c r="I143" s="454"/>
      <c r="J143" s="640"/>
    </row>
    <row r="144" spans="1:10" x14ac:dyDescent="0.25">
      <c r="A144" s="648"/>
      <c r="B144" s="454"/>
      <c r="C144" s="454"/>
      <c r="D144" s="454"/>
      <c r="E144" s="454"/>
      <c r="F144" s="640"/>
      <c r="G144" s="546"/>
      <c r="H144" s="454"/>
      <c r="I144" s="454"/>
      <c r="J144" s="640"/>
    </row>
    <row r="145" spans="1:10" x14ac:dyDescent="0.25">
      <c r="A145" s="648"/>
      <c r="B145" s="454"/>
      <c r="C145" s="454"/>
      <c r="D145" s="454"/>
      <c r="E145" s="454"/>
      <c r="F145" s="640"/>
      <c r="G145" s="546"/>
      <c r="H145" s="454"/>
      <c r="I145" s="454"/>
      <c r="J145" s="640"/>
    </row>
    <row r="146" spans="1:10" x14ac:dyDescent="0.25">
      <c r="A146" s="648"/>
      <c r="B146" s="454"/>
      <c r="C146" s="454"/>
      <c r="D146" s="454"/>
      <c r="E146" s="454"/>
      <c r="F146" s="640"/>
      <c r="G146" s="546"/>
      <c r="H146" s="454"/>
      <c r="I146" s="454"/>
      <c r="J146" s="640"/>
    </row>
    <row r="147" spans="1:10" x14ac:dyDescent="0.25">
      <c r="A147" s="648"/>
      <c r="B147" s="454"/>
      <c r="C147" s="454"/>
      <c r="D147" s="454"/>
      <c r="E147" s="454"/>
      <c r="F147" s="640"/>
      <c r="G147" s="546"/>
      <c r="H147" s="454"/>
      <c r="I147" s="454"/>
      <c r="J147" s="640"/>
    </row>
    <row r="148" spans="1:10" x14ac:dyDescent="0.25">
      <c r="A148" s="648"/>
      <c r="B148" s="454"/>
      <c r="C148" s="454"/>
      <c r="D148" s="454"/>
      <c r="E148" s="454"/>
      <c r="F148" s="640"/>
      <c r="G148" s="546"/>
      <c r="H148" s="454"/>
      <c r="I148" s="454"/>
      <c r="J148" s="640"/>
    </row>
    <row r="149" spans="1:10" x14ac:dyDescent="0.25">
      <c r="A149" s="648"/>
      <c r="B149" s="454"/>
      <c r="C149" s="454"/>
      <c r="D149" s="454"/>
      <c r="E149" s="454"/>
      <c r="F149" s="640"/>
      <c r="G149" s="546"/>
      <c r="H149" s="454"/>
      <c r="I149" s="454"/>
      <c r="J149" s="640"/>
    </row>
    <row r="150" spans="1:10" x14ac:dyDescent="0.25">
      <c r="A150" s="648"/>
      <c r="B150" s="454"/>
      <c r="C150" s="454"/>
      <c r="D150" s="454"/>
      <c r="E150" s="454"/>
      <c r="F150" s="640"/>
      <c r="G150" s="546"/>
      <c r="H150" s="454"/>
      <c r="I150" s="454"/>
      <c r="J150" s="640"/>
    </row>
    <row r="151" spans="1:10" x14ac:dyDescent="0.25">
      <c r="A151" s="648"/>
      <c r="B151" s="454"/>
      <c r="C151" s="454"/>
      <c r="D151" s="454"/>
      <c r="E151" s="454"/>
      <c r="F151" s="640"/>
      <c r="G151" s="546"/>
      <c r="H151" s="454"/>
      <c r="I151" s="454"/>
      <c r="J151" s="640"/>
    </row>
    <row r="152" spans="1:10" x14ac:dyDescent="0.25">
      <c r="A152" s="648"/>
      <c r="B152" s="454"/>
      <c r="C152" s="454"/>
      <c r="D152" s="454"/>
      <c r="E152" s="454"/>
      <c r="F152" s="640"/>
      <c r="G152" s="546"/>
      <c r="H152" s="454"/>
      <c r="I152" s="454"/>
      <c r="J152" s="640"/>
    </row>
    <row r="153" spans="1:10" x14ac:dyDescent="0.25">
      <c r="A153" s="648"/>
      <c r="B153" s="454"/>
      <c r="C153" s="454"/>
      <c r="D153" s="454"/>
      <c r="E153" s="454"/>
      <c r="F153" s="640"/>
      <c r="G153" s="546"/>
      <c r="H153" s="454"/>
      <c r="I153" s="454"/>
      <c r="J153" s="640"/>
    </row>
    <row r="154" spans="1:10" x14ac:dyDescent="0.25">
      <c r="A154" s="648"/>
      <c r="B154" s="454"/>
      <c r="C154" s="454"/>
      <c r="D154" s="454"/>
      <c r="E154" s="454"/>
      <c r="F154" s="640"/>
      <c r="G154" s="546"/>
      <c r="H154" s="454"/>
      <c r="I154" s="454"/>
      <c r="J154" s="640"/>
    </row>
    <row r="155" spans="1:10" x14ac:dyDescent="0.25">
      <c r="A155" s="648"/>
      <c r="B155" s="454"/>
      <c r="C155" s="454"/>
      <c r="D155" s="454"/>
      <c r="E155" s="454"/>
      <c r="F155" s="640"/>
      <c r="G155" s="546"/>
      <c r="H155" s="454"/>
      <c r="I155" s="454"/>
      <c r="J155" s="640"/>
    </row>
    <row r="156" spans="1:10" x14ac:dyDescent="0.25">
      <c r="A156" s="648"/>
      <c r="B156" s="454"/>
      <c r="C156" s="454"/>
      <c r="D156" s="454"/>
      <c r="E156" s="454"/>
      <c r="F156" s="640"/>
      <c r="G156" s="546"/>
      <c r="H156" s="454"/>
      <c r="I156" s="454"/>
      <c r="J156" s="640"/>
    </row>
    <row r="157" spans="1:10" x14ac:dyDescent="0.25">
      <c r="A157" s="648"/>
      <c r="B157" s="454"/>
      <c r="C157" s="454"/>
      <c r="D157" s="454"/>
      <c r="E157" s="454"/>
      <c r="F157" s="640"/>
      <c r="G157" s="546"/>
      <c r="H157" s="454"/>
      <c r="I157" s="454"/>
      <c r="J157" s="640"/>
    </row>
    <row r="158" spans="1:10" x14ac:dyDescent="0.25">
      <c r="A158" s="648"/>
      <c r="B158" s="454"/>
      <c r="C158" s="454"/>
      <c r="D158" s="454"/>
      <c r="E158" s="454"/>
      <c r="F158" s="640"/>
      <c r="G158" s="546"/>
      <c r="H158" s="454"/>
      <c r="I158" s="454"/>
      <c r="J158" s="640"/>
    </row>
    <row r="159" spans="1:10" x14ac:dyDescent="0.25">
      <c r="A159" s="648"/>
      <c r="B159" s="454"/>
      <c r="C159" s="454"/>
      <c r="D159" s="454"/>
      <c r="E159" s="454"/>
      <c r="F159" s="640"/>
      <c r="G159" s="546"/>
      <c r="H159" s="454"/>
      <c r="I159" s="454"/>
      <c r="J159" s="640"/>
    </row>
    <row r="160" spans="1:10" x14ac:dyDescent="0.25">
      <c r="A160" s="648"/>
      <c r="B160" s="454"/>
      <c r="C160" s="454"/>
      <c r="D160" s="454"/>
      <c r="E160" s="454"/>
      <c r="F160" s="640"/>
      <c r="G160" s="546"/>
      <c r="H160" s="454"/>
      <c r="I160" s="454"/>
      <c r="J160" s="640"/>
    </row>
    <row r="161" spans="1:10" x14ac:dyDescent="0.25">
      <c r="A161" s="648"/>
      <c r="B161" s="454"/>
      <c r="C161" s="454"/>
      <c r="D161" s="452"/>
      <c r="E161" s="647"/>
      <c r="F161" s="639"/>
      <c r="G161" s="644"/>
      <c r="H161" s="454"/>
      <c r="I161" s="454"/>
      <c r="J161" s="640"/>
    </row>
    <row r="162" spans="1:10" x14ac:dyDescent="0.25">
      <c r="A162" s="648"/>
      <c r="B162" s="454"/>
      <c r="C162" s="454"/>
      <c r="D162" s="454"/>
      <c r="E162" s="454"/>
      <c r="F162" s="640"/>
      <c r="G162" s="546"/>
      <c r="H162" s="454"/>
      <c r="I162" s="454"/>
      <c r="J162" s="640"/>
    </row>
    <row r="163" spans="1:10" x14ac:dyDescent="0.25">
      <c r="A163" s="648"/>
      <c r="B163" s="454"/>
      <c r="C163" s="454"/>
      <c r="D163" s="454"/>
      <c r="E163" s="454"/>
      <c r="F163" s="640"/>
      <c r="G163" s="546"/>
      <c r="H163" s="454"/>
      <c r="I163" s="454"/>
      <c r="J163" s="640"/>
    </row>
    <row r="164" spans="1:10" x14ac:dyDescent="0.25">
      <c r="A164" s="648"/>
      <c r="B164" s="454"/>
      <c r="C164" s="454"/>
      <c r="D164" s="454"/>
      <c r="E164" s="454"/>
      <c r="F164" s="640"/>
      <c r="G164" s="546"/>
      <c r="H164" s="454"/>
      <c r="I164" s="454"/>
      <c r="J164" s="640"/>
    </row>
    <row r="165" spans="1:10" x14ac:dyDescent="0.25">
      <c r="A165" s="648"/>
      <c r="B165" s="454"/>
      <c r="C165" s="454"/>
      <c r="D165" s="454"/>
      <c r="E165" s="454"/>
      <c r="F165" s="640"/>
      <c r="G165" s="546"/>
      <c r="H165" s="454"/>
      <c r="I165" s="454"/>
      <c r="J165" s="640"/>
    </row>
    <row r="166" spans="1:10" x14ac:dyDescent="0.25">
      <c r="A166" s="648"/>
      <c r="B166" s="454"/>
      <c r="C166" s="454"/>
      <c r="D166" s="454"/>
      <c r="E166" s="454"/>
      <c r="F166" s="640"/>
      <c r="G166" s="546"/>
      <c r="H166" s="454"/>
      <c r="I166" s="454"/>
      <c r="J166" s="640"/>
    </row>
    <row r="167" spans="1:10" x14ac:dyDescent="0.25">
      <c r="A167" s="648"/>
      <c r="B167" s="454"/>
      <c r="C167" s="454"/>
      <c r="D167" s="454"/>
      <c r="E167" s="454"/>
      <c r="F167" s="640"/>
      <c r="G167" s="95"/>
      <c r="H167" s="454"/>
      <c r="I167" s="454"/>
      <c r="J167" s="640"/>
    </row>
    <row r="168" spans="1:10" x14ac:dyDescent="0.25">
      <c r="A168" s="648"/>
      <c r="B168" s="454"/>
      <c r="C168" s="454"/>
      <c r="D168" s="452"/>
      <c r="E168" s="651"/>
      <c r="F168" s="639"/>
      <c r="G168" s="644"/>
      <c r="H168" s="454"/>
      <c r="I168" s="454"/>
      <c r="J168" s="640"/>
    </row>
    <row r="169" spans="1:10" x14ac:dyDescent="0.25">
      <c r="A169" s="648"/>
      <c r="B169" s="454"/>
      <c r="C169" s="454"/>
      <c r="D169" s="452"/>
      <c r="E169" s="452"/>
      <c r="F169" s="639"/>
      <c r="G169" s="644"/>
      <c r="H169" s="454"/>
      <c r="I169" s="454"/>
      <c r="J169" s="640"/>
    </row>
    <row r="170" spans="1:10" x14ac:dyDescent="0.25">
      <c r="A170" s="648"/>
      <c r="B170" s="454"/>
      <c r="C170" s="454"/>
      <c r="D170" s="452"/>
      <c r="E170" s="452"/>
      <c r="F170" s="639"/>
      <c r="G170" s="644"/>
      <c r="H170" s="454"/>
      <c r="I170" s="454"/>
      <c r="J170" s="640"/>
    </row>
    <row r="171" spans="1:10" x14ac:dyDescent="0.25">
      <c r="A171" s="648"/>
      <c r="B171" s="454"/>
      <c r="C171" s="454"/>
      <c r="D171" s="452"/>
      <c r="E171" s="651"/>
      <c r="F171" s="639"/>
      <c r="G171" s="644"/>
      <c r="H171" s="454"/>
      <c r="I171" s="454"/>
      <c r="J171" s="640"/>
    </row>
    <row r="172" spans="1:10" x14ac:dyDescent="0.25">
      <c r="A172" s="648"/>
      <c r="B172" s="454"/>
      <c r="C172" s="454"/>
      <c r="D172" s="452"/>
      <c r="E172" s="651"/>
      <c r="F172" s="639"/>
      <c r="G172" s="644"/>
      <c r="H172" s="454"/>
      <c r="I172" s="454"/>
      <c r="J172" s="640"/>
    </row>
    <row r="173" spans="1:10" x14ac:dyDescent="0.25">
      <c r="A173" s="648"/>
      <c r="B173" s="454"/>
      <c r="C173" s="454"/>
      <c r="D173" s="452"/>
      <c r="E173" s="651"/>
      <c r="F173" s="639"/>
      <c r="G173" s="644"/>
      <c r="H173" s="454"/>
      <c r="I173" s="454"/>
      <c r="J173" s="640"/>
    </row>
    <row r="174" spans="1:10" x14ac:dyDescent="0.25">
      <c r="A174" s="648"/>
      <c r="B174" s="454"/>
      <c r="C174" s="454"/>
      <c r="D174" s="452"/>
      <c r="E174" s="651"/>
      <c r="F174" s="639"/>
      <c r="G174" s="644"/>
      <c r="H174" s="454"/>
      <c r="I174" s="454"/>
      <c r="J174" s="640"/>
    </row>
    <row r="175" spans="1:10" x14ac:dyDescent="0.25">
      <c r="A175" s="648"/>
      <c r="B175" s="454"/>
      <c r="C175" s="454"/>
      <c r="D175" s="452"/>
      <c r="E175" s="651"/>
      <c r="F175" s="639"/>
      <c r="G175" s="644"/>
      <c r="H175" s="454"/>
      <c r="I175" s="454"/>
      <c r="J175" s="640"/>
    </row>
    <row r="176" spans="1:10" x14ac:dyDescent="0.25">
      <c r="A176" s="648"/>
      <c r="B176" s="454"/>
      <c r="C176" s="454"/>
      <c r="D176" s="452"/>
      <c r="E176" s="651"/>
      <c r="F176" s="639"/>
      <c r="G176" s="644"/>
      <c r="H176" s="454"/>
      <c r="I176" s="454"/>
      <c r="J176" s="640"/>
    </row>
    <row r="177" spans="1:10" x14ac:dyDescent="0.25">
      <c r="A177" s="648"/>
      <c r="B177" s="454"/>
      <c r="C177" s="454"/>
      <c r="D177" s="452"/>
      <c r="E177" s="452"/>
      <c r="F177" s="639"/>
      <c r="G177" s="644"/>
      <c r="H177" s="454"/>
      <c r="I177" s="454"/>
      <c r="J177" s="640"/>
    </row>
    <row r="178" spans="1:10" x14ac:dyDescent="0.25">
      <c r="A178" s="648"/>
      <c r="B178" s="454"/>
      <c r="C178" s="454"/>
      <c r="D178" s="452"/>
      <c r="E178" s="651"/>
      <c r="F178" s="639"/>
      <c r="G178" s="644"/>
      <c r="H178" s="454"/>
      <c r="I178" s="454"/>
      <c r="J178" s="640"/>
    </row>
    <row r="179" spans="1:10" x14ac:dyDescent="0.25">
      <c r="A179" s="648"/>
      <c r="B179" s="454"/>
      <c r="C179" s="454"/>
      <c r="D179" s="452"/>
      <c r="E179" s="651"/>
      <c r="F179" s="639"/>
      <c r="G179" s="644"/>
      <c r="H179" s="454"/>
      <c r="I179" s="454"/>
      <c r="J179" s="640"/>
    </row>
    <row r="180" spans="1:10" x14ac:dyDescent="0.25">
      <c r="A180" s="648"/>
      <c r="B180" s="454"/>
      <c r="C180" s="454"/>
      <c r="D180" s="454"/>
      <c r="E180" s="454"/>
      <c r="F180" s="640"/>
      <c r="G180" s="546"/>
      <c r="H180" s="454"/>
      <c r="I180" s="454"/>
      <c r="J180" s="640"/>
    </row>
    <row r="181" spans="1:10" x14ac:dyDescent="0.25">
      <c r="A181" s="648"/>
      <c r="B181" s="454"/>
      <c r="C181" s="454"/>
      <c r="D181" s="454"/>
      <c r="E181" s="454"/>
      <c r="F181" s="640"/>
      <c r="G181" s="546"/>
      <c r="H181" s="454"/>
      <c r="I181" s="454"/>
      <c r="J181" s="640"/>
    </row>
    <row r="182" spans="1:10" x14ac:dyDescent="0.25">
      <c r="A182" s="648"/>
      <c r="B182" s="454"/>
      <c r="C182" s="454"/>
      <c r="D182" s="454"/>
      <c r="E182" s="454"/>
      <c r="F182" s="640"/>
      <c r="G182" s="546"/>
      <c r="H182" s="454"/>
      <c r="I182" s="454"/>
      <c r="J182" s="640"/>
    </row>
    <row r="183" spans="1:10" x14ac:dyDescent="0.25">
      <c r="A183" s="648"/>
      <c r="B183" s="454"/>
      <c r="C183" s="454"/>
      <c r="D183" s="452"/>
      <c r="E183" s="647"/>
      <c r="F183" s="639"/>
      <c r="G183" s="644"/>
      <c r="H183" s="454"/>
      <c r="I183" s="454"/>
      <c r="J183" s="640"/>
    </row>
    <row r="184" spans="1:10" x14ac:dyDescent="0.25">
      <c r="A184" s="648"/>
      <c r="B184" s="454"/>
      <c r="C184" s="454"/>
      <c r="D184" s="452"/>
      <c r="E184" s="647"/>
      <c r="F184" s="639"/>
      <c r="G184" s="644"/>
      <c r="H184" s="454"/>
      <c r="I184" s="454"/>
      <c r="J184" s="640"/>
    </row>
    <row r="185" spans="1:10" x14ac:dyDescent="0.25">
      <c r="A185" s="648"/>
      <c r="B185" s="454"/>
      <c r="C185" s="454"/>
      <c r="D185" s="452"/>
      <c r="E185" s="651"/>
      <c r="F185" s="639"/>
      <c r="G185" s="644"/>
      <c r="H185" s="454"/>
      <c r="I185" s="454"/>
      <c r="J185" s="640"/>
    </row>
    <row r="186" spans="1:10" x14ac:dyDescent="0.25">
      <c r="A186" s="648"/>
      <c r="B186" s="454"/>
      <c r="C186" s="454"/>
      <c r="D186" s="452"/>
      <c r="E186" s="651"/>
      <c r="F186" s="639"/>
      <c r="G186" s="644"/>
      <c r="H186" s="454"/>
      <c r="I186" s="454"/>
      <c r="J186" s="640"/>
    </row>
    <row r="187" spans="1:10" x14ac:dyDescent="0.25">
      <c r="A187" s="648"/>
      <c r="B187" s="454"/>
      <c r="C187" s="454"/>
      <c r="D187" s="452"/>
      <c r="E187" s="651"/>
      <c r="F187" s="639"/>
      <c r="G187" s="644"/>
      <c r="H187" s="454"/>
      <c r="I187" s="454"/>
      <c r="J187" s="640"/>
    </row>
    <row r="188" spans="1:10" x14ac:dyDescent="0.25">
      <c r="A188" s="648"/>
      <c r="B188" s="454"/>
      <c r="C188" s="454"/>
      <c r="D188" s="452"/>
      <c r="E188" s="651"/>
      <c r="F188" s="639"/>
      <c r="G188" s="644"/>
      <c r="H188" s="454"/>
      <c r="I188" s="454"/>
      <c r="J188" s="640"/>
    </row>
    <row r="189" spans="1:10" x14ac:dyDescent="0.25">
      <c r="A189" s="648"/>
      <c r="B189" s="454"/>
      <c r="C189" s="454"/>
      <c r="D189" s="452"/>
      <c r="E189" s="651"/>
      <c r="F189" s="639"/>
      <c r="G189" s="644"/>
      <c r="H189" s="454"/>
      <c r="I189" s="454"/>
      <c r="J189" s="640"/>
    </row>
    <row r="190" spans="1:10" x14ac:dyDescent="0.25">
      <c r="A190" s="648"/>
      <c r="B190" s="454"/>
      <c r="C190" s="454"/>
      <c r="D190" s="647"/>
      <c r="E190" s="647"/>
      <c r="F190" s="639"/>
      <c r="G190" s="644"/>
      <c r="H190" s="454"/>
      <c r="I190" s="454"/>
      <c r="J190" s="640"/>
    </row>
    <row r="191" spans="1:10" x14ac:dyDescent="0.25">
      <c r="A191" s="648"/>
      <c r="B191" s="454"/>
      <c r="C191" s="454"/>
      <c r="D191" s="452"/>
      <c r="E191" s="647"/>
      <c r="F191" s="639"/>
      <c r="G191" s="644"/>
      <c r="H191" s="454"/>
      <c r="I191" s="454"/>
      <c r="J191" s="640"/>
    </row>
    <row r="192" spans="1:10" x14ac:dyDescent="0.25">
      <c r="A192" s="648"/>
      <c r="B192" s="454"/>
      <c r="C192" s="454"/>
      <c r="D192" s="452"/>
      <c r="E192" s="452"/>
      <c r="F192" s="639"/>
      <c r="G192" s="644"/>
      <c r="H192" s="454"/>
      <c r="I192" s="454"/>
      <c r="J192" s="640"/>
    </row>
    <row r="193" spans="1:10" x14ac:dyDescent="0.25">
      <c r="A193" s="648"/>
      <c r="B193" s="454"/>
      <c r="C193" s="454"/>
      <c r="D193" s="452"/>
      <c r="E193" s="452"/>
      <c r="F193" s="639"/>
      <c r="G193" s="644"/>
      <c r="H193" s="454"/>
      <c r="I193" s="454"/>
      <c r="J193" s="640"/>
    </row>
    <row r="194" spans="1:10" x14ac:dyDescent="0.25">
      <c r="A194" s="648"/>
      <c r="B194" s="454"/>
      <c r="C194" s="454"/>
      <c r="D194" s="452"/>
      <c r="E194" s="452"/>
      <c r="F194" s="639"/>
      <c r="G194" s="644"/>
      <c r="H194" s="454"/>
      <c r="I194" s="454"/>
      <c r="J194" s="640"/>
    </row>
    <row r="195" spans="1:10" x14ac:dyDescent="0.25">
      <c r="A195" s="648"/>
      <c r="B195" s="454"/>
      <c r="C195" s="454"/>
      <c r="D195" s="452"/>
      <c r="E195" s="452"/>
      <c r="F195" s="639"/>
      <c r="G195" s="644"/>
      <c r="H195" s="454"/>
      <c r="I195" s="454"/>
      <c r="J195" s="640"/>
    </row>
    <row r="196" spans="1:10" x14ac:dyDescent="0.25">
      <c r="A196" s="648"/>
      <c r="B196" s="454"/>
      <c r="C196" s="454"/>
      <c r="D196" s="452"/>
      <c r="E196" s="452"/>
      <c r="F196" s="639"/>
      <c r="G196" s="644"/>
      <c r="H196" s="454"/>
      <c r="I196" s="454"/>
      <c r="J196" s="640"/>
    </row>
    <row r="197" spans="1:10" x14ac:dyDescent="0.25">
      <c r="A197" s="648"/>
      <c r="B197" s="454"/>
      <c r="C197" s="454"/>
      <c r="D197" s="452"/>
      <c r="E197" s="452"/>
      <c r="F197" s="639"/>
      <c r="G197" s="644"/>
      <c r="H197" s="454"/>
      <c r="I197" s="454"/>
      <c r="J197" s="640"/>
    </row>
    <row r="198" spans="1:10" x14ac:dyDescent="0.25">
      <c r="A198" s="648"/>
      <c r="B198" s="454"/>
      <c r="C198" s="454"/>
      <c r="D198" s="452"/>
      <c r="E198" s="452"/>
      <c r="F198" s="639"/>
      <c r="G198" s="644"/>
      <c r="H198" s="454"/>
      <c r="I198" s="454"/>
      <c r="J198" s="640"/>
    </row>
    <row r="199" spans="1:10" x14ac:dyDescent="0.25">
      <c r="A199" s="648"/>
      <c r="B199" s="454"/>
      <c r="C199" s="454"/>
      <c r="D199" s="452"/>
      <c r="E199" s="452"/>
      <c r="F199" s="639"/>
      <c r="G199" s="644"/>
      <c r="H199" s="454"/>
      <c r="I199" s="454"/>
      <c r="J199" s="640"/>
    </row>
    <row r="200" spans="1:10" x14ac:dyDescent="0.25">
      <c r="A200" s="648"/>
      <c r="B200" s="454"/>
      <c r="C200" s="454"/>
      <c r="D200" s="452"/>
      <c r="E200" s="452"/>
      <c r="F200" s="639"/>
      <c r="G200" s="644"/>
      <c r="H200" s="454"/>
      <c r="I200" s="454"/>
      <c r="J200" s="640"/>
    </row>
    <row r="201" spans="1:10" x14ac:dyDescent="0.25">
      <c r="A201" s="648"/>
      <c r="B201" s="454"/>
      <c r="C201" s="454"/>
      <c r="D201" s="452"/>
      <c r="E201" s="452"/>
      <c r="F201" s="639"/>
      <c r="G201" s="644"/>
      <c r="H201" s="454"/>
      <c r="I201" s="454"/>
      <c r="J201" s="640"/>
    </row>
    <row r="202" spans="1:10" x14ac:dyDescent="0.25">
      <c r="A202" s="648"/>
      <c r="B202" s="454"/>
      <c r="C202" s="454"/>
      <c r="D202" s="452"/>
      <c r="E202" s="452"/>
      <c r="F202" s="639"/>
      <c r="G202" s="644"/>
      <c r="H202" s="454"/>
      <c r="I202" s="454"/>
      <c r="J202" s="640"/>
    </row>
    <row r="203" spans="1:10" x14ac:dyDescent="0.25">
      <c r="A203" s="648"/>
      <c r="B203" s="454"/>
      <c r="C203" s="454"/>
      <c r="D203" s="452"/>
      <c r="E203" s="452"/>
      <c r="F203" s="639"/>
      <c r="G203" s="644"/>
      <c r="H203" s="454"/>
      <c r="I203" s="454"/>
      <c r="J203" s="640"/>
    </row>
    <row r="204" spans="1:10" x14ac:dyDescent="0.25">
      <c r="A204" s="648"/>
      <c r="B204" s="454"/>
      <c r="C204" s="454"/>
      <c r="D204" s="452"/>
      <c r="E204" s="452"/>
      <c r="F204" s="639"/>
      <c r="G204" s="644"/>
      <c r="H204" s="454"/>
      <c r="I204" s="454"/>
      <c r="J204" s="640"/>
    </row>
    <row r="205" spans="1:10" x14ac:dyDescent="0.25">
      <c r="A205" s="648"/>
      <c r="B205" s="454"/>
      <c r="C205" s="454"/>
      <c r="D205" s="452"/>
      <c r="E205" s="452"/>
      <c r="F205" s="639"/>
      <c r="G205" s="644"/>
      <c r="H205" s="454"/>
      <c r="I205" s="454"/>
      <c r="J205" s="640"/>
    </row>
    <row r="206" spans="1:10" x14ac:dyDescent="0.25">
      <c r="A206" s="648"/>
      <c r="B206" s="454"/>
      <c r="C206" s="454"/>
      <c r="D206" s="452"/>
      <c r="E206" s="647"/>
      <c r="F206" s="639"/>
      <c r="G206" s="644"/>
      <c r="H206" s="454"/>
      <c r="I206" s="454"/>
      <c r="J206" s="640"/>
    </row>
    <row r="207" spans="1:10" x14ac:dyDescent="0.25">
      <c r="A207" s="648"/>
      <c r="B207" s="454"/>
      <c r="C207" s="454"/>
      <c r="D207" s="452"/>
      <c r="E207" s="452"/>
      <c r="F207" s="639"/>
      <c r="G207" s="644"/>
      <c r="H207" s="454"/>
      <c r="I207" s="454"/>
      <c r="J207" s="640"/>
    </row>
    <row r="208" spans="1:10" x14ac:dyDescent="0.25">
      <c r="A208" s="648"/>
      <c r="B208" s="454"/>
      <c r="C208" s="454"/>
      <c r="D208" s="452"/>
      <c r="E208" s="452"/>
      <c r="F208" s="639"/>
      <c r="G208" s="644"/>
      <c r="H208" s="454"/>
      <c r="I208" s="454"/>
      <c r="J208" s="640"/>
    </row>
    <row r="209" spans="1:10" x14ac:dyDescent="0.25">
      <c r="A209" s="648"/>
      <c r="B209" s="454"/>
      <c r="C209" s="454"/>
      <c r="D209" s="452"/>
      <c r="E209" s="452"/>
      <c r="F209" s="639"/>
      <c r="G209" s="644"/>
      <c r="H209" s="454"/>
      <c r="I209" s="454"/>
      <c r="J209" s="640"/>
    </row>
    <row r="210" spans="1:10" x14ac:dyDescent="0.25">
      <c r="A210" s="648"/>
      <c r="B210" s="454"/>
      <c r="C210" s="454"/>
      <c r="D210" s="454"/>
      <c r="E210" s="454"/>
      <c r="F210" s="640"/>
      <c r="G210" s="546"/>
      <c r="H210" s="454"/>
      <c r="I210" s="454"/>
      <c r="J210" s="640"/>
    </row>
    <row r="211" spans="1:10" x14ac:dyDescent="0.25">
      <c r="A211" s="648"/>
      <c r="B211" s="454"/>
      <c r="C211" s="454"/>
      <c r="D211" s="452"/>
      <c r="E211" s="452"/>
      <c r="F211" s="639"/>
      <c r="G211" s="644"/>
      <c r="H211" s="454"/>
      <c r="I211" s="454"/>
      <c r="J211" s="640"/>
    </row>
    <row r="212" spans="1:10" x14ac:dyDescent="0.25">
      <c r="A212" s="648"/>
      <c r="B212" s="454"/>
      <c r="C212" s="454"/>
      <c r="D212" s="452"/>
      <c r="E212" s="647"/>
      <c r="F212" s="639"/>
      <c r="G212" s="644"/>
      <c r="H212" s="454"/>
      <c r="I212" s="454"/>
      <c r="J212" s="640"/>
    </row>
    <row r="213" spans="1:10" x14ac:dyDescent="0.25">
      <c r="A213" s="648"/>
      <c r="B213" s="454"/>
      <c r="C213" s="454"/>
      <c r="D213" s="452"/>
      <c r="E213" s="452"/>
      <c r="F213" s="639"/>
      <c r="G213" s="644"/>
      <c r="H213" s="454"/>
      <c r="I213" s="454"/>
      <c r="J213" s="640"/>
    </row>
    <row r="214" spans="1:10" x14ac:dyDescent="0.25">
      <c r="A214" s="648"/>
      <c r="B214" s="454"/>
      <c r="C214" s="454"/>
      <c r="D214" s="452"/>
      <c r="E214" s="452"/>
      <c r="F214" s="639"/>
      <c r="G214" s="644"/>
      <c r="H214" s="454"/>
      <c r="I214" s="454"/>
      <c r="J214" s="640"/>
    </row>
    <row r="215" spans="1:10" x14ac:dyDescent="0.25">
      <c r="A215" s="648"/>
      <c r="B215" s="454"/>
      <c r="C215" s="454"/>
      <c r="D215" s="452"/>
      <c r="E215" s="647"/>
      <c r="F215" s="639"/>
      <c r="G215" s="644"/>
      <c r="H215" s="454"/>
      <c r="I215" s="454"/>
      <c r="J215" s="640"/>
    </row>
    <row r="216" spans="1:10" x14ac:dyDescent="0.25">
      <c r="A216" s="648"/>
      <c r="B216" s="454"/>
      <c r="C216" s="454"/>
      <c r="D216" s="452"/>
      <c r="E216" s="452"/>
      <c r="F216" s="639"/>
      <c r="G216" s="644"/>
      <c r="H216" s="454"/>
      <c r="I216" s="454"/>
      <c r="J216" s="640"/>
    </row>
    <row r="217" spans="1:10" x14ac:dyDescent="0.25">
      <c r="A217" s="648"/>
      <c r="B217" s="454"/>
      <c r="C217" s="454"/>
      <c r="D217" s="452"/>
      <c r="E217" s="647"/>
      <c r="F217" s="639"/>
      <c r="G217" s="644"/>
      <c r="H217" s="454"/>
      <c r="I217" s="454"/>
      <c r="J217" s="640"/>
    </row>
    <row r="218" spans="1:10" x14ac:dyDescent="0.25">
      <c r="A218" s="648"/>
      <c r="B218" s="454"/>
      <c r="C218" s="454"/>
      <c r="D218" s="452"/>
      <c r="E218" s="647"/>
      <c r="F218" s="639"/>
      <c r="G218" s="644"/>
      <c r="H218" s="454"/>
      <c r="I218" s="454"/>
      <c r="J218" s="640"/>
    </row>
    <row r="219" spans="1:10" x14ac:dyDescent="0.25">
      <c r="A219" s="648"/>
      <c r="B219" s="454"/>
      <c r="C219" s="454"/>
      <c r="D219" s="452"/>
      <c r="E219" s="452"/>
      <c r="F219" s="639"/>
      <c r="G219" s="644"/>
      <c r="H219" s="454"/>
      <c r="I219" s="454"/>
      <c r="J219" s="640"/>
    </row>
    <row r="220" spans="1:10" x14ac:dyDescent="0.25">
      <c r="A220" s="648"/>
      <c r="B220" s="454"/>
      <c r="C220" s="454"/>
      <c r="D220" s="452"/>
      <c r="E220" s="647"/>
      <c r="F220" s="639"/>
      <c r="G220" s="644"/>
      <c r="H220" s="454"/>
      <c r="I220" s="454"/>
      <c r="J220" s="640"/>
    </row>
    <row r="221" spans="1:10" x14ac:dyDescent="0.25">
      <c r="A221" s="648"/>
      <c r="B221" s="454"/>
      <c r="C221" s="454"/>
      <c r="D221" s="452"/>
      <c r="E221" s="452"/>
      <c r="F221" s="639"/>
      <c r="G221" s="644"/>
      <c r="H221" s="454"/>
      <c r="I221" s="454"/>
      <c r="J221" s="640"/>
    </row>
    <row r="222" spans="1:10" x14ac:dyDescent="0.25">
      <c r="A222" s="648"/>
      <c r="B222" s="454"/>
      <c r="C222" s="454"/>
      <c r="D222" s="452"/>
      <c r="E222" s="452"/>
      <c r="F222" s="639"/>
      <c r="G222" s="644"/>
      <c r="H222" s="454"/>
      <c r="I222" s="454"/>
      <c r="J222" s="640"/>
    </row>
    <row r="223" spans="1:10" x14ac:dyDescent="0.25">
      <c r="A223" s="648"/>
      <c r="B223" s="454"/>
      <c r="C223" s="454"/>
      <c r="D223" s="452"/>
      <c r="E223" s="452"/>
      <c r="F223" s="639"/>
      <c r="G223" s="644"/>
      <c r="H223" s="454"/>
      <c r="I223" s="454"/>
      <c r="J223" s="640"/>
    </row>
    <row r="224" spans="1:10" x14ac:dyDescent="0.25">
      <c r="A224" s="648"/>
      <c r="B224" s="454"/>
      <c r="C224" s="454"/>
      <c r="D224" s="454"/>
      <c r="E224" s="454"/>
      <c r="F224" s="640"/>
      <c r="G224" s="546"/>
      <c r="H224" s="454"/>
      <c r="I224" s="454"/>
      <c r="J224" s="640"/>
    </row>
    <row r="225" spans="1:10" x14ac:dyDescent="0.25">
      <c r="A225" s="648"/>
      <c r="B225" s="454"/>
      <c r="C225" s="454"/>
      <c r="D225" s="452"/>
      <c r="E225" s="452"/>
      <c r="F225" s="639"/>
      <c r="G225" s="644"/>
      <c r="H225" s="454"/>
      <c r="I225" s="454"/>
      <c r="J225" s="640"/>
    </row>
    <row r="226" spans="1:10" x14ac:dyDescent="0.25">
      <c r="A226" s="648"/>
      <c r="B226" s="454"/>
      <c r="C226" s="454"/>
      <c r="D226" s="452"/>
      <c r="E226" s="452"/>
      <c r="F226" s="639"/>
      <c r="G226" s="644"/>
      <c r="H226" s="454"/>
      <c r="I226" s="454"/>
      <c r="J226" s="640"/>
    </row>
    <row r="227" spans="1:10" x14ac:dyDescent="0.25">
      <c r="A227" s="648"/>
      <c r="B227" s="454"/>
      <c r="C227" s="454"/>
      <c r="D227" s="452"/>
      <c r="E227" s="647"/>
      <c r="F227" s="639"/>
      <c r="G227" s="644"/>
      <c r="H227" s="454"/>
      <c r="I227" s="454"/>
      <c r="J227" s="640"/>
    </row>
    <row r="228" spans="1:10" x14ac:dyDescent="0.25">
      <c r="A228" s="648"/>
      <c r="B228" s="454"/>
      <c r="C228" s="454"/>
      <c r="D228" s="452"/>
      <c r="E228" s="452"/>
      <c r="F228" s="639"/>
      <c r="G228" s="644"/>
      <c r="H228" s="454"/>
      <c r="I228" s="454"/>
      <c r="J228" s="640"/>
    </row>
    <row r="229" spans="1:10" x14ac:dyDescent="0.25">
      <c r="A229" s="648"/>
      <c r="B229" s="454"/>
      <c r="C229" s="454"/>
      <c r="D229" s="452"/>
      <c r="E229" s="452"/>
      <c r="F229" s="639"/>
      <c r="G229" s="644"/>
      <c r="H229" s="454"/>
      <c r="I229" s="454"/>
      <c r="J229" s="640"/>
    </row>
    <row r="230" spans="1:10" x14ac:dyDescent="0.25">
      <c r="A230" s="648"/>
      <c r="B230" s="454"/>
      <c r="C230" s="454"/>
      <c r="D230" s="452"/>
      <c r="E230" s="646"/>
      <c r="F230" s="639"/>
      <c r="G230" s="644"/>
      <c r="H230" s="454"/>
      <c r="I230" s="454"/>
      <c r="J230" s="640"/>
    </row>
    <row r="231" spans="1:10" x14ac:dyDescent="0.25">
      <c r="A231" s="648"/>
      <c r="B231" s="454"/>
      <c r="C231" s="454"/>
      <c r="D231" s="452"/>
      <c r="E231" s="646"/>
      <c r="F231" s="639"/>
      <c r="G231" s="644"/>
      <c r="H231" s="454"/>
      <c r="I231" s="454"/>
      <c r="J231" s="640"/>
    </row>
    <row r="232" spans="1:10" x14ac:dyDescent="0.25">
      <c r="A232" s="648"/>
      <c r="B232" s="454"/>
      <c r="C232" s="454"/>
      <c r="D232" s="452"/>
      <c r="E232" s="646"/>
      <c r="F232" s="639"/>
      <c r="G232" s="644"/>
      <c r="H232" s="454"/>
      <c r="I232" s="454"/>
      <c r="J232" s="640"/>
    </row>
    <row r="233" spans="1:10" x14ac:dyDescent="0.25">
      <c r="A233" s="648"/>
      <c r="B233" s="454"/>
      <c r="C233" s="454"/>
      <c r="D233" s="452"/>
      <c r="E233" s="646"/>
      <c r="F233" s="639"/>
      <c r="G233" s="644"/>
      <c r="H233" s="454"/>
      <c r="I233" s="454"/>
      <c r="J233" s="640"/>
    </row>
    <row r="234" spans="1:10" x14ac:dyDescent="0.25">
      <c r="A234" s="648"/>
      <c r="B234" s="454"/>
      <c r="C234" s="454"/>
      <c r="D234" s="452"/>
      <c r="E234" s="452"/>
      <c r="F234" s="639"/>
      <c r="G234" s="644"/>
      <c r="H234" s="454"/>
      <c r="I234" s="454"/>
      <c r="J234" s="640"/>
    </row>
    <row r="235" spans="1:10" ht="15.75" thickBot="1" x14ac:dyDescent="0.3">
      <c r="A235" s="652"/>
      <c r="B235" s="653"/>
      <c r="C235" s="653"/>
      <c r="D235" s="653"/>
      <c r="E235" s="653"/>
      <c r="F235" s="654"/>
      <c r="G235" s="655"/>
      <c r="H235" s="653"/>
      <c r="I235" s="653"/>
      <c r="J235" s="654"/>
    </row>
    <row r="236" spans="1:10" ht="15.75" thickTop="1" x14ac:dyDescent="0.25">
      <c r="A236" s="648"/>
      <c r="B236" s="454"/>
      <c r="C236" s="454"/>
      <c r="D236" s="452"/>
      <c r="E236" s="646"/>
      <c r="F236" s="639"/>
      <c r="G236" s="644"/>
      <c r="H236" s="454"/>
      <c r="I236" s="454"/>
      <c r="J236" s="640"/>
    </row>
    <row r="237" spans="1:10" x14ac:dyDescent="0.25">
      <c r="A237" s="648"/>
      <c r="B237" s="454"/>
      <c r="C237" s="454"/>
      <c r="D237" s="452"/>
      <c r="E237" s="646"/>
      <c r="F237" s="639"/>
      <c r="G237" s="644"/>
      <c r="H237" s="454"/>
      <c r="I237" s="454"/>
      <c r="J237" s="640"/>
    </row>
    <row r="238" spans="1:10" x14ac:dyDescent="0.25">
      <c r="A238" s="648"/>
      <c r="B238" s="454"/>
      <c r="C238" s="454"/>
      <c r="D238" s="452"/>
      <c r="E238" s="646"/>
      <c r="F238" s="639"/>
      <c r="G238" s="644"/>
      <c r="H238" s="454"/>
      <c r="I238" s="454"/>
      <c r="J238" s="640"/>
    </row>
    <row r="239" spans="1:10" x14ac:dyDescent="0.25">
      <c r="A239" s="648"/>
      <c r="B239" s="454"/>
      <c r="C239" s="454"/>
      <c r="D239" s="452"/>
      <c r="E239" s="646"/>
      <c r="F239" s="639"/>
      <c r="G239" s="644"/>
      <c r="H239" s="454"/>
      <c r="I239" s="454"/>
      <c r="J239" s="640"/>
    </row>
    <row r="240" spans="1:10" x14ac:dyDescent="0.25">
      <c r="A240" s="648"/>
      <c r="B240" s="454"/>
      <c r="C240" s="454"/>
      <c r="D240" s="452"/>
      <c r="E240" s="646"/>
      <c r="F240" s="639"/>
      <c r="G240" s="644"/>
      <c r="H240" s="454"/>
      <c r="I240" s="454"/>
      <c r="J240" s="640"/>
    </row>
    <row r="241" spans="1:10" x14ac:dyDescent="0.25">
      <c r="A241" s="648"/>
      <c r="B241" s="454"/>
      <c r="C241" s="454"/>
      <c r="D241" s="452"/>
      <c r="E241" s="452"/>
      <c r="F241" s="639"/>
      <c r="G241" s="644"/>
      <c r="H241" s="454"/>
      <c r="I241" s="454"/>
      <c r="J241" s="640"/>
    </row>
    <row r="242" spans="1:10" x14ac:dyDescent="0.25">
      <c r="A242" s="648"/>
      <c r="B242" s="454"/>
      <c r="C242" s="454"/>
      <c r="D242" s="452"/>
      <c r="E242" s="452"/>
      <c r="F242" s="639"/>
      <c r="G242" s="644"/>
      <c r="H242" s="454"/>
      <c r="I242" s="454"/>
      <c r="J242" s="640"/>
    </row>
    <row r="243" spans="1:10" x14ac:dyDescent="0.25">
      <c r="A243" s="648"/>
      <c r="B243" s="454"/>
      <c r="C243" s="454"/>
      <c r="D243" s="454"/>
      <c r="E243" s="454"/>
      <c r="F243" s="640"/>
      <c r="G243" s="546"/>
      <c r="H243" s="454"/>
      <c r="I243" s="454"/>
      <c r="J243" s="640"/>
    </row>
    <row r="244" spans="1:10" x14ac:dyDescent="0.25">
      <c r="A244" s="648"/>
      <c r="B244" s="454"/>
      <c r="C244" s="454"/>
      <c r="D244" s="452"/>
      <c r="E244" s="452"/>
      <c r="F244" s="639"/>
      <c r="G244" s="644"/>
      <c r="H244" s="454"/>
      <c r="I244" s="454"/>
      <c r="J244" s="640"/>
    </row>
    <row r="245" spans="1:10" x14ac:dyDescent="0.25">
      <c r="A245" s="648"/>
      <c r="B245" s="454"/>
      <c r="C245" s="454"/>
      <c r="D245" s="452"/>
      <c r="E245" s="646"/>
      <c r="F245" s="639"/>
      <c r="G245" s="644"/>
      <c r="H245" s="454"/>
      <c r="I245" s="454"/>
      <c r="J245" s="640"/>
    </row>
    <row r="246" spans="1:10" x14ac:dyDescent="0.25">
      <c r="A246" s="648"/>
      <c r="B246" s="454"/>
      <c r="C246" s="454"/>
      <c r="D246" s="452"/>
      <c r="E246" s="452"/>
      <c r="F246" s="639"/>
      <c r="G246" s="644"/>
      <c r="H246" s="454"/>
      <c r="I246" s="454"/>
      <c r="J246" s="640"/>
    </row>
    <row r="247" spans="1:10" x14ac:dyDescent="0.25">
      <c r="A247" s="648"/>
      <c r="B247" s="454"/>
      <c r="C247" s="454"/>
      <c r="D247" s="452"/>
      <c r="E247" s="452"/>
      <c r="F247" s="639"/>
      <c r="G247" s="644"/>
      <c r="H247" s="454"/>
      <c r="I247" s="454"/>
      <c r="J247" s="640"/>
    </row>
    <row r="248" spans="1:10" x14ac:dyDescent="0.25">
      <c r="A248" s="648"/>
      <c r="B248" s="454"/>
      <c r="C248" s="454"/>
      <c r="D248" s="452"/>
      <c r="E248" s="452"/>
      <c r="F248" s="639"/>
      <c r="G248" s="644"/>
      <c r="H248" s="454"/>
      <c r="I248" s="454"/>
      <c r="J248" s="640"/>
    </row>
    <row r="249" spans="1:10" x14ac:dyDescent="0.25">
      <c r="A249" s="648"/>
      <c r="B249" s="454"/>
      <c r="C249" s="454"/>
      <c r="D249" s="452"/>
      <c r="E249" s="452"/>
      <c r="F249" s="639"/>
      <c r="G249" s="644"/>
      <c r="H249" s="454"/>
      <c r="I249" s="454"/>
      <c r="J249" s="640"/>
    </row>
    <row r="250" spans="1:10" x14ac:dyDescent="0.25">
      <c r="A250" s="648"/>
      <c r="B250" s="454"/>
      <c r="C250" s="454"/>
      <c r="D250" s="452"/>
      <c r="E250" s="452"/>
      <c r="F250" s="639"/>
      <c r="G250" s="644"/>
      <c r="H250" s="454"/>
      <c r="I250" s="454"/>
      <c r="J250" s="640"/>
    </row>
    <row r="251" spans="1:10" x14ac:dyDescent="0.25">
      <c r="A251" s="648"/>
      <c r="B251" s="454"/>
      <c r="C251" s="454"/>
      <c r="D251" s="454"/>
      <c r="E251" s="454"/>
      <c r="F251" s="640"/>
      <c r="G251" s="546"/>
      <c r="H251" s="454"/>
      <c r="I251" s="454"/>
      <c r="J251" s="640"/>
    </row>
    <row r="252" spans="1:10" x14ac:dyDescent="0.25">
      <c r="A252" s="648"/>
      <c r="B252" s="454"/>
      <c r="C252" s="454"/>
      <c r="D252" s="452"/>
      <c r="E252" s="452"/>
      <c r="F252" s="639"/>
      <c r="G252" s="644"/>
      <c r="H252" s="454"/>
      <c r="I252" s="454"/>
      <c r="J252" s="640"/>
    </row>
    <row r="253" spans="1:10" x14ac:dyDescent="0.25">
      <c r="A253" s="648"/>
      <c r="B253" s="454"/>
      <c r="C253" s="454"/>
      <c r="D253" s="452"/>
      <c r="E253" s="646"/>
      <c r="F253" s="639"/>
      <c r="G253" s="644"/>
      <c r="H253" s="454"/>
      <c r="I253" s="454"/>
      <c r="J253" s="640"/>
    </row>
    <row r="254" spans="1:10" x14ac:dyDescent="0.25">
      <c r="A254" s="648"/>
      <c r="B254" s="454"/>
      <c r="C254" s="454"/>
      <c r="D254" s="452"/>
      <c r="E254" s="452"/>
      <c r="F254" s="639"/>
      <c r="G254" s="644"/>
      <c r="H254" s="454"/>
      <c r="I254" s="454"/>
      <c r="J254" s="640"/>
    </row>
    <row r="255" spans="1:10" x14ac:dyDescent="0.25">
      <c r="A255" s="648"/>
      <c r="B255" s="454"/>
      <c r="C255" s="454"/>
      <c r="D255" s="452"/>
      <c r="E255" s="452"/>
      <c r="F255" s="639"/>
      <c r="G255" s="644"/>
      <c r="H255" s="454"/>
      <c r="I255" s="454"/>
      <c r="J255" s="640"/>
    </row>
    <row r="256" spans="1:10" x14ac:dyDescent="0.25">
      <c r="A256" s="648"/>
      <c r="B256" s="454"/>
      <c r="C256" s="454"/>
      <c r="D256" s="452"/>
      <c r="E256" s="452"/>
      <c r="F256" s="639"/>
      <c r="G256" s="644"/>
      <c r="H256" s="454"/>
      <c r="I256" s="454"/>
      <c r="J256" s="640"/>
    </row>
    <row r="257" spans="1:10" x14ac:dyDescent="0.25">
      <c r="A257" s="648"/>
      <c r="B257" s="454"/>
      <c r="C257" s="454"/>
      <c r="D257" s="452"/>
      <c r="E257" s="646"/>
      <c r="F257" s="639"/>
      <c r="G257" s="644"/>
      <c r="H257" s="454"/>
      <c r="I257" s="454"/>
      <c r="J257" s="640"/>
    </row>
    <row r="258" spans="1:10" x14ac:dyDescent="0.25">
      <c r="A258" s="648"/>
      <c r="B258" s="454"/>
      <c r="C258" s="454"/>
      <c r="D258" s="452"/>
      <c r="E258" s="452"/>
      <c r="F258" s="639"/>
      <c r="G258" s="644"/>
      <c r="H258" s="454"/>
      <c r="I258" s="454"/>
      <c r="J258" s="640"/>
    </row>
    <row r="259" spans="1:10" x14ac:dyDescent="0.25">
      <c r="A259" s="648"/>
      <c r="B259" s="454"/>
      <c r="C259" s="454"/>
      <c r="D259" s="452"/>
      <c r="E259" s="452"/>
      <c r="F259" s="639"/>
      <c r="G259" s="644"/>
      <c r="H259" s="454"/>
      <c r="I259" s="454"/>
      <c r="J259" s="640"/>
    </row>
    <row r="260" spans="1:10" x14ac:dyDescent="0.25">
      <c r="A260" s="648"/>
      <c r="B260" s="454"/>
      <c r="C260" s="454"/>
      <c r="D260" s="452"/>
      <c r="E260" s="452"/>
      <c r="F260" s="639"/>
      <c r="G260" s="644"/>
      <c r="H260" s="454"/>
      <c r="I260" s="454"/>
      <c r="J260" s="640"/>
    </row>
    <row r="261" spans="1:10" x14ac:dyDescent="0.25">
      <c r="A261" s="648"/>
      <c r="B261" s="454"/>
      <c r="C261" s="454"/>
      <c r="D261" s="454"/>
      <c r="E261" s="454"/>
      <c r="F261" s="640"/>
      <c r="G261" s="546"/>
      <c r="H261" s="454"/>
      <c r="I261" s="454"/>
      <c r="J261" s="640"/>
    </row>
    <row r="262" spans="1:10" x14ac:dyDescent="0.25">
      <c r="A262" s="648"/>
      <c r="B262" s="454"/>
      <c r="C262" s="454"/>
      <c r="D262" s="454"/>
      <c r="E262" s="454"/>
      <c r="F262" s="640"/>
      <c r="G262" s="546"/>
      <c r="H262" s="454"/>
      <c r="I262" s="454"/>
      <c r="J262" s="640"/>
    </row>
    <row r="263" spans="1:10" x14ac:dyDescent="0.25">
      <c r="A263" s="648"/>
      <c r="B263" s="454"/>
      <c r="C263" s="454"/>
      <c r="D263" s="454"/>
      <c r="E263" s="454"/>
      <c r="F263" s="640"/>
      <c r="G263" s="546"/>
      <c r="H263" s="454"/>
      <c r="I263" s="454"/>
      <c r="J263" s="640"/>
    </row>
    <row r="264" spans="1:10" x14ac:dyDescent="0.25">
      <c r="A264" s="648"/>
      <c r="B264" s="454"/>
      <c r="C264" s="454"/>
      <c r="D264" s="452"/>
      <c r="E264" s="646"/>
      <c r="F264" s="639"/>
      <c r="G264" s="644"/>
      <c r="H264" s="644"/>
      <c r="I264" s="656"/>
      <c r="J264" s="640"/>
    </row>
    <row r="265" spans="1:10" x14ac:dyDescent="0.25">
      <c r="A265" s="648"/>
      <c r="B265" s="454"/>
      <c r="C265" s="454"/>
      <c r="D265" s="452"/>
      <c r="E265" s="452"/>
      <c r="F265" s="639"/>
      <c r="G265" s="644"/>
      <c r="H265" s="644"/>
      <c r="I265" s="656"/>
      <c r="J265" s="640"/>
    </row>
    <row r="266" spans="1:10" x14ac:dyDescent="0.25">
      <c r="A266" s="648"/>
      <c r="B266" s="454"/>
      <c r="C266" s="454"/>
      <c r="D266" s="452"/>
      <c r="E266" s="452"/>
      <c r="F266" s="639"/>
      <c r="G266" s="644"/>
      <c r="H266" s="644"/>
      <c r="I266" s="656"/>
      <c r="J266" s="640"/>
    </row>
    <row r="267" spans="1:10" x14ac:dyDescent="0.25">
      <c r="A267" s="648"/>
      <c r="B267" s="454"/>
      <c r="C267" s="454"/>
      <c r="D267" s="452"/>
      <c r="E267" s="452"/>
      <c r="F267" s="639"/>
      <c r="G267" s="644"/>
      <c r="H267" s="644"/>
      <c r="I267" s="454"/>
      <c r="J267" s="640"/>
    </row>
    <row r="268" spans="1:10" x14ac:dyDescent="0.25">
      <c r="A268" s="648"/>
      <c r="B268" s="454"/>
      <c r="C268" s="454"/>
      <c r="D268" s="452"/>
      <c r="E268" s="452"/>
      <c r="F268" s="639"/>
      <c r="G268" s="644"/>
      <c r="H268" s="454"/>
      <c r="I268" s="454"/>
      <c r="J268" s="640"/>
    </row>
    <row r="269" spans="1:10" x14ac:dyDescent="0.25">
      <c r="A269" s="648"/>
      <c r="B269" s="454"/>
      <c r="C269" s="454"/>
      <c r="D269" s="452"/>
      <c r="E269" s="452"/>
      <c r="F269" s="639"/>
      <c r="G269" s="644"/>
      <c r="H269" s="454"/>
      <c r="I269" s="454"/>
      <c r="J269" s="640"/>
    </row>
    <row r="270" spans="1:10" x14ac:dyDescent="0.25">
      <c r="A270" s="648"/>
      <c r="B270" s="454"/>
      <c r="C270" s="454"/>
      <c r="D270" s="452"/>
      <c r="E270" s="646"/>
      <c r="F270" s="639"/>
      <c r="G270" s="644"/>
      <c r="H270" s="454"/>
      <c r="I270" s="454"/>
      <c r="J270" s="640"/>
    </row>
    <row r="271" spans="1:10" x14ac:dyDescent="0.25">
      <c r="A271" s="648"/>
      <c r="B271" s="454"/>
      <c r="C271" s="454"/>
      <c r="D271" s="452"/>
      <c r="E271" s="452"/>
      <c r="F271" s="639"/>
      <c r="G271" s="644"/>
      <c r="H271" s="454"/>
      <c r="I271" s="454"/>
      <c r="J271" s="640"/>
    </row>
    <row r="272" spans="1:10" x14ac:dyDescent="0.25">
      <c r="A272" s="648"/>
      <c r="B272" s="454"/>
      <c r="C272" s="454"/>
      <c r="D272" s="452"/>
      <c r="E272" s="452"/>
      <c r="F272" s="639"/>
      <c r="G272" s="644"/>
      <c r="H272" s="454"/>
      <c r="I272" s="454"/>
      <c r="J272" s="640"/>
    </row>
    <row r="273" spans="1:10" x14ac:dyDescent="0.25">
      <c r="A273" s="648"/>
      <c r="B273" s="454"/>
      <c r="C273" s="454"/>
      <c r="D273" s="452"/>
      <c r="E273" s="452"/>
      <c r="F273" s="639"/>
      <c r="G273" s="644"/>
      <c r="H273" s="454"/>
      <c r="I273" s="454"/>
      <c r="J273" s="640"/>
    </row>
    <row r="274" spans="1:10" x14ac:dyDescent="0.25">
      <c r="A274" s="648"/>
      <c r="B274" s="454"/>
      <c r="C274" s="454"/>
      <c r="D274" s="452"/>
      <c r="E274" s="452"/>
      <c r="F274" s="639"/>
      <c r="G274" s="644"/>
      <c r="H274" s="454"/>
      <c r="I274" s="454"/>
      <c r="J274" s="640"/>
    </row>
    <row r="275" spans="1:10" x14ac:dyDescent="0.25">
      <c r="A275" s="648"/>
      <c r="B275" s="454"/>
      <c r="C275" s="454"/>
      <c r="D275" s="452"/>
      <c r="E275" s="452"/>
      <c r="F275" s="639"/>
      <c r="G275" s="644"/>
      <c r="H275" s="454"/>
      <c r="I275" s="454"/>
      <c r="J275" s="640"/>
    </row>
    <row r="276" spans="1:10" x14ac:dyDescent="0.25">
      <c r="A276" s="648"/>
      <c r="B276" s="454"/>
      <c r="C276" s="454"/>
      <c r="D276" s="452"/>
      <c r="E276" s="452"/>
      <c r="F276" s="639"/>
      <c r="G276" s="644"/>
      <c r="H276" s="454"/>
      <c r="I276" s="454"/>
      <c r="J276" s="640"/>
    </row>
    <row r="277" spans="1:10" x14ac:dyDescent="0.25">
      <c r="A277" s="648"/>
      <c r="B277" s="454"/>
      <c r="C277" s="454"/>
      <c r="D277" s="452"/>
      <c r="E277" s="646"/>
      <c r="F277" s="639"/>
      <c r="G277" s="644"/>
      <c r="H277" s="454"/>
      <c r="I277" s="454"/>
      <c r="J277" s="640"/>
    </row>
    <row r="278" spans="1:10" x14ac:dyDescent="0.25">
      <c r="A278" s="648"/>
      <c r="B278" s="454"/>
      <c r="C278" s="454"/>
      <c r="D278" s="452"/>
      <c r="E278" s="452"/>
      <c r="F278" s="639"/>
      <c r="G278" s="644"/>
      <c r="H278" s="454"/>
      <c r="I278" s="454"/>
      <c r="J278" s="640"/>
    </row>
    <row r="279" spans="1:10" x14ac:dyDescent="0.25">
      <c r="A279" s="648"/>
      <c r="B279" s="454"/>
      <c r="C279" s="454"/>
      <c r="D279" s="452"/>
      <c r="E279" s="452"/>
      <c r="F279" s="639"/>
      <c r="G279" s="644"/>
      <c r="H279" s="454"/>
      <c r="I279" s="454"/>
      <c r="J279" s="640"/>
    </row>
    <row r="280" spans="1:10" x14ac:dyDescent="0.25">
      <c r="A280" s="648"/>
      <c r="B280" s="454"/>
      <c r="C280" s="454"/>
      <c r="D280" s="452"/>
      <c r="E280" s="452"/>
      <c r="F280" s="639"/>
      <c r="G280" s="644"/>
      <c r="H280" s="454"/>
      <c r="I280" s="454"/>
      <c r="J280" s="640"/>
    </row>
    <row r="281" spans="1:10" x14ac:dyDescent="0.25">
      <c r="A281" s="648"/>
      <c r="B281" s="454"/>
      <c r="C281" s="454"/>
      <c r="D281" s="454"/>
      <c r="E281" s="454"/>
      <c r="F281" s="640"/>
      <c r="G281" s="546"/>
      <c r="H281" s="454"/>
      <c r="I281" s="454"/>
      <c r="J281" s="640"/>
    </row>
    <row r="282" spans="1:10" x14ac:dyDescent="0.25">
      <c r="A282" s="648"/>
      <c r="B282" s="454"/>
      <c r="C282" s="454"/>
      <c r="D282" s="454"/>
      <c r="E282" s="454"/>
      <c r="F282" s="640"/>
      <c r="G282" s="546"/>
      <c r="H282" s="454"/>
      <c r="I282" s="454"/>
      <c r="J282" s="640"/>
    </row>
    <row r="283" spans="1:10" x14ac:dyDescent="0.25">
      <c r="A283" s="648"/>
      <c r="B283" s="454"/>
      <c r="C283" s="454"/>
      <c r="D283" s="454"/>
      <c r="E283" s="454"/>
      <c r="F283" s="640"/>
      <c r="G283" s="546"/>
      <c r="H283" s="454"/>
      <c r="I283" s="454"/>
      <c r="J283" s="640"/>
    </row>
    <row r="284" spans="1:10" x14ac:dyDescent="0.25">
      <c r="A284" s="648"/>
      <c r="B284" s="454"/>
      <c r="C284" s="454"/>
      <c r="D284" s="454"/>
      <c r="E284" s="454"/>
      <c r="F284" s="640"/>
      <c r="G284" s="546"/>
      <c r="H284" s="454"/>
      <c r="I284" s="454"/>
      <c r="J284" s="640"/>
    </row>
    <row r="285" spans="1:10" x14ac:dyDescent="0.25">
      <c r="A285" s="648"/>
      <c r="B285" s="454"/>
      <c r="C285" s="454"/>
      <c r="D285" s="454"/>
      <c r="E285" s="454"/>
      <c r="F285" s="640"/>
      <c r="G285" s="546"/>
      <c r="H285" s="454"/>
      <c r="I285" s="454"/>
      <c r="J285" s="640"/>
    </row>
    <row r="286" spans="1:10" x14ac:dyDescent="0.25">
      <c r="A286" s="648"/>
      <c r="B286" s="454"/>
      <c r="C286" s="454"/>
      <c r="D286" s="454"/>
      <c r="E286" s="454"/>
      <c r="F286" s="640"/>
      <c r="G286" s="546"/>
      <c r="H286" s="454"/>
      <c r="I286" s="454"/>
      <c r="J286" s="640"/>
    </row>
    <row r="287" spans="1:10" x14ac:dyDescent="0.25">
      <c r="A287" s="648"/>
      <c r="B287" s="454"/>
      <c r="C287" s="454"/>
      <c r="D287" s="454"/>
      <c r="E287" s="454"/>
      <c r="F287" s="640"/>
      <c r="G287" s="546"/>
      <c r="H287" s="454"/>
      <c r="I287" s="454"/>
      <c r="J287" s="640"/>
    </row>
    <row r="288" spans="1:10" x14ac:dyDescent="0.25">
      <c r="A288" s="648"/>
      <c r="B288" s="454"/>
      <c r="C288" s="454"/>
      <c r="D288" s="454"/>
      <c r="E288" s="454"/>
      <c r="F288" s="640"/>
      <c r="G288" s="546"/>
      <c r="H288" s="454"/>
      <c r="I288" s="454"/>
      <c r="J288" s="640"/>
    </row>
    <row r="289" spans="1:10" x14ac:dyDescent="0.25">
      <c r="A289" s="648"/>
      <c r="B289" s="454"/>
      <c r="C289" s="454"/>
      <c r="D289" s="454"/>
      <c r="E289" s="454"/>
      <c r="F289" s="640"/>
      <c r="G289" s="546"/>
      <c r="H289" s="454"/>
      <c r="I289" s="454"/>
      <c r="J289" s="640"/>
    </row>
    <row r="290" spans="1:10" x14ac:dyDescent="0.25">
      <c r="A290" s="648"/>
      <c r="B290" s="454"/>
      <c r="C290" s="454"/>
      <c r="D290" s="454"/>
      <c r="E290" s="454"/>
      <c r="F290" s="640"/>
      <c r="G290" s="546"/>
      <c r="H290" s="454"/>
      <c r="I290" s="454"/>
      <c r="J290" s="640"/>
    </row>
    <row r="291" spans="1:10" x14ac:dyDescent="0.25">
      <c r="A291" s="648"/>
      <c r="B291" s="454"/>
      <c r="C291" s="454"/>
      <c r="D291" s="454"/>
      <c r="E291" s="454"/>
      <c r="F291" s="640"/>
      <c r="G291" s="546"/>
      <c r="H291" s="454"/>
      <c r="I291" s="454"/>
      <c r="J291" s="640"/>
    </row>
    <row r="292" spans="1:10" x14ac:dyDescent="0.25">
      <c r="A292" s="648"/>
      <c r="B292" s="454"/>
      <c r="C292" s="454"/>
      <c r="D292" s="454"/>
      <c r="E292" s="454"/>
      <c r="F292" s="640"/>
      <c r="G292" s="546"/>
      <c r="H292" s="454"/>
      <c r="I292" s="454"/>
      <c r="J292" s="640"/>
    </row>
    <row r="293" spans="1:10" x14ac:dyDescent="0.25">
      <c r="A293" s="648"/>
      <c r="B293" s="454"/>
      <c r="C293" s="454"/>
      <c r="D293" s="454"/>
      <c r="E293" s="454"/>
      <c r="F293" s="640"/>
      <c r="G293" s="546"/>
      <c r="H293" s="454"/>
      <c r="I293" s="454"/>
      <c r="J293" s="640"/>
    </row>
    <row r="294" spans="1:10" x14ac:dyDescent="0.25">
      <c r="A294" s="648"/>
      <c r="B294" s="454"/>
      <c r="C294" s="454"/>
      <c r="D294" s="454"/>
      <c r="E294" s="454"/>
      <c r="F294" s="640"/>
      <c r="G294" s="546"/>
      <c r="H294" s="454"/>
      <c r="I294" s="454"/>
      <c r="J294" s="640"/>
    </row>
    <row r="295" spans="1:10" x14ac:dyDescent="0.25">
      <c r="A295" s="648"/>
      <c r="B295" s="454"/>
      <c r="C295" s="454"/>
      <c r="D295" s="454"/>
      <c r="E295" s="454"/>
      <c r="F295" s="640"/>
      <c r="G295" s="546"/>
      <c r="H295" s="454"/>
      <c r="I295" s="454"/>
      <c r="J295" s="640"/>
    </row>
    <row r="296" spans="1:10" x14ac:dyDescent="0.25">
      <c r="A296" s="648"/>
      <c r="B296" s="454"/>
      <c r="C296" s="454"/>
      <c r="D296" s="454"/>
      <c r="E296" s="454"/>
      <c r="F296" s="640"/>
      <c r="G296" s="546"/>
      <c r="H296" s="454"/>
      <c r="I296" s="454"/>
      <c r="J296" s="640"/>
    </row>
    <row r="297" spans="1:10" x14ac:dyDescent="0.25">
      <c r="A297" s="648"/>
      <c r="B297" s="454"/>
      <c r="C297" s="454"/>
      <c r="D297" s="454"/>
      <c r="E297" s="454"/>
      <c r="F297" s="640"/>
      <c r="G297" s="546"/>
      <c r="H297" s="454"/>
      <c r="I297" s="454"/>
      <c r="J297" s="640"/>
    </row>
    <row r="298" spans="1:10" x14ac:dyDescent="0.25">
      <c r="A298" s="648"/>
      <c r="B298" s="454"/>
      <c r="C298" s="454"/>
      <c r="D298" s="454"/>
      <c r="E298" s="454"/>
      <c r="F298" s="640"/>
      <c r="G298" s="546"/>
      <c r="H298" s="454"/>
      <c r="I298" s="454"/>
      <c r="J298" s="640"/>
    </row>
    <row r="299" spans="1:10" x14ac:dyDescent="0.25">
      <c r="A299" s="648"/>
      <c r="B299" s="454"/>
      <c r="C299" s="454"/>
      <c r="D299" s="452"/>
      <c r="E299" s="452"/>
      <c r="F299" s="639"/>
      <c r="G299" s="644"/>
      <c r="H299" s="454"/>
      <c r="I299" s="454"/>
      <c r="J299" s="640"/>
    </row>
    <row r="300" spans="1:10" x14ac:dyDescent="0.25">
      <c r="A300" s="648"/>
      <c r="B300" s="454"/>
      <c r="C300" s="454"/>
      <c r="D300" s="452"/>
      <c r="E300" s="646"/>
      <c r="F300" s="639"/>
      <c r="G300" s="644"/>
      <c r="H300" s="454"/>
      <c r="I300" s="454"/>
      <c r="J300" s="640"/>
    </row>
    <row r="301" spans="1:10" x14ac:dyDescent="0.25">
      <c r="A301" s="648"/>
      <c r="B301" s="454"/>
      <c r="C301" s="454"/>
      <c r="D301" s="452"/>
      <c r="E301" s="452"/>
      <c r="F301" s="639"/>
      <c r="G301" s="644"/>
      <c r="H301" s="454"/>
      <c r="I301" s="454"/>
      <c r="J301" s="640"/>
    </row>
    <row r="302" spans="1:10" x14ac:dyDescent="0.25">
      <c r="A302" s="648"/>
      <c r="B302" s="454"/>
      <c r="C302" s="454"/>
      <c r="D302" s="452"/>
      <c r="E302" s="452"/>
      <c r="F302" s="639"/>
      <c r="G302" s="644"/>
      <c r="H302" s="454"/>
      <c r="I302" s="454"/>
      <c r="J302" s="640"/>
    </row>
    <row r="303" spans="1:10" x14ac:dyDescent="0.25">
      <c r="A303" s="648"/>
      <c r="B303" s="454"/>
      <c r="C303" s="454"/>
      <c r="D303" s="452"/>
      <c r="E303" s="452"/>
      <c r="F303" s="639"/>
      <c r="G303" s="644"/>
      <c r="H303" s="454"/>
      <c r="I303" s="454"/>
      <c r="J303" s="640"/>
    </row>
    <row r="304" spans="1:10" x14ac:dyDescent="0.25">
      <c r="A304" s="648"/>
      <c r="B304" s="454"/>
      <c r="C304" s="454"/>
      <c r="D304" s="452"/>
      <c r="E304" s="452"/>
      <c r="F304" s="639"/>
      <c r="G304" s="644"/>
      <c r="H304" s="454"/>
      <c r="I304" s="454"/>
      <c r="J304" s="640"/>
    </row>
    <row r="305" spans="1:10" x14ac:dyDescent="0.25">
      <c r="A305" s="648"/>
      <c r="B305" s="454"/>
      <c r="C305" s="454"/>
      <c r="D305" s="452"/>
      <c r="E305" s="452"/>
      <c r="F305" s="639"/>
      <c r="G305" s="644"/>
      <c r="H305" s="454"/>
      <c r="I305" s="454"/>
      <c r="J305" s="640"/>
    </row>
    <row r="306" spans="1:10" x14ac:dyDescent="0.25">
      <c r="A306" s="648"/>
      <c r="B306" s="454"/>
      <c r="C306" s="454"/>
      <c r="D306" s="452"/>
      <c r="E306" s="452"/>
      <c r="F306" s="639"/>
      <c r="G306" s="644"/>
      <c r="H306" s="454"/>
      <c r="I306" s="454"/>
      <c r="J306" s="640"/>
    </row>
    <row r="307" spans="1:10" x14ac:dyDescent="0.25">
      <c r="A307" s="648"/>
      <c r="B307" s="454"/>
      <c r="C307" s="454"/>
      <c r="D307" s="452"/>
      <c r="E307" s="646"/>
      <c r="F307" s="639"/>
      <c r="G307" s="644"/>
      <c r="H307" s="454"/>
      <c r="I307" s="454"/>
      <c r="J307" s="640"/>
    </row>
    <row r="308" spans="1:10" x14ac:dyDescent="0.25">
      <c r="A308" s="648"/>
      <c r="B308" s="454"/>
      <c r="C308" s="454"/>
      <c r="D308" s="452"/>
      <c r="E308" s="452"/>
      <c r="F308" s="639"/>
      <c r="G308" s="644"/>
      <c r="H308" s="454"/>
      <c r="I308" s="454"/>
      <c r="J308" s="640"/>
    </row>
    <row r="309" spans="1:10" x14ac:dyDescent="0.25">
      <c r="A309" s="648"/>
      <c r="B309" s="454"/>
      <c r="C309" s="454"/>
      <c r="D309" s="452"/>
      <c r="E309" s="452"/>
      <c r="F309" s="639"/>
      <c r="G309" s="644"/>
      <c r="H309" s="454"/>
      <c r="I309" s="454"/>
      <c r="J309" s="640"/>
    </row>
    <row r="310" spans="1:10" x14ac:dyDescent="0.25">
      <c r="A310" s="648"/>
      <c r="B310" s="454"/>
      <c r="C310" s="454"/>
      <c r="D310" s="452"/>
      <c r="E310" s="452"/>
      <c r="F310" s="639"/>
      <c r="G310" s="644"/>
      <c r="H310" s="454"/>
      <c r="I310" s="454"/>
      <c r="J310" s="640"/>
    </row>
    <row r="311" spans="1:10" x14ac:dyDescent="0.25">
      <c r="A311" s="648"/>
      <c r="B311" s="454"/>
      <c r="C311" s="454"/>
      <c r="D311" s="452"/>
      <c r="E311" s="452"/>
      <c r="F311" s="639"/>
      <c r="G311" s="644"/>
      <c r="H311" s="454"/>
      <c r="I311" s="454"/>
      <c r="J311" s="640"/>
    </row>
    <row r="312" spans="1:10" x14ac:dyDescent="0.25">
      <c r="A312" s="648"/>
      <c r="B312" s="454"/>
      <c r="C312" s="454"/>
      <c r="D312" s="452"/>
      <c r="E312" s="646"/>
      <c r="F312" s="639"/>
      <c r="G312" s="644"/>
      <c r="H312" s="454"/>
      <c r="I312" s="454"/>
      <c r="J312" s="640"/>
    </row>
    <row r="313" spans="1:10" x14ac:dyDescent="0.25">
      <c r="A313" s="648"/>
      <c r="B313" s="454"/>
      <c r="C313" s="454"/>
      <c r="D313" s="452"/>
      <c r="E313" s="452"/>
      <c r="F313" s="639"/>
      <c r="G313" s="644"/>
      <c r="H313" s="454"/>
      <c r="I313" s="454"/>
      <c r="J313" s="640"/>
    </row>
    <row r="314" spans="1:10" x14ac:dyDescent="0.25">
      <c r="A314" s="648"/>
      <c r="B314" s="454"/>
      <c r="C314" s="454"/>
      <c r="D314" s="452"/>
      <c r="E314" s="452"/>
      <c r="F314" s="639"/>
      <c r="G314" s="644"/>
      <c r="H314" s="454"/>
      <c r="I314" s="454"/>
      <c r="J314" s="640"/>
    </row>
    <row r="315" spans="1:10" x14ac:dyDescent="0.25">
      <c r="A315" s="648"/>
      <c r="B315" s="454"/>
      <c r="C315" s="454"/>
      <c r="D315" s="452"/>
      <c r="E315" s="452"/>
      <c r="F315" s="639"/>
      <c r="G315" s="644"/>
      <c r="H315" s="454"/>
      <c r="I315" s="454"/>
      <c r="J315" s="640"/>
    </row>
    <row r="316" spans="1:10" x14ac:dyDescent="0.25">
      <c r="A316" s="648"/>
      <c r="B316" s="454"/>
      <c r="C316" s="454"/>
      <c r="D316" s="452"/>
      <c r="E316" s="452"/>
      <c r="F316" s="639"/>
      <c r="G316" s="644"/>
      <c r="H316" s="454"/>
      <c r="I316" s="454"/>
      <c r="J316" s="640"/>
    </row>
    <row r="317" spans="1:10" x14ac:dyDescent="0.25">
      <c r="A317" s="648"/>
      <c r="B317" s="454"/>
      <c r="C317" s="454"/>
      <c r="D317" s="452"/>
      <c r="E317" s="452"/>
      <c r="F317" s="639"/>
      <c r="G317" s="644"/>
      <c r="H317" s="454"/>
      <c r="I317" s="454"/>
      <c r="J317" s="640"/>
    </row>
    <row r="318" spans="1:10" x14ac:dyDescent="0.25">
      <c r="A318" s="648"/>
      <c r="B318" s="454"/>
      <c r="C318" s="454"/>
      <c r="D318" s="452"/>
      <c r="E318" s="646"/>
      <c r="F318" s="639"/>
      <c r="G318" s="644"/>
      <c r="H318" s="454"/>
      <c r="I318" s="454"/>
      <c r="J318" s="640"/>
    </row>
    <row r="319" spans="1:10" x14ac:dyDescent="0.25">
      <c r="A319" s="648"/>
      <c r="B319" s="454"/>
      <c r="C319" s="454"/>
      <c r="D319" s="454"/>
      <c r="E319" s="646"/>
      <c r="F319" s="639"/>
      <c r="G319" s="546"/>
      <c r="H319" s="454"/>
      <c r="I319" s="454"/>
      <c r="J319" s="640"/>
    </row>
    <row r="320" spans="1:10" x14ac:dyDescent="0.25">
      <c r="A320" s="648"/>
      <c r="B320" s="454"/>
      <c r="C320" s="454"/>
      <c r="D320" s="452"/>
      <c r="E320" s="452"/>
      <c r="F320" s="639"/>
      <c r="G320" s="644"/>
      <c r="H320" s="454"/>
      <c r="I320" s="454"/>
      <c r="J320" s="640"/>
    </row>
    <row r="321" spans="1:10" x14ac:dyDescent="0.25">
      <c r="A321" s="648"/>
      <c r="B321" s="454"/>
      <c r="C321" s="454"/>
      <c r="D321" s="452"/>
      <c r="E321" s="646"/>
      <c r="F321" s="639"/>
      <c r="G321" s="644"/>
      <c r="H321" s="454"/>
      <c r="I321" s="454"/>
      <c r="J321" s="640"/>
    </row>
    <row r="322" spans="1:10" x14ac:dyDescent="0.25">
      <c r="A322" s="648"/>
      <c r="B322" s="454"/>
      <c r="C322" s="454"/>
      <c r="D322" s="452"/>
      <c r="E322" s="452"/>
      <c r="F322" s="639"/>
      <c r="G322" s="644"/>
      <c r="H322" s="454"/>
      <c r="I322" s="454"/>
      <c r="J322" s="640"/>
    </row>
    <row r="323" spans="1:10" x14ac:dyDescent="0.25">
      <c r="A323" s="648"/>
      <c r="B323" s="454"/>
      <c r="C323" s="454"/>
      <c r="D323" s="452"/>
      <c r="E323" s="452"/>
      <c r="F323" s="639"/>
      <c r="G323" s="644"/>
      <c r="H323" s="454"/>
      <c r="I323" s="454"/>
      <c r="J323" s="640"/>
    </row>
    <row r="324" spans="1:10" x14ac:dyDescent="0.25">
      <c r="A324" s="648"/>
      <c r="B324" s="454"/>
      <c r="C324" s="454"/>
      <c r="D324" s="452"/>
      <c r="E324" s="452"/>
      <c r="F324" s="639"/>
      <c r="G324" s="644"/>
      <c r="H324" s="454"/>
      <c r="I324" s="454"/>
      <c r="J324" s="640"/>
    </row>
    <row r="325" spans="1:10" x14ac:dyDescent="0.25">
      <c r="A325" s="648"/>
      <c r="B325" s="454"/>
      <c r="C325" s="454"/>
      <c r="D325" s="452"/>
      <c r="E325" s="452"/>
      <c r="F325" s="639"/>
      <c r="G325" s="644"/>
      <c r="H325" s="454"/>
      <c r="I325" s="454"/>
      <c r="J325" s="640"/>
    </row>
    <row r="326" spans="1:10" x14ac:dyDescent="0.25">
      <c r="A326" s="648"/>
      <c r="B326" s="454"/>
      <c r="C326" s="454"/>
      <c r="D326" s="452"/>
      <c r="E326" s="646"/>
      <c r="F326" s="639"/>
      <c r="G326" s="644"/>
      <c r="H326" s="454"/>
      <c r="I326" s="454"/>
      <c r="J326" s="640"/>
    </row>
    <row r="327" spans="1:10" x14ac:dyDescent="0.25">
      <c r="A327" s="648"/>
      <c r="B327" s="454"/>
      <c r="C327" s="454"/>
      <c r="D327" s="452"/>
      <c r="E327" s="452"/>
      <c r="F327" s="639"/>
      <c r="G327" s="644"/>
      <c r="H327" s="454"/>
      <c r="I327" s="454"/>
      <c r="J327" s="640"/>
    </row>
    <row r="328" spans="1:10" x14ac:dyDescent="0.25">
      <c r="A328" s="648"/>
      <c r="B328" s="454"/>
      <c r="C328" s="454"/>
      <c r="D328" s="452"/>
      <c r="E328" s="452"/>
      <c r="F328" s="639"/>
      <c r="G328" s="644"/>
      <c r="H328" s="454"/>
      <c r="I328" s="454"/>
      <c r="J328" s="640"/>
    </row>
    <row r="329" spans="1:10" x14ac:dyDescent="0.25">
      <c r="A329" s="648"/>
      <c r="B329" s="454"/>
      <c r="C329" s="454"/>
      <c r="D329" s="452"/>
      <c r="E329" s="646"/>
      <c r="F329" s="639"/>
      <c r="G329" s="644"/>
      <c r="H329" s="454"/>
      <c r="I329" s="454"/>
      <c r="J329" s="640"/>
    </row>
    <row r="330" spans="1:10" x14ac:dyDescent="0.25">
      <c r="A330" s="648"/>
      <c r="B330" s="454"/>
      <c r="C330" s="454"/>
      <c r="D330" s="452"/>
      <c r="E330" s="452"/>
      <c r="F330" s="639"/>
      <c r="G330" s="644"/>
      <c r="H330" s="454"/>
      <c r="I330" s="454"/>
      <c r="J330" s="640"/>
    </row>
    <row r="331" spans="1:10" x14ac:dyDescent="0.25">
      <c r="A331" s="648"/>
      <c r="B331" s="454"/>
      <c r="C331" s="454"/>
      <c r="D331" s="452"/>
      <c r="E331" s="452"/>
      <c r="F331" s="639"/>
      <c r="G331" s="644"/>
      <c r="H331" s="454"/>
      <c r="I331" s="454"/>
      <c r="J331" s="640"/>
    </row>
    <row r="332" spans="1:10" x14ac:dyDescent="0.25">
      <c r="A332" s="648"/>
      <c r="B332" s="454"/>
      <c r="C332" s="454"/>
      <c r="D332" s="452"/>
      <c r="E332" s="452"/>
      <c r="F332" s="639"/>
      <c r="G332" s="644"/>
      <c r="H332" s="454"/>
      <c r="I332" s="454"/>
      <c r="J332" s="640"/>
    </row>
    <row r="333" spans="1:10" x14ac:dyDescent="0.25">
      <c r="A333" s="648"/>
      <c r="B333" s="454"/>
      <c r="C333" s="454"/>
      <c r="D333" s="452"/>
      <c r="E333" s="452"/>
      <c r="F333" s="639"/>
      <c r="G333" s="644"/>
      <c r="H333" s="454"/>
      <c r="I333" s="454"/>
      <c r="J333" s="640"/>
    </row>
    <row r="334" spans="1:10" x14ac:dyDescent="0.25">
      <c r="A334" s="648"/>
      <c r="B334" s="454"/>
      <c r="C334" s="454"/>
      <c r="D334" s="452"/>
      <c r="E334" s="452"/>
      <c r="F334" s="639"/>
      <c r="G334" s="644"/>
      <c r="H334" s="454"/>
      <c r="I334" s="454"/>
      <c r="J334" s="640"/>
    </row>
    <row r="335" spans="1:10" x14ac:dyDescent="0.25">
      <c r="A335" s="648"/>
      <c r="B335" s="454"/>
      <c r="C335" s="454"/>
      <c r="D335" s="452"/>
      <c r="E335" s="452"/>
      <c r="F335" s="639"/>
      <c r="G335" s="644"/>
      <c r="H335" s="454"/>
      <c r="I335" s="454"/>
      <c r="J335" s="640"/>
    </row>
    <row r="336" spans="1:10" x14ac:dyDescent="0.25">
      <c r="A336" s="648"/>
      <c r="B336" s="454"/>
      <c r="C336" s="454"/>
      <c r="D336" s="452"/>
      <c r="E336" s="452"/>
      <c r="F336" s="639"/>
      <c r="G336" s="644"/>
      <c r="H336" s="454"/>
      <c r="I336" s="454"/>
      <c r="J336" s="640"/>
    </row>
    <row r="337" spans="1:10" x14ac:dyDescent="0.25">
      <c r="A337" s="648"/>
      <c r="B337" s="454"/>
      <c r="C337" s="454"/>
      <c r="D337" s="452"/>
      <c r="E337" s="452"/>
      <c r="F337" s="639"/>
      <c r="G337" s="644"/>
      <c r="H337" s="454"/>
      <c r="I337" s="454"/>
      <c r="J337" s="640"/>
    </row>
    <row r="338" spans="1:10" x14ac:dyDescent="0.25">
      <c r="A338" s="648"/>
      <c r="B338" s="454"/>
      <c r="C338" s="454"/>
      <c r="D338" s="452"/>
      <c r="E338" s="452"/>
      <c r="F338" s="639"/>
      <c r="G338" s="644"/>
      <c r="H338" s="454"/>
      <c r="I338" s="454"/>
      <c r="J338" s="640"/>
    </row>
    <row r="339" spans="1:10" x14ac:dyDescent="0.25">
      <c r="A339" s="648"/>
      <c r="B339" s="454"/>
      <c r="C339" s="454"/>
      <c r="D339" s="452"/>
      <c r="E339" s="452"/>
      <c r="F339" s="639"/>
      <c r="G339" s="644"/>
      <c r="H339" s="454"/>
      <c r="I339" s="454"/>
      <c r="J339" s="640"/>
    </row>
    <row r="340" spans="1:10" x14ac:dyDescent="0.25">
      <c r="A340" s="648"/>
      <c r="B340" s="454"/>
      <c r="C340" s="454"/>
      <c r="D340" s="452"/>
      <c r="E340" s="452"/>
      <c r="F340" s="639"/>
      <c r="G340" s="644"/>
      <c r="H340" s="454"/>
      <c r="I340" s="454"/>
      <c r="J340" s="640"/>
    </row>
    <row r="341" spans="1:10" x14ac:dyDescent="0.25">
      <c r="A341" s="648"/>
      <c r="B341" s="454"/>
      <c r="C341" s="454"/>
      <c r="D341" s="452"/>
      <c r="E341" s="452"/>
      <c r="F341" s="639"/>
      <c r="G341" s="644"/>
      <c r="H341" s="454"/>
      <c r="I341" s="454"/>
      <c r="J341" s="640"/>
    </row>
    <row r="342" spans="1:10" x14ac:dyDescent="0.25">
      <c r="A342" s="648"/>
      <c r="B342" s="454"/>
      <c r="C342" s="454"/>
      <c r="D342" s="452"/>
      <c r="E342" s="452"/>
      <c r="F342" s="639"/>
      <c r="G342" s="644"/>
      <c r="H342" s="454"/>
      <c r="I342" s="454"/>
      <c r="J342" s="640"/>
    </row>
    <row r="343" spans="1:10" x14ac:dyDescent="0.25">
      <c r="A343" s="648"/>
      <c r="B343" s="454"/>
      <c r="C343" s="454"/>
      <c r="D343" s="452"/>
      <c r="E343" s="452"/>
      <c r="F343" s="639"/>
      <c r="G343" s="644"/>
      <c r="H343" s="454"/>
      <c r="I343" s="454"/>
      <c r="J343" s="640"/>
    </row>
    <row r="344" spans="1:10" x14ac:dyDescent="0.25">
      <c r="A344" s="648"/>
      <c r="B344" s="454"/>
      <c r="C344" s="454"/>
      <c r="D344" s="452"/>
      <c r="E344" s="452"/>
      <c r="F344" s="639"/>
      <c r="G344" s="644"/>
      <c r="H344" s="454"/>
      <c r="I344" s="454"/>
      <c r="J344" s="640"/>
    </row>
    <row r="345" spans="1:10" x14ac:dyDescent="0.25">
      <c r="A345" s="648"/>
      <c r="B345" s="454"/>
      <c r="C345" s="454"/>
      <c r="D345" s="452"/>
      <c r="E345" s="452"/>
      <c r="F345" s="639"/>
      <c r="G345" s="644"/>
      <c r="H345" s="644"/>
      <c r="I345" s="454"/>
      <c r="J345" s="640"/>
    </row>
    <row r="346" spans="1:10" x14ac:dyDescent="0.25">
      <c r="A346" s="648"/>
      <c r="B346" s="454"/>
      <c r="C346" s="454"/>
      <c r="D346" s="452"/>
      <c r="E346" s="452"/>
      <c r="F346" s="639"/>
      <c r="G346" s="644"/>
      <c r="H346" s="644"/>
      <c r="I346" s="454"/>
      <c r="J346" s="640"/>
    </row>
    <row r="347" spans="1:10" x14ac:dyDescent="0.25">
      <c r="A347" s="648"/>
      <c r="B347" s="454"/>
      <c r="C347" s="454"/>
      <c r="D347" s="452"/>
      <c r="E347" s="452"/>
      <c r="F347" s="639"/>
      <c r="G347" s="644"/>
      <c r="H347" s="644"/>
      <c r="I347" s="454"/>
      <c r="J347" s="640"/>
    </row>
    <row r="348" spans="1:10" x14ac:dyDescent="0.25">
      <c r="A348" s="648"/>
      <c r="B348" s="454"/>
      <c r="C348" s="454"/>
      <c r="D348" s="452"/>
      <c r="E348" s="452"/>
      <c r="F348" s="639"/>
      <c r="G348" s="644"/>
      <c r="H348" s="454"/>
      <c r="I348" s="454"/>
      <c r="J348" s="640"/>
    </row>
    <row r="349" spans="1:10" x14ac:dyDescent="0.25">
      <c r="A349" s="648"/>
      <c r="B349" s="454"/>
      <c r="C349" s="454"/>
      <c r="D349" s="454"/>
      <c r="E349" s="454"/>
      <c r="F349" s="640"/>
      <c r="G349" s="546"/>
      <c r="H349" s="454"/>
      <c r="I349" s="454"/>
      <c r="J349" s="640"/>
    </row>
    <row r="350" spans="1:10" x14ac:dyDescent="0.25">
      <c r="A350" s="648"/>
      <c r="B350" s="454"/>
      <c r="C350" s="454"/>
      <c r="D350" s="454"/>
      <c r="E350" s="454"/>
      <c r="F350" s="640"/>
      <c r="G350" s="546"/>
      <c r="H350" s="454"/>
      <c r="I350" s="454"/>
      <c r="J350" s="640"/>
    </row>
    <row r="351" spans="1:10" x14ac:dyDescent="0.25">
      <c r="A351" s="648"/>
      <c r="B351" s="454"/>
      <c r="C351" s="454"/>
      <c r="D351" s="454"/>
      <c r="E351" s="454"/>
      <c r="F351" s="640"/>
      <c r="G351" s="546"/>
      <c r="H351" s="454"/>
      <c r="I351" s="454"/>
      <c r="J351" s="640"/>
    </row>
    <row r="352" spans="1:10" x14ac:dyDescent="0.25">
      <c r="A352" s="648"/>
      <c r="B352" s="454"/>
      <c r="C352" s="454"/>
      <c r="D352" s="454"/>
      <c r="E352" s="454"/>
      <c r="F352" s="640"/>
      <c r="G352" s="546"/>
      <c r="H352" s="454"/>
      <c r="I352" s="454"/>
      <c r="J352" s="640"/>
    </row>
    <row r="353" spans="1:10" x14ac:dyDescent="0.25">
      <c r="A353" s="648"/>
      <c r="B353" s="454"/>
      <c r="C353" s="454"/>
      <c r="D353" s="454"/>
      <c r="E353" s="454"/>
      <c r="F353" s="640"/>
      <c r="G353" s="546"/>
      <c r="H353" s="454"/>
      <c r="I353" s="454"/>
      <c r="J353" s="640"/>
    </row>
    <row r="354" spans="1:10" x14ac:dyDescent="0.25">
      <c r="A354" s="648"/>
      <c r="B354" s="454"/>
      <c r="C354" s="454"/>
      <c r="D354" s="454"/>
      <c r="E354" s="454"/>
      <c r="F354" s="640"/>
      <c r="G354" s="546"/>
      <c r="H354" s="454"/>
      <c r="I354" s="454"/>
      <c r="J354" s="640"/>
    </row>
    <row r="355" spans="1:10" x14ac:dyDescent="0.25">
      <c r="A355" s="648"/>
      <c r="B355" s="454"/>
      <c r="C355" s="454"/>
      <c r="D355" s="452"/>
      <c r="E355" s="452"/>
      <c r="F355" s="639"/>
      <c r="G355" s="644"/>
      <c r="H355" s="454"/>
      <c r="I355" s="454"/>
      <c r="J355" s="640"/>
    </row>
    <row r="356" spans="1:10" x14ac:dyDescent="0.25">
      <c r="A356" s="648"/>
      <c r="B356" s="454"/>
      <c r="C356" s="454"/>
      <c r="D356" s="452"/>
      <c r="E356" s="452"/>
      <c r="F356" s="639"/>
      <c r="G356" s="644"/>
      <c r="H356" s="454"/>
      <c r="I356" s="454"/>
      <c r="J356" s="640"/>
    </row>
    <row r="357" spans="1:10" x14ac:dyDescent="0.25">
      <c r="A357" s="648"/>
      <c r="B357" s="454"/>
      <c r="C357" s="454"/>
      <c r="D357" s="452"/>
      <c r="E357" s="452"/>
      <c r="F357" s="639"/>
      <c r="G357" s="644"/>
      <c r="H357" s="454"/>
      <c r="I357" s="454"/>
      <c r="J357" s="640"/>
    </row>
    <row r="358" spans="1:10" x14ac:dyDescent="0.25">
      <c r="A358" s="648"/>
      <c r="B358" s="454"/>
      <c r="C358" s="454"/>
      <c r="D358" s="452"/>
      <c r="E358" s="452"/>
      <c r="F358" s="639"/>
      <c r="G358" s="644"/>
      <c r="H358" s="454"/>
      <c r="I358" s="454"/>
      <c r="J358" s="640"/>
    </row>
    <row r="359" spans="1:10" x14ac:dyDescent="0.25">
      <c r="A359" s="648"/>
      <c r="B359" s="454"/>
      <c r="C359" s="454"/>
      <c r="D359" s="452"/>
      <c r="E359" s="452"/>
      <c r="F359" s="639"/>
      <c r="G359" s="644"/>
      <c r="H359" s="454"/>
      <c r="I359" s="454"/>
      <c r="J359" s="640"/>
    </row>
    <row r="360" spans="1:10" x14ac:dyDescent="0.25">
      <c r="A360" s="648"/>
      <c r="B360" s="454"/>
      <c r="C360" s="454"/>
      <c r="D360" s="454"/>
      <c r="E360" s="454"/>
      <c r="F360" s="640"/>
      <c r="G360" s="546"/>
      <c r="H360" s="454"/>
      <c r="I360" s="454"/>
      <c r="J360" s="640"/>
    </row>
    <row r="361" spans="1:10" x14ac:dyDescent="0.25">
      <c r="A361" s="648"/>
      <c r="B361" s="454"/>
      <c r="C361" s="454"/>
      <c r="D361" s="454"/>
      <c r="E361" s="454"/>
      <c r="F361" s="640"/>
      <c r="G361" s="546"/>
      <c r="H361" s="454"/>
      <c r="I361" s="454"/>
      <c r="J361" s="640"/>
    </row>
    <row r="362" spans="1:10" x14ac:dyDescent="0.25">
      <c r="A362" s="648"/>
      <c r="B362" s="454"/>
      <c r="C362" s="454"/>
      <c r="D362" s="454"/>
      <c r="E362" s="454"/>
      <c r="F362" s="640"/>
      <c r="G362" s="546"/>
      <c r="H362" s="454"/>
      <c r="I362" s="454"/>
      <c r="J362" s="640"/>
    </row>
    <row r="363" spans="1:10" x14ac:dyDescent="0.25">
      <c r="A363" s="648"/>
      <c r="B363" s="454"/>
      <c r="C363" s="454"/>
      <c r="D363" s="454"/>
      <c r="E363" s="454"/>
      <c r="F363" s="640"/>
      <c r="G363" s="546"/>
      <c r="H363" s="454"/>
      <c r="I363" s="454"/>
      <c r="J363" s="640"/>
    </row>
    <row r="364" spans="1:10" x14ac:dyDescent="0.25">
      <c r="A364" s="648"/>
      <c r="B364" s="454"/>
      <c r="C364" s="454"/>
      <c r="D364" s="454"/>
      <c r="E364" s="454"/>
      <c r="F364" s="640"/>
      <c r="G364" s="546"/>
      <c r="H364" s="454"/>
      <c r="I364" s="454"/>
      <c r="J364" s="640"/>
    </row>
    <row r="365" spans="1:10" x14ac:dyDescent="0.25">
      <c r="A365" s="648"/>
      <c r="B365" s="454"/>
      <c r="C365" s="454"/>
      <c r="D365" s="454"/>
      <c r="E365" s="454"/>
      <c r="F365" s="640"/>
      <c r="G365" s="546"/>
      <c r="H365" s="454"/>
      <c r="I365" s="454"/>
      <c r="J365" s="640"/>
    </row>
    <row r="366" spans="1:10" x14ac:dyDescent="0.25">
      <c r="A366" s="648"/>
      <c r="B366" s="454"/>
      <c r="C366" s="454"/>
      <c r="D366" s="454"/>
      <c r="E366" s="454"/>
      <c r="F366" s="640"/>
      <c r="G366" s="546"/>
      <c r="H366" s="454"/>
      <c r="I366" s="454"/>
      <c r="J366" s="640"/>
    </row>
    <row r="367" spans="1:10" x14ac:dyDescent="0.25">
      <c r="A367" s="648"/>
      <c r="B367" s="454"/>
      <c r="C367" s="454"/>
      <c r="D367" s="454"/>
      <c r="E367" s="454"/>
      <c r="F367" s="640"/>
      <c r="G367" s="546"/>
      <c r="H367" s="454"/>
      <c r="I367" s="454"/>
      <c r="J367" s="640"/>
    </row>
    <row r="368" spans="1:10" x14ac:dyDescent="0.25">
      <c r="A368" s="648"/>
      <c r="B368" s="454"/>
      <c r="C368" s="454"/>
      <c r="D368" s="454"/>
      <c r="E368" s="454"/>
      <c r="F368" s="640"/>
      <c r="G368" s="546"/>
      <c r="H368" s="454"/>
      <c r="I368" s="454"/>
      <c r="J368" s="640"/>
    </row>
    <row r="369" spans="1:10" x14ac:dyDescent="0.25">
      <c r="A369" s="648"/>
      <c r="B369" s="454"/>
      <c r="C369" s="454"/>
      <c r="D369" s="454"/>
      <c r="E369" s="454"/>
      <c r="F369" s="640"/>
      <c r="G369" s="546"/>
      <c r="H369" s="454"/>
      <c r="I369" s="454"/>
      <c r="J369" s="640"/>
    </row>
    <row r="370" spans="1:10" x14ac:dyDescent="0.25">
      <c r="A370" s="648"/>
      <c r="B370" s="454"/>
      <c r="C370" s="454"/>
      <c r="D370" s="452"/>
      <c r="E370" s="452"/>
      <c r="F370" s="639"/>
      <c r="G370" s="644"/>
      <c r="H370" s="454"/>
      <c r="I370" s="454"/>
      <c r="J370" s="640"/>
    </row>
    <row r="371" spans="1:10" x14ac:dyDescent="0.25">
      <c r="A371" s="648"/>
      <c r="B371" s="454"/>
      <c r="C371" s="454"/>
      <c r="D371" s="452"/>
      <c r="E371" s="452"/>
      <c r="F371" s="639"/>
      <c r="G371" s="644"/>
      <c r="H371" s="454"/>
      <c r="I371" s="454"/>
      <c r="J371" s="640"/>
    </row>
    <row r="372" spans="1:10" x14ac:dyDescent="0.25">
      <c r="A372" s="648"/>
      <c r="B372" s="454"/>
      <c r="C372" s="454"/>
      <c r="D372" s="452"/>
      <c r="E372" s="452"/>
      <c r="F372" s="639"/>
      <c r="G372" s="644"/>
      <c r="H372" s="454"/>
      <c r="I372" s="454"/>
      <c r="J372" s="640"/>
    </row>
    <row r="373" spans="1:10" x14ac:dyDescent="0.25">
      <c r="A373" s="648"/>
      <c r="B373" s="454"/>
      <c r="C373" s="454"/>
      <c r="D373" s="452"/>
      <c r="E373" s="452"/>
      <c r="F373" s="639"/>
      <c r="G373" s="644"/>
      <c r="H373" s="454"/>
      <c r="I373" s="454"/>
      <c r="J373" s="640"/>
    </row>
    <row r="374" spans="1:10" x14ac:dyDescent="0.25">
      <c r="A374" s="648"/>
      <c r="B374" s="454"/>
      <c r="C374" s="454"/>
      <c r="D374" s="452"/>
      <c r="E374" s="452"/>
      <c r="F374" s="639"/>
      <c r="G374" s="644"/>
      <c r="H374" s="454"/>
      <c r="I374" s="454"/>
      <c r="J374" s="640"/>
    </row>
    <row r="375" spans="1:10" x14ac:dyDescent="0.25">
      <c r="A375" s="648"/>
      <c r="B375" s="454"/>
      <c r="C375" s="454"/>
      <c r="D375" s="452"/>
      <c r="E375" s="452"/>
      <c r="F375" s="639"/>
      <c r="G375" s="644"/>
      <c r="H375" s="454"/>
      <c r="I375" s="454"/>
      <c r="J375" s="640"/>
    </row>
    <row r="376" spans="1:10" x14ac:dyDescent="0.25">
      <c r="A376" s="648"/>
      <c r="B376" s="454"/>
      <c r="C376" s="454"/>
      <c r="D376" s="452"/>
      <c r="E376" s="452"/>
      <c r="F376" s="639"/>
      <c r="G376" s="644"/>
      <c r="H376" s="454"/>
      <c r="I376" s="454"/>
      <c r="J376" s="640"/>
    </row>
    <row r="377" spans="1:10" x14ac:dyDescent="0.25">
      <c r="A377" s="648"/>
      <c r="B377" s="454"/>
      <c r="C377" s="454"/>
      <c r="D377" s="452"/>
      <c r="E377" s="452"/>
      <c r="F377" s="639"/>
      <c r="G377" s="644"/>
      <c r="H377" s="454"/>
      <c r="I377" s="454"/>
      <c r="J377" s="640"/>
    </row>
    <row r="378" spans="1:10" x14ac:dyDescent="0.25">
      <c r="A378" s="648"/>
      <c r="B378" s="454"/>
      <c r="C378" s="454"/>
      <c r="D378" s="452"/>
      <c r="E378" s="452"/>
      <c r="F378" s="639"/>
      <c r="G378" s="644"/>
      <c r="H378" s="454"/>
      <c r="I378" s="454"/>
      <c r="J378" s="640"/>
    </row>
    <row r="379" spans="1:10" x14ac:dyDescent="0.25">
      <c r="A379" s="648"/>
      <c r="B379" s="454"/>
      <c r="C379" s="454"/>
      <c r="D379" s="452"/>
      <c r="E379" s="452"/>
      <c r="F379" s="639"/>
      <c r="G379" s="644"/>
      <c r="H379" s="454"/>
      <c r="I379" s="454"/>
      <c r="J379" s="640"/>
    </row>
    <row r="380" spans="1:10" x14ac:dyDescent="0.25">
      <c r="A380" s="648"/>
      <c r="B380" s="454"/>
      <c r="C380" s="454"/>
      <c r="D380" s="454"/>
      <c r="E380" s="454"/>
      <c r="F380" s="640"/>
      <c r="G380" s="546"/>
      <c r="H380" s="454"/>
      <c r="I380" s="454"/>
      <c r="J380" s="640"/>
    </row>
    <row r="381" spans="1:10" x14ac:dyDescent="0.25">
      <c r="A381" s="648"/>
      <c r="B381" s="454"/>
      <c r="C381" s="454"/>
      <c r="D381" s="454"/>
      <c r="E381" s="454"/>
      <c r="F381" s="640"/>
      <c r="G381" s="546"/>
      <c r="H381" s="454"/>
      <c r="I381" s="454"/>
      <c r="J381" s="640"/>
    </row>
    <row r="382" spans="1:10" x14ac:dyDescent="0.25">
      <c r="A382" s="648"/>
      <c r="B382" s="454"/>
      <c r="C382" s="454"/>
      <c r="D382" s="454"/>
      <c r="E382" s="454"/>
      <c r="F382" s="640"/>
      <c r="G382" s="546"/>
      <c r="H382" s="454"/>
      <c r="I382" s="454"/>
      <c r="J382" s="640"/>
    </row>
    <row r="383" spans="1:10" x14ac:dyDescent="0.25">
      <c r="A383" s="648"/>
      <c r="B383" s="454"/>
      <c r="C383" s="454"/>
      <c r="D383" s="454"/>
      <c r="E383" s="454"/>
      <c r="F383" s="640"/>
      <c r="G383" s="546"/>
      <c r="H383" s="454"/>
      <c r="I383" s="454"/>
      <c r="J383" s="640"/>
    </row>
    <row r="384" spans="1:10" x14ac:dyDescent="0.25">
      <c r="A384" s="648"/>
      <c r="B384" s="454"/>
      <c r="C384" s="454"/>
      <c r="D384" s="452"/>
      <c r="E384" s="452"/>
      <c r="F384" s="639"/>
      <c r="G384" s="644"/>
      <c r="H384" s="644"/>
      <c r="I384" s="454"/>
      <c r="J384" s="640"/>
    </row>
    <row r="385" spans="1:10" x14ac:dyDescent="0.25">
      <c r="A385" s="648"/>
      <c r="B385" s="454"/>
      <c r="C385" s="454"/>
      <c r="D385" s="452"/>
      <c r="E385" s="452"/>
      <c r="F385" s="639"/>
      <c r="G385" s="644"/>
      <c r="H385" s="644"/>
      <c r="I385" s="454"/>
      <c r="J385" s="640"/>
    </row>
    <row r="386" spans="1:10" x14ac:dyDescent="0.25">
      <c r="A386" s="648"/>
      <c r="B386" s="454"/>
      <c r="C386" s="454"/>
      <c r="D386" s="452"/>
      <c r="E386" s="452"/>
      <c r="F386" s="639"/>
      <c r="G386" s="644"/>
      <c r="H386" s="644"/>
      <c r="I386" s="454"/>
      <c r="J386" s="640"/>
    </row>
    <row r="387" spans="1:10" x14ac:dyDescent="0.25">
      <c r="A387" s="648"/>
      <c r="B387" s="454"/>
      <c r="C387" s="454"/>
      <c r="D387" s="452"/>
      <c r="E387" s="452"/>
      <c r="F387" s="639"/>
      <c r="G387" s="644"/>
      <c r="H387" s="644"/>
      <c r="I387" s="454"/>
      <c r="J387" s="640"/>
    </row>
    <row r="388" spans="1:10" x14ac:dyDescent="0.25">
      <c r="A388" s="648"/>
      <c r="B388" s="454"/>
      <c r="C388" s="454"/>
      <c r="D388" s="452"/>
      <c r="E388" s="452"/>
      <c r="F388" s="639"/>
      <c r="G388" s="644"/>
      <c r="H388" s="644"/>
      <c r="I388" s="454"/>
      <c r="J388" s="640"/>
    </row>
    <row r="389" spans="1:10" x14ac:dyDescent="0.25">
      <c r="A389" s="648"/>
      <c r="B389" s="454"/>
      <c r="C389" s="454"/>
      <c r="D389" s="452"/>
      <c r="E389" s="452"/>
      <c r="F389" s="639"/>
      <c r="G389" s="644"/>
      <c r="H389" s="644"/>
      <c r="I389" s="454"/>
      <c r="J389" s="640"/>
    </row>
    <row r="390" spans="1:10" x14ac:dyDescent="0.25">
      <c r="A390" s="648"/>
      <c r="B390" s="454"/>
      <c r="C390" s="454"/>
      <c r="D390" s="452"/>
      <c r="E390" s="452"/>
      <c r="F390" s="639"/>
      <c r="G390" s="644"/>
      <c r="H390" s="644"/>
      <c r="I390" s="454"/>
      <c r="J390" s="640"/>
    </row>
    <row r="391" spans="1:10" x14ac:dyDescent="0.25">
      <c r="A391" s="648"/>
      <c r="B391" s="454"/>
      <c r="C391" s="454"/>
      <c r="D391" s="452"/>
      <c r="E391" s="452"/>
      <c r="F391" s="639"/>
      <c r="G391" s="644"/>
      <c r="H391" s="644"/>
      <c r="I391" s="454"/>
      <c r="J391" s="640"/>
    </row>
    <row r="392" spans="1:10" x14ac:dyDescent="0.25">
      <c r="A392" s="648"/>
      <c r="B392" s="454"/>
      <c r="C392" s="454"/>
      <c r="D392" s="452"/>
      <c r="E392" s="452"/>
      <c r="F392" s="639"/>
      <c r="G392" s="644"/>
      <c r="H392" s="644"/>
      <c r="I392" s="454"/>
      <c r="J392" s="640"/>
    </row>
    <row r="393" spans="1:10" x14ac:dyDescent="0.25">
      <c r="A393" s="648"/>
      <c r="B393" s="454"/>
      <c r="C393" s="454"/>
      <c r="D393" s="452"/>
      <c r="E393" s="452"/>
      <c r="F393" s="639"/>
      <c r="G393" s="644"/>
      <c r="H393" s="454"/>
      <c r="I393" s="454"/>
      <c r="J393" s="640"/>
    </row>
    <row r="394" spans="1:10" x14ac:dyDescent="0.25">
      <c r="A394" s="648"/>
      <c r="B394" s="454"/>
      <c r="C394" s="454"/>
      <c r="D394" s="454"/>
      <c r="E394" s="454"/>
      <c r="F394" s="640"/>
      <c r="G394" s="546"/>
      <c r="H394" s="454"/>
      <c r="I394" s="454"/>
      <c r="J394" s="640"/>
    </row>
    <row r="395" spans="1:10" x14ac:dyDescent="0.25">
      <c r="A395" s="648"/>
      <c r="B395" s="454"/>
      <c r="C395" s="454"/>
      <c r="D395" s="454"/>
      <c r="E395" s="454"/>
      <c r="F395" s="640"/>
      <c r="G395" s="546"/>
      <c r="H395" s="454"/>
      <c r="I395" s="454"/>
      <c r="J395" s="640"/>
    </row>
    <row r="396" spans="1:10" x14ac:dyDescent="0.25">
      <c r="A396" s="648"/>
      <c r="B396" s="454"/>
      <c r="C396" s="454"/>
      <c r="D396" s="454"/>
      <c r="E396" s="454"/>
      <c r="F396" s="640"/>
      <c r="G396" s="546"/>
      <c r="H396" s="454"/>
      <c r="I396" s="454"/>
      <c r="J396" s="640"/>
    </row>
    <row r="397" spans="1:10" x14ac:dyDescent="0.25">
      <c r="A397" s="648"/>
      <c r="B397" s="454"/>
      <c r="C397" s="454"/>
      <c r="D397" s="454"/>
      <c r="E397" s="454"/>
      <c r="F397" s="640"/>
      <c r="G397" s="546"/>
      <c r="H397" s="454"/>
      <c r="I397" s="454"/>
      <c r="J397" s="640"/>
    </row>
    <row r="398" spans="1:10" x14ac:dyDescent="0.25">
      <c r="A398" s="648"/>
      <c r="B398" s="454"/>
      <c r="C398" s="454"/>
      <c r="D398" s="454"/>
      <c r="E398" s="454"/>
      <c r="F398" s="640"/>
      <c r="G398" s="546"/>
      <c r="H398" s="454"/>
      <c r="I398" s="454"/>
      <c r="J398" s="640"/>
    </row>
    <row r="399" spans="1:10" x14ac:dyDescent="0.25">
      <c r="A399" s="648"/>
      <c r="B399" s="454"/>
      <c r="C399" s="454"/>
      <c r="D399" s="454"/>
      <c r="E399" s="454"/>
      <c r="F399" s="640"/>
      <c r="G399" s="546"/>
      <c r="H399" s="454"/>
      <c r="I399" s="454"/>
      <c r="J399" s="640"/>
    </row>
    <row r="400" spans="1:10" x14ac:dyDescent="0.25">
      <c r="A400" s="648"/>
      <c r="B400" s="454"/>
      <c r="C400" s="454"/>
      <c r="D400" s="452"/>
      <c r="E400" s="452"/>
      <c r="F400" s="639"/>
      <c r="G400" s="644"/>
      <c r="H400" s="454"/>
      <c r="I400" s="454"/>
      <c r="J400" s="640"/>
    </row>
    <row r="401" spans="1:10" x14ac:dyDescent="0.25">
      <c r="A401" s="648"/>
      <c r="B401" s="454"/>
      <c r="C401" s="454"/>
      <c r="D401" s="452"/>
      <c r="E401" s="452"/>
      <c r="F401" s="639"/>
      <c r="G401" s="644"/>
      <c r="H401" s="454"/>
      <c r="I401" s="454"/>
      <c r="J401" s="640"/>
    </row>
    <row r="402" spans="1:10" x14ac:dyDescent="0.25">
      <c r="A402" s="648"/>
      <c r="B402" s="454"/>
      <c r="C402" s="454"/>
      <c r="D402" s="452"/>
      <c r="E402" s="452"/>
      <c r="F402" s="639"/>
      <c r="G402" s="644"/>
      <c r="H402" s="454"/>
      <c r="I402" s="454"/>
      <c r="J402" s="640"/>
    </row>
    <row r="403" spans="1:10" x14ac:dyDescent="0.25">
      <c r="A403" s="648"/>
      <c r="B403" s="454"/>
      <c r="C403" s="454"/>
      <c r="D403" s="452"/>
      <c r="E403" s="452"/>
      <c r="F403" s="639"/>
      <c r="G403" s="644"/>
      <c r="H403" s="454"/>
      <c r="I403" s="454"/>
      <c r="J403" s="640"/>
    </row>
    <row r="404" spans="1:10" x14ac:dyDescent="0.25">
      <c r="A404" s="648"/>
      <c r="B404" s="454"/>
      <c r="C404" s="454"/>
      <c r="D404" s="452"/>
      <c r="E404" s="452"/>
      <c r="F404" s="639"/>
      <c r="G404" s="644"/>
      <c r="H404" s="454"/>
      <c r="I404" s="454"/>
      <c r="J404" s="640"/>
    </row>
    <row r="405" spans="1:10" x14ac:dyDescent="0.25">
      <c r="A405" s="648"/>
      <c r="B405" s="454"/>
      <c r="C405" s="454"/>
      <c r="D405" s="454"/>
      <c r="E405" s="454"/>
      <c r="F405" s="640"/>
      <c r="G405" s="546"/>
      <c r="H405" s="454"/>
      <c r="I405" s="454"/>
      <c r="J405" s="640"/>
    </row>
    <row r="406" spans="1:10" x14ac:dyDescent="0.25">
      <c r="A406" s="648"/>
      <c r="B406" s="454"/>
      <c r="C406" s="454"/>
      <c r="D406" s="452"/>
      <c r="E406" s="452"/>
      <c r="F406" s="639"/>
      <c r="G406" s="644"/>
      <c r="H406" s="454"/>
      <c r="I406" s="454"/>
      <c r="J406" s="640"/>
    </row>
    <row r="407" spans="1:10" x14ac:dyDescent="0.25">
      <c r="A407" s="648"/>
      <c r="B407" s="454"/>
      <c r="C407" s="454"/>
      <c r="D407" s="452"/>
      <c r="E407" s="452"/>
      <c r="F407" s="639"/>
      <c r="G407" s="644"/>
      <c r="H407" s="454"/>
      <c r="I407" s="454"/>
      <c r="J407" s="640"/>
    </row>
    <row r="408" spans="1:10" x14ac:dyDescent="0.25">
      <c r="A408" s="648"/>
      <c r="B408" s="454"/>
      <c r="C408" s="454"/>
      <c r="D408" s="452"/>
      <c r="E408" s="452"/>
      <c r="F408" s="639"/>
      <c r="G408" s="644"/>
      <c r="H408" s="454"/>
      <c r="I408" s="454"/>
      <c r="J408" s="640"/>
    </row>
    <row r="409" spans="1:10" x14ac:dyDescent="0.25">
      <c r="A409" s="648"/>
      <c r="B409" s="454"/>
      <c r="C409" s="454"/>
      <c r="D409" s="452"/>
      <c r="E409" s="452"/>
      <c r="F409" s="639"/>
      <c r="G409" s="644"/>
      <c r="H409" s="454"/>
      <c r="I409" s="454"/>
      <c r="J409" s="640"/>
    </row>
    <row r="410" spans="1:10" x14ac:dyDescent="0.25">
      <c r="A410" s="648"/>
      <c r="B410" s="454"/>
      <c r="C410" s="454"/>
      <c r="D410" s="452"/>
      <c r="E410" s="452"/>
      <c r="F410" s="639"/>
      <c r="G410" s="644"/>
      <c r="H410" s="454"/>
      <c r="I410" s="454"/>
      <c r="J410" s="640"/>
    </row>
    <row r="411" spans="1:10" x14ac:dyDescent="0.25">
      <c r="A411" s="648"/>
      <c r="B411" s="454"/>
      <c r="C411" s="454"/>
      <c r="D411" s="452"/>
      <c r="E411" s="452"/>
      <c r="F411" s="639"/>
      <c r="G411" s="644"/>
      <c r="H411" s="454"/>
      <c r="I411" s="454"/>
      <c r="J411" s="640"/>
    </row>
    <row r="412" spans="1:10" x14ac:dyDescent="0.25">
      <c r="A412" s="648"/>
      <c r="B412" s="454"/>
      <c r="C412" s="454"/>
      <c r="D412" s="452"/>
      <c r="E412" s="452"/>
      <c r="F412" s="639"/>
      <c r="G412" s="644"/>
      <c r="H412" s="454"/>
      <c r="I412" s="454"/>
      <c r="J412" s="640"/>
    </row>
    <row r="413" spans="1:10" x14ac:dyDescent="0.25">
      <c r="A413" s="648"/>
      <c r="B413" s="454"/>
      <c r="C413" s="454"/>
      <c r="D413" s="452"/>
      <c r="E413" s="452"/>
      <c r="F413" s="639"/>
      <c r="G413" s="644"/>
      <c r="H413" s="454"/>
      <c r="I413" s="454"/>
      <c r="J413" s="640"/>
    </row>
    <row r="414" spans="1:10" x14ac:dyDescent="0.25">
      <c r="A414" s="648"/>
      <c r="B414" s="454"/>
      <c r="C414" s="454"/>
      <c r="D414" s="452"/>
      <c r="E414" s="452"/>
      <c r="F414" s="639"/>
      <c r="G414" s="644"/>
      <c r="H414" s="454"/>
      <c r="I414" s="454"/>
      <c r="J414" s="640"/>
    </row>
    <row r="415" spans="1:10" x14ac:dyDescent="0.25">
      <c r="A415" s="648"/>
      <c r="B415" s="454"/>
      <c r="C415" s="454"/>
      <c r="D415" s="452"/>
      <c r="E415" s="452"/>
      <c r="F415" s="639"/>
      <c r="G415" s="644"/>
      <c r="H415" s="454"/>
      <c r="I415" s="454"/>
      <c r="J415" s="640"/>
    </row>
    <row r="416" spans="1:10" x14ac:dyDescent="0.25">
      <c r="A416" s="648"/>
      <c r="B416" s="454"/>
      <c r="C416" s="454"/>
      <c r="D416" s="452"/>
      <c r="E416" s="452"/>
      <c r="F416" s="639"/>
      <c r="G416" s="644"/>
      <c r="H416" s="454"/>
      <c r="I416" s="454"/>
      <c r="J416" s="640"/>
    </row>
    <row r="417" spans="1:14" x14ac:dyDescent="0.25">
      <c r="A417" s="648"/>
      <c r="B417" s="454"/>
      <c r="C417" s="454"/>
      <c r="D417" s="452"/>
      <c r="E417" s="452"/>
      <c r="F417" s="639"/>
      <c r="G417" s="644"/>
      <c r="H417" s="454"/>
      <c r="I417" s="454"/>
      <c r="J417" s="640"/>
    </row>
    <row r="418" spans="1:14" x14ac:dyDescent="0.25">
      <c r="A418" s="648"/>
      <c r="B418" s="454"/>
      <c r="C418" s="454"/>
      <c r="D418" s="452"/>
      <c r="E418" s="452"/>
      <c r="F418" s="639"/>
      <c r="G418" s="644"/>
      <c r="H418" s="454"/>
      <c r="I418" s="454"/>
      <c r="J418" s="640"/>
    </row>
    <row r="419" spans="1:14" x14ac:dyDescent="0.25">
      <c r="A419" s="648"/>
      <c r="B419" s="454"/>
      <c r="C419" s="454"/>
      <c r="D419" s="452"/>
      <c r="E419" s="452"/>
      <c r="F419" s="639"/>
      <c r="G419" s="644"/>
      <c r="H419" s="454"/>
      <c r="I419" s="454"/>
      <c r="J419" s="640"/>
    </row>
    <row r="420" spans="1:14" x14ac:dyDescent="0.25">
      <c r="A420" s="648"/>
      <c r="B420" s="454"/>
      <c r="C420" s="454"/>
      <c r="D420" s="452"/>
      <c r="E420" s="452"/>
      <c r="F420" s="639"/>
      <c r="G420" s="644"/>
      <c r="H420" s="454"/>
      <c r="I420" s="454"/>
      <c r="J420" s="640"/>
    </row>
    <row r="421" spans="1:14" x14ac:dyDescent="0.25">
      <c r="A421" s="648"/>
      <c r="B421" s="454"/>
      <c r="C421" s="454"/>
      <c r="D421" s="452"/>
      <c r="E421" s="452"/>
      <c r="F421" s="639"/>
      <c r="G421" s="644"/>
      <c r="H421" s="454"/>
      <c r="I421" s="454"/>
      <c r="J421" s="640"/>
    </row>
    <row r="422" spans="1:14" x14ac:dyDescent="0.25">
      <c r="A422" s="648"/>
      <c r="B422" s="454"/>
      <c r="C422" s="454"/>
      <c r="D422" s="452"/>
      <c r="E422" s="452"/>
      <c r="F422" s="639"/>
      <c r="G422" s="644"/>
      <c r="H422" s="454"/>
      <c r="I422" s="454"/>
      <c r="J422" s="640"/>
    </row>
    <row r="423" spans="1:14" x14ac:dyDescent="0.25">
      <c r="A423" s="648"/>
      <c r="B423" s="454"/>
      <c r="C423" s="454"/>
      <c r="D423" s="452"/>
      <c r="E423" s="452"/>
      <c r="F423" s="639"/>
      <c r="G423" s="644"/>
      <c r="H423" s="454"/>
      <c r="I423" s="454"/>
      <c r="J423" s="640"/>
    </row>
    <row r="424" spans="1:14" x14ac:dyDescent="0.25">
      <c r="A424" s="648"/>
      <c r="B424" s="454"/>
      <c r="C424" s="454"/>
      <c r="D424" s="452"/>
      <c r="E424" s="452"/>
      <c r="F424" s="639"/>
      <c r="G424" s="644"/>
      <c r="H424" s="454"/>
      <c r="I424" s="454"/>
      <c r="J424" s="640"/>
    </row>
    <row r="425" spans="1:14" x14ac:dyDescent="0.25">
      <c r="A425" s="648"/>
      <c r="B425" s="454"/>
      <c r="C425" s="454"/>
      <c r="D425" s="452"/>
      <c r="E425" s="452"/>
      <c r="F425" s="639"/>
      <c r="G425" s="644"/>
      <c r="H425" s="454"/>
      <c r="I425" s="454"/>
      <c r="J425" s="640"/>
    </row>
    <row r="426" spans="1:14" x14ac:dyDescent="0.25">
      <c r="A426" s="648"/>
      <c r="B426" s="454"/>
      <c r="C426" s="454"/>
      <c r="D426" s="454"/>
      <c r="E426" s="454"/>
      <c r="F426" s="640"/>
      <c r="G426" s="546"/>
      <c r="H426" s="454"/>
      <c r="I426" s="454"/>
      <c r="J426" s="640"/>
    </row>
    <row r="427" spans="1:14" x14ac:dyDescent="0.25">
      <c r="A427" s="648"/>
      <c r="B427" s="454"/>
      <c r="C427" s="454"/>
      <c r="D427" s="454"/>
      <c r="E427" s="454"/>
      <c r="F427" s="640"/>
      <c r="G427" s="546"/>
      <c r="H427" s="454"/>
      <c r="I427" s="454"/>
      <c r="J427" s="640"/>
    </row>
    <row r="428" spans="1:14" x14ac:dyDescent="0.25">
      <c r="A428" s="648"/>
      <c r="B428" s="454"/>
      <c r="C428" s="454"/>
      <c r="D428" s="452"/>
      <c r="E428" s="452"/>
      <c r="F428" s="639"/>
      <c r="G428" s="644"/>
      <c r="H428" s="454"/>
      <c r="I428" s="454"/>
      <c r="J428" s="640"/>
    </row>
    <row r="429" spans="1:14" x14ac:dyDescent="0.25">
      <c r="A429" s="648"/>
      <c r="B429" s="454"/>
      <c r="C429" s="454"/>
      <c r="D429" s="452"/>
      <c r="E429" s="452"/>
      <c r="F429" s="639"/>
      <c r="G429" s="644"/>
      <c r="H429" s="454"/>
      <c r="I429" s="454"/>
      <c r="J429" s="640"/>
    </row>
    <row r="430" spans="1:14" x14ac:dyDescent="0.25">
      <c r="A430" s="648"/>
      <c r="B430" s="454"/>
      <c r="C430" s="454"/>
      <c r="D430" s="452"/>
      <c r="E430" s="452"/>
      <c r="F430" s="639"/>
      <c r="G430" s="644"/>
      <c r="H430" s="454"/>
      <c r="I430" s="454"/>
      <c r="J430" s="640"/>
    </row>
    <row r="431" spans="1:14" x14ac:dyDescent="0.25">
      <c r="A431" s="648"/>
      <c r="B431" s="454"/>
      <c r="C431" s="454"/>
      <c r="D431" s="452"/>
      <c r="E431" s="452"/>
      <c r="F431" s="639"/>
      <c r="G431" s="644"/>
      <c r="H431" s="454"/>
      <c r="I431" s="454"/>
      <c r="J431" s="640"/>
      <c r="N431" s="92"/>
    </row>
    <row r="432" spans="1:14" x14ac:dyDescent="0.25">
      <c r="A432" s="648"/>
      <c r="B432" s="454"/>
      <c r="C432" s="454"/>
      <c r="D432" s="452"/>
      <c r="E432" s="452"/>
      <c r="F432" s="639"/>
      <c r="G432" s="644"/>
      <c r="H432" s="454"/>
      <c r="I432" s="454"/>
      <c r="J432" s="640"/>
      <c r="N432" s="92"/>
    </row>
    <row r="433" spans="1:14" x14ac:dyDescent="0.25">
      <c r="A433" s="648"/>
      <c r="B433" s="454"/>
      <c r="C433" s="454"/>
      <c r="D433" s="452"/>
      <c r="E433" s="452"/>
      <c r="F433" s="639"/>
      <c r="G433" s="644"/>
      <c r="H433" s="454"/>
      <c r="I433" s="454"/>
      <c r="J433" s="640"/>
      <c r="N433" s="92"/>
    </row>
    <row r="434" spans="1:14" x14ac:dyDescent="0.25">
      <c r="A434" s="648"/>
      <c r="B434" s="454"/>
      <c r="C434" s="454"/>
      <c r="D434" s="452"/>
      <c r="E434" s="452"/>
      <c r="F434" s="640"/>
      <c r="G434" s="546"/>
      <c r="H434" s="454"/>
      <c r="I434" s="454"/>
      <c r="J434" s="640"/>
      <c r="N434" s="92"/>
    </row>
    <row r="435" spans="1:14" x14ac:dyDescent="0.25">
      <c r="A435" s="648"/>
      <c r="B435" s="454"/>
      <c r="C435" s="454"/>
      <c r="D435" s="452"/>
      <c r="E435" s="452"/>
      <c r="F435" s="639"/>
      <c r="G435" s="644"/>
      <c r="H435" s="454"/>
      <c r="I435" s="454"/>
      <c r="J435" s="640"/>
      <c r="N435" s="92"/>
    </row>
    <row r="436" spans="1:14" x14ac:dyDescent="0.25">
      <c r="A436" s="648"/>
      <c r="B436" s="454"/>
      <c r="C436" s="454"/>
      <c r="D436" s="452"/>
      <c r="E436" s="452"/>
      <c r="F436" s="639"/>
      <c r="G436" s="644"/>
      <c r="H436" s="454"/>
      <c r="I436" s="454"/>
      <c r="J436" s="640"/>
      <c r="N436" s="92"/>
    </row>
    <row r="437" spans="1:14" x14ac:dyDescent="0.25">
      <c r="A437" s="648"/>
      <c r="B437" s="454"/>
      <c r="C437" s="454"/>
      <c r="D437" s="452"/>
      <c r="E437" s="454"/>
      <c r="F437" s="640"/>
      <c r="G437" s="546"/>
      <c r="H437" s="454"/>
      <c r="I437" s="454"/>
      <c r="J437" s="640"/>
      <c r="N437" s="92"/>
    </row>
    <row r="438" spans="1:14" x14ac:dyDescent="0.25">
      <c r="A438" s="648"/>
      <c r="B438" s="454"/>
      <c r="C438" s="454"/>
      <c r="D438" s="452"/>
      <c r="E438" s="454"/>
      <c r="F438" s="640"/>
      <c r="G438" s="546"/>
      <c r="H438" s="454"/>
      <c r="I438" s="454"/>
      <c r="J438" s="640"/>
      <c r="N438" s="92"/>
    </row>
    <row r="439" spans="1:14" x14ac:dyDescent="0.25">
      <c r="A439" s="648"/>
      <c r="B439" s="454"/>
      <c r="C439" s="454"/>
      <c r="D439" s="452"/>
      <c r="E439" s="454"/>
      <c r="F439" s="640"/>
      <c r="G439" s="546"/>
      <c r="H439" s="454"/>
      <c r="I439" s="454"/>
      <c r="J439" s="640"/>
      <c r="N439" s="92"/>
    </row>
    <row r="440" spans="1:14" x14ac:dyDescent="0.25">
      <c r="A440" s="648"/>
      <c r="B440" s="454"/>
      <c r="C440" s="454"/>
      <c r="D440" s="452"/>
      <c r="E440" s="454"/>
      <c r="F440" s="640"/>
      <c r="G440" s="546"/>
      <c r="H440" s="454"/>
      <c r="I440" s="454"/>
      <c r="J440" s="640"/>
      <c r="N440" s="92"/>
    </row>
    <row r="441" spans="1:14" x14ac:dyDescent="0.25">
      <c r="A441" s="648"/>
      <c r="B441" s="454"/>
      <c r="C441" s="454"/>
      <c r="D441" s="452"/>
      <c r="E441" s="454"/>
      <c r="F441" s="640"/>
      <c r="G441" s="546"/>
      <c r="H441" s="454"/>
      <c r="I441" s="454"/>
      <c r="J441" s="640"/>
      <c r="N441" s="92"/>
    </row>
    <row r="442" spans="1:14" x14ac:dyDescent="0.25">
      <c r="A442" s="648"/>
      <c r="B442" s="454"/>
      <c r="C442" s="454"/>
      <c r="D442" s="452"/>
      <c r="E442" s="454"/>
      <c r="F442" s="640"/>
      <c r="G442" s="546"/>
      <c r="H442" s="454"/>
      <c r="I442" s="454"/>
      <c r="J442" s="640"/>
      <c r="N442" s="92"/>
    </row>
    <row r="443" spans="1:14" x14ac:dyDescent="0.25">
      <c r="A443" s="648"/>
      <c r="B443" s="454"/>
      <c r="C443" s="454"/>
      <c r="D443" s="452"/>
      <c r="E443" s="454"/>
      <c r="F443" s="640"/>
      <c r="G443" s="546"/>
      <c r="H443" s="454"/>
      <c r="I443" s="454"/>
      <c r="J443" s="640"/>
      <c r="N443" s="92"/>
    </row>
    <row r="444" spans="1:14" x14ac:dyDescent="0.25">
      <c r="A444" s="648"/>
      <c r="B444" s="454"/>
      <c r="C444" s="454"/>
      <c r="D444" s="452"/>
      <c r="E444" s="454"/>
      <c r="F444" s="640"/>
      <c r="G444" s="546"/>
      <c r="H444" s="454"/>
      <c r="I444" s="454"/>
      <c r="J444" s="640"/>
      <c r="N444" s="92"/>
    </row>
    <row r="445" spans="1:14" x14ac:dyDescent="0.25">
      <c r="A445" s="648"/>
      <c r="B445" s="454"/>
      <c r="C445" s="454"/>
      <c r="D445" s="452"/>
      <c r="E445" s="454"/>
      <c r="F445" s="640"/>
      <c r="G445" s="546"/>
      <c r="H445" s="454"/>
      <c r="I445" s="454"/>
      <c r="J445" s="640"/>
      <c r="N445" s="92"/>
    </row>
    <row r="446" spans="1:14" x14ac:dyDescent="0.25">
      <c r="A446" s="648"/>
      <c r="B446" s="454"/>
      <c r="C446" s="454"/>
      <c r="D446" s="452"/>
      <c r="E446" s="454"/>
      <c r="F446" s="640"/>
      <c r="G446" s="546"/>
      <c r="H446" s="454"/>
      <c r="I446" s="454"/>
      <c r="J446" s="640"/>
      <c r="N446" s="92"/>
    </row>
    <row r="447" spans="1:14" x14ac:dyDescent="0.25">
      <c r="A447" s="648"/>
      <c r="B447" s="454"/>
      <c r="C447" s="454"/>
      <c r="D447" s="452"/>
      <c r="E447" s="454"/>
      <c r="F447" s="640"/>
      <c r="G447" s="546"/>
      <c r="H447" s="454"/>
      <c r="I447" s="454"/>
      <c r="J447" s="640"/>
    </row>
    <row r="448" spans="1:14" x14ac:dyDescent="0.25">
      <c r="A448" s="648"/>
      <c r="B448" s="454"/>
      <c r="C448" s="454"/>
      <c r="D448" s="452"/>
      <c r="E448" s="454"/>
      <c r="F448" s="640"/>
      <c r="G448" s="546"/>
      <c r="H448" s="454"/>
      <c r="I448" s="454"/>
      <c r="J448" s="640"/>
    </row>
    <row r="449" spans="1:10" x14ac:dyDescent="0.25">
      <c r="A449" s="648"/>
      <c r="B449" s="454"/>
      <c r="C449" s="454"/>
      <c r="D449" s="452"/>
      <c r="E449" s="454"/>
      <c r="F449" s="640"/>
      <c r="G449" s="546"/>
      <c r="H449" s="454"/>
      <c r="I449" s="454"/>
      <c r="J449" s="640"/>
    </row>
    <row r="450" spans="1:10" x14ac:dyDescent="0.25">
      <c r="A450" s="648"/>
      <c r="B450" s="454"/>
      <c r="C450" s="454"/>
      <c r="D450" s="452"/>
      <c r="E450" s="454"/>
      <c r="F450" s="640"/>
      <c r="G450" s="546"/>
      <c r="H450" s="454"/>
      <c r="I450" s="454"/>
      <c r="J450" s="640"/>
    </row>
    <row r="451" spans="1:10" x14ac:dyDescent="0.25">
      <c r="A451" s="648"/>
      <c r="B451" s="454"/>
      <c r="C451" s="454"/>
      <c r="D451" s="454"/>
      <c r="E451" s="454"/>
      <c r="F451" s="640"/>
      <c r="G451" s="546"/>
      <c r="H451" s="454"/>
      <c r="I451" s="454"/>
      <c r="J451" s="640"/>
    </row>
    <row r="452" spans="1:10" x14ac:dyDescent="0.25">
      <c r="A452" s="648"/>
      <c r="B452" s="454"/>
      <c r="C452" s="454"/>
      <c r="D452" s="454"/>
      <c r="E452" s="454"/>
      <c r="F452" s="640"/>
      <c r="G452" s="546"/>
      <c r="H452" s="454"/>
      <c r="I452" s="454"/>
      <c r="J452" s="640"/>
    </row>
    <row r="453" spans="1:10" x14ac:dyDescent="0.25">
      <c r="A453" s="648"/>
      <c r="B453" s="454"/>
      <c r="C453" s="454"/>
      <c r="D453" s="452"/>
      <c r="E453" s="452"/>
      <c r="F453" s="639"/>
      <c r="G453" s="644"/>
      <c r="H453" s="454"/>
      <c r="I453" s="454"/>
      <c r="J453" s="640"/>
    </row>
    <row r="454" spans="1:10" x14ac:dyDescent="0.25">
      <c r="A454" s="648"/>
      <c r="B454" s="454"/>
      <c r="C454" s="454"/>
      <c r="D454" s="452"/>
      <c r="E454" s="452"/>
      <c r="F454" s="639"/>
      <c r="G454" s="644"/>
      <c r="H454" s="454"/>
      <c r="I454" s="454"/>
      <c r="J454" s="640"/>
    </row>
    <row r="455" spans="1:10" x14ac:dyDescent="0.25">
      <c r="A455" s="648"/>
      <c r="B455" s="454"/>
      <c r="C455" s="454"/>
      <c r="D455" s="452"/>
      <c r="E455" s="452"/>
      <c r="F455" s="639"/>
      <c r="G455" s="644"/>
      <c r="H455" s="454"/>
      <c r="I455" s="454"/>
      <c r="J455" s="640"/>
    </row>
    <row r="456" spans="1:10" x14ac:dyDescent="0.25">
      <c r="A456" s="648"/>
      <c r="B456" s="454"/>
      <c r="C456" s="454"/>
      <c r="D456" s="452"/>
      <c r="E456" s="452"/>
      <c r="F456" s="639"/>
      <c r="G456" s="644"/>
      <c r="H456" s="454"/>
      <c r="I456" s="454"/>
      <c r="J456" s="640"/>
    </row>
    <row r="457" spans="1:10" x14ac:dyDescent="0.25">
      <c r="A457" s="648"/>
      <c r="B457" s="454"/>
      <c r="C457" s="454"/>
      <c r="D457" s="452"/>
      <c r="E457" s="452"/>
      <c r="F457" s="639"/>
      <c r="G457" s="644"/>
      <c r="H457" s="454"/>
      <c r="I457" s="454"/>
      <c r="J457" s="640"/>
    </row>
    <row r="458" spans="1:10" x14ac:dyDescent="0.25">
      <c r="A458" s="648"/>
      <c r="B458" s="454"/>
      <c r="C458" s="454"/>
      <c r="D458" s="454"/>
      <c r="E458" s="454"/>
      <c r="F458" s="640"/>
      <c r="G458" s="546"/>
      <c r="H458" s="454"/>
      <c r="I458" s="454"/>
      <c r="J458" s="640"/>
    </row>
    <row r="459" spans="1:10" x14ac:dyDescent="0.25">
      <c r="A459" s="648"/>
      <c r="B459" s="454"/>
      <c r="C459" s="454"/>
      <c r="D459" s="452"/>
      <c r="E459" s="452"/>
      <c r="F459" s="639"/>
      <c r="G459" s="644"/>
      <c r="H459" s="454"/>
      <c r="I459" s="454"/>
      <c r="J459" s="640"/>
    </row>
    <row r="460" spans="1:10" x14ac:dyDescent="0.25">
      <c r="A460" s="648"/>
      <c r="B460" s="454"/>
      <c r="C460" s="454"/>
      <c r="D460" s="452"/>
      <c r="E460" s="452"/>
      <c r="F460" s="639"/>
      <c r="G460" s="644"/>
      <c r="H460" s="454"/>
      <c r="I460" s="454"/>
      <c r="J460" s="640"/>
    </row>
    <row r="461" spans="1:10" x14ac:dyDescent="0.25">
      <c r="A461" s="648"/>
      <c r="B461" s="454"/>
      <c r="C461" s="454"/>
      <c r="D461" s="452"/>
      <c r="E461" s="452"/>
      <c r="F461" s="639"/>
      <c r="G461" s="644"/>
      <c r="H461" s="454"/>
      <c r="I461" s="454"/>
      <c r="J461" s="640"/>
    </row>
    <row r="462" spans="1:10" x14ac:dyDescent="0.25">
      <c r="A462" s="648"/>
      <c r="B462" s="454"/>
      <c r="C462" s="454"/>
      <c r="D462" s="452"/>
      <c r="E462" s="452"/>
      <c r="F462" s="639"/>
      <c r="G462" s="644"/>
      <c r="H462" s="454"/>
      <c r="I462" s="454"/>
      <c r="J462" s="640"/>
    </row>
    <row r="463" spans="1:10" x14ac:dyDescent="0.25">
      <c r="A463" s="648"/>
      <c r="B463" s="454"/>
      <c r="C463" s="454"/>
      <c r="D463" s="452"/>
      <c r="E463" s="452"/>
      <c r="F463" s="639"/>
      <c r="G463" s="644"/>
      <c r="H463" s="454"/>
      <c r="I463" s="454"/>
      <c r="J463" s="640"/>
    </row>
    <row r="464" spans="1:10" x14ac:dyDescent="0.25">
      <c r="A464" s="648"/>
      <c r="B464" s="454"/>
      <c r="C464" s="454"/>
      <c r="D464" s="452"/>
      <c r="E464" s="452"/>
      <c r="F464" s="639"/>
      <c r="G464" s="644"/>
      <c r="H464" s="454"/>
      <c r="I464" s="454"/>
      <c r="J464" s="640"/>
    </row>
    <row r="465" spans="1:14" x14ac:dyDescent="0.25">
      <c r="A465" s="648"/>
      <c r="B465" s="454"/>
      <c r="C465" s="454"/>
      <c r="D465" s="452"/>
      <c r="E465" s="454"/>
      <c r="F465" s="640"/>
      <c r="G465" s="546"/>
      <c r="H465" s="454"/>
      <c r="I465" s="454"/>
      <c r="J465" s="640"/>
      <c r="M465" s="61"/>
      <c r="N465" s="691"/>
    </row>
    <row r="466" spans="1:14" x14ac:dyDescent="0.25">
      <c r="A466" s="648"/>
      <c r="B466" s="454"/>
      <c r="C466" s="454"/>
      <c r="D466" s="452"/>
      <c r="E466" s="454"/>
      <c r="F466" s="640"/>
      <c r="G466" s="546"/>
      <c r="H466" s="454"/>
      <c r="I466" s="454"/>
      <c r="J466" s="640"/>
      <c r="M466" s="61"/>
      <c r="N466" s="691"/>
    </row>
    <row r="467" spans="1:14" x14ac:dyDescent="0.25">
      <c r="A467" s="648"/>
      <c r="B467" s="454"/>
      <c r="C467" s="454"/>
      <c r="D467" s="452"/>
      <c r="E467" s="454"/>
      <c r="F467" s="640"/>
      <c r="G467" s="546"/>
      <c r="H467" s="454"/>
      <c r="I467" s="454"/>
      <c r="J467" s="640"/>
      <c r="M467" s="61"/>
      <c r="N467" s="691"/>
    </row>
    <row r="468" spans="1:14" x14ac:dyDescent="0.25">
      <c r="A468" s="648"/>
      <c r="B468" s="454"/>
      <c r="C468" s="454"/>
      <c r="D468" s="452"/>
      <c r="E468" s="454"/>
      <c r="F468" s="640"/>
      <c r="G468" s="546"/>
      <c r="H468" s="454"/>
      <c r="I468" s="454"/>
      <c r="J468" s="640"/>
      <c r="M468" s="61"/>
      <c r="N468" s="691"/>
    </row>
    <row r="469" spans="1:14" x14ac:dyDescent="0.25">
      <c r="A469" s="648"/>
      <c r="B469" s="454"/>
      <c r="C469" s="454"/>
      <c r="D469" s="452"/>
      <c r="E469" s="454"/>
      <c r="F469" s="640"/>
      <c r="G469" s="546"/>
      <c r="H469" s="454"/>
      <c r="I469" s="454"/>
      <c r="J469" s="640"/>
      <c r="M469" s="61"/>
      <c r="N469" s="691"/>
    </row>
    <row r="470" spans="1:14" x14ac:dyDescent="0.25">
      <c r="A470" s="648"/>
      <c r="B470" s="454"/>
      <c r="C470" s="454"/>
      <c r="D470" s="452"/>
      <c r="E470" s="454"/>
      <c r="F470" s="640"/>
      <c r="G470" s="546"/>
      <c r="H470" s="454"/>
      <c r="I470" s="454"/>
      <c r="J470" s="640"/>
      <c r="M470" s="61"/>
      <c r="N470" s="691"/>
    </row>
    <row r="471" spans="1:14" x14ac:dyDescent="0.25">
      <c r="A471" s="648"/>
      <c r="B471" s="454"/>
      <c r="C471" s="454"/>
      <c r="D471" s="454"/>
      <c r="E471" s="454"/>
      <c r="F471" s="640"/>
      <c r="G471" s="546"/>
      <c r="H471" s="454"/>
      <c r="I471" s="454"/>
      <c r="J471" s="640"/>
      <c r="M471" s="61"/>
      <c r="N471" s="691"/>
    </row>
    <row r="472" spans="1:14" x14ac:dyDescent="0.25">
      <c r="A472" s="648"/>
      <c r="B472" s="454"/>
      <c r="C472" s="454"/>
      <c r="D472" s="454"/>
      <c r="E472" s="454"/>
      <c r="F472" s="640"/>
      <c r="G472" s="546"/>
      <c r="H472" s="454"/>
      <c r="I472" s="454"/>
      <c r="J472" s="640"/>
      <c r="M472" s="61"/>
      <c r="N472" s="691"/>
    </row>
    <row r="473" spans="1:14" x14ac:dyDescent="0.25">
      <c r="A473" s="648"/>
      <c r="B473" s="454"/>
      <c r="C473" s="454"/>
      <c r="D473" s="454"/>
      <c r="E473" s="454"/>
      <c r="F473" s="640"/>
      <c r="G473" s="546"/>
      <c r="H473" s="454"/>
      <c r="I473" s="454"/>
      <c r="J473" s="640"/>
      <c r="M473" s="61"/>
      <c r="N473" s="691"/>
    </row>
    <row r="474" spans="1:14" x14ac:dyDescent="0.25">
      <c r="A474" s="648"/>
      <c r="B474" s="454"/>
      <c r="C474" s="454"/>
      <c r="D474" s="454"/>
      <c r="E474" s="454"/>
      <c r="F474" s="640"/>
      <c r="G474" s="546"/>
      <c r="H474" s="454"/>
      <c r="I474" s="454"/>
      <c r="J474" s="640"/>
      <c r="M474" s="61"/>
      <c r="N474" s="691"/>
    </row>
    <row r="475" spans="1:14" x14ac:dyDescent="0.25">
      <c r="A475" s="648"/>
      <c r="B475" s="454"/>
      <c r="C475" s="454"/>
      <c r="D475" s="454"/>
      <c r="E475" s="454"/>
      <c r="F475" s="640"/>
      <c r="G475" s="546"/>
      <c r="H475" s="454"/>
      <c r="I475" s="454"/>
      <c r="J475" s="640"/>
      <c r="M475" s="61"/>
      <c r="N475" s="691"/>
    </row>
    <row r="476" spans="1:14" x14ac:dyDescent="0.25">
      <c r="A476" s="648"/>
      <c r="B476" s="454"/>
      <c r="C476" s="454"/>
      <c r="D476" s="454"/>
      <c r="E476" s="454"/>
      <c r="F476" s="640"/>
      <c r="G476" s="546"/>
      <c r="H476" s="454"/>
      <c r="I476" s="454"/>
      <c r="J476" s="640"/>
      <c r="M476" s="61"/>
      <c r="N476" s="691"/>
    </row>
    <row r="477" spans="1:14" x14ac:dyDescent="0.25">
      <c r="A477" s="648"/>
      <c r="B477" s="454"/>
      <c r="C477" s="454"/>
      <c r="D477" s="452"/>
      <c r="E477" s="454"/>
      <c r="F477" s="640"/>
      <c r="G477" s="546"/>
      <c r="H477" s="454"/>
      <c r="I477" s="454"/>
      <c r="J477" s="640"/>
      <c r="M477" s="61"/>
      <c r="N477" s="691"/>
    </row>
    <row r="478" spans="1:14" x14ac:dyDescent="0.25">
      <c r="A478" s="648"/>
      <c r="B478" s="454"/>
      <c r="C478" s="454"/>
      <c r="D478" s="452"/>
      <c r="E478" s="454"/>
      <c r="F478" s="640"/>
      <c r="G478" s="546"/>
      <c r="H478" s="454"/>
      <c r="I478" s="454"/>
      <c r="J478" s="640"/>
      <c r="M478" s="61"/>
      <c r="N478" s="691"/>
    </row>
    <row r="479" spans="1:14" x14ac:dyDescent="0.25">
      <c r="A479" s="648"/>
      <c r="B479" s="454"/>
      <c r="C479" s="454"/>
      <c r="D479" s="454"/>
      <c r="E479" s="454"/>
      <c r="F479" s="640"/>
      <c r="G479" s="546"/>
      <c r="H479" s="454"/>
      <c r="I479" s="454"/>
      <c r="J479" s="640"/>
    </row>
    <row r="480" spans="1:14" x14ac:dyDescent="0.25">
      <c r="A480" s="648"/>
      <c r="B480" s="454"/>
      <c r="C480" s="454"/>
      <c r="D480" s="454"/>
      <c r="E480" s="454"/>
      <c r="F480" s="640"/>
      <c r="G480" s="546"/>
      <c r="H480" s="454"/>
      <c r="I480" s="454"/>
      <c r="J480" s="640"/>
    </row>
    <row r="481" spans="1:10" x14ac:dyDescent="0.25">
      <c r="A481" s="648"/>
      <c r="B481" s="454"/>
      <c r="C481" s="454"/>
      <c r="D481" s="452"/>
      <c r="E481" s="452"/>
      <c r="F481" s="639"/>
      <c r="G481" s="644"/>
      <c r="H481" s="454"/>
      <c r="I481" s="454"/>
      <c r="J481" s="640"/>
    </row>
    <row r="482" spans="1:10" x14ac:dyDescent="0.25">
      <c r="A482" s="648"/>
      <c r="B482" s="454"/>
      <c r="C482" s="454"/>
      <c r="D482" s="452"/>
      <c r="E482" s="452"/>
      <c r="F482" s="639"/>
      <c r="G482" s="644"/>
      <c r="H482" s="454"/>
      <c r="I482" s="454"/>
      <c r="J482" s="640"/>
    </row>
    <row r="483" spans="1:10" x14ac:dyDescent="0.25">
      <c r="A483" s="648"/>
      <c r="B483" s="454"/>
      <c r="C483" s="454"/>
      <c r="D483" s="452"/>
      <c r="E483" s="452"/>
      <c r="F483" s="639"/>
      <c r="G483" s="644"/>
      <c r="H483" s="454"/>
      <c r="I483" s="454"/>
      <c r="J483" s="640"/>
    </row>
    <row r="484" spans="1:10" x14ac:dyDescent="0.25">
      <c r="A484" s="648"/>
      <c r="B484" s="454"/>
      <c r="C484" s="454"/>
      <c r="D484" s="452"/>
      <c r="E484" s="452"/>
      <c r="F484" s="639"/>
      <c r="G484" s="644"/>
      <c r="H484" s="454"/>
      <c r="I484" s="454"/>
      <c r="J484" s="640"/>
    </row>
    <row r="485" spans="1:10" x14ac:dyDescent="0.25">
      <c r="A485" s="648"/>
      <c r="B485" s="454"/>
      <c r="C485" s="454"/>
      <c r="D485" s="452"/>
      <c r="E485" s="452"/>
      <c r="F485" s="639"/>
      <c r="G485" s="644"/>
      <c r="H485" s="454"/>
      <c r="I485" s="454"/>
      <c r="J485" s="640"/>
    </row>
    <row r="486" spans="1:10" x14ac:dyDescent="0.25">
      <c r="A486" s="648"/>
      <c r="B486" s="454"/>
      <c r="C486" s="454"/>
      <c r="D486" s="452"/>
      <c r="E486" s="452"/>
      <c r="F486" s="639"/>
      <c r="G486" s="644"/>
      <c r="H486" s="454"/>
      <c r="I486" s="454"/>
      <c r="J486" s="640"/>
    </row>
    <row r="487" spans="1:10" x14ac:dyDescent="0.25">
      <c r="A487" s="648"/>
      <c r="B487" s="454"/>
      <c r="C487" s="454"/>
      <c r="D487" s="452"/>
      <c r="E487" s="452"/>
      <c r="F487" s="639"/>
      <c r="G487" s="644"/>
      <c r="H487" s="454"/>
      <c r="I487" s="454"/>
      <c r="J487" s="640"/>
    </row>
    <row r="488" spans="1:10" x14ac:dyDescent="0.25">
      <c r="A488" s="648"/>
      <c r="B488" s="454"/>
      <c r="C488" s="454"/>
      <c r="D488" s="452"/>
      <c r="E488" s="452"/>
      <c r="F488" s="639"/>
      <c r="G488" s="644"/>
      <c r="H488" s="454"/>
      <c r="I488" s="454"/>
      <c r="J488" s="640"/>
    </row>
    <row r="489" spans="1:10" x14ac:dyDescent="0.25">
      <c r="A489" s="648"/>
      <c r="B489" s="454"/>
      <c r="C489" s="454"/>
      <c r="D489" s="452"/>
      <c r="E489" s="452"/>
      <c r="F489" s="639"/>
      <c r="G489" s="644"/>
      <c r="H489" s="454"/>
      <c r="I489" s="454"/>
      <c r="J489" s="640"/>
    </row>
    <row r="490" spans="1:10" x14ac:dyDescent="0.25">
      <c r="A490" s="648"/>
      <c r="B490" s="454"/>
      <c r="C490" s="454"/>
      <c r="D490" s="452"/>
      <c r="E490" s="452"/>
      <c r="F490" s="639"/>
      <c r="G490" s="644"/>
      <c r="H490" s="454"/>
      <c r="I490" s="454"/>
      <c r="J490" s="640"/>
    </row>
    <row r="491" spans="1:10" x14ac:dyDescent="0.25">
      <c r="A491" s="648"/>
      <c r="B491" s="454"/>
      <c r="C491" s="454"/>
      <c r="D491" s="452"/>
      <c r="E491" s="452"/>
      <c r="F491" s="639"/>
      <c r="G491" s="644"/>
      <c r="H491" s="454"/>
      <c r="I491" s="454"/>
      <c r="J491" s="640"/>
    </row>
    <row r="492" spans="1:10" x14ac:dyDescent="0.25">
      <c r="A492" s="648"/>
      <c r="B492" s="454"/>
      <c r="C492" s="454"/>
      <c r="D492" s="452"/>
      <c r="E492" s="452"/>
      <c r="F492" s="639"/>
      <c r="G492" s="644"/>
      <c r="H492" s="454"/>
      <c r="I492" s="454"/>
      <c r="J492" s="640"/>
    </row>
    <row r="493" spans="1:10" x14ac:dyDescent="0.25">
      <c r="A493" s="648"/>
      <c r="B493" s="454"/>
      <c r="C493" s="454"/>
      <c r="D493" s="452"/>
      <c r="E493" s="452"/>
      <c r="F493" s="639"/>
      <c r="G493" s="644"/>
      <c r="H493" s="454"/>
      <c r="I493" s="454"/>
      <c r="J493" s="640"/>
    </row>
    <row r="494" spans="1:10" x14ac:dyDescent="0.25">
      <c r="A494" s="648"/>
      <c r="B494" s="454"/>
      <c r="C494" s="454"/>
      <c r="D494" s="452"/>
      <c r="E494" s="452"/>
      <c r="F494" s="639"/>
      <c r="G494" s="644"/>
      <c r="H494" s="454"/>
      <c r="I494" s="454"/>
      <c r="J494" s="640"/>
    </row>
    <row r="495" spans="1:10" x14ac:dyDescent="0.25">
      <c r="A495" s="648"/>
      <c r="B495" s="454"/>
      <c r="C495" s="454"/>
      <c r="D495" s="452"/>
      <c r="E495" s="452"/>
      <c r="F495" s="639"/>
      <c r="G495" s="644"/>
      <c r="H495" s="454"/>
      <c r="I495" s="454"/>
      <c r="J495" s="640"/>
    </row>
    <row r="496" spans="1:10" x14ac:dyDescent="0.25">
      <c r="A496" s="648"/>
      <c r="B496" s="454"/>
      <c r="C496" s="454"/>
      <c r="D496" s="452"/>
      <c r="E496" s="452"/>
      <c r="F496" s="639"/>
      <c r="G496" s="644"/>
      <c r="H496" s="454"/>
      <c r="I496" s="454"/>
      <c r="J496" s="640"/>
    </row>
    <row r="497" spans="1:10" x14ac:dyDescent="0.25">
      <c r="A497" s="648"/>
      <c r="B497" s="454"/>
      <c r="C497" s="454"/>
      <c r="D497" s="452"/>
      <c r="E497" s="452"/>
      <c r="F497" s="639"/>
      <c r="G497" s="644"/>
      <c r="H497" s="454"/>
      <c r="I497" s="454"/>
      <c r="J497" s="640"/>
    </row>
    <row r="498" spans="1:10" x14ac:dyDescent="0.25">
      <c r="A498" s="648"/>
      <c r="B498" s="454"/>
      <c r="C498" s="454"/>
      <c r="D498" s="452"/>
      <c r="E498" s="452"/>
      <c r="F498" s="639"/>
      <c r="G498" s="644"/>
      <c r="H498" s="454"/>
      <c r="I498" s="454"/>
      <c r="J498" s="701"/>
    </row>
    <row r="499" spans="1:10" x14ac:dyDescent="0.25">
      <c r="A499" s="648"/>
      <c r="B499" s="454"/>
      <c r="C499" s="454"/>
      <c r="D499" s="452"/>
      <c r="E499" s="452"/>
      <c r="F499" s="639"/>
      <c r="G499" s="644"/>
      <c r="H499" s="454"/>
      <c r="I499" s="454"/>
      <c r="J499" s="640"/>
    </row>
    <row r="500" spans="1:10" x14ac:dyDescent="0.25">
      <c r="A500" s="648"/>
      <c r="B500" s="454"/>
      <c r="C500" s="454"/>
      <c r="D500" s="452"/>
      <c r="E500" s="452"/>
      <c r="F500" s="639"/>
      <c r="G500" s="644"/>
      <c r="H500" s="454"/>
      <c r="I500" s="454"/>
      <c r="J500" s="640"/>
    </row>
    <row r="501" spans="1:10" x14ac:dyDescent="0.25">
      <c r="A501" s="648"/>
      <c r="B501" s="454"/>
      <c r="C501" s="454"/>
      <c r="D501" s="452"/>
      <c r="E501" s="452"/>
      <c r="F501" s="639"/>
      <c r="G501" s="644"/>
      <c r="H501" s="454"/>
      <c r="I501" s="454"/>
      <c r="J501" s="640"/>
    </row>
    <row r="502" spans="1:10" x14ac:dyDescent="0.25">
      <c r="A502" s="648"/>
      <c r="B502" s="454"/>
      <c r="C502" s="454"/>
      <c r="D502" s="452"/>
      <c r="E502" s="452"/>
      <c r="F502" s="639"/>
      <c r="G502" s="644"/>
      <c r="H502" s="454"/>
      <c r="I502" s="454"/>
      <c r="J502" s="640"/>
    </row>
    <row r="503" spans="1:10" x14ac:dyDescent="0.25">
      <c r="A503" s="648"/>
      <c r="B503" s="454"/>
      <c r="C503" s="454"/>
      <c r="D503" s="452"/>
      <c r="E503" s="452"/>
      <c r="F503" s="639"/>
      <c r="G503" s="644"/>
      <c r="H503" s="454"/>
      <c r="I503" s="454"/>
      <c r="J503" s="640"/>
    </row>
    <row r="504" spans="1:10" x14ac:dyDescent="0.25">
      <c r="A504" s="648"/>
      <c r="B504" s="454"/>
      <c r="C504" s="454"/>
      <c r="D504" s="452"/>
      <c r="E504" s="452"/>
      <c r="F504" s="639"/>
      <c r="G504" s="644"/>
      <c r="H504" s="454"/>
      <c r="I504" s="454"/>
      <c r="J504" s="640"/>
    </row>
    <row r="505" spans="1:10" x14ac:dyDescent="0.25">
      <c r="A505" s="648"/>
      <c r="B505" s="454"/>
      <c r="C505" s="454"/>
      <c r="D505" s="452"/>
      <c r="E505" s="452"/>
      <c r="F505" s="639"/>
      <c r="G505" s="644"/>
      <c r="H505" s="454"/>
      <c r="I505" s="454"/>
      <c r="J505" s="640"/>
    </row>
    <row r="506" spans="1:10" x14ac:dyDescent="0.25">
      <c r="A506" s="648"/>
      <c r="B506" s="454"/>
      <c r="C506" s="454"/>
      <c r="D506" s="452"/>
      <c r="E506" s="452"/>
      <c r="F506" s="639"/>
      <c r="G506" s="644"/>
      <c r="H506" s="454"/>
      <c r="I506" s="454"/>
      <c r="J506" s="640"/>
    </row>
    <row r="507" spans="1:10" x14ac:dyDescent="0.25">
      <c r="A507" s="648"/>
      <c r="B507" s="454"/>
      <c r="C507" s="454"/>
      <c r="D507" s="452"/>
      <c r="E507" s="452"/>
      <c r="F507" s="639"/>
      <c r="G507" s="644"/>
      <c r="H507" s="454"/>
      <c r="I507" s="454"/>
      <c r="J507" s="640"/>
    </row>
    <row r="508" spans="1:10" x14ac:dyDescent="0.25">
      <c r="A508" s="648"/>
      <c r="B508" s="454"/>
      <c r="C508" s="454"/>
      <c r="D508" s="452"/>
      <c r="E508" s="452"/>
      <c r="F508" s="639"/>
      <c r="G508" s="644"/>
      <c r="H508" s="454"/>
      <c r="I508" s="454"/>
      <c r="J508" s="640"/>
    </row>
    <row r="509" spans="1:10" x14ac:dyDescent="0.25">
      <c r="A509" s="648"/>
      <c r="B509" s="454"/>
      <c r="C509" s="454"/>
      <c r="D509" s="452"/>
      <c r="E509" s="452"/>
      <c r="F509" s="639"/>
      <c r="G509" s="644"/>
      <c r="H509" s="454"/>
      <c r="I509" s="454"/>
      <c r="J509" s="640"/>
    </row>
    <row r="510" spans="1:10" x14ac:dyDescent="0.25">
      <c r="A510" s="648"/>
      <c r="B510" s="454"/>
      <c r="C510" s="454"/>
      <c r="D510" s="452"/>
      <c r="E510" s="452"/>
      <c r="F510" s="639"/>
      <c r="G510" s="644"/>
      <c r="H510" s="454"/>
      <c r="I510" s="454"/>
      <c r="J510" s="640"/>
    </row>
    <row r="511" spans="1:10" x14ac:dyDescent="0.25">
      <c r="A511" s="648"/>
      <c r="B511" s="454"/>
      <c r="C511" s="454"/>
      <c r="D511" s="452"/>
      <c r="E511" s="452"/>
      <c r="F511" s="639"/>
      <c r="G511" s="644"/>
      <c r="H511" s="454"/>
      <c r="I511" s="454"/>
      <c r="J511" s="640"/>
    </row>
    <row r="512" spans="1:10" x14ac:dyDescent="0.25">
      <c r="A512" s="648"/>
      <c r="B512" s="454"/>
      <c r="C512" s="454"/>
      <c r="D512" s="452"/>
      <c r="E512" s="452"/>
      <c r="F512" s="639"/>
      <c r="G512" s="644"/>
      <c r="H512" s="454"/>
      <c r="I512" s="454"/>
      <c r="J512" s="640"/>
    </row>
    <row r="513" spans="1:10" x14ac:dyDescent="0.25">
      <c r="A513" s="648"/>
      <c r="B513" s="454"/>
      <c r="C513" s="454"/>
      <c r="D513" s="452"/>
      <c r="E513" s="452"/>
      <c r="F513" s="639"/>
      <c r="G513" s="644"/>
      <c r="H513" s="454"/>
      <c r="I513" s="454"/>
      <c r="J513" s="640"/>
    </row>
    <row r="514" spans="1:10" x14ac:dyDescent="0.25">
      <c r="A514" s="648"/>
      <c r="B514" s="454"/>
      <c r="C514" s="454"/>
      <c r="D514" s="452"/>
      <c r="E514" s="452"/>
      <c r="F514" s="639"/>
      <c r="G514" s="644"/>
      <c r="H514" s="454"/>
      <c r="I514" s="454"/>
      <c r="J514" s="640"/>
    </row>
    <row r="515" spans="1:10" x14ac:dyDescent="0.25">
      <c r="A515" s="648"/>
      <c r="B515" s="454"/>
      <c r="C515" s="454"/>
      <c r="D515" s="452"/>
      <c r="E515" s="452"/>
      <c r="F515" s="639"/>
      <c r="G515" s="644"/>
      <c r="H515" s="454"/>
      <c r="I515" s="454"/>
      <c r="J515" s="640"/>
    </row>
    <row r="516" spans="1:10" x14ac:dyDescent="0.25">
      <c r="A516" s="648"/>
      <c r="B516" s="454"/>
      <c r="C516" s="454"/>
      <c r="D516" s="452"/>
      <c r="E516" s="452"/>
      <c r="F516" s="639"/>
      <c r="G516" s="644"/>
      <c r="H516" s="454"/>
      <c r="I516" s="454"/>
      <c r="J516" s="640"/>
    </row>
    <row r="517" spans="1:10" x14ac:dyDescent="0.25">
      <c r="A517" s="648"/>
      <c r="B517" s="454"/>
      <c r="C517" s="454"/>
      <c r="D517" s="452"/>
      <c r="E517" s="452"/>
      <c r="F517" s="639"/>
      <c r="G517" s="644"/>
      <c r="H517" s="454"/>
      <c r="I517" s="454"/>
      <c r="J517" s="640"/>
    </row>
    <row r="518" spans="1:10" x14ac:dyDescent="0.25">
      <c r="A518" s="648"/>
      <c r="B518" s="454"/>
      <c r="C518" s="454"/>
      <c r="D518" s="452"/>
      <c r="E518" s="452"/>
      <c r="F518" s="639"/>
      <c r="G518" s="644"/>
      <c r="H518" s="454"/>
      <c r="I518" s="454"/>
      <c r="J518" s="640"/>
    </row>
    <row r="519" spans="1:10" x14ac:dyDescent="0.25">
      <c r="A519" s="648"/>
      <c r="B519" s="454"/>
      <c r="C519" s="454"/>
      <c r="D519" s="452"/>
      <c r="E519" s="452"/>
      <c r="F519" s="639"/>
      <c r="G519" s="644"/>
      <c r="H519" s="454"/>
      <c r="I519" s="454"/>
      <c r="J519" s="640"/>
    </row>
    <row r="520" spans="1:10" x14ac:dyDescent="0.25">
      <c r="A520" s="648"/>
      <c r="B520" s="454"/>
      <c r="C520" s="454"/>
      <c r="D520" s="452"/>
      <c r="E520" s="452"/>
      <c r="F520" s="639"/>
      <c r="G520" s="644"/>
      <c r="H520" s="454"/>
      <c r="I520" s="454"/>
      <c r="J520" s="640"/>
    </row>
    <row r="521" spans="1:10" x14ac:dyDescent="0.25">
      <c r="A521" s="648"/>
      <c r="B521" s="454"/>
      <c r="C521" s="454"/>
      <c r="D521" s="452"/>
      <c r="E521" s="452"/>
      <c r="F521" s="639"/>
      <c r="G521" s="644"/>
      <c r="H521" s="454"/>
      <c r="I521" s="454"/>
      <c r="J521" s="640"/>
    </row>
    <row r="522" spans="1:10" x14ac:dyDescent="0.25">
      <c r="A522" s="648"/>
      <c r="B522" s="454"/>
      <c r="C522" s="454"/>
      <c r="D522" s="452"/>
      <c r="E522" s="452"/>
      <c r="F522" s="639"/>
      <c r="G522" s="644"/>
      <c r="H522" s="454"/>
      <c r="I522" s="454"/>
      <c r="J522" s="640"/>
    </row>
    <row r="523" spans="1:10" x14ac:dyDescent="0.25">
      <c r="A523" s="648"/>
      <c r="B523" s="454"/>
      <c r="C523" s="454"/>
      <c r="D523" s="454"/>
      <c r="E523" s="454"/>
      <c r="F523" s="640"/>
      <c r="G523" s="546"/>
      <c r="H523" s="454"/>
      <c r="I523" s="454"/>
      <c r="J523" s="640"/>
    </row>
    <row r="524" spans="1:10" x14ac:dyDescent="0.25">
      <c r="A524" s="648"/>
      <c r="B524" s="454"/>
      <c r="C524" s="454"/>
      <c r="D524" s="454"/>
      <c r="E524" s="454"/>
      <c r="F524" s="640"/>
      <c r="G524" s="546"/>
      <c r="H524" s="454"/>
      <c r="I524" s="454"/>
      <c r="J524" s="640"/>
    </row>
    <row r="525" spans="1:10" x14ac:dyDescent="0.25">
      <c r="A525" s="648"/>
      <c r="B525" s="454"/>
      <c r="C525" s="454"/>
      <c r="D525" s="454"/>
      <c r="E525" s="454"/>
      <c r="F525" s="640"/>
      <c r="G525" s="546"/>
      <c r="H525" s="454"/>
      <c r="I525" s="454"/>
      <c r="J525" s="640"/>
    </row>
    <row r="526" spans="1:10" x14ac:dyDescent="0.25">
      <c r="A526" s="648"/>
      <c r="B526" s="454"/>
      <c r="C526" s="454"/>
      <c r="D526" s="454"/>
      <c r="E526" s="454"/>
      <c r="F526" s="640"/>
      <c r="G526" s="546"/>
      <c r="H526" s="454"/>
      <c r="I526" s="454"/>
      <c r="J526" s="640"/>
    </row>
    <row r="527" spans="1:10" x14ac:dyDescent="0.25">
      <c r="A527" s="648"/>
      <c r="B527" s="454"/>
      <c r="C527" s="454"/>
      <c r="D527" s="454"/>
      <c r="E527" s="454"/>
      <c r="F527" s="640"/>
      <c r="G527" s="546"/>
      <c r="H527" s="454"/>
      <c r="I527" s="454"/>
      <c r="J527" s="640"/>
    </row>
    <row r="528" spans="1:10" x14ac:dyDescent="0.25">
      <c r="A528" s="648"/>
      <c r="B528" s="454"/>
      <c r="C528" s="454"/>
      <c r="D528" s="454"/>
      <c r="E528" s="454"/>
      <c r="F528" s="640"/>
      <c r="G528" s="546"/>
      <c r="H528" s="454"/>
      <c r="I528" s="454"/>
      <c r="J528" s="640"/>
    </row>
    <row r="529" spans="1:10" x14ac:dyDescent="0.25">
      <c r="A529" s="648"/>
      <c r="B529" s="454"/>
      <c r="C529" s="454"/>
      <c r="D529" s="454"/>
      <c r="E529" s="454"/>
      <c r="F529" s="640"/>
      <c r="G529" s="546"/>
      <c r="H529" s="454"/>
      <c r="I529" s="454"/>
      <c r="J529" s="640"/>
    </row>
    <row r="530" spans="1:10" x14ac:dyDescent="0.25">
      <c r="A530" s="648"/>
      <c r="B530" s="454"/>
      <c r="C530" s="454"/>
      <c r="D530" s="452"/>
      <c r="E530" s="452"/>
      <c r="F530" s="639"/>
      <c r="G530" s="644"/>
      <c r="H530" s="454"/>
      <c r="I530" s="454"/>
      <c r="J530" s="640"/>
    </row>
    <row r="531" spans="1:10" x14ac:dyDescent="0.25">
      <c r="A531" s="648"/>
      <c r="B531" s="454"/>
      <c r="C531" s="454"/>
      <c r="D531" s="452"/>
      <c r="E531" s="452"/>
      <c r="F531" s="639"/>
      <c r="G531" s="644"/>
      <c r="H531" s="454"/>
      <c r="I531" s="454"/>
      <c r="J531" s="640"/>
    </row>
    <row r="532" spans="1:10" x14ac:dyDescent="0.25">
      <c r="A532" s="648"/>
      <c r="B532" s="454"/>
      <c r="C532" s="454"/>
      <c r="D532" s="452"/>
      <c r="E532" s="452"/>
      <c r="F532" s="639"/>
      <c r="G532" s="644"/>
      <c r="H532" s="454"/>
      <c r="I532" s="454"/>
      <c r="J532" s="640"/>
    </row>
    <row r="533" spans="1:10" x14ac:dyDescent="0.25">
      <c r="A533" s="648"/>
      <c r="B533" s="454"/>
      <c r="C533" s="454"/>
      <c r="D533" s="454"/>
      <c r="E533" s="454"/>
      <c r="F533" s="640"/>
      <c r="G533" s="546"/>
      <c r="H533" s="454"/>
      <c r="I533" s="454"/>
      <c r="J533" s="640"/>
    </row>
    <row r="534" spans="1:10" x14ac:dyDescent="0.25">
      <c r="A534" s="648"/>
      <c r="B534" s="454"/>
      <c r="C534" s="454"/>
      <c r="D534" s="454"/>
      <c r="E534" s="454"/>
      <c r="F534" s="640"/>
      <c r="G534" s="546"/>
      <c r="H534" s="454"/>
      <c r="I534" s="454"/>
      <c r="J534" s="640"/>
    </row>
    <row r="535" spans="1:10" x14ac:dyDescent="0.25">
      <c r="A535" s="648"/>
      <c r="B535" s="454"/>
      <c r="C535" s="454"/>
      <c r="D535" s="454"/>
      <c r="E535" s="454"/>
      <c r="F535" s="640"/>
      <c r="G535" s="546"/>
      <c r="H535" s="454"/>
      <c r="I535" s="454"/>
      <c r="J535" s="640"/>
    </row>
    <row r="536" spans="1:10" x14ac:dyDescent="0.25">
      <c r="A536" s="648"/>
      <c r="B536" s="454"/>
      <c r="C536" s="454"/>
      <c r="D536" s="452"/>
      <c r="E536" s="452"/>
      <c r="F536" s="639"/>
      <c r="G536" s="644"/>
      <c r="H536" s="454"/>
      <c r="I536" s="454"/>
      <c r="J536" s="640"/>
    </row>
    <row r="537" spans="1:10" x14ac:dyDescent="0.25">
      <c r="A537" s="648"/>
      <c r="B537" s="454"/>
      <c r="C537" s="454"/>
      <c r="D537" s="452"/>
      <c r="E537" s="452"/>
      <c r="F537" s="639"/>
      <c r="G537" s="644"/>
      <c r="H537" s="454"/>
      <c r="I537" s="454"/>
      <c r="J537" s="640"/>
    </row>
    <row r="538" spans="1:10" x14ac:dyDescent="0.25">
      <c r="A538" s="648"/>
      <c r="B538" s="454"/>
      <c r="C538" s="454"/>
      <c r="D538" s="452"/>
      <c r="E538" s="452"/>
      <c r="F538" s="639"/>
      <c r="G538" s="644"/>
      <c r="H538" s="454"/>
      <c r="I538" s="454"/>
      <c r="J538" s="640"/>
    </row>
    <row r="539" spans="1:10" x14ac:dyDescent="0.25">
      <c r="A539" s="648"/>
      <c r="B539" s="454"/>
      <c r="C539" s="454"/>
      <c r="D539" s="452"/>
      <c r="E539" s="452"/>
      <c r="F539" s="639"/>
      <c r="G539" s="644"/>
      <c r="H539" s="454"/>
      <c r="I539" s="454"/>
      <c r="J539" s="640"/>
    </row>
    <row r="540" spans="1:10" x14ac:dyDescent="0.25">
      <c r="A540" s="648"/>
      <c r="B540" s="454"/>
      <c r="C540" s="454"/>
      <c r="D540" s="452"/>
      <c r="E540" s="452"/>
      <c r="F540" s="639"/>
      <c r="G540" s="644"/>
      <c r="H540" s="454"/>
      <c r="I540" s="454"/>
      <c r="J540" s="640"/>
    </row>
    <row r="541" spans="1:10" x14ac:dyDescent="0.25">
      <c r="A541" s="648"/>
      <c r="B541" s="454"/>
      <c r="C541" s="454"/>
      <c r="D541" s="452"/>
      <c r="E541" s="452"/>
      <c r="F541" s="639"/>
      <c r="G541" s="644"/>
      <c r="H541" s="454"/>
      <c r="I541" s="454"/>
      <c r="J541" s="640"/>
    </row>
    <row r="542" spans="1:10" x14ac:dyDescent="0.25">
      <c r="A542" s="648"/>
      <c r="B542" s="454"/>
      <c r="C542" s="454"/>
      <c r="D542" s="452"/>
      <c r="E542" s="452"/>
      <c r="F542" s="639"/>
      <c r="G542" s="644"/>
      <c r="H542" s="454"/>
      <c r="I542" s="454"/>
      <c r="J542" s="640"/>
    </row>
    <row r="543" spans="1:10" x14ac:dyDescent="0.25">
      <c r="A543" s="648"/>
      <c r="B543" s="454"/>
      <c r="C543" s="454"/>
      <c r="D543" s="452"/>
      <c r="E543" s="452"/>
      <c r="F543" s="639"/>
      <c r="G543" s="644"/>
      <c r="H543" s="454"/>
      <c r="I543" s="454"/>
      <c r="J543" s="640"/>
    </row>
    <row r="544" spans="1:10" x14ac:dyDescent="0.25">
      <c r="A544" s="648"/>
      <c r="B544" s="454"/>
      <c r="C544" s="454"/>
      <c r="D544" s="452"/>
      <c r="E544" s="452"/>
      <c r="F544" s="639"/>
      <c r="G544" s="644"/>
      <c r="H544" s="454"/>
      <c r="I544" s="454"/>
      <c r="J544" s="640"/>
    </row>
    <row r="545" spans="1:10" x14ac:dyDescent="0.25">
      <c r="A545" s="648"/>
      <c r="B545" s="454"/>
      <c r="C545" s="454"/>
      <c r="D545" s="452"/>
      <c r="E545" s="452"/>
      <c r="F545" s="639"/>
      <c r="G545" s="644"/>
      <c r="H545" s="454"/>
      <c r="I545" s="454"/>
      <c r="J545" s="640"/>
    </row>
    <row r="546" spans="1:10" x14ac:dyDescent="0.25">
      <c r="A546" s="648"/>
      <c r="B546" s="454"/>
      <c r="C546" s="454"/>
      <c r="D546" s="452"/>
      <c r="E546" s="452"/>
      <c r="F546" s="639"/>
      <c r="G546" s="644"/>
      <c r="H546" s="454"/>
      <c r="I546" s="454"/>
      <c r="J546" s="640"/>
    </row>
    <row r="547" spans="1:10" x14ac:dyDescent="0.25">
      <c r="A547" s="648"/>
      <c r="B547" s="454"/>
      <c r="C547" s="454"/>
      <c r="D547" s="452"/>
      <c r="E547" s="452"/>
      <c r="F547" s="639"/>
      <c r="G547" s="644"/>
      <c r="H547" s="454"/>
      <c r="I547" s="454"/>
      <c r="J547" s="640"/>
    </row>
    <row r="548" spans="1:10" x14ac:dyDescent="0.25">
      <c r="A548" s="648"/>
      <c r="B548" s="454"/>
      <c r="C548" s="454"/>
      <c r="D548" s="452"/>
      <c r="E548" s="452"/>
      <c r="F548" s="639"/>
      <c r="G548" s="644"/>
      <c r="H548" s="454"/>
      <c r="I548" s="454"/>
      <c r="J548" s="640"/>
    </row>
    <row r="549" spans="1:10" x14ac:dyDescent="0.25">
      <c r="A549" s="648"/>
      <c r="B549" s="454"/>
      <c r="C549" s="454"/>
      <c r="D549" s="452"/>
      <c r="E549" s="452"/>
      <c r="F549" s="639"/>
      <c r="G549" s="644"/>
      <c r="H549" s="454"/>
      <c r="I549" s="454"/>
      <c r="J549" s="640"/>
    </row>
    <row r="550" spans="1:10" x14ac:dyDescent="0.25">
      <c r="A550" s="648"/>
      <c r="B550" s="454"/>
      <c r="C550" s="454"/>
      <c r="D550" s="452"/>
      <c r="E550" s="452"/>
      <c r="F550" s="639"/>
      <c r="G550" s="644"/>
      <c r="H550" s="454"/>
      <c r="I550" s="454"/>
      <c r="J550" s="640"/>
    </row>
    <row r="551" spans="1:10" x14ac:dyDescent="0.25">
      <c r="A551" s="648"/>
      <c r="B551" s="454"/>
      <c r="C551" s="454"/>
      <c r="D551" s="452"/>
      <c r="E551" s="452"/>
      <c r="F551" s="639"/>
      <c r="G551" s="644"/>
      <c r="H551" s="454"/>
      <c r="I551" s="454"/>
      <c r="J551" s="640"/>
    </row>
    <row r="552" spans="1:10" x14ac:dyDescent="0.25">
      <c r="A552" s="648"/>
      <c r="B552" s="454"/>
      <c r="C552" s="454"/>
      <c r="D552" s="452"/>
      <c r="E552" s="452"/>
      <c r="F552" s="639"/>
      <c r="G552" s="644"/>
      <c r="H552" s="454"/>
      <c r="I552" s="454"/>
      <c r="J552" s="640"/>
    </row>
    <row r="553" spans="1:10" x14ac:dyDescent="0.25">
      <c r="A553" s="648"/>
      <c r="B553" s="454"/>
      <c r="C553" s="454"/>
      <c r="D553" s="452"/>
      <c r="E553" s="452"/>
      <c r="F553" s="639"/>
      <c r="G553" s="644"/>
      <c r="H553" s="454"/>
      <c r="I553" s="454"/>
      <c r="J553" s="640"/>
    </row>
    <row r="554" spans="1:10" x14ac:dyDescent="0.25">
      <c r="A554" s="648"/>
      <c r="B554" s="454"/>
      <c r="C554" s="454"/>
      <c r="D554" s="452"/>
      <c r="E554" s="452"/>
      <c r="F554" s="639"/>
      <c r="G554" s="644"/>
      <c r="H554" s="454"/>
      <c r="I554" s="454"/>
      <c r="J554" s="640"/>
    </row>
    <row r="555" spans="1:10" x14ac:dyDescent="0.25">
      <c r="A555" s="648"/>
      <c r="B555" s="454"/>
      <c r="C555" s="454"/>
      <c r="D555" s="452"/>
      <c r="E555" s="452"/>
      <c r="F555" s="639"/>
      <c r="G555" s="644"/>
      <c r="H555" s="454"/>
      <c r="I555" s="454"/>
      <c r="J555" s="640"/>
    </row>
    <row r="556" spans="1:10" x14ac:dyDescent="0.25">
      <c r="A556" s="648"/>
      <c r="B556" s="454"/>
      <c r="C556" s="454"/>
      <c r="D556" s="454"/>
      <c r="E556" s="454"/>
      <c r="F556" s="640"/>
      <c r="G556" s="546"/>
      <c r="H556" s="454"/>
      <c r="I556" s="454"/>
      <c r="J556" s="640"/>
    </row>
    <row r="557" spans="1:10" x14ac:dyDescent="0.25">
      <c r="A557" s="648"/>
      <c r="B557" s="454"/>
      <c r="C557" s="454"/>
      <c r="D557" s="454"/>
      <c r="E557" s="454"/>
      <c r="F557" s="640"/>
      <c r="G557" s="546"/>
      <c r="H557" s="454"/>
      <c r="I557" s="454"/>
      <c r="J557" s="640"/>
    </row>
    <row r="558" spans="1:10" x14ac:dyDescent="0.25">
      <c r="A558" s="648"/>
      <c r="B558" s="454"/>
      <c r="C558" s="454"/>
      <c r="D558" s="454"/>
      <c r="E558" s="454"/>
      <c r="F558" s="640"/>
      <c r="G558" s="546"/>
      <c r="H558" s="454"/>
      <c r="I558" s="454"/>
      <c r="J558" s="640"/>
    </row>
    <row r="559" spans="1:10" x14ac:dyDescent="0.25">
      <c r="A559" s="648"/>
      <c r="B559" s="454"/>
      <c r="C559" s="454"/>
      <c r="D559" s="454"/>
      <c r="E559" s="454"/>
      <c r="F559" s="640"/>
      <c r="G559" s="546"/>
      <c r="H559" s="454"/>
      <c r="I559" s="454"/>
      <c r="J559" s="640"/>
    </row>
    <row r="560" spans="1:10" x14ac:dyDescent="0.25">
      <c r="A560" s="648"/>
      <c r="B560" s="454"/>
      <c r="C560" s="454"/>
      <c r="D560" s="454"/>
      <c r="E560" s="454"/>
      <c r="F560" s="640"/>
      <c r="G560" s="546"/>
      <c r="H560" s="454"/>
      <c r="I560" s="454"/>
      <c r="J560" s="640"/>
    </row>
    <row r="561" spans="1:10" x14ac:dyDescent="0.25">
      <c r="A561" s="648"/>
      <c r="B561" s="454"/>
      <c r="C561" s="454"/>
      <c r="D561" s="452"/>
      <c r="E561" s="452"/>
      <c r="F561" s="639"/>
      <c r="G561" s="644"/>
      <c r="H561" s="454"/>
      <c r="I561" s="454"/>
      <c r="J561" s="640"/>
    </row>
    <row r="562" spans="1:10" x14ac:dyDescent="0.25">
      <c r="A562" s="648"/>
      <c r="B562" s="454"/>
      <c r="C562" s="454"/>
      <c r="D562" s="452"/>
      <c r="E562" s="452"/>
      <c r="F562" s="639"/>
      <c r="G562" s="644"/>
      <c r="H562" s="454"/>
      <c r="I562" s="454"/>
      <c r="J562" s="640"/>
    </row>
    <row r="563" spans="1:10" x14ac:dyDescent="0.25">
      <c r="A563" s="648"/>
      <c r="B563" s="454"/>
      <c r="C563" s="454"/>
      <c r="D563" s="452"/>
      <c r="E563" s="452"/>
      <c r="F563" s="639"/>
      <c r="G563" s="644"/>
      <c r="H563" s="454"/>
      <c r="I563" s="454"/>
      <c r="J563" s="640"/>
    </row>
    <row r="564" spans="1:10" x14ac:dyDescent="0.25">
      <c r="A564" s="648"/>
      <c r="B564" s="454"/>
      <c r="C564" s="454"/>
      <c r="D564" s="452"/>
      <c r="E564" s="452"/>
      <c r="F564" s="639"/>
      <c r="G564" s="644"/>
      <c r="H564" s="454"/>
      <c r="I564" s="454"/>
      <c r="J564" s="640"/>
    </row>
    <row r="565" spans="1:10" x14ac:dyDescent="0.25">
      <c r="A565" s="648"/>
      <c r="B565" s="454"/>
      <c r="C565" s="454"/>
      <c r="D565" s="452"/>
      <c r="E565" s="452"/>
      <c r="F565" s="639"/>
      <c r="G565" s="644"/>
      <c r="H565" s="454"/>
      <c r="I565" s="454"/>
      <c r="J565" s="640"/>
    </row>
    <row r="566" spans="1:10" x14ac:dyDescent="0.25">
      <c r="A566" s="648"/>
      <c r="B566" s="454"/>
      <c r="C566" s="454"/>
      <c r="D566" s="452"/>
      <c r="E566" s="452"/>
      <c r="F566" s="639"/>
      <c r="G566" s="644"/>
      <c r="H566" s="454"/>
      <c r="I566" s="454"/>
      <c r="J566" s="640"/>
    </row>
    <row r="567" spans="1:10" x14ac:dyDescent="0.25">
      <c r="A567" s="648"/>
      <c r="B567" s="454"/>
      <c r="C567" s="454"/>
      <c r="D567" s="452"/>
      <c r="E567" s="452"/>
      <c r="F567" s="639"/>
      <c r="G567" s="644"/>
      <c r="H567" s="454"/>
      <c r="I567" s="454"/>
      <c r="J567" s="640"/>
    </row>
    <row r="568" spans="1:10" x14ac:dyDescent="0.25">
      <c r="A568" s="648"/>
      <c r="B568" s="454"/>
      <c r="C568" s="454"/>
      <c r="D568" s="452"/>
      <c r="E568" s="452"/>
      <c r="F568" s="639"/>
      <c r="G568" s="644"/>
      <c r="H568" s="454"/>
      <c r="I568" s="454"/>
      <c r="J568" s="640"/>
    </row>
    <row r="569" spans="1:10" x14ac:dyDescent="0.25">
      <c r="A569" s="648"/>
      <c r="B569" s="454"/>
      <c r="C569" s="454"/>
      <c r="D569" s="454"/>
      <c r="E569" s="454"/>
      <c r="F569" s="640"/>
      <c r="G569" s="710"/>
      <c r="H569" s="454"/>
      <c r="I569" s="454"/>
      <c r="J569" s="640"/>
    </row>
    <row r="570" spans="1:10" x14ac:dyDescent="0.25">
      <c r="A570" s="648"/>
      <c r="B570" s="454"/>
      <c r="C570" s="454"/>
      <c r="D570" s="452"/>
      <c r="E570" s="452"/>
      <c r="F570" s="639"/>
      <c r="G570" s="644"/>
      <c r="H570" s="454"/>
      <c r="I570" s="454"/>
      <c r="J570" s="640"/>
    </row>
    <row r="571" spans="1:10" x14ac:dyDescent="0.25">
      <c r="A571" s="648"/>
      <c r="B571" s="454"/>
      <c r="C571" s="454"/>
      <c r="D571" s="452"/>
      <c r="E571" s="452"/>
      <c r="F571" s="639"/>
      <c r="G571" s="644"/>
      <c r="H571" s="454"/>
      <c r="I571" s="454"/>
      <c r="J571" s="640"/>
    </row>
    <row r="572" spans="1:10" x14ac:dyDescent="0.25">
      <c r="A572" s="648"/>
      <c r="B572" s="454"/>
      <c r="C572" s="454"/>
      <c r="D572" s="452"/>
      <c r="E572" s="452"/>
      <c r="F572" s="639"/>
      <c r="G572" s="644"/>
      <c r="H572" s="454"/>
      <c r="I572" s="454"/>
      <c r="J572" s="640"/>
    </row>
    <row r="573" spans="1:10" x14ac:dyDescent="0.25">
      <c r="A573" s="648"/>
      <c r="B573" s="454"/>
      <c r="C573" s="454"/>
      <c r="D573" s="452"/>
      <c r="E573" s="452"/>
      <c r="F573" s="639"/>
      <c r="G573" s="644"/>
      <c r="H573" s="454"/>
      <c r="I573" s="454"/>
      <c r="J573" s="640"/>
    </row>
    <row r="574" spans="1:10" x14ac:dyDescent="0.25">
      <c r="A574" s="648"/>
      <c r="B574" s="454"/>
      <c r="C574" s="454"/>
      <c r="D574" s="452"/>
      <c r="E574" s="452"/>
      <c r="F574" s="639"/>
      <c r="G574" s="644"/>
      <c r="H574" s="454"/>
      <c r="I574" s="454"/>
      <c r="J574" s="640"/>
    </row>
    <row r="575" spans="1:10" x14ac:dyDescent="0.25">
      <c r="A575" s="648"/>
      <c r="B575" s="454"/>
      <c r="C575" s="454"/>
      <c r="D575" s="452"/>
      <c r="E575" s="452"/>
      <c r="F575" s="639"/>
      <c r="G575" s="644"/>
      <c r="H575" s="454"/>
      <c r="I575" s="454"/>
      <c r="J575" s="640"/>
    </row>
    <row r="576" spans="1:10" x14ac:dyDescent="0.25">
      <c r="A576" s="648"/>
      <c r="B576" s="454"/>
      <c r="C576" s="454"/>
      <c r="D576" s="454"/>
      <c r="E576" s="454"/>
      <c r="F576" s="640"/>
      <c r="G576" s="546"/>
      <c r="H576" s="454"/>
      <c r="I576" s="454"/>
      <c r="J576" s="640"/>
    </row>
    <row r="577" spans="1:10" x14ac:dyDescent="0.25">
      <c r="A577" s="648"/>
      <c r="B577" s="454"/>
      <c r="C577" s="454"/>
      <c r="D577" s="452"/>
      <c r="E577" s="452"/>
      <c r="F577" s="639"/>
      <c r="G577" s="644"/>
      <c r="H577" s="454"/>
      <c r="I577" s="454"/>
      <c r="J577" s="640"/>
    </row>
    <row r="578" spans="1:10" x14ac:dyDescent="0.25">
      <c r="A578" s="648"/>
      <c r="B578" s="454"/>
      <c r="C578" s="454"/>
      <c r="D578" s="454"/>
      <c r="E578" s="454"/>
      <c r="F578" s="640"/>
      <c r="G578" s="546"/>
      <c r="H578" s="454"/>
      <c r="I578" s="454"/>
      <c r="J578" s="640"/>
    </row>
    <row r="579" spans="1:10" x14ac:dyDescent="0.25">
      <c r="A579" s="648"/>
      <c r="B579" s="454"/>
      <c r="C579" s="454"/>
      <c r="D579" s="454"/>
      <c r="E579" s="454"/>
      <c r="F579" s="640"/>
      <c r="G579" s="546"/>
      <c r="H579" s="454"/>
      <c r="I579" s="454"/>
      <c r="J579" s="640"/>
    </row>
    <row r="580" spans="1:10" x14ac:dyDescent="0.25">
      <c r="A580" s="648"/>
      <c r="B580" s="454"/>
      <c r="C580" s="454"/>
      <c r="D580" s="454"/>
      <c r="E580" s="454"/>
      <c r="F580" s="640"/>
      <c r="G580" s="546"/>
      <c r="H580" s="454"/>
      <c r="I580" s="454"/>
      <c r="J580" s="640"/>
    </row>
    <row r="581" spans="1:10" x14ac:dyDescent="0.25">
      <c r="A581" s="648"/>
      <c r="B581" s="454"/>
      <c r="C581" s="454"/>
      <c r="D581" s="454"/>
      <c r="E581" s="454"/>
      <c r="F581" s="640"/>
      <c r="G581" s="546"/>
      <c r="H581" s="454"/>
      <c r="I581" s="454"/>
      <c r="J581" s="640"/>
    </row>
    <row r="582" spans="1:10" x14ac:dyDescent="0.25">
      <c r="A582" s="648"/>
      <c r="B582" s="454"/>
      <c r="C582" s="454"/>
      <c r="D582" s="454"/>
      <c r="E582" s="454"/>
      <c r="F582" s="640"/>
      <c r="G582" s="546"/>
      <c r="H582" s="454"/>
      <c r="I582" s="454"/>
      <c r="J582" s="640"/>
    </row>
    <row r="583" spans="1:10" x14ac:dyDescent="0.25">
      <c r="A583" s="648"/>
      <c r="B583" s="454"/>
      <c r="C583" s="454"/>
      <c r="D583" s="454"/>
      <c r="E583" s="454"/>
      <c r="F583" s="640"/>
      <c r="G583" s="546"/>
      <c r="H583" s="454"/>
      <c r="I583" s="454"/>
      <c r="J583" s="640"/>
    </row>
    <row r="584" spans="1:10" x14ac:dyDescent="0.25">
      <c r="A584" s="648"/>
      <c r="B584" s="454"/>
      <c r="C584" s="454"/>
      <c r="D584" s="454"/>
      <c r="E584" s="454"/>
      <c r="F584" s="640"/>
      <c r="G584" s="546"/>
      <c r="H584" s="454"/>
      <c r="I584" s="454"/>
      <c r="J584" s="640"/>
    </row>
    <row r="585" spans="1:10" x14ac:dyDescent="0.25">
      <c r="A585" s="648"/>
      <c r="B585" s="454"/>
      <c r="C585" s="454"/>
      <c r="D585" s="454"/>
      <c r="E585" s="454"/>
      <c r="F585" s="640"/>
      <c r="G585" s="546"/>
      <c r="H585" s="454"/>
      <c r="I585" s="454"/>
      <c r="J585" s="640"/>
    </row>
    <row r="586" spans="1:10" x14ac:dyDescent="0.25">
      <c r="A586" s="648"/>
      <c r="B586" s="454"/>
      <c r="C586" s="454"/>
      <c r="D586" s="454"/>
      <c r="E586" s="454"/>
      <c r="F586" s="640"/>
      <c r="G586" s="546"/>
      <c r="H586" s="454"/>
      <c r="I586" s="454"/>
      <c r="J586" s="640"/>
    </row>
    <row r="587" spans="1:10" x14ac:dyDescent="0.25">
      <c r="A587" s="648"/>
      <c r="B587" s="454"/>
      <c r="C587" s="454"/>
      <c r="D587" s="454"/>
      <c r="E587" s="454"/>
      <c r="F587" s="640"/>
      <c r="G587" s="546"/>
      <c r="H587" s="454"/>
      <c r="I587" s="454"/>
      <c r="J587" s="640"/>
    </row>
    <row r="588" spans="1:10" x14ac:dyDescent="0.25">
      <c r="A588" s="648"/>
      <c r="B588" s="454"/>
      <c r="C588" s="454"/>
      <c r="D588" s="454"/>
      <c r="E588" s="454"/>
      <c r="F588" s="640"/>
      <c r="G588" s="546"/>
      <c r="H588" s="454"/>
      <c r="I588" s="454"/>
      <c r="J588" s="640"/>
    </row>
    <row r="589" spans="1:10" x14ac:dyDescent="0.25">
      <c r="A589" s="648"/>
      <c r="B589" s="454"/>
      <c r="C589" s="454"/>
      <c r="D589" s="454"/>
      <c r="E589" s="454"/>
      <c r="F589" s="640"/>
      <c r="G589" s="546"/>
      <c r="H589" s="454"/>
      <c r="I589" s="454"/>
      <c r="J589" s="640"/>
    </row>
    <row r="590" spans="1:10" x14ac:dyDescent="0.25">
      <c r="A590" s="648"/>
      <c r="B590" s="454"/>
      <c r="C590" s="454"/>
      <c r="D590" s="454"/>
      <c r="E590" s="454"/>
      <c r="F590" s="640"/>
      <c r="G590" s="546"/>
      <c r="H590" s="454"/>
      <c r="I590" s="454"/>
      <c r="J590" s="640"/>
    </row>
    <row r="591" spans="1:10" x14ac:dyDescent="0.25">
      <c r="A591" s="648"/>
      <c r="B591" s="454"/>
      <c r="C591" s="454"/>
      <c r="D591" s="454"/>
      <c r="E591" s="454"/>
      <c r="F591" s="640"/>
      <c r="G591" s="546"/>
      <c r="H591" s="454"/>
      <c r="I591" s="454"/>
      <c r="J591" s="640"/>
    </row>
    <row r="592" spans="1:10" x14ac:dyDescent="0.25">
      <c r="A592" s="648"/>
      <c r="B592" s="454"/>
      <c r="C592" s="454"/>
      <c r="D592" s="454"/>
      <c r="E592" s="454"/>
      <c r="F592" s="640"/>
      <c r="G592" s="546"/>
      <c r="H592" s="454"/>
      <c r="I592" s="454"/>
      <c r="J592" s="640"/>
    </row>
    <row r="593" spans="1:10" x14ac:dyDescent="0.25">
      <c r="A593" s="648"/>
      <c r="B593" s="454"/>
      <c r="C593" s="454"/>
      <c r="D593" s="454"/>
      <c r="E593" s="454"/>
      <c r="F593" s="640"/>
      <c r="G593" s="546"/>
      <c r="H593" s="454"/>
      <c r="I593" s="454"/>
      <c r="J593" s="640"/>
    </row>
    <row r="594" spans="1:10" x14ac:dyDescent="0.25">
      <c r="A594" s="648"/>
      <c r="B594" s="454"/>
      <c r="C594" s="454"/>
      <c r="D594" s="452"/>
      <c r="E594" s="452"/>
      <c r="F594" s="639"/>
      <c r="G594" s="644"/>
      <c r="H594" s="454"/>
      <c r="I594" s="454"/>
      <c r="J594" s="640"/>
    </row>
    <row r="595" spans="1:10" x14ac:dyDescent="0.25">
      <c r="A595" s="648"/>
      <c r="B595" s="454"/>
      <c r="C595" s="454"/>
      <c r="D595" s="452"/>
      <c r="E595" s="452"/>
      <c r="F595" s="639"/>
      <c r="G595" s="644"/>
      <c r="H595" s="454"/>
      <c r="I595" s="454"/>
      <c r="J595" s="640"/>
    </row>
    <row r="596" spans="1:10" x14ac:dyDescent="0.25">
      <c r="A596" s="648"/>
      <c r="B596" s="454"/>
      <c r="C596" s="454"/>
      <c r="D596" s="452"/>
      <c r="E596" s="452"/>
      <c r="F596" s="639"/>
      <c r="G596" s="644"/>
      <c r="H596" s="454"/>
      <c r="I596" s="454"/>
      <c r="J596" s="640"/>
    </row>
    <row r="597" spans="1:10" x14ac:dyDescent="0.25">
      <c r="A597" s="648"/>
      <c r="B597" s="454"/>
      <c r="C597" s="454"/>
      <c r="D597" s="452"/>
      <c r="E597" s="452"/>
      <c r="F597" s="639"/>
      <c r="G597" s="644"/>
      <c r="H597" s="454"/>
      <c r="I597" s="454"/>
      <c r="J597" s="701"/>
    </row>
    <row r="598" spans="1:10" x14ac:dyDescent="0.25">
      <c r="A598" s="648"/>
      <c r="B598" s="454"/>
      <c r="C598" s="454"/>
      <c r="D598" s="452"/>
      <c r="E598" s="452"/>
      <c r="F598" s="639"/>
      <c r="G598" s="644"/>
      <c r="H598" s="454"/>
      <c r="I598" s="454"/>
      <c r="J598" s="640"/>
    </row>
    <row r="599" spans="1:10" x14ac:dyDescent="0.25">
      <c r="A599" s="648"/>
      <c r="B599" s="454"/>
      <c r="C599" s="454"/>
      <c r="D599" s="452"/>
      <c r="E599" s="452"/>
      <c r="F599" s="639"/>
      <c r="G599" s="644"/>
      <c r="H599" s="454"/>
      <c r="I599" s="454"/>
      <c r="J599" s="640"/>
    </row>
    <row r="600" spans="1:10" x14ac:dyDescent="0.25">
      <c r="A600" s="648"/>
      <c r="B600" s="454"/>
      <c r="C600" s="454"/>
      <c r="D600" s="452"/>
      <c r="E600" s="452"/>
      <c r="F600" s="639"/>
      <c r="G600" s="644"/>
      <c r="H600" s="454"/>
      <c r="I600" s="454"/>
      <c r="J600" s="640"/>
    </row>
    <row r="601" spans="1:10" x14ac:dyDescent="0.25">
      <c r="A601" s="648"/>
      <c r="B601" s="454"/>
      <c r="C601" s="454"/>
      <c r="D601" s="452"/>
      <c r="E601" s="452"/>
      <c r="F601" s="639"/>
      <c r="G601" s="644"/>
      <c r="H601" s="454"/>
      <c r="I601" s="454"/>
      <c r="J601" s="640"/>
    </row>
    <row r="602" spans="1:10" x14ac:dyDescent="0.25">
      <c r="A602" s="648"/>
      <c r="B602" s="454"/>
      <c r="C602" s="454"/>
      <c r="D602" s="452"/>
      <c r="E602" s="452"/>
      <c r="F602" s="639"/>
      <c r="G602" s="644"/>
      <c r="H602" s="454"/>
      <c r="I602" s="454"/>
      <c r="J602" s="640"/>
    </row>
    <row r="603" spans="1:10" x14ac:dyDescent="0.25">
      <c r="A603" s="648"/>
      <c r="B603" s="454"/>
      <c r="C603" s="454"/>
      <c r="D603" s="452"/>
      <c r="E603" s="452"/>
      <c r="F603" s="639"/>
      <c r="G603" s="644"/>
      <c r="H603" s="454"/>
      <c r="I603" s="454"/>
      <c r="J603" s="701"/>
    </row>
    <row r="604" spans="1:10" x14ac:dyDescent="0.25">
      <c r="A604" s="648"/>
      <c r="B604" s="454"/>
      <c r="C604" s="454"/>
      <c r="D604" s="452"/>
      <c r="E604" s="452"/>
      <c r="F604" s="639"/>
      <c r="G604" s="644"/>
      <c r="H604" s="454"/>
      <c r="I604" s="454"/>
      <c r="J604" s="640"/>
    </row>
    <row r="605" spans="1:10" x14ac:dyDescent="0.25">
      <c r="A605" s="648"/>
      <c r="B605" s="454"/>
      <c r="C605" s="454"/>
      <c r="D605" s="452"/>
      <c r="E605" s="452"/>
      <c r="F605" s="639"/>
      <c r="G605" s="644"/>
      <c r="H605" s="454"/>
      <c r="I605" s="454"/>
      <c r="J605" s="640"/>
    </row>
    <row r="606" spans="1:10" x14ac:dyDescent="0.25">
      <c r="A606" s="648"/>
      <c r="B606" s="454"/>
      <c r="C606" s="454"/>
      <c r="D606" s="452"/>
      <c r="E606" s="452"/>
      <c r="F606" s="639"/>
      <c r="G606" s="644"/>
      <c r="H606" s="454"/>
      <c r="I606" s="454"/>
      <c r="J606" s="640"/>
    </row>
    <row r="607" spans="1:10" x14ac:dyDescent="0.25">
      <c r="A607" s="648"/>
      <c r="B607" s="454"/>
      <c r="C607" s="454"/>
      <c r="D607" s="452"/>
      <c r="E607" s="452"/>
      <c r="F607" s="639"/>
      <c r="G607" s="644"/>
      <c r="H607" s="454"/>
      <c r="I607" s="454"/>
      <c r="J607" s="640"/>
    </row>
    <row r="608" spans="1:10" x14ac:dyDescent="0.25">
      <c r="A608" s="648"/>
      <c r="B608" s="454"/>
      <c r="C608" s="454"/>
      <c r="D608" s="452"/>
      <c r="E608" s="452"/>
      <c r="F608" s="639"/>
      <c r="G608" s="644"/>
      <c r="H608" s="454"/>
      <c r="I608" s="454"/>
      <c r="J608" s="640"/>
    </row>
    <row r="609" spans="1:10" x14ac:dyDescent="0.25">
      <c r="A609" s="648"/>
      <c r="B609" s="454"/>
      <c r="C609" s="454"/>
      <c r="D609" s="452"/>
      <c r="E609" s="452"/>
      <c r="F609" s="639"/>
      <c r="G609" s="644"/>
      <c r="H609" s="454"/>
      <c r="I609" s="454"/>
      <c r="J609" s="640"/>
    </row>
    <row r="610" spans="1:10" x14ac:dyDescent="0.25">
      <c r="A610" s="648"/>
      <c r="B610" s="454"/>
      <c r="C610" s="454"/>
      <c r="D610" s="452"/>
      <c r="E610" s="452"/>
      <c r="F610" s="639"/>
      <c r="G610" s="644"/>
      <c r="H610" s="454"/>
      <c r="I610" s="454"/>
      <c r="J610" s="640"/>
    </row>
    <row r="611" spans="1:10" x14ac:dyDescent="0.25">
      <c r="A611" s="648"/>
      <c r="B611" s="454"/>
      <c r="C611" s="454"/>
      <c r="D611" s="452"/>
      <c r="E611" s="452"/>
      <c r="F611" s="639"/>
      <c r="G611" s="644"/>
      <c r="H611" s="454"/>
      <c r="I611" s="454"/>
      <c r="J611" s="640"/>
    </row>
    <row r="612" spans="1:10" x14ac:dyDescent="0.25">
      <c r="A612" s="648"/>
      <c r="B612" s="454"/>
      <c r="C612" s="454"/>
      <c r="D612" s="452"/>
      <c r="E612" s="452"/>
      <c r="F612" s="639"/>
      <c r="G612" s="644"/>
      <c r="H612" s="454"/>
      <c r="I612" s="454"/>
      <c r="J612" s="640"/>
    </row>
    <row r="613" spans="1:10" x14ac:dyDescent="0.25">
      <c r="A613" s="648"/>
      <c r="B613" s="454"/>
      <c r="C613" s="454"/>
      <c r="D613" s="452"/>
      <c r="E613" s="452"/>
      <c r="F613" s="639"/>
      <c r="G613" s="644"/>
      <c r="H613" s="454"/>
      <c r="I613" s="454"/>
      <c r="J613" s="640"/>
    </row>
    <row r="614" spans="1:10" x14ac:dyDescent="0.25">
      <c r="A614" s="648"/>
      <c r="B614" s="454"/>
      <c r="C614" s="454"/>
      <c r="D614" s="452"/>
      <c r="E614" s="452"/>
      <c r="F614" s="639"/>
      <c r="G614" s="644"/>
      <c r="H614" s="454"/>
      <c r="I614" s="454"/>
      <c r="J614" s="640"/>
    </row>
    <row r="615" spans="1:10" x14ac:dyDescent="0.25">
      <c r="A615" s="648"/>
      <c r="B615" s="454"/>
      <c r="C615" s="454"/>
      <c r="D615" s="452"/>
      <c r="E615" s="452"/>
      <c r="F615" s="639"/>
      <c r="G615" s="644"/>
      <c r="H615" s="454"/>
      <c r="I615" s="454"/>
      <c r="J615" s="640"/>
    </row>
    <row r="616" spans="1:10" x14ac:dyDescent="0.25">
      <c r="A616" s="648"/>
      <c r="B616" s="454"/>
      <c r="C616" s="454"/>
      <c r="D616" s="452"/>
      <c r="E616" s="452"/>
      <c r="F616" s="639"/>
      <c r="G616" s="644"/>
      <c r="H616" s="454"/>
      <c r="I616" s="454"/>
      <c r="J616" s="640"/>
    </row>
    <row r="617" spans="1:10" x14ac:dyDescent="0.25">
      <c r="A617" s="648"/>
      <c r="B617" s="454"/>
      <c r="C617" s="454"/>
      <c r="D617" s="452"/>
      <c r="E617" s="452"/>
      <c r="F617" s="639"/>
      <c r="G617" s="644"/>
      <c r="H617" s="454"/>
      <c r="I617" s="454"/>
      <c r="J617" s="640"/>
    </row>
    <row r="618" spans="1:10" x14ac:dyDescent="0.25">
      <c r="A618" s="648"/>
      <c r="B618" s="454"/>
      <c r="C618" s="454"/>
      <c r="D618" s="452"/>
      <c r="E618" s="452"/>
      <c r="F618" s="639"/>
      <c r="G618" s="644"/>
      <c r="H618" s="454"/>
      <c r="I618" s="454"/>
      <c r="J618" s="640"/>
    </row>
    <row r="619" spans="1:10" x14ac:dyDescent="0.25">
      <c r="A619" s="648"/>
      <c r="B619" s="454"/>
      <c r="C619" s="454"/>
      <c r="D619" s="452"/>
      <c r="E619" s="452"/>
      <c r="F619" s="639"/>
      <c r="G619" s="644"/>
      <c r="H619" s="454"/>
      <c r="I619" s="454"/>
      <c r="J619" s="640"/>
    </row>
    <row r="620" spans="1:10" x14ac:dyDescent="0.25">
      <c r="A620" s="648"/>
      <c r="B620" s="454"/>
      <c r="C620" s="454"/>
      <c r="D620" s="452"/>
      <c r="E620" s="452"/>
      <c r="F620" s="639"/>
      <c r="G620" s="644"/>
      <c r="H620" s="454"/>
      <c r="I620" s="454"/>
      <c r="J620" s="640"/>
    </row>
    <row r="621" spans="1:10" x14ac:dyDescent="0.25">
      <c r="A621" s="648"/>
      <c r="B621" s="454"/>
      <c r="C621" s="454"/>
      <c r="D621" s="452"/>
      <c r="E621" s="452"/>
      <c r="F621" s="639"/>
      <c r="G621" s="644"/>
      <c r="H621" s="454"/>
      <c r="I621" s="454"/>
      <c r="J621" s="640"/>
    </row>
    <row r="622" spans="1:10" x14ac:dyDescent="0.25">
      <c r="A622" s="648"/>
      <c r="B622" s="454"/>
      <c r="C622" s="454"/>
      <c r="D622" s="452"/>
      <c r="E622" s="452"/>
      <c r="F622" s="639"/>
      <c r="G622" s="644"/>
      <c r="H622" s="454"/>
      <c r="I622" s="454"/>
      <c r="J622" s="640"/>
    </row>
    <row r="623" spans="1:10" x14ac:dyDescent="0.25">
      <c r="A623" s="648"/>
      <c r="B623" s="454"/>
      <c r="C623" s="454"/>
      <c r="D623" s="452"/>
      <c r="E623" s="452"/>
      <c r="F623" s="639"/>
      <c r="G623" s="644"/>
      <c r="H623" s="454"/>
      <c r="I623" s="454"/>
      <c r="J623" s="640"/>
    </row>
    <row r="624" spans="1:10" x14ac:dyDescent="0.25">
      <c r="A624" s="648"/>
      <c r="B624" s="454"/>
      <c r="C624" s="454"/>
      <c r="D624" s="452"/>
      <c r="E624" s="452"/>
      <c r="F624" s="639"/>
      <c r="G624" s="644"/>
      <c r="H624" s="454"/>
      <c r="I624" s="454"/>
      <c r="J624" s="640"/>
    </row>
    <row r="625" spans="1:10" x14ac:dyDescent="0.25">
      <c r="A625" s="648"/>
      <c r="B625" s="454"/>
      <c r="C625" s="454"/>
      <c r="D625" s="452"/>
      <c r="E625" s="452"/>
      <c r="F625" s="639"/>
      <c r="G625" s="644"/>
      <c r="H625" s="454"/>
      <c r="I625" s="454"/>
      <c r="J625" s="640"/>
    </row>
    <row r="626" spans="1:10" x14ac:dyDescent="0.25">
      <c r="A626" s="648"/>
      <c r="B626" s="454"/>
      <c r="C626" s="454"/>
      <c r="D626" s="452"/>
      <c r="E626" s="452"/>
      <c r="F626" s="639"/>
      <c r="G626" s="644"/>
      <c r="H626" s="454"/>
      <c r="I626" s="454"/>
      <c r="J626" s="640"/>
    </row>
    <row r="627" spans="1:10" x14ac:dyDescent="0.25">
      <c r="A627" s="648"/>
      <c r="B627" s="454"/>
      <c r="C627" s="454"/>
      <c r="D627" s="452"/>
      <c r="E627" s="452"/>
      <c r="F627" s="639"/>
      <c r="G627" s="644"/>
      <c r="H627" s="454"/>
      <c r="I627" s="454"/>
      <c r="J627" s="640"/>
    </row>
    <row r="628" spans="1:10" x14ac:dyDescent="0.25">
      <c r="A628" s="648"/>
      <c r="B628" s="454"/>
      <c r="C628" s="454"/>
      <c r="D628" s="452"/>
      <c r="E628" s="452"/>
      <c r="F628" s="639"/>
      <c r="G628" s="644"/>
      <c r="H628" s="454"/>
      <c r="I628" s="454"/>
      <c r="J628" s="640"/>
    </row>
    <row r="629" spans="1:10" x14ac:dyDescent="0.25">
      <c r="A629" s="648"/>
      <c r="B629" s="454"/>
      <c r="C629" s="454"/>
      <c r="D629" s="452"/>
      <c r="E629" s="452"/>
      <c r="F629" s="639"/>
      <c r="G629" s="644"/>
      <c r="H629" s="454"/>
      <c r="I629" s="454"/>
      <c r="J629" s="640"/>
    </row>
    <row r="630" spans="1:10" x14ac:dyDescent="0.25">
      <c r="A630" s="648"/>
      <c r="B630" s="454"/>
      <c r="C630" s="454"/>
      <c r="D630" s="452"/>
      <c r="E630" s="452"/>
      <c r="F630" s="639"/>
      <c r="G630" s="644"/>
      <c r="H630" s="454"/>
      <c r="I630" s="454"/>
      <c r="J630" s="640"/>
    </row>
    <row r="631" spans="1:10" x14ac:dyDescent="0.25">
      <c r="A631" s="648"/>
      <c r="B631" s="454"/>
      <c r="C631" s="454"/>
      <c r="D631" s="452"/>
      <c r="E631" s="452"/>
      <c r="F631" s="639"/>
      <c r="G631" s="644"/>
      <c r="H631" s="454"/>
      <c r="I631" s="454"/>
      <c r="J631" s="640"/>
    </row>
    <row r="632" spans="1:10" x14ac:dyDescent="0.25">
      <c r="A632" s="648"/>
      <c r="B632" s="454"/>
      <c r="C632" s="454"/>
      <c r="D632" s="452"/>
      <c r="E632" s="452"/>
      <c r="F632" s="639"/>
      <c r="G632" s="644"/>
      <c r="H632" s="454"/>
      <c r="I632" s="454"/>
      <c r="J632" s="640"/>
    </row>
    <row r="633" spans="1:10" x14ac:dyDescent="0.25">
      <c r="A633" s="648"/>
      <c r="B633" s="454"/>
      <c r="C633" s="454"/>
      <c r="D633" s="452"/>
      <c r="E633" s="452"/>
      <c r="F633" s="639"/>
      <c r="G633" s="644"/>
      <c r="H633" s="454"/>
      <c r="I633" s="454"/>
      <c r="J633" s="640"/>
    </row>
    <row r="634" spans="1:10" x14ac:dyDescent="0.25">
      <c r="A634" s="648"/>
      <c r="B634" s="454"/>
      <c r="C634" s="454"/>
      <c r="D634" s="452"/>
      <c r="E634" s="452"/>
      <c r="F634" s="639"/>
      <c r="G634" s="644"/>
      <c r="H634" s="454"/>
      <c r="I634" s="454"/>
      <c r="J634" s="640"/>
    </row>
    <row r="635" spans="1:10" x14ac:dyDescent="0.25">
      <c r="A635" s="648"/>
      <c r="B635" s="454"/>
      <c r="C635" s="454"/>
      <c r="D635" s="452"/>
      <c r="E635" s="452"/>
      <c r="F635" s="639"/>
      <c r="G635" s="644"/>
      <c r="H635" s="454"/>
      <c r="I635" s="454"/>
      <c r="J635" s="640"/>
    </row>
    <row r="636" spans="1:10" x14ac:dyDescent="0.25">
      <c r="A636" s="648"/>
      <c r="B636" s="454"/>
      <c r="C636" s="454"/>
      <c r="D636" s="452"/>
      <c r="E636" s="452"/>
      <c r="F636" s="639"/>
      <c r="G636" s="644"/>
      <c r="H636" s="454"/>
      <c r="I636" s="454"/>
      <c r="J636" s="640"/>
    </row>
    <row r="637" spans="1:10" x14ac:dyDescent="0.25">
      <c r="A637" s="648"/>
      <c r="B637" s="454"/>
      <c r="C637" s="454"/>
      <c r="D637" s="452"/>
      <c r="E637" s="452"/>
      <c r="F637" s="639"/>
      <c r="G637" s="644"/>
      <c r="H637" s="454"/>
      <c r="I637" s="454"/>
      <c r="J637" s="640"/>
    </row>
    <row r="638" spans="1:10" x14ac:dyDescent="0.25">
      <c r="A638" s="648"/>
      <c r="B638" s="454"/>
      <c r="C638" s="454"/>
      <c r="D638" s="452"/>
      <c r="E638" s="452"/>
      <c r="F638" s="639"/>
      <c r="G638" s="644"/>
      <c r="H638" s="454"/>
      <c r="I638" s="454"/>
      <c r="J638" s="640"/>
    </row>
    <row r="639" spans="1:10" x14ac:dyDescent="0.25">
      <c r="A639" s="648"/>
      <c r="B639" s="454"/>
      <c r="C639" s="454"/>
      <c r="D639" s="452"/>
      <c r="E639" s="452"/>
      <c r="F639" s="639"/>
      <c r="G639" s="644"/>
      <c r="H639" s="454"/>
      <c r="I639" s="454"/>
      <c r="J639" s="640"/>
    </row>
    <row r="640" spans="1:10" x14ac:dyDescent="0.25">
      <c r="A640" s="648"/>
      <c r="B640" s="454"/>
      <c r="C640" s="454"/>
      <c r="D640" s="452"/>
      <c r="E640" s="452"/>
      <c r="F640" s="639"/>
      <c r="G640" s="644"/>
      <c r="H640" s="454"/>
      <c r="I640" s="454"/>
      <c r="J640" s="640"/>
    </row>
    <row r="641" spans="1:10" x14ac:dyDescent="0.25">
      <c r="A641" s="648"/>
      <c r="B641" s="454"/>
      <c r="C641" s="454"/>
      <c r="D641" s="452"/>
      <c r="E641" s="452"/>
      <c r="F641" s="639"/>
      <c r="G641" s="644"/>
      <c r="H641" s="454"/>
      <c r="I641" s="454"/>
      <c r="J641" s="640"/>
    </row>
    <row r="642" spans="1:10" x14ac:dyDescent="0.25">
      <c r="A642" s="648"/>
      <c r="B642" s="454"/>
      <c r="C642" s="454"/>
      <c r="D642" s="452"/>
      <c r="E642" s="452"/>
      <c r="F642" s="639"/>
      <c r="G642" s="644"/>
      <c r="H642" s="454"/>
      <c r="I642" s="454"/>
      <c r="J642" s="640"/>
    </row>
    <row r="643" spans="1:10" x14ac:dyDescent="0.25">
      <c r="A643" s="648"/>
      <c r="B643" s="454"/>
      <c r="C643" s="454"/>
      <c r="D643" s="452"/>
      <c r="E643" s="452"/>
      <c r="F643" s="639"/>
      <c r="G643" s="644"/>
      <c r="H643" s="454"/>
      <c r="I643" s="454"/>
      <c r="J643" s="640"/>
    </row>
    <row r="644" spans="1:10" x14ac:dyDescent="0.25">
      <c r="A644" s="648"/>
      <c r="B644" s="454"/>
      <c r="C644" s="454"/>
      <c r="D644" s="452"/>
      <c r="E644" s="452"/>
      <c r="F644" s="639"/>
      <c r="G644" s="644"/>
      <c r="H644" s="454"/>
      <c r="I644" s="454"/>
      <c r="J644" s="640"/>
    </row>
    <row r="645" spans="1:10" x14ac:dyDescent="0.25">
      <c r="A645" s="648"/>
      <c r="B645" s="454"/>
      <c r="C645" s="454"/>
      <c r="D645" s="452"/>
      <c r="E645" s="452"/>
      <c r="F645" s="639"/>
      <c r="G645" s="644"/>
      <c r="H645" s="454"/>
      <c r="I645" s="454"/>
      <c r="J645" s="640"/>
    </row>
    <row r="646" spans="1:10" x14ac:dyDescent="0.25">
      <c r="A646" s="648"/>
      <c r="B646" s="454"/>
      <c r="C646" s="454"/>
      <c r="D646" s="452"/>
      <c r="E646" s="452"/>
      <c r="F646" s="639"/>
      <c r="G646" s="644"/>
      <c r="H646" s="454"/>
      <c r="I646" s="454"/>
      <c r="J646" s="640"/>
    </row>
    <row r="647" spans="1:10" x14ac:dyDescent="0.25">
      <c r="A647" s="648"/>
      <c r="B647" s="454"/>
      <c r="C647" s="454"/>
      <c r="D647" s="452"/>
      <c r="E647" s="452"/>
      <c r="F647" s="639"/>
      <c r="G647" s="644"/>
      <c r="H647" s="454"/>
      <c r="I647" s="454"/>
      <c r="J647" s="640"/>
    </row>
    <row r="648" spans="1:10" x14ac:dyDescent="0.25">
      <c r="A648" s="648"/>
      <c r="B648" s="454"/>
      <c r="C648" s="454"/>
      <c r="D648" s="452"/>
      <c r="E648" s="452"/>
      <c r="F648" s="639"/>
      <c r="G648" s="644"/>
      <c r="H648" s="454"/>
      <c r="I648" s="454"/>
      <c r="J648" s="640"/>
    </row>
    <row r="649" spans="1:10" x14ac:dyDescent="0.25">
      <c r="A649" s="648"/>
      <c r="B649" s="454"/>
      <c r="C649" s="454"/>
      <c r="D649" s="452"/>
      <c r="E649" s="452"/>
      <c r="F649" s="639"/>
      <c r="G649" s="644"/>
      <c r="H649" s="454"/>
      <c r="I649" s="454"/>
      <c r="J649" s="640"/>
    </row>
    <row r="650" spans="1:10" x14ac:dyDescent="0.25">
      <c r="A650" s="648"/>
      <c r="B650" s="454"/>
      <c r="C650" s="454"/>
      <c r="D650" s="452"/>
      <c r="E650" s="452"/>
      <c r="F650" s="639"/>
      <c r="G650" s="644"/>
      <c r="H650" s="454"/>
      <c r="I650" s="454"/>
      <c r="J650" s="640"/>
    </row>
    <row r="651" spans="1:10" x14ac:dyDescent="0.25">
      <c r="A651" s="648"/>
      <c r="B651" s="454"/>
      <c r="C651" s="454"/>
      <c r="D651" s="452"/>
      <c r="E651" s="452"/>
      <c r="F651" s="639"/>
      <c r="G651" s="644"/>
      <c r="H651" s="454"/>
      <c r="I651" s="454"/>
      <c r="J651" s="640"/>
    </row>
    <row r="652" spans="1:10" x14ac:dyDescent="0.25">
      <c r="A652" s="648"/>
      <c r="B652" s="454"/>
      <c r="C652" s="454"/>
      <c r="D652" s="452"/>
      <c r="E652" s="452"/>
      <c r="F652" s="639"/>
      <c r="G652" s="644"/>
      <c r="H652" s="454"/>
      <c r="I652" s="454"/>
      <c r="J652" s="640"/>
    </row>
    <row r="653" spans="1:10" x14ac:dyDescent="0.25">
      <c r="A653" s="648"/>
      <c r="B653" s="454"/>
      <c r="C653" s="454"/>
      <c r="D653" s="452"/>
      <c r="E653" s="452"/>
      <c r="F653" s="639"/>
      <c r="G653" s="644"/>
      <c r="H653" s="454"/>
      <c r="I653" s="454"/>
      <c r="J653" s="640"/>
    </row>
    <row r="654" spans="1:10" x14ac:dyDescent="0.25">
      <c r="A654" s="648"/>
      <c r="B654" s="454"/>
      <c r="C654" s="454"/>
      <c r="D654" s="452"/>
      <c r="E654" s="452"/>
      <c r="F654" s="639"/>
      <c r="G654" s="644"/>
      <c r="H654" s="454"/>
      <c r="I654" s="454"/>
      <c r="J654" s="640"/>
    </row>
    <row r="655" spans="1:10" x14ac:dyDescent="0.25">
      <c r="A655" s="648"/>
      <c r="B655" s="454"/>
      <c r="C655" s="454"/>
      <c r="D655" s="452"/>
      <c r="E655" s="452"/>
      <c r="F655" s="639"/>
      <c r="G655" s="644"/>
      <c r="H655" s="454"/>
      <c r="I655" s="454"/>
      <c r="J655" s="640"/>
    </row>
    <row r="656" spans="1:10" x14ac:dyDescent="0.25">
      <c r="A656" s="648"/>
      <c r="B656" s="454"/>
      <c r="C656" s="454"/>
      <c r="D656" s="452"/>
      <c r="E656" s="452"/>
      <c r="F656" s="639"/>
      <c r="G656" s="644"/>
      <c r="H656" s="454"/>
      <c r="I656" s="454"/>
      <c r="J656" s="640"/>
    </row>
    <row r="657" spans="1:10" x14ac:dyDescent="0.25">
      <c r="A657" s="648"/>
      <c r="B657" s="454"/>
      <c r="C657" s="454"/>
      <c r="D657" s="452"/>
      <c r="E657" s="452"/>
      <c r="F657" s="639"/>
      <c r="G657" s="644"/>
      <c r="H657" s="454"/>
      <c r="I657" s="454"/>
      <c r="J657" s="640"/>
    </row>
    <row r="658" spans="1:10" x14ac:dyDescent="0.25">
      <c r="A658" s="648"/>
      <c r="B658" s="454"/>
      <c r="C658" s="454"/>
      <c r="D658" s="452"/>
      <c r="E658" s="452"/>
      <c r="F658" s="639"/>
      <c r="G658" s="644"/>
      <c r="H658" s="454"/>
      <c r="I658" s="454"/>
      <c r="J658" s="640"/>
    </row>
    <row r="659" spans="1:10" x14ac:dyDescent="0.25">
      <c r="A659" s="648"/>
      <c r="B659" s="454"/>
      <c r="C659" s="454"/>
      <c r="D659" s="452"/>
      <c r="E659" s="452"/>
      <c r="F659" s="639"/>
      <c r="G659" s="644"/>
      <c r="H659" s="454"/>
      <c r="I659" s="454"/>
      <c r="J659" s="640"/>
    </row>
    <row r="660" spans="1:10" x14ac:dyDescent="0.25">
      <c r="A660" s="648"/>
      <c r="B660" s="454"/>
      <c r="C660" s="454"/>
      <c r="D660" s="452"/>
      <c r="E660" s="452"/>
      <c r="F660" s="639"/>
      <c r="G660" s="644"/>
      <c r="H660" s="454"/>
      <c r="I660" s="454"/>
      <c r="J660" s="640"/>
    </row>
    <row r="661" spans="1:10" x14ac:dyDescent="0.25">
      <c r="A661" s="648"/>
      <c r="B661" s="454"/>
      <c r="C661" s="454"/>
      <c r="D661" s="452"/>
      <c r="E661" s="452"/>
      <c r="F661" s="639"/>
      <c r="G661" s="644"/>
      <c r="H661" s="454"/>
      <c r="I661" s="454"/>
      <c r="J661" s="640"/>
    </row>
    <row r="662" spans="1:10" x14ac:dyDescent="0.25">
      <c r="A662" s="648"/>
      <c r="B662" s="454"/>
      <c r="C662" s="454"/>
      <c r="D662" s="452"/>
      <c r="E662" s="452"/>
      <c r="F662" s="639"/>
      <c r="G662" s="644"/>
      <c r="H662" s="454"/>
      <c r="I662" s="454"/>
      <c r="J662" s="640"/>
    </row>
    <row r="663" spans="1:10" x14ac:dyDescent="0.25">
      <c r="A663" s="648"/>
      <c r="B663" s="454"/>
      <c r="C663" s="454"/>
      <c r="D663" s="452"/>
      <c r="E663" s="452"/>
      <c r="F663" s="639"/>
      <c r="G663" s="644"/>
      <c r="H663" s="454"/>
      <c r="I663" s="454"/>
      <c r="J663" s="640"/>
    </row>
    <row r="664" spans="1:10" x14ac:dyDescent="0.25">
      <c r="A664" s="648"/>
      <c r="B664" s="454"/>
      <c r="C664" s="454"/>
      <c r="D664" s="452"/>
      <c r="E664" s="452"/>
      <c r="F664" s="639"/>
      <c r="G664" s="644"/>
      <c r="H664" s="454"/>
      <c r="I664" s="454"/>
      <c r="J664" s="640"/>
    </row>
    <row r="665" spans="1:10" x14ac:dyDescent="0.25">
      <c r="A665" s="648"/>
      <c r="B665" s="454"/>
      <c r="C665" s="454"/>
      <c r="D665" s="452"/>
      <c r="E665" s="452"/>
      <c r="F665" s="639"/>
      <c r="G665" s="644"/>
      <c r="H665" s="454"/>
      <c r="I665" s="454"/>
      <c r="J665" s="640"/>
    </row>
    <row r="666" spans="1:10" x14ac:dyDescent="0.25">
      <c r="A666" s="648"/>
      <c r="B666" s="454"/>
      <c r="C666" s="454"/>
      <c r="D666" s="452"/>
      <c r="E666" s="452"/>
      <c r="F666" s="639"/>
      <c r="G666" s="644"/>
      <c r="H666" s="454"/>
      <c r="I666" s="454"/>
      <c r="J666" s="640"/>
    </row>
    <row r="667" spans="1:10" x14ac:dyDescent="0.25">
      <c r="A667" s="648"/>
      <c r="B667" s="454"/>
      <c r="C667" s="454"/>
      <c r="D667" s="452"/>
      <c r="E667" s="452"/>
      <c r="F667" s="639"/>
      <c r="G667" s="644"/>
      <c r="H667" s="454"/>
      <c r="I667" s="454"/>
      <c r="J667" s="640"/>
    </row>
    <row r="668" spans="1:10" x14ac:dyDescent="0.25">
      <c r="A668" s="648"/>
      <c r="B668" s="454"/>
      <c r="C668" s="454"/>
      <c r="D668" s="452"/>
      <c r="E668" s="452"/>
      <c r="F668" s="639"/>
      <c r="G668" s="644"/>
      <c r="H668" s="454"/>
      <c r="I668" s="454"/>
      <c r="J668" s="640"/>
    </row>
    <row r="669" spans="1:10" x14ac:dyDescent="0.25">
      <c r="A669" s="648"/>
      <c r="B669" s="454"/>
      <c r="C669" s="454"/>
      <c r="D669" s="452"/>
      <c r="E669" s="452"/>
      <c r="F669" s="639"/>
      <c r="G669" s="644"/>
      <c r="H669" s="454"/>
      <c r="I669" s="454"/>
      <c r="J669" s="640"/>
    </row>
    <row r="670" spans="1:10" x14ac:dyDescent="0.25">
      <c r="A670" s="648"/>
      <c r="B670" s="454"/>
      <c r="C670" s="454"/>
      <c r="D670" s="452"/>
      <c r="E670" s="452"/>
      <c r="F670" s="639"/>
      <c r="G670" s="644"/>
      <c r="H670" s="454"/>
      <c r="I670" s="454"/>
      <c r="J670" s="640"/>
    </row>
    <row r="671" spans="1:10" x14ac:dyDescent="0.25">
      <c r="A671" s="648"/>
      <c r="B671" s="454"/>
      <c r="C671" s="454"/>
      <c r="D671" s="452"/>
      <c r="E671" s="452"/>
      <c r="F671" s="639"/>
      <c r="G671" s="644"/>
      <c r="H671" s="454"/>
      <c r="I671" s="454"/>
      <c r="J671" s="640"/>
    </row>
    <row r="672" spans="1:10" x14ac:dyDescent="0.25">
      <c r="A672" s="648"/>
      <c r="B672" s="454"/>
      <c r="C672" s="454"/>
      <c r="D672" s="452"/>
      <c r="E672" s="452"/>
      <c r="F672" s="639"/>
      <c r="G672" s="644"/>
      <c r="H672" s="454"/>
      <c r="I672" s="454"/>
      <c r="J672" s="640"/>
    </row>
    <row r="673" spans="1:28" x14ac:dyDescent="0.25">
      <c r="A673" s="648"/>
      <c r="B673" s="454"/>
      <c r="C673" s="454"/>
      <c r="D673" s="452"/>
      <c r="E673" s="452"/>
      <c r="F673" s="639"/>
      <c r="G673" s="644"/>
      <c r="H673" s="454"/>
      <c r="I673" s="454"/>
      <c r="J673" s="640"/>
    </row>
    <row r="674" spans="1:28" x14ac:dyDescent="0.25">
      <c r="A674" s="648"/>
      <c r="B674" s="454"/>
      <c r="C674" s="454"/>
      <c r="D674" s="452"/>
      <c r="E674" s="452"/>
      <c r="F674" s="639"/>
      <c r="G674" s="644"/>
      <c r="H674" s="454"/>
      <c r="I674" s="454"/>
      <c r="J674" s="640"/>
    </row>
    <row r="675" spans="1:28" x14ac:dyDescent="0.25">
      <c r="A675" s="648"/>
      <c r="B675" s="454"/>
      <c r="C675" s="454"/>
      <c r="D675" s="452"/>
      <c r="E675" s="452"/>
      <c r="F675" s="639"/>
      <c r="G675" s="644"/>
      <c r="H675" s="454"/>
      <c r="I675" s="454"/>
      <c r="J675" s="640"/>
    </row>
    <row r="676" spans="1:28" x14ac:dyDescent="0.25">
      <c r="A676" s="648"/>
      <c r="B676" s="454"/>
      <c r="C676" s="454"/>
      <c r="D676" s="452"/>
      <c r="E676" s="452"/>
      <c r="F676" s="639"/>
      <c r="G676" s="644"/>
      <c r="H676" s="454"/>
      <c r="I676" s="454"/>
      <c r="J676" s="640"/>
    </row>
    <row r="677" spans="1:28" x14ac:dyDescent="0.25">
      <c r="A677" s="648"/>
      <c r="B677" s="454"/>
      <c r="C677" s="454"/>
      <c r="D677" s="452"/>
      <c r="E677" s="452"/>
      <c r="F677" s="639"/>
      <c r="G677" s="644"/>
      <c r="H677" s="454"/>
      <c r="I677" s="454"/>
      <c r="J677" s="640"/>
    </row>
    <row r="678" spans="1:28" x14ac:dyDescent="0.25">
      <c r="A678" s="648"/>
      <c r="B678" s="454"/>
      <c r="C678" s="454"/>
      <c r="D678" s="452"/>
      <c r="E678" s="452"/>
      <c r="F678" s="639"/>
      <c r="G678" s="644"/>
      <c r="H678" s="454"/>
      <c r="I678" s="454"/>
      <c r="J678" s="640"/>
    </row>
    <row r="679" spans="1:28" x14ac:dyDescent="0.25">
      <c r="A679" s="648"/>
      <c r="B679" s="454"/>
      <c r="C679" s="454"/>
      <c r="D679" s="452"/>
      <c r="E679" s="452"/>
      <c r="F679" s="639"/>
      <c r="G679" s="644"/>
      <c r="H679" s="454"/>
      <c r="I679" s="454"/>
      <c r="J679" s="640"/>
    </row>
    <row r="680" spans="1:28" x14ac:dyDescent="0.25">
      <c r="A680" s="648"/>
      <c r="B680" s="454"/>
      <c r="C680" s="454"/>
      <c r="D680" s="452"/>
      <c r="E680" s="452"/>
      <c r="F680" s="639"/>
      <c r="G680" s="644"/>
      <c r="H680" s="454"/>
      <c r="I680" s="454"/>
      <c r="J680" s="640"/>
    </row>
    <row r="681" spans="1:28" x14ac:dyDescent="0.25">
      <c r="A681" s="648"/>
      <c r="B681" s="454"/>
      <c r="C681" s="454"/>
      <c r="D681" s="452"/>
      <c r="E681" s="452"/>
      <c r="F681" s="639"/>
      <c r="G681" s="644"/>
      <c r="H681" s="454"/>
      <c r="I681" s="454"/>
      <c r="J681" s="640"/>
    </row>
    <row r="682" spans="1:28" x14ac:dyDescent="0.25">
      <c r="A682" s="648"/>
      <c r="B682" s="454"/>
      <c r="C682" s="454"/>
      <c r="D682" s="452"/>
      <c r="E682" s="452"/>
      <c r="F682" s="639"/>
      <c r="G682" s="644"/>
      <c r="H682" s="454"/>
      <c r="I682" s="454"/>
      <c r="J682" s="640"/>
    </row>
    <row r="683" spans="1:28" x14ac:dyDescent="0.25">
      <c r="A683" s="648"/>
      <c r="B683" s="454"/>
      <c r="C683" s="454"/>
      <c r="D683" s="452"/>
      <c r="E683" s="452"/>
      <c r="F683" s="639"/>
      <c r="G683" s="644"/>
      <c r="H683" s="454"/>
      <c r="I683" s="454"/>
      <c r="J683" s="640"/>
    </row>
    <row r="684" spans="1:28" x14ac:dyDescent="0.25">
      <c r="A684" s="648"/>
      <c r="B684" s="454"/>
      <c r="C684" s="454"/>
      <c r="D684" s="452"/>
      <c r="E684" s="452"/>
      <c r="F684" s="639"/>
      <c r="G684" s="644"/>
      <c r="H684" s="454"/>
      <c r="I684" s="454"/>
      <c r="J684" s="640"/>
    </row>
    <row r="685" spans="1:28" x14ac:dyDescent="0.25">
      <c r="A685" s="648"/>
      <c r="B685" s="454"/>
      <c r="C685" s="454"/>
      <c r="D685" s="452"/>
      <c r="E685" s="452"/>
      <c r="F685" s="639"/>
      <c r="G685" s="644"/>
      <c r="H685" s="454"/>
      <c r="I685" s="454"/>
      <c r="J685" s="640"/>
    </row>
    <row r="686" spans="1:28" x14ac:dyDescent="0.25">
      <c r="A686" s="648"/>
      <c r="B686" s="454"/>
      <c r="C686" s="454"/>
      <c r="D686" s="452"/>
      <c r="E686" s="452"/>
      <c r="F686" s="639"/>
      <c r="G686" s="644"/>
      <c r="H686" s="454"/>
      <c r="I686" s="454"/>
      <c r="J686" s="640"/>
    </row>
    <row r="687" spans="1:28" x14ac:dyDescent="0.25">
      <c r="A687" s="648"/>
      <c r="B687" s="454"/>
      <c r="C687" s="454"/>
      <c r="D687" s="452"/>
      <c r="E687" s="452"/>
      <c r="F687" s="639"/>
      <c r="G687" s="644"/>
      <c r="H687" s="454"/>
      <c r="I687" s="454"/>
      <c r="J687" s="640"/>
      <c r="O687" s="61">
        <v>46120</v>
      </c>
      <c r="P687" s="691">
        <v>0.50681180555555561</v>
      </c>
      <c r="Q687" s="51" t="s">
        <v>223</v>
      </c>
      <c r="R687" s="51" t="s">
        <v>1289</v>
      </c>
      <c r="S687" s="51" t="s">
        <v>1089</v>
      </c>
      <c r="T687" s="51">
        <v>75</v>
      </c>
      <c r="U687" s="51">
        <v>1029.8499999999999</v>
      </c>
      <c r="V687" s="51">
        <v>1029.8530000000001</v>
      </c>
      <c r="X687" s="51" t="s">
        <v>947</v>
      </c>
      <c r="Y687" s="51" t="s">
        <v>1290</v>
      </c>
      <c r="Z687" s="51" t="s">
        <v>1291</v>
      </c>
      <c r="AA687" s="51" t="s">
        <v>1292</v>
      </c>
      <c r="AB687" s="51" t="s">
        <v>1292</v>
      </c>
    </row>
    <row r="688" spans="1:28" x14ac:dyDescent="0.25">
      <c r="A688" s="648"/>
      <c r="B688" s="454"/>
      <c r="C688" s="454"/>
      <c r="D688" s="452"/>
      <c r="E688" s="452"/>
      <c r="F688" s="639"/>
      <c r="G688" s="644"/>
      <c r="H688" s="454"/>
      <c r="I688" s="454"/>
      <c r="J688" s="640"/>
      <c r="O688" s="61">
        <v>46120</v>
      </c>
      <c r="P688" s="691">
        <v>6.6006898148148155E-2</v>
      </c>
      <c r="Q688" s="51" t="s">
        <v>223</v>
      </c>
      <c r="R688" s="51" t="s">
        <v>1289</v>
      </c>
      <c r="S688" s="51" t="s">
        <v>591</v>
      </c>
      <c r="T688" s="51">
        <v>150</v>
      </c>
      <c r="U688" s="51">
        <v>1015.62</v>
      </c>
      <c r="W688" s="51">
        <v>1015.623</v>
      </c>
      <c r="X688" s="51" t="s">
        <v>947</v>
      </c>
      <c r="Y688" s="51" t="s">
        <v>1290</v>
      </c>
      <c r="Z688" s="51" t="s">
        <v>1291</v>
      </c>
      <c r="AA688" s="51" t="s">
        <v>1292</v>
      </c>
      <c r="AB688" s="51" t="s">
        <v>1292</v>
      </c>
    </row>
    <row r="689" spans="1:28" x14ac:dyDescent="0.25">
      <c r="A689" s="648"/>
      <c r="B689" s="454"/>
      <c r="C689" s="454"/>
      <c r="D689" s="452"/>
      <c r="E689" s="452"/>
      <c r="F689" s="639"/>
      <c r="G689" s="644"/>
      <c r="H689" s="454"/>
      <c r="I689" s="454"/>
      <c r="J689" s="640"/>
      <c r="O689" s="61">
        <v>46120</v>
      </c>
      <c r="P689" s="691">
        <v>6.3101261574074072E-2</v>
      </c>
      <c r="Q689" s="51" t="s">
        <v>1015</v>
      </c>
      <c r="R689" s="51" t="s">
        <v>1293</v>
      </c>
      <c r="S689" s="51" t="s">
        <v>1089</v>
      </c>
      <c r="T689" s="51">
        <v>250</v>
      </c>
      <c r="U689" s="51">
        <v>97.59</v>
      </c>
      <c r="V689" s="51">
        <v>97.59</v>
      </c>
      <c r="X689" s="51" t="s">
        <v>947</v>
      </c>
      <c r="Y689" s="51" t="s">
        <v>1290</v>
      </c>
      <c r="Z689" s="51" t="s">
        <v>1291</v>
      </c>
      <c r="AA689" s="51" t="s">
        <v>1292</v>
      </c>
      <c r="AB689" s="51" t="s">
        <v>1292</v>
      </c>
    </row>
    <row r="690" spans="1:28" x14ac:dyDescent="0.25">
      <c r="A690" s="648"/>
      <c r="B690" s="454"/>
      <c r="C690" s="454"/>
      <c r="D690" s="452"/>
      <c r="E690" s="452"/>
      <c r="F690" s="639"/>
      <c r="G690" s="644"/>
      <c r="H690" s="454"/>
      <c r="I690" s="454"/>
      <c r="J690" s="640"/>
      <c r="O690" s="61">
        <v>46120</v>
      </c>
      <c r="P690" s="691">
        <v>5.9610081018518515E-2</v>
      </c>
      <c r="Q690" s="51" t="s">
        <v>1015</v>
      </c>
      <c r="R690" s="51" t="s">
        <v>1293</v>
      </c>
      <c r="S690" s="51" t="s">
        <v>1089</v>
      </c>
      <c r="T690" s="51">
        <v>200</v>
      </c>
      <c r="U690" s="51">
        <v>97.37</v>
      </c>
      <c r="V690" s="51">
        <v>97.369</v>
      </c>
      <c r="X690" s="51" t="s">
        <v>947</v>
      </c>
      <c r="Y690" s="51" t="s">
        <v>1290</v>
      </c>
      <c r="Z690" s="51" t="s">
        <v>1291</v>
      </c>
      <c r="AA690" s="51" t="s">
        <v>1292</v>
      </c>
      <c r="AB690" s="51" t="s">
        <v>1292</v>
      </c>
    </row>
    <row r="691" spans="1:28" x14ac:dyDescent="0.25">
      <c r="A691" s="648"/>
      <c r="B691" s="454"/>
      <c r="C691" s="454"/>
      <c r="D691" s="452"/>
      <c r="E691" s="452"/>
      <c r="F691" s="639"/>
      <c r="G691" s="644"/>
      <c r="H691" s="454"/>
      <c r="I691" s="454"/>
      <c r="J691" s="640"/>
      <c r="O691" s="61">
        <v>46120</v>
      </c>
      <c r="P691" s="691">
        <v>5.195440972222222E-2</v>
      </c>
      <c r="Q691" s="51" t="s">
        <v>223</v>
      </c>
      <c r="R691" s="51" t="s">
        <v>1289</v>
      </c>
      <c r="S691" s="51" t="s">
        <v>591</v>
      </c>
      <c r="T691" s="51">
        <v>100</v>
      </c>
      <c r="U691" s="51">
        <v>990.02</v>
      </c>
      <c r="W691" s="51">
        <v>990.01800000000003</v>
      </c>
      <c r="X691" s="51" t="s">
        <v>947</v>
      </c>
      <c r="Y691" s="51" t="s">
        <v>1290</v>
      </c>
      <c r="Z691" s="51" t="s">
        <v>1291</v>
      </c>
      <c r="AA691" s="51" t="s">
        <v>1292</v>
      </c>
      <c r="AB691" s="51" t="s">
        <v>1292</v>
      </c>
    </row>
    <row r="692" spans="1:28" x14ac:dyDescent="0.25">
      <c r="A692" s="648"/>
      <c r="B692" s="454"/>
      <c r="C692" s="454"/>
      <c r="D692" s="452"/>
      <c r="E692" s="452"/>
      <c r="F692" s="639"/>
      <c r="G692" s="644"/>
      <c r="H692" s="454"/>
      <c r="I692" s="454"/>
      <c r="J692" s="640"/>
      <c r="O692" s="61">
        <v>46120</v>
      </c>
      <c r="P692" s="691">
        <v>5.0716296296296294E-2</v>
      </c>
      <c r="Q692" s="51" t="s">
        <v>223</v>
      </c>
      <c r="R692" s="51" t="s">
        <v>1294</v>
      </c>
      <c r="S692" s="51" t="s">
        <v>591</v>
      </c>
      <c r="T692" s="51">
        <v>3</v>
      </c>
      <c r="U692" s="51">
        <v>4.6100000000000003</v>
      </c>
      <c r="W692" s="51">
        <v>4.6130000000000004</v>
      </c>
      <c r="X692" s="51" t="s">
        <v>947</v>
      </c>
      <c r="Y692" s="51" t="s">
        <v>1290</v>
      </c>
      <c r="Z692" s="51" t="s">
        <v>1291</v>
      </c>
      <c r="AA692" s="51" t="s">
        <v>1292</v>
      </c>
      <c r="AB692" s="51" t="s">
        <v>1292</v>
      </c>
    </row>
    <row r="693" spans="1:28" x14ac:dyDescent="0.25">
      <c r="A693" s="648"/>
      <c r="B693" s="454"/>
      <c r="C693" s="454"/>
      <c r="D693" s="452"/>
      <c r="E693" s="452"/>
      <c r="F693" s="639"/>
      <c r="G693" s="644"/>
      <c r="H693" s="454"/>
      <c r="I693" s="454"/>
      <c r="J693" s="640"/>
      <c r="O693" s="61">
        <v>46120</v>
      </c>
      <c r="P693" s="691">
        <v>4.6819907407407407E-2</v>
      </c>
      <c r="Q693" s="51" t="s">
        <v>223</v>
      </c>
      <c r="R693" s="51" t="s">
        <v>1294</v>
      </c>
      <c r="S693" s="51" t="s">
        <v>591</v>
      </c>
      <c r="T693" s="51">
        <v>47</v>
      </c>
      <c r="U693" s="51">
        <v>5.25</v>
      </c>
      <c r="W693" s="51">
        <v>5.2510000000000003</v>
      </c>
      <c r="X693" s="51" t="s">
        <v>1295</v>
      </c>
      <c r="Y693" s="51" t="s">
        <v>1290</v>
      </c>
      <c r="Z693" s="51" t="s">
        <v>1291</v>
      </c>
      <c r="AA693" s="51" t="s">
        <v>1292</v>
      </c>
      <c r="AB693" s="51" t="s">
        <v>1292</v>
      </c>
    </row>
    <row r="694" spans="1:28" x14ac:dyDescent="0.25">
      <c r="A694" s="648"/>
      <c r="B694" s="454"/>
      <c r="C694" s="454"/>
      <c r="D694" s="452"/>
      <c r="E694" s="452"/>
      <c r="F694" s="639"/>
      <c r="G694" s="644"/>
      <c r="H694" s="454"/>
      <c r="I694" s="454"/>
      <c r="J694" s="640"/>
      <c r="O694" s="61">
        <v>46120</v>
      </c>
      <c r="P694" s="691">
        <v>4.5409027777777777E-2</v>
      </c>
      <c r="Q694" s="51" t="s">
        <v>223</v>
      </c>
      <c r="R694" s="51" t="s">
        <v>1294</v>
      </c>
      <c r="S694" s="51" t="s">
        <v>591</v>
      </c>
      <c r="T694" s="51">
        <v>250</v>
      </c>
      <c r="U694" s="51">
        <v>5.45</v>
      </c>
      <c r="W694" s="51">
        <v>5.4480000000000004</v>
      </c>
      <c r="X694" s="51" t="s">
        <v>947</v>
      </c>
      <c r="Y694" s="51" t="s">
        <v>1290</v>
      </c>
      <c r="Z694" s="51" t="s">
        <v>1291</v>
      </c>
      <c r="AA694" s="51" t="s">
        <v>1292</v>
      </c>
      <c r="AB694" s="51" t="s">
        <v>1292</v>
      </c>
    </row>
    <row r="695" spans="1:28" x14ac:dyDescent="0.25">
      <c r="A695" s="648"/>
      <c r="B695" s="454"/>
      <c r="C695" s="454"/>
      <c r="D695" s="452"/>
      <c r="E695" s="452"/>
      <c r="F695" s="639"/>
      <c r="G695" s="644"/>
      <c r="H695" s="454"/>
      <c r="I695" s="454"/>
      <c r="J695" s="640"/>
      <c r="O695" s="61">
        <v>46120</v>
      </c>
      <c r="P695" s="691">
        <v>3.6833402777777774E-2</v>
      </c>
      <c r="Q695" s="51" t="s">
        <v>1015</v>
      </c>
      <c r="R695" s="51" t="s">
        <v>1293</v>
      </c>
      <c r="S695" s="51" t="s">
        <v>591</v>
      </c>
      <c r="T695" s="51">
        <v>100</v>
      </c>
      <c r="U695" s="51">
        <v>95.83</v>
      </c>
      <c r="W695" s="51">
        <v>95.831999999999994</v>
      </c>
      <c r="X695" s="51" t="s">
        <v>947</v>
      </c>
      <c r="Y695" s="51" t="s">
        <v>1290</v>
      </c>
      <c r="Z695" s="51" t="s">
        <v>1291</v>
      </c>
      <c r="AA695" s="51" t="s">
        <v>1292</v>
      </c>
      <c r="AB695" s="51" t="s">
        <v>1292</v>
      </c>
    </row>
    <row r="696" spans="1:28" x14ac:dyDescent="0.25">
      <c r="A696" s="648"/>
      <c r="B696" s="454"/>
      <c r="C696" s="454"/>
      <c r="D696" s="452"/>
      <c r="E696" s="452"/>
      <c r="F696" s="639"/>
      <c r="G696" s="644"/>
      <c r="H696" s="454"/>
      <c r="I696" s="454"/>
      <c r="J696" s="640"/>
      <c r="O696" s="61">
        <v>46120</v>
      </c>
      <c r="P696" s="691">
        <v>1.8529016203703702E-2</v>
      </c>
      <c r="Q696" s="51" t="s">
        <v>1015</v>
      </c>
      <c r="R696" s="51" t="s">
        <v>1293</v>
      </c>
      <c r="S696" s="51" t="s">
        <v>591</v>
      </c>
      <c r="T696" s="51">
        <v>100</v>
      </c>
      <c r="U696" s="51">
        <v>91.91</v>
      </c>
      <c r="W696" s="51">
        <v>91.91</v>
      </c>
      <c r="X696" s="51" t="s">
        <v>947</v>
      </c>
      <c r="Y696" s="51" t="s">
        <v>1290</v>
      </c>
      <c r="Z696" s="51" t="s">
        <v>1291</v>
      </c>
      <c r="AA696" s="51" t="s">
        <v>1292</v>
      </c>
      <c r="AB696" s="51" t="s">
        <v>1292</v>
      </c>
    </row>
    <row r="697" spans="1:28" x14ac:dyDescent="0.25">
      <c r="A697" s="648"/>
      <c r="B697" s="454"/>
      <c r="C697" s="454"/>
      <c r="D697" s="452"/>
      <c r="E697" s="452"/>
      <c r="F697" s="639"/>
      <c r="G697" s="644"/>
      <c r="H697" s="454"/>
      <c r="I697" s="454"/>
      <c r="J697" s="640"/>
      <c r="O697" s="61">
        <v>46120</v>
      </c>
      <c r="P697" s="691">
        <v>1.0729641203703705E-2</v>
      </c>
      <c r="Q697" s="51" t="s">
        <v>1015</v>
      </c>
      <c r="R697" s="51" t="s">
        <v>1293</v>
      </c>
      <c r="S697" s="51" t="s">
        <v>591</v>
      </c>
      <c r="T697" s="51">
        <v>100</v>
      </c>
      <c r="U697" s="51">
        <v>94.57</v>
      </c>
      <c r="W697" s="51">
        <v>94.572999999999993</v>
      </c>
      <c r="X697" s="51" t="s">
        <v>947</v>
      </c>
      <c r="Y697" s="51" t="s">
        <v>1290</v>
      </c>
      <c r="Z697" s="51" t="s">
        <v>1291</v>
      </c>
      <c r="AA697" s="51" t="s">
        <v>1292</v>
      </c>
      <c r="AB697" s="51" t="s">
        <v>1292</v>
      </c>
    </row>
    <row r="698" spans="1:28" x14ac:dyDescent="0.25">
      <c r="A698" s="648"/>
      <c r="B698" s="454"/>
      <c r="C698" s="454"/>
      <c r="D698" s="452"/>
      <c r="E698" s="452"/>
      <c r="F698" s="639"/>
      <c r="G698" s="644"/>
      <c r="H698" s="454"/>
      <c r="I698" s="454"/>
      <c r="J698" s="640"/>
      <c r="O698" s="61">
        <v>46120</v>
      </c>
      <c r="P698" s="691">
        <v>4.7940740740740739E-3</v>
      </c>
      <c r="Q698" s="51" t="s">
        <v>1015</v>
      </c>
      <c r="R698" s="51" t="s">
        <v>1293</v>
      </c>
      <c r="S698" s="51" t="s">
        <v>591</v>
      </c>
      <c r="T698" s="51">
        <v>150</v>
      </c>
      <c r="U698" s="51">
        <v>93.27</v>
      </c>
      <c r="W698" s="51">
        <v>93.274000000000001</v>
      </c>
      <c r="X698" s="51" t="s">
        <v>947</v>
      </c>
      <c r="Y698" s="51" t="s">
        <v>1290</v>
      </c>
      <c r="Z698" s="51" t="s">
        <v>1291</v>
      </c>
      <c r="AA698" s="51" t="s">
        <v>1292</v>
      </c>
      <c r="AB698" s="51" t="s">
        <v>1292</v>
      </c>
    </row>
    <row r="699" spans="1:28" x14ac:dyDescent="0.25">
      <c r="A699" s="648"/>
      <c r="B699" s="454"/>
      <c r="C699" s="454"/>
      <c r="D699" s="452"/>
      <c r="E699" s="452"/>
      <c r="F699" s="639"/>
      <c r="G699" s="644"/>
      <c r="H699" s="454"/>
      <c r="I699" s="454"/>
      <c r="J699" s="640"/>
    </row>
    <row r="700" spans="1:28" x14ac:dyDescent="0.25">
      <c r="A700" s="648"/>
      <c r="B700" s="454"/>
      <c r="C700" s="454"/>
      <c r="D700" s="452"/>
      <c r="E700" s="452"/>
      <c r="F700" s="639"/>
      <c r="G700" s="644"/>
      <c r="H700" s="454"/>
      <c r="I700" s="454"/>
      <c r="J700" s="640"/>
    </row>
    <row r="701" spans="1:28" x14ac:dyDescent="0.25">
      <c r="A701" s="648"/>
      <c r="B701" s="454"/>
      <c r="C701" s="454"/>
      <c r="D701" s="452"/>
      <c r="E701" s="452"/>
      <c r="F701" s="639"/>
      <c r="G701" s="644"/>
      <c r="H701" s="454"/>
      <c r="I701" s="454"/>
      <c r="J701" s="640"/>
    </row>
    <row r="702" spans="1:28" x14ac:dyDescent="0.25">
      <c r="A702" s="648"/>
      <c r="B702" s="454"/>
      <c r="C702" s="454"/>
      <c r="D702" s="452"/>
      <c r="E702" s="452"/>
      <c r="F702" s="639"/>
      <c r="G702" s="644"/>
      <c r="H702" s="454"/>
      <c r="I702" s="454"/>
      <c r="J702" s="640"/>
    </row>
    <row r="703" spans="1:28" x14ac:dyDescent="0.25">
      <c r="A703" s="648"/>
      <c r="B703" s="454"/>
      <c r="C703" s="454"/>
      <c r="D703" s="452"/>
      <c r="E703" s="452"/>
      <c r="F703" s="639"/>
      <c r="G703" s="644"/>
      <c r="H703" s="454"/>
      <c r="I703" s="454"/>
      <c r="J703" s="640"/>
    </row>
    <row r="704" spans="1:28" x14ac:dyDescent="0.25">
      <c r="A704" s="648"/>
      <c r="B704" s="454"/>
      <c r="C704" s="454"/>
      <c r="D704" s="452"/>
      <c r="E704" s="452"/>
      <c r="F704" s="639"/>
      <c r="G704" s="644"/>
      <c r="H704" s="454"/>
      <c r="I704" s="454"/>
      <c r="J704" s="640"/>
    </row>
    <row r="705" spans="1:13" x14ac:dyDescent="0.25">
      <c r="A705" s="648"/>
      <c r="B705" s="454"/>
      <c r="C705" s="454"/>
      <c r="D705" s="452"/>
      <c r="E705" s="452"/>
      <c r="F705" s="639"/>
      <c r="G705" s="644"/>
      <c r="H705" s="454"/>
      <c r="I705" s="454"/>
      <c r="J705" s="640"/>
    </row>
    <row r="706" spans="1:13" x14ac:dyDescent="0.25">
      <c r="A706" s="648"/>
      <c r="B706" s="454"/>
      <c r="C706" s="454"/>
      <c r="D706" s="452"/>
      <c r="E706" s="452"/>
      <c r="F706" s="639"/>
      <c r="G706" s="644"/>
      <c r="H706" s="454"/>
      <c r="I706" s="454"/>
      <c r="J706" s="640"/>
    </row>
    <row r="707" spans="1:13" x14ac:dyDescent="0.25">
      <c r="A707" s="648"/>
      <c r="B707" s="454"/>
      <c r="C707" s="454"/>
      <c r="D707" s="452"/>
      <c r="E707" s="452"/>
      <c r="F707" s="639"/>
      <c r="G707" s="644"/>
      <c r="H707" s="454"/>
      <c r="I707" s="454"/>
      <c r="J707" s="640"/>
    </row>
    <row r="708" spans="1:13" x14ac:dyDescent="0.25">
      <c r="A708" s="648"/>
      <c r="B708" s="454"/>
      <c r="C708" s="454"/>
      <c r="D708" s="452"/>
      <c r="E708" s="452"/>
      <c r="F708" s="639"/>
      <c r="G708" s="644"/>
      <c r="H708" s="454"/>
      <c r="I708" s="454"/>
      <c r="J708" s="640"/>
    </row>
    <row r="709" spans="1:13" x14ac:dyDescent="0.25">
      <c r="A709" s="648"/>
      <c r="B709" s="454"/>
      <c r="C709" s="454"/>
      <c r="D709" s="452"/>
      <c r="E709" s="452"/>
      <c r="F709" s="639"/>
      <c r="G709" s="644"/>
      <c r="H709" s="454"/>
      <c r="I709" s="454"/>
      <c r="J709" s="640"/>
    </row>
    <row r="710" spans="1:13" x14ac:dyDescent="0.25">
      <c r="A710" s="648"/>
      <c r="B710" s="454"/>
      <c r="C710" s="454"/>
      <c r="D710" s="452"/>
      <c r="E710" s="452"/>
      <c r="F710" s="639"/>
      <c r="G710" s="644"/>
      <c r="H710" s="454"/>
      <c r="I710" s="454"/>
      <c r="J710" s="640"/>
    </row>
    <row r="711" spans="1:13" x14ac:dyDescent="0.25">
      <c r="A711" s="648"/>
      <c r="B711" s="454"/>
      <c r="C711" s="454"/>
      <c r="D711" s="452"/>
      <c r="E711" s="452"/>
      <c r="F711" s="639"/>
      <c r="G711" s="644"/>
      <c r="H711" s="454"/>
      <c r="I711" s="454"/>
      <c r="J711" s="640"/>
    </row>
    <row r="712" spans="1:13" x14ac:dyDescent="0.25">
      <c r="A712" s="648"/>
      <c r="B712" s="454"/>
      <c r="C712" s="454"/>
      <c r="D712" s="452"/>
      <c r="E712" s="452"/>
      <c r="F712" s="639"/>
      <c r="G712" s="644"/>
      <c r="H712" s="454"/>
      <c r="I712" s="454"/>
      <c r="J712" s="640"/>
    </row>
    <row r="713" spans="1:13" x14ac:dyDescent="0.25">
      <c r="A713" s="648"/>
      <c r="B713" s="454"/>
      <c r="C713" s="454"/>
      <c r="D713" s="452"/>
      <c r="E713" s="452"/>
      <c r="F713" s="639"/>
      <c r="G713" s="644"/>
      <c r="H713" s="454"/>
      <c r="I713" s="454"/>
      <c r="J713" s="640"/>
    </row>
    <row r="714" spans="1:13" x14ac:dyDescent="0.25">
      <c r="A714" s="648"/>
      <c r="B714" s="454"/>
      <c r="C714" s="648"/>
      <c r="D714" s="454"/>
      <c r="E714" s="454"/>
      <c r="F714" s="640"/>
      <c r="G714" s="546"/>
      <c r="H714" s="454"/>
      <c r="I714" s="454"/>
      <c r="J714" s="640"/>
    </row>
    <row r="715" spans="1:13" x14ac:dyDescent="0.25">
      <c r="A715" s="648"/>
      <c r="B715" s="454"/>
      <c r="C715" s="648"/>
      <c r="D715" s="452"/>
      <c r="E715" s="452"/>
      <c r="F715" s="639"/>
      <c r="G715" s="644"/>
      <c r="H715" s="454"/>
      <c r="I715" s="454"/>
      <c r="J715" s="640"/>
      <c r="M715" s="48"/>
    </row>
    <row r="716" spans="1:13" x14ac:dyDescent="0.25">
      <c r="A716" s="648"/>
      <c r="B716" s="454"/>
      <c r="C716" s="648"/>
      <c r="D716" s="452"/>
      <c r="E716" s="452"/>
      <c r="F716" s="639"/>
      <c r="G716" s="644"/>
      <c r="H716" s="454"/>
      <c r="I716" s="454"/>
      <c r="J716" s="640"/>
    </row>
    <row r="717" spans="1:13" x14ac:dyDescent="0.25">
      <c r="A717" s="648"/>
      <c r="B717" s="454"/>
      <c r="C717" s="648"/>
      <c r="D717" s="452"/>
      <c r="E717" s="452"/>
      <c r="F717" s="639"/>
      <c r="G717" s="644"/>
      <c r="H717" s="454"/>
      <c r="I717" s="454"/>
      <c r="J717" s="640"/>
    </row>
    <row r="718" spans="1:13" x14ac:dyDescent="0.25">
      <c r="A718" s="648"/>
      <c r="B718" s="454"/>
      <c r="C718" s="648"/>
      <c r="D718" s="452"/>
      <c r="E718" s="452"/>
      <c r="F718" s="639"/>
      <c r="G718" s="644"/>
      <c r="H718" s="454"/>
      <c r="I718" s="454"/>
      <c r="J718" s="640"/>
    </row>
    <row r="719" spans="1:13" x14ac:dyDescent="0.25">
      <c r="A719" s="648"/>
      <c r="B719" s="454"/>
      <c r="C719" s="648"/>
      <c r="D719" s="452"/>
      <c r="E719" s="452"/>
      <c r="F719" s="639"/>
      <c r="G719" s="644"/>
      <c r="H719" s="454"/>
      <c r="I719" s="454"/>
      <c r="J719" s="640"/>
    </row>
    <row r="720" spans="1:13" x14ac:dyDescent="0.25">
      <c r="A720" s="648"/>
      <c r="B720" s="454"/>
      <c r="C720" s="648"/>
      <c r="D720" s="452"/>
      <c r="E720" s="452"/>
      <c r="F720" s="639"/>
      <c r="G720" s="644"/>
      <c r="H720" s="454"/>
      <c r="I720" s="454"/>
      <c r="J720" s="640"/>
    </row>
    <row r="721" spans="1:10" x14ac:dyDescent="0.25">
      <c r="A721" s="648"/>
      <c r="B721" s="454"/>
      <c r="C721" s="648"/>
      <c r="D721" s="452"/>
      <c r="E721" s="452"/>
      <c r="F721" s="639"/>
      <c r="G721" s="644"/>
      <c r="H721" s="454"/>
      <c r="I721" s="454"/>
      <c r="J721" s="640"/>
    </row>
    <row r="722" spans="1:10" x14ac:dyDescent="0.25">
      <c r="A722" s="648"/>
      <c r="B722" s="454"/>
      <c r="C722" s="648"/>
      <c r="D722" s="452"/>
      <c r="E722" s="452"/>
      <c r="F722" s="639"/>
      <c r="G722" s="644"/>
      <c r="H722" s="454"/>
      <c r="I722" s="454"/>
      <c r="J722" s="640"/>
    </row>
    <row r="723" spans="1:10" x14ac:dyDescent="0.25">
      <c r="A723" s="648"/>
      <c r="B723" s="454"/>
      <c r="C723" s="648"/>
      <c r="D723" s="452"/>
      <c r="E723" s="452"/>
      <c r="F723" s="639"/>
      <c r="G723" s="644"/>
      <c r="H723" s="454"/>
      <c r="I723" s="454"/>
      <c r="J723" s="640"/>
    </row>
    <row r="724" spans="1:10" x14ac:dyDescent="0.25">
      <c r="A724" s="648"/>
      <c r="B724" s="454"/>
      <c r="C724" s="648"/>
      <c r="D724" s="452"/>
      <c r="E724" s="452"/>
      <c r="F724" s="639"/>
      <c r="G724" s="644"/>
      <c r="H724" s="454"/>
      <c r="I724" s="454"/>
      <c r="J724" s="640"/>
    </row>
    <row r="725" spans="1:10" x14ac:dyDescent="0.25">
      <c r="A725" s="648"/>
      <c r="B725" s="454"/>
      <c r="C725" s="648"/>
      <c r="D725" s="452"/>
      <c r="E725" s="452"/>
      <c r="F725" s="639"/>
      <c r="G725" s="644"/>
      <c r="H725" s="454"/>
      <c r="I725" s="454"/>
      <c r="J725" s="640"/>
    </row>
    <row r="726" spans="1:10" x14ac:dyDescent="0.25">
      <c r="A726" s="648"/>
      <c r="B726" s="454"/>
      <c r="C726" s="648"/>
      <c r="D726" s="452"/>
      <c r="E726" s="452"/>
      <c r="F726" s="639"/>
      <c r="G726" s="644"/>
      <c r="H726" s="454"/>
      <c r="I726" s="454"/>
      <c r="J726" s="640"/>
    </row>
    <row r="727" spans="1:10" x14ac:dyDescent="0.25">
      <c r="A727" s="648"/>
      <c r="B727" s="454"/>
      <c r="C727" s="454"/>
      <c r="D727" s="452"/>
      <c r="E727" s="452"/>
      <c r="F727" s="639"/>
      <c r="G727" s="644"/>
      <c r="H727" s="454"/>
      <c r="I727" s="454"/>
      <c r="J727" s="640"/>
    </row>
    <row r="728" spans="1:10" x14ac:dyDescent="0.25">
      <c r="A728" s="648"/>
      <c r="B728" s="454"/>
      <c r="C728" s="454"/>
      <c r="D728" s="452"/>
      <c r="E728" s="452"/>
      <c r="F728" s="639"/>
      <c r="G728" s="644"/>
      <c r="H728" s="454"/>
      <c r="I728" s="454"/>
      <c r="J728" s="640"/>
    </row>
    <row r="729" spans="1:10" x14ac:dyDescent="0.25">
      <c r="A729" s="648"/>
      <c r="B729" s="454"/>
      <c r="C729" s="648"/>
      <c r="D729" s="452"/>
      <c r="E729" s="452"/>
      <c r="F729" s="640"/>
      <c r="G729" s="546"/>
      <c r="H729" s="454"/>
      <c r="I729" s="454"/>
      <c r="J729" s="640"/>
    </row>
    <row r="730" spans="1:10" x14ac:dyDescent="0.25">
      <c r="A730" s="648"/>
      <c r="B730" s="454"/>
      <c r="C730" s="648"/>
      <c r="D730" s="452"/>
      <c r="E730" s="452"/>
      <c r="F730" s="640"/>
      <c r="G730" s="546"/>
      <c r="H730" s="454"/>
      <c r="I730" s="454"/>
      <c r="J730" s="640"/>
    </row>
    <row r="731" spans="1:10" x14ac:dyDescent="0.25">
      <c r="A731" s="648"/>
      <c r="B731" s="454"/>
      <c r="C731" s="454"/>
      <c r="D731" s="452"/>
      <c r="E731" s="452"/>
      <c r="F731" s="639"/>
      <c r="G731" s="644"/>
      <c r="H731" s="454"/>
      <c r="I731" s="454"/>
      <c r="J731" s="640"/>
    </row>
    <row r="732" spans="1:10" x14ac:dyDescent="0.25">
      <c r="A732" s="648"/>
      <c r="B732" s="454"/>
      <c r="C732" s="454"/>
      <c r="D732" s="452"/>
      <c r="E732" s="452"/>
      <c r="F732" s="639"/>
      <c r="G732" s="644"/>
      <c r="H732" s="454"/>
      <c r="I732" s="454"/>
      <c r="J732" s="640"/>
    </row>
    <row r="733" spans="1:10" x14ac:dyDescent="0.25">
      <c r="A733" s="648"/>
      <c r="B733" s="454"/>
      <c r="C733" s="648"/>
      <c r="D733" s="452"/>
      <c r="E733" s="452"/>
      <c r="F733" s="639"/>
      <c r="G733" s="644"/>
      <c r="H733" s="454"/>
      <c r="I733" s="454"/>
      <c r="J733" s="640"/>
    </row>
    <row r="734" spans="1:10" x14ac:dyDescent="0.25">
      <c r="A734" s="648"/>
      <c r="B734" s="454"/>
      <c r="C734" s="648"/>
      <c r="D734" s="452"/>
      <c r="E734" s="452"/>
      <c r="F734" s="639"/>
      <c r="G734" s="644"/>
      <c r="H734" s="454"/>
      <c r="I734" s="454"/>
      <c r="J734" s="640"/>
    </row>
    <row r="735" spans="1:10" x14ac:dyDescent="0.25">
      <c r="A735" s="648"/>
      <c r="B735" s="454"/>
      <c r="C735" s="454"/>
      <c r="D735" s="452"/>
      <c r="E735" s="452"/>
      <c r="F735" s="639"/>
      <c r="G735" s="644"/>
      <c r="H735" s="454"/>
      <c r="I735" s="454"/>
      <c r="J735" s="640"/>
    </row>
    <row r="736" spans="1:10" x14ac:dyDescent="0.25">
      <c r="A736" s="648"/>
      <c r="B736" s="454"/>
      <c r="C736" s="454"/>
      <c r="D736" s="452"/>
      <c r="E736" s="452"/>
      <c r="F736" s="639"/>
      <c r="G736" s="644"/>
      <c r="H736" s="454"/>
      <c r="I736" s="454"/>
      <c r="J736" s="640"/>
    </row>
    <row r="737" spans="1:10" x14ac:dyDescent="0.25">
      <c r="A737" s="648"/>
      <c r="B737" s="454"/>
      <c r="C737" s="648"/>
      <c r="D737" s="452"/>
      <c r="E737" s="452"/>
      <c r="F737" s="639"/>
      <c r="G737" s="644"/>
      <c r="H737" s="454"/>
      <c r="I737" s="454"/>
      <c r="J737" s="640"/>
    </row>
    <row r="738" spans="1:10" x14ac:dyDescent="0.25">
      <c r="A738" s="648"/>
      <c r="B738" s="454"/>
      <c r="C738" s="648"/>
      <c r="D738" s="452"/>
      <c r="E738" s="452"/>
      <c r="F738" s="639"/>
      <c r="G738" s="644"/>
      <c r="H738" s="454"/>
      <c r="I738" s="454"/>
      <c r="J738" s="640"/>
    </row>
    <row r="739" spans="1:10" x14ac:dyDescent="0.25">
      <c r="A739" s="648"/>
      <c r="B739" s="454"/>
      <c r="C739" s="648"/>
      <c r="D739" s="452"/>
      <c r="E739" s="452"/>
      <c r="F739" s="639"/>
      <c r="G739" s="644"/>
      <c r="H739" s="454"/>
      <c r="I739" s="454"/>
      <c r="J739" s="640"/>
    </row>
    <row r="740" spans="1:10" x14ac:dyDescent="0.25">
      <c r="A740" s="648"/>
      <c r="B740" s="454"/>
      <c r="C740" s="648"/>
      <c r="D740" s="452"/>
      <c r="E740" s="452"/>
      <c r="F740" s="639"/>
      <c r="G740" s="644"/>
      <c r="H740" s="454"/>
      <c r="I740" s="454"/>
      <c r="J740" s="640"/>
    </row>
    <row r="741" spans="1:10" x14ac:dyDescent="0.25">
      <c r="A741" s="648"/>
      <c r="B741" s="454"/>
      <c r="C741" s="648"/>
      <c r="D741" s="452"/>
      <c r="E741" s="452"/>
      <c r="F741" s="639"/>
      <c r="G741" s="644"/>
      <c r="H741" s="454"/>
      <c r="I741" s="454"/>
      <c r="J741" s="640"/>
    </row>
    <row r="742" spans="1:10" x14ac:dyDescent="0.25">
      <c r="A742" s="648"/>
      <c r="B742" s="454"/>
      <c r="C742" s="648"/>
      <c r="D742" s="452"/>
      <c r="E742" s="452"/>
      <c r="F742" s="639"/>
      <c r="G742" s="644"/>
      <c r="H742" s="454"/>
      <c r="I742" s="454"/>
      <c r="J742" s="640"/>
    </row>
    <row r="743" spans="1:10" x14ac:dyDescent="0.25">
      <c r="A743" s="648"/>
      <c r="B743" s="454"/>
      <c r="C743" s="648"/>
      <c r="D743" s="452"/>
      <c r="E743" s="452"/>
      <c r="F743" s="639"/>
      <c r="G743" s="644"/>
      <c r="H743" s="454"/>
      <c r="I743" s="454"/>
      <c r="J743" s="640"/>
    </row>
    <row r="744" spans="1:10" x14ac:dyDescent="0.25">
      <c r="A744" s="648"/>
      <c r="B744" s="454"/>
      <c r="C744" s="454"/>
      <c r="D744" s="452"/>
      <c r="E744" s="452"/>
      <c r="F744" s="639"/>
      <c r="G744" s="644"/>
      <c r="H744" s="454"/>
      <c r="I744" s="454"/>
      <c r="J744" s="640"/>
    </row>
    <row r="745" spans="1:10" x14ac:dyDescent="0.25">
      <c r="A745" s="648"/>
      <c r="B745" s="454"/>
      <c r="C745" s="454"/>
      <c r="D745" s="452"/>
      <c r="E745" s="452"/>
      <c r="F745" s="639"/>
      <c r="G745" s="644"/>
      <c r="H745" s="454"/>
      <c r="I745" s="454"/>
      <c r="J745" s="640"/>
    </row>
    <row r="746" spans="1:10" x14ac:dyDescent="0.25">
      <c r="A746" s="648"/>
      <c r="B746" s="454"/>
      <c r="C746" s="454"/>
      <c r="D746" s="452"/>
      <c r="E746" s="452"/>
      <c r="F746" s="639"/>
      <c r="G746" s="644"/>
      <c r="H746" s="454"/>
      <c r="I746" s="454"/>
      <c r="J746" s="640"/>
    </row>
    <row r="747" spans="1:10" x14ac:dyDescent="0.25">
      <c r="A747" s="648"/>
      <c r="B747" s="454"/>
      <c r="C747" s="454"/>
      <c r="D747" s="452"/>
      <c r="E747" s="452"/>
      <c r="F747" s="639"/>
      <c r="G747" s="644"/>
      <c r="H747" s="454"/>
      <c r="I747" s="454"/>
      <c r="J747" s="640"/>
    </row>
    <row r="748" spans="1:10" x14ac:dyDescent="0.25">
      <c r="A748" s="648"/>
      <c r="B748" s="454"/>
      <c r="C748" s="648"/>
      <c r="D748" s="452"/>
      <c r="E748" s="452"/>
      <c r="F748" s="639"/>
      <c r="G748" s="644"/>
      <c r="H748" s="454"/>
      <c r="I748" s="454"/>
      <c r="J748" s="640"/>
    </row>
    <row r="749" spans="1:10" x14ac:dyDescent="0.25">
      <c r="A749" s="648"/>
      <c r="B749" s="454"/>
      <c r="C749" s="648"/>
      <c r="D749" s="452"/>
      <c r="E749" s="452"/>
      <c r="F749" s="639"/>
      <c r="G749" s="644"/>
      <c r="H749" s="454"/>
      <c r="I749" s="454"/>
      <c r="J749" s="640"/>
    </row>
    <row r="750" spans="1:10" x14ac:dyDescent="0.25">
      <c r="A750" s="648"/>
      <c r="B750" s="454"/>
      <c r="C750" s="648"/>
      <c r="D750" s="452"/>
      <c r="E750" s="452"/>
      <c r="F750" s="639"/>
      <c r="G750" s="644"/>
      <c r="H750" s="454"/>
      <c r="I750" s="454"/>
      <c r="J750" s="640"/>
    </row>
    <row r="751" spans="1:10" x14ac:dyDescent="0.25">
      <c r="A751" s="648"/>
      <c r="B751" s="454"/>
      <c r="C751" s="648"/>
      <c r="D751" s="452"/>
      <c r="E751" s="452"/>
      <c r="F751" s="639"/>
      <c r="G751" s="644"/>
      <c r="H751" s="454"/>
      <c r="I751" s="454"/>
      <c r="J751" s="640"/>
    </row>
    <row r="752" spans="1:10" x14ac:dyDescent="0.25">
      <c r="A752" s="648"/>
      <c r="B752" s="454"/>
      <c r="C752" s="648"/>
      <c r="D752" s="452"/>
      <c r="E752" s="452"/>
      <c r="F752" s="639"/>
      <c r="G752" s="644"/>
      <c r="H752" s="454"/>
      <c r="I752" s="454"/>
      <c r="J752" s="640"/>
    </row>
    <row r="753" spans="1:10" x14ac:dyDescent="0.25">
      <c r="A753" s="648"/>
      <c r="B753" s="454"/>
      <c r="C753" s="648"/>
      <c r="D753" s="454"/>
      <c r="E753" s="454"/>
      <c r="F753" s="640"/>
      <c r="G753" s="546"/>
      <c r="H753" s="454"/>
      <c r="I753" s="454"/>
      <c r="J753" s="640"/>
    </row>
    <row r="754" spans="1:10" x14ac:dyDescent="0.25">
      <c r="A754" s="648"/>
      <c r="B754" s="454"/>
      <c r="C754" s="648"/>
      <c r="D754" s="454"/>
      <c r="E754" s="454"/>
      <c r="F754" s="640"/>
      <c r="G754" s="546"/>
      <c r="H754" s="454"/>
      <c r="I754" s="454"/>
      <c r="J754" s="640"/>
    </row>
    <row r="755" spans="1:10" x14ac:dyDescent="0.25">
      <c r="A755" s="648"/>
      <c r="B755" s="454"/>
      <c r="C755" s="648"/>
      <c r="D755" s="454"/>
      <c r="E755" s="454"/>
      <c r="F755" s="640"/>
      <c r="G755" s="546"/>
      <c r="H755" s="454"/>
      <c r="I755" s="454"/>
      <c r="J755" s="640"/>
    </row>
    <row r="756" spans="1:10" x14ac:dyDescent="0.25">
      <c r="A756" s="648"/>
      <c r="B756" s="454"/>
      <c r="C756" s="648"/>
      <c r="D756" s="454"/>
      <c r="E756" s="454"/>
      <c r="F756" s="640"/>
      <c r="G756" s="546"/>
      <c r="H756" s="454"/>
      <c r="I756" s="454"/>
      <c r="J756" s="640"/>
    </row>
    <row r="757" spans="1:10" x14ac:dyDescent="0.25">
      <c r="A757" s="648"/>
      <c r="B757" s="454"/>
      <c r="C757" s="454"/>
      <c r="D757" s="452"/>
      <c r="E757" s="452"/>
      <c r="F757" s="639"/>
      <c r="G757" s="644"/>
      <c r="H757" s="454"/>
      <c r="I757" s="454"/>
      <c r="J757" s="640"/>
    </row>
    <row r="758" spans="1:10" x14ac:dyDescent="0.25">
      <c r="A758" s="648"/>
      <c r="B758" s="454"/>
      <c r="C758" s="454"/>
      <c r="D758" s="452"/>
      <c r="E758" s="452"/>
      <c r="F758" s="639"/>
      <c r="G758" s="644"/>
      <c r="H758" s="454"/>
      <c r="I758" s="454"/>
      <c r="J758" s="640"/>
    </row>
    <row r="759" spans="1:10" x14ac:dyDescent="0.25">
      <c r="A759" s="648"/>
      <c r="B759" s="454"/>
      <c r="C759" s="648"/>
      <c r="D759" s="452"/>
      <c r="E759" s="452"/>
      <c r="F759" s="639"/>
      <c r="G759" s="644"/>
      <c r="H759" s="454"/>
      <c r="I759" s="454"/>
      <c r="J759" s="640"/>
    </row>
    <row r="760" spans="1:10" x14ac:dyDescent="0.25">
      <c r="A760" s="648"/>
      <c r="B760" s="454"/>
      <c r="C760" s="648"/>
      <c r="D760" s="452"/>
      <c r="E760" s="452"/>
      <c r="F760" s="639"/>
      <c r="G760" s="644"/>
      <c r="H760" s="454"/>
      <c r="I760" s="454"/>
      <c r="J760" s="640"/>
    </row>
    <row r="761" spans="1:10" x14ac:dyDescent="0.25">
      <c r="A761" s="648"/>
      <c r="B761" s="454"/>
      <c r="C761" s="648"/>
      <c r="D761" s="452"/>
      <c r="E761" s="452"/>
      <c r="F761" s="639"/>
      <c r="G761" s="644"/>
      <c r="H761" s="454"/>
      <c r="I761" s="454"/>
      <c r="J761" s="640"/>
    </row>
    <row r="762" spans="1:10" x14ac:dyDescent="0.25">
      <c r="A762" s="648"/>
      <c r="B762" s="454"/>
      <c r="C762" s="648"/>
      <c r="D762" s="452"/>
      <c r="E762" s="452"/>
      <c r="F762" s="639"/>
      <c r="G762" s="644"/>
      <c r="H762" s="454"/>
      <c r="I762" s="454"/>
      <c r="J762" s="640"/>
    </row>
    <row r="763" spans="1:10" x14ac:dyDescent="0.25">
      <c r="A763" s="648"/>
      <c r="B763" s="454"/>
      <c r="C763" s="648"/>
      <c r="D763" s="452"/>
      <c r="E763" s="452"/>
      <c r="F763" s="639"/>
      <c r="G763" s="644"/>
      <c r="H763" s="454"/>
      <c r="I763" s="454"/>
      <c r="J763" s="640"/>
    </row>
    <row r="764" spans="1:10" x14ac:dyDescent="0.25">
      <c r="A764" s="648"/>
      <c r="B764" s="454"/>
      <c r="C764" s="648"/>
      <c r="D764" s="452"/>
      <c r="E764" s="452"/>
      <c r="F764" s="639"/>
      <c r="G764" s="644"/>
      <c r="H764" s="454"/>
      <c r="I764" s="454"/>
      <c r="J764" s="640"/>
    </row>
    <row r="765" spans="1:10" x14ac:dyDescent="0.25">
      <c r="A765" s="648"/>
      <c r="B765" s="454"/>
      <c r="C765" s="648"/>
      <c r="D765" s="452"/>
      <c r="E765" s="452"/>
      <c r="F765" s="639"/>
      <c r="G765" s="644"/>
      <c r="H765" s="454"/>
      <c r="I765" s="454"/>
      <c r="J765" s="640"/>
    </row>
    <row r="766" spans="1:10" x14ac:dyDescent="0.25">
      <c r="A766" s="648"/>
      <c r="B766" s="454"/>
      <c r="C766" s="648"/>
      <c r="D766" s="452"/>
      <c r="E766" s="452"/>
      <c r="F766" s="639"/>
      <c r="G766" s="644"/>
      <c r="H766" s="454"/>
      <c r="I766" s="454"/>
      <c r="J766" s="640"/>
    </row>
    <row r="767" spans="1:10" x14ac:dyDescent="0.25">
      <c r="A767" s="648"/>
      <c r="B767" s="454"/>
      <c r="C767" s="648"/>
      <c r="D767" s="452"/>
      <c r="E767" s="452"/>
      <c r="F767" s="639"/>
      <c r="G767" s="644"/>
      <c r="H767" s="454"/>
      <c r="I767" s="454"/>
      <c r="J767" s="640"/>
    </row>
    <row r="768" spans="1:10" x14ac:dyDescent="0.25">
      <c r="A768" s="648"/>
      <c r="B768" s="454"/>
      <c r="C768" s="648"/>
      <c r="D768" s="452"/>
      <c r="E768" s="452"/>
      <c r="F768" s="639"/>
      <c r="G768" s="644"/>
      <c r="H768" s="454"/>
      <c r="I768" s="454"/>
      <c r="J768" s="640"/>
    </row>
    <row r="769" spans="1:10" x14ac:dyDescent="0.25">
      <c r="A769" s="648"/>
      <c r="B769" s="454"/>
      <c r="C769" s="648"/>
      <c r="D769" s="452"/>
      <c r="E769" s="452"/>
      <c r="F769" s="639"/>
      <c r="G769" s="644"/>
      <c r="H769" s="454"/>
      <c r="I769" s="454"/>
      <c r="J769" s="640"/>
    </row>
    <row r="770" spans="1:10" x14ac:dyDescent="0.25">
      <c r="A770" s="648"/>
      <c r="B770" s="454"/>
      <c r="C770" s="454"/>
      <c r="D770" s="452"/>
      <c r="E770" s="452"/>
      <c r="F770" s="639"/>
      <c r="G770" s="644"/>
      <c r="H770" s="454"/>
      <c r="I770" s="454"/>
      <c r="J770" s="640"/>
    </row>
    <row r="771" spans="1:10" x14ac:dyDescent="0.25">
      <c r="A771" s="648"/>
      <c r="B771" s="454"/>
      <c r="C771" s="454"/>
      <c r="D771" s="452"/>
      <c r="E771" s="452"/>
      <c r="F771" s="639"/>
      <c r="G771" s="644"/>
      <c r="H771" s="454"/>
      <c r="I771" s="454"/>
      <c r="J771" s="640"/>
    </row>
    <row r="772" spans="1:10" x14ac:dyDescent="0.25">
      <c r="A772" s="648"/>
      <c r="B772" s="454"/>
      <c r="C772" s="648"/>
      <c r="D772" s="452"/>
      <c r="E772" s="454"/>
      <c r="F772" s="640"/>
      <c r="G772" s="546"/>
      <c r="H772" s="454"/>
      <c r="I772" s="454"/>
      <c r="J772" s="640"/>
    </row>
    <row r="773" spans="1:10" x14ac:dyDescent="0.25">
      <c r="A773" s="648"/>
      <c r="B773" s="454"/>
      <c r="C773" s="648"/>
      <c r="D773" s="452"/>
      <c r="E773" s="454"/>
      <c r="F773" s="640"/>
      <c r="G773" s="546"/>
      <c r="H773" s="454"/>
      <c r="I773" s="454"/>
      <c r="J773" s="640"/>
    </row>
    <row r="774" spans="1:10" x14ac:dyDescent="0.25">
      <c r="A774" s="648"/>
      <c r="B774" s="454"/>
      <c r="C774" s="648"/>
      <c r="D774" s="452"/>
      <c r="E774" s="452"/>
      <c r="F774" s="639"/>
      <c r="G774" s="644"/>
      <c r="H774" s="454"/>
      <c r="I774" s="454"/>
      <c r="J774" s="640"/>
    </row>
    <row r="775" spans="1:10" x14ac:dyDescent="0.25">
      <c r="A775" s="648"/>
      <c r="B775" s="454"/>
      <c r="C775" s="648"/>
      <c r="D775" s="452"/>
      <c r="E775" s="452"/>
      <c r="F775" s="639"/>
      <c r="G775" s="644"/>
      <c r="H775" s="454"/>
      <c r="I775" s="454"/>
      <c r="J775" s="640"/>
    </row>
    <row r="776" spans="1:10" x14ac:dyDescent="0.25">
      <c r="A776" s="648"/>
      <c r="B776" s="454"/>
      <c r="C776" s="648"/>
      <c r="D776" s="452"/>
      <c r="E776" s="452"/>
      <c r="F776" s="639"/>
      <c r="G776" s="644"/>
      <c r="H776" s="454"/>
      <c r="I776" s="454"/>
      <c r="J776" s="640"/>
    </row>
    <row r="777" spans="1:10" x14ac:dyDescent="0.25">
      <c r="A777" s="648"/>
      <c r="B777" s="454"/>
      <c r="C777" s="648"/>
      <c r="D777" s="452"/>
      <c r="E777" s="452"/>
      <c r="F777" s="639"/>
      <c r="G777" s="644"/>
      <c r="H777" s="454"/>
      <c r="I777" s="454"/>
      <c r="J777" s="640"/>
    </row>
    <row r="778" spans="1:10" x14ac:dyDescent="0.25">
      <c r="A778" s="648"/>
      <c r="B778" s="454"/>
      <c r="C778" s="648"/>
      <c r="D778" s="452"/>
      <c r="E778" s="452"/>
      <c r="F778" s="639"/>
      <c r="G778" s="644"/>
      <c r="H778" s="454"/>
      <c r="I778" s="454"/>
      <c r="J778" s="640"/>
    </row>
    <row r="779" spans="1:10" x14ac:dyDescent="0.25">
      <c r="A779" s="648"/>
      <c r="B779" s="454"/>
      <c r="C779" s="648"/>
      <c r="D779" s="452"/>
      <c r="E779" s="452"/>
      <c r="F779" s="639"/>
      <c r="G779" s="644"/>
      <c r="H779" s="454"/>
      <c r="I779" s="454"/>
      <c r="J779" s="640"/>
    </row>
    <row r="780" spans="1:10" x14ac:dyDescent="0.25">
      <c r="A780" s="648"/>
      <c r="B780" s="454"/>
      <c r="C780" s="648"/>
      <c r="D780" s="452"/>
      <c r="E780" s="452"/>
      <c r="F780" s="639"/>
      <c r="G780" s="644"/>
      <c r="H780" s="454"/>
      <c r="I780" s="454"/>
      <c r="J780" s="640"/>
    </row>
    <row r="781" spans="1:10" x14ac:dyDescent="0.25">
      <c r="A781" s="648"/>
      <c r="B781" s="454"/>
      <c r="C781" s="454"/>
      <c r="D781" s="452"/>
      <c r="E781" s="452"/>
      <c r="F781" s="639"/>
      <c r="G781" s="644"/>
      <c r="H781" s="454"/>
      <c r="I781" s="454"/>
      <c r="J781" s="640"/>
    </row>
    <row r="782" spans="1:10" x14ac:dyDescent="0.25">
      <c r="A782" s="648"/>
      <c r="B782" s="454"/>
      <c r="C782" s="454"/>
      <c r="D782" s="452"/>
      <c r="E782" s="452"/>
      <c r="F782" s="639"/>
      <c r="G782" s="644"/>
      <c r="H782" s="454"/>
      <c r="I782" s="454"/>
      <c r="J782" s="640"/>
    </row>
    <row r="783" spans="1:10" x14ac:dyDescent="0.25">
      <c r="A783" s="648"/>
      <c r="B783" s="454"/>
      <c r="C783" s="648"/>
      <c r="D783" s="452"/>
      <c r="E783" s="452"/>
      <c r="F783" s="639"/>
      <c r="G783" s="644"/>
      <c r="H783" s="454"/>
      <c r="I783" s="454"/>
      <c r="J783" s="640"/>
    </row>
    <row r="784" spans="1:10" x14ac:dyDescent="0.25">
      <c r="A784" s="648"/>
      <c r="B784" s="454"/>
      <c r="C784" s="648"/>
      <c r="D784" s="452"/>
      <c r="E784" s="452"/>
      <c r="F784" s="639"/>
      <c r="G784" s="644"/>
      <c r="H784" s="454"/>
      <c r="I784" s="454"/>
      <c r="J784" s="640"/>
    </row>
    <row r="785" spans="1:10" x14ac:dyDescent="0.25">
      <c r="A785" s="648"/>
      <c r="B785" s="454"/>
      <c r="C785" s="648"/>
      <c r="D785" s="452"/>
      <c r="E785" s="452"/>
      <c r="F785" s="639"/>
      <c r="G785" s="644"/>
      <c r="H785" s="454"/>
      <c r="I785" s="454"/>
      <c r="J785" s="640"/>
    </row>
    <row r="786" spans="1:10" x14ac:dyDescent="0.25">
      <c r="A786" s="648"/>
      <c r="B786" s="454"/>
      <c r="C786" s="648"/>
      <c r="D786" s="452"/>
      <c r="E786" s="452"/>
      <c r="F786" s="639"/>
      <c r="G786" s="644"/>
      <c r="H786" s="454"/>
      <c r="I786" s="454"/>
      <c r="J786" s="640"/>
    </row>
    <row r="787" spans="1:10" x14ac:dyDescent="0.25">
      <c r="A787" s="648"/>
      <c r="B787" s="454"/>
      <c r="C787" s="454"/>
      <c r="D787" s="452"/>
      <c r="E787" s="452"/>
      <c r="F787" s="639"/>
      <c r="G787" s="644"/>
      <c r="H787" s="454"/>
      <c r="I787" s="454"/>
      <c r="J787" s="640"/>
    </row>
    <row r="788" spans="1:10" x14ac:dyDescent="0.25">
      <c r="A788" s="648"/>
      <c r="B788" s="454"/>
      <c r="C788" s="454"/>
      <c r="D788" s="452"/>
      <c r="E788" s="452"/>
      <c r="F788" s="639"/>
      <c r="G788" s="644"/>
      <c r="H788" s="454"/>
      <c r="I788" s="454"/>
      <c r="J788" s="640"/>
    </row>
    <row r="789" spans="1:10" x14ac:dyDescent="0.25">
      <c r="A789" s="648"/>
      <c r="B789" s="454"/>
      <c r="C789" s="648"/>
      <c r="D789" s="452"/>
      <c r="E789" s="452"/>
      <c r="F789" s="639"/>
      <c r="G789" s="644"/>
      <c r="H789" s="454"/>
      <c r="I789" s="454"/>
      <c r="J789" s="640"/>
    </row>
    <row r="790" spans="1:10" x14ac:dyDescent="0.25">
      <c r="A790" s="648"/>
      <c r="B790" s="454"/>
      <c r="C790" s="648"/>
      <c r="D790" s="452"/>
      <c r="E790" s="452"/>
      <c r="F790" s="639"/>
      <c r="G790" s="644"/>
      <c r="H790" s="454"/>
      <c r="I790" s="454"/>
      <c r="J790" s="640"/>
    </row>
    <row r="791" spans="1:10" x14ac:dyDescent="0.25">
      <c r="A791" s="648"/>
      <c r="B791" s="454"/>
      <c r="C791" s="648"/>
      <c r="D791" s="452"/>
      <c r="E791" s="452"/>
      <c r="F791" s="639"/>
      <c r="G791" s="644"/>
      <c r="H791" s="454"/>
      <c r="I791" s="454"/>
      <c r="J791" s="640"/>
    </row>
    <row r="792" spans="1:10" x14ac:dyDescent="0.25">
      <c r="A792" s="648"/>
      <c r="B792" s="454"/>
      <c r="C792" s="648"/>
      <c r="D792" s="452"/>
      <c r="E792" s="452"/>
      <c r="F792" s="639"/>
      <c r="G792" s="644"/>
      <c r="H792" s="454"/>
      <c r="I792" s="454"/>
      <c r="J792" s="640"/>
    </row>
    <row r="793" spans="1:10" x14ac:dyDescent="0.25">
      <c r="A793" s="648"/>
      <c r="B793" s="454"/>
      <c r="C793" s="648"/>
      <c r="D793" s="452"/>
      <c r="E793" s="452"/>
      <c r="F793" s="639"/>
      <c r="G793" s="644"/>
      <c r="H793" s="454"/>
      <c r="I793" s="454"/>
      <c r="J793" s="640"/>
    </row>
    <row r="794" spans="1:10" x14ac:dyDescent="0.25">
      <c r="A794" s="648"/>
      <c r="B794" s="454"/>
      <c r="C794" s="648"/>
      <c r="D794" s="452"/>
      <c r="E794" s="452"/>
      <c r="F794" s="639"/>
      <c r="G794" s="644"/>
      <c r="H794" s="454"/>
      <c r="I794" s="454"/>
      <c r="J794" s="640"/>
    </row>
    <row r="795" spans="1:10" x14ac:dyDescent="0.25">
      <c r="A795" s="648"/>
      <c r="B795" s="454"/>
      <c r="C795" s="648"/>
      <c r="D795" s="452"/>
      <c r="E795" s="452"/>
      <c r="F795" s="639"/>
      <c r="G795" s="644"/>
      <c r="H795" s="454"/>
      <c r="I795" s="454"/>
      <c r="J795" s="640"/>
    </row>
    <row r="796" spans="1:10" x14ac:dyDescent="0.25">
      <c r="A796" s="648"/>
      <c r="B796" s="454"/>
      <c r="C796" s="648"/>
      <c r="D796" s="452"/>
      <c r="E796" s="452"/>
      <c r="F796" s="639"/>
      <c r="G796" s="644"/>
      <c r="H796" s="454"/>
      <c r="I796" s="454"/>
      <c r="J796" s="640"/>
    </row>
    <row r="797" spans="1:10" x14ac:dyDescent="0.25">
      <c r="A797" s="648"/>
      <c r="B797" s="454"/>
      <c r="C797" s="454"/>
      <c r="D797" s="452"/>
      <c r="E797" s="452"/>
      <c r="F797" s="639"/>
      <c r="G797" s="644"/>
      <c r="H797" s="454"/>
      <c r="I797" s="454"/>
      <c r="J797" s="640"/>
    </row>
    <row r="798" spans="1:10" x14ac:dyDescent="0.25">
      <c r="A798" s="648"/>
      <c r="B798" s="454"/>
      <c r="C798" s="454"/>
      <c r="D798" s="452"/>
      <c r="E798" s="452"/>
      <c r="F798" s="639"/>
      <c r="G798" s="644"/>
      <c r="H798" s="454"/>
      <c r="I798" s="454"/>
      <c r="J798" s="640"/>
    </row>
    <row r="799" spans="1:10" x14ac:dyDescent="0.25">
      <c r="A799" s="648"/>
      <c r="B799" s="454"/>
      <c r="C799" s="648"/>
      <c r="D799" s="452"/>
      <c r="E799" s="452"/>
      <c r="F799" s="639"/>
      <c r="G799" s="644"/>
      <c r="H799" s="454"/>
      <c r="I799" s="454"/>
      <c r="J799" s="640"/>
    </row>
    <row r="800" spans="1:10" x14ac:dyDescent="0.25">
      <c r="A800" s="648"/>
      <c r="B800" s="454"/>
      <c r="C800" s="648"/>
      <c r="D800" s="452"/>
      <c r="E800" s="452"/>
      <c r="F800" s="639"/>
      <c r="G800" s="644"/>
      <c r="H800" s="454"/>
      <c r="I800" s="454"/>
      <c r="J800" s="640"/>
    </row>
    <row r="801" spans="1:10" x14ac:dyDescent="0.25">
      <c r="A801" s="648"/>
      <c r="B801" s="454"/>
      <c r="C801" s="648"/>
      <c r="D801" s="452"/>
      <c r="E801" s="452"/>
      <c r="F801" s="639"/>
      <c r="G801" s="644"/>
      <c r="H801" s="454"/>
      <c r="I801" s="454"/>
      <c r="J801" s="640"/>
    </row>
    <row r="802" spans="1:10" x14ac:dyDescent="0.25">
      <c r="A802" s="648"/>
      <c r="B802" s="454"/>
      <c r="C802" s="648"/>
      <c r="D802" s="452"/>
      <c r="E802" s="452"/>
      <c r="F802" s="639"/>
      <c r="G802" s="644"/>
      <c r="H802" s="454"/>
      <c r="I802" s="454"/>
      <c r="J802" s="640"/>
    </row>
    <row r="803" spans="1:10" x14ac:dyDescent="0.25">
      <c r="A803" s="648"/>
      <c r="B803" s="454"/>
      <c r="C803" s="648"/>
      <c r="D803" s="452"/>
      <c r="E803" s="452"/>
      <c r="F803" s="639"/>
      <c r="G803" s="644"/>
      <c r="H803" s="454"/>
      <c r="I803" s="454"/>
      <c r="J803" s="640"/>
    </row>
    <row r="804" spans="1:10" x14ac:dyDescent="0.25">
      <c r="A804" s="648"/>
      <c r="B804" s="454"/>
      <c r="C804" s="648"/>
      <c r="D804" s="452"/>
      <c r="E804" s="452"/>
      <c r="F804" s="639"/>
      <c r="G804" s="644"/>
      <c r="H804" s="454"/>
      <c r="I804" s="454"/>
      <c r="J804" s="640"/>
    </row>
    <row r="805" spans="1:10" x14ac:dyDescent="0.25">
      <c r="A805" s="648"/>
      <c r="B805" s="454"/>
      <c r="C805" s="648"/>
      <c r="D805" s="452"/>
      <c r="E805" s="452"/>
      <c r="F805" s="639"/>
      <c r="G805" s="644"/>
      <c r="H805" s="454"/>
      <c r="I805" s="454"/>
      <c r="J805" s="640"/>
    </row>
    <row r="806" spans="1:10" x14ac:dyDescent="0.25">
      <c r="A806" s="648"/>
      <c r="B806" s="454"/>
      <c r="C806" s="648"/>
      <c r="D806" s="452"/>
      <c r="E806" s="452"/>
      <c r="F806" s="639"/>
      <c r="G806" s="644"/>
      <c r="H806" s="454"/>
      <c r="I806" s="454"/>
      <c r="J806" s="640"/>
    </row>
    <row r="807" spans="1:10" x14ac:dyDescent="0.25">
      <c r="A807" s="648"/>
      <c r="B807" s="454"/>
      <c r="C807" s="648"/>
      <c r="D807" s="452"/>
      <c r="E807" s="452"/>
      <c r="F807" s="639"/>
      <c r="G807" s="644"/>
      <c r="H807" s="454"/>
      <c r="I807" s="454"/>
      <c r="J807" s="640"/>
    </row>
    <row r="808" spans="1:10" x14ac:dyDescent="0.25">
      <c r="A808" s="648"/>
      <c r="B808" s="454"/>
      <c r="C808" s="648"/>
      <c r="D808" s="452"/>
      <c r="E808" s="452"/>
      <c r="F808" s="639"/>
      <c r="G808" s="644"/>
      <c r="H808" s="454"/>
      <c r="I808" s="454"/>
      <c r="J808" s="640"/>
    </row>
    <row r="809" spans="1:10" x14ac:dyDescent="0.25">
      <c r="A809" s="648"/>
      <c r="B809" s="454"/>
      <c r="C809" s="454"/>
      <c r="D809" s="452"/>
      <c r="E809" s="452"/>
      <c r="F809" s="639"/>
      <c r="G809" s="644"/>
      <c r="H809" s="454"/>
      <c r="I809" s="454"/>
      <c r="J809" s="640"/>
    </row>
    <row r="810" spans="1:10" x14ac:dyDescent="0.25">
      <c r="A810" s="648"/>
      <c r="B810" s="454"/>
      <c r="C810" s="454"/>
      <c r="D810" s="452"/>
      <c r="E810" s="452"/>
      <c r="F810" s="639"/>
      <c r="G810" s="644"/>
      <c r="H810" s="454"/>
      <c r="I810" s="454"/>
      <c r="J810" s="640"/>
    </row>
    <row r="811" spans="1:10" x14ac:dyDescent="0.25">
      <c r="A811" s="648"/>
      <c r="B811" s="454"/>
      <c r="C811" s="648"/>
      <c r="D811" s="452"/>
      <c r="E811" s="452"/>
      <c r="F811" s="639"/>
      <c r="G811" s="750"/>
      <c r="H811" s="454"/>
      <c r="I811" s="454"/>
      <c r="J811" s="640"/>
    </row>
    <row r="812" spans="1:10" x14ac:dyDescent="0.25">
      <c r="A812" s="648"/>
      <c r="B812" s="454"/>
      <c r="C812" s="648"/>
      <c r="D812" s="452"/>
      <c r="E812" s="452"/>
      <c r="F812" s="639"/>
      <c r="G812" s="750"/>
      <c r="H812" s="454"/>
      <c r="I812" s="454"/>
      <c r="J812" s="640"/>
    </row>
    <row r="813" spans="1:10" x14ac:dyDescent="0.25">
      <c r="A813" s="648"/>
      <c r="B813" s="454"/>
      <c r="C813" s="648"/>
      <c r="D813" s="452"/>
      <c r="E813" s="452"/>
      <c r="F813" s="639"/>
      <c r="G813" s="750"/>
      <c r="H813" s="454"/>
      <c r="I813" s="454"/>
      <c r="J813" s="640"/>
    </row>
    <row r="814" spans="1:10" x14ac:dyDescent="0.25">
      <c r="A814" s="648"/>
      <c r="B814" s="454"/>
      <c r="C814" s="648"/>
      <c r="D814" s="452"/>
      <c r="E814" s="452"/>
      <c r="F814" s="639"/>
      <c r="G814" s="750"/>
      <c r="H814" s="454"/>
      <c r="I814" s="454"/>
      <c r="J814" s="640"/>
    </row>
    <row r="815" spans="1:10" x14ac:dyDescent="0.25">
      <c r="A815" s="648"/>
      <c r="B815" s="454"/>
      <c r="C815" s="648"/>
      <c r="D815" s="452"/>
      <c r="E815" s="452"/>
      <c r="F815" s="639"/>
      <c r="G815" s="750"/>
      <c r="H815" s="454"/>
      <c r="I815" s="454"/>
      <c r="J815" s="640"/>
    </row>
    <row r="816" spans="1:10" x14ac:dyDescent="0.25">
      <c r="A816" s="648"/>
      <c r="B816" s="454"/>
      <c r="C816" s="648"/>
      <c r="D816" s="452"/>
      <c r="E816" s="452"/>
      <c r="F816" s="639"/>
      <c r="G816" s="750"/>
      <c r="H816" s="454"/>
      <c r="I816" s="454"/>
      <c r="J816" s="640"/>
    </row>
    <row r="817" spans="1:10" x14ac:dyDescent="0.25">
      <c r="A817" s="648"/>
      <c r="B817" s="454"/>
      <c r="C817" s="648"/>
      <c r="D817" s="452"/>
      <c r="E817" s="452"/>
      <c r="F817" s="639"/>
      <c r="G817" s="750"/>
      <c r="H817" s="454"/>
      <c r="I817" s="454"/>
      <c r="J817" s="640"/>
    </row>
    <row r="818" spans="1:10" x14ac:dyDescent="0.25">
      <c r="A818" s="648"/>
      <c r="B818" s="454"/>
      <c r="C818" s="454"/>
      <c r="D818" s="452"/>
      <c r="E818" s="452"/>
      <c r="F818" s="639"/>
      <c r="G818" s="644"/>
      <c r="H818" s="454"/>
      <c r="I818" s="454"/>
      <c r="J818" s="640"/>
    </row>
    <row r="819" spans="1:10" x14ac:dyDescent="0.25">
      <c r="A819" s="648"/>
      <c r="B819" s="454"/>
      <c r="C819" s="454"/>
      <c r="D819" s="452"/>
      <c r="E819" s="452"/>
      <c r="F819" s="639"/>
      <c r="G819" s="644"/>
      <c r="H819" s="454"/>
      <c r="I819" s="454"/>
      <c r="J819" s="640"/>
    </row>
    <row r="820" spans="1:10" x14ac:dyDescent="0.25">
      <c r="A820" s="648"/>
      <c r="B820" s="454"/>
      <c r="C820" s="648"/>
      <c r="D820" s="452"/>
      <c r="E820" s="452"/>
      <c r="F820" s="639"/>
      <c r="G820" s="750"/>
      <c r="H820" s="454"/>
      <c r="I820" s="454"/>
      <c r="J820" s="640"/>
    </row>
    <row r="821" spans="1:10" x14ac:dyDescent="0.25">
      <c r="A821" s="648"/>
      <c r="B821" s="454"/>
      <c r="C821" s="648"/>
      <c r="D821" s="452"/>
      <c r="E821" s="452"/>
      <c r="F821" s="639"/>
      <c r="G821" s="750"/>
      <c r="H821" s="454"/>
      <c r="I821" s="454"/>
      <c r="J821" s="640"/>
    </row>
    <row r="822" spans="1:10" x14ac:dyDescent="0.25">
      <c r="A822" s="648"/>
      <c r="B822" s="454"/>
      <c r="C822" s="648"/>
      <c r="D822" s="452"/>
      <c r="E822" s="452"/>
      <c r="F822" s="639"/>
      <c r="G822" s="750"/>
      <c r="H822" s="454"/>
      <c r="I822" s="454"/>
      <c r="J822" s="640"/>
    </row>
    <row r="823" spans="1:10" x14ac:dyDescent="0.25">
      <c r="A823" s="648"/>
      <c r="B823" s="454"/>
      <c r="C823" s="648"/>
      <c r="D823" s="452"/>
      <c r="E823" s="452"/>
      <c r="F823" s="639"/>
      <c r="G823" s="644"/>
      <c r="H823" s="454"/>
      <c r="I823" s="454"/>
      <c r="J823" s="640"/>
    </row>
    <row r="824" spans="1:10" x14ac:dyDescent="0.25">
      <c r="A824" s="648"/>
      <c r="B824" s="454"/>
      <c r="C824" s="648"/>
      <c r="D824" s="452"/>
      <c r="E824" s="452"/>
      <c r="F824" s="639"/>
      <c r="G824" s="644"/>
      <c r="H824" s="454"/>
      <c r="I824" s="454"/>
      <c r="J824" s="640"/>
    </row>
    <row r="825" spans="1:10" x14ac:dyDescent="0.25">
      <c r="A825" s="648"/>
      <c r="B825" s="454"/>
      <c r="C825" s="454"/>
      <c r="D825" s="452"/>
      <c r="E825" s="452"/>
      <c r="F825" s="639"/>
      <c r="G825" s="644"/>
      <c r="H825" s="454"/>
      <c r="I825" s="454"/>
      <c r="J825" s="640"/>
    </row>
    <row r="826" spans="1:10" x14ac:dyDescent="0.25">
      <c r="A826" s="648"/>
      <c r="B826" s="454"/>
      <c r="C826" s="454"/>
      <c r="D826" s="452"/>
      <c r="E826" s="452"/>
      <c r="F826" s="639"/>
      <c r="G826" s="644"/>
      <c r="H826" s="454"/>
      <c r="I826" s="454"/>
      <c r="J826" s="640"/>
    </row>
    <row r="827" spans="1:10" x14ac:dyDescent="0.25">
      <c r="A827" s="648"/>
      <c r="B827" s="454"/>
      <c r="C827" s="648"/>
      <c r="D827" s="452"/>
      <c r="E827" s="452"/>
      <c r="F827" s="639"/>
      <c r="G827" s="644"/>
      <c r="H827" s="454"/>
      <c r="I827" s="454"/>
      <c r="J827" s="640"/>
    </row>
    <row r="828" spans="1:10" x14ac:dyDescent="0.25">
      <c r="A828" s="648"/>
      <c r="B828" s="454"/>
      <c r="C828" s="454"/>
      <c r="D828" s="452"/>
      <c r="E828" s="452"/>
      <c r="F828" s="639"/>
      <c r="G828" s="644"/>
      <c r="H828" s="454"/>
      <c r="I828" s="454"/>
      <c r="J828" s="640"/>
    </row>
    <row r="829" spans="1:10" x14ac:dyDescent="0.25">
      <c r="A829" s="648"/>
      <c r="B829" s="454"/>
      <c r="C829" s="454"/>
      <c r="D829" s="452"/>
      <c r="E829" s="452"/>
      <c r="F829" s="639"/>
      <c r="G829" s="644"/>
      <c r="H829" s="454"/>
      <c r="I829" s="454"/>
      <c r="J829" s="640"/>
    </row>
    <row r="830" spans="1:10" x14ac:dyDescent="0.25">
      <c r="A830" s="648"/>
      <c r="B830" s="454"/>
      <c r="C830" s="648"/>
      <c r="D830" s="452"/>
      <c r="E830" s="452"/>
      <c r="F830" s="639"/>
      <c r="G830" s="644"/>
      <c r="H830" s="454"/>
      <c r="I830" s="454"/>
      <c r="J830" s="640"/>
    </row>
    <row r="831" spans="1:10" x14ac:dyDescent="0.25">
      <c r="A831" s="648"/>
      <c r="B831" s="454"/>
      <c r="C831" s="648"/>
      <c r="D831" s="452"/>
      <c r="E831" s="452"/>
      <c r="F831" s="639"/>
      <c r="G831" s="644"/>
      <c r="H831" s="454"/>
      <c r="I831" s="454"/>
      <c r="J831" s="640"/>
    </row>
    <row r="832" spans="1:10" x14ac:dyDescent="0.25">
      <c r="A832" s="648"/>
      <c r="B832" s="454"/>
      <c r="C832" s="648"/>
      <c r="D832" s="452"/>
      <c r="E832" s="452"/>
      <c r="F832" s="639"/>
      <c r="G832" s="644"/>
      <c r="H832" s="454"/>
      <c r="I832" s="454"/>
      <c r="J832" s="640"/>
    </row>
    <row r="833" spans="1:10" x14ac:dyDescent="0.25">
      <c r="A833" s="648"/>
      <c r="B833" s="454"/>
      <c r="C833" s="648"/>
      <c r="D833" s="452"/>
      <c r="E833" s="452"/>
      <c r="F833" s="639"/>
      <c r="G833" s="644"/>
      <c r="H833" s="454"/>
      <c r="I833" s="454"/>
      <c r="J833" s="640"/>
    </row>
    <row r="834" spans="1:10" x14ac:dyDescent="0.25">
      <c r="A834" s="648"/>
      <c r="B834" s="454"/>
      <c r="C834" s="648"/>
      <c r="D834" s="452"/>
      <c r="E834" s="452"/>
      <c r="F834" s="639"/>
      <c r="G834" s="644"/>
      <c r="H834" s="454"/>
      <c r="I834" s="454"/>
      <c r="J834" s="640"/>
    </row>
    <row r="835" spans="1:10" x14ac:dyDescent="0.25">
      <c r="A835" s="648"/>
      <c r="B835" s="454"/>
      <c r="C835" s="454"/>
      <c r="D835" s="452"/>
      <c r="E835" s="452"/>
      <c r="F835" s="639"/>
      <c r="G835" s="644"/>
      <c r="H835" s="454"/>
      <c r="I835" s="454"/>
      <c r="J835" s="640"/>
    </row>
    <row r="836" spans="1:10" x14ac:dyDescent="0.25">
      <c r="A836" s="648"/>
      <c r="B836" s="454"/>
      <c r="C836" s="454"/>
      <c r="D836" s="452"/>
      <c r="E836" s="452"/>
      <c r="F836" s="639"/>
      <c r="G836" s="644"/>
      <c r="H836" s="454"/>
      <c r="I836" s="454"/>
      <c r="J836" s="640"/>
    </row>
    <row r="837" spans="1:10" x14ac:dyDescent="0.25">
      <c r="A837" s="648"/>
      <c r="B837" s="454"/>
      <c r="C837" s="648"/>
      <c r="D837" s="454"/>
      <c r="E837" s="454"/>
      <c r="F837" s="640"/>
      <c r="G837" s="546"/>
      <c r="H837" s="454"/>
      <c r="I837" s="454"/>
      <c r="J837" s="640"/>
    </row>
    <row r="838" spans="1:10" x14ac:dyDescent="0.25">
      <c r="A838" s="648"/>
      <c r="B838" s="454"/>
      <c r="C838" s="648"/>
      <c r="D838" s="454"/>
      <c r="E838" s="454"/>
      <c r="F838" s="640"/>
      <c r="G838" s="546"/>
      <c r="H838" s="454"/>
      <c r="I838" s="454"/>
      <c r="J838" s="640"/>
    </row>
    <row r="839" spans="1:10" x14ac:dyDescent="0.25">
      <c r="A839" s="648"/>
      <c r="B839" s="454"/>
      <c r="C839" s="648"/>
      <c r="D839" s="454"/>
      <c r="E839" s="454"/>
      <c r="F839" s="640"/>
      <c r="G839" s="546"/>
      <c r="H839" s="454"/>
      <c r="I839" s="454"/>
      <c r="J839" s="640"/>
    </row>
    <row r="840" spans="1:10" x14ac:dyDescent="0.25">
      <c r="A840" s="648"/>
      <c r="B840" s="454"/>
      <c r="C840" s="648"/>
      <c r="D840" s="454"/>
      <c r="E840" s="454"/>
      <c r="F840" s="640"/>
      <c r="G840" s="546"/>
      <c r="H840" s="454"/>
      <c r="I840" s="454"/>
      <c r="J840" s="640"/>
    </row>
    <row r="841" spans="1:10" x14ac:dyDescent="0.25">
      <c r="A841" s="648"/>
      <c r="B841" s="454"/>
      <c r="C841" s="648"/>
      <c r="D841" s="454"/>
      <c r="E841" s="454"/>
      <c r="F841" s="640"/>
      <c r="G841" s="546"/>
      <c r="H841" s="454"/>
      <c r="I841" s="454"/>
      <c r="J841" s="640"/>
    </row>
    <row r="842" spans="1:10" x14ac:dyDescent="0.25">
      <c r="A842" s="648"/>
      <c r="B842" s="454"/>
      <c r="C842" s="648"/>
      <c r="D842" s="454"/>
      <c r="E842" s="454"/>
      <c r="F842" s="640"/>
      <c r="G842" s="546"/>
      <c r="H842" s="454"/>
      <c r="I842" s="454"/>
      <c r="J842" s="640"/>
    </row>
    <row r="843" spans="1:10" x14ac:dyDescent="0.25">
      <c r="A843" s="648"/>
      <c r="B843" s="454"/>
      <c r="C843" s="648"/>
      <c r="D843" s="454"/>
      <c r="E843" s="454"/>
      <c r="F843" s="640"/>
      <c r="G843" s="546"/>
      <c r="H843" s="454"/>
      <c r="I843" s="454"/>
      <c r="J843" s="640"/>
    </row>
    <row r="844" spans="1:10" x14ac:dyDescent="0.25">
      <c r="A844" s="648"/>
      <c r="B844" s="454"/>
      <c r="C844" s="648"/>
      <c r="D844" s="454"/>
      <c r="E844" s="454"/>
      <c r="F844" s="640"/>
      <c r="G844" s="546"/>
      <c r="H844" s="454"/>
      <c r="I844" s="454"/>
      <c r="J844" s="640"/>
    </row>
    <row r="845" spans="1:10" x14ac:dyDescent="0.25">
      <c r="A845" s="648"/>
      <c r="B845" s="454"/>
      <c r="C845" s="648"/>
      <c r="D845" s="454"/>
      <c r="E845" s="454"/>
      <c r="F845" s="640"/>
      <c r="G845" s="546"/>
      <c r="H845" s="454"/>
      <c r="I845" s="454"/>
      <c r="J845" s="640"/>
    </row>
    <row r="846" spans="1:10" x14ac:dyDescent="0.25">
      <c r="A846" s="648"/>
      <c r="B846" s="454"/>
      <c r="C846" s="454"/>
      <c r="D846" s="452"/>
      <c r="E846" s="452"/>
      <c r="F846" s="639"/>
      <c r="G846" s="644"/>
      <c r="H846" s="454"/>
      <c r="I846" s="454"/>
      <c r="J846" s="640"/>
    </row>
    <row r="847" spans="1:10" x14ac:dyDescent="0.25">
      <c r="A847" s="648"/>
      <c r="B847" s="454"/>
      <c r="C847" s="454"/>
      <c r="D847" s="452"/>
      <c r="E847" s="452"/>
      <c r="F847" s="639"/>
      <c r="G847" s="644"/>
      <c r="H847" s="454"/>
      <c r="I847" s="454"/>
      <c r="J847" s="640"/>
    </row>
    <row r="848" spans="1:10" x14ac:dyDescent="0.25">
      <c r="A848" s="648"/>
      <c r="B848" s="454"/>
      <c r="C848" s="648"/>
      <c r="D848" s="454"/>
      <c r="E848" s="454"/>
      <c r="F848" s="640"/>
      <c r="G848" s="546"/>
      <c r="H848" s="454"/>
      <c r="I848" s="454"/>
      <c r="J848" s="640"/>
    </row>
    <row r="849" spans="1:10" x14ac:dyDescent="0.25">
      <c r="A849" s="648"/>
      <c r="B849" s="454"/>
      <c r="C849" s="648"/>
      <c r="D849" s="452"/>
      <c r="E849" s="452"/>
      <c r="F849" s="639"/>
      <c r="G849" s="750"/>
      <c r="H849" s="454"/>
      <c r="I849" s="454"/>
      <c r="J849" s="640"/>
    </row>
    <row r="850" spans="1:10" x14ac:dyDescent="0.25">
      <c r="A850" s="648"/>
      <c r="B850" s="454"/>
      <c r="C850" s="648"/>
      <c r="D850" s="452"/>
      <c r="E850" s="452"/>
      <c r="F850" s="639"/>
      <c r="G850" s="750"/>
      <c r="H850" s="454"/>
      <c r="I850" s="454"/>
      <c r="J850" s="640"/>
    </row>
    <row r="851" spans="1:10" x14ac:dyDescent="0.25">
      <c r="A851" s="648"/>
      <c r="B851" s="454"/>
      <c r="C851" s="648"/>
      <c r="D851" s="452"/>
      <c r="E851" s="452"/>
      <c r="F851" s="639"/>
      <c r="G851" s="750"/>
      <c r="H851" s="454"/>
      <c r="I851" s="454"/>
      <c r="J851" s="640"/>
    </row>
    <row r="852" spans="1:10" x14ac:dyDescent="0.25">
      <c r="A852" s="648"/>
      <c r="B852" s="454"/>
      <c r="C852" s="648"/>
      <c r="D852" s="452"/>
      <c r="E852" s="452"/>
      <c r="F852" s="639"/>
      <c r="G852" s="750"/>
      <c r="H852" s="454"/>
      <c r="I852" s="454"/>
      <c r="J852" s="640"/>
    </row>
    <row r="853" spans="1:10" x14ac:dyDescent="0.25">
      <c r="A853" s="648"/>
      <c r="B853" s="454"/>
      <c r="C853" s="648"/>
      <c r="D853" s="452"/>
      <c r="E853" s="452"/>
      <c r="F853" s="639"/>
      <c r="G853" s="750"/>
      <c r="H853" s="454"/>
      <c r="I853" s="454"/>
      <c r="J853" s="640"/>
    </row>
    <row r="854" spans="1:10" x14ac:dyDescent="0.25">
      <c r="A854" s="648"/>
      <c r="B854" s="454"/>
      <c r="C854" s="648"/>
      <c r="D854" s="452"/>
      <c r="E854" s="452"/>
      <c r="F854" s="639"/>
      <c r="G854" s="750"/>
      <c r="H854" s="454"/>
      <c r="I854" s="454"/>
      <c r="J854" s="640"/>
    </row>
    <row r="855" spans="1:10" x14ac:dyDescent="0.25">
      <c r="A855" s="648"/>
      <c r="B855" s="454"/>
      <c r="C855" s="648"/>
      <c r="D855" s="452"/>
      <c r="E855" s="452"/>
      <c r="F855" s="639"/>
      <c r="G855" s="750"/>
      <c r="H855" s="454"/>
      <c r="I855" s="454"/>
      <c r="J855" s="640"/>
    </row>
    <row r="856" spans="1:10" x14ac:dyDescent="0.25">
      <c r="A856" s="648"/>
      <c r="B856" s="454"/>
      <c r="C856" s="648"/>
      <c r="D856" s="452"/>
      <c r="E856" s="452"/>
      <c r="F856" s="639"/>
      <c r="G856" s="750"/>
      <c r="H856" s="454"/>
      <c r="I856" s="454"/>
      <c r="J856" s="640"/>
    </row>
    <row r="857" spans="1:10" x14ac:dyDescent="0.25">
      <c r="A857" s="648"/>
      <c r="B857" s="454"/>
      <c r="C857" s="648"/>
      <c r="D857" s="454"/>
      <c r="E857" s="454"/>
      <c r="F857" s="640"/>
      <c r="G857" s="546"/>
      <c r="H857" s="454"/>
      <c r="I857" s="454"/>
      <c r="J857" s="640"/>
    </row>
    <row r="858" spans="1:10" x14ac:dyDescent="0.25">
      <c r="A858" s="648"/>
      <c r="B858" s="454"/>
      <c r="C858" s="648"/>
      <c r="D858" s="454"/>
      <c r="E858" s="454"/>
      <c r="F858" s="640"/>
      <c r="G858" s="546"/>
      <c r="H858" s="454"/>
      <c r="I858" s="454"/>
      <c r="J858" s="640"/>
    </row>
    <row r="859" spans="1:10" x14ac:dyDescent="0.25">
      <c r="A859" s="648"/>
      <c r="B859" s="454"/>
      <c r="C859" s="648"/>
      <c r="D859" s="454"/>
      <c r="E859" s="454"/>
      <c r="F859" s="640"/>
      <c r="G859" s="546"/>
      <c r="H859" s="454"/>
      <c r="I859" s="454"/>
      <c r="J859" s="640"/>
    </row>
    <row r="860" spans="1:10" x14ac:dyDescent="0.25">
      <c r="A860" s="648"/>
      <c r="B860" s="454"/>
      <c r="C860" s="648"/>
      <c r="D860" s="454"/>
      <c r="E860" s="454"/>
      <c r="F860" s="640"/>
      <c r="G860" s="546"/>
      <c r="H860" s="454"/>
      <c r="I860" s="454"/>
      <c r="J860" s="640"/>
    </row>
    <row r="861" spans="1:10" x14ac:dyDescent="0.25">
      <c r="A861" s="648"/>
      <c r="B861" s="454"/>
      <c r="C861" s="648"/>
      <c r="D861" s="452"/>
      <c r="E861" s="452"/>
      <c r="F861" s="639"/>
      <c r="G861" s="750"/>
      <c r="H861" s="454"/>
      <c r="I861" s="454"/>
      <c r="J861" s="640"/>
    </row>
    <row r="862" spans="1:10" x14ac:dyDescent="0.25">
      <c r="A862" s="648"/>
      <c r="B862" s="454"/>
      <c r="C862" s="648"/>
      <c r="D862" s="452"/>
      <c r="E862" s="452"/>
      <c r="F862" s="639"/>
      <c r="G862" s="750"/>
      <c r="H862" s="454"/>
      <c r="I862" s="454"/>
      <c r="J862" s="640"/>
    </row>
    <row r="863" spans="1:10" x14ac:dyDescent="0.25">
      <c r="A863" s="648"/>
      <c r="B863" s="454"/>
      <c r="C863" s="648"/>
      <c r="D863" s="452"/>
      <c r="E863" s="452"/>
      <c r="F863" s="639"/>
      <c r="G863" s="750"/>
      <c r="H863" s="454"/>
      <c r="I863" s="454"/>
      <c r="J863" s="640"/>
    </row>
    <row r="864" spans="1:10" x14ac:dyDescent="0.25">
      <c r="A864" s="648"/>
      <c r="B864" s="454"/>
      <c r="C864" s="648"/>
      <c r="D864" s="452"/>
      <c r="E864" s="452"/>
      <c r="F864" s="639"/>
      <c r="G864" s="750"/>
      <c r="H864" s="454"/>
      <c r="I864" s="454"/>
      <c r="J864" s="640"/>
    </row>
    <row r="865" spans="1:10" x14ac:dyDescent="0.25">
      <c r="A865" s="648"/>
      <c r="B865" s="454"/>
      <c r="C865" s="648"/>
      <c r="D865" s="452"/>
      <c r="E865" s="452"/>
      <c r="F865" s="639"/>
      <c r="G865" s="750"/>
      <c r="H865" s="454"/>
      <c r="I865" s="454"/>
      <c r="J865" s="640"/>
    </row>
    <row r="866" spans="1:10" x14ac:dyDescent="0.25">
      <c r="A866" s="648"/>
      <c r="B866" s="454"/>
      <c r="C866" s="648"/>
      <c r="D866" s="452"/>
      <c r="E866" s="452"/>
      <c r="F866" s="639"/>
      <c r="G866" s="750"/>
      <c r="H866" s="454"/>
      <c r="I866" s="454"/>
      <c r="J866" s="640"/>
    </row>
    <row r="867" spans="1:10" x14ac:dyDescent="0.25">
      <c r="A867" s="648"/>
      <c r="B867" s="454"/>
      <c r="C867" s="648"/>
      <c r="D867" s="452"/>
      <c r="E867" s="452"/>
      <c r="F867" s="639"/>
      <c r="G867" s="750"/>
      <c r="H867" s="454"/>
      <c r="I867" s="454"/>
      <c r="J867" s="640"/>
    </row>
    <row r="868" spans="1:10" x14ac:dyDescent="0.25">
      <c r="A868" s="648"/>
      <c r="B868" s="454"/>
      <c r="C868" s="648"/>
      <c r="D868" s="452"/>
      <c r="E868" s="452"/>
      <c r="F868" s="639"/>
      <c r="G868" s="750"/>
      <c r="H868" s="454"/>
      <c r="I868" s="454"/>
      <c r="J868" s="640"/>
    </row>
    <row r="869" spans="1:10" x14ac:dyDescent="0.25">
      <c r="A869" s="648"/>
      <c r="B869" s="454"/>
      <c r="C869" s="648"/>
      <c r="D869" s="452"/>
      <c r="E869" s="452"/>
      <c r="F869" s="639"/>
      <c r="G869" s="750"/>
      <c r="H869" s="454"/>
      <c r="I869" s="454"/>
      <c r="J869" s="640"/>
    </row>
    <row r="870" spans="1:10" x14ac:dyDescent="0.25">
      <c r="A870" s="648"/>
      <c r="B870" s="454"/>
      <c r="C870" s="648"/>
      <c r="D870" s="452"/>
      <c r="E870" s="452"/>
      <c r="F870" s="639"/>
      <c r="G870" s="750"/>
      <c r="H870" s="454"/>
      <c r="I870" s="454"/>
      <c r="J870" s="640"/>
    </row>
    <row r="871" spans="1:10" x14ac:dyDescent="0.25">
      <c r="A871" s="648"/>
      <c r="B871" s="454"/>
      <c r="C871" s="648"/>
      <c r="D871" s="452"/>
      <c r="E871" s="452"/>
      <c r="F871" s="639"/>
      <c r="G871" s="750"/>
      <c r="H871" s="454"/>
      <c r="I871" s="454"/>
      <c r="J871" s="640"/>
    </row>
    <row r="872" spans="1:10" x14ac:dyDescent="0.25">
      <c r="A872" s="648"/>
      <c r="B872" s="454"/>
      <c r="C872" s="648"/>
      <c r="D872" s="452"/>
      <c r="E872" s="452"/>
      <c r="F872" s="639"/>
      <c r="G872" s="750"/>
      <c r="H872" s="454"/>
      <c r="I872" s="454"/>
      <c r="J872" s="640"/>
    </row>
    <row r="873" spans="1:10" x14ac:dyDescent="0.25">
      <c r="A873" s="648"/>
      <c r="B873" s="454"/>
      <c r="C873" s="648"/>
      <c r="D873" s="452"/>
      <c r="E873" s="452"/>
      <c r="F873" s="639"/>
      <c r="G873" s="750"/>
      <c r="H873" s="454"/>
      <c r="I873" s="454"/>
      <c r="J873" s="640"/>
    </row>
    <row r="874" spans="1:10" x14ac:dyDescent="0.25">
      <c r="A874" s="648"/>
      <c r="B874" s="454"/>
      <c r="C874" s="648"/>
      <c r="D874" s="452"/>
      <c r="E874" s="452"/>
      <c r="F874" s="639"/>
      <c r="G874" s="750"/>
      <c r="H874" s="454"/>
      <c r="I874" s="454"/>
      <c r="J874" s="640"/>
    </row>
    <row r="875" spans="1:10" x14ac:dyDescent="0.25">
      <c r="A875" s="648"/>
      <c r="B875" s="454"/>
      <c r="C875" s="648"/>
      <c r="D875" s="452"/>
      <c r="E875" s="452"/>
      <c r="F875" s="639"/>
      <c r="G875" s="750"/>
      <c r="H875" s="454"/>
      <c r="I875" s="454"/>
      <c r="J875" s="640"/>
    </row>
    <row r="876" spans="1:10" x14ac:dyDescent="0.25">
      <c r="A876" s="648"/>
      <c r="B876" s="454"/>
      <c r="C876" s="648"/>
      <c r="D876" s="452"/>
      <c r="E876" s="452"/>
      <c r="F876" s="639"/>
      <c r="G876" s="750"/>
      <c r="H876" s="454"/>
      <c r="I876" s="454"/>
      <c r="J876" s="640"/>
    </row>
    <row r="877" spans="1:10" x14ac:dyDescent="0.25">
      <c r="A877" s="648"/>
      <c r="B877" s="454"/>
      <c r="C877" s="648"/>
      <c r="D877" s="452"/>
      <c r="E877" s="452"/>
      <c r="F877" s="639"/>
      <c r="G877" s="750"/>
      <c r="H877" s="454"/>
      <c r="I877" s="454"/>
      <c r="J877" s="640"/>
    </row>
    <row r="878" spans="1:10" x14ac:dyDescent="0.25">
      <c r="A878" s="648"/>
      <c r="B878" s="454"/>
      <c r="C878" s="648"/>
      <c r="D878" s="452"/>
      <c r="E878" s="452"/>
      <c r="F878" s="639"/>
      <c r="G878" s="750"/>
      <c r="H878" s="454"/>
      <c r="I878" s="454"/>
      <c r="J878" s="640"/>
    </row>
    <row r="879" spans="1:10" x14ac:dyDescent="0.25">
      <c r="A879" s="648"/>
      <c r="B879" s="454"/>
      <c r="C879" s="648"/>
      <c r="D879" s="452"/>
      <c r="E879" s="452"/>
      <c r="F879" s="639"/>
      <c r="G879" s="750"/>
      <c r="H879" s="454"/>
      <c r="I879" s="454"/>
      <c r="J879" s="640"/>
    </row>
    <row r="880" spans="1:10" x14ac:dyDescent="0.25">
      <c r="A880" s="648"/>
      <c r="B880" s="454"/>
      <c r="C880" s="648"/>
      <c r="D880" s="452"/>
      <c r="E880" s="452"/>
      <c r="F880" s="639"/>
      <c r="G880" s="750"/>
      <c r="H880" s="454"/>
      <c r="I880" s="454"/>
      <c r="J880" s="640"/>
    </row>
    <row r="881" spans="1:10" x14ac:dyDescent="0.25">
      <c r="A881" s="648"/>
      <c r="B881" s="454"/>
      <c r="C881" s="648"/>
      <c r="D881" s="452"/>
      <c r="E881" s="452"/>
      <c r="F881" s="639"/>
      <c r="G881" s="750"/>
      <c r="H881" s="454"/>
      <c r="I881" s="454"/>
      <c r="J881" s="640"/>
    </row>
    <row r="882" spans="1:10" x14ac:dyDescent="0.25">
      <c r="A882" s="648"/>
      <c r="B882" s="454"/>
      <c r="C882" s="648"/>
      <c r="D882" s="452"/>
      <c r="E882" s="452"/>
      <c r="F882" s="639"/>
      <c r="G882" s="750"/>
      <c r="H882" s="454"/>
      <c r="I882" s="454"/>
      <c r="J882" s="640"/>
    </row>
    <row r="883" spans="1:10" x14ac:dyDescent="0.25">
      <c r="A883" s="648"/>
      <c r="B883" s="454"/>
      <c r="C883" s="648"/>
      <c r="D883" s="452"/>
      <c r="E883" s="452"/>
      <c r="F883" s="639"/>
      <c r="G883" s="750"/>
      <c r="H883" s="454"/>
      <c r="I883" s="454"/>
      <c r="J883" s="640"/>
    </row>
    <row r="884" spans="1:10" x14ac:dyDescent="0.25">
      <c r="A884" s="648"/>
      <c r="B884" s="454"/>
      <c r="C884" s="648"/>
      <c r="D884" s="452"/>
      <c r="E884" s="452"/>
      <c r="F884" s="639"/>
      <c r="G884" s="750"/>
      <c r="H884" s="454"/>
      <c r="I884" s="454"/>
      <c r="J884" s="640"/>
    </row>
    <row r="885" spans="1:10" x14ac:dyDescent="0.25">
      <c r="A885" s="648"/>
      <c r="B885" s="454"/>
      <c r="C885" s="648"/>
      <c r="D885" s="452"/>
      <c r="E885" s="452"/>
      <c r="F885" s="639"/>
      <c r="G885" s="750"/>
      <c r="H885" s="454"/>
      <c r="I885" s="454"/>
      <c r="J885" s="640"/>
    </row>
    <row r="886" spans="1:10" x14ac:dyDescent="0.25">
      <c r="A886" s="648"/>
      <c r="B886" s="454"/>
      <c r="C886" s="648"/>
      <c r="D886" s="452"/>
      <c r="E886" s="452"/>
      <c r="F886" s="639"/>
      <c r="G886" s="750"/>
      <c r="H886" s="454"/>
      <c r="I886" s="454"/>
      <c r="J886" s="640"/>
    </row>
    <row r="887" spans="1:10" x14ac:dyDescent="0.25">
      <c r="A887" s="648"/>
      <c r="B887" s="454"/>
      <c r="C887" s="648"/>
      <c r="D887" s="452"/>
      <c r="E887" s="452"/>
      <c r="F887" s="639"/>
      <c r="G887" s="750"/>
      <c r="H887" s="454"/>
      <c r="I887" s="454"/>
      <c r="J887" s="640"/>
    </row>
    <row r="888" spans="1:10" x14ac:dyDescent="0.25">
      <c r="A888" s="648"/>
      <c r="B888" s="454"/>
      <c r="C888" s="648"/>
      <c r="D888" s="452"/>
      <c r="E888" s="452"/>
      <c r="F888" s="639"/>
      <c r="G888" s="750"/>
      <c r="H888" s="454"/>
      <c r="I888" s="454"/>
      <c r="J888" s="640"/>
    </row>
    <row r="889" spans="1:10" x14ac:dyDescent="0.25">
      <c r="A889" s="648"/>
      <c r="B889" s="454"/>
      <c r="C889" s="648"/>
      <c r="D889" s="452"/>
      <c r="E889" s="452"/>
      <c r="F889" s="639"/>
      <c r="G889" s="750"/>
      <c r="H889" s="454"/>
      <c r="I889" s="454"/>
      <c r="J889" s="640"/>
    </row>
    <row r="890" spans="1:10" x14ac:dyDescent="0.25">
      <c r="A890" s="648"/>
      <c r="B890" s="454"/>
      <c r="C890" s="648"/>
      <c r="D890" s="452"/>
      <c r="E890" s="452"/>
      <c r="F890" s="639"/>
      <c r="G890" s="750"/>
      <c r="H890" s="454"/>
      <c r="I890" s="454"/>
      <c r="J890" s="640"/>
    </row>
    <row r="891" spans="1:10" x14ac:dyDescent="0.25">
      <c r="A891" s="648"/>
      <c r="B891" s="454"/>
      <c r="C891" s="648"/>
      <c r="D891" s="452"/>
      <c r="E891" s="452"/>
      <c r="F891" s="639"/>
      <c r="G891" s="750"/>
      <c r="H891" s="454"/>
      <c r="I891" s="454"/>
      <c r="J891" s="640"/>
    </row>
    <row r="892" spans="1:10" x14ac:dyDescent="0.25">
      <c r="A892" s="648"/>
      <c r="B892" s="454"/>
      <c r="C892" s="648"/>
      <c r="D892" s="452"/>
      <c r="E892" s="452"/>
      <c r="F892" s="639"/>
      <c r="G892" s="750"/>
      <c r="H892" s="454"/>
      <c r="I892" s="454"/>
      <c r="J892" s="640"/>
    </row>
    <row r="893" spans="1:10" x14ac:dyDescent="0.25">
      <c r="A893" s="648"/>
      <c r="B893" s="454"/>
      <c r="C893" s="648"/>
      <c r="D893" s="452"/>
      <c r="E893" s="452"/>
      <c r="F893" s="639"/>
      <c r="G893" s="750"/>
      <c r="H893" s="454"/>
      <c r="I893" s="454"/>
      <c r="J893" s="640"/>
    </row>
    <row r="894" spans="1:10" x14ac:dyDescent="0.25">
      <c r="A894" s="648"/>
      <c r="B894" s="454"/>
      <c r="C894" s="648"/>
      <c r="D894" s="452"/>
      <c r="E894" s="452"/>
      <c r="F894" s="639"/>
      <c r="G894" s="750"/>
      <c r="H894" s="454"/>
      <c r="I894" s="454"/>
      <c r="J894" s="640"/>
    </row>
    <row r="895" spans="1:10" x14ac:dyDescent="0.25">
      <c r="A895" s="648"/>
      <c r="B895" s="454"/>
      <c r="C895" s="648"/>
      <c r="D895" s="454"/>
      <c r="E895" s="454"/>
      <c r="F895" s="640"/>
      <c r="G895" s="546"/>
      <c r="H895" s="454"/>
      <c r="I895" s="454"/>
      <c r="J895" s="640"/>
    </row>
    <row r="896" spans="1:10" x14ac:dyDescent="0.25">
      <c r="A896" s="648"/>
      <c r="B896" s="454"/>
      <c r="C896" s="648"/>
      <c r="D896" s="452"/>
      <c r="E896" s="452"/>
      <c r="F896" s="639"/>
      <c r="G896" s="750"/>
      <c r="H896" s="454"/>
      <c r="I896" s="454"/>
      <c r="J896" s="640"/>
    </row>
    <row r="897" spans="1:10" x14ac:dyDescent="0.25">
      <c r="A897" s="648"/>
      <c r="B897" s="454"/>
      <c r="C897" s="648"/>
      <c r="D897" s="452"/>
      <c r="E897" s="452"/>
      <c r="F897" s="639"/>
      <c r="G897" s="750"/>
      <c r="H897" s="454"/>
      <c r="I897" s="454"/>
      <c r="J897" s="640"/>
    </row>
    <row r="898" spans="1:10" x14ac:dyDescent="0.25">
      <c r="A898" s="648"/>
      <c r="B898" s="454"/>
      <c r="C898" s="648"/>
      <c r="D898" s="452"/>
      <c r="E898" s="452"/>
      <c r="F898" s="639"/>
      <c r="G898" s="750"/>
      <c r="H898" s="454"/>
      <c r="I898" s="454"/>
      <c r="J898" s="640"/>
    </row>
    <row r="899" spans="1:10" x14ac:dyDescent="0.25">
      <c r="A899" s="648"/>
      <c r="B899" s="454"/>
      <c r="C899" s="648"/>
      <c r="D899" s="452"/>
      <c r="E899" s="452"/>
      <c r="F899" s="639"/>
      <c r="G899" s="750"/>
      <c r="H899" s="454"/>
      <c r="I899" s="454"/>
      <c r="J899" s="640"/>
    </row>
    <row r="900" spans="1:10" x14ac:dyDescent="0.25">
      <c r="A900" s="648"/>
      <c r="B900" s="454"/>
      <c r="C900" s="648"/>
      <c r="D900" s="452"/>
      <c r="E900" s="452"/>
      <c r="F900" s="639"/>
      <c r="G900" s="750"/>
      <c r="H900" s="454"/>
      <c r="I900" s="454"/>
      <c r="J900" s="640"/>
    </row>
    <row r="901" spans="1:10" x14ac:dyDescent="0.25">
      <c r="A901" s="648"/>
      <c r="B901" s="454"/>
      <c r="C901" s="648"/>
      <c r="D901" s="452"/>
      <c r="E901" s="452"/>
      <c r="F901" s="639"/>
      <c r="G901" s="750"/>
      <c r="H901" s="454"/>
      <c r="I901" s="454"/>
      <c r="J901" s="640"/>
    </row>
    <row r="902" spans="1:10" x14ac:dyDescent="0.25">
      <c r="A902" s="648"/>
      <c r="B902" s="454"/>
      <c r="C902" s="648"/>
      <c r="D902" s="452"/>
      <c r="E902" s="452"/>
      <c r="F902" s="639"/>
      <c r="G902" s="750"/>
      <c r="H902" s="454"/>
      <c r="I902" s="454"/>
      <c r="J902" s="640"/>
    </row>
    <row r="903" spans="1:10" x14ac:dyDescent="0.25">
      <c r="A903" s="648"/>
      <c r="B903" s="454"/>
      <c r="C903" s="648"/>
      <c r="D903" s="452"/>
      <c r="E903" s="452"/>
      <c r="F903" s="639"/>
      <c r="G903" s="750"/>
      <c r="H903" s="454"/>
      <c r="I903" s="454"/>
      <c r="J903" s="640"/>
    </row>
    <row r="904" spans="1:10" x14ac:dyDescent="0.25">
      <c r="A904" s="648"/>
      <c r="B904" s="454"/>
      <c r="C904" s="648"/>
      <c r="D904" s="452"/>
      <c r="E904" s="452"/>
      <c r="F904" s="639"/>
      <c r="G904" s="750"/>
      <c r="H904" s="454"/>
      <c r="I904" s="454"/>
      <c r="J904" s="640"/>
    </row>
    <row r="905" spans="1:10" x14ac:dyDescent="0.25">
      <c r="A905" s="648"/>
      <c r="B905" s="454"/>
      <c r="C905" s="648"/>
      <c r="D905" s="452"/>
      <c r="E905" s="452"/>
      <c r="F905" s="639"/>
      <c r="G905" s="750"/>
      <c r="H905" s="454"/>
      <c r="I905" s="454"/>
      <c r="J905" s="640"/>
    </row>
    <row r="906" spans="1:10" x14ac:dyDescent="0.25">
      <c r="A906" s="648"/>
      <c r="B906" s="454"/>
      <c r="C906" s="648"/>
      <c r="D906" s="452"/>
      <c r="E906" s="452"/>
      <c r="F906" s="639"/>
      <c r="G906" s="750"/>
      <c r="H906" s="454"/>
      <c r="I906" s="454"/>
      <c r="J906" s="640"/>
    </row>
    <row r="907" spans="1:10" x14ac:dyDescent="0.25">
      <c r="A907" s="648"/>
      <c r="B907" s="454"/>
      <c r="C907" s="648"/>
      <c r="D907" s="452"/>
      <c r="E907" s="452"/>
      <c r="F907" s="639"/>
      <c r="G907" s="750"/>
      <c r="H907" s="454"/>
      <c r="I907" s="454"/>
      <c r="J907" s="640"/>
    </row>
    <row r="908" spans="1:10" x14ac:dyDescent="0.25">
      <c r="A908" s="648"/>
      <c r="B908" s="454"/>
      <c r="C908" s="648"/>
      <c r="D908" s="452"/>
      <c r="E908" s="452"/>
      <c r="F908" s="639"/>
      <c r="G908" s="750"/>
      <c r="H908" s="454"/>
      <c r="I908" s="454"/>
      <c r="J908" s="640"/>
    </row>
    <row r="909" spans="1:10" x14ac:dyDescent="0.25">
      <c r="A909" s="648"/>
      <c r="B909" s="454"/>
      <c r="C909" s="648"/>
      <c r="D909" s="452"/>
      <c r="E909" s="452"/>
      <c r="F909" s="639"/>
      <c r="G909" s="750"/>
      <c r="H909" s="454"/>
      <c r="I909" s="454"/>
      <c r="J909" s="640"/>
    </row>
    <row r="910" spans="1:10" x14ac:dyDescent="0.25">
      <c r="A910" s="648"/>
      <c r="B910" s="454"/>
      <c r="C910" s="648"/>
      <c r="D910" s="452"/>
      <c r="E910" s="452"/>
      <c r="F910" s="639"/>
      <c r="G910" s="750"/>
      <c r="H910" s="454"/>
      <c r="I910" s="454"/>
      <c r="J910" s="640"/>
    </row>
    <row r="911" spans="1:10" x14ac:dyDescent="0.25">
      <c r="A911" s="648"/>
      <c r="B911" s="454"/>
      <c r="C911" s="648"/>
      <c r="D911" s="452"/>
      <c r="E911" s="452"/>
      <c r="F911" s="639"/>
      <c r="G911" s="750"/>
      <c r="H911" s="454"/>
      <c r="I911" s="454"/>
      <c r="J911" s="640"/>
    </row>
    <row r="912" spans="1:10" x14ac:dyDescent="0.25">
      <c r="A912" s="648"/>
      <c r="B912" s="454"/>
      <c r="C912" s="648"/>
      <c r="D912" s="452"/>
      <c r="E912" s="452"/>
      <c r="F912" s="639"/>
      <c r="G912" s="750"/>
      <c r="H912" s="454"/>
      <c r="I912" s="454"/>
      <c r="J912" s="640"/>
    </row>
    <row r="913" spans="1:10" x14ac:dyDescent="0.25">
      <c r="A913" s="648"/>
      <c r="B913" s="454"/>
      <c r="C913" s="648"/>
      <c r="D913" s="452"/>
      <c r="E913" s="452"/>
      <c r="F913" s="639"/>
      <c r="G913" s="750"/>
      <c r="H913" s="454"/>
      <c r="I913" s="454"/>
      <c r="J913" s="640"/>
    </row>
    <row r="914" spans="1:10" x14ac:dyDescent="0.25">
      <c r="A914" s="648"/>
      <c r="B914" s="454"/>
      <c r="C914" s="648"/>
      <c r="D914" s="452"/>
      <c r="E914" s="452"/>
      <c r="F914" s="639"/>
      <c r="G914" s="750"/>
      <c r="H914" s="454"/>
      <c r="I914" s="454"/>
      <c r="J914" s="640"/>
    </row>
    <row r="915" spans="1:10" x14ac:dyDescent="0.25">
      <c r="A915" s="648"/>
      <c r="B915" s="454"/>
      <c r="C915" s="648"/>
      <c r="D915" s="452"/>
      <c r="E915" s="452"/>
      <c r="F915" s="639"/>
      <c r="G915" s="750"/>
      <c r="H915" s="454"/>
      <c r="I915" s="454"/>
      <c r="J915" s="640"/>
    </row>
    <row r="916" spans="1:10" x14ac:dyDescent="0.25">
      <c r="A916" s="648"/>
      <c r="B916" s="454"/>
      <c r="C916" s="648"/>
      <c r="D916" s="452"/>
      <c r="E916" s="452"/>
      <c r="F916" s="639"/>
      <c r="G916" s="750"/>
      <c r="H916" s="454"/>
      <c r="I916" s="454"/>
      <c r="J916" s="640"/>
    </row>
    <row r="917" spans="1:10" x14ac:dyDescent="0.25">
      <c r="A917" s="648"/>
      <c r="B917" s="454"/>
      <c r="C917" s="648"/>
      <c r="D917" s="452"/>
      <c r="E917" s="452"/>
      <c r="F917" s="639"/>
      <c r="G917" s="750"/>
      <c r="H917" s="454"/>
      <c r="I917" s="454"/>
      <c r="J917" s="640"/>
    </row>
    <row r="918" spans="1:10" x14ac:dyDescent="0.25">
      <c r="A918" s="648"/>
      <c r="B918" s="454"/>
      <c r="C918" s="648"/>
      <c r="D918" s="452"/>
      <c r="E918" s="452"/>
      <c r="F918" s="639"/>
      <c r="G918" s="750"/>
      <c r="H918" s="454"/>
      <c r="I918" s="454"/>
      <c r="J918" s="640"/>
    </row>
    <row r="919" spans="1:10" x14ac:dyDescent="0.25">
      <c r="A919" s="648"/>
      <c r="B919" s="454"/>
      <c r="C919" s="648"/>
      <c r="D919" s="452"/>
      <c r="E919" s="452"/>
      <c r="F919" s="639"/>
      <c r="G919" s="750"/>
      <c r="H919" s="454"/>
      <c r="I919" s="454"/>
      <c r="J919" s="640"/>
    </row>
    <row r="920" spans="1:10" x14ac:dyDescent="0.25">
      <c r="A920" s="648"/>
      <c r="B920" s="454"/>
      <c r="C920" s="648"/>
      <c r="D920" s="452"/>
      <c r="E920" s="452"/>
      <c r="F920" s="639"/>
      <c r="G920" s="750"/>
      <c r="H920" s="454"/>
      <c r="I920" s="454"/>
      <c r="J920" s="640"/>
    </row>
    <row r="921" spans="1:10" x14ac:dyDescent="0.25">
      <c r="A921" s="648"/>
      <c r="B921" s="454"/>
      <c r="C921" s="648"/>
      <c r="D921" s="452"/>
      <c r="E921" s="452"/>
      <c r="F921" s="639"/>
      <c r="G921" s="750"/>
      <c r="H921" s="454"/>
      <c r="I921" s="454"/>
      <c r="J921" s="640"/>
    </row>
    <row r="922" spans="1:10" x14ac:dyDescent="0.25">
      <c r="A922" s="648"/>
      <c r="B922" s="454"/>
      <c r="C922" s="648"/>
      <c r="D922" s="452"/>
      <c r="E922" s="452"/>
      <c r="F922" s="639"/>
      <c r="G922" s="750"/>
      <c r="H922" s="454"/>
      <c r="I922" s="454"/>
      <c r="J922" s="640"/>
    </row>
    <row r="923" spans="1:10" x14ac:dyDescent="0.25">
      <c r="A923" s="648"/>
      <c r="B923" s="454"/>
      <c r="C923" s="648"/>
      <c r="D923" s="452"/>
      <c r="E923" s="452"/>
      <c r="F923" s="639"/>
      <c r="G923" s="750"/>
      <c r="H923" s="454"/>
      <c r="I923" s="454"/>
      <c r="J923" s="640"/>
    </row>
    <row r="924" spans="1:10" x14ac:dyDescent="0.25">
      <c r="A924" s="648"/>
      <c r="B924" s="454"/>
      <c r="C924" s="648"/>
      <c r="D924" s="452"/>
      <c r="E924" s="452"/>
      <c r="F924" s="639"/>
      <c r="G924" s="750"/>
      <c r="H924" s="454"/>
      <c r="I924" s="454"/>
      <c r="J924" s="640"/>
    </row>
    <row r="925" spans="1:10" x14ac:dyDescent="0.25">
      <c r="A925" s="648"/>
      <c r="B925" s="454"/>
      <c r="C925" s="648"/>
      <c r="D925" s="452"/>
      <c r="E925" s="452"/>
      <c r="F925" s="639"/>
      <c r="G925" s="750"/>
      <c r="H925" s="750"/>
      <c r="I925" s="454"/>
      <c r="J925" s="640"/>
    </row>
    <row r="926" spans="1:10" x14ac:dyDescent="0.25">
      <c r="A926" s="648"/>
      <c r="B926" s="454"/>
      <c r="C926" s="648"/>
      <c r="D926" s="452"/>
      <c r="E926" s="452"/>
      <c r="F926" s="639"/>
      <c r="G926" s="750"/>
      <c r="H926" s="454"/>
      <c r="I926" s="454"/>
      <c r="J926" s="640"/>
    </row>
    <row r="927" spans="1:10" x14ac:dyDescent="0.25">
      <c r="A927" s="648"/>
      <c r="B927" s="454"/>
      <c r="C927" s="648"/>
      <c r="D927" s="452"/>
      <c r="E927" s="452"/>
      <c r="F927" s="639"/>
      <c r="G927" s="750"/>
      <c r="H927" s="454"/>
      <c r="I927" s="454"/>
      <c r="J927" s="640"/>
    </row>
    <row r="928" spans="1:10" x14ac:dyDescent="0.25">
      <c r="A928" s="648"/>
      <c r="B928" s="454"/>
      <c r="C928" s="648"/>
      <c r="D928" s="452"/>
      <c r="E928" s="452"/>
      <c r="F928" s="639"/>
      <c r="G928" s="750"/>
      <c r="H928" s="454"/>
      <c r="I928" s="454"/>
      <c r="J928" s="640"/>
    </row>
    <row r="929" spans="1:10" x14ac:dyDescent="0.25">
      <c r="A929" s="648"/>
      <c r="B929" s="454"/>
      <c r="C929" s="796"/>
      <c r="D929" s="452"/>
      <c r="E929" s="452"/>
      <c r="F929" s="639"/>
      <c r="G929" s="750"/>
      <c r="H929" s="454"/>
      <c r="I929" s="454"/>
      <c r="J929" s="640"/>
    </row>
    <row r="930" spans="1:10" x14ac:dyDescent="0.25">
      <c r="A930" s="648"/>
      <c r="B930" s="454"/>
      <c r="C930" s="796"/>
      <c r="D930" s="452"/>
      <c r="E930" s="452"/>
      <c r="F930" s="639"/>
      <c r="G930" s="750"/>
      <c r="H930" s="454"/>
      <c r="I930" s="454"/>
      <c r="J930" s="640"/>
    </row>
    <row r="931" spans="1:10" x14ac:dyDescent="0.25">
      <c r="A931" s="648"/>
      <c r="B931" s="454"/>
      <c r="C931" s="796"/>
      <c r="D931" s="452"/>
      <c r="E931" s="452"/>
      <c r="F931" s="639"/>
      <c r="G931" s="750"/>
      <c r="H931" s="454"/>
      <c r="I931" s="454"/>
      <c r="J931" s="640"/>
    </row>
    <row r="932" spans="1:10" x14ac:dyDescent="0.25">
      <c r="A932" s="648"/>
      <c r="B932" s="454"/>
      <c r="C932" s="796"/>
      <c r="D932" s="452"/>
      <c r="E932" s="452"/>
      <c r="F932" s="639"/>
      <c r="G932" s="750"/>
      <c r="H932" s="454"/>
      <c r="I932" s="454"/>
      <c r="J932" s="640"/>
    </row>
    <row r="933" spans="1:10" x14ac:dyDescent="0.25">
      <c r="A933" s="648"/>
      <c r="B933" s="454"/>
      <c r="C933" s="796"/>
      <c r="D933" s="452"/>
      <c r="E933" s="452"/>
      <c r="F933" s="639"/>
      <c r="G933" s="750"/>
      <c r="H933" s="454"/>
      <c r="I933" s="454"/>
      <c r="J933" s="640"/>
    </row>
    <row r="934" spans="1:10" x14ac:dyDescent="0.25">
      <c r="A934" s="648"/>
      <c r="B934" s="454"/>
      <c r="C934" s="796"/>
      <c r="D934" s="452"/>
      <c r="E934" s="452"/>
      <c r="F934" s="639"/>
      <c r="G934" s="750"/>
      <c r="H934" s="454"/>
      <c r="I934" s="454"/>
      <c r="J934" s="640"/>
    </row>
    <row r="935" spans="1:10" x14ac:dyDescent="0.25">
      <c r="A935" s="796"/>
      <c r="B935" s="454"/>
      <c r="C935" s="796"/>
      <c r="D935" s="454"/>
      <c r="E935" s="454"/>
      <c r="F935" s="640"/>
      <c r="G935" s="546"/>
      <c r="H935" s="454"/>
      <c r="I935" s="454"/>
      <c r="J935" s="640"/>
    </row>
    <row r="936" spans="1:10" x14ac:dyDescent="0.25">
      <c r="A936" s="796"/>
      <c r="B936" s="454"/>
      <c r="C936" s="796"/>
      <c r="D936" s="454"/>
      <c r="E936" s="454"/>
      <c r="F936" s="640"/>
      <c r="G936" s="546"/>
      <c r="H936" s="454"/>
      <c r="I936" s="454"/>
      <c r="J936" s="640"/>
    </row>
    <row r="937" spans="1:10" x14ac:dyDescent="0.25">
      <c r="A937" s="796"/>
      <c r="B937" s="454"/>
      <c r="C937" s="796"/>
      <c r="D937" s="454"/>
      <c r="E937" s="454"/>
      <c r="F937" s="640"/>
      <c r="G937" s="546"/>
      <c r="H937" s="454"/>
      <c r="I937" s="454"/>
      <c r="J937" s="640"/>
    </row>
    <row r="938" spans="1:10" x14ac:dyDescent="0.25">
      <c r="A938" s="796"/>
      <c r="B938" s="454"/>
      <c r="C938" s="796"/>
      <c r="D938" s="452"/>
      <c r="E938" s="452"/>
      <c r="F938" s="639"/>
      <c r="G938" s="750"/>
      <c r="H938" s="454"/>
      <c r="I938" s="454"/>
      <c r="J938" s="640"/>
    </row>
    <row r="939" spans="1:10" x14ac:dyDescent="0.25">
      <c r="A939" s="796"/>
      <c r="B939" s="454"/>
      <c r="C939" s="796"/>
      <c r="D939" s="452"/>
      <c r="E939" s="452"/>
      <c r="F939" s="639"/>
      <c r="G939" s="750"/>
      <c r="H939" s="454"/>
      <c r="I939" s="454"/>
      <c r="J939" s="640"/>
    </row>
    <row r="940" spans="1:10" x14ac:dyDescent="0.25">
      <c r="A940" s="796"/>
      <c r="B940" s="454"/>
      <c r="C940" s="796"/>
      <c r="D940" s="452"/>
      <c r="E940" s="452"/>
      <c r="F940" s="639"/>
      <c r="G940" s="750"/>
      <c r="H940" s="454"/>
      <c r="I940" s="454"/>
      <c r="J940" s="640"/>
    </row>
    <row r="941" spans="1:10" x14ac:dyDescent="0.25">
      <c r="A941" s="796"/>
      <c r="B941" s="454"/>
      <c r="C941" s="796"/>
      <c r="D941" s="452"/>
      <c r="E941" s="452"/>
      <c r="F941" s="639"/>
      <c r="G941" s="750"/>
      <c r="H941" s="454"/>
      <c r="I941" s="454"/>
      <c r="J941" s="640"/>
    </row>
    <row r="942" spans="1:10" x14ac:dyDescent="0.25">
      <c r="A942" s="796"/>
      <c r="B942" s="454"/>
      <c r="C942" s="796"/>
      <c r="D942" s="452"/>
      <c r="E942" s="452"/>
      <c r="F942" s="639"/>
      <c r="G942" s="750"/>
      <c r="H942" s="454"/>
      <c r="I942" s="454"/>
      <c r="J942" s="640"/>
    </row>
    <row r="943" spans="1:10" x14ac:dyDescent="0.25">
      <c r="A943" s="796"/>
      <c r="B943" s="454"/>
      <c r="C943" s="796"/>
      <c r="D943" s="452"/>
      <c r="E943" s="452"/>
      <c r="F943" s="639"/>
      <c r="G943" s="750"/>
      <c r="H943" s="454"/>
      <c r="I943" s="454"/>
      <c r="J943" s="640"/>
    </row>
    <row r="944" spans="1:10" x14ac:dyDescent="0.25">
      <c r="A944" s="796"/>
      <c r="B944" s="454"/>
      <c r="C944" s="796"/>
      <c r="D944" s="452"/>
      <c r="E944" s="452"/>
      <c r="F944" s="639"/>
      <c r="G944" s="750"/>
      <c r="H944" s="454"/>
      <c r="I944" s="454"/>
      <c r="J944" s="640"/>
    </row>
    <row r="945" spans="1:10" x14ac:dyDescent="0.25">
      <c r="A945" s="796"/>
      <c r="B945" s="454"/>
      <c r="C945" s="796"/>
      <c r="D945" s="452"/>
      <c r="E945" s="452"/>
      <c r="F945" s="639"/>
      <c r="G945" s="750"/>
      <c r="H945" s="454"/>
      <c r="I945" s="454"/>
      <c r="J945" s="640"/>
    </row>
    <row r="946" spans="1:10" x14ac:dyDescent="0.25">
      <c r="A946" s="796"/>
      <c r="B946" s="454"/>
      <c r="C946" s="796"/>
      <c r="D946" s="452"/>
      <c r="E946" s="452"/>
      <c r="F946" s="639"/>
      <c r="G946" s="750"/>
      <c r="H946" s="454"/>
      <c r="I946" s="454"/>
      <c r="J946" s="640"/>
    </row>
    <row r="947" spans="1:10" x14ac:dyDescent="0.25">
      <c r="A947" s="796"/>
      <c r="B947" s="454"/>
      <c r="C947" s="796"/>
      <c r="D947" s="452"/>
      <c r="E947" s="452"/>
      <c r="F947" s="639"/>
      <c r="G947" s="750"/>
      <c r="H947" s="454"/>
      <c r="I947" s="454"/>
      <c r="J947" s="640"/>
    </row>
    <row r="948" spans="1:10" x14ac:dyDescent="0.25">
      <c r="A948" s="796"/>
      <c r="B948" s="454"/>
      <c r="C948" s="796"/>
      <c r="D948" s="452"/>
      <c r="E948" s="452"/>
      <c r="F948" s="639"/>
      <c r="G948" s="750"/>
      <c r="H948" s="454"/>
      <c r="I948" s="454"/>
      <c r="J948" s="640"/>
    </row>
    <row r="949" spans="1:10" x14ac:dyDescent="0.25">
      <c r="A949" s="796"/>
      <c r="B949" s="454"/>
      <c r="C949" s="796"/>
      <c r="D949" s="452"/>
      <c r="E949" s="452"/>
      <c r="F949" s="639"/>
      <c r="G949" s="750"/>
      <c r="H949" s="454"/>
      <c r="I949" s="454"/>
      <c r="J949" s="640"/>
    </row>
    <row r="950" spans="1:10" x14ac:dyDescent="0.25">
      <c r="A950" s="796"/>
      <c r="B950" s="454"/>
      <c r="C950" s="796"/>
      <c r="D950" s="452"/>
      <c r="E950" s="452"/>
      <c r="F950" s="639"/>
      <c r="G950" s="750"/>
      <c r="H950" s="454"/>
      <c r="I950" s="454"/>
      <c r="J950" s="640"/>
    </row>
    <row r="951" spans="1:10" x14ac:dyDescent="0.25">
      <c r="A951" s="796"/>
      <c r="B951" s="454"/>
      <c r="C951" s="796"/>
      <c r="D951" s="452"/>
      <c r="E951" s="452"/>
      <c r="F951" s="639"/>
      <c r="G951" s="750"/>
      <c r="H951" s="454"/>
      <c r="I951" s="454"/>
      <c r="J951" s="640"/>
    </row>
    <row r="952" spans="1:10" x14ac:dyDescent="0.25">
      <c r="A952" s="796"/>
      <c r="B952" s="454"/>
      <c r="C952" s="796"/>
      <c r="D952" s="452"/>
      <c r="E952" s="452"/>
      <c r="F952" s="639"/>
      <c r="G952" s="750"/>
      <c r="H952" s="454"/>
      <c r="I952" s="454"/>
      <c r="J952" s="640"/>
    </row>
    <row r="953" spans="1:10" x14ac:dyDescent="0.25">
      <c r="A953" s="796"/>
      <c r="B953" s="454"/>
      <c r="C953" s="796"/>
      <c r="D953" s="452"/>
      <c r="E953" s="452"/>
      <c r="F953" s="639"/>
      <c r="G953" s="750"/>
      <c r="H953" s="454"/>
      <c r="I953" s="454"/>
      <c r="J953" s="640"/>
    </row>
    <row r="954" spans="1:10" x14ac:dyDescent="0.25">
      <c r="A954" s="796"/>
      <c r="B954" s="454"/>
      <c r="C954" s="796"/>
      <c r="D954" s="452"/>
      <c r="E954" s="452"/>
      <c r="F954" s="639"/>
      <c r="G954" s="750"/>
      <c r="H954" s="454"/>
      <c r="I954" s="454"/>
      <c r="J954" s="640"/>
    </row>
    <row r="955" spans="1:10" x14ac:dyDescent="0.25">
      <c r="A955" s="796"/>
      <c r="B955" s="454"/>
      <c r="C955" s="796"/>
      <c r="D955" s="452"/>
      <c r="E955" s="452"/>
      <c r="F955" s="639"/>
      <c r="G955" s="750"/>
      <c r="H955" s="454"/>
      <c r="I955" s="454"/>
      <c r="J955" s="640"/>
    </row>
    <row r="956" spans="1:10" x14ac:dyDescent="0.25">
      <c r="A956" s="796"/>
      <c r="B956" s="454"/>
      <c r="C956" s="796"/>
      <c r="D956" s="452"/>
      <c r="E956" s="452"/>
      <c r="F956" s="639"/>
      <c r="G956" s="750"/>
      <c r="H956" s="454"/>
      <c r="I956" s="454"/>
      <c r="J956" s="640"/>
    </row>
    <row r="957" spans="1:10" x14ac:dyDescent="0.25">
      <c r="A957" s="796"/>
      <c r="B957" s="454"/>
      <c r="C957" s="796"/>
      <c r="D957" s="452"/>
      <c r="E957" s="452"/>
      <c r="F957" s="639"/>
      <c r="G957" s="750"/>
      <c r="H957" s="454"/>
      <c r="I957" s="454"/>
      <c r="J957" s="640"/>
    </row>
    <row r="958" spans="1:10" x14ac:dyDescent="0.25">
      <c r="A958" s="796"/>
      <c r="B958" s="454"/>
      <c r="C958" s="796"/>
      <c r="D958" s="452"/>
      <c r="E958" s="452"/>
      <c r="F958" s="639"/>
      <c r="G958" s="750"/>
      <c r="H958" s="454"/>
      <c r="I958" s="454"/>
      <c r="J958" s="640"/>
    </row>
    <row r="959" spans="1:10" x14ac:dyDescent="0.25">
      <c r="A959" s="796"/>
      <c r="B959" s="454"/>
      <c r="C959" s="796"/>
      <c r="D959" s="452"/>
      <c r="E959" s="452"/>
      <c r="F959" s="639"/>
      <c r="G959" s="750"/>
      <c r="H959" s="454"/>
      <c r="I959" s="454"/>
      <c r="J959" s="640"/>
    </row>
    <row r="960" spans="1:10" x14ac:dyDescent="0.25">
      <c r="A960" s="796"/>
      <c r="B960" s="454"/>
      <c r="C960" s="796"/>
      <c r="D960" s="452"/>
      <c r="E960" s="452"/>
      <c r="F960" s="639"/>
      <c r="G960" s="750"/>
      <c r="H960" s="454"/>
      <c r="I960" s="454"/>
      <c r="J960" s="640"/>
    </row>
    <row r="961" spans="1:10" x14ac:dyDescent="0.25">
      <c r="A961" s="796"/>
      <c r="B961" s="454"/>
      <c r="C961" s="796"/>
      <c r="D961" s="454"/>
      <c r="E961" s="454"/>
      <c r="F961" s="640"/>
      <c r="G961" s="546"/>
      <c r="H961" s="454"/>
      <c r="I961" s="454"/>
      <c r="J961" s="640"/>
    </row>
    <row r="962" spans="1:10" x14ac:dyDescent="0.25">
      <c r="A962" s="796"/>
      <c r="B962" s="454"/>
      <c r="C962" s="796"/>
      <c r="D962" s="454"/>
      <c r="E962" s="454"/>
      <c r="F962" s="640"/>
      <c r="G962" s="546"/>
      <c r="H962" s="454"/>
      <c r="I962" s="454"/>
      <c r="J962" s="640"/>
    </row>
    <row r="963" spans="1:10" x14ac:dyDescent="0.25">
      <c r="A963" s="796"/>
      <c r="B963" s="454"/>
      <c r="C963" s="796"/>
      <c r="D963" s="454"/>
      <c r="E963" s="454"/>
      <c r="F963" s="640"/>
      <c r="G963" s="546"/>
      <c r="H963" s="454"/>
      <c r="I963" s="454"/>
      <c r="J963" s="640"/>
    </row>
    <row r="964" spans="1:10" x14ac:dyDescent="0.25">
      <c r="A964" s="796"/>
      <c r="B964" s="454"/>
      <c r="C964" s="796"/>
      <c r="D964" s="454"/>
      <c r="E964" s="454"/>
      <c r="F964" s="640"/>
      <c r="G964" s="546"/>
      <c r="H964" s="454"/>
      <c r="I964" s="454"/>
      <c r="J964" s="640"/>
    </row>
    <row r="965" spans="1:10" x14ac:dyDescent="0.25">
      <c r="A965" s="796"/>
      <c r="B965" s="454"/>
      <c r="C965" s="796"/>
      <c r="D965" s="452"/>
      <c r="E965" s="452"/>
      <c r="F965" s="639"/>
      <c r="G965" s="750"/>
      <c r="H965" s="454"/>
      <c r="I965" s="454"/>
      <c r="J965" s="640"/>
    </row>
    <row r="966" spans="1:10" x14ac:dyDescent="0.25">
      <c r="A966" s="796"/>
      <c r="B966" s="454"/>
      <c r="C966" s="796"/>
      <c r="D966" s="452"/>
      <c r="E966" s="452"/>
      <c r="F966" s="639"/>
      <c r="G966" s="750"/>
      <c r="H966" s="454"/>
      <c r="I966" s="454"/>
      <c r="J966" s="640"/>
    </row>
    <row r="967" spans="1:10" x14ac:dyDescent="0.25">
      <c r="A967" s="796"/>
      <c r="B967" s="454"/>
      <c r="C967" s="796"/>
      <c r="D967" s="452"/>
      <c r="E967" s="452"/>
      <c r="F967" s="639"/>
      <c r="G967" s="750"/>
      <c r="H967" s="454"/>
      <c r="I967" s="454"/>
      <c r="J967" s="640"/>
    </row>
    <row r="968" spans="1:10" x14ac:dyDescent="0.25">
      <c r="A968" s="796"/>
      <c r="B968" s="454"/>
      <c r="C968" s="796"/>
      <c r="D968" s="452"/>
      <c r="E968" s="452"/>
      <c r="F968" s="639"/>
      <c r="G968" s="750"/>
      <c r="H968" s="454"/>
      <c r="I968" s="454"/>
      <c r="J968" s="640"/>
    </row>
    <row r="969" spans="1:10" x14ac:dyDescent="0.25">
      <c r="A969" s="796"/>
      <c r="B969" s="454"/>
      <c r="C969" s="796"/>
      <c r="D969" s="452"/>
      <c r="E969" s="452"/>
      <c r="F969" s="639"/>
      <c r="G969" s="750"/>
      <c r="H969" s="454"/>
      <c r="I969" s="454"/>
      <c r="J969" s="640"/>
    </row>
    <row r="970" spans="1:10" x14ac:dyDescent="0.25">
      <c r="A970" s="796"/>
      <c r="B970" s="454"/>
      <c r="C970" s="796"/>
      <c r="D970" s="452"/>
      <c r="E970" s="452"/>
      <c r="F970" s="639"/>
      <c r="G970" s="750"/>
      <c r="H970" s="454"/>
      <c r="I970" s="454"/>
      <c r="J970" s="640"/>
    </row>
    <row r="971" spans="1:10" x14ac:dyDescent="0.25">
      <c r="A971" s="796"/>
      <c r="B971" s="454"/>
      <c r="C971" s="796"/>
      <c r="D971" s="452"/>
      <c r="E971" s="452"/>
      <c r="F971" s="639"/>
      <c r="G971" s="750"/>
      <c r="H971" s="454"/>
      <c r="I971" s="454"/>
      <c r="J971" s="640"/>
    </row>
    <row r="972" spans="1:10" x14ac:dyDescent="0.25">
      <c r="A972" s="796"/>
      <c r="B972" s="454"/>
      <c r="C972" s="796"/>
      <c r="D972" s="452"/>
      <c r="E972" s="452"/>
      <c r="F972" s="639"/>
      <c r="G972" s="750"/>
      <c r="H972" s="454"/>
      <c r="I972" s="454"/>
      <c r="J972" s="640"/>
    </row>
    <row r="973" spans="1:10" x14ac:dyDescent="0.25">
      <c r="A973" s="796"/>
      <c r="B973" s="454"/>
      <c r="C973" s="796"/>
      <c r="D973" s="452"/>
      <c r="E973" s="452"/>
      <c r="F973" s="639"/>
      <c r="G973" s="750"/>
      <c r="H973" s="454"/>
      <c r="I973" s="454"/>
      <c r="J973" s="640"/>
    </row>
    <row r="974" spans="1:10" x14ac:dyDescent="0.25">
      <c r="A974" s="796"/>
      <c r="B974" s="454"/>
      <c r="C974" s="796"/>
      <c r="D974" s="452"/>
      <c r="E974" s="452"/>
      <c r="F974" s="639"/>
      <c r="G974" s="750"/>
      <c r="H974" s="454"/>
      <c r="I974" s="454"/>
      <c r="J974" s="640"/>
    </row>
    <row r="975" spans="1:10" x14ac:dyDescent="0.25">
      <c r="A975" s="796"/>
      <c r="B975" s="454"/>
      <c r="C975" s="796"/>
      <c r="D975" s="452"/>
      <c r="E975" s="452"/>
      <c r="F975" s="639"/>
      <c r="G975" s="750"/>
      <c r="H975" s="454"/>
      <c r="I975" s="454"/>
      <c r="J975" s="640"/>
    </row>
    <row r="976" spans="1:10" x14ac:dyDescent="0.25">
      <c r="A976" s="796"/>
      <c r="B976" s="454"/>
      <c r="C976" s="796"/>
      <c r="D976" s="452"/>
      <c r="E976" s="452"/>
      <c r="F976" s="639"/>
      <c r="G976" s="750"/>
      <c r="H976" s="454"/>
      <c r="I976" s="454"/>
      <c r="J976" s="640"/>
    </row>
    <row r="977" spans="1:13" x14ac:dyDescent="0.25">
      <c r="A977" s="796"/>
      <c r="B977" s="454"/>
      <c r="C977" s="796"/>
      <c r="D977" s="452"/>
      <c r="E977" s="452"/>
      <c r="F977" s="639"/>
      <c r="G977" s="750"/>
      <c r="H977" s="454"/>
      <c r="I977" s="454"/>
      <c r="J977" s="640"/>
    </row>
    <row r="978" spans="1:13" x14ac:dyDescent="0.25">
      <c r="A978" s="796"/>
      <c r="B978" s="454"/>
      <c r="C978" s="796"/>
      <c r="D978" s="452"/>
      <c r="E978" s="452"/>
      <c r="F978" s="639"/>
      <c r="G978" s="750"/>
      <c r="H978" s="454"/>
      <c r="I978" s="454"/>
      <c r="J978" s="640"/>
    </row>
    <row r="979" spans="1:13" x14ac:dyDescent="0.25">
      <c r="A979" s="796"/>
      <c r="B979" s="454"/>
      <c r="C979" s="796"/>
      <c r="D979" s="452"/>
      <c r="E979" s="452"/>
      <c r="F979" s="639"/>
      <c r="G979" s="750"/>
      <c r="H979" s="454"/>
      <c r="I979" s="454"/>
      <c r="J979" s="640"/>
    </row>
    <row r="980" spans="1:13" x14ac:dyDescent="0.25">
      <c r="A980" s="796"/>
      <c r="B980" s="454"/>
      <c r="C980" s="796"/>
      <c r="D980" s="452"/>
      <c r="E980" s="452"/>
      <c r="F980" s="639"/>
      <c r="G980" s="750"/>
      <c r="H980" s="454"/>
      <c r="I980" s="454"/>
      <c r="J980" s="640"/>
    </row>
    <row r="981" spans="1:13" x14ac:dyDescent="0.25">
      <c r="A981" s="796"/>
      <c r="B981" s="454"/>
      <c r="C981" s="796"/>
      <c r="D981" s="452"/>
      <c r="E981" s="452"/>
      <c r="F981" s="639"/>
      <c r="G981" s="750"/>
      <c r="H981" s="454"/>
      <c r="I981" s="454"/>
      <c r="J981" s="640"/>
    </row>
    <row r="982" spans="1:13" x14ac:dyDescent="0.25">
      <c r="A982" s="796"/>
      <c r="B982" s="454"/>
      <c r="C982" s="796"/>
      <c r="D982" s="452"/>
      <c r="E982" s="452"/>
      <c r="F982" s="639"/>
      <c r="G982" s="750"/>
      <c r="H982" s="454"/>
      <c r="I982" s="454"/>
      <c r="J982" s="640"/>
    </row>
    <row r="983" spans="1:13" x14ac:dyDescent="0.25">
      <c r="A983" s="796"/>
      <c r="B983" s="454"/>
      <c r="C983" s="796"/>
      <c r="D983" s="452"/>
      <c r="E983" s="452"/>
      <c r="F983" s="639"/>
      <c r="G983" s="750"/>
      <c r="H983" s="454"/>
      <c r="I983" s="454"/>
      <c r="J983" s="640"/>
    </row>
    <row r="984" spans="1:13" x14ac:dyDescent="0.25">
      <c r="A984" s="796"/>
      <c r="B984" s="454"/>
      <c r="C984" s="796"/>
      <c r="D984" s="452"/>
      <c r="E984" s="452"/>
      <c r="F984" s="639"/>
      <c r="G984" s="750"/>
      <c r="H984" s="454"/>
      <c r="I984" s="454"/>
      <c r="J984" s="640"/>
      <c r="M984" s="68"/>
    </row>
    <row r="985" spans="1:13" x14ac:dyDescent="0.25">
      <c r="A985" s="796"/>
      <c r="B985" s="454"/>
      <c r="C985" s="796"/>
      <c r="D985" s="452"/>
      <c r="E985" s="452"/>
      <c r="F985" s="639"/>
      <c r="G985" s="750"/>
      <c r="H985" s="454"/>
      <c r="I985" s="454"/>
      <c r="J985" s="640"/>
    </row>
    <row r="986" spans="1:13" x14ac:dyDescent="0.25">
      <c r="A986" s="796"/>
      <c r="B986" s="454"/>
      <c r="C986" s="796"/>
      <c r="D986" s="454"/>
      <c r="E986" s="454"/>
      <c r="F986" s="640"/>
      <c r="G986" s="546"/>
      <c r="H986" s="454"/>
      <c r="I986" s="454"/>
      <c r="J986" s="640"/>
    </row>
    <row r="987" spans="1:13" x14ac:dyDescent="0.25">
      <c r="A987" s="796"/>
      <c r="B987" s="454"/>
      <c r="C987" s="796"/>
      <c r="D987" s="452"/>
      <c r="E987" s="452"/>
      <c r="F987" s="639"/>
      <c r="G987" s="750"/>
      <c r="H987" s="454"/>
      <c r="I987" s="454"/>
      <c r="J987" s="640"/>
    </row>
    <row r="988" spans="1:13" x14ac:dyDescent="0.25">
      <c r="A988" s="796"/>
      <c r="B988" s="454"/>
      <c r="C988" s="796"/>
      <c r="D988" s="454"/>
      <c r="E988" s="454"/>
      <c r="F988" s="640"/>
      <c r="G988" s="546"/>
      <c r="H988" s="454"/>
      <c r="I988" s="454"/>
      <c r="J988" s="640"/>
    </row>
    <row r="989" spans="1:13" x14ac:dyDescent="0.25">
      <c r="A989" s="796"/>
      <c r="B989" s="454"/>
      <c r="C989" s="796"/>
      <c r="D989" s="452"/>
      <c r="E989" s="452"/>
      <c r="F989" s="639"/>
      <c r="G989" s="750"/>
      <c r="H989" s="454"/>
      <c r="I989" s="454"/>
      <c r="J989" s="640"/>
    </row>
    <row r="990" spans="1:13" x14ac:dyDescent="0.25">
      <c r="A990" s="796"/>
      <c r="B990" s="454"/>
      <c r="C990" s="796"/>
      <c r="D990" s="452"/>
      <c r="E990" s="452"/>
      <c r="F990" s="639"/>
      <c r="G990" s="750"/>
      <c r="H990" s="454"/>
      <c r="I990" s="454"/>
      <c r="J990" s="640"/>
    </row>
    <row r="991" spans="1:13" x14ac:dyDescent="0.25">
      <c r="A991" s="796"/>
      <c r="B991" s="454"/>
      <c r="C991" s="796"/>
      <c r="D991" s="452"/>
      <c r="E991" s="452"/>
      <c r="F991" s="639"/>
      <c r="G991" s="750"/>
      <c r="H991" s="454"/>
      <c r="I991" s="454"/>
      <c r="J991" s="640"/>
    </row>
    <row r="992" spans="1:13" x14ac:dyDescent="0.25">
      <c r="A992" s="796"/>
      <c r="B992" s="454"/>
      <c r="C992" s="796"/>
      <c r="D992" s="452"/>
      <c r="E992" s="452"/>
      <c r="F992" s="639"/>
      <c r="G992" s="750"/>
      <c r="H992" s="454"/>
      <c r="I992" s="454"/>
      <c r="J992" s="640"/>
    </row>
    <row r="993" spans="1:14" x14ac:dyDescent="0.25">
      <c r="A993" s="796"/>
      <c r="B993" s="454"/>
      <c r="C993" s="796"/>
      <c r="D993" s="452"/>
      <c r="E993" s="452"/>
      <c r="F993" s="639"/>
      <c r="G993" s="750"/>
      <c r="H993" s="454"/>
      <c r="I993" s="454"/>
      <c r="J993" s="640"/>
    </row>
    <row r="994" spans="1:14" x14ac:dyDescent="0.25">
      <c r="A994" s="796"/>
      <c r="B994" s="454"/>
      <c r="C994" s="796"/>
      <c r="D994" s="452"/>
      <c r="E994" s="452"/>
      <c r="F994" s="639"/>
      <c r="G994" s="750"/>
      <c r="H994" s="454"/>
      <c r="I994" s="454"/>
      <c r="J994" s="640"/>
    </row>
    <row r="995" spans="1:14" x14ac:dyDescent="0.25">
      <c r="A995" s="819"/>
      <c r="B995" s="454"/>
      <c r="C995" s="821"/>
      <c r="D995" s="822"/>
      <c r="E995" s="823"/>
      <c r="F995" s="701"/>
      <c r="G995" s="824"/>
      <c r="H995" s="820"/>
      <c r="I995" s="820"/>
      <c r="J995" s="640"/>
    </row>
    <row r="996" spans="1:14" x14ac:dyDescent="0.25">
      <c r="A996" s="819"/>
      <c r="B996" s="454"/>
      <c r="C996" s="821"/>
      <c r="D996" s="822"/>
      <c r="E996" s="823"/>
      <c r="F996" s="701"/>
      <c r="G996" s="824"/>
      <c r="H996" s="820"/>
      <c r="I996" s="820"/>
      <c r="J996" s="640"/>
      <c r="M996" s="51">
        <f>M999*-100</f>
        <v>0</v>
      </c>
    </row>
    <row r="997" spans="1:14" x14ac:dyDescent="0.25">
      <c r="A997" s="819"/>
      <c r="B997" s="454"/>
      <c r="C997" s="821"/>
      <c r="D997" s="822"/>
      <c r="E997" s="823"/>
      <c r="F997" s="701"/>
      <c r="G997" s="824"/>
      <c r="H997" s="820"/>
      <c r="I997" s="820"/>
      <c r="J997" s="640"/>
    </row>
    <row r="998" spans="1:14" x14ac:dyDescent="0.25">
      <c r="A998" s="819"/>
      <c r="B998" s="454"/>
      <c r="C998" s="821"/>
      <c r="D998" s="822"/>
      <c r="E998" s="823"/>
      <c r="F998" s="701"/>
      <c r="G998" s="824"/>
      <c r="H998" s="820"/>
      <c r="I998" s="820"/>
      <c r="J998" s="640"/>
    </row>
    <row r="999" spans="1:14" x14ac:dyDescent="0.25">
      <c r="A999" s="819"/>
      <c r="B999" s="454"/>
      <c r="C999" s="821"/>
      <c r="D999" s="822"/>
      <c r="E999" s="823"/>
      <c r="F999" s="701"/>
      <c r="G999" s="824"/>
      <c r="H999" s="820"/>
      <c r="I999" s="820"/>
      <c r="J999" s="640"/>
      <c r="M999" s="68">
        <f>Table13[[#This Row],[Price]]-G998</f>
        <v>0</v>
      </c>
    </row>
    <row r="1000" spans="1:14" x14ac:dyDescent="0.25">
      <c r="A1000" s="819"/>
      <c r="B1000" s="454"/>
      <c r="C1000" s="821"/>
      <c r="D1000" s="822"/>
      <c r="E1000" s="823"/>
      <c r="F1000" s="701"/>
      <c r="G1000" s="824"/>
      <c r="H1000" s="820"/>
      <c r="I1000" s="820"/>
      <c r="J1000" s="640"/>
    </row>
    <row r="1001" spans="1:14" x14ac:dyDescent="0.25">
      <c r="A1001" s="819"/>
      <c r="B1001" s="454"/>
      <c r="C1001" s="821"/>
      <c r="D1001" s="819"/>
      <c r="E1001" s="823"/>
      <c r="F1001" s="701"/>
      <c r="G1001" s="824"/>
      <c r="H1001" s="820"/>
      <c r="I1001" s="820"/>
      <c r="J1001" s="640"/>
      <c r="M1001" s="51">
        <v>250</v>
      </c>
      <c r="N1001" s="68">
        <f>Table13[[#This Row],[Price]]-G1002</f>
        <v>0</v>
      </c>
    </row>
    <row r="1002" spans="1:14" x14ac:dyDescent="0.25">
      <c r="A1002" s="819"/>
      <c r="B1002" s="454"/>
      <c r="C1002" s="821"/>
      <c r="D1002" s="819"/>
      <c r="E1002" s="823"/>
      <c r="F1002" s="701"/>
      <c r="G1002" s="824"/>
      <c r="H1002" s="820"/>
      <c r="I1002" s="820"/>
      <c r="J1002" s="640"/>
      <c r="M1002" s="51">
        <v>500</v>
      </c>
      <c r="N1002" s="68">
        <f>G1005-G1006</f>
        <v>0</v>
      </c>
    </row>
    <row r="1003" spans="1:14" x14ac:dyDescent="0.25">
      <c r="A1003" s="819"/>
      <c r="B1003" s="454"/>
      <c r="C1003" s="821"/>
      <c r="D1003" s="822"/>
      <c r="E1003" s="823"/>
      <c r="F1003" s="701"/>
      <c r="G1003" s="824"/>
      <c r="H1003" s="820"/>
      <c r="I1003" s="820"/>
      <c r="J1003" s="640"/>
    </row>
    <row r="1004" spans="1:14" x14ac:dyDescent="0.25">
      <c r="A1004" s="819"/>
      <c r="B1004" s="454"/>
      <c r="C1004" s="821"/>
      <c r="D1004" s="822"/>
      <c r="E1004" s="823"/>
      <c r="F1004" s="701"/>
      <c r="G1004" s="824"/>
      <c r="H1004" s="820"/>
      <c r="I1004" s="820"/>
      <c r="J1004" s="640"/>
    </row>
    <row r="1005" spans="1:14" x14ac:dyDescent="0.25">
      <c r="A1005" s="819"/>
      <c r="B1005" s="454"/>
      <c r="C1005" s="821"/>
      <c r="D1005" s="819"/>
      <c r="E1005" s="823"/>
      <c r="F1005" s="701"/>
      <c r="G1005" s="824"/>
      <c r="H1005" s="820"/>
      <c r="I1005" s="820"/>
      <c r="J1005" s="640"/>
    </row>
    <row r="1006" spans="1:14" x14ac:dyDescent="0.25">
      <c r="A1006" s="819"/>
      <c r="B1006" s="454"/>
      <c r="C1006" s="821"/>
      <c r="D1006" s="819"/>
      <c r="E1006" s="823"/>
      <c r="F1006" s="701"/>
      <c r="G1006" s="824"/>
      <c r="H1006" s="820"/>
      <c r="I1006" s="820"/>
      <c r="J1006" s="640"/>
    </row>
    <row r="1007" spans="1:14" x14ac:dyDescent="0.25">
      <c r="A1007" s="819"/>
      <c r="B1007" s="454"/>
      <c r="C1007" s="821"/>
      <c r="D1007" s="822"/>
      <c r="E1007" s="823"/>
      <c r="F1007" s="701"/>
      <c r="G1007" s="824"/>
      <c r="H1007" s="820"/>
      <c r="I1007" s="820"/>
      <c r="J1007" s="640"/>
      <c r="L1007" s="51">
        <v>10</v>
      </c>
      <c r="M1007" s="51">
        <v>11.5</v>
      </c>
    </row>
    <row r="1008" spans="1:14" x14ac:dyDescent="0.25">
      <c r="A1008" s="796"/>
      <c r="B1008" s="454"/>
      <c r="C1008" s="796"/>
      <c r="D1008" s="454"/>
      <c r="E1008" s="454"/>
      <c r="F1008" s="640"/>
      <c r="G1008" s="546"/>
      <c r="H1008" s="454"/>
      <c r="I1008" s="454"/>
      <c r="J1008" s="640"/>
    </row>
    <row r="1009" spans="1:10" x14ac:dyDescent="0.25">
      <c r="A1009" s="796"/>
      <c r="B1009" s="454" t="str">
        <f>IF(Table13[[#This Row],[Day]] &lt;&gt; "", YEAR(Table13[[#This Row],[Day]]), "")</f>
        <v/>
      </c>
      <c r="C1009" s="796"/>
      <c r="D1009" s="454"/>
      <c r="E1009" s="454"/>
      <c r="F1009" s="640"/>
      <c r="G1009" s="546"/>
      <c r="H1009" s="454"/>
      <c r="I1009" s="454"/>
      <c r="J100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0" spans="1:10" x14ac:dyDescent="0.25">
      <c r="A1010" s="796"/>
      <c r="B1010" s="454" t="str">
        <f>IF(Table13[[#This Row],[Day]] &lt;&gt; "", YEAR(Table13[[#This Row],[Day]]), "")</f>
        <v/>
      </c>
      <c r="C1010" s="796"/>
      <c r="D1010" s="454"/>
      <c r="E1010" s="454"/>
      <c r="F1010" s="640"/>
      <c r="G1010" s="546"/>
      <c r="H1010" s="454"/>
      <c r="I1010" s="454"/>
      <c r="J101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1" spans="1:10" x14ac:dyDescent="0.25">
      <c r="A1011" s="796"/>
      <c r="B1011" s="454" t="str">
        <f>IF(Table13[[#This Row],[Day]] &lt;&gt; "", YEAR(Table13[[#This Row],[Day]]), "")</f>
        <v/>
      </c>
      <c r="C1011" s="796"/>
      <c r="D1011" s="454"/>
      <c r="E1011" s="454"/>
      <c r="F1011" s="640"/>
      <c r="G1011" s="546"/>
      <c r="H1011" s="454"/>
      <c r="I1011" s="454"/>
      <c r="J101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2" spans="1:10" x14ac:dyDescent="0.25">
      <c r="A1012" s="796"/>
      <c r="B1012" s="454" t="str">
        <f>IF(Table13[[#This Row],[Day]] &lt;&gt; "", YEAR(Table13[[#This Row],[Day]]), "")</f>
        <v/>
      </c>
      <c r="C1012" s="796"/>
      <c r="D1012" s="454"/>
      <c r="E1012" s="454"/>
      <c r="F1012" s="640"/>
      <c r="G1012" s="546"/>
      <c r="H1012" s="454"/>
      <c r="I1012" s="454"/>
      <c r="J101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3" spans="1:10" x14ac:dyDescent="0.25">
      <c r="A1013" s="796"/>
      <c r="B1013" s="454" t="str">
        <f>IF(Table13[[#This Row],[Day]] &lt;&gt; "", YEAR(Table13[[#This Row],[Day]]), "")</f>
        <v/>
      </c>
      <c r="C1013" s="796"/>
      <c r="D1013" s="454"/>
      <c r="E1013" s="454"/>
      <c r="F1013" s="640"/>
      <c r="G1013" s="546"/>
      <c r="H1013" s="454"/>
      <c r="I1013" s="454"/>
      <c r="J101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4" spans="1:10" x14ac:dyDescent="0.25">
      <c r="A1014" s="796"/>
      <c r="B1014" s="454" t="str">
        <f>IF(Table13[[#This Row],[Day]] &lt;&gt; "", YEAR(Table13[[#This Row],[Day]]), "")</f>
        <v/>
      </c>
      <c r="C1014" s="796"/>
      <c r="D1014" s="454"/>
      <c r="E1014" s="454"/>
      <c r="F1014" s="640"/>
      <c r="G1014" s="546"/>
      <c r="H1014" s="454"/>
      <c r="I1014" s="454"/>
      <c r="J101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5" spans="1:10" x14ac:dyDescent="0.25">
      <c r="A1015" s="796"/>
      <c r="B1015" s="454" t="str">
        <f>IF(Table13[[#This Row],[Day]] &lt;&gt; "", YEAR(Table13[[#This Row],[Day]]), "")</f>
        <v/>
      </c>
      <c r="C1015" s="796"/>
      <c r="D1015" s="454"/>
      <c r="E1015" s="454"/>
      <c r="F1015" s="640"/>
      <c r="G1015" s="546"/>
      <c r="H1015" s="454"/>
      <c r="I1015" s="454"/>
      <c r="J101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6" spans="1:10" x14ac:dyDescent="0.25">
      <c r="A1016" s="796"/>
      <c r="B1016" s="454" t="str">
        <f>IF(Table13[[#This Row],[Day]] &lt;&gt; "", YEAR(Table13[[#This Row],[Day]]), "")</f>
        <v/>
      </c>
      <c r="C1016" s="796"/>
      <c r="D1016" s="454"/>
      <c r="E1016" s="454"/>
      <c r="F1016" s="640"/>
      <c r="G1016" s="546"/>
      <c r="H1016" s="454"/>
      <c r="I1016" s="454"/>
      <c r="J101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7" spans="1:10" x14ac:dyDescent="0.25">
      <c r="A1017" s="796"/>
      <c r="B1017" s="454" t="str">
        <f>IF(Table13[[#This Row],[Day]] &lt;&gt; "", YEAR(Table13[[#This Row],[Day]]), "")</f>
        <v/>
      </c>
      <c r="C1017" s="796"/>
      <c r="D1017" s="454"/>
      <c r="E1017" s="454"/>
      <c r="F1017" s="640"/>
      <c r="G1017" s="546"/>
      <c r="H1017" s="454"/>
      <c r="I1017" s="454"/>
      <c r="J101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8" spans="1:10" x14ac:dyDescent="0.25">
      <c r="A1018" s="796"/>
      <c r="B1018" s="454" t="str">
        <f>IF(Table13[[#This Row],[Day]] &lt;&gt; "", YEAR(Table13[[#This Row],[Day]]), "")</f>
        <v/>
      </c>
      <c r="C1018" s="796"/>
      <c r="D1018" s="454"/>
      <c r="E1018" s="454"/>
      <c r="F1018" s="640"/>
      <c r="G1018" s="546"/>
      <c r="H1018" s="454"/>
      <c r="I1018" s="454"/>
      <c r="J101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19" spans="1:10" x14ac:dyDescent="0.25">
      <c r="A1019" s="796"/>
      <c r="B1019" s="454" t="str">
        <f>IF(Table13[[#This Row],[Day]] &lt;&gt; "", YEAR(Table13[[#This Row],[Day]]), "")</f>
        <v/>
      </c>
      <c r="C1019" s="796"/>
      <c r="D1019" s="454"/>
      <c r="E1019" s="454"/>
      <c r="F1019" s="640"/>
      <c r="G1019" s="546"/>
      <c r="H1019" s="454"/>
      <c r="I1019" s="454"/>
      <c r="J101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0" spans="1:10" x14ac:dyDescent="0.25">
      <c r="A1020" s="796"/>
      <c r="B1020" s="454" t="str">
        <f>IF(Table13[[#This Row],[Day]] &lt;&gt; "", YEAR(Table13[[#This Row],[Day]]), "")</f>
        <v/>
      </c>
      <c r="C1020" s="796"/>
      <c r="D1020" s="454"/>
      <c r="E1020" s="454"/>
      <c r="F1020" s="640"/>
      <c r="G1020" s="546"/>
      <c r="H1020" s="454"/>
      <c r="I1020" s="454"/>
      <c r="J102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1" spans="1:10" x14ac:dyDescent="0.25">
      <c r="A1021" s="796"/>
      <c r="B1021" s="454" t="str">
        <f>IF(Table13[[#This Row],[Day]] &lt;&gt; "", YEAR(Table13[[#This Row],[Day]]), "")</f>
        <v/>
      </c>
      <c r="C1021" s="796"/>
      <c r="D1021" s="454"/>
      <c r="E1021" s="454"/>
      <c r="F1021" s="640"/>
      <c r="G1021" s="546"/>
      <c r="H1021" s="454"/>
      <c r="I1021" s="454"/>
      <c r="J102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2" spans="1:10" x14ac:dyDescent="0.25">
      <c r="A1022" s="796"/>
      <c r="B1022" s="454" t="str">
        <f>IF(Table13[[#This Row],[Day]] &lt;&gt; "", YEAR(Table13[[#This Row],[Day]]), "")</f>
        <v/>
      </c>
      <c r="C1022" s="796"/>
      <c r="D1022" s="454"/>
      <c r="E1022" s="454"/>
      <c r="F1022" s="640"/>
      <c r="G1022" s="546"/>
      <c r="H1022" s="454"/>
      <c r="I1022" s="454"/>
      <c r="J102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3" spans="1:10" x14ac:dyDescent="0.25">
      <c r="A1023" s="796"/>
      <c r="B1023" s="454" t="str">
        <f>IF(Table13[[#This Row],[Day]] &lt;&gt; "", YEAR(Table13[[#This Row],[Day]]), "")</f>
        <v/>
      </c>
      <c r="C1023" s="796"/>
      <c r="D1023" s="454"/>
      <c r="E1023" s="454"/>
      <c r="F1023" s="640"/>
      <c r="G1023" s="546"/>
      <c r="H1023" s="454"/>
      <c r="I1023" s="454"/>
      <c r="J102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4" spans="1:10" x14ac:dyDescent="0.25">
      <c r="A1024" s="796"/>
      <c r="B1024" s="454" t="str">
        <f>IF(Table13[[#This Row],[Day]] &lt;&gt; "", YEAR(Table13[[#This Row],[Day]]), "")</f>
        <v/>
      </c>
      <c r="C1024" s="796"/>
      <c r="D1024" s="454"/>
      <c r="E1024" s="454"/>
      <c r="F1024" s="640"/>
      <c r="G1024" s="546"/>
      <c r="H1024" s="454"/>
      <c r="I1024" s="454"/>
      <c r="J102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5" spans="1:10" x14ac:dyDescent="0.25">
      <c r="A1025" s="796"/>
      <c r="B1025" s="454" t="str">
        <f>IF(Table13[[#This Row],[Day]] &lt;&gt; "", YEAR(Table13[[#This Row],[Day]]), "")</f>
        <v/>
      </c>
      <c r="C1025" s="796"/>
      <c r="D1025" s="454"/>
      <c r="E1025" s="454"/>
      <c r="F1025" s="640"/>
      <c r="G1025" s="546"/>
      <c r="H1025" s="454"/>
      <c r="I1025" s="454"/>
      <c r="J102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6" spans="1:10" x14ac:dyDescent="0.25">
      <c r="A1026" s="796"/>
      <c r="B1026" s="454" t="str">
        <f>IF(Table13[[#This Row],[Day]] &lt;&gt; "", YEAR(Table13[[#This Row],[Day]]), "")</f>
        <v/>
      </c>
      <c r="C1026" s="796"/>
      <c r="D1026" s="454"/>
      <c r="E1026" s="454"/>
      <c r="F1026" s="640"/>
      <c r="G1026" s="546"/>
      <c r="H1026" s="454"/>
      <c r="I1026" s="454"/>
      <c r="J102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7" spans="1:10" x14ac:dyDescent="0.25">
      <c r="A1027" s="796"/>
      <c r="B1027" s="454" t="str">
        <f>IF(Table13[[#This Row],[Day]] &lt;&gt; "", YEAR(Table13[[#This Row],[Day]]), "")</f>
        <v/>
      </c>
      <c r="C1027" s="796"/>
      <c r="D1027" s="454"/>
      <c r="E1027" s="454"/>
      <c r="F1027" s="640"/>
      <c r="G1027" s="546"/>
      <c r="H1027" s="454"/>
      <c r="I1027" s="454"/>
      <c r="J102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8" spans="1:10" x14ac:dyDescent="0.25">
      <c r="A1028" s="796"/>
      <c r="B1028" s="454" t="str">
        <f>IF(Table13[[#This Row],[Day]] &lt;&gt; "", YEAR(Table13[[#This Row],[Day]]), "")</f>
        <v/>
      </c>
      <c r="C1028" s="796"/>
      <c r="D1028" s="454"/>
      <c r="E1028" s="454"/>
      <c r="F1028" s="640"/>
      <c r="G1028" s="546"/>
      <c r="H1028" s="454"/>
      <c r="I1028" s="454"/>
      <c r="J102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29" spans="1:10" x14ac:dyDescent="0.25">
      <c r="A1029" s="796"/>
      <c r="B1029" s="454" t="str">
        <f>IF(Table13[[#This Row],[Day]] &lt;&gt; "", YEAR(Table13[[#This Row],[Day]]), "")</f>
        <v/>
      </c>
      <c r="C1029" s="796"/>
      <c r="D1029" s="454"/>
      <c r="E1029" s="454"/>
      <c r="F1029" s="640"/>
      <c r="G1029" s="546"/>
      <c r="H1029" s="454"/>
      <c r="I1029" s="454"/>
      <c r="J102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0" spans="1:10" x14ac:dyDescent="0.25">
      <c r="A1030" s="796"/>
      <c r="B1030" s="454" t="str">
        <f>IF(Table13[[#This Row],[Day]] &lt;&gt; "", YEAR(Table13[[#This Row],[Day]]), "")</f>
        <v/>
      </c>
      <c r="C1030" s="796"/>
      <c r="D1030" s="454"/>
      <c r="E1030" s="454"/>
      <c r="F1030" s="640"/>
      <c r="G1030" s="546"/>
      <c r="H1030" s="454"/>
      <c r="I1030" s="454"/>
      <c r="J103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1" spans="1:10" x14ac:dyDescent="0.25">
      <c r="A1031" s="796"/>
      <c r="B1031" s="454" t="str">
        <f>IF(Table13[[#This Row],[Day]] &lt;&gt; "", YEAR(Table13[[#This Row],[Day]]), "")</f>
        <v/>
      </c>
      <c r="C1031" s="796"/>
      <c r="D1031" s="454"/>
      <c r="E1031" s="454"/>
      <c r="F1031" s="640"/>
      <c r="G1031" s="546"/>
      <c r="H1031" s="454"/>
      <c r="I1031" s="454"/>
      <c r="J103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2" spans="1:10" x14ac:dyDescent="0.25">
      <c r="A1032" s="796"/>
      <c r="B1032" s="454" t="str">
        <f>IF(Table13[[#This Row],[Day]] &lt;&gt; "", YEAR(Table13[[#This Row],[Day]]), "")</f>
        <v/>
      </c>
      <c r="C1032" s="796"/>
      <c r="D1032" s="454"/>
      <c r="E1032" s="454"/>
      <c r="F1032" s="640"/>
      <c r="G1032" s="546"/>
      <c r="H1032" s="454"/>
      <c r="I1032" s="454"/>
      <c r="J103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3" spans="1:10" x14ac:dyDescent="0.25">
      <c r="A1033" s="796"/>
      <c r="B1033" s="454" t="str">
        <f>IF(Table13[[#This Row],[Day]] &lt;&gt; "", YEAR(Table13[[#This Row],[Day]]), "")</f>
        <v/>
      </c>
      <c r="C1033" s="796"/>
      <c r="D1033" s="454"/>
      <c r="E1033" s="454"/>
      <c r="F1033" s="640"/>
      <c r="G1033" s="546"/>
      <c r="H1033" s="454"/>
      <c r="I1033" s="454"/>
      <c r="J103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4" spans="1:10" x14ac:dyDescent="0.25">
      <c r="A1034" s="796"/>
      <c r="B1034" s="454" t="str">
        <f>IF(Table13[[#This Row],[Day]] &lt;&gt; "", YEAR(Table13[[#This Row],[Day]]), "")</f>
        <v/>
      </c>
      <c r="C1034" s="796"/>
      <c r="D1034" s="454"/>
      <c r="E1034" s="454"/>
      <c r="F1034" s="640"/>
      <c r="G1034" s="546"/>
      <c r="H1034" s="454"/>
      <c r="I1034" s="454"/>
      <c r="J103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5" spans="1:10" x14ac:dyDescent="0.25">
      <c r="A1035" s="796"/>
      <c r="B1035" s="454" t="str">
        <f>IF(Table13[[#This Row],[Day]] &lt;&gt; "", YEAR(Table13[[#This Row],[Day]]), "")</f>
        <v/>
      </c>
      <c r="C1035" s="796"/>
      <c r="D1035" s="454"/>
      <c r="E1035" s="454"/>
      <c r="F1035" s="640"/>
      <c r="G1035" s="546"/>
      <c r="H1035" s="454"/>
      <c r="I1035" s="454"/>
      <c r="J103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6" spans="1:10" x14ac:dyDescent="0.25">
      <c r="A1036" s="796"/>
      <c r="B1036" s="454" t="str">
        <f>IF(Table13[[#This Row],[Day]] &lt;&gt; "", YEAR(Table13[[#This Row],[Day]]), "")</f>
        <v/>
      </c>
      <c r="C1036" s="796"/>
      <c r="D1036" s="454"/>
      <c r="E1036" s="454"/>
      <c r="F1036" s="640"/>
      <c r="G1036" s="546"/>
      <c r="H1036" s="454"/>
      <c r="I1036" s="454"/>
      <c r="J103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7" spans="1:10" x14ac:dyDescent="0.25">
      <c r="A1037" s="796"/>
      <c r="B1037" s="454" t="str">
        <f>IF(Table13[[#This Row],[Day]] &lt;&gt; "", YEAR(Table13[[#This Row],[Day]]), "")</f>
        <v/>
      </c>
      <c r="C1037" s="796"/>
      <c r="D1037" s="454"/>
      <c r="E1037" s="454"/>
      <c r="F1037" s="640"/>
      <c r="G1037" s="546"/>
      <c r="H1037" s="454"/>
      <c r="I1037" s="454"/>
      <c r="J103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8" spans="1:10" x14ac:dyDescent="0.25">
      <c r="A1038" s="796"/>
      <c r="B1038" s="454" t="str">
        <f>IF(Table13[[#This Row],[Day]] &lt;&gt; "", YEAR(Table13[[#This Row],[Day]]), "")</f>
        <v/>
      </c>
      <c r="C1038" s="796"/>
      <c r="D1038" s="454"/>
      <c r="E1038" s="454"/>
      <c r="F1038" s="640"/>
      <c r="G1038" s="546"/>
      <c r="H1038" s="454"/>
      <c r="I1038" s="454"/>
      <c r="J103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39" spans="1:10" x14ac:dyDescent="0.25">
      <c r="A1039" s="796"/>
      <c r="B1039" s="454" t="str">
        <f>IF(Table13[[#This Row],[Day]] &lt;&gt; "", YEAR(Table13[[#This Row],[Day]]), "")</f>
        <v/>
      </c>
      <c r="C1039" s="796"/>
      <c r="D1039" s="454"/>
      <c r="E1039" s="454"/>
      <c r="F1039" s="640"/>
      <c r="G1039" s="546"/>
      <c r="H1039" s="454"/>
      <c r="I1039" s="454"/>
      <c r="J103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0" spans="1:10" x14ac:dyDescent="0.25">
      <c r="A1040" s="796"/>
      <c r="B1040" s="454" t="str">
        <f>IF(Table13[[#This Row],[Day]] &lt;&gt; "", YEAR(Table13[[#This Row],[Day]]), "")</f>
        <v/>
      </c>
      <c r="C1040" s="796"/>
      <c r="D1040" s="454"/>
      <c r="E1040" s="454"/>
      <c r="F1040" s="640"/>
      <c r="G1040" s="546"/>
      <c r="H1040" s="454"/>
      <c r="I1040" s="454"/>
      <c r="J104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1" spans="1:10" x14ac:dyDescent="0.25">
      <c r="A1041" s="796"/>
      <c r="B1041" s="454" t="str">
        <f>IF(Table13[[#This Row],[Day]] &lt;&gt; "", YEAR(Table13[[#This Row],[Day]]), "")</f>
        <v/>
      </c>
      <c r="C1041" s="796"/>
      <c r="D1041" s="454"/>
      <c r="E1041" s="454"/>
      <c r="F1041" s="640"/>
      <c r="G1041" s="546"/>
      <c r="H1041" s="454"/>
      <c r="I1041" s="454"/>
      <c r="J104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2" spans="1:10" x14ac:dyDescent="0.25">
      <c r="A1042" s="796"/>
      <c r="B1042" s="454" t="str">
        <f>IF(Table13[[#This Row],[Day]] &lt;&gt; "", YEAR(Table13[[#This Row],[Day]]), "")</f>
        <v/>
      </c>
      <c r="C1042" s="796"/>
      <c r="D1042" s="454"/>
      <c r="E1042" s="454"/>
      <c r="F1042" s="640"/>
      <c r="G1042" s="546"/>
      <c r="H1042" s="454"/>
      <c r="I1042" s="454"/>
      <c r="J104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3" spans="1:10" x14ac:dyDescent="0.25">
      <c r="A1043" s="796"/>
      <c r="B1043" s="454" t="str">
        <f>IF(Table13[[#This Row],[Day]] &lt;&gt; "", YEAR(Table13[[#This Row],[Day]]), "")</f>
        <v/>
      </c>
      <c r="C1043" s="796"/>
      <c r="D1043" s="454"/>
      <c r="E1043" s="454"/>
      <c r="F1043" s="640"/>
      <c r="G1043" s="546"/>
      <c r="H1043" s="454"/>
      <c r="I1043" s="454"/>
      <c r="J104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4" spans="1:10" x14ac:dyDescent="0.25">
      <c r="A1044" s="796"/>
      <c r="B1044" s="454" t="str">
        <f>IF(Table13[[#This Row],[Day]] &lt;&gt; "", YEAR(Table13[[#This Row],[Day]]), "")</f>
        <v/>
      </c>
      <c r="C1044" s="796"/>
      <c r="D1044" s="454"/>
      <c r="E1044" s="454"/>
      <c r="F1044" s="640"/>
      <c r="G1044" s="546"/>
      <c r="H1044" s="454"/>
      <c r="I1044" s="454"/>
      <c r="J104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5" spans="1:10" x14ac:dyDescent="0.25">
      <c r="A1045" s="796"/>
      <c r="B1045" s="454" t="str">
        <f>IF(Table13[[#This Row],[Day]] &lt;&gt; "", YEAR(Table13[[#This Row],[Day]]), "")</f>
        <v/>
      </c>
      <c r="C1045" s="796"/>
      <c r="D1045" s="454"/>
      <c r="E1045" s="454"/>
      <c r="F1045" s="640"/>
      <c r="G1045" s="546"/>
      <c r="H1045" s="454"/>
      <c r="I1045" s="454"/>
      <c r="J104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6" spans="1:10" x14ac:dyDescent="0.25">
      <c r="A1046" s="796"/>
      <c r="B1046" s="454" t="str">
        <f>IF(Table13[[#This Row],[Day]] &lt;&gt; "", YEAR(Table13[[#This Row],[Day]]), "")</f>
        <v/>
      </c>
      <c r="C1046" s="796"/>
      <c r="D1046" s="454"/>
      <c r="E1046" s="454"/>
      <c r="F1046" s="640"/>
      <c r="G1046" s="546"/>
      <c r="H1046" s="454"/>
      <c r="I1046" s="454"/>
      <c r="J104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7" spans="1:10" x14ac:dyDescent="0.25">
      <c r="A1047" s="796"/>
      <c r="B1047" s="454" t="str">
        <f>IF(Table13[[#This Row],[Day]] &lt;&gt; "", YEAR(Table13[[#This Row],[Day]]), "")</f>
        <v/>
      </c>
      <c r="C1047" s="796"/>
      <c r="D1047" s="454"/>
      <c r="E1047" s="454"/>
      <c r="F1047" s="640"/>
      <c r="G1047" s="546"/>
      <c r="H1047" s="454"/>
      <c r="I1047" s="454"/>
      <c r="J104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8" spans="1:10" x14ac:dyDescent="0.25">
      <c r="A1048" s="796"/>
      <c r="B1048" s="454" t="str">
        <f>IF(Table13[[#This Row],[Day]] &lt;&gt; "", YEAR(Table13[[#This Row],[Day]]), "")</f>
        <v/>
      </c>
      <c r="C1048" s="796"/>
      <c r="D1048" s="454"/>
      <c r="E1048" s="454"/>
      <c r="F1048" s="640"/>
      <c r="G1048" s="546"/>
      <c r="H1048" s="454"/>
      <c r="I1048" s="454"/>
      <c r="J104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49" spans="1:10" x14ac:dyDescent="0.25">
      <c r="A1049" s="796"/>
      <c r="B1049" s="454" t="str">
        <f>IF(Table13[[#This Row],[Day]] &lt;&gt; "", YEAR(Table13[[#This Row],[Day]]), "")</f>
        <v/>
      </c>
      <c r="C1049" s="796"/>
      <c r="D1049" s="454"/>
      <c r="E1049" s="454"/>
      <c r="F1049" s="640"/>
      <c r="G1049" s="546"/>
      <c r="H1049" s="454"/>
      <c r="I1049" s="454"/>
      <c r="J104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0" spans="1:10" x14ac:dyDescent="0.25">
      <c r="A1050" s="796"/>
      <c r="B1050" s="454" t="str">
        <f>IF(Table13[[#This Row],[Day]] &lt;&gt; "", YEAR(Table13[[#This Row],[Day]]), "")</f>
        <v/>
      </c>
      <c r="C1050" s="796"/>
      <c r="D1050" s="454"/>
      <c r="E1050" s="454"/>
      <c r="F1050" s="640"/>
      <c r="G1050" s="546"/>
      <c r="H1050" s="454"/>
      <c r="I1050" s="454"/>
      <c r="J105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1" spans="1:10" x14ac:dyDescent="0.25">
      <c r="A1051" s="796"/>
      <c r="B1051" s="454" t="str">
        <f>IF(Table13[[#This Row],[Day]] &lt;&gt; "", YEAR(Table13[[#This Row],[Day]]), "")</f>
        <v/>
      </c>
      <c r="C1051" s="796"/>
      <c r="D1051" s="454"/>
      <c r="E1051" s="454"/>
      <c r="F1051" s="640"/>
      <c r="G1051" s="546"/>
      <c r="H1051" s="454"/>
      <c r="I1051" s="454"/>
      <c r="J105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2" spans="1:10" x14ac:dyDescent="0.25">
      <c r="A1052" s="796"/>
      <c r="B1052" s="454" t="str">
        <f>IF(Table13[[#This Row],[Day]] &lt;&gt; "", YEAR(Table13[[#This Row],[Day]]), "")</f>
        <v/>
      </c>
      <c r="C1052" s="796"/>
      <c r="D1052" s="454"/>
      <c r="E1052" s="454"/>
      <c r="F1052" s="640"/>
      <c r="G1052" s="546"/>
      <c r="H1052" s="454"/>
      <c r="I1052" s="454"/>
      <c r="J105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3" spans="1:10" x14ac:dyDescent="0.25">
      <c r="A1053" s="796"/>
      <c r="B1053" s="454" t="str">
        <f>IF(Table13[[#This Row],[Day]] &lt;&gt; "", YEAR(Table13[[#This Row],[Day]]), "")</f>
        <v/>
      </c>
      <c r="C1053" s="796"/>
      <c r="D1053" s="454"/>
      <c r="E1053" s="454"/>
      <c r="F1053" s="640"/>
      <c r="G1053" s="546"/>
      <c r="H1053" s="454"/>
      <c r="I1053" s="454"/>
      <c r="J105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4" spans="1:10" x14ac:dyDescent="0.25">
      <c r="A1054" s="796"/>
      <c r="B1054" s="454" t="str">
        <f>IF(Table13[[#This Row],[Day]] &lt;&gt; "", YEAR(Table13[[#This Row],[Day]]), "")</f>
        <v/>
      </c>
      <c r="C1054" s="796"/>
      <c r="D1054" s="454"/>
      <c r="E1054" s="454"/>
      <c r="F1054" s="640"/>
      <c r="G1054" s="546"/>
      <c r="H1054" s="454"/>
      <c r="I1054" s="454"/>
      <c r="J105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5" spans="1:10" x14ac:dyDescent="0.25">
      <c r="A1055" s="796"/>
      <c r="B1055" s="454" t="str">
        <f>IF(Table13[[#This Row],[Day]] &lt;&gt; "", YEAR(Table13[[#This Row],[Day]]), "")</f>
        <v/>
      </c>
      <c r="C1055" s="796"/>
      <c r="D1055" s="454"/>
      <c r="E1055" s="454"/>
      <c r="F1055" s="640"/>
      <c r="G1055" s="546"/>
      <c r="H1055" s="454"/>
      <c r="I1055" s="454"/>
      <c r="J105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6" spans="1:10" x14ac:dyDescent="0.25">
      <c r="A1056" s="796"/>
      <c r="B1056" s="454" t="str">
        <f>IF(Table13[[#This Row],[Day]] &lt;&gt; "", YEAR(Table13[[#This Row],[Day]]), "")</f>
        <v/>
      </c>
      <c r="C1056" s="796"/>
      <c r="D1056" s="454"/>
      <c r="E1056" s="454"/>
      <c r="F1056" s="640"/>
      <c r="G1056" s="546"/>
      <c r="H1056" s="454"/>
      <c r="I1056" s="454"/>
      <c r="J105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7" spans="1:10" x14ac:dyDescent="0.25">
      <c r="A1057" s="796"/>
      <c r="B1057" s="454" t="str">
        <f>IF(Table13[[#This Row],[Day]] &lt;&gt; "", YEAR(Table13[[#This Row],[Day]]), "")</f>
        <v/>
      </c>
      <c r="C1057" s="796"/>
      <c r="D1057" s="454"/>
      <c r="E1057" s="454"/>
      <c r="F1057" s="640"/>
      <c r="G1057" s="546"/>
      <c r="H1057" s="454"/>
      <c r="I1057" s="454"/>
      <c r="J105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8" spans="1:10" x14ac:dyDescent="0.25">
      <c r="A1058" s="796"/>
      <c r="B1058" s="454" t="str">
        <f>IF(Table13[[#This Row],[Day]] &lt;&gt; "", YEAR(Table13[[#This Row],[Day]]), "")</f>
        <v/>
      </c>
      <c r="C1058" s="796"/>
      <c r="D1058" s="454"/>
      <c r="E1058" s="454"/>
      <c r="F1058" s="640"/>
      <c r="G1058" s="546"/>
      <c r="H1058" s="454"/>
      <c r="I1058" s="454"/>
      <c r="J105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59" spans="1:10" x14ac:dyDescent="0.25">
      <c r="A1059" s="796"/>
      <c r="B1059" s="454" t="str">
        <f>IF(Table13[[#This Row],[Day]] &lt;&gt; "", YEAR(Table13[[#This Row],[Day]]), "")</f>
        <v/>
      </c>
      <c r="C1059" s="796"/>
      <c r="D1059" s="454"/>
      <c r="E1059" s="454"/>
      <c r="F1059" s="640"/>
      <c r="G1059" s="546"/>
      <c r="H1059" s="454"/>
      <c r="I1059" s="454"/>
      <c r="J105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0" spans="1:10" x14ac:dyDescent="0.25">
      <c r="A1060" s="796"/>
      <c r="B1060" s="454" t="str">
        <f>IF(Table13[[#This Row],[Day]] &lt;&gt; "", YEAR(Table13[[#This Row],[Day]]), "")</f>
        <v/>
      </c>
      <c r="C1060" s="796"/>
      <c r="D1060" s="454"/>
      <c r="E1060" s="454"/>
      <c r="F1060" s="640"/>
      <c r="G1060" s="546"/>
      <c r="H1060" s="454"/>
      <c r="I1060" s="454"/>
      <c r="J106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1" spans="1:10" x14ac:dyDescent="0.25">
      <c r="A1061" s="796"/>
      <c r="B1061" s="454" t="str">
        <f>IF(Table13[[#This Row],[Day]] &lt;&gt; "", YEAR(Table13[[#This Row],[Day]]), "")</f>
        <v/>
      </c>
      <c r="C1061" s="796"/>
      <c r="D1061" s="454"/>
      <c r="E1061" s="454"/>
      <c r="F1061" s="640"/>
      <c r="G1061" s="546"/>
      <c r="H1061" s="454"/>
      <c r="I1061" s="454"/>
      <c r="J106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2" spans="1:10" x14ac:dyDescent="0.25">
      <c r="A1062" s="796"/>
      <c r="B1062" s="454" t="str">
        <f>IF(Table13[[#This Row],[Day]] &lt;&gt; "", YEAR(Table13[[#This Row],[Day]]), "")</f>
        <v/>
      </c>
      <c r="C1062" s="796"/>
      <c r="D1062" s="454"/>
      <c r="E1062" s="454"/>
      <c r="F1062" s="640"/>
      <c r="G1062" s="546"/>
      <c r="H1062" s="454"/>
      <c r="I1062" s="454"/>
      <c r="J106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3" spans="1:10" x14ac:dyDescent="0.25">
      <c r="A1063" s="796"/>
      <c r="B1063" s="454" t="str">
        <f>IF(Table13[[#This Row],[Day]] &lt;&gt; "", YEAR(Table13[[#This Row],[Day]]), "")</f>
        <v/>
      </c>
      <c r="C1063" s="796"/>
      <c r="D1063" s="454"/>
      <c r="E1063" s="454"/>
      <c r="F1063" s="640"/>
      <c r="G1063" s="546"/>
      <c r="H1063" s="454"/>
      <c r="I1063" s="454"/>
      <c r="J106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4" spans="1:10" x14ac:dyDescent="0.25">
      <c r="A1064" s="796"/>
      <c r="B1064" s="454" t="str">
        <f>IF(Table13[[#This Row],[Day]] &lt;&gt; "", YEAR(Table13[[#This Row],[Day]]), "")</f>
        <v/>
      </c>
      <c r="C1064" s="796"/>
      <c r="D1064" s="454"/>
      <c r="E1064" s="454"/>
      <c r="F1064" s="640"/>
      <c r="G1064" s="546"/>
      <c r="H1064" s="454"/>
      <c r="I1064" s="454"/>
      <c r="J106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5" spans="1:10" x14ac:dyDescent="0.25">
      <c r="A1065" s="796"/>
      <c r="B1065" s="454" t="str">
        <f>IF(Table13[[#This Row],[Day]] &lt;&gt; "", YEAR(Table13[[#This Row],[Day]]), "")</f>
        <v/>
      </c>
      <c r="C1065" s="796"/>
      <c r="D1065" s="454"/>
      <c r="E1065" s="454"/>
      <c r="F1065" s="640"/>
      <c r="G1065" s="546"/>
      <c r="H1065" s="454"/>
      <c r="I1065" s="454"/>
      <c r="J106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6" spans="1:10" x14ac:dyDescent="0.25">
      <c r="A1066" s="796"/>
      <c r="B1066" s="454" t="str">
        <f>IF(Table13[[#This Row],[Day]] &lt;&gt; "", YEAR(Table13[[#This Row],[Day]]), "")</f>
        <v/>
      </c>
      <c r="C1066" s="796"/>
      <c r="D1066" s="454"/>
      <c r="E1066" s="454"/>
      <c r="F1066" s="640"/>
      <c r="G1066" s="546"/>
      <c r="H1066" s="454"/>
      <c r="I1066" s="454"/>
      <c r="J106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7" spans="1:10" x14ac:dyDescent="0.25">
      <c r="A1067" s="796"/>
      <c r="B1067" s="454" t="str">
        <f>IF(Table13[[#This Row],[Day]] &lt;&gt; "", YEAR(Table13[[#This Row],[Day]]), "")</f>
        <v/>
      </c>
      <c r="C1067" s="796"/>
      <c r="D1067" s="454"/>
      <c r="E1067" s="454"/>
      <c r="F1067" s="640"/>
      <c r="G1067" s="546"/>
      <c r="H1067" s="454"/>
      <c r="I1067" s="454"/>
      <c r="J106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8" spans="1:10" x14ac:dyDescent="0.25">
      <c r="A1068" s="796"/>
      <c r="B1068" s="454" t="str">
        <f>IF(Table13[[#This Row],[Day]] &lt;&gt; "", YEAR(Table13[[#This Row],[Day]]), "")</f>
        <v/>
      </c>
      <c r="C1068" s="796"/>
      <c r="D1068" s="454"/>
      <c r="E1068" s="454"/>
      <c r="F1068" s="640"/>
      <c r="G1068" s="546"/>
      <c r="H1068" s="454"/>
      <c r="I1068" s="454"/>
      <c r="J106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69" spans="1:10" x14ac:dyDescent="0.25">
      <c r="A1069" s="796"/>
      <c r="B1069" s="454" t="str">
        <f>IF(Table13[[#This Row],[Day]] &lt;&gt; "", YEAR(Table13[[#This Row],[Day]]), "")</f>
        <v/>
      </c>
      <c r="C1069" s="796"/>
      <c r="D1069" s="454"/>
      <c r="E1069" s="454"/>
      <c r="F1069" s="640"/>
      <c r="G1069" s="546"/>
      <c r="H1069" s="454"/>
      <c r="I1069" s="454"/>
      <c r="J106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0" spans="1:10" x14ac:dyDescent="0.25">
      <c r="A1070" s="796"/>
      <c r="B1070" s="454" t="str">
        <f>IF(Table13[[#This Row],[Day]] &lt;&gt; "", YEAR(Table13[[#This Row],[Day]]), "")</f>
        <v/>
      </c>
      <c r="C1070" s="796"/>
      <c r="D1070" s="454"/>
      <c r="E1070" s="454"/>
      <c r="F1070" s="640"/>
      <c r="G1070" s="546"/>
      <c r="H1070" s="454"/>
      <c r="I1070" s="454"/>
      <c r="J107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1" spans="1:10" x14ac:dyDescent="0.25">
      <c r="A1071" s="796"/>
      <c r="B1071" s="454" t="str">
        <f>IF(Table13[[#This Row],[Day]] &lt;&gt; "", YEAR(Table13[[#This Row],[Day]]), "")</f>
        <v/>
      </c>
      <c r="C1071" s="796"/>
      <c r="D1071" s="454"/>
      <c r="E1071" s="454"/>
      <c r="F1071" s="640"/>
      <c r="G1071" s="546"/>
      <c r="H1071" s="454"/>
      <c r="I1071" s="454"/>
      <c r="J107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2" spans="1:10" x14ac:dyDescent="0.25">
      <c r="A1072" s="796"/>
      <c r="B1072" s="454" t="str">
        <f>IF(Table13[[#This Row],[Day]] &lt;&gt; "", YEAR(Table13[[#This Row],[Day]]), "")</f>
        <v/>
      </c>
      <c r="C1072" s="796"/>
      <c r="D1072" s="454"/>
      <c r="E1072" s="454"/>
      <c r="F1072" s="640"/>
      <c r="G1072" s="546"/>
      <c r="H1072" s="454"/>
      <c r="I1072" s="454"/>
      <c r="J107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3" spans="1:10" x14ac:dyDescent="0.25">
      <c r="A1073" s="796"/>
      <c r="B1073" s="454" t="str">
        <f>IF(Table13[[#This Row],[Day]] &lt;&gt; "", YEAR(Table13[[#This Row],[Day]]), "")</f>
        <v/>
      </c>
      <c r="C1073" s="796"/>
      <c r="D1073" s="454"/>
      <c r="E1073" s="454"/>
      <c r="F1073" s="640"/>
      <c r="G1073" s="546"/>
      <c r="H1073" s="454"/>
      <c r="I1073" s="454"/>
      <c r="J107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4" spans="1:10" x14ac:dyDescent="0.25">
      <c r="A1074" s="796"/>
      <c r="B1074" s="454" t="str">
        <f>IF(Table13[[#This Row],[Day]] &lt;&gt; "", YEAR(Table13[[#This Row],[Day]]), "")</f>
        <v/>
      </c>
      <c r="C1074" s="796"/>
      <c r="D1074" s="454"/>
      <c r="E1074" s="454"/>
      <c r="F1074" s="640"/>
      <c r="G1074" s="546"/>
      <c r="H1074" s="454"/>
      <c r="I1074" s="454"/>
      <c r="J107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5" spans="1:10" x14ac:dyDescent="0.25">
      <c r="A1075" s="796"/>
      <c r="B1075" s="454" t="str">
        <f>IF(Table13[[#This Row],[Day]] &lt;&gt; "", YEAR(Table13[[#This Row],[Day]]), "")</f>
        <v/>
      </c>
      <c r="C1075" s="796"/>
      <c r="D1075" s="454"/>
      <c r="E1075" s="454"/>
      <c r="F1075" s="640"/>
      <c r="G1075" s="546"/>
      <c r="H1075" s="454"/>
      <c r="I1075" s="454"/>
      <c r="J107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6" spans="1:10" x14ac:dyDescent="0.25">
      <c r="A1076" s="796"/>
      <c r="B1076" s="454" t="str">
        <f>IF(Table13[[#This Row],[Day]] &lt;&gt; "", YEAR(Table13[[#This Row],[Day]]), "")</f>
        <v/>
      </c>
      <c r="C1076" s="796"/>
      <c r="D1076" s="454"/>
      <c r="E1076" s="454"/>
      <c r="F1076" s="640"/>
      <c r="G1076" s="546"/>
      <c r="H1076" s="454"/>
      <c r="I1076" s="454"/>
      <c r="J107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7" spans="1:10" x14ac:dyDescent="0.25">
      <c r="A1077" s="796"/>
      <c r="B1077" s="454" t="str">
        <f>IF(Table13[[#This Row],[Day]] &lt;&gt; "", YEAR(Table13[[#This Row],[Day]]), "")</f>
        <v/>
      </c>
      <c r="C1077" s="796"/>
      <c r="D1077" s="454"/>
      <c r="E1077" s="454"/>
      <c r="F1077" s="640"/>
      <c r="G1077" s="546"/>
      <c r="H1077" s="454"/>
      <c r="I1077" s="454"/>
      <c r="J107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8" spans="1:10" x14ac:dyDescent="0.25">
      <c r="A1078" s="796"/>
      <c r="B1078" s="454" t="str">
        <f>IF(Table13[[#This Row],[Day]] &lt;&gt; "", YEAR(Table13[[#This Row],[Day]]), "")</f>
        <v/>
      </c>
      <c r="C1078" s="796"/>
      <c r="D1078" s="454"/>
      <c r="E1078" s="454"/>
      <c r="F1078" s="640"/>
      <c r="G1078" s="546"/>
      <c r="H1078" s="454"/>
      <c r="I1078" s="454"/>
      <c r="J107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79" spans="1:10" x14ac:dyDescent="0.25">
      <c r="A1079" s="796"/>
      <c r="B1079" s="454" t="str">
        <f>IF(Table13[[#This Row],[Day]] &lt;&gt; "", YEAR(Table13[[#This Row],[Day]]), "")</f>
        <v/>
      </c>
      <c r="C1079" s="796"/>
      <c r="D1079" s="454"/>
      <c r="E1079" s="454"/>
      <c r="F1079" s="640"/>
      <c r="G1079" s="546"/>
      <c r="H1079" s="454"/>
      <c r="I1079" s="454"/>
      <c r="J107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0" spans="1:10" x14ac:dyDescent="0.25">
      <c r="A1080" s="796"/>
      <c r="B1080" s="454" t="str">
        <f>IF(Table13[[#This Row],[Day]] &lt;&gt; "", YEAR(Table13[[#This Row],[Day]]), "")</f>
        <v/>
      </c>
      <c r="C1080" s="796"/>
      <c r="D1080" s="454"/>
      <c r="E1080" s="454"/>
      <c r="F1080" s="640"/>
      <c r="G1080" s="546"/>
      <c r="H1080" s="454"/>
      <c r="I1080" s="454"/>
      <c r="J108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1" spans="1:10" x14ac:dyDescent="0.25">
      <c r="A1081" s="796"/>
      <c r="B1081" s="454" t="str">
        <f>IF(Table13[[#This Row],[Day]] &lt;&gt; "", YEAR(Table13[[#This Row],[Day]]), "")</f>
        <v/>
      </c>
      <c r="C1081" s="796"/>
      <c r="D1081" s="454"/>
      <c r="E1081" s="454"/>
      <c r="F1081" s="640"/>
      <c r="G1081" s="546"/>
      <c r="H1081" s="454"/>
      <c r="I1081" s="454"/>
      <c r="J108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2" spans="1:10" x14ac:dyDescent="0.25">
      <c r="A1082" s="796"/>
      <c r="B1082" s="454" t="str">
        <f>IF(Table13[[#This Row],[Day]] &lt;&gt; "", YEAR(Table13[[#This Row],[Day]]), "")</f>
        <v/>
      </c>
      <c r="C1082" s="796"/>
      <c r="D1082" s="454"/>
      <c r="E1082" s="454"/>
      <c r="F1082" s="640"/>
      <c r="G1082" s="546"/>
      <c r="H1082" s="454"/>
      <c r="I1082" s="454"/>
      <c r="J108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3" spans="1:10" x14ac:dyDescent="0.25">
      <c r="A1083" s="796"/>
      <c r="B1083" s="454" t="str">
        <f>IF(Table13[[#This Row],[Day]] &lt;&gt; "", YEAR(Table13[[#This Row],[Day]]), "")</f>
        <v/>
      </c>
      <c r="C1083" s="796"/>
      <c r="D1083" s="454"/>
      <c r="E1083" s="454"/>
      <c r="F1083" s="640"/>
      <c r="G1083" s="546"/>
      <c r="H1083" s="454"/>
      <c r="I1083" s="454"/>
      <c r="J108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4" spans="1:10" x14ac:dyDescent="0.25">
      <c r="A1084" s="796"/>
      <c r="B1084" s="454" t="str">
        <f>IF(Table13[[#This Row],[Day]] &lt;&gt; "", YEAR(Table13[[#This Row],[Day]]), "")</f>
        <v/>
      </c>
      <c r="C1084" s="796"/>
      <c r="D1084" s="454"/>
      <c r="E1084" s="454"/>
      <c r="F1084" s="640"/>
      <c r="G1084" s="546"/>
      <c r="H1084" s="454"/>
      <c r="I1084" s="454"/>
      <c r="J108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5" spans="1:10" x14ac:dyDescent="0.25">
      <c r="A1085" s="796"/>
      <c r="B1085" s="454" t="str">
        <f>IF(Table13[[#This Row],[Day]] &lt;&gt; "", YEAR(Table13[[#This Row],[Day]]), "")</f>
        <v/>
      </c>
      <c r="C1085" s="796"/>
      <c r="D1085" s="454"/>
      <c r="E1085" s="454"/>
      <c r="F1085" s="640"/>
      <c r="G1085" s="546"/>
      <c r="H1085" s="454"/>
      <c r="I1085" s="454"/>
      <c r="J108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6" spans="1:10" x14ac:dyDescent="0.25">
      <c r="A1086" s="796"/>
      <c r="B1086" s="454" t="str">
        <f>IF(Table13[[#This Row],[Day]] &lt;&gt; "", YEAR(Table13[[#This Row],[Day]]), "")</f>
        <v/>
      </c>
      <c r="C1086" s="796"/>
      <c r="D1086" s="454"/>
      <c r="E1086" s="454"/>
      <c r="F1086" s="640"/>
      <c r="G1086" s="546"/>
      <c r="H1086" s="454"/>
      <c r="I1086" s="454"/>
      <c r="J108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7" spans="1:10" x14ac:dyDescent="0.25">
      <c r="A1087" s="796"/>
      <c r="B1087" s="454" t="str">
        <f>IF(Table13[[#This Row],[Day]] &lt;&gt; "", YEAR(Table13[[#This Row],[Day]]), "")</f>
        <v/>
      </c>
      <c r="C1087" s="796"/>
      <c r="D1087" s="454"/>
      <c r="E1087" s="454"/>
      <c r="F1087" s="640"/>
      <c r="G1087" s="546"/>
      <c r="H1087" s="454"/>
      <c r="I1087" s="454"/>
      <c r="J108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8" spans="1:10" x14ac:dyDescent="0.25">
      <c r="A1088" s="796"/>
      <c r="B1088" s="454" t="str">
        <f>IF(Table13[[#This Row],[Day]] &lt;&gt; "", YEAR(Table13[[#This Row],[Day]]), "")</f>
        <v/>
      </c>
      <c r="C1088" s="796"/>
      <c r="D1088" s="454"/>
      <c r="E1088" s="454"/>
      <c r="F1088" s="640"/>
      <c r="G1088" s="546"/>
      <c r="H1088" s="454"/>
      <c r="I1088" s="454"/>
      <c r="J108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89" spans="1:10" x14ac:dyDescent="0.25">
      <c r="A1089" s="796"/>
      <c r="B1089" s="454" t="str">
        <f>IF(Table13[[#This Row],[Day]] &lt;&gt; "", YEAR(Table13[[#This Row],[Day]]), "")</f>
        <v/>
      </c>
      <c r="C1089" s="796"/>
      <c r="D1089" s="454"/>
      <c r="E1089" s="454"/>
      <c r="F1089" s="640"/>
      <c r="G1089" s="546"/>
      <c r="H1089" s="454"/>
      <c r="I1089" s="454"/>
      <c r="J108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0" spans="1:10" x14ac:dyDescent="0.25">
      <c r="A1090" s="796"/>
      <c r="B1090" s="454" t="str">
        <f>IF(Table13[[#This Row],[Day]] &lt;&gt; "", YEAR(Table13[[#This Row],[Day]]), "")</f>
        <v/>
      </c>
      <c r="C1090" s="796"/>
      <c r="D1090" s="454"/>
      <c r="E1090" s="454"/>
      <c r="F1090" s="640"/>
      <c r="G1090" s="546"/>
      <c r="H1090" s="454"/>
      <c r="I1090" s="454"/>
      <c r="J109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1" spans="1:10" x14ac:dyDescent="0.25">
      <c r="A1091" s="796"/>
      <c r="B1091" s="454" t="str">
        <f>IF(Table13[[#This Row],[Day]] &lt;&gt; "", YEAR(Table13[[#This Row],[Day]]), "")</f>
        <v/>
      </c>
      <c r="C1091" s="796"/>
      <c r="D1091" s="454"/>
      <c r="E1091" s="454"/>
      <c r="F1091" s="640"/>
      <c r="G1091" s="546"/>
      <c r="H1091" s="454"/>
      <c r="I1091" s="454"/>
      <c r="J109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2" spans="1:10" x14ac:dyDescent="0.25">
      <c r="A1092" s="796"/>
      <c r="B1092" s="454" t="str">
        <f>IF(Table13[[#This Row],[Day]] &lt;&gt; "", YEAR(Table13[[#This Row],[Day]]), "")</f>
        <v/>
      </c>
      <c r="C1092" s="796"/>
      <c r="D1092" s="454"/>
      <c r="E1092" s="454"/>
      <c r="F1092" s="640"/>
      <c r="G1092" s="546"/>
      <c r="H1092" s="454"/>
      <c r="I1092" s="454"/>
      <c r="J109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3" spans="1:10" x14ac:dyDescent="0.25">
      <c r="A1093" s="796"/>
      <c r="B1093" s="454" t="str">
        <f>IF(Table13[[#This Row],[Day]] &lt;&gt; "", YEAR(Table13[[#This Row],[Day]]), "")</f>
        <v/>
      </c>
      <c r="C1093" s="796"/>
      <c r="D1093" s="454"/>
      <c r="E1093" s="454"/>
      <c r="F1093" s="640"/>
      <c r="G1093" s="546"/>
      <c r="H1093" s="454"/>
      <c r="I1093" s="454"/>
      <c r="J109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4" spans="1:10" x14ac:dyDescent="0.25">
      <c r="A1094" s="796"/>
      <c r="B1094" s="454" t="str">
        <f>IF(Table13[[#This Row],[Day]] &lt;&gt; "", YEAR(Table13[[#This Row],[Day]]), "")</f>
        <v/>
      </c>
      <c r="C1094" s="796"/>
      <c r="D1094" s="454"/>
      <c r="E1094" s="454"/>
      <c r="F1094" s="640"/>
      <c r="G1094" s="546"/>
      <c r="H1094" s="454"/>
      <c r="I1094" s="454"/>
      <c r="J109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5" spans="1:10" x14ac:dyDescent="0.25">
      <c r="A1095" s="796"/>
      <c r="B1095" s="454" t="str">
        <f>IF(Table13[[#This Row],[Day]] &lt;&gt; "", YEAR(Table13[[#This Row],[Day]]), "")</f>
        <v/>
      </c>
      <c r="C1095" s="796"/>
      <c r="D1095" s="454"/>
      <c r="E1095" s="454"/>
      <c r="F1095" s="640"/>
      <c r="G1095" s="546"/>
      <c r="H1095" s="454"/>
      <c r="I1095" s="454"/>
      <c r="J109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6" spans="1:10" x14ac:dyDescent="0.25">
      <c r="A1096" s="796"/>
      <c r="B1096" s="454" t="str">
        <f>IF(Table13[[#This Row],[Day]] &lt;&gt; "", YEAR(Table13[[#This Row],[Day]]), "")</f>
        <v/>
      </c>
      <c r="C1096" s="796"/>
      <c r="D1096" s="454"/>
      <c r="E1096" s="454"/>
      <c r="F1096" s="640"/>
      <c r="G1096" s="546"/>
      <c r="H1096" s="454"/>
      <c r="I1096" s="454"/>
      <c r="J109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7" spans="1:10" x14ac:dyDescent="0.25">
      <c r="A1097" s="796"/>
      <c r="B1097" s="454" t="str">
        <f>IF(Table13[[#This Row],[Day]] &lt;&gt; "", YEAR(Table13[[#This Row],[Day]]), "")</f>
        <v/>
      </c>
      <c r="C1097" s="796"/>
      <c r="D1097" s="454"/>
      <c r="E1097" s="454"/>
      <c r="F1097" s="640"/>
      <c r="G1097" s="546"/>
      <c r="H1097" s="454"/>
      <c r="I1097" s="454"/>
      <c r="J109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8" spans="1:10" x14ac:dyDescent="0.25">
      <c r="A1098" s="796"/>
      <c r="B1098" s="454" t="str">
        <f>IF(Table13[[#This Row],[Day]] &lt;&gt; "", YEAR(Table13[[#This Row],[Day]]), "")</f>
        <v/>
      </c>
      <c r="C1098" s="796"/>
      <c r="D1098" s="454"/>
      <c r="E1098" s="454"/>
      <c r="F1098" s="640"/>
      <c r="G1098" s="546"/>
      <c r="H1098" s="454"/>
      <c r="I1098" s="454"/>
      <c r="J109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099" spans="1:10" x14ac:dyDescent="0.25">
      <c r="A1099" s="796"/>
      <c r="B1099" s="454" t="str">
        <f>IF(Table13[[#This Row],[Day]] &lt;&gt; "", YEAR(Table13[[#This Row],[Day]]), "")</f>
        <v/>
      </c>
      <c r="C1099" s="796"/>
      <c r="D1099" s="454"/>
      <c r="E1099" s="454"/>
      <c r="F1099" s="640"/>
      <c r="G1099" s="546"/>
      <c r="H1099" s="454"/>
      <c r="I1099" s="454"/>
      <c r="J109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0" spans="1:10" x14ac:dyDescent="0.25">
      <c r="A1100" s="796"/>
      <c r="B1100" s="454" t="str">
        <f>IF(Table13[[#This Row],[Day]] &lt;&gt; "", YEAR(Table13[[#This Row],[Day]]), "")</f>
        <v/>
      </c>
      <c r="C1100" s="796"/>
      <c r="D1100" s="454"/>
      <c r="E1100" s="454"/>
      <c r="F1100" s="640"/>
      <c r="G1100" s="546"/>
      <c r="H1100" s="454"/>
      <c r="I1100" s="454"/>
      <c r="J110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1" spans="1:10" x14ac:dyDescent="0.25">
      <c r="A1101" s="796"/>
      <c r="B1101" s="454" t="str">
        <f>IF(Table13[[#This Row],[Day]] &lt;&gt; "", YEAR(Table13[[#This Row],[Day]]), "")</f>
        <v/>
      </c>
      <c r="C1101" s="796"/>
      <c r="D1101" s="454"/>
      <c r="E1101" s="454"/>
      <c r="F1101" s="640"/>
      <c r="G1101" s="546"/>
      <c r="H1101" s="454"/>
      <c r="I1101" s="454"/>
      <c r="J110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2" spans="1:10" x14ac:dyDescent="0.25">
      <c r="A1102" s="796"/>
      <c r="B1102" s="454" t="str">
        <f>IF(Table13[[#This Row],[Day]] &lt;&gt; "", YEAR(Table13[[#This Row],[Day]]), "")</f>
        <v/>
      </c>
      <c r="C1102" s="796"/>
      <c r="D1102" s="454"/>
      <c r="E1102" s="454"/>
      <c r="F1102" s="640"/>
      <c r="G1102" s="546"/>
      <c r="H1102" s="454"/>
      <c r="I1102" s="454"/>
      <c r="J110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3" spans="1:10" x14ac:dyDescent="0.25">
      <c r="A1103" s="796"/>
      <c r="B1103" s="454" t="str">
        <f>IF(Table13[[#This Row],[Day]] &lt;&gt; "", YEAR(Table13[[#This Row],[Day]]), "")</f>
        <v/>
      </c>
      <c r="C1103" s="796"/>
      <c r="D1103" s="454"/>
      <c r="E1103" s="454"/>
      <c r="F1103" s="640"/>
      <c r="G1103" s="546"/>
      <c r="H1103" s="454"/>
      <c r="I1103" s="454"/>
      <c r="J110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4" spans="1:10" x14ac:dyDescent="0.25">
      <c r="A1104" s="796"/>
      <c r="B1104" s="454" t="str">
        <f>IF(Table13[[#This Row],[Day]] &lt;&gt; "", YEAR(Table13[[#This Row],[Day]]), "")</f>
        <v/>
      </c>
      <c r="C1104" s="796"/>
      <c r="D1104" s="454"/>
      <c r="E1104" s="454"/>
      <c r="F1104" s="640"/>
      <c r="G1104" s="546"/>
      <c r="H1104" s="454"/>
      <c r="I1104" s="454"/>
      <c r="J110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5" spans="1:10" x14ac:dyDescent="0.25">
      <c r="A1105" s="796"/>
      <c r="B1105" s="454" t="str">
        <f>IF(Table13[[#This Row],[Day]] &lt;&gt; "", YEAR(Table13[[#This Row],[Day]]), "")</f>
        <v/>
      </c>
      <c r="C1105" s="796"/>
      <c r="D1105" s="454"/>
      <c r="E1105" s="454"/>
      <c r="F1105" s="640"/>
      <c r="G1105" s="546"/>
      <c r="H1105" s="454"/>
      <c r="I1105" s="454"/>
      <c r="J110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6" spans="1:10" x14ac:dyDescent="0.25">
      <c r="A1106" s="796"/>
      <c r="B1106" s="454" t="str">
        <f>IF(Table13[[#This Row],[Day]] &lt;&gt; "", YEAR(Table13[[#This Row],[Day]]), "")</f>
        <v/>
      </c>
      <c r="C1106" s="796"/>
      <c r="D1106" s="454"/>
      <c r="E1106" s="454"/>
      <c r="F1106" s="640"/>
      <c r="G1106" s="546"/>
      <c r="H1106" s="454"/>
      <c r="I1106" s="454"/>
      <c r="J110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7" spans="1:10" x14ac:dyDescent="0.25">
      <c r="A1107" s="796"/>
      <c r="B1107" s="454" t="str">
        <f>IF(Table13[[#This Row],[Day]] &lt;&gt; "", YEAR(Table13[[#This Row],[Day]]), "")</f>
        <v/>
      </c>
      <c r="C1107" s="796"/>
      <c r="D1107" s="454"/>
      <c r="E1107" s="454"/>
      <c r="F1107" s="640"/>
      <c r="G1107" s="546"/>
      <c r="H1107" s="454"/>
      <c r="I1107" s="454"/>
      <c r="J110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8" spans="1:10" x14ac:dyDescent="0.25">
      <c r="A1108" s="796"/>
      <c r="B1108" s="454" t="str">
        <f>IF(Table13[[#This Row],[Day]] &lt;&gt; "", YEAR(Table13[[#This Row],[Day]]), "")</f>
        <v/>
      </c>
      <c r="C1108" s="796"/>
      <c r="D1108" s="454"/>
      <c r="E1108" s="454"/>
      <c r="F1108" s="640"/>
      <c r="G1108" s="546"/>
      <c r="H1108" s="454"/>
      <c r="I1108" s="454"/>
      <c r="J110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09" spans="1:10" x14ac:dyDescent="0.25">
      <c r="A1109" s="796"/>
      <c r="B1109" s="454" t="str">
        <f>IF(Table13[[#This Row],[Day]] &lt;&gt; "", YEAR(Table13[[#This Row],[Day]]), "")</f>
        <v/>
      </c>
      <c r="C1109" s="796"/>
      <c r="D1109" s="454"/>
      <c r="E1109" s="454"/>
      <c r="F1109" s="640"/>
      <c r="G1109" s="546"/>
      <c r="H1109" s="454"/>
      <c r="I1109" s="454"/>
      <c r="J110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0" spans="1:10" x14ac:dyDescent="0.25">
      <c r="A1110" s="796"/>
      <c r="B1110" s="454" t="str">
        <f>IF(Table13[[#This Row],[Day]] &lt;&gt; "", YEAR(Table13[[#This Row],[Day]]), "")</f>
        <v/>
      </c>
      <c r="C1110" s="796"/>
      <c r="D1110" s="454"/>
      <c r="E1110" s="454"/>
      <c r="F1110" s="640"/>
      <c r="G1110" s="546"/>
      <c r="H1110" s="454"/>
      <c r="I1110" s="454"/>
      <c r="J111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1" spans="1:10" x14ac:dyDescent="0.25">
      <c r="A1111" s="796"/>
      <c r="B1111" s="454" t="str">
        <f>IF(Table13[[#This Row],[Day]] &lt;&gt; "", YEAR(Table13[[#This Row],[Day]]), "")</f>
        <v/>
      </c>
      <c r="C1111" s="796"/>
      <c r="D1111" s="454"/>
      <c r="E1111" s="454"/>
      <c r="F1111" s="640"/>
      <c r="G1111" s="546"/>
      <c r="H1111" s="454"/>
      <c r="I1111" s="454"/>
      <c r="J111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2" spans="1:10" x14ac:dyDescent="0.25">
      <c r="A1112" s="796"/>
      <c r="B1112" s="454" t="str">
        <f>IF(Table13[[#This Row],[Day]] &lt;&gt; "", YEAR(Table13[[#This Row],[Day]]), "")</f>
        <v/>
      </c>
      <c r="C1112" s="796"/>
      <c r="D1112" s="454"/>
      <c r="E1112" s="454"/>
      <c r="F1112" s="640"/>
      <c r="G1112" s="546"/>
      <c r="H1112" s="454"/>
      <c r="I1112" s="454"/>
      <c r="J111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3" spans="1:10" x14ac:dyDescent="0.25">
      <c r="A1113" s="796"/>
      <c r="B1113" s="454" t="str">
        <f>IF(Table13[[#This Row],[Day]] &lt;&gt; "", YEAR(Table13[[#This Row],[Day]]), "")</f>
        <v/>
      </c>
      <c r="C1113" s="796"/>
      <c r="D1113" s="454"/>
      <c r="E1113" s="454"/>
      <c r="F1113" s="640"/>
      <c r="G1113" s="546"/>
      <c r="H1113" s="454"/>
      <c r="I1113" s="454"/>
      <c r="J111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4" spans="1:10" x14ac:dyDescent="0.25">
      <c r="A1114" s="796"/>
      <c r="B1114" s="454" t="str">
        <f>IF(Table13[[#This Row],[Day]] &lt;&gt; "", YEAR(Table13[[#This Row],[Day]]), "")</f>
        <v/>
      </c>
      <c r="C1114" s="796"/>
      <c r="D1114" s="454"/>
      <c r="E1114" s="454"/>
      <c r="F1114" s="640"/>
      <c r="G1114" s="546"/>
      <c r="H1114" s="454"/>
      <c r="I1114" s="454"/>
      <c r="J111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5" spans="1:10" x14ac:dyDescent="0.25">
      <c r="A1115" s="796"/>
      <c r="B1115" s="454" t="str">
        <f>IF(Table13[[#This Row],[Day]] &lt;&gt; "", YEAR(Table13[[#This Row],[Day]]), "")</f>
        <v/>
      </c>
      <c r="C1115" s="796"/>
      <c r="D1115" s="454"/>
      <c r="E1115" s="454"/>
      <c r="F1115" s="640"/>
      <c r="G1115" s="546"/>
      <c r="H1115" s="454"/>
      <c r="I1115" s="454"/>
      <c r="J111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6" spans="1:10" x14ac:dyDescent="0.25">
      <c r="A1116" s="796"/>
      <c r="B1116" s="454" t="str">
        <f>IF(Table13[[#This Row],[Day]] &lt;&gt; "", YEAR(Table13[[#This Row],[Day]]), "")</f>
        <v/>
      </c>
      <c r="C1116" s="796"/>
      <c r="D1116" s="454"/>
      <c r="E1116" s="454"/>
      <c r="F1116" s="640"/>
      <c r="G1116" s="546"/>
      <c r="H1116" s="454"/>
      <c r="I1116" s="454"/>
      <c r="J111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7" spans="1:10" x14ac:dyDescent="0.25">
      <c r="A1117" s="796"/>
      <c r="B1117" s="454" t="str">
        <f>IF(Table13[[#This Row],[Day]] &lt;&gt; "", YEAR(Table13[[#This Row],[Day]]), "")</f>
        <v/>
      </c>
      <c r="C1117" s="796"/>
      <c r="D1117" s="454"/>
      <c r="E1117" s="454"/>
      <c r="F1117" s="640"/>
      <c r="G1117" s="546"/>
      <c r="H1117" s="454"/>
      <c r="I1117" s="454"/>
      <c r="J111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8" spans="1:10" x14ac:dyDescent="0.25">
      <c r="A1118" s="796"/>
      <c r="B1118" s="454" t="str">
        <f>IF(Table13[[#This Row],[Day]] &lt;&gt; "", YEAR(Table13[[#This Row],[Day]]), "")</f>
        <v/>
      </c>
      <c r="C1118" s="796"/>
      <c r="D1118" s="454"/>
      <c r="E1118" s="454"/>
      <c r="F1118" s="640"/>
      <c r="G1118" s="546"/>
      <c r="H1118" s="454"/>
      <c r="I1118" s="454"/>
      <c r="J111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19" spans="1:10" x14ac:dyDescent="0.25">
      <c r="A1119" s="796"/>
      <c r="B1119" s="454" t="str">
        <f>IF(Table13[[#This Row],[Day]] &lt;&gt; "", YEAR(Table13[[#This Row],[Day]]), "")</f>
        <v/>
      </c>
      <c r="C1119" s="796"/>
      <c r="D1119" s="454"/>
      <c r="E1119" s="454"/>
      <c r="F1119" s="640"/>
      <c r="G1119" s="546"/>
      <c r="H1119" s="454"/>
      <c r="I1119" s="454"/>
      <c r="J111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0" spans="1:10" x14ac:dyDescent="0.25">
      <c r="A1120" s="796"/>
      <c r="B1120" s="454" t="str">
        <f>IF(Table13[[#This Row],[Day]] &lt;&gt; "", YEAR(Table13[[#This Row],[Day]]), "")</f>
        <v/>
      </c>
      <c r="C1120" s="796"/>
      <c r="D1120" s="454"/>
      <c r="E1120" s="454"/>
      <c r="F1120" s="640"/>
      <c r="G1120" s="546"/>
      <c r="H1120" s="454"/>
      <c r="I1120" s="454"/>
      <c r="J112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1" spans="1:10" x14ac:dyDescent="0.25">
      <c r="A1121" s="796"/>
      <c r="B1121" s="454" t="str">
        <f>IF(Table13[[#This Row],[Day]] &lt;&gt; "", YEAR(Table13[[#This Row],[Day]]), "")</f>
        <v/>
      </c>
      <c r="C1121" s="796"/>
      <c r="D1121" s="454"/>
      <c r="E1121" s="454"/>
      <c r="F1121" s="640"/>
      <c r="G1121" s="546"/>
      <c r="H1121" s="454"/>
      <c r="I1121" s="454"/>
      <c r="J112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2" spans="1:10" x14ac:dyDescent="0.25">
      <c r="A1122" s="796"/>
      <c r="B1122" s="454" t="str">
        <f>IF(Table13[[#This Row],[Day]] &lt;&gt; "", YEAR(Table13[[#This Row],[Day]]), "")</f>
        <v/>
      </c>
      <c r="C1122" s="796"/>
      <c r="D1122" s="454"/>
      <c r="E1122" s="454"/>
      <c r="F1122" s="640"/>
      <c r="G1122" s="546"/>
      <c r="H1122" s="454"/>
      <c r="I1122" s="454"/>
      <c r="J112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3" spans="1:10" x14ac:dyDescent="0.25">
      <c r="A1123" s="796"/>
      <c r="B1123" s="454" t="str">
        <f>IF(Table13[[#This Row],[Day]] &lt;&gt; "", YEAR(Table13[[#This Row],[Day]]), "")</f>
        <v/>
      </c>
      <c r="C1123" s="796"/>
      <c r="D1123" s="454"/>
      <c r="E1123" s="454"/>
      <c r="F1123" s="640"/>
      <c r="G1123" s="546"/>
      <c r="H1123" s="454"/>
      <c r="I1123" s="454"/>
      <c r="J112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4" spans="1:10" x14ac:dyDescent="0.25">
      <c r="A1124" s="796"/>
      <c r="B1124" s="454" t="str">
        <f>IF(Table13[[#This Row],[Day]] &lt;&gt; "", YEAR(Table13[[#This Row],[Day]]), "")</f>
        <v/>
      </c>
      <c r="C1124" s="796"/>
      <c r="D1124" s="454"/>
      <c r="E1124" s="454"/>
      <c r="F1124" s="640"/>
      <c r="G1124" s="546"/>
      <c r="H1124" s="454"/>
      <c r="I1124" s="454"/>
      <c r="J112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5" spans="1:10" x14ac:dyDescent="0.25">
      <c r="A1125" s="796"/>
      <c r="B1125" s="454" t="str">
        <f>IF(Table13[[#This Row],[Day]] &lt;&gt; "", YEAR(Table13[[#This Row],[Day]]), "")</f>
        <v/>
      </c>
      <c r="C1125" s="796"/>
      <c r="D1125" s="454"/>
      <c r="E1125" s="454"/>
      <c r="F1125" s="640"/>
      <c r="G1125" s="546"/>
      <c r="H1125" s="454"/>
      <c r="I1125" s="454"/>
      <c r="J112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6" spans="1:10" x14ac:dyDescent="0.25">
      <c r="A1126" s="796"/>
      <c r="B1126" s="454" t="str">
        <f>IF(Table13[[#This Row],[Day]] &lt;&gt; "", YEAR(Table13[[#This Row],[Day]]), "")</f>
        <v/>
      </c>
      <c r="C1126" s="796"/>
      <c r="D1126" s="454"/>
      <c r="E1126" s="454"/>
      <c r="F1126" s="640"/>
      <c r="G1126" s="546"/>
      <c r="H1126" s="454"/>
      <c r="I1126" s="454"/>
      <c r="J112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7" spans="1:10" x14ac:dyDescent="0.25">
      <c r="A1127" s="796"/>
      <c r="B1127" s="454" t="str">
        <f>IF(Table13[[#This Row],[Day]] &lt;&gt; "", YEAR(Table13[[#This Row],[Day]]), "")</f>
        <v/>
      </c>
      <c r="C1127" s="796"/>
      <c r="D1127" s="454"/>
      <c r="E1127" s="454"/>
      <c r="F1127" s="640"/>
      <c r="G1127" s="546"/>
      <c r="H1127" s="454"/>
      <c r="I1127" s="454"/>
      <c r="J112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8" spans="1:10" x14ac:dyDescent="0.25">
      <c r="A1128" s="796"/>
      <c r="B1128" s="454" t="str">
        <f>IF(Table13[[#This Row],[Day]] &lt;&gt; "", YEAR(Table13[[#This Row],[Day]]), "")</f>
        <v/>
      </c>
      <c r="C1128" s="796"/>
      <c r="D1128" s="454"/>
      <c r="E1128" s="454"/>
      <c r="F1128" s="640"/>
      <c r="G1128" s="546"/>
      <c r="H1128" s="454"/>
      <c r="I1128" s="454"/>
      <c r="J112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29" spans="1:10" x14ac:dyDescent="0.25">
      <c r="A1129" s="796"/>
      <c r="B1129" s="454" t="str">
        <f>IF(Table13[[#This Row],[Day]] &lt;&gt; "", YEAR(Table13[[#This Row],[Day]]), "")</f>
        <v/>
      </c>
      <c r="C1129" s="796"/>
      <c r="D1129" s="454"/>
      <c r="E1129" s="454"/>
      <c r="F1129" s="640"/>
      <c r="G1129" s="546"/>
      <c r="H1129" s="454"/>
      <c r="I1129" s="454"/>
      <c r="J112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0" spans="1:10" x14ac:dyDescent="0.25">
      <c r="A1130" s="796"/>
      <c r="B1130" s="454" t="str">
        <f>IF(Table13[[#This Row],[Day]] &lt;&gt; "", YEAR(Table13[[#This Row],[Day]]), "")</f>
        <v/>
      </c>
      <c r="C1130" s="796"/>
      <c r="D1130" s="454"/>
      <c r="E1130" s="454"/>
      <c r="F1130" s="640"/>
      <c r="G1130" s="546"/>
      <c r="H1130" s="454"/>
      <c r="I1130" s="454"/>
      <c r="J113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1" spans="1:10" x14ac:dyDescent="0.25">
      <c r="A1131" s="796"/>
      <c r="B1131" s="454" t="str">
        <f>IF(Table13[[#This Row],[Day]] &lt;&gt; "", YEAR(Table13[[#This Row],[Day]]), "")</f>
        <v/>
      </c>
      <c r="C1131" s="796"/>
      <c r="D1131" s="454"/>
      <c r="E1131" s="454"/>
      <c r="F1131" s="640"/>
      <c r="G1131" s="546"/>
      <c r="H1131" s="454"/>
      <c r="I1131" s="454"/>
      <c r="J113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2" spans="1:10" x14ac:dyDescent="0.25">
      <c r="A1132" s="796"/>
      <c r="B1132" s="454" t="str">
        <f>IF(Table13[[#This Row],[Day]] &lt;&gt; "", YEAR(Table13[[#This Row],[Day]]), "")</f>
        <v/>
      </c>
      <c r="C1132" s="796"/>
      <c r="D1132" s="454"/>
      <c r="E1132" s="454"/>
      <c r="F1132" s="640"/>
      <c r="G1132" s="546"/>
      <c r="H1132" s="454"/>
      <c r="I1132" s="454"/>
      <c r="J113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3" spans="1:10" x14ac:dyDescent="0.25">
      <c r="A1133" s="796"/>
      <c r="B1133" s="454" t="str">
        <f>IF(Table13[[#This Row],[Day]] &lt;&gt; "", YEAR(Table13[[#This Row],[Day]]), "")</f>
        <v/>
      </c>
      <c r="C1133" s="796"/>
      <c r="D1133" s="454"/>
      <c r="E1133" s="454"/>
      <c r="F1133" s="640"/>
      <c r="G1133" s="546"/>
      <c r="H1133" s="454"/>
      <c r="I1133" s="454"/>
      <c r="J113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4" spans="1:10" x14ac:dyDescent="0.25">
      <c r="A1134" s="796"/>
      <c r="B1134" s="454" t="str">
        <f>IF(Table13[[#This Row],[Day]] &lt;&gt; "", YEAR(Table13[[#This Row],[Day]]), "")</f>
        <v/>
      </c>
      <c r="C1134" s="796"/>
      <c r="D1134" s="454"/>
      <c r="E1134" s="454"/>
      <c r="F1134" s="640"/>
      <c r="G1134" s="546"/>
      <c r="H1134" s="454"/>
      <c r="I1134" s="454"/>
      <c r="J113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5" spans="1:10" x14ac:dyDescent="0.25">
      <c r="A1135" s="796"/>
      <c r="B1135" s="454" t="str">
        <f>IF(Table13[[#This Row],[Day]] &lt;&gt; "", YEAR(Table13[[#This Row],[Day]]), "")</f>
        <v/>
      </c>
      <c r="C1135" s="796"/>
      <c r="D1135" s="454"/>
      <c r="E1135" s="454"/>
      <c r="F1135" s="640"/>
      <c r="G1135" s="546"/>
      <c r="H1135" s="454"/>
      <c r="I1135" s="454"/>
      <c r="J113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6" spans="1:10" x14ac:dyDescent="0.25">
      <c r="A1136" s="796"/>
      <c r="B1136" s="454" t="str">
        <f>IF(Table13[[#This Row],[Day]] &lt;&gt; "", YEAR(Table13[[#This Row],[Day]]), "")</f>
        <v/>
      </c>
      <c r="C1136" s="796"/>
      <c r="D1136" s="454"/>
      <c r="E1136" s="454"/>
      <c r="F1136" s="640"/>
      <c r="G1136" s="546"/>
      <c r="H1136" s="454"/>
      <c r="I1136" s="454"/>
      <c r="J113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7" spans="1:10" x14ac:dyDescent="0.25">
      <c r="A1137" s="796"/>
      <c r="B1137" s="454" t="str">
        <f>IF(Table13[[#This Row],[Day]] &lt;&gt; "", YEAR(Table13[[#This Row],[Day]]), "")</f>
        <v/>
      </c>
      <c r="C1137" s="796"/>
      <c r="D1137" s="454"/>
      <c r="E1137" s="454"/>
      <c r="F1137" s="640"/>
      <c r="G1137" s="546"/>
      <c r="H1137" s="454"/>
      <c r="I1137" s="454"/>
      <c r="J113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8" spans="1:10" x14ac:dyDescent="0.25">
      <c r="A1138" s="796"/>
      <c r="B1138" s="454" t="str">
        <f>IF(Table13[[#This Row],[Day]] &lt;&gt; "", YEAR(Table13[[#This Row],[Day]]), "")</f>
        <v/>
      </c>
      <c r="C1138" s="796"/>
      <c r="D1138" s="454"/>
      <c r="E1138" s="454"/>
      <c r="F1138" s="640"/>
      <c r="G1138" s="546"/>
      <c r="H1138" s="454"/>
      <c r="I1138" s="454"/>
      <c r="J113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39" spans="1:10" x14ac:dyDescent="0.25">
      <c r="A1139" s="796"/>
      <c r="B1139" s="454" t="str">
        <f>IF(Table13[[#This Row],[Day]] &lt;&gt; "", YEAR(Table13[[#This Row],[Day]]), "")</f>
        <v/>
      </c>
      <c r="C1139" s="796"/>
      <c r="D1139" s="454"/>
      <c r="E1139" s="454"/>
      <c r="F1139" s="640"/>
      <c r="G1139" s="546"/>
      <c r="H1139" s="454"/>
      <c r="I1139" s="454"/>
      <c r="J113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0" spans="1:10" x14ac:dyDescent="0.25">
      <c r="A1140" s="796"/>
      <c r="B1140" s="454" t="str">
        <f>IF(Table13[[#This Row],[Day]] &lt;&gt; "", YEAR(Table13[[#This Row],[Day]]), "")</f>
        <v/>
      </c>
      <c r="C1140" s="796"/>
      <c r="D1140" s="454"/>
      <c r="E1140" s="454"/>
      <c r="F1140" s="640"/>
      <c r="G1140" s="546"/>
      <c r="H1140" s="454"/>
      <c r="I1140" s="454"/>
      <c r="J114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1" spans="1:10" x14ac:dyDescent="0.25">
      <c r="A1141" s="796"/>
      <c r="B1141" s="454" t="str">
        <f>IF(Table13[[#This Row],[Day]] &lt;&gt; "", YEAR(Table13[[#This Row],[Day]]), "")</f>
        <v/>
      </c>
      <c r="C1141" s="796"/>
      <c r="D1141" s="454"/>
      <c r="E1141" s="454"/>
      <c r="F1141" s="640"/>
      <c r="G1141" s="546"/>
      <c r="H1141" s="454"/>
      <c r="I1141" s="454"/>
      <c r="J114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2" spans="1:10" x14ac:dyDescent="0.25">
      <c r="A1142" s="796"/>
      <c r="B1142" s="454" t="str">
        <f>IF(Table13[[#This Row],[Day]] &lt;&gt; "", YEAR(Table13[[#This Row],[Day]]), "")</f>
        <v/>
      </c>
      <c r="C1142" s="796"/>
      <c r="D1142" s="454"/>
      <c r="E1142" s="454"/>
      <c r="F1142" s="640"/>
      <c r="G1142" s="546"/>
      <c r="H1142" s="454"/>
      <c r="I1142" s="454"/>
      <c r="J114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3" spans="1:10" x14ac:dyDescent="0.25">
      <c r="A1143" s="796"/>
      <c r="B1143" s="454" t="str">
        <f>IF(Table13[[#This Row],[Day]] &lt;&gt; "", YEAR(Table13[[#This Row],[Day]]), "")</f>
        <v/>
      </c>
      <c r="C1143" s="796"/>
      <c r="D1143" s="454"/>
      <c r="E1143" s="454"/>
      <c r="F1143" s="640"/>
      <c r="G1143" s="546"/>
      <c r="H1143" s="454"/>
      <c r="I1143" s="454"/>
      <c r="J114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4" spans="1:10" x14ac:dyDescent="0.25">
      <c r="A1144" s="796"/>
      <c r="B1144" s="454" t="str">
        <f>IF(Table13[[#This Row],[Day]] &lt;&gt; "", YEAR(Table13[[#This Row],[Day]]), "")</f>
        <v/>
      </c>
      <c r="C1144" s="796"/>
      <c r="D1144" s="454"/>
      <c r="E1144" s="454"/>
      <c r="F1144" s="640"/>
      <c r="G1144" s="546"/>
      <c r="H1144" s="454"/>
      <c r="I1144" s="454"/>
      <c r="J114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5" spans="1:10" x14ac:dyDescent="0.25">
      <c r="A1145" s="796"/>
      <c r="B1145" s="454" t="str">
        <f>IF(Table13[[#This Row],[Day]] &lt;&gt; "", YEAR(Table13[[#This Row],[Day]]), "")</f>
        <v/>
      </c>
      <c r="C1145" s="796"/>
      <c r="D1145" s="454"/>
      <c r="E1145" s="454"/>
      <c r="F1145" s="640"/>
      <c r="G1145" s="546"/>
      <c r="H1145" s="454"/>
      <c r="I1145" s="454"/>
      <c r="J114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6" spans="1:10" x14ac:dyDescent="0.25">
      <c r="A1146" s="796"/>
      <c r="B1146" s="454" t="str">
        <f>IF(Table13[[#This Row],[Day]] &lt;&gt; "", YEAR(Table13[[#This Row],[Day]]), "")</f>
        <v/>
      </c>
      <c r="C1146" s="796"/>
      <c r="D1146" s="454"/>
      <c r="E1146" s="454"/>
      <c r="F1146" s="640"/>
      <c r="G1146" s="546"/>
      <c r="H1146" s="454"/>
      <c r="I1146" s="454"/>
      <c r="J114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7" spans="1:10" x14ac:dyDescent="0.25">
      <c r="A1147" s="796"/>
      <c r="B1147" s="454" t="str">
        <f>IF(Table13[[#This Row],[Day]] &lt;&gt; "", YEAR(Table13[[#This Row],[Day]]), "")</f>
        <v/>
      </c>
      <c r="C1147" s="796"/>
      <c r="D1147" s="454"/>
      <c r="E1147" s="454"/>
      <c r="F1147" s="640"/>
      <c r="G1147" s="546"/>
      <c r="H1147" s="454"/>
      <c r="I1147" s="454"/>
      <c r="J114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8" spans="1:10" x14ac:dyDescent="0.25">
      <c r="A1148" s="796"/>
      <c r="B1148" s="454" t="str">
        <f>IF(Table13[[#This Row],[Day]] &lt;&gt; "", YEAR(Table13[[#This Row],[Day]]), "")</f>
        <v/>
      </c>
      <c r="C1148" s="796"/>
      <c r="D1148" s="454"/>
      <c r="E1148" s="454"/>
      <c r="F1148" s="640"/>
      <c r="G1148" s="546"/>
      <c r="H1148" s="454"/>
      <c r="I1148" s="454"/>
      <c r="J114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49" spans="1:10" x14ac:dyDescent="0.25">
      <c r="A1149" s="796"/>
      <c r="B1149" s="454" t="str">
        <f>IF(Table13[[#This Row],[Day]] &lt;&gt; "", YEAR(Table13[[#This Row],[Day]]), "")</f>
        <v/>
      </c>
      <c r="C1149" s="796"/>
      <c r="D1149" s="454"/>
      <c r="E1149" s="454"/>
      <c r="F1149" s="640"/>
      <c r="G1149" s="546"/>
      <c r="H1149" s="454"/>
      <c r="I1149" s="454"/>
      <c r="J114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0" spans="1:10" x14ac:dyDescent="0.25">
      <c r="A1150" s="796"/>
      <c r="B1150" s="454" t="str">
        <f>IF(Table13[[#This Row],[Day]] &lt;&gt; "", YEAR(Table13[[#This Row],[Day]]), "")</f>
        <v/>
      </c>
      <c r="C1150" s="796"/>
      <c r="D1150" s="454"/>
      <c r="E1150" s="454"/>
      <c r="F1150" s="640"/>
      <c r="G1150" s="546"/>
      <c r="H1150" s="454"/>
      <c r="I1150" s="454"/>
      <c r="J115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1" spans="1:10" x14ac:dyDescent="0.25">
      <c r="A1151" s="796"/>
      <c r="B1151" s="454" t="str">
        <f>IF(Table13[[#This Row],[Day]] &lt;&gt; "", YEAR(Table13[[#This Row],[Day]]), "")</f>
        <v/>
      </c>
      <c r="C1151" s="796"/>
      <c r="D1151" s="454"/>
      <c r="E1151" s="454"/>
      <c r="F1151" s="640"/>
      <c r="G1151" s="546"/>
      <c r="H1151" s="454"/>
      <c r="I1151" s="454"/>
      <c r="J115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2" spans="1:10" x14ac:dyDescent="0.25">
      <c r="A1152" s="796"/>
      <c r="B1152" s="454" t="str">
        <f>IF(Table13[[#This Row],[Day]] &lt;&gt; "", YEAR(Table13[[#This Row],[Day]]), "")</f>
        <v/>
      </c>
      <c r="C1152" s="796"/>
      <c r="D1152" s="454"/>
      <c r="E1152" s="454"/>
      <c r="F1152" s="640"/>
      <c r="G1152" s="546"/>
      <c r="H1152" s="454"/>
      <c r="I1152" s="454"/>
      <c r="J115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3" spans="1:10" x14ac:dyDescent="0.25">
      <c r="A1153" s="796"/>
      <c r="B1153" s="454" t="str">
        <f>IF(Table13[[#This Row],[Day]] &lt;&gt; "", YEAR(Table13[[#This Row],[Day]]), "")</f>
        <v/>
      </c>
      <c r="C1153" s="796"/>
      <c r="D1153" s="454"/>
      <c r="E1153" s="454"/>
      <c r="F1153" s="640"/>
      <c r="G1153" s="546"/>
      <c r="H1153" s="454"/>
      <c r="I1153" s="454"/>
      <c r="J115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4" spans="1:10" x14ac:dyDescent="0.25">
      <c r="A1154" s="796"/>
      <c r="B1154" s="454" t="str">
        <f>IF(Table13[[#This Row],[Day]] &lt;&gt; "", YEAR(Table13[[#This Row],[Day]]), "")</f>
        <v/>
      </c>
      <c r="C1154" s="796"/>
      <c r="D1154" s="454"/>
      <c r="E1154" s="454"/>
      <c r="F1154" s="640"/>
      <c r="G1154" s="546"/>
      <c r="H1154" s="454"/>
      <c r="I1154" s="454"/>
      <c r="J115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5" spans="1:10" x14ac:dyDescent="0.25">
      <c r="A1155" s="796"/>
      <c r="B1155" s="454" t="str">
        <f>IF(Table13[[#This Row],[Day]] &lt;&gt; "", YEAR(Table13[[#This Row],[Day]]), "")</f>
        <v/>
      </c>
      <c r="C1155" s="796"/>
      <c r="D1155" s="454"/>
      <c r="E1155" s="454"/>
      <c r="F1155" s="640"/>
      <c r="G1155" s="546"/>
      <c r="H1155" s="454"/>
      <c r="I1155" s="454"/>
      <c r="J115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6" spans="1:10" x14ac:dyDescent="0.25">
      <c r="A1156" s="796"/>
      <c r="B1156" s="454" t="str">
        <f>IF(Table13[[#This Row],[Day]] &lt;&gt; "", YEAR(Table13[[#This Row],[Day]]), "")</f>
        <v/>
      </c>
      <c r="C1156" s="796"/>
      <c r="D1156" s="454"/>
      <c r="E1156" s="454"/>
      <c r="F1156" s="640"/>
      <c r="G1156" s="546"/>
      <c r="H1156" s="454"/>
      <c r="I1156" s="454"/>
      <c r="J115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7" spans="1:10" x14ac:dyDescent="0.25">
      <c r="A1157" s="796"/>
      <c r="B1157" s="454" t="str">
        <f>IF(Table13[[#This Row],[Day]] &lt;&gt; "", YEAR(Table13[[#This Row],[Day]]), "")</f>
        <v/>
      </c>
      <c r="C1157" s="796"/>
      <c r="D1157" s="454"/>
      <c r="E1157" s="454"/>
      <c r="F1157" s="640"/>
      <c r="G1157" s="546"/>
      <c r="H1157" s="454"/>
      <c r="I1157" s="454"/>
      <c r="J115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8" spans="1:10" x14ac:dyDescent="0.25">
      <c r="A1158" s="796"/>
      <c r="B1158" s="454" t="str">
        <f>IF(Table13[[#This Row],[Day]] &lt;&gt; "", YEAR(Table13[[#This Row],[Day]]), "")</f>
        <v/>
      </c>
      <c r="C1158" s="796"/>
      <c r="D1158" s="454"/>
      <c r="E1158" s="454"/>
      <c r="F1158" s="640"/>
      <c r="G1158" s="546"/>
      <c r="H1158" s="454"/>
      <c r="I1158" s="454"/>
      <c r="J115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59" spans="1:10" x14ac:dyDescent="0.25">
      <c r="A1159" s="796"/>
      <c r="B1159" s="454" t="str">
        <f>IF(Table13[[#This Row],[Day]] &lt;&gt; "", YEAR(Table13[[#This Row],[Day]]), "")</f>
        <v/>
      </c>
      <c r="C1159" s="796"/>
      <c r="D1159" s="454"/>
      <c r="E1159" s="454"/>
      <c r="F1159" s="640"/>
      <c r="G1159" s="546"/>
      <c r="H1159" s="454"/>
      <c r="I1159" s="454"/>
      <c r="J115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0" spans="1:10" x14ac:dyDescent="0.25">
      <c r="A1160" s="796"/>
      <c r="B1160" s="454" t="str">
        <f>IF(Table13[[#This Row],[Day]] &lt;&gt; "", YEAR(Table13[[#This Row],[Day]]), "")</f>
        <v/>
      </c>
      <c r="C1160" s="796"/>
      <c r="D1160" s="454"/>
      <c r="E1160" s="454"/>
      <c r="F1160" s="640"/>
      <c r="G1160" s="546"/>
      <c r="H1160" s="454"/>
      <c r="I1160" s="454"/>
      <c r="J116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1" spans="1:10" x14ac:dyDescent="0.25">
      <c r="A1161" s="796"/>
      <c r="B1161" s="454" t="str">
        <f>IF(Table13[[#This Row],[Day]] &lt;&gt; "", YEAR(Table13[[#This Row],[Day]]), "")</f>
        <v/>
      </c>
      <c r="C1161" s="796"/>
      <c r="D1161" s="454"/>
      <c r="E1161" s="454"/>
      <c r="F1161" s="640"/>
      <c r="G1161" s="546"/>
      <c r="H1161" s="454"/>
      <c r="I1161" s="454"/>
      <c r="J116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2" spans="1:10" x14ac:dyDescent="0.25">
      <c r="A1162" s="796"/>
      <c r="B1162" s="454" t="str">
        <f>IF(Table13[[#This Row],[Day]] &lt;&gt; "", YEAR(Table13[[#This Row],[Day]]), "")</f>
        <v/>
      </c>
      <c r="C1162" s="796"/>
      <c r="D1162" s="454"/>
      <c r="E1162" s="454"/>
      <c r="F1162" s="640"/>
      <c r="G1162" s="546"/>
      <c r="H1162" s="454"/>
      <c r="I1162" s="454"/>
      <c r="J116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3" spans="1:10" x14ac:dyDescent="0.25">
      <c r="A1163" s="796"/>
      <c r="B1163" s="454" t="str">
        <f>IF(Table13[[#This Row],[Day]] &lt;&gt; "", YEAR(Table13[[#This Row],[Day]]), "")</f>
        <v/>
      </c>
      <c r="C1163" s="796"/>
      <c r="D1163" s="454"/>
      <c r="E1163" s="454"/>
      <c r="F1163" s="640"/>
      <c r="G1163" s="546"/>
      <c r="H1163" s="454"/>
      <c r="I1163" s="454"/>
      <c r="J116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4" spans="1:10" x14ac:dyDescent="0.25">
      <c r="A1164" s="796"/>
      <c r="B1164" s="454" t="str">
        <f>IF(Table13[[#This Row],[Day]] &lt;&gt; "", YEAR(Table13[[#This Row],[Day]]), "")</f>
        <v/>
      </c>
      <c r="C1164" s="796"/>
      <c r="D1164" s="454"/>
      <c r="E1164" s="454"/>
      <c r="F1164" s="640"/>
      <c r="G1164" s="546"/>
      <c r="H1164" s="454"/>
      <c r="I1164" s="454"/>
      <c r="J116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5" spans="1:10" x14ac:dyDescent="0.25">
      <c r="A1165" s="796"/>
      <c r="B1165" s="454" t="str">
        <f>IF(Table13[[#This Row],[Day]] &lt;&gt; "", YEAR(Table13[[#This Row],[Day]]), "")</f>
        <v/>
      </c>
      <c r="C1165" s="796"/>
      <c r="D1165" s="454"/>
      <c r="E1165" s="454"/>
      <c r="F1165" s="640"/>
      <c r="G1165" s="546"/>
      <c r="H1165" s="454"/>
      <c r="I1165" s="454"/>
      <c r="J116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6" spans="1:10" x14ac:dyDescent="0.25">
      <c r="A1166" s="796"/>
      <c r="B1166" s="454" t="str">
        <f>IF(Table13[[#This Row],[Day]] &lt;&gt; "", YEAR(Table13[[#This Row],[Day]]), "")</f>
        <v/>
      </c>
      <c r="C1166" s="796"/>
      <c r="D1166" s="454"/>
      <c r="E1166" s="454"/>
      <c r="F1166" s="640"/>
      <c r="G1166" s="546"/>
      <c r="H1166" s="454"/>
      <c r="I1166" s="454"/>
      <c r="J116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7" spans="1:10" x14ac:dyDescent="0.25">
      <c r="A1167" s="796"/>
      <c r="B1167" s="454" t="str">
        <f>IF(Table13[[#This Row],[Day]] &lt;&gt; "", YEAR(Table13[[#This Row],[Day]]), "")</f>
        <v/>
      </c>
      <c r="C1167" s="796"/>
      <c r="D1167" s="454"/>
      <c r="E1167" s="454"/>
      <c r="F1167" s="640"/>
      <c r="G1167" s="546"/>
      <c r="H1167" s="454"/>
      <c r="I1167" s="454"/>
      <c r="J116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8" spans="1:10" x14ac:dyDescent="0.25">
      <c r="A1168" s="796"/>
      <c r="B1168" s="454" t="str">
        <f>IF(Table13[[#This Row],[Day]] &lt;&gt; "", YEAR(Table13[[#This Row],[Day]]), "")</f>
        <v/>
      </c>
      <c r="C1168" s="796"/>
      <c r="D1168" s="454"/>
      <c r="E1168" s="454"/>
      <c r="F1168" s="640"/>
      <c r="G1168" s="546"/>
      <c r="H1168" s="454"/>
      <c r="I1168" s="454"/>
      <c r="J116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69" spans="1:10" x14ac:dyDescent="0.25">
      <c r="A1169" s="796"/>
      <c r="B1169" s="454" t="str">
        <f>IF(Table13[[#This Row],[Day]] &lt;&gt; "", YEAR(Table13[[#This Row],[Day]]), "")</f>
        <v/>
      </c>
      <c r="C1169" s="796"/>
      <c r="D1169" s="454"/>
      <c r="E1169" s="454"/>
      <c r="F1169" s="640"/>
      <c r="G1169" s="546"/>
      <c r="H1169" s="454"/>
      <c r="I1169" s="454"/>
      <c r="J116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0" spans="1:10" x14ac:dyDescent="0.25">
      <c r="A1170" s="796"/>
      <c r="B1170" s="454" t="str">
        <f>IF(Table13[[#This Row],[Day]] &lt;&gt; "", YEAR(Table13[[#This Row],[Day]]), "")</f>
        <v/>
      </c>
      <c r="C1170" s="796"/>
      <c r="D1170" s="454"/>
      <c r="E1170" s="454"/>
      <c r="F1170" s="640"/>
      <c r="G1170" s="546"/>
      <c r="H1170" s="454"/>
      <c r="I1170" s="454"/>
      <c r="J117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1" spans="1:10" x14ac:dyDescent="0.25">
      <c r="A1171" s="796"/>
      <c r="B1171" s="454" t="str">
        <f>IF(Table13[[#This Row],[Day]] &lt;&gt; "", YEAR(Table13[[#This Row],[Day]]), "")</f>
        <v/>
      </c>
      <c r="C1171" s="796"/>
      <c r="D1171" s="454"/>
      <c r="E1171" s="454"/>
      <c r="F1171" s="640"/>
      <c r="G1171" s="546"/>
      <c r="H1171" s="454"/>
      <c r="I1171" s="454"/>
      <c r="J117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2" spans="1:10" x14ac:dyDescent="0.25">
      <c r="A1172" s="796"/>
      <c r="B1172" s="454" t="str">
        <f>IF(Table13[[#This Row],[Day]] &lt;&gt; "", YEAR(Table13[[#This Row],[Day]]), "")</f>
        <v/>
      </c>
      <c r="C1172" s="796"/>
      <c r="D1172" s="454"/>
      <c r="E1172" s="454"/>
      <c r="F1172" s="640"/>
      <c r="G1172" s="546"/>
      <c r="H1172" s="454"/>
      <c r="I1172" s="454"/>
      <c r="J117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3" spans="1:10" x14ac:dyDescent="0.25">
      <c r="A1173" s="796"/>
      <c r="B1173" s="454" t="str">
        <f>IF(Table13[[#This Row],[Day]] &lt;&gt; "", YEAR(Table13[[#This Row],[Day]]), "")</f>
        <v/>
      </c>
      <c r="C1173" s="796"/>
      <c r="D1173" s="454"/>
      <c r="E1173" s="454"/>
      <c r="F1173" s="640"/>
      <c r="G1173" s="546"/>
      <c r="H1173" s="454"/>
      <c r="I1173" s="454"/>
      <c r="J117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4" spans="1:10" x14ac:dyDescent="0.25">
      <c r="A1174" s="796"/>
      <c r="B1174" s="454" t="str">
        <f>IF(Table13[[#This Row],[Day]] &lt;&gt; "", YEAR(Table13[[#This Row],[Day]]), "")</f>
        <v/>
      </c>
      <c r="C1174" s="796"/>
      <c r="D1174" s="454"/>
      <c r="E1174" s="454"/>
      <c r="F1174" s="640"/>
      <c r="G1174" s="546"/>
      <c r="H1174" s="454"/>
      <c r="I1174" s="454"/>
      <c r="J117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5" spans="1:10" x14ac:dyDescent="0.25">
      <c r="A1175" s="796"/>
      <c r="B1175" s="454" t="str">
        <f>IF(Table13[[#This Row],[Day]] &lt;&gt; "", YEAR(Table13[[#This Row],[Day]]), "")</f>
        <v/>
      </c>
      <c r="C1175" s="796"/>
      <c r="D1175" s="454"/>
      <c r="E1175" s="454"/>
      <c r="F1175" s="640"/>
      <c r="G1175" s="546"/>
      <c r="H1175" s="454"/>
      <c r="I1175" s="454"/>
      <c r="J117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6" spans="1:10" x14ac:dyDescent="0.25">
      <c r="A1176" s="796"/>
      <c r="B1176" s="454" t="str">
        <f>IF(Table13[[#This Row],[Day]] &lt;&gt; "", YEAR(Table13[[#This Row],[Day]]), "")</f>
        <v/>
      </c>
      <c r="C1176" s="796"/>
      <c r="D1176" s="454"/>
      <c r="E1176" s="454"/>
      <c r="F1176" s="640"/>
      <c r="G1176" s="546"/>
      <c r="H1176" s="454"/>
      <c r="I1176" s="454"/>
      <c r="J117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7" spans="1:10" x14ac:dyDescent="0.25">
      <c r="A1177" s="796"/>
      <c r="B1177" s="454" t="str">
        <f>IF(Table13[[#This Row],[Day]] &lt;&gt; "", YEAR(Table13[[#This Row],[Day]]), "")</f>
        <v/>
      </c>
      <c r="C1177" s="796"/>
      <c r="D1177" s="454"/>
      <c r="E1177" s="454"/>
      <c r="F1177" s="640"/>
      <c r="G1177" s="546"/>
      <c r="H1177" s="454"/>
      <c r="I1177" s="454"/>
      <c r="J117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8" spans="1:10" x14ac:dyDescent="0.25">
      <c r="A1178" s="796"/>
      <c r="B1178" s="454" t="str">
        <f>IF(Table13[[#This Row],[Day]] &lt;&gt; "", YEAR(Table13[[#This Row],[Day]]), "")</f>
        <v/>
      </c>
      <c r="C1178" s="796"/>
      <c r="D1178" s="454"/>
      <c r="E1178" s="454"/>
      <c r="F1178" s="640"/>
      <c r="G1178" s="546"/>
      <c r="H1178" s="454"/>
      <c r="I1178" s="454"/>
      <c r="J117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79" spans="1:10" x14ac:dyDescent="0.25">
      <c r="A1179" s="796"/>
      <c r="B1179" s="454" t="str">
        <f>IF(Table13[[#This Row],[Day]] &lt;&gt; "", YEAR(Table13[[#This Row],[Day]]), "")</f>
        <v/>
      </c>
      <c r="C1179" s="796"/>
      <c r="D1179" s="454"/>
      <c r="E1179" s="454"/>
      <c r="F1179" s="640"/>
      <c r="G1179" s="546"/>
      <c r="H1179" s="454"/>
      <c r="I1179" s="454"/>
      <c r="J117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0" spans="1:10" x14ac:dyDescent="0.25">
      <c r="A1180" s="796"/>
      <c r="B1180" s="454" t="str">
        <f>IF(Table13[[#This Row],[Day]] &lt;&gt; "", YEAR(Table13[[#This Row],[Day]]), "")</f>
        <v/>
      </c>
      <c r="C1180" s="796"/>
      <c r="D1180" s="454"/>
      <c r="E1180" s="454"/>
      <c r="F1180" s="640"/>
      <c r="G1180" s="546"/>
      <c r="H1180" s="454"/>
      <c r="I1180" s="454"/>
      <c r="J118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1" spans="1:10" x14ac:dyDescent="0.25">
      <c r="A1181" s="796"/>
      <c r="B1181" s="454" t="str">
        <f>IF(Table13[[#This Row],[Day]] &lt;&gt; "", YEAR(Table13[[#This Row],[Day]]), "")</f>
        <v/>
      </c>
      <c r="C1181" s="796"/>
      <c r="D1181" s="454"/>
      <c r="E1181" s="454"/>
      <c r="F1181" s="640"/>
      <c r="G1181" s="546"/>
      <c r="H1181" s="454"/>
      <c r="I1181" s="454"/>
      <c r="J118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2" spans="1:10" x14ac:dyDescent="0.25">
      <c r="A1182" s="796"/>
      <c r="B1182" s="454" t="str">
        <f>IF(Table13[[#This Row],[Day]] &lt;&gt; "", YEAR(Table13[[#This Row],[Day]]), "")</f>
        <v/>
      </c>
      <c r="C1182" s="796"/>
      <c r="D1182" s="454"/>
      <c r="E1182" s="454"/>
      <c r="F1182" s="640"/>
      <c r="G1182" s="546"/>
      <c r="H1182" s="454"/>
      <c r="I1182" s="454"/>
      <c r="J118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3" spans="1:10" x14ac:dyDescent="0.25">
      <c r="A1183" s="796"/>
      <c r="B1183" s="454" t="str">
        <f>IF(Table13[[#This Row],[Day]] &lt;&gt; "", YEAR(Table13[[#This Row],[Day]]), "")</f>
        <v/>
      </c>
      <c r="C1183" s="796"/>
      <c r="D1183" s="454"/>
      <c r="E1183" s="454"/>
      <c r="F1183" s="640"/>
      <c r="G1183" s="546"/>
      <c r="H1183" s="454"/>
      <c r="I1183" s="454"/>
      <c r="J118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4" spans="1:10" x14ac:dyDescent="0.25">
      <c r="A1184" s="796"/>
      <c r="B1184" s="454" t="str">
        <f>IF(Table13[[#This Row],[Day]] &lt;&gt; "", YEAR(Table13[[#This Row],[Day]]), "")</f>
        <v/>
      </c>
      <c r="C1184" s="796"/>
      <c r="D1184" s="454"/>
      <c r="E1184" s="454"/>
      <c r="F1184" s="640"/>
      <c r="G1184" s="546"/>
      <c r="H1184" s="454"/>
      <c r="I1184" s="454"/>
      <c r="J118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5" spans="1:10" x14ac:dyDescent="0.25">
      <c r="A1185" s="796"/>
      <c r="B1185" s="454" t="str">
        <f>IF(Table13[[#This Row],[Day]] &lt;&gt; "", YEAR(Table13[[#This Row],[Day]]), "")</f>
        <v/>
      </c>
      <c r="C1185" s="796"/>
      <c r="D1185" s="454"/>
      <c r="E1185" s="454"/>
      <c r="F1185" s="640"/>
      <c r="G1185" s="546"/>
      <c r="H1185" s="454"/>
      <c r="I1185" s="454"/>
      <c r="J118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6" spans="1:10" x14ac:dyDescent="0.25">
      <c r="A1186" s="796"/>
      <c r="B1186" s="454" t="str">
        <f>IF(Table13[[#This Row],[Day]] &lt;&gt; "", YEAR(Table13[[#This Row],[Day]]), "")</f>
        <v/>
      </c>
      <c r="C1186" s="796"/>
      <c r="D1186" s="454"/>
      <c r="E1186" s="454"/>
      <c r="F1186" s="640"/>
      <c r="G1186" s="546"/>
      <c r="H1186" s="454"/>
      <c r="I1186" s="454"/>
      <c r="J118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7" spans="1:10" x14ac:dyDescent="0.25">
      <c r="A1187" s="796"/>
      <c r="B1187" s="454" t="str">
        <f>IF(Table13[[#This Row],[Day]] &lt;&gt; "", YEAR(Table13[[#This Row],[Day]]), "")</f>
        <v/>
      </c>
      <c r="C1187" s="796"/>
      <c r="D1187" s="454"/>
      <c r="E1187" s="454"/>
      <c r="F1187" s="640"/>
      <c r="G1187" s="546"/>
      <c r="H1187" s="454"/>
      <c r="I1187" s="454"/>
      <c r="J118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8" spans="1:10" x14ac:dyDescent="0.25">
      <c r="A1188" s="796"/>
      <c r="B1188" s="454" t="str">
        <f>IF(Table13[[#This Row],[Day]] &lt;&gt; "", YEAR(Table13[[#This Row],[Day]]), "")</f>
        <v/>
      </c>
      <c r="C1188" s="796"/>
      <c r="D1188" s="454"/>
      <c r="E1188" s="454"/>
      <c r="F1188" s="640"/>
      <c r="G1188" s="546"/>
      <c r="H1188" s="454"/>
      <c r="I1188" s="454"/>
      <c r="J118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89" spans="1:10" x14ac:dyDescent="0.25">
      <c r="A1189" s="796"/>
      <c r="B1189" s="454" t="str">
        <f>IF(Table13[[#This Row],[Day]] &lt;&gt; "", YEAR(Table13[[#This Row],[Day]]), "")</f>
        <v/>
      </c>
      <c r="C1189" s="796"/>
      <c r="D1189" s="454"/>
      <c r="E1189" s="454"/>
      <c r="F1189" s="640"/>
      <c r="G1189" s="546"/>
      <c r="H1189" s="454"/>
      <c r="I1189" s="454"/>
      <c r="J118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0" spans="1:10" x14ac:dyDescent="0.25">
      <c r="A1190" s="796"/>
      <c r="B1190" s="454" t="str">
        <f>IF(Table13[[#This Row],[Day]] &lt;&gt; "", YEAR(Table13[[#This Row],[Day]]), "")</f>
        <v/>
      </c>
      <c r="C1190" s="796"/>
      <c r="D1190" s="454"/>
      <c r="E1190" s="454"/>
      <c r="F1190" s="640"/>
      <c r="G1190" s="546"/>
      <c r="H1190" s="454"/>
      <c r="I1190" s="454"/>
      <c r="J119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1" spans="1:10" x14ac:dyDescent="0.25">
      <c r="A1191" s="796"/>
      <c r="B1191" s="454" t="str">
        <f>IF(Table13[[#This Row],[Day]] &lt;&gt; "", YEAR(Table13[[#This Row],[Day]]), "")</f>
        <v/>
      </c>
      <c r="C1191" s="796"/>
      <c r="D1191" s="454"/>
      <c r="E1191" s="454"/>
      <c r="F1191" s="640"/>
      <c r="G1191" s="546"/>
      <c r="H1191" s="454"/>
      <c r="I1191" s="454"/>
      <c r="J119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2" spans="1:10" x14ac:dyDescent="0.25">
      <c r="A1192" s="796"/>
      <c r="B1192" s="454" t="str">
        <f>IF(Table13[[#This Row],[Day]] &lt;&gt; "", YEAR(Table13[[#This Row],[Day]]), "")</f>
        <v/>
      </c>
      <c r="C1192" s="796"/>
      <c r="D1192" s="454"/>
      <c r="E1192" s="454"/>
      <c r="F1192" s="640"/>
      <c r="G1192" s="546"/>
      <c r="H1192" s="454"/>
      <c r="I1192" s="454"/>
      <c r="J119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3" spans="1:10" x14ac:dyDescent="0.25">
      <c r="A1193" s="796"/>
      <c r="B1193" s="454" t="str">
        <f>IF(Table13[[#This Row],[Day]] &lt;&gt; "", YEAR(Table13[[#This Row],[Day]]), "")</f>
        <v/>
      </c>
      <c r="C1193" s="796"/>
      <c r="D1193" s="454"/>
      <c r="E1193" s="454"/>
      <c r="F1193" s="640"/>
      <c r="G1193" s="546"/>
      <c r="H1193" s="454"/>
      <c r="I1193" s="454"/>
      <c r="J119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4" spans="1:10" x14ac:dyDescent="0.25">
      <c r="A1194" s="796"/>
      <c r="B1194" s="454" t="str">
        <f>IF(Table13[[#This Row],[Day]] &lt;&gt; "", YEAR(Table13[[#This Row],[Day]]), "")</f>
        <v/>
      </c>
      <c r="C1194" s="796"/>
      <c r="D1194" s="454"/>
      <c r="E1194" s="454"/>
      <c r="F1194" s="640"/>
      <c r="G1194" s="546"/>
      <c r="H1194" s="454"/>
      <c r="I1194" s="454"/>
      <c r="J119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5" spans="1:10" x14ac:dyDescent="0.25">
      <c r="A1195" s="796"/>
      <c r="B1195" s="454" t="str">
        <f>IF(Table13[[#This Row],[Day]] &lt;&gt; "", YEAR(Table13[[#This Row],[Day]]), "")</f>
        <v/>
      </c>
      <c r="C1195" s="796"/>
      <c r="D1195" s="454"/>
      <c r="E1195" s="454"/>
      <c r="F1195" s="640"/>
      <c r="G1195" s="546"/>
      <c r="H1195" s="454"/>
      <c r="I1195" s="454"/>
      <c r="J119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6" spans="1:10" x14ac:dyDescent="0.25">
      <c r="A1196" s="796"/>
      <c r="B1196" s="454" t="str">
        <f>IF(Table13[[#This Row],[Day]] &lt;&gt; "", YEAR(Table13[[#This Row],[Day]]), "")</f>
        <v/>
      </c>
      <c r="C1196" s="796"/>
      <c r="D1196" s="454"/>
      <c r="E1196" s="454"/>
      <c r="F1196" s="640"/>
      <c r="G1196" s="546"/>
      <c r="H1196" s="454"/>
      <c r="I1196" s="454"/>
      <c r="J119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7" spans="1:10" x14ac:dyDescent="0.25">
      <c r="A1197" s="796"/>
      <c r="B1197" s="454" t="str">
        <f>IF(Table13[[#This Row],[Day]] &lt;&gt; "", YEAR(Table13[[#This Row],[Day]]), "")</f>
        <v/>
      </c>
      <c r="C1197" s="796"/>
      <c r="D1197" s="454"/>
      <c r="E1197" s="454"/>
      <c r="F1197" s="640"/>
      <c r="G1197" s="546"/>
      <c r="H1197" s="454"/>
      <c r="I1197" s="454"/>
      <c r="J119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8" spans="1:10" x14ac:dyDescent="0.25">
      <c r="A1198" s="796"/>
      <c r="B1198" s="454" t="str">
        <f>IF(Table13[[#This Row],[Day]] &lt;&gt; "", YEAR(Table13[[#This Row],[Day]]), "")</f>
        <v/>
      </c>
      <c r="C1198" s="796"/>
      <c r="D1198" s="454"/>
      <c r="E1198" s="454"/>
      <c r="F1198" s="640"/>
      <c r="G1198" s="546"/>
      <c r="H1198" s="454"/>
      <c r="I1198" s="454"/>
      <c r="J119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199" spans="1:10" x14ac:dyDescent="0.25">
      <c r="A1199" s="796"/>
      <c r="B1199" s="454" t="str">
        <f>IF(Table13[[#This Row],[Day]] &lt;&gt; "", YEAR(Table13[[#This Row],[Day]]), "")</f>
        <v/>
      </c>
      <c r="C1199" s="796"/>
      <c r="D1199" s="454"/>
      <c r="E1199" s="454"/>
      <c r="F1199" s="640"/>
      <c r="G1199" s="546"/>
      <c r="H1199" s="454"/>
      <c r="I1199" s="454"/>
      <c r="J119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0" spans="1:10" x14ac:dyDescent="0.25">
      <c r="A1200" s="796"/>
      <c r="B1200" s="454" t="str">
        <f>IF(Table13[[#This Row],[Day]] &lt;&gt; "", YEAR(Table13[[#This Row],[Day]]), "")</f>
        <v/>
      </c>
      <c r="C1200" s="796"/>
      <c r="D1200" s="454"/>
      <c r="E1200" s="454"/>
      <c r="F1200" s="640"/>
      <c r="G1200" s="546"/>
      <c r="H1200" s="454"/>
      <c r="I1200" s="454"/>
      <c r="J120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1" spans="1:10" x14ac:dyDescent="0.25">
      <c r="A1201" s="796"/>
      <c r="B1201" s="454" t="str">
        <f>IF(Table13[[#This Row],[Day]] &lt;&gt; "", YEAR(Table13[[#This Row],[Day]]), "")</f>
        <v/>
      </c>
      <c r="C1201" s="796"/>
      <c r="D1201" s="454"/>
      <c r="E1201" s="454"/>
      <c r="F1201" s="640"/>
      <c r="G1201" s="546"/>
      <c r="H1201" s="454"/>
      <c r="I1201" s="454"/>
      <c r="J120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2" spans="1:10" x14ac:dyDescent="0.25">
      <c r="A1202" s="796"/>
      <c r="B1202" s="454" t="str">
        <f>IF(Table13[[#This Row],[Day]] &lt;&gt; "", YEAR(Table13[[#This Row],[Day]]), "")</f>
        <v/>
      </c>
      <c r="C1202" s="796"/>
      <c r="D1202" s="454"/>
      <c r="E1202" s="454"/>
      <c r="F1202" s="640"/>
      <c r="G1202" s="546"/>
      <c r="H1202" s="454"/>
      <c r="I1202" s="454"/>
      <c r="J120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3" spans="1:10" x14ac:dyDescent="0.25">
      <c r="A1203" s="796"/>
      <c r="B1203" s="454" t="str">
        <f>IF(Table13[[#This Row],[Day]] &lt;&gt; "", YEAR(Table13[[#This Row],[Day]]), "")</f>
        <v/>
      </c>
      <c r="C1203" s="796"/>
      <c r="D1203" s="454"/>
      <c r="E1203" s="454"/>
      <c r="F1203" s="640"/>
      <c r="G1203" s="546"/>
      <c r="H1203" s="454"/>
      <c r="I1203" s="454"/>
      <c r="J120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4" spans="1:10" x14ac:dyDescent="0.25">
      <c r="A1204" s="796"/>
      <c r="B1204" s="454" t="str">
        <f>IF(Table13[[#This Row],[Day]] &lt;&gt; "", YEAR(Table13[[#This Row],[Day]]), "")</f>
        <v/>
      </c>
      <c r="C1204" s="796"/>
      <c r="D1204" s="454"/>
      <c r="E1204" s="454"/>
      <c r="F1204" s="640"/>
      <c r="G1204" s="546"/>
      <c r="H1204" s="454"/>
      <c r="I1204" s="454"/>
      <c r="J120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5" spans="1:10" x14ac:dyDescent="0.25">
      <c r="A1205" s="796"/>
      <c r="B1205" s="454" t="str">
        <f>IF(Table13[[#This Row],[Day]] &lt;&gt; "", YEAR(Table13[[#This Row],[Day]]), "")</f>
        <v/>
      </c>
      <c r="C1205" s="796"/>
      <c r="D1205" s="454"/>
      <c r="E1205" s="454"/>
      <c r="F1205" s="640"/>
      <c r="G1205" s="546"/>
      <c r="H1205" s="454"/>
      <c r="I1205" s="454"/>
      <c r="J120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6" spans="1:10" x14ac:dyDescent="0.25">
      <c r="A1206" s="796"/>
      <c r="B1206" s="454" t="str">
        <f>IF(Table13[[#This Row],[Day]] &lt;&gt; "", YEAR(Table13[[#This Row],[Day]]), "")</f>
        <v/>
      </c>
      <c r="C1206" s="796"/>
      <c r="D1206" s="454"/>
      <c r="E1206" s="454"/>
      <c r="F1206" s="640"/>
      <c r="G1206" s="546"/>
      <c r="H1206" s="454"/>
      <c r="I1206" s="454"/>
      <c r="J120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7" spans="1:10" x14ac:dyDescent="0.25">
      <c r="A1207" s="796"/>
      <c r="B1207" s="454" t="str">
        <f>IF(Table13[[#This Row],[Day]] &lt;&gt; "", YEAR(Table13[[#This Row],[Day]]), "")</f>
        <v/>
      </c>
      <c r="C1207" s="796"/>
      <c r="D1207" s="454"/>
      <c r="E1207" s="454"/>
      <c r="F1207" s="640"/>
      <c r="G1207" s="546"/>
      <c r="H1207" s="454"/>
      <c r="I1207" s="454"/>
      <c r="J120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8" spans="1:10" x14ac:dyDescent="0.25">
      <c r="A1208" s="796"/>
      <c r="B1208" s="454" t="str">
        <f>IF(Table13[[#This Row],[Day]] &lt;&gt; "", YEAR(Table13[[#This Row],[Day]]), "")</f>
        <v/>
      </c>
      <c r="C1208" s="796"/>
      <c r="D1208" s="454"/>
      <c r="E1208" s="454"/>
      <c r="F1208" s="640"/>
      <c r="G1208" s="546"/>
      <c r="H1208" s="454"/>
      <c r="I1208" s="454"/>
      <c r="J120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09" spans="1:10" x14ac:dyDescent="0.25">
      <c r="A1209" s="796"/>
      <c r="B1209" s="454" t="str">
        <f>IF(Table13[[#This Row],[Day]] &lt;&gt; "", YEAR(Table13[[#This Row],[Day]]), "")</f>
        <v/>
      </c>
      <c r="C1209" s="796"/>
      <c r="D1209" s="454"/>
      <c r="E1209" s="454"/>
      <c r="F1209" s="640"/>
      <c r="G1209" s="546"/>
      <c r="H1209" s="454"/>
      <c r="I1209" s="454"/>
      <c r="J120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0" spans="1:10" x14ac:dyDescent="0.25">
      <c r="A1210" s="796"/>
      <c r="B1210" s="454" t="str">
        <f>IF(Table13[[#This Row],[Day]] &lt;&gt; "", YEAR(Table13[[#This Row],[Day]]), "")</f>
        <v/>
      </c>
      <c r="C1210" s="796"/>
      <c r="D1210" s="454"/>
      <c r="E1210" s="454"/>
      <c r="F1210" s="640"/>
      <c r="G1210" s="546"/>
      <c r="H1210" s="454"/>
      <c r="I1210" s="454"/>
      <c r="J121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1" spans="1:10" x14ac:dyDescent="0.25">
      <c r="A1211" s="796"/>
      <c r="B1211" s="454" t="str">
        <f>IF(Table13[[#This Row],[Day]] &lt;&gt; "", YEAR(Table13[[#This Row],[Day]]), "")</f>
        <v/>
      </c>
      <c r="C1211" s="796"/>
      <c r="D1211" s="454"/>
      <c r="E1211" s="454"/>
      <c r="F1211" s="640"/>
      <c r="G1211" s="546"/>
      <c r="H1211" s="454"/>
      <c r="I1211" s="454"/>
      <c r="J121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2" spans="1:10" x14ac:dyDescent="0.25">
      <c r="A1212" s="796"/>
      <c r="B1212" s="454" t="str">
        <f>IF(Table13[[#This Row],[Day]] &lt;&gt; "", YEAR(Table13[[#This Row],[Day]]), "")</f>
        <v/>
      </c>
      <c r="C1212" s="796"/>
      <c r="D1212" s="454"/>
      <c r="E1212" s="454"/>
      <c r="F1212" s="640"/>
      <c r="G1212" s="546"/>
      <c r="H1212" s="454"/>
      <c r="I1212" s="454"/>
      <c r="J121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3" spans="1:10" x14ac:dyDescent="0.25">
      <c r="A1213" s="796"/>
      <c r="B1213" s="454" t="str">
        <f>IF(Table13[[#This Row],[Day]] &lt;&gt; "", YEAR(Table13[[#This Row],[Day]]), "")</f>
        <v/>
      </c>
      <c r="C1213" s="796"/>
      <c r="D1213" s="454"/>
      <c r="E1213" s="454"/>
      <c r="F1213" s="640"/>
      <c r="G1213" s="546"/>
      <c r="H1213" s="454"/>
      <c r="I1213" s="454"/>
      <c r="J121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4" spans="1:10" x14ac:dyDescent="0.25">
      <c r="A1214" s="796"/>
      <c r="B1214" s="454" t="str">
        <f>IF(Table13[[#This Row],[Day]] &lt;&gt; "", YEAR(Table13[[#This Row],[Day]]), "")</f>
        <v/>
      </c>
      <c r="C1214" s="796"/>
      <c r="D1214" s="454"/>
      <c r="E1214" s="454"/>
      <c r="F1214" s="640"/>
      <c r="G1214" s="546"/>
      <c r="H1214" s="454"/>
      <c r="I1214" s="454"/>
      <c r="J121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5" spans="1:10" x14ac:dyDescent="0.25">
      <c r="A1215" s="796"/>
      <c r="B1215" s="454" t="str">
        <f>IF(Table13[[#This Row],[Day]] &lt;&gt; "", YEAR(Table13[[#This Row],[Day]]), "")</f>
        <v/>
      </c>
      <c r="C1215" s="796"/>
      <c r="D1215" s="454"/>
      <c r="E1215" s="454"/>
      <c r="F1215" s="640"/>
      <c r="G1215" s="546"/>
      <c r="H1215" s="454"/>
      <c r="I1215" s="454"/>
      <c r="J121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6" spans="1:10" x14ac:dyDescent="0.25">
      <c r="A1216" s="796"/>
      <c r="B1216" s="454" t="str">
        <f>IF(Table13[[#This Row],[Day]] &lt;&gt; "", YEAR(Table13[[#This Row],[Day]]), "")</f>
        <v/>
      </c>
      <c r="C1216" s="796"/>
      <c r="D1216" s="454"/>
      <c r="E1216" s="454"/>
      <c r="F1216" s="640"/>
      <c r="G1216" s="546"/>
      <c r="H1216" s="454"/>
      <c r="I1216" s="454"/>
      <c r="J121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7" spans="1:10" x14ac:dyDescent="0.25">
      <c r="A1217" s="796"/>
      <c r="B1217" s="454" t="str">
        <f>IF(Table13[[#This Row],[Day]] &lt;&gt; "", YEAR(Table13[[#This Row],[Day]]), "")</f>
        <v/>
      </c>
      <c r="C1217" s="796"/>
      <c r="D1217" s="454"/>
      <c r="E1217" s="454"/>
      <c r="F1217" s="640"/>
      <c r="G1217" s="546"/>
      <c r="H1217" s="454"/>
      <c r="I1217" s="454"/>
      <c r="J121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8" spans="1:10" x14ac:dyDescent="0.25">
      <c r="A1218" s="796"/>
      <c r="B1218" s="454" t="str">
        <f>IF(Table13[[#This Row],[Day]] &lt;&gt; "", YEAR(Table13[[#This Row],[Day]]), "")</f>
        <v/>
      </c>
      <c r="C1218" s="796"/>
      <c r="D1218" s="454"/>
      <c r="E1218" s="454"/>
      <c r="F1218" s="640"/>
      <c r="G1218" s="546"/>
      <c r="H1218" s="454"/>
      <c r="I1218" s="454"/>
      <c r="J121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19" spans="1:10" x14ac:dyDescent="0.25">
      <c r="A1219" s="796"/>
      <c r="B1219" s="454" t="str">
        <f>IF(Table13[[#This Row],[Day]] &lt;&gt; "", YEAR(Table13[[#This Row],[Day]]), "")</f>
        <v/>
      </c>
      <c r="C1219" s="796"/>
      <c r="D1219" s="454"/>
      <c r="E1219" s="454"/>
      <c r="F1219" s="640"/>
      <c r="G1219" s="546"/>
      <c r="H1219" s="454"/>
      <c r="I1219" s="454"/>
      <c r="J121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0" spans="1:10" x14ac:dyDescent="0.25">
      <c r="A1220" s="796"/>
      <c r="B1220" s="454" t="str">
        <f>IF(Table13[[#This Row],[Day]] &lt;&gt; "", YEAR(Table13[[#This Row],[Day]]), "")</f>
        <v/>
      </c>
      <c r="C1220" s="796"/>
      <c r="D1220" s="454"/>
      <c r="E1220" s="454"/>
      <c r="F1220" s="640"/>
      <c r="G1220" s="546"/>
      <c r="H1220" s="454"/>
      <c r="I1220" s="454"/>
      <c r="J122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1" spans="1:10" x14ac:dyDescent="0.25">
      <c r="A1221" s="796"/>
      <c r="B1221" s="454" t="str">
        <f>IF(Table13[[#This Row],[Day]] &lt;&gt; "", YEAR(Table13[[#This Row],[Day]]), "")</f>
        <v/>
      </c>
      <c r="C1221" s="796"/>
      <c r="D1221" s="454"/>
      <c r="E1221" s="454"/>
      <c r="F1221" s="640"/>
      <c r="G1221" s="546"/>
      <c r="H1221" s="454"/>
      <c r="I1221" s="454"/>
      <c r="J122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2" spans="1:10" x14ac:dyDescent="0.25">
      <c r="A1222" s="796"/>
      <c r="B1222" s="454" t="str">
        <f>IF(Table13[[#This Row],[Day]] &lt;&gt; "", YEAR(Table13[[#This Row],[Day]]), "")</f>
        <v/>
      </c>
      <c r="C1222" s="796"/>
      <c r="D1222" s="454"/>
      <c r="E1222" s="454"/>
      <c r="F1222" s="640"/>
      <c r="G1222" s="546"/>
      <c r="H1222" s="454"/>
      <c r="I1222" s="454"/>
      <c r="J122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3" spans="1:10" x14ac:dyDescent="0.25">
      <c r="A1223" s="796"/>
      <c r="B1223" s="454" t="str">
        <f>IF(Table13[[#This Row],[Day]] &lt;&gt; "", YEAR(Table13[[#This Row],[Day]]), "")</f>
        <v/>
      </c>
      <c r="C1223" s="796"/>
      <c r="D1223" s="454"/>
      <c r="E1223" s="454"/>
      <c r="F1223" s="640"/>
      <c r="G1223" s="546"/>
      <c r="H1223" s="454"/>
      <c r="I1223" s="454"/>
      <c r="J122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4" spans="1:10" x14ac:dyDescent="0.25">
      <c r="A1224" s="796"/>
      <c r="B1224" s="454" t="str">
        <f>IF(Table13[[#This Row],[Day]] &lt;&gt; "", YEAR(Table13[[#This Row],[Day]]), "")</f>
        <v/>
      </c>
      <c r="C1224" s="796"/>
      <c r="D1224" s="454"/>
      <c r="E1224" s="454"/>
      <c r="F1224" s="640"/>
      <c r="G1224" s="546"/>
      <c r="H1224" s="454"/>
      <c r="I1224" s="454"/>
      <c r="J122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5" spans="1:10" x14ac:dyDescent="0.25">
      <c r="A1225" s="796"/>
      <c r="B1225" s="454" t="str">
        <f>IF(Table13[[#This Row],[Day]] &lt;&gt; "", YEAR(Table13[[#This Row],[Day]]), "")</f>
        <v/>
      </c>
      <c r="C1225" s="796"/>
      <c r="D1225" s="454"/>
      <c r="E1225" s="454"/>
      <c r="F1225" s="640"/>
      <c r="G1225" s="546"/>
      <c r="H1225" s="454"/>
      <c r="I1225" s="454"/>
      <c r="J122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6" spans="1:10" x14ac:dyDescent="0.25">
      <c r="A1226" s="796"/>
      <c r="B1226" s="454" t="str">
        <f>IF(Table13[[#This Row],[Day]] &lt;&gt; "", YEAR(Table13[[#This Row],[Day]]), "")</f>
        <v/>
      </c>
      <c r="C1226" s="796"/>
      <c r="D1226" s="454"/>
      <c r="E1226" s="454"/>
      <c r="F1226" s="640"/>
      <c r="G1226" s="546"/>
      <c r="H1226" s="454"/>
      <c r="I1226" s="454"/>
      <c r="J122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7" spans="1:10" x14ac:dyDescent="0.25">
      <c r="A1227" s="796"/>
      <c r="B1227" s="454" t="str">
        <f>IF(Table13[[#This Row],[Day]] &lt;&gt; "", YEAR(Table13[[#This Row],[Day]]), "")</f>
        <v/>
      </c>
      <c r="C1227" s="796"/>
      <c r="D1227" s="454"/>
      <c r="E1227" s="454"/>
      <c r="F1227" s="640"/>
      <c r="G1227" s="546"/>
      <c r="H1227" s="454"/>
      <c r="I1227" s="454"/>
      <c r="J122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8" spans="1:10" x14ac:dyDescent="0.25">
      <c r="A1228" s="796"/>
      <c r="B1228" s="454" t="str">
        <f>IF(Table13[[#This Row],[Day]] &lt;&gt; "", YEAR(Table13[[#This Row],[Day]]), "")</f>
        <v/>
      </c>
      <c r="C1228" s="796"/>
      <c r="D1228" s="454"/>
      <c r="E1228" s="454"/>
      <c r="F1228" s="640"/>
      <c r="G1228" s="546"/>
      <c r="H1228" s="454"/>
      <c r="I1228" s="454"/>
      <c r="J122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29" spans="1:10" x14ac:dyDescent="0.25">
      <c r="A1229" s="796"/>
      <c r="B1229" s="454" t="str">
        <f>IF(Table13[[#This Row],[Day]] &lt;&gt; "", YEAR(Table13[[#This Row],[Day]]), "")</f>
        <v/>
      </c>
      <c r="C1229" s="796"/>
      <c r="D1229" s="454"/>
      <c r="E1229" s="454"/>
      <c r="F1229" s="640"/>
      <c r="G1229" s="546"/>
      <c r="H1229" s="454"/>
      <c r="I1229" s="454"/>
      <c r="J122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0" spans="1:10" x14ac:dyDescent="0.25">
      <c r="A1230" s="796"/>
      <c r="B1230" s="454" t="str">
        <f>IF(Table13[[#This Row],[Day]] &lt;&gt; "", YEAR(Table13[[#This Row],[Day]]), "")</f>
        <v/>
      </c>
      <c r="C1230" s="796"/>
      <c r="D1230" s="454"/>
      <c r="E1230" s="454"/>
      <c r="F1230" s="640"/>
      <c r="G1230" s="546"/>
      <c r="H1230" s="454"/>
      <c r="I1230" s="454"/>
      <c r="J123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1" spans="1:10" x14ac:dyDescent="0.25">
      <c r="A1231" s="796"/>
      <c r="B1231" s="454" t="str">
        <f>IF(Table13[[#This Row],[Day]] &lt;&gt; "", YEAR(Table13[[#This Row],[Day]]), "")</f>
        <v/>
      </c>
      <c r="C1231" s="796"/>
      <c r="D1231" s="454"/>
      <c r="E1231" s="454"/>
      <c r="F1231" s="640"/>
      <c r="G1231" s="546"/>
      <c r="H1231" s="454"/>
      <c r="I1231" s="454"/>
      <c r="J123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2" spans="1:10" x14ac:dyDescent="0.25">
      <c r="A1232" s="796"/>
      <c r="B1232" s="454" t="str">
        <f>IF(Table13[[#This Row],[Day]] &lt;&gt; "", YEAR(Table13[[#This Row],[Day]]), "")</f>
        <v/>
      </c>
      <c r="C1232" s="796"/>
      <c r="D1232" s="454"/>
      <c r="E1232" s="454"/>
      <c r="F1232" s="640"/>
      <c r="G1232" s="546"/>
      <c r="H1232" s="454"/>
      <c r="I1232" s="454"/>
      <c r="J123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3" spans="1:10" x14ac:dyDescent="0.25">
      <c r="A1233" s="796"/>
      <c r="B1233" s="454" t="str">
        <f>IF(Table13[[#This Row],[Day]] &lt;&gt; "", YEAR(Table13[[#This Row],[Day]]), "")</f>
        <v/>
      </c>
      <c r="C1233" s="796"/>
      <c r="D1233" s="454"/>
      <c r="E1233" s="454"/>
      <c r="F1233" s="640"/>
      <c r="G1233" s="546"/>
      <c r="H1233" s="454"/>
      <c r="I1233" s="454"/>
      <c r="J123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4" spans="1:10" x14ac:dyDescent="0.25">
      <c r="A1234" s="796"/>
      <c r="B1234" s="454" t="str">
        <f>IF(Table13[[#This Row],[Day]] &lt;&gt; "", YEAR(Table13[[#This Row],[Day]]), "")</f>
        <v/>
      </c>
      <c r="C1234" s="796"/>
      <c r="D1234" s="454"/>
      <c r="E1234" s="454"/>
      <c r="F1234" s="640"/>
      <c r="G1234" s="546"/>
      <c r="H1234" s="454"/>
      <c r="I1234" s="454"/>
      <c r="J123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5" spans="1:10" x14ac:dyDescent="0.25">
      <c r="A1235" s="796"/>
      <c r="B1235" s="454" t="str">
        <f>IF(Table13[[#This Row],[Day]] &lt;&gt; "", YEAR(Table13[[#This Row],[Day]]), "")</f>
        <v/>
      </c>
      <c r="C1235" s="796"/>
      <c r="D1235" s="454"/>
      <c r="E1235" s="454"/>
      <c r="F1235" s="640"/>
      <c r="G1235" s="546"/>
      <c r="H1235" s="454"/>
      <c r="I1235" s="454"/>
      <c r="J123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6" spans="1:10" x14ac:dyDescent="0.25">
      <c r="A1236" s="796"/>
      <c r="B1236" s="454" t="str">
        <f>IF(Table13[[#This Row],[Day]] &lt;&gt; "", YEAR(Table13[[#This Row],[Day]]), "")</f>
        <v/>
      </c>
      <c r="C1236" s="796"/>
      <c r="D1236" s="454"/>
      <c r="E1236" s="454"/>
      <c r="F1236" s="640"/>
      <c r="G1236" s="546"/>
      <c r="H1236" s="454"/>
      <c r="I1236" s="454"/>
      <c r="J123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7" spans="1:10" x14ac:dyDescent="0.25">
      <c r="A1237" s="796"/>
      <c r="B1237" s="454" t="str">
        <f>IF(Table13[[#This Row],[Day]] &lt;&gt; "", YEAR(Table13[[#This Row],[Day]]), "")</f>
        <v/>
      </c>
      <c r="C1237" s="796"/>
      <c r="D1237" s="454"/>
      <c r="E1237" s="454"/>
      <c r="F1237" s="640"/>
      <c r="G1237" s="546"/>
      <c r="H1237" s="454"/>
      <c r="I1237" s="454"/>
      <c r="J123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8" spans="1:10" x14ac:dyDescent="0.25">
      <c r="A1238" s="796"/>
      <c r="B1238" s="454" t="str">
        <f>IF(Table13[[#This Row],[Day]] &lt;&gt; "", YEAR(Table13[[#This Row],[Day]]), "")</f>
        <v/>
      </c>
      <c r="C1238" s="796"/>
      <c r="D1238" s="454"/>
      <c r="E1238" s="454"/>
      <c r="F1238" s="640"/>
      <c r="G1238" s="546"/>
      <c r="H1238" s="454"/>
      <c r="I1238" s="454"/>
      <c r="J123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39" spans="1:10" x14ac:dyDescent="0.25">
      <c r="A1239" s="796"/>
      <c r="B1239" s="454" t="str">
        <f>IF(Table13[[#This Row],[Day]] &lt;&gt; "", YEAR(Table13[[#This Row],[Day]]), "")</f>
        <v/>
      </c>
      <c r="C1239" s="796"/>
      <c r="D1239" s="454"/>
      <c r="E1239" s="454"/>
      <c r="F1239" s="640"/>
      <c r="G1239" s="546"/>
      <c r="H1239" s="454"/>
      <c r="I1239" s="454"/>
      <c r="J123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0" spans="1:10" x14ac:dyDescent="0.25">
      <c r="A1240" s="796"/>
      <c r="B1240" s="454" t="str">
        <f>IF(Table13[[#This Row],[Day]] &lt;&gt; "", YEAR(Table13[[#This Row],[Day]]), "")</f>
        <v/>
      </c>
      <c r="C1240" s="796"/>
      <c r="D1240" s="454"/>
      <c r="E1240" s="454"/>
      <c r="F1240" s="640"/>
      <c r="G1240" s="546"/>
      <c r="H1240" s="454"/>
      <c r="I1240" s="454"/>
      <c r="J124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1" spans="1:10" x14ac:dyDescent="0.25">
      <c r="A1241" s="796"/>
      <c r="B1241" s="454" t="str">
        <f>IF(Table13[[#This Row],[Day]] &lt;&gt; "", YEAR(Table13[[#This Row],[Day]]), "")</f>
        <v/>
      </c>
      <c r="C1241" s="796"/>
      <c r="D1241" s="454"/>
      <c r="E1241" s="454"/>
      <c r="F1241" s="640"/>
      <c r="G1241" s="546"/>
      <c r="H1241" s="454"/>
      <c r="I1241" s="454"/>
      <c r="J124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2" spans="1:10" x14ac:dyDescent="0.25">
      <c r="A1242" s="796"/>
      <c r="B1242" s="454" t="str">
        <f>IF(Table13[[#This Row],[Day]] &lt;&gt; "", YEAR(Table13[[#This Row],[Day]]), "")</f>
        <v/>
      </c>
      <c r="C1242" s="796"/>
      <c r="D1242" s="454"/>
      <c r="E1242" s="454"/>
      <c r="F1242" s="640"/>
      <c r="G1242" s="546"/>
      <c r="H1242" s="454"/>
      <c r="I1242" s="454"/>
      <c r="J124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3" spans="1:10" x14ac:dyDescent="0.25">
      <c r="A1243" s="796"/>
      <c r="B1243" s="454" t="str">
        <f>IF(Table13[[#This Row],[Day]] &lt;&gt; "", YEAR(Table13[[#This Row],[Day]]), "")</f>
        <v/>
      </c>
      <c r="C1243" s="796"/>
      <c r="D1243" s="454"/>
      <c r="E1243" s="454"/>
      <c r="F1243" s="640"/>
      <c r="G1243" s="546"/>
      <c r="H1243" s="454"/>
      <c r="I1243" s="454"/>
      <c r="J124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4" spans="1:10" x14ac:dyDescent="0.25">
      <c r="A1244" s="796"/>
      <c r="B1244" s="454" t="str">
        <f>IF(Table13[[#This Row],[Day]] &lt;&gt; "", YEAR(Table13[[#This Row],[Day]]), "")</f>
        <v/>
      </c>
      <c r="C1244" s="796"/>
      <c r="D1244" s="454"/>
      <c r="E1244" s="454"/>
      <c r="F1244" s="640"/>
      <c r="G1244" s="546"/>
      <c r="H1244" s="454"/>
      <c r="I1244" s="454"/>
      <c r="J124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5" spans="1:10" x14ac:dyDescent="0.25">
      <c r="A1245" s="796"/>
      <c r="B1245" s="454" t="str">
        <f>IF(Table13[[#This Row],[Day]] &lt;&gt; "", YEAR(Table13[[#This Row],[Day]]), "")</f>
        <v/>
      </c>
      <c r="C1245" s="796"/>
      <c r="D1245" s="454"/>
      <c r="E1245" s="454"/>
      <c r="F1245" s="640"/>
      <c r="G1245" s="546"/>
      <c r="H1245" s="454"/>
      <c r="I1245" s="454"/>
      <c r="J124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6" spans="1:10" x14ac:dyDescent="0.25">
      <c r="A1246" s="796"/>
      <c r="B1246" s="454" t="str">
        <f>IF(Table13[[#This Row],[Day]] &lt;&gt; "", YEAR(Table13[[#This Row],[Day]]), "")</f>
        <v/>
      </c>
      <c r="C1246" s="796"/>
      <c r="D1246" s="454"/>
      <c r="E1246" s="454"/>
      <c r="F1246" s="640"/>
      <c r="G1246" s="546"/>
      <c r="H1246" s="454"/>
      <c r="I1246" s="454"/>
      <c r="J124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7" spans="1:10" x14ac:dyDescent="0.25">
      <c r="A1247" s="796"/>
      <c r="B1247" s="454" t="str">
        <f>IF(Table13[[#This Row],[Day]] &lt;&gt; "", YEAR(Table13[[#This Row],[Day]]), "")</f>
        <v/>
      </c>
      <c r="C1247" s="796"/>
      <c r="D1247" s="454"/>
      <c r="E1247" s="454"/>
      <c r="F1247" s="640"/>
      <c r="G1247" s="546"/>
      <c r="H1247" s="454"/>
      <c r="I1247" s="454"/>
      <c r="J124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8" spans="1:10" x14ac:dyDescent="0.25">
      <c r="A1248" s="796"/>
      <c r="B1248" s="454" t="str">
        <f>IF(Table13[[#This Row],[Day]] &lt;&gt; "", YEAR(Table13[[#This Row],[Day]]), "")</f>
        <v/>
      </c>
      <c r="C1248" s="796"/>
      <c r="D1248" s="454"/>
      <c r="E1248" s="454"/>
      <c r="F1248" s="640"/>
      <c r="G1248" s="546"/>
      <c r="H1248" s="454"/>
      <c r="I1248" s="454"/>
      <c r="J124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49" spans="1:10" x14ac:dyDescent="0.25">
      <c r="A1249" s="796"/>
      <c r="B1249" s="454" t="str">
        <f>IF(Table13[[#This Row],[Day]] &lt;&gt; "", YEAR(Table13[[#This Row],[Day]]), "")</f>
        <v/>
      </c>
      <c r="C1249" s="796"/>
      <c r="D1249" s="454"/>
      <c r="E1249" s="454"/>
      <c r="F1249" s="640"/>
      <c r="G1249" s="546"/>
      <c r="H1249" s="454"/>
      <c r="I1249" s="454"/>
      <c r="J124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0" spans="1:10" x14ac:dyDescent="0.25">
      <c r="A1250" s="796"/>
      <c r="B1250" s="454" t="str">
        <f>IF(Table13[[#This Row],[Day]] &lt;&gt; "", YEAR(Table13[[#This Row],[Day]]), "")</f>
        <v/>
      </c>
      <c r="C1250" s="796"/>
      <c r="D1250" s="454"/>
      <c r="E1250" s="454"/>
      <c r="F1250" s="640"/>
      <c r="G1250" s="546"/>
      <c r="H1250" s="454"/>
      <c r="I1250" s="454"/>
      <c r="J125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1" spans="1:10" x14ac:dyDescent="0.25">
      <c r="A1251" s="796"/>
      <c r="B1251" s="454" t="str">
        <f>IF(Table13[[#This Row],[Day]] &lt;&gt; "", YEAR(Table13[[#This Row],[Day]]), "")</f>
        <v/>
      </c>
      <c r="C1251" s="796"/>
      <c r="D1251" s="454"/>
      <c r="E1251" s="454"/>
      <c r="F1251" s="640"/>
      <c r="G1251" s="546"/>
      <c r="H1251" s="454"/>
      <c r="I1251" s="454"/>
      <c r="J125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2" spans="1:10" x14ac:dyDescent="0.25">
      <c r="A1252" s="796"/>
      <c r="B1252" s="454" t="str">
        <f>IF(Table13[[#This Row],[Day]] &lt;&gt; "", YEAR(Table13[[#This Row],[Day]]), "")</f>
        <v/>
      </c>
      <c r="C1252" s="796"/>
      <c r="D1252" s="454"/>
      <c r="E1252" s="454"/>
      <c r="F1252" s="640"/>
      <c r="G1252" s="546"/>
      <c r="H1252" s="454"/>
      <c r="I1252" s="454"/>
      <c r="J125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3" spans="1:10" x14ac:dyDescent="0.25">
      <c r="A1253" s="796"/>
      <c r="B1253" s="454" t="str">
        <f>IF(Table13[[#This Row],[Day]] &lt;&gt; "", YEAR(Table13[[#This Row],[Day]]), "")</f>
        <v/>
      </c>
      <c r="C1253" s="796"/>
      <c r="D1253" s="454"/>
      <c r="E1253" s="454"/>
      <c r="F1253" s="640"/>
      <c r="G1253" s="546"/>
      <c r="H1253" s="454"/>
      <c r="I1253" s="454"/>
      <c r="J125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4" spans="1:10" x14ac:dyDescent="0.25">
      <c r="A1254" s="796"/>
      <c r="B1254" s="454" t="str">
        <f>IF(Table13[[#This Row],[Day]] &lt;&gt; "", YEAR(Table13[[#This Row],[Day]]), "")</f>
        <v/>
      </c>
      <c r="C1254" s="796"/>
      <c r="D1254" s="454"/>
      <c r="E1254" s="454"/>
      <c r="F1254" s="640"/>
      <c r="G1254" s="546"/>
      <c r="H1254" s="454"/>
      <c r="I1254" s="454"/>
      <c r="J125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5" spans="1:10" x14ac:dyDescent="0.25">
      <c r="A1255" s="796"/>
      <c r="B1255" s="454" t="str">
        <f>IF(Table13[[#This Row],[Day]] &lt;&gt; "", YEAR(Table13[[#This Row],[Day]]), "")</f>
        <v/>
      </c>
      <c r="C1255" s="796"/>
      <c r="D1255" s="454"/>
      <c r="E1255" s="454"/>
      <c r="F1255" s="640"/>
      <c r="G1255" s="546"/>
      <c r="H1255" s="454"/>
      <c r="I1255" s="454"/>
      <c r="J125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6" spans="1:10" x14ac:dyDescent="0.25">
      <c r="A1256" s="796"/>
      <c r="B1256" s="454" t="str">
        <f>IF(Table13[[#This Row],[Day]] &lt;&gt; "", YEAR(Table13[[#This Row],[Day]]), "")</f>
        <v/>
      </c>
      <c r="C1256" s="796"/>
      <c r="D1256" s="454"/>
      <c r="E1256" s="454"/>
      <c r="F1256" s="640"/>
      <c r="G1256" s="546"/>
      <c r="H1256" s="454"/>
      <c r="I1256" s="454"/>
      <c r="J125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7" spans="1:10" x14ac:dyDescent="0.25">
      <c r="A1257" s="796"/>
      <c r="B1257" s="454" t="str">
        <f>IF(Table13[[#This Row],[Day]] &lt;&gt; "", YEAR(Table13[[#This Row],[Day]]), "")</f>
        <v/>
      </c>
      <c r="C1257" s="796"/>
      <c r="D1257" s="454"/>
      <c r="E1257" s="454"/>
      <c r="F1257" s="640"/>
      <c r="G1257" s="546"/>
      <c r="H1257" s="454"/>
      <c r="I1257" s="454"/>
      <c r="J125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8" spans="1:10" x14ac:dyDescent="0.25">
      <c r="A1258" s="796"/>
      <c r="B1258" s="454" t="str">
        <f>IF(Table13[[#This Row],[Day]] &lt;&gt; "", YEAR(Table13[[#This Row],[Day]]), "")</f>
        <v/>
      </c>
      <c r="C1258" s="796"/>
      <c r="D1258" s="454"/>
      <c r="E1258" s="454"/>
      <c r="F1258" s="640"/>
      <c r="G1258" s="546"/>
      <c r="H1258" s="454"/>
      <c r="I1258" s="454"/>
      <c r="J125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59" spans="1:10" x14ac:dyDescent="0.25">
      <c r="A1259" s="796"/>
      <c r="B1259" s="454" t="str">
        <f>IF(Table13[[#This Row],[Day]] &lt;&gt; "", YEAR(Table13[[#This Row],[Day]]), "")</f>
        <v/>
      </c>
      <c r="C1259" s="796"/>
      <c r="D1259" s="454"/>
      <c r="E1259" s="454"/>
      <c r="F1259" s="640"/>
      <c r="G1259" s="546"/>
      <c r="H1259" s="454"/>
      <c r="I1259" s="454"/>
      <c r="J125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0" spans="1:10" x14ac:dyDescent="0.25">
      <c r="A1260" s="796"/>
      <c r="B1260" s="454" t="str">
        <f>IF(Table13[[#This Row],[Day]] &lt;&gt; "", YEAR(Table13[[#This Row],[Day]]), "")</f>
        <v/>
      </c>
      <c r="C1260" s="796"/>
      <c r="D1260" s="454"/>
      <c r="E1260" s="454"/>
      <c r="F1260" s="640"/>
      <c r="G1260" s="546"/>
      <c r="H1260" s="454"/>
      <c r="I1260" s="454"/>
      <c r="J126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1" spans="1:10" x14ac:dyDescent="0.25">
      <c r="A1261" s="796"/>
      <c r="B1261" s="454" t="str">
        <f>IF(Table13[[#This Row],[Day]] &lt;&gt; "", YEAR(Table13[[#This Row],[Day]]), "")</f>
        <v/>
      </c>
      <c r="C1261" s="796"/>
      <c r="D1261" s="454"/>
      <c r="E1261" s="454"/>
      <c r="F1261" s="640"/>
      <c r="G1261" s="546"/>
      <c r="H1261" s="454"/>
      <c r="I1261" s="454"/>
      <c r="J126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2" spans="1:10" x14ac:dyDescent="0.25">
      <c r="A1262" s="796"/>
      <c r="B1262" s="454" t="str">
        <f>IF(Table13[[#This Row],[Day]] &lt;&gt; "", YEAR(Table13[[#This Row],[Day]]), "")</f>
        <v/>
      </c>
      <c r="C1262" s="796"/>
      <c r="D1262" s="454"/>
      <c r="E1262" s="454"/>
      <c r="F1262" s="640"/>
      <c r="G1262" s="546"/>
      <c r="H1262" s="454"/>
      <c r="I1262" s="454"/>
      <c r="J126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3" spans="1:10" x14ac:dyDescent="0.25">
      <c r="A1263" s="796"/>
      <c r="B1263" s="454" t="str">
        <f>IF(Table13[[#This Row],[Day]] &lt;&gt; "", YEAR(Table13[[#This Row],[Day]]), "")</f>
        <v/>
      </c>
      <c r="C1263" s="796"/>
      <c r="D1263" s="454"/>
      <c r="E1263" s="454"/>
      <c r="F1263" s="640"/>
      <c r="G1263" s="546"/>
      <c r="H1263" s="454"/>
      <c r="I1263" s="454"/>
      <c r="J126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4" spans="1:10" x14ac:dyDescent="0.25">
      <c r="A1264" s="796"/>
      <c r="B1264" s="454" t="str">
        <f>IF(Table13[[#This Row],[Day]] &lt;&gt; "", YEAR(Table13[[#This Row],[Day]]), "")</f>
        <v/>
      </c>
      <c r="C1264" s="796"/>
      <c r="D1264" s="454"/>
      <c r="E1264" s="454"/>
      <c r="F1264" s="640"/>
      <c r="G1264" s="546"/>
      <c r="H1264" s="454"/>
      <c r="I1264" s="454"/>
      <c r="J126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5" spans="1:10" x14ac:dyDescent="0.25">
      <c r="A1265" s="796"/>
      <c r="B1265" s="454" t="str">
        <f>IF(Table13[[#This Row],[Day]] &lt;&gt; "", YEAR(Table13[[#This Row],[Day]]), "")</f>
        <v/>
      </c>
      <c r="C1265" s="796"/>
      <c r="D1265" s="454"/>
      <c r="E1265" s="454"/>
      <c r="F1265" s="640"/>
      <c r="G1265" s="546"/>
      <c r="H1265" s="454"/>
      <c r="I1265" s="454"/>
      <c r="J126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6" spans="1:10" x14ac:dyDescent="0.25">
      <c r="A1266" s="796"/>
      <c r="B1266" s="454" t="str">
        <f>IF(Table13[[#This Row],[Day]] &lt;&gt; "", YEAR(Table13[[#This Row],[Day]]), "")</f>
        <v/>
      </c>
      <c r="C1266" s="796"/>
      <c r="D1266" s="454"/>
      <c r="E1266" s="454"/>
      <c r="F1266" s="640"/>
      <c r="G1266" s="546"/>
      <c r="H1266" s="454"/>
      <c r="I1266" s="454"/>
      <c r="J126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7" spans="1:10" x14ac:dyDescent="0.25">
      <c r="A1267" s="796"/>
      <c r="B1267" s="454" t="str">
        <f>IF(Table13[[#This Row],[Day]] &lt;&gt; "", YEAR(Table13[[#This Row],[Day]]), "")</f>
        <v/>
      </c>
      <c r="C1267" s="796"/>
      <c r="D1267" s="454"/>
      <c r="E1267" s="454"/>
      <c r="F1267" s="640"/>
      <c r="G1267" s="546"/>
      <c r="H1267" s="454"/>
      <c r="I1267" s="454"/>
      <c r="J126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8" spans="1:10" x14ac:dyDescent="0.25">
      <c r="A1268" s="796"/>
      <c r="B1268" s="454" t="str">
        <f>IF(Table13[[#This Row],[Day]] &lt;&gt; "", YEAR(Table13[[#This Row],[Day]]), "")</f>
        <v/>
      </c>
      <c r="C1268" s="796"/>
      <c r="D1268" s="454"/>
      <c r="E1268" s="454"/>
      <c r="F1268" s="640"/>
      <c r="G1268" s="546"/>
      <c r="H1268" s="454"/>
      <c r="I1268" s="454"/>
      <c r="J126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69" spans="1:10" x14ac:dyDescent="0.25">
      <c r="A1269" s="796"/>
      <c r="B1269" s="454" t="str">
        <f>IF(Table13[[#This Row],[Day]] &lt;&gt; "", YEAR(Table13[[#This Row],[Day]]), "")</f>
        <v/>
      </c>
      <c r="C1269" s="796"/>
      <c r="D1269" s="454"/>
      <c r="E1269" s="454"/>
      <c r="F1269" s="640"/>
      <c r="G1269" s="546"/>
      <c r="H1269" s="454"/>
      <c r="I1269" s="454"/>
      <c r="J126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0" spans="1:10" x14ac:dyDescent="0.25">
      <c r="A1270" s="796"/>
      <c r="B1270" s="454" t="str">
        <f>IF(Table13[[#This Row],[Day]] &lt;&gt; "", YEAR(Table13[[#This Row],[Day]]), "")</f>
        <v/>
      </c>
      <c r="C1270" s="796"/>
      <c r="D1270" s="454"/>
      <c r="E1270" s="454"/>
      <c r="F1270" s="640"/>
      <c r="G1270" s="546"/>
      <c r="H1270" s="454"/>
      <c r="I1270" s="454"/>
      <c r="J127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1" spans="1:10" x14ac:dyDescent="0.25">
      <c r="A1271" s="796"/>
      <c r="B1271" s="454" t="str">
        <f>IF(Table13[[#This Row],[Day]] &lt;&gt; "", YEAR(Table13[[#This Row],[Day]]), "")</f>
        <v/>
      </c>
      <c r="C1271" s="796"/>
      <c r="D1271" s="454"/>
      <c r="E1271" s="454"/>
      <c r="F1271" s="640"/>
      <c r="G1271" s="546"/>
      <c r="H1271" s="454"/>
      <c r="I1271" s="454"/>
      <c r="J127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2" spans="1:10" x14ac:dyDescent="0.25">
      <c r="A1272" s="796"/>
      <c r="B1272" s="454" t="str">
        <f>IF(Table13[[#This Row],[Day]] &lt;&gt; "", YEAR(Table13[[#This Row],[Day]]), "")</f>
        <v/>
      </c>
      <c r="C1272" s="796"/>
      <c r="D1272" s="454"/>
      <c r="E1272" s="454"/>
      <c r="F1272" s="640"/>
      <c r="G1272" s="546"/>
      <c r="H1272" s="454"/>
      <c r="I1272" s="454"/>
      <c r="J127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3" spans="1:10" x14ac:dyDescent="0.25">
      <c r="A1273" s="796"/>
      <c r="B1273" s="454" t="str">
        <f>IF(Table13[[#This Row],[Day]] &lt;&gt; "", YEAR(Table13[[#This Row],[Day]]), "")</f>
        <v/>
      </c>
      <c r="C1273" s="796"/>
      <c r="D1273" s="454"/>
      <c r="E1273" s="454"/>
      <c r="F1273" s="640"/>
      <c r="G1273" s="546"/>
      <c r="H1273" s="454"/>
      <c r="I1273" s="454"/>
      <c r="J127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4" spans="1:10" x14ac:dyDescent="0.25">
      <c r="A1274" s="796"/>
      <c r="B1274" s="454" t="str">
        <f>IF(Table13[[#This Row],[Day]] &lt;&gt; "", YEAR(Table13[[#This Row],[Day]]), "")</f>
        <v/>
      </c>
      <c r="C1274" s="796"/>
      <c r="D1274" s="454"/>
      <c r="E1274" s="454"/>
      <c r="F1274" s="640"/>
      <c r="G1274" s="546"/>
      <c r="H1274" s="454"/>
      <c r="I1274" s="454"/>
      <c r="J127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5" spans="1:10" x14ac:dyDescent="0.25">
      <c r="A1275" s="796"/>
      <c r="B1275" s="454" t="str">
        <f>IF(Table13[[#This Row],[Day]] &lt;&gt; "", YEAR(Table13[[#This Row],[Day]]), "")</f>
        <v/>
      </c>
      <c r="C1275" s="796"/>
      <c r="D1275" s="454"/>
      <c r="E1275" s="454"/>
      <c r="F1275" s="640"/>
      <c r="G1275" s="546"/>
      <c r="H1275" s="454"/>
      <c r="I1275" s="454"/>
      <c r="J127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6" spans="1:10" x14ac:dyDescent="0.25">
      <c r="A1276" s="796"/>
      <c r="B1276" s="454" t="str">
        <f>IF(Table13[[#This Row],[Day]] &lt;&gt; "", YEAR(Table13[[#This Row],[Day]]), "")</f>
        <v/>
      </c>
      <c r="C1276" s="796"/>
      <c r="D1276" s="454"/>
      <c r="E1276" s="454"/>
      <c r="F1276" s="640"/>
      <c r="G1276" s="546"/>
      <c r="H1276" s="454"/>
      <c r="I1276" s="454"/>
      <c r="J127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7" spans="1:10" x14ac:dyDescent="0.25">
      <c r="A1277" s="796"/>
      <c r="B1277" s="454" t="str">
        <f>IF(Table13[[#This Row],[Day]] &lt;&gt; "", YEAR(Table13[[#This Row],[Day]]), "")</f>
        <v/>
      </c>
      <c r="C1277" s="796"/>
      <c r="D1277" s="454"/>
      <c r="E1277" s="454"/>
      <c r="F1277" s="640"/>
      <c r="G1277" s="546"/>
      <c r="H1277" s="454"/>
      <c r="I1277" s="454"/>
      <c r="J127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8" spans="1:10" x14ac:dyDescent="0.25">
      <c r="A1278" s="796"/>
      <c r="B1278" s="454" t="str">
        <f>IF(Table13[[#This Row],[Day]] &lt;&gt; "", YEAR(Table13[[#This Row],[Day]]), "")</f>
        <v/>
      </c>
      <c r="C1278" s="796"/>
      <c r="D1278" s="454"/>
      <c r="E1278" s="454"/>
      <c r="F1278" s="640"/>
      <c r="G1278" s="546"/>
      <c r="H1278" s="454"/>
      <c r="I1278" s="454"/>
      <c r="J127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79" spans="1:10" x14ac:dyDescent="0.25">
      <c r="A1279" s="796"/>
      <c r="B1279" s="454" t="str">
        <f>IF(Table13[[#This Row],[Day]] &lt;&gt; "", YEAR(Table13[[#This Row],[Day]]), "")</f>
        <v/>
      </c>
      <c r="C1279" s="796"/>
      <c r="D1279" s="454"/>
      <c r="E1279" s="454"/>
      <c r="F1279" s="640"/>
      <c r="G1279" s="546"/>
      <c r="H1279" s="454"/>
      <c r="I1279" s="454"/>
      <c r="J127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0" spans="1:10" x14ac:dyDescent="0.25">
      <c r="A1280" s="796"/>
      <c r="B1280" s="454" t="str">
        <f>IF(Table13[[#This Row],[Day]] &lt;&gt; "", YEAR(Table13[[#This Row],[Day]]), "")</f>
        <v/>
      </c>
      <c r="C1280" s="796"/>
      <c r="D1280" s="454"/>
      <c r="E1280" s="454"/>
      <c r="F1280" s="640"/>
      <c r="G1280" s="546"/>
      <c r="H1280" s="454"/>
      <c r="I1280" s="454"/>
      <c r="J128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1" spans="1:10" x14ac:dyDescent="0.25">
      <c r="A1281" s="796"/>
      <c r="B1281" s="454" t="str">
        <f>IF(Table13[[#This Row],[Day]] &lt;&gt; "", YEAR(Table13[[#This Row],[Day]]), "")</f>
        <v/>
      </c>
      <c r="C1281" s="796"/>
      <c r="D1281" s="454"/>
      <c r="E1281" s="454"/>
      <c r="F1281" s="640"/>
      <c r="G1281" s="546"/>
      <c r="H1281" s="454"/>
      <c r="I1281" s="454"/>
      <c r="J128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2" spans="1:10" x14ac:dyDescent="0.25">
      <c r="A1282" s="796"/>
      <c r="B1282" s="454" t="str">
        <f>IF(Table13[[#This Row],[Day]] &lt;&gt; "", YEAR(Table13[[#This Row],[Day]]), "")</f>
        <v/>
      </c>
      <c r="C1282" s="796"/>
      <c r="D1282" s="454"/>
      <c r="E1282" s="454"/>
      <c r="F1282" s="640"/>
      <c r="G1282" s="546"/>
      <c r="H1282" s="454"/>
      <c r="I1282" s="454"/>
      <c r="J128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3" spans="1:10" x14ac:dyDescent="0.25">
      <c r="A1283" s="796"/>
      <c r="B1283" s="454" t="str">
        <f>IF(Table13[[#This Row],[Day]] &lt;&gt; "", YEAR(Table13[[#This Row],[Day]]), "")</f>
        <v/>
      </c>
      <c r="C1283" s="796"/>
      <c r="D1283" s="454"/>
      <c r="E1283" s="454"/>
      <c r="F1283" s="640"/>
      <c r="G1283" s="546"/>
      <c r="H1283" s="454"/>
      <c r="I1283" s="454"/>
      <c r="J128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4" spans="1:10" x14ac:dyDescent="0.25">
      <c r="A1284" s="796"/>
      <c r="B1284" s="454" t="str">
        <f>IF(Table13[[#This Row],[Day]] &lt;&gt; "", YEAR(Table13[[#This Row],[Day]]), "")</f>
        <v/>
      </c>
      <c r="C1284" s="796"/>
      <c r="D1284" s="454"/>
      <c r="E1284" s="454"/>
      <c r="F1284" s="640"/>
      <c r="G1284" s="546"/>
      <c r="H1284" s="454"/>
      <c r="I1284" s="454"/>
      <c r="J128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5" spans="1:10" x14ac:dyDescent="0.25">
      <c r="A1285" s="796"/>
      <c r="B1285" s="454" t="str">
        <f>IF(Table13[[#This Row],[Day]] &lt;&gt; "", YEAR(Table13[[#This Row],[Day]]), "")</f>
        <v/>
      </c>
      <c r="C1285" s="796"/>
      <c r="D1285" s="454"/>
      <c r="E1285" s="454"/>
      <c r="F1285" s="640"/>
      <c r="G1285" s="546"/>
      <c r="H1285" s="454"/>
      <c r="I1285" s="454"/>
      <c r="J128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6" spans="1:10" x14ac:dyDescent="0.25">
      <c r="A1286" s="796"/>
      <c r="B1286" s="454" t="str">
        <f>IF(Table13[[#This Row],[Day]] &lt;&gt; "", YEAR(Table13[[#This Row],[Day]]), "")</f>
        <v/>
      </c>
      <c r="C1286" s="796"/>
      <c r="D1286" s="454"/>
      <c r="E1286" s="454"/>
      <c r="F1286" s="640"/>
      <c r="G1286" s="546"/>
      <c r="H1286" s="454"/>
      <c r="I1286" s="454"/>
      <c r="J128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7" spans="1:10" x14ac:dyDescent="0.25">
      <c r="A1287" s="796"/>
      <c r="B1287" s="454" t="str">
        <f>IF(Table13[[#This Row],[Day]] &lt;&gt; "", YEAR(Table13[[#This Row],[Day]]), "")</f>
        <v/>
      </c>
      <c r="C1287" s="796"/>
      <c r="D1287" s="454"/>
      <c r="E1287" s="454"/>
      <c r="F1287" s="640"/>
      <c r="G1287" s="546"/>
      <c r="H1287" s="454"/>
      <c r="I1287" s="454"/>
      <c r="J128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8" spans="1:10" x14ac:dyDescent="0.25">
      <c r="A1288" s="796"/>
      <c r="B1288" s="454" t="str">
        <f>IF(Table13[[#This Row],[Day]] &lt;&gt; "", YEAR(Table13[[#This Row],[Day]]), "")</f>
        <v/>
      </c>
      <c r="C1288" s="796"/>
      <c r="D1288" s="454"/>
      <c r="E1288" s="454"/>
      <c r="F1288" s="640"/>
      <c r="G1288" s="546"/>
      <c r="H1288" s="454"/>
      <c r="I1288" s="454"/>
      <c r="J128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89" spans="1:10" x14ac:dyDescent="0.25">
      <c r="A1289" s="796"/>
      <c r="B1289" s="454" t="str">
        <f>IF(Table13[[#This Row],[Day]] &lt;&gt; "", YEAR(Table13[[#This Row],[Day]]), "")</f>
        <v/>
      </c>
      <c r="C1289" s="796"/>
      <c r="D1289" s="454"/>
      <c r="E1289" s="454"/>
      <c r="F1289" s="640"/>
      <c r="G1289" s="546"/>
      <c r="H1289" s="454"/>
      <c r="I1289" s="454"/>
      <c r="J128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0" spans="1:10" x14ac:dyDescent="0.25">
      <c r="A1290" s="796"/>
      <c r="B1290" s="454" t="str">
        <f>IF(Table13[[#This Row],[Day]] &lt;&gt; "", YEAR(Table13[[#This Row],[Day]]), "")</f>
        <v/>
      </c>
      <c r="C1290" s="796"/>
      <c r="D1290" s="454"/>
      <c r="E1290" s="454"/>
      <c r="F1290" s="640"/>
      <c r="G1290" s="546"/>
      <c r="H1290" s="454"/>
      <c r="I1290" s="454"/>
      <c r="J129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1" spans="1:10" x14ac:dyDescent="0.25">
      <c r="A1291" s="796"/>
      <c r="B1291" s="454" t="str">
        <f>IF(Table13[[#This Row],[Day]] &lt;&gt; "", YEAR(Table13[[#This Row],[Day]]), "")</f>
        <v/>
      </c>
      <c r="C1291" s="796"/>
      <c r="D1291" s="454"/>
      <c r="E1291" s="454"/>
      <c r="F1291" s="640"/>
      <c r="G1291" s="546"/>
      <c r="H1291" s="454"/>
      <c r="I1291" s="454"/>
      <c r="J129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2" spans="1:10" x14ac:dyDescent="0.25">
      <c r="A1292" s="796"/>
      <c r="B1292" s="454" t="str">
        <f>IF(Table13[[#This Row],[Day]] &lt;&gt; "", YEAR(Table13[[#This Row],[Day]]), "")</f>
        <v/>
      </c>
      <c r="C1292" s="796"/>
      <c r="D1292" s="454"/>
      <c r="E1292" s="454"/>
      <c r="F1292" s="640"/>
      <c r="G1292" s="546"/>
      <c r="H1292" s="454"/>
      <c r="I1292" s="454"/>
      <c r="J129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3" spans="1:10" x14ac:dyDescent="0.25">
      <c r="A1293" s="796"/>
      <c r="B1293" s="454" t="str">
        <f>IF(Table13[[#This Row],[Day]] &lt;&gt; "", YEAR(Table13[[#This Row],[Day]]), "")</f>
        <v/>
      </c>
      <c r="C1293" s="796"/>
      <c r="D1293" s="454"/>
      <c r="E1293" s="454"/>
      <c r="F1293" s="640"/>
      <c r="G1293" s="546"/>
      <c r="H1293" s="454"/>
      <c r="I1293" s="454"/>
      <c r="J129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4" spans="1:10" x14ac:dyDescent="0.25">
      <c r="A1294" s="796"/>
      <c r="B1294" s="454" t="str">
        <f>IF(Table13[[#This Row],[Day]] &lt;&gt; "", YEAR(Table13[[#This Row],[Day]]), "")</f>
        <v/>
      </c>
      <c r="C1294" s="796"/>
      <c r="D1294" s="454"/>
      <c r="E1294" s="454"/>
      <c r="F1294" s="640"/>
      <c r="G1294" s="546"/>
      <c r="H1294" s="454"/>
      <c r="I1294" s="454"/>
      <c r="J129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5" spans="1:10" x14ac:dyDescent="0.25">
      <c r="A1295" s="796"/>
      <c r="B1295" s="454" t="str">
        <f>IF(Table13[[#This Row],[Day]] &lt;&gt; "", YEAR(Table13[[#This Row],[Day]]), "")</f>
        <v/>
      </c>
      <c r="C1295" s="796"/>
      <c r="D1295" s="454"/>
      <c r="E1295" s="454"/>
      <c r="F1295" s="640"/>
      <c r="G1295" s="546"/>
      <c r="H1295" s="454"/>
      <c r="I1295" s="454"/>
      <c r="J129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6" spans="1:10" x14ac:dyDescent="0.25">
      <c r="A1296" s="796"/>
      <c r="B1296" s="454" t="str">
        <f>IF(Table13[[#This Row],[Day]] &lt;&gt; "", YEAR(Table13[[#This Row],[Day]]), "")</f>
        <v/>
      </c>
      <c r="C1296" s="796"/>
      <c r="D1296" s="454"/>
      <c r="E1296" s="454"/>
      <c r="F1296" s="640"/>
      <c r="G1296" s="546"/>
      <c r="H1296" s="454"/>
      <c r="I1296" s="454"/>
      <c r="J129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7" spans="1:10" x14ac:dyDescent="0.25">
      <c r="A1297" s="796"/>
      <c r="B1297" s="454" t="str">
        <f>IF(Table13[[#This Row],[Day]] &lt;&gt; "", YEAR(Table13[[#This Row],[Day]]), "")</f>
        <v/>
      </c>
      <c r="C1297" s="796"/>
      <c r="D1297" s="454"/>
      <c r="E1297" s="454"/>
      <c r="F1297" s="640"/>
      <c r="G1297" s="546"/>
      <c r="H1297" s="454"/>
      <c r="I1297" s="454"/>
      <c r="J129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8" spans="1:10" x14ac:dyDescent="0.25">
      <c r="A1298" s="796"/>
      <c r="B1298" s="454" t="str">
        <f>IF(Table13[[#This Row],[Day]] &lt;&gt; "", YEAR(Table13[[#This Row],[Day]]), "")</f>
        <v/>
      </c>
      <c r="C1298" s="796"/>
      <c r="D1298" s="454"/>
      <c r="E1298" s="454"/>
      <c r="F1298" s="640"/>
      <c r="G1298" s="546"/>
      <c r="H1298" s="454"/>
      <c r="I1298" s="454"/>
      <c r="J129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299" spans="1:10" x14ac:dyDescent="0.25">
      <c r="A1299" s="796"/>
      <c r="B1299" s="454" t="str">
        <f>IF(Table13[[#This Row],[Day]] &lt;&gt; "", YEAR(Table13[[#This Row],[Day]]), "")</f>
        <v/>
      </c>
      <c r="C1299" s="796"/>
      <c r="D1299" s="454"/>
      <c r="E1299" s="454"/>
      <c r="F1299" s="640"/>
      <c r="G1299" s="546"/>
      <c r="H1299" s="454"/>
      <c r="I1299" s="454"/>
      <c r="J129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0" spans="1:10" x14ac:dyDescent="0.25">
      <c r="A1300" s="796"/>
      <c r="B1300" s="454" t="str">
        <f>IF(Table13[[#This Row],[Day]] &lt;&gt; "", YEAR(Table13[[#This Row],[Day]]), "")</f>
        <v/>
      </c>
      <c r="C1300" s="796"/>
      <c r="D1300" s="454"/>
      <c r="E1300" s="454"/>
      <c r="F1300" s="640"/>
      <c r="G1300" s="546"/>
      <c r="H1300" s="454"/>
      <c r="I1300" s="454"/>
      <c r="J130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1" spans="1:10" x14ac:dyDescent="0.25">
      <c r="A1301" s="796"/>
      <c r="B1301" s="454" t="str">
        <f>IF(Table13[[#This Row],[Day]] &lt;&gt; "", YEAR(Table13[[#This Row],[Day]]), "")</f>
        <v/>
      </c>
      <c r="C1301" s="796"/>
      <c r="D1301" s="454"/>
      <c r="E1301" s="454"/>
      <c r="F1301" s="640"/>
      <c r="G1301" s="546"/>
      <c r="H1301" s="454"/>
      <c r="I1301" s="454"/>
      <c r="J130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2" spans="1:10" x14ac:dyDescent="0.25">
      <c r="A1302" s="796"/>
      <c r="B1302" s="454" t="str">
        <f>IF(Table13[[#This Row],[Day]] &lt;&gt; "", YEAR(Table13[[#This Row],[Day]]), "")</f>
        <v/>
      </c>
      <c r="C1302" s="796"/>
      <c r="D1302" s="454"/>
      <c r="E1302" s="454"/>
      <c r="F1302" s="640"/>
      <c r="G1302" s="546"/>
      <c r="H1302" s="454"/>
      <c r="I1302" s="454"/>
      <c r="J130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3" spans="1:10" x14ac:dyDescent="0.25">
      <c r="A1303" s="796"/>
      <c r="B1303" s="454" t="str">
        <f>IF(Table13[[#This Row],[Day]] &lt;&gt; "", YEAR(Table13[[#This Row],[Day]]), "")</f>
        <v/>
      </c>
      <c r="C1303" s="796"/>
      <c r="D1303" s="454"/>
      <c r="E1303" s="454"/>
      <c r="F1303" s="640"/>
      <c r="G1303" s="546"/>
      <c r="H1303" s="454"/>
      <c r="I1303" s="454"/>
      <c r="J130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4" spans="1:10" x14ac:dyDescent="0.25">
      <c r="A1304" s="796"/>
      <c r="B1304" s="454" t="str">
        <f>IF(Table13[[#This Row],[Day]] &lt;&gt; "", YEAR(Table13[[#This Row],[Day]]), "")</f>
        <v/>
      </c>
      <c r="C1304" s="796"/>
      <c r="D1304" s="454"/>
      <c r="E1304" s="454"/>
      <c r="F1304" s="640"/>
      <c r="G1304" s="546"/>
      <c r="H1304" s="454"/>
      <c r="I1304" s="454"/>
      <c r="J130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5" spans="1:10" x14ac:dyDescent="0.25">
      <c r="A1305" s="796"/>
      <c r="B1305" s="454" t="str">
        <f>IF(Table13[[#This Row],[Day]] &lt;&gt; "", YEAR(Table13[[#This Row],[Day]]), "")</f>
        <v/>
      </c>
      <c r="C1305" s="796"/>
      <c r="D1305" s="454"/>
      <c r="E1305" s="454"/>
      <c r="F1305" s="640"/>
      <c r="G1305" s="546"/>
      <c r="H1305" s="454"/>
      <c r="I1305" s="454"/>
      <c r="J130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6" spans="1:10" x14ac:dyDescent="0.25">
      <c r="A1306" s="796"/>
      <c r="B1306" s="454" t="str">
        <f>IF(Table13[[#This Row],[Day]] &lt;&gt; "", YEAR(Table13[[#This Row],[Day]]), "")</f>
        <v/>
      </c>
      <c r="C1306" s="796"/>
      <c r="D1306" s="454"/>
      <c r="E1306" s="454"/>
      <c r="F1306" s="640"/>
      <c r="G1306" s="546"/>
      <c r="H1306" s="454"/>
      <c r="I1306" s="454"/>
      <c r="J130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7" spans="1:10" x14ac:dyDescent="0.25">
      <c r="A1307" s="796"/>
      <c r="B1307" s="454" t="str">
        <f>IF(Table13[[#This Row],[Day]] &lt;&gt; "", YEAR(Table13[[#This Row],[Day]]), "")</f>
        <v/>
      </c>
      <c r="C1307" s="796"/>
      <c r="D1307" s="454"/>
      <c r="E1307" s="454"/>
      <c r="F1307" s="640"/>
      <c r="G1307" s="546"/>
      <c r="H1307" s="454"/>
      <c r="I1307" s="454"/>
      <c r="J130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8" spans="1:10" x14ac:dyDescent="0.25">
      <c r="A1308" s="796"/>
      <c r="B1308" s="454" t="str">
        <f>IF(Table13[[#This Row],[Day]] &lt;&gt; "", YEAR(Table13[[#This Row],[Day]]), "")</f>
        <v/>
      </c>
      <c r="C1308" s="796"/>
      <c r="D1308" s="454"/>
      <c r="E1308" s="454"/>
      <c r="F1308" s="640"/>
      <c r="G1308" s="546"/>
      <c r="H1308" s="454"/>
      <c r="I1308" s="454"/>
      <c r="J130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09" spans="1:10" x14ac:dyDescent="0.25">
      <c r="A1309" s="796"/>
      <c r="B1309" s="454" t="str">
        <f>IF(Table13[[#This Row],[Day]] &lt;&gt; "", YEAR(Table13[[#This Row],[Day]]), "")</f>
        <v/>
      </c>
      <c r="C1309" s="796"/>
      <c r="D1309" s="454"/>
      <c r="E1309" s="454"/>
      <c r="F1309" s="640"/>
      <c r="G1309" s="546"/>
      <c r="H1309" s="454"/>
      <c r="I1309" s="454"/>
      <c r="J130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0" spans="1:10" x14ac:dyDescent="0.25">
      <c r="A1310" s="796"/>
      <c r="B1310" s="454" t="str">
        <f>IF(Table13[[#This Row],[Day]] &lt;&gt; "", YEAR(Table13[[#This Row],[Day]]), "")</f>
        <v/>
      </c>
      <c r="C1310" s="796"/>
      <c r="D1310" s="454"/>
      <c r="E1310" s="454"/>
      <c r="F1310" s="640"/>
      <c r="G1310" s="546"/>
      <c r="H1310" s="454"/>
      <c r="I1310" s="454"/>
      <c r="J131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1" spans="1:10" x14ac:dyDescent="0.25">
      <c r="A1311" s="796"/>
      <c r="B1311" s="454" t="str">
        <f>IF(Table13[[#This Row],[Day]] &lt;&gt; "", YEAR(Table13[[#This Row],[Day]]), "")</f>
        <v/>
      </c>
      <c r="C1311" s="796"/>
      <c r="D1311" s="454"/>
      <c r="E1311" s="454"/>
      <c r="F1311" s="640"/>
      <c r="G1311" s="546"/>
      <c r="H1311" s="454"/>
      <c r="I1311" s="454"/>
      <c r="J131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2" spans="1:10" x14ac:dyDescent="0.25">
      <c r="A1312" s="796"/>
      <c r="B1312" s="454" t="str">
        <f>IF(Table13[[#This Row],[Day]] &lt;&gt; "", YEAR(Table13[[#This Row],[Day]]), "")</f>
        <v/>
      </c>
      <c r="C1312" s="796"/>
      <c r="D1312" s="454"/>
      <c r="E1312" s="454"/>
      <c r="F1312" s="640"/>
      <c r="G1312" s="546"/>
      <c r="H1312" s="454"/>
      <c r="I1312" s="454"/>
      <c r="J131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3" spans="1:10" x14ac:dyDescent="0.25">
      <c r="A1313" s="796"/>
      <c r="B1313" s="454" t="str">
        <f>IF(Table13[[#This Row],[Day]] &lt;&gt; "", YEAR(Table13[[#This Row],[Day]]), "")</f>
        <v/>
      </c>
      <c r="C1313" s="796"/>
      <c r="D1313" s="454"/>
      <c r="E1313" s="454"/>
      <c r="F1313" s="640"/>
      <c r="G1313" s="546"/>
      <c r="H1313" s="454"/>
      <c r="I1313" s="454"/>
      <c r="J131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4" spans="1:10" x14ac:dyDescent="0.25">
      <c r="A1314" s="796"/>
      <c r="B1314" s="454" t="str">
        <f>IF(Table13[[#This Row],[Day]] &lt;&gt; "", YEAR(Table13[[#This Row],[Day]]), "")</f>
        <v/>
      </c>
      <c r="C1314" s="796"/>
      <c r="D1314" s="454"/>
      <c r="E1314" s="454"/>
      <c r="F1314" s="640"/>
      <c r="G1314" s="546"/>
      <c r="H1314" s="454"/>
      <c r="I1314" s="454"/>
      <c r="J131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5" spans="1:10" x14ac:dyDescent="0.25">
      <c r="A1315" s="796"/>
      <c r="B1315" s="454" t="str">
        <f>IF(Table13[[#This Row],[Day]] &lt;&gt; "", YEAR(Table13[[#This Row],[Day]]), "")</f>
        <v/>
      </c>
      <c r="C1315" s="796"/>
      <c r="D1315" s="454"/>
      <c r="E1315" s="454"/>
      <c r="F1315" s="640"/>
      <c r="G1315" s="546"/>
      <c r="H1315" s="454"/>
      <c r="I1315" s="454"/>
      <c r="J131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6" spans="1:10" x14ac:dyDescent="0.25">
      <c r="A1316" s="796"/>
      <c r="B1316" s="454" t="str">
        <f>IF(Table13[[#This Row],[Day]] &lt;&gt; "", YEAR(Table13[[#This Row],[Day]]), "")</f>
        <v/>
      </c>
      <c r="C1316" s="796"/>
      <c r="D1316" s="454"/>
      <c r="E1316" s="454"/>
      <c r="F1316" s="640"/>
      <c r="G1316" s="546"/>
      <c r="H1316" s="454"/>
      <c r="I1316" s="454"/>
      <c r="J131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7" spans="1:10" x14ac:dyDescent="0.25">
      <c r="A1317" s="796"/>
      <c r="B1317" s="454" t="str">
        <f>IF(Table13[[#This Row],[Day]] &lt;&gt; "", YEAR(Table13[[#This Row],[Day]]), "")</f>
        <v/>
      </c>
      <c r="C1317" s="796"/>
      <c r="D1317" s="454"/>
      <c r="E1317" s="454"/>
      <c r="F1317" s="640"/>
      <c r="G1317" s="546"/>
      <c r="H1317" s="454"/>
      <c r="I1317" s="454"/>
      <c r="J131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8" spans="1:10" x14ac:dyDescent="0.25">
      <c r="A1318" s="796"/>
      <c r="B1318" s="454" t="str">
        <f>IF(Table13[[#This Row],[Day]] &lt;&gt; "", YEAR(Table13[[#This Row],[Day]]), "")</f>
        <v/>
      </c>
      <c r="C1318" s="796"/>
      <c r="D1318" s="454"/>
      <c r="E1318" s="454"/>
      <c r="F1318" s="640"/>
      <c r="G1318" s="546"/>
      <c r="H1318" s="454"/>
      <c r="I1318" s="454"/>
      <c r="J131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19" spans="1:10" x14ac:dyDescent="0.25">
      <c r="A1319" s="796"/>
      <c r="B1319" s="454" t="str">
        <f>IF(Table13[[#This Row],[Day]] &lt;&gt; "", YEAR(Table13[[#This Row],[Day]]), "")</f>
        <v/>
      </c>
      <c r="C1319" s="796"/>
      <c r="D1319" s="454"/>
      <c r="E1319" s="454"/>
      <c r="F1319" s="640"/>
      <c r="G1319" s="546"/>
      <c r="H1319" s="454"/>
      <c r="I1319" s="454"/>
      <c r="J131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0" spans="1:10" x14ac:dyDescent="0.25">
      <c r="A1320" s="796"/>
      <c r="B1320" s="454" t="str">
        <f>IF(Table13[[#This Row],[Day]] &lt;&gt; "", YEAR(Table13[[#This Row],[Day]]), "")</f>
        <v/>
      </c>
      <c r="C1320" s="796"/>
      <c r="D1320" s="454"/>
      <c r="E1320" s="454"/>
      <c r="F1320" s="640"/>
      <c r="G1320" s="546"/>
      <c r="H1320" s="454"/>
      <c r="I1320" s="454"/>
      <c r="J132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1" spans="1:10" x14ac:dyDescent="0.25">
      <c r="A1321" s="796"/>
      <c r="B1321" s="454" t="str">
        <f>IF(Table13[[#This Row],[Day]] &lt;&gt; "", YEAR(Table13[[#This Row],[Day]]), "")</f>
        <v/>
      </c>
      <c r="C1321" s="796"/>
      <c r="D1321" s="454"/>
      <c r="E1321" s="454"/>
      <c r="F1321" s="640"/>
      <c r="G1321" s="546"/>
      <c r="H1321" s="454"/>
      <c r="I1321" s="454"/>
      <c r="J132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2" spans="1:10" x14ac:dyDescent="0.25">
      <c r="A1322" s="796"/>
      <c r="B1322" s="454" t="str">
        <f>IF(Table13[[#This Row],[Day]] &lt;&gt; "", YEAR(Table13[[#This Row],[Day]]), "")</f>
        <v/>
      </c>
      <c r="C1322" s="796"/>
      <c r="D1322" s="454"/>
      <c r="E1322" s="454"/>
      <c r="F1322" s="640"/>
      <c r="G1322" s="546"/>
      <c r="H1322" s="454"/>
      <c r="I1322" s="454"/>
      <c r="J132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3" spans="1:10" x14ac:dyDescent="0.25">
      <c r="A1323" s="796"/>
      <c r="B1323" s="454" t="str">
        <f>IF(Table13[[#This Row],[Day]] &lt;&gt; "", YEAR(Table13[[#This Row],[Day]]), "")</f>
        <v/>
      </c>
      <c r="C1323" s="796"/>
      <c r="D1323" s="454"/>
      <c r="E1323" s="454"/>
      <c r="F1323" s="640"/>
      <c r="G1323" s="546"/>
      <c r="H1323" s="454"/>
      <c r="I1323" s="454"/>
      <c r="J132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4" spans="1:10" x14ac:dyDescent="0.25">
      <c r="A1324" s="796"/>
      <c r="B1324" s="454" t="str">
        <f>IF(Table13[[#This Row],[Day]] &lt;&gt; "", YEAR(Table13[[#This Row],[Day]]), "")</f>
        <v/>
      </c>
      <c r="C1324" s="796"/>
      <c r="D1324" s="454"/>
      <c r="E1324" s="454"/>
      <c r="F1324" s="640"/>
      <c r="G1324" s="546"/>
      <c r="H1324" s="454"/>
      <c r="I1324" s="454"/>
      <c r="J132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5" spans="1:10" x14ac:dyDescent="0.25">
      <c r="A1325" s="796"/>
      <c r="B1325" s="454" t="str">
        <f>IF(Table13[[#This Row],[Day]] &lt;&gt; "", YEAR(Table13[[#This Row],[Day]]), "")</f>
        <v/>
      </c>
      <c r="C1325" s="796"/>
      <c r="D1325" s="454"/>
      <c r="E1325" s="454"/>
      <c r="F1325" s="640"/>
      <c r="G1325" s="546"/>
      <c r="H1325" s="454"/>
      <c r="I1325" s="454"/>
      <c r="J132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6" spans="1:10" x14ac:dyDescent="0.25">
      <c r="A1326" s="796"/>
      <c r="B1326" s="454" t="str">
        <f>IF(Table13[[#This Row],[Day]] &lt;&gt; "", YEAR(Table13[[#This Row],[Day]]), "")</f>
        <v/>
      </c>
      <c r="C1326" s="796"/>
      <c r="D1326" s="454"/>
      <c r="E1326" s="454"/>
      <c r="F1326" s="640"/>
      <c r="G1326" s="546"/>
      <c r="H1326" s="454"/>
      <c r="I1326" s="454"/>
      <c r="J132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7" spans="1:10" x14ac:dyDescent="0.25">
      <c r="A1327" s="796"/>
      <c r="B1327" s="454" t="str">
        <f>IF(Table13[[#This Row],[Day]] &lt;&gt; "", YEAR(Table13[[#This Row],[Day]]), "")</f>
        <v/>
      </c>
      <c r="C1327" s="796"/>
      <c r="D1327" s="454"/>
      <c r="E1327" s="454"/>
      <c r="F1327" s="640"/>
      <c r="G1327" s="546"/>
      <c r="H1327" s="454"/>
      <c r="I1327" s="454"/>
      <c r="J132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8" spans="1:10" x14ac:dyDescent="0.25">
      <c r="A1328" s="796"/>
      <c r="B1328" s="454" t="str">
        <f>IF(Table13[[#This Row],[Day]] &lt;&gt; "", YEAR(Table13[[#This Row],[Day]]), "")</f>
        <v/>
      </c>
      <c r="C1328" s="796"/>
      <c r="D1328" s="454"/>
      <c r="E1328" s="454"/>
      <c r="F1328" s="640"/>
      <c r="G1328" s="546"/>
      <c r="H1328" s="454"/>
      <c r="I1328" s="454"/>
      <c r="J132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29" spans="1:10" x14ac:dyDescent="0.25">
      <c r="A1329" s="796"/>
      <c r="B1329" s="454" t="str">
        <f>IF(Table13[[#This Row],[Day]] &lt;&gt; "", YEAR(Table13[[#This Row],[Day]]), "")</f>
        <v/>
      </c>
      <c r="C1329" s="796"/>
      <c r="D1329" s="454"/>
      <c r="E1329" s="454"/>
      <c r="F1329" s="640"/>
      <c r="G1329" s="546"/>
      <c r="H1329" s="454"/>
      <c r="I1329" s="454"/>
      <c r="J132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0" spans="1:10" x14ac:dyDescent="0.25">
      <c r="A1330" s="796"/>
      <c r="B1330" s="454" t="str">
        <f>IF(Table13[[#This Row],[Day]] &lt;&gt; "", YEAR(Table13[[#This Row],[Day]]), "")</f>
        <v/>
      </c>
      <c r="C1330" s="796"/>
      <c r="D1330" s="454"/>
      <c r="E1330" s="454"/>
      <c r="F1330" s="640"/>
      <c r="G1330" s="546"/>
      <c r="H1330" s="454"/>
      <c r="I1330" s="454"/>
      <c r="J133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1" spans="1:10" x14ac:dyDescent="0.25">
      <c r="A1331" s="796"/>
      <c r="B1331" s="454" t="str">
        <f>IF(Table13[[#This Row],[Day]] &lt;&gt; "", YEAR(Table13[[#This Row],[Day]]), "")</f>
        <v/>
      </c>
      <c r="C1331" s="796"/>
      <c r="D1331" s="454"/>
      <c r="E1331" s="454"/>
      <c r="F1331" s="640"/>
      <c r="G1331" s="546"/>
      <c r="H1331" s="454"/>
      <c r="I1331" s="454"/>
      <c r="J133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2" spans="1:10" x14ac:dyDescent="0.25">
      <c r="A1332" s="796"/>
      <c r="B1332" s="454" t="str">
        <f>IF(Table13[[#This Row],[Day]] &lt;&gt; "", YEAR(Table13[[#This Row],[Day]]), "")</f>
        <v/>
      </c>
      <c r="C1332" s="796"/>
      <c r="D1332" s="454"/>
      <c r="E1332" s="454"/>
      <c r="F1332" s="640"/>
      <c r="G1332" s="546"/>
      <c r="H1332" s="454"/>
      <c r="I1332" s="454"/>
      <c r="J133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3" spans="1:10" x14ac:dyDescent="0.25">
      <c r="A1333" s="796"/>
      <c r="B1333" s="454" t="str">
        <f>IF(Table13[[#This Row],[Day]] &lt;&gt; "", YEAR(Table13[[#This Row],[Day]]), "")</f>
        <v/>
      </c>
      <c r="C1333" s="796"/>
      <c r="D1333" s="454"/>
      <c r="E1333" s="454"/>
      <c r="F1333" s="640"/>
      <c r="G1333" s="546"/>
      <c r="H1333" s="454"/>
      <c r="I1333" s="454"/>
      <c r="J133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4" spans="1:10" x14ac:dyDescent="0.25">
      <c r="A1334" s="796"/>
      <c r="B1334" s="454" t="str">
        <f>IF(Table13[[#This Row],[Day]] &lt;&gt; "", YEAR(Table13[[#This Row],[Day]]), "")</f>
        <v/>
      </c>
      <c r="C1334" s="796"/>
      <c r="D1334" s="454"/>
      <c r="E1334" s="454"/>
      <c r="F1334" s="640"/>
      <c r="G1334" s="546"/>
      <c r="H1334" s="454"/>
      <c r="I1334" s="454"/>
      <c r="J133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5" spans="1:10" x14ac:dyDescent="0.25">
      <c r="A1335" s="796"/>
      <c r="B1335" s="454" t="str">
        <f>IF(Table13[[#This Row],[Day]] &lt;&gt; "", YEAR(Table13[[#This Row],[Day]]), "")</f>
        <v/>
      </c>
      <c r="C1335" s="796"/>
      <c r="D1335" s="454"/>
      <c r="E1335" s="454"/>
      <c r="F1335" s="640"/>
      <c r="G1335" s="546"/>
      <c r="H1335" s="454"/>
      <c r="I1335" s="454"/>
      <c r="J133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6" spans="1:10" x14ac:dyDescent="0.25">
      <c r="A1336" s="796"/>
      <c r="B1336" s="454" t="str">
        <f>IF(Table13[[#This Row],[Day]] &lt;&gt; "", YEAR(Table13[[#This Row],[Day]]), "")</f>
        <v/>
      </c>
      <c r="C1336" s="796"/>
      <c r="D1336" s="454"/>
      <c r="E1336" s="454"/>
      <c r="F1336" s="640"/>
      <c r="G1336" s="546"/>
      <c r="H1336" s="454"/>
      <c r="I1336" s="454"/>
      <c r="J133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7" spans="1:10" x14ac:dyDescent="0.25">
      <c r="A1337" s="796"/>
      <c r="B1337" s="454" t="str">
        <f>IF(Table13[[#This Row],[Day]] &lt;&gt; "", YEAR(Table13[[#This Row],[Day]]), "")</f>
        <v/>
      </c>
      <c r="C1337" s="796"/>
      <c r="D1337" s="454"/>
      <c r="E1337" s="454"/>
      <c r="F1337" s="640"/>
      <c r="G1337" s="546"/>
      <c r="H1337" s="454"/>
      <c r="I1337" s="454"/>
      <c r="J133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8" spans="1:10" x14ac:dyDescent="0.25">
      <c r="A1338" s="796"/>
      <c r="B1338" s="454" t="str">
        <f>IF(Table13[[#This Row],[Day]] &lt;&gt; "", YEAR(Table13[[#This Row],[Day]]), "")</f>
        <v/>
      </c>
      <c r="C1338" s="796"/>
      <c r="D1338" s="454"/>
      <c r="E1338" s="454"/>
      <c r="F1338" s="640"/>
      <c r="G1338" s="546"/>
      <c r="H1338" s="454"/>
      <c r="I1338" s="454"/>
      <c r="J133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39" spans="1:10" x14ac:dyDescent="0.25">
      <c r="A1339" s="796"/>
      <c r="B1339" s="454" t="str">
        <f>IF(Table13[[#This Row],[Day]] &lt;&gt; "", YEAR(Table13[[#This Row],[Day]]), "")</f>
        <v/>
      </c>
      <c r="C1339" s="796"/>
      <c r="D1339" s="454"/>
      <c r="E1339" s="454"/>
      <c r="F1339" s="640"/>
      <c r="G1339" s="546"/>
      <c r="H1339" s="454"/>
      <c r="I1339" s="454"/>
      <c r="J133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0" spans="1:10" x14ac:dyDescent="0.25">
      <c r="A1340" s="796"/>
      <c r="B1340" s="454" t="str">
        <f>IF(Table13[[#This Row],[Day]] &lt;&gt; "", YEAR(Table13[[#This Row],[Day]]), "")</f>
        <v/>
      </c>
      <c r="C1340" s="796"/>
      <c r="D1340" s="454"/>
      <c r="E1340" s="454"/>
      <c r="F1340" s="640"/>
      <c r="G1340" s="546"/>
      <c r="H1340" s="454"/>
      <c r="I1340" s="454"/>
      <c r="J134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1" spans="1:10" x14ac:dyDescent="0.25">
      <c r="A1341" s="796"/>
      <c r="B1341" s="454" t="str">
        <f>IF(Table13[[#This Row],[Day]] &lt;&gt; "", YEAR(Table13[[#This Row],[Day]]), "")</f>
        <v/>
      </c>
      <c r="C1341" s="796"/>
      <c r="D1341" s="454"/>
      <c r="E1341" s="454"/>
      <c r="F1341" s="640"/>
      <c r="G1341" s="546"/>
      <c r="H1341" s="454"/>
      <c r="I1341" s="454"/>
      <c r="J134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2" spans="1:10" x14ac:dyDescent="0.25">
      <c r="A1342" s="796"/>
      <c r="B1342" s="454" t="str">
        <f>IF(Table13[[#This Row],[Day]] &lt;&gt; "", YEAR(Table13[[#This Row],[Day]]), "")</f>
        <v/>
      </c>
      <c r="C1342" s="796"/>
      <c r="D1342" s="454"/>
      <c r="E1342" s="454"/>
      <c r="F1342" s="640"/>
      <c r="G1342" s="546"/>
      <c r="H1342" s="454"/>
      <c r="I1342" s="454"/>
      <c r="J134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3" spans="1:10" x14ac:dyDescent="0.25">
      <c r="A1343" s="796"/>
      <c r="B1343" s="454" t="str">
        <f>IF(Table13[[#This Row],[Day]] &lt;&gt; "", YEAR(Table13[[#This Row],[Day]]), "")</f>
        <v/>
      </c>
      <c r="C1343" s="796"/>
      <c r="D1343" s="454"/>
      <c r="E1343" s="454"/>
      <c r="F1343" s="640"/>
      <c r="G1343" s="546"/>
      <c r="H1343" s="454"/>
      <c r="I1343" s="454"/>
      <c r="J134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4" spans="1:10" x14ac:dyDescent="0.25">
      <c r="A1344" s="796"/>
      <c r="B1344" s="454" t="str">
        <f>IF(Table13[[#This Row],[Day]] &lt;&gt; "", YEAR(Table13[[#This Row],[Day]]), "")</f>
        <v/>
      </c>
      <c r="C1344" s="796"/>
      <c r="D1344" s="454"/>
      <c r="E1344" s="454"/>
      <c r="F1344" s="640"/>
      <c r="G1344" s="546"/>
      <c r="H1344" s="454"/>
      <c r="I1344" s="454"/>
      <c r="J134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5" spans="1:10" x14ac:dyDescent="0.25">
      <c r="A1345" s="796"/>
      <c r="B1345" s="454" t="str">
        <f>IF(Table13[[#This Row],[Day]] &lt;&gt; "", YEAR(Table13[[#This Row],[Day]]), "")</f>
        <v/>
      </c>
      <c r="C1345" s="796"/>
      <c r="D1345" s="454"/>
      <c r="E1345" s="454"/>
      <c r="F1345" s="640"/>
      <c r="G1345" s="546"/>
      <c r="H1345" s="454"/>
      <c r="I1345" s="454"/>
      <c r="J134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6" spans="1:10" x14ac:dyDescent="0.25">
      <c r="A1346" s="796"/>
      <c r="B1346" s="454" t="str">
        <f>IF(Table13[[#This Row],[Day]] &lt;&gt; "", YEAR(Table13[[#This Row],[Day]]), "")</f>
        <v/>
      </c>
      <c r="C1346" s="796"/>
      <c r="D1346" s="454"/>
      <c r="E1346" s="454"/>
      <c r="F1346" s="640"/>
      <c r="G1346" s="546"/>
      <c r="H1346" s="454"/>
      <c r="I1346" s="454"/>
      <c r="J134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7" spans="1:10" x14ac:dyDescent="0.25">
      <c r="A1347" s="796"/>
      <c r="B1347" s="454" t="str">
        <f>IF(Table13[[#This Row],[Day]] &lt;&gt; "", YEAR(Table13[[#This Row],[Day]]), "")</f>
        <v/>
      </c>
      <c r="C1347" s="796"/>
      <c r="D1347" s="454"/>
      <c r="E1347" s="454"/>
      <c r="F1347" s="640"/>
      <c r="G1347" s="546"/>
      <c r="H1347" s="454"/>
      <c r="I1347" s="454"/>
      <c r="J134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8" spans="1:10" x14ac:dyDescent="0.25">
      <c r="A1348" s="796"/>
      <c r="B1348" s="454" t="str">
        <f>IF(Table13[[#This Row],[Day]] &lt;&gt; "", YEAR(Table13[[#This Row],[Day]]), "")</f>
        <v/>
      </c>
      <c r="C1348" s="796"/>
      <c r="D1348" s="454"/>
      <c r="E1348" s="454"/>
      <c r="F1348" s="640"/>
      <c r="G1348" s="546"/>
      <c r="H1348" s="454"/>
      <c r="I1348" s="454"/>
      <c r="J134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49" spans="1:10" x14ac:dyDescent="0.25">
      <c r="A1349" s="796"/>
      <c r="B1349" s="454" t="str">
        <f>IF(Table13[[#This Row],[Day]] &lt;&gt; "", YEAR(Table13[[#This Row],[Day]]), "")</f>
        <v/>
      </c>
      <c r="C1349" s="796"/>
      <c r="D1349" s="454"/>
      <c r="E1349" s="454"/>
      <c r="F1349" s="640"/>
      <c r="G1349" s="546"/>
      <c r="H1349" s="454"/>
      <c r="I1349" s="454"/>
      <c r="J134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0" spans="1:10" x14ac:dyDescent="0.25">
      <c r="A1350" s="796"/>
      <c r="B1350" s="454" t="str">
        <f>IF(Table13[[#This Row],[Day]] &lt;&gt; "", YEAR(Table13[[#This Row],[Day]]), "")</f>
        <v/>
      </c>
      <c r="C1350" s="796"/>
      <c r="D1350" s="454"/>
      <c r="E1350" s="454"/>
      <c r="F1350" s="640"/>
      <c r="G1350" s="546"/>
      <c r="H1350" s="454"/>
      <c r="I1350" s="454"/>
      <c r="J135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1" spans="1:10" x14ac:dyDescent="0.25">
      <c r="A1351" s="796"/>
      <c r="B1351" s="454" t="str">
        <f>IF(Table13[[#This Row],[Day]] &lt;&gt; "", YEAR(Table13[[#This Row],[Day]]), "")</f>
        <v/>
      </c>
      <c r="C1351" s="796"/>
      <c r="D1351" s="454"/>
      <c r="E1351" s="454"/>
      <c r="F1351" s="640"/>
      <c r="G1351" s="546"/>
      <c r="H1351" s="454"/>
      <c r="I1351" s="454"/>
      <c r="J135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2" spans="1:10" x14ac:dyDescent="0.25">
      <c r="A1352" s="796"/>
      <c r="B1352" s="454" t="str">
        <f>IF(Table13[[#This Row],[Day]] &lt;&gt; "", YEAR(Table13[[#This Row],[Day]]), "")</f>
        <v/>
      </c>
      <c r="C1352" s="796"/>
      <c r="D1352" s="454"/>
      <c r="E1352" s="454"/>
      <c r="F1352" s="640"/>
      <c r="G1352" s="546"/>
      <c r="H1352" s="454"/>
      <c r="I1352" s="454"/>
      <c r="J135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3" spans="1:10" x14ac:dyDescent="0.25">
      <c r="A1353" s="796"/>
      <c r="B1353" s="454" t="str">
        <f>IF(Table13[[#This Row],[Day]] &lt;&gt; "", YEAR(Table13[[#This Row],[Day]]), "")</f>
        <v/>
      </c>
      <c r="C1353" s="796"/>
      <c r="D1353" s="454"/>
      <c r="E1353" s="454"/>
      <c r="F1353" s="640"/>
      <c r="G1353" s="546"/>
      <c r="H1353" s="454"/>
      <c r="I1353" s="454"/>
      <c r="J135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4" spans="1:10" x14ac:dyDescent="0.25">
      <c r="A1354" s="796"/>
      <c r="B1354" s="454" t="str">
        <f>IF(Table13[[#This Row],[Day]] &lt;&gt; "", YEAR(Table13[[#This Row],[Day]]), "")</f>
        <v/>
      </c>
      <c r="C1354" s="796"/>
      <c r="D1354" s="454"/>
      <c r="E1354" s="454"/>
      <c r="F1354" s="640"/>
      <c r="G1354" s="546"/>
      <c r="H1354" s="454"/>
      <c r="I1354" s="454"/>
      <c r="J135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5" spans="1:10" x14ac:dyDescent="0.25">
      <c r="A1355" s="796"/>
      <c r="B1355" s="454" t="str">
        <f>IF(Table13[[#This Row],[Day]] &lt;&gt; "", YEAR(Table13[[#This Row],[Day]]), "")</f>
        <v/>
      </c>
      <c r="C1355" s="796"/>
      <c r="D1355" s="454"/>
      <c r="E1355" s="454"/>
      <c r="F1355" s="640"/>
      <c r="G1355" s="546"/>
      <c r="H1355" s="454"/>
      <c r="I1355" s="454"/>
      <c r="J135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6" spans="1:10" x14ac:dyDescent="0.25">
      <c r="A1356" s="796"/>
      <c r="B1356" s="454" t="str">
        <f>IF(Table13[[#This Row],[Day]] &lt;&gt; "", YEAR(Table13[[#This Row],[Day]]), "")</f>
        <v/>
      </c>
      <c r="C1356" s="796"/>
      <c r="D1356" s="454"/>
      <c r="E1356" s="454"/>
      <c r="F1356" s="640"/>
      <c r="G1356" s="546"/>
      <c r="H1356" s="454"/>
      <c r="I1356" s="454"/>
      <c r="J135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7" spans="1:10" x14ac:dyDescent="0.25">
      <c r="A1357" s="796"/>
      <c r="B1357" s="454" t="str">
        <f>IF(Table13[[#This Row],[Day]] &lt;&gt; "", YEAR(Table13[[#This Row],[Day]]), "")</f>
        <v/>
      </c>
      <c r="C1357" s="796"/>
      <c r="D1357" s="454"/>
      <c r="E1357" s="454"/>
      <c r="F1357" s="640"/>
      <c r="G1357" s="546"/>
      <c r="H1357" s="454"/>
      <c r="I1357" s="454"/>
      <c r="J135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8" spans="1:10" x14ac:dyDescent="0.25">
      <c r="A1358" s="796"/>
      <c r="B1358" s="454" t="str">
        <f>IF(Table13[[#This Row],[Day]] &lt;&gt; "", YEAR(Table13[[#This Row],[Day]]), "")</f>
        <v/>
      </c>
      <c r="C1358" s="796"/>
      <c r="D1358" s="454"/>
      <c r="E1358" s="454"/>
      <c r="F1358" s="640"/>
      <c r="G1358" s="546"/>
      <c r="H1358" s="454"/>
      <c r="I1358" s="454"/>
      <c r="J135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59" spans="1:10" x14ac:dyDescent="0.25">
      <c r="A1359" s="796"/>
      <c r="B1359" s="454" t="str">
        <f>IF(Table13[[#This Row],[Day]] &lt;&gt; "", YEAR(Table13[[#This Row],[Day]]), "")</f>
        <v/>
      </c>
      <c r="C1359" s="796"/>
      <c r="D1359" s="454"/>
      <c r="E1359" s="454"/>
      <c r="F1359" s="640"/>
      <c r="G1359" s="546"/>
      <c r="H1359" s="454"/>
      <c r="I1359" s="454"/>
      <c r="J135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0" spans="1:10" x14ac:dyDescent="0.25">
      <c r="A1360" s="796"/>
      <c r="B1360" s="454" t="str">
        <f>IF(Table13[[#This Row],[Day]] &lt;&gt; "", YEAR(Table13[[#This Row],[Day]]), "")</f>
        <v/>
      </c>
      <c r="C1360" s="796"/>
      <c r="D1360" s="454"/>
      <c r="E1360" s="454"/>
      <c r="F1360" s="640"/>
      <c r="G1360" s="546"/>
      <c r="H1360" s="454"/>
      <c r="I1360" s="454"/>
      <c r="J136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1" spans="1:10" x14ac:dyDescent="0.25">
      <c r="A1361" s="796"/>
      <c r="B1361" s="454" t="str">
        <f>IF(Table13[[#This Row],[Day]] &lt;&gt; "", YEAR(Table13[[#This Row],[Day]]), "")</f>
        <v/>
      </c>
      <c r="C1361" s="796"/>
      <c r="D1361" s="454"/>
      <c r="E1361" s="454"/>
      <c r="F1361" s="640"/>
      <c r="G1361" s="546"/>
      <c r="H1361" s="454"/>
      <c r="I1361" s="454"/>
      <c r="J136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2" spans="1:10" x14ac:dyDescent="0.25">
      <c r="A1362" s="796"/>
      <c r="B1362" s="454" t="str">
        <f>IF(Table13[[#This Row],[Day]] &lt;&gt; "", YEAR(Table13[[#This Row],[Day]]), "")</f>
        <v/>
      </c>
      <c r="C1362" s="796"/>
      <c r="D1362" s="454"/>
      <c r="E1362" s="454"/>
      <c r="F1362" s="640"/>
      <c r="G1362" s="546"/>
      <c r="H1362" s="454"/>
      <c r="I1362" s="454"/>
      <c r="J136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3" spans="1:10" x14ac:dyDescent="0.25">
      <c r="A1363" s="796"/>
      <c r="B1363" s="454" t="str">
        <f>IF(Table13[[#This Row],[Day]] &lt;&gt; "", YEAR(Table13[[#This Row],[Day]]), "")</f>
        <v/>
      </c>
      <c r="C1363" s="796"/>
      <c r="D1363" s="454"/>
      <c r="E1363" s="454"/>
      <c r="F1363" s="640"/>
      <c r="G1363" s="546"/>
      <c r="H1363" s="454"/>
      <c r="I1363" s="454"/>
      <c r="J136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4" spans="1:10" x14ac:dyDescent="0.25">
      <c r="A1364" s="796"/>
      <c r="B1364" s="454" t="str">
        <f>IF(Table13[[#This Row],[Day]] &lt;&gt; "", YEAR(Table13[[#This Row],[Day]]), "")</f>
        <v/>
      </c>
      <c r="C1364" s="796"/>
      <c r="D1364" s="454"/>
      <c r="E1364" s="454"/>
      <c r="F1364" s="640"/>
      <c r="G1364" s="546"/>
      <c r="H1364" s="454"/>
      <c r="I1364" s="454"/>
      <c r="J136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5" spans="1:10" x14ac:dyDescent="0.25">
      <c r="A1365" s="796"/>
      <c r="B1365" s="454" t="str">
        <f>IF(Table13[[#This Row],[Day]] &lt;&gt; "", YEAR(Table13[[#This Row],[Day]]), "")</f>
        <v/>
      </c>
      <c r="C1365" s="796"/>
      <c r="D1365" s="454"/>
      <c r="E1365" s="454"/>
      <c r="F1365" s="640"/>
      <c r="G1365" s="546"/>
      <c r="H1365" s="454"/>
      <c r="I1365" s="454"/>
      <c r="J136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6" spans="1:10" x14ac:dyDescent="0.25">
      <c r="A1366" s="796"/>
      <c r="B1366" s="454" t="str">
        <f>IF(Table13[[#This Row],[Day]] &lt;&gt; "", YEAR(Table13[[#This Row],[Day]]), "")</f>
        <v/>
      </c>
      <c r="C1366" s="796"/>
      <c r="D1366" s="454"/>
      <c r="E1366" s="454"/>
      <c r="F1366" s="640"/>
      <c r="G1366" s="546"/>
      <c r="H1366" s="454"/>
      <c r="I1366" s="454"/>
      <c r="J136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7" spans="1:10" x14ac:dyDescent="0.25">
      <c r="A1367" s="796"/>
      <c r="B1367" s="454" t="str">
        <f>IF(Table13[[#This Row],[Day]] &lt;&gt; "", YEAR(Table13[[#This Row],[Day]]), "")</f>
        <v/>
      </c>
      <c r="C1367" s="796"/>
      <c r="D1367" s="454"/>
      <c r="E1367" s="454"/>
      <c r="F1367" s="640"/>
      <c r="G1367" s="546"/>
      <c r="H1367" s="454"/>
      <c r="I1367" s="454"/>
      <c r="J136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8" spans="1:10" x14ac:dyDescent="0.25">
      <c r="A1368" s="796"/>
      <c r="B1368" s="454" t="str">
        <f>IF(Table13[[#This Row],[Day]] &lt;&gt; "", YEAR(Table13[[#This Row],[Day]]), "")</f>
        <v/>
      </c>
      <c r="C1368" s="796"/>
      <c r="D1368" s="454"/>
      <c r="E1368" s="454"/>
      <c r="F1368" s="640"/>
      <c r="G1368" s="546"/>
      <c r="H1368" s="454"/>
      <c r="I1368" s="454"/>
      <c r="J136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69" spans="1:10" x14ac:dyDescent="0.25">
      <c r="A1369" s="796"/>
      <c r="B1369" s="454" t="str">
        <f>IF(Table13[[#This Row],[Day]] &lt;&gt; "", YEAR(Table13[[#This Row],[Day]]), "")</f>
        <v/>
      </c>
      <c r="C1369" s="796"/>
      <c r="D1369" s="454"/>
      <c r="E1369" s="454"/>
      <c r="F1369" s="640"/>
      <c r="G1369" s="546"/>
      <c r="H1369" s="454"/>
      <c r="I1369" s="454"/>
      <c r="J136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0" spans="1:10" x14ac:dyDescent="0.25">
      <c r="A1370" s="796"/>
      <c r="B1370" s="454" t="str">
        <f>IF(Table13[[#This Row],[Day]] &lt;&gt; "", YEAR(Table13[[#This Row],[Day]]), "")</f>
        <v/>
      </c>
      <c r="C1370" s="796"/>
      <c r="D1370" s="454"/>
      <c r="E1370" s="454"/>
      <c r="F1370" s="640"/>
      <c r="G1370" s="546"/>
      <c r="H1370" s="454"/>
      <c r="I1370" s="454"/>
      <c r="J137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1" spans="1:10" x14ac:dyDescent="0.25">
      <c r="A1371" s="796"/>
      <c r="B1371" s="454" t="str">
        <f>IF(Table13[[#This Row],[Day]] &lt;&gt; "", YEAR(Table13[[#This Row],[Day]]), "")</f>
        <v/>
      </c>
      <c r="C1371" s="796"/>
      <c r="D1371" s="454"/>
      <c r="E1371" s="454"/>
      <c r="F1371" s="640"/>
      <c r="G1371" s="546"/>
      <c r="H1371" s="454"/>
      <c r="I1371" s="454"/>
      <c r="J137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2" spans="1:10" x14ac:dyDescent="0.25">
      <c r="A1372" s="796"/>
      <c r="B1372" s="454" t="str">
        <f>IF(Table13[[#This Row],[Day]] &lt;&gt; "", YEAR(Table13[[#This Row],[Day]]), "")</f>
        <v/>
      </c>
      <c r="C1372" s="796"/>
      <c r="D1372" s="454"/>
      <c r="E1372" s="454"/>
      <c r="F1372" s="640"/>
      <c r="G1372" s="546"/>
      <c r="H1372" s="454"/>
      <c r="I1372" s="454"/>
      <c r="J137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3" spans="1:10" x14ac:dyDescent="0.25">
      <c r="A1373" s="796"/>
      <c r="B1373" s="454" t="str">
        <f>IF(Table13[[#This Row],[Day]] &lt;&gt; "", YEAR(Table13[[#This Row],[Day]]), "")</f>
        <v/>
      </c>
      <c r="C1373" s="796"/>
      <c r="D1373" s="454"/>
      <c r="E1373" s="454"/>
      <c r="F1373" s="640"/>
      <c r="G1373" s="546"/>
      <c r="H1373" s="454"/>
      <c r="I1373" s="454"/>
      <c r="J137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4" spans="1:10" x14ac:dyDescent="0.25">
      <c r="A1374" s="796"/>
      <c r="B1374" s="454" t="str">
        <f>IF(Table13[[#This Row],[Day]] &lt;&gt; "", YEAR(Table13[[#This Row],[Day]]), "")</f>
        <v/>
      </c>
      <c r="C1374" s="796"/>
      <c r="D1374" s="454"/>
      <c r="E1374" s="454"/>
      <c r="F1374" s="640"/>
      <c r="G1374" s="546"/>
      <c r="H1374" s="454"/>
      <c r="I1374" s="454"/>
      <c r="J137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5" spans="1:10" x14ac:dyDescent="0.25">
      <c r="A1375" s="796"/>
      <c r="B1375" s="454" t="str">
        <f>IF(Table13[[#This Row],[Day]] &lt;&gt; "", YEAR(Table13[[#This Row],[Day]]), "")</f>
        <v/>
      </c>
      <c r="C1375" s="796"/>
      <c r="D1375" s="454"/>
      <c r="E1375" s="454"/>
      <c r="F1375" s="640"/>
      <c r="G1375" s="546"/>
      <c r="H1375" s="454"/>
      <c r="I1375" s="454"/>
      <c r="J137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6" spans="1:10" x14ac:dyDescent="0.25">
      <c r="A1376" s="796"/>
      <c r="B1376" s="454" t="str">
        <f>IF(Table13[[#This Row],[Day]] &lt;&gt; "", YEAR(Table13[[#This Row],[Day]]), "")</f>
        <v/>
      </c>
      <c r="C1376" s="796"/>
      <c r="D1376" s="454"/>
      <c r="E1376" s="454"/>
      <c r="F1376" s="640"/>
      <c r="G1376" s="546"/>
      <c r="H1376" s="454"/>
      <c r="I1376" s="454"/>
      <c r="J137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7" spans="1:10" x14ac:dyDescent="0.25">
      <c r="A1377" s="796"/>
      <c r="B1377" s="454" t="str">
        <f>IF(Table13[[#This Row],[Day]] &lt;&gt; "", YEAR(Table13[[#This Row],[Day]]), "")</f>
        <v/>
      </c>
      <c r="C1377" s="796"/>
      <c r="D1377" s="454"/>
      <c r="E1377" s="454"/>
      <c r="F1377" s="640"/>
      <c r="G1377" s="546"/>
      <c r="H1377" s="454"/>
      <c r="I1377" s="454"/>
      <c r="J137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8" spans="1:10" x14ac:dyDescent="0.25">
      <c r="A1378" s="796"/>
      <c r="B1378" s="454" t="str">
        <f>IF(Table13[[#This Row],[Day]] &lt;&gt; "", YEAR(Table13[[#This Row],[Day]]), "")</f>
        <v/>
      </c>
      <c r="C1378" s="796"/>
      <c r="D1378" s="454"/>
      <c r="E1378" s="454"/>
      <c r="F1378" s="640"/>
      <c r="G1378" s="546"/>
      <c r="H1378" s="454"/>
      <c r="I1378" s="454"/>
      <c r="J137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79" spans="1:10" x14ac:dyDescent="0.25">
      <c r="A1379" s="796"/>
      <c r="B1379" s="454" t="str">
        <f>IF(Table13[[#This Row],[Day]] &lt;&gt; "", YEAR(Table13[[#This Row],[Day]]), "")</f>
        <v/>
      </c>
      <c r="C1379" s="796"/>
      <c r="D1379" s="454"/>
      <c r="E1379" s="454"/>
      <c r="F1379" s="640"/>
      <c r="G1379" s="546"/>
      <c r="H1379" s="454"/>
      <c r="I1379" s="454"/>
      <c r="J137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0" spans="1:10" x14ac:dyDescent="0.25">
      <c r="A1380" s="796"/>
      <c r="B1380" s="454" t="str">
        <f>IF(Table13[[#This Row],[Day]] &lt;&gt; "", YEAR(Table13[[#This Row],[Day]]), "")</f>
        <v/>
      </c>
      <c r="C1380" s="796"/>
      <c r="D1380" s="454"/>
      <c r="E1380" s="454"/>
      <c r="F1380" s="640"/>
      <c r="G1380" s="546"/>
      <c r="H1380" s="454"/>
      <c r="I1380" s="454"/>
      <c r="J138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1" spans="1:10" x14ac:dyDescent="0.25">
      <c r="A1381" s="796"/>
      <c r="B1381" s="454" t="str">
        <f>IF(Table13[[#This Row],[Day]] &lt;&gt; "", YEAR(Table13[[#This Row],[Day]]), "")</f>
        <v/>
      </c>
      <c r="C1381" s="796"/>
      <c r="D1381" s="454"/>
      <c r="E1381" s="454"/>
      <c r="F1381" s="640"/>
      <c r="G1381" s="546"/>
      <c r="H1381" s="454"/>
      <c r="I1381" s="454"/>
      <c r="J138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2" spans="1:10" x14ac:dyDescent="0.25">
      <c r="A1382" s="796"/>
      <c r="B1382" s="454" t="str">
        <f>IF(Table13[[#This Row],[Day]] &lt;&gt; "", YEAR(Table13[[#This Row],[Day]]), "")</f>
        <v/>
      </c>
      <c r="C1382" s="796"/>
      <c r="D1382" s="454"/>
      <c r="E1382" s="454"/>
      <c r="F1382" s="640"/>
      <c r="G1382" s="546"/>
      <c r="H1382" s="454"/>
      <c r="I1382" s="454"/>
      <c r="J138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3" spans="1:10" x14ac:dyDescent="0.25">
      <c r="A1383" s="796"/>
      <c r="B1383" s="454" t="str">
        <f>IF(Table13[[#This Row],[Day]] &lt;&gt; "", YEAR(Table13[[#This Row],[Day]]), "")</f>
        <v/>
      </c>
      <c r="C1383" s="796"/>
      <c r="D1383" s="454"/>
      <c r="E1383" s="454"/>
      <c r="F1383" s="640"/>
      <c r="G1383" s="546"/>
      <c r="H1383" s="454"/>
      <c r="I1383" s="454"/>
      <c r="J138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4" spans="1:10" x14ac:dyDescent="0.25">
      <c r="A1384" s="796"/>
      <c r="B1384" s="454" t="str">
        <f>IF(Table13[[#This Row],[Day]] &lt;&gt; "", YEAR(Table13[[#This Row],[Day]]), "")</f>
        <v/>
      </c>
      <c r="C1384" s="796"/>
      <c r="D1384" s="454"/>
      <c r="E1384" s="454"/>
      <c r="F1384" s="640"/>
      <c r="G1384" s="546"/>
      <c r="H1384" s="454"/>
      <c r="I1384" s="454"/>
      <c r="J138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5" spans="1:10" x14ac:dyDescent="0.25">
      <c r="A1385" s="796"/>
      <c r="B1385" s="454" t="str">
        <f>IF(Table13[[#This Row],[Day]] &lt;&gt; "", YEAR(Table13[[#This Row],[Day]]), "")</f>
        <v/>
      </c>
      <c r="C1385" s="796"/>
      <c r="D1385" s="454"/>
      <c r="E1385" s="454"/>
      <c r="F1385" s="640"/>
      <c r="G1385" s="546"/>
      <c r="H1385" s="454"/>
      <c r="I1385" s="454"/>
      <c r="J138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6" spans="1:10" x14ac:dyDescent="0.25">
      <c r="A1386" s="796"/>
      <c r="B1386" s="454" t="str">
        <f>IF(Table13[[#This Row],[Day]] &lt;&gt; "", YEAR(Table13[[#This Row],[Day]]), "")</f>
        <v/>
      </c>
      <c r="C1386" s="796"/>
      <c r="D1386" s="454"/>
      <c r="E1386" s="454"/>
      <c r="F1386" s="640"/>
      <c r="G1386" s="546"/>
      <c r="H1386" s="454"/>
      <c r="I1386" s="454"/>
      <c r="J138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7" spans="1:10" x14ac:dyDescent="0.25">
      <c r="A1387" s="796"/>
      <c r="B1387" s="454" t="str">
        <f>IF(Table13[[#This Row],[Day]] &lt;&gt; "", YEAR(Table13[[#This Row],[Day]]), "")</f>
        <v/>
      </c>
      <c r="C1387" s="796"/>
      <c r="D1387" s="454"/>
      <c r="E1387" s="454"/>
      <c r="F1387" s="640"/>
      <c r="G1387" s="546"/>
      <c r="H1387" s="454"/>
      <c r="I1387" s="454"/>
      <c r="J138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8" spans="1:10" x14ac:dyDescent="0.25">
      <c r="A1388" s="796"/>
      <c r="B1388" s="454" t="str">
        <f>IF(Table13[[#This Row],[Day]] &lt;&gt; "", YEAR(Table13[[#This Row],[Day]]), "")</f>
        <v/>
      </c>
      <c r="C1388" s="796"/>
      <c r="D1388" s="454"/>
      <c r="E1388" s="454"/>
      <c r="F1388" s="640"/>
      <c r="G1388" s="546"/>
      <c r="H1388" s="454"/>
      <c r="I1388" s="454"/>
      <c r="J138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89" spans="1:10" x14ac:dyDescent="0.25">
      <c r="A1389" s="796"/>
      <c r="B1389" s="454" t="str">
        <f>IF(Table13[[#This Row],[Day]] &lt;&gt; "", YEAR(Table13[[#This Row],[Day]]), "")</f>
        <v/>
      </c>
      <c r="C1389" s="796"/>
      <c r="D1389" s="454"/>
      <c r="E1389" s="454"/>
      <c r="F1389" s="640"/>
      <c r="G1389" s="546"/>
      <c r="H1389" s="454"/>
      <c r="I1389" s="454"/>
      <c r="J138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0" spans="1:10" x14ac:dyDescent="0.25">
      <c r="A1390" s="796"/>
      <c r="B1390" s="454" t="str">
        <f>IF(Table13[[#This Row],[Day]] &lt;&gt; "", YEAR(Table13[[#This Row],[Day]]), "")</f>
        <v/>
      </c>
      <c r="C1390" s="796"/>
      <c r="D1390" s="454"/>
      <c r="E1390" s="454"/>
      <c r="F1390" s="640"/>
      <c r="G1390" s="546"/>
      <c r="H1390" s="454"/>
      <c r="I1390" s="454"/>
      <c r="J139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1" spans="1:10" x14ac:dyDescent="0.25">
      <c r="A1391" s="796"/>
      <c r="B1391" s="454" t="str">
        <f>IF(Table13[[#This Row],[Day]] &lt;&gt; "", YEAR(Table13[[#This Row],[Day]]), "")</f>
        <v/>
      </c>
      <c r="C1391" s="796"/>
      <c r="D1391" s="454"/>
      <c r="E1391" s="454"/>
      <c r="F1391" s="640"/>
      <c r="G1391" s="546"/>
      <c r="H1391" s="454"/>
      <c r="I1391" s="454"/>
      <c r="J139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2" spans="1:10" x14ac:dyDescent="0.25">
      <c r="A1392" s="796"/>
      <c r="B1392" s="454" t="str">
        <f>IF(Table13[[#This Row],[Day]] &lt;&gt; "", YEAR(Table13[[#This Row],[Day]]), "")</f>
        <v/>
      </c>
      <c r="C1392" s="796"/>
      <c r="D1392" s="454"/>
      <c r="E1392" s="454"/>
      <c r="F1392" s="640"/>
      <c r="G1392" s="546"/>
      <c r="H1392" s="454"/>
      <c r="I1392" s="454"/>
      <c r="J139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3" spans="1:10" x14ac:dyDescent="0.25">
      <c r="A1393" s="796"/>
      <c r="B1393" s="454" t="str">
        <f>IF(Table13[[#This Row],[Day]] &lt;&gt; "", YEAR(Table13[[#This Row],[Day]]), "")</f>
        <v/>
      </c>
      <c r="C1393" s="796"/>
      <c r="D1393" s="454"/>
      <c r="E1393" s="454"/>
      <c r="F1393" s="640"/>
      <c r="G1393" s="546"/>
      <c r="H1393" s="454"/>
      <c r="I1393" s="454"/>
      <c r="J139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4" spans="1:10" x14ac:dyDescent="0.25">
      <c r="A1394" s="796"/>
      <c r="B1394" s="454" t="str">
        <f>IF(Table13[[#This Row],[Day]] &lt;&gt; "", YEAR(Table13[[#This Row],[Day]]), "")</f>
        <v/>
      </c>
      <c r="C1394" s="796"/>
      <c r="D1394" s="454"/>
      <c r="E1394" s="454"/>
      <c r="F1394" s="640"/>
      <c r="G1394" s="546"/>
      <c r="H1394" s="454"/>
      <c r="I1394" s="454"/>
      <c r="J139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5" spans="1:10" x14ac:dyDescent="0.25">
      <c r="A1395" s="796"/>
      <c r="B1395" s="454" t="str">
        <f>IF(Table13[[#This Row],[Day]] &lt;&gt; "", YEAR(Table13[[#This Row],[Day]]), "")</f>
        <v/>
      </c>
      <c r="C1395" s="796"/>
      <c r="D1395" s="454"/>
      <c r="E1395" s="454"/>
      <c r="F1395" s="640"/>
      <c r="G1395" s="546"/>
      <c r="H1395" s="454"/>
      <c r="I1395" s="454"/>
      <c r="J139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6" spans="1:10" x14ac:dyDescent="0.25">
      <c r="A1396" s="796"/>
      <c r="B1396" s="454" t="str">
        <f>IF(Table13[[#This Row],[Day]] &lt;&gt; "", YEAR(Table13[[#This Row],[Day]]), "")</f>
        <v/>
      </c>
      <c r="C1396" s="796"/>
      <c r="D1396" s="454"/>
      <c r="E1396" s="454"/>
      <c r="F1396" s="640"/>
      <c r="G1396" s="546"/>
      <c r="H1396" s="454"/>
      <c r="I1396" s="454"/>
      <c r="J139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7" spans="1:10" x14ac:dyDescent="0.25">
      <c r="A1397" s="796"/>
      <c r="B1397" s="454" t="str">
        <f>IF(Table13[[#This Row],[Day]] &lt;&gt; "", YEAR(Table13[[#This Row],[Day]]), "")</f>
        <v/>
      </c>
      <c r="C1397" s="796"/>
      <c r="D1397" s="454"/>
      <c r="E1397" s="454"/>
      <c r="F1397" s="640"/>
      <c r="G1397" s="546"/>
      <c r="H1397" s="454"/>
      <c r="I1397" s="454"/>
      <c r="J139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8" spans="1:10" x14ac:dyDescent="0.25">
      <c r="A1398" s="796"/>
      <c r="B1398" s="454" t="str">
        <f>IF(Table13[[#This Row],[Day]] &lt;&gt; "", YEAR(Table13[[#This Row],[Day]]), "")</f>
        <v/>
      </c>
      <c r="C1398" s="796"/>
      <c r="D1398" s="454"/>
      <c r="E1398" s="454"/>
      <c r="F1398" s="640"/>
      <c r="G1398" s="546"/>
      <c r="H1398" s="454"/>
      <c r="I1398" s="454"/>
      <c r="J139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399" spans="1:10" x14ac:dyDescent="0.25">
      <c r="A1399" s="796"/>
      <c r="B1399" s="454" t="str">
        <f>IF(Table13[[#This Row],[Day]] &lt;&gt; "", YEAR(Table13[[#This Row],[Day]]), "")</f>
        <v/>
      </c>
      <c r="C1399" s="796"/>
      <c r="D1399" s="454"/>
      <c r="E1399" s="454"/>
      <c r="F1399" s="640"/>
      <c r="G1399" s="546"/>
      <c r="H1399" s="454"/>
      <c r="I1399" s="454"/>
      <c r="J139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0" spans="1:10" x14ac:dyDescent="0.25">
      <c r="A1400" s="796"/>
      <c r="B1400" s="454" t="str">
        <f>IF(Table13[[#This Row],[Day]] &lt;&gt; "", YEAR(Table13[[#This Row],[Day]]), "")</f>
        <v/>
      </c>
      <c r="C1400" s="796"/>
      <c r="D1400" s="454"/>
      <c r="E1400" s="454"/>
      <c r="F1400" s="640"/>
      <c r="G1400" s="546"/>
      <c r="H1400" s="454"/>
      <c r="I1400" s="454"/>
      <c r="J140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1" spans="1:10" x14ac:dyDescent="0.25">
      <c r="A1401" s="796"/>
      <c r="B1401" s="454" t="str">
        <f>IF(Table13[[#This Row],[Day]] &lt;&gt; "", YEAR(Table13[[#This Row],[Day]]), "")</f>
        <v/>
      </c>
      <c r="C1401" s="796"/>
      <c r="D1401" s="454"/>
      <c r="E1401" s="454"/>
      <c r="F1401" s="640"/>
      <c r="G1401" s="546"/>
      <c r="H1401" s="454"/>
      <c r="I1401" s="454"/>
      <c r="J140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2" spans="1:10" x14ac:dyDescent="0.25">
      <c r="A1402" s="796"/>
      <c r="B1402" s="454" t="str">
        <f>IF(Table13[[#This Row],[Day]] &lt;&gt; "", YEAR(Table13[[#This Row],[Day]]), "")</f>
        <v/>
      </c>
      <c r="C1402" s="796"/>
      <c r="D1402" s="454"/>
      <c r="E1402" s="454"/>
      <c r="F1402" s="640"/>
      <c r="G1402" s="546"/>
      <c r="H1402" s="454"/>
      <c r="I1402" s="454"/>
      <c r="J140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3" spans="1:10" x14ac:dyDescent="0.25">
      <c r="A1403" s="796"/>
      <c r="B1403" s="454" t="str">
        <f>IF(Table13[[#This Row],[Day]] &lt;&gt; "", YEAR(Table13[[#This Row],[Day]]), "")</f>
        <v/>
      </c>
      <c r="C1403" s="796"/>
      <c r="D1403" s="454"/>
      <c r="E1403" s="454"/>
      <c r="F1403" s="640"/>
      <c r="G1403" s="546"/>
      <c r="H1403" s="454"/>
      <c r="I1403" s="454"/>
      <c r="J140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4" spans="1:10" x14ac:dyDescent="0.25">
      <c r="A1404" s="796"/>
      <c r="B1404" s="454" t="str">
        <f>IF(Table13[[#This Row],[Day]] &lt;&gt; "", YEAR(Table13[[#This Row],[Day]]), "")</f>
        <v/>
      </c>
      <c r="C1404" s="796"/>
      <c r="D1404" s="454"/>
      <c r="E1404" s="454"/>
      <c r="F1404" s="640"/>
      <c r="G1404" s="546"/>
      <c r="H1404" s="454"/>
      <c r="I1404" s="454"/>
      <c r="J140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5" spans="1:10" x14ac:dyDescent="0.25">
      <c r="A1405" s="796"/>
      <c r="B1405" s="454" t="str">
        <f>IF(Table13[[#This Row],[Day]] &lt;&gt; "", YEAR(Table13[[#This Row],[Day]]), "")</f>
        <v/>
      </c>
      <c r="C1405" s="796"/>
      <c r="D1405" s="454"/>
      <c r="E1405" s="454"/>
      <c r="F1405" s="640"/>
      <c r="G1405" s="546"/>
      <c r="H1405" s="454"/>
      <c r="I1405" s="454"/>
      <c r="J140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6" spans="1:10" x14ac:dyDescent="0.25">
      <c r="A1406" s="796"/>
      <c r="B1406" s="454" t="str">
        <f>IF(Table13[[#This Row],[Day]] &lt;&gt; "", YEAR(Table13[[#This Row],[Day]]), "")</f>
        <v/>
      </c>
      <c r="C1406" s="796"/>
      <c r="D1406" s="454"/>
      <c r="E1406" s="454"/>
      <c r="F1406" s="640"/>
      <c r="G1406" s="546"/>
      <c r="H1406" s="454"/>
      <c r="I1406" s="454"/>
      <c r="J140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7" spans="1:10" x14ac:dyDescent="0.25">
      <c r="A1407" s="796"/>
      <c r="B1407" s="454" t="str">
        <f>IF(Table13[[#This Row],[Day]] &lt;&gt; "", YEAR(Table13[[#This Row],[Day]]), "")</f>
        <v/>
      </c>
      <c r="C1407" s="796"/>
      <c r="D1407" s="454"/>
      <c r="E1407" s="454"/>
      <c r="F1407" s="640"/>
      <c r="G1407" s="546"/>
      <c r="H1407" s="454"/>
      <c r="I1407" s="454"/>
      <c r="J140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8" spans="1:10" x14ac:dyDescent="0.25">
      <c r="A1408" s="796"/>
      <c r="B1408" s="454" t="str">
        <f>IF(Table13[[#This Row],[Day]] &lt;&gt; "", YEAR(Table13[[#This Row],[Day]]), "")</f>
        <v/>
      </c>
      <c r="C1408" s="796"/>
      <c r="D1408" s="454"/>
      <c r="E1408" s="454"/>
      <c r="F1408" s="640"/>
      <c r="G1408" s="546"/>
      <c r="H1408" s="454"/>
      <c r="I1408" s="454"/>
      <c r="J140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09" spans="1:10" x14ac:dyDescent="0.25">
      <c r="A1409" s="796"/>
      <c r="B1409" s="454" t="str">
        <f>IF(Table13[[#This Row],[Day]] &lt;&gt; "", YEAR(Table13[[#This Row],[Day]]), "")</f>
        <v/>
      </c>
      <c r="C1409" s="796"/>
      <c r="D1409" s="454"/>
      <c r="E1409" s="454"/>
      <c r="F1409" s="640"/>
      <c r="G1409" s="546"/>
      <c r="H1409" s="454"/>
      <c r="I1409" s="454"/>
      <c r="J140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0" spans="1:10" x14ac:dyDescent="0.25">
      <c r="A1410" s="796"/>
      <c r="B1410" s="454" t="str">
        <f>IF(Table13[[#This Row],[Day]] &lt;&gt; "", YEAR(Table13[[#This Row],[Day]]), "")</f>
        <v/>
      </c>
      <c r="C1410" s="796"/>
      <c r="D1410" s="454"/>
      <c r="E1410" s="454"/>
      <c r="F1410" s="640"/>
      <c r="G1410" s="546"/>
      <c r="H1410" s="454"/>
      <c r="I1410" s="454"/>
      <c r="J141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1" spans="1:10" x14ac:dyDescent="0.25">
      <c r="A1411" s="796"/>
      <c r="B1411" s="454" t="str">
        <f>IF(Table13[[#This Row],[Day]] &lt;&gt; "", YEAR(Table13[[#This Row],[Day]]), "")</f>
        <v/>
      </c>
      <c r="C1411" s="796"/>
      <c r="D1411" s="454"/>
      <c r="E1411" s="454"/>
      <c r="F1411" s="640"/>
      <c r="G1411" s="546"/>
      <c r="H1411" s="454"/>
      <c r="I1411" s="454"/>
      <c r="J141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2" spans="1:10" x14ac:dyDescent="0.25">
      <c r="A1412" s="796"/>
      <c r="B1412" s="454" t="str">
        <f>IF(Table13[[#This Row],[Day]] &lt;&gt; "", YEAR(Table13[[#This Row],[Day]]), "")</f>
        <v/>
      </c>
      <c r="C1412" s="796"/>
      <c r="D1412" s="454"/>
      <c r="E1412" s="454"/>
      <c r="F1412" s="640"/>
      <c r="G1412" s="546"/>
      <c r="H1412" s="454"/>
      <c r="I1412" s="454"/>
      <c r="J141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3" spans="1:10" x14ac:dyDescent="0.25">
      <c r="A1413" s="796"/>
      <c r="B1413" s="454" t="str">
        <f>IF(Table13[[#This Row],[Day]] &lt;&gt; "", YEAR(Table13[[#This Row],[Day]]), "")</f>
        <v/>
      </c>
      <c r="C1413" s="796"/>
      <c r="D1413" s="454"/>
      <c r="E1413" s="454"/>
      <c r="F1413" s="640"/>
      <c r="G1413" s="546"/>
      <c r="H1413" s="454"/>
      <c r="I1413" s="454"/>
      <c r="J141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4" spans="1:10" x14ac:dyDescent="0.25">
      <c r="A1414" s="796"/>
      <c r="B1414" s="454" t="str">
        <f>IF(Table13[[#This Row],[Day]] &lt;&gt; "", YEAR(Table13[[#This Row],[Day]]), "")</f>
        <v/>
      </c>
      <c r="C1414" s="796"/>
      <c r="D1414" s="454"/>
      <c r="E1414" s="454"/>
      <c r="F1414" s="640"/>
      <c r="G1414" s="546"/>
      <c r="H1414" s="454"/>
      <c r="I1414" s="454"/>
      <c r="J141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5" spans="1:10" x14ac:dyDescent="0.25">
      <c r="A1415" s="796"/>
      <c r="B1415" s="454" t="str">
        <f>IF(Table13[[#This Row],[Day]] &lt;&gt; "", YEAR(Table13[[#This Row],[Day]]), "")</f>
        <v/>
      </c>
      <c r="C1415" s="796"/>
      <c r="D1415" s="454"/>
      <c r="E1415" s="454"/>
      <c r="F1415" s="640"/>
      <c r="G1415" s="546"/>
      <c r="H1415" s="454"/>
      <c r="I1415" s="454"/>
      <c r="J141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6" spans="1:10" x14ac:dyDescent="0.25">
      <c r="A1416" s="796"/>
      <c r="B1416" s="454" t="str">
        <f>IF(Table13[[#This Row],[Day]] &lt;&gt; "", YEAR(Table13[[#This Row],[Day]]), "")</f>
        <v/>
      </c>
      <c r="C1416" s="796"/>
      <c r="D1416" s="454"/>
      <c r="E1416" s="454"/>
      <c r="F1416" s="640"/>
      <c r="G1416" s="546"/>
      <c r="H1416" s="454"/>
      <c r="I1416" s="454"/>
      <c r="J141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7" spans="1:10" x14ac:dyDescent="0.25">
      <c r="A1417" s="796"/>
      <c r="B1417" s="454" t="str">
        <f>IF(Table13[[#This Row],[Day]] &lt;&gt; "", YEAR(Table13[[#This Row],[Day]]), "")</f>
        <v/>
      </c>
      <c r="C1417" s="796"/>
      <c r="D1417" s="454"/>
      <c r="E1417" s="454"/>
      <c r="F1417" s="640"/>
      <c r="G1417" s="546"/>
      <c r="H1417" s="454"/>
      <c r="I1417" s="454"/>
      <c r="J141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8" spans="1:10" x14ac:dyDescent="0.25">
      <c r="A1418" s="796"/>
      <c r="B1418" s="454" t="str">
        <f>IF(Table13[[#This Row],[Day]] &lt;&gt; "", YEAR(Table13[[#This Row],[Day]]), "")</f>
        <v/>
      </c>
      <c r="C1418" s="796"/>
      <c r="D1418" s="454"/>
      <c r="E1418" s="454"/>
      <c r="F1418" s="640"/>
      <c r="G1418" s="546"/>
      <c r="H1418" s="454"/>
      <c r="I1418" s="454"/>
      <c r="J141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19" spans="1:10" x14ac:dyDescent="0.25">
      <c r="A1419" s="796"/>
      <c r="B1419" s="454" t="str">
        <f>IF(Table13[[#This Row],[Day]] &lt;&gt; "", YEAR(Table13[[#This Row],[Day]]), "")</f>
        <v/>
      </c>
      <c r="C1419" s="796"/>
      <c r="D1419" s="454"/>
      <c r="E1419" s="454"/>
      <c r="F1419" s="640"/>
      <c r="G1419" s="546"/>
      <c r="H1419" s="454"/>
      <c r="I1419" s="454"/>
      <c r="J141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0" spans="1:10" x14ac:dyDescent="0.25">
      <c r="A1420" s="796"/>
      <c r="B1420" s="454" t="str">
        <f>IF(Table13[[#This Row],[Day]] &lt;&gt; "", YEAR(Table13[[#This Row],[Day]]), "")</f>
        <v/>
      </c>
      <c r="C1420" s="796"/>
      <c r="D1420" s="454"/>
      <c r="E1420" s="454"/>
      <c r="F1420" s="640"/>
      <c r="G1420" s="546"/>
      <c r="H1420" s="454"/>
      <c r="I1420" s="454"/>
      <c r="J142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1" spans="1:10" x14ac:dyDescent="0.25">
      <c r="A1421" s="796"/>
      <c r="B1421" s="454" t="str">
        <f>IF(Table13[[#This Row],[Day]] &lt;&gt; "", YEAR(Table13[[#This Row],[Day]]), "")</f>
        <v/>
      </c>
      <c r="C1421" s="796"/>
      <c r="D1421" s="454"/>
      <c r="E1421" s="454"/>
      <c r="F1421" s="640"/>
      <c r="G1421" s="546"/>
      <c r="H1421" s="454"/>
      <c r="I1421" s="454"/>
      <c r="J142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2" spans="1:10" x14ac:dyDescent="0.25">
      <c r="A1422" s="796"/>
      <c r="B1422" s="454" t="str">
        <f>IF(Table13[[#This Row],[Day]] &lt;&gt; "", YEAR(Table13[[#This Row],[Day]]), "")</f>
        <v/>
      </c>
      <c r="C1422" s="796"/>
      <c r="D1422" s="454"/>
      <c r="E1422" s="454"/>
      <c r="F1422" s="640"/>
      <c r="G1422" s="546"/>
      <c r="H1422" s="454"/>
      <c r="I1422" s="454"/>
      <c r="J142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3" spans="1:10" x14ac:dyDescent="0.25">
      <c r="A1423" s="796"/>
      <c r="B1423" s="454" t="str">
        <f>IF(Table13[[#This Row],[Day]] &lt;&gt; "", YEAR(Table13[[#This Row],[Day]]), "")</f>
        <v/>
      </c>
      <c r="C1423" s="796"/>
      <c r="D1423" s="454"/>
      <c r="E1423" s="454"/>
      <c r="F1423" s="640"/>
      <c r="G1423" s="546"/>
      <c r="H1423" s="454"/>
      <c r="I1423" s="454"/>
      <c r="J142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4" spans="1:10" x14ac:dyDescent="0.25">
      <c r="A1424" s="796"/>
      <c r="B1424" s="454" t="str">
        <f>IF(Table13[[#This Row],[Day]] &lt;&gt; "", YEAR(Table13[[#This Row],[Day]]), "")</f>
        <v/>
      </c>
      <c r="C1424" s="796"/>
      <c r="D1424" s="454"/>
      <c r="E1424" s="454"/>
      <c r="F1424" s="640"/>
      <c r="G1424" s="546"/>
      <c r="H1424" s="454"/>
      <c r="I1424" s="454"/>
      <c r="J142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5" spans="1:10" x14ac:dyDescent="0.25">
      <c r="A1425" s="796"/>
      <c r="B1425" s="454" t="str">
        <f>IF(Table13[[#This Row],[Day]] &lt;&gt; "", YEAR(Table13[[#This Row],[Day]]), "")</f>
        <v/>
      </c>
      <c r="C1425" s="796"/>
      <c r="D1425" s="454"/>
      <c r="E1425" s="454"/>
      <c r="F1425" s="640"/>
      <c r="G1425" s="546"/>
      <c r="H1425" s="454"/>
      <c r="I1425" s="454"/>
      <c r="J142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6" spans="1:10" x14ac:dyDescent="0.25">
      <c r="A1426" s="796"/>
      <c r="B1426" s="454" t="str">
        <f>IF(Table13[[#This Row],[Day]] &lt;&gt; "", YEAR(Table13[[#This Row],[Day]]), "")</f>
        <v/>
      </c>
      <c r="C1426" s="796"/>
      <c r="D1426" s="454"/>
      <c r="E1426" s="454"/>
      <c r="F1426" s="640"/>
      <c r="G1426" s="546"/>
      <c r="H1426" s="454"/>
      <c r="I1426" s="454"/>
      <c r="J142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7" spans="1:10" x14ac:dyDescent="0.25">
      <c r="A1427" s="796"/>
      <c r="B1427" s="454" t="str">
        <f>IF(Table13[[#This Row],[Day]] &lt;&gt; "", YEAR(Table13[[#This Row],[Day]]), "")</f>
        <v/>
      </c>
      <c r="C1427" s="796"/>
      <c r="D1427" s="454"/>
      <c r="E1427" s="454"/>
      <c r="F1427" s="640"/>
      <c r="G1427" s="546"/>
      <c r="H1427" s="454"/>
      <c r="I1427" s="454"/>
      <c r="J142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8" spans="1:10" x14ac:dyDescent="0.25">
      <c r="A1428" s="796"/>
      <c r="B1428" s="454" t="str">
        <f>IF(Table13[[#This Row],[Day]] &lt;&gt; "", YEAR(Table13[[#This Row],[Day]]), "")</f>
        <v/>
      </c>
      <c r="C1428" s="796"/>
      <c r="D1428" s="454"/>
      <c r="E1428" s="454"/>
      <c r="F1428" s="640"/>
      <c r="G1428" s="546"/>
      <c r="H1428" s="454"/>
      <c r="I1428" s="454"/>
      <c r="J142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29" spans="1:10" x14ac:dyDescent="0.25">
      <c r="A1429" s="796"/>
      <c r="B1429" s="454" t="str">
        <f>IF(Table13[[#This Row],[Day]] &lt;&gt; "", YEAR(Table13[[#This Row],[Day]]), "")</f>
        <v/>
      </c>
      <c r="C1429" s="796"/>
      <c r="D1429" s="454"/>
      <c r="E1429" s="454"/>
      <c r="F1429" s="640"/>
      <c r="G1429" s="546"/>
      <c r="H1429" s="454"/>
      <c r="I1429" s="454"/>
      <c r="J142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0" spans="1:10" x14ac:dyDescent="0.25">
      <c r="A1430" s="796"/>
      <c r="B1430" s="454" t="str">
        <f>IF(Table13[[#This Row],[Day]] &lt;&gt; "", YEAR(Table13[[#This Row],[Day]]), "")</f>
        <v/>
      </c>
      <c r="C1430" s="796"/>
      <c r="D1430" s="454"/>
      <c r="E1430" s="454"/>
      <c r="F1430" s="640"/>
      <c r="G1430" s="546"/>
      <c r="H1430" s="454"/>
      <c r="I1430" s="454"/>
      <c r="J143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1" spans="1:10" x14ac:dyDescent="0.25">
      <c r="A1431" s="796"/>
      <c r="B1431" s="454" t="str">
        <f>IF(Table13[[#This Row],[Day]] &lt;&gt; "", YEAR(Table13[[#This Row],[Day]]), "")</f>
        <v/>
      </c>
      <c r="C1431" s="796"/>
      <c r="D1431" s="454"/>
      <c r="E1431" s="454"/>
      <c r="F1431" s="640"/>
      <c r="G1431" s="546"/>
      <c r="H1431" s="454"/>
      <c r="I1431" s="454"/>
      <c r="J143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2" spans="1:10" x14ac:dyDescent="0.25">
      <c r="A1432" s="796"/>
      <c r="B1432" s="454" t="str">
        <f>IF(Table13[[#This Row],[Day]] &lt;&gt; "", YEAR(Table13[[#This Row],[Day]]), "")</f>
        <v/>
      </c>
      <c r="C1432" s="796"/>
      <c r="D1432" s="454"/>
      <c r="E1432" s="454"/>
      <c r="F1432" s="640"/>
      <c r="G1432" s="546"/>
      <c r="H1432" s="454"/>
      <c r="I1432" s="454"/>
      <c r="J143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3" spans="1:10" x14ac:dyDescent="0.25">
      <c r="A1433" s="796"/>
      <c r="B1433" s="454" t="str">
        <f>IF(Table13[[#This Row],[Day]] &lt;&gt; "", YEAR(Table13[[#This Row],[Day]]), "")</f>
        <v/>
      </c>
      <c r="C1433" s="796"/>
      <c r="D1433" s="454"/>
      <c r="E1433" s="454"/>
      <c r="F1433" s="640"/>
      <c r="G1433" s="546"/>
      <c r="H1433" s="454"/>
      <c r="I1433" s="454"/>
      <c r="J143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4" spans="1:10" x14ac:dyDescent="0.25">
      <c r="A1434" s="796"/>
      <c r="B1434" s="454" t="str">
        <f>IF(Table13[[#This Row],[Day]] &lt;&gt; "", YEAR(Table13[[#This Row],[Day]]), "")</f>
        <v/>
      </c>
      <c r="C1434" s="796"/>
      <c r="D1434" s="454"/>
      <c r="E1434" s="454"/>
      <c r="F1434" s="640"/>
      <c r="G1434" s="546"/>
      <c r="H1434" s="454"/>
      <c r="I1434" s="454"/>
      <c r="J143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5" spans="1:10" x14ac:dyDescent="0.25">
      <c r="A1435" s="796"/>
      <c r="B1435" s="454" t="str">
        <f>IF(Table13[[#This Row],[Day]] &lt;&gt; "", YEAR(Table13[[#This Row],[Day]]), "")</f>
        <v/>
      </c>
      <c r="C1435" s="796"/>
      <c r="D1435" s="454"/>
      <c r="E1435" s="454"/>
      <c r="F1435" s="640"/>
      <c r="G1435" s="546"/>
      <c r="H1435" s="454"/>
      <c r="I1435" s="454"/>
      <c r="J143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6" spans="1:10" x14ac:dyDescent="0.25">
      <c r="A1436" s="796"/>
      <c r="B1436" s="454" t="str">
        <f>IF(Table13[[#This Row],[Day]] &lt;&gt; "", YEAR(Table13[[#This Row],[Day]]), "")</f>
        <v/>
      </c>
      <c r="C1436" s="796"/>
      <c r="D1436" s="454"/>
      <c r="E1436" s="454"/>
      <c r="F1436" s="640"/>
      <c r="G1436" s="546"/>
      <c r="H1436" s="454"/>
      <c r="I1436" s="454"/>
      <c r="J143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7" spans="1:10" x14ac:dyDescent="0.25">
      <c r="A1437" s="796"/>
      <c r="B1437" s="454" t="str">
        <f>IF(Table13[[#This Row],[Day]] &lt;&gt; "", YEAR(Table13[[#This Row],[Day]]), "")</f>
        <v/>
      </c>
      <c r="C1437" s="796"/>
      <c r="D1437" s="454"/>
      <c r="E1437" s="454"/>
      <c r="F1437" s="640"/>
      <c r="G1437" s="546"/>
      <c r="H1437" s="454"/>
      <c r="I1437" s="454"/>
      <c r="J143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8" spans="1:10" x14ac:dyDescent="0.25">
      <c r="A1438" s="796"/>
      <c r="B1438" s="454" t="str">
        <f>IF(Table13[[#This Row],[Day]] &lt;&gt; "", YEAR(Table13[[#This Row],[Day]]), "")</f>
        <v/>
      </c>
      <c r="C1438" s="796"/>
      <c r="D1438" s="454"/>
      <c r="E1438" s="454"/>
      <c r="F1438" s="640"/>
      <c r="G1438" s="546"/>
      <c r="H1438" s="454"/>
      <c r="I1438" s="454"/>
      <c r="J1438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39" spans="1:10" x14ac:dyDescent="0.25">
      <c r="A1439" s="796"/>
      <c r="B1439" s="454" t="str">
        <f>IF(Table13[[#This Row],[Day]] &lt;&gt; "", YEAR(Table13[[#This Row],[Day]]), "")</f>
        <v/>
      </c>
      <c r="C1439" s="796"/>
      <c r="D1439" s="454"/>
      <c r="E1439" s="454"/>
      <c r="F1439" s="640"/>
      <c r="G1439" s="546"/>
      <c r="H1439" s="454"/>
      <c r="I1439" s="454"/>
      <c r="J1439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0" spans="1:10" x14ac:dyDescent="0.25">
      <c r="A1440" s="796"/>
      <c r="B1440" s="454" t="str">
        <f>IF(Table13[[#This Row],[Day]] &lt;&gt; "", YEAR(Table13[[#This Row],[Day]]), "")</f>
        <v/>
      </c>
      <c r="C1440" s="796"/>
      <c r="D1440" s="454"/>
      <c r="E1440" s="454"/>
      <c r="F1440" s="640"/>
      <c r="G1440" s="546"/>
      <c r="H1440" s="454"/>
      <c r="I1440" s="454"/>
      <c r="J1440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1" spans="1:10" x14ac:dyDescent="0.25">
      <c r="A1441" s="796"/>
      <c r="B1441" s="454" t="str">
        <f>IF(Table13[[#This Row],[Day]] &lt;&gt; "", YEAR(Table13[[#This Row],[Day]]), "")</f>
        <v/>
      </c>
      <c r="C1441" s="796"/>
      <c r="D1441" s="454"/>
      <c r="E1441" s="454"/>
      <c r="F1441" s="640"/>
      <c r="G1441" s="546"/>
      <c r="H1441" s="454"/>
      <c r="I1441" s="454"/>
      <c r="J1441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2" spans="1:10" x14ac:dyDescent="0.25">
      <c r="A1442" s="796"/>
      <c r="B1442" s="454" t="str">
        <f>IF(Table13[[#This Row],[Day]] &lt;&gt; "", YEAR(Table13[[#This Row],[Day]]), "")</f>
        <v/>
      </c>
      <c r="C1442" s="796"/>
      <c r="D1442" s="454"/>
      <c r="E1442" s="454"/>
      <c r="F1442" s="640"/>
      <c r="G1442" s="546"/>
      <c r="H1442" s="454"/>
      <c r="I1442" s="454"/>
      <c r="J1442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3" spans="1:10" x14ac:dyDescent="0.25">
      <c r="A1443" s="796"/>
      <c r="B1443" s="454" t="str">
        <f>IF(Table13[[#This Row],[Day]] &lt;&gt; "", YEAR(Table13[[#This Row],[Day]]), "")</f>
        <v/>
      </c>
      <c r="C1443" s="796"/>
      <c r="D1443" s="454"/>
      <c r="E1443" s="454"/>
      <c r="F1443" s="640"/>
      <c r="G1443" s="546"/>
      <c r="H1443" s="454"/>
      <c r="I1443" s="454"/>
      <c r="J1443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4" spans="1:10" x14ac:dyDescent="0.25">
      <c r="A1444" s="796"/>
      <c r="B1444" s="454" t="str">
        <f>IF(Table13[[#This Row],[Day]] &lt;&gt; "", YEAR(Table13[[#This Row],[Day]]), "")</f>
        <v/>
      </c>
      <c r="C1444" s="796"/>
      <c r="D1444" s="454"/>
      <c r="E1444" s="454"/>
      <c r="F1444" s="640"/>
      <c r="G1444" s="546"/>
      <c r="H1444" s="454"/>
      <c r="I1444" s="454"/>
      <c r="J1444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5" spans="1:10" x14ac:dyDescent="0.25">
      <c r="A1445" s="796"/>
      <c r="B1445" s="454" t="str">
        <f>IF(Table13[[#This Row],[Day]] &lt;&gt; "", YEAR(Table13[[#This Row],[Day]]), "")</f>
        <v/>
      </c>
      <c r="C1445" s="796"/>
      <c r="D1445" s="454"/>
      <c r="E1445" s="454"/>
      <c r="F1445" s="640"/>
      <c r="G1445" s="546"/>
      <c r="H1445" s="454"/>
      <c r="I1445" s="454"/>
      <c r="J1445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6" spans="1:10" x14ac:dyDescent="0.25">
      <c r="A1446" s="796"/>
      <c r="B1446" s="454" t="str">
        <f>IF(Table13[[#This Row],[Day]] &lt;&gt; "", YEAR(Table13[[#This Row],[Day]]), "")</f>
        <v/>
      </c>
      <c r="C1446" s="796"/>
      <c r="D1446" s="454"/>
      <c r="E1446" s="454"/>
      <c r="F1446" s="640"/>
      <c r="G1446" s="546"/>
      <c r="H1446" s="454"/>
      <c r="I1446" s="454"/>
      <c r="J1446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7" spans="1:10" x14ac:dyDescent="0.25">
      <c r="A1447" s="796"/>
      <c r="B1447" s="454" t="str">
        <f>IF(Table13[[#This Row],[Day]] &lt;&gt; "", YEAR(Table13[[#This Row],[Day]]), "")</f>
        <v/>
      </c>
      <c r="C1447" s="796"/>
      <c r="D1447" s="454"/>
      <c r="E1447" s="454"/>
      <c r="F1447" s="640"/>
      <c r="G1447" s="546"/>
      <c r="H1447" s="454"/>
      <c r="I1447" s="454"/>
      <c r="J1447" s="640" t="str">
        <f>IFERROR(INDEX(Table19[], MATCH(Table13[[#This Row],[Broker]]&amp;"_"&amp;Table13[[#This Row],[Index]], Table19[Key],0), MATCH("Commission", Table19[#Headers], 0)) * ABS(Table13[[#This Row],[Lots]]), "")</f>
        <v/>
      </c>
    </row>
    <row r="1448" spans="1:10" x14ac:dyDescent="0.25">
      <c r="A1448" s="796"/>
      <c r="B1448" s="454" t="str">
        <f>IF(Table13[[#This Row],[Day]] &lt;&gt; "", YEAR(Table13[[#This Row],[Day]]), "")</f>
        <v/>
      </c>
      <c r="C1448" s="796"/>
      <c r="D1448" s="454"/>
      <c r="E1448" s="454"/>
      <c r="F1448" s="640"/>
      <c r="G1448" s="546"/>
      <c r="H1448" s="454"/>
      <c r="I1448" s="454"/>
      <c r="J1448" s="640" t="str">
        <f>IFERROR(INDEX(Table19[], MATCH(Table13[[#This Row],[Broker]]&amp;"_"&amp;Table13[[#This Row],[Index]], Table19[Key],0), MATCH("Commission", Table19[#Headers], 0)) * ABS(Table13[[#This Row],[Lots]]), "")</f>
        <v/>
      </c>
    </row>
  </sheetData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210430E-3AD3-4F8E-8809-F6B46B93896C}">
          <x14:formula1>
            <xm:f>Refs!$T$2:$T$33</xm:f>
          </x14:formula1>
          <xm:sqref>D161 D168:D179 D183:D189 D191:D194 D196 D198:D209 D211:D223 D225:D234 D236:D242 D244:D250 D252 D254:D256 D258:D260 D301:D318 D271:D276 D278:D280 D299 D265:D269 D320:D348 D355:D359 D370:D379 D459 D485 D520 D553</xm:sqref>
        </x14:dataValidation>
        <x14:dataValidation type="list" allowBlank="1" showInputMessage="1" showErrorMessage="1" xr:uid="{6AE9DF70-A626-4406-B6AB-655CE322CF12}">
          <x14:formula1>
            <xm:f>Refs!$T$2:$T$36</xm:f>
          </x14:formula1>
          <xm:sqref>D253 D257 D264 D270 D277 D300</xm:sqref>
        </x14:dataValidation>
        <x14:dataValidation type="list" allowBlank="1" showInputMessage="1" showErrorMessage="1" xr:uid="{DD2BB226-F982-49B0-9661-3C7269062B6A}">
          <x14:formula1>
            <xm:f>Refs!$T$2:$T$105</xm:f>
          </x14:formula1>
          <xm:sqref>D384:D393 D400:D404 D406:D407 D409:D416 D418:D424 D428:D450 D453:D457 D477:D478 D460:D470 D486:D519 D481:D484 D521:D522 D530:D532 D536:D552 D554:D555 D561:D565 D570:D575 D596:D597 D601:D603 D862 D868 D939</xm:sqref>
        </x14:dataValidation>
        <x14:dataValidation type="list" allowBlank="1" showInputMessage="1" showErrorMessage="1" xr:uid="{1740278F-146D-4FF1-92CA-1FD1930DC2E3}">
          <x14:formula1>
            <xm:f>Refs!$T$2:$T$116</xm:f>
          </x14:formula1>
          <xm:sqref>D577 D594:D595 D599:D600 D604:D614 D756:D761 D617:D754 D763:D773 D784 D790 D794 D797:D800 D807 D809:D815 D775:D782 D787:D788 D817:D836 D846:D847 D896 D901:D903 D911 D915:D916 D922</xm:sqref>
        </x14:dataValidation>
        <x14:dataValidation type="list" allowBlank="1" showInputMessage="1" showErrorMessage="1" xr:uid="{A3DCBE66-E9C1-4292-8D39-15522A2EBECF}">
          <x14:formula1>
            <xm:f>Refs!$T$2:$T$121</xm:f>
          </x14:formula1>
          <xm:sqref>D774 D783 D791:D793 D801:D806 D816 D785:D786 D789 D795:D796 D851 D861 D867 D876:D877 D879:D880 D956:D960 D965:D981 D990 D992:D1000 D1003:D1004 D1007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CDB7F-ABE9-499C-B672-1240E144D189}">
  <sheetPr codeName="Sheet19">
    <tabColor theme="1" tint="4.9989318521683403E-2"/>
    <pageSetUpPr autoPageBreaks="0"/>
  </sheetPr>
  <dimension ref="A1:AU306"/>
  <sheetViews>
    <sheetView topLeftCell="A130" workbookViewId="0">
      <selection activeCell="D141" sqref="D141:G150"/>
    </sheetView>
  </sheetViews>
  <sheetFormatPr defaultColWidth="9.140625" defaultRowHeight="15" x14ac:dyDescent="0.25"/>
  <cols>
    <col min="1" max="1" width="11.5703125" style="445" customWidth="1"/>
    <col min="2" max="2" width="6" style="445" customWidth="1"/>
    <col min="3" max="4" width="9.140625" style="666"/>
    <col min="5" max="5" width="10.140625" style="449" bestFit="1" customWidth="1"/>
    <col min="6" max="7" width="9.140625" style="449"/>
    <col min="8" max="8" width="9.140625" style="97"/>
    <col min="9" max="9" width="9.140625" style="591"/>
    <col min="10" max="10" width="9.140625" style="592"/>
    <col min="11" max="11" width="9.140625" style="553"/>
    <col min="12" max="12" width="9.140625" style="449"/>
    <col min="13" max="13" width="9" style="591"/>
    <col min="14" max="14" width="9.140625" style="446"/>
    <col min="15" max="15" width="9" style="97" customWidth="1"/>
    <col min="16" max="36" width="9.140625" style="97"/>
    <col min="37" max="37" width="11.42578125" style="97" customWidth="1"/>
    <col min="38" max="16384" width="9.140625" style="97"/>
  </cols>
  <sheetData>
    <row r="1" spans="1:47" x14ac:dyDescent="0.25">
      <c r="A1" s="443" t="s">
        <v>233</v>
      </c>
      <c r="B1" s="560"/>
      <c r="C1" s="657"/>
      <c r="D1" s="657"/>
      <c r="E1" s="448"/>
      <c r="F1" s="448"/>
      <c r="G1" s="448"/>
      <c r="H1" s="448"/>
      <c r="I1" s="448"/>
      <c r="J1" s="566"/>
      <c r="K1" s="549"/>
      <c r="L1" s="448"/>
      <c r="M1" s="448"/>
      <c r="N1" s="97"/>
    </row>
    <row r="2" spans="1:47" x14ac:dyDescent="0.25">
      <c r="A2" s="408" t="s">
        <v>234</v>
      </c>
      <c r="B2" s="408" t="s">
        <v>235</v>
      </c>
      <c r="C2" s="658" t="s">
        <v>236</v>
      </c>
      <c r="D2" s="658" t="s">
        <v>237</v>
      </c>
      <c r="E2" s="421" t="s">
        <v>238</v>
      </c>
      <c r="F2" s="421" t="s">
        <v>239</v>
      </c>
      <c r="G2" s="421" t="s">
        <v>240</v>
      </c>
      <c r="H2" s="421" t="s">
        <v>241</v>
      </c>
      <c r="I2" s="421" t="s">
        <v>242</v>
      </c>
      <c r="J2" s="567" t="s">
        <v>243</v>
      </c>
      <c r="K2" s="550" t="s">
        <v>244</v>
      </c>
      <c r="L2" s="421" t="s">
        <v>245</v>
      </c>
      <c r="M2" s="421" t="s">
        <v>246</v>
      </c>
      <c r="N2" s="97"/>
    </row>
    <row r="3" spans="1:47" x14ac:dyDescent="0.25">
      <c r="A3" s="440">
        <v>45915</v>
      </c>
      <c r="B3" s="293">
        <v>1</v>
      </c>
      <c r="C3" s="659">
        <v>7</v>
      </c>
      <c r="D3" s="660">
        <f>IF(AND(ISNUMBER(Table15[[#This Row],[pnl_ym]]), ISNUMBER(Table15[[#This Row],[pnl_am]])), (Table15[[#This Row],[pnl_ym]]+Table15[[#This Row],[pnl_am]])/1000, NA())</f>
        <v>6.8250000000000002</v>
      </c>
      <c r="E3" s="589">
        <v>5804</v>
      </c>
      <c r="F3" s="589">
        <v>1021</v>
      </c>
      <c r="G3" s="423"/>
      <c r="H3" s="423"/>
      <c r="I3" s="450"/>
      <c r="J3" s="568">
        <f>Table15[[#This Row],[pnl_official]]-Table15[[#This Row],[pnl_est]]</f>
        <v>-0.17499999999999982</v>
      </c>
      <c r="K3" s="548">
        <f>Table15[[#This Row],[pnl_ym]]/Table15[[#This Row],[pnl_am]]</f>
        <v>5.6846229187071495</v>
      </c>
      <c r="L3" s="450">
        <f>IF(Table15[[#This Row],[pnl_official]]&lt;&gt;"", Table15[[#This Row],[pnl_official]]-MAX($D$3:$D3), NA())</f>
        <v>0</v>
      </c>
      <c r="M3" s="450">
        <f>IF(Table15[[#This Row],[pnl_official]]&lt;&gt;"", IF(Table15[[#This Row],[pnl_official]]&gt;0, 0, Table15[[#This Row],[pnl_official]]), NA())</f>
        <v>0</v>
      </c>
      <c r="N3" s="97"/>
    </row>
    <row r="4" spans="1:47" x14ac:dyDescent="0.25">
      <c r="A4" s="440">
        <v>45916</v>
      </c>
      <c r="B4" s="293">
        <v>2</v>
      </c>
      <c r="C4" s="659">
        <v>-13</v>
      </c>
      <c r="D4" s="660">
        <f>IF(AND(ISNUMBER(Table15[[#This Row],[pnl_ym]]), ISNUMBER(Table15[[#This Row],[pnl_am]])), (Table15[[#This Row],[pnl_ym]]+Table15[[#This Row],[pnl_am]])/1000, NA())</f>
        <v>1.3839999999999999</v>
      </c>
      <c r="E4" s="589">
        <v>1179</v>
      </c>
      <c r="F4" s="589">
        <v>205</v>
      </c>
      <c r="G4" s="423">
        <f>IF(Table15[[#This Row],[pnl_est]] &lt;&gt; "", Table15[[#This Row],[pnl_est]]-$C3, NA())</f>
        <v>-20</v>
      </c>
      <c r="H4" s="423">
        <f>IF(Table15[[#This Row],[pnl_official]] &lt;&gt; "", Table15[[#This Row],[pnl_official]]-D3, NA())</f>
        <v>-5.4410000000000007</v>
      </c>
      <c r="I4" s="450"/>
      <c r="J4" s="568">
        <f>Table15[[#This Row],[pnl_official]]-Table15[[#This Row],[pnl_est]]</f>
        <v>14.384</v>
      </c>
      <c r="K4" s="548">
        <f>Table15[[#This Row],[pnl_ym]]/Table15[[#This Row],[pnl_am]]</f>
        <v>5.7512195121951217</v>
      </c>
      <c r="L4" s="450">
        <f>IF(Table15[[#This Row],[pnl_official]]&lt;&gt;"", Table15[[#This Row],[pnl_official]]-MAX($D$3:$D4), NA())</f>
        <v>-5.4410000000000007</v>
      </c>
      <c r="M4" s="450">
        <f>IF(Table15[[#This Row],[pnl_official]]&lt;&gt;"", IF(Table15[[#This Row],[pnl_official]]&gt;0, 0, Table15[[#This Row],[pnl_official]]), NA())</f>
        <v>0</v>
      </c>
      <c r="N4" s="97"/>
    </row>
    <row r="5" spans="1:47" x14ac:dyDescent="0.25">
      <c r="A5" s="440">
        <v>45917</v>
      </c>
      <c r="B5" s="293">
        <v>3</v>
      </c>
      <c r="C5" s="659">
        <v>30</v>
      </c>
      <c r="D5" s="660">
        <f>IF(AND(ISNUMBER(Table15[[#This Row],[pnl_ym]]), ISNUMBER(Table15[[#This Row],[pnl_am]])), (Table15[[#This Row],[pnl_ym]]+Table15[[#This Row],[pnl_am]])/1000, NA())</f>
        <v>-6.1870000000000003</v>
      </c>
      <c r="E5" s="589">
        <v>-5256</v>
      </c>
      <c r="F5" s="589">
        <v>-931</v>
      </c>
      <c r="G5" s="423">
        <f>IF(Table15[[#This Row],[pnl_est]] &lt;&gt; "", Table15[[#This Row],[pnl_est]]-$C4, NA())</f>
        <v>43</v>
      </c>
      <c r="H5" s="423">
        <f>IF(Table15[[#This Row],[pnl_official]] &lt;&gt; "", Table15[[#This Row],[pnl_official]]-D4, NA())</f>
        <v>-7.5709999999999997</v>
      </c>
      <c r="I5" s="450"/>
      <c r="J5" s="568">
        <f>Table15[[#This Row],[pnl_official]]-Table15[[#This Row],[pnl_est]]</f>
        <v>-36.186999999999998</v>
      </c>
      <c r="K5" s="548">
        <f>Table15[[#This Row],[pnl_ym]]/Table15[[#This Row],[pnl_am]]</f>
        <v>5.6455424274973147</v>
      </c>
      <c r="L5" s="450">
        <f>IF(Table15[[#This Row],[pnl_official]]&lt;&gt;"", Table15[[#This Row],[pnl_official]]-MAX($D$3:$D5), NA())</f>
        <v>-13.012</v>
      </c>
      <c r="M5" s="450">
        <f>IF(Table15[[#This Row],[pnl_official]]&lt;&gt;"", IF(Table15[[#This Row],[pnl_official]]&gt;0, 0, Table15[[#This Row],[pnl_official]]), NA())</f>
        <v>-6.1870000000000003</v>
      </c>
      <c r="N5" s="97"/>
    </row>
    <row r="6" spans="1:47" x14ac:dyDescent="0.25">
      <c r="A6" s="440">
        <v>45919</v>
      </c>
      <c r="B6" s="293">
        <v>4</v>
      </c>
      <c r="C6" s="661">
        <v>16</v>
      </c>
      <c r="D6" s="660">
        <f>IF(AND(ISNUMBER(Table15[[#This Row],[pnl_ym]]), ISNUMBER(Table15[[#This Row],[pnl_am]])), (Table15[[#This Row],[pnl_ym]]+Table15[[#This Row],[pnl_am]])/1000, NA())</f>
        <v>-30.414000000000001</v>
      </c>
      <c r="E6" s="589">
        <v>-25625</v>
      </c>
      <c r="F6" s="589">
        <v>-4789</v>
      </c>
      <c r="G6" s="423">
        <f>IF(Table15[[#This Row],[pnl_est]] &lt;&gt; "", Table15[[#This Row],[pnl_est]]-$C5, NA())</f>
        <v>-14</v>
      </c>
      <c r="H6" s="423">
        <f>IF(Table15[[#This Row],[pnl_official]] &lt;&gt; "", Table15[[#This Row],[pnl_official]]-D5, NA())</f>
        <v>-24.227</v>
      </c>
      <c r="I6" s="450"/>
      <c r="J6" s="568">
        <f>Table15[[#This Row],[pnl_official]]-Table15[[#This Row],[pnl_est]]</f>
        <v>-46.414000000000001</v>
      </c>
      <c r="K6" s="548">
        <f>Table15[[#This Row],[pnl_ym]]/Table15[[#This Row],[pnl_am]]</f>
        <v>5.3508039256629774</v>
      </c>
      <c r="L6" s="450">
        <f>IF(Table15[[#This Row],[pnl_official]]&lt;&gt;"", Table15[[#This Row],[pnl_official]]-MAX($D$3:$D6), NA())</f>
        <v>-37.239000000000004</v>
      </c>
      <c r="M6" s="450">
        <f>IF(Table15[[#This Row],[pnl_official]]&lt;&gt;"", IF(Table15[[#This Row],[pnl_official]]&gt;0, 0, Table15[[#This Row],[pnl_official]]), NA())</f>
        <v>-30.414000000000001</v>
      </c>
      <c r="N6" s="97"/>
    </row>
    <row r="7" spans="1:47" x14ac:dyDescent="0.25">
      <c r="A7" s="440">
        <v>45922</v>
      </c>
      <c r="B7" s="293">
        <v>5</v>
      </c>
      <c r="C7" s="661">
        <v>-178</v>
      </c>
      <c r="D7" s="660">
        <f>IF(AND(ISNUMBER(Table15[[#This Row],[pnl_ym]]), ISNUMBER(Table15[[#This Row],[pnl_am]])), (Table15[[#This Row],[pnl_ym]]+Table15[[#This Row],[pnl_am]])/1000, NA())</f>
        <v>-215.053</v>
      </c>
      <c r="E7" s="589">
        <v>-182860</v>
      </c>
      <c r="F7" s="589">
        <v>-32193</v>
      </c>
      <c r="G7" s="423">
        <f>IF(Table15[[#This Row],[pnl_est]] &lt;&gt; "", Table15[[#This Row],[pnl_est]]-$C6, NA())</f>
        <v>-194</v>
      </c>
      <c r="H7" s="423">
        <f>IF(Table15[[#This Row],[pnl_official]] &lt;&gt; "", Table15[[#This Row],[pnl_official]]-D6, NA())</f>
        <v>-184.63900000000001</v>
      </c>
      <c r="I7" s="450"/>
      <c r="J7" s="568">
        <f>Table15[[#This Row],[pnl_official]]-Table15[[#This Row],[pnl_est]]</f>
        <v>-37.052999999999997</v>
      </c>
      <c r="K7" s="548">
        <f>Table15[[#This Row],[pnl_ym]]/Table15[[#This Row],[pnl_am]]</f>
        <v>5.6801167955766783</v>
      </c>
      <c r="L7" s="450">
        <f>IF(Table15[[#This Row],[pnl_official]]&lt;&gt;"", Table15[[#This Row],[pnl_official]]-MAX($D$3:$D7), NA())</f>
        <v>-221.87799999999999</v>
      </c>
      <c r="M7" s="450">
        <f>IF(Table15[[#This Row],[pnl_official]]&lt;&gt;"", IF(Table15[[#This Row],[pnl_official]]&gt;0, 0, Table15[[#This Row],[pnl_official]]), NA())</f>
        <v>-215.053</v>
      </c>
      <c r="N7" s="97"/>
    </row>
    <row r="8" spans="1:47" x14ac:dyDescent="0.25">
      <c r="A8" s="440">
        <v>45923</v>
      </c>
      <c r="B8" s="293">
        <v>6</v>
      </c>
      <c r="C8" s="661">
        <v>627</v>
      </c>
      <c r="D8" s="660">
        <f>IF(AND(ISNUMBER(Table15[[#This Row],[pnl_ym]]), ISNUMBER(Table15[[#This Row],[pnl_am]])), (Table15[[#This Row],[pnl_ym]]+Table15[[#This Row],[pnl_am]])/1000, NA())</f>
        <v>703.73599999999999</v>
      </c>
      <c r="E8" s="589">
        <v>595546</v>
      </c>
      <c r="F8" s="589">
        <v>108190</v>
      </c>
      <c r="G8" s="423">
        <f>IF(Table15[[#This Row],[pnl_est]] &lt;&gt; "", Table15[[#This Row],[pnl_est]]-$C7, NA())</f>
        <v>805</v>
      </c>
      <c r="H8" s="423">
        <f>IF(Table15[[#This Row],[pnl_official]] &lt;&gt; "", Table15[[#This Row],[pnl_official]]-D7, NA())</f>
        <v>918.78899999999999</v>
      </c>
      <c r="I8" s="450"/>
      <c r="J8" s="568">
        <f>Table15[[#This Row],[pnl_official]]-Table15[[#This Row],[pnl_est]]</f>
        <v>76.73599999999999</v>
      </c>
      <c r="K8" s="548">
        <f>Table15[[#This Row],[pnl_ym]]/Table15[[#This Row],[pnl_am]]</f>
        <v>5.5046307422127736</v>
      </c>
      <c r="L8" s="450">
        <f>IF(Table15[[#This Row],[pnl_official]]&lt;&gt;"", Table15[[#This Row],[pnl_official]]-MAX($D$3:$D8), NA())</f>
        <v>0</v>
      </c>
      <c r="M8" s="450">
        <f>IF(Table15[[#This Row],[pnl_official]]&lt;&gt;"", IF(Table15[[#This Row],[pnl_official]]&gt;0, 0, Table15[[#This Row],[pnl_official]]), NA())</f>
        <v>0</v>
      </c>
      <c r="N8" s="97"/>
    </row>
    <row r="9" spans="1:47" x14ac:dyDescent="0.25">
      <c r="A9" s="440">
        <v>45924</v>
      </c>
      <c r="B9" s="293">
        <v>7</v>
      </c>
      <c r="C9" s="661">
        <v>1444</v>
      </c>
      <c r="D9" s="660">
        <f>IF(AND(ISNUMBER(Table15[[#This Row],[pnl_ym]]), ISNUMBER(Table15[[#This Row],[pnl_am]])), (Table15[[#This Row],[pnl_ym]]+Table15[[#This Row],[pnl_am]])/1000, NA())</f>
        <v>1545.913</v>
      </c>
      <c r="E9" s="589">
        <v>1309645</v>
      </c>
      <c r="F9" s="589">
        <v>236268</v>
      </c>
      <c r="G9" s="423">
        <f>IF(Table15[[#This Row],[pnl_est]] &lt;&gt; "", Table15[[#This Row],[pnl_est]]-$C8, NA())</f>
        <v>817</v>
      </c>
      <c r="H9" s="423">
        <f>IF(Table15[[#This Row],[pnl_official]] &lt;&gt; "", Table15[[#This Row],[pnl_official]]-D8, NA())</f>
        <v>842.17700000000002</v>
      </c>
      <c r="I9" s="450"/>
      <c r="J9" s="568">
        <f>Table15[[#This Row],[pnl_official]]-Table15[[#This Row],[pnl_est]]</f>
        <v>101.91300000000001</v>
      </c>
      <c r="K9" s="548">
        <f>Table15[[#This Row],[pnl_ym]]/Table15[[#This Row],[pnl_am]]</f>
        <v>5.5430485719606546</v>
      </c>
      <c r="L9" s="450">
        <f>IF(Table15[[#This Row],[pnl_official]]&lt;&gt;"", Table15[[#This Row],[pnl_official]]-MAX($D$3:$D9), NA())</f>
        <v>0</v>
      </c>
      <c r="M9" s="450">
        <f>IF(Table15[[#This Row],[pnl_official]]&lt;&gt;"", IF(Table15[[#This Row],[pnl_official]]&gt;0, 0, Table15[[#This Row],[pnl_official]]), NA())</f>
        <v>0</v>
      </c>
      <c r="N9" s="97"/>
    </row>
    <row r="10" spans="1:47" x14ac:dyDescent="0.25">
      <c r="A10" s="440">
        <v>45925</v>
      </c>
      <c r="B10" s="293">
        <v>8</v>
      </c>
      <c r="C10" s="661">
        <v>1444</v>
      </c>
      <c r="D10" s="660">
        <f>IF(AND(ISNUMBER(Table15[[#This Row],[pnl_ym]]), ISNUMBER(Table15[[#This Row],[pnl_am]])), (Table15[[#This Row],[pnl_ym]]+Table15[[#This Row],[pnl_am]])/1000, NA())</f>
        <v>1539.2170000000001</v>
      </c>
      <c r="E10" s="589">
        <v>1307074</v>
      </c>
      <c r="F10" s="589">
        <v>232143</v>
      </c>
      <c r="G10" s="423">
        <f>IF(Table15[[#This Row],[pnl_est]] &lt;&gt; "", Table15[[#This Row],[pnl_est]]-$C9, NA())</f>
        <v>0</v>
      </c>
      <c r="H10" s="423">
        <f>IF(Table15[[#This Row],[pnl_official]] &lt;&gt; "", Table15[[#This Row],[pnl_official]]-D9, NA())</f>
        <v>-6.6959999999999127</v>
      </c>
      <c r="I10" s="450"/>
      <c r="J10" s="568">
        <f>Table15[[#This Row],[pnl_official]]-Table15[[#This Row],[pnl_est]]</f>
        <v>95.217000000000098</v>
      </c>
      <c r="K10" s="548">
        <f>Table15[[#This Row],[pnl_ym]]/Table15[[#This Row],[pnl_am]]</f>
        <v>5.6304691504805229</v>
      </c>
      <c r="L10" s="450">
        <f>IF(Table15[[#This Row],[pnl_official]]&lt;&gt;"", Table15[[#This Row],[pnl_official]]-MAX($D$3:$D10), NA())</f>
        <v>-6.6959999999999127</v>
      </c>
      <c r="M10" s="450">
        <f>IF(Table15[[#This Row],[pnl_official]]&lt;&gt;"", IF(Table15[[#This Row],[pnl_official]]&gt;0, 0, Table15[[#This Row],[pnl_official]]), NA())</f>
        <v>0</v>
      </c>
      <c r="N10" s="97"/>
    </row>
    <row r="11" spans="1:47" x14ac:dyDescent="0.25">
      <c r="A11" s="440">
        <v>45926</v>
      </c>
      <c r="B11" s="293">
        <v>9</v>
      </c>
      <c r="C11" s="661">
        <v>1415</v>
      </c>
      <c r="D11" s="660">
        <f>IF(AND(ISNUMBER(Table15[[#This Row],[pnl_ym]]), ISNUMBER(Table15[[#This Row],[pnl_am]])), (Table15[[#This Row],[pnl_ym]]+Table15[[#This Row],[pnl_am]])/1000, NA())</f>
        <v>1137.4929999999999</v>
      </c>
      <c r="E11" s="589">
        <v>965911</v>
      </c>
      <c r="F11" s="589">
        <v>171582</v>
      </c>
      <c r="G11" s="423">
        <f>IF(Table15[[#This Row],[pnl_est]] &lt;&gt; "", Table15[[#This Row],[pnl_est]]-$C10, NA())</f>
        <v>-29</v>
      </c>
      <c r="H11" s="423">
        <f>IF(Table15[[#This Row],[pnl_official]] &lt;&gt; "", Table15[[#This Row],[pnl_official]]-D10, NA())</f>
        <v>-401.72400000000016</v>
      </c>
      <c r="I11" s="450"/>
      <c r="J11" s="568">
        <f>Table15[[#This Row],[pnl_official]]-Table15[[#This Row],[pnl_est]]</f>
        <v>-277.50700000000006</v>
      </c>
      <c r="K11" s="548">
        <f>Table15[[#This Row],[pnl_ym]]/Table15[[#This Row],[pnl_am]]</f>
        <v>5.6294424823116644</v>
      </c>
      <c r="L11" s="450">
        <f>IF(Table15[[#This Row],[pnl_official]]&lt;&gt;"", Table15[[#This Row],[pnl_official]]-MAX($D$3:$D11), NA())</f>
        <v>-408.42000000000007</v>
      </c>
      <c r="M11" s="450">
        <f>IF(Table15[[#This Row],[pnl_official]]&lt;&gt;"", IF(Table15[[#This Row],[pnl_official]]&gt;0, 0, Table15[[#This Row],[pnl_official]]), NA())</f>
        <v>0</v>
      </c>
      <c r="N11" s="97"/>
    </row>
    <row r="12" spans="1:47" x14ac:dyDescent="0.25">
      <c r="A12" s="440">
        <v>45929</v>
      </c>
      <c r="B12" s="293">
        <v>10</v>
      </c>
      <c r="C12" s="661">
        <v>357</v>
      </c>
      <c r="D12" s="660">
        <f>IF(AND(ISNUMBER(Table15[[#This Row],[pnl_ym]]), ISNUMBER(Table15[[#This Row],[pnl_am]])), (Table15[[#This Row],[pnl_ym]]+Table15[[#This Row],[pnl_am]])/1000, NA())</f>
        <v>262.27999999999997</v>
      </c>
      <c r="E12" s="589">
        <v>220919</v>
      </c>
      <c r="F12" s="589">
        <v>41361</v>
      </c>
      <c r="G12" s="423">
        <f>IF(Table15[[#This Row],[pnl_est]] &lt;&gt; "", Table15[[#This Row],[pnl_est]]-$C11, NA())</f>
        <v>-1058</v>
      </c>
      <c r="H12" s="423">
        <f>IF(Table15[[#This Row],[pnl_official]] &lt;&gt; "", Table15[[#This Row],[pnl_official]]-D11, NA())</f>
        <v>-875.21299999999997</v>
      </c>
      <c r="I12" s="450"/>
      <c r="J12" s="568">
        <f>Table15[[#This Row],[pnl_official]]-Table15[[#This Row],[pnl_est]]</f>
        <v>-94.720000000000027</v>
      </c>
      <c r="K12" s="548">
        <f>Table15[[#This Row],[pnl_ym]]/Table15[[#This Row],[pnl_am]]</f>
        <v>5.3412393317376274</v>
      </c>
      <c r="L12" s="450">
        <f>IF(Table15[[#This Row],[pnl_official]]&lt;&gt;"", Table15[[#This Row],[pnl_official]]-MAX($D$3:$D12), NA())</f>
        <v>-1283.633</v>
      </c>
      <c r="M12" s="450">
        <f>IF(Table15[[#This Row],[pnl_official]]&lt;&gt;"", IF(Table15[[#This Row],[pnl_official]]&gt;0, 0, Table15[[#This Row],[pnl_official]]), NA())</f>
        <v>0</v>
      </c>
      <c r="N12" s="97"/>
      <c r="AK12" s="559"/>
      <c r="AU12" s="559"/>
    </row>
    <row r="13" spans="1:47" x14ac:dyDescent="0.25">
      <c r="A13" s="440">
        <v>45930</v>
      </c>
      <c r="B13" s="293">
        <v>11</v>
      </c>
      <c r="C13" s="661">
        <v>514</v>
      </c>
      <c r="D13" s="660">
        <f>IF(AND(ISNUMBER(Table15[[#This Row],[pnl_ym]]), ISNUMBER(Table15[[#This Row],[pnl_am]])), (Table15[[#This Row],[pnl_ym]]+Table15[[#This Row],[pnl_am]])/1000, NA())</f>
        <v>413.08499999999998</v>
      </c>
      <c r="E13" s="589">
        <v>338172</v>
      </c>
      <c r="F13" s="589">
        <v>74913</v>
      </c>
      <c r="G13" s="423">
        <f>IF(Table15[[#This Row],[pnl_est]] &lt;&gt; "", Table15[[#This Row],[pnl_est]]-$C12, NA())</f>
        <v>157</v>
      </c>
      <c r="H13" s="423">
        <f>IF(Table15[[#This Row],[pnl_official]] &lt;&gt; "", Table15[[#This Row],[pnl_official]]-D12, NA())</f>
        <v>150.80500000000001</v>
      </c>
      <c r="I13" s="450"/>
      <c r="J13" s="568">
        <f>Table15[[#This Row],[pnl_official]]-Table15[[#This Row],[pnl_est]]</f>
        <v>-100.91500000000002</v>
      </c>
      <c r="K13" s="548">
        <f>Table15[[#This Row],[pnl_ym]]/Table15[[#This Row],[pnl_am]]</f>
        <v>4.5141964679027673</v>
      </c>
      <c r="L13" s="450">
        <f>IF(Table15[[#This Row],[pnl_official]]&lt;&gt;"", Table15[[#This Row],[pnl_official]]-MAX($D$3:$D13), NA())</f>
        <v>-1132.828</v>
      </c>
      <c r="M13" s="450">
        <f>IF(Table15[[#This Row],[pnl_official]]&lt;&gt;"", IF(Table15[[#This Row],[pnl_official]]&gt;0, 0, Table15[[#This Row],[pnl_official]]), NA())</f>
        <v>0</v>
      </c>
      <c r="N13" s="97"/>
      <c r="AK13" s="559"/>
      <c r="AU13" s="559"/>
    </row>
    <row r="14" spans="1:47" x14ac:dyDescent="0.25">
      <c r="A14" s="440">
        <v>45931</v>
      </c>
      <c r="B14" s="293">
        <v>12</v>
      </c>
      <c r="C14" s="661">
        <v>-598</v>
      </c>
      <c r="D14" s="660">
        <f>IF(AND(ISNUMBER(Table15[[#This Row],[pnl_ym]]), ISNUMBER(Table15[[#This Row],[pnl_am]])), (Table15[[#This Row],[pnl_ym]]+Table15[[#This Row],[pnl_am]])/1000, NA())</f>
        <v>-949.72500000000002</v>
      </c>
      <c r="E14" s="589">
        <v>-816256</v>
      </c>
      <c r="F14" s="589">
        <v>-133469</v>
      </c>
      <c r="G14" s="423">
        <f>IF(Table15[[#This Row],[pnl_est]] &lt;&gt; "", Table15[[#This Row],[pnl_est]]-$C13, NA())</f>
        <v>-1112</v>
      </c>
      <c r="H14" s="423">
        <f>IF(Table15[[#This Row],[pnl_official]] &lt;&gt; "", Table15[[#This Row],[pnl_official]]-D13, NA())</f>
        <v>-1362.81</v>
      </c>
      <c r="I14" s="450"/>
      <c r="J14" s="568">
        <f>Table15[[#This Row],[pnl_official]]-Table15[[#This Row],[pnl_est]]</f>
        <v>-351.72500000000002</v>
      </c>
      <c r="K14" s="548">
        <f>Table15[[#This Row],[pnl_ym]]/Table15[[#This Row],[pnl_am]]</f>
        <v>6.1156972780196153</v>
      </c>
      <c r="L14" s="450">
        <f>IF(Table15[[#This Row],[pnl_official]]&lt;&gt;"", Table15[[#This Row],[pnl_official]]-MAX($D$3:$D14), NA())</f>
        <v>-2495.6379999999999</v>
      </c>
      <c r="M14" s="450">
        <f>IF(Table15[[#This Row],[pnl_official]]&lt;&gt;"", IF(Table15[[#This Row],[pnl_official]]&gt;0, 0, Table15[[#This Row],[pnl_official]]), NA())</f>
        <v>-949.72500000000002</v>
      </c>
      <c r="N14" s="97"/>
      <c r="AK14" s="559"/>
      <c r="AU14" s="559"/>
    </row>
    <row r="15" spans="1:47" x14ac:dyDescent="0.25">
      <c r="A15" s="440">
        <v>45932</v>
      </c>
      <c r="B15" s="293">
        <v>13</v>
      </c>
      <c r="C15" s="661">
        <v>-2783</v>
      </c>
      <c r="D15" s="660">
        <f>IF(AND(ISNUMBER(Table15[[#This Row],[pnl_ym]]), ISNUMBER(Table15[[#This Row],[pnl_am]])), (Table15[[#This Row],[pnl_ym]]+Table15[[#This Row],[pnl_am]])/1000, NA())</f>
        <v>-2892.0770000000002</v>
      </c>
      <c r="E15" s="589">
        <v>-2475507</v>
      </c>
      <c r="F15" s="589">
        <v>-416570</v>
      </c>
      <c r="G15" s="423">
        <f>IF(Table15[[#This Row],[pnl_est]] &lt;&gt; "", Table15[[#This Row],[pnl_est]]-$C14, NA())</f>
        <v>-2185</v>
      </c>
      <c r="H15" s="423">
        <f>IF(Table15[[#This Row],[pnl_official]] &lt;&gt; "", Table15[[#This Row],[pnl_official]]-D14, NA())</f>
        <v>-1942.3520000000003</v>
      </c>
      <c r="I15" s="450"/>
      <c r="J15" s="568">
        <f>Table15[[#This Row],[pnl_official]]-Table15[[#This Row],[pnl_est]]</f>
        <v>-109.07700000000023</v>
      </c>
      <c r="K15" s="548">
        <f>Table15[[#This Row],[pnl_ym]]/Table15[[#This Row],[pnl_am]]</f>
        <v>5.9425954821518596</v>
      </c>
      <c r="L15" s="450">
        <f>IF(Table15[[#This Row],[pnl_official]]&lt;&gt;"", Table15[[#This Row],[pnl_official]]-MAX($D$3:$D15), NA())</f>
        <v>-4437.99</v>
      </c>
      <c r="M15" s="450">
        <f>IF(Table15[[#This Row],[pnl_official]]&lt;&gt;"", IF(Table15[[#This Row],[pnl_official]]&gt;0, 0, Table15[[#This Row],[pnl_official]]), NA())</f>
        <v>-2892.0770000000002</v>
      </c>
      <c r="N15" s="97"/>
      <c r="AK15" s="559"/>
      <c r="AU15" s="559"/>
    </row>
    <row r="16" spans="1:47" x14ac:dyDescent="0.25">
      <c r="A16" s="440">
        <v>45933</v>
      </c>
      <c r="B16" s="293">
        <v>14</v>
      </c>
      <c r="C16" s="661">
        <v>-2170</v>
      </c>
      <c r="D16" s="660">
        <f>IF(AND(ISNUMBER(Table15[[#This Row],[pnl_ym]]), ISNUMBER(Table15[[#This Row],[pnl_am]])), (Table15[[#This Row],[pnl_ym]]+Table15[[#This Row],[pnl_am]])/1000, NA())</f>
        <v>-2311.9490000000001</v>
      </c>
      <c r="E16" s="589">
        <v>-1984972</v>
      </c>
      <c r="F16" s="589">
        <v>-326977</v>
      </c>
      <c r="G16" s="423">
        <f>IF(Table15[[#This Row],[pnl_est]] &lt;&gt; "", Table15[[#This Row],[pnl_est]]-$C15, NA())</f>
        <v>613</v>
      </c>
      <c r="H16" s="423">
        <f>IF(Table15[[#This Row],[pnl_official]] &lt;&gt; "", Table15[[#This Row],[pnl_official]]-D15, NA())</f>
        <v>580.12800000000016</v>
      </c>
      <c r="I16" s="450">
        <f>_xlfn.STDEV.S(H3:H16)</f>
        <v>821.14276557309188</v>
      </c>
      <c r="J16" s="568">
        <f>Table15[[#This Row],[pnl_official]]-Table15[[#This Row],[pnl_est]]</f>
        <v>-141.94900000000007</v>
      </c>
      <c r="K16" s="548">
        <f>Table15[[#This Row],[pnl_ym]]/Table15[[#This Row],[pnl_am]]</f>
        <v>6.0706777540927952</v>
      </c>
      <c r="L16" s="450">
        <f>IF(Table15[[#This Row],[pnl_official]]&lt;&gt;"", Table15[[#This Row],[pnl_official]]-MAX($D$3:$D16), NA())</f>
        <v>-3857.8620000000001</v>
      </c>
      <c r="M16" s="450">
        <f>IF(Table15[[#This Row],[pnl_official]]&lt;&gt;"", IF(Table15[[#This Row],[pnl_official]]&gt;0, 0, Table15[[#This Row],[pnl_official]]), NA())</f>
        <v>-2311.9490000000001</v>
      </c>
      <c r="N16" s="97"/>
      <c r="AK16" s="559"/>
      <c r="AU16" s="559"/>
    </row>
    <row r="17" spans="1:47" x14ac:dyDescent="0.25">
      <c r="A17" s="440">
        <v>45936</v>
      </c>
      <c r="B17" s="293">
        <v>15</v>
      </c>
      <c r="C17" s="661">
        <v>-1966</v>
      </c>
      <c r="D17" s="660">
        <f>IF(AND(ISNUMBER(Table15[[#This Row],[pnl_ym]]), ISNUMBER(Table15[[#This Row],[pnl_am]])), (Table15[[#This Row],[pnl_ym]]+Table15[[#This Row],[pnl_am]])/1000, NA())</f>
        <v>-2031.049</v>
      </c>
      <c r="E17" s="589">
        <v>-1747982</v>
      </c>
      <c r="F17" s="589">
        <v>-283067</v>
      </c>
      <c r="G17" s="423">
        <f>IF(Table15[[#This Row],[pnl_est]] &lt;&gt; "", Table15[[#This Row],[pnl_est]]-$C16, NA())</f>
        <v>204</v>
      </c>
      <c r="H17" s="423">
        <f>IF(Table15[[#This Row],[pnl_official]] &lt;&gt; "", Table15[[#This Row],[pnl_official]]-D16, NA())</f>
        <v>280.90000000000009</v>
      </c>
      <c r="I17" s="450">
        <f t="shared" ref="I17:I74" si="0">_xlfn.STDEV.S(H4:H17)</f>
        <v>798.41985851061474</v>
      </c>
      <c r="J17" s="568">
        <f>Table15[[#This Row],[pnl_official]]-Table15[[#This Row],[pnl_est]]</f>
        <v>-65.048999999999978</v>
      </c>
      <c r="K17" s="548">
        <f>Table15[[#This Row],[pnl_ym]]/Table15[[#This Row],[pnl_am]]</f>
        <v>6.175152879000378</v>
      </c>
      <c r="L17" s="450">
        <f>IF(Table15[[#This Row],[pnl_official]]&lt;&gt;"", Table15[[#This Row],[pnl_official]]-MAX($D$3:$D17), NA())</f>
        <v>-3576.962</v>
      </c>
      <c r="M17" s="450">
        <f>IF(Table15[[#This Row],[pnl_official]]&lt;&gt;"", IF(Table15[[#This Row],[pnl_official]]&gt;0, 0, Table15[[#This Row],[pnl_official]]), NA())</f>
        <v>-2031.049</v>
      </c>
      <c r="N17" s="97"/>
      <c r="AK17" s="559"/>
      <c r="AU17" s="559"/>
    </row>
    <row r="18" spans="1:47" x14ac:dyDescent="0.25">
      <c r="A18" s="440">
        <v>45937</v>
      </c>
      <c r="B18" s="293">
        <v>16</v>
      </c>
      <c r="C18" s="661">
        <v>-1993</v>
      </c>
      <c r="D18" s="660">
        <f>IF(AND(ISNUMBER(Table15[[#This Row],[pnl_ym]]), ISNUMBER(Table15[[#This Row],[pnl_am]])), (Table15[[#This Row],[pnl_ym]]+Table15[[#This Row],[pnl_am]])/1000, NA())</f>
        <v>-2026.549</v>
      </c>
      <c r="E18" s="589">
        <v>-1743782</v>
      </c>
      <c r="F18" s="589">
        <v>-282767</v>
      </c>
      <c r="G18" s="423">
        <f>IF(Table15[[#This Row],[pnl_est]] &lt;&gt; "", Table15[[#This Row],[pnl_est]]-$C17, NA())</f>
        <v>-27</v>
      </c>
      <c r="H18" s="423">
        <f>IF(Table15[[#This Row],[pnl_official]] &lt;&gt; "", Table15[[#This Row],[pnl_official]]-D17, NA())</f>
        <v>4.5</v>
      </c>
      <c r="I18" s="450">
        <f t="shared" si="0"/>
        <v>798.55846926904758</v>
      </c>
      <c r="J18" s="568">
        <f>Table15[[#This Row],[pnl_official]]-Table15[[#This Row],[pnl_est]]</f>
        <v>-33.548999999999978</v>
      </c>
      <c r="K18" s="548">
        <f>Table15[[#This Row],[pnl_ym]]/Table15[[#This Row],[pnl_am]]</f>
        <v>6.1668511530694881</v>
      </c>
      <c r="L18" s="450">
        <f>IF(Table15[[#This Row],[pnl_official]]&lt;&gt;"", Table15[[#This Row],[pnl_official]]-MAX($D$3:$D18), NA())</f>
        <v>-3572.462</v>
      </c>
      <c r="M18" s="450">
        <f>IF(Table15[[#This Row],[pnl_official]]&lt;&gt;"", IF(Table15[[#This Row],[pnl_official]]&gt;0, 0, Table15[[#This Row],[pnl_official]]), NA())</f>
        <v>-2026.549</v>
      </c>
      <c r="N18" s="97"/>
      <c r="AK18" s="559"/>
      <c r="AU18" s="559"/>
    </row>
    <row r="19" spans="1:47" x14ac:dyDescent="0.25">
      <c r="A19" s="440">
        <v>45938</v>
      </c>
      <c r="B19" s="293">
        <v>17</v>
      </c>
      <c r="C19" s="661">
        <v>-1676</v>
      </c>
      <c r="D19" s="660">
        <f>IF(AND(ISNUMBER(Table15[[#This Row],[pnl_ym]]), ISNUMBER(Table15[[#This Row],[pnl_am]])), (Table15[[#This Row],[pnl_ym]]+Table15[[#This Row],[pnl_am]])/1000, NA())</f>
        <v>-2631.297</v>
      </c>
      <c r="E19" s="589">
        <v>-2255448</v>
      </c>
      <c r="F19" s="589">
        <v>-375849</v>
      </c>
      <c r="G19" s="423">
        <f>IF(Table15[[#This Row],[pnl_est]] &lt;&gt; "", Table15[[#This Row],[pnl_est]]-$C18, NA())</f>
        <v>317</v>
      </c>
      <c r="H19" s="423">
        <f>IF(Table15[[#This Row],[pnl_official]] &lt;&gt; "", Table15[[#This Row],[pnl_official]]-D18, NA())</f>
        <v>-604.74800000000005</v>
      </c>
      <c r="I19" s="450">
        <f>_xlfn.STDEV.S(H4:H19)</f>
        <v>753.41725127004941</v>
      </c>
      <c r="J19" s="568">
        <f>Table15[[#This Row],[pnl_official]]-Table15[[#This Row],[pnl_est]]</f>
        <v>-955.29700000000003</v>
      </c>
      <c r="K19" s="548">
        <f>Table15[[#This Row],[pnl_ym]]/Table15[[#This Row],[pnl_am]]</f>
        <v>6.0009418676117274</v>
      </c>
      <c r="L19" s="450">
        <f>IF(Table15[[#This Row],[pnl_official]]&lt;&gt;"", Table15[[#This Row],[pnl_official]]-MAX($D$3:$D19), NA())</f>
        <v>-4177.21</v>
      </c>
      <c r="M19" s="450">
        <f>IF(Table15[[#This Row],[pnl_official]]&lt;&gt;"", IF(Table15[[#This Row],[pnl_official]]&gt;0, 0, Table15[[#This Row],[pnl_official]]), NA())</f>
        <v>-2631.297</v>
      </c>
      <c r="N19" s="97"/>
      <c r="AK19" s="559"/>
      <c r="AU19" s="559"/>
    </row>
    <row r="20" spans="1:47" x14ac:dyDescent="0.25">
      <c r="A20" s="440">
        <v>45939</v>
      </c>
      <c r="B20" s="293">
        <v>18</v>
      </c>
      <c r="C20" s="661">
        <v>-1924</v>
      </c>
      <c r="D20" s="660">
        <f>IF(AND(ISNUMBER(Table15[[#This Row],[pnl_ym]]), ISNUMBER(Table15[[#This Row],[pnl_am]])), (Table15[[#This Row],[pnl_ym]]+Table15[[#This Row],[pnl_am]])/1000, NA())</f>
        <v>-1929.39</v>
      </c>
      <c r="E20" s="589">
        <v>-1650321</v>
      </c>
      <c r="F20" s="589">
        <v>-279069</v>
      </c>
      <c r="G20" s="423">
        <f>IF(Table15[[#This Row],[pnl_est]] &lt;&gt; "", Table15[[#This Row],[pnl_est]]-$C19, NA())</f>
        <v>-248</v>
      </c>
      <c r="H20" s="423">
        <f>IF(Table15[[#This Row],[pnl_official]] &lt;&gt; "", Table15[[#This Row],[pnl_official]]-D19, NA())</f>
        <v>701.90699999999993</v>
      </c>
      <c r="I20" s="450">
        <f t="shared" si="0"/>
        <v>840.51102073952222</v>
      </c>
      <c r="J20" s="568">
        <f>Table15[[#This Row],[pnl_official]]-Table15[[#This Row],[pnl_est]]</f>
        <v>-5.3900000000001</v>
      </c>
      <c r="K20" s="548">
        <f>Table15[[#This Row],[pnl_ym]]/Table15[[#This Row],[pnl_am]]</f>
        <v>5.9136665125829095</v>
      </c>
      <c r="L20" s="450">
        <f>IF(Table15[[#This Row],[pnl_official]]&lt;&gt;"", Table15[[#This Row],[pnl_official]]-MAX($D$3:$D20), NA())</f>
        <v>-3475.3029999999999</v>
      </c>
      <c r="M20" s="450">
        <f>IF(Table15[[#This Row],[pnl_official]]&lt;&gt;"", IF(Table15[[#This Row],[pnl_official]]&gt;0, 0, Table15[[#This Row],[pnl_official]]), NA())</f>
        <v>-1929.39</v>
      </c>
      <c r="N20" s="97"/>
      <c r="AK20" s="559"/>
      <c r="AU20" s="559"/>
    </row>
    <row r="21" spans="1:47" x14ac:dyDescent="0.25">
      <c r="A21" s="440">
        <v>45940</v>
      </c>
      <c r="B21" s="293">
        <v>19</v>
      </c>
      <c r="C21" s="661">
        <v>-2518</v>
      </c>
      <c r="D21" s="660">
        <f>IF(AND(ISNUMBER(Table15[[#This Row],[pnl_ym]]), ISNUMBER(Table15[[#This Row],[pnl_am]])), (Table15[[#This Row],[pnl_ym]]+Table15[[#This Row],[pnl_am]])/1000, NA())</f>
        <v>-2631.297</v>
      </c>
      <c r="E21" s="589">
        <v>-2255448</v>
      </c>
      <c r="F21" s="589">
        <v>-375849</v>
      </c>
      <c r="G21" s="423">
        <f>IF(Table15[[#This Row],[pnl_est]] &lt;&gt; "", Table15[[#This Row],[pnl_est]]-$C20, NA())</f>
        <v>-594</v>
      </c>
      <c r="H21" s="423">
        <f>IF(Table15[[#This Row],[pnl_official]] &lt;&gt; "", Table15[[#This Row],[pnl_official]]-D20, NA())</f>
        <v>-701.90699999999993</v>
      </c>
      <c r="I21" s="450">
        <f t="shared" si="0"/>
        <v>854.09008930727055</v>
      </c>
      <c r="J21" s="568">
        <f>Table15[[#This Row],[pnl_official]]-Table15[[#This Row],[pnl_est]]</f>
        <v>-113.29700000000003</v>
      </c>
      <c r="K21" s="548">
        <f>Table15[[#This Row],[pnl_ym]]/Table15[[#This Row],[pnl_am]]</f>
        <v>6.0009418676117274</v>
      </c>
      <c r="L21" s="450">
        <f>IF(Table15[[#This Row],[pnl_official]]&lt;&gt;"", Table15[[#This Row],[pnl_official]]-MAX($D$3:$D21), NA())</f>
        <v>-4177.21</v>
      </c>
      <c r="M21" s="450">
        <f>IF(Table15[[#This Row],[pnl_official]]&lt;&gt;"", IF(Table15[[#This Row],[pnl_official]]&gt;0, 0, Table15[[#This Row],[pnl_official]]), NA())</f>
        <v>-2631.297</v>
      </c>
      <c r="N21" s="97"/>
      <c r="AK21" s="559"/>
      <c r="AU21" s="559"/>
    </row>
    <row r="22" spans="1:47" x14ac:dyDescent="0.25">
      <c r="A22" s="440">
        <v>45943</v>
      </c>
      <c r="B22" s="293">
        <v>20</v>
      </c>
      <c r="C22" s="661">
        <v>-1937</v>
      </c>
      <c r="D22" s="660">
        <f>IF(AND(ISNUMBER(Table15[[#This Row],[pnl_ym]]), ISNUMBER(Table15[[#This Row],[pnl_am]])), (Table15[[#This Row],[pnl_ym]]+Table15[[#This Row],[pnl_am]])/1000, NA())</f>
        <v>-2130.826</v>
      </c>
      <c r="E22" s="589">
        <v>-1838870</v>
      </c>
      <c r="F22" s="589">
        <v>-291956</v>
      </c>
      <c r="G22" s="423">
        <f>IF(Table15[[#This Row],[pnl_est]] &lt;&gt; "", Table15[[#This Row],[pnl_est]]-$C21, NA())</f>
        <v>581</v>
      </c>
      <c r="H22" s="423">
        <f>IF(Table15[[#This Row],[pnl_official]] &lt;&gt; "", Table15[[#This Row],[pnl_official]]-D21, NA())</f>
        <v>500.471</v>
      </c>
      <c r="I22" s="450">
        <f t="shared" si="0"/>
        <v>819.59244612292423</v>
      </c>
      <c r="J22" s="568">
        <f>Table15[[#This Row],[pnl_official]]-Table15[[#This Row],[pnl_est]]</f>
        <v>-193.82600000000002</v>
      </c>
      <c r="K22" s="548">
        <f>Table15[[#This Row],[pnl_ym]]/Table15[[#This Row],[pnl_am]]</f>
        <v>6.2984490813684255</v>
      </c>
      <c r="L22" s="450">
        <f>IF(Table15[[#This Row],[pnl_official]]&lt;&gt;"", Table15[[#This Row],[pnl_official]]-MAX($D$3:$D22), NA())</f>
        <v>-3676.739</v>
      </c>
      <c r="M22" s="450">
        <f>IF(Table15[[#This Row],[pnl_official]]&lt;&gt;"", IF(Table15[[#This Row],[pnl_official]]&gt;0, 0, Table15[[#This Row],[pnl_official]]), NA())</f>
        <v>-2130.826</v>
      </c>
      <c r="N22" s="97"/>
      <c r="AK22" s="559"/>
      <c r="AU22" s="559"/>
    </row>
    <row r="23" spans="1:47" x14ac:dyDescent="0.25">
      <c r="A23" s="440">
        <v>45944</v>
      </c>
      <c r="B23" s="293">
        <v>21</v>
      </c>
      <c r="C23" s="661">
        <v>-2661</v>
      </c>
      <c r="D23" s="660">
        <f>IF(AND(ISNUMBER(Table15[[#This Row],[pnl_ym]]), ISNUMBER(Table15[[#This Row],[pnl_am]])), (Table15[[#This Row],[pnl_ym]]+Table15[[#This Row],[pnl_am]])/1000, NA())</f>
        <v>-2622.7359999999999</v>
      </c>
      <c r="E23" s="589">
        <v>-2261906</v>
      </c>
      <c r="F23" s="589">
        <v>-360830</v>
      </c>
      <c r="G23" s="423">
        <f>IF(Table15[[#This Row],[pnl_est]] &lt;&gt; "", Table15[[#This Row],[pnl_est]]-$C22, NA())</f>
        <v>-724</v>
      </c>
      <c r="H23" s="423">
        <f>IF(Table15[[#This Row],[pnl_official]] &lt;&gt; "", Table15[[#This Row],[pnl_official]]-D22, NA())</f>
        <v>-491.90999999999985</v>
      </c>
      <c r="I23" s="450">
        <f t="shared" si="0"/>
        <v>764.49465345170825</v>
      </c>
      <c r="J23" s="568">
        <f>Table15[[#This Row],[pnl_official]]-Table15[[#This Row],[pnl_est]]</f>
        <v>38.264000000000124</v>
      </c>
      <c r="K23" s="548">
        <f>Table15[[#This Row],[pnl_ym]]/Table15[[#This Row],[pnl_am]]</f>
        <v>6.2686195715433861</v>
      </c>
      <c r="L23" s="450">
        <f>IF(Table15[[#This Row],[pnl_official]]&lt;&gt;"", Table15[[#This Row],[pnl_official]]-MAX($D$3:$D23), NA())</f>
        <v>-4168.6489999999994</v>
      </c>
      <c r="M23" s="450">
        <f>IF(Table15[[#This Row],[pnl_official]]&lt;&gt;"", IF(Table15[[#This Row],[pnl_official]]&gt;0, 0, Table15[[#This Row],[pnl_official]]), NA())</f>
        <v>-2622.7359999999999</v>
      </c>
      <c r="N23" s="97"/>
      <c r="AK23" s="559"/>
      <c r="AU23" s="559"/>
    </row>
    <row r="24" spans="1:47" x14ac:dyDescent="0.25">
      <c r="A24" s="440">
        <v>45945</v>
      </c>
      <c r="B24" s="293">
        <v>22</v>
      </c>
      <c r="C24" s="661">
        <v>-2818</v>
      </c>
      <c r="D24" s="662">
        <f>IF(AND(ISNUMBER(Table15[[#This Row],[pnl_ym]]), ISNUMBER(Table15[[#This Row],[pnl_am]])), (Table15[[#This Row],[pnl_ym]]+Table15[[#This Row],[pnl_am]])/1000, NA())</f>
        <v>-3376.788</v>
      </c>
      <c r="E24" s="589">
        <v>-2903746</v>
      </c>
      <c r="F24" s="589">
        <v>-473042</v>
      </c>
      <c r="G24" s="423">
        <f>IF(Table15[[#This Row],[pnl_est]] &lt;&gt; "", Table15[[#This Row],[pnl_est]]-$C23, NA())</f>
        <v>-157</v>
      </c>
      <c r="H24" s="423">
        <f>IF(Table15[[#This Row],[pnl_official]] &lt;&gt; "", Table15[[#This Row],[pnl_official]]-D23, NA())</f>
        <v>-754.05200000000013</v>
      </c>
      <c r="I24" s="450">
        <f t="shared" si="0"/>
        <v>768.6884118298949</v>
      </c>
      <c r="J24" s="568">
        <f>Table15[[#This Row],[pnl_official]]-Table15[[#This Row],[pnl_est]]</f>
        <v>-558.78800000000001</v>
      </c>
      <c r="K24" s="548">
        <f>Table15[[#This Row],[pnl_ym]]/Table15[[#This Row],[pnl_am]]</f>
        <v>6.1384528223709527</v>
      </c>
      <c r="L24" s="450">
        <f>IF(Table15[[#This Row],[pnl_official]]&lt;&gt;"", Table15[[#This Row],[pnl_official]]-MAX($D$3:$D24), NA())</f>
        <v>-4922.701</v>
      </c>
      <c r="M24" s="450">
        <f>IF(Table15[[#This Row],[pnl_official]]&lt;&gt;"", IF(Table15[[#This Row],[pnl_official]]&gt;0, 0, Table15[[#This Row],[pnl_official]]), NA())</f>
        <v>-3376.788</v>
      </c>
      <c r="N24" s="97"/>
      <c r="AK24" s="559"/>
      <c r="AU24" s="559"/>
    </row>
    <row r="25" spans="1:47" x14ac:dyDescent="0.25">
      <c r="A25" s="440">
        <v>45946</v>
      </c>
      <c r="B25" s="293">
        <v>23</v>
      </c>
      <c r="C25" s="661">
        <v>-2749</v>
      </c>
      <c r="D25" s="660">
        <f>IF(AND(ISNUMBER(Table15[[#This Row],[pnl_ym]]), ISNUMBER(Table15[[#This Row],[pnl_am]])), (Table15[[#This Row],[pnl_ym]]+Table15[[#This Row],[pnl_am]])/1000, NA())</f>
        <v>-2753.913</v>
      </c>
      <c r="E25" s="589">
        <v>-2376604</v>
      </c>
      <c r="F25" s="589">
        <v>-377309</v>
      </c>
      <c r="G25" s="423">
        <f>IF(Table15[[#This Row],[pnl_est]] &lt;&gt; "", Table15[[#This Row],[pnl_est]]-$C24, NA())</f>
        <v>69</v>
      </c>
      <c r="H25" s="423">
        <f>IF(Table15[[#This Row],[pnl_official]] &lt;&gt; "", Table15[[#This Row],[pnl_official]]-D24, NA())</f>
        <v>622.875</v>
      </c>
      <c r="I25" s="450">
        <f t="shared" si="0"/>
        <v>811.10710179887553</v>
      </c>
      <c r="J25" s="568">
        <f>Table15[[#This Row],[pnl_official]]-Table15[[#This Row],[pnl_est]]</f>
        <v>-4.9130000000000109</v>
      </c>
      <c r="K25" s="548">
        <f>Table15[[#This Row],[pnl_ym]]/Table15[[#This Row],[pnl_am]]</f>
        <v>6.2988266911205404</v>
      </c>
      <c r="L25" s="450">
        <f>IF(Table15[[#This Row],[pnl_official]]&lt;&gt;"", Table15[[#This Row],[pnl_official]]-MAX($D$3:$D25), NA())</f>
        <v>-4299.826</v>
      </c>
      <c r="M25" s="450">
        <f>IF(Table15[[#This Row],[pnl_official]]&lt;&gt;"", IF(Table15[[#This Row],[pnl_official]]&gt;0, 0, Table15[[#This Row],[pnl_official]]), NA())</f>
        <v>-2753.913</v>
      </c>
      <c r="N25" s="97"/>
      <c r="AK25" s="559"/>
      <c r="AU25" s="559"/>
    </row>
    <row r="26" spans="1:47" x14ac:dyDescent="0.25">
      <c r="A26" s="440">
        <v>45947</v>
      </c>
      <c r="B26" s="293">
        <v>24</v>
      </c>
      <c r="C26" s="661">
        <v>-2966</v>
      </c>
      <c r="D26" s="660">
        <f>IF(AND(ISNUMBER(Table15[[#This Row],[pnl_ym]]), ISNUMBER(Table15[[#This Row],[pnl_am]])), (Table15[[#This Row],[pnl_ym]]+Table15[[#This Row],[pnl_am]])/1000, NA())</f>
        <v>-3241.46</v>
      </c>
      <c r="E26" s="589">
        <v>-2793637</v>
      </c>
      <c r="F26" s="589">
        <v>-447823</v>
      </c>
      <c r="G26" s="423">
        <f>IF(Table15[[#This Row],[pnl_est]] &lt;&gt; "", Table15[[#This Row],[pnl_est]]-$C25, NA())</f>
        <v>-217</v>
      </c>
      <c r="H26" s="423">
        <f>IF(Table15[[#This Row],[pnl_official]] &lt;&gt; "", Table15[[#This Row],[pnl_official]]-D25, NA())</f>
        <v>-487.54700000000003</v>
      </c>
      <c r="I26" s="450">
        <f t="shared" si="0"/>
        <v>795.61831502199561</v>
      </c>
      <c r="J26" s="568">
        <f>Table15[[#This Row],[pnl_official]]-Table15[[#This Row],[pnl_est]]</f>
        <v>-275.46000000000004</v>
      </c>
      <c r="K26" s="548">
        <f>Table15[[#This Row],[pnl_ym]]/Table15[[#This Row],[pnl_am]]</f>
        <v>6.2382615452980303</v>
      </c>
      <c r="L26" s="450">
        <f>IF(Table15[[#This Row],[pnl_official]]&lt;&gt;"", Table15[[#This Row],[pnl_official]]-MAX($D$3:$D26), NA())</f>
        <v>-4787.3729999999996</v>
      </c>
      <c r="M26" s="450">
        <f>IF(Table15[[#This Row],[pnl_official]]&lt;&gt;"", IF(Table15[[#This Row],[pnl_official]]&gt;0, 0, Table15[[#This Row],[pnl_official]]), NA())</f>
        <v>-3241.46</v>
      </c>
      <c r="N26" s="97"/>
      <c r="AK26" s="559"/>
      <c r="AU26" s="559"/>
    </row>
    <row r="27" spans="1:47" x14ac:dyDescent="0.25">
      <c r="A27" s="440">
        <v>45950</v>
      </c>
      <c r="B27" s="293">
        <v>25</v>
      </c>
      <c r="C27" s="661">
        <v>-2875</v>
      </c>
      <c r="D27" s="660">
        <f>IF(AND(ISNUMBER(Table15[[#This Row],[pnl_ym]]), ISNUMBER(Table15[[#This Row],[pnl_am]])), (Table15[[#This Row],[pnl_ym]]+Table15[[#This Row],[pnl_am]])/1000, NA())</f>
        <v>-3051.7280000000001</v>
      </c>
      <c r="E27" s="589">
        <v>-2583685</v>
      </c>
      <c r="F27" s="589">
        <v>-468043</v>
      </c>
      <c r="G27" s="423">
        <f>IF(Table15[[#This Row],[pnl_est]] &lt;&gt; "", Table15[[#This Row],[pnl_est]]-$C26, NA())</f>
        <v>91</v>
      </c>
      <c r="H27" s="423">
        <f>IF(Table15[[#This Row],[pnl_official]] &lt;&gt; "", Table15[[#This Row],[pnl_official]]-D26, NA())</f>
        <v>189.73199999999997</v>
      </c>
      <c r="I27" s="450">
        <f t="shared" si="0"/>
        <v>797.1942474895319</v>
      </c>
      <c r="J27" s="568">
        <f>Table15[[#This Row],[pnl_official]]-Table15[[#This Row],[pnl_est]]</f>
        <v>-176.72800000000007</v>
      </c>
      <c r="K27" s="548">
        <f>Table15[[#This Row],[pnl_ym]]/Table15[[#This Row],[pnl_am]]</f>
        <v>5.5201872477528777</v>
      </c>
      <c r="L27" s="450">
        <f>IF(Table15[[#This Row],[pnl_official]]&lt;&gt;"", Table15[[#This Row],[pnl_official]]-MAX($D$3:$D27), NA())</f>
        <v>-4597.6409999999996</v>
      </c>
      <c r="M27" s="450">
        <f>IF(Table15[[#This Row],[pnl_official]]&lt;&gt;"", IF(Table15[[#This Row],[pnl_official]]&gt;0, 0, Table15[[#This Row],[pnl_official]]), NA())</f>
        <v>-3051.7280000000001</v>
      </c>
      <c r="N27" s="97"/>
      <c r="AK27" s="559"/>
      <c r="AU27" s="559"/>
    </row>
    <row r="28" spans="1:47" x14ac:dyDescent="0.25">
      <c r="A28" s="440">
        <v>45951</v>
      </c>
      <c r="B28" s="293">
        <v>26</v>
      </c>
      <c r="C28" s="661">
        <v>-2272</v>
      </c>
      <c r="D28" s="660">
        <f>IF(AND(ISNUMBER(Table15[[#This Row],[pnl_ym]]), ISNUMBER(Table15[[#This Row],[pnl_am]])), (Table15[[#This Row],[pnl_ym]]+Table15[[#This Row],[pnl_am]])/1000, NA())</f>
        <v>-2418.5909999999999</v>
      </c>
      <c r="E28" s="589">
        <v>-2091124</v>
      </c>
      <c r="F28" s="589">
        <v>-327467</v>
      </c>
      <c r="G28" s="423">
        <f>IF(Table15[[#This Row],[pnl_est]] &lt;&gt; "", Table15[[#This Row],[pnl_est]]-$C27, NA())</f>
        <v>603</v>
      </c>
      <c r="H28" s="423">
        <f>IF(Table15[[#This Row],[pnl_official]] &lt;&gt; "", Table15[[#This Row],[pnl_official]]-D27, NA())</f>
        <v>633.13700000000017</v>
      </c>
      <c r="I28" s="450">
        <f t="shared" si="0"/>
        <v>759.99681362226784</v>
      </c>
      <c r="J28" s="568">
        <f>Table15[[#This Row],[pnl_official]]-Table15[[#This Row],[pnl_est]]</f>
        <v>-146.59099999999989</v>
      </c>
      <c r="K28" s="548">
        <f>Table15[[#This Row],[pnl_ym]]/Table15[[#This Row],[pnl_am]]</f>
        <v>6.3857549004937901</v>
      </c>
      <c r="L28" s="450">
        <f>IF(Table15[[#This Row],[pnl_official]]&lt;&gt;"", Table15[[#This Row],[pnl_official]]-MAX($D$3:$D28), NA())</f>
        <v>-3964.5039999999999</v>
      </c>
      <c r="M28" s="450">
        <f>IF(Table15[[#This Row],[pnl_official]]&lt;&gt;"", IF(Table15[[#This Row],[pnl_official]]&gt;0, 0, Table15[[#This Row],[pnl_official]]), NA())</f>
        <v>-2418.5909999999999</v>
      </c>
      <c r="N28" s="97"/>
      <c r="AK28" s="559"/>
      <c r="AU28" s="559"/>
    </row>
    <row r="29" spans="1:47" x14ac:dyDescent="0.25">
      <c r="A29" s="440">
        <v>45952</v>
      </c>
      <c r="B29" s="293">
        <v>27</v>
      </c>
      <c r="C29" s="661">
        <v>-907</v>
      </c>
      <c r="D29" s="660">
        <f>IF(AND(ISNUMBER(Table15[[#This Row],[pnl_ym]]), ISNUMBER(Table15[[#This Row],[pnl_am]])), (Table15[[#This Row],[pnl_ym]]+Table15[[#This Row],[pnl_am]])/1000, NA())</f>
        <v>-1168.8630000000001</v>
      </c>
      <c r="E29" s="589">
        <v>-1026592</v>
      </c>
      <c r="F29" s="589">
        <v>-142271</v>
      </c>
      <c r="G29" s="423">
        <f>IF(Table15[[#This Row],[pnl_est]] &lt;&gt; "", Table15[[#This Row],[pnl_est]]-$C28, NA())</f>
        <v>1365</v>
      </c>
      <c r="H29" s="423">
        <f>IF(Table15[[#This Row],[pnl_official]] &lt;&gt; "", Table15[[#This Row],[pnl_official]]-D28, NA())</f>
        <v>1249.7279999999998</v>
      </c>
      <c r="I29" s="450">
        <f t="shared" si="0"/>
        <v>634.87327760202891</v>
      </c>
      <c r="J29" s="568">
        <f>Table15[[#This Row],[pnl_official]]-Table15[[#This Row],[pnl_est]]</f>
        <v>-261.86300000000006</v>
      </c>
      <c r="K29" s="548">
        <f>Table15[[#This Row],[pnl_ym]]/Table15[[#This Row],[pnl_am]]</f>
        <v>7.2157502231656485</v>
      </c>
      <c r="L29" s="450">
        <f>IF(Table15[[#This Row],[pnl_official]]&lt;&gt;"", Table15[[#This Row],[pnl_official]]-MAX($D$3:$D29), NA())</f>
        <v>-2714.7759999999998</v>
      </c>
      <c r="M29" s="450">
        <f>IF(Table15[[#This Row],[pnl_official]]&lt;&gt;"", IF(Table15[[#This Row],[pnl_official]]&gt;0, 0, Table15[[#This Row],[pnl_official]]), NA())</f>
        <v>-1168.8630000000001</v>
      </c>
      <c r="N29" s="97"/>
      <c r="AK29" s="559"/>
      <c r="AU29" s="559"/>
    </row>
    <row r="30" spans="1:47" x14ac:dyDescent="0.25">
      <c r="A30" s="440">
        <v>45953</v>
      </c>
      <c r="B30" s="293">
        <v>28</v>
      </c>
      <c r="C30" s="661">
        <v>3041</v>
      </c>
      <c r="D30" s="660">
        <f>IF(AND(ISNUMBER(Table15[[#This Row],[pnl_ym]]), ISNUMBER(Table15[[#This Row],[pnl_am]])), (Table15[[#This Row],[pnl_ym]]+Table15[[#This Row],[pnl_am]])/1000, NA())</f>
        <v>2817.8820000000001</v>
      </c>
      <c r="E30" s="589">
        <v>1845373</v>
      </c>
      <c r="F30" s="589">
        <v>972509</v>
      </c>
      <c r="G30" s="423">
        <f>IF(Table15[[#This Row],[pnl_est]] &lt;&gt; "", Table15[[#This Row],[pnl_est]]-$C29, NA())</f>
        <v>3948</v>
      </c>
      <c r="H30" s="423">
        <f>IF(Table15[[#This Row],[pnl_official]] &lt;&gt; "", Table15[[#This Row],[pnl_official]]-D29, NA())</f>
        <v>3986.7449999999999</v>
      </c>
      <c r="I30" s="450">
        <f t="shared" si="0"/>
        <v>1213.0657363528128</v>
      </c>
      <c r="J30" s="568">
        <f>Table15[[#This Row],[pnl_official]]-Table15[[#This Row],[pnl_est]]</f>
        <v>-223.11799999999994</v>
      </c>
      <c r="K30" s="548">
        <f>Table15[[#This Row],[pnl_ym]]/Table15[[#This Row],[pnl_am]]</f>
        <v>1.8975382232966482</v>
      </c>
      <c r="L30" s="450">
        <f>IF(Table15[[#This Row],[pnl_official]]&lt;&gt;"", Table15[[#This Row],[pnl_official]]-MAX($D$3:$D30), NA())</f>
        <v>0</v>
      </c>
      <c r="M30" s="450">
        <f>IF(Table15[[#This Row],[pnl_official]]&lt;&gt;"", IF(Table15[[#This Row],[pnl_official]]&gt;0, 0, Table15[[#This Row],[pnl_official]]), NA())</f>
        <v>0</v>
      </c>
      <c r="N30" s="97"/>
      <c r="AK30" s="559"/>
      <c r="AU30" s="559"/>
    </row>
    <row r="31" spans="1:47" x14ac:dyDescent="0.25">
      <c r="A31" s="440">
        <v>45954</v>
      </c>
      <c r="B31" s="293">
        <v>29</v>
      </c>
      <c r="C31" s="661">
        <v>3114</v>
      </c>
      <c r="D31" s="660">
        <f>IF(AND(ISNUMBER(Table15[[#This Row],[pnl_ym]]), ISNUMBER(Table15[[#This Row],[pnl_am]])), (Table15[[#This Row],[pnl_ym]]+Table15[[#This Row],[pnl_am]])/1000, NA())</f>
        <v>2731.0929999999998</v>
      </c>
      <c r="E31" s="589">
        <v>1760634</v>
      </c>
      <c r="F31" s="589">
        <v>970459</v>
      </c>
      <c r="G31" s="423">
        <f>IF(Table15[[#This Row],[pnl_est]] &lt;&gt; "", Table15[[#This Row],[pnl_est]]-$C30, NA())</f>
        <v>73</v>
      </c>
      <c r="H31" s="423">
        <f>IF(Table15[[#This Row],[pnl_official]] &lt;&gt; "", Table15[[#This Row],[pnl_official]]-D30, NA())</f>
        <v>-86.789000000000215</v>
      </c>
      <c r="I31" s="450">
        <f t="shared" si="0"/>
        <v>1219.0253232265268</v>
      </c>
      <c r="J31" s="568">
        <f>Table15[[#This Row],[pnl_official]]-Table15[[#This Row],[pnl_est]]</f>
        <v>-382.90700000000015</v>
      </c>
      <c r="K31" s="548">
        <f>Table15[[#This Row],[pnl_ym]]/Table15[[#This Row],[pnl_am]]</f>
        <v>1.8142281126765789</v>
      </c>
      <c r="L31" s="450">
        <f>IF(Table15[[#This Row],[pnl_official]]&lt;&gt;"", Table15[[#This Row],[pnl_official]]-MAX($D$3:$D31), NA())</f>
        <v>-86.789000000000215</v>
      </c>
      <c r="M31" s="450">
        <f>IF(Table15[[#This Row],[pnl_official]]&lt;&gt;"", IF(Table15[[#This Row],[pnl_official]]&gt;0, 0, Table15[[#This Row],[pnl_official]]), NA())</f>
        <v>0</v>
      </c>
      <c r="N31" s="97"/>
      <c r="AK31" s="559"/>
      <c r="AU31" s="559"/>
    </row>
    <row r="32" spans="1:47" x14ac:dyDescent="0.25">
      <c r="A32" s="440">
        <v>45957</v>
      </c>
      <c r="B32" s="293">
        <v>30</v>
      </c>
      <c r="C32" s="661">
        <v>3350</v>
      </c>
      <c r="D32" s="663">
        <f>IF(AND(ISNUMBER(Table15[[#This Row],[pnl_ym]]), ISNUMBER(Table15[[#This Row],[pnl_am]])), (Table15[[#This Row],[pnl_ym]]+Table15[[#This Row],[pnl_am]])/1000, NA())</f>
        <v>3029.3910000000001</v>
      </c>
      <c r="E32" s="589">
        <v>2562454</v>
      </c>
      <c r="F32" s="589">
        <v>466937</v>
      </c>
      <c r="G32" s="423">
        <f>IF(Table15[[#This Row],[pnl_est]] &lt;&gt; "", Table15[[#This Row],[pnl_est]]-$C31, NA())</f>
        <v>236</v>
      </c>
      <c r="H32" s="423">
        <f>IF(Table15[[#This Row],[pnl_official]] &lt;&gt; "", Table15[[#This Row],[pnl_official]]-D31, NA())</f>
        <v>298.29800000000023</v>
      </c>
      <c r="I32" s="450">
        <f t="shared" si="0"/>
        <v>1215.325818560585</v>
      </c>
      <c r="J32" s="568">
        <f>Table15[[#This Row],[pnl_official]]-Table15[[#This Row],[pnl_est]]</f>
        <v>-320.60899999999992</v>
      </c>
      <c r="K32" s="548">
        <f>Table15[[#This Row],[pnl_ym]]/Table15[[#This Row],[pnl_am]]</f>
        <v>5.4877938565588078</v>
      </c>
      <c r="L32" s="450">
        <f>IF(Table15[[#This Row],[pnl_official]]&lt;&gt;"", Table15[[#This Row],[pnl_official]]-MAX($D$3:$D32), NA())</f>
        <v>0</v>
      </c>
      <c r="M32" s="450">
        <f>IF(Table15[[#This Row],[pnl_official]]&lt;&gt;"", IF(Table15[[#This Row],[pnl_official]]&gt;0, 0, Table15[[#This Row],[pnl_official]]), NA())</f>
        <v>0</v>
      </c>
      <c r="N32" s="97"/>
      <c r="AK32" s="559"/>
      <c r="AM32" s="51"/>
      <c r="AU32" s="559"/>
    </row>
    <row r="33" spans="1:47" x14ac:dyDescent="0.25">
      <c r="A33" s="440">
        <v>45958</v>
      </c>
      <c r="B33" s="293">
        <v>31</v>
      </c>
      <c r="C33" s="661">
        <v>2600</v>
      </c>
      <c r="D33" s="660">
        <f>IF(AND(ISNUMBER(Table15[[#This Row],[pnl_ym]]), ISNUMBER(Table15[[#This Row],[pnl_am]])), (Table15[[#This Row],[pnl_ym]]+Table15[[#This Row],[pnl_am]])/1000, NA())</f>
        <v>2257.047</v>
      </c>
      <c r="E33" s="589">
        <v>1909655</v>
      </c>
      <c r="F33" s="589">
        <v>347392</v>
      </c>
      <c r="G33" s="423">
        <f>IF(Table15[[#This Row],[pnl_est]] &lt;&gt; "", Table15[[#This Row],[pnl_est]]-$C32, NA())</f>
        <v>-750</v>
      </c>
      <c r="H33" s="423">
        <f>IF(Table15[[#This Row],[pnl_official]] &lt;&gt; "", Table15[[#This Row],[pnl_official]]-D32, NA())</f>
        <v>-772.34400000000005</v>
      </c>
      <c r="I33" s="450">
        <f t="shared" si="0"/>
        <v>1226.3472510981367</v>
      </c>
      <c r="J33" s="568">
        <f>Table15[[#This Row],[pnl_official]]-Table15[[#This Row],[pnl_est]]</f>
        <v>-342.95299999999997</v>
      </c>
      <c r="K33" s="548">
        <f>Table15[[#This Row],[pnl_ym]]/Table15[[#This Row],[pnl_am]]</f>
        <v>5.4971185289240969</v>
      </c>
      <c r="L33" s="450">
        <f>IF(Table15[[#This Row],[pnl_official]]&lt;&gt;"", Table15[[#This Row],[pnl_official]]-MAX($D$3:$D33), NA())</f>
        <v>-772.34400000000005</v>
      </c>
      <c r="M33" s="450">
        <f>IF(Table15[[#This Row],[pnl_official]]&lt;&gt;"", IF(Table15[[#This Row],[pnl_official]]&gt;0, 0, Table15[[#This Row],[pnl_official]]), NA())</f>
        <v>0</v>
      </c>
      <c r="N33" s="97"/>
      <c r="AK33" s="559"/>
      <c r="AU33" s="559"/>
    </row>
    <row r="34" spans="1:47" x14ac:dyDescent="0.25">
      <c r="A34" s="440">
        <v>45959</v>
      </c>
      <c r="B34" s="293">
        <v>32</v>
      </c>
      <c r="C34" s="661">
        <v>2767</v>
      </c>
      <c r="D34" s="660">
        <f>IF(AND(ISNUMBER(Table15[[#This Row],[pnl_ym]]), ISNUMBER(Table15[[#This Row],[pnl_am]])), (Table15[[#This Row],[pnl_ym]]+Table15[[#This Row],[pnl_am]])/1000, NA())</f>
        <v>2428.8339999999998</v>
      </c>
      <c r="E34" s="589">
        <v>2080306</v>
      </c>
      <c r="F34" s="589">
        <v>348528</v>
      </c>
      <c r="G34" s="423">
        <f>IF(Table15[[#This Row],[pnl_est]] &lt;&gt; "", Table15[[#This Row],[pnl_est]]-$C33, NA())</f>
        <v>167</v>
      </c>
      <c r="H34" s="423">
        <f>IF(Table15[[#This Row],[pnl_official]] &lt;&gt; "", Table15[[#This Row],[pnl_official]]-D33, NA())</f>
        <v>171.78699999999981</v>
      </c>
      <c r="I34" s="450">
        <f t="shared" si="0"/>
        <v>1222.7970390215671</v>
      </c>
      <c r="J34" s="568">
        <f>Table15[[#This Row],[pnl_official]]-Table15[[#This Row],[pnl_est]]</f>
        <v>-338.16600000000017</v>
      </c>
      <c r="K34" s="548">
        <f>Table15[[#This Row],[pnl_ym]]/Table15[[#This Row],[pnl_am]]</f>
        <v>5.9688346416930633</v>
      </c>
      <c r="L34" s="450">
        <f>IF(Table15[[#This Row],[pnl_official]]&lt;&gt;"", Table15[[#This Row],[pnl_official]]-MAX($D$3:$D34), NA())</f>
        <v>-600.55700000000024</v>
      </c>
      <c r="M34" s="450">
        <f>IF(Table15[[#This Row],[pnl_official]]&lt;&gt;"", IF(Table15[[#This Row],[pnl_official]]&gt;0, 0, Table15[[#This Row],[pnl_official]]), NA())</f>
        <v>0</v>
      </c>
      <c r="N34" s="97"/>
      <c r="AK34" s="559"/>
      <c r="AU34" s="559"/>
    </row>
    <row r="35" spans="1:47" x14ac:dyDescent="0.25">
      <c r="A35" s="440">
        <v>45960</v>
      </c>
      <c r="B35" s="293">
        <v>33</v>
      </c>
      <c r="C35" s="661">
        <v>2768</v>
      </c>
      <c r="D35" s="660">
        <f>IF(AND(ISNUMBER(Table15[[#This Row],[pnl_ym]]), ISNUMBER(Table15[[#This Row],[pnl_am]])), (Table15[[#This Row],[pnl_ym]]+Table15[[#This Row],[pnl_am]])/1000, NA())</f>
        <v>2442.4769999999999</v>
      </c>
      <c r="E35" s="589">
        <v>2064761</v>
      </c>
      <c r="F35" s="589">
        <v>377716</v>
      </c>
      <c r="G35" s="423">
        <f>IF(Table15[[#This Row],[pnl_est]] &lt;&gt; "", Table15[[#This Row],[pnl_est]]-$C34, NA())</f>
        <v>1</v>
      </c>
      <c r="H35" s="423">
        <f>IF(Table15[[#This Row],[pnl_official]] &lt;&gt; "", Table15[[#This Row],[pnl_official]]-D34, NA())</f>
        <v>13.643000000000029</v>
      </c>
      <c r="I35" s="450">
        <f t="shared" si="0"/>
        <v>1191.7492096202839</v>
      </c>
      <c r="J35" s="568">
        <f>Table15[[#This Row],[pnl_official]]-Table15[[#This Row],[pnl_est]]</f>
        <v>-325.52300000000014</v>
      </c>
      <c r="K35" s="548">
        <f>Table15[[#This Row],[pnl_ym]]/Table15[[#This Row],[pnl_am]]</f>
        <v>5.466437746878607</v>
      </c>
      <c r="L35" s="450">
        <f>IF(Table15[[#This Row],[pnl_official]]&lt;&gt;"", Table15[[#This Row],[pnl_official]]-MAX($D$3:$D35), NA())</f>
        <v>-586.91400000000021</v>
      </c>
      <c r="M35" s="450">
        <f>IF(Table15[[#This Row],[pnl_official]]&lt;&gt;"", IF(Table15[[#This Row],[pnl_official]]&gt;0, 0, Table15[[#This Row],[pnl_official]]), NA())</f>
        <v>0</v>
      </c>
      <c r="N35" s="97"/>
      <c r="AK35" s="559"/>
      <c r="AU35" s="559"/>
    </row>
    <row r="36" spans="1:47" x14ac:dyDescent="0.25">
      <c r="A36" s="440">
        <v>45961</v>
      </c>
      <c r="B36" s="293">
        <v>34</v>
      </c>
      <c r="C36" s="661">
        <v>2846</v>
      </c>
      <c r="D36" s="660">
        <f>IF(AND(ISNUMBER(Table15[[#This Row],[pnl_ym]]), ISNUMBER(Table15[[#This Row],[pnl_am]])), (Table15[[#This Row],[pnl_ym]]+Table15[[#This Row],[pnl_am]])/1000, NA())</f>
        <v>2556.902</v>
      </c>
      <c r="E36" s="589">
        <v>2158738</v>
      </c>
      <c r="F36" s="589">
        <v>398164</v>
      </c>
      <c r="G36" s="423">
        <f>IF(Table15[[#This Row],[pnl_est]] &lt;&gt; "", Table15[[#This Row],[pnl_est]]-$C35, NA())</f>
        <v>78</v>
      </c>
      <c r="H36" s="423">
        <f>IF(Table15[[#This Row],[pnl_official]] &lt;&gt; "", Table15[[#This Row],[pnl_official]]-D35, NA())</f>
        <v>114.42500000000018</v>
      </c>
      <c r="I36" s="450">
        <f t="shared" si="0"/>
        <v>1192.7748130250693</v>
      </c>
      <c r="J36" s="568">
        <f>Table15[[#This Row],[pnl_official]]-Table15[[#This Row],[pnl_est]]</f>
        <v>-289.09799999999996</v>
      </c>
      <c r="K36" s="548">
        <f>Table15[[#This Row],[pnl_ym]]/Table15[[#This Row],[pnl_am]]</f>
        <v>5.4217307441154903</v>
      </c>
      <c r="L36" s="450">
        <f>IF(Table15[[#This Row],[pnl_official]]&lt;&gt;"", Table15[[#This Row],[pnl_official]]-MAX($D$3:$D36), NA())</f>
        <v>-472.48900000000003</v>
      </c>
      <c r="M36" s="450">
        <f>IF(Table15[[#This Row],[pnl_official]]&lt;&gt;"", IF(Table15[[#This Row],[pnl_official]]&gt;0, 0, Table15[[#This Row],[pnl_official]]), NA())</f>
        <v>0</v>
      </c>
      <c r="N36" s="97"/>
      <c r="AK36" s="559"/>
      <c r="AU36" s="559"/>
    </row>
    <row r="37" spans="1:47" x14ac:dyDescent="0.25">
      <c r="A37" s="440">
        <v>45964</v>
      </c>
      <c r="B37" s="293">
        <v>35</v>
      </c>
      <c r="C37" s="661">
        <v>2607</v>
      </c>
      <c r="D37" s="660">
        <f>IF(AND(ISNUMBER(Table15[[#This Row],[pnl_ym]]), ISNUMBER(Table15[[#This Row],[pnl_am]])), (Table15[[#This Row],[pnl_ym]]+Table15[[#This Row],[pnl_am]])/1000, NA())</f>
        <v>2262.2539999999999</v>
      </c>
      <c r="E37" s="589">
        <v>1894710</v>
      </c>
      <c r="F37" s="589">
        <v>367544</v>
      </c>
      <c r="G37" s="423">
        <f>IF(Table15[[#This Row],[pnl_est]] &lt;&gt; "", Table15[[#This Row],[pnl_est]]-$C36, NA())</f>
        <v>-239</v>
      </c>
      <c r="H37" s="423">
        <f>IF(Table15[[#This Row],[pnl_official]] &lt;&gt; "", Table15[[#This Row],[pnl_official]]-D36, NA())</f>
        <v>-294.64800000000014</v>
      </c>
      <c r="I37" s="450">
        <f t="shared" si="0"/>
        <v>1183.3854252584538</v>
      </c>
      <c r="J37" s="568">
        <f>Table15[[#This Row],[pnl_official]]-Table15[[#This Row],[pnl_est]]</f>
        <v>-344.74600000000009</v>
      </c>
      <c r="K37" s="548">
        <f>Table15[[#This Row],[pnl_ym]]/Table15[[#This Row],[pnl_am]]</f>
        <v>5.1550562653723091</v>
      </c>
      <c r="L37" s="450">
        <f>IF(Table15[[#This Row],[pnl_official]]&lt;&gt;"", Table15[[#This Row],[pnl_official]]-MAX($D$3:$D37), NA())</f>
        <v>-767.13700000000017</v>
      </c>
      <c r="M37" s="450">
        <f>IF(Table15[[#This Row],[pnl_official]]&lt;&gt;"", IF(Table15[[#This Row],[pnl_official]]&gt;0, 0, Table15[[#This Row],[pnl_official]]), NA())</f>
        <v>0</v>
      </c>
      <c r="N37" s="97"/>
      <c r="AK37" s="559"/>
      <c r="AU37" s="559"/>
    </row>
    <row r="38" spans="1:47" x14ac:dyDescent="0.25">
      <c r="A38" s="440">
        <v>45965</v>
      </c>
      <c r="B38" s="293">
        <v>36</v>
      </c>
      <c r="C38" s="661">
        <v>1891</v>
      </c>
      <c r="D38" s="660">
        <f>IF(AND(ISNUMBER(Table15[[#This Row],[pnl_ym]]), ISNUMBER(Table15[[#This Row],[pnl_am]])), (Table15[[#This Row],[pnl_ym]]+Table15[[#This Row],[pnl_am]])/1000, NA())</f>
        <v>1620.625</v>
      </c>
      <c r="E38" s="589">
        <v>1357187</v>
      </c>
      <c r="F38" s="589">
        <v>263438</v>
      </c>
      <c r="G38" s="423">
        <f>IF(Table15[[#This Row],[pnl_est]] &lt;&gt; "", Table15[[#This Row],[pnl_est]]-$C37, NA())</f>
        <v>-716</v>
      </c>
      <c r="H38" s="423">
        <f>IF(Table15[[#This Row],[pnl_official]] &lt;&gt; "", Table15[[#This Row],[pnl_official]]-D37, NA())</f>
        <v>-641.62899999999991</v>
      </c>
      <c r="I38" s="450">
        <f t="shared" si="0"/>
        <v>1175.6814515738695</v>
      </c>
      <c r="J38" s="568">
        <f>Table15[[#This Row],[pnl_official]]-Table15[[#This Row],[pnl_est]]</f>
        <v>-270.375</v>
      </c>
      <c r="K38" s="548">
        <f>Table15[[#This Row],[pnl_ym]]/Table15[[#This Row],[pnl_am]]</f>
        <v>5.1518269953461537</v>
      </c>
      <c r="L38" s="450">
        <f>IF(Table15[[#This Row],[pnl_official]]&lt;&gt;"", Table15[[#This Row],[pnl_official]]-MAX($D$3:$D38), NA())</f>
        <v>-1408.7660000000001</v>
      </c>
      <c r="M38" s="450">
        <f>IF(Table15[[#This Row],[pnl_official]]&lt;&gt;"", IF(Table15[[#This Row],[pnl_official]]&gt;0, 0, Table15[[#This Row],[pnl_official]]), NA())</f>
        <v>0</v>
      </c>
      <c r="N38" s="97"/>
      <c r="AK38" s="559"/>
      <c r="AU38" s="559"/>
    </row>
    <row r="39" spans="1:47" x14ac:dyDescent="0.25">
      <c r="A39" s="440">
        <v>45966</v>
      </c>
      <c r="B39" s="293">
        <v>37</v>
      </c>
      <c r="C39" s="661">
        <v>1309</v>
      </c>
      <c r="D39" s="660">
        <f>IF(AND(ISNUMBER(Table15[[#This Row],[pnl_ym]]), ISNUMBER(Table15[[#This Row],[pnl_am]])), (Table15[[#This Row],[pnl_ym]]+Table15[[#This Row],[pnl_am]])/1000, NA())</f>
        <v>1117.8030000000001</v>
      </c>
      <c r="E39" s="589">
        <v>944106</v>
      </c>
      <c r="F39" s="589">
        <v>173697</v>
      </c>
      <c r="G39" s="423">
        <f>IF(Table15[[#This Row],[pnl_est]] &lt;&gt; "", Table15[[#This Row],[pnl_est]]-$C38, NA())</f>
        <v>-582</v>
      </c>
      <c r="H39" s="423">
        <f>IF(Table15[[#This Row],[pnl_official]] &lt;&gt; "", Table15[[#This Row],[pnl_official]]-D38, NA())</f>
        <v>-502.82199999999989</v>
      </c>
      <c r="I39" s="450">
        <f t="shared" si="0"/>
        <v>1194.4405031557249</v>
      </c>
      <c r="J39" s="568">
        <f>Table15[[#This Row],[pnl_official]]-Table15[[#This Row],[pnl_est]]</f>
        <v>-191.19699999999989</v>
      </c>
      <c r="K39" s="548">
        <f>Table15[[#This Row],[pnl_ym]]/Table15[[#This Row],[pnl_am]]</f>
        <v>5.4353615779201716</v>
      </c>
      <c r="L39" s="450">
        <f>IF(Table15[[#This Row],[pnl_official]]&lt;&gt;"", Table15[[#This Row],[pnl_official]]-MAX($D$3:$D39), NA())</f>
        <v>-1911.588</v>
      </c>
      <c r="M39" s="450">
        <f>IF(Table15[[#This Row],[pnl_official]]&lt;&gt;"", IF(Table15[[#This Row],[pnl_official]]&gt;0, 0, Table15[[#This Row],[pnl_official]]), NA())</f>
        <v>0</v>
      </c>
      <c r="N39" s="97"/>
      <c r="AK39" s="559"/>
      <c r="AU39" s="559"/>
    </row>
    <row r="40" spans="1:47" x14ac:dyDescent="0.25">
      <c r="A40" s="440">
        <v>45967</v>
      </c>
      <c r="B40" s="293">
        <v>38</v>
      </c>
      <c r="C40" s="661">
        <v>793</v>
      </c>
      <c r="D40" s="660">
        <f>IF(AND(ISNUMBER(Table15[[#This Row],[pnl_ym]]), ISNUMBER(Table15[[#This Row],[pnl_am]])), (Table15[[#This Row],[pnl_ym]]+Table15[[#This Row],[pnl_am]])/1000, NA())</f>
        <v>583.71100000000001</v>
      </c>
      <c r="E40" s="589">
        <v>493501</v>
      </c>
      <c r="F40" s="589">
        <v>90210</v>
      </c>
      <c r="G40" s="423">
        <f>IF(Table15[[#This Row],[pnl_est]] &lt;&gt; "", Table15[[#This Row],[pnl_est]]-$C39, NA())</f>
        <v>-516</v>
      </c>
      <c r="H40" s="423">
        <f>IF(Table15[[#This Row],[pnl_official]] &lt;&gt; "", Table15[[#This Row],[pnl_official]]-D39, NA())</f>
        <v>-534.0920000000001</v>
      </c>
      <c r="I40" s="450">
        <f t="shared" si="0"/>
        <v>1196.7933788049406</v>
      </c>
      <c r="J40" s="568">
        <f>Table15[[#This Row],[pnl_official]]-Table15[[#This Row],[pnl_est]]</f>
        <v>-209.28899999999999</v>
      </c>
      <c r="K40" s="548">
        <f>Table15[[#This Row],[pnl_ym]]/Table15[[#This Row],[pnl_am]]</f>
        <v>5.4705797583416471</v>
      </c>
      <c r="L40" s="450">
        <f>IF(Table15[[#This Row],[pnl_official]]&lt;&gt;"", Table15[[#This Row],[pnl_official]]-MAX($D$3:$D40), NA())</f>
        <v>-2445.6800000000003</v>
      </c>
      <c r="M40" s="450">
        <f>IF(Table15[[#This Row],[pnl_official]]&lt;&gt;"", IF(Table15[[#This Row],[pnl_official]]&gt;0, 0, Table15[[#This Row],[pnl_official]]), NA())</f>
        <v>0</v>
      </c>
      <c r="N40" s="97"/>
      <c r="AK40" s="559"/>
      <c r="AU40" s="559"/>
    </row>
    <row r="41" spans="1:47" x14ac:dyDescent="0.25">
      <c r="A41" s="440">
        <v>45968</v>
      </c>
      <c r="B41" s="293">
        <v>39</v>
      </c>
      <c r="C41" s="661">
        <v>1197</v>
      </c>
      <c r="D41" s="660">
        <f>IF(AND(ISNUMBER(Table15[[#This Row],[pnl_ym]]), ISNUMBER(Table15[[#This Row],[pnl_am]])), (Table15[[#This Row],[pnl_ym]]+Table15[[#This Row],[pnl_am]])/1000, NA())</f>
        <v>856.13099999999997</v>
      </c>
      <c r="E41" s="589">
        <v>720865</v>
      </c>
      <c r="F41" s="589">
        <v>135266</v>
      </c>
      <c r="G41" s="423">
        <f>IF(Table15[[#This Row],[pnl_est]] &lt;&gt; "", Table15[[#This Row],[pnl_est]]-$C40, NA())</f>
        <v>404</v>
      </c>
      <c r="H41" s="423">
        <f>IF(Table15[[#This Row],[pnl_official]] &lt;&gt; "", Table15[[#This Row],[pnl_official]]-D40, NA())</f>
        <v>272.41999999999996</v>
      </c>
      <c r="I41" s="450">
        <f t="shared" si="0"/>
        <v>1196.5536417988235</v>
      </c>
      <c r="J41" s="568">
        <f>Table15[[#This Row],[pnl_official]]-Table15[[#This Row],[pnl_est]]</f>
        <v>-340.86900000000003</v>
      </c>
      <c r="K41" s="548">
        <f>Table15[[#This Row],[pnl_ym]]/Table15[[#This Row],[pnl_am]]</f>
        <v>5.3292401638253519</v>
      </c>
      <c r="L41" s="450">
        <f>IF(Table15[[#This Row],[pnl_official]]&lt;&gt;"", Table15[[#This Row],[pnl_official]]-MAX($D$3:$D41), NA())</f>
        <v>-2173.2600000000002</v>
      </c>
      <c r="M41" s="450">
        <f>IF(Table15[[#This Row],[pnl_official]]&lt;&gt;"", IF(Table15[[#This Row],[pnl_official]]&gt;0, 0, Table15[[#This Row],[pnl_official]]), NA())</f>
        <v>0</v>
      </c>
      <c r="N41" s="97"/>
      <c r="AK41" s="559"/>
      <c r="AU41" s="559"/>
    </row>
    <row r="42" spans="1:47" x14ac:dyDescent="0.25">
      <c r="A42" s="440">
        <v>45971</v>
      </c>
      <c r="B42" s="293">
        <v>40</v>
      </c>
      <c r="C42" s="661">
        <v>1152</v>
      </c>
      <c r="D42" s="660">
        <f>IF(AND(ISNUMBER(Table15[[#This Row],[pnl_ym]]), ISNUMBER(Table15[[#This Row],[pnl_am]])), (Table15[[#This Row],[pnl_ym]]+Table15[[#This Row],[pnl_am]])/1000, NA())</f>
        <v>1043.1310000000001</v>
      </c>
      <c r="E42" s="589">
        <v>870989</v>
      </c>
      <c r="F42" s="589">
        <v>172142</v>
      </c>
      <c r="G42" s="423">
        <f>IF(Table15[[#This Row],[pnl_est]] &lt;&gt; "", Table15[[#This Row],[pnl_est]]-$C41, NA())</f>
        <v>-45</v>
      </c>
      <c r="H42" s="423">
        <f>IF(Table15[[#This Row],[pnl_official]] &lt;&gt; "", Table15[[#This Row],[pnl_official]]-D41, NA())</f>
        <v>187.00000000000011</v>
      </c>
      <c r="I42" s="450">
        <f t="shared" si="0"/>
        <v>1192.3338613726542</v>
      </c>
      <c r="J42" s="568">
        <f>Table15[[#This Row],[pnl_official]]-Table15[[#This Row],[pnl_est]]</f>
        <v>-108.86899999999991</v>
      </c>
      <c r="K42" s="548">
        <f>Table15[[#This Row],[pnl_ym]]/Table15[[#This Row],[pnl_am]]</f>
        <v>5.0597123305178284</v>
      </c>
      <c r="L42" s="450">
        <f>IF(Table15[[#This Row],[pnl_official]]&lt;&gt;"", Table15[[#This Row],[pnl_official]]-MAX($D$3:$D42), NA())</f>
        <v>-1986.26</v>
      </c>
      <c r="M42" s="450">
        <f>IF(Table15[[#This Row],[pnl_official]]&lt;&gt;"", IF(Table15[[#This Row],[pnl_official]]&gt;0, 0, Table15[[#This Row],[pnl_official]]), NA())</f>
        <v>0</v>
      </c>
      <c r="N42" s="97"/>
      <c r="AK42" s="559"/>
      <c r="AU42" s="559"/>
    </row>
    <row r="43" spans="1:47" x14ac:dyDescent="0.25">
      <c r="A43" s="440">
        <v>45972</v>
      </c>
      <c r="B43" s="293">
        <v>41</v>
      </c>
      <c r="C43" s="661">
        <v>2084</v>
      </c>
      <c r="D43" s="660">
        <f>IF(AND(ISNUMBER(Table15[[#This Row],[pnl_ym]]), ISNUMBER(Table15[[#This Row],[pnl_am]])), (Table15[[#This Row],[pnl_ym]]+Table15[[#This Row],[pnl_am]])/1000, NA())</f>
        <v>1709.5139999999999</v>
      </c>
      <c r="E43" s="589">
        <v>1420438</v>
      </c>
      <c r="F43" s="589">
        <v>289076</v>
      </c>
      <c r="G43" s="423">
        <f>IF(Table15[[#This Row],[pnl_est]] &lt;&gt; "", Table15[[#This Row],[pnl_est]]-$C42, NA())</f>
        <v>932</v>
      </c>
      <c r="H43" s="423">
        <f>IF(Table15[[#This Row],[pnl_official]] &lt;&gt; "", Table15[[#This Row],[pnl_official]]-D42, NA())</f>
        <v>666.38299999999981</v>
      </c>
      <c r="I43" s="450">
        <f t="shared" si="0"/>
        <v>1164.4742222094258</v>
      </c>
      <c r="J43" s="568">
        <f>Table15[[#This Row],[pnl_official]]-Table15[[#This Row],[pnl_est]]</f>
        <v>-374.4860000000001</v>
      </c>
      <c r="K43" s="548">
        <f>Table15[[#This Row],[pnl_ym]]/Table15[[#This Row],[pnl_am]]</f>
        <v>4.9137181917558008</v>
      </c>
      <c r="L43" s="450">
        <f>IF(Table15[[#This Row],[pnl_official]]&lt;&gt;"", Table15[[#This Row],[pnl_official]]-MAX($D$3:$D43), NA())</f>
        <v>-1319.8770000000002</v>
      </c>
      <c r="M43" s="450">
        <f>IF(Table15[[#This Row],[pnl_official]]&lt;&gt;"", IF(Table15[[#This Row],[pnl_official]]&gt;0, 0, Table15[[#This Row],[pnl_official]]), NA())</f>
        <v>0</v>
      </c>
      <c r="N43" s="97"/>
      <c r="AK43" s="559"/>
      <c r="AU43" s="559"/>
    </row>
    <row r="44" spans="1:47" x14ac:dyDescent="0.25">
      <c r="A44" s="440">
        <v>45973</v>
      </c>
      <c r="B44" s="293">
        <v>42</v>
      </c>
      <c r="C44" s="661">
        <v>1004</v>
      </c>
      <c r="D44" s="660">
        <f>IF(AND(ISNUMBER(Table15[[#This Row],[pnl_ym]]), ISNUMBER(Table15[[#This Row],[pnl_am]])), (Table15[[#This Row],[pnl_ym]]+Table15[[#This Row],[pnl_am]])/1000, NA())</f>
        <v>680.13499999999999</v>
      </c>
      <c r="E44" s="589">
        <v>595348</v>
      </c>
      <c r="F44" s="589">
        <v>84787</v>
      </c>
      <c r="G44" s="423">
        <f>IF(Table15[[#This Row],[pnl_est]] &lt;&gt; "", Table15[[#This Row],[pnl_est]]-$C43, NA())</f>
        <v>-1080</v>
      </c>
      <c r="H44" s="423">
        <f>IF(Table15[[#This Row],[pnl_official]] &lt;&gt; "", Table15[[#This Row],[pnl_official]]-D43, NA())</f>
        <v>-1029.3789999999999</v>
      </c>
      <c r="I44" s="450">
        <f t="shared" si="0"/>
        <v>485.07350145077987</v>
      </c>
      <c r="J44" s="568">
        <f>Table15[[#This Row],[pnl_official]]-Table15[[#This Row],[pnl_est]]</f>
        <v>-323.86500000000001</v>
      </c>
      <c r="K44" s="548">
        <f>Table15[[#This Row],[pnl_ym]]/Table15[[#This Row],[pnl_am]]</f>
        <v>7.0216896458183449</v>
      </c>
      <c r="L44" s="450">
        <f>IF(Table15[[#This Row],[pnl_official]]&lt;&gt;"", Table15[[#This Row],[pnl_official]]-MAX($D$3:$D44), NA())</f>
        <v>-2349.2560000000003</v>
      </c>
      <c r="M44" s="450">
        <f>IF(Table15[[#This Row],[pnl_official]]&lt;&gt;"", IF(Table15[[#This Row],[pnl_official]]&gt;0, 0, Table15[[#This Row],[pnl_official]]), NA())</f>
        <v>0</v>
      </c>
      <c r="N44" s="97"/>
      <c r="AK44" s="559"/>
      <c r="AU44" s="559"/>
    </row>
    <row r="45" spans="1:47" x14ac:dyDescent="0.25">
      <c r="A45" s="440">
        <v>45974</v>
      </c>
      <c r="B45" s="293">
        <v>43</v>
      </c>
      <c r="C45" s="661">
        <v>1248</v>
      </c>
      <c r="D45" s="660">
        <f>IF(AND(ISNUMBER(Table15[[#This Row],[pnl_ym]]), ISNUMBER(Table15[[#This Row],[pnl_am]])), (Table15[[#This Row],[pnl_ym]]+Table15[[#This Row],[pnl_am]])/1000, NA())</f>
        <v>874.00199999999995</v>
      </c>
      <c r="E45" s="589">
        <v>762217</v>
      </c>
      <c r="F45" s="589">
        <v>111785</v>
      </c>
      <c r="G45" s="423">
        <f>IF(Table15[[#This Row],[pnl_est]] &lt;&gt; "", Table15[[#This Row],[pnl_est]]-$C44, NA())</f>
        <v>244</v>
      </c>
      <c r="H45" s="423">
        <f>IF(Table15[[#This Row],[pnl_official]] &lt;&gt; "", Table15[[#This Row],[pnl_official]]-D44, NA())</f>
        <v>193.86699999999996</v>
      </c>
      <c r="I45" s="450">
        <f t="shared" si="0"/>
        <v>493.72897839489087</v>
      </c>
      <c r="J45" s="568">
        <f>Table15[[#This Row],[pnl_official]]-Table15[[#This Row],[pnl_est]]</f>
        <v>-373.99800000000005</v>
      </c>
      <c r="K45" s="548">
        <f>Table15[[#This Row],[pnl_ym]]/Table15[[#This Row],[pnl_am]]</f>
        <v>6.8185982019054432</v>
      </c>
      <c r="L45" s="450">
        <f>IF(Table15[[#This Row],[pnl_official]]&lt;&gt;"", Table15[[#This Row],[pnl_official]]-MAX($D$3:$D45), NA())</f>
        <v>-2155.3890000000001</v>
      </c>
      <c r="M45" s="450">
        <f>IF(Table15[[#This Row],[pnl_official]]&lt;&gt;"", IF(Table15[[#This Row],[pnl_official]]&gt;0, 0, Table15[[#This Row],[pnl_official]]), NA())</f>
        <v>0</v>
      </c>
      <c r="N45" s="97"/>
      <c r="AK45" s="559"/>
      <c r="AU45" s="559"/>
    </row>
    <row r="46" spans="1:47" x14ac:dyDescent="0.25">
      <c r="A46" s="440">
        <v>45975</v>
      </c>
      <c r="B46" s="293">
        <v>44</v>
      </c>
      <c r="C46" s="661">
        <v>2001</v>
      </c>
      <c r="D46" s="660">
        <f>IF(AND(ISNUMBER(Table15[[#This Row],[pnl_ym]]), ISNUMBER(Table15[[#This Row],[pnl_am]])), (Table15[[#This Row],[pnl_ym]]+Table15[[#This Row],[pnl_am]])/1000, NA())</f>
        <v>1825.123</v>
      </c>
      <c r="E46" s="589">
        <v>1554411</v>
      </c>
      <c r="F46" s="589">
        <v>270712</v>
      </c>
      <c r="G46" s="423">
        <f>IF(Table15[[#This Row],[pnl_est]] &lt;&gt; "", Table15[[#This Row],[pnl_est]]-$C45, NA())</f>
        <v>753</v>
      </c>
      <c r="H46" s="423">
        <f>IF(Table15[[#This Row],[pnl_official]] &lt;&gt; "", Table15[[#This Row],[pnl_official]]-D45, NA())</f>
        <v>951.12100000000009</v>
      </c>
      <c r="I46" s="450">
        <f t="shared" si="0"/>
        <v>563.46382311021353</v>
      </c>
      <c r="J46" s="568">
        <f>Table15[[#This Row],[pnl_official]]-Table15[[#This Row],[pnl_est]]</f>
        <v>-175.87699999999995</v>
      </c>
      <c r="K46" s="548">
        <f>Table15[[#This Row],[pnl_ym]]/Table15[[#This Row],[pnl_am]]</f>
        <v>5.741936079671385</v>
      </c>
      <c r="L46" s="450">
        <f>IF(Table15[[#This Row],[pnl_official]]&lt;&gt;"", Table15[[#This Row],[pnl_official]]-MAX($D$3:$D46), NA())</f>
        <v>-1204.268</v>
      </c>
      <c r="M46" s="450">
        <f>IF(Table15[[#This Row],[pnl_official]]&lt;&gt;"", IF(Table15[[#This Row],[pnl_official]]&gt;0, 0, Table15[[#This Row],[pnl_official]]), NA())</f>
        <v>0</v>
      </c>
      <c r="N46" s="97"/>
      <c r="AK46" s="559"/>
      <c r="AP46" s="553"/>
      <c r="AU46" s="559"/>
    </row>
    <row r="47" spans="1:47" x14ac:dyDescent="0.25">
      <c r="A47" s="440">
        <v>45978</v>
      </c>
      <c r="B47" s="293">
        <v>45</v>
      </c>
      <c r="C47" s="661">
        <v>1709</v>
      </c>
      <c r="D47" s="660">
        <f>IF(AND(ISNUMBER(Table15[[#This Row],[pnl_ym]]), ISNUMBER(Table15[[#This Row],[pnl_am]])), (Table15[[#This Row],[pnl_ym]]+Table15[[#This Row],[pnl_am]])/1000, NA())</f>
        <v>2095.123</v>
      </c>
      <c r="E47" s="589">
        <v>1779869</v>
      </c>
      <c r="F47" s="589">
        <v>315254</v>
      </c>
      <c r="G47" s="423">
        <f>IF(Table15[[#This Row],[pnl_est]] &lt;&gt; "", Table15[[#This Row],[pnl_est]]-$C46, NA())</f>
        <v>-292</v>
      </c>
      <c r="H47" s="423">
        <f>IF(Table15[[#This Row],[pnl_official]] &lt;&gt; "", Table15[[#This Row],[pnl_official]]-D46, NA())</f>
        <v>270</v>
      </c>
      <c r="I47" s="450">
        <f t="shared" si="0"/>
        <v>533.88930523759029</v>
      </c>
      <c r="J47" s="568">
        <f>Table15[[#This Row],[pnl_official]]-Table15[[#This Row],[pnl_est]]</f>
        <v>386.12300000000005</v>
      </c>
      <c r="K47" s="548">
        <f>Table15[[#This Row],[pnl_ym]]/Table15[[#This Row],[pnl_am]]</f>
        <v>5.6458252710512795</v>
      </c>
      <c r="L47" s="450">
        <f>IF(Table15[[#This Row],[pnl_official]]&lt;&gt;"", Table15[[#This Row],[pnl_official]]-MAX($D$3:$D47), NA())</f>
        <v>-934.26800000000003</v>
      </c>
      <c r="M47" s="450">
        <f>IF(Table15[[#This Row],[pnl_official]]&lt;&gt;"", IF(Table15[[#This Row],[pnl_official]]&gt;0, 0, Table15[[#This Row],[pnl_official]]), NA())</f>
        <v>0</v>
      </c>
      <c r="N47" s="97"/>
      <c r="AK47" s="559"/>
      <c r="AU47" s="559"/>
    </row>
    <row r="48" spans="1:47" x14ac:dyDescent="0.25">
      <c r="A48" s="440">
        <v>45979</v>
      </c>
      <c r="B48" s="293">
        <v>46</v>
      </c>
      <c r="C48" s="661">
        <v>1697</v>
      </c>
      <c r="D48" s="660">
        <f>IF(AND(ISNUMBER(Table15[[#This Row],[pnl_ym]]), ISNUMBER(Table15[[#This Row],[pnl_am]])), (Table15[[#This Row],[pnl_ym]]+Table15[[#This Row],[pnl_am]])/1000, NA())</f>
        <v>1580.883</v>
      </c>
      <c r="E48" s="589">
        <v>1368557</v>
      </c>
      <c r="F48" s="589">
        <v>212326</v>
      </c>
      <c r="G48" s="423">
        <f>IF(Table15[[#This Row],[pnl_est]] &lt;&gt; "", Table15[[#This Row],[pnl_est]]-$C47, NA())</f>
        <v>-12</v>
      </c>
      <c r="H48" s="423">
        <f>IF(Table15[[#This Row],[pnl_official]] &lt;&gt; "", Table15[[#This Row],[pnl_official]]-D47, NA())</f>
        <v>-514.24</v>
      </c>
      <c r="I48" s="450">
        <f t="shared" si="0"/>
        <v>547.08580784053709</v>
      </c>
      <c r="J48" s="568">
        <f>Table15[[#This Row],[pnl_official]]-Table15[[#This Row],[pnl_est]]</f>
        <v>-116.11699999999996</v>
      </c>
      <c r="K48" s="548">
        <f>Table15[[#This Row],[pnl_ym]]/Table15[[#This Row],[pnl_am]]</f>
        <v>6.4455460000188394</v>
      </c>
      <c r="L48" s="450">
        <f>IF(Table15[[#This Row],[pnl_official]]&lt;&gt;"", Table15[[#This Row],[pnl_official]]-MAX($D$3:$D48), NA())</f>
        <v>-1448.508</v>
      </c>
      <c r="M48" s="450">
        <f>IF(Table15[[#This Row],[pnl_official]]&lt;&gt;"", IF(Table15[[#This Row],[pnl_official]]&gt;0, 0, Table15[[#This Row],[pnl_official]]), NA())</f>
        <v>0</v>
      </c>
      <c r="N48" s="97"/>
      <c r="AK48" s="559"/>
      <c r="AU48" s="559"/>
    </row>
    <row r="49" spans="1:47" x14ac:dyDescent="0.25">
      <c r="A49" s="440">
        <v>45980</v>
      </c>
      <c r="B49" s="293">
        <v>47</v>
      </c>
      <c r="C49" s="661">
        <v>303</v>
      </c>
      <c r="D49" s="660">
        <f>IF(AND(ISNUMBER(Table15[[#This Row],[pnl_ym]]), ISNUMBER(Table15[[#This Row],[pnl_am]])), (Table15[[#This Row],[pnl_ym]]+Table15[[#This Row],[pnl_am]])/1000, NA())</f>
        <v>78.298000000000002</v>
      </c>
      <c r="E49" s="589">
        <v>95294</v>
      </c>
      <c r="F49" s="589">
        <v>-16996</v>
      </c>
      <c r="G49" s="423">
        <f>IF(Table15[[#This Row],[pnl_est]] &lt;&gt; "", Table15[[#This Row],[pnl_est]]-$C48, NA())</f>
        <v>-1394</v>
      </c>
      <c r="H49" s="423">
        <f>IF(Table15[[#This Row],[pnl_official]] &lt;&gt; "", Table15[[#This Row],[pnl_official]]-D48, NA())</f>
        <v>-1502.585</v>
      </c>
      <c r="I49" s="450">
        <f t="shared" si="0"/>
        <v>667.98393015809597</v>
      </c>
      <c r="J49" s="568">
        <f>Table15[[#This Row],[pnl_official]]-Table15[[#This Row],[pnl_est]]</f>
        <v>-224.702</v>
      </c>
      <c r="K49" s="548">
        <f>Table15[[#This Row],[pnl_ym]]/Table15[[#This Row],[pnl_am]]</f>
        <v>-5.606848670275359</v>
      </c>
      <c r="L49" s="450">
        <f>IF(Table15[[#This Row],[pnl_official]]&lt;&gt;"", Table15[[#This Row],[pnl_official]]-MAX($D$3:$D49), NA())</f>
        <v>-2951.0929999999998</v>
      </c>
      <c r="M49" s="450">
        <f>IF(Table15[[#This Row],[pnl_official]]&lt;&gt;"", IF(Table15[[#This Row],[pnl_official]]&gt;0, 0, Table15[[#This Row],[pnl_official]]), NA())</f>
        <v>0</v>
      </c>
      <c r="N49" s="97"/>
      <c r="AK49" s="559"/>
      <c r="AU49" s="559"/>
    </row>
    <row r="50" spans="1:47" x14ac:dyDescent="0.25">
      <c r="A50" s="440">
        <v>45981</v>
      </c>
      <c r="B50" s="293">
        <v>48</v>
      </c>
      <c r="C50" s="661">
        <v>1531</v>
      </c>
      <c r="D50" s="660">
        <f>IF(AND(ISNUMBER(Table15[[#This Row],[pnl_ym]]), ISNUMBER(Table15[[#This Row],[pnl_am]])), (Table15[[#This Row],[pnl_ym]]+Table15[[#This Row],[pnl_am]])/1000, NA())</f>
        <v>1373.309</v>
      </c>
      <c r="E50" s="589">
        <v>1195689</v>
      </c>
      <c r="F50" s="589">
        <v>177620</v>
      </c>
      <c r="G50" s="423">
        <f>IF(Table15[[#This Row],[pnl_est]] &lt;&gt; "", Table15[[#This Row],[pnl_est]]-$C49, NA())</f>
        <v>1228</v>
      </c>
      <c r="H50" s="423">
        <f>IF(Table15[[#This Row],[pnl_official]] &lt;&gt; "", Table15[[#This Row],[pnl_official]]-D49, NA())</f>
        <v>1295.011</v>
      </c>
      <c r="I50" s="450">
        <f t="shared" si="0"/>
        <v>772.79554011002131</v>
      </c>
      <c r="J50" s="568">
        <f>Table15[[#This Row],[pnl_official]]-Table15[[#This Row],[pnl_est]]</f>
        <v>-157.69100000000003</v>
      </c>
      <c r="K50" s="548">
        <f>Table15[[#This Row],[pnl_ym]]/Table15[[#This Row],[pnl_am]]</f>
        <v>6.7317250309649816</v>
      </c>
      <c r="L50" s="450">
        <f>IF(Table15[[#This Row],[pnl_official]]&lt;&gt;"", Table15[[#This Row],[pnl_official]]-MAX($D$3:$D50), NA())</f>
        <v>-1656.0820000000001</v>
      </c>
      <c r="M50" s="450">
        <f>IF(Table15[[#This Row],[pnl_official]]&lt;&gt;"", IF(Table15[[#This Row],[pnl_official]]&gt;0, 0, Table15[[#This Row],[pnl_official]]), NA())</f>
        <v>0</v>
      </c>
      <c r="N50" s="97"/>
      <c r="AK50" s="559"/>
      <c r="AU50" s="559"/>
    </row>
    <row r="51" spans="1:47" x14ac:dyDescent="0.25">
      <c r="A51" s="440">
        <v>45982</v>
      </c>
      <c r="B51" s="293">
        <v>49</v>
      </c>
      <c r="C51" s="661">
        <v>303</v>
      </c>
      <c r="D51" s="660">
        <f>IF(AND(ISNUMBER(Table15[[#This Row],[pnl_ym]]), ISNUMBER(Table15[[#This Row],[pnl_am]])), (Table15[[#This Row],[pnl_ym]]+Table15[[#This Row],[pnl_am]])/1000, NA())</f>
        <v>78.298000000000002</v>
      </c>
      <c r="E51" s="589">
        <v>95294</v>
      </c>
      <c r="F51" s="589">
        <v>-16996</v>
      </c>
      <c r="G51" s="423">
        <f>IF(Table15[[#This Row],[pnl_est]] &lt;&gt; "", Table15[[#This Row],[pnl_est]]-$C50, NA())</f>
        <v>-1228</v>
      </c>
      <c r="H51" s="423">
        <f>IF(Table15[[#This Row],[pnl_official]] &lt;&gt; "", Table15[[#This Row],[pnl_official]]-D50, NA())</f>
        <v>-1295.011</v>
      </c>
      <c r="I51" s="450">
        <f t="shared" ref="I51:I63" si="1">_xlfn.STDEV.S(H38:H51)</f>
        <v>837.2747837146652</v>
      </c>
      <c r="J51" s="568">
        <f>Table15[[#This Row],[pnl_official]]-Table15[[#This Row],[pnl_est]]</f>
        <v>-224.702</v>
      </c>
      <c r="K51" s="548">
        <f>Table15[[#This Row],[pnl_ym]]/Table15[[#This Row],[pnl_am]]</f>
        <v>-5.606848670275359</v>
      </c>
      <c r="L51" s="450">
        <f>IF(Table15[[#This Row],[pnl_official]]&lt;&gt;"", Table15[[#This Row],[pnl_official]]-MAX($D$3:$D51), NA())</f>
        <v>-2951.0929999999998</v>
      </c>
      <c r="M51" s="450">
        <f>IF(Table15[[#This Row],[pnl_official]]&lt;&gt;"", IF(Table15[[#This Row],[pnl_official]]&gt;0, 0, Table15[[#This Row],[pnl_official]]), NA())</f>
        <v>0</v>
      </c>
      <c r="N51" s="97"/>
      <c r="AK51" s="559"/>
      <c r="AU51" s="559"/>
    </row>
    <row r="52" spans="1:47" x14ac:dyDescent="0.25">
      <c r="A52" s="440">
        <v>45985</v>
      </c>
      <c r="B52" s="293">
        <v>50</v>
      </c>
      <c r="C52" s="661">
        <v>428</v>
      </c>
      <c r="D52" s="660">
        <f>IF(AND(ISNUMBER(Table15[[#This Row],[pnl_ym]]), ISNUMBER(Table15[[#This Row],[pnl_am]])), (Table15[[#This Row],[pnl_ym]]+Table15[[#This Row],[pnl_am]])/1000, NA())</f>
        <v>225.13800000000001</v>
      </c>
      <c r="E52" s="589">
        <v>208996</v>
      </c>
      <c r="F52" s="589">
        <v>16142</v>
      </c>
      <c r="G52" s="423">
        <f>IF(Table15[[#This Row],[pnl_est]] &lt;&gt; "", Table15[[#This Row],[pnl_est]]-$C51, NA())</f>
        <v>125</v>
      </c>
      <c r="H52" s="423">
        <f>IF(Table15[[#This Row],[pnl_official]] &lt;&gt; "", Table15[[#This Row],[pnl_official]]-D51, NA())</f>
        <v>146.84</v>
      </c>
      <c r="I52" s="450">
        <f t="shared" si="1"/>
        <v>828.56889848967967</v>
      </c>
      <c r="J52" s="568">
        <f>Table15[[#This Row],[pnl_official]]-Table15[[#This Row],[pnl_est]]</f>
        <v>-202.86199999999999</v>
      </c>
      <c r="K52" s="548">
        <f>Table15[[#This Row],[pnl_ym]]/Table15[[#This Row],[pnl_am]]</f>
        <v>12.947342336761244</v>
      </c>
      <c r="L52" s="450">
        <f>IF(Table15[[#This Row],[pnl_official]]&lt;&gt;"", Table15[[#This Row],[pnl_official]]-MAX($D$3:$D52), NA())</f>
        <v>-2804.2530000000002</v>
      </c>
      <c r="M52" s="450">
        <f>IF(Table15[[#This Row],[pnl_official]]&lt;&gt;"", IF(Table15[[#This Row],[pnl_official]]&gt;0, 0, Table15[[#This Row],[pnl_official]]), NA())</f>
        <v>0</v>
      </c>
      <c r="N52" s="97"/>
    </row>
    <row r="53" spans="1:47" x14ac:dyDescent="0.25">
      <c r="A53" s="440">
        <v>45986</v>
      </c>
      <c r="B53" s="293">
        <v>51</v>
      </c>
      <c r="C53" s="661">
        <v>-62</v>
      </c>
      <c r="D53" s="660">
        <f>IF(AND(ISNUMBER(Table15[[#This Row],[pnl_ym]]), ISNUMBER(Table15[[#This Row],[pnl_am]])), (Table15[[#This Row],[pnl_ym]]+Table15[[#This Row],[pnl_am]])/1000, NA())</f>
        <v>-318.93700000000001</v>
      </c>
      <c r="E53" s="589">
        <v>-243641</v>
      </c>
      <c r="F53" s="589">
        <v>-75296</v>
      </c>
      <c r="G53" s="423">
        <f>IF(Table15[[#This Row],[pnl_est]] &lt;&gt; "", Table15[[#This Row],[pnl_est]]-$C52, NA())</f>
        <v>-490</v>
      </c>
      <c r="H53" s="423">
        <f>IF(Table15[[#This Row],[pnl_official]] &lt;&gt; "", Table15[[#This Row],[pnl_official]]-D52, NA())</f>
        <v>-544.07500000000005</v>
      </c>
      <c r="I53" s="450">
        <f t="shared" si="1"/>
        <v>830.18466595176915</v>
      </c>
      <c r="J53" s="568">
        <f>Table15[[#This Row],[pnl_official]]-Table15[[#This Row],[pnl_est]]</f>
        <v>-256.93700000000001</v>
      </c>
      <c r="K53" s="548">
        <f>Table15[[#This Row],[pnl_ym]]/Table15[[#This Row],[pnl_am]]</f>
        <v>3.2357761368465789</v>
      </c>
      <c r="L53" s="450">
        <f>IF(Table15[[#This Row],[pnl_official]]&lt;&gt;"", Table15[[#This Row],[pnl_official]]-MAX($D$3:$D53), NA())</f>
        <v>-3348.328</v>
      </c>
      <c r="M53" s="450">
        <f>IF(Table15[[#This Row],[pnl_official]]&lt;&gt;"", IF(Table15[[#This Row],[pnl_official]]&gt;0, 0, Table15[[#This Row],[pnl_official]]), NA())</f>
        <v>-318.93700000000001</v>
      </c>
      <c r="N53" s="97"/>
    </row>
    <row r="54" spans="1:47" x14ac:dyDescent="0.25">
      <c r="A54" s="440">
        <v>45987</v>
      </c>
      <c r="B54" s="293">
        <v>52</v>
      </c>
      <c r="C54" s="661">
        <v>24</v>
      </c>
      <c r="D54" s="660">
        <f>IF(AND(ISNUMBER(Table15[[#This Row],[pnl_ym]]), ISNUMBER(Table15[[#This Row],[pnl_am]])), (Table15[[#This Row],[pnl_ym]]+Table15[[#This Row],[pnl_am]])/1000, NA())</f>
        <v>-144.64099999999999</v>
      </c>
      <c r="E54" s="589">
        <v>-104454</v>
      </c>
      <c r="F54" s="589">
        <v>-40187</v>
      </c>
      <c r="G54" s="423">
        <f>IF(Table15[[#This Row],[pnl_est]] &lt;&gt; "", Table15[[#This Row],[pnl_est]]-$C53, NA())</f>
        <v>86</v>
      </c>
      <c r="H54" s="423">
        <f>IF(Table15[[#This Row],[pnl_official]] &lt;&gt; "", Table15[[#This Row],[pnl_official]]-D53, NA())</f>
        <v>174.29600000000002</v>
      </c>
      <c r="I54" s="450">
        <f t="shared" si="1"/>
        <v>823.42447064391331</v>
      </c>
      <c r="J54" s="568">
        <f>Table15[[#This Row],[pnl_official]]-Table15[[#This Row],[pnl_est]]</f>
        <v>-168.64099999999999</v>
      </c>
      <c r="K54" s="548">
        <f>Table15[[#This Row],[pnl_ym]]/Table15[[#This Row],[pnl_am]]</f>
        <v>2.5991987458630899</v>
      </c>
      <c r="L54" s="450">
        <f>IF(Table15[[#This Row],[pnl_official]]&lt;&gt;"", Table15[[#This Row],[pnl_official]]-MAX($D$3:$D54), NA())</f>
        <v>-3174.0320000000002</v>
      </c>
      <c r="M54" s="450">
        <f>IF(Table15[[#This Row],[pnl_official]]&lt;&gt;"", IF(Table15[[#This Row],[pnl_official]]&gt;0, 0, Table15[[#This Row],[pnl_official]]), NA())</f>
        <v>-144.64099999999999</v>
      </c>
      <c r="N54" s="97"/>
    </row>
    <row r="55" spans="1:47" x14ac:dyDescent="0.25">
      <c r="A55" s="440">
        <v>45988</v>
      </c>
      <c r="B55" s="293">
        <v>53</v>
      </c>
      <c r="C55" s="661">
        <v>222</v>
      </c>
      <c r="D55" s="660">
        <f>IF(AND(ISNUMBER(Table15[[#This Row],[pnl_ym]]), ISNUMBER(Table15[[#This Row],[pnl_am]])), (Table15[[#This Row],[pnl_ym]]+Table15[[#This Row],[pnl_am]])/1000, NA())</f>
        <v>-128.77600000000001</v>
      </c>
      <c r="E55" s="589">
        <v>-94640</v>
      </c>
      <c r="F55" s="589">
        <v>-34136</v>
      </c>
      <c r="G55" s="423">
        <f>IF(Table15[[#This Row],[pnl_est]] &lt;&gt; "", Table15[[#This Row],[pnl_est]]-$C54, NA())</f>
        <v>198</v>
      </c>
      <c r="H55" s="423">
        <f>IF(Table15[[#This Row],[pnl_official]] &lt;&gt; "", Table15[[#This Row],[pnl_official]]-D54, NA())</f>
        <v>15.864999999999981</v>
      </c>
      <c r="I55" s="450">
        <f t="shared" si="1"/>
        <v>818.48852836702793</v>
      </c>
      <c r="J55" s="568">
        <f>Table15[[#This Row],[pnl_official]]-Table15[[#This Row],[pnl_est]]</f>
        <v>-350.77600000000001</v>
      </c>
      <c r="K55" s="548">
        <f>Table15[[#This Row],[pnl_ym]]/Table15[[#This Row],[pnl_am]]</f>
        <v>2.7724396531520976</v>
      </c>
      <c r="L55" s="450">
        <f>IF(Table15[[#This Row],[pnl_official]]&lt;&gt;"", Table15[[#This Row],[pnl_official]]-MAX($D$3:$D55), NA())</f>
        <v>-3158.1669999999999</v>
      </c>
      <c r="M55" s="450">
        <f>IF(Table15[[#This Row],[pnl_official]]&lt;&gt;"", IF(Table15[[#This Row],[pnl_official]]&gt;0, 0, Table15[[#This Row],[pnl_official]]), NA())</f>
        <v>-128.77600000000001</v>
      </c>
      <c r="N55" s="97"/>
    </row>
    <row r="56" spans="1:47" x14ac:dyDescent="0.25">
      <c r="A56" s="440">
        <v>45989</v>
      </c>
      <c r="B56" s="293">
        <v>54</v>
      </c>
      <c r="C56" s="661">
        <v>195</v>
      </c>
      <c r="D56" s="660">
        <f>IF(AND(ISNUMBER(Table15[[#This Row],[pnl_ym]]), ISNUMBER(Table15[[#This Row],[pnl_am]])), (Table15[[#This Row],[pnl_ym]]+Table15[[#This Row],[pnl_am]])/1000, NA())</f>
        <v>210.684</v>
      </c>
      <c r="E56" s="589">
        <v>207375</v>
      </c>
      <c r="F56" s="589">
        <v>3309</v>
      </c>
      <c r="G56" s="423">
        <f>IF(Table15[[#This Row],[pnl_est]] &lt;&gt; "", Table15[[#This Row],[pnl_est]]-$C55, NA())</f>
        <v>-27</v>
      </c>
      <c r="H56" s="423">
        <f>IF(Table15[[#This Row],[pnl_official]] &lt;&gt; "", Table15[[#This Row],[pnl_official]]-D55, NA())</f>
        <v>339.46000000000004</v>
      </c>
      <c r="I56" s="450">
        <f t="shared" si="1"/>
        <v>823.17678260923071</v>
      </c>
      <c r="J56" s="568">
        <f>Table15[[#This Row],[pnl_official]]-Table15[[#This Row],[pnl_est]]</f>
        <v>15.683999999999997</v>
      </c>
      <c r="K56" s="548">
        <f>Table15[[#This Row],[pnl_ym]]/Table15[[#This Row],[pnl_am]]</f>
        <v>62.669990933816862</v>
      </c>
      <c r="L56" s="450">
        <f>IF(Table15[[#This Row],[pnl_official]]&lt;&gt;"", Table15[[#This Row],[pnl_official]]-MAX($D$3:$D56), NA())</f>
        <v>-2818.7069999999999</v>
      </c>
      <c r="M56" s="450">
        <f>IF(Table15[[#This Row],[pnl_official]]&lt;&gt;"", IF(Table15[[#This Row],[pnl_official]]&gt;0, 0, Table15[[#This Row],[pnl_official]]), NA())</f>
        <v>0</v>
      </c>
      <c r="N56" s="97"/>
    </row>
    <row r="57" spans="1:47" x14ac:dyDescent="0.25">
      <c r="A57" s="440">
        <v>45992</v>
      </c>
      <c r="B57" s="293">
        <v>55</v>
      </c>
      <c r="C57" s="661">
        <v>566</v>
      </c>
      <c r="D57" s="660">
        <f>IF(AND(ISNUMBER(Table15[[#This Row],[pnl_ym]]), ISNUMBER(Table15[[#This Row],[pnl_am]])), (Table15[[#This Row],[pnl_ym]]+Table15[[#This Row],[pnl_am]])/1000, NA())</f>
        <v>254.404</v>
      </c>
      <c r="E57" s="589">
        <v>240275</v>
      </c>
      <c r="F57" s="589">
        <v>14129</v>
      </c>
      <c r="G57" s="423">
        <f>IF(Table15[[#This Row],[pnl_est]] &lt;&gt; "", Table15[[#This Row],[pnl_est]]-$C56, NA())</f>
        <v>371</v>
      </c>
      <c r="H57" s="423">
        <f>IF(Table15[[#This Row],[pnl_official]] &lt;&gt; "", Table15[[#This Row],[pnl_official]]-D56, NA())</f>
        <v>43.72</v>
      </c>
      <c r="I57" s="450">
        <f t="shared" si="1"/>
        <v>797.35930104532827</v>
      </c>
      <c r="J57" s="568">
        <f>Table15[[#This Row],[pnl_official]]-Table15[[#This Row],[pnl_est]]</f>
        <v>-311.596</v>
      </c>
      <c r="K57" s="548">
        <f>Table15[[#This Row],[pnl_ym]]/Table15[[#This Row],[pnl_am]]</f>
        <v>17.005803666218416</v>
      </c>
      <c r="L57" s="450">
        <f>IF(Table15[[#This Row],[pnl_official]]&lt;&gt;"", Table15[[#This Row],[pnl_official]]-MAX($D$3:$D57), NA())</f>
        <v>-2774.9870000000001</v>
      </c>
      <c r="M57" s="450">
        <f>IF(Table15[[#This Row],[pnl_official]]&lt;&gt;"", IF(Table15[[#This Row],[pnl_official]]&gt;0, 0, Table15[[#This Row],[pnl_official]]), NA())</f>
        <v>0</v>
      </c>
      <c r="N57" s="97"/>
    </row>
    <row r="58" spans="1:47" x14ac:dyDescent="0.25">
      <c r="A58" s="440">
        <v>45993</v>
      </c>
      <c r="B58" s="293">
        <v>56</v>
      </c>
      <c r="C58" s="661">
        <v>512</v>
      </c>
      <c r="D58" s="660">
        <f>IF(AND(ISNUMBER(Table15[[#This Row],[pnl_ym]]), ISNUMBER(Table15[[#This Row],[pnl_am]])), (Table15[[#This Row],[pnl_ym]]+Table15[[#This Row],[pnl_am]])/1000, NA())</f>
        <v>212.82400000000001</v>
      </c>
      <c r="E58" s="589">
        <v>206954</v>
      </c>
      <c r="F58" s="589">
        <v>5870</v>
      </c>
      <c r="G58" s="423">
        <f>IF(Table15[[#This Row],[pnl_est]] &lt;&gt; "", Table15[[#This Row],[pnl_est]]-$C57, NA())</f>
        <v>-54</v>
      </c>
      <c r="H58" s="423">
        <f>IF(Table15[[#This Row],[pnl_official]] &lt;&gt; "", Table15[[#This Row],[pnl_official]]-D57, NA())</f>
        <v>-41.579999999999984</v>
      </c>
      <c r="I58" s="450">
        <f t="shared" si="1"/>
        <v>751.55798594536088</v>
      </c>
      <c r="J58" s="568">
        <f>Table15[[#This Row],[pnl_official]]-Table15[[#This Row],[pnl_est]]</f>
        <v>-299.17599999999999</v>
      </c>
      <c r="K58" s="548">
        <f>Table15[[#This Row],[pnl_ym]]/Table15[[#This Row],[pnl_am]]</f>
        <v>35.256218057921636</v>
      </c>
      <c r="L58" s="450">
        <f>IF(Table15[[#This Row],[pnl_official]]&lt;&gt;"", Table15[[#This Row],[pnl_official]]-MAX($D$3:$D58), NA())</f>
        <v>-2816.567</v>
      </c>
      <c r="M58" s="450">
        <f>IF(Table15[[#This Row],[pnl_official]]&lt;&gt;"", IF(Table15[[#This Row],[pnl_official]]&gt;0, 0, Table15[[#This Row],[pnl_official]]), NA())</f>
        <v>0</v>
      </c>
      <c r="N58" s="97"/>
    </row>
    <row r="59" spans="1:47" x14ac:dyDescent="0.25">
      <c r="A59" s="440">
        <v>45994</v>
      </c>
      <c r="B59" s="293">
        <v>57</v>
      </c>
      <c r="C59" s="661">
        <v>402</v>
      </c>
      <c r="D59" s="660">
        <f>IF(AND(ISNUMBER(Table15[[#This Row],[pnl_ym]]), ISNUMBER(Table15[[#This Row],[pnl_am]])), (Table15[[#This Row],[pnl_ym]]+Table15[[#This Row],[pnl_am]])/1000, NA())</f>
        <v>131.48599999999999</v>
      </c>
      <c r="E59" s="589">
        <v>133740</v>
      </c>
      <c r="F59" s="589">
        <v>-2254</v>
      </c>
      <c r="G59" s="423">
        <f>IF(Table15[[#This Row],[pnl_est]] &lt;&gt; "", Table15[[#This Row],[pnl_est]]-$C58, NA())</f>
        <v>-110</v>
      </c>
      <c r="H59" s="423">
        <f>IF(Table15[[#This Row],[pnl_official]] &lt;&gt; "", Table15[[#This Row],[pnl_official]]-D58, NA())</f>
        <v>-81.338000000000022</v>
      </c>
      <c r="I59" s="450">
        <f t="shared" si="1"/>
        <v>748.75083477029182</v>
      </c>
      <c r="J59" s="568">
        <f>Table15[[#This Row],[pnl_official]]-Table15[[#This Row],[pnl_est]]</f>
        <v>-270.51400000000001</v>
      </c>
      <c r="K59" s="548">
        <f>Table15[[#This Row],[pnl_ym]]/Table15[[#This Row],[pnl_am]]</f>
        <v>-59.33451641526176</v>
      </c>
      <c r="L59" s="450">
        <f>IF(Table15[[#This Row],[pnl_official]]&lt;&gt;"", Table15[[#This Row],[pnl_official]]-MAX($D$3:$D59), NA())</f>
        <v>-2897.9050000000002</v>
      </c>
      <c r="M59" s="450">
        <f>IF(Table15[[#This Row],[pnl_official]]&lt;&gt;"", IF(Table15[[#This Row],[pnl_official]]&gt;0, 0, Table15[[#This Row],[pnl_official]]), NA())</f>
        <v>0</v>
      </c>
      <c r="N59" s="97"/>
    </row>
    <row r="60" spans="1:47" x14ac:dyDescent="0.25">
      <c r="A60" s="440">
        <v>45995</v>
      </c>
      <c r="B60" s="293">
        <v>58</v>
      </c>
      <c r="C60" s="661">
        <v>600</v>
      </c>
      <c r="D60" s="660">
        <f>IF(AND(ISNUMBER(Table15[[#This Row],[pnl_ym]]), ISNUMBER(Table15[[#This Row],[pnl_am]])), (Table15[[#This Row],[pnl_ym]]+Table15[[#This Row],[pnl_am]])/1000, NA())</f>
        <v>285.32600000000002</v>
      </c>
      <c r="E60" s="589">
        <v>270865</v>
      </c>
      <c r="F60" s="589">
        <v>14461</v>
      </c>
      <c r="G60" s="423">
        <f>IF(Table15[[#This Row],[pnl_est]] &lt;&gt; "", Table15[[#This Row],[pnl_est]]-$C59, NA())</f>
        <v>198</v>
      </c>
      <c r="H60" s="423">
        <f>IF(Table15[[#This Row],[pnl_official]] &lt;&gt; "", Table15[[#This Row],[pnl_official]]-D59, NA())</f>
        <v>153.84000000000003</v>
      </c>
      <c r="I60" s="450">
        <f t="shared" si="1"/>
        <v>694.88363853976966</v>
      </c>
      <c r="J60" s="568">
        <f>Table15[[#This Row],[pnl_official]]-Table15[[#This Row],[pnl_est]]</f>
        <v>-314.67399999999998</v>
      </c>
      <c r="K60" s="548">
        <f>Table15[[#This Row],[pnl_ym]]/Table15[[#This Row],[pnl_am]]</f>
        <v>18.730724016319755</v>
      </c>
      <c r="L60" s="450">
        <f>IF(Table15[[#This Row],[pnl_official]]&lt;&gt;"", Table15[[#This Row],[pnl_official]]-MAX($D$3:$D60), NA())</f>
        <v>-2744.0650000000001</v>
      </c>
      <c r="M60" s="450">
        <f>IF(Table15[[#This Row],[pnl_official]]&lt;&gt;"", IF(Table15[[#This Row],[pnl_official]]&gt;0, 0, Table15[[#This Row],[pnl_official]]), NA())</f>
        <v>0</v>
      </c>
      <c r="N60" s="97"/>
    </row>
    <row r="61" spans="1:47" x14ac:dyDescent="0.25">
      <c r="A61" s="440">
        <v>45996</v>
      </c>
      <c r="B61" s="293">
        <v>59</v>
      </c>
      <c r="C61" s="661">
        <v>754</v>
      </c>
      <c r="D61" s="660">
        <f>IF(AND(ISNUMBER(Table15[[#This Row],[pnl_ym]]), ISNUMBER(Table15[[#This Row],[pnl_am]])), (Table15[[#This Row],[pnl_ym]]+Table15[[#This Row],[pnl_am]])/1000, NA())</f>
        <v>294.17500000000001</v>
      </c>
      <c r="E61" s="589">
        <v>278456</v>
      </c>
      <c r="F61" s="589">
        <v>15719</v>
      </c>
      <c r="G61" s="423">
        <f>IF(Table15[[#This Row],[pnl_est]] &lt;&gt; "", Table15[[#This Row],[pnl_est]]-$C60, NA())</f>
        <v>154</v>
      </c>
      <c r="H61" s="423">
        <f>IF(Table15[[#This Row],[pnl_official]] &lt;&gt; "", Table15[[#This Row],[pnl_official]]-D60, NA())</f>
        <v>8.8489999999999895</v>
      </c>
      <c r="I61" s="450">
        <f t="shared" si="1"/>
        <v>687.36306413197758</v>
      </c>
      <c r="J61" s="568">
        <f>Table15[[#This Row],[pnl_official]]-Table15[[#This Row],[pnl_est]]</f>
        <v>-459.82499999999999</v>
      </c>
      <c r="K61" s="548">
        <f>Table15[[#This Row],[pnl_ym]]/Table15[[#This Row],[pnl_am]]</f>
        <v>17.714612888860614</v>
      </c>
      <c r="L61" s="450">
        <f>IF(Table15[[#This Row],[pnl_official]]&lt;&gt;"", Table15[[#This Row],[pnl_official]]-MAX($D$3:$D61), NA())</f>
        <v>-2735.2159999999999</v>
      </c>
      <c r="M61" s="450">
        <f>IF(Table15[[#This Row],[pnl_official]]&lt;&gt;"", IF(Table15[[#This Row],[pnl_official]]&gt;0, 0, Table15[[#This Row],[pnl_official]]), NA())</f>
        <v>0</v>
      </c>
      <c r="N61" s="97"/>
    </row>
    <row r="62" spans="1:47" x14ac:dyDescent="0.25">
      <c r="A62" s="440">
        <v>45999</v>
      </c>
      <c r="B62" s="293">
        <v>60</v>
      </c>
      <c r="C62" s="661">
        <v>259</v>
      </c>
      <c r="D62" s="660">
        <f>IF(AND(ISNUMBER(Table15[[#This Row],[pnl_ym]]), ISNUMBER(Table15[[#This Row],[pnl_am]])), (Table15[[#This Row],[pnl_ym]]+Table15[[#This Row],[pnl_am]])/1000, NA())</f>
        <v>-57.889000000000003</v>
      </c>
      <c r="E62" s="589">
        <v>-17242</v>
      </c>
      <c r="F62" s="589">
        <v>-40647</v>
      </c>
      <c r="G62" s="423">
        <f>IF(Table15[[#This Row],[pnl_est]] &lt;&gt; "", Table15[[#This Row],[pnl_est]]-$C61, NA())</f>
        <v>-495</v>
      </c>
      <c r="H62" s="423">
        <f>IF(Table15[[#This Row],[pnl_official]] &lt;&gt; "", Table15[[#This Row],[pnl_official]]-D61, NA())</f>
        <v>-352.06400000000002</v>
      </c>
      <c r="I62" s="450">
        <f t="shared" si="1"/>
        <v>681.70802254922751</v>
      </c>
      <c r="J62" s="568">
        <f>Table15[[#This Row],[pnl_official]]-Table15[[#This Row],[pnl_est]]</f>
        <v>-316.88900000000001</v>
      </c>
      <c r="K62" s="548">
        <f>Table15[[#This Row],[pnl_ym]]/Table15[[#This Row],[pnl_am]]</f>
        <v>0.42418874701700005</v>
      </c>
      <c r="L62" s="450">
        <f>IF(Table15[[#This Row],[pnl_official]]&lt;&gt;"", Table15[[#This Row],[pnl_official]]-MAX($D$3:$D62), NA())</f>
        <v>-3087.28</v>
      </c>
      <c r="M62" s="450">
        <f>IF(Table15[[#This Row],[pnl_official]]&lt;&gt;"", IF(Table15[[#This Row],[pnl_official]]&gt;0, 0, Table15[[#This Row],[pnl_official]]), NA())</f>
        <v>-57.889000000000003</v>
      </c>
      <c r="N62" s="97"/>
    </row>
    <row r="63" spans="1:47" x14ac:dyDescent="0.25">
      <c r="A63" s="440">
        <v>46000</v>
      </c>
      <c r="B63" s="293">
        <v>61</v>
      </c>
      <c r="C63" s="661">
        <v>-391</v>
      </c>
      <c r="D63" s="660">
        <f>IF(AND(ISNUMBER(Table15[[#This Row],[pnl_ym]]), ISNUMBER(Table15[[#This Row],[pnl_am]])), (Table15[[#This Row],[pnl_ym]]+Table15[[#This Row],[pnl_am]])/1000, NA())</f>
        <v>-698.96400000000006</v>
      </c>
      <c r="E63" s="589">
        <v>-570371</v>
      </c>
      <c r="F63" s="589">
        <v>-128593</v>
      </c>
      <c r="G63" s="423">
        <f>IF(Table15[[#This Row],[pnl_est]] &lt;&gt; "", Table15[[#This Row],[pnl_est]]-$C62, NA())</f>
        <v>-650</v>
      </c>
      <c r="H63" s="423">
        <f>IF(Table15[[#This Row],[pnl_official]] &lt;&gt; "", Table15[[#This Row],[pnl_official]]-D62, NA())</f>
        <v>-641.07500000000005</v>
      </c>
      <c r="I63" s="450">
        <f t="shared" si="1"/>
        <v>578.01552688559775</v>
      </c>
      <c r="J63" s="568">
        <f>Table15[[#This Row],[pnl_official]]-Table15[[#This Row],[pnl_est]]</f>
        <v>-307.96400000000006</v>
      </c>
      <c r="K63" s="548">
        <f>Table15[[#This Row],[pnl_ym]]/Table15[[#This Row],[pnl_am]]</f>
        <v>4.4354747147978504</v>
      </c>
      <c r="L63" s="450">
        <f>IF(Table15[[#This Row],[pnl_official]]&lt;&gt;"", Table15[[#This Row],[pnl_official]]-MAX($D$3:$D63), NA())</f>
        <v>-3728.355</v>
      </c>
      <c r="M63" s="450">
        <f>IF(Table15[[#This Row],[pnl_official]]&lt;&gt;"", IF(Table15[[#This Row],[pnl_official]]&gt;0, 0, Table15[[#This Row],[pnl_official]]), NA())</f>
        <v>-698.96400000000006</v>
      </c>
      <c r="N63" s="97"/>
    </row>
    <row r="64" spans="1:47" x14ac:dyDescent="0.25">
      <c r="A64" s="440">
        <v>46001</v>
      </c>
      <c r="B64" s="293">
        <v>62</v>
      </c>
      <c r="C64" s="661">
        <v>-585</v>
      </c>
      <c r="D64" s="660">
        <f>IF(AND(ISNUMBER(Table15[[#This Row],[pnl_ym]]), ISNUMBER(Table15[[#This Row],[pnl_am]])), (Table15[[#This Row],[pnl_ym]]+Table15[[#This Row],[pnl_am]])/1000, NA())</f>
        <v>-876.14800000000002</v>
      </c>
      <c r="E64" s="589">
        <v>-688176</v>
      </c>
      <c r="F64" s="589">
        <v>-187972</v>
      </c>
      <c r="G64" s="423">
        <f>IF(Table15[[#This Row],[pnl_est]] &lt;&gt; "", Table15[[#This Row],[pnl_est]]-$C63, NA())</f>
        <v>-194</v>
      </c>
      <c r="H64" s="423">
        <f>IF(Table15[[#This Row],[pnl_official]] &lt;&gt; "", Table15[[#This Row],[pnl_official]]-D63, NA())</f>
        <v>-177.18399999999997</v>
      </c>
      <c r="I64" s="450">
        <f t="shared" si="0"/>
        <v>427.81969419240693</v>
      </c>
      <c r="J64" s="568">
        <f>Table15[[#This Row],[pnl_official]]-Table15[[#This Row],[pnl_est]]</f>
        <v>-291.14800000000002</v>
      </c>
      <c r="K64" s="548">
        <f>Table15[[#This Row],[pnl_ym]]/Table15[[#This Row],[pnl_am]]</f>
        <v>3.6610559019428424</v>
      </c>
      <c r="L64" s="450">
        <f>IF(Table15[[#This Row],[pnl_official]]&lt;&gt;"", Table15[[#This Row],[pnl_official]]-MAX($D$3:$D64), NA())</f>
        <v>-3905.5390000000002</v>
      </c>
      <c r="M64" s="450">
        <f>IF(Table15[[#This Row],[pnl_official]]&lt;&gt;"", IF(Table15[[#This Row],[pnl_official]]&gt;0, 0, Table15[[#This Row],[pnl_official]]), NA())</f>
        <v>-876.14800000000002</v>
      </c>
      <c r="N64" s="97"/>
    </row>
    <row r="65" spans="1:14" x14ac:dyDescent="0.25">
      <c r="A65" s="440">
        <v>46002</v>
      </c>
      <c r="B65" s="293">
        <v>63</v>
      </c>
      <c r="C65" s="661">
        <v>-467</v>
      </c>
      <c r="D65" s="660">
        <f>IF(AND(ISNUMBER(Table15[[#This Row],[pnl_ym]]), ISNUMBER(Table15[[#This Row],[pnl_am]])), (Table15[[#This Row],[pnl_ym]]+Table15[[#This Row],[pnl_am]])/1000, NA())</f>
        <v>-829.50699999999995</v>
      </c>
      <c r="E65" s="589">
        <v>-780213</v>
      </c>
      <c r="F65" s="589">
        <v>-49294</v>
      </c>
      <c r="G65" s="423">
        <f>IF(Table15[[#This Row],[pnl_est]] &lt;&gt; "", Table15[[#This Row],[pnl_est]]-$C64, NA())</f>
        <v>118</v>
      </c>
      <c r="H65" s="423">
        <f>IF(Table15[[#This Row],[pnl_official]] &lt;&gt; "", Table15[[#This Row],[pnl_official]]-D64, NA())</f>
        <v>46.641000000000076</v>
      </c>
      <c r="I65" s="450">
        <f t="shared" si="0"/>
        <v>278.32956481126377</v>
      </c>
      <c r="J65" s="568">
        <f>Table15[[#This Row],[pnl_official]]-Table15[[#This Row],[pnl_est]]</f>
        <v>-362.50699999999995</v>
      </c>
      <c r="K65" s="548">
        <f>Table15[[#This Row],[pnl_ym]]/Table15[[#This Row],[pnl_am]]</f>
        <v>15.827747798920761</v>
      </c>
      <c r="L65" s="450">
        <f>IF(Table15[[#This Row],[pnl_official]]&lt;&gt;"", Table15[[#This Row],[pnl_official]]-MAX($D$3:$D65), NA())</f>
        <v>-3858.8980000000001</v>
      </c>
      <c r="M65" s="450">
        <f>IF(Table15[[#This Row],[pnl_official]]&lt;&gt;"", IF(Table15[[#This Row],[pnl_official]]&gt;0, 0, Table15[[#This Row],[pnl_official]]), NA())</f>
        <v>-829.50699999999995</v>
      </c>
      <c r="N65" s="97"/>
    </row>
    <row r="66" spans="1:14" x14ac:dyDescent="0.25">
      <c r="A66" s="440">
        <v>46003</v>
      </c>
      <c r="B66" s="293">
        <v>64</v>
      </c>
      <c r="C66" s="661">
        <v>-476</v>
      </c>
      <c r="D66" s="660">
        <f>IF(AND(ISNUMBER(Table15[[#This Row],[pnl_ym]]), ISNUMBER(Table15[[#This Row],[pnl_am]])), (Table15[[#This Row],[pnl_ym]]+Table15[[#This Row],[pnl_am]])/1000, NA())</f>
        <v>-830.36500000000001</v>
      </c>
      <c r="E66" s="589">
        <v>-840116</v>
      </c>
      <c r="F66" s="589">
        <v>9751</v>
      </c>
      <c r="G66" s="423">
        <f>IF(Table15[[#This Row],[pnl_est]] &lt;&gt; "", Table15[[#This Row],[pnl_est]]-$C65, NA())</f>
        <v>-9</v>
      </c>
      <c r="H66" s="423">
        <f>IF(Table15[[#This Row],[pnl_official]] &lt;&gt; "", Table15[[#This Row],[pnl_official]]-D65, NA())</f>
        <v>-0.85800000000006094</v>
      </c>
      <c r="I66" s="450">
        <f t="shared" si="0"/>
        <v>272.42523858862904</v>
      </c>
      <c r="J66" s="568">
        <f>Table15[[#This Row],[pnl_official]]-Table15[[#This Row],[pnl_est]]</f>
        <v>-354.36500000000001</v>
      </c>
      <c r="K66" s="548">
        <f>Table15[[#This Row],[pnl_ym]]/Table15[[#This Row],[pnl_am]]</f>
        <v>-86.156906983899091</v>
      </c>
      <c r="L66" s="450">
        <f>IF(Table15[[#This Row],[pnl_official]]&lt;&gt;"", Table15[[#This Row],[pnl_official]]-MAX($D$3:$D66), NA())</f>
        <v>-3859.7560000000003</v>
      </c>
      <c r="M66" s="450">
        <f>IF(Table15[[#This Row],[pnl_official]]&lt;&gt;"", IF(Table15[[#This Row],[pnl_official]]&gt;0, 0, Table15[[#This Row],[pnl_official]]), NA())</f>
        <v>-830.36500000000001</v>
      </c>
      <c r="N66" s="97"/>
    </row>
    <row r="67" spans="1:14" x14ac:dyDescent="0.25">
      <c r="A67" s="440">
        <v>46006</v>
      </c>
      <c r="B67" s="293">
        <v>65</v>
      </c>
      <c r="C67" s="661">
        <v>-160</v>
      </c>
      <c r="D67" s="660">
        <f>IF(AND(ISNUMBER(Table15[[#This Row],[pnl_ym]]), ISNUMBER(Table15[[#This Row],[pnl_am]])), (Table15[[#This Row],[pnl_ym]]+Table15[[#This Row],[pnl_am]])/1000, NA())</f>
        <v>-587.78399999999999</v>
      </c>
      <c r="E67" s="589">
        <v>-673535</v>
      </c>
      <c r="F67" s="589">
        <v>85751</v>
      </c>
      <c r="G67" s="423">
        <f>IF(Table15[[#This Row],[pnl_est]] &lt;&gt; "", Table15[[#This Row],[pnl_est]]-$C66, NA())</f>
        <v>316</v>
      </c>
      <c r="H67" s="423">
        <f>IF(Table15[[#This Row],[pnl_official]] &lt;&gt; "", Table15[[#This Row],[pnl_official]]-D66, NA())</f>
        <v>242.58100000000002</v>
      </c>
      <c r="I67" s="450">
        <f t="shared" si="0"/>
        <v>248.38624112012673</v>
      </c>
      <c r="J67" s="568">
        <f>Table15[[#This Row],[pnl_official]]-Table15[[#This Row],[pnl_est]]</f>
        <v>-427.78399999999999</v>
      </c>
      <c r="K67" s="548">
        <f>Table15[[#This Row],[pnl_ym]]/Table15[[#This Row],[pnl_am]]</f>
        <v>-7.8545439703327071</v>
      </c>
      <c r="L67" s="450">
        <f>IF(Table15[[#This Row],[pnl_official]]&lt;&gt;"", Table15[[#This Row],[pnl_official]]-MAX($D$3:$D67), NA())</f>
        <v>-3617.1750000000002</v>
      </c>
      <c r="M67" s="450">
        <f>IF(Table15[[#This Row],[pnl_official]]&lt;&gt;"", IF(Table15[[#This Row],[pnl_official]]&gt;0, 0, Table15[[#This Row],[pnl_official]]), NA())</f>
        <v>-587.78399999999999</v>
      </c>
      <c r="N67" s="97"/>
    </row>
    <row r="68" spans="1:14" x14ac:dyDescent="0.25">
      <c r="A68" s="440">
        <v>46007</v>
      </c>
      <c r="B68" s="293">
        <v>66</v>
      </c>
      <c r="C68" s="661">
        <v>606</v>
      </c>
      <c r="D68" s="660">
        <f>IF(AND(ISNUMBER(Table15[[#This Row],[pnl_ym]]), ISNUMBER(Table15[[#This Row],[pnl_am]])), (Table15[[#This Row],[pnl_ym]]+Table15[[#This Row],[pnl_am]])/1000, NA())</f>
        <v>299.334</v>
      </c>
      <c r="E68" s="589">
        <v>-200552</v>
      </c>
      <c r="F68" s="589">
        <v>499886</v>
      </c>
      <c r="G68" s="423">
        <f>IF(Table15[[#This Row],[pnl_est]] &lt;&gt; "", Table15[[#This Row],[pnl_est]]-$C67, NA())</f>
        <v>766</v>
      </c>
      <c r="H68" s="423">
        <f>IF(Table15[[#This Row],[pnl_official]] &lt;&gt; "", Table15[[#This Row],[pnl_official]]-D67, NA())</f>
        <v>887.11799999999994</v>
      </c>
      <c r="I68" s="450">
        <f t="shared" si="0"/>
        <v>345.2676643049229</v>
      </c>
      <c r="J68" s="568">
        <f>Table15[[#This Row],[pnl_official]]-Table15[[#This Row],[pnl_est]]</f>
        <v>-306.666</v>
      </c>
      <c r="K68" s="548">
        <f>Table15[[#This Row],[pnl_ym]]/Table15[[#This Row],[pnl_am]]</f>
        <v>-0.40119547256774546</v>
      </c>
      <c r="L68" s="450">
        <f>IF(Table15[[#This Row],[pnl_official]]&lt;&gt;"", Table15[[#This Row],[pnl_official]]-MAX($D$3:$D68), NA())</f>
        <v>-2730.0570000000002</v>
      </c>
      <c r="M68" s="450">
        <f>IF(Table15[[#This Row],[pnl_official]]&lt;&gt;"", IF(Table15[[#This Row],[pnl_official]]&gt;0, 0, Table15[[#This Row],[pnl_official]]), NA())</f>
        <v>0</v>
      </c>
      <c r="N68" s="97"/>
    </row>
    <row r="69" spans="1:14" x14ac:dyDescent="0.25">
      <c r="A69" s="440">
        <v>46008</v>
      </c>
      <c r="B69" s="293">
        <v>67</v>
      </c>
      <c r="C69" s="661">
        <v>861</v>
      </c>
      <c r="D69" s="660">
        <f>IF(AND(ISNUMBER(Table15[[#This Row],[pnl_ym]]), ISNUMBER(Table15[[#This Row],[pnl_am]])), (Table15[[#This Row],[pnl_ym]]+Table15[[#This Row],[pnl_am]])/1000, NA())</f>
        <v>591.59400000000005</v>
      </c>
      <c r="E69" s="589">
        <v>169066</v>
      </c>
      <c r="F69" s="589">
        <v>422528</v>
      </c>
      <c r="G69" s="423">
        <f>IF(Table15[[#This Row],[pnl_est]] &lt;&gt; "", Table15[[#This Row],[pnl_est]]-$C68, NA())</f>
        <v>255</v>
      </c>
      <c r="H69" s="423">
        <f>IF(Table15[[#This Row],[pnl_official]] &lt;&gt; "", Table15[[#This Row],[pnl_official]]-D68, NA())</f>
        <v>292.26000000000005</v>
      </c>
      <c r="I69" s="450">
        <f t="shared" si="0"/>
        <v>352.1258525455396</v>
      </c>
      <c r="J69" s="568">
        <f>Table15[[#This Row],[pnl_official]]-Table15[[#This Row],[pnl_est]]</f>
        <v>-269.40599999999995</v>
      </c>
      <c r="K69" s="548">
        <f>Table15[[#This Row],[pnl_ym]]/Table15[[#This Row],[pnl_am]]</f>
        <v>0.400129695546804</v>
      </c>
      <c r="L69" s="450">
        <f>IF(Table15[[#This Row],[pnl_official]]&lt;&gt;"", Table15[[#This Row],[pnl_official]]-MAX($D$3:$D69), NA())</f>
        <v>-2437.797</v>
      </c>
      <c r="M69" s="450">
        <f>IF(Table15[[#This Row],[pnl_official]]&lt;&gt;"", IF(Table15[[#This Row],[pnl_official]]&gt;0, 0, Table15[[#This Row],[pnl_official]]), NA())</f>
        <v>0</v>
      </c>
      <c r="N69" s="97"/>
    </row>
    <row r="70" spans="1:14" x14ac:dyDescent="0.25">
      <c r="A70" s="440">
        <v>46009</v>
      </c>
      <c r="B70" s="293">
        <v>68</v>
      </c>
      <c r="C70" s="661">
        <v>776</v>
      </c>
      <c r="D70" s="660">
        <f>IF(AND(ISNUMBER(Table15[[#This Row],[pnl_ym]]), ISNUMBER(Table15[[#This Row],[pnl_am]])), (Table15[[#This Row],[pnl_ym]]+Table15[[#This Row],[pnl_am]])/1000, NA())</f>
        <v>483.49400000000003</v>
      </c>
      <c r="E70" s="589">
        <v>78041</v>
      </c>
      <c r="F70" s="589">
        <v>405453</v>
      </c>
      <c r="G70" s="423">
        <f>IF(Table15[[#This Row],[pnl_est]] &lt;&gt; "", Table15[[#This Row],[pnl_est]]-$C69, NA())</f>
        <v>-85</v>
      </c>
      <c r="H70" s="423">
        <f>IF(Table15[[#This Row],[pnl_official]] &lt;&gt; "", Table15[[#This Row],[pnl_official]]-D69, NA())</f>
        <v>-108.10000000000002</v>
      </c>
      <c r="I70" s="450">
        <f t="shared" si="0"/>
        <v>344.19438521472233</v>
      </c>
      <c r="J70" s="568">
        <f>Table15[[#This Row],[pnl_official]]-Table15[[#This Row],[pnl_est]]</f>
        <v>-292.50599999999997</v>
      </c>
      <c r="K70" s="548">
        <f>Table15[[#This Row],[pnl_ym]]/Table15[[#This Row],[pnl_am]]</f>
        <v>0.19247853635316547</v>
      </c>
      <c r="L70" s="450">
        <f>IF(Table15[[#This Row],[pnl_official]]&lt;&gt;"", Table15[[#This Row],[pnl_official]]-MAX($D$3:$D70), NA())</f>
        <v>-2545.8969999999999</v>
      </c>
      <c r="M70" s="450">
        <f>IF(Table15[[#This Row],[pnl_official]]&lt;&gt;"", IF(Table15[[#This Row],[pnl_official]]&gt;0, 0, Table15[[#This Row],[pnl_official]]), NA())</f>
        <v>0</v>
      </c>
      <c r="N70" s="97"/>
    </row>
    <row r="71" spans="1:14" x14ac:dyDescent="0.25">
      <c r="A71" s="440">
        <v>46010</v>
      </c>
      <c r="B71" s="293">
        <v>69</v>
      </c>
      <c r="C71" s="661">
        <v>619</v>
      </c>
      <c r="D71" s="660">
        <f>IF(AND(ISNUMBER(Table15[[#This Row],[pnl_ym]]), ISNUMBER(Table15[[#This Row],[pnl_am]])), (Table15[[#This Row],[pnl_ym]]+Table15[[#This Row],[pnl_am]])/1000, NA())</f>
        <v>275.79899999999998</v>
      </c>
      <c r="E71" s="589">
        <v>-40283</v>
      </c>
      <c r="F71" s="589">
        <v>316082</v>
      </c>
      <c r="G71" s="423">
        <f>IF(Table15[[#This Row],[pnl_est]] &lt;&gt; "", Table15[[#This Row],[pnl_est]]-$C70, NA())</f>
        <v>-157</v>
      </c>
      <c r="H71" s="423">
        <f>IF(Table15[[#This Row],[pnl_official]] &lt;&gt; "", Table15[[#This Row],[pnl_official]]-D70, NA())</f>
        <v>-207.69500000000005</v>
      </c>
      <c r="I71" s="450">
        <f t="shared" si="0"/>
        <v>349.35283504837224</v>
      </c>
      <c r="J71" s="568">
        <f>Table15[[#This Row],[pnl_official]]-Table15[[#This Row],[pnl_est]]</f>
        <v>-343.20100000000002</v>
      </c>
      <c r="K71" s="548">
        <f>Table15[[#This Row],[pnl_ym]]/Table15[[#This Row],[pnl_am]]</f>
        <v>-0.12744477698824988</v>
      </c>
      <c r="L71" s="450">
        <f>IF(Table15[[#This Row],[pnl_official]]&lt;&gt;"", Table15[[#This Row],[pnl_official]]-MAX($D$3:$D71), NA())</f>
        <v>-2753.5920000000001</v>
      </c>
      <c r="M71" s="450">
        <f>IF(Table15[[#This Row],[pnl_official]]&lt;&gt;"", IF(Table15[[#This Row],[pnl_official]]&gt;0, 0, Table15[[#This Row],[pnl_official]]), NA())</f>
        <v>0</v>
      </c>
      <c r="N71" s="97"/>
    </row>
    <row r="72" spans="1:14" x14ac:dyDescent="0.25">
      <c r="A72" s="440">
        <v>46013</v>
      </c>
      <c r="B72" s="293">
        <v>70</v>
      </c>
      <c r="C72" s="661" t="e">
        <f>NA()</f>
        <v>#N/A</v>
      </c>
      <c r="D72" s="660">
        <f>IF(AND(ISNUMBER(Table15[[#This Row],[pnl_ym]]), ISNUMBER(Table15[[#This Row],[pnl_am]])), (Table15[[#This Row],[pnl_ym]]+Table15[[#This Row],[pnl_am]])/1000, NA())</f>
        <v>8.2089999999999996</v>
      </c>
      <c r="E72" s="589">
        <v>-123535</v>
      </c>
      <c r="F72" s="589">
        <v>131744</v>
      </c>
      <c r="G72" s="423">
        <v>344</v>
      </c>
      <c r="H72" s="423">
        <f>IF(Table15[[#This Row],[pnl_official]] &lt;&gt; "", Table15[[#This Row],[pnl_official]]-D71, NA())</f>
        <v>-267.58999999999997</v>
      </c>
      <c r="I72" s="450">
        <f t="shared" si="0"/>
        <v>356.64396490868273</v>
      </c>
      <c r="J72" s="568" t="e">
        <f>Table15[[#This Row],[pnl_official]]-Table15[[#This Row],[pnl_est]]</f>
        <v>#N/A</v>
      </c>
      <c r="K72" s="548">
        <f>Table15[[#This Row],[pnl_ym]]/Table15[[#This Row],[pnl_am]]</f>
        <v>-0.93768976196259413</v>
      </c>
      <c r="L72" s="450">
        <f>IF(Table15[[#This Row],[pnl_official]]&lt;&gt;"", Table15[[#This Row],[pnl_official]]-MAX($D$3:$D72), NA())</f>
        <v>-3021.1820000000002</v>
      </c>
      <c r="M72" s="450">
        <f>IF(Table15[[#This Row],[pnl_official]]&lt;&gt;"", IF(Table15[[#This Row],[pnl_official]]&gt;0, 0, Table15[[#This Row],[pnl_official]]), NA())</f>
        <v>0</v>
      </c>
      <c r="N72" s="97"/>
    </row>
    <row r="73" spans="1:14" x14ac:dyDescent="0.25">
      <c r="A73" s="440">
        <v>46014</v>
      </c>
      <c r="B73" s="293">
        <v>71</v>
      </c>
      <c r="C73" s="661" t="e">
        <f>NA()</f>
        <v>#N/A</v>
      </c>
      <c r="D73" s="660">
        <f>IF(AND(ISNUMBER(Table15[[#This Row],[pnl_ym]]), ISNUMBER(Table15[[#This Row],[pnl_am]])), (Table15[[#This Row],[pnl_ym]]+Table15[[#This Row],[pnl_am]])/1000, NA())</f>
        <v>-38.567</v>
      </c>
      <c r="E73" s="589">
        <v>-176051</v>
      </c>
      <c r="F73" s="589">
        <v>137484</v>
      </c>
      <c r="G73" s="423" t="e">
        <f>IF(Table15[[#This Row],[pnl_est]] &lt;&gt; "", Table15[[#This Row],[pnl_est]]-$C72, NA())</f>
        <v>#N/A</v>
      </c>
      <c r="H73" s="423">
        <f>IF(Table15[[#This Row],[pnl_official]] &lt;&gt; "", Table15[[#This Row],[pnl_official]]-D72, NA())</f>
        <v>-46.775999999999996</v>
      </c>
      <c r="I73" s="450">
        <f t="shared" si="0"/>
        <v>356.26599854508174</v>
      </c>
      <c r="J73" s="568" t="e">
        <f>Table15[[#This Row],[pnl_official]]-Table15[[#This Row],[pnl_est]]</f>
        <v>#N/A</v>
      </c>
      <c r="K73" s="548">
        <f>Table15[[#This Row],[pnl_ym]]/Table15[[#This Row],[pnl_am]]</f>
        <v>-1.2805199150446598</v>
      </c>
      <c r="L73" s="450">
        <f>IF(Table15[[#This Row],[pnl_official]]&lt;&gt;"", Table15[[#This Row],[pnl_official]]-MAX($D$3:$D73), NA())</f>
        <v>-3067.9580000000001</v>
      </c>
      <c r="M73" s="450">
        <f>IF(Table15[[#This Row],[pnl_official]]&lt;&gt;"", IF(Table15[[#This Row],[pnl_official]]&gt;0, 0, Table15[[#This Row],[pnl_official]]), NA())</f>
        <v>-38.567</v>
      </c>
      <c r="N73" s="97"/>
    </row>
    <row r="74" spans="1:14" x14ac:dyDescent="0.25">
      <c r="A74" s="440">
        <v>46015</v>
      </c>
      <c r="B74" s="293">
        <v>72</v>
      </c>
      <c r="C74" s="661" t="e">
        <f>NA()</f>
        <v>#N/A</v>
      </c>
      <c r="D74" s="660">
        <f>IF(AND(ISNUMBER(Table15[[#This Row],[pnl_ym]]), ISNUMBER(Table15[[#This Row],[pnl_am]])), (Table15[[#This Row],[pnl_ym]]+Table15[[#This Row],[pnl_am]])/1000, NA())</f>
        <v>-112.517</v>
      </c>
      <c r="E74" s="589">
        <v>-235571</v>
      </c>
      <c r="F74" s="589">
        <v>123054</v>
      </c>
      <c r="G74" s="423" t="e">
        <f>IF(Table15[[#This Row],[pnl_est]] &lt;&gt; "", Table15[[#This Row],[pnl_est]]-$C73, NA())</f>
        <v>#N/A</v>
      </c>
      <c r="H74" s="423">
        <f>IF(Table15[[#This Row],[pnl_official]] &lt;&gt; "", Table15[[#This Row],[pnl_official]]-D73, NA())</f>
        <v>-73.949999999999989</v>
      </c>
      <c r="I74" s="450">
        <f t="shared" si="0"/>
        <v>353.29142314604093</v>
      </c>
      <c r="J74" s="568" t="e">
        <f>Table15[[#This Row],[pnl_official]]-Table15[[#This Row],[pnl_est]]</f>
        <v>#N/A</v>
      </c>
      <c r="K74" s="548">
        <f>Table15[[#This Row],[pnl_ym]]/Table15[[#This Row],[pnl_am]]</f>
        <v>-1.9143709265850766</v>
      </c>
      <c r="L74" s="450">
        <f>IF(Table15[[#This Row],[pnl_official]]&lt;&gt;"", Table15[[#This Row],[pnl_official]]-MAX($D$3:$D74), NA())</f>
        <v>-3141.9079999999999</v>
      </c>
      <c r="M74" s="450">
        <f>IF(Table15[[#This Row],[pnl_official]]&lt;&gt;"", IF(Table15[[#This Row],[pnl_official]]&gt;0, 0, Table15[[#This Row],[pnl_official]]), NA())</f>
        <v>-112.517</v>
      </c>
      <c r="N74" s="97"/>
    </row>
    <row r="75" spans="1:14" x14ac:dyDescent="0.25">
      <c r="A75" s="440">
        <v>46017</v>
      </c>
      <c r="B75" s="293">
        <v>74</v>
      </c>
      <c r="C75" s="661" t="e">
        <f>NA()</f>
        <v>#N/A</v>
      </c>
      <c r="D75" s="660">
        <f>IF(AND(ISNUMBER(Table15[[#This Row],[pnl_ym]]), ISNUMBER(Table15[[#This Row],[pnl_am]])), (Table15[[#This Row],[pnl_ym]]+Table15[[#This Row],[pnl_am]])/1000, NA())</f>
        <v>-217.517</v>
      </c>
      <c r="E75" s="589">
        <v>123305</v>
      </c>
      <c r="F75" s="589">
        <v>-340822</v>
      </c>
      <c r="G75" s="423" t="e">
        <f>IF(Table15[[#This Row],[pnl_est]] &lt;&gt; "", Table15[[#This Row],[pnl_est]]-#REF!, NA())</f>
        <v>#N/A</v>
      </c>
      <c r="H75" s="423">
        <f>IF(Table15[[#This Row],[pnl_official]] &lt;&gt; "", Table15[[#This Row],[pnl_official]]-D74, NA())</f>
        <v>-105</v>
      </c>
      <c r="I75" s="450">
        <f t="shared" ref="I75:I87" si="2">_xlfn.STDEV.S(H63:H75)</f>
        <v>355.77801868123271</v>
      </c>
      <c r="J75" s="568" t="e">
        <f>Table15[[#This Row],[pnl_official]]-Table15[[#This Row],[pnl_est]]</f>
        <v>#N/A</v>
      </c>
      <c r="K75" s="548">
        <f>Table15[[#This Row],[pnl_ym]]/Table15[[#This Row],[pnl_am]]</f>
        <v>-0.36178709120890085</v>
      </c>
      <c r="L75" s="450">
        <f>IF(Table15[[#This Row],[pnl_official]]&lt;&gt;"", Table15[[#This Row],[pnl_official]]-MAX($D$3:$D75), NA())</f>
        <v>-3246.9079999999999</v>
      </c>
      <c r="M75" s="450">
        <f>IF(Table15[[#This Row],[pnl_official]]&lt;&gt;"", IF(Table15[[#This Row],[pnl_official]]&gt;0, 0, Table15[[#This Row],[pnl_official]]), NA())</f>
        <v>-217.517</v>
      </c>
      <c r="N75" s="97"/>
    </row>
    <row r="76" spans="1:14" x14ac:dyDescent="0.25">
      <c r="A76" s="440">
        <v>46020</v>
      </c>
      <c r="B76" s="293">
        <v>75</v>
      </c>
      <c r="C76" s="661" t="e">
        <f>NA()</f>
        <v>#N/A</v>
      </c>
      <c r="D76" s="660">
        <f>IF(AND(ISNUMBER(Table15[[#This Row],[pnl_ym]]), ISNUMBER(Table15[[#This Row],[pnl_am]])), (Table15[[#This Row],[pnl_ym]]+Table15[[#This Row],[pnl_am]])/1000, NA())</f>
        <v>-318.49200000000002</v>
      </c>
      <c r="E76" s="589">
        <v>-240605</v>
      </c>
      <c r="F76" s="589">
        <v>-77887</v>
      </c>
      <c r="G76" s="423" t="e">
        <f>IF(Table15[[#This Row],[pnl_est]] &lt;&gt; "", Table15[[#This Row],[pnl_est]]-$C75, NA())</f>
        <v>#N/A</v>
      </c>
      <c r="H76" s="423">
        <f>IF(Table15[[#This Row],[pnl_official]] &lt;&gt; "", Table15[[#This Row],[pnl_official]]-D75, NA())</f>
        <v>-100.97500000000002</v>
      </c>
      <c r="I76" s="450">
        <f t="shared" si="2"/>
        <v>303.99829483087058</v>
      </c>
      <c r="J76" s="568" t="e">
        <f>Table15[[#This Row],[pnl_official]]-Table15[[#This Row],[pnl_est]]</f>
        <v>#N/A</v>
      </c>
      <c r="K76" s="548">
        <f>Table15[[#This Row],[pnl_ym]]/Table15[[#This Row],[pnl_am]]</f>
        <v>3.0891548011863339</v>
      </c>
      <c r="L76" s="450">
        <f>IF(Table15[[#This Row],[pnl_official]]&lt;&gt;"", Table15[[#This Row],[pnl_official]]-MAX($D$3:$D76), NA())</f>
        <v>-3347.8830000000003</v>
      </c>
      <c r="M76" s="450">
        <f>IF(Table15[[#This Row],[pnl_official]]&lt;&gt;"", IF(Table15[[#This Row],[pnl_official]]&gt;0, 0, Table15[[#This Row],[pnl_official]]), NA())</f>
        <v>-318.49200000000002</v>
      </c>
      <c r="N76" s="97"/>
    </row>
    <row r="77" spans="1:14" x14ac:dyDescent="0.25">
      <c r="A77" s="440">
        <v>46021</v>
      </c>
      <c r="B77" s="293">
        <v>76</v>
      </c>
      <c r="C77" s="661" t="e">
        <f>NA()</f>
        <v>#N/A</v>
      </c>
      <c r="D77" s="660">
        <f>IF(AND(ISNUMBER(Table15[[#This Row],[pnl_ym]]), ISNUMBER(Table15[[#This Row],[pnl_am]])), (Table15[[#This Row],[pnl_ym]]+Table15[[#This Row],[pnl_am]])/1000, NA())</f>
        <v>-420.24700000000001</v>
      </c>
      <c r="E77" s="589">
        <v>-326633</v>
      </c>
      <c r="F77" s="589">
        <v>-93614</v>
      </c>
      <c r="G77" s="423" t="e">
        <f>IF(Table15[[#This Row],[pnl_est]] &lt;&gt; "", Table15[[#This Row],[pnl_est]]-$C76, NA())</f>
        <v>#N/A</v>
      </c>
      <c r="H77" s="423">
        <f>IF(Table15[[#This Row],[pnl_official]] &lt;&gt; "", Table15[[#This Row],[pnl_official]]-D76, NA())</f>
        <v>-101.755</v>
      </c>
      <c r="I77" s="450">
        <f t="shared" si="2"/>
        <v>300.42839414947241</v>
      </c>
      <c r="J77" s="568" t="e">
        <f>Table15[[#This Row],[pnl_official]]-Table15[[#This Row],[pnl_est]]</f>
        <v>#N/A</v>
      </c>
      <c r="K77" s="548">
        <f>Table15[[#This Row],[pnl_ym]]/Table15[[#This Row],[pnl_am]]</f>
        <v>3.4891469224688616</v>
      </c>
      <c r="L77" s="450">
        <f>IF(Table15[[#This Row],[pnl_official]]&lt;&gt;"", Table15[[#This Row],[pnl_official]]-MAX($D$3:$D77), NA())</f>
        <v>-3449.6379999999999</v>
      </c>
      <c r="M77" s="450">
        <f>IF(Table15[[#This Row],[pnl_official]]&lt;&gt;"", IF(Table15[[#This Row],[pnl_official]]&gt;0, 0, Table15[[#This Row],[pnl_official]]), NA())</f>
        <v>-420.24700000000001</v>
      </c>
      <c r="N77" s="97"/>
    </row>
    <row r="78" spans="1:14" ht="15.75" thickBot="1" x14ac:dyDescent="0.3">
      <c r="A78" s="582">
        <v>46022</v>
      </c>
      <c r="B78" s="583">
        <v>77</v>
      </c>
      <c r="C78" s="664" t="e">
        <f>NA()</f>
        <v>#N/A</v>
      </c>
      <c r="D78" s="665">
        <f>IF(AND(ISNUMBER(Table15[[#This Row],[pnl_ym]]), ISNUMBER(Table15[[#This Row],[pnl_am]])), (Table15[[#This Row],[pnl_ym]]+Table15[[#This Row],[pnl_am]])/1000, NA())</f>
        <v>-385.87299999999999</v>
      </c>
      <c r="E78" s="590">
        <v>-292928</v>
      </c>
      <c r="F78" s="590">
        <v>-92945</v>
      </c>
      <c r="G78" s="585" t="e">
        <f>IF(Table15[[#This Row],[pnl_est]] &lt;&gt; "", Table15[[#This Row],[pnl_est]]-$C77, NA())</f>
        <v>#N/A</v>
      </c>
      <c r="H78" s="585">
        <f>IF(Table15[[#This Row],[pnl_official]] &lt;&gt; "", Table15[[#This Row],[pnl_official]]-D77, NA())</f>
        <v>34.374000000000024</v>
      </c>
      <c r="I78" s="584">
        <f t="shared" si="2"/>
        <v>300.40828386752383</v>
      </c>
      <c r="J78" s="586" t="e">
        <f>Table15[[#This Row],[pnl_official]]-Table15[[#This Row],[pnl_est]]</f>
        <v>#N/A</v>
      </c>
      <c r="K78" s="587">
        <f>Table15[[#This Row],[pnl_ym]]/Table15[[#This Row],[pnl_am]]</f>
        <v>3.1516273064715694</v>
      </c>
      <c r="L78" s="584">
        <f>IF(Table15[[#This Row],[pnl_official]]&lt;&gt;"", Table15[[#This Row],[pnl_official]]-MAX($D$3:$D78), NA())</f>
        <v>-3415.2640000000001</v>
      </c>
      <c r="M78" s="584">
        <f>IF(Table15[[#This Row],[pnl_official]]&lt;&gt;"", IF(Table15[[#This Row],[pnl_official]]&gt;0, 0, Table15[[#This Row],[pnl_official]]), NA())</f>
        <v>-385.87299999999999</v>
      </c>
      <c r="N78" s="97"/>
    </row>
    <row r="79" spans="1:14" ht="15.75" thickTop="1" x14ac:dyDescent="0.25">
      <c r="A79" s="444">
        <v>46024</v>
      </c>
      <c r="B79" s="293">
        <v>1</v>
      </c>
      <c r="C79" s="661">
        <v>-113</v>
      </c>
      <c r="D79" s="660">
        <f>IF(AND(ISNUMBER(Table15[[#This Row],[pnl_ym]]), ISNUMBER(Table15[[#This Row],[pnl_am]])), (Table15[[#This Row],[pnl_ym]]+Table15[[#This Row],[pnl_am]])/1000, NA())</f>
        <v>-119.501</v>
      </c>
      <c r="E79" s="589">
        <v>-113995</v>
      </c>
      <c r="F79" s="589">
        <v>-5506</v>
      </c>
      <c r="G79" s="423" t="e">
        <f>IF(Table15[[#This Row],[pnl_est]] &lt;&gt; "", Table15[[#This Row],[pnl_est]]-$C78, NA())</f>
        <v>#N/A</v>
      </c>
      <c r="H79" s="423">
        <f>IF(Table15[[#This Row],[pnl_official]] &lt;&gt; "", Table15[[#This Row],[pnl_official]]-D78, NA())</f>
        <v>266.37199999999996</v>
      </c>
      <c r="I79" s="450">
        <f t="shared" si="2"/>
        <v>306.88799692934828</v>
      </c>
      <c r="J79" s="568">
        <f>Table15[[#This Row],[pnl_official]]-Table15[[#This Row],[pnl_est]]</f>
        <v>-6.5010000000000048</v>
      </c>
      <c r="K79" s="548">
        <f>Table15[[#This Row],[pnl_ym]]/Table15[[#This Row],[pnl_am]]</f>
        <v>20.703777697057756</v>
      </c>
      <c r="L79" s="450">
        <f>IF(Table15[[#This Row],[pnl_official]]&lt;&gt;"", Table15[[#This Row],[pnl_official]]-MAX($D$79:$D79), NA())</f>
        <v>0</v>
      </c>
      <c r="M79" s="450">
        <f>IF(Table15[[#This Row],[pnl_official]]&lt;&gt;"", IF(Table15[[#This Row],[pnl_official]]&gt;0, 0, Table15[[#This Row],[pnl_official]]), NA())</f>
        <v>-119.501</v>
      </c>
      <c r="N79" s="97"/>
    </row>
    <row r="80" spans="1:14" x14ac:dyDescent="0.25">
      <c r="A80" s="444">
        <v>46027</v>
      </c>
      <c r="B80" s="293">
        <v>2</v>
      </c>
      <c r="C80" s="661">
        <v>-100</v>
      </c>
      <c r="D80" s="660">
        <f>IF(AND(ISNUMBER(Table15[[#This Row],[pnl_ym]]), ISNUMBER(Table15[[#This Row],[pnl_am]])), (Table15[[#This Row],[pnl_ym]]+Table15[[#This Row],[pnl_am]])/1000, NA())</f>
        <v>-174.964</v>
      </c>
      <c r="E80" s="589">
        <v>-171758</v>
      </c>
      <c r="F80" s="589">
        <v>-3206</v>
      </c>
      <c r="G80" s="423">
        <f>IF(Table15[[#This Row],[pnl_est]] &lt;&gt; "", Table15[[#This Row],[pnl_est]]-$C79, NA())</f>
        <v>13</v>
      </c>
      <c r="H80" s="423">
        <f>IF(Table15[[#This Row],[pnl_official]] &lt;&gt; "", Table15[[#This Row],[pnl_official]]-D79, NA())</f>
        <v>-55.462999999999994</v>
      </c>
      <c r="I80" s="450">
        <f t="shared" si="2"/>
        <v>302.786450149149</v>
      </c>
      <c r="J80" s="568">
        <f>Table15[[#This Row],[pnl_official]]-Table15[[#This Row],[pnl_est]]</f>
        <v>-74.963999999999999</v>
      </c>
      <c r="K80" s="548">
        <f>Table15[[#This Row],[pnl_ym]]/Table15[[#This Row],[pnl_am]]</f>
        <v>53.573923892701188</v>
      </c>
      <c r="L80" s="450">
        <f>IF(Table15[[#This Row],[pnl_official]]&lt;&gt;"", Table15[[#This Row],[pnl_official]]-MAX($D$79:$D80), NA())</f>
        <v>-55.462999999999994</v>
      </c>
      <c r="M80" s="450">
        <f>IF(Table15[[#This Row],[pnl_official]]&lt;&gt;"", IF(Table15[[#This Row],[pnl_official]]&gt;0, 0, Table15[[#This Row],[pnl_official]]), NA())</f>
        <v>-174.964</v>
      </c>
      <c r="N80" s="97"/>
    </row>
    <row r="81" spans="1:18" x14ac:dyDescent="0.25">
      <c r="A81" s="444">
        <v>46028</v>
      </c>
      <c r="B81" s="293">
        <v>3</v>
      </c>
      <c r="C81" s="661">
        <v>159</v>
      </c>
      <c r="D81" s="660">
        <f>IF(AND(ISNUMBER(Table15[[#This Row],[pnl_ym]]), ISNUMBER(Table15[[#This Row],[pnl_am]])), (Table15[[#This Row],[pnl_ym]]+Table15[[#This Row],[pnl_am]])/1000, NA())</f>
        <v>110.57599999999999</v>
      </c>
      <c r="E81" s="589">
        <v>69163</v>
      </c>
      <c r="F81" s="589">
        <v>41413</v>
      </c>
      <c r="G81" s="423">
        <f>IF(Table15[[#This Row],[pnl_est]] &lt;&gt; "", Table15[[#This Row],[pnl_est]]-$C80, NA())</f>
        <v>259</v>
      </c>
      <c r="H81" s="423">
        <f>IF(Table15[[#This Row],[pnl_official]] &lt;&gt; "", Table15[[#This Row],[pnl_official]]-D80, NA())</f>
        <v>285.53999999999996</v>
      </c>
      <c r="I81" s="450">
        <f t="shared" si="2"/>
        <v>183.72961999445732</v>
      </c>
      <c r="J81" s="568">
        <f>Table15[[#This Row],[pnl_official]]-Table15[[#This Row],[pnl_est]]</f>
        <v>-48.424000000000007</v>
      </c>
      <c r="K81" s="548">
        <f>Table15[[#This Row],[pnl_ym]]/Table15[[#This Row],[pnl_am]]</f>
        <v>1.6700794436529591</v>
      </c>
      <c r="L81" s="450">
        <f>IF(Table15[[#This Row],[pnl_official]]&lt;&gt;"", Table15[[#This Row],[pnl_official]]-MAX($D$79:$D81), NA())</f>
        <v>0</v>
      </c>
      <c r="M81" s="450">
        <f>IF(Table15[[#This Row],[pnl_official]]&lt;&gt;"", IF(Table15[[#This Row],[pnl_official]]&gt;0, 0, Table15[[#This Row],[pnl_official]]), NA())</f>
        <v>0</v>
      </c>
      <c r="N81" s="97"/>
    </row>
    <row r="82" spans="1:18" x14ac:dyDescent="0.25">
      <c r="A82" s="444">
        <v>46029</v>
      </c>
      <c r="B82" s="293">
        <v>4</v>
      </c>
      <c r="C82" s="661">
        <v>290</v>
      </c>
      <c r="D82" s="660">
        <f>IF(AND(ISNUMBER(Table15[[#This Row],[pnl_ym]]), ISNUMBER(Table15[[#This Row],[pnl_am]])), (Table15[[#This Row],[pnl_ym]]+Table15[[#This Row],[pnl_am]])/1000, NA())</f>
        <v>146.047</v>
      </c>
      <c r="E82" s="589">
        <v>104272</v>
      </c>
      <c r="F82" s="589">
        <v>41775</v>
      </c>
      <c r="G82" s="423">
        <f>IF(Table15[[#This Row],[pnl_est]] &lt;&gt; "", Table15[[#This Row],[pnl_est]]-$C81, NA())</f>
        <v>131</v>
      </c>
      <c r="H82" s="423">
        <f>IF(Table15[[#This Row],[pnl_official]] &lt;&gt; "", Table15[[#This Row],[pnl_official]]-D81, NA())</f>
        <v>35.471000000000004</v>
      </c>
      <c r="I82" s="450">
        <f t="shared" si="2"/>
        <v>160.31004770332089</v>
      </c>
      <c r="J82" s="568">
        <f>Table15[[#This Row],[pnl_official]]-Table15[[#This Row],[pnl_est]]</f>
        <v>-143.953</v>
      </c>
      <c r="K82" s="548">
        <f>Table15[[#This Row],[pnl_ym]]/Table15[[#This Row],[pnl_am]]</f>
        <v>2.4960383004189106</v>
      </c>
      <c r="L82" s="450">
        <f>IF(Table15[[#This Row],[pnl_official]]&lt;&gt;"", Table15[[#This Row],[pnl_official]]-MAX($D$79:$D82), NA())</f>
        <v>0</v>
      </c>
      <c r="M82" s="450">
        <f>IF(Table15[[#This Row],[pnl_official]]&lt;&gt;"", IF(Table15[[#This Row],[pnl_official]]&gt;0, 0, Table15[[#This Row],[pnl_official]]), NA())</f>
        <v>0</v>
      </c>
      <c r="N82" s="97"/>
    </row>
    <row r="83" spans="1:18" x14ac:dyDescent="0.25">
      <c r="A83" s="444">
        <v>46030</v>
      </c>
      <c r="B83" s="293">
        <v>5</v>
      </c>
      <c r="C83" s="661">
        <v>318</v>
      </c>
      <c r="D83" s="660">
        <f>IF(AND(ISNUMBER(Table15[[#This Row],[pnl_ym]]), ISNUMBER(Table15[[#This Row],[pnl_am]])), (Table15[[#This Row],[pnl_ym]]+Table15[[#This Row],[pnl_am]])/1000, NA())</f>
        <v>101.31699999999999</v>
      </c>
      <c r="E83" s="589">
        <v>20796</v>
      </c>
      <c r="F83" s="589">
        <v>80521</v>
      </c>
      <c r="G83" s="423">
        <f>IF(Table15[[#This Row],[pnl_est]] &lt;&gt; "", Table15[[#This Row],[pnl_est]]-$C82, NA())</f>
        <v>28</v>
      </c>
      <c r="H83" s="423">
        <f>IF(Table15[[#This Row],[pnl_official]] &lt;&gt; "", Table15[[#This Row],[pnl_official]]-D82, NA())</f>
        <v>-44.730000000000004</v>
      </c>
      <c r="I83" s="450">
        <f t="shared" si="2"/>
        <v>158.83475054814767</v>
      </c>
      <c r="J83" s="568">
        <f>Table15[[#This Row],[pnl_official]]-Table15[[#This Row],[pnl_est]]</f>
        <v>-216.68299999999999</v>
      </c>
      <c r="K83" s="548">
        <f>Table15[[#This Row],[pnl_ym]]/Table15[[#This Row],[pnl_am]]</f>
        <v>0.25826802945815375</v>
      </c>
      <c r="L83" s="450">
        <f>IF(Table15[[#This Row],[pnl_official]]&lt;&gt;"", Table15[[#This Row],[pnl_official]]-MAX($D$79:$D83), NA())</f>
        <v>-44.730000000000004</v>
      </c>
      <c r="M83" s="450">
        <f>IF(Table15[[#This Row],[pnl_official]]&lt;&gt;"", IF(Table15[[#This Row],[pnl_official]]&gt;0, 0, Table15[[#This Row],[pnl_official]]), NA())</f>
        <v>0</v>
      </c>
      <c r="N83" s="97"/>
    </row>
    <row r="84" spans="1:18" x14ac:dyDescent="0.25">
      <c r="A84" s="444">
        <v>46031</v>
      </c>
      <c r="B84" s="293">
        <v>6</v>
      </c>
      <c r="C84" s="661">
        <v>187</v>
      </c>
      <c r="D84" s="660">
        <f>IF(AND(ISNUMBER(Table15[[#This Row],[pnl_ym]]), ISNUMBER(Table15[[#This Row],[pnl_am]])), (Table15[[#This Row],[pnl_ym]]+Table15[[#This Row],[pnl_am]])/1000, NA())</f>
        <v>-65.951999999999998</v>
      </c>
      <c r="E84" s="589">
        <v>-328572</v>
      </c>
      <c r="F84" s="589">
        <v>262620</v>
      </c>
      <c r="G84" s="423">
        <f>IF(Table15[[#This Row],[pnl_est]] &lt;&gt; "", Table15[[#This Row],[pnl_est]]-$C83, NA())</f>
        <v>-131</v>
      </c>
      <c r="H84" s="423">
        <f>IF(Table15[[#This Row],[pnl_official]] &lt;&gt; "", Table15[[#This Row],[pnl_official]]-D83, NA())</f>
        <v>-167.26900000000001</v>
      </c>
      <c r="I84" s="450">
        <f t="shared" si="2"/>
        <v>155.41198861124761</v>
      </c>
      <c r="J84" s="568">
        <f>Table15[[#This Row],[pnl_official]]-Table15[[#This Row],[pnl_est]]</f>
        <v>-252.952</v>
      </c>
      <c r="K84" s="548">
        <f>Table15[[#This Row],[pnl_ym]]/Table15[[#This Row],[pnl_am]]</f>
        <v>-1.2511309115832763</v>
      </c>
      <c r="L84" s="450">
        <f>IF(Table15[[#This Row],[pnl_official]]&lt;&gt;"", Table15[[#This Row],[pnl_official]]-MAX($D$79:$D84), NA())</f>
        <v>-211.999</v>
      </c>
      <c r="M84" s="450">
        <f>IF(Table15[[#This Row],[pnl_official]]&lt;&gt;"", IF(Table15[[#This Row],[pnl_official]]&gt;0, 0, Table15[[#This Row],[pnl_official]]), NA())</f>
        <v>-65.951999999999998</v>
      </c>
      <c r="N84" s="97"/>
    </row>
    <row r="85" spans="1:18" x14ac:dyDescent="0.25">
      <c r="A85" s="444">
        <v>46034</v>
      </c>
      <c r="B85" s="293">
        <v>7</v>
      </c>
      <c r="C85" s="661">
        <v>258</v>
      </c>
      <c r="D85" s="660">
        <f>IF(AND(ISNUMBER(Table15[[#This Row],[pnl_ym]]), ISNUMBER(Table15[[#This Row],[pnl_am]])), (Table15[[#This Row],[pnl_ym]]+Table15[[#This Row],[pnl_am]])/1000, NA())</f>
        <v>-4.0650000000000004</v>
      </c>
      <c r="E85" s="589">
        <v>-306941</v>
      </c>
      <c r="F85" s="589">
        <v>302876</v>
      </c>
      <c r="G85" s="423">
        <f>IF(Table15[[#This Row],[pnl_est]] &lt;&gt; "", Table15[[#This Row],[pnl_est]]-$C84, NA())</f>
        <v>71</v>
      </c>
      <c r="H85" s="423">
        <f>IF(Table15[[#This Row],[pnl_official]] &lt;&gt; "", Table15[[#This Row],[pnl_official]]-D84, NA())</f>
        <v>61.887</v>
      </c>
      <c r="I85" s="450">
        <f t="shared" si="2"/>
        <v>138.75421101168195</v>
      </c>
      <c r="J85" s="568">
        <f>Table15[[#This Row],[pnl_official]]-Table15[[#This Row],[pnl_est]]</f>
        <v>-262.065</v>
      </c>
      <c r="K85" s="548">
        <f>Table15[[#This Row],[pnl_ym]]/Table15[[#This Row],[pnl_am]]</f>
        <v>-1.0134213341433458</v>
      </c>
      <c r="L85" s="450">
        <f>IF(Table15[[#This Row],[pnl_official]]&lt;&gt;"", Table15[[#This Row],[pnl_official]]-MAX($D$79:$D85), NA())</f>
        <v>-150.11199999999999</v>
      </c>
      <c r="M85" s="450">
        <f>IF(Table15[[#This Row],[pnl_official]]&lt;&gt;"", IF(Table15[[#This Row],[pnl_official]]&gt;0, 0, Table15[[#This Row],[pnl_official]]), NA())</f>
        <v>-4.0650000000000004</v>
      </c>
      <c r="N85" s="97"/>
    </row>
    <row r="86" spans="1:18" x14ac:dyDescent="0.25">
      <c r="A86" s="444">
        <v>46035</v>
      </c>
      <c r="B86" s="293">
        <v>8</v>
      </c>
      <c r="C86" s="661">
        <v>105</v>
      </c>
      <c r="D86" s="660">
        <f>IF(AND(ISNUMBER(Table15[[#This Row],[pnl_ym]]), ISNUMBER(Table15[[#This Row],[pnl_am]])), (Table15[[#This Row],[pnl_ym]]+Table15[[#This Row],[pnl_am]])/1000, NA())</f>
        <v>-233.01300000000001</v>
      </c>
      <c r="E86" s="589">
        <v>-605391</v>
      </c>
      <c r="F86" s="589">
        <v>372378</v>
      </c>
      <c r="G86" s="423">
        <f>IF(Table15[[#This Row],[pnl_est]] &lt;&gt; "", Table15[[#This Row],[pnl_est]]-$C85, NA())</f>
        <v>-153</v>
      </c>
      <c r="H86" s="423">
        <f>IF(Table15[[#This Row],[pnl_official]] &lt;&gt; "", Table15[[#This Row],[pnl_official]]-D85, NA())</f>
        <v>-228.94800000000001</v>
      </c>
      <c r="I86" s="450">
        <f t="shared" si="2"/>
        <v>152.30592851918058</v>
      </c>
      <c r="J86" s="568">
        <f>Table15[[#This Row],[pnl_official]]-Table15[[#This Row],[pnl_est]]</f>
        <v>-338.01300000000003</v>
      </c>
      <c r="K86" s="548">
        <f>Table15[[#This Row],[pnl_ym]]/Table15[[#This Row],[pnl_am]]</f>
        <v>-1.6257431964294347</v>
      </c>
      <c r="L86" s="450">
        <f>IF(Table15[[#This Row],[pnl_official]]&lt;&gt;"", Table15[[#This Row],[pnl_official]]-MAX($D$79:$D86), NA())</f>
        <v>-379.06</v>
      </c>
      <c r="M86" s="450">
        <f>IF(Table15[[#This Row],[pnl_official]]&lt;&gt;"", IF(Table15[[#This Row],[pnl_official]]&gt;0, 0, Table15[[#This Row],[pnl_official]]), NA())</f>
        <v>-233.01300000000001</v>
      </c>
      <c r="N86" s="97"/>
    </row>
    <row r="87" spans="1:18" x14ac:dyDescent="0.25">
      <c r="A87" s="444">
        <v>46036</v>
      </c>
      <c r="B87" s="293">
        <v>9</v>
      </c>
      <c r="C87" s="661">
        <v>1009</v>
      </c>
      <c r="D87" s="660">
        <f>IF(AND(ISNUMBER(Table15[[#This Row],[pnl_ym]]), ISNUMBER(Table15[[#This Row],[pnl_am]])), (Table15[[#This Row],[pnl_ym]]+Table15[[#This Row],[pnl_am]])/1000, NA())</f>
        <v>693.65700000000004</v>
      </c>
      <c r="E87" s="589">
        <v>-54053</v>
      </c>
      <c r="F87" s="589">
        <v>747710</v>
      </c>
      <c r="G87" s="423">
        <f>IF(Table15[[#This Row],[pnl_est]] &lt;&gt; "", Table15[[#This Row],[pnl_est]]-$C86, NA())</f>
        <v>904</v>
      </c>
      <c r="H87" s="423">
        <f>IF(Table15[[#This Row],[pnl_official]] &lt;&gt; "", Table15[[#This Row],[pnl_official]]-D86, NA())</f>
        <v>926.67000000000007</v>
      </c>
      <c r="I87" s="450">
        <f t="shared" si="2"/>
        <v>300.62832285413452</v>
      </c>
      <c r="J87" s="568">
        <f>Table15[[#This Row],[pnl_official]]-Table15[[#This Row],[pnl_est]]</f>
        <v>-315.34299999999996</v>
      </c>
      <c r="K87" s="548">
        <f>Table15[[#This Row],[pnl_ym]]/Table15[[#This Row],[pnl_am]]</f>
        <v>-7.229139639699883E-2</v>
      </c>
      <c r="L87" s="450">
        <f>IF(Table15[[#This Row],[pnl_official]]&lt;&gt;"", Table15[[#This Row],[pnl_official]]-MAX($D$79:$D87), NA())</f>
        <v>0</v>
      </c>
      <c r="M87" s="450">
        <f>IF(Table15[[#This Row],[pnl_official]]&lt;&gt;"", IF(Table15[[#This Row],[pnl_official]]&gt;0, 0, Table15[[#This Row],[pnl_official]]), NA())</f>
        <v>0</v>
      </c>
      <c r="N87" s="97"/>
    </row>
    <row r="88" spans="1:18" x14ac:dyDescent="0.25">
      <c r="A88" s="444">
        <v>46037</v>
      </c>
      <c r="B88" s="293">
        <v>10</v>
      </c>
      <c r="C88" s="661">
        <v>1114</v>
      </c>
      <c r="D88" s="660">
        <f>IF(AND(ISNUMBER(Table15[[#This Row],[pnl_ym]]), ISNUMBER(Table15[[#This Row],[pnl_am]])), (Table15[[#This Row],[pnl_ym]]+Table15[[#This Row],[pnl_am]])/1000, NA())</f>
        <v>928.68799999999999</v>
      </c>
      <c r="E88" s="589">
        <v>459641</v>
      </c>
      <c r="F88" s="589">
        <v>469047</v>
      </c>
      <c r="G88" s="423">
        <f>IF(Table15[[#This Row],[pnl_est]] &lt;&gt; "", Table15[[#This Row],[pnl_est]]-$C87, NA())</f>
        <v>105</v>
      </c>
      <c r="H88" s="423">
        <f>IF(Table15[[#This Row],[pnl_official]] &lt;&gt; "", Table15[[#This Row],[pnl_official]]-D87, NA())</f>
        <v>235.03099999999995</v>
      </c>
      <c r="I88" s="450">
        <f t="shared" ref="I88:I143" si="3">_xlfn.STDEV.S(H75:H88)</f>
        <v>292.51239765578345</v>
      </c>
      <c r="J88" s="568">
        <f>Table15[[#This Row],[pnl_official]]-Table15[[#This Row],[pnl_est]]</f>
        <v>-185.31200000000001</v>
      </c>
      <c r="K88" s="548">
        <f>Table15[[#This Row],[pnl_ym]]/Table15[[#This Row],[pnl_am]]</f>
        <v>0.97994657251831907</v>
      </c>
      <c r="L88" s="450">
        <f>IF(Table15[[#This Row],[pnl_official]]&lt;&gt;"", Table15[[#This Row],[pnl_official]]-MAX($D$79:$D88), NA())</f>
        <v>0</v>
      </c>
      <c r="M88" s="450">
        <f>IF(Table15[[#This Row],[pnl_official]]&lt;&gt;"", IF(Table15[[#This Row],[pnl_official]]&gt;0, 0, Table15[[#This Row],[pnl_official]]), NA())</f>
        <v>0</v>
      </c>
      <c r="N88" s="97"/>
    </row>
    <row r="89" spans="1:18" x14ac:dyDescent="0.25">
      <c r="A89" s="444">
        <v>46038</v>
      </c>
      <c r="B89" s="293">
        <v>11</v>
      </c>
      <c r="C89" s="661">
        <v>1509</v>
      </c>
      <c r="D89" s="660">
        <f>IF(AND(ISNUMBER(Table15[[#This Row],[pnl_ym]]), ISNUMBER(Table15[[#This Row],[pnl_am]])), (Table15[[#This Row],[pnl_ym]]+Table15[[#This Row],[pnl_am]])/1000, NA())</f>
        <v>1234.027</v>
      </c>
      <c r="E89" s="589">
        <v>795542</v>
      </c>
      <c r="F89" s="589">
        <v>438485</v>
      </c>
      <c r="G89" s="423">
        <f>IF(Table15[[#This Row],[pnl_est]] &lt;&gt; "", Table15[[#This Row],[pnl_est]]-$C88, NA())</f>
        <v>395</v>
      </c>
      <c r="H89" s="423">
        <f>IF(Table15[[#This Row],[pnl_official]] &lt;&gt; "", Table15[[#This Row],[pnl_official]]-D88, NA())</f>
        <v>305.33900000000006</v>
      </c>
      <c r="I89" s="450">
        <f t="shared" si="3"/>
        <v>293.71233257086737</v>
      </c>
      <c r="J89" s="568">
        <f>Table15[[#This Row],[pnl_official]]-Table15[[#This Row],[pnl_est]]</f>
        <v>-274.97299999999996</v>
      </c>
      <c r="K89" s="548">
        <f>Table15[[#This Row],[pnl_ym]]/Table15[[#This Row],[pnl_am]]</f>
        <v>1.8142969542857794</v>
      </c>
      <c r="L89" s="450">
        <f>IF(Table15[[#This Row],[pnl_official]]&lt;&gt;"", Table15[[#This Row],[pnl_official]]-MAX($D$79:$D89), NA())</f>
        <v>0</v>
      </c>
      <c r="M89" s="450">
        <f>IF(Table15[[#This Row],[pnl_official]]&lt;&gt;"", IF(Table15[[#This Row],[pnl_official]]&gt;0, 0, Table15[[#This Row],[pnl_official]]), NA())</f>
        <v>0</v>
      </c>
      <c r="N89" s="97"/>
    </row>
    <row r="90" spans="1:18" x14ac:dyDescent="0.25">
      <c r="A90" s="444">
        <v>46041</v>
      </c>
      <c r="B90" s="293">
        <v>12</v>
      </c>
      <c r="C90" s="661">
        <v>1585</v>
      </c>
      <c r="D90" s="660">
        <f>IF(AND(ISNUMBER(Table15[[#This Row],[pnl_ym]]), ISNUMBER(Table15[[#This Row],[pnl_am]])), (Table15[[#This Row],[pnl_ym]]+Table15[[#This Row],[pnl_am]])/1000, NA())</f>
        <v>1368.952</v>
      </c>
      <c r="E90" s="589">
        <v>813531</v>
      </c>
      <c r="F90" s="589">
        <v>555421</v>
      </c>
      <c r="G90" s="423">
        <f>IF(Table15[[#This Row],[pnl_est]] &lt;&gt; "", Table15[[#This Row],[pnl_est]]-$C89, NA())</f>
        <v>76</v>
      </c>
      <c r="H90" s="423">
        <f>IF(Table15[[#This Row],[pnl_official]] &lt;&gt; "", Table15[[#This Row],[pnl_official]]-D89, NA())</f>
        <v>134.92499999999995</v>
      </c>
      <c r="I90" s="450">
        <f t="shared" si="3"/>
        <v>287.77488573200054</v>
      </c>
      <c r="J90" s="568">
        <f>Table15[[#This Row],[pnl_official]]-Table15[[#This Row],[pnl_est]]</f>
        <v>-216.048</v>
      </c>
      <c r="K90" s="548">
        <f>Table15[[#This Row],[pnl_ym]]/Table15[[#This Row],[pnl_am]]</f>
        <v>1.4647105528959115</v>
      </c>
      <c r="L90" s="450">
        <f>IF(Table15[[#This Row],[pnl_official]]&lt;&gt;"", Table15[[#This Row],[pnl_official]]-MAX($D$79:$D90), NA())</f>
        <v>0</v>
      </c>
      <c r="M90" s="450">
        <f>IF(Table15[[#This Row],[pnl_official]]&lt;&gt;"", IF(Table15[[#This Row],[pnl_official]]&gt;0, 0, Table15[[#This Row],[pnl_official]]), NA())</f>
        <v>0</v>
      </c>
      <c r="N90" s="97"/>
    </row>
    <row r="91" spans="1:18" x14ac:dyDescent="0.25">
      <c r="A91" s="444">
        <v>46042</v>
      </c>
      <c r="B91" s="293">
        <v>13</v>
      </c>
      <c r="C91" s="661">
        <v>1149</v>
      </c>
      <c r="D91" s="660">
        <f>IF(AND(ISNUMBER(Table15[[#This Row],[pnl_ym]]), ISNUMBER(Table15[[#This Row],[pnl_am]])), (Table15[[#This Row],[pnl_ym]]+Table15[[#This Row],[pnl_am]])/1000, NA())</f>
        <v>972.29200000000003</v>
      </c>
      <c r="E91" s="589">
        <v>469455</v>
      </c>
      <c r="F91" s="589">
        <v>502837</v>
      </c>
      <c r="G91" s="423">
        <f>IF(Table15[[#This Row],[pnl_est]] &lt;&gt; "", Table15[[#This Row],[pnl_est]]-$C90, NA())</f>
        <v>-436</v>
      </c>
      <c r="H91" s="423">
        <f>IF(Table15[[#This Row],[pnl_official]] &lt;&gt; "", Table15[[#This Row],[pnl_official]]-D90, NA())</f>
        <v>-396.65999999999997</v>
      </c>
      <c r="I91" s="450">
        <f t="shared" si="3"/>
        <v>314.8199510624994</v>
      </c>
      <c r="J91" s="568">
        <f>Table15[[#This Row],[pnl_official]]-Table15[[#This Row],[pnl_est]]</f>
        <v>-176.70799999999997</v>
      </c>
      <c r="K91" s="548">
        <f>Table15[[#This Row],[pnl_ym]]/Table15[[#This Row],[pnl_am]]</f>
        <v>0.93361268164434996</v>
      </c>
      <c r="L91" s="450">
        <f>IF(Table15[[#This Row],[pnl_official]]&lt;&gt;"", Table15[[#This Row],[pnl_official]]-MAX($D$79:$D91), NA())</f>
        <v>-396.65999999999997</v>
      </c>
      <c r="M91" s="450">
        <f>IF(Table15[[#This Row],[pnl_official]]&lt;&gt;"", IF(Table15[[#This Row],[pnl_official]]&gt;0, 0, Table15[[#This Row],[pnl_official]]), NA())</f>
        <v>0</v>
      </c>
      <c r="N91" s="97"/>
      <c r="P91" s="591"/>
      <c r="R91" s="591"/>
    </row>
    <row r="92" spans="1:18" x14ac:dyDescent="0.25">
      <c r="A92" s="444">
        <f>WORKDAY(A91, 1)</f>
        <v>46043</v>
      </c>
      <c r="B92" s="293">
        <v>14</v>
      </c>
      <c r="C92" s="661">
        <v>1000</v>
      </c>
      <c r="D92" s="660">
        <f>IF(AND(ISNUMBER(Table15[[#This Row],[pnl_ym]]), ISNUMBER(Table15[[#This Row],[pnl_am]])), (Table15[[#This Row],[pnl_ym]]+Table15[[#This Row],[pnl_am]])/1000, NA())</f>
        <v>939.74099999999999</v>
      </c>
      <c r="E92" s="589">
        <v>446757</v>
      </c>
      <c r="F92" s="589">
        <v>492984</v>
      </c>
      <c r="G92" s="423">
        <f>IF(Table15[[#This Row],[pnl_est]] &lt;&gt; "", Table15[[#This Row],[pnl_est]]-$C91, NA())</f>
        <v>-149</v>
      </c>
      <c r="H92" s="423">
        <f>IF(Table15[[#This Row],[pnl_official]] &lt;&gt; "", Table15[[#This Row],[pnl_official]]-D91, NA())</f>
        <v>-32.551000000000045</v>
      </c>
      <c r="I92" s="450">
        <f t="shared" si="3"/>
        <v>316.38858270570933</v>
      </c>
      <c r="J92" s="568">
        <f>Table15[[#This Row],[pnl_official]]-Table15[[#This Row],[pnl_est]]</f>
        <v>-60.259000000000015</v>
      </c>
      <c r="K92" s="548">
        <f>Table15[[#This Row],[pnl_ym]]/Table15[[#This Row],[pnl_am]]</f>
        <v>0.90623022248186558</v>
      </c>
      <c r="L92" s="450">
        <f>IF(Table15[[#This Row],[pnl_official]]&lt;&gt;"", Table15[[#This Row],[pnl_official]]-MAX($D$79:$D92), NA())</f>
        <v>-429.21100000000001</v>
      </c>
      <c r="M92" s="450">
        <f>IF(Table15[[#This Row],[pnl_official]]&lt;&gt;"", IF(Table15[[#This Row],[pnl_official]]&gt;0, 0, Table15[[#This Row],[pnl_official]]), NA())</f>
        <v>0</v>
      </c>
      <c r="N92" s="97"/>
    </row>
    <row r="93" spans="1:18" x14ac:dyDescent="0.25">
      <c r="A93" s="444">
        <f>WORKDAY(A92, 1)</f>
        <v>46044</v>
      </c>
      <c r="B93" s="293">
        <v>15</v>
      </c>
      <c r="C93" s="661">
        <v>-849</v>
      </c>
      <c r="D93" s="660">
        <f>IF(AND(ISNUMBER(Table15[[#This Row],[pnl_ym]]), ISNUMBER(Table15[[#This Row],[pnl_am]])), (Table15[[#This Row],[pnl_ym]]+Table15[[#This Row],[pnl_am]])/1000, NA())</f>
        <v>-798.09</v>
      </c>
      <c r="E93" s="589">
        <v>-1039641</v>
      </c>
      <c r="F93" s="589">
        <v>241551</v>
      </c>
      <c r="G93" s="423">
        <f>IF(Table15[[#This Row],[pnl_est]] &lt;&gt; "", Table15[[#This Row],[pnl_est]]-$C92, NA())</f>
        <v>-1849</v>
      </c>
      <c r="H93" s="423">
        <f>IF(Table15[[#This Row],[pnl_official]] &lt;&gt; "", Table15[[#This Row],[pnl_official]]-D92, NA())</f>
        <v>-1737.8310000000001</v>
      </c>
      <c r="I93" s="450">
        <f t="shared" si="3"/>
        <v>577.99730433542379</v>
      </c>
      <c r="J93" s="568">
        <f>Table15[[#This Row],[pnl_official]]-Table15[[#This Row],[pnl_est]]</f>
        <v>50.909999999999968</v>
      </c>
      <c r="K93" s="548">
        <f>Table15[[#This Row],[pnl_ym]]/Table15[[#This Row],[pnl_am]]</f>
        <v>-4.3040227529590025</v>
      </c>
      <c r="L93" s="450">
        <f>IF(Table15[[#This Row],[pnl_official]]&lt;&gt;"", Table15[[#This Row],[pnl_official]]-MAX($D$79:$D93), NA())</f>
        <v>-2167.0419999999999</v>
      </c>
      <c r="M93" s="450">
        <f>IF(Table15[[#This Row],[pnl_official]]&lt;&gt;"", IF(Table15[[#This Row],[pnl_official]]&gt;0, 0, Table15[[#This Row],[pnl_official]]), NA())</f>
        <v>-798.09</v>
      </c>
      <c r="N93" s="97"/>
    </row>
    <row r="94" spans="1:18" x14ac:dyDescent="0.25">
      <c r="A94" s="444">
        <v>46045</v>
      </c>
      <c r="B94" s="293">
        <v>16</v>
      </c>
      <c r="C94" s="661">
        <v>-587</v>
      </c>
      <c r="D94" s="660">
        <f>IF(AND(ISNUMBER(Table15[[#This Row],[pnl_ym]]), ISNUMBER(Table15[[#This Row],[pnl_am]])), (Table15[[#This Row],[pnl_ym]]+Table15[[#This Row],[pnl_am]])/1000, NA())</f>
        <v>-234.63</v>
      </c>
      <c r="E94" s="589">
        <v>-494032</v>
      </c>
      <c r="F94" s="589">
        <v>259402</v>
      </c>
      <c r="G94" s="423">
        <f>IF(Table15[[#This Row],[pnl_est]] &lt;&gt; "", Table15[[#This Row],[pnl_est]]-$C93, NA())</f>
        <v>262</v>
      </c>
      <c r="H94" s="423">
        <f>IF(Table15[[#This Row],[pnl_official]] &lt;&gt; "", Table15[[#This Row],[pnl_official]]-D93, NA())</f>
        <v>563.46</v>
      </c>
      <c r="I94" s="450">
        <f t="shared" si="3"/>
        <v>600.64707889304464</v>
      </c>
      <c r="J94" s="568">
        <f>Table15[[#This Row],[pnl_official]]-Table15[[#This Row],[pnl_est]]</f>
        <v>352.37</v>
      </c>
      <c r="K94" s="548">
        <f>Table15[[#This Row],[pnl_ym]]/Table15[[#This Row],[pnl_am]]</f>
        <v>-1.9045034348231702</v>
      </c>
      <c r="L94" s="450">
        <f>IF(Table15[[#This Row],[pnl_official]]&lt;&gt;"", Table15[[#This Row],[pnl_official]]-MAX($D$79:$D94), NA())</f>
        <v>-1603.5819999999999</v>
      </c>
      <c r="M94" s="450">
        <f>IF(Table15[[#This Row],[pnl_official]]&lt;&gt;"", IF(Table15[[#This Row],[pnl_official]]&gt;0, 0, Table15[[#This Row],[pnl_official]]), NA())</f>
        <v>-234.63</v>
      </c>
      <c r="N94" s="97"/>
    </row>
    <row r="95" spans="1:18" x14ac:dyDescent="0.25">
      <c r="A95" s="444">
        <v>46048</v>
      </c>
      <c r="B95" s="293">
        <v>17</v>
      </c>
      <c r="C95" s="661">
        <v>-1247</v>
      </c>
      <c r="D95" s="660">
        <f>IF(AND(ISNUMBER(Table15[[#This Row],[pnl_ym]]), ISNUMBER(Table15[[#This Row],[pnl_am]])), (Table15[[#This Row],[pnl_ym]]+Table15[[#This Row],[pnl_am]])/1000, NA())</f>
        <v>-1385.13</v>
      </c>
      <c r="E95" s="589">
        <v>-1349303</v>
      </c>
      <c r="F95" s="589">
        <v>-35827</v>
      </c>
      <c r="G95" s="423">
        <f>IF(Table15[[#This Row],[pnl_est]] &lt;&gt; "", Table15[[#This Row],[pnl_est]]-$C94, NA())</f>
        <v>-660</v>
      </c>
      <c r="H95" s="423">
        <f>IF(Table15[[#This Row],[pnl_official]] &lt;&gt; "", Table15[[#This Row],[pnl_official]]-D94, NA())</f>
        <v>-1150.5</v>
      </c>
      <c r="I95" s="450">
        <f t="shared" si="3"/>
        <v>666.3722602763595</v>
      </c>
      <c r="J95" s="568">
        <f>Table15[[#This Row],[pnl_official]]-Table15[[#This Row],[pnl_est]]</f>
        <v>-138.13000000000011</v>
      </c>
      <c r="K95" s="548">
        <f>Table15[[#This Row],[pnl_ym]]/Table15[[#This Row],[pnl_am]]</f>
        <v>37.661623914924498</v>
      </c>
      <c r="L95" s="450">
        <f>IF(Table15[[#This Row],[pnl_official]]&lt;&gt;"", Table15[[#This Row],[pnl_official]]-MAX($D$79:$D95), NA())</f>
        <v>-2754.0820000000003</v>
      </c>
      <c r="M95" s="450">
        <f>IF(Table15[[#This Row],[pnl_official]]&lt;&gt;"", IF(Table15[[#This Row],[pnl_official]]&gt;0, 0, Table15[[#This Row],[pnl_official]]), NA())</f>
        <v>-1385.13</v>
      </c>
      <c r="N95" s="97"/>
    </row>
    <row r="96" spans="1:18" x14ac:dyDescent="0.25">
      <c r="A96" s="444">
        <v>46049</v>
      </c>
      <c r="B96" s="293">
        <v>18</v>
      </c>
      <c r="C96" s="661">
        <v>-292</v>
      </c>
      <c r="D96" s="660">
        <f>IF(AND(ISNUMBER(Table15[[#This Row],[pnl_ym]]), ISNUMBER(Table15[[#This Row],[pnl_am]])), (Table15[[#This Row],[pnl_ym]]+Table15[[#This Row],[pnl_am]])/1000, NA())</f>
        <v>-290.11500000000001</v>
      </c>
      <c r="E96" s="589">
        <v>-375679</v>
      </c>
      <c r="F96" s="589">
        <v>85564</v>
      </c>
      <c r="G96" s="423">
        <f>IF(Table15[[#This Row],[pnl_est]] &lt;&gt; "", Table15[[#This Row],[pnl_est]]-$C95, NA())</f>
        <v>955</v>
      </c>
      <c r="H96" s="423">
        <f>IF(Table15[[#This Row],[pnl_official]] &lt;&gt; "", Table15[[#This Row],[pnl_official]]-D95, NA())</f>
        <v>1095.0150000000001</v>
      </c>
      <c r="I96" s="450">
        <f t="shared" si="3"/>
        <v>739.88993988469088</v>
      </c>
      <c r="J96" s="568">
        <f>Table15[[#This Row],[pnl_official]]-Table15[[#This Row],[pnl_est]]</f>
        <v>1.8849999999999909</v>
      </c>
      <c r="K96" s="548">
        <f>Table15[[#This Row],[pnl_ym]]/Table15[[#This Row],[pnl_am]]</f>
        <v>-4.3906198868683095</v>
      </c>
      <c r="L96" s="450">
        <f>IF(Table15[[#This Row],[pnl_official]]&lt;&gt;"", Table15[[#This Row],[pnl_official]]-MAX($D$79:$D96), NA())</f>
        <v>-1659.067</v>
      </c>
      <c r="M96" s="450">
        <f>IF(Table15[[#This Row],[pnl_official]]&lt;&gt;"", IF(Table15[[#This Row],[pnl_official]]&gt;0, 0, Table15[[#This Row],[pnl_official]]), NA())</f>
        <v>-290.11500000000001</v>
      </c>
      <c r="N96" s="97"/>
    </row>
    <row r="97" spans="1:14" x14ac:dyDescent="0.25">
      <c r="A97" s="444">
        <v>46050</v>
      </c>
      <c r="B97" s="293">
        <v>19</v>
      </c>
      <c r="C97" s="661">
        <v>871</v>
      </c>
      <c r="D97" s="660">
        <f>IF(AND(ISNUMBER(Table15[[#This Row],[pnl_ym]]), ISNUMBER(Table15[[#This Row],[pnl_am]])), (Table15[[#This Row],[pnl_ym]]+Table15[[#This Row],[pnl_am]])/1000, NA())</f>
        <v>304.685</v>
      </c>
      <c r="E97" s="589">
        <v>168995</v>
      </c>
      <c r="F97" s="589">
        <v>135690</v>
      </c>
      <c r="G97" s="423">
        <f>IF(Table15[[#This Row],[pnl_est]] &lt;&gt; "", Table15[[#This Row],[pnl_est]]-$C96, NA())</f>
        <v>1163</v>
      </c>
      <c r="H97" s="423">
        <f>IF(Table15[[#This Row],[pnl_official]] &lt;&gt; "", Table15[[#This Row],[pnl_official]]-D96, NA())</f>
        <v>594.79999999999995</v>
      </c>
      <c r="I97" s="450">
        <f t="shared" si="3"/>
        <v>758.49562973006277</v>
      </c>
      <c r="J97" s="568">
        <f>Table15[[#This Row],[pnl_official]]-Table15[[#This Row],[pnl_est]]</f>
        <v>-566.31500000000005</v>
      </c>
      <c r="K97" s="548">
        <f>Table15[[#This Row],[pnl_ym]]/Table15[[#This Row],[pnl_am]]</f>
        <v>1.2454491856437468</v>
      </c>
      <c r="L97" s="450">
        <f>IF(Table15[[#This Row],[pnl_official]]&lt;&gt;"", Table15[[#This Row],[pnl_official]]-MAX($D$79:$D97), NA())</f>
        <v>-1064.2670000000001</v>
      </c>
      <c r="M97" s="450">
        <f>IF(Table15[[#This Row],[pnl_official]]&lt;&gt;"", IF(Table15[[#This Row],[pnl_official]]&gt;0, 0, Table15[[#This Row],[pnl_official]]), NA())</f>
        <v>0</v>
      </c>
      <c r="N97" s="97"/>
    </row>
    <row r="98" spans="1:14" x14ac:dyDescent="0.25">
      <c r="A98" s="444">
        <v>46051</v>
      </c>
      <c r="B98" s="293">
        <v>20</v>
      </c>
      <c r="C98" s="661">
        <v>2429</v>
      </c>
      <c r="D98" s="660">
        <f>IF(AND(ISNUMBER(Table15[[#This Row],[pnl_ym]]), ISNUMBER(Table15[[#This Row],[pnl_am]])), (Table15[[#This Row],[pnl_ym]]+Table15[[#This Row],[pnl_am]])/1000, NA())</f>
        <v>2491.7559999999999</v>
      </c>
      <c r="E98" s="589">
        <v>1822567</v>
      </c>
      <c r="F98" s="589">
        <v>669189</v>
      </c>
      <c r="G98" s="423">
        <f>IF(Table15[[#This Row],[pnl_est]] &lt;&gt; "", Table15[[#This Row],[pnl_est]]-$C97, NA())</f>
        <v>1558</v>
      </c>
      <c r="H98" s="423">
        <f>IF(Table15[[#This Row],[pnl_official]] &lt;&gt; "", Table15[[#This Row],[pnl_official]]-D97, NA())</f>
        <v>2187.0709999999999</v>
      </c>
      <c r="I98" s="450">
        <f t="shared" si="3"/>
        <v>951.52029941980538</v>
      </c>
      <c r="J98" s="568">
        <f>Table15[[#This Row],[pnl_official]]-Table15[[#This Row],[pnl_est]]</f>
        <v>62.755999999999858</v>
      </c>
      <c r="K98" s="548">
        <f>Table15[[#This Row],[pnl_ym]]/Table15[[#This Row],[pnl_am]]</f>
        <v>2.7235459638457895</v>
      </c>
      <c r="L98" s="450">
        <f>IF(Table15[[#This Row],[pnl_official]]&lt;&gt;"", Table15[[#This Row],[pnl_official]]-MAX($D$79:$D98), NA())</f>
        <v>0</v>
      </c>
      <c r="M98" s="450">
        <f>IF(Table15[[#This Row],[pnl_official]]&lt;&gt;"", IF(Table15[[#This Row],[pnl_official]]&gt;0, 0, Table15[[#This Row],[pnl_official]]), NA())</f>
        <v>0</v>
      </c>
      <c r="N98" s="97"/>
    </row>
    <row r="99" spans="1:14" x14ac:dyDescent="0.25">
      <c r="A99" s="444">
        <v>46052</v>
      </c>
      <c r="B99" s="293">
        <v>21</v>
      </c>
      <c r="C99" s="661">
        <v>2767</v>
      </c>
      <c r="D99" s="660">
        <f>IF(AND(ISNUMBER(Table15[[#This Row],[pnl_ym]]), ISNUMBER(Table15[[#This Row],[pnl_am]])), (Table15[[#This Row],[pnl_ym]]+Table15[[#This Row],[pnl_am]])/1000, NA())</f>
        <v>2710.7890000000002</v>
      </c>
      <c r="E99" s="589">
        <v>2126565</v>
      </c>
      <c r="F99" s="589">
        <v>584224</v>
      </c>
      <c r="G99" s="423">
        <f>IF(Table15[[#This Row],[pnl_est]] &lt;&gt; "", Table15[[#This Row],[pnl_est]]-$C98, NA())</f>
        <v>338</v>
      </c>
      <c r="H99" s="423">
        <f>IF(Table15[[#This Row],[pnl_official]] &lt;&gt; "", Table15[[#This Row],[pnl_official]]-D98, NA())</f>
        <v>219.03300000000036</v>
      </c>
      <c r="I99" s="450">
        <f t="shared" si="3"/>
        <v>950.9122702808852</v>
      </c>
      <c r="J99" s="568">
        <f>Table15[[#This Row],[pnl_official]]-Table15[[#This Row],[pnl_est]]</f>
        <v>-56.210999999999785</v>
      </c>
      <c r="K99" s="548">
        <f>Table15[[#This Row],[pnl_ym]]/Table15[[#This Row],[pnl_am]]</f>
        <v>3.6399822670756423</v>
      </c>
      <c r="L99" s="450">
        <f>IF(Table15[[#This Row],[pnl_official]]&lt;&gt;"", Table15[[#This Row],[pnl_official]]-MAX($D$79:$D99), NA())</f>
        <v>0</v>
      </c>
      <c r="M99" s="450">
        <f>IF(Table15[[#This Row],[pnl_official]]&lt;&gt;"", IF(Table15[[#This Row],[pnl_official]]&gt;0, 0, Table15[[#This Row],[pnl_official]]), NA())</f>
        <v>0</v>
      </c>
      <c r="N99" s="97"/>
    </row>
    <row r="100" spans="1:14" x14ac:dyDescent="0.25">
      <c r="A100" s="444">
        <v>46055</v>
      </c>
      <c r="B100" s="293">
        <v>22</v>
      </c>
      <c r="C100" s="661">
        <v>2288</v>
      </c>
      <c r="D100" s="660">
        <f>IF(AND(ISNUMBER(Table15[[#This Row],[pnl_ym]]), ISNUMBER(Table15[[#This Row],[pnl_am]])), (Table15[[#This Row],[pnl_ym]]+Table15[[#This Row],[pnl_am]])/1000, NA())</f>
        <v>2326.2420000000002</v>
      </c>
      <c r="E100" s="589">
        <v>1781745</v>
      </c>
      <c r="F100" s="589">
        <v>544497</v>
      </c>
      <c r="G100" s="423">
        <f>IF(Table15[[#This Row],[pnl_est]] &lt;&gt; "", Table15[[#This Row],[pnl_est]]-$C99, NA())</f>
        <v>-479</v>
      </c>
      <c r="H100" s="423">
        <f>IF(Table15[[#This Row],[pnl_official]] &lt;&gt; "", Table15[[#This Row],[pnl_official]]-D99, NA())</f>
        <v>-384.54700000000003</v>
      </c>
      <c r="I100" s="450">
        <f t="shared" si="3"/>
        <v>957.1239241810664</v>
      </c>
      <c r="J100" s="568">
        <f>Table15[[#This Row],[pnl_official]]-Table15[[#This Row],[pnl_est]]</f>
        <v>38.242000000000189</v>
      </c>
      <c r="K100" s="548">
        <f>Table15[[#This Row],[pnl_ym]]/Table15[[#This Row],[pnl_am]]</f>
        <v>3.2722769822423263</v>
      </c>
      <c r="L100" s="450">
        <f>IF(Table15[[#This Row],[pnl_official]]&lt;&gt;"", Table15[[#This Row],[pnl_official]]-MAX($D$79:$D100), NA())</f>
        <v>-384.54700000000003</v>
      </c>
      <c r="M100" s="450">
        <f>IF(Table15[[#This Row],[pnl_official]]&lt;&gt;"", IF(Table15[[#This Row],[pnl_official]]&gt;0, 0, Table15[[#This Row],[pnl_official]]), NA())</f>
        <v>0</v>
      </c>
      <c r="N100" s="97"/>
    </row>
    <row r="101" spans="1:14" x14ac:dyDescent="0.25">
      <c r="A101" s="444">
        <v>46056</v>
      </c>
      <c r="B101" s="293">
        <v>23</v>
      </c>
      <c r="C101" s="661">
        <v>2922</v>
      </c>
      <c r="D101" s="660">
        <f>IF(AND(ISNUMBER(Table15[[#This Row],[pnl_ym]]), ISNUMBER(Table15[[#This Row],[pnl_am]])), (Table15[[#This Row],[pnl_ym]]+Table15[[#This Row],[pnl_am]])/1000, NA())</f>
        <v>2382.2750000000001</v>
      </c>
      <c r="E101" s="589">
        <v>1908105</v>
      </c>
      <c r="F101" s="589">
        <v>474170</v>
      </c>
      <c r="G101" s="423">
        <f>IF(Table15[[#This Row],[pnl_est]] &lt;&gt; "", Table15[[#This Row],[pnl_est]]-$C100, NA())</f>
        <v>634</v>
      </c>
      <c r="H101" s="423">
        <f>IF(Table15[[#This Row],[pnl_official]] &lt;&gt; "", Table15[[#This Row],[pnl_official]]-D100, NA())</f>
        <v>56.032999999999902</v>
      </c>
      <c r="I101" s="450">
        <f t="shared" si="3"/>
        <v>933.05582867542648</v>
      </c>
      <c r="J101" s="568">
        <f>Table15[[#This Row],[pnl_official]]-Table15[[#This Row],[pnl_est]]</f>
        <v>-539.72499999999991</v>
      </c>
      <c r="K101" s="548">
        <f>Table15[[#This Row],[pnl_ym]]/Table15[[#This Row],[pnl_am]]</f>
        <v>4.0240947339561757</v>
      </c>
      <c r="L101" s="450">
        <f>IF(Table15[[#This Row],[pnl_official]]&lt;&gt;"", Table15[[#This Row],[pnl_official]]-MAX($D$79:$D101), NA())</f>
        <v>-328.51400000000012</v>
      </c>
      <c r="M101" s="450">
        <f>IF(Table15[[#This Row],[pnl_official]]&lt;&gt;"", IF(Table15[[#This Row],[pnl_official]]&gt;0, 0, Table15[[#This Row],[pnl_official]]), NA())</f>
        <v>0</v>
      </c>
      <c r="N101" s="97"/>
    </row>
    <row r="102" spans="1:14" x14ac:dyDescent="0.25">
      <c r="A102" s="444">
        <v>46057</v>
      </c>
      <c r="B102" s="293">
        <v>24</v>
      </c>
      <c r="C102" s="661">
        <v>2621</v>
      </c>
      <c r="D102" s="660">
        <f>IF(AND(ISNUMBER(Table15[[#This Row],[pnl_ym]]), ISNUMBER(Table15[[#This Row],[pnl_am]])), (Table15[[#This Row],[pnl_ym]]+Table15[[#This Row],[pnl_am]])/1000, NA())</f>
        <v>2313.7719999999999</v>
      </c>
      <c r="E102" s="589">
        <v>1506653</v>
      </c>
      <c r="F102" s="589">
        <v>807119</v>
      </c>
      <c r="G102" s="423">
        <f>IF(Table15[[#This Row],[pnl_est]] &lt;&gt; "", Table15[[#This Row],[pnl_est]]-$C101, NA())</f>
        <v>-301</v>
      </c>
      <c r="H102" s="423">
        <f>IF(Table15[[#This Row],[pnl_official]] &lt;&gt; "", Table15[[#This Row],[pnl_official]]-D101, NA())</f>
        <v>-68.503000000000156</v>
      </c>
      <c r="I102" s="450">
        <f t="shared" si="3"/>
        <v>933.71900548445467</v>
      </c>
      <c r="J102" s="568">
        <f>Table15[[#This Row],[pnl_official]]-Table15[[#This Row],[pnl_est]]</f>
        <v>-307.22800000000007</v>
      </c>
      <c r="K102" s="548">
        <f>Table15[[#This Row],[pnl_ym]]/Table15[[#This Row],[pnl_am]]</f>
        <v>1.8667049096849411</v>
      </c>
      <c r="L102" s="450">
        <f>IF(Table15[[#This Row],[pnl_official]]&lt;&gt;"", Table15[[#This Row],[pnl_official]]-MAX($D$79:$D102), NA())</f>
        <v>-397.01700000000028</v>
      </c>
      <c r="M102" s="450">
        <f>IF(Table15[[#This Row],[pnl_official]]&lt;&gt;"", IF(Table15[[#This Row],[pnl_official]]&gt;0, 0, Table15[[#This Row],[pnl_official]]), NA())</f>
        <v>0</v>
      </c>
      <c r="N102" s="97"/>
    </row>
    <row r="103" spans="1:14" x14ac:dyDescent="0.25">
      <c r="A103" s="444">
        <v>46058</v>
      </c>
      <c r="B103" s="293">
        <v>25</v>
      </c>
      <c r="C103" s="661">
        <v>3856</v>
      </c>
      <c r="D103" s="660">
        <f>IF(AND(ISNUMBER(Table15[[#This Row],[pnl_ym]]), ISNUMBER(Table15[[#This Row],[pnl_am]])), (Table15[[#This Row],[pnl_ym]]+Table15[[#This Row],[pnl_am]])/1000, NA())</f>
        <v>3382.8670000000002</v>
      </c>
      <c r="E103" s="589">
        <v>2631226</v>
      </c>
      <c r="F103" s="589">
        <v>751641</v>
      </c>
      <c r="G103" s="423">
        <f>IF(Table15[[#This Row],[pnl_est]] &lt;&gt; "", Table15[[#This Row],[pnl_est]]-$C102, NA())</f>
        <v>1235</v>
      </c>
      <c r="H103" s="423">
        <f>IF(Table15[[#This Row],[pnl_official]] &lt;&gt; "", Table15[[#This Row],[pnl_official]]-D102, NA())</f>
        <v>1069.0950000000003</v>
      </c>
      <c r="I103" s="450">
        <f t="shared" si="3"/>
        <v>968.37484318376789</v>
      </c>
      <c r="J103" s="568">
        <f>Table15[[#This Row],[pnl_official]]-Table15[[#This Row],[pnl_est]]</f>
        <v>-473.13299999999981</v>
      </c>
      <c r="K103" s="548">
        <f>Table15[[#This Row],[pnl_ym]]/Table15[[#This Row],[pnl_am]]</f>
        <v>3.5006419287931339</v>
      </c>
      <c r="L103" s="450">
        <f>IF(Table15[[#This Row],[pnl_official]]&lt;&gt;"", Table15[[#This Row],[pnl_official]]-MAX($D$79:$D103), NA())</f>
        <v>0</v>
      </c>
      <c r="M103" s="450">
        <f>IF(Table15[[#This Row],[pnl_official]]&lt;&gt;"", IF(Table15[[#This Row],[pnl_official]]&gt;0, 0, Table15[[#This Row],[pnl_official]]), NA())</f>
        <v>0</v>
      </c>
      <c r="N103" s="97"/>
    </row>
    <row r="104" spans="1:14" x14ac:dyDescent="0.25">
      <c r="A104" s="444">
        <v>46059</v>
      </c>
      <c r="B104" s="293">
        <v>26</v>
      </c>
      <c r="C104" s="661">
        <v>4131</v>
      </c>
      <c r="D104" s="660">
        <f>IF(AND(ISNUMBER(Table15[[#This Row],[pnl_ym]]), ISNUMBER(Table15[[#This Row],[pnl_am]])), (Table15[[#This Row],[pnl_ym]]+Table15[[#This Row],[pnl_am]])/1000, NA())</f>
        <v>3874.0129999999999</v>
      </c>
      <c r="E104" s="589">
        <v>2813316</v>
      </c>
      <c r="F104" s="589">
        <v>1060697</v>
      </c>
      <c r="G104" s="423">
        <f>IF(Table15[[#This Row],[pnl_est]] &lt;&gt; "", Table15[[#This Row],[pnl_est]]-$C103, NA())</f>
        <v>275</v>
      </c>
      <c r="H104" s="423">
        <f>IF(Table15[[#This Row],[pnl_official]] &lt;&gt; "", Table15[[#This Row],[pnl_official]]-D103, NA())</f>
        <v>491.14599999999973</v>
      </c>
      <c r="I104" s="450">
        <f t="shared" si="3"/>
        <v>972.52059493260685</v>
      </c>
      <c r="J104" s="568">
        <f>Table15[[#This Row],[pnl_official]]-Table15[[#This Row],[pnl_est]]</f>
        <v>-256.98700000000008</v>
      </c>
      <c r="K104" s="548">
        <f>Table15[[#This Row],[pnl_ym]]/Table15[[#This Row],[pnl_am]]</f>
        <v>2.6523276675619898</v>
      </c>
      <c r="L104" s="450">
        <f>IF(Table15[[#This Row],[pnl_official]]&lt;&gt;"", Table15[[#This Row],[pnl_official]]-MAX($D$79:$D104), NA())</f>
        <v>0</v>
      </c>
      <c r="M104" s="450">
        <f>IF(Table15[[#This Row],[pnl_official]]&lt;&gt;"", IF(Table15[[#This Row],[pnl_official]]&gt;0, 0, Table15[[#This Row],[pnl_official]]), NA())</f>
        <v>0</v>
      </c>
      <c r="N104" s="97"/>
    </row>
    <row r="105" spans="1:14" x14ac:dyDescent="0.25">
      <c r="A105" s="444">
        <v>46062</v>
      </c>
      <c r="B105" s="293">
        <v>27</v>
      </c>
      <c r="C105" s="661">
        <v>3162</v>
      </c>
      <c r="D105" s="660">
        <f>IF(AND(ISNUMBER(Table15[[#This Row],[pnl_ym]]), ISNUMBER(Table15[[#This Row],[pnl_am]])), (Table15[[#This Row],[pnl_ym]]+Table15[[#This Row],[pnl_am]])/1000, NA())</f>
        <v>2784.9059999999999</v>
      </c>
      <c r="E105" s="589">
        <v>1880015</v>
      </c>
      <c r="F105" s="589">
        <v>904891</v>
      </c>
      <c r="G105" s="423">
        <f>IF(Table15[[#This Row],[pnl_est]] &lt;&gt; "", Table15[[#This Row],[pnl_est]]-$C104, NA())</f>
        <v>-969</v>
      </c>
      <c r="H105" s="423">
        <f>IF(Table15[[#This Row],[pnl_official]] &lt;&gt; "", Table15[[#This Row],[pnl_official]]-D104, NA())</f>
        <v>-1089.107</v>
      </c>
      <c r="I105" s="450">
        <f t="shared" si="3"/>
        <v>1020.4720349905735</v>
      </c>
      <c r="J105" s="568">
        <f>Table15[[#This Row],[pnl_official]]-Table15[[#This Row],[pnl_est]]</f>
        <v>-377.09400000000005</v>
      </c>
      <c r="K105" s="548">
        <f>Table15[[#This Row],[pnl_ym]]/Table15[[#This Row],[pnl_am]]</f>
        <v>2.0776148729515489</v>
      </c>
      <c r="L105" s="450">
        <f>IF(Table15[[#This Row],[pnl_official]]&lt;&gt;"", Table15[[#This Row],[pnl_official]]-MAX($D$79:$D105), NA())</f>
        <v>-1089.107</v>
      </c>
      <c r="M105" s="450">
        <f>IF(Table15[[#This Row],[pnl_official]]&lt;&gt;"", IF(Table15[[#This Row],[pnl_official]]&gt;0, 0, Table15[[#This Row],[pnl_official]]), NA())</f>
        <v>0</v>
      </c>
      <c r="N105" s="97"/>
    </row>
    <row r="106" spans="1:14" x14ac:dyDescent="0.25">
      <c r="A106" s="444">
        <v>46063</v>
      </c>
      <c r="B106" s="293">
        <v>28</v>
      </c>
      <c r="C106" s="661">
        <v>2339</v>
      </c>
      <c r="D106" s="660">
        <f>IF(AND(ISNUMBER(Table15[[#This Row],[pnl_ym]]), ISNUMBER(Table15[[#This Row],[pnl_am]])), (Table15[[#This Row],[pnl_ym]]+Table15[[#This Row],[pnl_am]])/1000, NA())</f>
        <v>2026.8610000000001</v>
      </c>
      <c r="E106" s="589">
        <v>1288137</v>
      </c>
      <c r="F106" s="589">
        <v>738724</v>
      </c>
      <c r="G106" s="423">
        <f>IF(Table15[[#This Row],[pnl_est]] &lt;&gt; "", Table15[[#This Row],[pnl_est]]-$C105, NA())</f>
        <v>-823</v>
      </c>
      <c r="H106" s="423">
        <f>IF(Table15[[#This Row],[pnl_official]] &lt;&gt; "", Table15[[#This Row],[pnl_official]]-D105, NA())</f>
        <v>-758.04499999999985</v>
      </c>
      <c r="I106" s="450">
        <f t="shared" si="3"/>
        <v>1047.3982797906524</v>
      </c>
      <c r="J106" s="568">
        <f>Table15[[#This Row],[pnl_official]]-Table15[[#This Row],[pnl_est]]</f>
        <v>-312.1389999999999</v>
      </c>
      <c r="K106" s="548">
        <f>Table15[[#This Row],[pnl_ym]]/Table15[[#This Row],[pnl_am]]</f>
        <v>1.7437324359300632</v>
      </c>
      <c r="L106" s="450">
        <f>IF(Table15[[#This Row],[pnl_official]]&lt;&gt;"", Table15[[#This Row],[pnl_official]]-MAX($D$79:$D106), NA())</f>
        <v>-1847.1519999999998</v>
      </c>
      <c r="M106" s="450">
        <f>IF(Table15[[#This Row],[pnl_official]]&lt;&gt;"", IF(Table15[[#This Row],[pnl_official]]&gt;0, 0, Table15[[#This Row],[pnl_official]]), NA())</f>
        <v>0</v>
      </c>
      <c r="N106" s="97"/>
    </row>
    <row r="107" spans="1:14" x14ac:dyDescent="0.25">
      <c r="A107" s="444">
        <v>46064</v>
      </c>
      <c r="B107" s="293">
        <v>29</v>
      </c>
      <c r="C107" s="661">
        <v>2626</v>
      </c>
      <c r="D107" s="660">
        <f>IF(AND(ISNUMBER(Table15[[#This Row],[pnl_ym]]), ISNUMBER(Table15[[#This Row],[pnl_am]])), (Table15[[#This Row],[pnl_ym]]+Table15[[#This Row],[pnl_am]])/1000, NA())</f>
        <v>2112.944</v>
      </c>
      <c r="E107" s="589">
        <v>1357287</v>
      </c>
      <c r="F107" s="589">
        <v>755657</v>
      </c>
      <c r="G107" s="423">
        <f>IF(Table15[[#This Row],[pnl_est]] &lt;&gt; "", Table15[[#This Row],[pnl_est]]-$C106, NA())</f>
        <v>287</v>
      </c>
      <c r="H107" s="423">
        <f>IF(Table15[[#This Row],[pnl_official]] &lt;&gt; "", Table15[[#This Row],[pnl_official]]-D106, NA())</f>
        <v>86.082999999999856</v>
      </c>
      <c r="I107" s="450">
        <f t="shared" si="3"/>
        <v>908.42369576316082</v>
      </c>
      <c r="J107" s="568">
        <f>Table15[[#This Row],[pnl_official]]-Table15[[#This Row],[pnl_est]]</f>
        <v>-513.05600000000004</v>
      </c>
      <c r="K107" s="548">
        <f>Table15[[#This Row],[pnl_ym]]/Table15[[#This Row],[pnl_am]]</f>
        <v>1.796168102723855</v>
      </c>
      <c r="L107" s="450">
        <f>IF(Table15[[#This Row],[pnl_official]]&lt;&gt;"", Table15[[#This Row],[pnl_official]]-MAX($D$79:$D107), NA())</f>
        <v>-1761.069</v>
      </c>
      <c r="M107" s="450">
        <f>IF(Table15[[#This Row],[pnl_official]]&lt;&gt;"", IF(Table15[[#This Row],[pnl_official]]&gt;0, 0, Table15[[#This Row],[pnl_official]]), NA())</f>
        <v>0</v>
      </c>
      <c r="N107" s="97"/>
    </row>
    <row r="108" spans="1:14" x14ac:dyDescent="0.25">
      <c r="A108" s="444">
        <v>46065</v>
      </c>
      <c r="B108" s="293">
        <v>30</v>
      </c>
      <c r="C108" s="661">
        <v>2120</v>
      </c>
      <c r="D108" s="660">
        <f>IF(AND(ISNUMBER(Table15[[#This Row],[pnl_ym]]), ISNUMBER(Table15[[#This Row],[pnl_am]])), (Table15[[#This Row],[pnl_ym]]+Table15[[#This Row],[pnl_am]])/1000, NA())</f>
        <v>2016.242</v>
      </c>
      <c r="E108" s="589">
        <v>1277050</v>
      </c>
      <c r="F108" s="589">
        <v>739192</v>
      </c>
      <c r="G108" s="423">
        <f>IF(Table15[[#This Row],[pnl_est]] &lt;&gt; "", Table15[[#This Row],[pnl_est]]-$C107, NA())</f>
        <v>-506</v>
      </c>
      <c r="H108" s="423">
        <f>IF(Table15[[#This Row],[pnl_official]] &lt;&gt; "", Table15[[#This Row],[pnl_official]]-D107, NA())</f>
        <v>-96.701999999999998</v>
      </c>
      <c r="I108" s="450">
        <f t="shared" si="3"/>
        <v>905.67899629485066</v>
      </c>
      <c r="J108" s="568">
        <f>Table15[[#This Row],[pnl_official]]-Table15[[#This Row],[pnl_est]]</f>
        <v>-103.75800000000004</v>
      </c>
      <c r="K108" s="548">
        <f>Table15[[#This Row],[pnl_ym]]/Table15[[#This Row],[pnl_am]]</f>
        <v>1.7276296280262773</v>
      </c>
      <c r="L108" s="450">
        <f>IF(Table15[[#This Row],[pnl_official]]&lt;&gt;"", Table15[[#This Row],[pnl_official]]-MAX($D$79:$D108), NA())</f>
        <v>-1857.771</v>
      </c>
      <c r="M108" s="450">
        <f>IF(Table15[[#This Row],[pnl_official]]&lt;&gt;"", IF(Table15[[#This Row],[pnl_official]]&gt;0, 0, Table15[[#This Row],[pnl_official]]), NA())</f>
        <v>0</v>
      </c>
      <c r="N108" s="97"/>
    </row>
    <row r="109" spans="1:14" x14ac:dyDescent="0.25">
      <c r="A109" s="444">
        <v>46066</v>
      </c>
      <c r="B109" s="293">
        <v>31</v>
      </c>
      <c r="C109" s="661">
        <v>2971</v>
      </c>
      <c r="D109" s="660">
        <f>IF(AND(ISNUMBER(Table15[[#This Row],[pnl_ym]]), ISNUMBER(Table15[[#This Row],[pnl_am]])), (Table15[[#This Row],[pnl_ym]]+Table15[[#This Row],[pnl_am]])/1000, NA())</f>
        <v>2437.8539999999998</v>
      </c>
      <c r="E109" s="589">
        <v>1676707</v>
      </c>
      <c r="F109" s="589">
        <v>761147</v>
      </c>
      <c r="G109" s="423">
        <f>IF(Table15[[#This Row],[pnl_est]] &lt;&gt; "", Table15[[#This Row],[pnl_est]]-$C108, NA())</f>
        <v>851</v>
      </c>
      <c r="H109" s="423">
        <f>IF(Table15[[#This Row],[pnl_official]] &lt;&gt; "", Table15[[#This Row],[pnl_official]]-D108, NA())</f>
        <v>421.61199999999985</v>
      </c>
      <c r="I109" s="450">
        <f t="shared" si="3"/>
        <v>824.40460354744482</v>
      </c>
      <c r="J109" s="568">
        <f>Table15[[#This Row],[pnl_official]]-Table15[[#This Row],[pnl_est]]</f>
        <v>-533.14600000000019</v>
      </c>
      <c r="K109" s="548">
        <f>Table15[[#This Row],[pnl_ym]]/Table15[[#This Row],[pnl_am]]</f>
        <v>2.2028688282289757</v>
      </c>
      <c r="L109" s="450">
        <f>IF(Table15[[#This Row],[pnl_official]]&lt;&gt;"", Table15[[#This Row],[pnl_official]]-MAX($D$79:$D109), NA())</f>
        <v>-1436.1590000000001</v>
      </c>
      <c r="M109" s="450">
        <f>IF(Table15[[#This Row],[pnl_official]]&lt;&gt;"", IF(Table15[[#This Row],[pnl_official]]&gt;0, 0, Table15[[#This Row],[pnl_official]]), NA())</f>
        <v>0</v>
      </c>
      <c r="N109" s="97"/>
    </row>
    <row r="110" spans="1:14" x14ac:dyDescent="0.25">
      <c r="A110" s="444">
        <v>46069</v>
      </c>
      <c r="B110" s="293">
        <v>32</v>
      </c>
      <c r="C110" s="661">
        <v>3394</v>
      </c>
      <c r="D110" s="660">
        <f>IF(AND(ISNUMBER(Table15[[#This Row],[pnl_ym]]), ISNUMBER(Table15[[#This Row],[pnl_am]])), (Table15[[#This Row],[pnl_ym]]+Table15[[#This Row],[pnl_am]])/1000, NA())</f>
        <v>3161.4690000000001</v>
      </c>
      <c r="E110" s="589">
        <v>2279322</v>
      </c>
      <c r="F110" s="589">
        <v>882147</v>
      </c>
      <c r="G110" s="423">
        <f>IF(Table15[[#This Row],[pnl_est]] &lt;&gt; "", Table15[[#This Row],[pnl_est]]-$C109, NA())</f>
        <v>423</v>
      </c>
      <c r="H110" s="423">
        <f>IF(Table15[[#This Row],[pnl_official]] &lt;&gt; "", Table15[[#This Row],[pnl_official]]-D109, NA())</f>
        <v>723.61500000000024</v>
      </c>
      <c r="I110" s="450">
        <f t="shared" si="3"/>
        <v>801.58031745723088</v>
      </c>
      <c r="J110" s="568">
        <f>Table15[[#This Row],[pnl_official]]-Table15[[#This Row],[pnl_est]]</f>
        <v>-232.53099999999995</v>
      </c>
      <c r="K110" s="548">
        <f>Table15[[#This Row],[pnl_ym]]/Table15[[#This Row],[pnl_am]]</f>
        <v>2.5838346670112804</v>
      </c>
      <c r="L110" s="450">
        <f>IF(Table15[[#This Row],[pnl_official]]&lt;&gt;"", Table15[[#This Row],[pnl_official]]-MAX($D$79:$D110), NA())</f>
        <v>-712.54399999999987</v>
      </c>
      <c r="M110" s="450">
        <f>IF(Table15[[#This Row],[pnl_official]]&lt;&gt;"", IF(Table15[[#This Row],[pnl_official]]&gt;0, 0, Table15[[#This Row],[pnl_official]]), NA())</f>
        <v>0</v>
      </c>
      <c r="N110" s="97"/>
    </row>
    <row r="111" spans="1:14" x14ac:dyDescent="0.25">
      <c r="A111" s="444">
        <v>46070</v>
      </c>
      <c r="B111" s="293">
        <v>33</v>
      </c>
      <c r="C111" s="661">
        <v>2770</v>
      </c>
      <c r="D111" s="660">
        <f>IF(AND(ISNUMBER(Table15[[#This Row],[pnl_ym]]), ISNUMBER(Table15[[#This Row],[pnl_am]])), (Table15[[#This Row],[pnl_ym]]+Table15[[#This Row],[pnl_am]])/1000, NA())</f>
        <v>2432.79</v>
      </c>
      <c r="E111" s="589">
        <v>1825951</v>
      </c>
      <c r="F111" s="589">
        <v>606839</v>
      </c>
      <c r="G111" s="423">
        <f>IF(Table15[[#This Row],[pnl_est]] &lt;&gt; "", Table15[[#This Row],[pnl_est]]-$C110, NA())</f>
        <v>-624</v>
      </c>
      <c r="H111" s="423">
        <f>IF(Table15[[#This Row],[pnl_official]] &lt;&gt; "", Table15[[#This Row],[pnl_official]]-D110, NA())</f>
        <v>-728.67900000000009</v>
      </c>
      <c r="I111" s="450">
        <f t="shared" si="3"/>
        <v>834.70679467368836</v>
      </c>
      <c r="J111" s="568">
        <f>Table15[[#This Row],[pnl_official]]-Table15[[#This Row],[pnl_est]]</f>
        <v>-337.21000000000004</v>
      </c>
      <c r="K111" s="548">
        <f>Table15[[#This Row],[pnl_ym]]/Table15[[#This Row],[pnl_am]]</f>
        <v>3.008954599160568</v>
      </c>
      <c r="L111" s="450">
        <f>IF(Table15[[#This Row],[pnl_official]]&lt;&gt;"", Table15[[#This Row],[pnl_official]]-MAX($D$79:$D111), NA())</f>
        <v>-1441.223</v>
      </c>
      <c r="M111" s="450">
        <f>IF(Table15[[#This Row],[pnl_official]]&lt;&gt;"", IF(Table15[[#This Row],[pnl_official]]&gt;0, 0, Table15[[#This Row],[pnl_official]]), NA())</f>
        <v>0</v>
      </c>
      <c r="N111" s="97"/>
    </row>
    <row r="112" spans="1:14" x14ac:dyDescent="0.25">
      <c r="A112" s="444">
        <v>46071</v>
      </c>
      <c r="B112" s="293">
        <v>34</v>
      </c>
      <c r="C112" s="661">
        <v>5445</v>
      </c>
      <c r="D112" s="660">
        <f>IF(AND(ISNUMBER(Table15[[#This Row],[pnl_ym]]), ISNUMBER(Table15[[#This Row],[pnl_am]])), (Table15[[#This Row],[pnl_ym]]+Table15[[#This Row],[pnl_am]])/1000, NA())</f>
        <v>5030.451</v>
      </c>
      <c r="E112" s="589">
        <v>3882641</v>
      </c>
      <c r="F112" s="589">
        <v>1147810</v>
      </c>
      <c r="G112" s="423">
        <f>IF(Table15[[#This Row],[pnl_est]] &lt;&gt; "", Table15[[#This Row],[pnl_est]]-$C111, NA())</f>
        <v>2675</v>
      </c>
      <c r="H112" s="423">
        <f>IF(Table15[[#This Row],[pnl_official]] &lt;&gt; "", Table15[[#This Row],[pnl_official]]-D111, NA())</f>
        <v>2597.6610000000001</v>
      </c>
      <c r="I112" s="450">
        <f t="shared" si="3"/>
        <v>915.05596710437578</v>
      </c>
      <c r="J112" s="568">
        <f>Table15[[#This Row],[pnl_official]]-Table15[[#This Row],[pnl_est]]</f>
        <v>-414.54899999999998</v>
      </c>
      <c r="K112" s="548">
        <f>Table15[[#This Row],[pnl_ym]]/Table15[[#This Row],[pnl_am]]</f>
        <v>3.3826513098857824</v>
      </c>
      <c r="L112" s="450">
        <f>IF(Table15[[#This Row],[pnl_official]]&lt;&gt;"", Table15[[#This Row],[pnl_official]]-MAX($D$79:$D112), NA())</f>
        <v>0</v>
      </c>
      <c r="M112" s="450">
        <f>IF(Table15[[#This Row],[pnl_official]]&lt;&gt;"", IF(Table15[[#This Row],[pnl_official]]&gt;0, 0, Table15[[#This Row],[pnl_official]]), NA())</f>
        <v>0</v>
      </c>
      <c r="N112" s="97"/>
    </row>
    <row r="113" spans="1:14" x14ac:dyDescent="0.25">
      <c r="A113" s="444">
        <v>46072</v>
      </c>
      <c r="B113" s="293">
        <v>35</v>
      </c>
      <c r="C113" s="661">
        <v>7224</v>
      </c>
      <c r="D113" s="660">
        <f>IF(AND(ISNUMBER(Table15[[#This Row],[pnl_ym]]), ISNUMBER(Table15[[#This Row],[pnl_am]])), (Table15[[#This Row],[pnl_ym]]+Table15[[#This Row],[pnl_am]])/1000, NA())</f>
        <v>6690.0860000000002</v>
      </c>
      <c r="E113" s="589">
        <v>5552703</v>
      </c>
      <c r="F113" s="589">
        <v>1137383</v>
      </c>
      <c r="G113" s="423">
        <f>IF(Table15[[#This Row],[pnl_est]] &lt;&gt; "", Table15[[#This Row],[pnl_est]]-$C112, NA())</f>
        <v>1779</v>
      </c>
      <c r="H113" s="423">
        <f>IF(Table15[[#This Row],[pnl_official]] &lt;&gt; "", Table15[[#This Row],[pnl_official]]-D112, NA())</f>
        <v>1659.6350000000002</v>
      </c>
      <c r="I113" s="450">
        <f t="shared" si="3"/>
        <v>996.9556377881114</v>
      </c>
      <c r="J113" s="568">
        <f>Table15[[#This Row],[pnl_official]]-Table15[[#This Row],[pnl_est]]</f>
        <v>-533.91399999999976</v>
      </c>
      <c r="K113" s="548">
        <f>Table15[[#This Row],[pnl_ym]]/Table15[[#This Row],[pnl_am]]</f>
        <v>4.8819992913556822</v>
      </c>
      <c r="L113" s="450">
        <f>IF(Table15[[#This Row],[pnl_official]]&lt;&gt;"", Table15[[#This Row],[pnl_official]]-MAX($D$79:$D113), NA())</f>
        <v>0</v>
      </c>
      <c r="M113" s="450">
        <f>IF(Table15[[#This Row],[pnl_official]]&lt;&gt;"", IF(Table15[[#This Row],[pnl_official]]&gt;0, 0, Table15[[#This Row],[pnl_official]]), NA())</f>
        <v>0</v>
      </c>
      <c r="N113" s="97"/>
    </row>
    <row r="114" spans="1:14" x14ac:dyDescent="0.25">
      <c r="A114" s="444">
        <v>46073</v>
      </c>
      <c r="B114" s="293">
        <v>36</v>
      </c>
      <c r="C114" s="661">
        <v>6478</v>
      </c>
      <c r="D114" s="660">
        <f>IF(AND(ISNUMBER(Table15[[#This Row],[pnl_ym]]), ISNUMBER(Table15[[#This Row],[pnl_am]])), (Table15[[#This Row],[pnl_ym]]+Table15[[#This Row],[pnl_am]])/1000, NA())</f>
        <v>6105.2629999999999</v>
      </c>
      <c r="E114" s="589">
        <v>5047757</v>
      </c>
      <c r="F114" s="589">
        <v>1057506</v>
      </c>
      <c r="G114" s="423">
        <f>IF(Table15[[#This Row],[pnl_est]] &lt;&gt; "", Table15[[#This Row],[pnl_est]]-$C113, NA())</f>
        <v>-746</v>
      </c>
      <c r="H114" s="423">
        <f>IF(Table15[[#This Row],[pnl_official]] &lt;&gt; "", Table15[[#This Row],[pnl_official]]-D113, NA())</f>
        <v>-584.82300000000032</v>
      </c>
      <c r="I114" s="450">
        <f t="shared" si="3"/>
        <v>1008.6584646652408</v>
      </c>
      <c r="J114" s="568">
        <f>Table15[[#This Row],[pnl_official]]-Table15[[#This Row],[pnl_est]]</f>
        <v>-372.73700000000008</v>
      </c>
      <c r="K114" s="548">
        <f>Table15[[#This Row],[pnl_ym]]/Table15[[#This Row],[pnl_am]]</f>
        <v>4.7732655890368472</v>
      </c>
      <c r="L114" s="450">
        <f>IF(Table15[[#This Row],[pnl_official]]&lt;&gt;"", Table15[[#This Row],[pnl_official]]-MAX($D$79:$D114), NA())</f>
        <v>-584.82300000000032</v>
      </c>
      <c r="M114" s="450">
        <f>IF(Table15[[#This Row],[pnl_official]]&lt;&gt;"", IF(Table15[[#This Row],[pnl_official]]&gt;0, 0, Table15[[#This Row],[pnl_official]]), NA())</f>
        <v>0</v>
      </c>
      <c r="N114" s="97"/>
    </row>
    <row r="115" spans="1:14" x14ac:dyDescent="0.25">
      <c r="A115" s="444">
        <v>46076</v>
      </c>
      <c r="B115" s="293">
        <v>37</v>
      </c>
      <c r="C115" s="661">
        <v>5848</v>
      </c>
      <c r="D115" s="660">
        <f>IF(AND(ISNUMBER(Table15[[#This Row],[pnl_ym]]), ISNUMBER(Table15[[#This Row],[pnl_am]])), (Table15[[#This Row],[pnl_ym]]+Table15[[#This Row],[pnl_am]])/1000, NA())</f>
        <v>5909.5309999999999</v>
      </c>
      <c r="E115" s="589">
        <v>5051148</v>
      </c>
      <c r="F115" s="589">
        <v>858383</v>
      </c>
      <c r="G115" s="423">
        <f>IF(Table15[[#This Row],[pnl_est]] &lt;&gt; "", Table15[[#This Row],[pnl_est]]-$C114, NA())</f>
        <v>-630</v>
      </c>
      <c r="H115" s="423">
        <f>IF(Table15[[#This Row],[pnl_official]] &lt;&gt; "", Table15[[#This Row],[pnl_official]]-D114, NA())</f>
        <v>-195.73199999999997</v>
      </c>
      <c r="I115" s="450">
        <f t="shared" si="3"/>
        <v>1014.9898196567035</v>
      </c>
      <c r="J115" s="568">
        <f>Table15[[#This Row],[pnl_official]]-Table15[[#This Row],[pnl_est]]</f>
        <v>61.530999999999949</v>
      </c>
      <c r="K115" s="548">
        <f>Table15[[#This Row],[pnl_ym]]/Table15[[#This Row],[pnl_am]]</f>
        <v>5.8844921206501057</v>
      </c>
      <c r="L115" s="450">
        <f>IF(Table15[[#This Row],[pnl_official]]&lt;&gt;"", Table15[[#This Row],[pnl_official]]-MAX($D$79:$D115), NA())</f>
        <v>-780.55500000000029</v>
      </c>
      <c r="M115" s="450">
        <f>IF(Table15[[#This Row],[pnl_official]]&lt;&gt;"", IF(Table15[[#This Row],[pnl_official]]&gt;0, 0, Table15[[#This Row],[pnl_official]]), NA())</f>
        <v>0</v>
      </c>
      <c r="N115" s="97"/>
    </row>
    <row r="116" spans="1:14" x14ac:dyDescent="0.25">
      <c r="A116" s="444">
        <v>46077</v>
      </c>
      <c r="B116" s="293">
        <v>38</v>
      </c>
      <c r="C116" s="661">
        <v>5002</v>
      </c>
      <c r="D116" s="660">
        <f>IF(AND(ISNUMBER(Table15[[#This Row],[pnl_ym]]), ISNUMBER(Table15[[#This Row],[pnl_am]])), (Table15[[#This Row],[pnl_ym]]+Table15[[#This Row],[pnl_am]])/1000, NA())</f>
        <v>4760.7690000000002</v>
      </c>
      <c r="E116" s="589">
        <v>3774556</v>
      </c>
      <c r="F116" s="589">
        <v>986213</v>
      </c>
      <c r="G116" s="423">
        <f>IF(Table15[[#This Row],[pnl_est]] &lt;&gt; "", Table15[[#This Row],[pnl_est]]-$C115, NA())</f>
        <v>-846</v>
      </c>
      <c r="H116" s="423">
        <f>IF(Table15[[#This Row],[pnl_official]] &lt;&gt; "", Table15[[#This Row],[pnl_official]]-D115, NA())</f>
        <v>-1148.7619999999997</v>
      </c>
      <c r="I116" s="450">
        <f t="shared" si="3"/>
        <v>1080.1922650484853</v>
      </c>
      <c r="J116" s="568">
        <f>Table15[[#This Row],[pnl_official]]-Table15[[#This Row],[pnl_est]]</f>
        <v>-241.23099999999977</v>
      </c>
      <c r="K116" s="548">
        <f>Table15[[#This Row],[pnl_ym]]/Table15[[#This Row],[pnl_am]]</f>
        <v>3.8273233064256909</v>
      </c>
      <c r="L116" s="450">
        <f>IF(Table15[[#This Row],[pnl_official]]&lt;&gt;"", Table15[[#This Row],[pnl_official]]-MAX($D$79:$D116), NA())</f>
        <v>-1929.317</v>
      </c>
      <c r="M116" s="450">
        <f>IF(Table15[[#This Row],[pnl_official]]&lt;&gt;"", IF(Table15[[#This Row],[pnl_official]]&gt;0, 0, Table15[[#This Row],[pnl_official]]), NA())</f>
        <v>0</v>
      </c>
      <c r="N116" s="97"/>
    </row>
    <row r="117" spans="1:14" x14ac:dyDescent="0.25">
      <c r="A117" s="444">
        <v>46078</v>
      </c>
      <c r="B117" s="293">
        <v>39</v>
      </c>
      <c r="C117" s="661">
        <v>5390</v>
      </c>
      <c r="D117" s="660">
        <f>IF(AND(ISNUMBER(Table15[[#This Row],[pnl_ym]]), ISNUMBER(Table15[[#This Row],[pnl_am]])), (Table15[[#This Row],[pnl_ym]]+Table15[[#This Row],[pnl_am]])/1000, NA())</f>
        <v>4897.3310000000001</v>
      </c>
      <c r="E117" s="589">
        <v>3884832</v>
      </c>
      <c r="F117" s="589">
        <v>1012499</v>
      </c>
      <c r="G117" s="423">
        <f>IF(Table15[[#This Row],[pnl_est]] &lt;&gt; "", Table15[[#This Row],[pnl_est]]-$C116, NA())</f>
        <v>388</v>
      </c>
      <c r="H117" s="423">
        <f>IF(Table15[[#This Row],[pnl_official]] &lt;&gt; "", Table15[[#This Row],[pnl_official]]-D116, NA())</f>
        <v>136.5619999999999</v>
      </c>
      <c r="I117" s="450">
        <f t="shared" si="3"/>
        <v>1049.1078730344032</v>
      </c>
      <c r="J117" s="568">
        <f>Table15[[#This Row],[pnl_official]]-Table15[[#This Row],[pnl_est]]</f>
        <v>-492.66899999999987</v>
      </c>
      <c r="K117" s="548">
        <f>Table15[[#This Row],[pnl_ym]]/Table15[[#This Row],[pnl_am]]</f>
        <v>3.8368749006171856</v>
      </c>
      <c r="L117" s="450">
        <f>IF(Table15[[#This Row],[pnl_official]]&lt;&gt;"", Table15[[#This Row],[pnl_official]]-MAX($D$79:$D117), NA())</f>
        <v>-1792.7550000000001</v>
      </c>
      <c r="M117" s="450">
        <f>IF(Table15[[#This Row],[pnl_official]]&lt;&gt;"", IF(Table15[[#This Row],[pnl_official]]&gt;0, 0, Table15[[#This Row],[pnl_official]]), NA())</f>
        <v>0</v>
      </c>
      <c r="N117" s="97"/>
    </row>
    <row r="118" spans="1:14" x14ac:dyDescent="0.25">
      <c r="A118" s="444">
        <v>46079</v>
      </c>
      <c r="B118" s="293">
        <v>40</v>
      </c>
      <c r="C118" s="661">
        <v>6644</v>
      </c>
      <c r="D118" s="660">
        <f>IF(AND(ISNUMBER(Table15[[#This Row],[pnl_ym]]), ISNUMBER(Table15[[#This Row],[pnl_am]])), (Table15[[#This Row],[pnl_ym]]+Table15[[#This Row],[pnl_am]])/1000, NA())</f>
        <v>5978.63</v>
      </c>
      <c r="E118" s="589">
        <v>4799557</v>
      </c>
      <c r="F118" s="589">
        <v>1179073</v>
      </c>
      <c r="G118" s="423">
        <f>IF(Table15[[#This Row],[pnl_est]] &lt;&gt; "", Table15[[#This Row],[pnl_est]]-$C117, NA())</f>
        <v>1254</v>
      </c>
      <c r="H118" s="423">
        <f>IF(Table15[[#This Row],[pnl_official]] &lt;&gt; "", Table15[[#This Row],[pnl_official]]-D117, NA())</f>
        <v>1081.299</v>
      </c>
      <c r="I118" s="450">
        <f t="shared" si="3"/>
        <v>1077.1608139900559</v>
      </c>
      <c r="J118" s="568">
        <f>Table15[[#This Row],[pnl_official]]-Table15[[#This Row],[pnl_est]]</f>
        <v>-665.36999999999989</v>
      </c>
      <c r="K118" s="548">
        <f>Table15[[#This Row],[pnl_ym]]/Table15[[#This Row],[pnl_am]]</f>
        <v>4.0706190371588526</v>
      </c>
      <c r="L118" s="450">
        <f>IF(Table15[[#This Row],[pnl_official]]&lt;&gt;"", Table15[[#This Row],[pnl_official]]-MAX($D$79:$D118), NA())</f>
        <v>-711.45600000000013</v>
      </c>
      <c r="M118" s="450">
        <f>IF(Table15[[#This Row],[pnl_official]]&lt;&gt;"", IF(Table15[[#This Row],[pnl_official]]&gt;0, 0, Table15[[#This Row],[pnl_official]]), NA())</f>
        <v>0</v>
      </c>
      <c r="N118" s="97"/>
    </row>
    <row r="119" spans="1:14" x14ac:dyDescent="0.25">
      <c r="A119" s="444">
        <v>46080</v>
      </c>
      <c r="B119" s="293">
        <v>41</v>
      </c>
      <c r="C119" s="661">
        <v>8059</v>
      </c>
      <c r="D119" s="660">
        <f>IF(AND(ISNUMBER(Table15[[#This Row],[pnl_ym]]), ISNUMBER(Table15[[#This Row],[pnl_am]])), (Table15[[#This Row],[pnl_ym]]+Table15[[#This Row],[pnl_am]])/1000, NA())</f>
        <v>7096.2359999999999</v>
      </c>
      <c r="E119" s="589">
        <v>5767925</v>
      </c>
      <c r="F119" s="589">
        <v>1328311</v>
      </c>
      <c r="G119" s="423">
        <f>IF(Table15[[#This Row],[pnl_est]] &lt;&gt; "", Table15[[#This Row],[pnl_est]]-$C118, NA())</f>
        <v>1415</v>
      </c>
      <c r="H119" s="423">
        <f>IF(Table15[[#This Row],[pnl_official]] &lt;&gt; "", Table15[[#This Row],[pnl_official]]-D118, NA())</f>
        <v>1117.6059999999998</v>
      </c>
      <c r="I119" s="450">
        <f t="shared" si="3"/>
        <v>1042.7468486162186</v>
      </c>
      <c r="J119" s="568">
        <f>Table15[[#This Row],[pnl_official]]-Table15[[#This Row],[pnl_est]]</f>
        <v>-962.76400000000012</v>
      </c>
      <c r="K119" s="548">
        <f>Table15[[#This Row],[pnl_ym]]/Table15[[#This Row],[pnl_am]]</f>
        <v>4.3423001089353326</v>
      </c>
      <c r="L119" s="450">
        <f>IF(Table15[[#This Row],[pnl_official]]&lt;&gt;"", Table15[[#This Row],[pnl_official]]-MAX($D$79:$D119), NA())</f>
        <v>0</v>
      </c>
      <c r="M119" s="450">
        <f>IF(Table15[[#This Row],[pnl_official]]&lt;&gt;"", IF(Table15[[#This Row],[pnl_official]]&gt;0, 0, Table15[[#This Row],[pnl_official]]), NA())</f>
        <v>0</v>
      </c>
      <c r="N119" s="97"/>
    </row>
    <row r="120" spans="1:14" x14ac:dyDescent="0.25">
      <c r="A120" s="444">
        <v>46083</v>
      </c>
      <c r="B120" s="293">
        <v>42</v>
      </c>
      <c r="C120" s="661">
        <v>16030</v>
      </c>
      <c r="D120" s="660">
        <f>IF(AND(ISNUMBER(Table15[[#This Row],[pnl_ym]]), ISNUMBER(Table15[[#This Row],[pnl_am]])), (Table15[[#This Row],[pnl_ym]]+Table15[[#This Row],[pnl_am]])/1000, NA())</f>
        <v>16099.385</v>
      </c>
      <c r="E120" s="589">
        <v>13096176</v>
      </c>
      <c r="F120" s="589">
        <v>3003209</v>
      </c>
      <c r="G120" s="423">
        <f>IF(Table15[[#This Row],[pnl_est]] &lt;&gt; "", Table15[[#This Row],[pnl_est]]-$C119, NA())</f>
        <v>7971</v>
      </c>
      <c r="H120" s="423">
        <f>IF(Table15[[#This Row],[pnl_official]] &lt;&gt; "", Table15[[#This Row],[pnl_official]]-D119, NA())</f>
        <v>9003.1490000000013</v>
      </c>
      <c r="I120" s="450">
        <f t="shared" si="3"/>
        <v>2508.4394809566497</v>
      </c>
      <c r="J120" s="568">
        <f>Table15[[#This Row],[pnl_official]]-Table15[[#This Row],[pnl_est]]</f>
        <v>69.385000000000218</v>
      </c>
      <c r="K120" s="548">
        <f>Table15[[#This Row],[pnl_ym]]/Table15[[#This Row],[pnl_am]]</f>
        <v>4.3607274751773852</v>
      </c>
      <c r="L120" s="450">
        <f>IF(Table15[[#This Row],[pnl_official]]&lt;&gt;"", Table15[[#This Row],[pnl_official]]-MAX($D$79:$D120), NA())</f>
        <v>0</v>
      </c>
      <c r="M120" s="450">
        <f>IF(Table15[[#This Row],[pnl_official]]&lt;&gt;"", IF(Table15[[#This Row],[pnl_official]]&gt;0, 0, Table15[[#This Row],[pnl_official]]), NA())</f>
        <v>0</v>
      </c>
      <c r="N120" s="97"/>
    </row>
    <row r="121" spans="1:14" x14ac:dyDescent="0.25">
      <c r="A121" s="444">
        <v>46084</v>
      </c>
      <c r="B121" s="293">
        <v>43</v>
      </c>
      <c r="C121" s="661">
        <v>22783</v>
      </c>
      <c r="D121" s="660">
        <f>IF(AND(ISNUMBER(Table15[[#This Row],[pnl_ym]]), ISNUMBER(Table15[[#This Row],[pnl_am]])), (Table15[[#This Row],[pnl_ym]]+Table15[[#This Row],[pnl_am]])/1000, NA())</f>
        <v>22529.478999999999</v>
      </c>
      <c r="E121" s="589">
        <v>18947005</v>
      </c>
      <c r="F121" s="589">
        <v>3582474</v>
      </c>
      <c r="G121" s="423">
        <f>IF(Table15[[#This Row],[pnl_est]] &lt;&gt; "", Table15[[#This Row],[pnl_est]]-$C120, NA())</f>
        <v>6753</v>
      </c>
      <c r="H121" s="423">
        <f>IF(Table15[[#This Row],[pnl_official]] &lt;&gt; "", Table15[[#This Row],[pnl_official]]-D120, NA())</f>
        <v>6430.0939999999991</v>
      </c>
      <c r="I121" s="450">
        <f t="shared" si="3"/>
        <v>2875.7566618605447</v>
      </c>
      <c r="J121" s="568">
        <f>Table15[[#This Row],[pnl_official]]-Table15[[#This Row],[pnl_est]]</f>
        <v>-253.52100000000064</v>
      </c>
      <c r="K121" s="548">
        <f>Table15[[#This Row],[pnl_ym]]/Table15[[#This Row],[pnl_am]]</f>
        <v>5.2888046082120903</v>
      </c>
      <c r="L121" s="450">
        <f>IF(Table15[[#This Row],[pnl_official]]&lt;&gt;"", Table15[[#This Row],[pnl_official]]-MAX($D$79:$D121), NA())</f>
        <v>0</v>
      </c>
      <c r="M121" s="450">
        <f>IF(Table15[[#This Row],[pnl_official]]&lt;&gt;"", IF(Table15[[#This Row],[pnl_official]]&gt;0, 0, Table15[[#This Row],[pnl_official]]), NA())</f>
        <v>0</v>
      </c>
      <c r="N121" s="97"/>
    </row>
    <row r="122" spans="1:14" x14ac:dyDescent="0.25">
      <c r="A122" s="444">
        <v>46085</v>
      </c>
      <c r="B122" s="293">
        <v>44</v>
      </c>
      <c r="C122" s="661">
        <v>22782</v>
      </c>
      <c r="D122" s="660">
        <f>IF(AND(ISNUMBER(Table15[[#This Row],[pnl_ym]]), ISNUMBER(Table15[[#This Row],[pnl_am]])), (Table15[[#This Row],[pnl_ym]]+Table15[[#This Row],[pnl_am]])/1000, NA())</f>
        <v>22005.129000000001</v>
      </c>
      <c r="E122" s="589">
        <v>18465709</v>
      </c>
      <c r="F122" s="589">
        <v>3539420</v>
      </c>
      <c r="G122" s="423">
        <f>IF(Table15[[#This Row],[pnl_est]] &lt;&gt; "", Table15[[#This Row],[pnl_est]]-$C121, NA())</f>
        <v>-1</v>
      </c>
      <c r="H122" s="423">
        <f>IF(Table15[[#This Row],[pnl_official]] &lt;&gt; "", Table15[[#This Row],[pnl_official]]-D121, NA())</f>
        <v>-524.34999999999854</v>
      </c>
      <c r="I122" s="450">
        <f t="shared" si="3"/>
        <v>2895.7464844355791</v>
      </c>
      <c r="J122" s="568">
        <f>Table15[[#This Row],[pnl_official]]-Table15[[#This Row],[pnl_est]]</f>
        <v>-776.87099999999919</v>
      </c>
      <c r="K122" s="548">
        <f>Table15[[#This Row],[pnl_ym]]/Table15[[#This Row],[pnl_am]]</f>
        <v>5.2171567657977862</v>
      </c>
      <c r="L122" s="450">
        <f>IF(Table15[[#This Row],[pnl_official]]&lt;&gt;"", Table15[[#This Row],[pnl_official]]-MAX($D$79:$D122), NA())</f>
        <v>-524.34999999999854</v>
      </c>
      <c r="M122" s="450">
        <f>IF(Table15[[#This Row],[pnl_official]]&lt;&gt;"", IF(Table15[[#This Row],[pnl_official]]&gt;0, 0, Table15[[#This Row],[pnl_official]]), NA())</f>
        <v>0</v>
      </c>
      <c r="N122" s="97"/>
    </row>
    <row r="123" spans="1:14" x14ac:dyDescent="0.25">
      <c r="A123" s="444">
        <v>46086</v>
      </c>
      <c r="B123" s="293">
        <v>45</v>
      </c>
      <c r="C123" s="661">
        <v>23622</v>
      </c>
      <c r="D123" s="660">
        <f>IF(AND(ISNUMBER(Table15[[#This Row],[pnl_ym]]), ISNUMBER(Table15[[#This Row],[pnl_am]])), (Table15[[#This Row],[pnl_ym]]+Table15[[#This Row],[pnl_am]])/1000, NA())</f>
        <v>23296.725999999999</v>
      </c>
      <c r="E123" s="589">
        <v>19573256</v>
      </c>
      <c r="F123" s="589">
        <v>3723470</v>
      </c>
      <c r="G123" s="423">
        <f>IF(Table15[[#This Row],[pnl_est]] &lt;&gt; "", Table15[[#This Row],[pnl_est]]-$C122, NA())</f>
        <v>840</v>
      </c>
      <c r="H123" s="423">
        <f>IF(Table15[[#This Row],[pnl_official]] &lt;&gt; "", Table15[[#This Row],[pnl_official]]-D122, NA())</f>
        <v>1291.5969999999979</v>
      </c>
      <c r="I123" s="450">
        <f t="shared" si="3"/>
        <v>2881.7947609185844</v>
      </c>
      <c r="J123" s="568">
        <f>Table15[[#This Row],[pnl_official]]-Table15[[#This Row],[pnl_est]]</f>
        <v>-325.27400000000125</v>
      </c>
      <c r="K123" s="548">
        <f>Table15[[#This Row],[pnl_ym]]/Table15[[#This Row],[pnl_am]]</f>
        <v>5.2567245069787054</v>
      </c>
      <c r="L123" s="450">
        <f>IF(Table15[[#This Row],[pnl_official]]&lt;&gt;"", Table15[[#This Row],[pnl_official]]-MAX($D$79:$D123), NA())</f>
        <v>0</v>
      </c>
      <c r="M123" s="450">
        <f>IF(Table15[[#This Row],[pnl_official]]&lt;&gt;"", IF(Table15[[#This Row],[pnl_official]]&gt;0, 0, Table15[[#This Row],[pnl_official]]), NA())</f>
        <v>0</v>
      </c>
      <c r="N123" s="97"/>
    </row>
    <row r="124" spans="1:14" x14ac:dyDescent="0.25">
      <c r="A124" s="444">
        <v>46087</v>
      </c>
      <c r="B124" s="293">
        <v>46</v>
      </c>
      <c r="C124" s="661">
        <v>27180</v>
      </c>
      <c r="D124" s="660">
        <f>IF(AND(ISNUMBER(Table15[[#This Row],[pnl_ym]]), ISNUMBER(Table15[[#This Row],[pnl_am]])), (Table15[[#This Row],[pnl_ym]]+Table15[[#This Row],[pnl_am]])/1000, NA())</f>
        <v>26288.135999999999</v>
      </c>
      <c r="E124" s="589">
        <v>22139316</v>
      </c>
      <c r="F124" s="589">
        <v>4148820</v>
      </c>
      <c r="G124" s="423">
        <f>IF(Table15[[#This Row],[pnl_est]] &lt;&gt; "", Table15[[#This Row],[pnl_est]]-$C123, NA())</f>
        <v>3558</v>
      </c>
      <c r="H124" s="423">
        <f>IF(Table15[[#This Row],[pnl_official]] &lt;&gt; "", Table15[[#This Row],[pnl_official]]-D123, NA())</f>
        <v>2991.41</v>
      </c>
      <c r="I124" s="450">
        <f t="shared" si="3"/>
        <v>2899.0918398776903</v>
      </c>
      <c r="J124" s="568">
        <f>Table15[[#This Row],[pnl_official]]-Table15[[#This Row],[pnl_est]]</f>
        <v>-891.8640000000014</v>
      </c>
      <c r="K124" s="548">
        <f>Table15[[#This Row],[pnl_ym]]/Table15[[#This Row],[pnl_am]]</f>
        <v>5.3362922469521452</v>
      </c>
      <c r="L124" s="450">
        <f>IF(Table15[[#This Row],[pnl_official]]&lt;&gt;"", Table15[[#This Row],[pnl_official]]-MAX($D$79:$D124), NA())</f>
        <v>0</v>
      </c>
      <c r="M124" s="450">
        <f>IF(Table15[[#This Row],[pnl_official]]&lt;&gt;"", IF(Table15[[#This Row],[pnl_official]]&gt;0, 0, Table15[[#This Row],[pnl_official]]), NA())</f>
        <v>0</v>
      </c>
      <c r="N124" s="97"/>
    </row>
    <row r="125" spans="1:14" x14ac:dyDescent="0.25">
      <c r="A125" s="444">
        <v>46090</v>
      </c>
      <c r="B125" s="293">
        <v>47</v>
      </c>
      <c r="C125" s="661">
        <v>29247</v>
      </c>
      <c r="D125" s="660">
        <f>IF(AND(ISNUMBER(Table15[[#This Row],[pnl_ym]]), ISNUMBER(Table15[[#This Row],[pnl_am]])), (Table15[[#This Row],[pnl_ym]]+Table15[[#This Row],[pnl_am]])/1000, NA())</f>
        <v>28878.79</v>
      </c>
      <c r="E125" s="589">
        <v>24366482</v>
      </c>
      <c r="F125" s="589">
        <v>4512308</v>
      </c>
      <c r="G125" s="423">
        <f>IF(Table15[[#This Row],[pnl_est]] &lt;&gt; "", Table15[[#This Row],[pnl_est]]-$C124, NA())</f>
        <v>2067</v>
      </c>
      <c r="H125" s="423">
        <f>IF(Table15[[#This Row],[pnl_official]] &lt;&gt; "", Table15[[#This Row],[pnl_official]]-D124, NA())</f>
        <v>2590.6540000000023</v>
      </c>
      <c r="I125" s="450">
        <f t="shared" si="3"/>
        <v>2824.1895829557629</v>
      </c>
      <c r="J125" s="568">
        <f>Table15[[#This Row],[pnl_official]]-Table15[[#This Row],[pnl_est]]</f>
        <v>-368.20999999999913</v>
      </c>
      <c r="K125" s="548">
        <f>Table15[[#This Row],[pnl_ym]]/Table15[[#This Row],[pnl_am]]</f>
        <v>5.4000041663822591</v>
      </c>
      <c r="L125" s="450">
        <f>IF(Table15[[#This Row],[pnl_official]]&lt;&gt;"", Table15[[#This Row],[pnl_official]]-MAX($D$79:$D125), NA())</f>
        <v>0</v>
      </c>
      <c r="M125" s="450">
        <f>IF(Table15[[#This Row],[pnl_official]]&lt;&gt;"", IF(Table15[[#This Row],[pnl_official]]&gt;0, 0, Table15[[#This Row],[pnl_official]]), NA())</f>
        <v>0</v>
      </c>
      <c r="N125" s="97"/>
    </row>
    <row r="126" spans="1:14" x14ac:dyDescent="0.25">
      <c r="A126" s="444">
        <v>46091</v>
      </c>
      <c r="B126" s="293">
        <v>48</v>
      </c>
      <c r="C126" s="661">
        <v>28295</v>
      </c>
      <c r="D126" s="660">
        <f>IF(AND(ISNUMBER(Table15[[#This Row],[pnl_ym]]), ISNUMBER(Table15[[#This Row],[pnl_am]])), (Table15[[#This Row],[pnl_ym]]+Table15[[#This Row],[pnl_am]])/1000, NA())</f>
        <v>26001.296999999999</v>
      </c>
      <c r="E126" s="589">
        <v>21894201</v>
      </c>
      <c r="F126" s="589">
        <v>4107096</v>
      </c>
      <c r="G126" s="423">
        <f>IF(Table15[[#This Row],[pnl_est]] &lt;&gt; "", Table15[[#This Row],[pnl_est]]-$C125, NA())</f>
        <v>-952</v>
      </c>
      <c r="H126" s="423">
        <f>IF(Table15[[#This Row],[pnl_official]] &lt;&gt; "", Table15[[#This Row],[pnl_official]]-D125, NA())</f>
        <v>-2877.4930000000022</v>
      </c>
      <c r="I126" s="450">
        <f t="shared" si="3"/>
        <v>3085.5074011004244</v>
      </c>
      <c r="J126" s="568">
        <f>Table15[[#This Row],[pnl_official]]-Table15[[#This Row],[pnl_est]]</f>
        <v>-2293.7030000000013</v>
      </c>
      <c r="K126" s="548">
        <f>Table15[[#This Row],[pnl_ym]]/Table15[[#This Row],[pnl_am]]</f>
        <v>5.3308228003436007</v>
      </c>
      <c r="L126" s="450">
        <f>IF(Table15[[#This Row],[pnl_official]]&lt;&gt;"", Table15[[#This Row],[pnl_official]]-MAX($D$79:$D126), NA())</f>
        <v>-2877.4930000000022</v>
      </c>
      <c r="M126" s="450">
        <f>IF(Table15[[#This Row],[pnl_official]]&lt;&gt;"", IF(Table15[[#This Row],[pnl_official]]&gt;0, 0, Table15[[#This Row],[pnl_official]]), NA())</f>
        <v>0</v>
      </c>
      <c r="N126" s="97"/>
    </row>
    <row r="127" spans="1:14" x14ac:dyDescent="0.25">
      <c r="A127" s="444">
        <v>46092</v>
      </c>
      <c r="B127" s="293">
        <v>49</v>
      </c>
      <c r="C127" s="661">
        <v>30872</v>
      </c>
      <c r="D127" s="660">
        <f>IF(AND(ISNUMBER(Table15[[#This Row],[pnl_ym]]), ISNUMBER(Table15[[#This Row],[pnl_am]])), (Table15[[#This Row],[pnl_ym]]+Table15[[#This Row],[pnl_am]])/1000, NA())</f>
        <v>29691.296999999999</v>
      </c>
      <c r="E127" s="589">
        <v>25060601</v>
      </c>
      <c r="F127" s="589">
        <v>4630696</v>
      </c>
      <c r="G127" s="423">
        <f>IF(Table15[[#This Row],[pnl_est]] &lt;&gt; "", Table15[[#This Row],[pnl_est]]-$C126, NA())</f>
        <v>2577</v>
      </c>
      <c r="H127" s="423">
        <f>IF(Table15[[#This Row],[pnl_official]] &lt;&gt; "", Table15[[#This Row],[pnl_official]]-D126, NA())</f>
        <v>3690</v>
      </c>
      <c r="I127" s="450">
        <f t="shared" si="3"/>
        <v>3140.9117242832931</v>
      </c>
      <c r="J127" s="568">
        <f>Table15[[#This Row],[pnl_official]]-Table15[[#This Row],[pnl_est]]</f>
        <v>-1180.7030000000013</v>
      </c>
      <c r="K127" s="548">
        <f>Table15[[#This Row],[pnl_ym]]/Table15[[#This Row],[pnl_am]]</f>
        <v>5.4118432736677162</v>
      </c>
      <c r="L127" s="450">
        <f>IF(Table15[[#This Row],[pnl_official]]&lt;&gt;"", Table15[[#This Row],[pnl_official]]-MAX($D$79:$D127), NA())</f>
        <v>0</v>
      </c>
      <c r="M127" s="450">
        <f>IF(Table15[[#This Row],[pnl_official]]&lt;&gt;"", IF(Table15[[#This Row],[pnl_official]]&gt;0, 0, Table15[[#This Row],[pnl_official]]), NA())</f>
        <v>0</v>
      </c>
      <c r="N127" s="97"/>
    </row>
    <row r="128" spans="1:14" x14ac:dyDescent="0.25">
      <c r="A128" s="444">
        <v>46093</v>
      </c>
      <c r="B128" s="293">
        <v>50</v>
      </c>
      <c r="C128" s="661">
        <v>34365</v>
      </c>
      <c r="D128" s="660">
        <f>IF(AND(ISNUMBER(Table15[[#This Row],[pnl_ym]]), ISNUMBER(Table15[[#This Row],[pnl_am]])), (Table15[[#This Row],[pnl_ym]]+Table15[[#This Row],[pnl_am]])/1000, NA())</f>
        <v>34320.997000000003</v>
      </c>
      <c r="E128" s="589">
        <v>29033134</v>
      </c>
      <c r="F128" s="589">
        <v>5287863</v>
      </c>
      <c r="G128" s="423">
        <f>IF(Table15[[#This Row],[pnl_est]] &lt;&gt; "", Table15[[#This Row],[pnl_est]]-$C127, NA())</f>
        <v>3493</v>
      </c>
      <c r="H128" s="423">
        <f>IF(Table15[[#This Row],[pnl_official]] &lt;&gt; "", Table15[[#This Row],[pnl_official]]-D127, NA())</f>
        <v>4629.7000000000044</v>
      </c>
      <c r="I128" s="450">
        <f t="shared" si="3"/>
        <v>3165.4964508840958</v>
      </c>
      <c r="J128" s="568">
        <f>Table15[[#This Row],[pnl_official]]-Table15[[#This Row],[pnl_est]]</f>
        <v>-44.002999999996973</v>
      </c>
      <c r="K128" s="548">
        <f>Table15[[#This Row],[pnl_ym]]/Table15[[#This Row],[pnl_am]]</f>
        <v>5.4905231092409164</v>
      </c>
      <c r="L128" s="450">
        <f>IF(Table15[[#This Row],[pnl_official]]&lt;&gt;"", Table15[[#This Row],[pnl_official]]-MAX($D$79:$D128), NA())</f>
        <v>0</v>
      </c>
      <c r="M128" s="450">
        <f>IF(Table15[[#This Row],[pnl_official]]&lt;&gt;"", IF(Table15[[#This Row],[pnl_official]]&gt;0, 0, Table15[[#This Row],[pnl_official]]), NA())</f>
        <v>0</v>
      </c>
      <c r="N128" s="97"/>
    </row>
    <row r="129" spans="1:17" x14ac:dyDescent="0.25">
      <c r="A129" s="444">
        <v>46094</v>
      </c>
      <c r="B129" s="293">
        <v>51</v>
      </c>
      <c r="C129" s="661">
        <v>34092</v>
      </c>
      <c r="D129" s="660">
        <f>IF(AND(ISNUMBER(Table15[[#This Row],[pnl_ym]]), ISNUMBER(Table15[[#This Row],[pnl_am]])), (Table15[[#This Row],[pnl_ym]]+Table15[[#This Row],[pnl_am]])/1000, NA())</f>
        <v>33754.222999999998</v>
      </c>
      <c r="E129" s="589">
        <v>28547467</v>
      </c>
      <c r="F129" s="589">
        <v>5206756</v>
      </c>
      <c r="G129" s="423">
        <f>IF(Table15[[#This Row],[pnl_est]] &lt;&gt; "", Table15[[#This Row],[pnl_est]]-$C128, NA())</f>
        <v>-273</v>
      </c>
      <c r="H129" s="423">
        <f>IF(Table15[[#This Row],[pnl_official]] &lt;&gt; "", Table15[[#This Row],[pnl_official]]-D128, NA())</f>
        <v>-566.77400000000489</v>
      </c>
      <c r="I129" s="450">
        <f t="shared" si="3"/>
        <v>3186.9140169522507</v>
      </c>
      <c r="J129" s="568">
        <f>Table15[[#This Row],[pnl_official]]-Table15[[#This Row],[pnl_est]]</f>
        <v>-337.77700000000186</v>
      </c>
      <c r="K129" s="548">
        <f>Table15[[#This Row],[pnl_ym]]/Table15[[#This Row],[pnl_am]]</f>
        <v>5.4827741111740211</v>
      </c>
      <c r="L129" s="450">
        <f>IF(Table15[[#This Row],[pnl_official]]&lt;&gt;"", Table15[[#This Row],[pnl_official]]-MAX($D$79:$D129), NA())</f>
        <v>-566.77400000000489</v>
      </c>
      <c r="M129" s="450">
        <f>IF(Table15[[#This Row],[pnl_official]]&lt;&gt;"", IF(Table15[[#This Row],[pnl_official]]&gt;0, 0, Table15[[#This Row],[pnl_official]]), NA())</f>
        <v>0</v>
      </c>
      <c r="N129" s="97"/>
    </row>
    <row r="130" spans="1:17" x14ac:dyDescent="0.25">
      <c r="A130" s="444">
        <v>46097</v>
      </c>
      <c r="B130" s="293">
        <v>52</v>
      </c>
      <c r="C130" s="661">
        <v>28823</v>
      </c>
      <c r="D130" s="660">
        <f>IF(AND(ISNUMBER(Table15[[#This Row],[pnl_ym]]), ISNUMBER(Table15[[#This Row],[pnl_am]])), (Table15[[#This Row],[pnl_ym]]+Table15[[#This Row],[pnl_am]])/1000, NA())</f>
        <v>28335.182000000001</v>
      </c>
      <c r="E130" s="589">
        <v>23904926</v>
      </c>
      <c r="F130" s="589">
        <v>4430256</v>
      </c>
      <c r="G130" s="423">
        <f>IF(Table15[[#This Row],[pnl_est]] &lt;&gt; "", Table15[[#This Row],[pnl_est]]-$C129, NA())</f>
        <v>-5269</v>
      </c>
      <c r="H130" s="423">
        <f>IF(Table15[[#This Row],[pnl_official]] &lt;&gt; "", Table15[[#This Row],[pnl_official]]-D129, NA())</f>
        <v>-5419.0409999999974</v>
      </c>
      <c r="I130" s="450">
        <f t="shared" si="3"/>
        <v>3676.9937065086124</v>
      </c>
      <c r="J130" s="568">
        <f>Table15[[#This Row],[pnl_official]]-Table15[[#This Row],[pnl_est]]</f>
        <v>-487.8179999999993</v>
      </c>
      <c r="K130" s="548">
        <f>Table15[[#This Row],[pnl_ym]]/Table15[[#This Row],[pnl_am]]</f>
        <v>5.3958340104951041</v>
      </c>
      <c r="L130" s="450">
        <f>IF(Table15[[#This Row],[pnl_official]]&lt;&gt;"", Table15[[#This Row],[pnl_official]]-MAX($D$79:$D130), NA())</f>
        <v>-5985.8150000000023</v>
      </c>
      <c r="M130" s="450">
        <f>IF(Table15[[#This Row],[pnl_official]]&lt;&gt;"", IF(Table15[[#This Row],[pnl_official]]&gt;0, 0, Table15[[#This Row],[pnl_official]]), NA())</f>
        <v>0</v>
      </c>
      <c r="N130" s="97"/>
    </row>
    <row r="131" spans="1:17" x14ac:dyDescent="0.25">
      <c r="A131" s="444">
        <v>46098</v>
      </c>
      <c r="B131" s="293">
        <v>53</v>
      </c>
      <c r="C131" s="661">
        <v>27503</v>
      </c>
      <c r="D131" s="660">
        <f>IF(AND(ISNUMBER(Table15[[#This Row],[pnl_ym]]), ISNUMBER(Table15[[#This Row],[pnl_am]])), (Table15[[#This Row],[pnl_ym]]+Table15[[#This Row],[pnl_am]])/1000, NA())</f>
        <v>26267.167000000001</v>
      </c>
      <c r="E131" s="589">
        <v>22115941</v>
      </c>
      <c r="F131" s="589">
        <v>4151226</v>
      </c>
      <c r="G131" s="423">
        <f>IF(Table15[[#This Row],[pnl_est]] &lt;&gt; "", Table15[[#This Row],[pnl_est]]-$C130, NA())</f>
        <v>-1320</v>
      </c>
      <c r="H131" s="423">
        <f>IF(Table15[[#This Row],[pnl_official]] &lt;&gt; "", Table15[[#This Row],[pnl_official]]-D130, NA())</f>
        <v>-2068.0149999999994</v>
      </c>
      <c r="I131" s="450">
        <f t="shared" si="3"/>
        <v>3793.7101127002284</v>
      </c>
      <c r="J131" s="568">
        <f>Table15[[#This Row],[pnl_official]]-Table15[[#This Row],[pnl_est]]</f>
        <v>-1235.8329999999987</v>
      </c>
      <c r="K131" s="548">
        <f>Table15[[#This Row],[pnl_ym]]/Table15[[#This Row],[pnl_am]]</f>
        <v>5.3275685303570564</v>
      </c>
      <c r="L131" s="450">
        <f>IF(Table15[[#This Row],[pnl_official]]&lt;&gt;"", Table15[[#This Row],[pnl_official]]-MAX($D$79:$D131), NA())</f>
        <v>-8053.8300000000017</v>
      </c>
      <c r="M131" s="450">
        <f>IF(Table15[[#This Row],[pnl_official]]&lt;&gt;"", IF(Table15[[#This Row],[pnl_official]]&gt;0, 0, Table15[[#This Row],[pnl_official]]), NA())</f>
        <v>0</v>
      </c>
      <c r="N131" s="97"/>
    </row>
    <row r="132" spans="1:17" x14ac:dyDescent="0.25">
      <c r="A132" s="444">
        <v>46099</v>
      </c>
      <c r="B132" s="293">
        <v>54</v>
      </c>
      <c r="C132" s="661">
        <v>31831</v>
      </c>
      <c r="D132" s="660">
        <f>IF(AND(ISNUMBER(Table15[[#This Row],[pnl_ym]]), ISNUMBER(Table15[[#This Row],[pnl_am]])), (Table15[[#This Row],[pnl_ym]]+Table15[[#This Row],[pnl_am]])/1000, NA())</f>
        <v>30207.112000000001</v>
      </c>
      <c r="E132" s="589">
        <v>25289817</v>
      </c>
      <c r="F132" s="589">
        <v>4917295</v>
      </c>
      <c r="G132" s="423">
        <f>IF(Table15[[#This Row],[pnl_est]] &lt;&gt; "", Table15[[#This Row],[pnl_est]]-$C131, NA())</f>
        <v>4328</v>
      </c>
      <c r="H132" s="423">
        <f>IF(Table15[[#This Row],[pnl_official]] &lt;&gt; "", Table15[[#This Row],[pnl_official]]-D131, NA())</f>
        <v>3939.9449999999997</v>
      </c>
      <c r="I132" s="450">
        <f t="shared" si="3"/>
        <v>3844.500143273342</v>
      </c>
      <c r="J132" s="568">
        <f>Table15[[#This Row],[pnl_official]]-Table15[[#This Row],[pnl_est]]</f>
        <v>-1623.887999999999</v>
      </c>
      <c r="K132" s="548">
        <f>Table15[[#This Row],[pnl_ym]]/Table15[[#This Row],[pnl_am]]</f>
        <v>5.1430343308668691</v>
      </c>
      <c r="L132" s="450">
        <f>IF(Table15[[#This Row],[pnl_official]]&lt;&gt;"", Table15[[#This Row],[pnl_official]]-MAX($D$79:$D132), NA())</f>
        <v>-4113.885000000002</v>
      </c>
      <c r="M132" s="450">
        <f>IF(Table15[[#This Row],[pnl_official]]&lt;&gt;"", IF(Table15[[#This Row],[pnl_official]]&gt;0, 0, Table15[[#This Row],[pnl_official]]), NA())</f>
        <v>0</v>
      </c>
      <c r="N132" s="97"/>
    </row>
    <row r="133" spans="1:17" x14ac:dyDescent="0.25">
      <c r="A133" s="444">
        <v>46100</v>
      </c>
      <c r="B133" s="293">
        <v>55</v>
      </c>
      <c r="C133" s="661">
        <v>30232</v>
      </c>
      <c r="D133" s="660">
        <f>IF(AND(ISNUMBER(Table15[[#This Row],[pnl_ym]]), ISNUMBER(Table15[[#This Row],[pnl_am]])), (Table15[[#This Row],[pnl_ym]]+Table15[[#This Row],[pnl_am]])/1000, NA())</f>
        <v>30507</v>
      </c>
      <c r="E133" s="589">
        <v>25547487</v>
      </c>
      <c r="F133" s="589">
        <v>4959513</v>
      </c>
      <c r="G133" s="423">
        <f>IF(Table15[[#This Row],[pnl_est]] &lt;&gt; "", Table15[[#This Row],[pnl_est]]-$C132, NA())</f>
        <v>-1599</v>
      </c>
      <c r="H133" s="423">
        <f>IF(Table15[[#This Row],[pnl_official]] &lt;&gt; "", Table15[[#This Row],[pnl_official]]-D132, NA())</f>
        <v>299.88799999999901</v>
      </c>
      <c r="I133" s="450">
        <f t="shared" si="3"/>
        <v>3860.7071961740321</v>
      </c>
      <c r="J133" s="568">
        <f>Table15[[#This Row],[pnl_official]]-Table15[[#This Row],[pnl_est]]</f>
        <v>275</v>
      </c>
      <c r="K133" s="548">
        <f>Table15[[#This Row],[pnl_ym]]/Table15[[#This Row],[pnl_am]]</f>
        <v>5.1512087981219121</v>
      </c>
      <c r="L133" s="450">
        <f>IF(Table15[[#This Row],[pnl_official]]&lt;&gt;"", Table15[[#This Row],[pnl_official]]-MAX($D$79:$D133), NA())</f>
        <v>-3813.997000000003</v>
      </c>
      <c r="M133" s="450">
        <f>IF(Table15[[#This Row],[pnl_official]]&lt;&gt;"", IF(Table15[[#This Row],[pnl_official]]&gt;0, 0, Table15[[#This Row],[pnl_official]]), NA())</f>
        <v>0</v>
      </c>
      <c r="N133" s="97"/>
    </row>
    <row r="134" spans="1:17" x14ac:dyDescent="0.25">
      <c r="A134" s="444">
        <v>46101</v>
      </c>
      <c r="B134" s="293">
        <v>56</v>
      </c>
      <c r="C134" s="661">
        <v>33597</v>
      </c>
      <c r="D134" s="660">
        <f>IF(AND(ISNUMBER(Table15[[#This Row],[pnl_ym]]), ISNUMBER(Table15[[#This Row],[pnl_am]])), (Table15[[#This Row],[pnl_ym]]+Table15[[#This Row],[pnl_am]])/1000, NA())</f>
        <v>33269.341999999997</v>
      </c>
      <c r="E134" s="589">
        <v>27792600</v>
      </c>
      <c r="F134" s="589">
        <v>5476742</v>
      </c>
      <c r="G134" s="423">
        <f>IF(Table15[[#This Row],[pnl_est]] &lt;&gt; "", Table15[[#This Row],[pnl_est]]-$C133, NA())</f>
        <v>3365</v>
      </c>
      <c r="H134" s="423">
        <f>IF(Table15[[#This Row],[pnl_official]] &lt;&gt; "", Table15[[#This Row],[pnl_official]]-D133, NA())</f>
        <v>2762.3419999999969</v>
      </c>
      <c r="I134" s="450">
        <f t="shared" si="3"/>
        <v>3263.1906092683334</v>
      </c>
      <c r="J134" s="568">
        <f>Table15[[#This Row],[pnl_official]]-Table15[[#This Row],[pnl_est]]</f>
        <v>-327.65800000000309</v>
      </c>
      <c r="K134" s="548">
        <f>Table15[[#This Row],[pnl_ym]]/Table15[[#This Row],[pnl_am]]</f>
        <v>5.074659350394815</v>
      </c>
      <c r="L134" s="450">
        <f>IF(Table15[[#This Row],[pnl_official]]&lt;&gt;"", Table15[[#This Row],[pnl_official]]-MAX($D$79:$D134), NA())</f>
        <v>-1051.6550000000061</v>
      </c>
      <c r="M134" s="450">
        <f>IF(Table15[[#This Row],[pnl_official]]&lt;&gt;"", IF(Table15[[#This Row],[pnl_official]]&gt;0, 0, Table15[[#This Row],[pnl_official]]), NA())</f>
        <v>0</v>
      </c>
      <c r="N134" s="97"/>
    </row>
    <row r="135" spans="1:17" x14ac:dyDescent="0.25">
      <c r="A135" s="444">
        <v>46104</v>
      </c>
      <c r="B135" s="293">
        <v>57</v>
      </c>
      <c r="C135" s="661">
        <v>29902</v>
      </c>
      <c r="D135" s="660">
        <f>IF(AND(ISNUMBER(Table15[[#This Row],[pnl_ym]]), ISNUMBER(Table15[[#This Row],[pnl_am]])), (Table15[[#This Row],[pnl_ym]]+Table15[[#This Row],[pnl_am]])/1000, NA())</f>
        <v>26857.921999999999</v>
      </c>
      <c r="E135" s="589">
        <v>22670383</v>
      </c>
      <c r="F135" s="589">
        <v>4187539</v>
      </c>
      <c r="G135" s="423">
        <f>IF(Table15[[#This Row],[pnl_est]] &lt;&gt; "", Table15[[#This Row],[pnl_est]]-$C134, NA())</f>
        <v>-3695</v>
      </c>
      <c r="H135" s="423">
        <f>IF(Table15[[#This Row],[pnl_official]] &lt;&gt; "", Table15[[#This Row],[pnl_official]]-D134, NA())</f>
        <v>-6411.4199999999983</v>
      </c>
      <c r="I135" s="450">
        <f t="shared" si="3"/>
        <v>3485.2325255987143</v>
      </c>
      <c r="J135" s="568">
        <f>Table15[[#This Row],[pnl_official]]-Table15[[#This Row],[pnl_est]]</f>
        <v>-3044.0780000000013</v>
      </c>
      <c r="K135" s="548">
        <f>Table15[[#This Row],[pnl_ym]]/Table15[[#This Row],[pnl_am]]</f>
        <v>5.413772385164652</v>
      </c>
      <c r="L135" s="450">
        <f>IF(Table15[[#This Row],[pnl_official]]&lt;&gt;"", Table15[[#This Row],[pnl_official]]-MAX($D$79:$D135), NA())</f>
        <v>-7463.0750000000044</v>
      </c>
      <c r="M135" s="450">
        <f>IF(Table15[[#This Row],[pnl_official]]&lt;&gt;"", IF(Table15[[#This Row],[pnl_official]]&gt;0, 0, Table15[[#This Row],[pnl_official]]), NA())</f>
        <v>0</v>
      </c>
      <c r="N135" s="97"/>
    </row>
    <row r="136" spans="1:17" x14ac:dyDescent="0.25">
      <c r="A136" s="444">
        <v>46105</v>
      </c>
      <c r="B136" s="293">
        <v>58</v>
      </c>
      <c r="C136" s="661">
        <v>29316</v>
      </c>
      <c r="D136" s="660">
        <f>IF(AND(ISNUMBER(Table15[[#This Row],[pnl_ym]]), ISNUMBER(Table15[[#This Row],[pnl_am]])), (Table15[[#This Row],[pnl_ym]]+Table15[[#This Row],[pnl_am]])/1000, NA())</f>
        <v>28425.467000000001</v>
      </c>
      <c r="E136" s="589">
        <v>23897223</v>
      </c>
      <c r="F136" s="589">
        <v>4528244</v>
      </c>
      <c r="G136" s="423">
        <f>IF(Table15[[#This Row],[pnl_est]] &lt;&gt; "", Table15[[#This Row],[pnl_est]]-$C135, NA())</f>
        <v>-586</v>
      </c>
      <c r="H136" s="423">
        <f>IF(Table15[[#This Row],[pnl_official]] &lt;&gt; "", Table15[[#This Row],[pnl_official]]-D135, NA())</f>
        <v>1567.5450000000019</v>
      </c>
      <c r="I136" s="450">
        <f t="shared" si="3"/>
        <v>3491.5849925030129</v>
      </c>
      <c r="J136" s="568">
        <f>Table15[[#This Row],[pnl_official]]-Table15[[#This Row],[pnl_est]]</f>
        <v>-890.53299999999945</v>
      </c>
      <c r="K136" s="548">
        <f>Table15[[#This Row],[pnl_ym]]/Table15[[#This Row],[pnl_am]]</f>
        <v>5.2773708748910177</v>
      </c>
      <c r="L136" s="450">
        <f>IF(Table15[[#This Row],[pnl_official]]&lt;&gt;"", Table15[[#This Row],[pnl_official]]-MAX($D$79:$D136), NA())</f>
        <v>-5895.5300000000025</v>
      </c>
      <c r="M136" s="450">
        <f>IF(Table15[[#This Row],[pnl_official]]&lt;&gt;"", IF(Table15[[#This Row],[pnl_official]]&gt;0, 0, Table15[[#This Row],[pnl_official]]), NA())</f>
        <v>0</v>
      </c>
      <c r="N136" s="97"/>
    </row>
    <row r="137" spans="1:17" x14ac:dyDescent="0.25">
      <c r="A137" s="444">
        <v>46106</v>
      </c>
      <c r="B137" s="293">
        <v>59</v>
      </c>
      <c r="C137" s="661">
        <v>29003</v>
      </c>
      <c r="D137" s="660">
        <f>IF(AND(ISNUMBER(Table15[[#This Row],[pnl_ym]]), ISNUMBER(Table15[[#This Row],[pnl_am]])), (Table15[[#This Row],[pnl_ym]]+Table15[[#This Row],[pnl_am]])/1000, NA())</f>
        <v>27764.484</v>
      </c>
      <c r="E137" s="589">
        <v>23339547</v>
      </c>
      <c r="F137" s="589">
        <v>4424937</v>
      </c>
      <c r="G137" s="423">
        <f>IF(Table15[[#This Row],[pnl_est]] &lt;&gt; "", Table15[[#This Row],[pnl_est]]-$C136, NA())</f>
        <v>-313</v>
      </c>
      <c r="H137" s="423">
        <f>IF(Table15[[#This Row],[pnl_official]] &lt;&gt; "", Table15[[#This Row],[pnl_official]]-D136, NA())</f>
        <v>-660.98300000000017</v>
      </c>
      <c r="I137" s="450">
        <f t="shared" si="3"/>
        <v>3494.7476341519605</v>
      </c>
      <c r="J137" s="568">
        <f>Table15[[#This Row],[pnl_official]]-Table15[[#This Row],[pnl_est]]</f>
        <v>-1238.5159999999996</v>
      </c>
      <c r="K137" s="548">
        <f>Table15[[#This Row],[pnl_ym]]/Table15[[#This Row],[pnl_am]]</f>
        <v>5.2745489935788914</v>
      </c>
      <c r="L137" s="450">
        <f>IF(Table15[[#This Row],[pnl_official]]&lt;&gt;"", Table15[[#This Row],[pnl_official]]-MAX($D$79:$D137), NA())</f>
        <v>-6556.5130000000026</v>
      </c>
      <c r="M137" s="450">
        <f>IF(Table15[[#This Row],[pnl_official]]&lt;&gt;"", IF(Table15[[#This Row],[pnl_official]]&gt;0, 0, Table15[[#This Row],[pnl_official]]), NA())</f>
        <v>0</v>
      </c>
      <c r="N137" s="97"/>
    </row>
    <row r="138" spans="1:17" x14ac:dyDescent="0.25">
      <c r="A138" s="444">
        <v>46107</v>
      </c>
      <c r="B138" s="293">
        <v>60</v>
      </c>
      <c r="C138" s="661">
        <v>34431</v>
      </c>
      <c r="D138" s="660">
        <f>IF(AND(ISNUMBER(Table15[[#This Row],[pnl_ym]]), ISNUMBER(Table15[[#This Row],[pnl_am]])), (Table15[[#This Row],[pnl_ym]]+Table15[[#This Row],[pnl_am]])/1000, NA())</f>
        <v>31808.506000000001</v>
      </c>
      <c r="E138" s="589">
        <v>26625990</v>
      </c>
      <c r="F138" s="589">
        <v>5182516</v>
      </c>
      <c r="G138" s="423">
        <f>IF(Table15[[#This Row],[pnl_est]] &lt;&gt; "", Table15[[#This Row],[pnl_est]]-$C137, NA())</f>
        <v>5428</v>
      </c>
      <c r="H138" s="423">
        <f>IF(Table15[[#This Row],[pnl_official]] &lt;&gt; "", Table15[[#This Row],[pnl_official]]-D137, NA())</f>
        <v>4044.0220000000008</v>
      </c>
      <c r="I138" s="450">
        <f t="shared" si="3"/>
        <v>3567.2333644351775</v>
      </c>
      <c r="J138" s="568">
        <f>Table15[[#This Row],[pnl_official]]-Table15[[#This Row],[pnl_est]]</f>
        <v>-2622.4939999999988</v>
      </c>
      <c r="K138" s="548">
        <f>Table15[[#This Row],[pnl_ym]]/Table15[[#This Row],[pnl_am]]</f>
        <v>5.1376570762154907</v>
      </c>
      <c r="L138" s="450">
        <f>IF(Table15[[#This Row],[pnl_official]]&lt;&gt;"", Table15[[#This Row],[pnl_official]]-MAX($D$79:$D138), NA())</f>
        <v>-2512.4910000000018</v>
      </c>
      <c r="M138" s="450">
        <f>IF(Table15[[#This Row],[pnl_official]]&lt;&gt;"", IF(Table15[[#This Row],[pnl_official]]&gt;0, 0, Table15[[#This Row],[pnl_official]]), NA())</f>
        <v>0</v>
      </c>
      <c r="N138" s="97"/>
    </row>
    <row r="139" spans="1:17" x14ac:dyDescent="0.25">
      <c r="A139" s="444">
        <v>46108</v>
      </c>
      <c r="B139" s="293">
        <v>61</v>
      </c>
      <c r="C139" s="661">
        <v>40039</v>
      </c>
      <c r="D139" s="660">
        <f>IF(AND(ISNUMBER(Table15[[#This Row],[pnl_ym]]), ISNUMBER(Table15[[#This Row],[pnl_am]])), (Table15[[#This Row],[pnl_ym]]+Table15[[#This Row],[pnl_am]])/1000, NA())</f>
        <v>37630.483999999997</v>
      </c>
      <c r="E139" s="589">
        <v>31266446</v>
      </c>
      <c r="F139" s="589">
        <v>6364038</v>
      </c>
      <c r="G139" s="423">
        <f>IF(Table15[[#This Row],[pnl_est]] &lt;&gt; "", Table15[[#This Row],[pnl_est]]-$C138, NA())</f>
        <v>5608</v>
      </c>
      <c r="H139" s="423">
        <f>IF(Table15[[#This Row],[pnl_official]] &lt;&gt; "", Table15[[#This Row],[pnl_official]]-D138, NA())</f>
        <v>5821.9779999999955</v>
      </c>
      <c r="I139" s="450">
        <f t="shared" si="3"/>
        <v>3816.127933836277</v>
      </c>
      <c r="J139" s="568">
        <f>Table15[[#This Row],[pnl_official]]-Table15[[#This Row],[pnl_est]]</f>
        <v>-2408.5160000000033</v>
      </c>
      <c r="K139" s="548">
        <f>Table15[[#This Row],[pnl_ym]]/Table15[[#This Row],[pnl_am]]</f>
        <v>4.9129885773780737</v>
      </c>
      <c r="L139" s="450">
        <f>IF(Table15[[#This Row],[pnl_official]]&lt;&gt;"", Table15[[#This Row],[pnl_official]]-MAX($D$79:$D139), NA())</f>
        <v>0</v>
      </c>
      <c r="M139" s="450">
        <f>IF(Table15[[#This Row],[pnl_official]]&lt;&gt;"", IF(Table15[[#This Row],[pnl_official]]&gt;0, 0, Table15[[#This Row],[pnl_official]]), NA())</f>
        <v>0</v>
      </c>
      <c r="N139" s="97"/>
    </row>
    <row r="140" spans="1:17" x14ac:dyDescent="0.25">
      <c r="A140" s="444">
        <v>46111</v>
      </c>
      <c r="B140" s="293">
        <v>62</v>
      </c>
      <c r="C140" s="661">
        <v>36016</v>
      </c>
      <c r="D140" s="660" t="e">
        <f>IF(AND(ISNUMBER(Table15[[#This Row],[pnl_ym]]), ISNUMBER(Table15[[#This Row],[pnl_am]])), (Table15[[#This Row],[pnl_ym]]+Table15[[#This Row],[pnl_am]])/1000, NA())</f>
        <v>#N/A</v>
      </c>
      <c r="E140" s="589" t="e">
        <f>NA()</f>
        <v>#N/A</v>
      </c>
      <c r="F140" s="589" t="e">
        <f>NA()</f>
        <v>#N/A</v>
      </c>
      <c r="G140" s="423">
        <f>IF(Table15[[#This Row],[pnl_est]] &lt;&gt; "", Table15[[#This Row],[pnl_est]]-$C139, NA())</f>
        <v>-4023</v>
      </c>
      <c r="H140" s="423" t="e">
        <f>IF(Table15[[#This Row],[pnl_official]] &lt;&gt; "", Table15[[#This Row],[pnl_official]]-D139, NA())</f>
        <v>#N/A</v>
      </c>
      <c r="I140" s="450" t="e">
        <f t="shared" si="3"/>
        <v>#N/A</v>
      </c>
      <c r="J140" s="568" t="e">
        <f>Table15[[#This Row],[pnl_official]]-Table15[[#This Row],[pnl_est]]</f>
        <v>#N/A</v>
      </c>
      <c r="K140" s="548" t="e">
        <f>Table15[[#This Row],[pnl_ym]]/Table15[[#This Row],[pnl_am]]</f>
        <v>#N/A</v>
      </c>
      <c r="L140" s="450" t="e">
        <f>IF(Table15[[#This Row],[pnl_official]]&lt;&gt;"", Table15[[#This Row],[pnl_official]]-MAX($D$79:$D140), NA())</f>
        <v>#N/A</v>
      </c>
      <c r="M140" s="450" t="e">
        <f>IF(Table15[[#This Row],[pnl_official]]&lt;&gt;"", IF(Table15[[#This Row],[pnl_official]]&gt;0, 0, Table15[[#This Row],[pnl_official]]), NA())</f>
        <v>#N/A</v>
      </c>
      <c r="N140" s="97"/>
    </row>
    <row r="141" spans="1:17" x14ac:dyDescent="0.25">
      <c r="A141" s="444">
        <v>46112</v>
      </c>
      <c r="B141" s="293">
        <v>63</v>
      </c>
      <c r="C141" s="661">
        <v>46183</v>
      </c>
      <c r="D141" s="660" t="e">
        <f>IF(AND(ISNUMBER(Table15[[#This Row],[pnl_ym]]), ISNUMBER(Table15[[#This Row],[pnl_am]])), (Table15[[#This Row],[pnl_ym]]+Table15[[#This Row],[pnl_am]])/1000, NA())</f>
        <v>#N/A</v>
      </c>
      <c r="E141" s="589" t="e">
        <f>NA()</f>
        <v>#N/A</v>
      </c>
      <c r="F141" s="589" t="e">
        <f>NA()</f>
        <v>#N/A</v>
      </c>
      <c r="G141" s="423">
        <f>IF(Table15[[#This Row],[pnl_est]] &lt;&gt; "", Table15[[#This Row],[pnl_est]]-$C140, NA())</f>
        <v>10167</v>
      </c>
      <c r="H141" s="423" t="e">
        <f>IF(Table15[[#This Row],[pnl_official]] &lt;&gt; "", Table15[[#This Row],[pnl_official]]-D140, NA())</f>
        <v>#N/A</v>
      </c>
      <c r="I141" s="450" t="e">
        <f t="shared" si="3"/>
        <v>#N/A</v>
      </c>
      <c r="J141" s="568" t="e">
        <f>Table15[[#This Row],[pnl_official]]-Table15[[#This Row],[pnl_est]]</f>
        <v>#N/A</v>
      </c>
      <c r="K141" s="548" t="e">
        <f>Table15[[#This Row],[pnl_ym]]/Table15[[#This Row],[pnl_am]]</f>
        <v>#N/A</v>
      </c>
      <c r="L141" s="450" t="e">
        <f>IF(Table15[[#This Row],[pnl_official]]&lt;&gt;"", Table15[[#This Row],[pnl_official]]-MAX($D$79:$D141), NA())</f>
        <v>#N/A</v>
      </c>
      <c r="M141" s="450" t="e">
        <f>IF(Table15[[#This Row],[pnl_official]]&lt;&gt;"", IF(Table15[[#This Row],[pnl_official]]&gt;0, 0, Table15[[#This Row],[pnl_official]]), NA())</f>
        <v>#N/A</v>
      </c>
      <c r="N141" s="97"/>
    </row>
    <row r="142" spans="1:17" x14ac:dyDescent="0.25">
      <c r="A142" s="444">
        <v>46113</v>
      </c>
      <c r="B142" s="293">
        <v>64</v>
      </c>
      <c r="C142" s="661">
        <v>45171</v>
      </c>
      <c r="D142" s="660">
        <f>IF(AND(ISNUMBER(Table15[[#This Row],[pnl_ym]]), ISNUMBER(Table15[[#This Row],[pnl_am]])), (Table15[[#This Row],[pnl_ym]]+Table15[[#This Row],[pnl_am]])/1000, NA())</f>
        <v>43964.68</v>
      </c>
      <c r="E142" s="589">
        <v>36130227</v>
      </c>
      <c r="F142" s="589">
        <v>7834453</v>
      </c>
      <c r="G142" s="423">
        <f>IF(Table15[[#This Row],[pnl_est]] &lt;&gt; "", Table15[[#This Row],[pnl_est]]-$C141, NA())</f>
        <v>-1012</v>
      </c>
      <c r="H142" s="423" t="e">
        <f>IF(Table15[[#This Row],[pnl_official]] &lt;&gt; "", Table15[[#This Row],[pnl_official]]-D141, NA())</f>
        <v>#N/A</v>
      </c>
      <c r="I142" s="450" t="e">
        <f t="shared" si="3"/>
        <v>#N/A</v>
      </c>
      <c r="J142" s="568">
        <f>Table15[[#This Row],[pnl_official]]-Table15[[#This Row],[pnl_est]]</f>
        <v>-1206.3199999999997</v>
      </c>
      <c r="K142" s="548">
        <f>Table15[[#This Row],[pnl_ym]]/Table15[[#This Row],[pnl_am]]</f>
        <v>4.6117102240577612</v>
      </c>
      <c r="L142" s="450" t="e">
        <f>IF(Table15[[#This Row],[pnl_official]]&lt;&gt;"", Table15[[#This Row],[pnl_official]]-MAX($D$79:$D142), NA())</f>
        <v>#N/A</v>
      </c>
      <c r="M142" s="450">
        <f>IF(Table15[[#This Row],[pnl_official]]&lt;&gt;"", IF(Table15[[#This Row],[pnl_official]]&gt;0, 0, Table15[[#This Row],[pnl_official]]), NA())</f>
        <v>0</v>
      </c>
      <c r="N142" s="97"/>
    </row>
    <row r="143" spans="1:17" x14ac:dyDescent="0.25">
      <c r="A143" s="444">
        <v>46114</v>
      </c>
      <c r="B143" s="293">
        <v>65</v>
      </c>
      <c r="C143" s="661">
        <v>48550</v>
      </c>
      <c r="D143" s="660">
        <f>IF(AND(ISNUMBER(Table15[[#This Row],[pnl_ym]]), ISNUMBER(Table15[[#This Row],[pnl_am]])), (Table15[[#This Row],[pnl_ym]]+Table15[[#This Row],[pnl_am]])/1000, NA())</f>
        <v>49774.841999999997</v>
      </c>
      <c r="E143" s="589">
        <v>40456663</v>
      </c>
      <c r="F143" s="589">
        <v>9318179</v>
      </c>
      <c r="G143" s="423">
        <f>IF(Table15[[#This Row],[pnl_est]] &lt;&gt; "", Table15[[#This Row],[pnl_est]]-$C142, NA())</f>
        <v>3379</v>
      </c>
      <c r="H143" s="423">
        <f>IF(Table15[[#This Row],[pnl_official]] &lt;&gt; "", Table15[[#This Row],[pnl_official]]-D142, NA())</f>
        <v>5810.1619999999966</v>
      </c>
      <c r="I143" s="450" t="e">
        <f t="shared" si="3"/>
        <v>#N/A</v>
      </c>
      <c r="J143" s="568">
        <f>Table15[[#This Row],[pnl_official]]-Table15[[#This Row],[pnl_est]]</f>
        <v>1224.8419999999969</v>
      </c>
      <c r="K143" s="548">
        <f>Table15[[#This Row],[pnl_ym]]/Table15[[#This Row],[pnl_am]]</f>
        <v>4.3416919765117195</v>
      </c>
      <c r="L143" s="450" t="e">
        <f>IF(Table15[[#This Row],[pnl_official]]&lt;&gt;"", Table15[[#This Row],[pnl_official]]-MAX($D$79:$D143), NA())</f>
        <v>#N/A</v>
      </c>
      <c r="M143" s="450">
        <f>IF(Table15[[#This Row],[pnl_official]]&lt;&gt;"", IF(Table15[[#This Row],[pnl_official]]&gt;0, 0, Table15[[#This Row],[pnl_official]]), NA())</f>
        <v>0</v>
      </c>
      <c r="N143" s="97"/>
    </row>
    <row r="144" spans="1:17" x14ac:dyDescent="0.25">
      <c r="A144" s="444">
        <v>46115</v>
      </c>
      <c r="B144" s="293">
        <v>66</v>
      </c>
      <c r="C144" s="661">
        <v>45171</v>
      </c>
      <c r="D144" s="660">
        <f>IF(AND(ISNUMBER(Table15[[#This Row],[pnl_ym]]), ISNUMBER(Table15[[#This Row],[pnl_am]])), (Table15[[#This Row],[pnl_ym]]+Table15[[#This Row],[pnl_am]])/1000, NA())</f>
        <v>49774.714999999997</v>
      </c>
      <c r="E144" s="589">
        <v>40456536</v>
      </c>
      <c r="F144" s="589">
        <v>9318179</v>
      </c>
      <c r="G144" s="423">
        <f>IF(Table15[[#This Row],[pnl_est]] &lt;&gt; "", Table15[[#This Row],[pnl_est]]-$C143, NA())</f>
        <v>-3379</v>
      </c>
      <c r="H144" s="423">
        <f>IF(Table15[[#This Row],[pnl_official]] &lt;&gt; "", Table15[[#This Row],[pnl_official]]-D143, NA())</f>
        <v>-0.12700000000040745</v>
      </c>
      <c r="I144" s="450" t="e">
        <f t="shared" ref="I144:I207" si="4">_xlfn.STDEV.S(H131:H144)</f>
        <v>#N/A</v>
      </c>
      <c r="J144" s="568">
        <f>Table15[[#This Row],[pnl_official]]-Table15[[#This Row],[pnl_est]]</f>
        <v>4603.7149999999965</v>
      </c>
      <c r="K144" s="548">
        <f>Table15[[#This Row],[pnl_ym]]/Table15[[#This Row],[pnl_am]]</f>
        <v>4.3416783472393048</v>
      </c>
      <c r="L144" s="450" t="e">
        <f>IF(Table15[[#This Row],[pnl_official]]&lt;&gt;"", Table15[[#This Row],[pnl_official]]-MAX($D$79:$D144), NA())</f>
        <v>#N/A</v>
      </c>
      <c r="M144" s="450">
        <f>IF(Table15[[#This Row],[pnl_official]]&lt;&gt;"", IF(Table15[[#This Row],[pnl_official]]&gt;0, 0, Table15[[#This Row],[pnl_official]]), NA())</f>
        <v>0</v>
      </c>
      <c r="N144" s="97"/>
      <c r="Q144" s="723"/>
    </row>
    <row r="145" spans="1:14" x14ac:dyDescent="0.25">
      <c r="A145" s="444">
        <v>46118</v>
      </c>
      <c r="B145" s="293">
        <v>67</v>
      </c>
      <c r="C145" s="661">
        <v>48550</v>
      </c>
      <c r="D145" s="660">
        <f>IF(AND(ISNUMBER(Table15[[#This Row],[pnl_ym]]), ISNUMBER(Table15[[#This Row],[pnl_am]])), (Table15[[#This Row],[pnl_ym]]+Table15[[#This Row],[pnl_am]])/1000, NA())</f>
        <v>49761.017</v>
      </c>
      <c r="E145" s="589">
        <v>40388873</v>
      </c>
      <c r="F145" s="589">
        <v>9372144</v>
      </c>
      <c r="G145" s="423">
        <f>IF(Table15[[#This Row],[pnl_est]] &lt;&gt; "", Table15[[#This Row],[pnl_est]]-$C144, NA())</f>
        <v>3379</v>
      </c>
      <c r="H145" s="423">
        <f>IF(Table15[[#This Row],[pnl_official]] &lt;&gt; "", Table15[[#This Row],[pnl_official]]-D144, NA())</f>
        <v>-13.697999999996682</v>
      </c>
      <c r="I145" s="450" t="e">
        <f t="shared" si="4"/>
        <v>#N/A</v>
      </c>
      <c r="J145" s="568">
        <f>Table15[[#This Row],[pnl_official]]-Table15[[#This Row],[pnl_est]]</f>
        <v>1211.0169999999998</v>
      </c>
      <c r="K145" s="548">
        <f>Table15[[#This Row],[pnl_ym]]/Table15[[#This Row],[pnl_am]]</f>
        <v>4.3094592870105286</v>
      </c>
      <c r="L145" s="450" t="e">
        <f>IF(Table15[[#This Row],[pnl_official]]&lt;&gt;"", Table15[[#This Row],[pnl_official]]-MAX($D$79:$D145), NA())</f>
        <v>#N/A</v>
      </c>
      <c r="M145" s="450">
        <f>IF(Table15[[#This Row],[pnl_official]]&lt;&gt;"", IF(Table15[[#This Row],[pnl_official]]&gt;0, 0, Table15[[#This Row],[pnl_official]]), NA())</f>
        <v>0</v>
      </c>
      <c r="N145" s="97"/>
    </row>
    <row r="146" spans="1:14" x14ac:dyDescent="0.25">
      <c r="A146" s="444">
        <v>46119</v>
      </c>
      <c r="B146" s="293">
        <v>68</v>
      </c>
      <c r="C146" s="752">
        <v>50749</v>
      </c>
      <c r="D146" s="660">
        <f>IF(AND(ISNUMBER(Table15[[#This Row],[pnl_ym]]), ISNUMBER(Table15[[#This Row],[pnl_am]])), (Table15[[#This Row],[pnl_ym]]+Table15[[#This Row],[pnl_am]])/1000, NA())</f>
        <v>50065.987000000001</v>
      </c>
      <c r="E146" s="589">
        <v>40634648</v>
      </c>
      <c r="F146" s="589">
        <v>9431339</v>
      </c>
      <c r="G146" s="423">
        <f>IF(Table15[[#This Row],[pnl_est]] &lt;&gt; "", Table15[[#This Row],[pnl_est]]-$C145, NA())</f>
        <v>2199</v>
      </c>
      <c r="H146" s="423">
        <f>IF(Table15[[#This Row],[pnl_official]] &lt;&gt; "", Table15[[#This Row],[pnl_official]]-D145, NA())</f>
        <v>304.97000000000116</v>
      </c>
      <c r="I146" s="450" t="e">
        <f t="shared" si="4"/>
        <v>#N/A</v>
      </c>
      <c r="J146" s="568">
        <f>Table15[[#This Row],[pnl_official]]-Table15[[#This Row],[pnl_est]]</f>
        <v>-683.01299999999901</v>
      </c>
      <c r="K146" s="548">
        <f>Table15[[#This Row],[pnl_ym]]/Table15[[#This Row],[pnl_am]]</f>
        <v>4.3084707272212359</v>
      </c>
      <c r="L146" s="450" t="e">
        <f>IF(Table15[[#This Row],[pnl_official]]&lt;&gt;"", Table15[[#This Row],[pnl_official]]-MAX($D$79:$D146), NA())</f>
        <v>#N/A</v>
      </c>
      <c r="M146" s="450">
        <f>IF(Table15[[#This Row],[pnl_official]]&lt;&gt;"", IF(Table15[[#This Row],[pnl_official]]&gt;0, 0, Table15[[#This Row],[pnl_official]]), NA())</f>
        <v>0</v>
      </c>
      <c r="N146" s="97"/>
    </row>
    <row r="147" spans="1:14" x14ac:dyDescent="0.25">
      <c r="A147" s="444">
        <v>46120</v>
      </c>
      <c r="B147" s="293">
        <v>69</v>
      </c>
      <c r="C147" s="661">
        <v>36385</v>
      </c>
      <c r="D147" s="660">
        <f>IF(AND(ISNUMBER(Table15[[#This Row],[pnl_ym]]), ISNUMBER(Table15[[#This Row],[pnl_am]])), (Table15[[#This Row],[pnl_ym]]+Table15[[#This Row],[pnl_am]])/1000, NA())</f>
        <v>35210.794999999998</v>
      </c>
      <c r="E147" s="589">
        <v>29679122</v>
      </c>
      <c r="F147" s="589">
        <v>5531673</v>
      </c>
      <c r="G147" s="423">
        <f>IF(Table15[[#This Row],[pnl_est]] &lt;&gt; "", Table15[[#This Row],[pnl_est]]-$C146, NA())</f>
        <v>-14364</v>
      </c>
      <c r="H147" s="423">
        <f>IF(Table15[[#This Row],[pnl_official]] &lt;&gt; "", Table15[[#This Row],[pnl_official]]-D146, NA())</f>
        <v>-14855.192000000003</v>
      </c>
      <c r="I147" s="450" t="e">
        <f t="shared" si="4"/>
        <v>#N/A</v>
      </c>
      <c r="J147" s="568">
        <f>Table15[[#This Row],[pnl_official]]-Table15[[#This Row],[pnl_est]]</f>
        <v>-1174.2050000000017</v>
      </c>
      <c r="K147" s="548">
        <f>Table15[[#This Row],[pnl_ym]]/Table15[[#This Row],[pnl_am]]</f>
        <v>5.365306662197856</v>
      </c>
      <c r="L147" s="450" t="e">
        <f>IF(Table15[[#This Row],[pnl_official]]&lt;&gt;"", Table15[[#This Row],[pnl_official]]-MAX($D$79:$D147), NA())</f>
        <v>#N/A</v>
      </c>
      <c r="M147" s="450">
        <f>IF(Table15[[#This Row],[pnl_official]]&lt;&gt;"", IF(Table15[[#This Row],[pnl_official]]&gt;0, 0, Table15[[#This Row],[pnl_official]]), NA())</f>
        <v>0</v>
      </c>
      <c r="N147" s="97"/>
    </row>
    <row r="148" spans="1:14" x14ac:dyDescent="0.25">
      <c r="A148" s="444">
        <v>46121</v>
      </c>
      <c r="B148" s="293">
        <v>70</v>
      </c>
      <c r="C148" s="661">
        <v>37860</v>
      </c>
      <c r="D148" s="660">
        <f>IF(AND(ISNUMBER(Table15[[#This Row],[pnl_ym]]), ISNUMBER(Table15[[#This Row],[pnl_am]])), (Table15[[#This Row],[pnl_ym]]+Table15[[#This Row],[pnl_am]])/1000, NA())</f>
        <v>37366.864000000001</v>
      </c>
      <c r="E148" s="589">
        <v>31168527</v>
      </c>
      <c r="F148" s="589">
        <v>6198337</v>
      </c>
      <c r="G148" s="423">
        <f>IF(Table15[[#This Row],[pnl_est]] &lt;&gt; "", Table15[[#This Row],[pnl_est]]-$C147, NA())</f>
        <v>1475</v>
      </c>
      <c r="H148" s="423">
        <f>IF(Table15[[#This Row],[pnl_official]] &lt;&gt; "", Table15[[#This Row],[pnl_official]]-D147, NA())</f>
        <v>2156.0690000000031</v>
      </c>
      <c r="I148" s="450" t="e">
        <f t="shared" si="4"/>
        <v>#N/A</v>
      </c>
      <c r="J148" s="568">
        <f>Table15[[#This Row],[pnl_official]]-Table15[[#This Row],[pnl_est]]</f>
        <v>-493.1359999999986</v>
      </c>
      <c r="K148" s="548">
        <f>Table15[[#This Row],[pnl_ym]]/Table15[[#This Row],[pnl_am]]</f>
        <v>5.0285305558571594</v>
      </c>
      <c r="L148" s="450" t="e">
        <f>IF(Table15[[#This Row],[pnl_official]]&lt;&gt;"", Table15[[#This Row],[pnl_official]]-MAX($D$79:$D148), NA())</f>
        <v>#N/A</v>
      </c>
      <c r="M148" s="450">
        <f>IF(Table15[[#This Row],[pnl_official]]&lt;&gt;"", IF(Table15[[#This Row],[pnl_official]]&gt;0, 0, Table15[[#This Row],[pnl_official]]), NA())</f>
        <v>0</v>
      </c>
      <c r="N148" s="97"/>
    </row>
    <row r="149" spans="1:14" x14ac:dyDescent="0.25">
      <c r="A149" s="444">
        <v>46122</v>
      </c>
      <c r="B149" s="293">
        <v>71</v>
      </c>
      <c r="C149" s="661">
        <v>37080</v>
      </c>
      <c r="D149" s="660">
        <f>IF(AND(ISNUMBER(Table15[[#This Row],[pnl_ym]]), ISNUMBER(Table15[[#This Row],[pnl_am]])), (Table15[[#This Row],[pnl_ym]]+Table15[[#This Row],[pnl_am]])/1000, NA())</f>
        <v>34507.942000000003</v>
      </c>
      <c r="E149" s="589">
        <v>28830296</v>
      </c>
      <c r="F149" s="589">
        <v>5677646</v>
      </c>
      <c r="G149" s="423">
        <f>IF(Table15[[#This Row],[pnl_est]] &lt;&gt; "", Table15[[#This Row],[pnl_est]]-$C148, NA())</f>
        <v>-780</v>
      </c>
      <c r="H149" s="423">
        <f>IF(Table15[[#This Row],[pnl_official]] &lt;&gt; "", Table15[[#This Row],[pnl_official]]-D148, NA())</f>
        <v>-2858.9219999999987</v>
      </c>
      <c r="I149" s="450" t="e">
        <f t="shared" si="4"/>
        <v>#N/A</v>
      </c>
      <c r="J149" s="568">
        <f>Table15[[#This Row],[pnl_official]]-Table15[[#This Row],[pnl_est]]</f>
        <v>-2572.0579999999973</v>
      </c>
      <c r="K149" s="548">
        <f>Table15[[#This Row],[pnl_ym]]/Table15[[#This Row],[pnl_am]]</f>
        <v>5.077860789489165</v>
      </c>
      <c r="L149" s="450" t="e">
        <f>IF(Table15[[#This Row],[pnl_official]]&lt;&gt;"", Table15[[#This Row],[pnl_official]]-MAX($D$79:$D149), NA())</f>
        <v>#N/A</v>
      </c>
      <c r="M149" s="450">
        <f>IF(Table15[[#This Row],[pnl_official]]&lt;&gt;"", IF(Table15[[#This Row],[pnl_official]]&gt;0, 0, Table15[[#This Row],[pnl_official]]), NA())</f>
        <v>0</v>
      </c>
      <c r="N149" s="97"/>
    </row>
    <row r="150" spans="1:14" x14ac:dyDescent="0.25">
      <c r="A150" s="444">
        <v>46125</v>
      </c>
      <c r="B150" s="293">
        <v>72</v>
      </c>
      <c r="C150" s="661">
        <v>40466</v>
      </c>
      <c r="D150" s="660">
        <f>IF(AND(ISNUMBER(Table15[[#This Row],[pnl_ym]]), ISNUMBER(Table15[[#This Row],[pnl_am]])), (Table15[[#This Row],[pnl_ym]]+Table15[[#This Row],[pnl_am]])/1000, NA())</f>
        <v>37702.235000000001</v>
      </c>
      <c r="E150" s="589">
        <v>31281622</v>
      </c>
      <c r="F150" s="589">
        <v>6420613</v>
      </c>
      <c r="G150" s="423">
        <f>IF(Table15[[#This Row],[pnl_est]] &lt;&gt; "", Table15[[#This Row],[pnl_est]]-$C149, NA())</f>
        <v>3386</v>
      </c>
      <c r="H150" s="423">
        <f>IF(Table15[[#This Row],[pnl_official]] &lt;&gt; "", Table15[[#This Row],[pnl_official]]-D149, NA())</f>
        <v>3194.2929999999978</v>
      </c>
      <c r="I150" s="450" t="e">
        <f t="shared" si="4"/>
        <v>#N/A</v>
      </c>
      <c r="J150" s="568">
        <f>Table15[[#This Row],[pnl_official]]-Table15[[#This Row],[pnl_est]]</f>
        <v>-2763.7649999999994</v>
      </c>
      <c r="K150" s="548">
        <f>Table15[[#This Row],[pnl_ym]]/Table15[[#This Row],[pnl_am]]</f>
        <v>4.8720615928728304</v>
      </c>
      <c r="L150" s="450" t="e">
        <f>IF(Table15[[#This Row],[pnl_official]]&lt;&gt;"", Table15[[#This Row],[pnl_official]]-MAX($D$79:$D150), NA())</f>
        <v>#N/A</v>
      </c>
      <c r="M150" s="450">
        <f>IF(Table15[[#This Row],[pnl_official]]&lt;&gt;"", IF(Table15[[#This Row],[pnl_official]]&gt;0, 0, Table15[[#This Row],[pnl_official]]), NA())</f>
        <v>0</v>
      </c>
      <c r="N150" s="97"/>
    </row>
    <row r="151" spans="1:14" x14ac:dyDescent="0.25">
      <c r="A151" s="444">
        <v>46126</v>
      </c>
      <c r="B151" s="293">
        <v>73</v>
      </c>
      <c r="C151" s="661">
        <v>36837</v>
      </c>
      <c r="D151" s="660">
        <f>IF(AND(ISNUMBER(Table15[[#This Row],[pnl_ym]]), ISNUMBER(Table15[[#This Row],[pnl_am]])), (Table15[[#This Row],[pnl_ym]]+Table15[[#This Row],[pnl_am]])/1000, NA())</f>
        <v>33581.46</v>
      </c>
      <c r="E151" s="589">
        <v>27723481</v>
      </c>
      <c r="F151" s="589">
        <v>5857979</v>
      </c>
      <c r="G151" s="423">
        <f>IF(Table15[[#This Row],[pnl_est]] &lt;&gt; "", Table15[[#This Row],[pnl_est]]-$C150, NA())</f>
        <v>-3629</v>
      </c>
      <c r="H151" s="423">
        <f>IF(Table15[[#This Row],[pnl_official]] &lt;&gt; "", Table15[[#This Row],[pnl_official]]-D150, NA())</f>
        <v>-4120.7750000000015</v>
      </c>
      <c r="I151" s="450" t="e">
        <f t="shared" si="4"/>
        <v>#N/A</v>
      </c>
      <c r="J151" s="568">
        <f>Table15[[#This Row],[pnl_official]]-Table15[[#This Row],[pnl_est]]</f>
        <v>-3255.5400000000009</v>
      </c>
      <c r="K151" s="548">
        <f>Table15[[#This Row],[pnl_ym]]/Table15[[#This Row],[pnl_am]]</f>
        <v>4.7326016361615499</v>
      </c>
      <c r="L151" s="450" t="e">
        <f>IF(Table15[[#This Row],[pnl_official]]&lt;&gt;"", Table15[[#This Row],[pnl_official]]-MAX($D$79:$D151), NA())</f>
        <v>#N/A</v>
      </c>
      <c r="M151" s="450">
        <f>IF(Table15[[#This Row],[pnl_official]]&lt;&gt;"", IF(Table15[[#This Row],[pnl_official]]&gt;0, 0, Table15[[#This Row],[pnl_official]]), NA())</f>
        <v>0</v>
      </c>
      <c r="N151" s="97"/>
    </row>
    <row r="152" spans="1:14" x14ac:dyDescent="0.25">
      <c r="A152" s="444">
        <v>46127</v>
      </c>
      <c r="B152" s="293">
        <v>74</v>
      </c>
      <c r="C152" s="661">
        <v>32019</v>
      </c>
      <c r="D152" s="660">
        <f>IF(AND(ISNUMBER(Table15[[#This Row],[pnl_ym]]), ISNUMBER(Table15[[#This Row],[pnl_am]])), (Table15[[#This Row],[pnl_ym]]+Table15[[#This Row],[pnl_am]])/1000, NA())</f>
        <v>30739.165000000001</v>
      </c>
      <c r="E152" s="589">
        <v>25307519</v>
      </c>
      <c r="F152" s="589">
        <v>5431646</v>
      </c>
      <c r="G152" s="423">
        <f>IF(Table15[[#This Row],[pnl_est]] &lt;&gt; "", Table15[[#This Row],[pnl_est]]-$C151, NA())</f>
        <v>-4818</v>
      </c>
      <c r="H152" s="423">
        <f>IF(Table15[[#This Row],[pnl_official]] &lt;&gt; "", Table15[[#This Row],[pnl_official]]-D151, NA())</f>
        <v>-2842.2949999999983</v>
      </c>
      <c r="I152" s="450" t="e">
        <f t="shared" si="4"/>
        <v>#N/A</v>
      </c>
      <c r="J152" s="568">
        <f>Table15[[#This Row],[pnl_official]]-Table15[[#This Row],[pnl_est]]</f>
        <v>-1279.8349999999991</v>
      </c>
      <c r="K152" s="548">
        <f>Table15[[#This Row],[pnl_ym]]/Table15[[#This Row],[pnl_am]]</f>
        <v>4.6592725299108224</v>
      </c>
      <c r="L152" s="450" t="e">
        <f>IF(Table15[[#This Row],[pnl_official]]&lt;&gt;"", Table15[[#This Row],[pnl_official]]-MAX($D$79:$D152), NA())</f>
        <v>#N/A</v>
      </c>
      <c r="M152" s="450">
        <f>IF(Table15[[#This Row],[pnl_official]]&lt;&gt;"", IF(Table15[[#This Row],[pnl_official]]&gt;0, 0, Table15[[#This Row],[pnl_official]]), NA())</f>
        <v>0</v>
      </c>
      <c r="N152" s="97"/>
    </row>
    <row r="153" spans="1:14" x14ac:dyDescent="0.25">
      <c r="A153" s="444">
        <v>46128</v>
      </c>
      <c r="B153" s="293">
        <v>75</v>
      </c>
      <c r="C153" s="661">
        <v>31202</v>
      </c>
      <c r="D153" s="660">
        <f>IF(AND(ISNUMBER(Table15[[#This Row],[pnl_ym]]), ISNUMBER(Table15[[#This Row],[pnl_am]])), (Table15[[#This Row],[pnl_ym]]+Table15[[#This Row],[pnl_am]])/1000, NA())</f>
        <v>30277.654999999999</v>
      </c>
      <c r="E153" s="589">
        <v>24978228</v>
      </c>
      <c r="F153" s="589">
        <v>5299427</v>
      </c>
      <c r="G153" s="423">
        <f>IF(Table15[[#This Row],[pnl_est]] &lt;&gt; "", Table15[[#This Row],[pnl_est]]-$C152, NA())</f>
        <v>-817</v>
      </c>
      <c r="H153" s="423">
        <f>IF(Table15[[#This Row],[pnl_official]] &lt;&gt; "", Table15[[#This Row],[pnl_official]]-D152, NA())</f>
        <v>-461.51000000000204</v>
      </c>
      <c r="I153" s="450" t="e">
        <f t="shared" si="4"/>
        <v>#N/A</v>
      </c>
      <c r="J153" s="568">
        <f>Table15[[#This Row],[pnl_official]]-Table15[[#This Row],[pnl_est]]</f>
        <v>-924.34500000000116</v>
      </c>
      <c r="K153" s="548">
        <f>Table15[[#This Row],[pnl_ym]]/Table15[[#This Row],[pnl_am]]</f>
        <v>4.713382786478614</v>
      </c>
      <c r="L153" s="450" t="e">
        <f>IF(Table15[[#This Row],[pnl_official]]&lt;&gt;"", Table15[[#This Row],[pnl_official]]-MAX($D$79:$D153), NA())</f>
        <v>#N/A</v>
      </c>
      <c r="M153" s="450">
        <f>IF(Table15[[#This Row],[pnl_official]]&lt;&gt;"", IF(Table15[[#This Row],[pnl_official]]&gt;0, 0, Table15[[#This Row],[pnl_official]]), NA())</f>
        <v>0</v>
      </c>
      <c r="N153" s="97"/>
    </row>
    <row r="154" spans="1:14" x14ac:dyDescent="0.25">
      <c r="A154" s="444">
        <v>46129</v>
      </c>
      <c r="B154" s="293">
        <v>76</v>
      </c>
      <c r="C154" s="661">
        <v>28068</v>
      </c>
      <c r="D154" s="660">
        <f>IF(AND(ISNUMBER(Table15[[#This Row],[pnl_ym]]), ISNUMBER(Table15[[#This Row],[pnl_am]])), (Table15[[#This Row],[pnl_ym]]+Table15[[#This Row],[pnl_am]])/1000, NA())</f>
        <v>27054.21</v>
      </c>
      <c r="E154" s="589">
        <v>22227239</v>
      </c>
      <c r="F154" s="589">
        <v>4826971</v>
      </c>
      <c r="G154" s="423">
        <f>IF(Table15[[#This Row],[pnl_est]] &lt;&gt; "", Table15[[#This Row],[pnl_est]]-$C153, NA())</f>
        <v>-3134</v>
      </c>
      <c r="H154" s="423">
        <f>IF(Table15[[#This Row],[pnl_official]] &lt;&gt; "", Table15[[#This Row],[pnl_official]]-D153, NA())</f>
        <v>-3223.4449999999997</v>
      </c>
      <c r="I154" s="450" t="e">
        <f t="shared" si="4"/>
        <v>#N/A</v>
      </c>
      <c r="J154" s="568">
        <f>Table15[[#This Row],[pnl_official]]-Table15[[#This Row],[pnl_est]]</f>
        <v>-1013.7900000000009</v>
      </c>
      <c r="K154" s="548">
        <f>Table15[[#This Row],[pnl_ym]]/Table15[[#This Row],[pnl_am]]</f>
        <v>4.6048006089118827</v>
      </c>
      <c r="L154" s="450" t="e">
        <f>IF(Table15[[#This Row],[pnl_official]]&lt;&gt;"", Table15[[#This Row],[pnl_official]]-MAX($D$79:$D154), NA())</f>
        <v>#N/A</v>
      </c>
      <c r="M154" s="450">
        <f>IF(Table15[[#This Row],[pnl_official]]&lt;&gt;"", IF(Table15[[#This Row],[pnl_official]]&gt;0, 0, Table15[[#This Row],[pnl_official]]), NA())</f>
        <v>0</v>
      </c>
      <c r="N154" s="97"/>
    </row>
    <row r="155" spans="1:14" x14ac:dyDescent="0.25">
      <c r="A155" s="444">
        <v>46132</v>
      </c>
      <c r="B155" s="293">
        <v>77</v>
      </c>
      <c r="C155" s="661">
        <v>28655</v>
      </c>
      <c r="D155" s="660">
        <f>IF(AND(ISNUMBER(Table15[[#This Row],[pnl_ym]]), ISNUMBER(Table15[[#This Row],[pnl_am]])), (Table15[[#This Row],[pnl_ym]]+Table15[[#This Row],[pnl_am]])/1000, NA())</f>
        <v>28020.706999999999</v>
      </c>
      <c r="E155" s="589">
        <v>23143958</v>
      </c>
      <c r="F155" s="589">
        <v>4876749</v>
      </c>
      <c r="G155" s="423">
        <f>IF(Table15[[#This Row],[pnl_est]] &lt;&gt; "", Table15[[#This Row],[pnl_est]]-$C154, NA())</f>
        <v>587</v>
      </c>
      <c r="H155" s="423">
        <f>IF(Table15[[#This Row],[pnl_official]] &lt;&gt; "", Table15[[#This Row],[pnl_official]]-D154, NA())</f>
        <v>966.49699999999939</v>
      </c>
      <c r="I155" s="450" t="e">
        <f t="shared" si="4"/>
        <v>#N/A</v>
      </c>
      <c r="J155" s="568">
        <f>Table15[[#This Row],[pnl_official]]-Table15[[#This Row],[pnl_est]]</f>
        <v>-634.29300000000148</v>
      </c>
      <c r="K155" s="548">
        <f>Table15[[#This Row],[pnl_ym]]/Table15[[#This Row],[pnl_am]]</f>
        <v>4.7457759257242893</v>
      </c>
      <c r="L155" s="450" t="e">
        <f>IF(Table15[[#This Row],[pnl_official]]&lt;&gt;"", Table15[[#This Row],[pnl_official]]-MAX($D$79:$D155), NA())</f>
        <v>#N/A</v>
      </c>
      <c r="M155" s="450">
        <f>IF(Table15[[#This Row],[pnl_official]]&lt;&gt;"", IF(Table15[[#This Row],[pnl_official]]&gt;0, 0, Table15[[#This Row],[pnl_official]]), NA())</f>
        <v>0</v>
      </c>
      <c r="N155" s="97"/>
    </row>
    <row r="156" spans="1:14" x14ac:dyDescent="0.25">
      <c r="A156" s="444">
        <v>46133</v>
      </c>
      <c r="B156" s="293">
        <v>78</v>
      </c>
      <c r="C156" s="661">
        <v>30604</v>
      </c>
      <c r="D156" s="660">
        <f>IF(AND(ISNUMBER(Table15[[#This Row],[pnl_ym]]), ISNUMBER(Table15[[#This Row],[pnl_am]])), (Table15[[#This Row],[pnl_ym]]+Table15[[#This Row],[pnl_am]])/1000, NA())</f>
        <v>29098.271000000001</v>
      </c>
      <c r="E156" s="589">
        <v>24075775</v>
      </c>
      <c r="F156" s="589">
        <v>5022496</v>
      </c>
      <c r="G156" s="423">
        <f>IF(Table15[[#This Row],[pnl_est]] &lt;&gt; "", Table15[[#This Row],[pnl_est]]-$C155, NA())</f>
        <v>1949</v>
      </c>
      <c r="H156" s="423">
        <f>IF(Table15[[#This Row],[pnl_official]] &lt;&gt; "", Table15[[#This Row],[pnl_official]]-D155, NA())</f>
        <v>1077.5640000000021</v>
      </c>
      <c r="I156" s="450">
        <f t="shared" si="4"/>
        <v>4800.042650644722</v>
      </c>
      <c r="J156" s="568">
        <f>Table15[[#This Row],[pnl_official]]-Table15[[#This Row],[pnl_est]]</f>
        <v>-1505.7289999999994</v>
      </c>
      <c r="K156" s="548">
        <f>Table15[[#This Row],[pnl_ym]]/Table15[[#This Row],[pnl_am]]</f>
        <v>4.7935876902639647</v>
      </c>
      <c r="L156" s="450" t="e">
        <f>IF(Table15[[#This Row],[pnl_official]]&lt;&gt;"", Table15[[#This Row],[pnl_official]]-MAX($D$79:$D156), NA())</f>
        <v>#N/A</v>
      </c>
      <c r="M156" s="450">
        <f>IF(Table15[[#This Row],[pnl_official]]&lt;&gt;"", IF(Table15[[#This Row],[pnl_official]]&gt;0, 0, Table15[[#This Row],[pnl_official]]), NA())</f>
        <v>0</v>
      </c>
      <c r="N156" s="97"/>
    </row>
    <row r="157" spans="1:14" x14ac:dyDescent="0.25">
      <c r="A157" s="444">
        <v>46134</v>
      </c>
      <c r="B157" s="293">
        <v>79</v>
      </c>
      <c r="C157" s="661">
        <v>30882</v>
      </c>
      <c r="D157" s="660">
        <f>IF(AND(ISNUMBER(Table15[[#This Row],[pnl_ym]]), ISNUMBER(Table15[[#This Row],[pnl_am]])), (Table15[[#This Row],[pnl_ym]]+Table15[[#This Row],[pnl_am]])/1000, NA())</f>
        <v>30871.273000000001</v>
      </c>
      <c r="E157" s="589">
        <v>25679277</v>
      </c>
      <c r="F157" s="589">
        <v>5191996</v>
      </c>
      <c r="G157" s="423">
        <f>IF(Table15[[#This Row],[pnl_est]] &lt;&gt; "", Table15[[#This Row],[pnl_est]]-$C156, NA())</f>
        <v>278</v>
      </c>
      <c r="H157" s="423">
        <f>IF(Table15[[#This Row],[pnl_official]] &lt;&gt; "", Table15[[#This Row],[pnl_official]]-D156, NA())</f>
        <v>1773.0020000000004</v>
      </c>
      <c r="I157" s="450">
        <f t="shared" si="4"/>
        <v>4465.0150842783787</v>
      </c>
      <c r="J157" s="568">
        <f>Table15[[#This Row],[pnl_official]]-Table15[[#This Row],[pnl_est]]</f>
        <v>-10.726999999998952</v>
      </c>
      <c r="K157" s="548">
        <f>Table15[[#This Row],[pnl_ym]]/Table15[[#This Row],[pnl_am]]</f>
        <v>4.9459354360057288</v>
      </c>
      <c r="L157" s="450" t="e">
        <f>IF(Table15[[#This Row],[pnl_official]]&lt;&gt;"", Table15[[#This Row],[pnl_official]]-MAX($D$79:$D157), NA())</f>
        <v>#N/A</v>
      </c>
      <c r="M157" s="450">
        <f>IF(Table15[[#This Row],[pnl_official]]&lt;&gt;"", IF(Table15[[#This Row],[pnl_official]]&gt;0, 0, Table15[[#This Row],[pnl_official]]), NA())</f>
        <v>0</v>
      </c>
      <c r="N157" s="97"/>
    </row>
    <row r="158" spans="1:14" x14ac:dyDescent="0.25">
      <c r="A158" s="444">
        <v>46135</v>
      </c>
      <c r="B158" s="293">
        <v>80</v>
      </c>
      <c r="C158" s="661">
        <v>32446</v>
      </c>
      <c r="D158" s="660">
        <f>IF(AND(ISNUMBER(Table15[[#This Row],[pnl_ym]]), ISNUMBER(Table15[[#This Row],[pnl_am]])), (Table15[[#This Row],[pnl_ym]]+Table15[[#This Row],[pnl_am]])/1000, NA())</f>
        <v>31597.184000000001</v>
      </c>
      <c r="E158" s="589">
        <v>26278222</v>
      </c>
      <c r="F158" s="589">
        <v>5318962</v>
      </c>
      <c r="G158" s="423">
        <f>IF(Table15[[#This Row],[pnl_est]] &lt;&gt; "", Table15[[#This Row],[pnl_est]]-$C157, NA())</f>
        <v>1564</v>
      </c>
      <c r="H158" s="423">
        <f>IF(Table15[[#This Row],[pnl_official]] &lt;&gt; "", Table15[[#This Row],[pnl_official]]-D157, NA())</f>
        <v>725.91100000000006</v>
      </c>
      <c r="I158" s="450">
        <f t="shared" si="4"/>
        <v>4486.0694072730648</v>
      </c>
      <c r="J158" s="568">
        <f>Table15[[#This Row],[pnl_official]]-Table15[[#This Row],[pnl_est]]</f>
        <v>-848.81599999999889</v>
      </c>
      <c r="K158" s="548">
        <f>Table15[[#This Row],[pnl_ym]]/Table15[[#This Row],[pnl_am]]</f>
        <v>4.9404793642067757</v>
      </c>
      <c r="L158" s="450" t="e">
        <f>IF(Table15[[#This Row],[pnl_official]]&lt;&gt;"", Table15[[#This Row],[pnl_official]]-MAX($D$79:$D158), NA())</f>
        <v>#N/A</v>
      </c>
      <c r="M158" s="450">
        <f>IF(Table15[[#This Row],[pnl_official]]&lt;&gt;"", IF(Table15[[#This Row],[pnl_official]]&gt;0, 0, Table15[[#This Row],[pnl_official]]), NA())</f>
        <v>0</v>
      </c>
      <c r="N158" s="97"/>
    </row>
    <row r="159" spans="1:14" x14ac:dyDescent="0.25">
      <c r="A159" s="444">
        <v>46136</v>
      </c>
      <c r="B159" s="293">
        <v>81</v>
      </c>
      <c r="C159" s="661">
        <v>32803</v>
      </c>
      <c r="D159" s="660">
        <f>IF(AND(ISNUMBER(Table15[[#This Row],[pnl_ym]]), ISNUMBER(Table15[[#This Row],[pnl_am]])), (Table15[[#This Row],[pnl_ym]]+Table15[[#This Row],[pnl_am]])/1000, NA())</f>
        <v>31817.851999999999</v>
      </c>
      <c r="E159" s="589">
        <v>26349605</v>
      </c>
      <c r="F159" s="589">
        <v>5468247</v>
      </c>
      <c r="G159" s="423">
        <f>IF(Table15[[#This Row],[pnl_est]] &lt;&gt; "", Table15[[#This Row],[pnl_est]]-$C158, NA())</f>
        <v>357</v>
      </c>
      <c r="H159" s="423">
        <f>IF(Table15[[#This Row],[pnl_official]] &lt;&gt; "", Table15[[#This Row],[pnl_official]]-D158, NA())</f>
        <v>220.66799999999785</v>
      </c>
      <c r="I159" s="450">
        <f t="shared" si="4"/>
        <v>4491.6660101851639</v>
      </c>
      <c r="J159" s="568">
        <f>Table15[[#This Row],[pnl_official]]-Table15[[#This Row],[pnl_est]]</f>
        <v>-985.14800000000105</v>
      </c>
      <c r="K159" s="548">
        <f>Table15[[#This Row],[pnl_ym]]/Table15[[#This Row],[pnl_am]]</f>
        <v>4.818656691989224</v>
      </c>
      <c r="L159" s="450" t="e">
        <f>IF(Table15[[#This Row],[pnl_official]]&lt;&gt;"", Table15[[#This Row],[pnl_official]]-MAX($D$79:$D159), NA())</f>
        <v>#N/A</v>
      </c>
      <c r="M159" s="450">
        <f>IF(Table15[[#This Row],[pnl_official]]&lt;&gt;"", IF(Table15[[#This Row],[pnl_official]]&gt;0, 0, Table15[[#This Row],[pnl_official]]), NA())</f>
        <v>0</v>
      </c>
      <c r="N159" s="97"/>
    </row>
    <row r="160" spans="1:14" x14ac:dyDescent="0.25">
      <c r="A160" s="444">
        <v>46139</v>
      </c>
      <c r="B160" s="293">
        <v>82</v>
      </c>
      <c r="C160" s="661" t="e">
        <f>NA()</f>
        <v>#N/A</v>
      </c>
      <c r="D160" s="660" t="e">
        <f>IF(AND(ISNUMBER(Table15[[#This Row],[pnl_ym]]), ISNUMBER(Table15[[#This Row],[pnl_am]])), (Table15[[#This Row],[pnl_ym]]+Table15[[#This Row],[pnl_am]])/1000, NA())</f>
        <v>#N/A</v>
      </c>
      <c r="E160" s="589" t="e">
        <f>NA()</f>
        <v>#N/A</v>
      </c>
      <c r="F160" s="589" t="e">
        <f>NA()</f>
        <v>#N/A</v>
      </c>
      <c r="G160" s="423" t="e">
        <f>IF(Table15[[#This Row],[pnl_est]] &lt;&gt; "", Table15[[#This Row],[pnl_est]]-$C159, NA())</f>
        <v>#N/A</v>
      </c>
      <c r="H160" s="423" t="e">
        <f>IF(Table15[[#This Row],[pnl_official]] &lt;&gt; "", Table15[[#This Row],[pnl_official]]-D159, NA())</f>
        <v>#N/A</v>
      </c>
      <c r="I160" s="450" t="e">
        <f t="shared" si="4"/>
        <v>#N/A</v>
      </c>
      <c r="J160" s="568" t="e">
        <f>Table15[[#This Row],[pnl_official]]-Table15[[#This Row],[pnl_est]]</f>
        <v>#N/A</v>
      </c>
      <c r="K160" s="548" t="e">
        <f>Table15[[#This Row],[pnl_ym]]/Table15[[#This Row],[pnl_am]]</f>
        <v>#N/A</v>
      </c>
      <c r="L160" s="450" t="e">
        <f>IF(Table15[[#This Row],[pnl_official]]&lt;&gt;"", Table15[[#This Row],[pnl_official]]-MAX($D$79:$D160), NA())</f>
        <v>#N/A</v>
      </c>
      <c r="M160" s="450" t="e">
        <f>IF(Table15[[#This Row],[pnl_official]]&lt;&gt;"", IF(Table15[[#This Row],[pnl_official]]&gt;0, 0, Table15[[#This Row],[pnl_official]]), NA())</f>
        <v>#N/A</v>
      </c>
      <c r="N160" s="97"/>
    </row>
    <row r="161" spans="1:14" x14ac:dyDescent="0.25">
      <c r="A161" s="444">
        <v>46140</v>
      </c>
      <c r="B161" s="293">
        <v>83</v>
      </c>
      <c r="C161" s="661" t="e">
        <f>NA()</f>
        <v>#N/A</v>
      </c>
      <c r="D161" s="660" t="e">
        <f>IF(AND(ISNUMBER(Table15[[#This Row],[pnl_ym]]), ISNUMBER(Table15[[#This Row],[pnl_am]])), (Table15[[#This Row],[pnl_ym]]+Table15[[#This Row],[pnl_am]])/1000, NA())</f>
        <v>#N/A</v>
      </c>
      <c r="E161" s="589" t="e">
        <f>NA()</f>
        <v>#N/A</v>
      </c>
      <c r="F161" s="589" t="e">
        <f>NA()</f>
        <v>#N/A</v>
      </c>
      <c r="G161" s="423" t="e">
        <f>IF(Table15[[#This Row],[pnl_est]] &lt;&gt; "", Table15[[#This Row],[pnl_est]]-$C160, NA())</f>
        <v>#N/A</v>
      </c>
      <c r="H161" s="423" t="e">
        <f>IF(Table15[[#This Row],[pnl_official]] &lt;&gt; "", Table15[[#This Row],[pnl_official]]-D160, NA())</f>
        <v>#N/A</v>
      </c>
      <c r="I161" s="450" t="e">
        <f t="shared" si="4"/>
        <v>#N/A</v>
      </c>
      <c r="J161" s="568" t="e">
        <f>Table15[[#This Row],[pnl_official]]-Table15[[#This Row],[pnl_est]]</f>
        <v>#N/A</v>
      </c>
      <c r="K161" s="548" t="e">
        <f>Table15[[#This Row],[pnl_ym]]/Table15[[#This Row],[pnl_am]]</f>
        <v>#N/A</v>
      </c>
      <c r="L161" s="450" t="e">
        <f>IF(Table15[[#This Row],[pnl_official]]&lt;&gt;"", Table15[[#This Row],[pnl_official]]-MAX($D$79:$D161), NA())</f>
        <v>#N/A</v>
      </c>
      <c r="M161" s="450" t="e">
        <f>IF(Table15[[#This Row],[pnl_official]]&lt;&gt;"", IF(Table15[[#This Row],[pnl_official]]&gt;0, 0, Table15[[#This Row],[pnl_official]]), NA())</f>
        <v>#N/A</v>
      </c>
      <c r="N161" s="97"/>
    </row>
    <row r="162" spans="1:14" x14ac:dyDescent="0.25">
      <c r="A162" s="444">
        <v>46141</v>
      </c>
      <c r="B162" s="293">
        <v>84</v>
      </c>
      <c r="C162" s="661" t="e">
        <f>NA()</f>
        <v>#N/A</v>
      </c>
      <c r="D162" s="660" t="e">
        <f>IF(AND(ISNUMBER(Table15[[#This Row],[pnl_ym]]), ISNUMBER(Table15[[#This Row],[pnl_am]])), (Table15[[#This Row],[pnl_ym]]+Table15[[#This Row],[pnl_am]])/1000, NA())</f>
        <v>#N/A</v>
      </c>
      <c r="E162" s="589" t="e">
        <f>NA()</f>
        <v>#N/A</v>
      </c>
      <c r="F162" s="589" t="e">
        <f>NA()</f>
        <v>#N/A</v>
      </c>
      <c r="G162" s="423" t="e">
        <f>IF(Table15[[#This Row],[pnl_est]] &lt;&gt; "", Table15[[#This Row],[pnl_est]]-$C161, NA())</f>
        <v>#N/A</v>
      </c>
      <c r="H162" s="423" t="e">
        <f>IF(Table15[[#This Row],[pnl_official]] &lt;&gt; "", Table15[[#This Row],[pnl_official]]-D161, NA())</f>
        <v>#N/A</v>
      </c>
      <c r="I162" s="450" t="e">
        <f t="shared" si="4"/>
        <v>#N/A</v>
      </c>
      <c r="J162" s="568" t="e">
        <f>Table15[[#This Row],[pnl_official]]-Table15[[#This Row],[pnl_est]]</f>
        <v>#N/A</v>
      </c>
      <c r="K162" s="548" t="e">
        <f>Table15[[#This Row],[pnl_ym]]/Table15[[#This Row],[pnl_am]]</f>
        <v>#N/A</v>
      </c>
      <c r="L162" s="450" t="e">
        <f>IF(Table15[[#This Row],[pnl_official]]&lt;&gt;"", Table15[[#This Row],[pnl_official]]-MAX($D$79:$D162), NA())</f>
        <v>#N/A</v>
      </c>
      <c r="M162" s="450" t="e">
        <f>IF(Table15[[#This Row],[pnl_official]]&lt;&gt;"", IF(Table15[[#This Row],[pnl_official]]&gt;0, 0, Table15[[#This Row],[pnl_official]]), NA())</f>
        <v>#N/A</v>
      </c>
      <c r="N162" s="97"/>
    </row>
    <row r="163" spans="1:14" x14ac:dyDescent="0.25">
      <c r="A163" s="444">
        <v>46142</v>
      </c>
      <c r="B163" s="293">
        <v>85</v>
      </c>
      <c r="C163" s="661" t="e">
        <f>NA()</f>
        <v>#N/A</v>
      </c>
      <c r="D163" s="660" t="e">
        <f>IF(AND(ISNUMBER(Table15[[#This Row],[pnl_ym]]), ISNUMBER(Table15[[#This Row],[pnl_am]])), (Table15[[#This Row],[pnl_ym]]+Table15[[#This Row],[pnl_am]])/1000, NA())</f>
        <v>#N/A</v>
      </c>
      <c r="E163" s="589" t="e">
        <f>NA()</f>
        <v>#N/A</v>
      </c>
      <c r="F163" s="589" t="e">
        <f>NA()</f>
        <v>#N/A</v>
      </c>
      <c r="G163" s="423" t="e">
        <f>IF(Table15[[#This Row],[pnl_est]] &lt;&gt; "", Table15[[#This Row],[pnl_est]]-$C162, NA())</f>
        <v>#N/A</v>
      </c>
      <c r="H163" s="423" t="e">
        <f>IF(Table15[[#This Row],[pnl_official]] &lt;&gt; "", Table15[[#This Row],[pnl_official]]-D162, NA())</f>
        <v>#N/A</v>
      </c>
      <c r="I163" s="450" t="e">
        <f t="shared" si="4"/>
        <v>#N/A</v>
      </c>
      <c r="J163" s="568" t="e">
        <f>Table15[[#This Row],[pnl_official]]-Table15[[#This Row],[pnl_est]]</f>
        <v>#N/A</v>
      </c>
      <c r="K163" s="548" t="e">
        <f>Table15[[#This Row],[pnl_ym]]/Table15[[#This Row],[pnl_am]]</f>
        <v>#N/A</v>
      </c>
      <c r="L163" s="450" t="e">
        <f>IF(Table15[[#This Row],[pnl_official]]&lt;&gt;"", Table15[[#This Row],[pnl_official]]-MAX($D$79:$D163), NA())</f>
        <v>#N/A</v>
      </c>
      <c r="M163" s="450" t="e">
        <f>IF(Table15[[#This Row],[pnl_official]]&lt;&gt;"", IF(Table15[[#This Row],[pnl_official]]&gt;0, 0, Table15[[#This Row],[pnl_official]]), NA())</f>
        <v>#N/A</v>
      </c>
      <c r="N163" s="97"/>
    </row>
    <row r="164" spans="1:14" x14ac:dyDescent="0.25">
      <c r="A164" s="444">
        <v>46143</v>
      </c>
      <c r="B164" s="293">
        <v>86</v>
      </c>
      <c r="C164" s="661" t="e">
        <f>NA()</f>
        <v>#N/A</v>
      </c>
      <c r="D164" s="660" t="e">
        <f>IF(AND(ISNUMBER(Table15[[#This Row],[pnl_ym]]), ISNUMBER(Table15[[#This Row],[pnl_am]])), (Table15[[#This Row],[pnl_ym]]+Table15[[#This Row],[pnl_am]])/1000, NA())</f>
        <v>#N/A</v>
      </c>
      <c r="E164" s="589" t="e">
        <f>NA()</f>
        <v>#N/A</v>
      </c>
      <c r="F164" s="589" t="e">
        <f>NA()</f>
        <v>#N/A</v>
      </c>
      <c r="G164" s="423" t="e">
        <f>IF(Table15[[#This Row],[pnl_est]] &lt;&gt; "", Table15[[#This Row],[pnl_est]]-$C163, NA())</f>
        <v>#N/A</v>
      </c>
      <c r="H164" s="423" t="e">
        <f>IF(Table15[[#This Row],[pnl_official]] &lt;&gt; "", Table15[[#This Row],[pnl_official]]-D163, NA())</f>
        <v>#N/A</v>
      </c>
      <c r="I164" s="450" t="e">
        <f t="shared" si="4"/>
        <v>#N/A</v>
      </c>
      <c r="J164" s="568" t="e">
        <f>Table15[[#This Row],[pnl_official]]-Table15[[#This Row],[pnl_est]]</f>
        <v>#N/A</v>
      </c>
      <c r="K164" s="548" t="e">
        <f>Table15[[#This Row],[pnl_ym]]/Table15[[#This Row],[pnl_am]]</f>
        <v>#N/A</v>
      </c>
      <c r="L164" s="450" t="e">
        <f>IF(Table15[[#This Row],[pnl_official]]&lt;&gt;"", Table15[[#This Row],[pnl_official]]-MAX($D$79:$D164), NA())</f>
        <v>#N/A</v>
      </c>
      <c r="M164" s="450" t="e">
        <f>IF(Table15[[#This Row],[pnl_official]]&lt;&gt;"", IF(Table15[[#This Row],[pnl_official]]&gt;0, 0, Table15[[#This Row],[pnl_official]]), NA())</f>
        <v>#N/A</v>
      </c>
      <c r="N164" s="97"/>
    </row>
    <row r="165" spans="1:14" x14ac:dyDescent="0.25">
      <c r="A165" s="444">
        <v>46146</v>
      </c>
      <c r="B165" s="293">
        <v>87</v>
      </c>
      <c r="C165" s="661" t="e">
        <f>NA()</f>
        <v>#N/A</v>
      </c>
      <c r="D165" s="660" t="e">
        <f>IF(AND(ISNUMBER(Table15[[#This Row],[pnl_ym]]), ISNUMBER(Table15[[#This Row],[pnl_am]])), (Table15[[#This Row],[pnl_ym]]+Table15[[#This Row],[pnl_am]])/1000, NA())</f>
        <v>#N/A</v>
      </c>
      <c r="E165" s="589" t="e">
        <f>NA()</f>
        <v>#N/A</v>
      </c>
      <c r="F165" s="589" t="e">
        <f>NA()</f>
        <v>#N/A</v>
      </c>
      <c r="G165" s="423" t="e">
        <f>IF(Table15[[#This Row],[pnl_est]] &lt;&gt; "", Table15[[#This Row],[pnl_est]]-$C164, NA())</f>
        <v>#N/A</v>
      </c>
      <c r="H165" s="423" t="e">
        <f>IF(Table15[[#This Row],[pnl_official]] &lt;&gt; "", Table15[[#This Row],[pnl_official]]-D164, NA())</f>
        <v>#N/A</v>
      </c>
      <c r="I165" s="450" t="e">
        <f t="shared" si="4"/>
        <v>#N/A</v>
      </c>
      <c r="J165" s="568" t="e">
        <f>Table15[[#This Row],[pnl_official]]-Table15[[#This Row],[pnl_est]]</f>
        <v>#N/A</v>
      </c>
      <c r="K165" s="548" t="e">
        <f>Table15[[#This Row],[pnl_ym]]/Table15[[#This Row],[pnl_am]]</f>
        <v>#N/A</v>
      </c>
      <c r="L165" s="450" t="e">
        <f>IF(Table15[[#This Row],[pnl_official]]&lt;&gt;"", Table15[[#This Row],[pnl_official]]-MAX($D$79:$D165), NA())</f>
        <v>#N/A</v>
      </c>
      <c r="M165" s="450" t="e">
        <f>IF(Table15[[#This Row],[pnl_official]]&lt;&gt;"", IF(Table15[[#This Row],[pnl_official]]&gt;0, 0, Table15[[#This Row],[pnl_official]]), NA())</f>
        <v>#N/A</v>
      </c>
      <c r="N165" s="97"/>
    </row>
    <row r="166" spans="1:14" x14ac:dyDescent="0.25">
      <c r="A166" s="444">
        <v>46147</v>
      </c>
      <c r="B166" s="293">
        <v>88</v>
      </c>
      <c r="C166" s="661" t="e">
        <f>NA()</f>
        <v>#N/A</v>
      </c>
      <c r="D166" s="660" t="e">
        <f>IF(AND(ISNUMBER(Table15[[#This Row],[pnl_ym]]), ISNUMBER(Table15[[#This Row],[pnl_am]])), (Table15[[#This Row],[pnl_ym]]+Table15[[#This Row],[pnl_am]])/1000, NA())</f>
        <v>#N/A</v>
      </c>
      <c r="E166" s="589" t="e">
        <f>NA()</f>
        <v>#N/A</v>
      </c>
      <c r="F166" s="589" t="e">
        <f>NA()</f>
        <v>#N/A</v>
      </c>
      <c r="G166" s="423" t="e">
        <f>IF(Table15[[#This Row],[pnl_est]] &lt;&gt; "", Table15[[#This Row],[pnl_est]]-$C165, NA())</f>
        <v>#N/A</v>
      </c>
      <c r="H166" s="423" t="e">
        <f>IF(Table15[[#This Row],[pnl_official]] &lt;&gt; "", Table15[[#This Row],[pnl_official]]-D165, NA())</f>
        <v>#N/A</v>
      </c>
      <c r="I166" s="450" t="e">
        <f t="shared" si="4"/>
        <v>#N/A</v>
      </c>
      <c r="J166" s="568" t="e">
        <f>Table15[[#This Row],[pnl_official]]-Table15[[#This Row],[pnl_est]]</f>
        <v>#N/A</v>
      </c>
      <c r="K166" s="548" t="e">
        <f>Table15[[#This Row],[pnl_ym]]/Table15[[#This Row],[pnl_am]]</f>
        <v>#N/A</v>
      </c>
      <c r="L166" s="450" t="e">
        <f>IF(Table15[[#This Row],[pnl_official]]&lt;&gt;"", Table15[[#This Row],[pnl_official]]-MAX($D$79:$D166), NA())</f>
        <v>#N/A</v>
      </c>
      <c r="M166" s="450" t="e">
        <f>IF(Table15[[#This Row],[pnl_official]]&lt;&gt;"", IF(Table15[[#This Row],[pnl_official]]&gt;0, 0, Table15[[#This Row],[pnl_official]]), NA())</f>
        <v>#N/A</v>
      </c>
      <c r="N166" s="97"/>
    </row>
    <row r="167" spans="1:14" x14ac:dyDescent="0.25">
      <c r="A167" s="444">
        <v>46148</v>
      </c>
      <c r="B167" s="293">
        <v>89</v>
      </c>
      <c r="C167" s="661" t="e">
        <f>NA()</f>
        <v>#N/A</v>
      </c>
      <c r="D167" s="660" t="e">
        <f>IF(AND(ISNUMBER(Table15[[#This Row],[pnl_ym]]), ISNUMBER(Table15[[#This Row],[pnl_am]])), (Table15[[#This Row],[pnl_ym]]+Table15[[#This Row],[pnl_am]])/1000, NA())</f>
        <v>#N/A</v>
      </c>
      <c r="E167" s="589" t="e">
        <f>NA()</f>
        <v>#N/A</v>
      </c>
      <c r="F167" s="589" t="e">
        <f>NA()</f>
        <v>#N/A</v>
      </c>
      <c r="G167" s="423" t="e">
        <f>IF(Table15[[#This Row],[pnl_est]] &lt;&gt; "", Table15[[#This Row],[pnl_est]]-$C166, NA())</f>
        <v>#N/A</v>
      </c>
      <c r="H167" s="423" t="e">
        <f>IF(Table15[[#This Row],[pnl_official]] &lt;&gt; "", Table15[[#This Row],[pnl_official]]-D166, NA())</f>
        <v>#N/A</v>
      </c>
      <c r="I167" s="450" t="e">
        <f t="shared" si="4"/>
        <v>#N/A</v>
      </c>
      <c r="J167" s="568" t="e">
        <f>Table15[[#This Row],[pnl_official]]-Table15[[#This Row],[pnl_est]]</f>
        <v>#N/A</v>
      </c>
      <c r="K167" s="548" t="e">
        <f>Table15[[#This Row],[pnl_ym]]/Table15[[#This Row],[pnl_am]]</f>
        <v>#N/A</v>
      </c>
      <c r="L167" s="450" t="e">
        <f>IF(Table15[[#This Row],[pnl_official]]&lt;&gt;"", Table15[[#This Row],[pnl_official]]-MAX($D$79:$D167), NA())</f>
        <v>#N/A</v>
      </c>
      <c r="M167" s="450" t="e">
        <f>IF(Table15[[#This Row],[pnl_official]]&lt;&gt;"", IF(Table15[[#This Row],[pnl_official]]&gt;0, 0, Table15[[#This Row],[pnl_official]]), NA())</f>
        <v>#N/A</v>
      </c>
      <c r="N167" s="97"/>
    </row>
    <row r="168" spans="1:14" x14ac:dyDescent="0.25">
      <c r="A168" s="444">
        <v>46149</v>
      </c>
      <c r="B168" s="293">
        <v>90</v>
      </c>
      <c r="C168" s="661" t="e">
        <f>NA()</f>
        <v>#N/A</v>
      </c>
      <c r="D168" s="660" t="e">
        <f>IF(AND(ISNUMBER(Table15[[#This Row],[pnl_ym]]), ISNUMBER(Table15[[#This Row],[pnl_am]])), (Table15[[#This Row],[pnl_ym]]+Table15[[#This Row],[pnl_am]])/1000, NA())</f>
        <v>#N/A</v>
      </c>
      <c r="E168" s="589" t="e">
        <f>NA()</f>
        <v>#N/A</v>
      </c>
      <c r="F168" s="589" t="e">
        <f>NA()</f>
        <v>#N/A</v>
      </c>
      <c r="G168" s="423" t="e">
        <f>IF(Table15[[#This Row],[pnl_est]] &lt;&gt; "", Table15[[#This Row],[pnl_est]]-$C167, NA())</f>
        <v>#N/A</v>
      </c>
      <c r="H168" s="423" t="e">
        <f>IF(Table15[[#This Row],[pnl_official]] &lt;&gt; "", Table15[[#This Row],[pnl_official]]-D167, NA())</f>
        <v>#N/A</v>
      </c>
      <c r="I168" s="450" t="e">
        <f t="shared" si="4"/>
        <v>#N/A</v>
      </c>
      <c r="J168" s="568" t="e">
        <f>Table15[[#This Row],[pnl_official]]-Table15[[#This Row],[pnl_est]]</f>
        <v>#N/A</v>
      </c>
      <c r="K168" s="548" t="e">
        <f>Table15[[#This Row],[pnl_ym]]/Table15[[#This Row],[pnl_am]]</f>
        <v>#N/A</v>
      </c>
      <c r="L168" s="450" t="e">
        <f>IF(Table15[[#This Row],[pnl_official]]&lt;&gt;"", Table15[[#This Row],[pnl_official]]-MAX($D$79:$D168), NA())</f>
        <v>#N/A</v>
      </c>
      <c r="M168" s="450" t="e">
        <f>IF(Table15[[#This Row],[pnl_official]]&lt;&gt;"", IF(Table15[[#This Row],[pnl_official]]&gt;0, 0, Table15[[#This Row],[pnl_official]]), NA())</f>
        <v>#N/A</v>
      </c>
      <c r="N168" s="97"/>
    </row>
    <row r="169" spans="1:14" x14ac:dyDescent="0.25">
      <c r="A169" s="444">
        <v>46150</v>
      </c>
      <c r="B169" s="293">
        <v>91</v>
      </c>
      <c r="C169" s="661" t="e">
        <f>NA()</f>
        <v>#N/A</v>
      </c>
      <c r="D169" s="660" t="e">
        <f>IF(AND(ISNUMBER(Table15[[#This Row],[pnl_ym]]), ISNUMBER(Table15[[#This Row],[pnl_am]])), (Table15[[#This Row],[pnl_ym]]+Table15[[#This Row],[pnl_am]])/1000, NA())</f>
        <v>#N/A</v>
      </c>
      <c r="E169" s="589" t="e">
        <f>NA()</f>
        <v>#N/A</v>
      </c>
      <c r="F169" s="589" t="e">
        <f>NA()</f>
        <v>#N/A</v>
      </c>
      <c r="G169" s="423" t="e">
        <f>IF(Table15[[#This Row],[pnl_est]] &lt;&gt; "", Table15[[#This Row],[pnl_est]]-$C168, NA())</f>
        <v>#N/A</v>
      </c>
      <c r="H169" s="423" t="e">
        <f>IF(Table15[[#This Row],[pnl_official]] &lt;&gt; "", Table15[[#This Row],[pnl_official]]-D168, NA())</f>
        <v>#N/A</v>
      </c>
      <c r="I169" s="450" t="e">
        <f t="shared" si="4"/>
        <v>#N/A</v>
      </c>
      <c r="J169" s="568" t="e">
        <f>Table15[[#This Row],[pnl_official]]-Table15[[#This Row],[pnl_est]]</f>
        <v>#N/A</v>
      </c>
      <c r="K169" s="548" t="e">
        <f>Table15[[#This Row],[pnl_ym]]/Table15[[#This Row],[pnl_am]]</f>
        <v>#N/A</v>
      </c>
      <c r="L169" s="450" t="e">
        <f>IF(Table15[[#This Row],[pnl_official]]&lt;&gt;"", Table15[[#This Row],[pnl_official]]-MAX($D$79:$D169), NA())</f>
        <v>#N/A</v>
      </c>
      <c r="M169" s="450" t="e">
        <f>IF(Table15[[#This Row],[pnl_official]]&lt;&gt;"", IF(Table15[[#This Row],[pnl_official]]&gt;0, 0, Table15[[#This Row],[pnl_official]]), NA())</f>
        <v>#N/A</v>
      </c>
      <c r="N169" s="97"/>
    </row>
    <row r="170" spans="1:14" x14ac:dyDescent="0.25">
      <c r="A170" s="444">
        <v>46153</v>
      </c>
      <c r="B170" s="293">
        <v>92</v>
      </c>
      <c r="C170" s="661" t="e">
        <f>NA()</f>
        <v>#N/A</v>
      </c>
      <c r="D170" s="660" t="e">
        <f>IF(AND(ISNUMBER(Table15[[#This Row],[pnl_ym]]), ISNUMBER(Table15[[#This Row],[pnl_am]])), (Table15[[#This Row],[pnl_ym]]+Table15[[#This Row],[pnl_am]])/1000, NA())</f>
        <v>#N/A</v>
      </c>
      <c r="E170" s="589" t="e">
        <f>NA()</f>
        <v>#N/A</v>
      </c>
      <c r="F170" s="589" t="e">
        <f>NA()</f>
        <v>#N/A</v>
      </c>
      <c r="G170" s="423" t="e">
        <f>IF(Table15[[#This Row],[pnl_est]] &lt;&gt; "", Table15[[#This Row],[pnl_est]]-$C169, NA())</f>
        <v>#N/A</v>
      </c>
      <c r="H170" s="423" t="e">
        <f>IF(Table15[[#This Row],[pnl_official]] &lt;&gt; "", Table15[[#This Row],[pnl_official]]-D169, NA())</f>
        <v>#N/A</v>
      </c>
      <c r="I170" s="450" t="e">
        <f t="shared" si="4"/>
        <v>#N/A</v>
      </c>
      <c r="J170" s="568" t="e">
        <f>Table15[[#This Row],[pnl_official]]-Table15[[#This Row],[pnl_est]]</f>
        <v>#N/A</v>
      </c>
      <c r="K170" s="548" t="e">
        <f>Table15[[#This Row],[pnl_ym]]/Table15[[#This Row],[pnl_am]]</f>
        <v>#N/A</v>
      </c>
      <c r="L170" s="450" t="e">
        <f>IF(Table15[[#This Row],[pnl_official]]&lt;&gt;"", Table15[[#This Row],[pnl_official]]-MAX($D$79:$D170), NA())</f>
        <v>#N/A</v>
      </c>
      <c r="M170" s="450" t="e">
        <f>IF(Table15[[#This Row],[pnl_official]]&lt;&gt;"", IF(Table15[[#This Row],[pnl_official]]&gt;0, 0, Table15[[#This Row],[pnl_official]]), NA())</f>
        <v>#N/A</v>
      </c>
      <c r="N170" s="97"/>
    </row>
    <row r="171" spans="1:14" x14ac:dyDescent="0.25">
      <c r="A171" s="444">
        <v>46154</v>
      </c>
      <c r="B171" s="293">
        <v>93</v>
      </c>
      <c r="C171" s="661" t="e">
        <f>NA()</f>
        <v>#N/A</v>
      </c>
      <c r="D171" s="660" t="e">
        <f>IF(AND(ISNUMBER(Table15[[#This Row],[pnl_ym]]), ISNUMBER(Table15[[#This Row],[pnl_am]])), (Table15[[#This Row],[pnl_ym]]+Table15[[#This Row],[pnl_am]])/1000, NA())</f>
        <v>#N/A</v>
      </c>
      <c r="E171" s="589" t="e">
        <f>NA()</f>
        <v>#N/A</v>
      </c>
      <c r="F171" s="589" t="e">
        <f>NA()</f>
        <v>#N/A</v>
      </c>
      <c r="G171" s="423" t="e">
        <f>IF(Table15[[#This Row],[pnl_est]] &lt;&gt; "", Table15[[#This Row],[pnl_est]]-$C170, NA())</f>
        <v>#N/A</v>
      </c>
      <c r="H171" s="423" t="e">
        <f>IF(Table15[[#This Row],[pnl_official]] &lt;&gt; "", Table15[[#This Row],[pnl_official]]-D170, NA())</f>
        <v>#N/A</v>
      </c>
      <c r="I171" s="450" t="e">
        <f t="shared" si="4"/>
        <v>#N/A</v>
      </c>
      <c r="J171" s="568" t="e">
        <f>Table15[[#This Row],[pnl_official]]-Table15[[#This Row],[pnl_est]]</f>
        <v>#N/A</v>
      </c>
      <c r="K171" s="548" t="e">
        <f>Table15[[#This Row],[pnl_ym]]/Table15[[#This Row],[pnl_am]]</f>
        <v>#N/A</v>
      </c>
      <c r="L171" s="450" t="e">
        <f>IF(Table15[[#This Row],[pnl_official]]&lt;&gt;"", Table15[[#This Row],[pnl_official]]-MAX($D$79:$D171), NA())</f>
        <v>#N/A</v>
      </c>
      <c r="M171" s="450" t="e">
        <f>IF(Table15[[#This Row],[pnl_official]]&lt;&gt;"", IF(Table15[[#This Row],[pnl_official]]&gt;0, 0, Table15[[#This Row],[pnl_official]]), NA())</f>
        <v>#N/A</v>
      </c>
      <c r="N171" s="97"/>
    </row>
    <row r="172" spans="1:14" x14ac:dyDescent="0.25">
      <c r="A172" s="444">
        <v>46155</v>
      </c>
      <c r="B172" s="293">
        <v>94</v>
      </c>
      <c r="C172" s="661" t="e">
        <f>NA()</f>
        <v>#N/A</v>
      </c>
      <c r="D172" s="660" t="e">
        <f>IF(AND(ISNUMBER(Table15[[#This Row],[pnl_ym]]), ISNUMBER(Table15[[#This Row],[pnl_am]])), (Table15[[#This Row],[pnl_ym]]+Table15[[#This Row],[pnl_am]])/1000, NA())</f>
        <v>#N/A</v>
      </c>
      <c r="E172" s="589" t="e">
        <f>NA()</f>
        <v>#N/A</v>
      </c>
      <c r="F172" s="589" t="e">
        <f>NA()</f>
        <v>#N/A</v>
      </c>
      <c r="G172" s="423" t="e">
        <f>IF(Table15[[#This Row],[pnl_est]] &lt;&gt; "", Table15[[#This Row],[pnl_est]]-$C171, NA())</f>
        <v>#N/A</v>
      </c>
      <c r="H172" s="423" t="e">
        <f>IF(Table15[[#This Row],[pnl_official]] &lt;&gt; "", Table15[[#This Row],[pnl_official]]-D171, NA())</f>
        <v>#N/A</v>
      </c>
      <c r="I172" s="450" t="e">
        <f t="shared" si="4"/>
        <v>#N/A</v>
      </c>
      <c r="J172" s="568" t="e">
        <f>Table15[[#This Row],[pnl_official]]-Table15[[#This Row],[pnl_est]]</f>
        <v>#N/A</v>
      </c>
      <c r="K172" s="548" t="e">
        <f>Table15[[#This Row],[pnl_ym]]/Table15[[#This Row],[pnl_am]]</f>
        <v>#N/A</v>
      </c>
      <c r="L172" s="450" t="e">
        <f>IF(Table15[[#This Row],[pnl_official]]&lt;&gt;"", Table15[[#This Row],[pnl_official]]-MAX($D$79:$D172), NA())</f>
        <v>#N/A</v>
      </c>
      <c r="M172" s="450" t="e">
        <f>IF(Table15[[#This Row],[pnl_official]]&lt;&gt;"", IF(Table15[[#This Row],[pnl_official]]&gt;0, 0, Table15[[#This Row],[pnl_official]]), NA())</f>
        <v>#N/A</v>
      </c>
      <c r="N172" s="97"/>
    </row>
    <row r="173" spans="1:14" x14ac:dyDescent="0.25">
      <c r="A173" s="444">
        <v>46156</v>
      </c>
      <c r="B173" s="293">
        <v>95</v>
      </c>
      <c r="C173" s="661" t="e">
        <f>NA()</f>
        <v>#N/A</v>
      </c>
      <c r="D173" s="660" t="e">
        <f>IF(AND(ISNUMBER(Table15[[#This Row],[pnl_ym]]), ISNUMBER(Table15[[#This Row],[pnl_am]])), (Table15[[#This Row],[pnl_ym]]+Table15[[#This Row],[pnl_am]])/1000, NA())</f>
        <v>#N/A</v>
      </c>
      <c r="E173" s="589" t="e">
        <f>NA()</f>
        <v>#N/A</v>
      </c>
      <c r="F173" s="589" t="e">
        <f>NA()</f>
        <v>#N/A</v>
      </c>
      <c r="G173" s="423" t="e">
        <f>IF(Table15[[#This Row],[pnl_est]] &lt;&gt; "", Table15[[#This Row],[pnl_est]]-$C172, NA())</f>
        <v>#N/A</v>
      </c>
      <c r="H173" s="423" t="e">
        <f>IF(Table15[[#This Row],[pnl_official]] &lt;&gt; "", Table15[[#This Row],[pnl_official]]-D172, NA())</f>
        <v>#N/A</v>
      </c>
      <c r="I173" s="450" t="e">
        <f t="shared" si="4"/>
        <v>#N/A</v>
      </c>
      <c r="J173" s="568" t="e">
        <f>Table15[[#This Row],[pnl_official]]-Table15[[#This Row],[pnl_est]]</f>
        <v>#N/A</v>
      </c>
      <c r="K173" s="548" t="e">
        <f>Table15[[#This Row],[pnl_ym]]/Table15[[#This Row],[pnl_am]]</f>
        <v>#N/A</v>
      </c>
      <c r="L173" s="450" t="e">
        <f>IF(Table15[[#This Row],[pnl_official]]&lt;&gt;"", Table15[[#This Row],[pnl_official]]-MAX($D$79:$D173), NA())</f>
        <v>#N/A</v>
      </c>
      <c r="M173" s="450" t="e">
        <f>IF(Table15[[#This Row],[pnl_official]]&lt;&gt;"", IF(Table15[[#This Row],[pnl_official]]&gt;0, 0, Table15[[#This Row],[pnl_official]]), NA())</f>
        <v>#N/A</v>
      </c>
      <c r="N173" s="97"/>
    </row>
    <row r="174" spans="1:14" x14ac:dyDescent="0.25">
      <c r="A174" s="444">
        <v>46157</v>
      </c>
      <c r="B174" s="293">
        <v>96</v>
      </c>
      <c r="C174" s="661" t="e">
        <f>NA()</f>
        <v>#N/A</v>
      </c>
      <c r="D174" s="660" t="e">
        <f>IF(AND(ISNUMBER(Table15[[#This Row],[pnl_ym]]), ISNUMBER(Table15[[#This Row],[pnl_am]])), (Table15[[#This Row],[pnl_ym]]+Table15[[#This Row],[pnl_am]])/1000, NA())</f>
        <v>#N/A</v>
      </c>
      <c r="E174" s="589" t="e">
        <f>NA()</f>
        <v>#N/A</v>
      </c>
      <c r="F174" s="589" t="e">
        <f>NA()</f>
        <v>#N/A</v>
      </c>
      <c r="G174" s="423" t="e">
        <f>IF(Table15[[#This Row],[pnl_est]] &lt;&gt; "", Table15[[#This Row],[pnl_est]]-$C173, NA())</f>
        <v>#N/A</v>
      </c>
      <c r="H174" s="423" t="e">
        <f>IF(Table15[[#This Row],[pnl_official]] &lt;&gt; "", Table15[[#This Row],[pnl_official]]-D173, NA())</f>
        <v>#N/A</v>
      </c>
      <c r="I174" s="450" t="e">
        <f t="shared" si="4"/>
        <v>#N/A</v>
      </c>
      <c r="J174" s="568" t="e">
        <f>Table15[[#This Row],[pnl_official]]-Table15[[#This Row],[pnl_est]]</f>
        <v>#N/A</v>
      </c>
      <c r="K174" s="548" t="e">
        <f>Table15[[#This Row],[pnl_ym]]/Table15[[#This Row],[pnl_am]]</f>
        <v>#N/A</v>
      </c>
      <c r="L174" s="450" t="e">
        <f>IF(Table15[[#This Row],[pnl_official]]&lt;&gt;"", Table15[[#This Row],[pnl_official]]-MAX($D$79:$D174), NA())</f>
        <v>#N/A</v>
      </c>
      <c r="M174" s="450" t="e">
        <f>IF(Table15[[#This Row],[pnl_official]]&lt;&gt;"", IF(Table15[[#This Row],[pnl_official]]&gt;0, 0, Table15[[#This Row],[pnl_official]]), NA())</f>
        <v>#N/A</v>
      </c>
      <c r="N174" s="97"/>
    </row>
    <row r="175" spans="1:14" x14ac:dyDescent="0.25">
      <c r="A175" s="444">
        <v>46160</v>
      </c>
      <c r="B175" s="293">
        <v>97</v>
      </c>
      <c r="C175" s="661" t="e">
        <f>NA()</f>
        <v>#N/A</v>
      </c>
      <c r="D175" s="660" t="e">
        <f>IF(AND(ISNUMBER(Table15[[#This Row],[pnl_ym]]), ISNUMBER(Table15[[#This Row],[pnl_am]])), (Table15[[#This Row],[pnl_ym]]+Table15[[#This Row],[pnl_am]])/1000, NA())</f>
        <v>#N/A</v>
      </c>
      <c r="E175" s="589" t="e">
        <f>NA()</f>
        <v>#N/A</v>
      </c>
      <c r="F175" s="589" t="e">
        <f>NA()</f>
        <v>#N/A</v>
      </c>
      <c r="G175" s="423" t="e">
        <f>IF(Table15[[#This Row],[pnl_est]] &lt;&gt; "", Table15[[#This Row],[pnl_est]]-$C174, NA())</f>
        <v>#N/A</v>
      </c>
      <c r="H175" s="423" t="e">
        <f>IF(Table15[[#This Row],[pnl_official]] &lt;&gt; "", Table15[[#This Row],[pnl_official]]-D174, NA())</f>
        <v>#N/A</v>
      </c>
      <c r="I175" s="450" t="e">
        <f t="shared" si="4"/>
        <v>#N/A</v>
      </c>
      <c r="J175" s="568" t="e">
        <f>Table15[[#This Row],[pnl_official]]-Table15[[#This Row],[pnl_est]]</f>
        <v>#N/A</v>
      </c>
      <c r="K175" s="548" t="e">
        <f>Table15[[#This Row],[pnl_ym]]/Table15[[#This Row],[pnl_am]]</f>
        <v>#N/A</v>
      </c>
      <c r="L175" s="450" t="e">
        <f>IF(Table15[[#This Row],[pnl_official]]&lt;&gt;"", Table15[[#This Row],[pnl_official]]-MAX($D$79:$D175), NA())</f>
        <v>#N/A</v>
      </c>
      <c r="M175" s="450" t="e">
        <f>IF(Table15[[#This Row],[pnl_official]]&lt;&gt;"", IF(Table15[[#This Row],[pnl_official]]&gt;0, 0, Table15[[#This Row],[pnl_official]]), NA())</f>
        <v>#N/A</v>
      </c>
      <c r="N175" s="97"/>
    </row>
    <row r="176" spans="1:14" x14ac:dyDescent="0.25">
      <c r="A176" s="444">
        <v>46161</v>
      </c>
      <c r="B176" s="293">
        <v>98</v>
      </c>
      <c r="C176" s="661" t="e">
        <f>NA()</f>
        <v>#N/A</v>
      </c>
      <c r="D176" s="660" t="e">
        <f>IF(AND(ISNUMBER(Table15[[#This Row],[pnl_ym]]), ISNUMBER(Table15[[#This Row],[pnl_am]])), (Table15[[#This Row],[pnl_ym]]+Table15[[#This Row],[pnl_am]])/1000, NA())</f>
        <v>#N/A</v>
      </c>
      <c r="E176" s="589" t="e">
        <f>NA()</f>
        <v>#N/A</v>
      </c>
      <c r="F176" s="589" t="e">
        <f>NA()</f>
        <v>#N/A</v>
      </c>
      <c r="G176" s="423" t="e">
        <f>IF(Table15[[#This Row],[pnl_est]] &lt;&gt; "", Table15[[#This Row],[pnl_est]]-$C175, NA())</f>
        <v>#N/A</v>
      </c>
      <c r="H176" s="423" t="e">
        <f>IF(Table15[[#This Row],[pnl_official]] &lt;&gt; "", Table15[[#This Row],[pnl_official]]-D175, NA())</f>
        <v>#N/A</v>
      </c>
      <c r="I176" s="450" t="e">
        <f t="shared" si="4"/>
        <v>#N/A</v>
      </c>
      <c r="J176" s="568" t="e">
        <f>Table15[[#This Row],[pnl_official]]-Table15[[#This Row],[pnl_est]]</f>
        <v>#N/A</v>
      </c>
      <c r="K176" s="548" t="e">
        <f>Table15[[#This Row],[pnl_ym]]/Table15[[#This Row],[pnl_am]]</f>
        <v>#N/A</v>
      </c>
      <c r="L176" s="450" t="e">
        <f>IF(Table15[[#This Row],[pnl_official]]&lt;&gt;"", Table15[[#This Row],[pnl_official]]-MAX($D$79:$D176), NA())</f>
        <v>#N/A</v>
      </c>
      <c r="M176" s="450" t="e">
        <f>IF(Table15[[#This Row],[pnl_official]]&lt;&gt;"", IF(Table15[[#This Row],[pnl_official]]&gt;0, 0, Table15[[#This Row],[pnl_official]]), NA())</f>
        <v>#N/A</v>
      </c>
      <c r="N176" s="97"/>
    </row>
    <row r="177" spans="1:14" x14ac:dyDescent="0.25">
      <c r="A177" s="444">
        <v>46162</v>
      </c>
      <c r="B177" s="293">
        <v>99</v>
      </c>
      <c r="C177" s="661" t="e">
        <f>NA()</f>
        <v>#N/A</v>
      </c>
      <c r="D177" s="660" t="e">
        <f>IF(AND(ISNUMBER(Table15[[#This Row],[pnl_ym]]), ISNUMBER(Table15[[#This Row],[pnl_am]])), (Table15[[#This Row],[pnl_ym]]+Table15[[#This Row],[pnl_am]])/1000, NA())</f>
        <v>#N/A</v>
      </c>
      <c r="E177" s="589" t="e">
        <f>NA()</f>
        <v>#N/A</v>
      </c>
      <c r="F177" s="589" t="e">
        <f>NA()</f>
        <v>#N/A</v>
      </c>
      <c r="G177" s="423" t="e">
        <f>IF(Table15[[#This Row],[pnl_est]] &lt;&gt; "", Table15[[#This Row],[pnl_est]]-$C176, NA())</f>
        <v>#N/A</v>
      </c>
      <c r="H177" s="423" t="e">
        <f>IF(Table15[[#This Row],[pnl_official]] &lt;&gt; "", Table15[[#This Row],[pnl_official]]-D176, NA())</f>
        <v>#N/A</v>
      </c>
      <c r="I177" s="450" t="e">
        <f t="shared" si="4"/>
        <v>#N/A</v>
      </c>
      <c r="J177" s="568" t="e">
        <f>Table15[[#This Row],[pnl_official]]-Table15[[#This Row],[pnl_est]]</f>
        <v>#N/A</v>
      </c>
      <c r="K177" s="548" t="e">
        <f>Table15[[#This Row],[pnl_ym]]/Table15[[#This Row],[pnl_am]]</f>
        <v>#N/A</v>
      </c>
      <c r="L177" s="450" t="e">
        <f>IF(Table15[[#This Row],[pnl_official]]&lt;&gt;"", Table15[[#This Row],[pnl_official]]-MAX($D$79:$D177), NA())</f>
        <v>#N/A</v>
      </c>
      <c r="M177" s="450" t="e">
        <f>IF(Table15[[#This Row],[pnl_official]]&lt;&gt;"", IF(Table15[[#This Row],[pnl_official]]&gt;0, 0, Table15[[#This Row],[pnl_official]]), NA())</f>
        <v>#N/A</v>
      </c>
      <c r="N177" s="97"/>
    </row>
    <row r="178" spans="1:14" x14ac:dyDescent="0.25">
      <c r="A178" s="444">
        <v>46163</v>
      </c>
      <c r="B178" s="293">
        <v>100</v>
      </c>
      <c r="C178" s="661" t="e">
        <f>NA()</f>
        <v>#N/A</v>
      </c>
      <c r="D178" s="660" t="e">
        <f>IF(AND(ISNUMBER(Table15[[#This Row],[pnl_ym]]), ISNUMBER(Table15[[#This Row],[pnl_am]])), (Table15[[#This Row],[pnl_ym]]+Table15[[#This Row],[pnl_am]])/1000, NA())</f>
        <v>#N/A</v>
      </c>
      <c r="E178" s="589" t="e">
        <f>NA()</f>
        <v>#N/A</v>
      </c>
      <c r="F178" s="589" t="e">
        <f>NA()</f>
        <v>#N/A</v>
      </c>
      <c r="G178" s="423" t="e">
        <f>IF(Table15[[#This Row],[pnl_est]] &lt;&gt; "", Table15[[#This Row],[pnl_est]]-$C177, NA())</f>
        <v>#N/A</v>
      </c>
      <c r="H178" s="423" t="e">
        <f>IF(Table15[[#This Row],[pnl_official]] &lt;&gt; "", Table15[[#This Row],[pnl_official]]-D177, NA())</f>
        <v>#N/A</v>
      </c>
      <c r="I178" s="450" t="e">
        <f t="shared" si="4"/>
        <v>#N/A</v>
      </c>
      <c r="J178" s="568" t="e">
        <f>Table15[[#This Row],[pnl_official]]-Table15[[#This Row],[pnl_est]]</f>
        <v>#N/A</v>
      </c>
      <c r="K178" s="548" t="e">
        <f>Table15[[#This Row],[pnl_ym]]/Table15[[#This Row],[pnl_am]]</f>
        <v>#N/A</v>
      </c>
      <c r="L178" s="450" t="e">
        <f>IF(Table15[[#This Row],[pnl_official]]&lt;&gt;"", Table15[[#This Row],[pnl_official]]-MAX($D$79:$D178), NA())</f>
        <v>#N/A</v>
      </c>
      <c r="M178" s="450" t="e">
        <f>IF(Table15[[#This Row],[pnl_official]]&lt;&gt;"", IF(Table15[[#This Row],[pnl_official]]&gt;0, 0, Table15[[#This Row],[pnl_official]]), NA())</f>
        <v>#N/A</v>
      </c>
      <c r="N178" s="97"/>
    </row>
    <row r="179" spans="1:14" x14ac:dyDescent="0.25">
      <c r="A179" s="444">
        <v>46164</v>
      </c>
      <c r="B179" s="293">
        <v>101</v>
      </c>
      <c r="C179" s="661" t="e">
        <f>NA()</f>
        <v>#N/A</v>
      </c>
      <c r="D179" s="660" t="e">
        <f>IF(AND(ISNUMBER(Table15[[#This Row],[pnl_ym]]), ISNUMBER(Table15[[#This Row],[pnl_am]])), (Table15[[#This Row],[pnl_ym]]+Table15[[#This Row],[pnl_am]])/1000, NA())</f>
        <v>#N/A</v>
      </c>
      <c r="E179" s="589" t="e">
        <f>NA()</f>
        <v>#N/A</v>
      </c>
      <c r="F179" s="589" t="e">
        <f>NA()</f>
        <v>#N/A</v>
      </c>
      <c r="G179" s="423" t="e">
        <f>IF(Table15[[#This Row],[pnl_est]] &lt;&gt; "", Table15[[#This Row],[pnl_est]]-$C178, NA())</f>
        <v>#N/A</v>
      </c>
      <c r="H179" s="423" t="e">
        <f>IF(Table15[[#This Row],[pnl_official]] &lt;&gt; "", Table15[[#This Row],[pnl_official]]-D178, NA())</f>
        <v>#N/A</v>
      </c>
      <c r="I179" s="450" t="e">
        <f t="shared" si="4"/>
        <v>#N/A</v>
      </c>
      <c r="J179" s="568" t="e">
        <f>Table15[[#This Row],[pnl_official]]-Table15[[#This Row],[pnl_est]]</f>
        <v>#N/A</v>
      </c>
      <c r="K179" s="548" t="e">
        <f>Table15[[#This Row],[pnl_ym]]/Table15[[#This Row],[pnl_am]]</f>
        <v>#N/A</v>
      </c>
      <c r="L179" s="450" t="e">
        <f>IF(Table15[[#This Row],[pnl_official]]&lt;&gt;"", Table15[[#This Row],[pnl_official]]-MAX($D$79:$D179), NA())</f>
        <v>#N/A</v>
      </c>
      <c r="M179" s="450" t="e">
        <f>IF(Table15[[#This Row],[pnl_official]]&lt;&gt;"", IF(Table15[[#This Row],[pnl_official]]&gt;0, 0, Table15[[#This Row],[pnl_official]]), NA())</f>
        <v>#N/A</v>
      </c>
      <c r="N179" s="97"/>
    </row>
    <row r="180" spans="1:14" x14ac:dyDescent="0.25">
      <c r="A180" s="444">
        <v>46167</v>
      </c>
      <c r="B180" s="293">
        <v>102</v>
      </c>
      <c r="C180" s="661" t="e">
        <f>NA()</f>
        <v>#N/A</v>
      </c>
      <c r="D180" s="660" t="e">
        <f>IF(AND(ISNUMBER(Table15[[#This Row],[pnl_ym]]), ISNUMBER(Table15[[#This Row],[pnl_am]])), (Table15[[#This Row],[pnl_ym]]+Table15[[#This Row],[pnl_am]])/1000, NA())</f>
        <v>#N/A</v>
      </c>
      <c r="E180" s="589" t="e">
        <f>NA()</f>
        <v>#N/A</v>
      </c>
      <c r="F180" s="589" t="e">
        <f>NA()</f>
        <v>#N/A</v>
      </c>
      <c r="G180" s="423" t="e">
        <f>IF(Table15[[#This Row],[pnl_est]] &lt;&gt; "", Table15[[#This Row],[pnl_est]]-$C179, NA())</f>
        <v>#N/A</v>
      </c>
      <c r="H180" s="423" t="e">
        <f>IF(Table15[[#This Row],[pnl_official]] &lt;&gt; "", Table15[[#This Row],[pnl_official]]-D179, NA())</f>
        <v>#N/A</v>
      </c>
      <c r="I180" s="450" t="e">
        <f t="shared" si="4"/>
        <v>#N/A</v>
      </c>
      <c r="J180" s="568" t="e">
        <f>Table15[[#This Row],[pnl_official]]-Table15[[#This Row],[pnl_est]]</f>
        <v>#N/A</v>
      </c>
      <c r="K180" s="548" t="e">
        <f>Table15[[#This Row],[pnl_ym]]/Table15[[#This Row],[pnl_am]]</f>
        <v>#N/A</v>
      </c>
      <c r="L180" s="450" t="e">
        <f>IF(Table15[[#This Row],[pnl_official]]&lt;&gt;"", Table15[[#This Row],[pnl_official]]-MAX($D$79:$D180), NA())</f>
        <v>#N/A</v>
      </c>
      <c r="M180" s="450" t="e">
        <f>IF(Table15[[#This Row],[pnl_official]]&lt;&gt;"", IF(Table15[[#This Row],[pnl_official]]&gt;0, 0, Table15[[#This Row],[pnl_official]]), NA())</f>
        <v>#N/A</v>
      </c>
      <c r="N180" s="97"/>
    </row>
    <row r="181" spans="1:14" x14ac:dyDescent="0.25">
      <c r="A181" s="444">
        <v>46168</v>
      </c>
      <c r="B181" s="293">
        <v>103</v>
      </c>
      <c r="C181" s="661" t="e">
        <f>NA()</f>
        <v>#N/A</v>
      </c>
      <c r="D181" s="660" t="e">
        <f>IF(AND(ISNUMBER(Table15[[#This Row],[pnl_ym]]), ISNUMBER(Table15[[#This Row],[pnl_am]])), (Table15[[#This Row],[pnl_ym]]+Table15[[#This Row],[pnl_am]])/1000, NA())</f>
        <v>#N/A</v>
      </c>
      <c r="E181" s="589" t="e">
        <f>NA()</f>
        <v>#N/A</v>
      </c>
      <c r="F181" s="589" t="e">
        <f>NA()</f>
        <v>#N/A</v>
      </c>
      <c r="G181" s="423" t="e">
        <f>IF(Table15[[#This Row],[pnl_est]] &lt;&gt; "", Table15[[#This Row],[pnl_est]]-$C180, NA())</f>
        <v>#N/A</v>
      </c>
      <c r="H181" s="423" t="e">
        <f>IF(Table15[[#This Row],[pnl_official]] &lt;&gt; "", Table15[[#This Row],[pnl_official]]-D180, NA())</f>
        <v>#N/A</v>
      </c>
      <c r="I181" s="450" t="e">
        <f t="shared" si="4"/>
        <v>#N/A</v>
      </c>
      <c r="J181" s="568" t="e">
        <f>Table15[[#This Row],[pnl_official]]-Table15[[#This Row],[pnl_est]]</f>
        <v>#N/A</v>
      </c>
      <c r="K181" s="548" t="e">
        <f>Table15[[#This Row],[pnl_ym]]/Table15[[#This Row],[pnl_am]]</f>
        <v>#N/A</v>
      </c>
      <c r="L181" s="450" t="e">
        <f>IF(Table15[[#This Row],[pnl_official]]&lt;&gt;"", Table15[[#This Row],[pnl_official]]-MAX($D$79:$D181), NA())</f>
        <v>#N/A</v>
      </c>
      <c r="M181" s="450" t="e">
        <f>IF(Table15[[#This Row],[pnl_official]]&lt;&gt;"", IF(Table15[[#This Row],[pnl_official]]&gt;0, 0, Table15[[#This Row],[pnl_official]]), NA())</f>
        <v>#N/A</v>
      </c>
      <c r="N181" s="97"/>
    </row>
    <row r="182" spans="1:14" x14ac:dyDescent="0.25">
      <c r="A182" s="444">
        <v>46169</v>
      </c>
      <c r="B182" s="293">
        <v>104</v>
      </c>
      <c r="C182" s="661" t="e">
        <f>NA()</f>
        <v>#N/A</v>
      </c>
      <c r="D182" s="660" t="e">
        <f>IF(AND(ISNUMBER(Table15[[#This Row],[pnl_ym]]), ISNUMBER(Table15[[#This Row],[pnl_am]])), (Table15[[#This Row],[pnl_ym]]+Table15[[#This Row],[pnl_am]])/1000, NA())</f>
        <v>#N/A</v>
      </c>
      <c r="E182" s="589" t="e">
        <f>NA()</f>
        <v>#N/A</v>
      </c>
      <c r="F182" s="589" t="e">
        <f>NA()</f>
        <v>#N/A</v>
      </c>
      <c r="G182" s="423" t="e">
        <f>IF(Table15[[#This Row],[pnl_est]] &lt;&gt; "", Table15[[#This Row],[pnl_est]]-$C181, NA())</f>
        <v>#N/A</v>
      </c>
      <c r="H182" s="423" t="e">
        <f>IF(Table15[[#This Row],[pnl_official]] &lt;&gt; "", Table15[[#This Row],[pnl_official]]-D181, NA())</f>
        <v>#N/A</v>
      </c>
      <c r="I182" s="450" t="e">
        <f t="shared" si="4"/>
        <v>#N/A</v>
      </c>
      <c r="J182" s="568" t="e">
        <f>Table15[[#This Row],[pnl_official]]-Table15[[#This Row],[pnl_est]]</f>
        <v>#N/A</v>
      </c>
      <c r="K182" s="548" t="e">
        <f>Table15[[#This Row],[pnl_ym]]/Table15[[#This Row],[pnl_am]]</f>
        <v>#N/A</v>
      </c>
      <c r="L182" s="450" t="e">
        <f>IF(Table15[[#This Row],[pnl_official]]&lt;&gt;"", Table15[[#This Row],[pnl_official]]-MAX($D$79:$D182), NA())</f>
        <v>#N/A</v>
      </c>
      <c r="M182" s="450" t="e">
        <f>IF(Table15[[#This Row],[pnl_official]]&lt;&gt;"", IF(Table15[[#This Row],[pnl_official]]&gt;0, 0, Table15[[#This Row],[pnl_official]]), NA())</f>
        <v>#N/A</v>
      </c>
      <c r="N182" s="97"/>
    </row>
    <row r="183" spans="1:14" x14ac:dyDescent="0.25">
      <c r="A183" s="444">
        <v>46170</v>
      </c>
      <c r="B183" s="293">
        <v>105</v>
      </c>
      <c r="C183" s="661" t="e">
        <f>NA()</f>
        <v>#N/A</v>
      </c>
      <c r="D183" s="660" t="e">
        <f>IF(AND(ISNUMBER(Table15[[#This Row],[pnl_ym]]), ISNUMBER(Table15[[#This Row],[pnl_am]])), (Table15[[#This Row],[pnl_ym]]+Table15[[#This Row],[pnl_am]])/1000, NA())</f>
        <v>#N/A</v>
      </c>
      <c r="E183" s="589" t="e">
        <f>NA()</f>
        <v>#N/A</v>
      </c>
      <c r="F183" s="589" t="e">
        <f>NA()</f>
        <v>#N/A</v>
      </c>
      <c r="G183" s="423" t="e">
        <f>IF(Table15[[#This Row],[pnl_est]] &lt;&gt; "", Table15[[#This Row],[pnl_est]]-$C182, NA())</f>
        <v>#N/A</v>
      </c>
      <c r="H183" s="423" t="e">
        <f>IF(Table15[[#This Row],[pnl_official]] &lt;&gt; "", Table15[[#This Row],[pnl_official]]-D182, NA())</f>
        <v>#N/A</v>
      </c>
      <c r="I183" s="450" t="e">
        <f t="shared" si="4"/>
        <v>#N/A</v>
      </c>
      <c r="J183" s="568" t="e">
        <f>Table15[[#This Row],[pnl_official]]-Table15[[#This Row],[pnl_est]]</f>
        <v>#N/A</v>
      </c>
      <c r="K183" s="548" t="e">
        <f>Table15[[#This Row],[pnl_ym]]/Table15[[#This Row],[pnl_am]]</f>
        <v>#N/A</v>
      </c>
      <c r="L183" s="450" t="e">
        <f>IF(Table15[[#This Row],[pnl_official]]&lt;&gt;"", Table15[[#This Row],[pnl_official]]-MAX($D$79:$D183), NA())</f>
        <v>#N/A</v>
      </c>
      <c r="M183" s="450" t="e">
        <f>IF(Table15[[#This Row],[pnl_official]]&lt;&gt;"", IF(Table15[[#This Row],[pnl_official]]&gt;0, 0, Table15[[#This Row],[pnl_official]]), NA())</f>
        <v>#N/A</v>
      </c>
      <c r="N183" s="97"/>
    </row>
    <row r="184" spans="1:14" x14ac:dyDescent="0.25">
      <c r="A184" s="444">
        <v>46171</v>
      </c>
      <c r="B184" s="293">
        <v>106</v>
      </c>
      <c r="C184" s="661" t="e">
        <f>NA()</f>
        <v>#N/A</v>
      </c>
      <c r="D184" s="660" t="e">
        <f>IF(AND(ISNUMBER(Table15[[#This Row],[pnl_ym]]), ISNUMBER(Table15[[#This Row],[pnl_am]])), (Table15[[#This Row],[pnl_ym]]+Table15[[#This Row],[pnl_am]])/1000, NA())</f>
        <v>#N/A</v>
      </c>
      <c r="E184" s="589" t="e">
        <f>NA()</f>
        <v>#N/A</v>
      </c>
      <c r="F184" s="589" t="e">
        <f>NA()</f>
        <v>#N/A</v>
      </c>
      <c r="G184" s="423" t="e">
        <f>IF(Table15[[#This Row],[pnl_est]] &lt;&gt; "", Table15[[#This Row],[pnl_est]]-$C183, NA())</f>
        <v>#N/A</v>
      </c>
      <c r="H184" s="423" t="e">
        <f>IF(Table15[[#This Row],[pnl_official]] &lt;&gt; "", Table15[[#This Row],[pnl_official]]-D183, NA())</f>
        <v>#N/A</v>
      </c>
      <c r="I184" s="450" t="e">
        <f t="shared" si="4"/>
        <v>#N/A</v>
      </c>
      <c r="J184" s="568" t="e">
        <f>Table15[[#This Row],[pnl_official]]-Table15[[#This Row],[pnl_est]]</f>
        <v>#N/A</v>
      </c>
      <c r="K184" s="548" t="e">
        <f>Table15[[#This Row],[pnl_ym]]/Table15[[#This Row],[pnl_am]]</f>
        <v>#N/A</v>
      </c>
      <c r="L184" s="450" t="e">
        <f>IF(Table15[[#This Row],[pnl_official]]&lt;&gt;"", Table15[[#This Row],[pnl_official]]-MAX($D$79:$D184), NA())</f>
        <v>#N/A</v>
      </c>
      <c r="M184" s="450" t="e">
        <f>IF(Table15[[#This Row],[pnl_official]]&lt;&gt;"", IF(Table15[[#This Row],[pnl_official]]&gt;0, 0, Table15[[#This Row],[pnl_official]]), NA())</f>
        <v>#N/A</v>
      </c>
      <c r="N184" s="97"/>
    </row>
    <row r="185" spans="1:14" x14ac:dyDescent="0.25">
      <c r="A185" s="444">
        <v>46174</v>
      </c>
      <c r="B185" s="293">
        <v>107</v>
      </c>
      <c r="C185" s="661" t="e">
        <f>NA()</f>
        <v>#N/A</v>
      </c>
      <c r="D185" s="660" t="e">
        <f>IF(AND(ISNUMBER(Table15[[#This Row],[pnl_ym]]), ISNUMBER(Table15[[#This Row],[pnl_am]])), (Table15[[#This Row],[pnl_ym]]+Table15[[#This Row],[pnl_am]])/1000, NA())</f>
        <v>#N/A</v>
      </c>
      <c r="E185" s="589" t="e">
        <f>NA()</f>
        <v>#N/A</v>
      </c>
      <c r="F185" s="589" t="e">
        <f>NA()</f>
        <v>#N/A</v>
      </c>
      <c r="G185" s="423" t="e">
        <f>IF(Table15[[#This Row],[pnl_est]] &lt;&gt; "", Table15[[#This Row],[pnl_est]]-$C184, NA())</f>
        <v>#N/A</v>
      </c>
      <c r="H185" s="423" t="e">
        <f>IF(Table15[[#This Row],[pnl_official]] &lt;&gt; "", Table15[[#This Row],[pnl_official]]-D184, NA())</f>
        <v>#N/A</v>
      </c>
      <c r="I185" s="450" t="e">
        <f t="shared" si="4"/>
        <v>#N/A</v>
      </c>
      <c r="J185" s="568" t="e">
        <f>Table15[[#This Row],[pnl_official]]-Table15[[#This Row],[pnl_est]]</f>
        <v>#N/A</v>
      </c>
      <c r="K185" s="548" t="e">
        <f>Table15[[#This Row],[pnl_ym]]/Table15[[#This Row],[pnl_am]]</f>
        <v>#N/A</v>
      </c>
      <c r="L185" s="450" t="e">
        <f>IF(Table15[[#This Row],[pnl_official]]&lt;&gt;"", Table15[[#This Row],[pnl_official]]-MAX($D$79:$D185), NA())</f>
        <v>#N/A</v>
      </c>
      <c r="M185" s="450" t="e">
        <f>IF(Table15[[#This Row],[pnl_official]]&lt;&gt;"", IF(Table15[[#This Row],[pnl_official]]&gt;0, 0, Table15[[#This Row],[pnl_official]]), NA())</f>
        <v>#N/A</v>
      </c>
      <c r="N185" s="97"/>
    </row>
    <row r="186" spans="1:14" x14ac:dyDescent="0.25">
      <c r="A186" s="444">
        <v>46175</v>
      </c>
      <c r="B186" s="293">
        <v>108</v>
      </c>
      <c r="C186" s="661" t="e">
        <f>NA()</f>
        <v>#N/A</v>
      </c>
      <c r="D186" s="660" t="e">
        <f>IF(AND(ISNUMBER(Table15[[#This Row],[pnl_ym]]), ISNUMBER(Table15[[#This Row],[pnl_am]])), (Table15[[#This Row],[pnl_ym]]+Table15[[#This Row],[pnl_am]])/1000, NA())</f>
        <v>#N/A</v>
      </c>
      <c r="E186" s="589" t="e">
        <f>NA()</f>
        <v>#N/A</v>
      </c>
      <c r="F186" s="589" t="e">
        <f>NA()</f>
        <v>#N/A</v>
      </c>
      <c r="G186" s="423" t="e">
        <f>IF(Table15[[#This Row],[pnl_est]] &lt;&gt; "", Table15[[#This Row],[pnl_est]]-$C185, NA())</f>
        <v>#N/A</v>
      </c>
      <c r="H186" s="423" t="e">
        <f>IF(Table15[[#This Row],[pnl_official]] &lt;&gt; "", Table15[[#This Row],[pnl_official]]-D185, NA())</f>
        <v>#N/A</v>
      </c>
      <c r="I186" s="450" t="e">
        <f t="shared" si="4"/>
        <v>#N/A</v>
      </c>
      <c r="J186" s="568" t="e">
        <f>Table15[[#This Row],[pnl_official]]-Table15[[#This Row],[pnl_est]]</f>
        <v>#N/A</v>
      </c>
      <c r="K186" s="548" t="e">
        <f>Table15[[#This Row],[pnl_ym]]/Table15[[#This Row],[pnl_am]]</f>
        <v>#N/A</v>
      </c>
      <c r="L186" s="450" t="e">
        <f>IF(Table15[[#This Row],[pnl_official]]&lt;&gt;"", Table15[[#This Row],[pnl_official]]-MAX($D$79:$D186), NA())</f>
        <v>#N/A</v>
      </c>
      <c r="M186" s="450" t="e">
        <f>IF(Table15[[#This Row],[pnl_official]]&lt;&gt;"", IF(Table15[[#This Row],[pnl_official]]&gt;0, 0, Table15[[#This Row],[pnl_official]]), NA())</f>
        <v>#N/A</v>
      </c>
      <c r="N186" s="97"/>
    </row>
    <row r="187" spans="1:14" x14ac:dyDescent="0.25">
      <c r="A187" s="444">
        <v>46176</v>
      </c>
      <c r="B187" s="293">
        <v>109</v>
      </c>
      <c r="C187" s="661" t="e">
        <f>NA()</f>
        <v>#N/A</v>
      </c>
      <c r="D187" s="660" t="e">
        <f>IF(AND(ISNUMBER(Table15[[#This Row],[pnl_ym]]), ISNUMBER(Table15[[#This Row],[pnl_am]])), (Table15[[#This Row],[pnl_ym]]+Table15[[#This Row],[pnl_am]])/1000, NA())</f>
        <v>#N/A</v>
      </c>
      <c r="E187" s="589" t="e">
        <f>NA()</f>
        <v>#N/A</v>
      </c>
      <c r="F187" s="589" t="e">
        <f>NA()</f>
        <v>#N/A</v>
      </c>
      <c r="G187" s="423" t="e">
        <f>IF(Table15[[#This Row],[pnl_est]] &lt;&gt; "", Table15[[#This Row],[pnl_est]]-$C186, NA())</f>
        <v>#N/A</v>
      </c>
      <c r="H187" s="423" t="e">
        <f>IF(Table15[[#This Row],[pnl_official]] &lt;&gt; "", Table15[[#This Row],[pnl_official]]-D186, NA())</f>
        <v>#N/A</v>
      </c>
      <c r="I187" s="450" t="e">
        <f t="shared" si="4"/>
        <v>#N/A</v>
      </c>
      <c r="J187" s="568" t="e">
        <f>Table15[[#This Row],[pnl_official]]-Table15[[#This Row],[pnl_est]]</f>
        <v>#N/A</v>
      </c>
      <c r="K187" s="548" t="e">
        <f>Table15[[#This Row],[pnl_ym]]/Table15[[#This Row],[pnl_am]]</f>
        <v>#N/A</v>
      </c>
      <c r="L187" s="450" t="e">
        <f>IF(Table15[[#This Row],[pnl_official]]&lt;&gt;"", Table15[[#This Row],[pnl_official]]-MAX($D$79:$D187), NA())</f>
        <v>#N/A</v>
      </c>
      <c r="M187" s="450" t="e">
        <f>IF(Table15[[#This Row],[pnl_official]]&lt;&gt;"", IF(Table15[[#This Row],[pnl_official]]&gt;0, 0, Table15[[#This Row],[pnl_official]]), NA())</f>
        <v>#N/A</v>
      </c>
      <c r="N187" s="97"/>
    </row>
    <row r="188" spans="1:14" x14ac:dyDescent="0.25">
      <c r="A188" s="444">
        <v>46177</v>
      </c>
      <c r="B188" s="293">
        <v>110</v>
      </c>
      <c r="C188" s="661" t="e">
        <f>NA()</f>
        <v>#N/A</v>
      </c>
      <c r="D188" s="660" t="e">
        <f>IF(AND(ISNUMBER(Table15[[#This Row],[pnl_ym]]), ISNUMBER(Table15[[#This Row],[pnl_am]])), (Table15[[#This Row],[pnl_ym]]+Table15[[#This Row],[pnl_am]])/1000, NA())</f>
        <v>#N/A</v>
      </c>
      <c r="E188" s="589" t="e">
        <f>NA()</f>
        <v>#N/A</v>
      </c>
      <c r="F188" s="589" t="e">
        <f>NA()</f>
        <v>#N/A</v>
      </c>
      <c r="G188" s="423" t="e">
        <f>IF(Table15[[#This Row],[pnl_est]] &lt;&gt; "", Table15[[#This Row],[pnl_est]]-$C187, NA())</f>
        <v>#N/A</v>
      </c>
      <c r="H188" s="423" t="e">
        <f>IF(Table15[[#This Row],[pnl_official]] &lt;&gt; "", Table15[[#This Row],[pnl_official]]-D187, NA())</f>
        <v>#N/A</v>
      </c>
      <c r="I188" s="450" t="e">
        <f t="shared" si="4"/>
        <v>#N/A</v>
      </c>
      <c r="J188" s="568" t="e">
        <f>Table15[[#This Row],[pnl_official]]-Table15[[#This Row],[pnl_est]]</f>
        <v>#N/A</v>
      </c>
      <c r="K188" s="548" t="e">
        <f>Table15[[#This Row],[pnl_ym]]/Table15[[#This Row],[pnl_am]]</f>
        <v>#N/A</v>
      </c>
      <c r="L188" s="450" t="e">
        <f>IF(Table15[[#This Row],[pnl_official]]&lt;&gt;"", Table15[[#This Row],[pnl_official]]-MAX($D$79:$D188), NA())</f>
        <v>#N/A</v>
      </c>
      <c r="M188" s="450" t="e">
        <f>IF(Table15[[#This Row],[pnl_official]]&lt;&gt;"", IF(Table15[[#This Row],[pnl_official]]&gt;0, 0, Table15[[#This Row],[pnl_official]]), NA())</f>
        <v>#N/A</v>
      </c>
      <c r="N188" s="97"/>
    </row>
    <row r="189" spans="1:14" x14ac:dyDescent="0.25">
      <c r="A189" s="444">
        <v>46178</v>
      </c>
      <c r="B189" s="293">
        <v>111</v>
      </c>
      <c r="C189" s="661" t="e">
        <f>NA()</f>
        <v>#N/A</v>
      </c>
      <c r="D189" s="660" t="e">
        <f>IF(AND(ISNUMBER(Table15[[#This Row],[pnl_ym]]), ISNUMBER(Table15[[#This Row],[pnl_am]])), (Table15[[#This Row],[pnl_ym]]+Table15[[#This Row],[pnl_am]])/1000, NA())</f>
        <v>#N/A</v>
      </c>
      <c r="E189" s="589" t="e">
        <f>NA()</f>
        <v>#N/A</v>
      </c>
      <c r="F189" s="589" t="e">
        <f>NA()</f>
        <v>#N/A</v>
      </c>
      <c r="G189" s="423" t="e">
        <f>IF(Table15[[#This Row],[pnl_est]] &lt;&gt; "", Table15[[#This Row],[pnl_est]]-$C188, NA())</f>
        <v>#N/A</v>
      </c>
      <c r="H189" s="423" t="e">
        <f>IF(Table15[[#This Row],[pnl_official]] &lt;&gt; "", Table15[[#This Row],[pnl_official]]-D188, NA())</f>
        <v>#N/A</v>
      </c>
      <c r="I189" s="450" t="e">
        <f t="shared" si="4"/>
        <v>#N/A</v>
      </c>
      <c r="J189" s="568" t="e">
        <f>Table15[[#This Row],[pnl_official]]-Table15[[#This Row],[pnl_est]]</f>
        <v>#N/A</v>
      </c>
      <c r="K189" s="548" t="e">
        <f>Table15[[#This Row],[pnl_ym]]/Table15[[#This Row],[pnl_am]]</f>
        <v>#N/A</v>
      </c>
      <c r="L189" s="450" t="e">
        <f>IF(Table15[[#This Row],[pnl_official]]&lt;&gt;"", Table15[[#This Row],[pnl_official]]-MAX($D$79:$D189), NA())</f>
        <v>#N/A</v>
      </c>
      <c r="M189" s="450" t="e">
        <f>IF(Table15[[#This Row],[pnl_official]]&lt;&gt;"", IF(Table15[[#This Row],[pnl_official]]&gt;0, 0, Table15[[#This Row],[pnl_official]]), NA())</f>
        <v>#N/A</v>
      </c>
      <c r="N189" s="97"/>
    </row>
    <row r="190" spans="1:14" x14ac:dyDescent="0.25">
      <c r="A190" s="444">
        <v>46181</v>
      </c>
      <c r="B190" s="293">
        <v>112</v>
      </c>
      <c r="C190" s="661" t="e">
        <f>NA()</f>
        <v>#N/A</v>
      </c>
      <c r="D190" s="660" t="e">
        <f>IF(AND(ISNUMBER(Table15[[#This Row],[pnl_ym]]), ISNUMBER(Table15[[#This Row],[pnl_am]])), (Table15[[#This Row],[pnl_ym]]+Table15[[#This Row],[pnl_am]])/1000, NA())</f>
        <v>#N/A</v>
      </c>
      <c r="E190" s="589" t="e">
        <f>NA()</f>
        <v>#N/A</v>
      </c>
      <c r="F190" s="589" t="e">
        <f>NA()</f>
        <v>#N/A</v>
      </c>
      <c r="G190" s="423" t="e">
        <f>IF(Table15[[#This Row],[pnl_est]] &lt;&gt; "", Table15[[#This Row],[pnl_est]]-$C189, NA())</f>
        <v>#N/A</v>
      </c>
      <c r="H190" s="423" t="e">
        <f>IF(Table15[[#This Row],[pnl_official]] &lt;&gt; "", Table15[[#This Row],[pnl_official]]-D189, NA())</f>
        <v>#N/A</v>
      </c>
      <c r="I190" s="450" t="e">
        <f t="shared" si="4"/>
        <v>#N/A</v>
      </c>
      <c r="J190" s="568" t="e">
        <f>Table15[[#This Row],[pnl_official]]-Table15[[#This Row],[pnl_est]]</f>
        <v>#N/A</v>
      </c>
      <c r="K190" s="548" t="e">
        <f>Table15[[#This Row],[pnl_ym]]/Table15[[#This Row],[pnl_am]]</f>
        <v>#N/A</v>
      </c>
      <c r="L190" s="450" t="e">
        <f>IF(Table15[[#This Row],[pnl_official]]&lt;&gt;"", Table15[[#This Row],[pnl_official]]-MAX($D$79:$D190), NA())</f>
        <v>#N/A</v>
      </c>
      <c r="M190" s="450" t="e">
        <f>IF(Table15[[#This Row],[pnl_official]]&lt;&gt;"", IF(Table15[[#This Row],[pnl_official]]&gt;0, 0, Table15[[#This Row],[pnl_official]]), NA())</f>
        <v>#N/A</v>
      </c>
      <c r="N190" s="97"/>
    </row>
    <row r="191" spans="1:14" x14ac:dyDescent="0.25">
      <c r="A191" s="444">
        <v>46182</v>
      </c>
      <c r="B191" s="293">
        <v>113</v>
      </c>
      <c r="C191" s="661" t="e">
        <f>NA()</f>
        <v>#N/A</v>
      </c>
      <c r="D191" s="660" t="e">
        <f>IF(AND(ISNUMBER(Table15[[#This Row],[pnl_ym]]), ISNUMBER(Table15[[#This Row],[pnl_am]])), (Table15[[#This Row],[pnl_ym]]+Table15[[#This Row],[pnl_am]])/1000, NA())</f>
        <v>#N/A</v>
      </c>
      <c r="E191" s="589" t="e">
        <f>NA()</f>
        <v>#N/A</v>
      </c>
      <c r="F191" s="589" t="e">
        <f>NA()</f>
        <v>#N/A</v>
      </c>
      <c r="G191" s="423" t="e">
        <f>IF(Table15[[#This Row],[pnl_est]] &lt;&gt; "", Table15[[#This Row],[pnl_est]]-$C190, NA())</f>
        <v>#N/A</v>
      </c>
      <c r="H191" s="423" t="e">
        <f>IF(Table15[[#This Row],[pnl_official]] &lt;&gt; "", Table15[[#This Row],[pnl_official]]-D190, NA())</f>
        <v>#N/A</v>
      </c>
      <c r="I191" s="450" t="e">
        <f t="shared" si="4"/>
        <v>#N/A</v>
      </c>
      <c r="J191" s="568" t="e">
        <f>Table15[[#This Row],[pnl_official]]-Table15[[#This Row],[pnl_est]]</f>
        <v>#N/A</v>
      </c>
      <c r="K191" s="548" t="e">
        <f>Table15[[#This Row],[pnl_ym]]/Table15[[#This Row],[pnl_am]]</f>
        <v>#N/A</v>
      </c>
      <c r="L191" s="450" t="e">
        <f>IF(Table15[[#This Row],[pnl_official]]&lt;&gt;"", Table15[[#This Row],[pnl_official]]-MAX($D$79:$D191), NA())</f>
        <v>#N/A</v>
      </c>
      <c r="M191" s="450" t="e">
        <f>IF(Table15[[#This Row],[pnl_official]]&lt;&gt;"", IF(Table15[[#This Row],[pnl_official]]&gt;0, 0, Table15[[#This Row],[pnl_official]]), NA())</f>
        <v>#N/A</v>
      </c>
      <c r="N191" s="97"/>
    </row>
    <row r="192" spans="1:14" x14ac:dyDescent="0.25">
      <c r="A192" s="444">
        <v>46183</v>
      </c>
      <c r="B192" s="293">
        <v>114</v>
      </c>
      <c r="C192" s="661" t="e">
        <f>NA()</f>
        <v>#N/A</v>
      </c>
      <c r="D192" s="660" t="e">
        <f>IF(AND(ISNUMBER(Table15[[#This Row],[pnl_ym]]), ISNUMBER(Table15[[#This Row],[pnl_am]])), (Table15[[#This Row],[pnl_ym]]+Table15[[#This Row],[pnl_am]])/1000, NA())</f>
        <v>#N/A</v>
      </c>
      <c r="E192" s="589" t="e">
        <f>NA()</f>
        <v>#N/A</v>
      </c>
      <c r="F192" s="589" t="e">
        <f>NA()</f>
        <v>#N/A</v>
      </c>
      <c r="G192" s="423" t="e">
        <f>IF(Table15[[#This Row],[pnl_est]] &lt;&gt; "", Table15[[#This Row],[pnl_est]]-$C191, NA())</f>
        <v>#N/A</v>
      </c>
      <c r="H192" s="423" t="e">
        <f>IF(Table15[[#This Row],[pnl_official]] &lt;&gt; "", Table15[[#This Row],[pnl_official]]-D191, NA())</f>
        <v>#N/A</v>
      </c>
      <c r="I192" s="450" t="e">
        <f t="shared" si="4"/>
        <v>#N/A</v>
      </c>
      <c r="J192" s="568" t="e">
        <f>Table15[[#This Row],[pnl_official]]-Table15[[#This Row],[pnl_est]]</f>
        <v>#N/A</v>
      </c>
      <c r="K192" s="548" t="e">
        <f>Table15[[#This Row],[pnl_ym]]/Table15[[#This Row],[pnl_am]]</f>
        <v>#N/A</v>
      </c>
      <c r="L192" s="450" t="e">
        <f>IF(Table15[[#This Row],[pnl_official]]&lt;&gt;"", Table15[[#This Row],[pnl_official]]-MAX($D$79:$D192), NA())</f>
        <v>#N/A</v>
      </c>
      <c r="M192" s="450" t="e">
        <f>IF(Table15[[#This Row],[pnl_official]]&lt;&gt;"", IF(Table15[[#This Row],[pnl_official]]&gt;0, 0, Table15[[#This Row],[pnl_official]]), NA())</f>
        <v>#N/A</v>
      </c>
      <c r="N192" s="97"/>
    </row>
    <row r="193" spans="1:14" x14ac:dyDescent="0.25">
      <c r="A193" s="444">
        <v>46184</v>
      </c>
      <c r="B193" s="293">
        <v>115</v>
      </c>
      <c r="C193" s="661" t="e">
        <f>NA()</f>
        <v>#N/A</v>
      </c>
      <c r="D193" s="660" t="e">
        <f>IF(AND(ISNUMBER(Table15[[#This Row],[pnl_ym]]), ISNUMBER(Table15[[#This Row],[pnl_am]])), (Table15[[#This Row],[pnl_ym]]+Table15[[#This Row],[pnl_am]])/1000, NA())</f>
        <v>#N/A</v>
      </c>
      <c r="E193" s="589" t="e">
        <f>NA()</f>
        <v>#N/A</v>
      </c>
      <c r="F193" s="589" t="e">
        <f>NA()</f>
        <v>#N/A</v>
      </c>
      <c r="G193" s="423" t="e">
        <f>IF(Table15[[#This Row],[pnl_est]] &lt;&gt; "", Table15[[#This Row],[pnl_est]]-$C192, NA())</f>
        <v>#N/A</v>
      </c>
      <c r="H193" s="423" t="e">
        <f>IF(Table15[[#This Row],[pnl_official]] &lt;&gt; "", Table15[[#This Row],[pnl_official]]-D192, NA())</f>
        <v>#N/A</v>
      </c>
      <c r="I193" s="450" t="e">
        <f t="shared" si="4"/>
        <v>#N/A</v>
      </c>
      <c r="J193" s="568" t="e">
        <f>Table15[[#This Row],[pnl_official]]-Table15[[#This Row],[pnl_est]]</f>
        <v>#N/A</v>
      </c>
      <c r="K193" s="548" t="e">
        <f>Table15[[#This Row],[pnl_ym]]/Table15[[#This Row],[pnl_am]]</f>
        <v>#N/A</v>
      </c>
      <c r="L193" s="450" t="e">
        <f>IF(Table15[[#This Row],[pnl_official]]&lt;&gt;"", Table15[[#This Row],[pnl_official]]-MAX($D$79:$D193), NA())</f>
        <v>#N/A</v>
      </c>
      <c r="M193" s="450" t="e">
        <f>IF(Table15[[#This Row],[pnl_official]]&lt;&gt;"", IF(Table15[[#This Row],[pnl_official]]&gt;0, 0, Table15[[#This Row],[pnl_official]]), NA())</f>
        <v>#N/A</v>
      </c>
      <c r="N193" s="97"/>
    </row>
    <row r="194" spans="1:14" x14ac:dyDescent="0.25">
      <c r="A194" s="444">
        <v>46185</v>
      </c>
      <c r="B194" s="293">
        <v>116</v>
      </c>
      <c r="C194" s="661" t="e">
        <f>NA()</f>
        <v>#N/A</v>
      </c>
      <c r="D194" s="660" t="e">
        <f>IF(AND(ISNUMBER(Table15[[#This Row],[pnl_ym]]), ISNUMBER(Table15[[#This Row],[pnl_am]])), (Table15[[#This Row],[pnl_ym]]+Table15[[#This Row],[pnl_am]])/1000, NA())</f>
        <v>#N/A</v>
      </c>
      <c r="E194" s="589" t="e">
        <f>NA()</f>
        <v>#N/A</v>
      </c>
      <c r="F194" s="589" t="e">
        <f>NA()</f>
        <v>#N/A</v>
      </c>
      <c r="G194" s="423" t="e">
        <f>IF(Table15[[#This Row],[pnl_est]] &lt;&gt; "", Table15[[#This Row],[pnl_est]]-$C193, NA())</f>
        <v>#N/A</v>
      </c>
      <c r="H194" s="423" t="e">
        <f>IF(Table15[[#This Row],[pnl_official]] &lt;&gt; "", Table15[[#This Row],[pnl_official]]-D193, NA())</f>
        <v>#N/A</v>
      </c>
      <c r="I194" s="450" t="e">
        <f t="shared" si="4"/>
        <v>#N/A</v>
      </c>
      <c r="J194" s="568" t="e">
        <f>Table15[[#This Row],[pnl_official]]-Table15[[#This Row],[pnl_est]]</f>
        <v>#N/A</v>
      </c>
      <c r="K194" s="548" t="e">
        <f>Table15[[#This Row],[pnl_ym]]/Table15[[#This Row],[pnl_am]]</f>
        <v>#N/A</v>
      </c>
      <c r="L194" s="450" t="e">
        <f>IF(Table15[[#This Row],[pnl_official]]&lt;&gt;"", Table15[[#This Row],[pnl_official]]-MAX($D$79:$D194), NA())</f>
        <v>#N/A</v>
      </c>
      <c r="M194" s="450" t="e">
        <f>IF(Table15[[#This Row],[pnl_official]]&lt;&gt;"", IF(Table15[[#This Row],[pnl_official]]&gt;0, 0, Table15[[#This Row],[pnl_official]]), NA())</f>
        <v>#N/A</v>
      </c>
      <c r="N194" s="97"/>
    </row>
    <row r="195" spans="1:14" x14ac:dyDescent="0.25">
      <c r="A195" s="444">
        <v>46188</v>
      </c>
      <c r="B195" s="293">
        <v>117</v>
      </c>
      <c r="C195" s="661" t="e">
        <f>NA()</f>
        <v>#N/A</v>
      </c>
      <c r="D195" s="660" t="e">
        <f>IF(AND(ISNUMBER(Table15[[#This Row],[pnl_ym]]), ISNUMBER(Table15[[#This Row],[pnl_am]])), (Table15[[#This Row],[pnl_ym]]+Table15[[#This Row],[pnl_am]])/1000, NA())</f>
        <v>#N/A</v>
      </c>
      <c r="E195" s="589" t="e">
        <f>NA()</f>
        <v>#N/A</v>
      </c>
      <c r="F195" s="589" t="e">
        <f>NA()</f>
        <v>#N/A</v>
      </c>
      <c r="G195" s="423" t="e">
        <f>IF(Table15[[#This Row],[pnl_est]] &lt;&gt; "", Table15[[#This Row],[pnl_est]]-$C194, NA())</f>
        <v>#N/A</v>
      </c>
      <c r="H195" s="423" t="e">
        <f>IF(Table15[[#This Row],[pnl_official]] &lt;&gt; "", Table15[[#This Row],[pnl_official]]-D194, NA())</f>
        <v>#N/A</v>
      </c>
      <c r="I195" s="450" t="e">
        <f t="shared" si="4"/>
        <v>#N/A</v>
      </c>
      <c r="J195" s="568" t="e">
        <f>Table15[[#This Row],[pnl_official]]-Table15[[#This Row],[pnl_est]]</f>
        <v>#N/A</v>
      </c>
      <c r="K195" s="548" t="e">
        <f>Table15[[#This Row],[pnl_ym]]/Table15[[#This Row],[pnl_am]]</f>
        <v>#N/A</v>
      </c>
      <c r="L195" s="450" t="e">
        <f>IF(Table15[[#This Row],[pnl_official]]&lt;&gt;"", Table15[[#This Row],[pnl_official]]-MAX($D$79:$D195), NA())</f>
        <v>#N/A</v>
      </c>
      <c r="M195" s="450" t="e">
        <f>IF(Table15[[#This Row],[pnl_official]]&lt;&gt;"", IF(Table15[[#This Row],[pnl_official]]&gt;0, 0, Table15[[#This Row],[pnl_official]]), NA())</f>
        <v>#N/A</v>
      </c>
      <c r="N195" s="97"/>
    </row>
    <row r="196" spans="1:14" x14ac:dyDescent="0.25">
      <c r="A196" s="444">
        <v>46189</v>
      </c>
      <c r="B196" s="293">
        <v>118</v>
      </c>
      <c r="C196" s="661" t="e">
        <f>NA()</f>
        <v>#N/A</v>
      </c>
      <c r="D196" s="660" t="e">
        <f>IF(AND(ISNUMBER(Table15[[#This Row],[pnl_ym]]), ISNUMBER(Table15[[#This Row],[pnl_am]])), (Table15[[#This Row],[pnl_ym]]+Table15[[#This Row],[pnl_am]])/1000, NA())</f>
        <v>#N/A</v>
      </c>
      <c r="E196" s="589" t="e">
        <f>NA()</f>
        <v>#N/A</v>
      </c>
      <c r="F196" s="589" t="e">
        <f>NA()</f>
        <v>#N/A</v>
      </c>
      <c r="G196" s="423" t="e">
        <f>IF(Table15[[#This Row],[pnl_est]] &lt;&gt; "", Table15[[#This Row],[pnl_est]]-$C195, NA())</f>
        <v>#N/A</v>
      </c>
      <c r="H196" s="423" t="e">
        <f>IF(Table15[[#This Row],[pnl_official]] &lt;&gt; "", Table15[[#This Row],[pnl_official]]-D195, NA())</f>
        <v>#N/A</v>
      </c>
      <c r="I196" s="450" t="e">
        <f t="shared" si="4"/>
        <v>#N/A</v>
      </c>
      <c r="J196" s="568" t="e">
        <f>Table15[[#This Row],[pnl_official]]-Table15[[#This Row],[pnl_est]]</f>
        <v>#N/A</v>
      </c>
      <c r="K196" s="548" t="e">
        <f>Table15[[#This Row],[pnl_ym]]/Table15[[#This Row],[pnl_am]]</f>
        <v>#N/A</v>
      </c>
      <c r="L196" s="450" t="e">
        <f>IF(Table15[[#This Row],[pnl_official]]&lt;&gt;"", Table15[[#This Row],[pnl_official]]-MAX($D$79:$D196), NA())</f>
        <v>#N/A</v>
      </c>
      <c r="M196" s="450" t="e">
        <f>IF(Table15[[#This Row],[pnl_official]]&lt;&gt;"", IF(Table15[[#This Row],[pnl_official]]&gt;0, 0, Table15[[#This Row],[pnl_official]]), NA())</f>
        <v>#N/A</v>
      </c>
      <c r="N196" s="97"/>
    </row>
    <row r="197" spans="1:14" x14ac:dyDescent="0.25">
      <c r="A197" s="444">
        <v>46190</v>
      </c>
      <c r="B197" s="293">
        <v>119</v>
      </c>
      <c r="C197" s="661" t="e">
        <f>NA()</f>
        <v>#N/A</v>
      </c>
      <c r="D197" s="660" t="e">
        <f>IF(AND(ISNUMBER(Table15[[#This Row],[pnl_ym]]), ISNUMBER(Table15[[#This Row],[pnl_am]])), (Table15[[#This Row],[pnl_ym]]+Table15[[#This Row],[pnl_am]])/1000, NA())</f>
        <v>#N/A</v>
      </c>
      <c r="E197" s="589" t="e">
        <f>NA()</f>
        <v>#N/A</v>
      </c>
      <c r="F197" s="589" t="e">
        <f>NA()</f>
        <v>#N/A</v>
      </c>
      <c r="G197" s="423" t="e">
        <f>IF(Table15[[#This Row],[pnl_est]] &lt;&gt; "", Table15[[#This Row],[pnl_est]]-$C196, NA())</f>
        <v>#N/A</v>
      </c>
      <c r="H197" s="423" t="e">
        <f>IF(Table15[[#This Row],[pnl_official]] &lt;&gt; "", Table15[[#This Row],[pnl_official]]-D196, NA())</f>
        <v>#N/A</v>
      </c>
      <c r="I197" s="450" t="e">
        <f t="shared" si="4"/>
        <v>#N/A</v>
      </c>
      <c r="J197" s="568" t="e">
        <f>Table15[[#This Row],[pnl_official]]-Table15[[#This Row],[pnl_est]]</f>
        <v>#N/A</v>
      </c>
      <c r="K197" s="548" t="e">
        <f>Table15[[#This Row],[pnl_ym]]/Table15[[#This Row],[pnl_am]]</f>
        <v>#N/A</v>
      </c>
      <c r="L197" s="450" t="e">
        <f>IF(Table15[[#This Row],[pnl_official]]&lt;&gt;"", Table15[[#This Row],[pnl_official]]-MAX($D$79:$D197), NA())</f>
        <v>#N/A</v>
      </c>
      <c r="M197" s="450" t="e">
        <f>IF(Table15[[#This Row],[pnl_official]]&lt;&gt;"", IF(Table15[[#This Row],[pnl_official]]&gt;0, 0, Table15[[#This Row],[pnl_official]]), NA())</f>
        <v>#N/A</v>
      </c>
      <c r="N197" s="97"/>
    </row>
    <row r="198" spans="1:14" x14ac:dyDescent="0.25">
      <c r="A198" s="444">
        <v>46191</v>
      </c>
      <c r="B198" s="293">
        <v>120</v>
      </c>
      <c r="C198" s="661" t="e">
        <f>NA()</f>
        <v>#N/A</v>
      </c>
      <c r="D198" s="660" t="e">
        <f>IF(AND(ISNUMBER(Table15[[#This Row],[pnl_ym]]), ISNUMBER(Table15[[#This Row],[pnl_am]])), (Table15[[#This Row],[pnl_ym]]+Table15[[#This Row],[pnl_am]])/1000, NA())</f>
        <v>#N/A</v>
      </c>
      <c r="E198" s="589" t="e">
        <f>NA()</f>
        <v>#N/A</v>
      </c>
      <c r="F198" s="589" t="e">
        <f>NA()</f>
        <v>#N/A</v>
      </c>
      <c r="G198" s="423" t="e">
        <f>IF(Table15[[#This Row],[pnl_est]] &lt;&gt; "", Table15[[#This Row],[pnl_est]]-$C197, NA())</f>
        <v>#N/A</v>
      </c>
      <c r="H198" s="423" t="e">
        <f>IF(Table15[[#This Row],[pnl_official]] &lt;&gt; "", Table15[[#This Row],[pnl_official]]-D197, NA())</f>
        <v>#N/A</v>
      </c>
      <c r="I198" s="450" t="e">
        <f t="shared" si="4"/>
        <v>#N/A</v>
      </c>
      <c r="J198" s="568" t="e">
        <f>Table15[[#This Row],[pnl_official]]-Table15[[#This Row],[pnl_est]]</f>
        <v>#N/A</v>
      </c>
      <c r="K198" s="548" t="e">
        <f>Table15[[#This Row],[pnl_ym]]/Table15[[#This Row],[pnl_am]]</f>
        <v>#N/A</v>
      </c>
      <c r="L198" s="450" t="e">
        <f>IF(Table15[[#This Row],[pnl_official]]&lt;&gt;"", Table15[[#This Row],[pnl_official]]-MAX($D$79:$D198), NA())</f>
        <v>#N/A</v>
      </c>
      <c r="M198" s="450" t="e">
        <f>IF(Table15[[#This Row],[pnl_official]]&lt;&gt;"", IF(Table15[[#This Row],[pnl_official]]&gt;0, 0, Table15[[#This Row],[pnl_official]]), NA())</f>
        <v>#N/A</v>
      </c>
      <c r="N198" s="97"/>
    </row>
    <row r="199" spans="1:14" x14ac:dyDescent="0.25">
      <c r="A199" s="444">
        <v>46192</v>
      </c>
      <c r="B199" s="293">
        <v>121</v>
      </c>
      <c r="C199" s="661" t="e">
        <f>NA()</f>
        <v>#N/A</v>
      </c>
      <c r="D199" s="660" t="e">
        <f>IF(AND(ISNUMBER(Table15[[#This Row],[pnl_ym]]), ISNUMBER(Table15[[#This Row],[pnl_am]])), (Table15[[#This Row],[pnl_ym]]+Table15[[#This Row],[pnl_am]])/1000, NA())</f>
        <v>#N/A</v>
      </c>
      <c r="E199" s="589" t="e">
        <f>NA()</f>
        <v>#N/A</v>
      </c>
      <c r="F199" s="589" t="e">
        <f>NA()</f>
        <v>#N/A</v>
      </c>
      <c r="G199" s="423" t="e">
        <f>IF(Table15[[#This Row],[pnl_est]] &lt;&gt; "", Table15[[#This Row],[pnl_est]]-$C198, NA())</f>
        <v>#N/A</v>
      </c>
      <c r="H199" s="423" t="e">
        <f>IF(Table15[[#This Row],[pnl_official]] &lt;&gt; "", Table15[[#This Row],[pnl_official]]-D198, NA())</f>
        <v>#N/A</v>
      </c>
      <c r="I199" s="450" t="e">
        <f t="shared" si="4"/>
        <v>#N/A</v>
      </c>
      <c r="J199" s="568" t="e">
        <f>Table15[[#This Row],[pnl_official]]-Table15[[#This Row],[pnl_est]]</f>
        <v>#N/A</v>
      </c>
      <c r="K199" s="548" t="e">
        <f>Table15[[#This Row],[pnl_ym]]/Table15[[#This Row],[pnl_am]]</f>
        <v>#N/A</v>
      </c>
      <c r="L199" s="450" t="e">
        <f>IF(Table15[[#This Row],[pnl_official]]&lt;&gt;"", Table15[[#This Row],[pnl_official]]-MAX($D$79:$D199), NA())</f>
        <v>#N/A</v>
      </c>
      <c r="M199" s="450" t="e">
        <f>IF(Table15[[#This Row],[pnl_official]]&lt;&gt;"", IF(Table15[[#This Row],[pnl_official]]&gt;0, 0, Table15[[#This Row],[pnl_official]]), NA())</f>
        <v>#N/A</v>
      </c>
      <c r="N199" s="97"/>
    </row>
    <row r="200" spans="1:14" x14ac:dyDescent="0.25">
      <c r="A200" s="444">
        <v>46195</v>
      </c>
      <c r="B200" s="293">
        <v>122</v>
      </c>
      <c r="C200" s="661" t="e">
        <f>NA()</f>
        <v>#N/A</v>
      </c>
      <c r="D200" s="660" t="e">
        <f>IF(AND(ISNUMBER(Table15[[#This Row],[pnl_ym]]), ISNUMBER(Table15[[#This Row],[pnl_am]])), (Table15[[#This Row],[pnl_ym]]+Table15[[#This Row],[pnl_am]])/1000, NA())</f>
        <v>#N/A</v>
      </c>
      <c r="E200" s="589" t="e">
        <f>NA()</f>
        <v>#N/A</v>
      </c>
      <c r="F200" s="589" t="e">
        <f>NA()</f>
        <v>#N/A</v>
      </c>
      <c r="G200" s="423" t="e">
        <f>IF(Table15[[#This Row],[pnl_est]] &lt;&gt; "", Table15[[#This Row],[pnl_est]]-$C199, NA())</f>
        <v>#N/A</v>
      </c>
      <c r="H200" s="423" t="e">
        <f>IF(Table15[[#This Row],[pnl_official]] &lt;&gt; "", Table15[[#This Row],[pnl_official]]-D199, NA())</f>
        <v>#N/A</v>
      </c>
      <c r="I200" s="450" t="e">
        <f t="shared" si="4"/>
        <v>#N/A</v>
      </c>
      <c r="J200" s="568" t="e">
        <f>Table15[[#This Row],[pnl_official]]-Table15[[#This Row],[pnl_est]]</f>
        <v>#N/A</v>
      </c>
      <c r="K200" s="548" t="e">
        <f>Table15[[#This Row],[pnl_ym]]/Table15[[#This Row],[pnl_am]]</f>
        <v>#N/A</v>
      </c>
      <c r="L200" s="450" t="e">
        <f>IF(Table15[[#This Row],[pnl_official]]&lt;&gt;"", Table15[[#This Row],[pnl_official]]-MAX($D$79:$D200), NA())</f>
        <v>#N/A</v>
      </c>
      <c r="M200" s="450" t="e">
        <f>IF(Table15[[#This Row],[pnl_official]]&lt;&gt;"", IF(Table15[[#This Row],[pnl_official]]&gt;0, 0, Table15[[#This Row],[pnl_official]]), NA())</f>
        <v>#N/A</v>
      </c>
      <c r="N200" s="97"/>
    </row>
    <row r="201" spans="1:14" x14ac:dyDescent="0.25">
      <c r="A201" s="444">
        <v>46196</v>
      </c>
      <c r="B201" s="293">
        <v>123</v>
      </c>
      <c r="C201" s="661" t="e">
        <f>NA()</f>
        <v>#N/A</v>
      </c>
      <c r="D201" s="660" t="e">
        <f>IF(AND(ISNUMBER(Table15[[#This Row],[pnl_ym]]), ISNUMBER(Table15[[#This Row],[pnl_am]])), (Table15[[#This Row],[pnl_ym]]+Table15[[#This Row],[pnl_am]])/1000, NA())</f>
        <v>#N/A</v>
      </c>
      <c r="E201" s="589" t="e">
        <f>NA()</f>
        <v>#N/A</v>
      </c>
      <c r="F201" s="589" t="e">
        <f>NA()</f>
        <v>#N/A</v>
      </c>
      <c r="G201" s="423" t="e">
        <f>IF(Table15[[#This Row],[pnl_est]] &lt;&gt; "", Table15[[#This Row],[pnl_est]]-$C200, NA())</f>
        <v>#N/A</v>
      </c>
      <c r="H201" s="423" t="e">
        <f>IF(Table15[[#This Row],[pnl_official]] &lt;&gt; "", Table15[[#This Row],[pnl_official]]-D200, NA())</f>
        <v>#N/A</v>
      </c>
      <c r="I201" s="450" t="e">
        <f t="shared" si="4"/>
        <v>#N/A</v>
      </c>
      <c r="J201" s="568" t="e">
        <f>Table15[[#This Row],[pnl_official]]-Table15[[#This Row],[pnl_est]]</f>
        <v>#N/A</v>
      </c>
      <c r="K201" s="548" t="e">
        <f>Table15[[#This Row],[pnl_ym]]/Table15[[#This Row],[pnl_am]]</f>
        <v>#N/A</v>
      </c>
      <c r="L201" s="450" t="e">
        <f>IF(Table15[[#This Row],[pnl_official]]&lt;&gt;"", Table15[[#This Row],[pnl_official]]-MAX($D$79:$D201), NA())</f>
        <v>#N/A</v>
      </c>
      <c r="M201" s="450" t="e">
        <f>IF(Table15[[#This Row],[pnl_official]]&lt;&gt;"", IF(Table15[[#This Row],[pnl_official]]&gt;0, 0, Table15[[#This Row],[pnl_official]]), NA())</f>
        <v>#N/A</v>
      </c>
      <c r="N201" s="97"/>
    </row>
    <row r="202" spans="1:14" x14ac:dyDescent="0.25">
      <c r="A202" s="444">
        <v>46197</v>
      </c>
      <c r="B202" s="293">
        <v>124</v>
      </c>
      <c r="C202" s="661" t="e">
        <f>NA()</f>
        <v>#N/A</v>
      </c>
      <c r="D202" s="660" t="e">
        <f>IF(AND(ISNUMBER(Table15[[#This Row],[pnl_ym]]), ISNUMBER(Table15[[#This Row],[pnl_am]])), (Table15[[#This Row],[pnl_ym]]+Table15[[#This Row],[pnl_am]])/1000, NA())</f>
        <v>#N/A</v>
      </c>
      <c r="E202" s="589" t="e">
        <f>NA()</f>
        <v>#N/A</v>
      </c>
      <c r="F202" s="589" t="e">
        <f>NA()</f>
        <v>#N/A</v>
      </c>
      <c r="G202" s="423" t="e">
        <f>IF(Table15[[#This Row],[pnl_est]] &lt;&gt; "", Table15[[#This Row],[pnl_est]]-$C201, NA())</f>
        <v>#N/A</v>
      </c>
      <c r="H202" s="423" t="e">
        <f>IF(Table15[[#This Row],[pnl_official]] &lt;&gt; "", Table15[[#This Row],[pnl_official]]-D201, NA())</f>
        <v>#N/A</v>
      </c>
      <c r="I202" s="450" t="e">
        <f t="shared" si="4"/>
        <v>#N/A</v>
      </c>
      <c r="J202" s="568" t="e">
        <f>Table15[[#This Row],[pnl_official]]-Table15[[#This Row],[pnl_est]]</f>
        <v>#N/A</v>
      </c>
      <c r="K202" s="548" t="e">
        <f>Table15[[#This Row],[pnl_ym]]/Table15[[#This Row],[pnl_am]]</f>
        <v>#N/A</v>
      </c>
      <c r="L202" s="450" t="e">
        <f>IF(Table15[[#This Row],[pnl_official]]&lt;&gt;"", Table15[[#This Row],[pnl_official]]-MAX($D$79:$D202), NA())</f>
        <v>#N/A</v>
      </c>
      <c r="M202" s="450" t="e">
        <f>IF(Table15[[#This Row],[pnl_official]]&lt;&gt;"", IF(Table15[[#This Row],[pnl_official]]&gt;0, 0, Table15[[#This Row],[pnl_official]]), NA())</f>
        <v>#N/A</v>
      </c>
      <c r="N202" s="97"/>
    </row>
    <row r="203" spans="1:14" x14ac:dyDescent="0.25">
      <c r="A203" s="444">
        <v>46198</v>
      </c>
      <c r="B203" s="293">
        <v>125</v>
      </c>
      <c r="C203" s="661" t="e">
        <f>NA()</f>
        <v>#N/A</v>
      </c>
      <c r="D203" s="660" t="e">
        <f>IF(AND(ISNUMBER(Table15[[#This Row],[pnl_ym]]), ISNUMBER(Table15[[#This Row],[pnl_am]])), (Table15[[#This Row],[pnl_ym]]+Table15[[#This Row],[pnl_am]])/1000, NA())</f>
        <v>#N/A</v>
      </c>
      <c r="E203" s="589" t="e">
        <f>NA()</f>
        <v>#N/A</v>
      </c>
      <c r="F203" s="589" t="e">
        <f>NA()</f>
        <v>#N/A</v>
      </c>
      <c r="G203" s="423" t="e">
        <f>IF(Table15[[#This Row],[pnl_est]] &lt;&gt; "", Table15[[#This Row],[pnl_est]]-$C202, NA())</f>
        <v>#N/A</v>
      </c>
      <c r="H203" s="423" t="e">
        <f>IF(Table15[[#This Row],[pnl_official]] &lt;&gt; "", Table15[[#This Row],[pnl_official]]-D202, NA())</f>
        <v>#N/A</v>
      </c>
      <c r="I203" s="450" t="e">
        <f t="shared" si="4"/>
        <v>#N/A</v>
      </c>
      <c r="J203" s="568" t="e">
        <f>Table15[[#This Row],[pnl_official]]-Table15[[#This Row],[pnl_est]]</f>
        <v>#N/A</v>
      </c>
      <c r="K203" s="548" t="e">
        <f>Table15[[#This Row],[pnl_ym]]/Table15[[#This Row],[pnl_am]]</f>
        <v>#N/A</v>
      </c>
      <c r="L203" s="450" t="e">
        <f>IF(Table15[[#This Row],[pnl_official]]&lt;&gt;"", Table15[[#This Row],[pnl_official]]-MAX($D$79:$D203), NA())</f>
        <v>#N/A</v>
      </c>
      <c r="M203" s="450" t="e">
        <f>IF(Table15[[#This Row],[pnl_official]]&lt;&gt;"", IF(Table15[[#This Row],[pnl_official]]&gt;0, 0, Table15[[#This Row],[pnl_official]]), NA())</f>
        <v>#N/A</v>
      </c>
      <c r="N203" s="97"/>
    </row>
    <row r="204" spans="1:14" x14ac:dyDescent="0.25">
      <c r="A204" s="444">
        <v>46199</v>
      </c>
      <c r="B204" s="293">
        <v>126</v>
      </c>
      <c r="C204" s="661" t="e">
        <f>NA()</f>
        <v>#N/A</v>
      </c>
      <c r="D204" s="660" t="e">
        <f>IF(AND(ISNUMBER(Table15[[#This Row],[pnl_ym]]), ISNUMBER(Table15[[#This Row],[pnl_am]])), (Table15[[#This Row],[pnl_ym]]+Table15[[#This Row],[pnl_am]])/1000, NA())</f>
        <v>#N/A</v>
      </c>
      <c r="E204" s="589" t="e">
        <f>NA()</f>
        <v>#N/A</v>
      </c>
      <c r="F204" s="589" t="e">
        <f>NA()</f>
        <v>#N/A</v>
      </c>
      <c r="G204" s="423" t="e">
        <f>IF(Table15[[#This Row],[pnl_est]] &lt;&gt; "", Table15[[#This Row],[pnl_est]]-$C203, NA())</f>
        <v>#N/A</v>
      </c>
      <c r="H204" s="423" t="e">
        <f>IF(Table15[[#This Row],[pnl_official]] &lt;&gt; "", Table15[[#This Row],[pnl_official]]-D203, NA())</f>
        <v>#N/A</v>
      </c>
      <c r="I204" s="450" t="e">
        <f t="shared" si="4"/>
        <v>#N/A</v>
      </c>
      <c r="J204" s="568" t="e">
        <f>Table15[[#This Row],[pnl_official]]-Table15[[#This Row],[pnl_est]]</f>
        <v>#N/A</v>
      </c>
      <c r="K204" s="548" t="e">
        <f>Table15[[#This Row],[pnl_ym]]/Table15[[#This Row],[pnl_am]]</f>
        <v>#N/A</v>
      </c>
      <c r="L204" s="450" t="e">
        <f>IF(Table15[[#This Row],[pnl_official]]&lt;&gt;"", Table15[[#This Row],[pnl_official]]-MAX($D$79:$D204), NA())</f>
        <v>#N/A</v>
      </c>
      <c r="M204" s="450" t="e">
        <f>IF(Table15[[#This Row],[pnl_official]]&lt;&gt;"", IF(Table15[[#This Row],[pnl_official]]&gt;0, 0, Table15[[#This Row],[pnl_official]]), NA())</f>
        <v>#N/A</v>
      </c>
      <c r="N204" s="97"/>
    </row>
    <row r="205" spans="1:14" x14ac:dyDescent="0.25">
      <c r="A205" s="444">
        <v>46202</v>
      </c>
      <c r="B205" s="293">
        <v>127</v>
      </c>
      <c r="C205" s="661" t="e">
        <f>NA()</f>
        <v>#N/A</v>
      </c>
      <c r="D205" s="660" t="e">
        <f>IF(AND(ISNUMBER(Table15[[#This Row],[pnl_ym]]), ISNUMBER(Table15[[#This Row],[pnl_am]])), (Table15[[#This Row],[pnl_ym]]+Table15[[#This Row],[pnl_am]])/1000, NA())</f>
        <v>#N/A</v>
      </c>
      <c r="E205" s="589" t="e">
        <f>NA()</f>
        <v>#N/A</v>
      </c>
      <c r="F205" s="589" t="e">
        <f>NA()</f>
        <v>#N/A</v>
      </c>
      <c r="G205" s="423" t="e">
        <f>IF(Table15[[#This Row],[pnl_est]] &lt;&gt; "", Table15[[#This Row],[pnl_est]]-$C204, NA())</f>
        <v>#N/A</v>
      </c>
      <c r="H205" s="423" t="e">
        <f>IF(Table15[[#This Row],[pnl_official]] &lt;&gt; "", Table15[[#This Row],[pnl_official]]-D204, NA())</f>
        <v>#N/A</v>
      </c>
      <c r="I205" s="450" t="e">
        <f t="shared" si="4"/>
        <v>#N/A</v>
      </c>
      <c r="J205" s="568" t="e">
        <f>Table15[[#This Row],[pnl_official]]-Table15[[#This Row],[pnl_est]]</f>
        <v>#N/A</v>
      </c>
      <c r="K205" s="548" t="e">
        <f>Table15[[#This Row],[pnl_ym]]/Table15[[#This Row],[pnl_am]]</f>
        <v>#N/A</v>
      </c>
      <c r="L205" s="450" t="e">
        <f>IF(Table15[[#This Row],[pnl_official]]&lt;&gt;"", Table15[[#This Row],[pnl_official]]-MAX($D$79:$D205), NA())</f>
        <v>#N/A</v>
      </c>
      <c r="M205" s="450" t="e">
        <f>IF(Table15[[#This Row],[pnl_official]]&lt;&gt;"", IF(Table15[[#This Row],[pnl_official]]&gt;0, 0, Table15[[#This Row],[pnl_official]]), NA())</f>
        <v>#N/A</v>
      </c>
      <c r="N205" s="97"/>
    </row>
    <row r="206" spans="1:14" x14ac:dyDescent="0.25">
      <c r="A206" s="444">
        <v>46203</v>
      </c>
      <c r="B206" s="293">
        <v>128</v>
      </c>
      <c r="C206" s="661" t="e">
        <f>NA()</f>
        <v>#N/A</v>
      </c>
      <c r="D206" s="660" t="e">
        <f>IF(AND(ISNUMBER(Table15[[#This Row],[pnl_ym]]), ISNUMBER(Table15[[#This Row],[pnl_am]])), (Table15[[#This Row],[pnl_ym]]+Table15[[#This Row],[pnl_am]])/1000, NA())</f>
        <v>#N/A</v>
      </c>
      <c r="E206" s="589" t="e">
        <f>NA()</f>
        <v>#N/A</v>
      </c>
      <c r="F206" s="589" t="e">
        <f>NA()</f>
        <v>#N/A</v>
      </c>
      <c r="G206" s="423" t="e">
        <f>IF(Table15[[#This Row],[pnl_est]] &lt;&gt; "", Table15[[#This Row],[pnl_est]]-$C205, NA())</f>
        <v>#N/A</v>
      </c>
      <c r="H206" s="423" t="e">
        <f>IF(Table15[[#This Row],[pnl_official]] &lt;&gt; "", Table15[[#This Row],[pnl_official]]-D205, NA())</f>
        <v>#N/A</v>
      </c>
      <c r="I206" s="450" t="e">
        <f t="shared" si="4"/>
        <v>#N/A</v>
      </c>
      <c r="J206" s="568" t="e">
        <f>Table15[[#This Row],[pnl_official]]-Table15[[#This Row],[pnl_est]]</f>
        <v>#N/A</v>
      </c>
      <c r="K206" s="548" t="e">
        <f>Table15[[#This Row],[pnl_ym]]/Table15[[#This Row],[pnl_am]]</f>
        <v>#N/A</v>
      </c>
      <c r="L206" s="450" t="e">
        <f>IF(Table15[[#This Row],[pnl_official]]&lt;&gt;"", Table15[[#This Row],[pnl_official]]-MAX($D$79:$D206), NA())</f>
        <v>#N/A</v>
      </c>
      <c r="M206" s="450" t="e">
        <f>IF(Table15[[#This Row],[pnl_official]]&lt;&gt;"", IF(Table15[[#This Row],[pnl_official]]&gt;0, 0, Table15[[#This Row],[pnl_official]]), NA())</f>
        <v>#N/A</v>
      </c>
      <c r="N206" s="97"/>
    </row>
    <row r="207" spans="1:14" x14ac:dyDescent="0.25">
      <c r="A207" s="444">
        <v>46204</v>
      </c>
      <c r="B207" s="293">
        <v>129</v>
      </c>
      <c r="C207" s="661" t="e">
        <f>NA()</f>
        <v>#N/A</v>
      </c>
      <c r="D207" s="660" t="e">
        <f>IF(AND(ISNUMBER(Table15[[#This Row],[pnl_ym]]), ISNUMBER(Table15[[#This Row],[pnl_am]])), (Table15[[#This Row],[pnl_ym]]+Table15[[#This Row],[pnl_am]])/1000, NA())</f>
        <v>#N/A</v>
      </c>
      <c r="E207" s="589" t="e">
        <f>NA()</f>
        <v>#N/A</v>
      </c>
      <c r="F207" s="589" t="e">
        <f>NA()</f>
        <v>#N/A</v>
      </c>
      <c r="G207" s="423" t="e">
        <f>IF(Table15[[#This Row],[pnl_est]] &lt;&gt; "", Table15[[#This Row],[pnl_est]]-$C206, NA())</f>
        <v>#N/A</v>
      </c>
      <c r="H207" s="423" t="e">
        <f>IF(Table15[[#This Row],[pnl_official]] &lt;&gt; "", Table15[[#This Row],[pnl_official]]-D206, NA())</f>
        <v>#N/A</v>
      </c>
      <c r="I207" s="450" t="e">
        <f t="shared" si="4"/>
        <v>#N/A</v>
      </c>
      <c r="J207" s="568" t="e">
        <f>Table15[[#This Row],[pnl_official]]-Table15[[#This Row],[pnl_est]]</f>
        <v>#N/A</v>
      </c>
      <c r="K207" s="548" t="e">
        <f>Table15[[#This Row],[pnl_ym]]/Table15[[#This Row],[pnl_am]]</f>
        <v>#N/A</v>
      </c>
      <c r="L207" s="450" t="e">
        <f>IF(Table15[[#This Row],[pnl_official]]&lt;&gt;"", Table15[[#This Row],[pnl_official]]-MAX($D$79:$D207), NA())</f>
        <v>#N/A</v>
      </c>
      <c r="M207" s="450" t="e">
        <f>IF(Table15[[#This Row],[pnl_official]]&lt;&gt;"", IF(Table15[[#This Row],[pnl_official]]&gt;0, 0, Table15[[#This Row],[pnl_official]]), NA())</f>
        <v>#N/A</v>
      </c>
      <c r="N207" s="97"/>
    </row>
    <row r="208" spans="1:14" x14ac:dyDescent="0.25">
      <c r="A208" s="444">
        <v>46205</v>
      </c>
      <c r="B208" s="293">
        <v>130</v>
      </c>
      <c r="C208" s="661" t="e">
        <f>NA()</f>
        <v>#N/A</v>
      </c>
      <c r="D208" s="660" t="e">
        <f>IF(AND(ISNUMBER(Table15[[#This Row],[pnl_ym]]), ISNUMBER(Table15[[#This Row],[pnl_am]])), (Table15[[#This Row],[pnl_ym]]+Table15[[#This Row],[pnl_am]])/1000, NA())</f>
        <v>#N/A</v>
      </c>
      <c r="E208" s="589" t="e">
        <f>NA()</f>
        <v>#N/A</v>
      </c>
      <c r="F208" s="589" t="e">
        <f>NA()</f>
        <v>#N/A</v>
      </c>
      <c r="G208" s="423" t="e">
        <f>IF(Table15[[#This Row],[pnl_est]] &lt;&gt; "", Table15[[#This Row],[pnl_est]]-$C207, NA())</f>
        <v>#N/A</v>
      </c>
      <c r="H208" s="423" t="e">
        <f>IF(Table15[[#This Row],[pnl_official]] &lt;&gt; "", Table15[[#This Row],[pnl_official]]-D207, NA())</f>
        <v>#N/A</v>
      </c>
      <c r="I208" s="450" t="e">
        <f t="shared" ref="I208:I271" si="5">_xlfn.STDEV.S(H195:H208)</f>
        <v>#N/A</v>
      </c>
      <c r="J208" s="568" t="e">
        <f>Table15[[#This Row],[pnl_official]]-Table15[[#This Row],[pnl_est]]</f>
        <v>#N/A</v>
      </c>
      <c r="K208" s="548" t="e">
        <f>Table15[[#This Row],[pnl_ym]]/Table15[[#This Row],[pnl_am]]</f>
        <v>#N/A</v>
      </c>
      <c r="L208" s="450" t="e">
        <f>IF(Table15[[#This Row],[pnl_official]]&lt;&gt;"", Table15[[#This Row],[pnl_official]]-MAX($D$79:$D208), NA())</f>
        <v>#N/A</v>
      </c>
      <c r="M208" s="450" t="e">
        <f>IF(Table15[[#This Row],[pnl_official]]&lt;&gt;"", IF(Table15[[#This Row],[pnl_official]]&gt;0, 0, Table15[[#This Row],[pnl_official]]), NA())</f>
        <v>#N/A</v>
      </c>
      <c r="N208" s="97"/>
    </row>
    <row r="209" spans="1:14" x14ac:dyDescent="0.25">
      <c r="A209" s="444">
        <v>46206</v>
      </c>
      <c r="B209" s="293">
        <v>131</v>
      </c>
      <c r="C209" s="661" t="e">
        <f>NA()</f>
        <v>#N/A</v>
      </c>
      <c r="D209" s="660" t="e">
        <f>IF(AND(ISNUMBER(Table15[[#This Row],[pnl_ym]]), ISNUMBER(Table15[[#This Row],[pnl_am]])), (Table15[[#This Row],[pnl_ym]]+Table15[[#This Row],[pnl_am]])/1000, NA())</f>
        <v>#N/A</v>
      </c>
      <c r="E209" s="589" t="e">
        <f>NA()</f>
        <v>#N/A</v>
      </c>
      <c r="F209" s="589" t="e">
        <f>NA()</f>
        <v>#N/A</v>
      </c>
      <c r="G209" s="423" t="e">
        <f>IF(Table15[[#This Row],[pnl_est]] &lt;&gt; "", Table15[[#This Row],[pnl_est]]-$C208, NA())</f>
        <v>#N/A</v>
      </c>
      <c r="H209" s="423" t="e">
        <f>IF(Table15[[#This Row],[pnl_official]] &lt;&gt; "", Table15[[#This Row],[pnl_official]]-D208, NA())</f>
        <v>#N/A</v>
      </c>
      <c r="I209" s="450" t="e">
        <f t="shared" si="5"/>
        <v>#N/A</v>
      </c>
      <c r="J209" s="568" t="e">
        <f>Table15[[#This Row],[pnl_official]]-Table15[[#This Row],[pnl_est]]</f>
        <v>#N/A</v>
      </c>
      <c r="K209" s="548" t="e">
        <f>Table15[[#This Row],[pnl_ym]]/Table15[[#This Row],[pnl_am]]</f>
        <v>#N/A</v>
      </c>
      <c r="L209" s="450" t="e">
        <f>IF(Table15[[#This Row],[pnl_official]]&lt;&gt;"", Table15[[#This Row],[pnl_official]]-MAX($D$79:$D209), NA())</f>
        <v>#N/A</v>
      </c>
      <c r="M209" s="450" t="e">
        <f>IF(Table15[[#This Row],[pnl_official]]&lt;&gt;"", IF(Table15[[#This Row],[pnl_official]]&gt;0, 0, Table15[[#This Row],[pnl_official]]), NA())</f>
        <v>#N/A</v>
      </c>
      <c r="N209" s="97"/>
    </row>
    <row r="210" spans="1:14" x14ac:dyDescent="0.25">
      <c r="A210" s="444">
        <v>46209</v>
      </c>
      <c r="B210" s="293">
        <v>132</v>
      </c>
      <c r="C210" s="661" t="e">
        <f>NA()</f>
        <v>#N/A</v>
      </c>
      <c r="D210" s="660" t="e">
        <f>IF(AND(ISNUMBER(Table15[[#This Row],[pnl_ym]]), ISNUMBER(Table15[[#This Row],[pnl_am]])), (Table15[[#This Row],[pnl_ym]]+Table15[[#This Row],[pnl_am]])/1000, NA())</f>
        <v>#N/A</v>
      </c>
      <c r="E210" s="589" t="e">
        <f>NA()</f>
        <v>#N/A</v>
      </c>
      <c r="F210" s="589" t="e">
        <f>NA()</f>
        <v>#N/A</v>
      </c>
      <c r="G210" s="423" t="e">
        <f>IF(Table15[[#This Row],[pnl_est]] &lt;&gt; "", Table15[[#This Row],[pnl_est]]-$C209, NA())</f>
        <v>#N/A</v>
      </c>
      <c r="H210" s="423" t="e">
        <f>IF(Table15[[#This Row],[pnl_official]] &lt;&gt; "", Table15[[#This Row],[pnl_official]]-D209, NA())</f>
        <v>#N/A</v>
      </c>
      <c r="I210" s="450" t="e">
        <f t="shared" si="5"/>
        <v>#N/A</v>
      </c>
      <c r="J210" s="568" t="e">
        <f>Table15[[#This Row],[pnl_official]]-Table15[[#This Row],[pnl_est]]</f>
        <v>#N/A</v>
      </c>
      <c r="K210" s="548" t="e">
        <f>Table15[[#This Row],[pnl_ym]]/Table15[[#This Row],[pnl_am]]</f>
        <v>#N/A</v>
      </c>
      <c r="L210" s="450" t="e">
        <f>IF(Table15[[#This Row],[pnl_official]]&lt;&gt;"", Table15[[#This Row],[pnl_official]]-MAX($D$79:$D210), NA())</f>
        <v>#N/A</v>
      </c>
      <c r="M210" s="450" t="e">
        <f>IF(Table15[[#This Row],[pnl_official]]&lt;&gt;"", IF(Table15[[#This Row],[pnl_official]]&gt;0, 0, Table15[[#This Row],[pnl_official]]), NA())</f>
        <v>#N/A</v>
      </c>
      <c r="N210" s="97"/>
    </row>
    <row r="211" spans="1:14" x14ac:dyDescent="0.25">
      <c r="A211" s="444">
        <v>46210</v>
      </c>
      <c r="B211" s="293">
        <v>133</v>
      </c>
      <c r="C211" s="661" t="e">
        <f>NA()</f>
        <v>#N/A</v>
      </c>
      <c r="D211" s="660" t="e">
        <f>IF(AND(ISNUMBER(Table15[[#This Row],[pnl_ym]]), ISNUMBER(Table15[[#This Row],[pnl_am]])), (Table15[[#This Row],[pnl_ym]]+Table15[[#This Row],[pnl_am]])/1000, NA())</f>
        <v>#N/A</v>
      </c>
      <c r="E211" s="589" t="e">
        <f>NA()</f>
        <v>#N/A</v>
      </c>
      <c r="F211" s="589" t="e">
        <f>NA()</f>
        <v>#N/A</v>
      </c>
      <c r="G211" s="423" t="e">
        <f>IF(Table15[[#This Row],[pnl_est]] &lt;&gt; "", Table15[[#This Row],[pnl_est]]-$C210, NA())</f>
        <v>#N/A</v>
      </c>
      <c r="H211" s="423" t="e">
        <f>IF(Table15[[#This Row],[pnl_official]] &lt;&gt; "", Table15[[#This Row],[pnl_official]]-D210, NA())</f>
        <v>#N/A</v>
      </c>
      <c r="I211" s="450" t="e">
        <f t="shared" si="5"/>
        <v>#N/A</v>
      </c>
      <c r="J211" s="568" t="e">
        <f>Table15[[#This Row],[pnl_official]]-Table15[[#This Row],[pnl_est]]</f>
        <v>#N/A</v>
      </c>
      <c r="K211" s="548" t="e">
        <f>Table15[[#This Row],[pnl_ym]]/Table15[[#This Row],[pnl_am]]</f>
        <v>#N/A</v>
      </c>
      <c r="L211" s="450" t="e">
        <f>IF(Table15[[#This Row],[pnl_official]]&lt;&gt;"", Table15[[#This Row],[pnl_official]]-MAX($D$79:$D211), NA())</f>
        <v>#N/A</v>
      </c>
      <c r="M211" s="450" t="e">
        <f>IF(Table15[[#This Row],[pnl_official]]&lt;&gt;"", IF(Table15[[#This Row],[pnl_official]]&gt;0, 0, Table15[[#This Row],[pnl_official]]), NA())</f>
        <v>#N/A</v>
      </c>
      <c r="N211" s="97"/>
    </row>
    <row r="212" spans="1:14" x14ac:dyDescent="0.25">
      <c r="A212" s="444">
        <v>46211</v>
      </c>
      <c r="B212" s="293">
        <v>134</v>
      </c>
      <c r="C212" s="661" t="e">
        <f>NA()</f>
        <v>#N/A</v>
      </c>
      <c r="D212" s="660" t="e">
        <f>IF(AND(ISNUMBER(Table15[[#This Row],[pnl_ym]]), ISNUMBER(Table15[[#This Row],[pnl_am]])), (Table15[[#This Row],[pnl_ym]]+Table15[[#This Row],[pnl_am]])/1000, NA())</f>
        <v>#N/A</v>
      </c>
      <c r="E212" s="589" t="e">
        <f>NA()</f>
        <v>#N/A</v>
      </c>
      <c r="F212" s="589" t="e">
        <f>NA()</f>
        <v>#N/A</v>
      </c>
      <c r="G212" s="423" t="e">
        <f>IF(Table15[[#This Row],[pnl_est]] &lt;&gt; "", Table15[[#This Row],[pnl_est]]-$C211, NA())</f>
        <v>#N/A</v>
      </c>
      <c r="H212" s="423" t="e">
        <f>IF(Table15[[#This Row],[pnl_official]] &lt;&gt; "", Table15[[#This Row],[pnl_official]]-D211, NA())</f>
        <v>#N/A</v>
      </c>
      <c r="I212" s="450" t="e">
        <f t="shared" si="5"/>
        <v>#N/A</v>
      </c>
      <c r="J212" s="568" t="e">
        <f>Table15[[#This Row],[pnl_official]]-Table15[[#This Row],[pnl_est]]</f>
        <v>#N/A</v>
      </c>
      <c r="K212" s="548" t="e">
        <f>Table15[[#This Row],[pnl_ym]]/Table15[[#This Row],[pnl_am]]</f>
        <v>#N/A</v>
      </c>
      <c r="L212" s="450" t="e">
        <f>IF(Table15[[#This Row],[pnl_official]]&lt;&gt;"", Table15[[#This Row],[pnl_official]]-MAX($D$79:$D212), NA())</f>
        <v>#N/A</v>
      </c>
      <c r="M212" s="450" t="e">
        <f>IF(Table15[[#This Row],[pnl_official]]&lt;&gt;"", IF(Table15[[#This Row],[pnl_official]]&gt;0, 0, Table15[[#This Row],[pnl_official]]), NA())</f>
        <v>#N/A</v>
      </c>
      <c r="N212" s="97"/>
    </row>
    <row r="213" spans="1:14" x14ac:dyDescent="0.25">
      <c r="A213" s="444">
        <v>46212</v>
      </c>
      <c r="B213" s="293">
        <v>135</v>
      </c>
      <c r="C213" s="661" t="e">
        <f>NA()</f>
        <v>#N/A</v>
      </c>
      <c r="D213" s="660" t="e">
        <f>IF(AND(ISNUMBER(Table15[[#This Row],[pnl_ym]]), ISNUMBER(Table15[[#This Row],[pnl_am]])), (Table15[[#This Row],[pnl_ym]]+Table15[[#This Row],[pnl_am]])/1000, NA())</f>
        <v>#N/A</v>
      </c>
      <c r="E213" s="589" t="e">
        <f>NA()</f>
        <v>#N/A</v>
      </c>
      <c r="F213" s="589" t="e">
        <f>NA()</f>
        <v>#N/A</v>
      </c>
      <c r="G213" s="423" t="e">
        <f>IF(Table15[[#This Row],[pnl_est]] &lt;&gt; "", Table15[[#This Row],[pnl_est]]-$C212, NA())</f>
        <v>#N/A</v>
      </c>
      <c r="H213" s="423" t="e">
        <f>IF(Table15[[#This Row],[pnl_official]] &lt;&gt; "", Table15[[#This Row],[pnl_official]]-D212, NA())</f>
        <v>#N/A</v>
      </c>
      <c r="I213" s="450" t="e">
        <f t="shared" si="5"/>
        <v>#N/A</v>
      </c>
      <c r="J213" s="568" t="e">
        <f>Table15[[#This Row],[pnl_official]]-Table15[[#This Row],[pnl_est]]</f>
        <v>#N/A</v>
      </c>
      <c r="K213" s="548" t="e">
        <f>Table15[[#This Row],[pnl_ym]]/Table15[[#This Row],[pnl_am]]</f>
        <v>#N/A</v>
      </c>
      <c r="L213" s="450" t="e">
        <f>IF(Table15[[#This Row],[pnl_official]]&lt;&gt;"", Table15[[#This Row],[pnl_official]]-MAX($D$79:$D213), NA())</f>
        <v>#N/A</v>
      </c>
      <c r="M213" s="450" t="e">
        <f>IF(Table15[[#This Row],[pnl_official]]&lt;&gt;"", IF(Table15[[#This Row],[pnl_official]]&gt;0, 0, Table15[[#This Row],[pnl_official]]), NA())</f>
        <v>#N/A</v>
      </c>
      <c r="N213" s="97"/>
    </row>
    <row r="214" spans="1:14" x14ac:dyDescent="0.25">
      <c r="A214" s="444">
        <v>46213</v>
      </c>
      <c r="B214" s="293">
        <v>136</v>
      </c>
      <c r="C214" s="661" t="e">
        <f>NA()</f>
        <v>#N/A</v>
      </c>
      <c r="D214" s="660" t="e">
        <f>IF(AND(ISNUMBER(Table15[[#This Row],[pnl_ym]]), ISNUMBER(Table15[[#This Row],[pnl_am]])), (Table15[[#This Row],[pnl_ym]]+Table15[[#This Row],[pnl_am]])/1000, NA())</f>
        <v>#N/A</v>
      </c>
      <c r="E214" s="589" t="e">
        <f>NA()</f>
        <v>#N/A</v>
      </c>
      <c r="F214" s="589" t="e">
        <f>NA()</f>
        <v>#N/A</v>
      </c>
      <c r="G214" s="423" t="e">
        <f>IF(Table15[[#This Row],[pnl_est]] &lt;&gt; "", Table15[[#This Row],[pnl_est]]-$C213, NA())</f>
        <v>#N/A</v>
      </c>
      <c r="H214" s="423" t="e">
        <f>IF(Table15[[#This Row],[pnl_official]] &lt;&gt; "", Table15[[#This Row],[pnl_official]]-D213, NA())</f>
        <v>#N/A</v>
      </c>
      <c r="I214" s="450" t="e">
        <f t="shared" si="5"/>
        <v>#N/A</v>
      </c>
      <c r="J214" s="568" t="e">
        <f>Table15[[#This Row],[pnl_official]]-Table15[[#This Row],[pnl_est]]</f>
        <v>#N/A</v>
      </c>
      <c r="K214" s="548" t="e">
        <f>Table15[[#This Row],[pnl_ym]]/Table15[[#This Row],[pnl_am]]</f>
        <v>#N/A</v>
      </c>
      <c r="L214" s="450" t="e">
        <f>IF(Table15[[#This Row],[pnl_official]]&lt;&gt;"", Table15[[#This Row],[pnl_official]]-MAX($D$79:$D214), NA())</f>
        <v>#N/A</v>
      </c>
      <c r="M214" s="450" t="e">
        <f>IF(Table15[[#This Row],[pnl_official]]&lt;&gt;"", IF(Table15[[#This Row],[pnl_official]]&gt;0, 0, Table15[[#This Row],[pnl_official]]), NA())</f>
        <v>#N/A</v>
      </c>
      <c r="N214" s="97"/>
    </row>
    <row r="215" spans="1:14" x14ac:dyDescent="0.25">
      <c r="A215" s="444">
        <v>46216</v>
      </c>
      <c r="B215" s="293">
        <v>137</v>
      </c>
      <c r="C215" s="661" t="e">
        <f>NA()</f>
        <v>#N/A</v>
      </c>
      <c r="D215" s="660" t="e">
        <f>IF(AND(ISNUMBER(Table15[[#This Row],[pnl_ym]]), ISNUMBER(Table15[[#This Row],[pnl_am]])), (Table15[[#This Row],[pnl_ym]]+Table15[[#This Row],[pnl_am]])/1000, NA())</f>
        <v>#N/A</v>
      </c>
      <c r="E215" s="589" t="e">
        <f>NA()</f>
        <v>#N/A</v>
      </c>
      <c r="F215" s="589" t="e">
        <f>NA()</f>
        <v>#N/A</v>
      </c>
      <c r="G215" s="423" t="e">
        <f>IF(Table15[[#This Row],[pnl_est]] &lt;&gt; "", Table15[[#This Row],[pnl_est]]-$C214, NA())</f>
        <v>#N/A</v>
      </c>
      <c r="H215" s="423" t="e">
        <f>IF(Table15[[#This Row],[pnl_official]] &lt;&gt; "", Table15[[#This Row],[pnl_official]]-D214, NA())</f>
        <v>#N/A</v>
      </c>
      <c r="I215" s="450" t="e">
        <f t="shared" si="5"/>
        <v>#N/A</v>
      </c>
      <c r="J215" s="568" t="e">
        <f>Table15[[#This Row],[pnl_official]]-Table15[[#This Row],[pnl_est]]</f>
        <v>#N/A</v>
      </c>
      <c r="K215" s="548" t="e">
        <f>Table15[[#This Row],[pnl_ym]]/Table15[[#This Row],[pnl_am]]</f>
        <v>#N/A</v>
      </c>
      <c r="L215" s="450" t="e">
        <f>IF(Table15[[#This Row],[pnl_official]]&lt;&gt;"", Table15[[#This Row],[pnl_official]]-MAX($D$79:$D215), NA())</f>
        <v>#N/A</v>
      </c>
      <c r="M215" s="450" t="e">
        <f>IF(Table15[[#This Row],[pnl_official]]&lt;&gt;"", IF(Table15[[#This Row],[pnl_official]]&gt;0, 0, Table15[[#This Row],[pnl_official]]), NA())</f>
        <v>#N/A</v>
      </c>
      <c r="N215" s="97"/>
    </row>
    <row r="216" spans="1:14" x14ac:dyDescent="0.25">
      <c r="A216" s="444">
        <v>46217</v>
      </c>
      <c r="B216" s="293">
        <v>138</v>
      </c>
      <c r="C216" s="661" t="e">
        <f>NA()</f>
        <v>#N/A</v>
      </c>
      <c r="D216" s="660" t="e">
        <f>IF(AND(ISNUMBER(Table15[[#This Row],[pnl_ym]]), ISNUMBER(Table15[[#This Row],[pnl_am]])), (Table15[[#This Row],[pnl_ym]]+Table15[[#This Row],[pnl_am]])/1000, NA())</f>
        <v>#N/A</v>
      </c>
      <c r="E216" s="589" t="e">
        <f>NA()</f>
        <v>#N/A</v>
      </c>
      <c r="F216" s="589" t="e">
        <f>NA()</f>
        <v>#N/A</v>
      </c>
      <c r="G216" s="423" t="e">
        <f>IF(Table15[[#This Row],[pnl_est]] &lt;&gt; "", Table15[[#This Row],[pnl_est]]-$C215, NA())</f>
        <v>#N/A</v>
      </c>
      <c r="H216" s="423" t="e">
        <f>IF(Table15[[#This Row],[pnl_official]] &lt;&gt; "", Table15[[#This Row],[pnl_official]]-D215, NA())</f>
        <v>#N/A</v>
      </c>
      <c r="I216" s="450" t="e">
        <f t="shared" si="5"/>
        <v>#N/A</v>
      </c>
      <c r="J216" s="568" t="e">
        <f>Table15[[#This Row],[pnl_official]]-Table15[[#This Row],[pnl_est]]</f>
        <v>#N/A</v>
      </c>
      <c r="K216" s="548" t="e">
        <f>Table15[[#This Row],[pnl_ym]]/Table15[[#This Row],[pnl_am]]</f>
        <v>#N/A</v>
      </c>
      <c r="L216" s="450" t="e">
        <f>IF(Table15[[#This Row],[pnl_official]]&lt;&gt;"", Table15[[#This Row],[pnl_official]]-MAX($D$79:$D216), NA())</f>
        <v>#N/A</v>
      </c>
      <c r="M216" s="450" t="e">
        <f>IF(Table15[[#This Row],[pnl_official]]&lt;&gt;"", IF(Table15[[#This Row],[pnl_official]]&gt;0, 0, Table15[[#This Row],[pnl_official]]), NA())</f>
        <v>#N/A</v>
      </c>
      <c r="N216" s="97"/>
    </row>
    <row r="217" spans="1:14" x14ac:dyDescent="0.25">
      <c r="A217" s="444">
        <v>46218</v>
      </c>
      <c r="B217" s="293">
        <v>139</v>
      </c>
      <c r="C217" s="661" t="e">
        <f>NA()</f>
        <v>#N/A</v>
      </c>
      <c r="D217" s="660" t="e">
        <f>IF(AND(ISNUMBER(Table15[[#This Row],[pnl_ym]]), ISNUMBER(Table15[[#This Row],[pnl_am]])), (Table15[[#This Row],[pnl_ym]]+Table15[[#This Row],[pnl_am]])/1000, NA())</f>
        <v>#N/A</v>
      </c>
      <c r="E217" s="589" t="e">
        <f>NA()</f>
        <v>#N/A</v>
      </c>
      <c r="F217" s="589" t="e">
        <f>NA()</f>
        <v>#N/A</v>
      </c>
      <c r="G217" s="423" t="e">
        <f>IF(Table15[[#This Row],[pnl_est]] &lt;&gt; "", Table15[[#This Row],[pnl_est]]-$C216, NA())</f>
        <v>#N/A</v>
      </c>
      <c r="H217" s="423" t="e">
        <f>IF(Table15[[#This Row],[pnl_official]] &lt;&gt; "", Table15[[#This Row],[pnl_official]]-D216, NA())</f>
        <v>#N/A</v>
      </c>
      <c r="I217" s="450" t="e">
        <f t="shared" si="5"/>
        <v>#N/A</v>
      </c>
      <c r="J217" s="568" t="e">
        <f>Table15[[#This Row],[pnl_official]]-Table15[[#This Row],[pnl_est]]</f>
        <v>#N/A</v>
      </c>
      <c r="K217" s="548" t="e">
        <f>Table15[[#This Row],[pnl_ym]]/Table15[[#This Row],[pnl_am]]</f>
        <v>#N/A</v>
      </c>
      <c r="L217" s="450" t="e">
        <f>IF(Table15[[#This Row],[pnl_official]]&lt;&gt;"", Table15[[#This Row],[pnl_official]]-MAX($D$79:$D217), NA())</f>
        <v>#N/A</v>
      </c>
      <c r="M217" s="450" t="e">
        <f>IF(Table15[[#This Row],[pnl_official]]&lt;&gt;"", IF(Table15[[#This Row],[pnl_official]]&gt;0, 0, Table15[[#This Row],[pnl_official]]), NA())</f>
        <v>#N/A</v>
      </c>
      <c r="N217" s="97"/>
    </row>
    <row r="218" spans="1:14" x14ac:dyDescent="0.25">
      <c r="A218" s="444">
        <v>46219</v>
      </c>
      <c r="B218" s="293">
        <v>140</v>
      </c>
      <c r="C218" s="661" t="e">
        <f>NA()</f>
        <v>#N/A</v>
      </c>
      <c r="D218" s="660" t="e">
        <f>IF(AND(ISNUMBER(Table15[[#This Row],[pnl_ym]]), ISNUMBER(Table15[[#This Row],[pnl_am]])), (Table15[[#This Row],[pnl_ym]]+Table15[[#This Row],[pnl_am]])/1000, NA())</f>
        <v>#N/A</v>
      </c>
      <c r="E218" s="589" t="e">
        <f>NA()</f>
        <v>#N/A</v>
      </c>
      <c r="F218" s="589" t="e">
        <f>NA()</f>
        <v>#N/A</v>
      </c>
      <c r="G218" s="423" t="e">
        <f>IF(Table15[[#This Row],[pnl_est]] &lt;&gt; "", Table15[[#This Row],[pnl_est]]-$C217, NA())</f>
        <v>#N/A</v>
      </c>
      <c r="H218" s="423" t="e">
        <f>IF(Table15[[#This Row],[pnl_official]] &lt;&gt; "", Table15[[#This Row],[pnl_official]]-D217, NA())</f>
        <v>#N/A</v>
      </c>
      <c r="I218" s="450" t="e">
        <f t="shared" si="5"/>
        <v>#N/A</v>
      </c>
      <c r="J218" s="568" t="e">
        <f>Table15[[#This Row],[pnl_official]]-Table15[[#This Row],[pnl_est]]</f>
        <v>#N/A</v>
      </c>
      <c r="K218" s="548" t="e">
        <f>Table15[[#This Row],[pnl_ym]]/Table15[[#This Row],[pnl_am]]</f>
        <v>#N/A</v>
      </c>
      <c r="L218" s="450" t="e">
        <f>IF(Table15[[#This Row],[pnl_official]]&lt;&gt;"", Table15[[#This Row],[pnl_official]]-MAX($D$79:$D218), NA())</f>
        <v>#N/A</v>
      </c>
      <c r="M218" s="450" t="e">
        <f>IF(Table15[[#This Row],[pnl_official]]&lt;&gt;"", IF(Table15[[#This Row],[pnl_official]]&gt;0, 0, Table15[[#This Row],[pnl_official]]), NA())</f>
        <v>#N/A</v>
      </c>
      <c r="N218" s="97"/>
    </row>
    <row r="219" spans="1:14" x14ac:dyDescent="0.25">
      <c r="A219" s="444">
        <v>46220</v>
      </c>
      <c r="B219" s="293">
        <v>141</v>
      </c>
      <c r="C219" s="661" t="e">
        <f>NA()</f>
        <v>#N/A</v>
      </c>
      <c r="D219" s="660" t="e">
        <f>IF(AND(ISNUMBER(Table15[[#This Row],[pnl_ym]]), ISNUMBER(Table15[[#This Row],[pnl_am]])), (Table15[[#This Row],[pnl_ym]]+Table15[[#This Row],[pnl_am]])/1000, NA())</f>
        <v>#N/A</v>
      </c>
      <c r="E219" s="589" t="e">
        <f>NA()</f>
        <v>#N/A</v>
      </c>
      <c r="F219" s="589" t="e">
        <f>NA()</f>
        <v>#N/A</v>
      </c>
      <c r="G219" s="423" t="e">
        <f>IF(Table15[[#This Row],[pnl_est]] &lt;&gt; "", Table15[[#This Row],[pnl_est]]-$C218, NA())</f>
        <v>#N/A</v>
      </c>
      <c r="H219" s="423" t="e">
        <f>IF(Table15[[#This Row],[pnl_official]] &lt;&gt; "", Table15[[#This Row],[pnl_official]]-D218, NA())</f>
        <v>#N/A</v>
      </c>
      <c r="I219" s="450" t="e">
        <f t="shared" si="5"/>
        <v>#N/A</v>
      </c>
      <c r="J219" s="568" t="e">
        <f>Table15[[#This Row],[pnl_official]]-Table15[[#This Row],[pnl_est]]</f>
        <v>#N/A</v>
      </c>
      <c r="K219" s="548" t="e">
        <f>Table15[[#This Row],[pnl_ym]]/Table15[[#This Row],[pnl_am]]</f>
        <v>#N/A</v>
      </c>
      <c r="L219" s="450" t="e">
        <f>IF(Table15[[#This Row],[pnl_official]]&lt;&gt;"", Table15[[#This Row],[pnl_official]]-MAX($D$79:$D219), NA())</f>
        <v>#N/A</v>
      </c>
      <c r="M219" s="450" t="e">
        <f>IF(Table15[[#This Row],[pnl_official]]&lt;&gt;"", IF(Table15[[#This Row],[pnl_official]]&gt;0, 0, Table15[[#This Row],[pnl_official]]), NA())</f>
        <v>#N/A</v>
      </c>
      <c r="N219" s="97"/>
    </row>
    <row r="220" spans="1:14" x14ac:dyDescent="0.25">
      <c r="A220" s="444">
        <v>46223</v>
      </c>
      <c r="B220" s="293">
        <v>142</v>
      </c>
      <c r="C220" s="661" t="e">
        <f>NA()</f>
        <v>#N/A</v>
      </c>
      <c r="D220" s="660" t="e">
        <f>IF(AND(ISNUMBER(Table15[[#This Row],[pnl_ym]]), ISNUMBER(Table15[[#This Row],[pnl_am]])), (Table15[[#This Row],[pnl_ym]]+Table15[[#This Row],[pnl_am]])/1000, NA())</f>
        <v>#N/A</v>
      </c>
      <c r="E220" s="589" t="e">
        <f>NA()</f>
        <v>#N/A</v>
      </c>
      <c r="F220" s="589" t="e">
        <f>NA()</f>
        <v>#N/A</v>
      </c>
      <c r="G220" s="423" t="e">
        <f>IF(Table15[[#This Row],[pnl_est]] &lt;&gt; "", Table15[[#This Row],[pnl_est]]-$C219, NA())</f>
        <v>#N/A</v>
      </c>
      <c r="H220" s="423" t="e">
        <f>IF(Table15[[#This Row],[pnl_official]] &lt;&gt; "", Table15[[#This Row],[pnl_official]]-D219, NA())</f>
        <v>#N/A</v>
      </c>
      <c r="I220" s="450" t="e">
        <f t="shared" si="5"/>
        <v>#N/A</v>
      </c>
      <c r="J220" s="568" t="e">
        <f>Table15[[#This Row],[pnl_official]]-Table15[[#This Row],[pnl_est]]</f>
        <v>#N/A</v>
      </c>
      <c r="K220" s="548" t="e">
        <f>Table15[[#This Row],[pnl_ym]]/Table15[[#This Row],[pnl_am]]</f>
        <v>#N/A</v>
      </c>
      <c r="L220" s="450" t="e">
        <f>IF(Table15[[#This Row],[pnl_official]]&lt;&gt;"", Table15[[#This Row],[pnl_official]]-MAX($D$79:$D220), NA())</f>
        <v>#N/A</v>
      </c>
      <c r="M220" s="450" t="e">
        <f>IF(Table15[[#This Row],[pnl_official]]&lt;&gt;"", IF(Table15[[#This Row],[pnl_official]]&gt;0, 0, Table15[[#This Row],[pnl_official]]), NA())</f>
        <v>#N/A</v>
      </c>
      <c r="N220" s="97"/>
    </row>
    <row r="221" spans="1:14" x14ac:dyDescent="0.25">
      <c r="A221" s="444">
        <v>46224</v>
      </c>
      <c r="B221" s="293">
        <v>143</v>
      </c>
      <c r="C221" s="661" t="e">
        <f>NA()</f>
        <v>#N/A</v>
      </c>
      <c r="D221" s="660" t="e">
        <f>IF(AND(ISNUMBER(Table15[[#This Row],[pnl_ym]]), ISNUMBER(Table15[[#This Row],[pnl_am]])), (Table15[[#This Row],[pnl_ym]]+Table15[[#This Row],[pnl_am]])/1000, NA())</f>
        <v>#N/A</v>
      </c>
      <c r="E221" s="589" t="e">
        <f>NA()</f>
        <v>#N/A</v>
      </c>
      <c r="F221" s="589" t="e">
        <f>NA()</f>
        <v>#N/A</v>
      </c>
      <c r="G221" s="423" t="e">
        <f>IF(Table15[[#This Row],[pnl_est]] &lt;&gt; "", Table15[[#This Row],[pnl_est]]-$C220, NA())</f>
        <v>#N/A</v>
      </c>
      <c r="H221" s="423" t="e">
        <f>IF(Table15[[#This Row],[pnl_official]] &lt;&gt; "", Table15[[#This Row],[pnl_official]]-D220, NA())</f>
        <v>#N/A</v>
      </c>
      <c r="I221" s="450" t="e">
        <f t="shared" si="5"/>
        <v>#N/A</v>
      </c>
      <c r="J221" s="568" t="e">
        <f>Table15[[#This Row],[pnl_official]]-Table15[[#This Row],[pnl_est]]</f>
        <v>#N/A</v>
      </c>
      <c r="K221" s="548" t="e">
        <f>Table15[[#This Row],[pnl_ym]]/Table15[[#This Row],[pnl_am]]</f>
        <v>#N/A</v>
      </c>
      <c r="L221" s="450" t="e">
        <f>IF(Table15[[#This Row],[pnl_official]]&lt;&gt;"", Table15[[#This Row],[pnl_official]]-MAX($D$79:$D221), NA())</f>
        <v>#N/A</v>
      </c>
      <c r="M221" s="450" t="e">
        <f>IF(Table15[[#This Row],[pnl_official]]&lt;&gt;"", IF(Table15[[#This Row],[pnl_official]]&gt;0, 0, Table15[[#This Row],[pnl_official]]), NA())</f>
        <v>#N/A</v>
      </c>
      <c r="N221" s="97"/>
    </row>
    <row r="222" spans="1:14" x14ac:dyDescent="0.25">
      <c r="A222" s="444">
        <v>46225</v>
      </c>
      <c r="B222" s="293">
        <v>144</v>
      </c>
      <c r="C222" s="661" t="e">
        <f>NA()</f>
        <v>#N/A</v>
      </c>
      <c r="D222" s="660" t="e">
        <f>IF(AND(ISNUMBER(Table15[[#This Row],[pnl_ym]]), ISNUMBER(Table15[[#This Row],[pnl_am]])), (Table15[[#This Row],[pnl_ym]]+Table15[[#This Row],[pnl_am]])/1000, NA())</f>
        <v>#N/A</v>
      </c>
      <c r="E222" s="589" t="e">
        <f>NA()</f>
        <v>#N/A</v>
      </c>
      <c r="F222" s="589" t="e">
        <f>NA()</f>
        <v>#N/A</v>
      </c>
      <c r="G222" s="423" t="e">
        <f>IF(Table15[[#This Row],[pnl_est]] &lt;&gt; "", Table15[[#This Row],[pnl_est]]-$C221, NA())</f>
        <v>#N/A</v>
      </c>
      <c r="H222" s="423" t="e">
        <f>IF(Table15[[#This Row],[pnl_official]] &lt;&gt; "", Table15[[#This Row],[pnl_official]]-D221, NA())</f>
        <v>#N/A</v>
      </c>
      <c r="I222" s="450" t="e">
        <f t="shared" si="5"/>
        <v>#N/A</v>
      </c>
      <c r="J222" s="568" t="e">
        <f>Table15[[#This Row],[pnl_official]]-Table15[[#This Row],[pnl_est]]</f>
        <v>#N/A</v>
      </c>
      <c r="K222" s="548" t="e">
        <f>Table15[[#This Row],[pnl_ym]]/Table15[[#This Row],[pnl_am]]</f>
        <v>#N/A</v>
      </c>
      <c r="L222" s="450" t="e">
        <f>IF(Table15[[#This Row],[pnl_official]]&lt;&gt;"", Table15[[#This Row],[pnl_official]]-MAX($D$79:$D222), NA())</f>
        <v>#N/A</v>
      </c>
      <c r="M222" s="450" t="e">
        <f>IF(Table15[[#This Row],[pnl_official]]&lt;&gt;"", IF(Table15[[#This Row],[pnl_official]]&gt;0, 0, Table15[[#This Row],[pnl_official]]), NA())</f>
        <v>#N/A</v>
      </c>
      <c r="N222" s="97"/>
    </row>
    <row r="223" spans="1:14" x14ac:dyDescent="0.25">
      <c r="A223" s="444">
        <v>46226</v>
      </c>
      <c r="B223" s="293">
        <v>145</v>
      </c>
      <c r="C223" s="661" t="e">
        <f>NA()</f>
        <v>#N/A</v>
      </c>
      <c r="D223" s="660" t="e">
        <f>IF(AND(ISNUMBER(Table15[[#This Row],[pnl_ym]]), ISNUMBER(Table15[[#This Row],[pnl_am]])), (Table15[[#This Row],[pnl_ym]]+Table15[[#This Row],[pnl_am]])/1000, NA())</f>
        <v>#N/A</v>
      </c>
      <c r="E223" s="589" t="e">
        <f>NA()</f>
        <v>#N/A</v>
      </c>
      <c r="F223" s="589" t="e">
        <f>NA()</f>
        <v>#N/A</v>
      </c>
      <c r="G223" s="423" t="e">
        <f>IF(Table15[[#This Row],[pnl_est]] &lt;&gt; "", Table15[[#This Row],[pnl_est]]-$C222, NA())</f>
        <v>#N/A</v>
      </c>
      <c r="H223" s="423" t="e">
        <f>IF(Table15[[#This Row],[pnl_official]] &lt;&gt; "", Table15[[#This Row],[pnl_official]]-D222, NA())</f>
        <v>#N/A</v>
      </c>
      <c r="I223" s="450" t="e">
        <f t="shared" si="5"/>
        <v>#N/A</v>
      </c>
      <c r="J223" s="568" t="e">
        <f>Table15[[#This Row],[pnl_official]]-Table15[[#This Row],[pnl_est]]</f>
        <v>#N/A</v>
      </c>
      <c r="K223" s="548" t="e">
        <f>Table15[[#This Row],[pnl_ym]]/Table15[[#This Row],[pnl_am]]</f>
        <v>#N/A</v>
      </c>
      <c r="L223" s="450" t="e">
        <f>IF(Table15[[#This Row],[pnl_official]]&lt;&gt;"", Table15[[#This Row],[pnl_official]]-MAX($D$79:$D223), NA())</f>
        <v>#N/A</v>
      </c>
      <c r="M223" s="450" t="e">
        <f>IF(Table15[[#This Row],[pnl_official]]&lt;&gt;"", IF(Table15[[#This Row],[pnl_official]]&gt;0, 0, Table15[[#This Row],[pnl_official]]), NA())</f>
        <v>#N/A</v>
      </c>
      <c r="N223" s="97"/>
    </row>
    <row r="224" spans="1:14" x14ac:dyDescent="0.25">
      <c r="A224" s="444">
        <v>46227</v>
      </c>
      <c r="B224" s="293">
        <v>146</v>
      </c>
      <c r="C224" s="661" t="e">
        <f>NA()</f>
        <v>#N/A</v>
      </c>
      <c r="D224" s="660" t="e">
        <f>IF(AND(ISNUMBER(Table15[[#This Row],[pnl_ym]]), ISNUMBER(Table15[[#This Row],[pnl_am]])), (Table15[[#This Row],[pnl_ym]]+Table15[[#This Row],[pnl_am]])/1000, NA())</f>
        <v>#N/A</v>
      </c>
      <c r="E224" s="589" t="e">
        <f>NA()</f>
        <v>#N/A</v>
      </c>
      <c r="F224" s="589" t="e">
        <f>NA()</f>
        <v>#N/A</v>
      </c>
      <c r="G224" s="423" t="e">
        <f>IF(Table15[[#This Row],[pnl_est]] &lt;&gt; "", Table15[[#This Row],[pnl_est]]-$C223, NA())</f>
        <v>#N/A</v>
      </c>
      <c r="H224" s="423" t="e">
        <f>IF(Table15[[#This Row],[pnl_official]] &lt;&gt; "", Table15[[#This Row],[pnl_official]]-D223, NA())</f>
        <v>#N/A</v>
      </c>
      <c r="I224" s="450" t="e">
        <f t="shared" si="5"/>
        <v>#N/A</v>
      </c>
      <c r="J224" s="568" t="e">
        <f>Table15[[#This Row],[pnl_official]]-Table15[[#This Row],[pnl_est]]</f>
        <v>#N/A</v>
      </c>
      <c r="K224" s="548" t="e">
        <f>Table15[[#This Row],[pnl_ym]]/Table15[[#This Row],[pnl_am]]</f>
        <v>#N/A</v>
      </c>
      <c r="L224" s="450" t="e">
        <f>IF(Table15[[#This Row],[pnl_official]]&lt;&gt;"", Table15[[#This Row],[pnl_official]]-MAX($D$79:$D224), NA())</f>
        <v>#N/A</v>
      </c>
      <c r="M224" s="450" t="e">
        <f>IF(Table15[[#This Row],[pnl_official]]&lt;&gt;"", IF(Table15[[#This Row],[pnl_official]]&gt;0, 0, Table15[[#This Row],[pnl_official]]), NA())</f>
        <v>#N/A</v>
      </c>
      <c r="N224" s="97"/>
    </row>
    <row r="225" spans="1:14" x14ac:dyDescent="0.25">
      <c r="A225" s="444">
        <v>46230</v>
      </c>
      <c r="B225" s="293">
        <v>147</v>
      </c>
      <c r="C225" s="661" t="e">
        <f>NA()</f>
        <v>#N/A</v>
      </c>
      <c r="D225" s="660" t="e">
        <f>IF(AND(ISNUMBER(Table15[[#This Row],[pnl_ym]]), ISNUMBER(Table15[[#This Row],[pnl_am]])), (Table15[[#This Row],[pnl_ym]]+Table15[[#This Row],[pnl_am]])/1000, NA())</f>
        <v>#N/A</v>
      </c>
      <c r="E225" s="589" t="e">
        <f>NA()</f>
        <v>#N/A</v>
      </c>
      <c r="F225" s="589" t="e">
        <f>NA()</f>
        <v>#N/A</v>
      </c>
      <c r="G225" s="423" t="e">
        <f>IF(Table15[[#This Row],[pnl_est]] &lt;&gt; "", Table15[[#This Row],[pnl_est]]-$C224, NA())</f>
        <v>#N/A</v>
      </c>
      <c r="H225" s="423" t="e">
        <f>IF(Table15[[#This Row],[pnl_official]] &lt;&gt; "", Table15[[#This Row],[pnl_official]]-D224, NA())</f>
        <v>#N/A</v>
      </c>
      <c r="I225" s="450" t="e">
        <f t="shared" si="5"/>
        <v>#N/A</v>
      </c>
      <c r="J225" s="568" t="e">
        <f>Table15[[#This Row],[pnl_official]]-Table15[[#This Row],[pnl_est]]</f>
        <v>#N/A</v>
      </c>
      <c r="K225" s="548" t="e">
        <f>Table15[[#This Row],[pnl_ym]]/Table15[[#This Row],[pnl_am]]</f>
        <v>#N/A</v>
      </c>
      <c r="L225" s="450" t="e">
        <f>IF(Table15[[#This Row],[pnl_official]]&lt;&gt;"", Table15[[#This Row],[pnl_official]]-MAX($D$79:$D225), NA())</f>
        <v>#N/A</v>
      </c>
      <c r="M225" s="450" t="e">
        <f>IF(Table15[[#This Row],[pnl_official]]&lt;&gt;"", IF(Table15[[#This Row],[pnl_official]]&gt;0, 0, Table15[[#This Row],[pnl_official]]), NA())</f>
        <v>#N/A</v>
      </c>
      <c r="N225" s="97"/>
    </row>
    <row r="226" spans="1:14" x14ac:dyDescent="0.25">
      <c r="A226" s="444">
        <v>46231</v>
      </c>
      <c r="B226" s="293">
        <v>148</v>
      </c>
      <c r="C226" s="661" t="e">
        <f>NA()</f>
        <v>#N/A</v>
      </c>
      <c r="D226" s="660" t="e">
        <f>IF(AND(ISNUMBER(Table15[[#This Row],[pnl_ym]]), ISNUMBER(Table15[[#This Row],[pnl_am]])), (Table15[[#This Row],[pnl_ym]]+Table15[[#This Row],[pnl_am]])/1000, NA())</f>
        <v>#N/A</v>
      </c>
      <c r="E226" s="589" t="e">
        <f>NA()</f>
        <v>#N/A</v>
      </c>
      <c r="F226" s="589" t="e">
        <f>NA()</f>
        <v>#N/A</v>
      </c>
      <c r="G226" s="423" t="e">
        <f>IF(Table15[[#This Row],[pnl_est]] &lt;&gt; "", Table15[[#This Row],[pnl_est]]-$C225, NA())</f>
        <v>#N/A</v>
      </c>
      <c r="H226" s="423" t="e">
        <f>IF(Table15[[#This Row],[pnl_official]] &lt;&gt; "", Table15[[#This Row],[pnl_official]]-D225, NA())</f>
        <v>#N/A</v>
      </c>
      <c r="I226" s="450" t="e">
        <f t="shared" si="5"/>
        <v>#N/A</v>
      </c>
      <c r="J226" s="568" t="e">
        <f>Table15[[#This Row],[pnl_official]]-Table15[[#This Row],[pnl_est]]</f>
        <v>#N/A</v>
      </c>
      <c r="K226" s="548" t="e">
        <f>Table15[[#This Row],[pnl_ym]]/Table15[[#This Row],[pnl_am]]</f>
        <v>#N/A</v>
      </c>
      <c r="L226" s="450" t="e">
        <f>IF(Table15[[#This Row],[pnl_official]]&lt;&gt;"", Table15[[#This Row],[pnl_official]]-MAX($D$79:$D226), NA())</f>
        <v>#N/A</v>
      </c>
      <c r="M226" s="450" t="e">
        <f>IF(Table15[[#This Row],[pnl_official]]&lt;&gt;"", IF(Table15[[#This Row],[pnl_official]]&gt;0, 0, Table15[[#This Row],[pnl_official]]), NA())</f>
        <v>#N/A</v>
      </c>
      <c r="N226" s="97"/>
    </row>
    <row r="227" spans="1:14" x14ac:dyDescent="0.25">
      <c r="A227" s="444">
        <v>46232</v>
      </c>
      <c r="B227" s="293">
        <v>149</v>
      </c>
      <c r="C227" s="661" t="e">
        <f>NA()</f>
        <v>#N/A</v>
      </c>
      <c r="D227" s="660" t="e">
        <f>IF(AND(ISNUMBER(Table15[[#This Row],[pnl_ym]]), ISNUMBER(Table15[[#This Row],[pnl_am]])), (Table15[[#This Row],[pnl_ym]]+Table15[[#This Row],[pnl_am]])/1000, NA())</f>
        <v>#N/A</v>
      </c>
      <c r="E227" s="589" t="e">
        <f>NA()</f>
        <v>#N/A</v>
      </c>
      <c r="F227" s="589" t="e">
        <f>NA()</f>
        <v>#N/A</v>
      </c>
      <c r="G227" s="423" t="e">
        <f>IF(Table15[[#This Row],[pnl_est]] &lt;&gt; "", Table15[[#This Row],[pnl_est]]-$C226, NA())</f>
        <v>#N/A</v>
      </c>
      <c r="H227" s="423" t="e">
        <f>IF(Table15[[#This Row],[pnl_official]] &lt;&gt; "", Table15[[#This Row],[pnl_official]]-D226, NA())</f>
        <v>#N/A</v>
      </c>
      <c r="I227" s="450" t="e">
        <f t="shared" si="5"/>
        <v>#N/A</v>
      </c>
      <c r="J227" s="568" t="e">
        <f>Table15[[#This Row],[pnl_official]]-Table15[[#This Row],[pnl_est]]</f>
        <v>#N/A</v>
      </c>
      <c r="K227" s="548" t="e">
        <f>Table15[[#This Row],[pnl_ym]]/Table15[[#This Row],[pnl_am]]</f>
        <v>#N/A</v>
      </c>
      <c r="L227" s="450" t="e">
        <f>IF(Table15[[#This Row],[pnl_official]]&lt;&gt;"", Table15[[#This Row],[pnl_official]]-MAX($D$79:$D227), NA())</f>
        <v>#N/A</v>
      </c>
      <c r="M227" s="450" t="e">
        <f>IF(Table15[[#This Row],[pnl_official]]&lt;&gt;"", IF(Table15[[#This Row],[pnl_official]]&gt;0, 0, Table15[[#This Row],[pnl_official]]), NA())</f>
        <v>#N/A</v>
      </c>
      <c r="N227" s="97"/>
    </row>
    <row r="228" spans="1:14" x14ac:dyDescent="0.25">
      <c r="A228" s="444">
        <v>46233</v>
      </c>
      <c r="B228" s="293">
        <v>150</v>
      </c>
      <c r="C228" s="661" t="e">
        <f>NA()</f>
        <v>#N/A</v>
      </c>
      <c r="D228" s="660" t="e">
        <f>IF(AND(ISNUMBER(Table15[[#This Row],[pnl_ym]]), ISNUMBER(Table15[[#This Row],[pnl_am]])), (Table15[[#This Row],[pnl_ym]]+Table15[[#This Row],[pnl_am]])/1000, NA())</f>
        <v>#N/A</v>
      </c>
      <c r="E228" s="589" t="e">
        <f>NA()</f>
        <v>#N/A</v>
      </c>
      <c r="F228" s="589" t="e">
        <f>NA()</f>
        <v>#N/A</v>
      </c>
      <c r="G228" s="423" t="e">
        <f>IF(Table15[[#This Row],[pnl_est]] &lt;&gt; "", Table15[[#This Row],[pnl_est]]-$C227, NA())</f>
        <v>#N/A</v>
      </c>
      <c r="H228" s="423" t="e">
        <f>IF(Table15[[#This Row],[pnl_official]] &lt;&gt; "", Table15[[#This Row],[pnl_official]]-D227, NA())</f>
        <v>#N/A</v>
      </c>
      <c r="I228" s="450" t="e">
        <f t="shared" si="5"/>
        <v>#N/A</v>
      </c>
      <c r="J228" s="568" t="e">
        <f>Table15[[#This Row],[pnl_official]]-Table15[[#This Row],[pnl_est]]</f>
        <v>#N/A</v>
      </c>
      <c r="K228" s="548" t="e">
        <f>Table15[[#This Row],[pnl_ym]]/Table15[[#This Row],[pnl_am]]</f>
        <v>#N/A</v>
      </c>
      <c r="L228" s="450" t="e">
        <f>IF(Table15[[#This Row],[pnl_official]]&lt;&gt;"", Table15[[#This Row],[pnl_official]]-MAX($D$79:$D228), NA())</f>
        <v>#N/A</v>
      </c>
      <c r="M228" s="450" t="e">
        <f>IF(Table15[[#This Row],[pnl_official]]&lt;&gt;"", IF(Table15[[#This Row],[pnl_official]]&gt;0, 0, Table15[[#This Row],[pnl_official]]), NA())</f>
        <v>#N/A</v>
      </c>
      <c r="N228" s="97"/>
    </row>
    <row r="229" spans="1:14" x14ac:dyDescent="0.25">
      <c r="A229" s="444">
        <v>46234</v>
      </c>
      <c r="B229" s="293">
        <v>151</v>
      </c>
      <c r="C229" s="661" t="e">
        <f>NA()</f>
        <v>#N/A</v>
      </c>
      <c r="D229" s="660" t="e">
        <f>IF(AND(ISNUMBER(Table15[[#This Row],[pnl_ym]]), ISNUMBER(Table15[[#This Row],[pnl_am]])), (Table15[[#This Row],[pnl_ym]]+Table15[[#This Row],[pnl_am]])/1000, NA())</f>
        <v>#N/A</v>
      </c>
      <c r="E229" s="589" t="e">
        <f>NA()</f>
        <v>#N/A</v>
      </c>
      <c r="F229" s="589" t="e">
        <f>NA()</f>
        <v>#N/A</v>
      </c>
      <c r="G229" s="423" t="e">
        <f>IF(Table15[[#This Row],[pnl_est]] &lt;&gt; "", Table15[[#This Row],[pnl_est]]-$C228, NA())</f>
        <v>#N/A</v>
      </c>
      <c r="H229" s="423" t="e">
        <f>IF(Table15[[#This Row],[pnl_official]] &lt;&gt; "", Table15[[#This Row],[pnl_official]]-D228, NA())</f>
        <v>#N/A</v>
      </c>
      <c r="I229" s="450" t="e">
        <f t="shared" si="5"/>
        <v>#N/A</v>
      </c>
      <c r="J229" s="568" t="e">
        <f>Table15[[#This Row],[pnl_official]]-Table15[[#This Row],[pnl_est]]</f>
        <v>#N/A</v>
      </c>
      <c r="K229" s="548" t="e">
        <f>Table15[[#This Row],[pnl_ym]]/Table15[[#This Row],[pnl_am]]</f>
        <v>#N/A</v>
      </c>
      <c r="L229" s="450" t="e">
        <f>IF(Table15[[#This Row],[pnl_official]]&lt;&gt;"", Table15[[#This Row],[pnl_official]]-MAX($D$79:$D229), NA())</f>
        <v>#N/A</v>
      </c>
      <c r="M229" s="450" t="e">
        <f>IF(Table15[[#This Row],[pnl_official]]&lt;&gt;"", IF(Table15[[#This Row],[pnl_official]]&gt;0, 0, Table15[[#This Row],[pnl_official]]), NA())</f>
        <v>#N/A</v>
      </c>
      <c r="N229" s="97"/>
    </row>
    <row r="230" spans="1:14" x14ac:dyDescent="0.25">
      <c r="A230" s="444">
        <v>46237</v>
      </c>
      <c r="B230" s="293">
        <v>152</v>
      </c>
      <c r="C230" s="661" t="e">
        <f>NA()</f>
        <v>#N/A</v>
      </c>
      <c r="D230" s="660" t="e">
        <f>IF(AND(ISNUMBER(Table15[[#This Row],[pnl_ym]]), ISNUMBER(Table15[[#This Row],[pnl_am]])), (Table15[[#This Row],[pnl_ym]]+Table15[[#This Row],[pnl_am]])/1000, NA())</f>
        <v>#N/A</v>
      </c>
      <c r="E230" s="589" t="e">
        <f>NA()</f>
        <v>#N/A</v>
      </c>
      <c r="F230" s="589" t="e">
        <f>NA()</f>
        <v>#N/A</v>
      </c>
      <c r="G230" s="423" t="e">
        <f>IF(Table15[[#This Row],[pnl_est]] &lt;&gt; "", Table15[[#This Row],[pnl_est]]-$C229, NA())</f>
        <v>#N/A</v>
      </c>
      <c r="H230" s="423" t="e">
        <f>IF(Table15[[#This Row],[pnl_official]] &lt;&gt; "", Table15[[#This Row],[pnl_official]]-D229, NA())</f>
        <v>#N/A</v>
      </c>
      <c r="I230" s="450" t="e">
        <f t="shared" si="5"/>
        <v>#N/A</v>
      </c>
      <c r="J230" s="568" t="e">
        <f>Table15[[#This Row],[pnl_official]]-Table15[[#This Row],[pnl_est]]</f>
        <v>#N/A</v>
      </c>
      <c r="K230" s="548" t="e">
        <f>Table15[[#This Row],[pnl_ym]]/Table15[[#This Row],[pnl_am]]</f>
        <v>#N/A</v>
      </c>
      <c r="L230" s="450" t="e">
        <f>IF(Table15[[#This Row],[pnl_official]]&lt;&gt;"", Table15[[#This Row],[pnl_official]]-MAX($D$79:$D230), NA())</f>
        <v>#N/A</v>
      </c>
      <c r="M230" s="450" t="e">
        <f>IF(Table15[[#This Row],[pnl_official]]&lt;&gt;"", IF(Table15[[#This Row],[pnl_official]]&gt;0, 0, Table15[[#This Row],[pnl_official]]), NA())</f>
        <v>#N/A</v>
      </c>
      <c r="N230" s="97"/>
    </row>
    <row r="231" spans="1:14" x14ac:dyDescent="0.25">
      <c r="A231" s="444">
        <v>46238</v>
      </c>
      <c r="B231" s="293">
        <v>153</v>
      </c>
      <c r="C231" s="661" t="e">
        <f>NA()</f>
        <v>#N/A</v>
      </c>
      <c r="D231" s="660" t="e">
        <f>IF(AND(ISNUMBER(Table15[[#This Row],[pnl_ym]]), ISNUMBER(Table15[[#This Row],[pnl_am]])), (Table15[[#This Row],[pnl_ym]]+Table15[[#This Row],[pnl_am]])/1000, NA())</f>
        <v>#N/A</v>
      </c>
      <c r="E231" s="589" t="e">
        <f>NA()</f>
        <v>#N/A</v>
      </c>
      <c r="F231" s="589" t="e">
        <f>NA()</f>
        <v>#N/A</v>
      </c>
      <c r="G231" s="423" t="e">
        <f>IF(Table15[[#This Row],[pnl_est]] &lt;&gt; "", Table15[[#This Row],[pnl_est]]-$C230, NA())</f>
        <v>#N/A</v>
      </c>
      <c r="H231" s="423" t="e">
        <f>IF(Table15[[#This Row],[pnl_official]] &lt;&gt; "", Table15[[#This Row],[pnl_official]]-D230, NA())</f>
        <v>#N/A</v>
      </c>
      <c r="I231" s="450" t="e">
        <f t="shared" si="5"/>
        <v>#N/A</v>
      </c>
      <c r="J231" s="568" t="e">
        <f>Table15[[#This Row],[pnl_official]]-Table15[[#This Row],[pnl_est]]</f>
        <v>#N/A</v>
      </c>
      <c r="K231" s="548" t="e">
        <f>Table15[[#This Row],[pnl_ym]]/Table15[[#This Row],[pnl_am]]</f>
        <v>#N/A</v>
      </c>
      <c r="L231" s="450" t="e">
        <f>IF(Table15[[#This Row],[pnl_official]]&lt;&gt;"", Table15[[#This Row],[pnl_official]]-MAX($D$79:$D231), NA())</f>
        <v>#N/A</v>
      </c>
      <c r="M231" s="450" t="e">
        <f>IF(Table15[[#This Row],[pnl_official]]&lt;&gt;"", IF(Table15[[#This Row],[pnl_official]]&gt;0, 0, Table15[[#This Row],[pnl_official]]), NA())</f>
        <v>#N/A</v>
      </c>
      <c r="N231" s="97"/>
    </row>
    <row r="232" spans="1:14" x14ac:dyDescent="0.25">
      <c r="A232" s="444">
        <v>46239</v>
      </c>
      <c r="B232" s="293">
        <v>154</v>
      </c>
      <c r="C232" s="661" t="e">
        <f>NA()</f>
        <v>#N/A</v>
      </c>
      <c r="D232" s="660" t="e">
        <f>IF(AND(ISNUMBER(Table15[[#This Row],[pnl_ym]]), ISNUMBER(Table15[[#This Row],[pnl_am]])), (Table15[[#This Row],[pnl_ym]]+Table15[[#This Row],[pnl_am]])/1000, NA())</f>
        <v>#N/A</v>
      </c>
      <c r="E232" s="589" t="e">
        <f>NA()</f>
        <v>#N/A</v>
      </c>
      <c r="F232" s="589" t="e">
        <f>NA()</f>
        <v>#N/A</v>
      </c>
      <c r="G232" s="423" t="e">
        <f>IF(Table15[[#This Row],[pnl_est]] &lt;&gt; "", Table15[[#This Row],[pnl_est]]-$C231, NA())</f>
        <v>#N/A</v>
      </c>
      <c r="H232" s="423" t="e">
        <f>IF(Table15[[#This Row],[pnl_official]] &lt;&gt; "", Table15[[#This Row],[pnl_official]]-D231, NA())</f>
        <v>#N/A</v>
      </c>
      <c r="I232" s="450" t="e">
        <f t="shared" si="5"/>
        <v>#N/A</v>
      </c>
      <c r="J232" s="568" t="e">
        <f>Table15[[#This Row],[pnl_official]]-Table15[[#This Row],[pnl_est]]</f>
        <v>#N/A</v>
      </c>
      <c r="K232" s="548" t="e">
        <f>Table15[[#This Row],[pnl_ym]]/Table15[[#This Row],[pnl_am]]</f>
        <v>#N/A</v>
      </c>
      <c r="L232" s="450" t="e">
        <f>IF(Table15[[#This Row],[pnl_official]]&lt;&gt;"", Table15[[#This Row],[pnl_official]]-MAX($D$79:$D232), NA())</f>
        <v>#N/A</v>
      </c>
      <c r="M232" s="450" t="e">
        <f>IF(Table15[[#This Row],[pnl_official]]&lt;&gt;"", IF(Table15[[#This Row],[pnl_official]]&gt;0, 0, Table15[[#This Row],[pnl_official]]), NA())</f>
        <v>#N/A</v>
      </c>
      <c r="N232" s="97"/>
    </row>
    <row r="233" spans="1:14" x14ac:dyDescent="0.25">
      <c r="A233" s="444">
        <v>46240</v>
      </c>
      <c r="B233" s="293">
        <v>155</v>
      </c>
      <c r="C233" s="661" t="e">
        <f>NA()</f>
        <v>#N/A</v>
      </c>
      <c r="D233" s="660" t="e">
        <f>IF(AND(ISNUMBER(Table15[[#This Row],[pnl_ym]]), ISNUMBER(Table15[[#This Row],[pnl_am]])), (Table15[[#This Row],[pnl_ym]]+Table15[[#This Row],[pnl_am]])/1000, NA())</f>
        <v>#N/A</v>
      </c>
      <c r="E233" s="589" t="e">
        <f>NA()</f>
        <v>#N/A</v>
      </c>
      <c r="F233" s="589" t="e">
        <f>NA()</f>
        <v>#N/A</v>
      </c>
      <c r="G233" s="423" t="e">
        <f>IF(Table15[[#This Row],[pnl_est]] &lt;&gt; "", Table15[[#This Row],[pnl_est]]-$C232, NA())</f>
        <v>#N/A</v>
      </c>
      <c r="H233" s="423" t="e">
        <f>IF(Table15[[#This Row],[pnl_official]] &lt;&gt; "", Table15[[#This Row],[pnl_official]]-D232, NA())</f>
        <v>#N/A</v>
      </c>
      <c r="I233" s="450" t="e">
        <f t="shared" si="5"/>
        <v>#N/A</v>
      </c>
      <c r="J233" s="568" t="e">
        <f>Table15[[#This Row],[pnl_official]]-Table15[[#This Row],[pnl_est]]</f>
        <v>#N/A</v>
      </c>
      <c r="K233" s="548" t="e">
        <f>Table15[[#This Row],[pnl_ym]]/Table15[[#This Row],[pnl_am]]</f>
        <v>#N/A</v>
      </c>
      <c r="L233" s="450" t="e">
        <f>IF(Table15[[#This Row],[pnl_official]]&lt;&gt;"", Table15[[#This Row],[pnl_official]]-MAX($D$79:$D233), NA())</f>
        <v>#N/A</v>
      </c>
      <c r="M233" s="450" t="e">
        <f>IF(Table15[[#This Row],[pnl_official]]&lt;&gt;"", IF(Table15[[#This Row],[pnl_official]]&gt;0, 0, Table15[[#This Row],[pnl_official]]), NA())</f>
        <v>#N/A</v>
      </c>
      <c r="N233" s="97"/>
    </row>
    <row r="234" spans="1:14" x14ac:dyDescent="0.25">
      <c r="A234" s="444">
        <v>46241</v>
      </c>
      <c r="B234" s="293">
        <v>156</v>
      </c>
      <c r="C234" s="661" t="e">
        <f>NA()</f>
        <v>#N/A</v>
      </c>
      <c r="D234" s="660" t="e">
        <f>IF(AND(ISNUMBER(Table15[[#This Row],[pnl_ym]]), ISNUMBER(Table15[[#This Row],[pnl_am]])), (Table15[[#This Row],[pnl_ym]]+Table15[[#This Row],[pnl_am]])/1000, NA())</f>
        <v>#N/A</v>
      </c>
      <c r="E234" s="589" t="e">
        <f>NA()</f>
        <v>#N/A</v>
      </c>
      <c r="F234" s="589" t="e">
        <f>NA()</f>
        <v>#N/A</v>
      </c>
      <c r="G234" s="423" t="e">
        <f>IF(Table15[[#This Row],[pnl_est]] &lt;&gt; "", Table15[[#This Row],[pnl_est]]-$C233, NA())</f>
        <v>#N/A</v>
      </c>
      <c r="H234" s="423" t="e">
        <f>IF(Table15[[#This Row],[pnl_official]] &lt;&gt; "", Table15[[#This Row],[pnl_official]]-D233, NA())</f>
        <v>#N/A</v>
      </c>
      <c r="I234" s="450" t="e">
        <f t="shared" si="5"/>
        <v>#N/A</v>
      </c>
      <c r="J234" s="568" t="e">
        <f>Table15[[#This Row],[pnl_official]]-Table15[[#This Row],[pnl_est]]</f>
        <v>#N/A</v>
      </c>
      <c r="K234" s="548" t="e">
        <f>Table15[[#This Row],[pnl_ym]]/Table15[[#This Row],[pnl_am]]</f>
        <v>#N/A</v>
      </c>
      <c r="L234" s="450" t="e">
        <f>IF(Table15[[#This Row],[pnl_official]]&lt;&gt;"", Table15[[#This Row],[pnl_official]]-MAX($D$79:$D234), NA())</f>
        <v>#N/A</v>
      </c>
      <c r="M234" s="450" t="e">
        <f>IF(Table15[[#This Row],[pnl_official]]&lt;&gt;"", IF(Table15[[#This Row],[pnl_official]]&gt;0, 0, Table15[[#This Row],[pnl_official]]), NA())</f>
        <v>#N/A</v>
      </c>
      <c r="N234" s="97"/>
    </row>
    <row r="235" spans="1:14" x14ac:dyDescent="0.25">
      <c r="A235" s="444">
        <v>46244</v>
      </c>
      <c r="B235" s="293">
        <v>157</v>
      </c>
      <c r="C235" s="661" t="e">
        <f>NA()</f>
        <v>#N/A</v>
      </c>
      <c r="D235" s="660" t="e">
        <f>IF(AND(ISNUMBER(Table15[[#This Row],[pnl_ym]]), ISNUMBER(Table15[[#This Row],[pnl_am]])), (Table15[[#This Row],[pnl_ym]]+Table15[[#This Row],[pnl_am]])/1000, NA())</f>
        <v>#N/A</v>
      </c>
      <c r="E235" s="589" t="e">
        <f>NA()</f>
        <v>#N/A</v>
      </c>
      <c r="F235" s="589" t="e">
        <f>NA()</f>
        <v>#N/A</v>
      </c>
      <c r="G235" s="423" t="e">
        <f>IF(Table15[[#This Row],[pnl_est]] &lt;&gt; "", Table15[[#This Row],[pnl_est]]-$C234, NA())</f>
        <v>#N/A</v>
      </c>
      <c r="H235" s="423" t="e">
        <f>IF(Table15[[#This Row],[pnl_official]] &lt;&gt; "", Table15[[#This Row],[pnl_official]]-D234, NA())</f>
        <v>#N/A</v>
      </c>
      <c r="I235" s="450" t="e">
        <f t="shared" si="5"/>
        <v>#N/A</v>
      </c>
      <c r="J235" s="568" t="e">
        <f>Table15[[#This Row],[pnl_official]]-Table15[[#This Row],[pnl_est]]</f>
        <v>#N/A</v>
      </c>
      <c r="K235" s="548" t="e">
        <f>Table15[[#This Row],[pnl_ym]]/Table15[[#This Row],[pnl_am]]</f>
        <v>#N/A</v>
      </c>
      <c r="L235" s="450" t="e">
        <f>IF(Table15[[#This Row],[pnl_official]]&lt;&gt;"", Table15[[#This Row],[pnl_official]]-MAX($D$79:$D235), NA())</f>
        <v>#N/A</v>
      </c>
      <c r="M235" s="450" t="e">
        <f>IF(Table15[[#This Row],[pnl_official]]&lt;&gt;"", IF(Table15[[#This Row],[pnl_official]]&gt;0, 0, Table15[[#This Row],[pnl_official]]), NA())</f>
        <v>#N/A</v>
      </c>
      <c r="N235" s="97"/>
    </row>
    <row r="236" spans="1:14" x14ac:dyDescent="0.25">
      <c r="A236" s="444">
        <v>46245</v>
      </c>
      <c r="B236" s="293">
        <v>158</v>
      </c>
      <c r="C236" s="661" t="e">
        <f>NA()</f>
        <v>#N/A</v>
      </c>
      <c r="D236" s="660" t="e">
        <f>IF(AND(ISNUMBER(Table15[[#This Row],[pnl_ym]]), ISNUMBER(Table15[[#This Row],[pnl_am]])), (Table15[[#This Row],[pnl_ym]]+Table15[[#This Row],[pnl_am]])/1000, NA())</f>
        <v>#N/A</v>
      </c>
      <c r="E236" s="589" t="e">
        <f>NA()</f>
        <v>#N/A</v>
      </c>
      <c r="F236" s="589" t="e">
        <f>NA()</f>
        <v>#N/A</v>
      </c>
      <c r="G236" s="423" t="e">
        <f>IF(Table15[[#This Row],[pnl_est]] &lt;&gt; "", Table15[[#This Row],[pnl_est]]-$C235, NA())</f>
        <v>#N/A</v>
      </c>
      <c r="H236" s="423" t="e">
        <f>IF(Table15[[#This Row],[pnl_official]] &lt;&gt; "", Table15[[#This Row],[pnl_official]]-D235, NA())</f>
        <v>#N/A</v>
      </c>
      <c r="I236" s="450" t="e">
        <f t="shared" si="5"/>
        <v>#N/A</v>
      </c>
      <c r="J236" s="568" t="e">
        <f>Table15[[#This Row],[pnl_official]]-Table15[[#This Row],[pnl_est]]</f>
        <v>#N/A</v>
      </c>
      <c r="K236" s="548" t="e">
        <f>Table15[[#This Row],[pnl_ym]]/Table15[[#This Row],[pnl_am]]</f>
        <v>#N/A</v>
      </c>
      <c r="L236" s="450" t="e">
        <f>IF(Table15[[#This Row],[pnl_official]]&lt;&gt;"", Table15[[#This Row],[pnl_official]]-MAX($D$79:$D236), NA())</f>
        <v>#N/A</v>
      </c>
      <c r="M236" s="450" t="e">
        <f>IF(Table15[[#This Row],[pnl_official]]&lt;&gt;"", IF(Table15[[#This Row],[pnl_official]]&gt;0, 0, Table15[[#This Row],[pnl_official]]), NA())</f>
        <v>#N/A</v>
      </c>
      <c r="N236" s="97"/>
    </row>
    <row r="237" spans="1:14" x14ac:dyDescent="0.25">
      <c r="A237" s="444">
        <v>46246</v>
      </c>
      <c r="B237" s="293">
        <v>159</v>
      </c>
      <c r="C237" s="661" t="e">
        <f>NA()</f>
        <v>#N/A</v>
      </c>
      <c r="D237" s="660" t="e">
        <f>IF(AND(ISNUMBER(Table15[[#This Row],[pnl_ym]]), ISNUMBER(Table15[[#This Row],[pnl_am]])), (Table15[[#This Row],[pnl_ym]]+Table15[[#This Row],[pnl_am]])/1000, NA())</f>
        <v>#N/A</v>
      </c>
      <c r="E237" s="589" t="e">
        <f>NA()</f>
        <v>#N/A</v>
      </c>
      <c r="F237" s="589" t="e">
        <f>NA()</f>
        <v>#N/A</v>
      </c>
      <c r="G237" s="423" t="e">
        <f>IF(Table15[[#This Row],[pnl_est]] &lt;&gt; "", Table15[[#This Row],[pnl_est]]-$C236, NA())</f>
        <v>#N/A</v>
      </c>
      <c r="H237" s="423" t="e">
        <f>IF(Table15[[#This Row],[pnl_official]] &lt;&gt; "", Table15[[#This Row],[pnl_official]]-D236, NA())</f>
        <v>#N/A</v>
      </c>
      <c r="I237" s="450" t="e">
        <f t="shared" si="5"/>
        <v>#N/A</v>
      </c>
      <c r="J237" s="568" t="e">
        <f>Table15[[#This Row],[pnl_official]]-Table15[[#This Row],[pnl_est]]</f>
        <v>#N/A</v>
      </c>
      <c r="K237" s="548" t="e">
        <f>Table15[[#This Row],[pnl_ym]]/Table15[[#This Row],[pnl_am]]</f>
        <v>#N/A</v>
      </c>
      <c r="L237" s="450" t="e">
        <f>IF(Table15[[#This Row],[pnl_official]]&lt;&gt;"", Table15[[#This Row],[pnl_official]]-MAX($D$79:$D237), NA())</f>
        <v>#N/A</v>
      </c>
      <c r="M237" s="450" t="e">
        <f>IF(Table15[[#This Row],[pnl_official]]&lt;&gt;"", IF(Table15[[#This Row],[pnl_official]]&gt;0, 0, Table15[[#This Row],[pnl_official]]), NA())</f>
        <v>#N/A</v>
      </c>
      <c r="N237" s="97"/>
    </row>
    <row r="238" spans="1:14" x14ac:dyDescent="0.25">
      <c r="A238" s="444">
        <v>46247</v>
      </c>
      <c r="B238" s="293">
        <v>160</v>
      </c>
      <c r="C238" s="661" t="e">
        <f>NA()</f>
        <v>#N/A</v>
      </c>
      <c r="D238" s="660" t="e">
        <f>IF(AND(ISNUMBER(Table15[[#This Row],[pnl_ym]]), ISNUMBER(Table15[[#This Row],[pnl_am]])), (Table15[[#This Row],[pnl_ym]]+Table15[[#This Row],[pnl_am]])/1000, NA())</f>
        <v>#N/A</v>
      </c>
      <c r="E238" s="589" t="e">
        <f>NA()</f>
        <v>#N/A</v>
      </c>
      <c r="F238" s="589" t="e">
        <f>NA()</f>
        <v>#N/A</v>
      </c>
      <c r="G238" s="423" t="e">
        <f>IF(Table15[[#This Row],[pnl_est]] &lt;&gt; "", Table15[[#This Row],[pnl_est]]-$C237, NA())</f>
        <v>#N/A</v>
      </c>
      <c r="H238" s="423" t="e">
        <f>IF(Table15[[#This Row],[pnl_official]] &lt;&gt; "", Table15[[#This Row],[pnl_official]]-D237, NA())</f>
        <v>#N/A</v>
      </c>
      <c r="I238" s="450" t="e">
        <f t="shared" si="5"/>
        <v>#N/A</v>
      </c>
      <c r="J238" s="568" t="e">
        <f>Table15[[#This Row],[pnl_official]]-Table15[[#This Row],[pnl_est]]</f>
        <v>#N/A</v>
      </c>
      <c r="K238" s="548" t="e">
        <f>Table15[[#This Row],[pnl_ym]]/Table15[[#This Row],[pnl_am]]</f>
        <v>#N/A</v>
      </c>
      <c r="L238" s="450" t="e">
        <f>IF(Table15[[#This Row],[pnl_official]]&lt;&gt;"", Table15[[#This Row],[pnl_official]]-MAX($D$79:$D238), NA())</f>
        <v>#N/A</v>
      </c>
      <c r="M238" s="450" t="e">
        <f>IF(Table15[[#This Row],[pnl_official]]&lt;&gt;"", IF(Table15[[#This Row],[pnl_official]]&gt;0, 0, Table15[[#This Row],[pnl_official]]), NA())</f>
        <v>#N/A</v>
      </c>
      <c r="N238" s="97"/>
    </row>
    <row r="239" spans="1:14" x14ac:dyDescent="0.25">
      <c r="A239" s="444">
        <v>46248</v>
      </c>
      <c r="B239" s="293">
        <v>161</v>
      </c>
      <c r="C239" s="661" t="e">
        <f>NA()</f>
        <v>#N/A</v>
      </c>
      <c r="D239" s="660" t="e">
        <f>IF(AND(ISNUMBER(Table15[[#This Row],[pnl_ym]]), ISNUMBER(Table15[[#This Row],[pnl_am]])), (Table15[[#This Row],[pnl_ym]]+Table15[[#This Row],[pnl_am]])/1000, NA())</f>
        <v>#N/A</v>
      </c>
      <c r="E239" s="589" t="e">
        <f>NA()</f>
        <v>#N/A</v>
      </c>
      <c r="F239" s="589" t="e">
        <f>NA()</f>
        <v>#N/A</v>
      </c>
      <c r="G239" s="423" t="e">
        <f>IF(Table15[[#This Row],[pnl_est]] &lt;&gt; "", Table15[[#This Row],[pnl_est]]-$C238, NA())</f>
        <v>#N/A</v>
      </c>
      <c r="H239" s="423" t="e">
        <f>IF(Table15[[#This Row],[pnl_official]] &lt;&gt; "", Table15[[#This Row],[pnl_official]]-D238, NA())</f>
        <v>#N/A</v>
      </c>
      <c r="I239" s="450" t="e">
        <f t="shared" si="5"/>
        <v>#N/A</v>
      </c>
      <c r="J239" s="568" t="e">
        <f>Table15[[#This Row],[pnl_official]]-Table15[[#This Row],[pnl_est]]</f>
        <v>#N/A</v>
      </c>
      <c r="K239" s="548" t="e">
        <f>Table15[[#This Row],[pnl_ym]]/Table15[[#This Row],[pnl_am]]</f>
        <v>#N/A</v>
      </c>
      <c r="L239" s="450" t="e">
        <f>IF(Table15[[#This Row],[pnl_official]]&lt;&gt;"", Table15[[#This Row],[pnl_official]]-MAX($D$79:$D239), NA())</f>
        <v>#N/A</v>
      </c>
      <c r="M239" s="450" t="e">
        <f>IF(Table15[[#This Row],[pnl_official]]&lt;&gt;"", IF(Table15[[#This Row],[pnl_official]]&gt;0, 0, Table15[[#This Row],[pnl_official]]), NA())</f>
        <v>#N/A</v>
      </c>
      <c r="N239" s="97"/>
    </row>
    <row r="240" spans="1:14" x14ac:dyDescent="0.25">
      <c r="A240" s="444">
        <v>46251</v>
      </c>
      <c r="B240" s="293">
        <v>162</v>
      </c>
      <c r="C240" s="661" t="e">
        <f>NA()</f>
        <v>#N/A</v>
      </c>
      <c r="D240" s="660" t="e">
        <f>IF(AND(ISNUMBER(Table15[[#This Row],[pnl_ym]]), ISNUMBER(Table15[[#This Row],[pnl_am]])), (Table15[[#This Row],[pnl_ym]]+Table15[[#This Row],[pnl_am]])/1000, NA())</f>
        <v>#N/A</v>
      </c>
      <c r="E240" s="589" t="e">
        <f>NA()</f>
        <v>#N/A</v>
      </c>
      <c r="F240" s="589" t="e">
        <f>NA()</f>
        <v>#N/A</v>
      </c>
      <c r="G240" s="423" t="e">
        <f>IF(Table15[[#This Row],[pnl_est]] &lt;&gt; "", Table15[[#This Row],[pnl_est]]-$C239, NA())</f>
        <v>#N/A</v>
      </c>
      <c r="H240" s="423" t="e">
        <f>IF(Table15[[#This Row],[pnl_official]] &lt;&gt; "", Table15[[#This Row],[pnl_official]]-D239, NA())</f>
        <v>#N/A</v>
      </c>
      <c r="I240" s="450" t="e">
        <f t="shared" si="5"/>
        <v>#N/A</v>
      </c>
      <c r="J240" s="568" t="e">
        <f>Table15[[#This Row],[pnl_official]]-Table15[[#This Row],[pnl_est]]</f>
        <v>#N/A</v>
      </c>
      <c r="K240" s="548" t="e">
        <f>Table15[[#This Row],[pnl_ym]]/Table15[[#This Row],[pnl_am]]</f>
        <v>#N/A</v>
      </c>
      <c r="L240" s="450" t="e">
        <f>IF(Table15[[#This Row],[pnl_official]]&lt;&gt;"", Table15[[#This Row],[pnl_official]]-MAX($D$79:$D240), NA())</f>
        <v>#N/A</v>
      </c>
      <c r="M240" s="450" t="e">
        <f>IF(Table15[[#This Row],[pnl_official]]&lt;&gt;"", IF(Table15[[#This Row],[pnl_official]]&gt;0, 0, Table15[[#This Row],[pnl_official]]), NA())</f>
        <v>#N/A</v>
      </c>
      <c r="N240" s="97"/>
    </row>
    <row r="241" spans="1:14" x14ac:dyDescent="0.25">
      <c r="A241" s="444">
        <v>46252</v>
      </c>
      <c r="B241" s="293">
        <v>163</v>
      </c>
      <c r="C241" s="661" t="e">
        <f>NA()</f>
        <v>#N/A</v>
      </c>
      <c r="D241" s="660" t="e">
        <f>IF(AND(ISNUMBER(Table15[[#This Row],[pnl_ym]]), ISNUMBER(Table15[[#This Row],[pnl_am]])), (Table15[[#This Row],[pnl_ym]]+Table15[[#This Row],[pnl_am]])/1000, NA())</f>
        <v>#N/A</v>
      </c>
      <c r="E241" s="589" t="e">
        <f>NA()</f>
        <v>#N/A</v>
      </c>
      <c r="F241" s="589" t="e">
        <f>NA()</f>
        <v>#N/A</v>
      </c>
      <c r="G241" s="423" t="e">
        <f>IF(Table15[[#This Row],[pnl_est]] &lt;&gt; "", Table15[[#This Row],[pnl_est]]-$C240, NA())</f>
        <v>#N/A</v>
      </c>
      <c r="H241" s="423" t="e">
        <f>IF(Table15[[#This Row],[pnl_official]] &lt;&gt; "", Table15[[#This Row],[pnl_official]]-D240, NA())</f>
        <v>#N/A</v>
      </c>
      <c r="I241" s="450" t="e">
        <f t="shared" si="5"/>
        <v>#N/A</v>
      </c>
      <c r="J241" s="568" t="e">
        <f>Table15[[#This Row],[pnl_official]]-Table15[[#This Row],[pnl_est]]</f>
        <v>#N/A</v>
      </c>
      <c r="K241" s="548" t="e">
        <f>Table15[[#This Row],[pnl_ym]]/Table15[[#This Row],[pnl_am]]</f>
        <v>#N/A</v>
      </c>
      <c r="L241" s="450" t="e">
        <f>IF(Table15[[#This Row],[pnl_official]]&lt;&gt;"", Table15[[#This Row],[pnl_official]]-MAX($D$79:$D241), NA())</f>
        <v>#N/A</v>
      </c>
      <c r="M241" s="450" t="e">
        <f>IF(Table15[[#This Row],[pnl_official]]&lt;&gt;"", IF(Table15[[#This Row],[pnl_official]]&gt;0, 0, Table15[[#This Row],[pnl_official]]), NA())</f>
        <v>#N/A</v>
      </c>
      <c r="N241" s="97"/>
    </row>
    <row r="242" spans="1:14" x14ac:dyDescent="0.25">
      <c r="A242" s="444">
        <v>46253</v>
      </c>
      <c r="B242" s="293">
        <v>164</v>
      </c>
      <c r="C242" s="661" t="e">
        <f>NA()</f>
        <v>#N/A</v>
      </c>
      <c r="D242" s="660" t="e">
        <f>IF(AND(ISNUMBER(Table15[[#This Row],[pnl_ym]]), ISNUMBER(Table15[[#This Row],[pnl_am]])), (Table15[[#This Row],[pnl_ym]]+Table15[[#This Row],[pnl_am]])/1000, NA())</f>
        <v>#N/A</v>
      </c>
      <c r="E242" s="589" t="e">
        <f>NA()</f>
        <v>#N/A</v>
      </c>
      <c r="F242" s="589" t="e">
        <f>NA()</f>
        <v>#N/A</v>
      </c>
      <c r="G242" s="423" t="e">
        <f>IF(Table15[[#This Row],[pnl_est]] &lt;&gt; "", Table15[[#This Row],[pnl_est]]-$C241, NA())</f>
        <v>#N/A</v>
      </c>
      <c r="H242" s="423" t="e">
        <f>IF(Table15[[#This Row],[pnl_official]] &lt;&gt; "", Table15[[#This Row],[pnl_official]]-D241, NA())</f>
        <v>#N/A</v>
      </c>
      <c r="I242" s="450" t="e">
        <f t="shared" si="5"/>
        <v>#N/A</v>
      </c>
      <c r="J242" s="568" t="e">
        <f>Table15[[#This Row],[pnl_official]]-Table15[[#This Row],[pnl_est]]</f>
        <v>#N/A</v>
      </c>
      <c r="K242" s="548" t="e">
        <f>Table15[[#This Row],[pnl_ym]]/Table15[[#This Row],[pnl_am]]</f>
        <v>#N/A</v>
      </c>
      <c r="L242" s="450" t="e">
        <f>IF(Table15[[#This Row],[pnl_official]]&lt;&gt;"", Table15[[#This Row],[pnl_official]]-MAX($D$79:$D242), NA())</f>
        <v>#N/A</v>
      </c>
      <c r="M242" s="450" t="e">
        <f>IF(Table15[[#This Row],[pnl_official]]&lt;&gt;"", IF(Table15[[#This Row],[pnl_official]]&gt;0, 0, Table15[[#This Row],[pnl_official]]), NA())</f>
        <v>#N/A</v>
      </c>
      <c r="N242" s="97"/>
    </row>
    <row r="243" spans="1:14" x14ac:dyDescent="0.25">
      <c r="A243" s="444">
        <v>46254</v>
      </c>
      <c r="B243" s="293">
        <v>165</v>
      </c>
      <c r="C243" s="661" t="e">
        <f>NA()</f>
        <v>#N/A</v>
      </c>
      <c r="D243" s="660" t="e">
        <f>IF(AND(ISNUMBER(Table15[[#This Row],[pnl_ym]]), ISNUMBER(Table15[[#This Row],[pnl_am]])), (Table15[[#This Row],[pnl_ym]]+Table15[[#This Row],[pnl_am]])/1000, NA())</f>
        <v>#N/A</v>
      </c>
      <c r="E243" s="589" t="e">
        <f>NA()</f>
        <v>#N/A</v>
      </c>
      <c r="F243" s="589" t="e">
        <f>NA()</f>
        <v>#N/A</v>
      </c>
      <c r="G243" s="423" t="e">
        <f>IF(Table15[[#This Row],[pnl_est]] &lt;&gt; "", Table15[[#This Row],[pnl_est]]-$C242, NA())</f>
        <v>#N/A</v>
      </c>
      <c r="H243" s="423" t="e">
        <f>IF(Table15[[#This Row],[pnl_official]] &lt;&gt; "", Table15[[#This Row],[pnl_official]]-D242, NA())</f>
        <v>#N/A</v>
      </c>
      <c r="I243" s="450" t="e">
        <f t="shared" si="5"/>
        <v>#N/A</v>
      </c>
      <c r="J243" s="568" t="e">
        <f>Table15[[#This Row],[pnl_official]]-Table15[[#This Row],[pnl_est]]</f>
        <v>#N/A</v>
      </c>
      <c r="K243" s="548" t="e">
        <f>Table15[[#This Row],[pnl_ym]]/Table15[[#This Row],[pnl_am]]</f>
        <v>#N/A</v>
      </c>
      <c r="L243" s="450" t="e">
        <f>IF(Table15[[#This Row],[pnl_official]]&lt;&gt;"", Table15[[#This Row],[pnl_official]]-MAX($D$79:$D243), NA())</f>
        <v>#N/A</v>
      </c>
      <c r="M243" s="450" t="e">
        <f>IF(Table15[[#This Row],[pnl_official]]&lt;&gt;"", IF(Table15[[#This Row],[pnl_official]]&gt;0, 0, Table15[[#This Row],[pnl_official]]), NA())</f>
        <v>#N/A</v>
      </c>
      <c r="N243" s="97"/>
    </row>
    <row r="244" spans="1:14" x14ac:dyDescent="0.25">
      <c r="A244" s="444">
        <v>46255</v>
      </c>
      <c r="B244" s="293">
        <v>166</v>
      </c>
      <c r="C244" s="661" t="e">
        <f>NA()</f>
        <v>#N/A</v>
      </c>
      <c r="D244" s="660" t="e">
        <f>IF(AND(ISNUMBER(Table15[[#This Row],[pnl_ym]]), ISNUMBER(Table15[[#This Row],[pnl_am]])), (Table15[[#This Row],[pnl_ym]]+Table15[[#This Row],[pnl_am]])/1000, NA())</f>
        <v>#N/A</v>
      </c>
      <c r="E244" s="589" t="e">
        <f>NA()</f>
        <v>#N/A</v>
      </c>
      <c r="F244" s="589" t="e">
        <f>NA()</f>
        <v>#N/A</v>
      </c>
      <c r="G244" s="423" t="e">
        <f>IF(Table15[[#This Row],[pnl_est]] &lt;&gt; "", Table15[[#This Row],[pnl_est]]-$C243, NA())</f>
        <v>#N/A</v>
      </c>
      <c r="H244" s="423" t="e">
        <f>IF(Table15[[#This Row],[pnl_official]] &lt;&gt; "", Table15[[#This Row],[pnl_official]]-D243, NA())</f>
        <v>#N/A</v>
      </c>
      <c r="I244" s="450" t="e">
        <f t="shared" si="5"/>
        <v>#N/A</v>
      </c>
      <c r="J244" s="568" t="e">
        <f>Table15[[#This Row],[pnl_official]]-Table15[[#This Row],[pnl_est]]</f>
        <v>#N/A</v>
      </c>
      <c r="K244" s="548" t="e">
        <f>Table15[[#This Row],[pnl_ym]]/Table15[[#This Row],[pnl_am]]</f>
        <v>#N/A</v>
      </c>
      <c r="L244" s="450" t="e">
        <f>IF(Table15[[#This Row],[pnl_official]]&lt;&gt;"", Table15[[#This Row],[pnl_official]]-MAX($D$79:$D244), NA())</f>
        <v>#N/A</v>
      </c>
      <c r="M244" s="450" t="e">
        <f>IF(Table15[[#This Row],[pnl_official]]&lt;&gt;"", IF(Table15[[#This Row],[pnl_official]]&gt;0, 0, Table15[[#This Row],[pnl_official]]), NA())</f>
        <v>#N/A</v>
      </c>
      <c r="N244" s="97"/>
    </row>
    <row r="245" spans="1:14" x14ac:dyDescent="0.25">
      <c r="A245" s="444">
        <v>46258</v>
      </c>
      <c r="B245" s="293">
        <v>167</v>
      </c>
      <c r="C245" s="661" t="e">
        <f>NA()</f>
        <v>#N/A</v>
      </c>
      <c r="D245" s="660" t="e">
        <f>IF(AND(ISNUMBER(Table15[[#This Row],[pnl_ym]]), ISNUMBER(Table15[[#This Row],[pnl_am]])), (Table15[[#This Row],[pnl_ym]]+Table15[[#This Row],[pnl_am]])/1000, NA())</f>
        <v>#N/A</v>
      </c>
      <c r="E245" s="589" t="e">
        <f>NA()</f>
        <v>#N/A</v>
      </c>
      <c r="F245" s="589" t="e">
        <f>NA()</f>
        <v>#N/A</v>
      </c>
      <c r="G245" s="423" t="e">
        <f>IF(Table15[[#This Row],[pnl_est]] &lt;&gt; "", Table15[[#This Row],[pnl_est]]-$C244, NA())</f>
        <v>#N/A</v>
      </c>
      <c r="H245" s="423" t="e">
        <f>IF(Table15[[#This Row],[pnl_official]] &lt;&gt; "", Table15[[#This Row],[pnl_official]]-D244, NA())</f>
        <v>#N/A</v>
      </c>
      <c r="I245" s="450" t="e">
        <f t="shared" si="5"/>
        <v>#N/A</v>
      </c>
      <c r="J245" s="568" t="e">
        <f>Table15[[#This Row],[pnl_official]]-Table15[[#This Row],[pnl_est]]</f>
        <v>#N/A</v>
      </c>
      <c r="K245" s="548" t="e">
        <f>Table15[[#This Row],[pnl_ym]]/Table15[[#This Row],[pnl_am]]</f>
        <v>#N/A</v>
      </c>
      <c r="L245" s="450" t="e">
        <f>IF(Table15[[#This Row],[pnl_official]]&lt;&gt;"", Table15[[#This Row],[pnl_official]]-MAX($D$79:$D245), NA())</f>
        <v>#N/A</v>
      </c>
      <c r="M245" s="450" t="e">
        <f>IF(Table15[[#This Row],[pnl_official]]&lt;&gt;"", IF(Table15[[#This Row],[pnl_official]]&gt;0, 0, Table15[[#This Row],[pnl_official]]), NA())</f>
        <v>#N/A</v>
      </c>
      <c r="N245" s="97"/>
    </row>
    <row r="246" spans="1:14" x14ac:dyDescent="0.25">
      <c r="A246" s="444">
        <v>46259</v>
      </c>
      <c r="B246" s="293">
        <v>168</v>
      </c>
      <c r="C246" s="661" t="e">
        <f>NA()</f>
        <v>#N/A</v>
      </c>
      <c r="D246" s="660" t="e">
        <f>IF(AND(ISNUMBER(Table15[[#This Row],[pnl_ym]]), ISNUMBER(Table15[[#This Row],[pnl_am]])), (Table15[[#This Row],[pnl_ym]]+Table15[[#This Row],[pnl_am]])/1000, NA())</f>
        <v>#N/A</v>
      </c>
      <c r="E246" s="589" t="e">
        <f>NA()</f>
        <v>#N/A</v>
      </c>
      <c r="F246" s="589" t="e">
        <f>NA()</f>
        <v>#N/A</v>
      </c>
      <c r="G246" s="423" t="e">
        <f>IF(Table15[[#This Row],[pnl_est]] &lt;&gt; "", Table15[[#This Row],[pnl_est]]-$C245, NA())</f>
        <v>#N/A</v>
      </c>
      <c r="H246" s="423" t="e">
        <f>IF(Table15[[#This Row],[pnl_official]] &lt;&gt; "", Table15[[#This Row],[pnl_official]]-D245, NA())</f>
        <v>#N/A</v>
      </c>
      <c r="I246" s="450" t="e">
        <f t="shared" si="5"/>
        <v>#N/A</v>
      </c>
      <c r="J246" s="568" t="e">
        <f>Table15[[#This Row],[pnl_official]]-Table15[[#This Row],[pnl_est]]</f>
        <v>#N/A</v>
      </c>
      <c r="K246" s="548" t="e">
        <f>Table15[[#This Row],[pnl_ym]]/Table15[[#This Row],[pnl_am]]</f>
        <v>#N/A</v>
      </c>
      <c r="L246" s="450" t="e">
        <f>IF(Table15[[#This Row],[pnl_official]]&lt;&gt;"", Table15[[#This Row],[pnl_official]]-MAX($D$79:$D246), NA())</f>
        <v>#N/A</v>
      </c>
      <c r="M246" s="450" t="e">
        <f>IF(Table15[[#This Row],[pnl_official]]&lt;&gt;"", IF(Table15[[#This Row],[pnl_official]]&gt;0, 0, Table15[[#This Row],[pnl_official]]), NA())</f>
        <v>#N/A</v>
      </c>
      <c r="N246" s="97"/>
    </row>
    <row r="247" spans="1:14" x14ac:dyDescent="0.25">
      <c r="A247" s="444">
        <v>46260</v>
      </c>
      <c r="B247" s="293">
        <v>169</v>
      </c>
      <c r="C247" s="661" t="e">
        <f>NA()</f>
        <v>#N/A</v>
      </c>
      <c r="D247" s="660" t="e">
        <f>IF(AND(ISNUMBER(Table15[[#This Row],[pnl_ym]]), ISNUMBER(Table15[[#This Row],[pnl_am]])), (Table15[[#This Row],[pnl_ym]]+Table15[[#This Row],[pnl_am]])/1000, NA())</f>
        <v>#N/A</v>
      </c>
      <c r="E247" s="589" t="e">
        <f>NA()</f>
        <v>#N/A</v>
      </c>
      <c r="F247" s="589" t="e">
        <f>NA()</f>
        <v>#N/A</v>
      </c>
      <c r="G247" s="423" t="e">
        <f>IF(Table15[[#This Row],[pnl_est]] &lt;&gt; "", Table15[[#This Row],[pnl_est]]-$C246, NA())</f>
        <v>#N/A</v>
      </c>
      <c r="H247" s="423" t="e">
        <f>IF(Table15[[#This Row],[pnl_official]] &lt;&gt; "", Table15[[#This Row],[pnl_official]]-D246, NA())</f>
        <v>#N/A</v>
      </c>
      <c r="I247" s="450" t="e">
        <f t="shared" si="5"/>
        <v>#N/A</v>
      </c>
      <c r="J247" s="568" t="e">
        <f>Table15[[#This Row],[pnl_official]]-Table15[[#This Row],[pnl_est]]</f>
        <v>#N/A</v>
      </c>
      <c r="K247" s="548" t="e">
        <f>Table15[[#This Row],[pnl_ym]]/Table15[[#This Row],[pnl_am]]</f>
        <v>#N/A</v>
      </c>
      <c r="L247" s="450" t="e">
        <f>IF(Table15[[#This Row],[pnl_official]]&lt;&gt;"", Table15[[#This Row],[pnl_official]]-MAX($D$79:$D247), NA())</f>
        <v>#N/A</v>
      </c>
      <c r="M247" s="450" t="e">
        <f>IF(Table15[[#This Row],[pnl_official]]&lt;&gt;"", IF(Table15[[#This Row],[pnl_official]]&gt;0, 0, Table15[[#This Row],[pnl_official]]), NA())</f>
        <v>#N/A</v>
      </c>
      <c r="N247" s="97"/>
    </row>
    <row r="248" spans="1:14" x14ac:dyDescent="0.25">
      <c r="A248" s="444">
        <v>46261</v>
      </c>
      <c r="B248" s="293">
        <v>170</v>
      </c>
      <c r="C248" s="661" t="e">
        <f>NA()</f>
        <v>#N/A</v>
      </c>
      <c r="D248" s="660" t="e">
        <f>IF(AND(ISNUMBER(Table15[[#This Row],[pnl_ym]]), ISNUMBER(Table15[[#This Row],[pnl_am]])), (Table15[[#This Row],[pnl_ym]]+Table15[[#This Row],[pnl_am]])/1000, NA())</f>
        <v>#N/A</v>
      </c>
      <c r="E248" s="589" t="e">
        <f>NA()</f>
        <v>#N/A</v>
      </c>
      <c r="F248" s="589" t="e">
        <f>NA()</f>
        <v>#N/A</v>
      </c>
      <c r="G248" s="423" t="e">
        <f>IF(Table15[[#This Row],[pnl_est]] &lt;&gt; "", Table15[[#This Row],[pnl_est]]-$C247, NA())</f>
        <v>#N/A</v>
      </c>
      <c r="H248" s="423" t="e">
        <f>IF(Table15[[#This Row],[pnl_official]] &lt;&gt; "", Table15[[#This Row],[pnl_official]]-D247, NA())</f>
        <v>#N/A</v>
      </c>
      <c r="I248" s="450" t="e">
        <f t="shared" si="5"/>
        <v>#N/A</v>
      </c>
      <c r="J248" s="568" t="e">
        <f>Table15[[#This Row],[pnl_official]]-Table15[[#This Row],[pnl_est]]</f>
        <v>#N/A</v>
      </c>
      <c r="K248" s="548" t="e">
        <f>Table15[[#This Row],[pnl_ym]]/Table15[[#This Row],[pnl_am]]</f>
        <v>#N/A</v>
      </c>
      <c r="L248" s="450" t="e">
        <f>IF(Table15[[#This Row],[pnl_official]]&lt;&gt;"", Table15[[#This Row],[pnl_official]]-MAX($D$79:$D248), NA())</f>
        <v>#N/A</v>
      </c>
      <c r="M248" s="450" t="e">
        <f>IF(Table15[[#This Row],[pnl_official]]&lt;&gt;"", IF(Table15[[#This Row],[pnl_official]]&gt;0, 0, Table15[[#This Row],[pnl_official]]), NA())</f>
        <v>#N/A</v>
      </c>
      <c r="N248" s="97"/>
    </row>
    <row r="249" spans="1:14" x14ac:dyDescent="0.25">
      <c r="A249" s="444">
        <v>46262</v>
      </c>
      <c r="B249" s="293">
        <v>171</v>
      </c>
      <c r="C249" s="661" t="e">
        <f>NA()</f>
        <v>#N/A</v>
      </c>
      <c r="D249" s="660" t="e">
        <f>IF(AND(ISNUMBER(Table15[[#This Row],[pnl_ym]]), ISNUMBER(Table15[[#This Row],[pnl_am]])), (Table15[[#This Row],[pnl_ym]]+Table15[[#This Row],[pnl_am]])/1000, NA())</f>
        <v>#N/A</v>
      </c>
      <c r="E249" s="589" t="e">
        <f>NA()</f>
        <v>#N/A</v>
      </c>
      <c r="F249" s="589" t="e">
        <f>NA()</f>
        <v>#N/A</v>
      </c>
      <c r="G249" s="423" t="e">
        <f>IF(Table15[[#This Row],[pnl_est]] &lt;&gt; "", Table15[[#This Row],[pnl_est]]-$C248, NA())</f>
        <v>#N/A</v>
      </c>
      <c r="H249" s="423" t="e">
        <f>IF(Table15[[#This Row],[pnl_official]] &lt;&gt; "", Table15[[#This Row],[pnl_official]]-D248, NA())</f>
        <v>#N/A</v>
      </c>
      <c r="I249" s="450" t="e">
        <f t="shared" si="5"/>
        <v>#N/A</v>
      </c>
      <c r="J249" s="568" t="e">
        <f>Table15[[#This Row],[pnl_official]]-Table15[[#This Row],[pnl_est]]</f>
        <v>#N/A</v>
      </c>
      <c r="K249" s="548" t="e">
        <f>Table15[[#This Row],[pnl_ym]]/Table15[[#This Row],[pnl_am]]</f>
        <v>#N/A</v>
      </c>
      <c r="L249" s="450" t="e">
        <f>IF(Table15[[#This Row],[pnl_official]]&lt;&gt;"", Table15[[#This Row],[pnl_official]]-MAX($D$79:$D249), NA())</f>
        <v>#N/A</v>
      </c>
      <c r="M249" s="450" t="e">
        <f>IF(Table15[[#This Row],[pnl_official]]&lt;&gt;"", IF(Table15[[#This Row],[pnl_official]]&gt;0, 0, Table15[[#This Row],[pnl_official]]), NA())</f>
        <v>#N/A</v>
      </c>
      <c r="N249" s="97"/>
    </row>
    <row r="250" spans="1:14" x14ac:dyDescent="0.25">
      <c r="A250" s="444">
        <v>46265</v>
      </c>
      <c r="B250" s="293">
        <v>172</v>
      </c>
      <c r="C250" s="661" t="e">
        <f>NA()</f>
        <v>#N/A</v>
      </c>
      <c r="D250" s="660" t="e">
        <f>IF(AND(ISNUMBER(Table15[[#This Row],[pnl_ym]]), ISNUMBER(Table15[[#This Row],[pnl_am]])), (Table15[[#This Row],[pnl_ym]]+Table15[[#This Row],[pnl_am]])/1000, NA())</f>
        <v>#N/A</v>
      </c>
      <c r="E250" s="589" t="e">
        <f>NA()</f>
        <v>#N/A</v>
      </c>
      <c r="F250" s="589" t="e">
        <f>NA()</f>
        <v>#N/A</v>
      </c>
      <c r="G250" s="423" t="e">
        <f>IF(Table15[[#This Row],[pnl_est]] &lt;&gt; "", Table15[[#This Row],[pnl_est]]-$C249, NA())</f>
        <v>#N/A</v>
      </c>
      <c r="H250" s="423" t="e">
        <f>IF(Table15[[#This Row],[pnl_official]] &lt;&gt; "", Table15[[#This Row],[pnl_official]]-D249, NA())</f>
        <v>#N/A</v>
      </c>
      <c r="I250" s="450" t="e">
        <f t="shared" si="5"/>
        <v>#N/A</v>
      </c>
      <c r="J250" s="568" t="e">
        <f>Table15[[#This Row],[pnl_official]]-Table15[[#This Row],[pnl_est]]</f>
        <v>#N/A</v>
      </c>
      <c r="K250" s="548" t="e">
        <f>Table15[[#This Row],[pnl_ym]]/Table15[[#This Row],[pnl_am]]</f>
        <v>#N/A</v>
      </c>
      <c r="L250" s="450" t="e">
        <f>IF(Table15[[#This Row],[pnl_official]]&lt;&gt;"", Table15[[#This Row],[pnl_official]]-MAX($D$79:$D250), NA())</f>
        <v>#N/A</v>
      </c>
      <c r="M250" s="450" t="e">
        <f>IF(Table15[[#This Row],[pnl_official]]&lt;&gt;"", IF(Table15[[#This Row],[pnl_official]]&gt;0, 0, Table15[[#This Row],[pnl_official]]), NA())</f>
        <v>#N/A</v>
      </c>
      <c r="N250" s="97"/>
    </row>
    <row r="251" spans="1:14" x14ac:dyDescent="0.25">
      <c r="A251" s="444">
        <v>46266</v>
      </c>
      <c r="B251" s="293">
        <v>173</v>
      </c>
      <c r="C251" s="661" t="e">
        <f>NA()</f>
        <v>#N/A</v>
      </c>
      <c r="D251" s="660" t="e">
        <f>IF(AND(ISNUMBER(Table15[[#This Row],[pnl_ym]]), ISNUMBER(Table15[[#This Row],[pnl_am]])), (Table15[[#This Row],[pnl_ym]]+Table15[[#This Row],[pnl_am]])/1000, NA())</f>
        <v>#N/A</v>
      </c>
      <c r="E251" s="589" t="e">
        <f>NA()</f>
        <v>#N/A</v>
      </c>
      <c r="F251" s="589" t="e">
        <f>NA()</f>
        <v>#N/A</v>
      </c>
      <c r="G251" s="423" t="e">
        <f>IF(Table15[[#This Row],[pnl_est]] &lt;&gt; "", Table15[[#This Row],[pnl_est]]-$C250, NA())</f>
        <v>#N/A</v>
      </c>
      <c r="H251" s="423" t="e">
        <f>IF(Table15[[#This Row],[pnl_official]] &lt;&gt; "", Table15[[#This Row],[pnl_official]]-D250, NA())</f>
        <v>#N/A</v>
      </c>
      <c r="I251" s="450" t="e">
        <f t="shared" si="5"/>
        <v>#N/A</v>
      </c>
      <c r="J251" s="568" t="e">
        <f>Table15[[#This Row],[pnl_official]]-Table15[[#This Row],[pnl_est]]</f>
        <v>#N/A</v>
      </c>
      <c r="K251" s="548" t="e">
        <f>Table15[[#This Row],[pnl_ym]]/Table15[[#This Row],[pnl_am]]</f>
        <v>#N/A</v>
      </c>
      <c r="L251" s="450" t="e">
        <f>IF(Table15[[#This Row],[pnl_official]]&lt;&gt;"", Table15[[#This Row],[pnl_official]]-MAX($D$79:$D251), NA())</f>
        <v>#N/A</v>
      </c>
      <c r="M251" s="450" t="e">
        <f>IF(Table15[[#This Row],[pnl_official]]&lt;&gt;"", IF(Table15[[#This Row],[pnl_official]]&gt;0, 0, Table15[[#This Row],[pnl_official]]), NA())</f>
        <v>#N/A</v>
      </c>
      <c r="N251" s="97"/>
    </row>
    <row r="252" spans="1:14" x14ac:dyDescent="0.25">
      <c r="A252" s="444">
        <v>46267</v>
      </c>
      <c r="B252" s="293">
        <v>174</v>
      </c>
      <c r="C252" s="661" t="e">
        <f>NA()</f>
        <v>#N/A</v>
      </c>
      <c r="D252" s="660" t="e">
        <f>IF(AND(ISNUMBER(Table15[[#This Row],[pnl_ym]]), ISNUMBER(Table15[[#This Row],[pnl_am]])), (Table15[[#This Row],[pnl_ym]]+Table15[[#This Row],[pnl_am]])/1000, NA())</f>
        <v>#N/A</v>
      </c>
      <c r="E252" s="589" t="e">
        <f>NA()</f>
        <v>#N/A</v>
      </c>
      <c r="F252" s="589" t="e">
        <f>NA()</f>
        <v>#N/A</v>
      </c>
      <c r="G252" s="423" t="e">
        <f>IF(Table15[[#This Row],[pnl_est]] &lt;&gt; "", Table15[[#This Row],[pnl_est]]-$C251, NA())</f>
        <v>#N/A</v>
      </c>
      <c r="H252" s="423" t="e">
        <f>IF(Table15[[#This Row],[pnl_official]] &lt;&gt; "", Table15[[#This Row],[pnl_official]]-D251, NA())</f>
        <v>#N/A</v>
      </c>
      <c r="I252" s="450" t="e">
        <f t="shared" si="5"/>
        <v>#N/A</v>
      </c>
      <c r="J252" s="568" t="e">
        <f>Table15[[#This Row],[pnl_official]]-Table15[[#This Row],[pnl_est]]</f>
        <v>#N/A</v>
      </c>
      <c r="K252" s="548" t="e">
        <f>Table15[[#This Row],[pnl_ym]]/Table15[[#This Row],[pnl_am]]</f>
        <v>#N/A</v>
      </c>
      <c r="L252" s="450" t="e">
        <f>IF(Table15[[#This Row],[pnl_official]]&lt;&gt;"", Table15[[#This Row],[pnl_official]]-MAX($D$79:$D252), NA())</f>
        <v>#N/A</v>
      </c>
      <c r="M252" s="450" t="e">
        <f>IF(Table15[[#This Row],[pnl_official]]&lt;&gt;"", IF(Table15[[#This Row],[pnl_official]]&gt;0, 0, Table15[[#This Row],[pnl_official]]), NA())</f>
        <v>#N/A</v>
      </c>
      <c r="N252" s="97"/>
    </row>
    <row r="253" spans="1:14" x14ac:dyDescent="0.25">
      <c r="A253" s="444">
        <v>46268</v>
      </c>
      <c r="B253" s="293">
        <v>175</v>
      </c>
      <c r="C253" s="661" t="e">
        <f>NA()</f>
        <v>#N/A</v>
      </c>
      <c r="D253" s="660" t="e">
        <f>IF(AND(ISNUMBER(Table15[[#This Row],[pnl_ym]]), ISNUMBER(Table15[[#This Row],[pnl_am]])), (Table15[[#This Row],[pnl_ym]]+Table15[[#This Row],[pnl_am]])/1000, NA())</f>
        <v>#N/A</v>
      </c>
      <c r="E253" s="589" t="e">
        <f>NA()</f>
        <v>#N/A</v>
      </c>
      <c r="F253" s="589" t="e">
        <f>NA()</f>
        <v>#N/A</v>
      </c>
      <c r="G253" s="423" t="e">
        <f>IF(Table15[[#This Row],[pnl_est]] &lt;&gt; "", Table15[[#This Row],[pnl_est]]-$C252, NA())</f>
        <v>#N/A</v>
      </c>
      <c r="H253" s="423" t="e">
        <f>IF(Table15[[#This Row],[pnl_official]] &lt;&gt; "", Table15[[#This Row],[pnl_official]]-D252, NA())</f>
        <v>#N/A</v>
      </c>
      <c r="I253" s="450" t="e">
        <f t="shared" si="5"/>
        <v>#N/A</v>
      </c>
      <c r="J253" s="568" t="e">
        <f>Table15[[#This Row],[pnl_official]]-Table15[[#This Row],[pnl_est]]</f>
        <v>#N/A</v>
      </c>
      <c r="K253" s="548" t="e">
        <f>Table15[[#This Row],[pnl_ym]]/Table15[[#This Row],[pnl_am]]</f>
        <v>#N/A</v>
      </c>
      <c r="L253" s="450" t="e">
        <f>IF(Table15[[#This Row],[pnl_official]]&lt;&gt;"", Table15[[#This Row],[pnl_official]]-MAX($D$79:$D253), NA())</f>
        <v>#N/A</v>
      </c>
      <c r="M253" s="450" t="e">
        <f>IF(Table15[[#This Row],[pnl_official]]&lt;&gt;"", IF(Table15[[#This Row],[pnl_official]]&gt;0, 0, Table15[[#This Row],[pnl_official]]), NA())</f>
        <v>#N/A</v>
      </c>
      <c r="N253" s="97"/>
    </row>
    <row r="254" spans="1:14" x14ac:dyDescent="0.25">
      <c r="A254" s="444">
        <v>46269</v>
      </c>
      <c r="B254" s="293">
        <v>176</v>
      </c>
      <c r="C254" s="661" t="e">
        <f>NA()</f>
        <v>#N/A</v>
      </c>
      <c r="D254" s="660" t="e">
        <f>IF(AND(ISNUMBER(Table15[[#This Row],[pnl_ym]]), ISNUMBER(Table15[[#This Row],[pnl_am]])), (Table15[[#This Row],[pnl_ym]]+Table15[[#This Row],[pnl_am]])/1000, NA())</f>
        <v>#N/A</v>
      </c>
      <c r="E254" s="589" t="e">
        <f>NA()</f>
        <v>#N/A</v>
      </c>
      <c r="F254" s="589" t="e">
        <f>NA()</f>
        <v>#N/A</v>
      </c>
      <c r="G254" s="423" t="e">
        <f>IF(Table15[[#This Row],[pnl_est]] &lt;&gt; "", Table15[[#This Row],[pnl_est]]-$C253, NA())</f>
        <v>#N/A</v>
      </c>
      <c r="H254" s="423" t="e">
        <f>IF(Table15[[#This Row],[pnl_official]] &lt;&gt; "", Table15[[#This Row],[pnl_official]]-D253, NA())</f>
        <v>#N/A</v>
      </c>
      <c r="I254" s="450" t="e">
        <f t="shared" si="5"/>
        <v>#N/A</v>
      </c>
      <c r="J254" s="568" t="e">
        <f>Table15[[#This Row],[pnl_official]]-Table15[[#This Row],[pnl_est]]</f>
        <v>#N/A</v>
      </c>
      <c r="K254" s="548" t="e">
        <f>Table15[[#This Row],[pnl_ym]]/Table15[[#This Row],[pnl_am]]</f>
        <v>#N/A</v>
      </c>
      <c r="L254" s="450" t="e">
        <f>IF(Table15[[#This Row],[pnl_official]]&lt;&gt;"", Table15[[#This Row],[pnl_official]]-MAX($D$79:$D254), NA())</f>
        <v>#N/A</v>
      </c>
      <c r="M254" s="450" t="e">
        <f>IF(Table15[[#This Row],[pnl_official]]&lt;&gt;"", IF(Table15[[#This Row],[pnl_official]]&gt;0, 0, Table15[[#This Row],[pnl_official]]), NA())</f>
        <v>#N/A</v>
      </c>
      <c r="N254" s="97"/>
    </row>
    <row r="255" spans="1:14" x14ac:dyDescent="0.25">
      <c r="A255" s="444">
        <v>46272</v>
      </c>
      <c r="B255" s="293">
        <v>177</v>
      </c>
      <c r="C255" s="661" t="e">
        <f>NA()</f>
        <v>#N/A</v>
      </c>
      <c r="D255" s="660" t="e">
        <f>IF(AND(ISNUMBER(Table15[[#This Row],[pnl_ym]]), ISNUMBER(Table15[[#This Row],[pnl_am]])), (Table15[[#This Row],[pnl_ym]]+Table15[[#This Row],[pnl_am]])/1000, NA())</f>
        <v>#N/A</v>
      </c>
      <c r="E255" s="589" t="e">
        <f>NA()</f>
        <v>#N/A</v>
      </c>
      <c r="F255" s="589" t="e">
        <f>NA()</f>
        <v>#N/A</v>
      </c>
      <c r="G255" s="423" t="e">
        <f>IF(Table15[[#This Row],[pnl_est]] &lt;&gt; "", Table15[[#This Row],[pnl_est]]-$C254, NA())</f>
        <v>#N/A</v>
      </c>
      <c r="H255" s="423" t="e">
        <f>IF(Table15[[#This Row],[pnl_official]] &lt;&gt; "", Table15[[#This Row],[pnl_official]]-D254, NA())</f>
        <v>#N/A</v>
      </c>
      <c r="I255" s="450" t="e">
        <f t="shared" si="5"/>
        <v>#N/A</v>
      </c>
      <c r="J255" s="568" t="e">
        <f>Table15[[#This Row],[pnl_official]]-Table15[[#This Row],[pnl_est]]</f>
        <v>#N/A</v>
      </c>
      <c r="K255" s="548" t="e">
        <f>Table15[[#This Row],[pnl_ym]]/Table15[[#This Row],[pnl_am]]</f>
        <v>#N/A</v>
      </c>
      <c r="L255" s="450" t="e">
        <f>IF(Table15[[#This Row],[pnl_official]]&lt;&gt;"", Table15[[#This Row],[pnl_official]]-MAX($D$79:$D255), NA())</f>
        <v>#N/A</v>
      </c>
      <c r="M255" s="450" t="e">
        <f>IF(Table15[[#This Row],[pnl_official]]&lt;&gt;"", IF(Table15[[#This Row],[pnl_official]]&gt;0, 0, Table15[[#This Row],[pnl_official]]), NA())</f>
        <v>#N/A</v>
      </c>
      <c r="N255" s="97"/>
    </row>
    <row r="256" spans="1:14" x14ac:dyDescent="0.25">
      <c r="A256" s="444">
        <v>46273</v>
      </c>
      <c r="B256" s="293">
        <v>178</v>
      </c>
      <c r="C256" s="661" t="e">
        <f>NA()</f>
        <v>#N/A</v>
      </c>
      <c r="D256" s="660" t="e">
        <f>IF(AND(ISNUMBER(Table15[[#This Row],[pnl_ym]]), ISNUMBER(Table15[[#This Row],[pnl_am]])), (Table15[[#This Row],[pnl_ym]]+Table15[[#This Row],[pnl_am]])/1000, NA())</f>
        <v>#N/A</v>
      </c>
      <c r="E256" s="589" t="e">
        <f>NA()</f>
        <v>#N/A</v>
      </c>
      <c r="F256" s="589" t="e">
        <f>NA()</f>
        <v>#N/A</v>
      </c>
      <c r="G256" s="423" t="e">
        <f>IF(Table15[[#This Row],[pnl_est]] &lt;&gt; "", Table15[[#This Row],[pnl_est]]-$C255, NA())</f>
        <v>#N/A</v>
      </c>
      <c r="H256" s="423" t="e">
        <f>IF(Table15[[#This Row],[pnl_official]] &lt;&gt; "", Table15[[#This Row],[pnl_official]]-D255, NA())</f>
        <v>#N/A</v>
      </c>
      <c r="I256" s="450" t="e">
        <f t="shared" si="5"/>
        <v>#N/A</v>
      </c>
      <c r="J256" s="568" t="e">
        <f>Table15[[#This Row],[pnl_official]]-Table15[[#This Row],[pnl_est]]</f>
        <v>#N/A</v>
      </c>
      <c r="K256" s="548" t="e">
        <f>Table15[[#This Row],[pnl_ym]]/Table15[[#This Row],[pnl_am]]</f>
        <v>#N/A</v>
      </c>
      <c r="L256" s="450" t="e">
        <f>IF(Table15[[#This Row],[pnl_official]]&lt;&gt;"", Table15[[#This Row],[pnl_official]]-MAX($D$79:$D256), NA())</f>
        <v>#N/A</v>
      </c>
      <c r="M256" s="450" t="e">
        <f>IF(Table15[[#This Row],[pnl_official]]&lt;&gt;"", IF(Table15[[#This Row],[pnl_official]]&gt;0, 0, Table15[[#This Row],[pnl_official]]), NA())</f>
        <v>#N/A</v>
      </c>
      <c r="N256" s="97"/>
    </row>
    <row r="257" spans="1:14" x14ac:dyDescent="0.25">
      <c r="A257" s="444">
        <v>46274</v>
      </c>
      <c r="B257" s="293">
        <v>179</v>
      </c>
      <c r="C257" s="661" t="e">
        <f>NA()</f>
        <v>#N/A</v>
      </c>
      <c r="D257" s="660" t="e">
        <f>IF(AND(ISNUMBER(Table15[[#This Row],[pnl_ym]]), ISNUMBER(Table15[[#This Row],[pnl_am]])), (Table15[[#This Row],[pnl_ym]]+Table15[[#This Row],[pnl_am]])/1000, NA())</f>
        <v>#N/A</v>
      </c>
      <c r="E257" s="589" t="e">
        <f>NA()</f>
        <v>#N/A</v>
      </c>
      <c r="F257" s="589" t="e">
        <f>NA()</f>
        <v>#N/A</v>
      </c>
      <c r="G257" s="423" t="e">
        <f>IF(Table15[[#This Row],[pnl_est]] &lt;&gt; "", Table15[[#This Row],[pnl_est]]-$C256, NA())</f>
        <v>#N/A</v>
      </c>
      <c r="H257" s="423" t="e">
        <f>IF(Table15[[#This Row],[pnl_official]] &lt;&gt; "", Table15[[#This Row],[pnl_official]]-D256, NA())</f>
        <v>#N/A</v>
      </c>
      <c r="I257" s="450" t="e">
        <f t="shared" si="5"/>
        <v>#N/A</v>
      </c>
      <c r="J257" s="568" t="e">
        <f>Table15[[#This Row],[pnl_official]]-Table15[[#This Row],[pnl_est]]</f>
        <v>#N/A</v>
      </c>
      <c r="K257" s="548" t="e">
        <f>Table15[[#This Row],[pnl_ym]]/Table15[[#This Row],[pnl_am]]</f>
        <v>#N/A</v>
      </c>
      <c r="L257" s="450" t="e">
        <f>IF(Table15[[#This Row],[pnl_official]]&lt;&gt;"", Table15[[#This Row],[pnl_official]]-MAX($D$79:$D257), NA())</f>
        <v>#N/A</v>
      </c>
      <c r="M257" s="450" t="e">
        <f>IF(Table15[[#This Row],[pnl_official]]&lt;&gt;"", IF(Table15[[#This Row],[pnl_official]]&gt;0, 0, Table15[[#This Row],[pnl_official]]), NA())</f>
        <v>#N/A</v>
      </c>
      <c r="N257" s="97"/>
    </row>
    <row r="258" spans="1:14" x14ac:dyDescent="0.25">
      <c r="A258" s="444">
        <v>46275</v>
      </c>
      <c r="B258" s="293">
        <v>180</v>
      </c>
      <c r="C258" s="661" t="e">
        <f>NA()</f>
        <v>#N/A</v>
      </c>
      <c r="D258" s="660" t="e">
        <f>IF(AND(ISNUMBER(Table15[[#This Row],[pnl_ym]]), ISNUMBER(Table15[[#This Row],[pnl_am]])), (Table15[[#This Row],[pnl_ym]]+Table15[[#This Row],[pnl_am]])/1000, NA())</f>
        <v>#N/A</v>
      </c>
      <c r="E258" s="589" t="e">
        <f>NA()</f>
        <v>#N/A</v>
      </c>
      <c r="F258" s="589" t="e">
        <f>NA()</f>
        <v>#N/A</v>
      </c>
      <c r="G258" s="423" t="e">
        <f>IF(Table15[[#This Row],[pnl_est]] &lt;&gt; "", Table15[[#This Row],[pnl_est]]-$C257, NA())</f>
        <v>#N/A</v>
      </c>
      <c r="H258" s="423" t="e">
        <f>IF(Table15[[#This Row],[pnl_official]] &lt;&gt; "", Table15[[#This Row],[pnl_official]]-D257, NA())</f>
        <v>#N/A</v>
      </c>
      <c r="I258" s="450" t="e">
        <f t="shared" si="5"/>
        <v>#N/A</v>
      </c>
      <c r="J258" s="568" t="e">
        <f>Table15[[#This Row],[pnl_official]]-Table15[[#This Row],[pnl_est]]</f>
        <v>#N/A</v>
      </c>
      <c r="K258" s="548" t="e">
        <f>Table15[[#This Row],[pnl_ym]]/Table15[[#This Row],[pnl_am]]</f>
        <v>#N/A</v>
      </c>
      <c r="L258" s="450" t="e">
        <f>IF(Table15[[#This Row],[pnl_official]]&lt;&gt;"", Table15[[#This Row],[pnl_official]]-MAX($D$79:$D258), NA())</f>
        <v>#N/A</v>
      </c>
      <c r="M258" s="450" t="e">
        <f>IF(Table15[[#This Row],[pnl_official]]&lt;&gt;"", IF(Table15[[#This Row],[pnl_official]]&gt;0, 0, Table15[[#This Row],[pnl_official]]), NA())</f>
        <v>#N/A</v>
      </c>
      <c r="N258" s="97"/>
    </row>
    <row r="259" spans="1:14" x14ac:dyDescent="0.25">
      <c r="A259" s="444">
        <v>46276</v>
      </c>
      <c r="B259" s="293">
        <v>181</v>
      </c>
      <c r="C259" s="661" t="e">
        <f>NA()</f>
        <v>#N/A</v>
      </c>
      <c r="D259" s="660" t="e">
        <f>IF(AND(ISNUMBER(Table15[[#This Row],[pnl_ym]]), ISNUMBER(Table15[[#This Row],[pnl_am]])), (Table15[[#This Row],[pnl_ym]]+Table15[[#This Row],[pnl_am]])/1000, NA())</f>
        <v>#N/A</v>
      </c>
      <c r="E259" s="589" t="e">
        <f>NA()</f>
        <v>#N/A</v>
      </c>
      <c r="F259" s="589" t="e">
        <f>NA()</f>
        <v>#N/A</v>
      </c>
      <c r="G259" s="423" t="e">
        <f>IF(Table15[[#This Row],[pnl_est]] &lt;&gt; "", Table15[[#This Row],[pnl_est]]-$C258, NA())</f>
        <v>#N/A</v>
      </c>
      <c r="H259" s="423" t="e">
        <f>IF(Table15[[#This Row],[pnl_official]] &lt;&gt; "", Table15[[#This Row],[pnl_official]]-D258, NA())</f>
        <v>#N/A</v>
      </c>
      <c r="I259" s="450" t="e">
        <f t="shared" si="5"/>
        <v>#N/A</v>
      </c>
      <c r="J259" s="568" t="e">
        <f>Table15[[#This Row],[pnl_official]]-Table15[[#This Row],[pnl_est]]</f>
        <v>#N/A</v>
      </c>
      <c r="K259" s="548" t="e">
        <f>Table15[[#This Row],[pnl_ym]]/Table15[[#This Row],[pnl_am]]</f>
        <v>#N/A</v>
      </c>
      <c r="L259" s="450" t="e">
        <f>IF(Table15[[#This Row],[pnl_official]]&lt;&gt;"", Table15[[#This Row],[pnl_official]]-MAX($D$79:$D259), NA())</f>
        <v>#N/A</v>
      </c>
      <c r="M259" s="450" t="e">
        <f>IF(Table15[[#This Row],[pnl_official]]&lt;&gt;"", IF(Table15[[#This Row],[pnl_official]]&gt;0, 0, Table15[[#This Row],[pnl_official]]), NA())</f>
        <v>#N/A</v>
      </c>
      <c r="N259" s="97"/>
    </row>
    <row r="260" spans="1:14" x14ac:dyDescent="0.25">
      <c r="A260" s="444">
        <v>46279</v>
      </c>
      <c r="B260" s="293">
        <v>182</v>
      </c>
      <c r="C260" s="661" t="e">
        <f>NA()</f>
        <v>#N/A</v>
      </c>
      <c r="D260" s="660" t="e">
        <f>IF(AND(ISNUMBER(Table15[[#This Row],[pnl_ym]]), ISNUMBER(Table15[[#This Row],[pnl_am]])), (Table15[[#This Row],[pnl_ym]]+Table15[[#This Row],[pnl_am]])/1000, NA())</f>
        <v>#N/A</v>
      </c>
      <c r="E260" s="589" t="e">
        <f>NA()</f>
        <v>#N/A</v>
      </c>
      <c r="F260" s="589" t="e">
        <f>NA()</f>
        <v>#N/A</v>
      </c>
      <c r="G260" s="423" t="e">
        <f>IF(Table15[[#This Row],[pnl_est]] &lt;&gt; "", Table15[[#This Row],[pnl_est]]-$C259, NA())</f>
        <v>#N/A</v>
      </c>
      <c r="H260" s="423" t="e">
        <f>IF(Table15[[#This Row],[pnl_official]] &lt;&gt; "", Table15[[#This Row],[pnl_official]]-D259, NA())</f>
        <v>#N/A</v>
      </c>
      <c r="I260" s="450" t="e">
        <f t="shared" si="5"/>
        <v>#N/A</v>
      </c>
      <c r="J260" s="568" t="e">
        <f>Table15[[#This Row],[pnl_official]]-Table15[[#This Row],[pnl_est]]</f>
        <v>#N/A</v>
      </c>
      <c r="K260" s="548" t="e">
        <f>Table15[[#This Row],[pnl_ym]]/Table15[[#This Row],[pnl_am]]</f>
        <v>#N/A</v>
      </c>
      <c r="L260" s="450" t="e">
        <f>IF(Table15[[#This Row],[pnl_official]]&lt;&gt;"", Table15[[#This Row],[pnl_official]]-MAX($D$79:$D260), NA())</f>
        <v>#N/A</v>
      </c>
      <c r="M260" s="450" t="e">
        <f>IF(Table15[[#This Row],[pnl_official]]&lt;&gt;"", IF(Table15[[#This Row],[pnl_official]]&gt;0, 0, Table15[[#This Row],[pnl_official]]), NA())</f>
        <v>#N/A</v>
      </c>
      <c r="N260" s="97"/>
    </row>
    <row r="261" spans="1:14" x14ac:dyDescent="0.25">
      <c r="A261" s="444">
        <v>46280</v>
      </c>
      <c r="B261" s="293">
        <v>183</v>
      </c>
      <c r="C261" s="661" t="e">
        <f>NA()</f>
        <v>#N/A</v>
      </c>
      <c r="D261" s="660" t="e">
        <f>IF(AND(ISNUMBER(Table15[[#This Row],[pnl_ym]]), ISNUMBER(Table15[[#This Row],[pnl_am]])), (Table15[[#This Row],[pnl_ym]]+Table15[[#This Row],[pnl_am]])/1000, NA())</f>
        <v>#N/A</v>
      </c>
      <c r="E261" s="589" t="e">
        <f>NA()</f>
        <v>#N/A</v>
      </c>
      <c r="F261" s="589" t="e">
        <f>NA()</f>
        <v>#N/A</v>
      </c>
      <c r="G261" s="423" t="e">
        <f>IF(Table15[[#This Row],[pnl_est]] &lt;&gt; "", Table15[[#This Row],[pnl_est]]-$C260, NA())</f>
        <v>#N/A</v>
      </c>
      <c r="H261" s="423" t="e">
        <f>IF(Table15[[#This Row],[pnl_official]] &lt;&gt; "", Table15[[#This Row],[pnl_official]]-D260, NA())</f>
        <v>#N/A</v>
      </c>
      <c r="I261" s="450" t="e">
        <f t="shared" si="5"/>
        <v>#N/A</v>
      </c>
      <c r="J261" s="568" t="e">
        <f>Table15[[#This Row],[pnl_official]]-Table15[[#This Row],[pnl_est]]</f>
        <v>#N/A</v>
      </c>
      <c r="K261" s="548" t="e">
        <f>Table15[[#This Row],[pnl_ym]]/Table15[[#This Row],[pnl_am]]</f>
        <v>#N/A</v>
      </c>
      <c r="L261" s="450" t="e">
        <f>IF(Table15[[#This Row],[pnl_official]]&lt;&gt;"", Table15[[#This Row],[pnl_official]]-MAX($D$79:$D261), NA())</f>
        <v>#N/A</v>
      </c>
      <c r="M261" s="450" t="e">
        <f>IF(Table15[[#This Row],[pnl_official]]&lt;&gt;"", IF(Table15[[#This Row],[pnl_official]]&gt;0, 0, Table15[[#This Row],[pnl_official]]), NA())</f>
        <v>#N/A</v>
      </c>
      <c r="N261" s="97"/>
    </row>
    <row r="262" spans="1:14" x14ac:dyDescent="0.25">
      <c r="A262" s="444">
        <v>46281</v>
      </c>
      <c r="B262" s="293">
        <v>184</v>
      </c>
      <c r="C262" s="661" t="e">
        <f>NA()</f>
        <v>#N/A</v>
      </c>
      <c r="D262" s="660" t="e">
        <f>IF(AND(ISNUMBER(Table15[[#This Row],[pnl_ym]]), ISNUMBER(Table15[[#This Row],[pnl_am]])), (Table15[[#This Row],[pnl_ym]]+Table15[[#This Row],[pnl_am]])/1000, NA())</f>
        <v>#N/A</v>
      </c>
      <c r="E262" s="589" t="e">
        <f>NA()</f>
        <v>#N/A</v>
      </c>
      <c r="F262" s="589" t="e">
        <f>NA()</f>
        <v>#N/A</v>
      </c>
      <c r="G262" s="423" t="e">
        <f>IF(Table15[[#This Row],[pnl_est]] &lt;&gt; "", Table15[[#This Row],[pnl_est]]-$C261, NA())</f>
        <v>#N/A</v>
      </c>
      <c r="H262" s="423" t="e">
        <f>IF(Table15[[#This Row],[pnl_official]] &lt;&gt; "", Table15[[#This Row],[pnl_official]]-D261, NA())</f>
        <v>#N/A</v>
      </c>
      <c r="I262" s="450" t="e">
        <f t="shared" si="5"/>
        <v>#N/A</v>
      </c>
      <c r="J262" s="568" t="e">
        <f>Table15[[#This Row],[pnl_official]]-Table15[[#This Row],[pnl_est]]</f>
        <v>#N/A</v>
      </c>
      <c r="K262" s="548" t="e">
        <f>Table15[[#This Row],[pnl_ym]]/Table15[[#This Row],[pnl_am]]</f>
        <v>#N/A</v>
      </c>
      <c r="L262" s="450" t="e">
        <f>IF(Table15[[#This Row],[pnl_official]]&lt;&gt;"", Table15[[#This Row],[pnl_official]]-MAX($D$79:$D262), NA())</f>
        <v>#N/A</v>
      </c>
      <c r="M262" s="450" t="e">
        <f>IF(Table15[[#This Row],[pnl_official]]&lt;&gt;"", IF(Table15[[#This Row],[pnl_official]]&gt;0, 0, Table15[[#This Row],[pnl_official]]), NA())</f>
        <v>#N/A</v>
      </c>
      <c r="N262" s="97"/>
    </row>
    <row r="263" spans="1:14" x14ac:dyDescent="0.25">
      <c r="A263" s="444">
        <v>46282</v>
      </c>
      <c r="B263" s="293">
        <v>185</v>
      </c>
      <c r="C263" s="661" t="e">
        <f>NA()</f>
        <v>#N/A</v>
      </c>
      <c r="D263" s="660" t="e">
        <f>IF(AND(ISNUMBER(Table15[[#This Row],[pnl_ym]]), ISNUMBER(Table15[[#This Row],[pnl_am]])), (Table15[[#This Row],[pnl_ym]]+Table15[[#This Row],[pnl_am]])/1000, NA())</f>
        <v>#N/A</v>
      </c>
      <c r="E263" s="589" t="e">
        <f>NA()</f>
        <v>#N/A</v>
      </c>
      <c r="F263" s="589" t="e">
        <f>NA()</f>
        <v>#N/A</v>
      </c>
      <c r="G263" s="423" t="e">
        <f>IF(Table15[[#This Row],[pnl_est]] &lt;&gt; "", Table15[[#This Row],[pnl_est]]-$C262, NA())</f>
        <v>#N/A</v>
      </c>
      <c r="H263" s="423" t="e">
        <f>IF(Table15[[#This Row],[pnl_official]] &lt;&gt; "", Table15[[#This Row],[pnl_official]]-D262, NA())</f>
        <v>#N/A</v>
      </c>
      <c r="I263" s="450" t="e">
        <f t="shared" si="5"/>
        <v>#N/A</v>
      </c>
      <c r="J263" s="568" t="e">
        <f>Table15[[#This Row],[pnl_official]]-Table15[[#This Row],[pnl_est]]</f>
        <v>#N/A</v>
      </c>
      <c r="K263" s="548" t="e">
        <f>Table15[[#This Row],[pnl_ym]]/Table15[[#This Row],[pnl_am]]</f>
        <v>#N/A</v>
      </c>
      <c r="L263" s="450" t="e">
        <f>IF(Table15[[#This Row],[pnl_official]]&lt;&gt;"", Table15[[#This Row],[pnl_official]]-MAX($D$79:$D263), NA())</f>
        <v>#N/A</v>
      </c>
      <c r="M263" s="450" t="e">
        <f>IF(Table15[[#This Row],[pnl_official]]&lt;&gt;"", IF(Table15[[#This Row],[pnl_official]]&gt;0, 0, Table15[[#This Row],[pnl_official]]), NA())</f>
        <v>#N/A</v>
      </c>
      <c r="N263" s="97"/>
    </row>
    <row r="264" spans="1:14" x14ac:dyDescent="0.25">
      <c r="A264" s="444">
        <v>46283</v>
      </c>
      <c r="B264" s="293">
        <v>186</v>
      </c>
      <c r="C264" s="661" t="e">
        <f>NA()</f>
        <v>#N/A</v>
      </c>
      <c r="D264" s="660" t="e">
        <f>IF(AND(ISNUMBER(Table15[[#This Row],[pnl_ym]]), ISNUMBER(Table15[[#This Row],[pnl_am]])), (Table15[[#This Row],[pnl_ym]]+Table15[[#This Row],[pnl_am]])/1000, NA())</f>
        <v>#N/A</v>
      </c>
      <c r="E264" s="589" t="e">
        <f>NA()</f>
        <v>#N/A</v>
      </c>
      <c r="F264" s="589" t="e">
        <f>NA()</f>
        <v>#N/A</v>
      </c>
      <c r="G264" s="423" t="e">
        <f>IF(Table15[[#This Row],[pnl_est]] &lt;&gt; "", Table15[[#This Row],[pnl_est]]-$C263, NA())</f>
        <v>#N/A</v>
      </c>
      <c r="H264" s="423" t="e">
        <f>IF(Table15[[#This Row],[pnl_official]] &lt;&gt; "", Table15[[#This Row],[pnl_official]]-D263, NA())</f>
        <v>#N/A</v>
      </c>
      <c r="I264" s="450" t="e">
        <f t="shared" si="5"/>
        <v>#N/A</v>
      </c>
      <c r="J264" s="568" t="e">
        <f>Table15[[#This Row],[pnl_official]]-Table15[[#This Row],[pnl_est]]</f>
        <v>#N/A</v>
      </c>
      <c r="K264" s="548" t="e">
        <f>Table15[[#This Row],[pnl_ym]]/Table15[[#This Row],[pnl_am]]</f>
        <v>#N/A</v>
      </c>
      <c r="L264" s="450" t="e">
        <f>IF(Table15[[#This Row],[pnl_official]]&lt;&gt;"", Table15[[#This Row],[pnl_official]]-MAX($D$79:$D264), NA())</f>
        <v>#N/A</v>
      </c>
      <c r="M264" s="450" t="e">
        <f>IF(Table15[[#This Row],[pnl_official]]&lt;&gt;"", IF(Table15[[#This Row],[pnl_official]]&gt;0, 0, Table15[[#This Row],[pnl_official]]), NA())</f>
        <v>#N/A</v>
      </c>
      <c r="N264" s="97"/>
    </row>
    <row r="265" spans="1:14" x14ac:dyDescent="0.25">
      <c r="A265" s="444">
        <v>46286</v>
      </c>
      <c r="B265" s="293">
        <v>187</v>
      </c>
      <c r="C265" s="661" t="e">
        <f>NA()</f>
        <v>#N/A</v>
      </c>
      <c r="D265" s="660" t="e">
        <f>IF(AND(ISNUMBER(Table15[[#This Row],[pnl_ym]]), ISNUMBER(Table15[[#This Row],[pnl_am]])), (Table15[[#This Row],[pnl_ym]]+Table15[[#This Row],[pnl_am]])/1000, NA())</f>
        <v>#N/A</v>
      </c>
      <c r="E265" s="589" t="e">
        <f>NA()</f>
        <v>#N/A</v>
      </c>
      <c r="F265" s="589" t="e">
        <f>NA()</f>
        <v>#N/A</v>
      </c>
      <c r="G265" s="423" t="e">
        <f>IF(Table15[[#This Row],[pnl_est]] &lt;&gt; "", Table15[[#This Row],[pnl_est]]-$C264, NA())</f>
        <v>#N/A</v>
      </c>
      <c r="H265" s="423" t="e">
        <f>IF(Table15[[#This Row],[pnl_official]] &lt;&gt; "", Table15[[#This Row],[pnl_official]]-D264, NA())</f>
        <v>#N/A</v>
      </c>
      <c r="I265" s="450" t="e">
        <f t="shared" si="5"/>
        <v>#N/A</v>
      </c>
      <c r="J265" s="568" t="e">
        <f>Table15[[#This Row],[pnl_official]]-Table15[[#This Row],[pnl_est]]</f>
        <v>#N/A</v>
      </c>
      <c r="K265" s="548" t="e">
        <f>Table15[[#This Row],[pnl_ym]]/Table15[[#This Row],[pnl_am]]</f>
        <v>#N/A</v>
      </c>
      <c r="L265" s="450" t="e">
        <f>IF(Table15[[#This Row],[pnl_official]]&lt;&gt;"", Table15[[#This Row],[pnl_official]]-MAX($D$79:$D265), NA())</f>
        <v>#N/A</v>
      </c>
      <c r="M265" s="450" t="e">
        <f>IF(Table15[[#This Row],[pnl_official]]&lt;&gt;"", IF(Table15[[#This Row],[pnl_official]]&gt;0, 0, Table15[[#This Row],[pnl_official]]), NA())</f>
        <v>#N/A</v>
      </c>
      <c r="N265" s="97"/>
    </row>
    <row r="266" spans="1:14" x14ac:dyDescent="0.25">
      <c r="A266" s="444">
        <v>46287</v>
      </c>
      <c r="B266" s="293">
        <v>188</v>
      </c>
      <c r="C266" s="661" t="e">
        <f>NA()</f>
        <v>#N/A</v>
      </c>
      <c r="D266" s="660" t="e">
        <f>IF(AND(ISNUMBER(Table15[[#This Row],[pnl_ym]]), ISNUMBER(Table15[[#This Row],[pnl_am]])), (Table15[[#This Row],[pnl_ym]]+Table15[[#This Row],[pnl_am]])/1000, NA())</f>
        <v>#N/A</v>
      </c>
      <c r="E266" s="589" t="e">
        <f>NA()</f>
        <v>#N/A</v>
      </c>
      <c r="F266" s="589" t="e">
        <f>NA()</f>
        <v>#N/A</v>
      </c>
      <c r="G266" s="423" t="e">
        <f>IF(Table15[[#This Row],[pnl_est]] &lt;&gt; "", Table15[[#This Row],[pnl_est]]-$C265, NA())</f>
        <v>#N/A</v>
      </c>
      <c r="H266" s="423" t="e">
        <f>IF(Table15[[#This Row],[pnl_official]] &lt;&gt; "", Table15[[#This Row],[pnl_official]]-D265, NA())</f>
        <v>#N/A</v>
      </c>
      <c r="I266" s="450" t="e">
        <f t="shared" si="5"/>
        <v>#N/A</v>
      </c>
      <c r="J266" s="568" t="e">
        <f>Table15[[#This Row],[pnl_official]]-Table15[[#This Row],[pnl_est]]</f>
        <v>#N/A</v>
      </c>
      <c r="K266" s="548" t="e">
        <f>Table15[[#This Row],[pnl_ym]]/Table15[[#This Row],[pnl_am]]</f>
        <v>#N/A</v>
      </c>
      <c r="L266" s="450" t="e">
        <f>IF(Table15[[#This Row],[pnl_official]]&lt;&gt;"", Table15[[#This Row],[pnl_official]]-MAX($D$79:$D266), NA())</f>
        <v>#N/A</v>
      </c>
      <c r="M266" s="450" t="e">
        <f>IF(Table15[[#This Row],[pnl_official]]&lt;&gt;"", IF(Table15[[#This Row],[pnl_official]]&gt;0, 0, Table15[[#This Row],[pnl_official]]), NA())</f>
        <v>#N/A</v>
      </c>
      <c r="N266" s="97"/>
    </row>
    <row r="267" spans="1:14" x14ac:dyDescent="0.25">
      <c r="A267" s="444">
        <v>46288</v>
      </c>
      <c r="B267" s="293">
        <v>189</v>
      </c>
      <c r="C267" s="661" t="e">
        <f>NA()</f>
        <v>#N/A</v>
      </c>
      <c r="D267" s="660" t="e">
        <f>IF(AND(ISNUMBER(Table15[[#This Row],[pnl_ym]]), ISNUMBER(Table15[[#This Row],[pnl_am]])), (Table15[[#This Row],[pnl_ym]]+Table15[[#This Row],[pnl_am]])/1000, NA())</f>
        <v>#N/A</v>
      </c>
      <c r="E267" s="589" t="e">
        <f>NA()</f>
        <v>#N/A</v>
      </c>
      <c r="F267" s="589" t="e">
        <f>NA()</f>
        <v>#N/A</v>
      </c>
      <c r="G267" s="423" t="e">
        <f>IF(Table15[[#This Row],[pnl_est]] &lt;&gt; "", Table15[[#This Row],[pnl_est]]-$C266, NA())</f>
        <v>#N/A</v>
      </c>
      <c r="H267" s="423" t="e">
        <f>IF(Table15[[#This Row],[pnl_official]] &lt;&gt; "", Table15[[#This Row],[pnl_official]]-D266, NA())</f>
        <v>#N/A</v>
      </c>
      <c r="I267" s="450" t="e">
        <f t="shared" si="5"/>
        <v>#N/A</v>
      </c>
      <c r="J267" s="568" t="e">
        <f>Table15[[#This Row],[pnl_official]]-Table15[[#This Row],[pnl_est]]</f>
        <v>#N/A</v>
      </c>
      <c r="K267" s="548" t="e">
        <f>Table15[[#This Row],[pnl_ym]]/Table15[[#This Row],[pnl_am]]</f>
        <v>#N/A</v>
      </c>
      <c r="L267" s="450" t="e">
        <f>IF(Table15[[#This Row],[pnl_official]]&lt;&gt;"", Table15[[#This Row],[pnl_official]]-MAX($D$79:$D267), NA())</f>
        <v>#N/A</v>
      </c>
      <c r="M267" s="450" t="e">
        <f>IF(Table15[[#This Row],[pnl_official]]&lt;&gt;"", IF(Table15[[#This Row],[pnl_official]]&gt;0, 0, Table15[[#This Row],[pnl_official]]), NA())</f>
        <v>#N/A</v>
      </c>
      <c r="N267" s="97"/>
    </row>
    <row r="268" spans="1:14" x14ac:dyDescent="0.25">
      <c r="A268" s="444">
        <v>46289</v>
      </c>
      <c r="B268" s="293">
        <v>190</v>
      </c>
      <c r="C268" s="661" t="e">
        <f>NA()</f>
        <v>#N/A</v>
      </c>
      <c r="D268" s="660" t="e">
        <f>IF(AND(ISNUMBER(Table15[[#This Row],[pnl_ym]]), ISNUMBER(Table15[[#This Row],[pnl_am]])), (Table15[[#This Row],[pnl_ym]]+Table15[[#This Row],[pnl_am]])/1000, NA())</f>
        <v>#N/A</v>
      </c>
      <c r="E268" s="589" t="e">
        <f>NA()</f>
        <v>#N/A</v>
      </c>
      <c r="F268" s="589" t="e">
        <f>NA()</f>
        <v>#N/A</v>
      </c>
      <c r="G268" s="423" t="e">
        <f>IF(Table15[[#This Row],[pnl_est]] &lt;&gt; "", Table15[[#This Row],[pnl_est]]-$C267, NA())</f>
        <v>#N/A</v>
      </c>
      <c r="H268" s="423" t="e">
        <f>IF(Table15[[#This Row],[pnl_official]] &lt;&gt; "", Table15[[#This Row],[pnl_official]]-D267, NA())</f>
        <v>#N/A</v>
      </c>
      <c r="I268" s="450" t="e">
        <f t="shared" si="5"/>
        <v>#N/A</v>
      </c>
      <c r="J268" s="568" t="e">
        <f>Table15[[#This Row],[pnl_official]]-Table15[[#This Row],[pnl_est]]</f>
        <v>#N/A</v>
      </c>
      <c r="K268" s="548" t="e">
        <f>Table15[[#This Row],[pnl_ym]]/Table15[[#This Row],[pnl_am]]</f>
        <v>#N/A</v>
      </c>
      <c r="L268" s="450" t="e">
        <f>IF(Table15[[#This Row],[pnl_official]]&lt;&gt;"", Table15[[#This Row],[pnl_official]]-MAX($D$79:$D268), NA())</f>
        <v>#N/A</v>
      </c>
      <c r="M268" s="450" t="e">
        <f>IF(Table15[[#This Row],[pnl_official]]&lt;&gt;"", IF(Table15[[#This Row],[pnl_official]]&gt;0, 0, Table15[[#This Row],[pnl_official]]), NA())</f>
        <v>#N/A</v>
      </c>
      <c r="N268" s="97"/>
    </row>
    <row r="269" spans="1:14" x14ac:dyDescent="0.25">
      <c r="A269" s="444">
        <v>46290</v>
      </c>
      <c r="B269" s="293">
        <v>191</v>
      </c>
      <c r="C269" s="661" t="e">
        <f>NA()</f>
        <v>#N/A</v>
      </c>
      <c r="D269" s="660" t="e">
        <f>IF(AND(ISNUMBER(Table15[[#This Row],[pnl_ym]]), ISNUMBER(Table15[[#This Row],[pnl_am]])), (Table15[[#This Row],[pnl_ym]]+Table15[[#This Row],[pnl_am]])/1000, NA())</f>
        <v>#N/A</v>
      </c>
      <c r="E269" s="589" t="e">
        <f>NA()</f>
        <v>#N/A</v>
      </c>
      <c r="F269" s="589" t="e">
        <f>NA()</f>
        <v>#N/A</v>
      </c>
      <c r="G269" s="423" t="e">
        <f>IF(Table15[[#This Row],[pnl_est]] &lt;&gt; "", Table15[[#This Row],[pnl_est]]-$C268, NA())</f>
        <v>#N/A</v>
      </c>
      <c r="H269" s="423" t="e">
        <f>IF(Table15[[#This Row],[pnl_official]] &lt;&gt; "", Table15[[#This Row],[pnl_official]]-D268, NA())</f>
        <v>#N/A</v>
      </c>
      <c r="I269" s="450" t="e">
        <f t="shared" si="5"/>
        <v>#N/A</v>
      </c>
      <c r="J269" s="568" t="e">
        <f>Table15[[#This Row],[pnl_official]]-Table15[[#This Row],[pnl_est]]</f>
        <v>#N/A</v>
      </c>
      <c r="K269" s="548" t="e">
        <f>Table15[[#This Row],[pnl_ym]]/Table15[[#This Row],[pnl_am]]</f>
        <v>#N/A</v>
      </c>
      <c r="L269" s="450" t="e">
        <f>IF(Table15[[#This Row],[pnl_official]]&lt;&gt;"", Table15[[#This Row],[pnl_official]]-MAX($D$79:$D269), NA())</f>
        <v>#N/A</v>
      </c>
      <c r="M269" s="450" t="e">
        <f>IF(Table15[[#This Row],[pnl_official]]&lt;&gt;"", IF(Table15[[#This Row],[pnl_official]]&gt;0, 0, Table15[[#This Row],[pnl_official]]), NA())</f>
        <v>#N/A</v>
      </c>
      <c r="N269" s="97"/>
    </row>
    <row r="270" spans="1:14" x14ac:dyDescent="0.25">
      <c r="A270" s="444">
        <v>46293</v>
      </c>
      <c r="B270" s="293">
        <v>192</v>
      </c>
      <c r="C270" s="661" t="e">
        <f>NA()</f>
        <v>#N/A</v>
      </c>
      <c r="D270" s="660" t="e">
        <f>IF(AND(ISNUMBER(Table15[[#This Row],[pnl_ym]]), ISNUMBER(Table15[[#This Row],[pnl_am]])), (Table15[[#This Row],[pnl_ym]]+Table15[[#This Row],[pnl_am]])/1000, NA())</f>
        <v>#N/A</v>
      </c>
      <c r="E270" s="589" t="e">
        <f>NA()</f>
        <v>#N/A</v>
      </c>
      <c r="F270" s="589" t="e">
        <f>NA()</f>
        <v>#N/A</v>
      </c>
      <c r="G270" s="423" t="e">
        <f>IF(Table15[[#This Row],[pnl_est]] &lt;&gt; "", Table15[[#This Row],[pnl_est]]-$C269, NA())</f>
        <v>#N/A</v>
      </c>
      <c r="H270" s="423" t="e">
        <f>IF(Table15[[#This Row],[pnl_official]] &lt;&gt; "", Table15[[#This Row],[pnl_official]]-D269, NA())</f>
        <v>#N/A</v>
      </c>
      <c r="I270" s="450" t="e">
        <f t="shared" si="5"/>
        <v>#N/A</v>
      </c>
      <c r="J270" s="568" t="e">
        <f>Table15[[#This Row],[pnl_official]]-Table15[[#This Row],[pnl_est]]</f>
        <v>#N/A</v>
      </c>
      <c r="K270" s="548" t="e">
        <f>Table15[[#This Row],[pnl_ym]]/Table15[[#This Row],[pnl_am]]</f>
        <v>#N/A</v>
      </c>
      <c r="L270" s="450" t="e">
        <f>IF(Table15[[#This Row],[pnl_official]]&lt;&gt;"", Table15[[#This Row],[pnl_official]]-MAX($D$79:$D270), NA())</f>
        <v>#N/A</v>
      </c>
      <c r="M270" s="450" t="e">
        <f>IF(Table15[[#This Row],[pnl_official]]&lt;&gt;"", IF(Table15[[#This Row],[pnl_official]]&gt;0, 0, Table15[[#This Row],[pnl_official]]), NA())</f>
        <v>#N/A</v>
      </c>
      <c r="N270" s="97"/>
    </row>
    <row r="271" spans="1:14" x14ac:dyDescent="0.25">
      <c r="A271" s="444">
        <v>46294</v>
      </c>
      <c r="B271" s="293">
        <v>193</v>
      </c>
      <c r="C271" s="661" t="e">
        <f>NA()</f>
        <v>#N/A</v>
      </c>
      <c r="D271" s="660" t="e">
        <f>IF(AND(ISNUMBER(Table15[[#This Row],[pnl_ym]]), ISNUMBER(Table15[[#This Row],[pnl_am]])), (Table15[[#This Row],[pnl_ym]]+Table15[[#This Row],[pnl_am]])/1000, NA())</f>
        <v>#N/A</v>
      </c>
      <c r="E271" s="589" t="e">
        <f>NA()</f>
        <v>#N/A</v>
      </c>
      <c r="F271" s="589" t="e">
        <f>NA()</f>
        <v>#N/A</v>
      </c>
      <c r="G271" s="423" t="e">
        <f>IF(Table15[[#This Row],[pnl_est]] &lt;&gt; "", Table15[[#This Row],[pnl_est]]-$C270, NA())</f>
        <v>#N/A</v>
      </c>
      <c r="H271" s="423" t="e">
        <f>IF(Table15[[#This Row],[pnl_official]] &lt;&gt; "", Table15[[#This Row],[pnl_official]]-D270, NA())</f>
        <v>#N/A</v>
      </c>
      <c r="I271" s="450" t="e">
        <f t="shared" si="5"/>
        <v>#N/A</v>
      </c>
      <c r="J271" s="568" t="e">
        <f>Table15[[#This Row],[pnl_official]]-Table15[[#This Row],[pnl_est]]</f>
        <v>#N/A</v>
      </c>
      <c r="K271" s="548" t="e">
        <f>Table15[[#This Row],[pnl_ym]]/Table15[[#This Row],[pnl_am]]</f>
        <v>#N/A</v>
      </c>
      <c r="L271" s="450" t="e">
        <f>IF(Table15[[#This Row],[pnl_official]]&lt;&gt;"", Table15[[#This Row],[pnl_official]]-MAX($D$79:$D271), NA())</f>
        <v>#N/A</v>
      </c>
      <c r="M271" s="450" t="e">
        <f>IF(Table15[[#This Row],[pnl_official]]&lt;&gt;"", IF(Table15[[#This Row],[pnl_official]]&gt;0, 0, Table15[[#This Row],[pnl_official]]), NA())</f>
        <v>#N/A</v>
      </c>
      <c r="N271" s="97"/>
    </row>
    <row r="272" spans="1:14" x14ac:dyDescent="0.25">
      <c r="A272" s="444">
        <v>46295</v>
      </c>
      <c r="B272" s="293">
        <v>194</v>
      </c>
      <c r="C272" s="661" t="e">
        <f>NA()</f>
        <v>#N/A</v>
      </c>
      <c r="D272" s="660" t="e">
        <f>IF(AND(ISNUMBER(Table15[[#This Row],[pnl_ym]]), ISNUMBER(Table15[[#This Row],[pnl_am]])), (Table15[[#This Row],[pnl_ym]]+Table15[[#This Row],[pnl_am]])/1000, NA())</f>
        <v>#N/A</v>
      </c>
      <c r="E272" s="589" t="e">
        <f>NA()</f>
        <v>#N/A</v>
      </c>
      <c r="F272" s="589" t="e">
        <f>NA()</f>
        <v>#N/A</v>
      </c>
      <c r="G272" s="423" t="e">
        <f>IF(Table15[[#This Row],[pnl_est]] &lt;&gt; "", Table15[[#This Row],[pnl_est]]-$C271, NA())</f>
        <v>#N/A</v>
      </c>
      <c r="H272" s="423" t="e">
        <f>IF(Table15[[#This Row],[pnl_official]] &lt;&gt; "", Table15[[#This Row],[pnl_official]]-D271, NA())</f>
        <v>#N/A</v>
      </c>
      <c r="I272" s="450" t="e">
        <f t="shared" ref="I272:I283" si="6">_xlfn.STDEV.S(H259:H272)</f>
        <v>#N/A</v>
      </c>
      <c r="J272" s="568" t="e">
        <f>Table15[[#This Row],[pnl_official]]-Table15[[#This Row],[pnl_est]]</f>
        <v>#N/A</v>
      </c>
      <c r="K272" s="548" t="e">
        <f>Table15[[#This Row],[pnl_ym]]/Table15[[#This Row],[pnl_am]]</f>
        <v>#N/A</v>
      </c>
      <c r="L272" s="450" t="e">
        <f>IF(Table15[[#This Row],[pnl_official]]&lt;&gt;"", Table15[[#This Row],[pnl_official]]-MAX($D$79:$D272), NA())</f>
        <v>#N/A</v>
      </c>
      <c r="M272" s="450" t="e">
        <f>IF(Table15[[#This Row],[pnl_official]]&lt;&gt;"", IF(Table15[[#This Row],[pnl_official]]&gt;0, 0, Table15[[#This Row],[pnl_official]]), NA())</f>
        <v>#N/A</v>
      </c>
      <c r="N272" s="97"/>
    </row>
    <row r="273" spans="1:14" x14ac:dyDescent="0.25">
      <c r="A273" s="444">
        <v>46296</v>
      </c>
      <c r="B273" s="293">
        <v>195</v>
      </c>
      <c r="C273" s="661" t="e">
        <f>NA()</f>
        <v>#N/A</v>
      </c>
      <c r="D273" s="660" t="e">
        <f>IF(AND(ISNUMBER(Table15[[#This Row],[pnl_ym]]), ISNUMBER(Table15[[#This Row],[pnl_am]])), (Table15[[#This Row],[pnl_ym]]+Table15[[#This Row],[pnl_am]])/1000, NA())</f>
        <v>#N/A</v>
      </c>
      <c r="E273" s="589" t="e">
        <f>NA()</f>
        <v>#N/A</v>
      </c>
      <c r="F273" s="589" t="e">
        <f>NA()</f>
        <v>#N/A</v>
      </c>
      <c r="G273" s="423" t="e">
        <f>IF(Table15[[#This Row],[pnl_est]] &lt;&gt; "", Table15[[#This Row],[pnl_est]]-$C272, NA())</f>
        <v>#N/A</v>
      </c>
      <c r="H273" s="423" t="e">
        <f>IF(Table15[[#This Row],[pnl_official]] &lt;&gt; "", Table15[[#This Row],[pnl_official]]-D272, NA())</f>
        <v>#N/A</v>
      </c>
      <c r="I273" s="450" t="e">
        <f t="shared" si="6"/>
        <v>#N/A</v>
      </c>
      <c r="J273" s="568" t="e">
        <f>Table15[[#This Row],[pnl_official]]-Table15[[#This Row],[pnl_est]]</f>
        <v>#N/A</v>
      </c>
      <c r="K273" s="548" t="e">
        <f>Table15[[#This Row],[pnl_ym]]/Table15[[#This Row],[pnl_am]]</f>
        <v>#N/A</v>
      </c>
      <c r="L273" s="450" t="e">
        <f>IF(Table15[[#This Row],[pnl_official]]&lt;&gt;"", Table15[[#This Row],[pnl_official]]-MAX($D$79:$D273), NA())</f>
        <v>#N/A</v>
      </c>
      <c r="M273" s="450" t="e">
        <f>IF(Table15[[#This Row],[pnl_official]]&lt;&gt;"", IF(Table15[[#This Row],[pnl_official]]&gt;0, 0, Table15[[#This Row],[pnl_official]]), NA())</f>
        <v>#N/A</v>
      </c>
      <c r="N273" s="97"/>
    </row>
    <row r="274" spans="1:14" x14ac:dyDescent="0.25">
      <c r="A274" s="444">
        <v>46297</v>
      </c>
      <c r="B274" s="293">
        <v>196</v>
      </c>
      <c r="C274" s="661" t="e">
        <f>NA()</f>
        <v>#N/A</v>
      </c>
      <c r="D274" s="660" t="e">
        <f>IF(AND(ISNUMBER(Table15[[#This Row],[pnl_ym]]), ISNUMBER(Table15[[#This Row],[pnl_am]])), (Table15[[#This Row],[pnl_ym]]+Table15[[#This Row],[pnl_am]])/1000, NA())</f>
        <v>#N/A</v>
      </c>
      <c r="E274" s="589" t="e">
        <f>NA()</f>
        <v>#N/A</v>
      </c>
      <c r="F274" s="589" t="e">
        <f>NA()</f>
        <v>#N/A</v>
      </c>
      <c r="G274" s="423" t="e">
        <f>IF(Table15[[#This Row],[pnl_est]] &lt;&gt; "", Table15[[#This Row],[pnl_est]]-$C273, NA())</f>
        <v>#N/A</v>
      </c>
      <c r="H274" s="423" t="e">
        <f>IF(Table15[[#This Row],[pnl_official]] &lt;&gt; "", Table15[[#This Row],[pnl_official]]-D273, NA())</f>
        <v>#N/A</v>
      </c>
      <c r="I274" s="450" t="e">
        <f t="shared" si="6"/>
        <v>#N/A</v>
      </c>
      <c r="J274" s="568" t="e">
        <f>Table15[[#This Row],[pnl_official]]-Table15[[#This Row],[pnl_est]]</f>
        <v>#N/A</v>
      </c>
      <c r="K274" s="548" t="e">
        <f>Table15[[#This Row],[pnl_ym]]/Table15[[#This Row],[pnl_am]]</f>
        <v>#N/A</v>
      </c>
      <c r="L274" s="450" t="e">
        <f>IF(Table15[[#This Row],[pnl_official]]&lt;&gt;"", Table15[[#This Row],[pnl_official]]-MAX($D$79:$D274), NA())</f>
        <v>#N/A</v>
      </c>
      <c r="M274" s="450" t="e">
        <f>IF(Table15[[#This Row],[pnl_official]]&lt;&gt;"", IF(Table15[[#This Row],[pnl_official]]&gt;0, 0, Table15[[#This Row],[pnl_official]]), NA())</f>
        <v>#N/A</v>
      </c>
      <c r="N274" s="97"/>
    </row>
    <row r="275" spans="1:14" x14ac:dyDescent="0.25">
      <c r="A275" s="444">
        <v>46300</v>
      </c>
      <c r="B275" s="293">
        <v>197</v>
      </c>
      <c r="C275" s="661" t="e">
        <f>NA()</f>
        <v>#N/A</v>
      </c>
      <c r="D275" s="660" t="e">
        <f>IF(AND(ISNUMBER(Table15[[#This Row],[pnl_ym]]), ISNUMBER(Table15[[#This Row],[pnl_am]])), (Table15[[#This Row],[pnl_ym]]+Table15[[#This Row],[pnl_am]])/1000, NA())</f>
        <v>#N/A</v>
      </c>
      <c r="E275" s="589" t="e">
        <f>NA()</f>
        <v>#N/A</v>
      </c>
      <c r="F275" s="589" t="e">
        <f>NA()</f>
        <v>#N/A</v>
      </c>
      <c r="G275" s="423" t="e">
        <f>IF(Table15[[#This Row],[pnl_est]] &lt;&gt; "", Table15[[#This Row],[pnl_est]]-$C274, NA())</f>
        <v>#N/A</v>
      </c>
      <c r="H275" s="423" t="e">
        <f>IF(Table15[[#This Row],[pnl_official]] &lt;&gt; "", Table15[[#This Row],[pnl_official]]-D274, NA())</f>
        <v>#N/A</v>
      </c>
      <c r="I275" s="450" t="e">
        <f t="shared" si="6"/>
        <v>#N/A</v>
      </c>
      <c r="J275" s="568" t="e">
        <f>Table15[[#This Row],[pnl_official]]-Table15[[#This Row],[pnl_est]]</f>
        <v>#N/A</v>
      </c>
      <c r="K275" s="548" t="e">
        <f>Table15[[#This Row],[pnl_ym]]/Table15[[#This Row],[pnl_am]]</f>
        <v>#N/A</v>
      </c>
      <c r="L275" s="450" t="e">
        <f>IF(Table15[[#This Row],[pnl_official]]&lt;&gt;"", Table15[[#This Row],[pnl_official]]-MAX($D$79:$D275), NA())</f>
        <v>#N/A</v>
      </c>
      <c r="M275" s="450" t="e">
        <f>IF(Table15[[#This Row],[pnl_official]]&lt;&gt;"", IF(Table15[[#This Row],[pnl_official]]&gt;0, 0, Table15[[#This Row],[pnl_official]]), NA())</f>
        <v>#N/A</v>
      </c>
      <c r="N275" s="97"/>
    </row>
    <row r="276" spans="1:14" x14ac:dyDescent="0.25">
      <c r="A276" s="444">
        <v>46301</v>
      </c>
      <c r="B276" s="293">
        <v>198</v>
      </c>
      <c r="C276" s="661" t="e">
        <f>NA()</f>
        <v>#N/A</v>
      </c>
      <c r="D276" s="660" t="e">
        <f>IF(AND(ISNUMBER(Table15[[#This Row],[pnl_ym]]), ISNUMBER(Table15[[#This Row],[pnl_am]])), (Table15[[#This Row],[pnl_ym]]+Table15[[#This Row],[pnl_am]])/1000, NA())</f>
        <v>#N/A</v>
      </c>
      <c r="E276" s="589" t="e">
        <f>NA()</f>
        <v>#N/A</v>
      </c>
      <c r="F276" s="589" t="e">
        <f>NA()</f>
        <v>#N/A</v>
      </c>
      <c r="G276" s="423" t="e">
        <f>IF(Table15[[#This Row],[pnl_est]] &lt;&gt; "", Table15[[#This Row],[pnl_est]]-$C275, NA())</f>
        <v>#N/A</v>
      </c>
      <c r="H276" s="423" t="e">
        <f>IF(Table15[[#This Row],[pnl_official]] &lt;&gt; "", Table15[[#This Row],[pnl_official]]-D275, NA())</f>
        <v>#N/A</v>
      </c>
      <c r="I276" s="450" t="e">
        <f t="shared" si="6"/>
        <v>#N/A</v>
      </c>
      <c r="J276" s="568" t="e">
        <f>Table15[[#This Row],[pnl_official]]-Table15[[#This Row],[pnl_est]]</f>
        <v>#N/A</v>
      </c>
      <c r="K276" s="548" t="e">
        <f>Table15[[#This Row],[pnl_ym]]/Table15[[#This Row],[pnl_am]]</f>
        <v>#N/A</v>
      </c>
      <c r="L276" s="450" t="e">
        <f>IF(Table15[[#This Row],[pnl_official]]&lt;&gt;"", Table15[[#This Row],[pnl_official]]-MAX($D$79:$D276), NA())</f>
        <v>#N/A</v>
      </c>
      <c r="M276" s="450" t="e">
        <f>IF(Table15[[#This Row],[pnl_official]]&lt;&gt;"", IF(Table15[[#This Row],[pnl_official]]&gt;0, 0, Table15[[#This Row],[pnl_official]]), NA())</f>
        <v>#N/A</v>
      </c>
      <c r="N276" s="97"/>
    </row>
    <row r="277" spans="1:14" x14ac:dyDescent="0.25">
      <c r="A277" s="444">
        <v>46302</v>
      </c>
      <c r="B277" s="293">
        <v>199</v>
      </c>
      <c r="C277" s="661" t="e">
        <f>NA()</f>
        <v>#N/A</v>
      </c>
      <c r="D277" s="660" t="e">
        <f>IF(AND(ISNUMBER(Table15[[#This Row],[pnl_ym]]), ISNUMBER(Table15[[#This Row],[pnl_am]])), (Table15[[#This Row],[pnl_ym]]+Table15[[#This Row],[pnl_am]])/1000, NA())</f>
        <v>#N/A</v>
      </c>
      <c r="E277" s="589" t="e">
        <f>NA()</f>
        <v>#N/A</v>
      </c>
      <c r="F277" s="589" t="e">
        <f>NA()</f>
        <v>#N/A</v>
      </c>
      <c r="G277" s="423" t="e">
        <f>IF(Table15[[#This Row],[pnl_est]] &lt;&gt; "", Table15[[#This Row],[pnl_est]]-$C276, NA())</f>
        <v>#N/A</v>
      </c>
      <c r="H277" s="423" t="e">
        <f>IF(Table15[[#This Row],[pnl_official]] &lt;&gt; "", Table15[[#This Row],[pnl_official]]-D276, NA())</f>
        <v>#N/A</v>
      </c>
      <c r="I277" s="450" t="e">
        <f t="shared" si="6"/>
        <v>#N/A</v>
      </c>
      <c r="J277" s="568" t="e">
        <f>Table15[[#This Row],[pnl_official]]-Table15[[#This Row],[pnl_est]]</f>
        <v>#N/A</v>
      </c>
      <c r="K277" s="548" t="e">
        <f>Table15[[#This Row],[pnl_ym]]/Table15[[#This Row],[pnl_am]]</f>
        <v>#N/A</v>
      </c>
      <c r="L277" s="450" t="e">
        <f>IF(Table15[[#This Row],[pnl_official]]&lt;&gt;"", Table15[[#This Row],[pnl_official]]-MAX($D$79:$D277), NA())</f>
        <v>#N/A</v>
      </c>
      <c r="M277" s="450" t="e">
        <f>IF(Table15[[#This Row],[pnl_official]]&lt;&gt;"", IF(Table15[[#This Row],[pnl_official]]&gt;0, 0, Table15[[#This Row],[pnl_official]]), NA())</f>
        <v>#N/A</v>
      </c>
      <c r="N277" s="97"/>
    </row>
    <row r="278" spans="1:14" x14ac:dyDescent="0.25">
      <c r="A278" s="444">
        <v>46303</v>
      </c>
      <c r="B278" s="293">
        <v>200</v>
      </c>
      <c r="C278" s="661" t="e">
        <f>NA()</f>
        <v>#N/A</v>
      </c>
      <c r="D278" s="660" t="e">
        <f>IF(AND(ISNUMBER(Table15[[#This Row],[pnl_ym]]), ISNUMBER(Table15[[#This Row],[pnl_am]])), (Table15[[#This Row],[pnl_ym]]+Table15[[#This Row],[pnl_am]])/1000, NA())</f>
        <v>#N/A</v>
      </c>
      <c r="E278" s="589" t="e">
        <f>NA()</f>
        <v>#N/A</v>
      </c>
      <c r="F278" s="589" t="e">
        <f>NA()</f>
        <v>#N/A</v>
      </c>
      <c r="G278" s="423" t="e">
        <f>IF(Table15[[#This Row],[pnl_est]] &lt;&gt; "", Table15[[#This Row],[pnl_est]]-$C277, NA())</f>
        <v>#N/A</v>
      </c>
      <c r="H278" s="423" t="e">
        <f>IF(Table15[[#This Row],[pnl_official]] &lt;&gt; "", Table15[[#This Row],[pnl_official]]-D277, NA())</f>
        <v>#N/A</v>
      </c>
      <c r="I278" s="450" t="e">
        <f t="shared" si="6"/>
        <v>#N/A</v>
      </c>
      <c r="J278" s="568" t="e">
        <f>Table15[[#This Row],[pnl_official]]-Table15[[#This Row],[pnl_est]]</f>
        <v>#N/A</v>
      </c>
      <c r="K278" s="548" t="e">
        <f>Table15[[#This Row],[pnl_ym]]/Table15[[#This Row],[pnl_am]]</f>
        <v>#N/A</v>
      </c>
      <c r="L278" s="450" t="e">
        <f>IF(Table15[[#This Row],[pnl_official]]&lt;&gt;"", Table15[[#This Row],[pnl_official]]-MAX($D$79:$D278), NA())</f>
        <v>#N/A</v>
      </c>
      <c r="M278" s="450" t="e">
        <f>IF(Table15[[#This Row],[pnl_official]]&lt;&gt;"", IF(Table15[[#This Row],[pnl_official]]&gt;0, 0, Table15[[#This Row],[pnl_official]]), NA())</f>
        <v>#N/A</v>
      </c>
      <c r="N278" s="97"/>
    </row>
    <row r="279" spans="1:14" x14ac:dyDescent="0.25">
      <c r="A279" s="444">
        <v>46304</v>
      </c>
      <c r="B279" s="293">
        <v>201</v>
      </c>
      <c r="C279" s="661" t="e">
        <f>NA()</f>
        <v>#N/A</v>
      </c>
      <c r="D279" s="660" t="e">
        <f>IF(AND(ISNUMBER(Table15[[#This Row],[pnl_ym]]), ISNUMBER(Table15[[#This Row],[pnl_am]])), (Table15[[#This Row],[pnl_ym]]+Table15[[#This Row],[pnl_am]])/1000, NA())</f>
        <v>#N/A</v>
      </c>
      <c r="E279" s="589" t="e">
        <f>NA()</f>
        <v>#N/A</v>
      </c>
      <c r="F279" s="589" t="e">
        <f>NA()</f>
        <v>#N/A</v>
      </c>
      <c r="G279" s="423" t="e">
        <f>IF(Table15[[#This Row],[pnl_est]] &lt;&gt; "", Table15[[#This Row],[pnl_est]]-$C278, NA())</f>
        <v>#N/A</v>
      </c>
      <c r="H279" s="423" t="e">
        <f>IF(Table15[[#This Row],[pnl_official]] &lt;&gt; "", Table15[[#This Row],[pnl_official]]-D278, NA())</f>
        <v>#N/A</v>
      </c>
      <c r="I279" s="450" t="e">
        <f t="shared" si="6"/>
        <v>#N/A</v>
      </c>
      <c r="J279" s="568" t="e">
        <f>Table15[[#This Row],[pnl_official]]-Table15[[#This Row],[pnl_est]]</f>
        <v>#N/A</v>
      </c>
      <c r="K279" s="548" t="e">
        <f>Table15[[#This Row],[pnl_ym]]/Table15[[#This Row],[pnl_am]]</f>
        <v>#N/A</v>
      </c>
      <c r="L279" s="450" t="e">
        <f>IF(Table15[[#This Row],[pnl_official]]&lt;&gt;"", Table15[[#This Row],[pnl_official]]-MAX($D$79:$D279), NA())</f>
        <v>#N/A</v>
      </c>
      <c r="M279" s="450" t="e">
        <f>IF(Table15[[#This Row],[pnl_official]]&lt;&gt;"", IF(Table15[[#This Row],[pnl_official]]&gt;0, 0, Table15[[#This Row],[pnl_official]]), NA())</f>
        <v>#N/A</v>
      </c>
      <c r="N279" s="97"/>
    </row>
    <row r="280" spans="1:14" x14ac:dyDescent="0.25">
      <c r="A280" s="444">
        <v>46307</v>
      </c>
      <c r="B280" s="293">
        <v>202</v>
      </c>
      <c r="C280" s="661" t="e">
        <f>NA()</f>
        <v>#N/A</v>
      </c>
      <c r="D280" s="660" t="e">
        <f>IF(AND(ISNUMBER(Table15[[#This Row],[pnl_ym]]), ISNUMBER(Table15[[#This Row],[pnl_am]])), (Table15[[#This Row],[pnl_ym]]+Table15[[#This Row],[pnl_am]])/1000, NA())</f>
        <v>#N/A</v>
      </c>
      <c r="E280" s="589" t="e">
        <f>NA()</f>
        <v>#N/A</v>
      </c>
      <c r="F280" s="589" t="e">
        <f>NA()</f>
        <v>#N/A</v>
      </c>
      <c r="G280" s="423" t="e">
        <f>IF(Table15[[#This Row],[pnl_est]] &lt;&gt; "", Table15[[#This Row],[pnl_est]]-$C279, NA())</f>
        <v>#N/A</v>
      </c>
      <c r="H280" s="423" t="e">
        <f>IF(Table15[[#This Row],[pnl_official]] &lt;&gt; "", Table15[[#This Row],[pnl_official]]-D279, NA())</f>
        <v>#N/A</v>
      </c>
      <c r="I280" s="450" t="e">
        <f t="shared" si="6"/>
        <v>#N/A</v>
      </c>
      <c r="J280" s="568" t="e">
        <f>Table15[[#This Row],[pnl_official]]-Table15[[#This Row],[pnl_est]]</f>
        <v>#N/A</v>
      </c>
      <c r="K280" s="548" t="e">
        <f>Table15[[#This Row],[pnl_ym]]/Table15[[#This Row],[pnl_am]]</f>
        <v>#N/A</v>
      </c>
      <c r="L280" s="450" t="e">
        <f>IF(Table15[[#This Row],[pnl_official]]&lt;&gt;"", Table15[[#This Row],[pnl_official]]-MAX($D$79:$D280), NA())</f>
        <v>#N/A</v>
      </c>
      <c r="M280" s="450" t="e">
        <f>IF(Table15[[#This Row],[pnl_official]]&lt;&gt;"", IF(Table15[[#This Row],[pnl_official]]&gt;0, 0, Table15[[#This Row],[pnl_official]]), NA())</f>
        <v>#N/A</v>
      </c>
      <c r="N280" s="97"/>
    </row>
    <row r="281" spans="1:14" x14ac:dyDescent="0.25">
      <c r="A281" s="444">
        <v>46308</v>
      </c>
      <c r="B281" s="293">
        <v>203</v>
      </c>
      <c r="C281" s="661" t="e">
        <f>NA()</f>
        <v>#N/A</v>
      </c>
      <c r="D281" s="660" t="e">
        <f>IF(AND(ISNUMBER(Table15[[#This Row],[pnl_ym]]), ISNUMBER(Table15[[#This Row],[pnl_am]])), (Table15[[#This Row],[pnl_ym]]+Table15[[#This Row],[pnl_am]])/1000, NA())</f>
        <v>#N/A</v>
      </c>
      <c r="E281" s="589" t="e">
        <f>NA()</f>
        <v>#N/A</v>
      </c>
      <c r="F281" s="589" t="e">
        <f>NA()</f>
        <v>#N/A</v>
      </c>
      <c r="G281" s="423" t="e">
        <f>IF(Table15[[#This Row],[pnl_est]] &lt;&gt; "", Table15[[#This Row],[pnl_est]]-$C280, NA())</f>
        <v>#N/A</v>
      </c>
      <c r="H281" s="423" t="e">
        <f>IF(Table15[[#This Row],[pnl_official]] &lt;&gt; "", Table15[[#This Row],[pnl_official]]-D280, NA())</f>
        <v>#N/A</v>
      </c>
      <c r="I281" s="450" t="e">
        <f t="shared" si="6"/>
        <v>#N/A</v>
      </c>
      <c r="J281" s="568" t="e">
        <f>Table15[[#This Row],[pnl_official]]-Table15[[#This Row],[pnl_est]]</f>
        <v>#N/A</v>
      </c>
      <c r="K281" s="548" t="e">
        <f>Table15[[#This Row],[pnl_ym]]/Table15[[#This Row],[pnl_am]]</f>
        <v>#N/A</v>
      </c>
      <c r="L281" s="450" t="e">
        <f>IF(Table15[[#This Row],[pnl_official]]&lt;&gt;"", Table15[[#This Row],[pnl_official]]-MAX($D$79:$D281), NA())</f>
        <v>#N/A</v>
      </c>
      <c r="M281" s="450" t="e">
        <f>IF(Table15[[#This Row],[pnl_official]]&lt;&gt;"", IF(Table15[[#This Row],[pnl_official]]&gt;0, 0, Table15[[#This Row],[pnl_official]]), NA())</f>
        <v>#N/A</v>
      </c>
      <c r="N281" s="97"/>
    </row>
    <row r="282" spans="1:14" x14ac:dyDescent="0.25">
      <c r="A282" s="444">
        <v>46309</v>
      </c>
      <c r="B282" s="293">
        <v>204</v>
      </c>
      <c r="C282" s="661" t="e">
        <f>NA()</f>
        <v>#N/A</v>
      </c>
      <c r="D282" s="660" t="e">
        <f>IF(AND(ISNUMBER(Table15[[#This Row],[pnl_ym]]), ISNUMBER(Table15[[#This Row],[pnl_am]])), (Table15[[#This Row],[pnl_ym]]+Table15[[#This Row],[pnl_am]])/1000, NA())</f>
        <v>#N/A</v>
      </c>
      <c r="E282" s="589" t="e">
        <f>NA()</f>
        <v>#N/A</v>
      </c>
      <c r="F282" s="589" t="e">
        <f>NA()</f>
        <v>#N/A</v>
      </c>
      <c r="G282" s="423" t="e">
        <f>IF(Table15[[#This Row],[pnl_est]] &lt;&gt; "", Table15[[#This Row],[pnl_est]]-$C281, NA())</f>
        <v>#N/A</v>
      </c>
      <c r="H282" s="423" t="e">
        <f>IF(Table15[[#This Row],[pnl_official]] &lt;&gt; "", Table15[[#This Row],[pnl_official]]-D281, NA())</f>
        <v>#N/A</v>
      </c>
      <c r="I282" s="450" t="e">
        <f t="shared" si="6"/>
        <v>#N/A</v>
      </c>
      <c r="J282" s="568" t="e">
        <f>Table15[[#This Row],[pnl_official]]-Table15[[#This Row],[pnl_est]]</f>
        <v>#N/A</v>
      </c>
      <c r="K282" s="548" t="e">
        <f>Table15[[#This Row],[pnl_ym]]/Table15[[#This Row],[pnl_am]]</f>
        <v>#N/A</v>
      </c>
      <c r="L282" s="450" t="e">
        <f>IF(Table15[[#This Row],[pnl_official]]&lt;&gt;"", Table15[[#This Row],[pnl_official]]-MAX($D$79:$D282), NA())</f>
        <v>#N/A</v>
      </c>
      <c r="M282" s="450" t="e">
        <f>IF(Table15[[#This Row],[pnl_official]]&lt;&gt;"", IF(Table15[[#This Row],[pnl_official]]&gt;0, 0, Table15[[#This Row],[pnl_official]]), NA())</f>
        <v>#N/A</v>
      </c>
      <c r="N282" s="97"/>
    </row>
    <row r="283" spans="1:14" x14ac:dyDescent="0.25">
      <c r="A283" s="444">
        <v>46310</v>
      </c>
      <c r="B283" s="293">
        <v>205</v>
      </c>
      <c r="C283" s="661" t="e">
        <f>NA()</f>
        <v>#N/A</v>
      </c>
      <c r="D283" s="660" t="e">
        <f>IF(AND(ISNUMBER(Table15[[#This Row],[pnl_ym]]), ISNUMBER(Table15[[#This Row],[pnl_am]])), (Table15[[#This Row],[pnl_ym]]+Table15[[#This Row],[pnl_am]])/1000, NA())</f>
        <v>#N/A</v>
      </c>
      <c r="E283" s="589" t="e">
        <f>NA()</f>
        <v>#N/A</v>
      </c>
      <c r="F283" s="589" t="e">
        <f>NA()</f>
        <v>#N/A</v>
      </c>
      <c r="G283" s="423" t="e">
        <f>IF(Table15[[#This Row],[pnl_est]] &lt;&gt; "", Table15[[#This Row],[pnl_est]]-$C282, NA())</f>
        <v>#N/A</v>
      </c>
      <c r="H283" s="423" t="e">
        <f>IF(Table15[[#This Row],[pnl_official]] &lt;&gt; "", Table15[[#This Row],[pnl_official]]-D282, NA())</f>
        <v>#N/A</v>
      </c>
      <c r="I283" s="450" t="e">
        <f t="shared" si="6"/>
        <v>#N/A</v>
      </c>
      <c r="J283" s="568" t="e">
        <f>Table15[[#This Row],[pnl_official]]-Table15[[#This Row],[pnl_est]]</f>
        <v>#N/A</v>
      </c>
      <c r="K283" s="548" t="e">
        <f>Table15[[#This Row],[pnl_ym]]/Table15[[#This Row],[pnl_am]]</f>
        <v>#N/A</v>
      </c>
      <c r="L283" s="450" t="e">
        <f>IF(Table15[[#This Row],[pnl_official]]&lt;&gt;"", Table15[[#This Row],[pnl_official]]-MAX($D$79:$D283), NA())</f>
        <v>#N/A</v>
      </c>
      <c r="M283" s="450" t="e">
        <f>IF(Table15[[#This Row],[pnl_official]]&lt;&gt;"", IF(Table15[[#This Row],[pnl_official]]&gt;0, 0, Table15[[#This Row],[pnl_official]]), NA())</f>
        <v>#N/A</v>
      </c>
      <c r="N283" s="97"/>
    </row>
    <row r="284" spans="1:14" x14ac:dyDescent="0.25">
      <c r="A284" s="444"/>
      <c r="B284" s="293"/>
      <c r="C284" s="661"/>
      <c r="D284" s="660"/>
      <c r="E284" s="589"/>
      <c r="F284" s="589"/>
      <c r="G284" s="423"/>
      <c r="H284" s="423"/>
      <c r="I284" s="450"/>
      <c r="J284" s="568"/>
      <c r="K284" s="548"/>
      <c r="L284" s="450"/>
      <c r="M284" s="450"/>
      <c r="N284" s="97"/>
    </row>
    <row r="285" spans="1:14" x14ac:dyDescent="0.25">
      <c r="A285" s="444"/>
      <c r="B285" s="293"/>
      <c r="C285" s="661"/>
      <c r="D285" s="660"/>
      <c r="E285" s="589"/>
      <c r="F285" s="589"/>
      <c r="G285" s="423"/>
      <c r="H285" s="423"/>
      <c r="I285" s="450"/>
      <c r="J285" s="568"/>
      <c r="K285" s="548"/>
      <c r="L285" s="450"/>
      <c r="M285" s="450"/>
      <c r="N285" s="97"/>
    </row>
    <row r="286" spans="1:14" x14ac:dyDescent="0.25">
      <c r="A286" s="444"/>
      <c r="B286" s="293"/>
      <c r="C286" s="661"/>
      <c r="D286" s="660"/>
      <c r="E286" s="589"/>
      <c r="F286" s="589"/>
      <c r="G286" s="423"/>
      <c r="H286" s="423"/>
      <c r="I286" s="450"/>
      <c r="J286" s="568"/>
      <c r="K286" s="548"/>
      <c r="L286" s="450"/>
      <c r="M286" s="450"/>
      <c r="N286" s="97"/>
    </row>
    <row r="287" spans="1:14" x14ac:dyDescent="0.25">
      <c r="A287" s="444"/>
      <c r="B287" s="293"/>
      <c r="C287" s="661"/>
      <c r="D287" s="660"/>
      <c r="E287" s="589"/>
      <c r="F287" s="589"/>
      <c r="G287" s="423"/>
      <c r="H287" s="423"/>
      <c r="I287" s="450"/>
      <c r="J287" s="568"/>
      <c r="K287" s="548"/>
      <c r="L287" s="450"/>
      <c r="M287" s="450"/>
      <c r="N287" s="97"/>
    </row>
    <row r="288" spans="1:14" x14ac:dyDescent="0.25">
      <c r="A288" s="444"/>
      <c r="B288" s="293"/>
      <c r="C288" s="661"/>
      <c r="D288" s="660"/>
      <c r="E288" s="589"/>
      <c r="F288" s="589"/>
      <c r="G288" s="423"/>
      <c r="H288" s="423"/>
      <c r="I288" s="450"/>
      <c r="J288" s="568"/>
      <c r="K288" s="548"/>
      <c r="L288" s="450"/>
      <c r="M288" s="450"/>
      <c r="N288" s="97"/>
    </row>
    <row r="289" spans="1:14" x14ac:dyDescent="0.25">
      <c r="A289" s="444"/>
      <c r="B289" s="293"/>
      <c r="C289" s="661"/>
      <c r="D289" s="660"/>
      <c r="E289" s="589"/>
      <c r="F289" s="589"/>
      <c r="G289" s="423"/>
      <c r="H289" s="423"/>
      <c r="I289" s="450"/>
      <c r="J289" s="568"/>
      <c r="K289" s="548"/>
      <c r="L289" s="450"/>
      <c r="M289" s="450"/>
      <c r="N289" s="97"/>
    </row>
    <row r="290" spans="1:14" x14ac:dyDescent="0.25">
      <c r="A290" s="444"/>
      <c r="B290" s="293"/>
      <c r="C290" s="661"/>
      <c r="D290" s="660"/>
      <c r="E290" s="589"/>
      <c r="F290" s="589"/>
      <c r="G290" s="423"/>
      <c r="H290" s="423"/>
      <c r="I290" s="450"/>
      <c r="J290" s="568"/>
      <c r="K290" s="548"/>
      <c r="L290" s="450"/>
      <c r="M290" s="450"/>
      <c r="N290" s="97"/>
    </row>
    <row r="291" spans="1:14" x14ac:dyDescent="0.25">
      <c r="A291" s="444"/>
      <c r="B291" s="293"/>
      <c r="C291" s="661"/>
      <c r="D291" s="660"/>
      <c r="E291" s="589"/>
      <c r="F291" s="589"/>
      <c r="G291" s="423"/>
      <c r="H291" s="423"/>
      <c r="I291" s="450"/>
      <c r="J291" s="568"/>
      <c r="K291" s="548"/>
      <c r="L291" s="450"/>
      <c r="M291" s="450"/>
      <c r="N291" s="97"/>
    </row>
    <row r="292" spans="1:14" x14ac:dyDescent="0.25">
      <c r="A292" s="444"/>
      <c r="B292" s="293"/>
      <c r="C292" s="661"/>
      <c r="D292" s="660"/>
      <c r="E292" s="589"/>
      <c r="F292" s="589"/>
      <c r="G292" s="423"/>
      <c r="H292" s="423"/>
      <c r="I292" s="450"/>
      <c r="J292" s="568"/>
      <c r="K292" s="548"/>
      <c r="L292" s="450"/>
      <c r="M292" s="450"/>
      <c r="N292" s="97"/>
    </row>
    <row r="293" spans="1:14" x14ac:dyDescent="0.25">
      <c r="A293" s="444"/>
      <c r="B293" s="293"/>
      <c r="C293" s="661"/>
      <c r="D293" s="660"/>
      <c r="E293" s="589"/>
      <c r="F293" s="589"/>
      <c r="G293" s="423"/>
      <c r="H293" s="423"/>
      <c r="I293" s="450"/>
      <c r="J293" s="568"/>
      <c r="K293" s="548"/>
      <c r="L293" s="450"/>
      <c r="M293" s="450"/>
      <c r="N293" s="97"/>
    </row>
    <row r="294" spans="1:14" x14ac:dyDescent="0.25">
      <c r="A294" s="444"/>
      <c r="B294" s="293"/>
      <c r="C294" s="661"/>
      <c r="D294" s="660"/>
      <c r="E294" s="589"/>
      <c r="F294" s="589"/>
      <c r="G294" s="423"/>
      <c r="H294" s="423"/>
      <c r="I294" s="450"/>
      <c r="J294" s="568"/>
      <c r="K294" s="548"/>
      <c r="L294" s="450"/>
      <c r="M294" s="450"/>
      <c r="N294" s="97"/>
    </row>
    <row r="295" spans="1:14" x14ac:dyDescent="0.25">
      <c r="A295" s="444"/>
      <c r="B295" s="293"/>
      <c r="C295" s="661"/>
      <c r="D295" s="660"/>
      <c r="E295" s="589"/>
      <c r="F295" s="589"/>
      <c r="G295" s="423"/>
      <c r="H295" s="423"/>
      <c r="I295" s="450"/>
      <c r="J295" s="568"/>
      <c r="K295" s="548"/>
      <c r="L295" s="450"/>
      <c r="M295" s="450"/>
      <c r="N295" s="97"/>
    </row>
    <row r="296" spans="1:14" x14ac:dyDescent="0.25">
      <c r="A296" s="444"/>
      <c r="B296" s="293"/>
      <c r="C296" s="661"/>
      <c r="D296" s="660"/>
      <c r="E296" s="589"/>
      <c r="F296" s="589"/>
      <c r="G296" s="423"/>
      <c r="H296" s="423"/>
      <c r="I296" s="450"/>
      <c r="J296" s="568"/>
      <c r="K296" s="548"/>
      <c r="L296" s="450"/>
      <c r="M296" s="450"/>
      <c r="N296" s="97"/>
    </row>
    <row r="297" spans="1:14" x14ac:dyDescent="0.25">
      <c r="A297" s="444"/>
      <c r="B297" s="293"/>
      <c r="C297" s="661"/>
      <c r="D297" s="660"/>
      <c r="E297" s="589"/>
      <c r="F297" s="589"/>
      <c r="G297" s="423"/>
      <c r="H297" s="423"/>
      <c r="I297" s="450"/>
      <c r="J297" s="568"/>
      <c r="K297" s="548"/>
      <c r="L297" s="450"/>
      <c r="M297" s="450"/>
      <c r="N297" s="97"/>
    </row>
    <row r="298" spans="1:14" x14ac:dyDescent="0.25">
      <c r="A298" s="444"/>
      <c r="B298" s="293"/>
      <c r="C298" s="661"/>
      <c r="D298" s="660"/>
      <c r="E298" s="589"/>
      <c r="F298" s="589"/>
      <c r="G298" s="423"/>
      <c r="H298" s="423"/>
      <c r="I298" s="450"/>
      <c r="J298" s="568"/>
      <c r="K298" s="548"/>
      <c r="L298" s="450"/>
      <c r="M298" s="450"/>
      <c r="N298" s="97"/>
    </row>
    <row r="299" spans="1:14" x14ac:dyDescent="0.25">
      <c r="A299" s="444"/>
      <c r="B299" s="293"/>
      <c r="C299" s="661"/>
      <c r="D299" s="660"/>
      <c r="E299" s="589"/>
      <c r="F299" s="589"/>
      <c r="G299" s="423"/>
      <c r="H299" s="423"/>
      <c r="I299" s="450"/>
      <c r="J299" s="568"/>
      <c r="K299" s="548"/>
      <c r="L299" s="450"/>
      <c r="M299" s="450"/>
      <c r="N299" s="97"/>
    </row>
    <row r="300" spans="1:14" x14ac:dyDescent="0.25">
      <c r="A300" s="444"/>
      <c r="B300" s="293"/>
      <c r="C300" s="661"/>
      <c r="D300" s="660"/>
      <c r="E300" s="589"/>
      <c r="F300" s="589"/>
      <c r="G300" s="423"/>
      <c r="H300" s="423"/>
      <c r="I300" s="450"/>
      <c r="J300" s="568"/>
      <c r="K300" s="548"/>
      <c r="L300" s="450"/>
      <c r="M300" s="450"/>
      <c r="N300" s="97"/>
    </row>
    <row r="301" spans="1:14" x14ac:dyDescent="0.25">
      <c r="A301" s="444"/>
      <c r="B301" s="293"/>
      <c r="C301" s="661"/>
      <c r="D301" s="660"/>
      <c r="E301" s="589"/>
      <c r="F301" s="589"/>
      <c r="G301" s="423"/>
      <c r="H301" s="423"/>
      <c r="I301" s="450"/>
      <c r="J301" s="568"/>
      <c r="K301" s="548"/>
      <c r="L301" s="450"/>
      <c r="M301" s="450"/>
      <c r="N301" s="97"/>
    </row>
    <row r="302" spans="1:14" x14ac:dyDescent="0.25">
      <c r="A302" s="444"/>
      <c r="B302" s="293"/>
      <c r="C302" s="661"/>
      <c r="D302" s="660"/>
      <c r="E302" s="589"/>
      <c r="F302" s="589"/>
      <c r="G302" s="423"/>
      <c r="H302" s="423"/>
      <c r="I302" s="450"/>
      <c r="J302" s="568"/>
      <c r="K302" s="548"/>
      <c r="L302" s="450"/>
      <c r="M302" s="450"/>
      <c r="N302" s="97"/>
    </row>
    <row r="303" spans="1:14" x14ac:dyDescent="0.25">
      <c r="A303" s="444"/>
      <c r="B303" s="293"/>
      <c r="C303" s="661"/>
      <c r="D303" s="660"/>
      <c r="E303" s="589"/>
      <c r="F303" s="589"/>
      <c r="G303" s="423"/>
      <c r="H303" s="423"/>
      <c r="I303" s="450"/>
      <c r="J303" s="568"/>
      <c r="K303" s="548"/>
      <c r="L303" s="450"/>
      <c r="M303" s="450"/>
      <c r="N303" s="97"/>
    </row>
    <row r="304" spans="1:14" x14ac:dyDescent="0.25">
      <c r="A304" s="444"/>
      <c r="B304" s="293"/>
      <c r="C304" s="661"/>
      <c r="D304" s="660"/>
      <c r="E304" s="589"/>
      <c r="F304" s="589"/>
      <c r="G304" s="423"/>
      <c r="H304" s="423"/>
      <c r="I304" s="450"/>
      <c r="J304" s="568"/>
      <c r="K304" s="548"/>
      <c r="L304" s="450"/>
      <c r="M304" s="450"/>
      <c r="N304" s="97"/>
    </row>
    <row r="305" spans="1:14" x14ac:dyDescent="0.25">
      <c r="A305" s="444"/>
      <c r="B305" s="293"/>
      <c r="C305" s="661"/>
      <c r="D305" s="660"/>
      <c r="E305" s="589"/>
      <c r="F305" s="589"/>
      <c r="G305" s="423"/>
      <c r="H305" s="423"/>
      <c r="I305" s="450"/>
      <c r="J305" s="568"/>
      <c r="K305" s="548"/>
      <c r="L305" s="450"/>
      <c r="M305" s="450"/>
      <c r="N305" s="97"/>
    </row>
    <row r="306" spans="1:14" x14ac:dyDescent="0.25">
      <c r="A306" s="444"/>
      <c r="B306" s="293"/>
      <c r="C306" s="661"/>
      <c r="D306" s="660"/>
      <c r="E306" s="589"/>
      <c r="F306" s="589"/>
      <c r="G306" s="423"/>
      <c r="H306" s="423"/>
      <c r="I306" s="450"/>
      <c r="J306" s="568"/>
      <c r="K306" s="548"/>
      <c r="L306" s="450"/>
      <c r="M306" s="450"/>
      <c r="N306" s="9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3AB68-956B-4136-95BA-A425BF1B9D3B}">
  <sheetPr codeName="Sheet1">
    <tabColor theme="4" tint="-0.499984740745262"/>
    <pageSetUpPr autoPageBreaks="0"/>
  </sheetPr>
  <dimension ref="A1:HH73"/>
  <sheetViews>
    <sheetView zoomScaleNormal="100" workbookViewId="0">
      <pane xSplit="1" ySplit="18" topLeftCell="BT19" activePane="bottomRight" state="frozen"/>
      <selection pane="topRight" activeCell="B1" sqref="B1"/>
      <selection pane="bottomLeft" activeCell="A19" sqref="A19"/>
      <selection pane="bottomRight" activeCell="CW19" sqref="CW19:CW26"/>
    </sheetView>
  </sheetViews>
  <sheetFormatPr defaultColWidth="9.140625" defaultRowHeight="15" x14ac:dyDescent="0.25"/>
  <cols>
    <col min="1" max="1" width="12.140625" style="57" customWidth="1"/>
    <col min="2" max="2" width="9.140625" style="57" customWidth="1"/>
    <col min="3" max="5" width="9.42578125" style="57" customWidth="1"/>
    <col min="6" max="23" width="9.140625" style="51" customWidth="1"/>
    <col min="24" max="29" width="11" style="61" customWidth="1"/>
    <col min="30" max="47" width="9.140625" style="51" customWidth="1"/>
    <col min="48" max="56" width="9.140625" style="65" customWidth="1"/>
    <col min="57" max="57" width="8.140625" style="51" customWidth="1"/>
    <col min="58" max="58" width="5.7109375" style="51" customWidth="1"/>
    <col min="59" max="59" width="8.140625" style="66" customWidth="1"/>
    <col min="60" max="60" width="5.7109375" style="52" customWidth="1"/>
    <col min="61" max="61" width="8.140625" style="51" customWidth="1"/>
    <col min="62" max="62" width="5.7109375" style="52" customWidth="1"/>
    <col min="63" max="63" width="8.140625" style="51" customWidth="1"/>
    <col min="64" max="64" width="5.7109375" style="52" customWidth="1"/>
    <col min="65" max="65" width="8.140625" style="51" customWidth="1"/>
    <col min="66" max="66" width="6.5703125" style="51" customWidth="1"/>
    <col min="67" max="67" width="8.140625" style="66" customWidth="1"/>
    <col min="68" max="68" width="5.7109375" style="66" customWidth="1"/>
    <col min="69" max="69" width="8.140625" style="51" customWidth="1"/>
    <col min="70" max="70" width="5.7109375" style="51" customWidth="1"/>
    <col min="71" max="71" width="8.140625" style="66" customWidth="1"/>
    <col min="72" max="72" width="5.7109375" style="66" customWidth="1"/>
    <col min="73" max="73" width="8.140625" style="51" customWidth="1"/>
    <col min="74" max="74" width="5.7109375" style="51" customWidth="1"/>
    <col min="75" max="75" width="8.140625" style="66" customWidth="1"/>
    <col min="76" max="76" width="5.7109375" style="66" customWidth="1"/>
    <col min="77" max="77" width="8.140625" style="51" customWidth="1"/>
    <col min="78" max="78" width="5.7109375" style="51" customWidth="1"/>
    <col min="79" max="79" width="8.140625" style="66" customWidth="1"/>
    <col min="80" max="80" width="5.7109375" style="66" customWidth="1"/>
    <col min="81" max="81" width="8.140625" style="51" customWidth="1"/>
    <col min="82" max="82" width="5.7109375" style="51" customWidth="1"/>
    <col min="83" max="83" width="8.140625" style="66" customWidth="1"/>
    <col min="84" max="84" width="5.7109375" style="66" customWidth="1"/>
    <col min="85" max="85" width="8.140625" style="51" customWidth="1"/>
    <col min="86" max="86" width="5.7109375" style="52" customWidth="1"/>
    <col min="87" max="87" width="8.140625" style="66" customWidth="1"/>
    <col min="88" max="88" width="5.7109375" style="66" customWidth="1"/>
    <col min="89" max="89" width="8.140625" style="51" customWidth="1"/>
    <col min="90" max="90" width="5.7109375" style="52" customWidth="1"/>
    <col min="91" max="91" width="8.140625" style="66" customWidth="1"/>
    <col min="92" max="92" width="5.7109375" style="66" customWidth="1"/>
    <col min="93" max="93" width="8.140625" style="51" customWidth="1"/>
    <col min="94" max="94" width="5.7109375" style="52" customWidth="1"/>
    <col min="95" max="95" width="8.140625" style="66" customWidth="1"/>
    <col min="96" max="96" width="5.7109375" style="66" customWidth="1"/>
    <col min="97" max="97" width="8.140625" style="51" customWidth="1"/>
    <col min="98" max="98" width="5.7109375" style="51" customWidth="1"/>
    <col min="99" max="99" width="8.140625" style="66" customWidth="1"/>
    <col min="100" max="100" width="5.7109375" style="66" customWidth="1"/>
    <col min="101" max="101" width="8.140625" style="51" customWidth="1"/>
    <col min="102" max="102" width="5.7109375" style="51" customWidth="1"/>
    <col min="103" max="103" width="8.140625" style="66" customWidth="1"/>
    <col min="104" max="104" width="5.7109375" style="66" customWidth="1"/>
    <col min="105" max="105" width="8.140625" style="51" customWidth="1"/>
    <col min="106" max="106" width="5.7109375" style="52" customWidth="1"/>
    <col min="107" max="107" width="8.140625" style="66" customWidth="1"/>
    <col min="108" max="108" width="5.7109375" style="66" customWidth="1"/>
    <col min="109" max="109" width="8.140625" style="51" customWidth="1"/>
    <col min="110" max="110" width="5.7109375" style="53" customWidth="1"/>
    <col min="111" max="111" width="8.140625" style="66" customWidth="1"/>
    <col min="112" max="112" width="5.7109375" style="66" customWidth="1"/>
    <col min="113" max="113" width="8.140625" style="51" customWidth="1"/>
    <col min="114" max="114" width="5.7109375" style="51" customWidth="1"/>
    <col min="115" max="115" width="8.140625" style="66" customWidth="1"/>
    <col min="116" max="116" width="5.7109375" style="66" customWidth="1"/>
    <col min="117" max="117" width="8.140625" style="51" customWidth="1"/>
    <col min="118" max="118" width="5.7109375" style="52" customWidth="1"/>
    <col min="119" max="119" width="8.140625" style="66" customWidth="1"/>
    <col min="120" max="120" width="5.7109375" style="66" customWidth="1"/>
    <col min="121" max="121" width="8.140625" style="51" customWidth="1"/>
    <col min="122" max="122" width="5.7109375" style="51" customWidth="1"/>
    <col min="123" max="123" width="8.140625" style="66" customWidth="1"/>
    <col min="124" max="124" width="5.7109375" style="66" customWidth="1"/>
    <col min="125" max="125" width="8.140625" style="51" customWidth="1"/>
    <col min="126" max="126" width="5.7109375" style="51" customWidth="1"/>
    <col min="127" max="127" width="8.140625" style="66" customWidth="1"/>
    <col min="128" max="128" width="5.7109375" style="66" customWidth="1"/>
    <col min="129" max="129" width="8.140625" style="51" customWidth="1"/>
    <col min="130" max="130" width="5.7109375" style="51" customWidth="1"/>
    <col min="131" max="131" width="8.140625" style="66" customWidth="1"/>
    <col min="132" max="132" width="5.7109375" style="66" customWidth="1"/>
    <col min="133" max="133" width="8.140625" style="51" customWidth="1"/>
    <col min="134" max="134" width="5.7109375" style="51" customWidth="1"/>
    <col min="135" max="135" width="8.140625" style="66" customWidth="1"/>
    <col min="136" max="136" width="5.7109375" style="66" customWidth="1"/>
    <col min="137" max="137" width="8.140625" style="51" customWidth="1"/>
    <col min="138" max="138" width="5.7109375" style="51" customWidth="1"/>
    <col min="139" max="139" width="8.140625" style="66" customWidth="1"/>
    <col min="140" max="140" width="5.7109375" style="66" customWidth="1"/>
    <col min="141" max="141" width="8.140625" style="51" customWidth="1"/>
    <col min="142" max="142" width="5.7109375" style="51" customWidth="1"/>
    <col min="143" max="143" width="8.140625" style="66" customWidth="1"/>
    <col min="144" max="144" width="5.7109375" style="66" customWidth="1"/>
    <col min="145" max="145" width="8.140625" style="51" customWidth="1"/>
    <col min="146" max="146" width="5.7109375" style="51" customWidth="1"/>
    <col min="147" max="147" width="8.140625" style="66" customWidth="1"/>
    <col min="148" max="148" width="5.7109375" style="66" customWidth="1"/>
    <col min="149" max="149" width="8.140625" style="51" customWidth="1"/>
    <col min="150" max="150" width="5.7109375" style="52" customWidth="1"/>
    <col min="151" max="151" width="8.140625" style="66" customWidth="1"/>
    <col min="152" max="152" width="5.7109375" style="66" customWidth="1"/>
    <col min="153" max="153" width="8.140625" style="51" customWidth="1"/>
    <col min="154" max="154" width="5.7109375" style="51" customWidth="1"/>
    <col min="155" max="155" width="8.140625" style="66" customWidth="1"/>
    <col min="156" max="156" width="5.7109375" style="66" customWidth="1"/>
    <col min="157" max="157" width="8.140625" style="51" customWidth="1"/>
    <col min="158" max="158" width="5.7109375" style="51" customWidth="1"/>
    <col min="159" max="159" width="8.140625" style="66" customWidth="1"/>
    <col min="160" max="160" width="5.7109375" style="66" customWidth="1"/>
    <col min="161" max="161" width="8.140625" style="51" customWidth="1"/>
    <col min="162" max="162" width="5.7109375" style="52" customWidth="1"/>
    <col min="163" max="163" width="8.140625" style="51" customWidth="1"/>
    <col min="164" max="164" width="5.7109375" style="52" customWidth="1"/>
    <col min="165" max="165" width="8.140625" style="51" customWidth="1"/>
    <col min="166" max="166" width="5.7109375" style="52" customWidth="1"/>
    <col min="167" max="167" width="8.140625" style="51" customWidth="1"/>
    <col min="168" max="168" width="5.7109375" style="52" customWidth="1"/>
    <col min="169" max="169" width="8.140625" style="51" customWidth="1"/>
    <col min="170" max="170" width="5.7109375" style="52" customWidth="1"/>
    <col min="171" max="171" width="8.140625" style="51" customWidth="1"/>
    <col min="172" max="172" width="5.7109375" style="52" customWidth="1"/>
    <col min="173" max="173" width="8.140625" style="51" customWidth="1"/>
    <col min="174" max="174" width="5.7109375" style="52" customWidth="1"/>
    <col min="175" max="175" width="8.140625" style="51" customWidth="1"/>
    <col min="176" max="176" width="5.7109375" style="52" customWidth="1"/>
    <col min="177" max="177" width="8.140625" style="51" customWidth="1"/>
    <col min="178" max="178" width="5.7109375" style="52" customWidth="1"/>
    <col min="179" max="179" width="8.140625" style="51" customWidth="1"/>
    <col min="180" max="180" width="5.7109375" style="52" customWidth="1"/>
    <col min="181" max="181" width="8.140625" style="51" customWidth="1"/>
    <col min="182" max="182" width="5.7109375" style="52" customWidth="1"/>
    <col min="183" max="183" width="8.140625" style="66" customWidth="1"/>
    <col min="184" max="184" width="5.7109375" style="66" customWidth="1"/>
    <col min="185" max="185" width="8.140625" style="51" customWidth="1"/>
    <col min="186" max="186" width="5.7109375" style="52" customWidth="1"/>
    <col min="187" max="187" width="8.140625" style="66" customWidth="1"/>
    <col min="188" max="188" width="5.7109375" style="66" customWidth="1"/>
    <col min="189" max="189" width="8.140625" style="51" customWidth="1"/>
    <col min="190" max="190" width="5.7109375" style="51" customWidth="1"/>
    <col min="191" max="191" width="8.140625" style="66" customWidth="1"/>
    <col min="192" max="192" width="5.7109375" style="66" customWidth="1"/>
    <col min="193" max="193" width="8.140625" style="51" customWidth="1"/>
    <col min="194" max="194" width="5.7109375" style="52" customWidth="1"/>
    <col min="195" max="195" width="8.140625" style="66" customWidth="1"/>
    <col min="196" max="196" width="5.7109375" style="66" customWidth="1"/>
    <col min="197" max="197" width="8.140625" style="51" customWidth="1"/>
    <col min="198" max="198" width="5.7109375" style="52" customWidth="1"/>
    <col min="199" max="199" width="8.140625" style="66" customWidth="1"/>
    <col min="200" max="200" width="5.7109375" style="66" customWidth="1"/>
    <col min="201" max="201" width="8.140625" style="51" customWidth="1"/>
    <col min="202" max="202" width="5.7109375" style="52" customWidth="1"/>
    <col min="203" max="203" width="8.140625" style="51" customWidth="1"/>
    <col min="204" max="204" width="5.7109375" style="52" customWidth="1"/>
    <col min="205" max="205" width="8.140625" style="51" customWidth="1"/>
    <col min="206" max="206" width="5.7109375" style="51" customWidth="1"/>
    <col min="207" max="207" width="8.140625" style="66" customWidth="1"/>
    <col min="208" max="208" width="5.7109375" style="66" customWidth="1"/>
    <col min="209" max="209" width="8.140625" style="51" customWidth="1"/>
    <col min="210" max="210" width="5.7109375" style="52" customWidth="1"/>
    <col min="211" max="211" width="8.140625" style="51" customWidth="1"/>
    <col min="212" max="212" width="5.7109375" style="52" customWidth="1"/>
    <col min="213" max="213" width="8.140625" style="51" customWidth="1"/>
    <col min="214" max="214" width="5.7109375" style="52" customWidth="1"/>
    <col min="215" max="215" width="8.140625" style="51" customWidth="1"/>
    <col min="216" max="216" width="5.7109375" style="52" customWidth="1"/>
    <col min="217" max="16384" width="9.140625" style="51"/>
  </cols>
  <sheetData>
    <row r="1" spans="1:216" x14ac:dyDescent="0.25">
      <c r="A1" s="106">
        <f ca="1">INT(TimeLDN)</f>
        <v>46267</v>
      </c>
      <c r="B1" s="6"/>
      <c r="C1" s="6"/>
      <c r="D1" s="25"/>
      <c r="E1" s="25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31"/>
      <c r="Y1" s="31"/>
      <c r="Z1" s="31"/>
      <c r="AA1" s="31"/>
      <c r="AB1" s="31"/>
      <c r="AC1" s="31"/>
      <c r="AD1" s="15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26"/>
      <c r="AW1" s="26"/>
      <c r="AX1" s="26"/>
      <c r="AY1" s="26"/>
      <c r="AZ1" s="26"/>
      <c r="BA1" s="26"/>
      <c r="BB1" s="26"/>
      <c r="BC1" s="26"/>
      <c r="BD1" s="26"/>
      <c r="BG1" s="51"/>
      <c r="BH1" s="51"/>
      <c r="BJ1" s="51"/>
      <c r="BL1" s="51"/>
      <c r="BO1" s="51"/>
      <c r="BP1" s="51"/>
      <c r="BS1" s="51"/>
      <c r="BT1" s="51"/>
      <c r="BW1" s="51"/>
      <c r="BX1" s="51"/>
      <c r="CA1" s="51"/>
      <c r="CB1" s="51"/>
      <c r="CE1" s="51"/>
      <c r="CF1" s="51"/>
      <c r="CH1" s="51"/>
      <c r="CI1" s="51"/>
      <c r="CJ1" s="51"/>
      <c r="CL1" s="51"/>
      <c r="CM1" s="51"/>
      <c r="CN1" s="51"/>
      <c r="CP1" s="51"/>
      <c r="CQ1" s="51"/>
      <c r="CR1" s="51"/>
      <c r="CU1" s="51"/>
      <c r="CV1" s="51"/>
      <c r="CY1" s="51"/>
      <c r="CZ1" s="51"/>
      <c r="DB1" s="51"/>
      <c r="DC1" s="51"/>
      <c r="DD1" s="51"/>
      <c r="DF1" s="51"/>
      <c r="DG1" s="51"/>
      <c r="DH1" s="51"/>
      <c r="DK1" s="51"/>
      <c r="DL1" s="51"/>
      <c r="DN1" s="51"/>
      <c r="DO1" s="51"/>
      <c r="DP1" s="51"/>
      <c r="DS1" s="51"/>
      <c r="DT1" s="51"/>
      <c r="DW1" s="51"/>
      <c r="DX1" s="51"/>
      <c r="EA1" s="51"/>
      <c r="EB1" s="51"/>
      <c r="EE1" s="51"/>
      <c r="EF1" s="51"/>
      <c r="EI1" s="51"/>
      <c r="EJ1" s="51"/>
      <c r="EM1" s="51"/>
      <c r="EN1" s="51"/>
      <c r="EQ1" s="51"/>
      <c r="ER1" s="51"/>
      <c r="ET1" s="51"/>
      <c r="EU1" s="51"/>
      <c r="EV1" s="51"/>
      <c r="EY1" s="51"/>
      <c r="EZ1" s="51"/>
      <c r="FC1" s="51"/>
      <c r="FD1" s="51"/>
      <c r="FF1" s="51"/>
      <c r="FH1" s="51"/>
      <c r="FJ1" s="51"/>
      <c r="FL1" s="51"/>
      <c r="FN1" s="51"/>
      <c r="FP1" s="51"/>
      <c r="FR1" s="51"/>
      <c r="FT1" s="51"/>
      <c r="FV1" s="51"/>
      <c r="FX1" s="51"/>
      <c r="FZ1" s="51"/>
      <c r="GA1" s="51"/>
      <c r="GB1" s="51"/>
      <c r="GD1" s="51"/>
      <c r="GE1" s="51"/>
      <c r="GF1" s="51"/>
      <c r="GI1" s="51"/>
      <c r="GJ1" s="51"/>
      <c r="GL1" s="51"/>
      <c r="GM1" s="51"/>
      <c r="GN1" s="51"/>
      <c r="GP1" s="51"/>
      <c r="GQ1" s="51"/>
      <c r="GR1" s="51"/>
      <c r="GT1" s="51"/>
      <c r="GV1" s="51"/>
      <c r="GY1" s="51"/>
      <c r="GZ1" s="51"/>
      <c r="HB1" s="51"/>
      <c r="HD1" s="51"/>
      <c r="HF1" s="51"/>
      <c r="HH1" s="51"/>
    </row>
    <row r="2" spans="1:216" ht="15.75" thickBot="1" x14ac:dyDescent="0.3">
      <c r="A2" s="107">
        <f ca="1">TimeLDN</f>
        <v>46267.465217013887</v>
      </c>
      <c r="B2" s="6"/>
      <c r="C2" s="6"/>
      <c r="D2" s="6"/>
      <c r="E2" s="6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31"/>
      <c r="Y2" s="31"/>
      <c r="Z2" s="31"/>
      <c r="AA2" s="31"/>
      <c r="AB2" s="31"/>
      <c r="AC2" s="31"/>
      <c r="AD2" s="15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26"/>
      <c r="AW2" s="26"/>
      <c r="AX2" s="26"/>
      <c r="AY2" s="26"/>
      <c r="AZ2" s="26"/>
      <c r="BA2" s="26"/>
      <c r="BB2" s="26"/>
      <c r="BC2" s="26"/>
      <c r="BD2" s="26"/>
      <c r="BG2" s="51"/>
      <c r="BH2" s="51"/>
      <c r="BJ2" s="51"/>
      <c r="BL2" s="51"/>
      <c r="BO2" s="51"/>
      <c r="BP2" s="51"/>
      <c r="BS2" s="51"/>
      <c r="BT2" s="51"/>
      <c r="BW2" s="51"/>
      <c r="BX2" s="51"/>
      <c r="CA2" s="51"/>
      <c r="CB2" s="51"/>
      <c r="CE2" s="51"/>
      <c r="CF2" s="51"/>
      <c r="CH2" s="51"/>
      <c r="CI2" s="51"/>
      <c r="CJ2" s="51"/>
      <c r="CL2" s="51"/>
      <c r="CM2" s="51"/>
      <c r="CN2" s="51"/>
      <c r="CP2" s="51"/>
      <c r="CQ2" s="51"/>
      <c r="CR2" s="51"/>
      <c r="CU2" s="51"/>
      <c r="CV2" s="51"/>
      <c r="CY2" s="51"/>
      <c r="CZ2" s="51"/>
      <c r="DB2" s="51"/>
      <c r="DC2" s="51"/>
      <c r="DD2" s="51"/>
      <c r="DF2" s="51"/>
      <c r="DG2" s="51"/>
      <c r="DH2" s="51"/>
      <c r="DK2" s="51"/>
      <c r="DL2" s="51"/>
      <c r="DN2" s="51"/>
      <c r="DO2" s="51"/>
      <c r="DP2" s="51"/>
      <c r="DS2" s="51"/>
      <c r="DT2" s="51"/>
      <c r="DW2" s="51"/>
      <c r="DX2" s="51"/>
      <c r="EA2" s="51"/>
      <c r="EB2" s="51"/>
      <c r="EE2" s="51"/>
      <c r="EF2" s="51"/>
      <c r="EI2" s="51"/>
      <c r="EJ2" s="51"/>
      <c r="EM2" s="51"/>
      <c r="EN2" s="51"/>
      <c r="EQ2" s="51"/>
      <c r="ER2" s="51"/>
      <c r="ET2" s="51"/>
      <c r="EU2" s="51"/>
      <c r="EV2" s="51"/>
      <c r="EY2" s="51"/>
      <c r="EZ2" s="51"/>
      <c r="FC2" s="51"/>
      <c r="FD2" s="51"/>
      <c r="FF2" s="51"/>
      <c r="FH2" s="51"/>
      <c r="FJ2" s="51"/>
      <c r="FL2" s="51"/>
      <c r="FN2" s="51"/>
      <c r="FP2" s="51"/>
      <c r="FR2" s="51"/>
      <c r="FT2" s="51"/>
      <c r="FV2" s="51"/>
      <c r="FX2" s="51"/>
      <c r="FZ2" s="51"/>
      <c r="GA2" s="51"/>
      <c r="GB2" s="51"/>
      <c r="GD2" s="51"/>
      <c r="GE2" s="51"/>
      <c r="GF2" s="51"/>
      <c r="GI2" s="51"/>
      <c r="GJ2" s="51"/>
      <c r="GL2" s="51"/>
      <c r="GM2" s="51"/>
      <c r="GN2" s="51"/>
      <c r="GP2" s="51"/>
      <c r="GQ2" s="51"/>
      <c r="GR2" s="51"/>
      <c r="GT2" s="51"/>
      <c r="GV2" s="51"/>
      <c r="GY2" s="51"/>
      <c r="GZ2" s="51"/>
      <c r="HB2" s="51"/>
      <c r="HD2" s="51"/>
      <c r="HF2" s="51"/>
      <c r="HH2" s="51"/>
    </row>
    <row r="3" spans="1:216" ht="15.75" thickBot="1" x14ac:dyDescent="0.3">
      <c r="A3" s="54"/>
      <c r="B3" s="6"/>
      <c r="C3" s="6"/>
      <c r="D3" s="6"/>
      <c r="E3" s="6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31"/>
      <c r="Y3" s="31"/>
      <c r="Z3" s="31"/>
      <c r="AA3" s="31"/>
      <c r="AB3" s="31"/>
      <c r="AC3" s="31"/>
      <c r="AD3" s="15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26"/>
      <c r="AW3" s="26"/>
      <c r="AX3" s="26"/>
      <c r="AY3" s="26"/>
      <c r="AZ3" s="26"/>
      <c r="BA3" s="26"/>
      <c r="BB3" s="26"/>
      <c r="BC3" s="26"/>
      <c r="BD3" s="26"/>
      <c r="BG3" s="776" t="s">
        <v>45</v>
      </c>
      <c r="BH3" s="777"/>
      <c r="BI3" s="777"/>
      <c r="BJ3" s="777"/>
      <c r="BK3" s="777"/>
      <c r="BL3" s="777"/>
      <c r="BM3" s="777"/>
      <c r="BN3" s="777"/>
      <c r="BO3" s="777"/>
      <c r="BP3" s="778"/>
      <c r="BS3" s="51"/>
      <c r="BT3" s="51"/>
      <c r="BW3" s="51"/>
      <c r="BX3" s="51"/>
      <c r="BY3" s="310" t="s">
        <v>247</v>
      </c>
      <c r="BZ3" s="311"/>
      <c r="CA3" s="311"/>
      <c r="CB3" s="311"/>
      <c r="CC3" s="311"/>
      <c r="CD3" s="311"/>
      <c r="CE3" s="311"/>
      <c r="CF3" s="311"/>
      <c r="CG3" s="311"/>
      <c r="CH3" s="311"/>
      <c r="CI3" s="311"/>
      <c r="CJ3" s="311"/>
      <c r="CK3" s="311"/>
      <c r="CL3" s="311"/>
      <c r="CM3" s="311"/>
      <c r="CN3" s="311"/>
      <c r="CO3" s="311"/>
      <c r="CP3" s="311"/>
      <c r="CQ3" s="311"/>
      <c r="CR3" s="320"/>
      <c r="CW3" s="310" t="s">
        <v>248</v>
      </c>
      <c r="CX3" s="332"/>
      <c r="CY3" s="311"/>
      <c r="CZ3" s="320"/>
      <c r="DC3" s="51"/>
      <c r="DD3" s="51"/>
      <c r="DF3" s="51"/>
      <c r="DG3" s="51"/>
      <c r="DH3" s="51"/>
      <c r="DK3" s="51"/>
      <c r="DL3" s="51"/>
      <c r="DN3" s="51"/>
      <c r="DO3" s="51"/>
      <c r="DP3" s="51"/>
      <c r="DS3" s="51"/>
      <c r="DT3" s="51"/>
      <c r="DU3" s="310" t="s">
        <v>249</v>
      </c>
      <c r="DV3" s="332"/>
      <c r="DW3" s="311"/>
      <c r="DX3" s="311"/>
      <c r="DY3" s="332"/>
      <c r="DZ3" s="332"/>
      <c r="EA3" s="311"/>
      <c r="EB3" s="311"/>
      <c r="EC3" s="332"/>
      <c r="ED3" s="332"/>
      <c r="EE3" s="311"/>
      <c r="EF3" s="311"/>
      <c r="EG3" s="332"/>
      <c r="EH3" s="332"/>
      <c r="EI3" s="311"/>
      <c r="EJ3" s="311"/>
      <c r="EK3" s="332"/>
      <c r="EL3" s="332"/>
      <c r="EM3" s="311"/>
      <c r="EN3" s="320"/>
      <c r="EQ3" s="51"/>
      <c r="ER3" s="51"/>
      <c r="ES3" s="310" t="s">
        <v>250</v>
      </c>
      <c r="ET3" s="332"/>
      <c r="EU3" s="311"/>
      <c r="EV3" s="320"/>
      <c r="EY3" s="51"/>
      <c r="EZ3" s="51"/>
      <c r="FA3" s="310" t="s">
        <v>251</v>
      </c>
      <c r="FB3" s="332"/>
      <c r="FC3" s="311"/>
      <c r="FD3" s="320"/>
      <c r="FF3" s="51"/>
      <c r="FH3" s="51"/>
      <c r="FJ3" s="51"/>
      <c r="FM3" s="350" t="s">
        <v>252</v>
      </c>
      <c r="FN3" s="351"/>
      <c r="FO3" s="352"/>
      <c r="FP3" s="351"/>
      <c r="FQ3" s="352"/>
      <c r="FR3" s="351"/>
      <c r="FS3" s="352"/>
      <c r="FT3" s="353"/>
      <c r="FV3" s="51"/>
      <c r="GA3" s="51"/>
      <c r="GB3" s="51"/>
      <c r="GE3" s="51"/>
      <c r="GF3" s="51"/>
      <c r="GG3" s="350" t="s">
        <v>253</v>
      </c>
      <c r="GH3" s="351"/>
      <c r="GI3" s="352"/>
      <c r="GJ3" s="361"/>
      <c r="GK3" s="351"/>
      <c r="GL3" s="351"/>
      <c r="GM3" s="352"/>
      <c r="GN3" s="361"/>
      <c r="GO3" s="351"/>
      <c r="GP3" s="351"/>
      <c r="GQ3" s="352"/>
      <c r="GR3" s="353"/>
      <c r="GT3" s="51"/>
      <c r="GW3" s="475" t="s">
        <v>254</v>
      </c>
      <c r="GX3" s="476"/>
      <c r="GY3" s="477"/>
      <c r="GZ3" s="478"/>
      <c r="HB3" s="51"/>
      <c r="HF3" s="51"/>
    </row>
    <row r="4" spans="1:216" ht="15.75" thickBot="1" x14ac:dyDescent="0.3">
      <c r="A4" s="54"/>
      <c r="B4" s="6"/>
      <c r="C4" s="6"/>
      <c r="D4" s="6"/>
      <c r="E4" s="6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31"/>
      <c r="Y4" s="31"/>
      <c r="Z4" s="31"/>
      <c r="AA4" s="31"/>
      <c r="AB4" s="31"/>
      <c r="AC4" s="31"/>
      <c r="AD4" s="15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26"/>
      <c r="AW4" s="26"/>
      <c r="AX4" s="26"/>
      <c r="AY4" s="26"/>
      <c r="AZ4" s="26"/>
      <c r="BA4" s="26"/>
      <c r="BB4" s="26"/>
      <c r="BC4" s="26"/>
      <c r="BD4" s="26"/>
      <c r="BG4" s="769" t="s">
        <v>41</v>
      </c>
      <c r="BH4" s="337"/>
      <c r="BI4" s="775" t="s">
        <v>295</v>
      </c>
      <c r="BJ4" s="337"/>
      <c r="BK4" s="775" t="s">
        <v>296</v>
      </c>
      <c r="BL4" s="337"/>
      <c r="BM4" s="775" t="s">
        <v>289</v>
      </c>
      <c r="BN4" s="337"/>
      <c r="BO4" s="775" t="s">
        <v>297</v>
      </c>
      <c r="BP4" s="770"/>
      <c r="BS4" s="51"/>
      <c r="BT4" s="51"/>
      <c r="BW4" s="51"/>
      <c r="BX4" s="51"/>
      <c r="BY4" s="348" t="str">
        <f>BY$18</f>
        <v>WTI-S</v>
      </c>
      <c r="BZ4" s="337"/>
      <c r="CA4" s="337"/>
      <c r="CB4" s="337"/>
      <c r="CC4" s="342" t="str">
        <f>CC$18</f>
        <v>BRT-S</v>
      </c>
      <c r="CD4" s="337"/>
      <c r="CE4" s="337"/>
      <c r="CF4" s="337"/>
      <c r="CG4" s="342" t="str">
        <f>CG$18</f>
        <v>GO-S</v>
      </c>
      <c r="CH4" s="341"/>
      <c r="CI4" s="337"/>
      <c r="CJ4" s="337"/>
      <c r="CK4" s="342" t="str">
        <f>CK$18</f>
        <v>HO-S</v>
      </c>
      <c r="CL4" s="341"/>
      <c r="CM4" s="337"/>
      <c r="CN4" s="337"/>
      <c r="CO4" s="342" t="str">
        <f>CO$18</f>
        <v>RBOB-S</v>
      </c>
      <c r="CP4" s="341"/>
      <c r="CQ4" s="337"/>
      <c r="CR4" s="349"/>
      <c r="CW4" s="359" t="str">
        <f>CW$18</f>
        <v>WTI/Br-S</v>
      </c>
      <c r="CX4" s="330"/>
      <c r="CY4" s="343"/>
      <c r="CZ4" s="358"/>
      <c r="DC4" s="51"/>
      <c r="DD4" s="51"/>
      <c r="DG4" s="51"/>
      <c r="DH4" s="51"/>
      <c r="DK4" s="51"/>
      <c r="DL4" s="51"/>
      <c r="DO4" s="51"/>
      <c r="DP4" s="51"/>
      <c r="DS4" s="51"/>
      <c r="DT4" s="51"/>
      <c r="DU4" s="359" t="str">
        <f>DU$18</f>
        <v>GO/Br-S</v>
      </c>
      <c r="DV4" s="343"/>
      <c r="DW4" s="343"/>
      <c r="DX4" s="343"/>
      <c r="DY4" s="342" t="str">
        <f>DY$18</f>
        <v>HO/Br-S</v>
      </c>
      <c r="DZ4" s="343"/>
      <c r="EA4" s="343"/>
      <c r="EB4" s="360"/>
      <c r="EC4" s="343" t="str">
        <f>EC$18</f>
        <v>RB/Br-S</v>
      </c>
      <c r="ED4" s="343"/>
      <c r="EE4" s="343"/>
      <c r="EF4" s="343"/>
      <c r="EG4" s="342" t="str">
        <f>EG$18</f>
        <v>HO/WTI-S</v>
      </c>
      <c r="EH4" s="343"/>
      <c r="EI4" s="343"/>
      <c r="EJ4" s="343"/>
      <c r="EK4" s="342" t="str">
        <f>EK$18</f>
        <v>RB/WTI-S</v>
      </c>
      <c r="EL4" s="343"/>
      <c r="EM4" s="343"/>
      <c r="EN4" s="358"/>
      <c r="EO4" s="57"/>
      <c r="EQ4" s="51"/>
      <c r="ER4" s="51"/>
      <c r="ES4" s="336" t="str">
        <f>ES$18</f>
        <v>HOGO-S</v>
      </c>
      <c r="ET4" s="341"/>
      <c r="EU4" s="343"/>
      <c r="EV4" s="358"/>
      <c r="EW4" s="57"/>
      <c r="EY4" s="51"/>
      <c r="EZ4" s="51"/>
      <c r="FA4" s="302" t="str">
        <f>FA$18</f>
        <v>RBHO-S</v>
      </c>
      <c r="FB4" s="343"/>
      <c r="FC4" s="337"/>
      <c r="FD4" s="349"/>
      <c r="FE4" s="57"/>
      <c r="FF4" s="59"/>
      <c r="FG4" s="57"/>
      <c r="FH4" s="59"/>
      <c r="FI4" s="57"/>
      <c r="FJ4" s="59"/>
      <c r="FK4" s="57"/>
      <c r="FM4" s="354" t="str">
        <f>FM$18</f>
        <v>211-S</v>
      </c>
      <c r="FN4" s="355"/>
      <c r="FO4" s="356" t="str">
        <f>FO$18</f>
        <v>321-S</v>
      </c>
      <c r="FP4" s="355"/>
      <c r="FQ4" s="356" t="str">
        <f>FQ$18</f>
        <v>211/Br-S</v>
      </c>
      <c r="FR4" s="355"/>
      <c r="FS4" s="356" t="str">
        <f>FS$18</f>
        <v>321/Br-S</v>
      </c>
      <c r="FT4" s="357"/>
      <c r="FV4" s="51"/>
      <c r="GA4" s="51"/>
      <c r="GB4" s="51"/>
      <c r="GE4" s="51"/>
      <c r="GF4" s="51"/>
      <c r="GG4" s="354" t="s">
        <v>255</v>
      </c>
      <c r="GH4" s="355"/>
      <c r="GI4" s="362"/>
      <c r="GJ4" s="355"/>
      <c r="GK4" s="356" t="s">
        <v>256</v>
      </c>
      <c r="GL4" s="355"/>
      <c r="GM4" s="362"/>
      <c r="GN4" s="355"/>
      <c r="GO4" s="356" t="s">
        <v>257</v>
      </c>
      <c r="GP4" s="355"/>
      <c r="GQ4" s="362"/>
      <c r="GR4" s="347"/>
      <c r="GT4" s="51"/>
      <c r="GW4" s="479" t="s">
        <v>258</v>
      </c>
      <c r="GX4" s="355"/>
      <c r="GY4" s="362"/>
      <c r="GZ4" s="480"/>
      <c r="HB4" s="51"/>
      <c r="HE4" s="84" t="s">
        <v>259</v>
      </c>
      <c r="HF4" s="84" t="s">
        <v>260</v>
      </c>
    </row>
    <row r="5" spans="1:216" x14ac:dyDescent="0.25">
      <c r="A5" s="54" t="str">
        <f ca="1">"Q" &amp; INT((MONTH($A$1) + 2) / 3) &amp; TEXT($A$1, "yy")</f>
        <v>Q326</v>
      </c>
      <c r="B5" s="6"/>
      <c r="C5" s="6"/>
      <c r="D5" s="6"/>
      <c r="E5" s="6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31"/>
      <c r="Y5" s="31"/>
      <c r="Z5" s="31"/>
      <c r="AA5" s="31"/>
      <c r="AB5" s="31"/>
      <c r="AC5" s="31"/>
      <c r="AD5" s="15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26"/>
      <c r="AW5" s="26"/>
      <c r="AX5" s="26"/>
      <c r="AY5" s="26"/>
      <c r="AZ5" s="26"/>
      <c r="BA5" s="26"/>
      <c r="BB5" s="26"/>
      <c r="BC5" s="26"/>
      <c r="BD5" s="26"/>
      <c r="BF5" s="766" t="s">
        <v>1392</v>
      </c>
      <c r="BG5" s="771" t="str" cm="1">
        <f t="array" aca="1" ref="BG5" ca="1">IF(AND(ISNUMBER(INDEX($BE$19:$BE$66,MATCH(LEFT($BF5,2),$E$19:$E$66,0), 0)), ISNUMBER(INDEX($BE$19:$BE$66,MATCH(RIGHT($BF5,2),$E$19:$E$66,0), 0))), INDEX($BE$19:$BE$66,MATCH(LEFT($BF5,2),$E$19:$E$66,0), 0) - INDEX($BE$19:$BE$66,MATCH(RIGHT($BF5,2),$E$19:$E$66,0), 0), "")</f>
        <v/>
      </c>
      <c r="BH5" s="46" t="str" cm="1">
        <f t="array" aca="1" ref="BH5" ca="1">IF(AND(ISNUMBER(INDEX($BF$19:$BF$66,MATCH(LEFT($BF5,2),$E$19:$E$66,0), 0)), ISNUMBER(INDEX($BF$19:$BF$66,MATCH(RIGHT($BF5,2),$E$19:$E$66,0), 0))), INDEX($BF$19:$BF$66,MATCH(LEFT($BF5,2),$E$19:$E$66,0), 0) - INDEX($BF$19:$BF$66,MATCH(RIGHT($BF5,2),$E$19:$E$66,0), 0), "")</f>
        <v/>
      </c>
      <c r="BI5" s="773" t="str" cm="1">
        <f t="array" aca="1" ref="BI5" ca="1">IF(AND(ISNUMBER(INDEX($BI$19:$BI$66,MATCH(LEFT($BF5,2),$E$19:$E$66,0), 0)), ISNUMBER(INDEX($BI$19:$BI$66,MATCH(RIGHT($BF5,2),$E$19:$E$66,0), 0))), INDEX($BI$19:$BI$66,MATCH(LEFT($BF5,2),$E$19:$E$66,0), 0) - INDEX($BI$19:$BI$66,MATCH(RIGHT($BF5,2),$E$19:$E$66,0), 0), "")</f>
        <v/>
      </c>
      <c r="BJ5" s="46" t="str" cm="1">
        <f t="array" aca="1" ref="BJ5" ca="1">IF(AND(ISNUMBER(INDEX($BJ$19:$BJ$66,MATCH(LEFT($BF5,2),$E$19:$E$66,0), 0)), ISNUMBER(INDEX($BJ$19:$BJ$66,MATCH(RIGHT($BF5,2),$E$19:$E$66,0), 0))), INDEX($BJ$19:$BJ$66,MATCH(LEFT($BF5,2),$E$19:$E$66,0), 0) - INDEX($BJ$19:$BJ$66,MATCH(RIGHT($BF5,2),$E$19:$E$66,0), 0), "")</f>
        <v/>
      </c>
      <c r="BK5" s="773" t="str" cm="1">
        <f t="array" aca="1" ref="BK5" ca="1">IF(AND(ISNUMBER(INDEX($BM$19:$BM$66,MATCH(LEFT($BF5,2),$E$19:$E$66,0), 0)), ISNUMBER(INDEX($BM$19:$BM$66,MATCH(RIGHT($BF5,2),$E$19:$E$66,0), 0))), INDEX($BM$19:$BM$66,MATCH(LEFT($BF5,2),$E$19:$E$66,0), 0) - INDEX($BM$19:$BM$66,MATCH(RIGHT($BF5,2),$E$19:$E$66,0), 0), "")</f>
        <v/>
      </c>
      <c r="BL5" s="46" t="str" cm="1">
        <f t="array" aca="1" ref="BL5" ca="1">IF(AND(ISNUMBER(INDEX($BN$19:$BN$66,MATCH(LEFT($BF5,2),$E$19:$E$66,0), 0)), ISNUMBER(INDEX($BN$19:$BN$66,MATCH(RIGHT($BF5,2),$E$19:$E$66,0), 0))), INDEX($BN$19:$BN$66,MATCH(LEFT($BF5,2),$E$19:$E$66,0), 0) - INDEX($BN$19:$BN$66,MATCH(RIGHT($BF5,2),$E$19:$E$66,0), 0), "")</f>
        <v/>
      </c>
      <c r="BM5" s="773" t="str" cm="1">
        <f t="array" aca="1" ref="BM5" ca="1">IF(AND(ISNUMBER(INDEX($BQ$19:$BQ$66,MATCH(LEFT($BF5,2),$E$19:$E$66,0), 0)), ISNUMBER(INDEX($BQ$19:$BQ$66,MATCH(RIGHT($BF5,2),$E$19:$E$66,0), 0))), INDEX($BQ$19:$BQ$66,MATCH(LEFT($BF5,2),$E$19:$E$66,0), 0) - INDEX($BQ$19:$BQ$66,MATCH(RIGHT($BF5,2),$E$19:$E$66,0), 0), "")</f>
        <v/>
      </c>
      <c r="BN5" s="46" t="str" cm="1">
        <f t="array" aca="1" ref="BN5" ca="1">IF(AND(ISNUMBER(INDEX($BR$19:$BR$66,MATCH(LEFT($BF5,2),$E$19:$E$66,0), 0)), ISNUMBER(INDEX($BR$19:$BR$66,MATCH(RIGHT($BF5,2),$E$19:$E$66,0), 0))), INDEX($BR$19:$BR$66,MATCH(LEFT($BF5,2),$E$19:$E$66,0), 0) - INDEX($BR$19:$BR$66,MATCH(RIGHT($BF5,2),$E$19:$E$66,0), 0), "")</f>
        <v/>
      </c>
      <c r="BO5" s="773" t="str" cm="1">
        <f t="array" aca="1" ref="BO5" ca="1">IF(AND(ISNUMBER(INDEX($BU$19:$BU$66,MATCH(LEFT($BF5,2),$E$19:$E$66,0), 0)), ISNUMBER(INDEX($BU$19:$BU$66,MATCH(RIGHT($BF5,2),$E$19:$E$66,0), 0))), INDEX($BU$19:$BU$66,MATCH(LEFT($BF5,2),$E$19:$E$66,0), 0) - INDEX($BU$19:$BU$66,MATCH(RIGHT($BF5,2),$E$19:$E$66,0), 0), "")</f>
        <v/>
      </c>
      <c r="BP5" s="432" t="str" cm="1">
        <f t="array" aca="1" ref="BP5" ca="1">IF(AND(ISNUMBER(INDEX($BV$19:$BV$66,MATCH(LEFT($BF5,2),$E$19:$E$66,0), 0)), ISNUMBER(INDEX($BV$19:$BV$66,MATCH(RIGHT($BF5,2),$E$19:$E$66,0), 0))), INDEX($BV$19:$BV$66,MATCH(LEFT($BF5,2),$E$19:$E$66,0), 0) - INDEX($BV$19:$BV$66,MATCH(RIGHT($BF5,2),$E$19:$E$66,0), 0), "")</f>
        <v/>
      </c>
      <c r="BS5" s="51"/>
      <c r="BT5" s="51"/>
      <c r="BW5" s="51"/>
      <c r="BX5" s="108" t="str">
        <f t="shared" ref="BX5:BX14" ca="1" si="0">$A5</f>
        <v>Q326</v>
      </c>
      <c r="BY5" s="109">
        <f t="shared" ref="BY5:CP11" ca="1" si="1">IFERROR(AVERAGEIF($D$19:$D$66, $A5, BY$19:BY$66), "")</f>
        <v>89.741428571428557</v>
      </c>
      <c r="BZ5" s="50">
        <f t="shared" ca="1" si="1"/>
        <v>0.22714285714284951</v>
      </c>
      <c r="CA5" s="48"/>
      <c r="CB5" s="46"/>
      <c r="CC5" s="110">
        <f t="shared" ca="1" si="1"/>
        <v>94.934523809523796</v>
      </c>
      <c r="CD5" s="46">
        <f t="shared" ca="1" si="1"/>
        <v>0.43119047619046569</v>
      </c>
      <c r="CE5" s="48"/>
      <c r="CF5" s="46"/>
      <c r="CG5" s="110">
        <f t="shared" ca="1" si="1"/>
        <v>1369.1071428571429</v>
      </c>
      <c r="CH5" s="46">
        <f t="shared" ca="1" si="1"/>
        <v>-10.144285714285745</v>
      </c>
      <c r="CI5" s="48"/>
      <c r="CJ5" s="46"/>
      <c r="CK5" s="110">
        <f t="shared" ca="1" si="1"/>
        <v>465.62</v>
      </c>
      <c r="CL5" s="46">
        <f t="shared" ca="1" si="1"/>
        <v>-2.1100000000000136</v>
      </c>
      <c r="CM5" s="48"/>
      <c r="CN5" s="46"/>
      <c r="CO5" s="110">
        <f t="shared" ca="1" si="1"/>
        <v>314.59500000000003</v>
      </c>
      <c r="CP5" s="46">
        <f t="shared" ca="1" si="1"/>
        <v>1.0850000000000364</v>
      </c>
      <c r="CQ5" s="48"/>
      <c r="CR5" s="111"/>
      <c r="CV5" s="108" t="str">
        <f t="shared" ref="CV5:CV14" ca="1" si="2">$A5</f>
        <v>Q326</v>
      </c>
      <c r="CW5" s="112">
        <f t="shared" ref="CW5:CX11" ca="1" si="3">IFERROR(AVERAGEIF($D$19:$D$66, $A5, CW$19:CW$66), "")</f>
        <v>-5.1930952380952391</v>
      </c>
      <c r="CX5" s="46">
        <f t="shared" ca="1" si="3"/>
        <v>-0.20404761904761617</v>
      </c>
      <c r="CY5" s="48"/>
      <c r="CZ5" s="111"/>
      <c r="DC5" s="51"/>
      <c r="DD5" s="51"/>
      <c r="DG5" s="51"/>
      <c r="DH5" s="51"/>
      <c r="DK5" s="51"/>
      <c r="DL5" s="51"/>
      <c r="DO5" s="51"/>
      <c r="DP5" s="51"/>
      <c r="DS5" s="51"/>
      <c r="DT5" s="113" t="str">
        <f t="shared" ref="DT5:DT14" ca="1" si="4">$A5</f>
        <v>Q326</v>
      </c>
      <c r="DU5" s="109">
        <f t="shared" ref="DU5:EL11" ca="1" si="5">IFERROR(AVERAGEIF($D$19:$D$66, $A5, DU$19:DU$66), "")</f>
        <v>88.83824704378398</v>
      </c>
      <c r="DV5" s="46">
        <f t="shared" ca="1" si="5"/>
        <v>-1.7928395653563376</v>
      </c>
      <c r="DW5" s="48"/>
      <c r="DX5" s="46"/>
      <c r="DY5" s="110">
        <f t="shared" ca="1" si="5"/>
        <v>100.62587619047622</v>
      </c>
      <c r="DZ5" s="46">
        <f t="shared" ca="1" si="5"/>
        <v>-1.3173904761904716</v>
      </c>
      <c r="EA5" s="48"/>
      <c r="EB5" s="114"/>
      <c r="EC5" s="48">
        <f t="shared" ca="1" si="5"/>
        <v>37.195376190476225</v>
      </c>
      <c r="ED5" s="46">
        <f t="shared" ca="1" si="5"/>
        <v>2.4509523809549572E-2</v>
      </c>
      <c r="EE5" s="48"/>
      <c r="EF5" s="46"/>
      <c r="EG5" s="110">
        <f t="shared" ca="1" si="5"/>
        <v>105.81897142857146</v>
      </c>
      <c r="EH5" s="46">
        <f t="shared" ca="1" si="5"/>
        <v>-1.1133428571428552</v>
      </c>
      <c r="EI5" s="48"/>
      <c r="EJ5" s="46"/>
      <c r="EK5" s="110">
        <f t="shared" ca="1" si="5"/>
        <v>42.388471428571464</v>
      </c>
      <c r="EL5" s="46">
        <f t="shared" ca="1" si="5"/>
        <v>0.22855714285716575</v>
      </c>
      <c r="EM5" s="48"/>
      <c r="EN5" s="111"/>
      <c r="EQ5" s="51"/>
      <c r="ER5" s="108" t="str">
        <f t="shared" ref="ER5:ER14" ca="1" si="6">$A5</f>
        <v>Q326</v>
      </c>
      <c r="ES5" s="112">
        <f t="shared" ref="ES5:ET11" ca="1" si="7">IFERROR(AVERAGEIF($D$19:$D$66, $A5, ES$19:ES$66), "")</f>
        <v>28.065783682600568</v>
      </c>
      <c r="ET5" s="115">
        <f t="shared" ca="1" si="7"/>
        <v>1.1320216408711099</v>
      </c>
      <c r="EU5" s="48"/>
      <c r="EV5" s="111"/>
      <c r="EY5" s="51"/>
      <c r="EZ5" s="108" t="str">
        <f t="shared" ref="EZ5:EZ14" ca="1" si="8">$A5</f>
        <v>Q326</v>
      </c>
      <c r="FA5" s="112">
        <f t="shared" ref="FA5:FB11" ca="1" si="9">IFERROR(AVERAGEIF($D$19:$D$66, $A5, FA$19:FA$66), "")</f>
        <v>-151.02499999999998</v>
      </c>
      <c r="FB5" s="115">
        <f t="shared" ca="1" si="9"/>
        <v>3.19500000000005</v>
      </c>
      <c r="FC5" s="48"/>
      <c r="FD5" s="111"/>
      <c r="FL5" s="108" t="str">
        <f t="shared" ref="FL5:FL14" ca="1" si="10">$A5</f>
        <v>Q326</v>
      </c>
      <c r="FM5" s="110">
        <f t="shared" ref="FM5:FT11" ca="1" si="11">IFERROR(AVERAGEIF($D$19:$D$66, $A5, FM$19:FM$66), "")</f>
        <v>74.103721428571461</v>
      </c>
      <c r="FN5" s="46">
        <f t="shared" ca="1" si="11"/>
        <v>-0.44239285714284471</v>
      </c>
      <c r="FO5" s="110">
        <f t="shared" ca="1" si="11"/>
        <v>63.531971428571467</v>
      </c>
      <c r="FP5" s="46">
        <f t="shared" ca="1" si="11"/>
        <v>-0.21874285714284122</v>
      </c>
      <c r="FQ5" s="110">
        <f t="shared" ca="1" si="11"/>
        <v>68.910626190476222</v>
      </c>
      <c r="FR5" s="46">
        <f t="shared" ca="1" si="11"/>
        <v>-0.64644047619046097</v>
      </c>
      <c r="FS5" s="110">
        <f t="shared" ca="1" si="11"/>
        <v>58.338876190476228</v>
      </c>
      <c r="FT5" s="111">
        <f t="shared" ca="1" si="11"/>
        <v>-0.42279047619045751</v>
      </c>
      <c r="FV5" s="51"/>
      <c r="GA5" s="51"/>
      <c r="GB5" s="51"/>
      <c r="GE5" s="51"/>
      <c r="GF5" s="108" t="str">
        <f t="shared" ref="GF5:GF14" ca="1" si="12">$A5</f>
        <v>Q326</v>
      </c>
      <c r="GG5" s="112">
        <f t="shared" ref="GG5:GH11" ca="1" si="13">IFERROR(AVERAGEIF($D$19:$D$66, $A5, GG$19:GG$66), "")</f>
        <v>107.16166666666666</v>
      </c>
      <c r="GH5" s="46">
        <f t="shared" ca="1" si="13"/>
        <v>1.4988095238095187</v>
      </c>
      <c r="GI5" s="48"/>
      <c r="GJ5" s="46"/>
      <c r="GK5" s="110">
        <f t="shared" ref="GK5:GL11" ca="1" si="14">IFERROR(AVERAGEIF($D$19:$D$66, $A5, GK$19:GK$66), "")</f>
        <v>12.227142857142866</v>
      </c>
      <c r="GL5" s="46">
        <f t="shared" ca="1" si="14"/>
        <v>1.067619047619053</v>
      </c>
      <c r="GM5" s="48"/>
      <c r="GN5" s="46"/>
      <c r="GO5" s="110" t="str">
        <f t="shared" ref="GO5:GP11" ca="1" si="15">IFERROR(AVERAGEIF($D$19:$D$66, $A5, GO$19:GO$66), "")</f>
        <v/>
      </c>
      <c r="GP5" s="46" t="str">
        <f t="shared" ca="1" si="15"/>
        <v/>
      </c>
      <c r="GQ5" s="48"/>
      <c r="GR5" s="111"/>
      <c r="GT5" s="51"/>
      <c r="GV5" s="108" t="str">
        <f t="shared" ref="GV5:GV14" ca="1" si="16">$A5</f>
        <v>Q326</v>
      </c>
      <c r="GW5" s="268">
        <f t="shared" ref="GW5:GX11" ca="1" si="17">IFERROR(AVERAGEIF($D$19:$D$66, $A5, GW$19:GW$66), "")</f>
        <v>101.65023809523809</v>
      </c>
      <c r="GX5" s="46">
        <f t="shared" ca="1" si="17"/>
        <v>2.7049999999999832</v>
      </c>
      <c r="GY5" s="48"/>
      <c r="GZ5" s="432"/>
      <c r="HB5" s="51"/>
      <c r="HC5" s="83" t="s">
        <v>261</v>
      </c>
      <c r="HD5" s="51"/>
      <c r="HE5" s="65">
        <v>5</v>
      </c>
      <c r="HF5" s="49">
        <f>$HE5/$BD$19</f>
        <v>0.74379304702259641</v>
      </c>
      <c r="HH5" s="51"/>
    </row>
    <row r="6" spans="1:216" x14ac:dyDescent="0.25">
      <c r="A6" s="54" t="str">
        <f t="shared" ref="A6:A11" ca="1" si="18">IF(LEFT($A5, 2) = "Q4", "Q1" &amp; TEXT(RIGHT($A5, 2) + 1, "00"), "Q" &amp; MID($A5, 2, 1) + 1 &amp; RIGHT($A5, 2))</f>
        <v>Q426</v>
      </c>
      <c r="B6" s="6"/>
      <c r="C6" s="6"/>
      <c r="D6" s="6"/>
      <c r="E6" s="6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31"/>
      <c r="Y6" s="31"/>
      <c r="Z6" s="31"/>
      <c r="AA6" s="31"/>
      <c r="AB6" s="31"/>
      <c r="AC6" s="31"/>
      <c r="AD6" s="15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26"/>
      <c r="AW6" s="26"/>
      <c r="AX6" s="26"/>
      <c r="AY6" s="26"/>
      <c r="AZ6" s="26"/>
      <c r="BA6" s="26"/>
      <c r="BB6" s="26"/>
      <c r="BC6" s="26"/>
      <c r="BD6" s="26"/>
      <c r="BF6" s="767" t="s">
        <v>1354</v>
      </c>
      <c r="BG6" s="771" t="str" cm="1">
        <f t="array" aca="1" ref="BG6" ca="1">IF(AND(ISNUMBER(INDEX($BE$19:$BE$66,MATCH(LEFT($BF6,2),$E$19:$E$66,0), 0)), ISNUMBER(INDEX($BE$19:$BE$66,MATCH(RIGHT($BF6,2),$E$19:$E$66,0), 0))), INDEX($BE$19:$BE$66,MATCH(LEFT($BF6,2),$E$19:$E$66,0), 0) - INDEX($BE$19:$BE$66,MATCH(RIGHT($BF6,2),$E$19:$E$66,0), 0), "")</f>
        <v/>
      </c>
      <c r="BH6" s="46" t="str" cm="1">
        <f t="array" aca="1" ref="BH6" ca="1">IF(AND(ISNUMBER(INDEX($BF$19:$BF$66,MATCH(LEFT($BF6,2),$E$19:$E$66,0), 0)), ISNUMBER(INDEX($BF$19:$BF$66,MATCH(RIGHT($BF6,2),$E$19:$E$66,0), 0))), INDEX($BF$19:$BF$66,MATCH(LEFT($BF6,2),$E$19:$E$66,0), 0) - INDEX($BF$19:$BF$66,MATCH(RIGHT($BF6,2),$E$19:$E$66,0), 0), "")</f>
        <v/>
      </c>
      <c r="BI6" s="773" t="str" cm="1">
        <f t="array" aca="1" ref="BI6" ca="1">IF(AND(ISNUMBER(INDEX($BI$19:$BI$66,MATCH(LEFT($BF6,2),$E$19:$E$66,0), 0)), ISNUMBER(INDEX($BI$19:$BI$66,MATCH(RIGHT($BF6,2),$E$19:$E$66,0), 0))), INDEX($BI$19:$BI$66,MATCH(LEFT($BF6,2),$E$19:$E$66,0), 0) - INDEX($BI$19:$BI$66,MATCH(RIGHT($BF6,2),$E$19:$E$66,0), 0), "")</f>
        <v/>
      </c>
      <c r="BJ6" s="46" t="str" cm="1">
        <f t="array" aca="1" ref="BJ6" ca="1">IF(AND(ISNUMBER(INDEX($BJ$19:$BJ$66,MATCH(LEFT($BF6,2),$E$19:$E$66,0), 0)), ISNUMBER(INDEX($BJ$19:$BJ$66,MATCH(RIGHT($BF6,2),$E$19:$E$66,0), 0))), INDEX($BJ$19:$BJ$66,MATCH(LEFT($BF6,2),$E$19:$E$66,0), 0) - INDEX($BJ$19:$BJ$66,MATCH(RIGHT($BF6,2),$E$19:$E$66,0), 0), "")</f>
        <v/>
      </c>
      <c r="BK6" s="773" cm="1">
        <f t="array" aca="1" ref="BK6" ca="1">IF(AND(ISNUMBER(INDEX($BM$19:$BM$66,MATCH(LEFT($BF6,2),$E$19:$E$66,0), 0)), ISNUMBER(INDEX($BM$19:$BM$66,MATCH(RIGHT($BF6,2),$E$19:$E$66,0), 0))), INDEX($BM$19:$BM$66,MATCH(LEFT($BF6,2),$E$19:$E$66,0), 0) - INDEX($BM$19:$BM$66,MATCH(RIGHT($BF6,2),$E$19:$E$66,0), 0), "")</f>
        <v>206.125</v>
      </c>
      <c r="BL6" s="46" cm="1">
        <f t="array" aca="1" ref="BL6" ca="1">IF(AND(ISNUMBER(INDEX($BN$19:$BN$66,MATCH(LEFT($BF6,2),$E$19:$E$66,0), 0)), ISNUMBER(INDEX($BN$19:$BN$66,MATCH(RIGHT($BF6,2),$E$19:$E$66,0), 0))), INDEX($BN$19:$BN$66,MATCH(LEFT($BF6,2),$E$19:$E$66,0), 0) - INDEX($BN$19:$BN$66,MATCH(RIGHT($BF6,2),$E$19:$E$66,0), 0), "")</f>
        <v>-5.0050000000001091</v>
      </c>
      <c r="BM6" s="773" t="str" cm="1">
        <f t="array" aca="1" ref="BM6" ca="1">IF(AND(ISNUMBER(INDEX($BQ$19:$BQ$66,MATCH(LEFT($BF6,2),$E$19:$E$66,0), 0)), ISNUMBER(INDEX($BQ$19:$BQ$66,MATCH(RIGHT($BF6,2),$E$19:$E$66,0), 0))), INDEX($BQ$19:$BQ$66,MATCH(LEFT($BF6,2),$E$19:$E$66,0), 0) - INDEX($BQ$19:$BQ$66,MATCH(RIGHT($BF6,2),$E$19:$E$66,0), 0), "")</f>
        <v/>
      </c>
      <c r="BN6" s="46" t="str" cm="1">
        <f t="array" aca="1" ref="BN6" ca="1">IF(AND(ISNUMBER(INDEX($BR$19:$BR$66,MATCH(LEFT($BF6,2),$E$19:$E$66,0), 0)), ISNUMBER(INDEX($BR$19:$BR$66,MATCH(RIGHT($BF6,2),$E$19:$E$66,0), 0))), INDEX($BR$19:$BR$66,MATCH(LEFT($BF6,2),$E$19:$E$66,0), 0) - INDEX($BR$19:$BR$66,MATCH(RIGHT($BF6,2),$E$19:$E$66,0), 0), "")</f>
        <v/>
      </c>
      <c r="BO6" s="773" t="str" cm="1">
        <f t="array" aca="1" ref="BO6" ca="1">IF(AND(ISNUMBER(INDEX($BU$19:$BU$66,MATCH(LEFT($BF6,2),$E$19:$E$66,0), 0)), ISNUMBER(INDEX($BU$19:$BU$66,MATCH(RIGHT($BF6,2),$E$19:$E$66,0), 0))), INDEX($BU$19:$BU$66,MATCH(LEFT($BF6,2),$E$19:$E$66,0), 0) - INDEX($BU$19:$BU$66,MATCH(RIGHT($BF6,2),$E$19:$E$66,0), 0), "")</f>
        <v/>
      </c>
      <c r="BP6" s="432" t="str" cm="1">
        <f t="array" aca="1" ref="BP6" ca="1">IF(AND(ISNUMBER(INDEX($BV$19:$BV$66,MATCH(LEFT($BF6,2),$E$19:$E$66,0), 0)), ISNUMBER(INDEX($BV$19:$BV$66,MATCH(RIGHT($BF6,2),$E$19:$E$66,0), 0))), INDEX($BV$19:$BV$66,MATCH(LEFT($BF6,2),$E$19:$E$66,0), 0) - INDEX($BV$19:$BV$66,MATCH(RIGHT($BF6,2),$E$19:$E$66,0), 0), "")</f>
        <v/>
      </c>
      <c r="BS6" s="51"/>
      <c r="BT6" s="51"/>
      <c r="BW6" s="51"/>
      <c r="BX6" s="116" t="str">
        <f t="shared" ca="1" si="0"/>
        <v>Q426</v>
      </c>
      <c r="BY6" s="109">
        <f t="shared" ca="1" si="1"/>
        <v>84.23288961038962</v>
      </c>
      <c r="BZ6" s="50">
        <f t="shared" ca="1" si="1"/>
        <v>1.2196969696969151E-2</v>
      </c>
      <c r="CA6" s="48">
        <f ca="1">IF(AND(ISNUMBER($BY5), ISNUMBER($BY6)), $BY5 - $BY6, "")</f>
        <v>5.508538961038937</v>
      </c>
      <c r="CB6" s="46">
        <f ca="1">IF(AND(ISNUMBER($BZ5), ISNUMBER($BZ6)), $BZ5 - $BZ6, "")</f>
        <v>0.21494588744588036</v>
      </c>
      <c r="CC6" s="110">
        <f t="shared" ca="1" si="1"/>
        <v>88.612056277056283</v>
      </c>
      <c r="CD6" s="46">
        <f t="shared" ca="1" si="1"/>
        <v>-7.8621933621928694E-2</v>
      </c>
      <c r="CE6" s="48">
        <f ca="1">IF(AND(ISNUMBER($CC5), ISNUMBER($CC6)), $CC5 - $CC6, "")</f>
        <v>6.3224675324675133</v>
      </c>
      <c r="CF6" s="46">
        <f ca="1">IF(AND(ISNUMBER($CD5), ISNUMBER($CD6)), $CD5 - $CD6, "")</f>
        <v>0.5098124098123944</v>
      </c>
      <c r="CG6" s="110">
        <f t="shared" ca="1" si="1"/>
        <v>1241.3903318903319</v>
      </c>
      <c r="CH6" s="46">
        <f t="shared" ca="1" si="1"/>
        <v>-7.4184704184704193</v>
      </c>
      <c r="CI6" s="48">
        <f ca="1">IF(AND(ISNUMBER($CG5), ISNUMBER($CG6)), $CG5 - $CG6, "")</f>
        <v>127.71681096681095</v>
      </c>
      <c r="CJ6" s="46">
        <f ca="1">IF(AND(ISNUMBER($CH5), ISNUMBER($CH6)), $CH5 - $CH6, "")</f>
        <v>-2.7258152958153259</v>
      </c>
      <c r="CK6" s="110">
        <f t="shared" ca="1" si="1"/>
        <v>430.74166666666662</v>
      </c>
      <c r="CL6" s="46">
        <f t="shared" ca="1" si="1"/>
        <v>-1.875000000000038</v>
      </c>
      <c r="CM6" s="48">
        <f ca="1">IF(AND(ISNUMBER($CK5), ISNUMBER($CK6)), $CK5 - $CK6, "")</f>
        <v>34.878333333333387</v>
      </c>
      <c r="CN6" s="46">
        <f ca="1">IF(AND(ISNUMBER($CL5), ISNUMBER($CL6)), $CL5 - $CL6, "")</f>
        <v>-0.23499999999997567</v>
      </c>
      <c r="CO6" s="110">
        <f t="shared" ca="1" si="1"/>
        <v>283.83166666666671</v>
      </c>
      <c r="CP6" s="46">
        <f t="shared" ca="1" si="1"/>
        <v>0.5383333333333743</v>
      </c>
      <c r="CQ6" s="48">
        <f ca="1">IF(AND(ISNUMBER($CO5), ISNUMBER($CO6)), $CO5 - $CO6, "")</f>
        <v>30.763333333333321</v>
      </c>
      <c r="CR6" s="111">
        <f ca="1">IF(AND(ISNUMBER($CP5), ISNUMBER($CP6)), $CP5 - $CP6, "")</f>
        <v>0.54666666666666208</v>
      </c>
      <c r="CV6" s="116" t="str">
        <f t="shared" ca="1" si="2"/>
        <v>Q426</v>
      </c>
      <c r="CW6" s="110">
        <f t="shared" ca="1" si="3"/>
        <v>-4.3791666666666726</v>
      </c>
      <c r="CX6" s="46">
        <f t="shared" ca="1" si="3"/>
        <v>9.0818903318897859E-2</v>
      </c>
      <c r="CY6" s="48">
        <f t="shared" ref="CY6:CY11" ca="1" si="19">IF(AND(ISNUMBER($CW5), ISNUMBER($CW6)), $CW5 - $CW6, "")</f>
        <v>-0.81392857142856645</v>
      </c>
      <c r="CZ6" s="111">
        <f t="shared" ref="CZ6:CZ11" ca="1" si="20">IF(AND(ISNUMBER($CX5), ISNUMBER($CX6)), $CX5 - $CX6, "")</f>
        <v>-0.29486652236651401</v>
      </c>
      <c r="DC6" s="51"/>
      <c r="DD6" s="51"/>
      <c r="DG6" s="51"/>
      <c r="DH6" s="51"/>
      <c r="DK6" s="51"/>
      <c r="DL6" s="51"/>
      <c r="DO6" s="51"/>
      <c r="DP6" s="51"/>
      <c r="DS6" s="51"/>
      <c r="DT6" s="117" t="str">
        <f t="shared" ca="1" si="4"/>
        <v>Q426</v>
      </c>
      <c r="DU6" s="109">
        <f ca="1">IFERROR(AVERAGEIF($D$19:$D$66, $A6, DU$19:DU$66), "")</f>
        <v>78.017518473323847</v>
      </c>
      <c r="DV6" s="46">
        <f ca="1">IFERROR(AVERAGEIF($D$19:$D$66, $A6, DV$19:DV$66), "")</f>
        <v>-0.91714590778349658</v>
      </c>
      <c r="DW6" s="48">
        <f ca="1">IF(AND(ISNUMBER($DU5), ISNUMBER($DU6)), $DU5 - $DU6, "")</f>
        <v>10.820728570460133</v>
      </c>
      <c r="DX6" s="46">
        <f ca="1">IF(AND(ISNUMBER($DV5), ISNUMBER($DV6)), $DV5 - $DV6, "")</f>
        <v>-0.87569365757284101</v>
      </c>
      <c r="DY6" s="110">
        <f t="shared" ca="1" si="5"/>
        <v>92.299443722943693</v>
      </c>
      <c r="DZ6" s="46">
        <f t="shared" ca="1" si="5"/>
        <v>-0.70887806637808726</v>
      </c>
      <c r="EA6" s="48">
        <f ca="1">IF(AND(ISNUMBER($DY5), ISNUMBER($DY6)), $DY5 - $DY6, "")</f>
        <v>8.326432467532527</v>
      </c>
      <c r="EB6" s="114">
        <f ca="1">IF(AND(ISNUMBER($DZ5), ISNUMBER($DZ6)), $DZ5 - $DZ6, "")</f>
        <v>-0.6085124098123843</v>
      </c>
      <c r="EC6" s="48">
        <f t="shared" ca="1" si="5"/>
        <v>30.597243722943734</v>
      </c>
      <c r="ED6" s="46">
        <f t="shared" ca="1" si="5"/>
        <v>0.30472193362194588</v>
      </c>
      <c r="EE6" s="48">
        <f ca="1">IF(AND(ISNUMBER($EC5), ISNUMBER($EC6)), $EC5 - $EC6, "")</f>
        <v>6.5981324675324906</v>
      </c>
      <c r="EF6" s="46">
        <f ca="1">IF(AND(ISNUMBER($ED5), ISNUMBER($ED6)), $ED5 - $ED6, "")</f>
        <v>-0.28021240981239631</v>
      </c>
      <c r="EG6" s="110">
        <f t="shared" ca="1" si="5"/>
        <v>96.67861038961037</v>
      </c>
      <c r="EH6" s="46">
        <f t="shared" ca="1" si="5"/>
        <v>-0.799696969696985</v>
      </c>
      <c r="EI6" s="48">
        <f ca="1">IF(AND(ISNUMBER($EG5), ISNUMBER($EG6)), $EG5 - $EG6, "")</f>
        <v>9.140361038961089</v>
      </c>
      <c r="EJ6" s="46">
        <f ca="1">IF(AND(ISNUMBER($EH5), ISNUMBER($EH6)), $EH5 - $EH6, "")</f>
        <v>-0.31364588744587019</v>
      </c>
      <c r="EK6" s="110">
        <f t="shared" ca="1" si="5"/>
        <v>34.976410389610407</v>
      </c>
      <c r="EL6" s="46">
        <f t="shared" ca="1" si="5"/>
        <v>0.21390303030304803</v>
      </c>
      <c r="EM6" s="48">
        <f ca="1">IF(AND(ISNUMBER($EK5), ISNUMBER($EK6)), $EK5 - $EK6, "")</f>
        <v>7.4120610389610562</v>
      </c>
      <c r="EN6" s="111">
        <f ca="1">IF(AND(ISNUMBER($EL5), ISNUMBER($EL6)), $EL5 - $EL6, "")</f>
        <v>1.4654112554117721E-2</v>
      </c>
      <c r="EQ6" s="51"/>
      <c r="ER6" s="116" t="str">
        <f t="shared" ca="1" si="6"/>
        <v>Q426</v>
      </c>
      <c r="ES6" s="110">
        <f t="shared" ca="1" si="7"/>
        <v>34.004583927666339</v>
      </c>
      <c r="ET6" s="46">
        <f t="shared" ca="1" si="7"/>
        <v>0.4958758128700223</v>
      </c>
      <c r="EU6" s="48">
        <f ca="1">IF(AND(ISNUMBER($ES5), ISNUMBER($ES6)), $ES5 - $ES6, "")</f>
        <v>-5.9388002450657709</v>
      </c>
      <c r="EV6" s="111">
        <f ca="1">IF(AND(ISNUMBER($ET5), ISNUMBER($ET6)), $ET5 - $ET6, "")</f>
        <v>0.63614582800108765</v>
      </c>
      <c r="EY6" s="51"/>
      <c r="EZ6" s="116" t="str">
        <f t="shared" ca="1" si="8"/>
        <v>Q426</v>
      </c>
      <c r="FA6" s="110">
        <f t="shared" ca="1" si="9"/>
        <v>-146.90999999999994</v>
      </c>
      <c r="FB6" s="46">
        <f t="shared" ca="1" si="9"/>
        <v>2.4133333333334122</v>
      </c>
      <c r="FC6" s="48">
        <f ca="1">IF(AND(ISNUMBER($FA5), ISNUMBER($FA6)), $FA5 - $FA6, "")</f>
        <v>-4.1150000000000375</v>
      </c>
      <c r="FD6" s="111">
        <f ca="1">IF(AND(ISNUMBER($FB5), ISNUMBER($FB6)), $FB5 - $FB6, "")</f>
        <v>0.78166666666663787</v>
      </c>
      <c r="FL6" s="116" t="str">
        <f t="shared" ca="1" si="10"/>
        <v>Q426</v>
      </c>
      <c r="FM6" s="110">
        <f t="shared" ca="1" si="11"/>
        <v>65.827510389610381</v>
      </c>
      <c r="FN6" s="46">
        <f t="shared" ca="1" si="11"/>
        <v>-0.29289696969696849</v>
      </c>
      <c r="FO6" s="110">
        <f t="shared" ca="1" si="11"/>
        <v>55.543810389610393</v>
      </c>
      <c r="FP6" s="46">
        <f t="shared" ca="1" si="11"/>
        <v>-0.12396363636362966</v>
      </c>
      <c r="FQ6" s="110">
        <f t="shared" ca="1" si="11"/>
        <v>61.448343722943719</v>
      </c>
      <c r="FR6" s="46">
        <f t="shared" ca="1" si="11"/>
        <v>-0.20207806637807066</v>
      </c>
      <c r="FS6" s="110">
        <f t="shared" ca="1" si="11"/>
        <v>51.16464372294373</v>
      </c>
      <c r="FT6" s="111">
        <f t="shared" ca="1" si="11"/>
        <v>-3.3144733044731811E-2</v>
      </c>
      <c r="FV6" s="51"/>
      <c r="GA6" s="51"/>
      <c r="GB6" s="51"/>
      <c r="GE6" s="51"/>
      <c r="GF6" s="116" t="str">
        <f t="shared" ca="1" si="12"/>
        <v>Q426</v>
      </c>
      <c r="GG6" s="110">
        <f t="shared" ca="1" si="13"/>
        <v>91.535974025974028</v>
      </c>
      <c r="GH6" s="46">
        <f t="shared" ca="1" si="13"/>
        <v>-1.1748773448773495</v>
      </c>
      <c r="GI6" s="48">
        <f ca="1">IF(AND(ISNUMBER(GG5), ISNUMBER(GG6)), GG5 - GG6, "")</f>
        <v>15.625692640692634</v>
      </c>
      <c r="GJ6" s="46">
        <f ca="1">IF(AND(ISNUMBER(GH5), ISNUMBER(GH6)), GH5 - GH6, "")</f>
        <v>2.6736868686868682</v>
      </c>
      <c r="GK6" s="110">
        <f t="shared" ca="1" si="14"/>
        <v>2.9239177489177401</v>
      </c>
      <c r="GL6" s="46">
        <f t="shared" ca="1" si="14"/>
        <v>-1.096255411255421</v>
      </c>
      <c r="GM6" s="48">
        <f t="shared" ref="GM6:GN11" ca="1" si="21">IF(AND(ISNUMBER(GK5), ISNUMBER(GK6)), GK5 - GK6, "")</f>
        <v>9.303225108225126</v>
      </c>
      <c r="GN6" s="46">
        <f t="shared" ca="1" si="21"/>
        <v>2.1638744588744743</v>
      </c>
      <c r="GO6" s="110" t="str">
        <f t="shared" ca="1" si="15"/>
        <v/>
      </c>
      <c r="GP6" s="46" t="str">
        <f t="shared" ca="1" si="15"/>
        <v/>
      </c>
      <c r="GQ6" s="48" t="str">
        <f ca="1">IF(AND(ISNUMBER(GO5), ISNUMBER(GO6)), GO5 - GO6, "")</f>
        <v/>
      </c>
      <c r="GR6" s="111" t="str">
        <f ca="1">IF(AND(ISNUMBER(GP5), ISNUMBER(GP6)), GP5 - GP6, "")</f>
        <v/>
      </c>
      <c r="GT6" s="51"/>
      <c r="GV6" s="116" t="str">
        <f t="shared" ca="1" si="16"/>
        <v>Q426</v>
      </c>
      <c r="GW6" s="269" t="str">
        <f t="shared" ca="1" si="17"/>
        <v/>
      </c>
      <c r="GX6" s="46" t="str">
        <f t="shared" ca="1" si="17"/>
        <v/>
      </c>
      <c r="GY6" s="48" t="str">
        <f ca="1">IF(AND(ISNUMBER(GW5), ISNUMBER(GW6)), GW5 - GW6, "")</f>
        <v/>
      </c>
      <c r="GZ6" s="432" t="str">
        <f ca="1">IF(AND(ISNUMBER(GX5), ISNUMBER(GX6)), GX5 - GX6, "")</f>
        <v/>
      </c>
      <c r="HB6" s="51"/>
      <c r="HC6" s="83" t="s">
        <v>262</v>
      </c>
      <c r="HD6" s="51"/>
      <c r="HE6" s="65">
        <v>-5</v>
      </c>
      <c r="HF6" s="49">
        <f t="shared" ref="HF6:HF12" si="22">$HE6/$BD$19</f>
        <v>-0.74379304702259641</v>
      </c>
      <c r="HH6" s="51"/>
    </row>
    <row r="7" spans="1:216" x14ac:dyDescent="0.25">
      <c r="A7" s="54" t="str">
        <f t="shared" ca="1" si="18"/>
        <v>Q127</v>
      </c>
      <c r="B7" s="6"/>
      <c r="C7" s="6"/>
      <c r="D7" s="6"/>
      <c r="E7" s="6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31"/>
      <c r="Y7" s="31"/>
      <c r="Z7" s="31"/>
      <c r="AA7" s="31"/>
      <c r="AB7" s="31"/>
      <c r="AC7" s="31"/>
      <c r="AD7" s="15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26"/>
      <c r="AW7" s="26"/>
      <c r="AX7" s="26"/>
      <c r="AY7" s="26"/>
      <c r="AZ7" s="26"/>
      <c r="BA7" s="26"/>
      <c r="BB7" s="26"/>
      <c r="BC7" s="26"/>
      <c r="BD7" s="26"/>
      <c r="BF7" s="767" t="s">
        <v>1359</v>
      </c>
      <c r="BG7" s="771" cm="1">
        <f t="array" aca="1" ref="BG7" ca="1">IF(AND(ISNUMBER(INDEX($BE$19:$BE$66,MATCH(LEFT($BF7,2),$E$19:$E$66,0), 0)), ISNUMBER(INDEX($BE$19:$BE$66,MATCH(RIGHT($BF7,2),$E$19:$E$66,0), 0))), INDEX($BE$19:$BE$66,MATCH(LEFT($BF7,2),$E$19:$E$66,0), 0) - INDEX($BE$19:$BE$66,MATCH(RIGHT($BF7,2),$E$19:$E$66,0), 0), "")</f>
        <v>13.540000000000006</v>
      </c>
      <c r="BH7" s="46" cm="1">
        <f t="array" aca="1" ref="BH7" ca="1">IF(AND(ISNUMBER(INDEX($BF$19:$BF$66,MATCH(LEFT($BF7,2),$E$19:$E$66,0), 0)), ISNUMBER(INDEX($BF$19:$BF$66,MATCH(RIGHT($BF7,2),$E$19:$E$66,0), 0))), INDEX($BF$19:$BF$66,MATCH(LEFT($BF7,2),$E$19:$E$66,0), 0) - INDEX($BF$19:$BF$66,MATCH(RIGHT($BF7,2),$E$19:$E$66,0), 0), "")</f>
        <v>0.14000000000000057</v>
      </c>
      <c r="BI7" s="773" cm="1">
        <f t="array" aca="1" ref="BI7" ca="1">IF(AND(ISNUMBER(INDEX($BI$19:$BI$66,MATCH(LEFT($BF7,2),$E$19:$E$66,0), 0)), ISNUMBER(INDEX($BI$19:$BI$66,MATCH(RIGHT($BF7,2),$E$19:$E$66,0), 0))), INDEX($BI$19:$BI$66,MATCH(LEFT($BF7,2),$E$19:$E$66,0), 0) - INDEX($BI$19:$BI$66,MATCH(RIGHT($BF7,2),$E$19:$E$66,0), 0), "")</f>
        <v>14.699999999999989</v>
      </c>
      <c r="BJ7" s="46" cm="1">
        <f t="array" aca="1" ref="BJ7" ca="1">IF(AND(ISNUMBER(INDEX($BJ$19:$BJ$66,MATCH(LEFT($BF7,2),$E$19:$E$66,0), 0)), ISNUMBER(INDEX($BJ$19:$BJ$66,MATCH(RIGHT($BF7,2),$E$19:$E$66,0), 0))), INDEX($BJ$19:$BJ$66,MATCH(LEFT($BF7,2),$E$19:$E$66,0), 0) - INDEX($BJ$19:$BJ$66,MATCH(RIGHT($BF7,2),$E$19:$E$66,0), 0), "")</f>
        <v>0.17999999999999261</v>
      </c>
      <c r="BK7" s="773" cm="1">
        <f t="array" aca="1" ref="BK7" ca="1">IF(AND(ISNUMBER(INDEX($BM$19:$BM$66,MATCH(LEFT($BF7,2),$E$19:$E$66,0), 0)), ISNUMBER(INDEX($BM$19:$BM$66,MATCH(RIGHT($BF7,2),$E$19:$E$66,0), 0))), INDEX($BM$19:$BM$66,MATCH(LEFT($BF7,2),$E$19:$E$66,0), 0) - INDEX($BM$19:$BM$66,MATCH(RIGHT($BF7,2),$E$19:$E$66,0), 0), "")</f>
        <v>297.5</v>
      </c>
      <c r="BL7" s="46" cm="1">
        <f t="array" aca="1" ref="BL7" ca="1">IF(AND(ISNUMBER(INDEX($BN$19:$BN$66,MATCH(LEFT($BF7,2),$E$19:$E$66,0), 0)), ISNUMBER(INDEX($BN$19:$BN$66,MATCH(RIGHT($BF7,2),$E$19:$E$66,0), 0))), INDEX($BN$19:$BN$66,MATCH(LEFT($BF7,2),$E$19:$E$66,0), 0) - INDEX($BN$19:$BN$66,MATCH(RIGHT($BF7,2),$E$19:$E$66,0), 0), "")</f>
        <v>-2.5</v>
      </c>
      <c r="BM7" s="773" cm="1">
        <f t="array" aca="1" ref="BM7" ca="1">IF(AND(ISNUMBER(INDEX($BQ$19:$BQ$66,MATCH(LEFT($BF7,2),$E$19:$E$66,0), 0)), ISNUMBER(INDEX($BQ$19:$BQ$66,MATCH(RIGHT($BF7,2),$E$19:$E$66,0), 0))), INDEX($BQ$19:$BQ$66,MATCH(LEFT($BF7,2),$E$19:$E$66,0), 0) - INDEX($BQ$19:$BQ$66,MATCH(RIGHT($BF7,2),$E$19:$E$66,0), 0), "")</f>
        <v>101.5</v>
      </c>
      <c r="BN7" s="46" cm="1">
        <f t="array" aca="1" ref="BN7" ca="1">IF(AND(ISNUMBER(INDEX($BR$19:$BR$66,MATCH(LEFT($BF7,2),$E$19:$E$66,0), 0)), ISNUMBER(INDEX($BR$19:$BR$66,MATCH(RIGHT($BF7,2),$E$19:$E$66,0), 0))), INDEX($BR$19:$BR$66,MATCH(LEFT($BF7,2),$E$19:$E$66,0), 0) - INDEX($BR$19:$BR$66,MATCH(RIGHT($BF7,2),$E$19:$E$66,0), 0), "")</f>
        <v>-0.8900000000000432</v>
      </c>
      <c r="BO7" s="773" cm="1">
        <f t="array" aca="1" ref="BO7" ca="1">IF(AND(ISNUMBER(INDEX($BU$19:$BU$66,MATCH(LEFT($BF7,2),$E$19:$E$66,0), 0)), ISNUMBER(INDEX($BU$19:$BU$66,MATCH(RIGHT($BF7,2),$E$19:$E$66,0), 0))), INDEX($BU$19:$BU$66,MATCH(LEFT($BF7,2),$E$19:$E$66,0), 0) - INDEX($BU$19:$BU$66,MATCH(RIGHT($BF7,2),$E$19:$E$66,0), 0), "")</f>
        <v>48.290000000000106</v>
      </c>
      <c r="BP7" s="432" cm="1">
        <f t="array" aca="1" ref="BP7" ca="1">IF(AND(ISNUMBER(INDEX($BV$19:$BV$66,MATCH(LEFT($BF7,2),$E$19:$E$66,0), 0)), ISNUMBER(INDEX($BV$19:$BV$66,MATCH(RIGHT($BF7,2),$E$19:$E$66,0), 0))), INDEX($BV$19:$BV$66,MATCH(LEFT($BF7,2),$E$19:$E$66,0), 0) - INDEX($BV$19:$BV$66,MATCH(RIGHT($BF7,2),$E$19:$E$66,0), 0), "")</f>
        <v>0.30000000000009663</v>
      </c>
      <c r="BS7" s="51"/>
      <c r="BT7" s="51"/>
      <c r="BW7" s="51"/>
      <c r="BX7" s="116" t="str">
        <f t="shared" ca="1" si="0"/>
        <v>Q127</v>
      </c>
      <c r="BY7" s="109">
        <f t="shared" ca="1" si="1"/>
        <v>77.823242753623177</v>
      </c>
      <c r="BZ7" s="50">
        <f t="shared" ca="1" si="1"/>
        <v>-0.21340942028986157</v>
      </c>
      <c r="CA7" s="48">
        <f t="shared" ref="CA7:CA14" ca="1" si="23">IF(AND(ISNUMBER($BY6), ISNUMBER($BY7)), $BY6 - $BY7, "")</f>
        <v>6.4096468567664431</v>
      </c>
      <c r="CB7" s="46">
        <f t="shared" ref="CB7:CB14" ca="1" si="24">IF(AND(ISNUMBER($BZ6), ISNUMBER($BZ7)), $BZ6 - $BZ7, "")</f>
        <v>0.22560638998683072</v>
      </c>
      <c r="CC7" s="110">
        <f t="shared" ca="1" si="1"/>
        <v>82.648224637681167</v>
      </c>
      <c r="CD7" s="46">
        <f t="shared" ca="1" si="1"/>
        <v>-0.25892753623188114</v>
      </c>
      <c r="CE7" s="48">
        <f t="shared" ref="CE7:CE11" ca="1" si="25">IF(AND(ISNUMBER($CC6), ISNUMBER($CC7)), $CC6 - $CC7, "")</f>
        <v>5.9638316393751154</v>
      </c>
      <c r="CF7" s="46">
        <f t="shared" ref="CF7:CF11" ca="1" si="26">IF(AND(ISNUMBER($CD6), ISNUMBER($CD7)), $CD6 - $CD7, "")</f>
        <v>0.18030560260995243</v>
      </c>
      <c r="CG7" s="110">
        <f t="shared" ca="1" si="1"/>
        <v>1109.8402173913043</v>
      </c>
      <c r="CH7" s="46">
        <f t="shared" ca="1" si="1"/>
        <v>-5.2250000000000005</v>
      </c>
      <c r="CI7" s="48">
        <f t="shared" ref="CI7:CI11" ca="1" si="27">IF(AND(ISNUMBER($CG6), ISNUMBER($CG7)), $CG6 - $CG7, "")</f>
        <v>131.55011449902759</v>
      </c>
      <c r="CJ7" s="46">
        <f t="shared" ref="CJ7:CJ11" ca="1" si="28">IF(AND(ISNUMBER($CH6), ISNUMBER($CH7)), $CH6 - $CH7, "")</f>
        <v>-2.1934704184704188</v>
      </c>
      <c r="CK7" s="110">
        <f t="shared" ca="1" si="1"/>
        <v>389.10666666666657</v>
      </c>
      <c r="CL7" s="46">
        <f t="shared" ca="1" si="1"/>
        <v>-1.400000000000053</v>
      </c>
      <c r="CM7" s="48">
        <f t="shared" ref="CM7:CM11" ca="1" si="29">IF(AND(ISNUMBER($CK6), ISNUMBER($CK7)), $CK6 - $CK7, "")</f>
        <v>41.635000000000048</v>
      </c>
      <c r="CN7" s="46">
        <f t="shared" ref="CN7:CN11" ca="1" si="30">IF(AND(ISNUMBER($CL6), ISNUMBER($CL7)), $CL6 - $CL7, "")</f>
        <v>-0.47499999999998499</v>
      </c>
      <c r="CO7" s="110">
        <f t="shared" ca="1" si="1"/>
        <v>275.61166666666668</v>
      </c>
      <c r="CP7" s="46">
        <f t="shared" ca="1" si="1"/>
        <v>6.1666666666667425E-2</v>
      </c>
      <c r="CQ7" s="48">
        <f t="shared" ref="CQ7:CQ14" ca="1" si="31">IF(AND(ISNUMBER($CO6), ISNUMBER($CO7)), $CO6 - $CO7, "")</f>
        <v>8.2200000000000273</v>
      </c>
      <c r="CR7" s="111">
        <f t="shared" ref="CR7:CR11" ca="1" si="32">IF(AND(ISNUMBER($CP6), ISNUMBER($CP7)), $CP6 - $CP7, "")</f>
        <v>0.47666666666670687</v>
      </c>
      <c r="CV7" s="116" t="str">
        <f t="shared" ca="1" si="2"/>
        <v>Q127</v>
      </c>
      <c r="CW7" s="110">
        <f t="shared" ca="1" si="3"/>
        <v>-4.8249818840579861</v>
      </c>
      <c r="CX7" s="46">
        <f t="shared" ca="1" si="3"/>
        <v>4.5518115942019571E-2</v>
      </c>
      <c r="CY7" s="48">
        <f t="shared" ca="1" si="19"/>
        <v>0.44581521739131347</v>
      </c>
      <c r="CZ7" s="111">
        <f t="shared" ca="1" si="20"/>
        <v>4.5300787376878288E-2</v>
      </c>
      <c r="DC7" s="51"/>
      <c r="DD7" s="51"/>
      <c r="DG7" s="51"/>
      <c r="DH7" s="51"/>
      <c r="DK7" s="51"/>
      <c r="DL7" s="51"/>
      <c r="DO7" s="51"/>
      <c r="DP7" s="51"/>
      <c r="DS7" s="51"/>
      <c r="DT7" s="117" t="str">
        <f t="shared" ca="1" si="4"/>
        <v>Q127</v>
      </c>
      <c r="DU7" s="109">
        <f t="shared" ca="1" si="5"/>
        <v>66.323616622896608</v>
      </c>
      <c r="DV7" s="46">
        <f t="shared" ca="1" si="5"/>
        <v>-0.44241474564731348</v>
      </c>
      <c r="DW7" s="48">
        <f t="shared" ref="DW7:DW11" ca="1" si="33">IF(AND(ISNUMBER($DU6), ISNUMBER($DU7)), $DU6 - $DU7, "")</f>
        <v>11.693901850427238</v>
      </c>
      <c r="DX7" s="46">
        <f t="shared" ref="DX7:DX11" ca="1" si="34">IF(AND(ISNUMBER($DV6), ISNUMBER($DV7)), $DV6 - $DV7, "")</f>
        <v>-0.4747311621361831</v>
      </c>
      <c r="DY7" s="110">
        <f t="shared" ca="1" si="5"/>
        <v>80.776575362318795</v>
      </c>
      <c r="DZ7" s="46">
        <f t="shared" ca="1" si="5"/>
        <v>-0.32907246376814114</v>
      </c>
      <c r="EA7" s="48">
        <f t="shared" ref="EA7:EA14" ca="1" si="35">IF(AND(ISNUMBER($DY6), ISNUMBER($DY7)), $DY6 - $DY7, "")</f>
        <v>11.522868360624898</v>
      </c>
      <c r="EB7" s="114">
        <f t="shared" ref="EB7:EB11" ca="1" si="36">IF(AND(ISNUMBER($DZ6), ISNUMBER($DZ7)), $DZ6 - $DZ7, "")</f>
        <v>-0.37980560260994611</v>
      </c>
      <c r="EC7" s="48">
        <f t="shared" ca="1" si="5"/>
        <v>33.108675362318827</v>
      </c>
      <c r="ED7" s="46">
        <f t="shared" ca="1" si="5"/>
        <v>0.28482753623188151</v>
      </c>
      <c r="EE7" s="48">
        <f t="shared" ref="EE7:EE11" ca="1" si="37">IF(AND(ISNUMBER($EC6), ISNUMBER($EC7)), $EC6 - $EC7, "")</f>
        <v>-2.5114316393750933</v>
      </c>
      <c r="EF7" s="46">
        <f t="shared" ref="EF7:EF14" ca="1" si="38">IF(AND(ISNUMBER($ED6), ISNUMBER($ED7)), $ED6 - $ED7, "")</f>
        <v>1.9894397390064378E-2</v>
      </c>
      <c r="EG7" s="110">
        <f t="shared" ca="1" si="5"/>
        <v>85.601557246376785</v>
      </c>
      <c r="EH7" s="46">
        <f t="shared" ca="1" si="5"/>
        <v>-0.37459057971016074</v>
      </c>
      <c r="EI7" s="48">
        <f t="shared" ref="EI7:EI11" ca="1" si="39">IF(AND(ISNUMBER($EG6), ISNUMBER($EG7)), $EG6 - $EG7, "")</f>
        <v>11.077053143233584</v>
      </c>
      <c r="EJ7" s="46">
        <f t="shared" ref="EJ7:EJ14" ca="1" si="40">IF(AND(ISNUMBER($EH6), ISNUMBER($EH7)), $EH6 - $EH7, "")</f>
        <v>-0.42510638998682426</v>
      </c>
      <c r="EK7" s="110">
        <f t="shared" ca="1" si="5"/>
        <v>37.933657246376818</v>
      </c>
      <c r="EL7" s="46">
        <f t="shared" ca="1" si="5"/>
        <v>0.23930942028986188</v>
      </c>
      <c r="EM7" s="48">
        <f t="shared" ref="EM7:EM14" ca="1" si="41">IF(AND(ISNUMBER($EK6), ISNUMBER($EK7)), $EK6 - $EK7, "")</f>
        <v>-2.9572468567664103</v>
      </c>
      <c r="EN7" s="111">
        <f t="shared" ref="EN7:EN11" ca="1" si="42">IF(AND(ISNUMBER($EL6), ISNUMBER($EL7)), $EL6 - $EL7, "")</f>
        <v>-2.5406389986813854E-2</v>
      </c>
      <c r="EQ7" s="51"/>
      <c r="ER7" s="116" t="str">
        <f t="shared" ca="1" si="6"/>
        <v>Q127</v>
      </c>
      <c r="ES7" s="110">
        <f t="shared" ca="1" si="7"/>
        <v>34.411806522433835</v>
      </c>
      <c r="ET7" s="46">
        <f t="shared" ca="1" si="7"/>
        <v>0.26986257590279128</v>
      </c>
      <c r="EU7" s="48">
        <f t="shared" ref="EU7:EU11" ca="1" si="43">IF(AND(ISNUMBER($ES6), ISNUMBER($ES7)), $ES6 - $ES7, "")</f>
        <v>-0.40722259476749656</v>
      </c>
      <c r="EV7" s="111">
        <f t="shared" ref="EV7:EV11" ca="1" si="44">IF(AND(ISNUMBER($ET6), ISNUMBER($ET7)), $ET6 - $ET7, "")</f>
        <v>0.22601323696723102</v>
      </c>
      <c r="EY7" s="51"/>
      <c r="EZ7" s="116" t="str">
        <f t="shared" ca="1" si="8"/>
        <v>Q127</v>
      </c>
      <c r="FA7" s="110">
        <f t="shared" ca="1" si="9"/>
        <v>-113.49499999999993</v>
      </c>
      <c r="FB7" s="46">
        <f t="shared" ca="1" si="9"/>
        <v>1.4616666666667204</v>
      </c>
      <c r="FC7" s="48">
        <f t="shared" ref="FC7:FC14" ca="1" si="45">IF(AND(ISNUMBER($FA6), ISNUMBER($FA7)), $FA6 - $FA7, "")</f>
        <v>-33.415000000000006</v>
      </c>
      <c r="FD7" s="111">
        <f t="shared" ref="FD7:FD14" ca="1" si="46">IF(AND(ISNUMBER($FB6), ISNUMBER($FB7)), $FB6 - $FB7, "")</f>
        <v>0.95166666666669175</v>
      </c>
      <c r="FL7" s="116" t="str">
        <f t="shared" ca="1" si="10"/>
        <v>Q127</v>
      </c>
      <c r="FM7" s="110">
        <f t="shared" ca="1" si="11"/>
        <v>61.767607246376805</v>
      </c>
      <c r="FN7" s="46">
        <f t="shared" ca="1" si="11"/>
        <v>-6.7640579710149404E-2</v>
      </c>
      <c r="FO7" s="110">
        <f t="shared" ca="1" si="11"/>
        <v>53.822957246376802</v>
      </c>
      <c r="FP7" s="46">
        <f t="shared" ca="1" si="11"/>
        <v>3.4676086956521031E-2</v>
      </c>
      <c r="FQ7" s="110">
        <f t="shared" ca="1" si="11"/>
        <v>56.942625362318815</v>
      </c>
      <c r="FR7" s="46">
        <f t="shared" ca="1" si="11"/>
        <v>-2.2122463768129829E-2</v>
      </c>
      <c r="FS7" s="110">
        <f t="shared" ca="1" si="11"/>
        <v>48.997975362318812</v>
      </c>
      <c r="FT7" s="111">
        <f t="shared" ca="1" si="11"/>
        <v>8.0194202898540609E-2</v>
      </c>
      <c r="FV7" s="51"/>
      <c r="GA7" s="51"/>
      <c r="GB7" s="51"/>
      <c r="GE7" s="51"/>
      <c r="GF7" s="116" t="str">
        <f t="shared" ca="1" si="12"/>
        <v>Q127</v>
      </c>
      <c r="GG7" s="110" t="str">
        <f t="shared" ca="1" si="13"/>
        <v/>
      </c>
      <c r="GH7" s="46" t="str">
        <f t="shared" ca="1" si="13"/>
        <v/>
      </c>
      <c r="GI7" s="48" t="str">
        <f t="shared" ref="GI7:GI14" ca="1" si="47">IF(AND(ISNUMBER(GG6), ISNUMBER(GG7)), GG6 - GG7, "")</f>
        <v/>
      </c>
      <c r="GJ7" s="46" t="str">
        <f t="shared" ref="GJ7:GJ11" ca="1" si="48">IF(AND(ISNUMBER(GH6), ISNUMBER(GH7)), GH6 - GH7, "")</f>
        <v/>
      </c>
      <c r="GK7" s="110" t="str">
        <f t="shared" ca="1" si="14"/>
        <v/>
      </c>
      <c r="GL7" s="46" t="str">
        <f t="shared" ca="1" si="14"/>
        <v/>
      </c>
      <c r="GM7" s="48" t="str">
        <f t="shared" ca="1" si="21"/>
        <v/>
      </c>
      <c r="GN7" s="46" t="str">
        <f t="shared" ca="1" si="21"/>
        <v/>
      </c>
      <c r="GO7" s="110" t="str">
        <f t="shared" ca="1" si="15"/>
        <v/>
      </c>
      <c r="GP7" s="46" t="str">
        <f t="shared" ca="1" si="15"/>
        <v/>
      </c>
      <c r="GQ7" s="48" t="str">
        <f t="shared" ref="GQ7:GQ11" ca="1" si="49">IF(AND(ISNUMBER(GO6), ISNUMBER(GO7)), GO6 - GO7, "")</f>
        <v/>
      </c>
      <c r="GR7" s="111" t="str">
        <f t="shared" ref="GR7:GR11" ca="1" si="50">IF(AND(ISNUMBER(GP6), ISNUMBER(GP7)), GP6 - GP7, "")</f>
        <v/>
      </c>
      <c r="GT7" s="51"/>
      <c r="GV7" s="116" t="str">
        <f t="shared" ca="1" si="16"/>
        <v>Q127</v>
      </c>
      <c r="GW7" s="269" t="str">
        <f t="shared" ca="1" si="17"/>
        <v/>
      </c>
      <c r="GX7" s="46" t="str">
        <f t="shared" ca="1" si="17"/>
        <v/>
      </c>
      <c r="GY7" s="48" t="str">
        <f t="shared" ref="GY7:GY11" ca="1" si="51">IF(AND(ISNUMBER(GW6), ISNUMBER(GW7)), GW6 - GW7, "")</f>
        <v/>
      </c>
      <c r="GZ7" s="432" t="str">
        <f t="shared" ref="GZ7:GZ11" ca="1" si="52">IF(AND(ISNUMBER(GX6), ISNUMBER(GX7)), GX6 - GX7, "")</f>
        <v/>
      </c>
      <c r="HB7" s="51"/>
      <c r="HC7" s="83" t="s">
        <v>263</v>
      </c>
      <c r="HD7" s="51"/>
      <c r="HE7" s="65">
        <v>-10</v>
      </c>
      <c r="HF7" s="49">
        <f t="shared" si="22"/>
        <v>-1.4875860940451928</v>
      </c>
      <c r="HH7" s="51"/>
    </row>
    <row r="8" spans="1:216" ht="15.75" thickBot="1" x14ac:dyDescent="0.3">
      <c r="A8" s="54" t="str">
        <f t="shared" ca="1" si="18"/>
        <v>Q227</v>
      </c>
      <c r="B8" s="6"/>
      <c r="C8" s="6"/>
      <c r="D8" s="6"/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31"/>
      <c r="Y8" s="31"/>
      <c r="Z8" s="31"/>
      <c r="AA8" s="31"/>
      <c r="AB8" s="31"/>
      <c r="AC8" s="31"/>
      <c r="AD8" s="15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26"/>
      <c r="AW8" s="26"/>
      <c r="AX8" s="26"/>
      <c r="AY8" s="26"/>
      <c r="AZ8" s="26"/>
      <c r="BA8" s="26"/>
      <c r="BB8" s="26"/>
      <c r="BC8" s="26"/>
      <c r="BD8" s="26"/>
      <c r="BF8" s="768" t="s">
        <v>1360</v>
      </c>
      <c r="BG8" s="772" cm="1">
        <f t="array" aca="1" ref="BG8" ca="1">IF(AND(ISNUMBER(INDEX($BE$19:$BE$66,MATCH(LEFT($BF8,2),$E$19:$E$66,0), 0)), ISNUMBER(INDEX($BE$19:$BE$66,MATCH(RIGHT($BF8,2),$E$19:$E$66,0), 0))), INDEX($BE$19:$BE$66,MATCH(LEFT($BF8,2),$E$19:$E$66,0), 0) - INDEX($BE$19:$BE$66,MATCH(RIGHT($BF8,2),$E$19:$E$66,0), 0), "")</f>
        <v>3.2236363636363308</v>
      </c>
      <c r="BH8" s="464" cm="1">
        <f t="array" aca="1" ref="BH8" ca="1">IF(AND(ISNUMBER(INDEX($BF$19:$BF$66,MATCH(LEFT($BF8,2),$E$19:$E$66,0), 0)), ISNUMBER(INDEX($BF$19:$BF$66,MATCH(RIGHT($BF8,2),$E$19:$E$66,0), 0))), INDEX($BF$19:$BF$66,MATCH(LEFT($BF8,2),$E$19:$E$66,0), 0) - INDEX($BF$19:$BF$66,MATCH(RIGHT($BF8,2),$E$19:$E$66,0), 0), "")</f>
        <v>7.3636363636339297E-2</v>
      </c>
      <c r="BI8" s="774" cm="1">
        <f t="array" aca="1" ref="BI8" ca="1">IF(AND(ISNUMBER(INDEX($BI$19:$BI$66,MATCH(LEFT($BF8,2),$E$19:$E$66,0), 0)), ISNUMBER(INDEX($BI$19:$BI$66,MATCH(RIGHT($BF8,2),$E$19:$E$66,0), 0))), INDEX($BI$19:$BI$66,MATCH(LEFT($BF8,2),$E$19:$E$66,0), 0) - INDEX($BI$19:$BI$66,MATCH(RIGHT($BF8,2),$E$19:$E$66,0), 0), "")</f>
        <v>3.6545454545453708</v>
      </c>
      <c r="BJ8" s="464" cm="1">
        <f t="array" aca="1" ref="BJ8" ca="1">IF(AND(ISNUMBER(INDEX($BJ$19:$BJ$66,MATCH(LEFT($BF8,2),$E$19:$E$66,0), 0)), ISNUMBER(INDEX($BJ$19:$BJ$66,MATCH(RIGHT($BF8,2),$E$19:$E$66,0), 0))), INDEX($BJ$19:$BJ$66,MATCH(LEFT($BF8,2),$E$19:$E$66,0), 0) - INDEX($BJ$19:$BJ$66,MATCH(RIGHT($BF8,2),$E$19:$E$66,0), 0), "")</f>
        <v>0.11454545454537879</v>
      </c>
      <c r="BK8" s="774" cm="1">
        <f t="array" aca="1" ref="BK8" ca="1">IF(AND(ISNUMBER(INDEX($BM$19:$BM$66,MATCH(LEFT($BF8,2),$E$19:$E$66,0), 0)), ISNUMBER(INDEX($BM$19:$BM$66,MATCH(RIGHT($BF8,2),$E$19:$E$66,0), 0))), INDEX($BM$19:$BM$66,MATCH(LEFT($BF8,2),$E$19:$E$66,0), 0) - INDEX($BM$19:$BM$66,MATCH(RIGHT($BF8,2),$E$19:$E$66,0), 0), "")</f>
        <v>111.54545454545405</v>
      </c>
      <c r="BL8" s="464" cm="1">
        <f t="array" aca="1" ref="BL8" ca="1">IF(AND(ISNUMBER(INDEX($BN$19:$BN$66,MATCH(LEFT($BF8,2),$E$19:$E$66,0), 0)), ISNUMBER(INDEX($BN$19:$BN$66,MATCH(RIGHT($BF8,2),$E$19:$E$66,0), 0))), INDEX($BN$19:$BN$66,MATCH(LEFT($BF8,2),$E$19:$E$66,0), 0) - INDEX($BN$19:$BN$66,MATCH(RIGHT($BF8,2),$E$19:$E$66,0), 0), "")</f>
        <v>10.795454545454049</v>
      </c>
      <c r="BM8" s="774" cm="1">
        <f t="array" aca="1" ref="BM8" ca="1">IF(AND(ISNUMBER(INDEX($BQ$19:$BQ$66,MATCH(LEFT($BF8,2),$E$19:$E$66,0), 0)), ISNUMBER(INDEX($BQ$19:$BQ$66,MATCH(RIGHT($BF8,2),$E$19:$E$66,0), 0))), INDEX($BQ$19:$BQ$66,MATCH(LEFT($BF8,2),$E$19:$E$66,0), 0) - INDEX($BQ$19:$BQ$66,MATCH(RIGHT($BF8,2),$E$19:$E$66,0), 0), "")</f>
        <v>29.529999999999973</v>
      </c>
      <c r="BN8" s="464" cm="1">
        <f t="array" aca="1" ref="BN8" ca="1">IF(AND(ISNUMBER(INDEX($BR$19:$BR$66,MATCH(LEFT($BF8,2),$E$19:$E$66,0), 0)), ISNUMBER(INDEX($BR$19:$BR$66,MATCH(RIGHT($BF8,2),$E$19:$E$66,0), 0))), INDEX($BR$19:$BR$66,MATCH(LEFT($BF8,2),$E$19:$E$66,0), 0) - INDEX($BR$19:$BR$66,MATCH(RIGHT($BF8,2),$E$19:$E$66,0), 0), "")</f>
        <v>-1.7300000000000182</v>
      </c>
      <c r="BO8" s="774" cm="1">
        <f t="array" aca="1" ref="BO8" ca="1">IF(AND(ISNUMBER(INDEX($BU$19:$BU$66,MATCH(LEFT($BF8,2),$E$19:$E$66,0), 0)), ISNUMBER(INDEX($BU$19:$BU$66,MATCH(RIGHT($BF8,2),$E$19:$E$66,0), 0))), INDEX($BU$19:$BU$66,MATCH(LEFT($BF8,2),$E$19:$E$66,0), 0) - INDEX($BU$19:$BU$66,MATCH(RIGHT($BF8,2),$E$19:$E$66,0), 0), "")</f>
        <v>17.169999999999959</v>
      </c>
      <c r="BP8" s="434" cm="1">
        <f t="array" aca="1" ref="BP8" ca="1">IF(AND(ISNUMBER(INDEX($BV$19:$BV$66,MATCH(LEFT($BF8,2),$E$19:$E$66,0), 0)), ISNUMBER(INDEX($BV$19:$BV$66,MATCH(RIGHT($BF8,2),$E$19:$E$66,0), 0))), INDEX($BV$19:$BV$66,MATCH(LEFT($BF8,2),$E$19:$E$66,0), 0) - INDEX($BV$19:$BV$66,MATCH(RIGHT($BF8,2),$E$19:$E$66,0), 0), "")</f>
        <v>3.2799999999999727</v>
      </c>
      <c r="BS8" s="51"/>
      <c r="BT8" s="51"/>
      <c r="BW8" s="51"/>
      <c r="BX8" s="116" t="str">
        <f t="shared" ca="1" si="0"/>
        <v>Q227</v>
      </c>
      <c r="BY8" s="109">
        <f t="shared" ca="1" si="1"/>
        <v>74.373686868686846</v>
      </c>
      <c r="BZ8" s="50">
        <f t="shared" ca="1" si="1"/>
        <v>-0.24065656565657459</v>
      </c>
      <c r="CA8" s="48">
        <f t="shared" ca="1" si="23"/>
        <v>3.4495558849363306</v>
      </c>
      <c r="CB8" s="46">
        <f t="shared" ca="1" si="24"/>
        <v>2.7247145366713021E-2</v>
      </c>
      <c r="CC8" s="110">
        <f t="shared" ca="1" si="1"/>
        <v>79.581421356421359</v>
      </c>
      <c r="CD8" s="46">
        <f t="shared" ca="1" si="1"/>
        <v>-0.25406926406925451</v>
      </c>
      <c r="CE8" s="48">
        <f t="shared" ca="1" si="25"/>
        <v>3.0668032812598085</v>
      </c>
      <c r="CF8" s="46">
        <f t="shared" ca="1" si="26"/>
        <v>-4.8582721626266312E-3</v>
      </c>
      <c r="CG8" s="110">
        <f t="shared" ca="1" si="1"/>
        <v>1017.0795454545455</v>
      </c>
      <c r="CH8" s="46">
        <f t="shared" ca="1" si="1"/>
        <v>-5.1527777777777786</v>
      </c>
      <c r="CI8" s="48">
        <f t="shared" ca="1" si="27"/>
        <v>92.760671936758854</v>
      </c>
      <c r="CJ8" s="46">
        <f t="shared" ca="1" si="28"/>
        <v>-7.2222222222221966E-2</v>
      </c>
      <c r="CK8" s="110">
        <f t="shared" ca="1" si="1"/>
        <v>355.91674603174596</v>
      </c>
      <c r="CL8" s="46">
        <f t="shared" ca="1" si="1"/>
        <v>-1.1221428571428778</v>
      </c>
      <c r="CM8" s="48">
        <f t="shared" ca="1" si="29"/>
        <v>33.189920634920611</v>
      </c>
      <c r="CN8" s="46">
        <f t="shared" ca="1" si="30"/>
        <v>-0.27785714285717522</v>
      </c>
      <c r="CO8" s="110">
        <f t="shared" ca="1" si="1"/>
        <v>280.76698412698414</v>
      </c>
      <c r="CP8" s="46">
        <f t="shared" ca="1" si="1"/>
        <v>-0.61301587301586491</v>
      </c>
      <c r="CQ8" s="48">
        <f t="shared" ca="1" si="31"/>
        <v>-5.1553174603174625</v>
      </c>
      <c r="CR8" s="111">
        <f t="shared" ca="1" si="32"/>
        <v>0.67468253968253233</v>
      </c>
      <c r="CV8" s="116" t="str">
        <f t="shared" ca="1" si="2"/>
        <v>Q227</v>
      </c>
      <c r="CW8" s="110">
        <f t="shared" ca="1" si="3"/>
        <v>-5.2077344877345126</v>
      </c>
      <c r="CX8" s="46">
        <f t="shared" ca="1" si="3"/>
        <v>1.3412698412679919E-2</v>
      </c>
      <c r="CY8" s="48">
        <f t="shared" ca="1" si="19"/>
        <v>0.38275260367652653</v>
      </c>
      <c r="CZ8" s="111">
        <f t="shared" ca="1" si="20"/>
        <v>3.2105417529339653E-2</v>
      </c>
      <c r="DC8" s="51"/>
      <c r="DD8" s="51"/>
      <c r="DG8" s="51"/>
      <c r="DH8" s="51"/>
      <c r="DK8" s="51"/>
      <c r="DL8" s="51"/>
      <c r="DO8" s="51"/>
      <c r="DP8" s="51"/>
      <c r="DS8" s="51"/>
      <c r="DT8" s="117" t="str">
        <f t="shared" ca="1" si="4"/>
        <v>Q227</v>
      </c>
      <c r="DU8" s="109">
        <f t="shared" ca="1" si="5"/>
        <v>56.939322999893477</v>
      </c>
      <c r="DV8" s="46">
        <f t="shared" ca="1" si="5"/>
        <v>-0.43757875979353456</v>
      </c>
      <c r="DW8" s="48">
        <f t="shared" ca="1" si="33"/>
        <v>9.3842936230031313</v>
      </c>
      <c r="DX8" s="46">
        <f t="shared" ca="1" si="34"/>
        <v>-4.8359858537789235E-3</v>
      </c>
      <c r="DY8" s="110">
        <f t="shared" ca="1" si="5"/>
        <v>69.903611976911961</v>
      </c>
      <c r="DZ8" s="46">
        <f t="shared" ca="1" si="5"/>
        <v>-0.21723073593075418</v>
      </c>
      <c r="EA8" s="48">
        <f t="shared" ca="1" si="35"/>
        <v>10.872963385406834</v>
      </c>
      <c r="EB8" s="114">
        <f t="shared" ca="1" si="36"/>
        <v>-0.11184172783738697</v>
      </c>
      <c r="EC8" s="48">
        <f t="shared" ca="1" si="5"/>
        <v>38.340711976911969</v>
      </c>
      <c r="ED8" s="46">
        <f t="shared" ca="1" si="5"/>
        <v>-3.3974025974088016E-3</v>
      </c>
      <c r="EE8" s="48">
        <f t="shared" ca="1" si="37"/>
        <v>-5.2320366145931416</v>
      </c>
      <c r="EF8" s="46">
        <f t="shared" ca="1" si="38"/>
        <v>0.28822493882929029</v>
      </c>
      <c r="EG8" s="110">
        <f t="shared" ca="1" si="5"/>
        <v>75.111346464646473</v>
      </c>
      <c r="EH8" s="46">
        <f t="shared" ca="1" si="5"/>
        <v>-0.23064343434343412</v>
      </c>
      <c r="EI8" s="48">
        <f t="shared" ca="1" si="39"/>
        <v>10.490210781730312</v>
      </c>
      <c r="EJ8" s="46">
        <f t="shared" ca="1" si="40"/>
        <v>-0.14394714536672662</v>
      </c>
      <c r="EK8" s="110">
        <f t="shared" ca="1" si="5"/>
        <v>43.548446464646474</v>
      </c>
      <c r="EL8" s="46">
        <f t="shared" ca="1" si="5"/>
        <v>-1.6810101010088719E-2</v>
      </c>
      <c r="EM8" s="48">
        <f t="shared" ca="1" si="41"/>
        <v>-5.6147892182696566</v>
      </c>
      <c r="EN8" s="111">
        <f t="shared" ca="1" si="42"/>
        <v>0.25611952129995058</v>
      </c>
      <c r="EQ8" s="51"/>
      <c r="ER8" s="116" t="str">
        <f t="shared" ca="1" si="6"/>
        <v>Q227</v>
      </c>
      <c r="ES8" s="110">
        <f t="shared" ca="1" si="7"/>
        <v>30.867354707186866</v>
      </c>
      <c r="ET8" s="46">
        <f t="shared" ca="1" si="7"/>
        <v>0.52463815205423892</v>
      </c>
      <c r="EU8" s="48">
        <f t="shared" ca="1" si="43"/>
        <v>3.5444518152469691</v>
      </c>
      <c r="EV8" s="111">
        <f t="shared" ca="1" si="44"/>
        <v>-0.25477557615144764</v>
      </c>
      <c r="EY8" s="51"/>
      <c r="EZ8" s="116" t="str">
        <f t="shared" ca="1" si="8"/>
        <v>Q227</v>
      </c>
      <c r="FA8" s="110">
        <f t="shared" ca="1" si="9"/>
        <v>-75.149761904761874</v>
      </c>
      <c r="FB8" s="46">
        <f t="shared" ca="1" si="9"/>
        <v>0.50912698412701285</v>
      </c>
      <c r="FC8" s="48">
        <f t="shared" ca="1" si="45"/>
        <v>-38.345238095238059</v>
      </c>
      <c r="FD8" s="111">
        <f t="shared" ca="1" si="46"/>
        <v>0.95253968253970756</v>
      </c>
      <c r="FL8" s="116" t="str">
        <f t="shared" ca="1" si="10"/>
        <v>Q227</v>
      </c>
      <c r="FM8" s="110">
        <f t="shared" ca="1" si="11"/>
        <v>59.329896464646474</v>
      </c>
      <c r="FN8" s="46">
        <f t="shared" ca="1" si="11"/>
        <v>-0.12372676767676143</v>
      </c>
      <c r="FO8" s="110">
        <f t="shared" ca="1" si="11"/>
        <v>54.069413131313148</v>
      </c>
      <c r="FP8" s="46">
        <f t="shared" ca="1" si="11"/>
        <v>-8.8087878787870499E-2</v>
      </c>
      <c r="FQ8" s="110">
        <f t="shared" ca="1" si="11"/>
        <v>54.122161976911961</v>
      </c>
      <c r="FR8" s="46">
        <f t="shared" ca="1" si="11"/>
        <v>-0.11031406926408149</v>
      </c>
      <c r="FS8" s="110">
        <f t="shared" ca="1" si="11"/>
        <v>48.861678643578635</v>
      </c>
      <c r="FT8" s="111">
        <f t="shared" ca="1" si="11"/>
        <v>-7.4675180375190595E-2</v>
      </c>
      <c r="FV8" s="51"/>
      <c r="GA8" s="51"/>
      <c r="GB8" s="51"/>
      <c r="GE8" s="51"/>
      <c r="GF8" s="116" t="str">
        <f t="shared" ca="1" si="12"/>
        <v>Q227</v>
      </c>
      <c r="GG8" s="110" t="str">
        <f t="shared" ca="1" si="13"/>
        <v/>
      </c>
      <c r="GH8" s="46" t="str">
        <f t="shared" ca="1" si="13"/>
        <v/>
      </c>
      <c r="GI8" s="48" t="str">
        <f t="shared" ca="1" si="47"/>
        <v/>
      </c>
      <c r="GJ8" s="46" t="str">
        <f t="shared" ca="1" si="48"/>
        <v/>
      </c>
      <c r="GK8" s="110" t="str">
        <f t="shared" ca="1" si="14"/>
        <v/>
      </c>
      <c r="GL8" s="46" t="str">
        <f t="shared" ca="1" si="14"/>
        <v/>
      </c>
      <c r="GM8" s="48" t="str">
        <f t="shared" ca="1" si="21"/>
        <v/>
      </c>
      <c r="GN8" s="46" t="str">
        <f t="shared" ca="1" si="21"/>
        <v/>
      </c>
      <c r="GO8" s="110" t="str">
        <f t="shared" ca="1" si="15"/>
        <v/>
      </c>
      <c r="GP8" s="46" t="str">
        <f t="shared" ca="1" si="15"/>
        <v/>
      </c>
      <c r="GQ8" s="48" t="str">
        <f t="shared" ca="1" si="49"/>
        <v/>
      </c>
      <c r="GR8" s="111" t="str">
        <f t="shared" ca="1" si="50"/>
        <v/>
      </c>
      <c r="GT8" s="51"/>
      <c r="GV8" s="116" t="str">
        <f t="shared" ca="1" si="16"/>
        <v>Q227</v>
      </c>
      <c r="GW8" s="269" t="str">
        <f t="shared" ca="1" si="17"/>
        <v/>
      </c>
      <c r="GX8" s="46" t="str">
        <f t="shared" ca="1" si="17"/>
        <v/>
      </c>
      <c r="GY8" s="48" t="str">
        <f t="shared" ca="1" si="51"/>
        <v/>
      </c>
      <c r="GZ8" s="432" t="str">
        <f t="shared" ca="1" si="52"/>
        <v/>
      </c>
      <c r="HB8" s="51"/>
      <c r="HC8" s="83" t="s">
        <v>264</v>
      </c>
      <c r="HD8" s="51"/>
      <c r="HE8" s="65">
        <v>10</v>
      </c>
      <c r="HF8" s="49">
        <f t="shared" si="22"/>
        <v>1.4875860940451928</v>
      </c>
      <c r="HH8" s="51"/>
    </row>
    <row r="9" spans="1:216" ht="15.75" thickBot="1" x14ac:dyDescent="0.3">
      <c r="A9" s="54" t="str">
        <f t="shared" ca="1" si="18"/>
        <v>Q327</v>
      </c>
      <c r="B9" s="6"/>
      <c r="C9" s="6"/>
      <c r="D9" s="6"/>
      <c r="E9" s="6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31"/>
      <c r="Y9" s="31"/>
      <c r="Z9" s="31"/>
      <c r="AA9" s="31"/>
      <c r="AB9" s="31"/>
      <c r="AC9" s="31"/>
      <c r="AD9" s="15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26"/>
      <c r="AW9" s="26"/>
      <c r="AX9" s="26"/>
      <c r="AY9" s="26"/>
      <c r="AZ9" s="26"/>
      <c r="BA9" s="26"/>
      <c r="BB9" s="26"/>
      <c r="BC9" s="26"/>
      <c r="BD9" s="26"/>
      <c r="BG9" s="51"/>
      <c r="BH9" s="51"/>
      <c r="BJ9" s="51"/>
      <c r="BL9" s="51"/>
      <c r="BN9" s="48"/>
      <c r="BO9" s="51"/>
      <c r="BP9" s="51"/>
      <c r="BS9" s="51"/>
      <c r="BT9" s="51"/>
      <c r="BW9" s="51"/>
      <c r="BX9" s="116" t="str">
        <f t="shared" ca="1" si="0"/>
        <v>Q327</v>
      </c>
      <c r="BY9" s="109">
        <f t="shared" ca="1" si="1"/>
        <v>72.524999999999991</v>
      </c>
      <c r="BZ9" s="50">
        <f t="shared" ca="1" si="1"/>
        <v>-0.17287878787879665</v>
      </c>
      <c r="CA9" s="48">
        <f t="shared" ca="1" si="23"/>
        <v>1.8486868686868547</v>
      </c>
      <c r="CB9" s="46">
        <f t="shared" ca="1" si="24"/>
        <v>-6.7777777777777937E-2</v>
      </c>
      <c r="CC9" s="110">
        <f t="shared" ca="1" si="1"/>
        <v>77.776060606060625</v>
      </c>
      <c r="CD9" s="46">
        <f t="shared" ca="1" si="1"/>
        <v>-0.19181818181817167</v>
      </c>
      <c r="CE9" s="48">
        <f t="shared" ca="1" si="25"/>
        <v>1.8053607503607338</v>
      </c>
      <c r="CF9" s="46">
        <f t="shared" ca="1" si="26"/>
        <v>-6.2251082251082834E-2</v>
      </c>
      <c r="CG9" s="110">
        <f t="shared" ca="1" si="1"/>
        <v>965.72348484848487</v>
      </c>
      <c r="CH9" s="46">
        <f t="shared" ca="1" si="1"/>
        <v>-4.8093939393939351</v>
      </c>
      <c r="CI9" s="48">
        <f t="shared" ca="1" si="27"/>
        <v>51.356060606060623</v>
      </c>
      <c r="CJ9" s="46">
        <f t="shared" ca="1" si="28"/>
        <v>-0.34338383838384345</v>
      </c>
      <c r="CK9" s="110">
        <f t="shared" ca="1" si="1"/>
        <v>340.24666666666667</v>
      </c>
      <c r="CL9" s="46">
        <f t="shared" ca="1" si="1"/>
        <v>-0.93000000000000682</v>
      </c>
      <c r="CM9" s="48">
        <f t="shared" ca="1" si="29"/>
        <v>15.670079365079289</v>
      </c>
      <c r="CN9" s="46">
        <f t="shared" ca="1" si="30"/>
        <v>-0.19214285714287094</v>
      </c>
      <c r="CO9" s="110">
        <f t="shared" ca="1" si="1"/>
        <v>259.66166666666663</v>
      </c>
      <c r="CP9" s="46">
        <f t="shared" ca="1" si="1"/>
        <v>-0.29833333333336515</v>
      </c>
      <c r="CQ9" s="48">
        <f t="shared" ca="1" si="31"/>
        <v>21.105317460317508</v>
      </c>
      <c r="CR9" s="111">
        <f t="shared" ca="1" si="32"/>
        <v>-0.31468253968249976</v>
      </c>
      <c r="CV9" s="116" t="str">
        <f t="shared" ca="1" si="2"/>
        <v>Q327</v>
      </c>
      <c r="CW9" s="110">
        <f t="shared" ca="1" si="3"/>
        <v>-5.2510606060606291</v>
      </c>
      <c r="CX9" s="46">
        <f t="shared" ca="1" si="3"/>
        <v>1.8939393939375004E-2</v>
      </c>
      <c r="CY9" s="48">
        <f t="shared" ca="1" si="19"/>
        <v>4.3326118326116436E-2</v>
      </c>
      <c r="CZ9" s="111">
        <f t="shared" ca="1" si="20"/>
        <v>-5.526695526695085E-3</v>
      </c>
      <c r="DC9" s="51"/>
      <c r="DD9" s="51"/>
      <c r="DG9" s="51"/>
      <c r="DH9" s="51"/>
      <c r="DK9" s="51"/>
      <c r="DL9" s="51"/>
      <c r="DO9" s="51"/>
      <c r="DP9" s="51"/>
      <c r="DS9" s="51"/>
      <c r="DT9" s="117" t="str">
        <f t="shared" ca="1" si="4"/>
        <v>Q327</v>
      </c>
      <c r="DU9" s="109">
        <f t="shared" ca="1" si="5"/>
        <v>51.851252796420567</v>
      </c>
      <c r="DV9" s="46">
        <f t="shared" ca="1" si="5"/>
        <v>-0.4537380516575244</v>
      </c>
      <c r="DW9" s="48">
        <f t="shared" ca="1" si="33"/>
        <v>5.0880702034729097</v>
      </c>
      <c r="DX9" s="46">
        <f t="shared" ca="1" si="34"/>
        <v>1.6159291863989844E-2</v>
      </c>
      <c r="DY9" s="110">
        <f t="shared" ca="1" si="5"/>
        <v>65.127539393939387</v>
      </c>
      <c r="DZ9" s="46">
        <f t="shared" ca="1" si="5"/>
        <v>-0.19878181818183119</v>
      </c>
      <c r="EA9" s="48">
        <f t="shared" ca="1" si="35"/>
        <v>4.7760725829725743</v>
      </c>
      <c r="EB9" s="114">
        <f t="shared" ca="1" si="36"/>
        <v>-1.8448917748922988E-2</v>
      </c>
      <c r="EC9" s="48">
        <f t="shared" ca="1" si="5"/>
        <v>31.281839393939375</v>
      </c>
      <c r="ED9" s="46">
        <f t="shared" ca="1" si="5"/>
        <v>6.6518181818158287E-2</v>
      </c>
      <c r="EE9" s="48">
        <f t="shared" ca="1" si="37"/>
        <v>7.0588725829725938</v>
      </c>
      <c r="EF9" s="46">
        <f t="shared" ca="1" si="38"/>
        <v>-6.9915584415567084E-2</v>
      </c>
      <c r="EG9" s="110">
        <f t="shared" ca="1" si="5"/>
        <v>70.378600000000006</v>
      </c>
      <c r="EH9" s="46">
        <f t="shared" ca="1" si="5"/>
        <v>-0.21772121212120621</v>
      </c>
      <c r="EI9" s="48">
        <f t="shared" ca="1" si="39"/>
        <v>4.7327464646464676</v>
      </c>
      <c r="EJ9" s="46">
        <f t="shared" ca="1" si="40"/>
        <v>-1.2922222222227914E-2</v>
      </c>
      <c r="EK9" s="110">
        <f t="shared" ca="1" si="5"/>
        <v>36.532900000000005</v>
      </c>
      <c r="EL9" s="46">
        <f t="shared" ca="1" si="5"/>
        <v>4.7578787878783287E-2</v>
      </c>
      <c r="EM9" s="48">
        <f t="shared" ca="1" si="41"/>
        <v>7.0155464646464694</v>
      </c>
      <c r="EN9" s="111">
        <f t="shared" ca="1" si="42"/>
        <v>-6.4388888888872009E-2</v>
      </c>
      <c r="EQ9" s="51"/>
      <c r="ER9" s="116" t="str">
        <f t="shared" ca="1" si="6"/>
        <v>Q327</v>
      </c>
      <c r="ES9" s="110">
        <f t="shared" ca="1" si="7"/>
        <v>31.610206184568597</v>
      </c>
      <c r="ET9" s="46">
        <f t="shared" ca="1" si="7"/>
        <v>0.6070386511326028</v>
      </c>
      <c r="EU9" s="48">
        <f t="shared" ca="1" si="43"/>
        <v>-0.74285147738173052</v>
      </c>
      <c r="EV9" s="111">
        <f t="shared" ca="1" si="44"/>
        <v>-8.2400499078363887E-2</v>
      </c>
      <c r="EY9" s="51"/>
      <c r="EZ9" s="116" t="str">
        <f t="shared" ca="1" si="8"/>
        <v>Q327</v>
      </c>
      <c r="FA9" s="110">
        <f t="shared" ca="1" si="9"/>
        <v>-80.585000000000022</v>
      </c>
      <c r="FB9" s="46">
        <f t="shared" ca="1" si="9"/>
        <v>0.63166666666664162</v>
      </c>
      <c r="FC9" s="48">
        <f t="shared" ca="1" si="45"/>
        <v>5.435238095238148</v>
      </c>
      <c r="FD9" s="111">
        <f t="shared" ca="1" si="46"/>
        <v>-0.12253968253962877</v>
      </c>
      <c r="FL9" s="116" t="str">
        <f t="shared" ca="1" si="10"/>
        <v>Q327</v>
      </c>
      <c r="FM9" s="110">
        <f t="shared" ca="1" si="11"/>
        <v>53.455750000000002</v>
      </c>
      <c r="FN9" s="46">
        <f t="shared" ca="1" si="11"/>
        <v>-8.5071212121211479E-2</v>
      </c>
      <c r="FO9" s="110">
        <f t="shared" ca="1" si="11"/>
        <v>47.814799999999998</v>
      </c>
      <c r="FP9" s="46">
        <f t="shared" ca="1" si="11"/>
        <v>-4.0854545454546552E-2</v>
      </c>
      <c r="FQ9" s="110">
        <f t="shared" ca="1" si="11"/>
        <v>48.204689393939368</v>
      </c>
      <c r="FR9" s="46">
        <f t="shared" ca="1" si="11"/>
        <v>-6.6131818181836458E-2</v>
      </c>
      <c r="FS9" s="110">
        <f t="shared" ca="1" si="11"/>
        <v>42.563739393939379</v>
      </c>
      <c r="FT9" s="111">
        <f t="shared" ca="1" si="11"/>
        <v>-2.1915151515171542E-2</v>
      </c>
      <c r="FV9" s="51"/>
      <c r="GA9" s="51"/>
      <c r="GB9" s="51"/>
      <c r="GE9" s="51"/>
      <c r="GF9" s="116" t="str">
        <f t="shared" ca="1" si="12"/>
        <v>Q327</v>
      </c>
      <c r="GG9" s="110" t="str">
        <f t="shared" ca="1" si="13"/>
        <v/>
      </c>
      <c r="GH9" s="46" t="str">
        <f t="shared" ca="1" si="13"/>
        <v/>
      </c>
      <c r="GI9" s="48" t="str">
        <f t="shared" ca="1" si="47"/>
        <v/>
      </c>
      <c r="GJ9" s="46" t="str">
        <f t="shared" ca="1" si="48"/>
        <v/>
      </c>
      <c r="GK9" s="110" t="str">
        <f t="shared" ca="1" si="14"/>
        <v/>
      </c>
      <c r="GL9" s="46" t="str">
        <f t="shared" ca="1" si="14"/>
        <v/>
      </c>
      <c r="GM9" s="48" t="str">
        <f t="shared" ca="1" si="21"/>
        <v/>
      </c>
      <c r="GN9" s="46" t="str">
        <f t="shared" ca="1" si="21"/>
        <v/>
      </c>
      <c r="GO9" s="110" t="str">
        <f t="shared" ca="1" si="15"/>
        <v/>
      </c>
      <c r="GP9" s="46" t="str">
        <f t="shared" ca="1" si="15"/>
        <v/>
      </c>
      <c r="GQ9" s="48" t="str">
        <f t="shared" ca="1" si="49"/>
        <v/>
      </c>
      <c r="GR9" s="111" t="str">
        <f t="shared" ca="1" si="50"/>
        <v/>
      </c>
      <c r="GT9" s="51"/>
      <c r="GV9" s="116" t="str">
        <f t="shared" ca="1" si="16"/>
        <v>Q327</v>
      </c>
      <c r="GW9" s="269" t="str">
        <f t="shared" ca="1" si="17"/>
        <v/>
      </c>
      <c r="GX9" s="46" t="str">
        <f t="shared" ca="1" si="17"/>
        <v/>
      </c>
      <c r="GY9" s="48" t="str">
        <f t="shared" ca="1" si="51"/>
        <v/>
      </c>
      <c r="GZ9" s="432" t="str">
        <f t="shared" ca="1" si="52"/>
        <v/>
      </c>
      <c r="HB9" s="51"/>
      <c r="HC9" s="83" t="s">
        <v>265</v>
      </c>
      <c r="HD9" s="51"/>
      <c r="HE9" s="65">
        <v>-5</v>
      </c>
      <c r="HF9" s="49">
        <f t="shared" si="22"/>
        <v>-0.74379304702259641</v>
      </c>
      <c r="HH9" s="51"/>
    </row>
    <row r="10" spans="1:216" ht="15.75" thickBot="1" x14ac:dyDescent="0.3">
      <c r="A10" s="54" t="str">
        <f t="shared" ca="1" si="18"/>
        <v>Q427</v>
      </c>
      <c r="B10" s="6"/>
      <c r="C10" s="6"/>
      <c r="D10" s="6"/>
      <c r="E10" s="6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31"/>
      <c r="Y10" s="31"/>
      <c r="Z10" s="31"/>
      <c r="AA10" s="31"/>
      <c r="AB10" s="31"/>
      <c r="AC10" s="31"/>
      <c r="AD10" s="15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26"/>
      <c r="AW10" s="26"/>
      <c r="AX10" s="26"/>
      <c r="AY10" s="26"/>
      <c r="AZ10" s="26"/>
      <c r="BA10" s="26"/>
      <c r="BB10" s="26"/>
      <c r="BC10" s="26"/>
      <c r="BD10" s="26"/>
      <c r="BG10" s="776" t="s">
        <v>1386</v>
      </c>
      <c r="BH10" s="777"/>
      <c r="BI10" s="777"/>
      <c r="BJ10" s="777"/>
      <c r="BK10" s="777"/>
      <c r="BL10" s="777"/>
      <c r="BM10" s="777"/>
      <c r="BN10" s="777"/>
      <c r="BO10" s="777"/>
      <c r="BP10" s="778"/>
      <c r="BS10" s="51"/>
      <c r="BT10" s="51"/>
      <c r="BW10" s="51"/>
      <c r="BX10" s="116" t="str">
        <f t="shared" ca="1" si="0"/>
        <v>Q427</v>
      </c>
      <c r="BY10" s="109">
        <f t="shared" ca="1" si="1"/>
        <v>71.397478839781215</v>
      </c>
      <c r="BZ10" s="50">
        <f t="shared" ca="1" si="1"/>
        <v>-4.081716373218313E-2</v>
      </c>
      <c r="CA10" s="48">
        <f t="shared" ca="1" si="23"/>
        <v>1.1275211602187767</v>
      </c>
      <c r="CB10" s="46">
        <f t="shared" ca="1" si="24"/>
        <v>-0.13206162414661352</v>
      </c>
      <c r="CC10" s="110">
        <f t="shared" ca="1" si="1"/>
        <v>76.602178761072068</v>
      </c>
      <c r="CD10" s="46">
        <f t="shared" ca="1" si="1"/>
        <v>-1.5390408888409951E-2</v>
      </c>
      <c r="CE10" s="48">
        <f t="shared" ca="1" si="25"/>
        <v>1.1738818449885571</v>
      </c>
      <c r="CF10" s="46">
        <f t="shared" ca="1" si="26"/>
        <v>-0.17642777292976172</v>
      </c>
      <c r="CG10" s="110">
        <f t="shared" ca="1" si="1"/>
        <v>925.07685551163831</v>
      </c>
      <c r="CH10" s="46">
        <f t="shared" ca="1" si="1"/>
        <v>-3.7247694334650738</v>
      </c>
      <c r="CI10" s="48">
        <f t="shared" ca="1" si="27"/>
        <v>40.646629336846559</v>
      </c>
      <c r="CJ10" s="46">
        <f t="shared" ca="1" si="28"/>
        <v>-1.0846245059288613</v>
      </c>
      <c r="CK10" s="110">
        <f t="shared" ca="1" si="1"/>
        <v>327.78500000000003</v>
      </c>
      <c r="CL10" s="46">
        <f t="shared" ca="1" si="1"/>
        <v>-0.98500000000003263</v>
      </c>
      <c r="CM10" s="48">
        <f t="shared" ca="1" si="29"/>
        <v>12.461666666666645</v>
      </c>
      <c r="CN10" s="46">
        <f t="shared" ca="1" si="30"/>
        <v>5.5000000000025806E-2</v>
      </c>
      <c r="CO10" s="110">
        <f t="shared" ca="1" si="1"/>
        <v>234.12666666666664</v>
      </c>
      <c r="CP10" s="46">
        <f t="shared" ca="1" si="1"/>
        <v>0.21333333333327195</v>
      </c>
      <c r="CQ10" s="48">
        <f t="shared" ca="1" si="31"/>
        <v>25.534999999999997</v>
      </c>
      <c r="CR10" s="111">
        <f t="shared" ca="1" si="32"/>
        <v>-0.51166666666663707</v>
      </c>
      <c r="CV10" s="116" t="str">
        <f t="shared" ca="1" si="2"/>
        <v>Q427</v>
      </c>
      <c r="CW10" s="110">
        <f t="shared" ca="1" si="3"/>
        <v>-5.2046999212908487</v>
      </c>
      <c r="CX10" s="46">
        <f t="shared" ca="1" si="3"/>
        <v>-2.5426754843773176E-2</v>
      </c>
      <c r="CY10" s="48">
        <f t="shared" ca="1" si="19"/>
        <v>-4.6360684769780391E-2</v>
      </c>
      <c r="CZ10" s="111">
        <f t="shared" ca="1" si="20"/>
        <v>4.4366148783148179E-2</v>
      </c>
      <c r="DC10" s="51"/>
      <c r="DD10" s="51"/>
      <c r="DG10" s="51"/>
      <c r="DH10" s="51"/>
      <c r="DK10" s="51"/>
      <c r="DL10" s="51"/>
      <c r="DO10" s="51"/>
      <c r="DP10" s="51"/>
      <c r="DS10" s="51"/>
      <c r="DT10" s="117" t="str">
        <f t="shared" ca="1" si="4"/>
        <v>Q427</v>
      </c>
      <c r="DU10" s="109">
        <f t="shared" ca="1" si="5"/>
        <v>47.56921124049012</v>
      </c>
      <c r="DV10" s="46">
        <f t="shared" ca="1" si="5"/>
        <v>-0.48457864258341204</v>
      </c>
      <c r="DW10" s="48">
        <f t="shared" ca="1" si="33"/>
        <v>4.2820415559304479</v>
      </c>
      <c r="DX10" s="46">
        <f t="shared" ca="1" si="34"/>
        <v>3.0840590925887645E-2</v>
      </c>
      <c r="DY10" s="110">
        <f t="shared" ca="1" si="5"/>
        <v>61.067521238927917</v>
      </c>
      <c r="DZ10" s="46">
        <f t="shared" ca="1" si="5"/>
        <v>-0.39830959111160369</v>
      </c>
      <c r="EA10" s="48">
        <f t="shared" ca="1" si="35"/>
        <v>4.0600181550114698</v>
      </c>
      <c r="EB10" s="114">
        <f t="shared" ca="1" si="36"/>
        <v>0.1995277729297725</v>
      </c>
      <c r="EC10" s="48">
        <f t="shared" ca="1" si="5"/>
        <v>21.731021238927912</v>
      </c>
      <c r="ED10" s="46">
        <f t="shared" ca="1" si="5"/>
        <v>0.10499040888838417</v>
      </c>
      <c r="EE10" s="48">
        <f t="shared" ca="1" si="37"/>
        <v>9.5508181550114628</v>
      </c>
      <c r="EF10" s="46">
        <f t="shared" ca="1" si="38"/>
        <v>-3.8472227070225878E-2</v>
      </c>
      <c r="EG10" s="110">
        <f t="shared" ca="1" si="5"/>
        <v>66.272221160218763</v>
      </c>
      <c r="EH10" s="46">
        <f t="shared" ca="1" si="5"/>
        <v>-0.37288283626783053</v>
      </c>
      <c r="EI10" s="48">
        <f t="shared" ca="1" si="39"/>
        <v>4.1063788397812431</v>
      </c>
      <c r="EJ10" s="46">
        <f t="shared" ca="1" si="40"/>
        <v>0.15516162414662432</v>
      </c>
      <c r="EK10" s="110">
        <f t="shared" ca="1" si="5"/>
        <v>26.935721160218762</v>
      </c>
      <c r="EL10" s="46">
        <f t="shared" ca="1" si="5"/>
        <v>0.13041716373215734</v>
      </c>
      <c r="EM10" s="48">
        <f t="shared" ca="1" si="41"/>
        <v>9.5971788397812432</v>
      </c>
      <c r="EN10" s="111">
        <f t="shared" ca="1" si="42"/>
        <v>-8.2838375853374058E-2</v>
      </c>
      <c r="EQ10" s="51"/>
      <c r="ER10" s="116" t="str">
        <f t="shared" ca="1" si="6"/>
        <v>Q427</v>
      </c>
      <c r="ES10" s="110">
        <f t="shared" ca="1" si="7"/>
        <v>32.138833329613838</v>
      </c>
      <c r="ET10" s="46">
        <f t="shared" ca="1" si="7"/>
        <v>0.20540250350430553</v>
      </c>
      <c r="EU10" s="48">
        <f t="shared" ca="1" si="43"/>
        <v>-0.52862714504524178</v>
      </c>
      <c r="EV10" s="111">
        <f t="shared" ca="1" si="44"/>
        <v>0.40163614762829725</v>
      </c>
      <c r="EY10" s="51"/>
      <c r="EZ10" s="116" t="str">
        <f t="shared" ca="1" si="8"/>
        <v>Q427</v>
      </c>
      <c r="FA10" s="110">
        <f t="shared" ca="1" si="9"/>
        <v>-93.65833333333336</v>
      </c>
      <c r="FB10" s="46">
        <f t="shared" ca="1" si="9"/>
        <v>1.1983333333333046</v>
      </c>
      <c r="FC10" s="48">
        <f t="shared" ca="1" si="45"/>
        <v>13.073333333333338</v>
      </c>
      <c r="FD10" s="111">
        <f t="shared" ca="1" si="46"/>
        <v>-0.56666666666666299</v>
      </c>
      <c r="FL10" s="116" t="str">
        <f t="shared" ca="1" si="10"/>
        <v>Q427</v>
      </c>
      <c r="FM10" s="110">
        <f t="shared" ca="1" si="11"/>
        <v>46.603971160218769</v>
      </c>
      <c r="FN10" s="46">
        <f t="shared" ca="1" si="11"/>
        <v>-0.12123283626783661</v>
      </c>
      <c r="FO10" s="110">
        <f t="shared" ca="1" si="11"/>
        <v>40.047887826885422</v>
      </c>
      <c r="FP10" s="46">
        <f t="shared" ca="1" si="11"/>
        <v>-3.7349502934505292E-2</v>
      </c>
      <c r="FQ10" s="110">
        <f t="shared" ca="1" si="11"/>
        <v>41.399271238927916</v>
      </c>
      <c r="FR10" s="46">
        <f t="shared" ca="1" si="11"/>
        <v>-0.14665959111160978</v>
      </c>
      <c r="FS10" s="110">
        <f t="shared" ca="1" si="11"/>
        <v>34.843187905594583</v>
      </c>
      <c r="FT10" s="111">
        <f t="shared" ca="1" si="11"/>
        <v>-6.2776257778278458E-2</v>
      </c>
      <c r="FV10" s="51"/>
      <c r="GA10" s="48"/>
      <c r="GB10" s="51"/>
      <c r="GE10" s="51"/>
      <c r="GF10" s="116" t="str">
        <f t="shared" ca="1" si="12"/>
        <v>Q427</v>
      </c>
      <c r="GG10" s="110" t="str">
        <f t="shared" ca="1" si="13"/>
        <v/>
      </c>
      <c r="GH10" s="46" t="str">
        <f t="shared" ca="1" si="13"/>
        <v/>
      </c>
      <c r="GI10" s="48" t="str">
        <f t="shared" ca="1" si="47"/>
        <v/>
      </c>
      <c r="GJ10" s="46" t="str">
        <f t="shared" ca="1" si="48"/>
        <v/>
      </c>
      <c r="GK10" s="110" t="str">
        <f t="shared" ca="1" si="14"/>
        <v/>
      </c>
      <c r="GL10" s="46" t="str">
        <f t="shared" ca="1" si="14"/>
        <v/>
      </c>
      <c r="GM10" s="48" t="str">
        <f t="shared" ca="1" si="21"/>
        <v/>
      </c>
      <c r="GN10" s="46" t="str">
        <f t="shared" ca="1" si="21"/>
        <v/>
      </c>
      <c r="GO10" s="110" t="str">
        <f t="shared" ca="1" si="15"/>
        <v/>
      </c>
      <c r="GP10" s="46" t="str">
        <f t="shared" ca="1" si="15"/>
        <v/>
      </c>
      <c r="GQ10" s="48" t="str">
        <f t="shared" ca="1" si="49"/>
        <v/>
      </c>
      <c r="GR10" s="111" t="str">
        <f t="shared" ca="1" si="50"/>
        <v/>
      </c>
      <c r="GT10" s="51"/>
      <c r="GV10" s="116" t="str">
        <f t="shared" ca="1" si="16"/>
        <v>Q427</v>
      </c>
      <c r="GW10" s="269" t="str">
        <f t="shared" ca="1" si="17"/>
        <v/>
      </c>
      <c r="GX10" s="46" t="str">
        <f t="shared" ca="1" si="17"/>
        <v/>
      </c>
      <c r="GY10" s="48" t="str">
        <f t="shared" ca="1" si="51"/>
        <v/>
      </c>
      <c r="GZ10" s="432" t="str">
        <f t="shared" ca="1" si="52"/>
        <v/>
      </c>
      <c r="HB10" s="51"/>
      <c r="HC10" s="83" t="s">
        <v>266</v>
      </c>
      <c r="HD10" s="51"/>
      <c r="HE10" s="51">
        <v>0</v>
      </c>
      <c r="HF10" s="51">
        <f t="shared" si="22"/>
        <v>0</v>
      </c>
      <c r="HH10" s="51"/>
    </row>
    <row r="11" spans="1:216" ht="15.75" thickBot="1" x14ac:dyDescent="0.3">
      <c r="A11" s="54" t="str">
        <f t="shared" ca="1" si="18"/>
        <v>Q128</v>
      </c>
      <c r="B11" s="6"/>
      <c r="C11" s="6"/>
      <c r="D11" s="6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31"/>
      <c r="Y11" s="31"/>
      <c r="Z11" s="31"/>
      <c r="AA11" s="31"/>
      <c r="AB11" s="31"/>
      <c r="AC11" s="31"/>
      <c r="AD11" s="15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26"/>
      <c r="AW11" s="26"/>
      <c r="AX11" s="26"/>
      <c r="AY11" s="26"/>
      <c r="AZ11" s="26"/>
      <c r="BA11" s="26"/>
      <c r="BB11" s="26"/>
      <c r="BC11" s="26"/>
      <c r="BD11" s="26"/>
      <c r="BG11" s="769" t="s">
        <v>41</v>
      </c>
      <c r="BH11" s="337"/>
      <c r="BI11" s="775" t="s">
        <v>295</v>
      </c>
      <c r="BJ11" s="337"/>
      <c r="BK11" s="775" t="s">
        <v>296</v>
      </c>
      <c r="BL11" s="337"/>
      <c r="BM11" s="775" t="s">
        <v>289</v>
      </c>
      <c r="BN11" s="337"/>
      <c r="BO11" s="775" t="s">
        <v>297</v>
      </c>
      <c r="BP11" s="770"/>
      <c r="BS11" s="51"/>
      <c r="BT11" s="51"/>
      <c r="BW11" s="51"/>
      <c r="BX11" s="118" t="str">
        <f t="shared" ca="1" si="0"/>
        <v>Q128</v>
      </c>
      <c r="BY11" s="119">
        <f t="shared" ca="1" si="1"/>
        <v>70.586775832862784</v>
      </c>
      <c r="BZ11" s="120">
        <f t="shared" ca="1" si="1"/>
        <v>21.855164514712346</v>
      </c>
      <c r="CA11" s="121">
        <f t="shared" ca="1" si="23"/>
        <v>0.81070300691843045</v>
      </c>
      <c r="CB11" s="122">
        <f t="shared" ca="1" si="24"/>
        <v>-21.895981678444528</v>
      </c>
      <c r="CC11" s="123">
        <f t="shared" ca="1" si="1"/>
        <v>75.692736369910321</v>
      </c>
      <c r="CD11" s="122">
        <f t="shared" ca="1" si="1"/>
        <v>0.11314354727401654</v>
      </c>
      <c r="CE11" s="121">
        <f t="shared" ca="1" si="25"/>
        <v>0.90944239116174685</v>
      </c>
      <c r="CF11" s="122">
        <f t="shared" ca="1" si="26"/>
        <v>-0.12853395616242649</v>
      </c>
      <c r="CG11" s="123">
        <f t="shared" ca="1" si="1"/>
        <v>893.37231005709282</v>
      </c>
      <c r="CH11" s="122">
        <f t="shared" ca="1" si="1"/>
        <v>-0.23397013614393858</v>
      </c>
      <c r="CI11" s="121">
        <f t="shared" ca="1" si="27"/>
        <v>31.704545454545496</v>
      </c>
      <c r="CJ11" s="122">
        <f t="shared" ca="1" si="28"/>
        <v>-3.4907992973211353</v>
      </c>
      <c r="CK11" s="123">
        <f t="shared" ca="1" si="1"/>
        <v>314.9733333333333</v>
      </c>
      <c r="CL11" s="122">
        <f t="shared" ca="1" si="1"/>
        <v>-1.1233333333333728</v>
      </c>
      <c r="CM11" s="121">
        <f t="shared" ca="1" si="29"/>
        <v>12.811666666666724</v>
      </c>
      <c r="CN11" s="122">
        <f t="shared" ca="1" si="30"/>
        <v>0.13833333333334019</v>
      </c>
      <c r="CO11" s="123">
        <f t="shared" ca="1" si="1"/>
        <v>235.73666666666659</v>
      </c>
      <c r="CP11" s="122">
        <f t="shared" ca="1" si="1"/>
        <v>0.77999999999994429</v>
      </c>
      <c r="CQ11" s="121">
        <f t="shared" ca="1" si="31"/>
        <v>-1.6099999999999568</v>
      </c>
      <c r="CR11" s="124">
        <f t="shared" ca="1" si="32"/>
        <v>-0.56666666666667231</v>
      </c>
      <c r="CV11" s="118" t="str">
        <f t="shared" ca="1" si="2"/>
        <v>Q128</v>
      </c>
      <c r="CW11" s="123">
        <f t="shared" ca="1" si="3"/>
        <v>-5.1059605370475323</v>
      </c>
      <c r="CX11" s="122">
        <f t="shared" ca="1" si="3"/>
        <v>21.742020967438325</v>
      </c>
      <c r="CY11" s="121">
        <f t="shared" ca="1" si="19"/>
        <v>-9.8739384243316408E-2</v>
      </c>
      <c r="CZ11" s="124">
        <f t="shared" ca="1" si="20"/>
        <v>-21.7674477222821</v>
      </c>
      <c r="DC11" s="51"/>
      <c r="DD11" s="51"/>
      <c r="DG11" s="51"/>
      <c r="DH11" s="51"/>
      <c r="DK11" s="51"/>
      <c r="DL11" s="51"/>
      <c r="DO11" s="51"/>
      <c r="DP11" s="51"/>
      <c r="DS11" s="51"/>
      <c r="DT11" s="125" t="str">
        <f t="shared" ca="1" si="4"/>
        <v>Q128</v>
      </c>
      <c r="DU11" s="119">
        <f t="shared" ca="1" si="5"/>
        <v>44.223009946477966</v>
      </c>
      <c r="DV11" s="122">
        <f t="shared" ca="1" si="5"/>
        <v>-0.14454893467588747</v>
      </c>
      <c r="DW11" s="121">
        <f t="shared" ca="1" si="33"/>
        <v>3.3462012940121539</v>
      </c>
      <c r="DX11" s="122">
        <f t="shared" ca="1" si="34"/>
        <v>-0.34002970790752457</v>
      </c>
      <c r="DY11" s="123">
        <f t="shared" ca="1" si="5"/>
        <v>56.596063630089645</v>
      </c>
      <c r="DZ11" s="122">
        <f t="shared" ca="1" si="5"/>
        <v>-0.58494354727403308</v>
      </c>
      <c r="EA11" s="121">
        <f t="shared" ca="1" si="35"/>
        <v>4.4714576088382714</v>
      </c>
      <c r="EB11" s="126">
        <f t="shared" ca="1" si="36"/>
        <v>0.18663395616242939</v>
      </c>
      <c r="EC11" s="121">
        <f t="shared" ca="1" si="5"/>
        <v>23.316663630089653</v>
      </c>
      <c r="ED11" s="122">
        <f t="shared" ca="1" si="5"/>
        <v>0.21445645272596003</v>
      </c>
      <c r="EE11" s="121">
        <f t="shared" ca="1" si="37"/>
        <v>-1.5856423911617412</v>
      </c>
      <c r="EF11" s="122">
        <f t="shared" ca="1" si="38"/>
        <v>-0.10946604383757587</v>
      </c>
      <c r="EG11" s="123">
        <f t="shared" ca="1" si="5"/>
        <v>61.702024167137182</v>
      </c>
      <c r="EH11" s="122">
        <f t="shared" ca="1" si="5"/>
        <v>-22.326964514712362</v>
      </c>
      <c r="EI11" s="121">
        <f t="shared" ca="1" si="39"/>
        <v>4.5701969930815807</v>
      </c>
      <c r="EJ11" s="122">
        <f t="shared" ca="1" si="40"/>
        <v>21.954081678444531</v>
      </c>
      <c r="EK11" s="123">
        <f t="shared" ca="1" si="5"/>
        <v>28.422624167137187</v>
      </c>
      <c r="EL11" s="122">
        <f t="shared" ca="1" si="5"/>
        <v>-21.527564514712367</v>
      </c>
      <c r="EM11" s="121">
        <f t="shared" ca="1" si="41"/>
        <v>-1.4869030069184248</v>
      </c>
      <c r="EN11" s="124">
        <f t="shared" ca="1" si="42"/>
        <v>21.657981678444525</v>
      </c>
      <c r="EQ11" s="51"/>
      <c r="ER11" s="118" t="str">
        <f t="shared" ca="1" si="6"/>
        <v>Q128</v>
      </c>
      <c r="ES11" s="123">
        <f t="shared" ca="1" si="7"/>
        <v>29.459651627646849</v>
      </c>
      <c r="ET11" s="122">
        <f t="shared" ca="1" si="7"/>
        <v>-1.0485586014241561</v>
      </c>
      <c r="EU11" s="121">
        <f t="shared" ca="1" si="43"/>
        <v>2.6791817019669892</v>
      </c>
      <c r="EV11" s="124">
        <f t="shared" ca="1" si="44"/>
        <v>1.2539611049284616</v>
      </c>
      <c r="EY11" s="51"/>
      <c r="EZ11" s="118" t="str">
        <f t="shared" ca="1" si="8"/>
        <v>Q128</v>
      </c>
      <c r="FA11" s="123">
        <f t="shared" ca="1" si="9"/>
        <v>-79.236666666666665</v>
      </c>
      <c r="FB11" s="122">
        <f t="shared" ca="1" si="9"/>
        <v>1.9033333333333171</v>
      </c>
      <c r="FC11" s="121">
        <f t="shared" ca="1" si="45"/>
        <v>-14.421666666666695</v>
      </c>
      <c r="FD11" s="124">
        <f t="shared" ca="1" si="46"/>
        <v>-0.70500000000001251</v>
      </c>
      <c r="FL11" s="118" t="str">
        <f t="shared" ca="1" si="10"/>
        <v>Q128</v>
      </c>
      <c r="FM11" s="123">
        <f t="shared" ca="1" si="11"/>
        <v>45.062324167137184</v>
      </c>
      <c r="FN11" s="122">
        <f t="shared" ca="1" si="11"/>
        <v>-21.927264514712359</v>
      </c>
      <c r="FO11" s="123">
        <f t="shared" ca="1" si="11"/>
        <v>39.515757500470521</v>
      </c>
      <c r="FP11" s="122">
        <f t="shared" ca="1" si="11"/>
        <v>-21.79403118137903</v>
      </c>
      <c r="FQ11" s="123">
        <f t="shared" ca="1" si="11"/>
        <v>39.956363630089648</v>
      </c>
      <c r="FR11" s="122">
        <f t="shared" ca="1" si="11"/>
        <v>-0.1852435472740365</v>
      </c>
      <c r="FS11" s="123">
        <f t="shared" ca="1" si="11"/>
        <v>34.409796963422991</v>
      </c>
      <c r="FT11" s="124">
        <f t="shared" ca="1" si="11"/>
        <v>-5.201021394070432E-2</v>
      </c>
      <c r="FV11" s="51"/>
      <c r="GA11" s="51"/>
      <c r="GB11" s="51"/>
      <c r="GE11" s="51"/>
      <c r="GF11" s="118" t="str">
        <f t="shared" ca="1" si="12"/>
        <v>Q128</v>
      </c>
      <c r="GG11" s="123" t="str">
        <f t="shared" ca="1" si="13"/>
        <v/>
      </c>
      <c r="GH11" s="122" t="str">
        <f t="shared" ca="1" si="13"/>
        <v/>
      </c>
      <c r="GI11" s="121" t="str">
        <f t="shared" ca="1" si="47"/>
        <v/>
      </c>
      <c r="GJ11" s="122" t="str">
        <f t="shared" ca="1" si="48"/>
        <v/>
      </c>
      <c r="GK11" s="123" t="str">
        <f t="shared" ca="1" si="14"/>
        <v/>
      </c>
      <c r="GL11" s="122" t="str">
        <f t="shared" ca="1" si="14"/>
        <v/>
      </c>
      <c r="GM11" s="121" t="str">
        <f t="shared" ca="1" si="21"/>
        <v/>
      </c>
      <c r="GN11" s="122" t="str">
        <f t="shared" ca="1" si="21"/>
        <v/>
      </c>
      <c r="GO11" s="123" t="str">
        <f t="shared" ca="1" si="15"/>
        <v/>
      </c>
      <c r="GP11" s="122" t="str">
        <f t="shared" ca="1" si="15"/>
        <v/>
      </c>
      <c r="GQ11" s="121" t="str">
        <f t="shared" ca="1" si="49"/>
        <v/>
      </c>
      <c r="GR11" s="124" t="str">
        <f t="shared" ca="1" si="50"/>
        <v/>
      </c>
      <c r="GT11" s="51"/>
      <c r="GV11" s="118" t="str">
        <f t="shared" ca="1" si="16"/>
        <v>Q128</v>
      </c>
      <c r="GW11" s="402" t="str">
        <f t="shared" ca="1" si="17"/>
        <v/>
      </c>
      <c r="GX11" s="122" t="str">
        <f t="shared" ca="1" si="17"/>
        <v/>
      </c>
      <c r="GY11" s="121" t="str">
        <f t="shared" ca="1" si="51"/>
        <v/>
      </c>
      <c r="GZ11" s="438" t="str">
        <f t="shared" ca="1" si="52"/>
        <v/>
      </c>
      <c r="HB11" s="51"/>
      <c r="HC11" s="83" t="s">
        <v>267</v>
      </c>
      <c r="HD11" s="51"/>
      <c r="HE11" s="51">
        <v>0</v>
      </c>
      <c r="HF11" s="51">
        <f t="shared" si="22"/>
        <v>0</v>
      </c>
      <c r="HH11" s="51"/>
    </row>
    <row r="12" spans="1:216" x14ac:dyDescent="0.25">
      <c r="A12" s="55">
        <f ca="1">YEAR($A$1)</f>
        <v>2026</v>
      </c>
      <c r="B12" s="6"/>
      <c r="C12" s="6"/>
      <c r="D12" s="6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31"/>
      <c r="Y12" s="31"/>
      <c r="Z12" s="31"/>
      <c r="AA12" s="31"/>
      <c r="AB12" s="31"/>
      <c r="AC12" s="31"/>
      <c r="AD12" s="15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26"/>
      <c r="AW12" s="26"/>
      <c r="AX12" s="26"/>
      <c r="AY12" s="26"/>
      <c r="AZ12" s="26"/>
      <c r="BA12" s="26"/>
      <c r="BB12" s="26"/>
      <c r="BC12" s="26"/>
      <c r="BD12" s="26"/>
      <c r="BE12" s="793" t="s">
        <v>1388</v>
      </c>
      <c r="BF12" s="790"/>
      <c r="BG12" s="771" t="str" cm="1">
        <f t="array" aca="1" ref="BG12" ca="1">IF(AND(ISNUMBER(INDEX($BG$19:$BG$66,MATCH(LEFT($BE12,2),$E$19:$E$66,0)+1, 0)), ISNUMBER(INDEX($BG$19:$BG$66,MATCH(MID($BE12,4,2),$E$19:$E$66,0)+1, 0))), INDEX($BG$19:$BG$66,MATCH(LEFT($BE12,2),$E$19:$E$66,0)+1, 0) - INDEX($BG$19:$BG$66,MATCH(MID($BE12,4,2),$E$19:$E$66,0)+1, 0), "")</f>
        <v/>
      </c>
      <c r="BH12" s="46" t="str" cm="1">
        <f t="array" aca="1" ref="BH12" ca="1">IF(AND(ISNUMBER(INDEX($BH$19:$BH$66,MATCH(LEFT($BE12,2),$E$19:$E$66,0)+1, 0)), ISNUMBER(INDEX($BH$19:$BH$66,MATCH(MID($BE12,4,2),$E$19:$E$66,0)+1, 0))), INDEX($BH$19:$BH$66,MATCH(LEFT($BE12,2),$E$19:$E$66,0)+1, 0) - INDEX($BH$19:$BH$66,MATCH(MID($BE12,4,2),$E$19:$E$66,0)+1, 0), "")</f>
        <v/>
      </c>
      <c r="BI12" s="773"/>
      <c r="BJ12" s="46"/>
      <c r="BK12" s="773" t="str" cm="1">
        <f t="array" aca="1" ref="BK12" ca="1">IF(AND(ISNUMBER(INDEX($BO$19:$BO$66,MATCH(LEFT($BE12,2),$E$19:$E$66,0)+1, 0)), ISNUMBER(INDEX($BO$19:$BO$66,MATCH(MID($BE12,4,2),$E$19:$E$66,0)+1, 0))), INDEX($BO$19:$BO$66,MATCH(LEFT($BE12,2),$E$19:$E$66,0)+1, 0) - INDEX($BO$19:$BO$66,MATCH(MID($BE12,4,2),$E$19:$E$66,0)+1, 0), "")</f>
        <v/>
      </c>
      <c r="BL12" s="46" t="str" cm="1">
        <f t="array" aca="1" ref="BL12" ca="1">IF(AND(ISNUMBER(INDEX($BP$19:$BP$66,MATCH(LEFT($BE12,2),$E$19:$E$66,0)+1, 0)), ISNUMBER(INDEX($BP$19:$BP$66,MATCH(MID($BE12,4,2),$E$19:$E$66,0)+1, 0))), INDEX($BP$19:$BP$66,MATCH(LEFT($BE12,2),$E$19:$E$66,0)+1, 0) - INDEX($BP$19:$BP$66,MATCH(MID($BE12,4,2),$E$19:$E$66,0)+1, 0), "")</f>
        <v/>
      </c>
      <c r="BM12" s="773" t="str" cm="1">
        <f t="array" aca="1" ref="BM12" ca="1">IF(AND(ISNUMBER(INDEX($BS$19:$BS$66,MATCH(LEFT($BE12,2),$E$19:$E$66,0)+1, 0)), ISNUMBER(INDEX($BS$19:$BS$66,MATCH(MID($BE12,4,2),$E$19:$E$66,0)+1, 0))), INDEX($BS$19:$BS$66,MATCH(LEFT($BE12,2),$E$19:$E$66,0)+1, 0) - INDEX($BS$19:$BS$66,MATCH(MID($BE12,4,2),$E$19:$E$66,0)+1, 0), "")</f>
        <v/>
      </c>
      <c r="BN12" s="46" t="str" cm="1">
        <f t="array" aca="1" ref="BN12" ca="1">IF(AND(ISNUMBER(INDEX($BT$19:$BT$66,MATCH(LEFT($BE12,2),$E$19:$E$66,0)+1, 0)), ISNUMBER(INDEX($BT$19:$BT$66,MATCH(MID($BE12,4,2),$E$19:$E$66,0)+1, 0))), INDEX($BT$19:$BT$66,MATCH(LEFT($BE12,2),$E$19:$E$66,0)+1, 0) - INDEX($BT$19:$BT$66,MATCH(MID($BE12,4,2),$E$19:$E$66,0)+1, 0), "")</f>
        <v/>
      </c>
      <c r="BO12" s="773" t="str" cm="1">
        <f t="array" aca="1" ref="BO12" ca="1">IF(AND(ISNUMBER(INDEX($BW$19:$BW$66,MATCH(LEFT($BE12,2),$E$19:$E$66,0)+1, 0)), ISNUMBER(INDEX($BW$19:$BW$66,MATCH(MID($BE12,4,2),$E$19:$E$66,0)+1, 0))), INDEX($BW$19:$BW$66,MATCH(LEFT($BE12,2),$E$19:$E$66,0)+1, 0) - INDEX($BW$19:$BW$66,MATCH(MID($BE12,4,2),$E$19:$E$66,0)+1, 0), "")</f>
        <v/>
      </c>
      <c r="BP12" s="432" t="str" cm="1">
        <f t="array" aca="1" ref="BP12" ca="1">IF(AND(ISNUMBER(INDEX($BX$19:$BX$66,MATCH(LEFT($BE12,2),$E$19:$E$66,0)+1, 0)), ISNUMBER(INDEX($BX$19:$BX$66,MATCH(MID($BE12,4,2),$E$19:$E$66,0)+1, 0))), INDEX($BX$19:$BX$66,MATCH(LEFT($BE12,2),$E$19:$E$66,0)+1, 0) - INDEX($BX$19:$BX$66,MATCH(MID($BE12,4,2),$E$19:$E$66,0)+1, 0), "")</f>
        <v/>
      </c>
      <c r="BS12" s="51"/>
      <c r="BT12" s="51"/>
      <c r="BW12" s="51"/>
      <c r="BX12" s="127">
        <f t="shared" ca="1" si="0"/>
        <v>2026</v>
      </c>
      <c r="BY12" s="109">
        <f t="shared" ref="BY12:CP14" ca="1" si="53">IFERROR(AVERAGEIF($C$19:$C$66, $A12, BY$19:BY$66), "")</f>
        <v>85.61002435064934</v>
      </c>
      <c r="BZ12" s="50">
        <f t="shared" ca="1" si="53"/>
        <v>6.5933441558439249E-2</v>
      </c>
      <c r="CA12" s="48"/>
      <c r="CB12" s="46"/>
      <c r="CC12" s="110">
        <f t="shared" ca="1" si="53"/>
        <v>90.192673160173172</v>
      </c>
      <c r="CD12" s="46">
        <f t="shared" ca="1" si="53"/>
        <v>4.8831168831169905E-2</v>
      </c>
      <c r="CE12" s="48"/>
      <c r="CF12" s="46"/>
      <c r="CG12" s="110">
        <f t="shared" ca="1" si="53"/>
        <v>1273.3195346320344</v>
      </c>
      <c r="CH12" s="46">
        <f t="shared" ca="1" si="53"/>
        <v>-8.099924242424251</v>
      </c>
      <c r="CI12" s="48"/>
      <c r="CJ12" s="46"/>
      <c r="CK12" s="110">
        <f t="shared" ca="1" si="53"/>
        <v>439.46124999999995</v>
      </c>
      <c r="CL12" s="46">
        <f t="shared" ca="1" si="53"/>
        <v>-1.9337500000000318</v>
      </c>
      <c r="CM12" s="48"/>
      <c r="CN12" s="46"/>
      <c r="CO12" s="110">
        <f t="shared" ca="1" si="53"/>
        <v>291.52250000000004</v>
      </c>
      <c r="CP12" s="46">
        <f t="shared" ca="1" si="53"/>
        <v>0.67500000000003979</v>
      </c>
      <c r="CQ12" s="48"/>
      <c r="CR12" s="111"/>
      <c r="CV12" s="127">
        <f t="shared" ca="1" si="2"/>
        <v>2026</v>
      </c>
      <c r="CW12" s="110">
        <f t="shared" ref="CW12:CX14" ca="1" si="54">IFERROR(AVERAGEIF($C$19:$C$66, $A12, CW$19:CW$66), "")</f>
        <v>-4.582648809523814</v>
      </c>
      <c r="CX12" s="46">
        <f t="shared" ca="1" si="54"/>
        <v>1.710227272726934E-2</v>
      </c>
      <c r="CY12" s="48"/>
      <c r="CZ12" s="111"/>
      <c r="DC12" s="51"/>
      <c r="DD12" s="51"/>
      <c r="DG12" s="51"/>
      <c r="DH12" s="51"/>
      <c r="DK12" s="51"/>
      <c r="DL12" s="51"/>
      <c r="DO12" s="51"/>
      <c r="DP12" s="51"/>
      <c r="DS12" s="51"/>
      <c r="DT12" s="128">
        <f t="shared" ca="1" si="4"/>
        <v>2026</v>
      </c>
      <c r="DU12" s="109">
        <f t="shared" ref="DU12:EL14" ca="1" si="55">IFERROR(AVERAGEIF($C$19:$C$66, $A12, DU$19:DU$66), "")</f>
        <v>80.722700615938876</v>
      </c>
      <c r="DV12" s="46">
        <f t="shared" ca="1" si="55"/>
        <v>-1.1360693221767069</v>
      </c>
      <c r="DW12" s="48"/>
      <c r="DX12" s="46"/>
      <c r="DY12" s="110">
        <f t="shared" ca="1" si="55"/>
        <v>94.381051839826824</v>
      </c>
      <c r="DZ12" s="46">
        <f t="shared" ca="1" si="55"/>
        <v>-0.86100616883118331</v>
      </c>
      <c r="EA12" s="48"/>
      <c r="EB12" s="114"/>
      <c r="EC12" s="48">
        <f t="shared" ca="1" si="55"/>
        <v>32.246776839826857</v>
      </c>
      <c r="ED12" s="46">
        <f t="shared" ca="1" si="55"/>
        <v>0.23466883116884682</v>
      </c>
      <c r="EE12" s="48"/>
      <c r="EF12" s="46"/>
      <c r="EG12" s="110">
        <f t="shared" ca="1" si="55"/>
        <v>98.963700649350656</v>
      </c>
      <c r="EH12" s="46">
        <f t="shared" ca="1" si="55"/>
        <v>-0.87810844155845258</v>
      </c>
      <c r="EI12" s="48"/>
      <c r="EJ12" s="46"/>
      <c r="EK12" s="110">
        <f t="shared" ca="1" si="55"/>
        <v>36.829425649350668</v>
      </c>
      <c r="EL12" s="46">
        <f t="shared" ca="1" si="55"/>
        <v>0.21756655844157746</v>
      </c>
      <c r="EM12" s="48"/>
      <c r="EN12" s="111"/>
      <c r="EQ12" s="51"/>
      <c r="ER12" s="127">
        <f t="shared" ca="1" si="6"/>
        <v>2026</v>
      </c>
      <c r="ES12" s="110">
        <f t="shared" ref="ES12:ET14" ca="1" si="56">IFERROR(AVERAGEIF($C$19:$C$66, $A12, ES$19:ES$66), "")</f>
        <v>32.519883866399894</v>
      </c>
      <c r="ET12" s="46">
        <f t="shared" ca="1" si="56"/>
        <v>0.65491226987029427</v>
      </c>
      <c r="EU12" s="48"/>
      <c r="EV12" s="111"/>
      <c r="EY12" s="51"/>
      <c r="EZ12" s="127">
        <f t="shared" ca="1" si="8"/>
        <v>2026</v>
      </c>
      <c r="FA12" s="110">
        <f t="shared" ref="FA12:FB14" ca="1" si="57">IFERROR(AVERAGEIF($C$19:$C$66, $A12, FA$19:FA$66), "")</f>
        <v>-147.93874999999994</v>
      </c>
      <c r="FB12" s="46">
        <f t="shared" ca="1" si="57"/>
        <v>2.6087500000000716</v>
      </c>
      <c r="FC12" s="48"/>
      <c r="FD12" s="111"/>
      <c r="FL12" s="127">
        <f t="shared" ca="1" si="10"/>
        <v>2026</v>
      </c>
      <c r="FM12" s="110">
        <f t="shared" ref="FM12:FT14" ca="1" si="58">IFERROR(AVERAGEIF($C$19:$C$66, $A12, FM$19:FM$66), "")</f>
        <v>67.896563149350655</v>
      </c>
      <c r="FN12" s="46">
        <f t="shared" ca="1" si="58"/>
        <v>-0.33027094155843756</v>
      </c>
      <c r="FO12" s="110">
        <f t="shared" ca="1" si="58"/>
        <v>57.540850649350659</v>
      </c>
      <c r="FP12" s="46">
        <f t="shared" ca="1" si="58"/>
        <v>-0.14765844155843252</v>
      </c>
      <c r="FQ12" s="110">
        <f t="shared" ca="1" si="58"/>
        <v>63.313914339826837</v>
      </c>
      <c r="FR12" s="46">
        <f t="shared" ca="1" si="58"/>
        <v>-0.31316866883116828</v>
      </c>
      <c r="FS12" s="110">
        <f t="shared" ca="1" si="58"/>
        <v>52.958201839826849</v>
      </c>
      <c r="FT12" s="111">
        <f t="shared" ca="1" si="58"/>
        <v>-0.13055616883116322</v>
      </c>
      <c r="FV12" s="51"/>
      <c r="GA12" s="51"/>
      <c r="GB12" s="51"/>
      <c r="GE12" s="51"/>
      <c r="GF12" s="127">
        <f t="shared" ca="1" si="12"/>
        <v>2026</v>
      </c>
      <c r="GG12" s="110">
        <f t="shared" ref="GG12:GH14" ca="1" si="59">IFERROR(AVERAGEIF($C$19:$C$66, $A12, GG$19:GG$66), "")</f>
        <v>95.44239718614719</v>
      </c>
      <c r="GH12" s="46">
        <f t="shared" ca="1" si="59"/>
        <v>-0.50645562770563257</v>
      </c>
      <c r="GI12" s="48"/>
      <c r="GJ12" s="46"/>
      <c r="GK12" s="110">
        <f t="shared" ref="GK12:GL14" ca="1" si="60">IFERROR(AVERAGEIF($C$19:$C$66, $A12, GK$19:GK$66), "")</f>
        <v>5.2497240259740217</v>
      </c>
      <c r="GL12" s="46">
        <f t="shared" ca="1" si="60"/>
        <v>-0.55528679653680246</v>
      </c>
      <c r="GM12" s="48"/>
      <c r="GN12" s="46"/>
      <c r="GO12" s="110" t="str">
        <f t="shared" ref="GO12:GP14" ca="1" si="61">IFERROR(AVERAGEIF($C$19:$C$66, $A12, GO$19:GO$66), "")</f>
        <v/>
      </c>
      <c r="GP12" s="46" t="str">
        <f t="shared" ca="1" si="61"/>
        <v/>
      </c>
      <c r="GQ12" s="48"/>
      <c r="GR12" s="111"/>
      <c r="GT12" s="51"/>
      <c r="GV12" s="127">
        <f t="shared" ca="1" si="16"/>
        <v>2026</v>
      </c>
      <c r="GW12" s="269">
        <f t="shared" ref="GW12:GX14" ca="1" si="62">IFERROR(AVERAGEIF($C$19:$C$66, $A12, GW$19:GW$66), "")</f>
        <v>101.65023809523809</v>
      </c>
      <c r="GX12" s="46">
        <f t="shared" ca="1" si="62"/>
        <v>2.7049999999999832</v>
      </c>
      <c r="GY12" s="48"/>
      <c r="GZ12" s="432"/>
      <c r="HB12" s="51"/>
      <c r="HC12" s="83" t="s">
        <v>268</v>
      </c>
      <c r="HD12" s="51"/>
      <c r="HE12" s="51">
        <v>0</v>
      </c>
      <c r="HF12" s="51">
        <f t="shared" si="22"/>
        <v>0</v>
      </c>
      <c r="HH12" s="51"/>
    </row>
    <row r="13" spans="1:216" x14ac:dyDescent="0.25">
      <c r="A13" s="55">
        <f ca="1">$A12 + 1</f>
        <v>2027</v>
      </c>
      <c r="B13" s="6"/>
      <c r="C13" s="6"/>
      <c r="D13" s="6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31"/>
      <c r="Y13" s="31"/>
      <c r="Z13" s="31"/>
      <c r="AA13" s="31"/>
      <c r="AB13" s="31"/>
      <c r="AC13" s="31"/>
      <c r="AD13" s="15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26"/>
      <c r="AW13" s="26"/>
      <c r="AX13" s="26"/>
      <c r="AY13" s="26"/>
      <c r="AZ13" s="26"/>
      <c r="BA13" s="26"/>
      <c r="BB13" s="26"/>
      <c r="BC13" s="26"/>
      <c r="BD13" s="26"/>
      <c r="BE13" s="794" t="s">
        <v>1387</v>
      </c>
      <c r="BF13" s="791"/>
      <c r="BG13" s="771" t="str" cm="1">
        <f t="array" aca="1" ref="BG13" ca="1">IF(AND(ISNUMBER(INDEX($BG$19:$BG$66,MATCH(LEFT($BE13,2),$E$19:$E$66,0)+1, 0)), ISNUMBER(INDEX($BG$19:$BG$66,MATCH(MID($BE13,4,2),$E$19:$E$66,0)+1, 0))), INDEX($BG$19:$BG$66,MATCH(LEFT($BE13,2),$E$19:$E$66,0)+1, 0) - INDEX($BG$19:$BG$66,MATCH(MID($BE13,4,2),$E$19:$E$66,0)+1, 0), "")</f>
        <v/>
      </c>
      <c r="BH13" s="46" t="str" cm="1">
        <f t="array" aca="1" ref="BH13" ca="1">IF(AND(ISNUMBER(INDEX($BH$19:$BH$66,MATCH(LEFT($BE13,2),$E$19:$E$66,0)+1, 0)), ISNUMBER(INDEX($BH$19:$BH$66,MATCH(MID($BE13,4,2),$E$19:$E$66,0)+1, 0))), INDEX($BH$19:$BH$66,MATCH(LEFT($BE13,2),$E$19:$E$66,0)+1, 0) - INDEX($BH$19:$BH$66,MATCH(MID($BE13,4,2),$E$19:$E$66,0)+1, 0), "")</f>
        <v/>
      </c>
      <c r="BI13" s="773"/>
      <c r="BJ13" s="46"/>
      <c r="BK13" s="773" t="str" cm="1">
        <f t="array" aca="1" ref="BK13" ca="1">IF(AND(ISNUMBER(INDEX($BO$19:$BO$66,MATCH(LEFT($BE13,2),$E$19:$E$66,0)+1, 0)), ISNUMBER(INDEX($BO$19:$BO$66,MATCH(MID($BE13,4,2),$E$19:$E$66,0)+1, 0))), INDEX($BO$19:$BO$66,MATCH(LEFT($BE13,2),$E$19:$E$66,0)+1, 0) - INDEX($BO$19:$BO$66,MATCH(MID($BE13,4,2),$E$19:$E$66,0)+1, 0), "")</f>
        <v/>
      </c>
      <c r="BL13" s="46" t="str" cm="1">
        <f t="array" aca="1" ref="BL13" ca="1">IF(AND(ISNUMBER(INDEX($BP$19:$BP$66,MATCH(LEFT($BE13,2),$E$19:$E$66,0)+1, 0)), ISNUMBER(INDEX($BP$19:$BP$66,MATCH(MID($BE13,4,2),$E$19:$E$66,0)+1, 0))), INDEX($BP$19:$BP$66,MATCH(LEFT($BE13,2),$E$19:$E$66,0)+1, 0) - INDEX($BP$19:$BP$66,MATCH(MID($BE13,4,2),$E$19:$E$66,0)+1, 0), "")</f>
        <v/>
      </c>
      <c r="BM13" s="773" t="str" cm="1">
        <f t="array" aca="1" ref="BM13" ca="1">IF(AND(ISNUMBER(INDEX($BS$19:$BS$66,MATCH(LEFT($BE13,2),$E$19:$E$66,0)+1, 0)), ISNUMBER(INDEX($BS$19:$BS$66,MATCH(MID($BE13,4,2),$E$19:$E$66,0)+1, 0))), INDEX($BS$19:$BS$66,MATCH(LEFT($BE13,2),$E$19:$E$66,0)+1, 0) - INDEX($BS$19:$BS$66,MATCH(MID($BE13,4,2),$E$19:$E$66,0)+1, 0), "")</f>
        <v/>
      </c>
      <c r="BN13" s="46" t="str" cm="1">
        <f t="array" aca="1" ref="BN13" ca="1">IF(AND(ISNUMBER(INDEX($BT$19:$BT$66,MATCH(LEFT($BE13,2),$E$19:$E$66,0)+1, 0)), ISNUMBER(INDEX($BT$19:$BT$66,MATCH(MID($BE13,4,2),$E$19:$E$66,0)+1, 0))), INDEX($BT$19:$BT$66,MATCH(LEFT($BE13,2),$E$19:$E$66,0)+1, 0) - INDEX($BT$19:$BT$66,MATCH(MID($BE13,4,2),$E$19:$E$66,0)+1, 0), "")</f>
        <v/>
      </c>
      <c r="BO13" s="773" t="str" cm="1">
        <f t="array" aca="1" ref="BO13" ca="1">IF(AND(ISNUMBER(INDEX($BW$19:$BW$66,MATCH(LEFT($BE13,2),$E$19:$E$66,0)+1, 0)), ISNUMBER(INDEX($BW$19:$BW$66,MATCH(MID($BE13,4,2),$E$19:$E$66,0)+1, 0))), INDEX($BW$19:$BW$66,MATCH(LEFT($BE13,2),$E$19:$E$66,0)+1, 0) - INDEX($BW$19:$BW$66,MATCH(MID($BE13,4,2),$E$19:$E$66,0)+1, 0), "")</f>
        <v/>
      </c>
      <c r="BP13" s="432" t="str" cm="1">
        <f t="array" aca="1" ref="BP13" ca="1">IF(AND(ISNUMBER(INDEX($BX$19:$BX$66,MATCH(LEFT($BE13,2),$E$19:$E$66,0)+1, 0)), ISNUMBER(INDEX($BX$19:$BX$66,MATCH(MID($BE13,4,2),$E$19:$E$66,0)+1, 0))), INDEX($BX$19:$BX$66,MATCH(LEFT($BE13,2),$E$19:$E$66,0)+1, 0) - INDEX($BX$19:$BX$66,MATCH(MID($BE13,4,2),$E$19:$E$66,0)+1, 0), "")</f>
        <v/>
      </c>
      <c r="BS13" s="51"/>
      <c r="BT13" s="51"/>
      <c r="BW13" s="51"/>
      <c r="BX13" s="127">
        <f t="shared" ca="1" si="0"/>
        <v>2027</v>
      </c>
      <c r="BY13" s="109">
        <f t="shared" ca="1" si="53"/>
        <v>74.029852115522814</v>
      </c>
      <c r="BZ13" s="50">
        <f t="shared" ca="1" si="53"/>
        <v>-0.16694048438935397</v>
      </c>
      <c r="CA13" s="48">
        <f t="shared" ca="1" si="23"/>
        <v>11.580172235126525</v>
      </c>
      <c r="CB13" s="46">
        <f t="shared" ca="1" si="24"/>
        <v>0.23287392594779321</v>
      </c>
      <c r="CC13" s="110">
        <f t="shared" ca="1" si="53"/>
        <v>79.151971340308805</v>
      </c>
      <c r="CD13" s="46">
        <f t="shared" ca="1" si="53"/>
        <v>-0.1800513477519293</v>
      </c>
      <c r="CE13" s="48">
        <f ca="1">IF(AND(ISNUMBER($CC12), ISNUMBER($CC13)), $CC12 - $CC13, "")</f>
        <v>11.040701819864367</v>
      </c>
      <c r="CF13" s="46">
        <f ca="1">IF(AND(ISNUMBER($CD12), ISNUMBER($CD13)), $CD12 - $CD13, "")</f>
        <v>0.22888251658309922</v>
      </c>
      <c r="CG13" s="110">
        <f t="shared" ca="1" si="53"/>
        <v>1004.4300258014931</v>
      </c>
      <c r="CH13" s="46">
        <f t="shared" ca="1" si="53"/>
        <v>-4.7279852876591972</v>
      </c>
      <c r="CI13" s="48">
        <f ca="1">IF(AND(ISNUMBER($CG12), ISNUMBER($CG13)), $CG12 - $CG13, "")</f>
        <v>268.88950883054133</v>
      </c>
      <c r="CJ13" s="46">
        <f ca="1">IF(AND(ISNUMBER($CH12), ISNUMBER($CH13)), $CH12 - $CH13, "")</f>
        <v>-3.3719389547650538</v>
      </c>
      <c r="CK13" s="110">
        <f t="shared" ca="1" si="53"/>
        <v>353.26376984126978</v>
      </c>
      <c r="CL13" s="46">
        <f t="shared" ca="1" si="53"/>
        <v>-1.1092857142857426</v>
      </c>
      <c r="CM13" s="48">
        <f ca="1">IF(AND(ISNUMBER($CK12), ISNUMBER($CK13)), $CK12 - $CK13, "")</f>
        <v>86.197480158730173</v>
      </c>
      <c r="CN13" s="46">
        <f ca="1">IF(AND(ISNUMBER($CL12), ISNUMBER($CL13)), $CL12 - $CL13, "")</f>
        <v>-0.8244642857142892</v>
      </c>
      <c r="CO13" s="110">
        <f t="shared" ca="1" si="53"/>
        <v>262.54174603174602</v>
      </c>
      <c r="CP13" s="46">
        <f t="shared" ca="1" si="53"/>
        <v>-0.15908730158732268</v>
      </c>
      <c r="CQ13" s="48">
        <f t="shared" ca="1" si="31"/>
        <v>28.980753968254021</v>
      </c>
      <c r="CR13" s="111">
        <f ca="1">IF(AND(ISNUMBER($CP12), ISNUMBER($CP13)), $CP12 - $CP13, "")</f>
        <v>0.83408730158736244</v>
      </c>
      <c r="CV13" s="127">
        <f t="shared" ca="1" si="2"/>
        <v>2027</v>
      </c>
      <c r="CW13" s="110">
        <f t="shared" ca="1" si="54"/>
        <v>-5.1221192247859939</v>
      </c>
      <c r="CX13" s="46">
        <f t="shared" ca="1" si="54"/>
        <v>1.311086336257533E-2</v>
      </c>
      <c r="CY13" s="48">
        <f ca="1">IF(AND(ISNUMBER($CW12), ISNUMBER($CW13)), $CW12 - $CW13, "")</f>
        <v>0.53947041526217987</v>
      </c>
      <c r="CZ13" s="111">
        <f ca="1">IF(AND(ISNUMBER($CX12), ISNUMBER($CX13)), $CX12 - $CX13, "")</f>
        <v>3.9914093646940107E-3</v>
      </c>
      <c r="DC13" s="51"/>
      <c r="DD13" s="51"/>
      <c r="DG13" s="51"/>
      <c r="DH13" s="51"/>
      <c r="DK13" s="51"/>
      <c r="DL13" s="51"/>
      <c r="DO13" s="51"/>
      <c r="DP13" s="51"/>
      <c r="DS13" s="51"/>
      <c r="DT13" s="128">
        <f t="shared" ca="1" si="4"/>
        <v>2027</v>
      </c>
      <c r="DU13" s="109">
        <f t="shared" ca="1" si="55"/>
        <v>55.67085091492519</v>
      </c>
      <c r="DV13" s="46">
        <f t="shared" ca="1" si="55"/>
        <v>-0.45457754992044602</v>
      </c>
      <c r="DW13" s="48">
        <f ca="1">IF(AND(ISNUMBER($DU12), ISNUMBER($DU13)), $DU12 - $DU13, "")</f>
        <v>25.051849701013687</v>
      </c>
      <c r="DX13" s="46">
        <f ca="1">IF(AND(ISNUMBER($DV12), ISNUMBER($DV13)), $DV12 - $DV13, "")</f>
        <v>-0.68149177225626079</v>
      </c>
      <c r="DY13" s="110">
        <f t="shared" ca="1" si="55"/>
        <v>69.218811993024502</v>
      </c>
      <c r="DZ13" s="46">
        <f t="shared" ca="1" si="55"/>
        <v>-0.28584865224808259</v>
      </c>
      <c r="EA13" s="48">
        <f t="shared" ca="1" si="35"/>
        <v>25.162239846802322</v>
      </c>
      <c r="EB13" s="114">
        <f ca="1">IF(AND(ISNUMBER($DZ12), ISNUMBER($DZ13)), $DZ12 - $DZ13, "")</f>
        <v>-0.57515751658310066</v>
      </c>
      <c r="EC13" s="48">
        <f t="shared" ca="1" si="55"/>
        <v>31.115561993024528</v>
      </c>
      <c r="ED13" s="46">
        <f t="shared" ca="1" si="55"/>
        <v>0.11323468108525379</v>
      </c>
      <c r="EE13" s="48">
        <f ca="1">IF(AND(ISNUMBER($EC12), ISNUMBER($EC13)), $EC12 - $EC13, "")</f>
        <v>1.1312148468023295</v>
      </c>
      <c r="EF13" s="46">
        <f t="shared" ca="1" si="38"/>
        <v>0.12143415008359303</v>
      </c>
      <c r="EG13" s="110">
        <f t="shared" ca="1" si="55"/>
        <v>74.340931217810507</v>
      </c>
      <c r="EH13" s="46">
        <f t="shared" ca="1" si="55"/>
        <v>-0.29895951561065787</v>
      </c>
      <c r="EI13" s="48">
        <f ca="1">IF(AND(ISNUMBER($EG12), ISNUMBER($EG13)), $EG12 - $EG13, "")</f>
        <v>24.622769431540149</v>
      </c>
      <c r="EJ13" s="46">
        <f t="shared" ca="1" si="40"/>
        <v>-0.57914892594779466</v>
      </c>
      <c r="EK13" s="110">
        <f t="shared" ca="1" si="55"/>
        <v>36.237681217810511</v>
      </c>
      <c r="EL13" s="46">
        <f t="shared" ca="1" si="55"/>
        <v>0.10012381772267843</v>
      </c>
      <c r="EM13" s="48">
        <f t="shared" ca="1" si="41"/>
        <v>0.59174443154015677</v>
      </c>
      <c r="EN13" s="111">
        <f ca="1">IF(AND(ISNUMBER($EL12), ISNUMBER($EL13)), $EL12 - $EL13, "")</f>
        <v>0.11744274071889903</v>
      </c>
      <c r="EQ13" s="51"/>
      <c r="ER13" s="127">
        <f t="shared" ca="1" si="6"/>
        <v>2027</v>
      </c>
      <c r="ES13" s="110">
        <f t="shared" ca="1" si="56"/>
        <v>32.257050185950781</v>
      </c>
      <c r="ET13" s="46">
        <f t="shared" ca="1" si="56"/>
        <v>0.40173547064848475</v>
      </c>
      <c r="EU13" s="48">
        <f ca="1">IF(AND(ISNUMBER($ES12), ISNUMBER($ES13)), $ES12 - $ES13, "")</f>
        <v>0.26283368044911271</v>
      </c>
      <c r="EV13" s="111">
        <f ca="1">IF(AND(ISNUMBER($ET12), ISNUMBER($ET13)), $ET12 - $ET13, "")</f>
        <v>0.25317679922180952</v>
      </c>
      <c r="EY13" s="51"/>
      <c r="EZ13" s="127">
        <f t="shared" ca="1" si="8"/>
        <v>2027</v>
      </c>
      <c r="FA13" s="110">
        <f t="shared" ca="1" si="57"/>
        <v>-90.722023809523776</v>
      </c>
      <c r="FB13" s="46">
        <f t="shared" ca="1" si="57"/>
        <v>0.95019841269841987</v>
      </c>
      <c r="FC13" s="48">
        <f t="shared" ca="1" si="45"/>
        <v>-57.216726190476166</v>
      </c>
      <c r="FD13" s="111">
        <f t="shared" ca="1" si="46"/>
        <v>1.6585515873016519</v>
      </c>
      <c r="FL13" s="127">
        <f t="shared" ca="1" si="10"/>
        <v>2027</v>
      </c>
      <c r="FM13" s="110">
        <f t="shared" ca="1" si="58"/>
        <v>55.28930621781052</v>
      </c>
      <c r="FN13" s="46">
        <f t="shared" ca="1" si="58"/>
        <v>-9.9417848943989709E-2</v>
      </c>
      <c r="FO13" s="110">
        <f t="shared" ca="1" si="58"/>
        <v>48.938764551143841</v>
      </c>
      <c r="FP13" s="46">
        <f t="shared" ca="1" si="58"/>
        <v>-3.290396005510033E-2</v>
      </c>
      <c r="FQ13" s="110">
        <f t="shared" ca="1" si="58"/>
        <v>50.167186993024508</v>
      </c>
      <c r="FR13" s="46">
        <f t="shared" ca="1" si="58"/>
        <v>-8.6306985581414378E-2</v>
      </c>
      <c r="FS13" s="110">
        <f t="shared" ca="1" si="58"/>
        <v>43.81664532635785</v>
      </c>
      <c r="FT13" s="111">
        <f t="shared" ca="1" si="58"/>
        <v>-1.9793096692524995E-2</v>
      </c>
      <c r="FV13" s="51"/>
      <c r="GA13" s="51"/>
      <c r="GB13" s="51"/>
      <c r="GE13" s="51"/>
      <c r="GF13" s="127">
        <f t="shared" ca="1" si="12"/>
        <v>2027</v>
      </c>
      <c r="GG13" s="110" t="str">
        <f t="shared" ca="1" si="59"/>
        <v/>
      </c>
      <c r="GH13" s="46" t="str">
        <f t="shared" ca="1" si="59"/>
        <v/>
      </c>
      <c r="GI13" s="48" t="str">
        <f t="shared" ca="1" si="47"/>
        <v/>
      </c>
      <c r="GJ13" s="46" t="str">
        <f ca="1">IF(AND(ISNUMBER(GH12), ISNUMBER(GH13)), GH12 - GH13, "")</f>
        <v/>
      </c>
      <c r="GK13" s="110" t="str">
        <f t="shared" ca="1" si="60"/>
        <v/>
      </c>
      <c r="GL13" s="46" t="str">
        <f t="shared" ca="1" si="60"/>
        <v/>
      </c>
      <c r="GM13" s="48" t="str">
        <f ca="1">IF(AND(ISNUMBER(GK12), ISNUMBER(GK13)), GK12 - GK13, "")</f>
        <v/>
      </c>
      <c r="GN13" s="46" t="str">
        <f ca="1">IF(AND(ISNUMBER(GL12), ISNUMBER(GL13)), GL12 - GL13, "")</f>
        <v/>
      </c>
      <c r="GO13" s="110" t="str">
        <f t="shared" ca="1" si="61"/>
        <v/>
      </c>
      <c r="GP13" s="46" t="str">
        <f t="shared" ca="1" si="61"/>
        <v/>
      </c>
      <c r="GQ13" s="48" t="str">
        <f t="shared" ref="GQ13:GQ14" ca="1" si="63">IF(AND(ISNUMBER(GO12), ISNUMBER(GO13)), GO12 - GO13, "")</f>
        <v/>
      </c>
      <c r="GR13" s="111" t="str">
        <f ca="1">IF(AND(ISNUMBER(GP12), ISNUMBER(GP13)), GP12 - GP13, "")</f>
        <v/>
      </c>
      <c r="GT13" s="51"/>
      <c r="GV13" s="127">
        <f t="shared" ca="1" si="16"/>
        <v>2027</v>
      </c>
      <c r="GW13" s="269" t="str">
        <f t="shared" ca="1" si="62"/>
        <v/>
      </c>
      <c r="GX13" s="46" t="str">
        <f t="shared" ca="1" si="62"/>
        <v/>
      </c>
      <c r="GY13" s="48" t="str">
        <f t="shared" ref="GY13:GY14" ca="1" si="64">IF(AND(ISNUMBER(GW12), ISNUMBER(GW13)), GW12 - GW13, "")</f>
        <v/>
      </c>
      <c r="GZ13" s="432" t="str">
        <f ca="1">IF(AND(ISNUMBER(GX12), ISNUMBER(GX13)), GX12 - GX13, "")</f>
        <v/>
      </c>
      <c r="HB13" s="51"/>
      <c r="HD13" s="51"/>
      <c r="HF13" s="51"/>
      <c r="HH13" s="51"/>
    </row>
    <row r="14" spans="1:216" ht="15.75" thickBot="1" x14ac:dyDescent="0.3">
      <c r="A14" s="55">
        <f ca="1">$A13 + 1</f>
        <v>2028</v>
      </c>
      <c r="B14" s="6"/>
      <c r="C14" s="6"/>
      <c r="D14" s="6"/>
      <c r="E14" s="6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31"/>
      <c r="Y14" s="31"/>
      <c r="Z14" s="31"/>
      <c r="AA14" s="31"/>
      <c r="AB14" s="31"/>
      <c r="AC14" s="31"/>
      <c r="AD14" s="15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26"/>
      <c r="AW14" s="26"/>
      <c r="AX14" s="26"/>
      <c r="AY14" s="26"/>
      <c r="AZ14" s="26"/>
      <c r="BA14" s="26"/>
      <c r="BB14" s="26"/>
      <c r="BC14" s="26"/>
      <c r="BD14" s="26"/>
      <c r="BE14" s="795" t="s">
        <v>1384</v>
      </c>
      <c r="BF14" s="792"/>
      <c r="BG14" s="772" t="str" cm="1">
        <f t="array" aca="1" ref="BG14" ca="1">IF(AND(ISNUMBER(INDEX($BG$19:$BG$66,MATCH(LEFT($BE14,2),$E$19:$E$66,0)+1, 0)), ISNUMBER(INDEX($BG$19:$BG$66,MATCH(MID($BE14,4,2),$E$19:$E$66,0)+1, 0))), INDEX($BG$19:$BG$66,MATCH(LEFT($BE14,2),$E$19:$E$66,0)+1, 0) - INDEX($BG$19:$BG$66,MATCH(MID($BE14,4,2),$E$19:$E$66,0)+1, 0), "")</f>
        <v/>
      </c>
      <c r="BH14" s="464" t="str" cm="1">
        <f t="array" aca="1" ref="BH14" ca="1">IF(AND(ISNUMBER(INDEX($BH$19:$BH$66,MATCH(LEFT($BE14,2),$E$19:$E$66,0)+1, 0)), ISNUMBER(INDEX($BH$19:$BH$66,MATCH(MID($BE14,4,2),$E$19:$E$66,0)+1, 0))), INDEX($BH$19:$BH$66,MATCH(LEFT($BE14,2),$E$19:$E$66,0)+1, 0) - INDEX($BH$19:$BH$66,MATCH(MID($BE14,4,2),$E$19:$E$66,0)+1, 0), "")</f>
        <v/>
      </c>
      <c r="BI14" s="774" t="str" cm="1">
        <f t="array" aca="1" ref="BI14" ca="1">IF(AND(ISNUMBER(INDEX($BK$19:$BK$66,MATCH(LEFT($BE14,2),$E$19:$E$66,0)+1, 0)), ISNUMBER(INDEX($BK$19:$BK$66,MATCH(MID($BE14,4,2),$E$19:$E$66,0)+1, 0))), INDEX($BK$19:$BK$66,MATCH(LEFT($BE14,2),$E$19:$E$66,0)+1, 0) - INDEX($BK$19:$BK$66,MATCH(MID($BE14,4,2),$E$19:$E$66,0)+1, 0), "")</f>
        <v/>
      </c>
      <c r="BJ14" s="464" t="str" cm="1">
        <f t="array" aca="1" ref="BJ14" ca="1">IF(AND(ISNUMBER(INDEX($BL$19:$BL$66,MATCH(LEFT($BE14,2),$E$19:$E$66,0)+1, 0)), ISNUMBER(INDEX($BL$19:$BL$66,MATCH(MID($BE14,4,2),$E$19:$E$66,0)+1, 0))), INDEX($BL$19:$BL$66,MATCH(LEFT($BE14,2),$E$19:$E$66,0)+1, 0) - INDEX($BL$19:$BL$66,MATCH(MID($BE14,4,2),$E$19:$E$66,0)+1, 0), "")</f>
        <v/>
      </c>
      <c r="BK14" s="774" t="str" cm="1">
        <f t="array" aca="1" ref="BK14" ca="1">IF(AND(ISNUMBER(INDEX($BO$19:$BO$66,MATCH(LEFT($BE14,2),$E$19:$E$66,0)+1, 0)), ISNUMBER(INDEX($BO$19:$BO$66,MATCH(MID($BE14,4,2),$E$19:$E$66,0)+1, 0))), INDEX($BO$19:$BO$66,MATCH(LEFT($BE14,2),$E$19:$E$66,0)+1, 0) - INDEX($BO$19:$BO$66,MATCH(MID($BE14,4,2),$E$19:$E$66,0)+1, 0), "")</f>
        <v/>
      </c>
      <c r="BL14" s="464" t="str" cm="1">
        <f t="array" aca="1" ref="BL14" ca="1">IF(AND(ISNUMBER(INDEX($BP$19:$BP$66,MATCH(LEFT($BE14,2),$E$19:$E$66,0)+1, 0)), ISNUMBER(INDEX($BP$19:$BP$66,MATCH(MID($BE14,4,2),$E$19:$E$66,0)+1, 0))), INDEX($BP$19:$BP$66,MATCH(LEFT($BE14,2),$E$19:$E$66,0)+1, 0) - INDEX($BP$19:$BP$66,MATCH(MID($BE14,4,2),$E$19:$E$66,0)+1, 0), "")</f>
        <v/>
      </c>
      <c r="BM14" s="774" t="str" cm="1">
        <f t="array" aca="1" ref="BM14" ca="1">IF(AND(ISNUMBER(INDEX($BS$19:$BS$66,MATCH(LEFT($BE14,2),$E$19:$E$66,0)+1, 0)), ISNUMBER(INDEX($BS$19:$BS$66,MATCH(MID($BE14,4,2),$E$19:$E$66,0)+1, 0))), INDEX($BS$19:$BS$66,MATCH(LEFT($BE14,2),$E$19:$E$66,0)+1, 0) - INDEX($BS$19:$BS$66,MATCH(MID($BE14,4,2),$E$19:$E$66,0)+1, 0), "")</f>
        <v/>
      </c>
      <c r="BN14" s="464" t="str" cm="1">
        <f t="array" aca="1" ref="BN14" ca="1">IF(AND(ISNUMBER(INDEX($BT$19:$BT$66,MATCH(LEFT($BE14,2),$E$19:$E$66,0)+1, 0)), ISNUMBER(INDEX($BT$19:$BT$66,MATCH(MID($BE14,4,2),$E$19:$E$66,0)+1, 0))), INDEX($BT$19:$BT$66,MATCH(LEFT($BE14,2),$E$19:$E$66,0)+1, 0) - INDEX($BT$19:$BT$66,MATCH(MID($BE14,4,2),$E$19:$E$66,0)+1, 0), "")</f>
        <v/>
      </c>
      <c r="BO14" s="774" t="str" cm="1">
        <f t="array" aca="1" ref="BO14" ca="1">IF(AND(ISNUMBER(INDEX($BW$19:$BW$66,MATCH(LEFT($BE14,2),$E$19:$E$66,0)+1, 0)), ISNUMBER(INDEX($BW$19:$BW$66,MATCH(MID($BE14,4,2),$E$19:$E$66,0)+1, 0))), INDEX($BW$19:$BW$66,MATCH(LEFT($BE14,2),$E$19:$E$66,0)+1, 0) - INDEX($BW$19:$BW$66,MATCH(MID($BE14,4,2),$E$19:$E$66,0)+1, 0), "")</f>
        <v/>
      </c>
      <c r="BP14" s="434" t="str" cm="1">
        <f t="array" aca="1" ref="BP14" ca="1">IF(AND(ISNUMBER(INDEX($BX$19:$BX$66,MATCH(LEFT($BE14,2),$E$19:$E$66,0)+1, 0)), ISNUMBER(INDEX($BX$19:$BX$66,MATCH(MID($BE14,4,2),$E$19:$E$66,0)+1, 0))), INDEX($BX$19:$BX$66,MATCH(LEFT($BE14,2),$E$19:$E$66,0)+1, 0) - INDEX($BX$19:$BX$66,MATCH(MID($BE14,4,2),$E$19:$E$66,0)+1, 0), "")</f>
        <v/>
      </c>
      <c r="BS14" s="51"/>
      <c r="BT14" s="51"/>
      <c r="BW14" s="51"/>
      <c r="BX14" s="129">
        <f t="shared" ca="1" si="0"/>
        <v>2028</v>
      </c>
      <c r="BY14" s="130">
        <f t="shared" ca="1" si="53"/>
        <v>69.38368389998233</v>
      </c>
      <c r="BZ14" s="131">
        <f t="shared" ca="1" si="53"/>
        <v>10.336653839282167</v>
      </c>
      <c r="CA14" s="132">
        <f t="shared" ca="1" si="23"/>
        <v>4.6461682155404844</v>
      </c>
      <c r="CB14" s="133">
        <f t="shared" ca="1" si="24"/>
        <v>-10.503594323671521</v>
      </c>
      <c r="CC14" s="134">
        <f t="shared" ca="1" si="53"/>
        <v>74.487259151496559</v>
      </c>
      <c r="CD14" s="133">
        <f t="shared" ca="1" si="53"/>
        <v>-1.9949462024315887E-2</v>
      </c>
      <c r="CE14" s="132">
        <f ca="1">IF(AND(ISNUMBER($CC13), ISNUMBER($CC14)), $CC13 - $CC14, "")</f>
        <v>4.6647121888122456</v>
      </c>
      <c r="CF14" s="133">
        <f ca="1">IF(AND(ISNUMBER($CD13), ISNUMBER($CD14)), $CD13 - $CD14, "")</f>
        <v>-0.16010188572761341</v>
      </c>
      <c r="CG14" s="134">
        <f t="shared" ca="1" si="53"/>
        <v>851.91168066534965</v>
      </c>
      <c r="CH14" s="133">
        <f t="shared" ca="1" si="53"/>
        <v>-3.8211133069825771</v>
      </c>
      <c r="CI14" s="132">
        <f ca="1">IF(AND(ISNUMBER($CG13), ISNUMBER($CG14)), $CG13 - $CG14, "")</f>
        <v>152.51834513614347</v>
      </c>
      <c r="CJ14" s="133">
        <f ca="1">IF(AND(ISNUMBER($CH13), ISNUMBER($CH14)), $CH13 - $CH14, "")</f>
        <v>-0.90687198067662012</v>
      </c>
      <c r="CK14" s="134">
        <f t="shared" ca="1" si="53"/>
        <v>304.30727272727268</v>
      </c>
      <c r="CL14" s="133">
        <f t="shared" ca="1" si="53"/>
        <v>-0.85454545454547837</v>
      </c>
      <c r="CM14" s="132">
        <f ca="1">IF(AND(ISNUMBER($CK13), ISNUMBER($CK14)), $CK13 - $CK14, "")</f>
        <v>48.956497113997102</v>
      </c>
      <c r="CN14" s="133">
        <f ca="1">IF(AND(ISNUMBER($CL13), ISNUMBER($CL14)), $CL13 - $CL14, "")</f>
        <v>-0.25474025974026426</v>
      </c>
      <c r="CO14" s="134">
        <f t="shared" ca="1" si="53"/>
        <v>234.74636363636364</v>
      </c>
      <c r="CP14" s="133">
        <f t="shared" ca="1" si="53"/>
        <v>-0.12818181818185403</v>
      </c>
      <c r="CQ14" s="132">
        <f t="shared" ca="1" si="31"/>
        <v>27.795382395382376</v>
      </c>
      <c r="CR14" s="135">
        <f ca="1">IF(AND(ISNUMBER($CP13), ISNUMBER($CP14)), $CP13 - $CP14, "")</f>
        <v>-3.0905483405468642E-2</v>
      </c>
      <c r="CV14" s="129">
        <f t="shared" ca="1" si="2"/>
        <v>2028</v>
      </c>
      <c r="CW14" s="134">
        <f t="shared" ca="1" si="54"/>
        <v>-4.9766130394339703</v>
      </c>
      <c r="CX14" s="133">
        <f t="shared" ca="1" si="54"/>
        <v>11.308034642067666</v>
      </c>
      <c r="CY14" s="132">
        <f ca="1">IF(AND(ISNUMBER($CW13), ISNUMBER($CW14)), $CW13 - $CW14, "")</f>
        <v>-0.14550618535202364</v>
      </c>
      <c r="CZ14" s="135">
        <f ca="1">IF(AND(ISNUMBER($CX13), ISNUMBER($CX14)), $CX13 - $CX14, "")</f>
        <v>-11.29492377870509</v>
      </c>
      <c r="DC14" s="51"/>
      <c r="DD14" s="51"/>
      <c r="DG14" s="51"/>
      <c r="DH14" s="51"/>
      <c r="DK14" s="51"/>
      <c r="DL14" s="51"/>
      <c r="DO14" s="51"/>
      <c r="DP14" s="51"/>
      <c r="DS14" s="51"/>
      <c r="DT14" s="136">
        <f t="shared" ca="1" si="4"/>
        <v>2028</v>
      </c>
      <c r="DU14" s="130">
        <f t="shared" ca="1" si="55"/>
        <v>40.446653080085298</v>
      </c>
      <c r="DV14" s="133">
        <f t="shared" ca="1" si="55"/>
        <v>-0.362919201264503</v>
      </c>
      <c r="DW14" s="132">
        <f ca="1">IF(AND(ISNUMBER($DU13), ISNUMBER($DU14)), $DU13 - $DU14, "")</f>
        <v>15.224197834839892</v>
      </c>
      <c r="DX14" s="133">
        <f ca="1">IF(AND(ISNUMBER($DV13), ISNUMBER($DV14)), $DV13 - $DV14, "")</f>
        <v>-9.1658348655943023E-2</v>
      </c>
      <c r="DY14" s="134">
        <f t="shared" ca="1" si="55"/>
        <v>53.321795393957977</v>
      </c>
      <c r="DZ14" s="133">
        <f t="shared" ca="1" si="55"/>
        <v>-0.33895962888478504</v>
      </c>
      <c r="EA14" s="132">
        <f t="shared" ca="1" si="35"/>
        <v>15.897016599066525</v>
      </c>
      <c r="EB14" s="137">
        <f ca="1">IF(AND(ISNUMBER($DZ13), ISNUMBER($DZ14)), $DZ13 - $DZ14, "")</f>
        <v>5.3110976636702445E-2</v>
      </c>
      <c r="EC14" s="132">
        <f t="shared" ca="1" si="55"/>
        <v>24.106213575776163</v>
      </c>
      <c r="ED14" s="133">
        <f t="shared" ca="1" si="55"/>
        <v>-3.3886901612062786E-2</v>
      </c>
      <c r="EE14" s="132">
        <f ca="1">IF(AND(ISNUMBER($EC13), ISNUMBER($EC14)), $EC13 - $EC14, "")</f>
        <v>7.0093484172483649</v>
      </c>
      <c r="EF14" s="133">
        <f t="shared" ca="1" si="38"/>
        <v>0.14712158269731657</v>
      </c>
      <c r="EG14" s="134">
        <f t="shared" ca="1" si="55"/>
        <v>58.298408433391948</v>
      </c>
      <c r="EH14" s="133">
        <f t="shared" ca="1" si="55"/>
        <v>-11.646994270952455</v>
      </c>
      <c r="EI14" s="132">
        <f ca="1">IF(AND(ISNUMBER($EG13), ISNUMBER($EG14)), $EG13 - $EG14, "")</f>
        <v>16.042522784418559</v>
      </c>
      <c r="EJ14" s="133">
        <f t="shared" ca="1" si="40"/>
        <v>11.348034755341796</v>
      </c>
      <c r="EK14" s="134">
        <f t="shared" ca="1" si="55"/>
        <v>29.082826615210134</v>
      </c>
      <c r="EL14" s="133">
        <f t="shared" ca="1" si="55"/>
        <v>-11.34192154367973</v>
      </c>
      <c r="EM14" s="132">
        <f t="shared" ca="1" si="41"/>
        <v>7.154854602600377</v>
      </c>
      <c r="EN14" s="135">
        <f ca="1">IF(AND(ISNUMBER($EL13), ISNUMBER($EL14)), $EL13 - $EL14, "")</f>
        <v>11.442045361402409</v>
      </c>
      <c r="EQ14" s="51"/>
      <c r="ER14" s="129">
        <f t="shared" ca="1" si="6"/>
        <v>2028</v>
      </c>
      <c r="ES14" s="134">
        <f t="shared" ca="1" si="56"/>
        <v>30.65510074731591</v>
      </c>
      <c r="ET14" s="133">
        <f t="shared" ca="1" si="56"/>
        <v>5.7046600904090479E-2</v>
      </c>
      <c r="EU14" s="132">
        <f ca="1">IF(AND(ISNUMBER($ES13), ISNUMBER($ES14)), $ES13 - $ES14, "")</f>
        <v>1.6019494386348718</v>
      </c>
      <c r="EV14" s="135">
        <f ca="1">IF(AND(ISNUMBER($ET13), ISNUMBER($ET14)), $ET13 - $ET14, "")</f>
        <v>0.34468886974439428</v>
      </c>
      <c r="EY14" s="51"/>
      <c r="EZ14" s="129">
        <f t="shared" ca="1" si="8"/>
        <v>2028</v>
      </c>
      <c r="FA14" s="134">
        <f t="shared" ca="1" si="57"/>
        <v>-69.560909090909092</v>
      </c>
      <c r="FB14" s="133">
        <f t="shared" ca="1" si="57"/>
        <v>0.72636363636362422</v>
      </c>
      <c r="FC14" s="132">
        <f t="shared" ca="1" si="45"/>
        <v>-21.161114718614684</v>
      </c>
      <c r="FD14" s="135">
        <f t="shared" ca="1" si="46"/>
        <v>0.22383477633479565</v>
      </c>
      <c r="FL14" s="129">
        <f t="shared" ca="1" si="10"/>
        <v>2028</v>
      </c>
      <c r="FM14" s="134">
        <f t="shared" ca="1" si="58"/>
        <v>43.690617524301047</v>
      </c>
      <c r="FN14" s="133">
        <f t="shared" ca="1" si="58"/>
        <v>-11.49445790731609</v>
      </c>
      <c r="FO14" s="134">
        <f t="shared" ca="1" si="58"/>
        <v>38.821353887937406</v>
      </c>
      <c r="FP14" s="133">
        <f t="shared" ca="1" si="58"/>
        <v>-11.443612452770637</v>
      </c>
      <c r="FQ14" s="134">
        <f t="shared" ca="1" si="58"/>
        <v>38.714004484867068</v>
      </c>
      <c r="FR14" s="133">
        <f t="shared" ca="1" si="58"/>
        <v>-0.18642326524842387</v>
      </c>
      <c r="FS14" s="134">
        <f t="shared" ca="1" si="58"/>
        <v>33.844740848503434</v>
      </c>
      <c r="FT14" s="135">
        <f t="shared" ca="1" si="58"/>
        <v>-0.13557781070297018</v>
      </c>
      <c r="FV14" s="51"/>
      <c r="GA14" s="51"/>
      <c r="GB14" s="51"/>
      <c r="GE14" s="51"/>
      <c r="GF14" s="129">
        <f t="shared" ca="1" si="12"/>
        <v>2028</v>
      </c>
      <c r="GG14" s="134" t="str">
        <f t="shared" ca="1" si="59"/>
        <v/>
      </c>
      <c r="GH14" s="133" t="str">
        <f t="shared" ca="1" si="59"/>
        <v/>
      </c>
      <c r="GI14" s="132" t="str">
        <f t="shared" ca="1" si="47"/>
        <v/>
      </c>
      <c r="GJ14" s="133" t="str">
        <f ca="1">IF(AND(ISNUMBER(GH13), ISNUMBER(GH14)), GH13 - GH14, "")</f>
        <v/>
      </c>
      <c r="GK14" s="134" t="str">
        <f t="shared" ca="1" si="60"/>
        <v/>
      </c>
      <c r="GL14" s="133" t="str">
        <f t="shared" ca="1" si="60"/>
        <v/>
      </c>
      <c r="GM14" s="132" t="str">
        <f ca="1">IF(AND(ISNUMBER(GK13), ISNUMBER(GK14)), GK13 - GK14, "")</f>
        <v/>
      </c>
      <c r="GN14" s="133" t="str">
        <f ca="1">IF(AND(ISNUMBER(GL13), ISNUMBER(GL14)), GL13 - GL14, "")</f>
        <v/>
      </c>
      <c r="GO14" s="134" t="str">
        <f t="shared" ca="1" si="61"/>
        <v/>
      </c>
      <c r="GP14" s="133" t="str">
        <f t="shared" ca="1" si="61"/>
        <v/>
      </c>
      <c r="GQ14" s="132" t="str">
        <f t="shared" ca="1" si="63"/>
        <v/>
      </c>
      <c r="GR14" s="135" t="str">
        <f ca="1">IF(AND(ISNUMBER(GP13), ISNUMBER(GP14)), GP13 - GP14, "")</f>
        <v/>
      </c>
      <c r="GT14" s="51"/>
      <c r="GV14" s="129">
        <f t="shared" ca="1" si="16"/>
        <v>2028</v>
      </c>
      <c r="GW14" s="481" t="str">
        <f t="shared" ca="1" si="62"/>
        <v/>
      </c>
      <c r="GX14" s="464" t="str">
        <f t="shared" ca="1" si="62"/>
        <v/>
      </c>
      <c r="GY14" s="465" t="str">
        <f t="shared" ca="1" si="64"/>
        <v/>
      </c>
      <c r="GZ14" s="434" t="str">
        <f ca="1">IF(AND(ISNUMBER(GX13), ISNUMBER(GX14)), GX13 - GX14, "")</f>
        <v/>
      </c>
      <c r="HB14" s="51"/>
      <c r="HD14" s="51"/>
      <c r="HF14" s="51"/>
      <c r="HH14" s="51"/>
    </row>
    <row r="15" spans="1:216" x14ac:dyDescent="0.25">
      <c r="A15" s="56"/>
      <c r="B15" s="6"/>
      <c r="C15" s="6"/>
      <c r="D15" s="6"/>
      <c r="E15" s="6"/>
      <c r="F15" s="24" t="s">
        <v>269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31"/>
      <c r="Y15" s="31"/>
      <c r="Z15" s="31"/>
      <c r="AA15" s="31"/>
      <c r="AB15" s="31"/>
      <c r="AC15" s="31"/>
      <c r="AD15" s="7"/>
      <c r="AE15" s="7"/>
      <c r="AF15" s="7"/>
      <c r="AG15" s="7"/>
      <c r="AH15" s="7"/>
      <c r="AI15" s="7"/>
      <c r="AJ15" s="24" t="s">
        <v>270</v>
      </c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8" t="s">
        <v>271</v>
      </c>
      <c r="AW15" s="26"/>
      <c r="AX15" s="26"/>
      <c r="AY15" s="26"/>
      <c r="AZ15" s="26"/>
      <c r="BA15" s="26"/>
      <c r="BB15" s="26"/>
      <c r="BC15" s="26"/>
      <c r="BD15" s="9"/>
      <c r="BG15" s="51"/>
      <c r="BH15" s="51"/>
      <c r="BJ15" s="51"/>
      <c r="BK15" s="48"/>
      <c r="BL15" s="48"/>
      <c r="BO15" s="51"/>
      <c r="BP15" s="51"/>
      <c r="BS15" s="51"/>
      <c r="BT15" s="51"/>
      <c r="BW15" s="51"/>
      <c r="BX15" s="51"/>
      <c r="CA15" s="51"/>
      <c r="CB15" s="51"/>
      <c r="CE15" s="51"/>
      <c r="CF15" s="51"/>
      <c r="CH15" s="51"/>
      <c r="CI15" s="51"/>
      <c r="CJ15" s="51"/>
      <c r="CL15" s="51"/>
      <c r="CM15" s="51"/>
      <c r="CN15" s="51"/>
      <c r="CP15" s="51"/>
      <c r="CQ15" s="51"/>
      <c r="CR15" s="51"/>
      <c r="CU15" s="51"/>
      <c r="CV15" s="51"/>
      <c r="CY15" s="51"/>
      <c r="CZ15" s="51"/>
      <c r="DB15" s="51"/>
      <c r="DC15" s="51"/>
      <c r="DD15" s="51"/>
      <c r="DF15" s="51"/>
      <c r="DG15" s="51"/>
      <c r="DH15" s="51"/>
      <c r="DK15" s="51"/>
      <c r="DL15" s="51"/>
      <c r="DN15" s="51"/>
      <c r="DO15" s="51"/>
      <c r="DP15" s="51"/>
      <c r="DS15" s="51"/>
      <c r="DT15" s="51"/>
      <c r="DW15" s="51"/>
      <c r="DX15" s="51"/>
      <c r="EA15" s="51"/>
      <c r="EB15" s="51"/>
      <c r="EE15" s="51"/>
      <c r="EF15" s="51"/>
      <c r="EI15" s="51"/>
      <c r="EJ15" s="51"/>
      <c r="EM15" s="51"/>
      <c r="EN15" s="51"/>
      <c r="EQ15" s="51"/>
      <c r="ER15" s="51"/>
      <c r="ET15" s="51"/>
      <c r="EU15" s="51"/>
      <c r="EV15" s="51"/>
      <c r="EY15" s="51"/>
      <c r="EZ15" s="51"/>
      <c r="FC15" s="51"/>
      <c r="FD15" s="51"/>
      <c r="FF15" s="51"/>
      <c r="FH15" s="51"/>
      <c r="FJ15" s="51"/>
      <c r="FL15" s="51"/>
      <c r="FN15" s="51"/>
      <c r="FP15" s="51"/>
      <c r="FR15" s="51"/>
      <c r="FT15" s="51"/>
      <c r="FV15" s="51"/>
      <c r="FX15" s="51"/>
      <c r="FZ15" s="51"/>
      <c r="GA15" s="51"/>
      <c r="GB15" s="51"/>
      <c r="GD15" s="51"/>
      <c r="GE15" s="51"/>
      <c r="GF15" s="51"/>
      <c r="GI15" s="51"/>
      <c r="GJ15" s="51"/>
      <c r="GL15" s="51"/>
      <c r="GM15" s="51"/>
      <c r="GN15" s="51"/>
      <c r="GP15" s="51"/>
      <c r="GQ15" s="51"/>
      <c r="GR15" s="51"/>
      <c r="GT15" s="51"/>
      <c r="GV15" s="51"/>
      <c r="GY15" s="51"/>
      <c r="GZ15" s="51"/>
      <c r="HB15" s="51"/>
      <c r="HD15" s="51"/>
      <c r="HF15" s="51"/>
      <c r="HH15" s="51"/>
    </row>
    <row r="16" spans="1:216" ht="15.75" thickBot="1" x14ac:dyDescent="0.3">
      <c r="B16" s="6"/>
      <c r="C16" s="6"/>
      <c r="D16" s="6"/>
      <c r="E16" s="6"/>
      <c r="F16" s="7">
        <f ca="1">INDEX(PricingRef[], MATCH(F$18, PricingRef[Fut], 0), MATCH("Expired", PricingRef[#Headers], 0))</f>
        <v>0</v>
      </c>
      <c r="G16" s="7">
        <f ca="1">INDEX(PricingRef[], MATCH(G$18, PricingRef[Fut], 0), MATCH("Expired", PricingRef[#Headers], 0))</f>
        <v>0</v>
      </c>
      <c r="H16" s="7">
        <f ca="1">INDEX(PricingRef[], MATCH(H$18, PricingRef[Fut], 0), MATCH("Expired", PricingRef[#Headers], 0))</f>
        <v>0</v>
      </c>
      <c r="I16" s="7">
        <f ca="1">INDEX(PricingRef[], MATCH(I$18, PricingRef[Fut], 0), MATCH("Expired", PricingRef[#Headers], 0))</f>
        <v>0</v>
      </c>
      <c r="J16" s="7">
        <f ca="1">INDEX(PricingRef[], MATCH(J$18, PricingRef[Fut], 0), MATCH("Expired", PricingRef[#Headers], 0))</f>
        <v>0</v>
      </c>
      <c r="K16" s="7">
        <f ca="1">INDEX(PricingRef[], MATCH(K$18, PricingRef[Fut], 0), MATCH("Expired", PricingRef[#Headers], 0))</f>
        <v>0</v>
      </c>
      <c r="L16" s="7">
        <f ca="1">INDEX(PricingRef[], MATCH(L$18, PricingRef[Fut], 0), MATCH("Expired", PricingRef[#Headers], 0))</f>
        <v>0</v>
      </c>
      <c r="M16" s="7">
        <f ca="1">INDEX(PricingRef[], MATCH(M$18, PricingRef[Fut], 0), MATCH("Expired", PricingRef[#Headers], 0))</f>
        <v>0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31"/>
      <c r="Y16" s="31"/>
      <c r="Z16" s="31"/>
      <c r="AA16" s="31"/>
      <c r="AB16" s="31"/>
      <c r="AC16" s="31"/>
      <c r="AD16" s="7"/>
      <c r="AE16" s="7"/>
      <c r="AF16" s="7"/>
      <c r="AG16" s="7"/>
      <c r="AH16" s="7"/>
      <c r="AI16" s="7"/>
      <c r="AJ16" s="7">
        <f ca="1">NETWORKDAYS($A19, INT(TimeNYC), Hols[CME]) - 1 + INDEX(PricingRef[], MATCH(AJ$18, PricingRef[Fut], 0), MATCH("Settled", PricingRef[#Headers], 0))</f>
        <v>1</v>
      </c>
      <c r="AK16" s="7">
        <f ca="1">NETWORKDAYS($A19, INT(TimeNYC), Hols[ICE]) - 1 + INDEX(PricingRef[], MATCH(AK$18, PricingRef[Fut], 0), MATCH("Settled", PricingRef[#Headers], 0))</f>
        <v>1</v>
      </c>
      <c r="AL16" s="7">
        <f ca="1">NETWORKDAYS($A19, INT(TimeLDN), Hols[ICE]) - 1 + INDEX(PricingRef[], MATCH(AL$18, PricingRef[Fut], 0), MATCH("Settled", PricingRef[#Headers], 0))</f>
        <v>1</v>
      </c>
      <c r="AM16" s="7">
        <f ca="1">NETWORKDAYS($A19, INT(TimeNYC), Hols[CME]) - 1 + INDEX(PricingRef[], MATCH(AM$18, PricingRef[Fut], 0), MATCH("Settled", PricingRef[#Headers], 0))</f>
        <v>1</v>
      </c>
      <c r="AN16" s="7">
        <f ca="1">NETWORKDAYS($A19, INT(TimeNYC), Hols[CME]) - 1 + INDEX(PricingRef[], MATCH(AN$18, PricingRef[Fut], 0), MATCH("Settled", PricingRef[#Headers], 0))</f>
        <v>1</v>
      </c>
      <c r="AO16" s="7">
        <f ca="1">NETWORKDAYS($A19, INT(TimeNYC), Hols[ICE]) - 1 + INDEX(PricingRef[], MATCH(AO$18, PricingRef[Fut], 0), MATCH("Settled", PricingRef[#Headers], 0))</f>
        <v>1</v>
      </c>
      <c r="AP16" s="7"/>
      <c r="AQ16" s="7"/>
      <c r="AR16" s="7"/>
      <c r="AS16" s="7"/>
      <c r="AT16" s="7"/>
      <c r="AU16" s="7"/>
      <c r="AV16" s="27" cm="1">
        <f t="array" aca="1" ref="AV16" ca="1">IFERROR(MIN(WORKDAY($A$1,-1), DATEVALUE(_xll.BDP(AV$18 &amp; $B22 &amp; RIGHT($C22, 1) &amp; " " &amp; "Comdty", "PX_SETTLE_LAST_DT", "Fill=#N/A"))), NA())</f>
        <v>46266</v>
      </c>
      <c r="AW16" s="27" cm="1">
        <f t="array" aca="1" ref="AW16" ca="1">IFERROR(MIN(WORKDAY($A$1,-1), DATEVALUE(_xll.BDP(AW$18 &amp; $B22 &amp; RIGHT($C22, 1) &amp; " " &amp; "Comdty", "PX_SETTLE_LAST_DT", "Fill=#N/A"))), NA())</f>
        <v>46266</v>
      </c>
      <c r="AX16" s="27" cm="1">
        <f t="array" aca="1" ref="AX16" ca="1">IFERROR(MIN(WORKDAY($A$1,-1), DATEVALUE(_xll.BDP(AX$18 &amp; $B22 &amp; RIGHT($C22, 1) &amp; " " &amp; "Comdty", "PX_SETTLE_LAST_DT", "Fill=#N/A"))), NA())</f>
        <v>46266</v>
      </c>
      <c r="AY16" s="27" cm="1">
        <f t="array" aca="1" ref="AY16" ca="1">IFERROR(MIN(WORKDAY($A$1,-1), DATEVALUE(_xll.BDP(AY$18 &amp; $B22 &amp; RIGHT($C22, 1) &amp; " " &amp; "Comdty", "PX_SETTLE_LAST_DT", "Fill=#N/A"))), NA())</f>
        <v>46266</v>
      </c>
      <c r="AZ16" s="27" cm="1">
        <f t="array" aca="1" ref="AZ16" ca="1">IFERROR(MIN(WORKDAY($A$1,-1), DATEVALUE(_xll.BDP(AZ$18 &amp; $B22 &amp; RIGHT($C22, 1) &amp; " " &amp; "Comdty", "PX_SETTLE_LAST_DT", "Fill=#N/A"))), NA())</f>
        <v>46266</v>
      </c>
      <c r="BA16" s="27" cm="1">
        <f t="array" aca="1" ref="BA16" ca="1">IFERROR(MIN(WORKDAY($A$1,-1), DATEVALUE(_xll.BDP(BA$18 &amp; $B22 &amp; RIGHT($C22, 2) &amp; " " &amp; "Comdty", "PX_SETTLE_LAST_DT", "Fill=#N/A"))), NA())</f>
        <v>46266</v>
      </c>
      <c r="BB16" s="27" cm="1">
        <f t="array" aca="1" ref="BB16" ca="1">IFERROR(MIN(WORKDAY($A$1,-1), DATEVALUE(_xll.BDP(BA$18 &amp; $B22 &amp; RIGHT($C22, 2) &amp; " " &amp; "Comdty", "PX_SETTLE_LAST_DT", "Fill=#N/A"))), NA())</f>
        <v>46266</v>
      </c>
      <c r="BC16" s="27" cm="1">
        <f t="array" aca="1" ref="BC16" ca="1">IFERROR(MIN(WORKDAY($A$1,-1), DATEVALUE(_xll.BDP(BC$18 &amp; $B22 &amp; RIGHT($C22, 2) &amp; " " &amp; "Comdty", "PX_SETTLE_LAST_DT", "Fill=#N/A"))), NA())</f>
        <v>46266</v>
      </c>
      <c r="BD16" s="27"/>
      <c r="BG16" s="51"/>
      <c r="BH16" s="51"/>
      <c r="BJ16" s="48"/>
      <c r="BK16" s="48"/>
      <c r="BL16" s="51"/>
      <c r="BO16" s="48"/>
      <c r="BP16" s="48"/>
      <c r="BS16" s="51"/>
      <c r="BT16" s="51"/>
      <c r="BU16" s="51" t="s">
        <v>1398</v>
      </c>
      <c r="BW16" s="48">
        <f ca="1">$BW$21+$BW$22</f>
        <v>32.83499999999998</v>
      </c>
      <c r="BX16" s="51">
        <f ca="1">$BX$21+$BX$22</f>
        <v>0.57499999999998863</v>
      </c>
      <c r="CA16" s="51"/>
      <c r="CB16" s="51"/>
      <c r="CE16" s="51"/>
      <c r="CF16" s="51"/>
      <c r="CH16" s="51"/>
      <c r="CI16" s="51"/>
      <c r="CJ16" s="51"/>
      <c r="CL16" s="51"/>
      <c r="CM16" s="51"/>
      <c r="CN16" s="51"/>
      <c r="CP16" s="51"/>
      <c r="CQ16" s="51"/>
      <c r="CR16" s="51"/>
      <c r="CU16" s="51"/>
      <c r="CV16" s="51"/>
      <c r="CY16" s="51"/>
      <c r="CZ16" s="51"/>
      <c r="DB16" s="51"/>
      <c r="DC16" s="51"/>
      <c r="DD16" s="51"/>
      <c r="DF16" s="51"/>
      <c r="DG16" s="51"/>
      <c r="DH16" s="51"/>
      <c r="DK16" s="51"/>
      <c r="DL16" s="51"/>
      <c r="DN16" s="51"/>
      <c r="DO16" s="51"/>
      <c r="DP16" s="51"/>
      <c r="DS16" s="51"/>
      <c r="DT16" s="51"/>
      <c r="DW16" s="51"/>
      <c r="DX16" s="51"/>
      <c r="EA16" s="51"/>
      <c r="EB16" s="51"/>
      <c r="EE16" s="51"/>
      <c r="EF16" s="51"/>
      <c r="EI16" s="51"/>
      <c r="EJ16" s="51"/>
      <c r="EM16" s="51"/>
      <c r="EN16" s="51"/>
      <c r="EQ16" s="51"/>
      <c r="ER16" s="51"/>
      <c r="ET16" s="51"/>
      <c r="EU16" s="51"/>
      <c r="EV16" s="51"/>
      <c r="EY16" s="51"/>
      <c r="EZ16" s="51"/>
      <c r="FC16" s="51"/>
      <c r="FD16" s="51"/>
      <c r="FF16" s="51"/>
      <c r="FH16" s="51"/>
      <c r="FJ16" s="51"/>
      <c r="FL16" s="51"/>
      <c r="FN16" s="51"/>
      <c r="FP16" s="51"/>
      <c r="FR16" s="51"/>
      <c r="FT16" s="51"/>
      <c r="FV16" s="51"/>
      <c r="FX16" s="51"/>
      <c r="FZ16" s="51"/>
      <c r="GA16" s="51"/>
      <c r="GB16" s="51"/>
      <c r="GD16" s="51"/>
      <c r="GE16" s="51"/>
      <c r="GF16" s="51"/>
      <c r="GI16" s="51"/>
      <c r="GJ16" s="51"/>
      <c r="GL16" s="51"/>
      <c r="GM16" s="51"/>
      <c r="GN16" s="51"/>
      <c r="GP16" s="51"/>
      <c r="GQ16" s="51"/>
      <c r="GR16" s="51"/>
      <c r="GT16" s="51"/>
      <c r="GV16" s="51"/>
      <c r="GY16" s="51"/>
      <c r="GZ16" s="51"/>
      <c r="HB16" s="51"/>
      <c r="HD16" s="51"/>
      <c r="HF16" s="51"/>
      <c r="HH16" s="51"/>
    </row>
    <row r="17" spans="1:216" ht="15.75" thickBot="1" x14ac:dyDescent="0.3">
      <c r="B17" s="6"/>
      <c r="C17" s="6"/>
      <c r="D17" s="6"/>
      <c r="E17" s="6"/>
      <c r="F17" s="24" t="s">
        <v>272</v>
      </c>
      <c r="G17" s="7"/>
      <c r="H17" s="7"/>
      <c r="I17" s="7"/>
      <c r="J17" s="7"/>
      <c r="K17" s="7"/>
      <c r="L17" s="7"/>
      <c r="M17" s="7"/>
      <c r="N17" s="24" t="s">
        <v>273</v>
      </c>
      <c r="O17" s="7"/>
      <c r="P17" s="7"/>
      <c r="Q17" s="7"/>
      <c r="R17" s="7"/>
      <c r="S17" s="7"/>
      <c r="T17" s="7"/>
      <c r="U17" s="24" t="s">
        <v>274</v>
      </c>
      <c r="V17" s="7"/>
      <c r="W17" s="7"/>
      <c r="X17" s="32" t="s">
        <v>275</v>
      </c>
      <c r="Y17" s="31"/>
      <c r="Z17" s="31"/>
      <c r="AA17" s="31"/>
      <c r="AB17" s="31"/>
      <c r="AC17" s="31"/>
      <c r="AD17" s="24" t="s">
        <v>276</v>
      </c>
      <c r="AE17" s="7"/>
      <c r="AF17" s="7"/>
      <c r="AG17" s="7"/>
      <c r="AH17" s="7"/>
      <c r="AI17" s="7"/>
      <c r="AJ17" s="24" t="s">
        <v>277</v>
      </c>
      <c r="AK17" s="7"/>
      <c r="AL17" s="7"/>
      <c r="AM17" s="7"/>
      <c r="AN17" s="7"/>
      <c r="AO17" s="7"/>
      <c r="AP17" s="24" t="s">
        <v>278</v>
      </c>
      <c r="AQ17" s="7"/>
      <c r="AR17" s="7"/>
      <c r="AS17" s="7"/>
      <c r="AT17" s="7"/>
      <c r="AU17" s="7"/>
      <c r="AV17" s="8" t="s">
        <v>279</v>
      </c>
      <c r="AW17" s="26"/>
      <c r="AX17" s="26"/>
      <c r="AY17" s="26"/>
      <c r="AZ17" s="26"/>
      <c r="BA17" s="26"/>
      <c r="BB17" s="26"/>
      <c r="BC17" s="26"/>
      <c r="BD17" s="9" t="s">
        <v>280</v>
      </c>
      <c r="BE17" s="310" t="s">
        <v>281</v>
      </c>
      <c r="BF17" s="311"/>
      <c r="BG17" s="312"/>
      <c r="BH17" s="313"/>
      <c r="BI17" s="332"/>
      <c r="BJ17" s="313"/>
      <c r="BK17" s="311"/>
      <c r="BL17" s="313"/>
      <c r="BM17" s="332"/>
      <c r="BN17" s="311"/>
      <c r="BO17" s="312"/>
      <c r="BP17" s="312"/>
      <c r="BQ17" s="332"/>
      <c r="BR17" s="311"/>
      <c r="BS17" s="312"/>
      <c r="BT17" s="312"/>
      <c r="BU17" s="332"/>
      <c r="BV17" s="311"/>
      <c r="BW17" s="312"/>
      <c r="BX17" s="312"/>
      <c r="BY17" s="310" t="s">
        <v>247</v>
      </c>
      <c r="BZ17" s="311"/>
      <c r="CA17" s="312"/>
      <c r="CB17" s="312"/>
      <c r="CC17" s="332"/>
      <c r="CD17" s="332"/>
      <c r="CE17" s="312"/>
      <c r="CF17" s="312"/>
      <c r="CG17" s="332"/>
      <c r="CH17" s="333"/>
      <c r="CI17" s="312"/>
      <c r="CJ17" s="312"/>
      <c r="CK17" s="332"/>
      <c r="CL17" s="333"/>
      <c r="CM17" s="312"/>
      <c r="CN17" s="312"/>
      <c r="CO17" s="332"/>
      <c r="CP17" s="333"/>
      <c r="CQ17" s="312"/>
      <c r="CR17" s="312"/>
      <c r="CS17" s="310" t="s">
        <v>248</v>
      </c>
      <c r="CT17" s="311"/>
      <c r="CU17" s="312"/>
      <c r="CV17" s="312"/>
      <c r="CW17" s="332"/>
      <c r="CX17" s="332"/>
      <c r="CY17" s="312"/>
      <c r="CZ17" s="312"/>
      <c r="DA17" s="310" t="s">
        <v>282</v>
      </c>
      <c r="DB17" s="313"/>
      <c r="DC17" s="312"/>
      <c r="DD17" s="312"/>
      <c r="DE17" s="332"/>
      <c r="DF17" s="334"/>
      <c r="DG17" s="312"/>
      <c r="DH17" s="312"/>
      <c r="DI17" s="332"/>
      <c r="DJ17" s="332"/>
      <c r="DK17" s="312"/>
      <c r="DL17" s="312"/>
      <c r="DM17" s="332"/>
      <c r="DN17" s="333"/>
      <c r="DO17" s="312"/>
      <c r="DP17" s="312"/>
      <c r="DQ17" s="332"/>
      <c r="DR17" s="311"/>
      <c r="DS17" s="312"/>
      <c r="DT17" s="312"/>
      <c r="DU17" s="310" t="s">
        <v>249</v>
      </c>
      <c r="DV17" s="311"/>
      <c r="DW17" s="312"/>
      <c r="DX17" s="312"/>
      <c r="DY17" s="332"/>
      <c r="DZ17" s="332"/>
      <c r="EA17" s="312"/>
      <c r="EB17" s="312"/>
      <c r="EC17" s="332"/>
      <c r="ED17" s="332"/>
      <c r="EE17" s="312"/>
      <c r="EF17" s="312"/>
      <c r="EG17" s="332"/>
      <c r="EH17" s="332"/>
      <c r="EI17" s="312"/>
      <c r="EJ17" s="312"/>
      <c r="EK17" s="332"/>
      <c r="EL17" s="332"/>
      <c r="EM17" s="312"/>
      <c r="EN17" s="312"/>
      <c r="EO17" s="310" t="s">
        <v>250</v>
      </c>
      <c r="EP17" s="311"/>
      <c r="EQ17" s="312"/>
      <c r="ER17" s="312"/>
      <c r="ES17" s="332"/>
      <c r="ET17" s="333"/>
      <c r="EU17" s="312"/>
      <c r="EV17" s="312"/>
      <c r="EW17" s="310" t="s">
        <v>251</v>
      </c>
      <c r="EX17" s="311"/>
      <c r="EY17" s="312"/>
      <c r="EZ17" s="312"/>
      <c r="FA17" s="332"/>
      <c r="FB17" s="332"/>
      <c r="FC17" s="312"/>
      <c r="FD17" s="312"/>
      <c r="FE17" s="310" t="s">
        <v>252</v>
      </c>
      <c r="FF17" s="313"/>
      <c r="FG17" s="311"/>
      <c r="FH17" s="313"/>
      <c r="FI17" s="311"/>
      <c r="FJ17" s="313"/>
      <c r="FK17" s="311"/>
      <c r="FL17" s="313"/>
      <c r="FM17" s="311"/>
      <c r="FN17" s="313"/>
      <c r="FO17" s="311"/>
      <c r="FP17" s="313"/>
      <c r="FQ17" s="311"/>
      <c r="FR17" s="313"/>
      <c r="FS17" s="311"/>
      <c r="FT17" s="335"/>
      <c r="FU17" s="310" t="s">
        <v>253</v>
      </c>
      <c r="FV17" s="313"/>
      <c r="FW17" s="311"/>
      <c r="FX17" s="313"/>
      <c r="FY17" s="311"/>
      <c r="FZ17" s="313"/>
      <c r="GA17" s="312"/>
      <c r="GB17" s="312"/>
      <c r="GC17" s="311"/>
      <c r="GD17" s="313"/>
      <c r="GE17" s="312"/>
      <c r="GF17" s="312"/>
      <c r="GG17" s="332"/>
      <c r="GH17" s="332"/>
      <c r="GI17" s="312"/>
      <c r="GJ17" s="312"/>
      <c r="GK17" s="311"/>
      <c r="GL17" s="313"/>
      <c r="GM17" s="312"/>
      <c r="GN17" s="312"/>
      <c r="GO17" s="311"/>
      <c r="GP17" s="313"/>
      <c r="GQ17" s="312"/>
      <c r="GR17" s="312"/>
      <c r="GS17" s="459" t="s">
        <v>254</v>
      </c>
      <c r="GT17" s="460"/>
      <c r="GU17" s="461"/>
      <c r="GV17" s="460"/>
      <c r="GW17" s="467"/>
      <c r="GX17" s="467"/>
      <c r="GY17" s="468"/>
      <c r="GZ17" s="469"/>
      <c r="HA17" s="459" t="s">
        <v>283</v>
      </c>
      <c r="HB17" s="460"/>
      <c r="HC17" s="461"/>
      <c r="HD17" s="460"/>
      <c r="HE17" s="461"/>
      <c r="HF17" s="460"/>
      <c r="HG17" s="461"/>
      <c r="HH17" s="575"/>
    </row>
    <row r="18" spans="1:216" x14ac:dyDescent="0.25">
      <c r="A18" s="55"/>
      <c r="B18" s="8" t="s">
        <v>284</v>
      </c>
      <c r="C18" s="8" t="s">
        <v>285</v>
      </c>
      <c r="D18" s="8" t="s">
        <v>286</v>
      </c>
      <c r="E18" s="8" t="s">
        <v>773</v>
      </c>
      <c r="F18" s="9" t="s">
        <v>287</v>
      </c>
      <c r="G18" s="9" t="s">
        <v>116</v>
      </c>
      <c r="H18" s="9" t="s">
        <v>288</v>
      </c>
      <c r="I18" s="9" t="s">
        <v>289</v>
      </c>
      <c r="J18" s="9" t="s">
        <v>290</v>
      </c>
      <c r="K18" s="9" t="s">
        <v>291</v>
      </c>
      <c r="L18" s="9" t="s">
        <v>292</v>
      </c>
      <c r="M18" s="9" t="s">
        <v>293</v>
      </c>
      <c r="N18" s="9" t="s">
        <v>287</v>
      </c>
      <c r="O18" s="9" t="s">
        <v>116</v>
      </c>
      <c r="P18" s="9" t="s">
        <v>288</v>
      </c>
      <c r="Q18" s="9" t="s">
        <v>289</v>
      </c>
      <c r="R18" s="9" t="s">
        <v>290</v>
      </c>
      <c r="S18" s="9" t="s">
        <v>291</v>
      </c>
      <c r="T18" s="9" t="s">
        <v>292</v>
      </c>
      <c r="U18" s="9" t="s">
        <v>287</v>
      </c>
      <c r="V18" s="9" t="s">
        <v>116</v>
      </c>
      <c r="W18" s="9" t="s">
        <v>288</v>
      </c>
      <c r="X18" s="33" t="s">
        <v>287</v>
      </c>
      <c r="Y18" s="33" t="s">
        <v>116</v>
      </c>
      <c r="Z18" s="33" t="s">
        <v>288</v>
      </c>
      <c r="AA18" s="33" t="s">
        <v>289</v>
      </c>
      <c r="AB18" s="33" t="s">
        <v>290</v>
      </c>
      <c r="AC18" s="33" t="s">
        <v>291</v>
      </c>
      <c r="AD18" s="9" t="s">
        <v>287</v>
      </c>
      <c r="AE18" s="9" t="s">
        <v>116</v>
      </c>
      <c r="AF18" s="9" t="s">
        <v>288</v>
      </c>
      <c r="AG18" s="9" t="s">
        <v>289</v>
      </c>
      <c r="AH18" s="9" t="s">
        <v>290</v>
      </c>
      <c r="AI18" s="9" t="s">
        <v>291</v>
      </c>
      <c r="AJ18" s="9" t="s">
        <v>287</v>
      </c>
      <c r="AK18" s="9" t="s">
        <v>116</v>
      </c>
      <c r="AL18" s="9" t="s">
        <v>288</v>
      </c>
      <c r="AM18" s="9" t="s">
        <v>289</v>
      </c>
      <c r="AN18" s="9" t="s">
        <v>290</v>
      </c>
      <c r="AO18" s="9" t="s">
        <v>291</v>
      </c>
      <c r="AP18" s="9" t="s">
        <v>287</v>
      </c>
      <c r="AQ18" s="9" t="s">
        <v>116</v>
      </c>
      <c r="AR18" s="9" t="s">
        <v>288</v>
      </c>
      <c r="AS18" s="9" t="s">
        <v>289</v>
      </c>
      <c r="AT18" s="9" t="s">
        <v>290</v>
      </c>
      <c r="AU18" s="9" t="s">
        <v>291</v>
      </c>
      <c r="AV18" s="9" t="s">
        <v>287</v>
      </c>
      <c r="AW18" s="9" t="s">
        <v>116</v>
      </c>
      <c r="AX18" s="9" t="s">
        <v>288</v>
      </c>
      <c r="AY18" s="9" t="s">
        <v>289</v>
      </c>
      <c r="AZ18" s="9" t="s">
        <v>290</v>
      </c>
      <c r="BA18" s="9" t="s">
        <v>291</v>
      </c>
      <c r="BB18" s="9" t="s">
        <v>292</v>
      </c>
      <c r="BC18" s="9" t="s">
        <v>293</v>
      </c>
      <c r="BD18" s="9" t="s">
        <v>294</v>
      </c>
      <c r="BE18" s="336" t="s">
        <v>41</v>
      </c>
      <c r="BF18" s="337"/>
      <c r="BG18" s="338"/>
      <c r="BH18" s="339"/>
      <c r="BI18" s="340" t="s">
        <v>295</v>
      </c>
      <c r="BJ18" s="341"/>
      <c r="BK18" s="337"/>
      <c r="BL18" s="339"/>
      <c r="BM18" s="337" t="s">
        <v>296</v>
      </c>
      <c r="BN18" s="337"/>
      <c r="BO18" s="338"/>
      <c r="BP18" s="338"/>
      <c r="BQ18" s="342" t="s">
        <v>289</v>
      </c>
      <c r="BR18" s="343"/>
      <c r="BS18" s="344"/>
      <c r="BT18" s="345"/>
      <c r="BU18" s="337" t="s">
        <v>297</v>
      </c>
      <c r="BV18" s="337"/>
      <c r="BW18" s="338"/>
      <c r="BX18" s="338"/>
      <c r="BY18" s="336" t="s">
        <v>298</v>
      </c>
      <c r="BZ18" s="337"/>
      <c r="CA18" s="338"/>
      <c r="CB18" s="338"/>
      <c r="CC18" s="342" t="s">
        <v>299</v>
      </c>
      <c r="CD18" s="337"/>
      <c r="CE18" s="338"/>
      <c r="CF18" s="338"/>
      <c r="CG18" s="342" t="s">
        <v>300</v>
      </c>
      <c r="CH18" s="341"/>
      <c r="CI18" s="338"/>
      <c r="CJ18" s="338"/>
      <c r="CK18" s="342" t="s">
        <v>301</v>
      </c>
      <c r="CL18" s="341"/>
      <c r="CM18" s="338"/>
      <c r="CN18" s="338"/>
      <c r="CO18" s="342" t="s">
        <v>302</v>
      </c>
      <c r="CP18" s="341"/>
      <c r="CQ18" s="338"/>
      <c r="CR18" s="338"/>
      <c r="CS18" s="336" t="s">
        <v>76</v>
      </c>
      <c r="CT18" s="337"/>
      <c r="CU18" s="338"/>
      <c r="CV18" s="338"/>
      <c r="CW18" s="342" t="s">
        <v>303</v>
      </c>
      <c r="CX18" s="337"/>
      <c r="CY18" s="338"/>
      <c r="CZ18" s="338"/>
      <c r="DA18" s="336" t="s">
        <v>85</v>
      </c>
      <c r="DB18" s="341"/>
      <c r="DC18" s="338"/>
      <c r="DD18" s="338"/>
      <c r="DE18" s="342" t="s">
        <v>87</v>
      </c>
      <c r="DF18" s="346"/>
      <c r="DG18" s="338"/>
      <c r="DH18" s="338"/>
      <c r="DI18" s="342" t="s">
        <v>88</v>
      </c>
      <c r="DJ18" s="337"/>
      <c r="DK18" s="338"/>
      <c r="DL18" s="338"/>
      <c r="DM18" s="342" t="s">
        <v>304</v>
      </c>
      <c r="DN18" s="341"/>
      <c r="DO18" s="338"/>
      <c r="DP18" s="338"/>
      <c r="DQ18" s="342" t="s">
        <v>305</v>
      </c>
      <c r="DR18" s="337"/>
      <c r="DS18" s="338"/>
      <c r="DT18" s="338"/>
      <c r="DU18" s="336" t="s">
        <v>306</v>
      </c>
      <c r="DV18" s="337"/>
      <c r="DW18" s="338"/>
      <c r="DX18" s="338"/>
      <c r="DY18" s="342" t="s">
        <v>307</v>
      </c>
      <c r="DZ18" s="337"/>
      <c r="EA18" s="338"/>
      <c r="EB18" s="338"/>
      <c r="EC18" s="342" t="s">
        <v>308</v>
      </c>
      <c r="ED18" s="337"/>
      <c r="EE18" s="338"/>
      <c r="EF18" s="338"/>
      <c r="EG18" s="342" t="s">
        <v>309</v>
      </c>
      <c r="EH18" s="337"/>
      <c r="EI18" s="338"/>
      <c r="EJ18" s="338"/>
      <c r="EK18" s="342" t="s">
        <v>310</v>
      </c>
      <c r="EL18" s="337"/>
      <c r="EM18" s="338"/>
      <c r="EN18" s="338"/>
      <c r="EO18" s="336" t="s">
        <v>250</v>
      </c>
      <c r="EP18" s="337"/>
      <c r="EQ18" s="338"/>
      <c r="ER18" s="338"/>
      <c r="ES18" s="342" t="s">
        <v>311</v>
      </c>
      <c r="ET18" s="341"/>
      <c r="EU18" s="338"/>
      <c r="EV18" s="338"/>
      <c r="EW18" s="336" t="s">
        <v>312</v>
      </c>
      <c r="EX18" s="337"/>
      <c r="EY18" s="338"/>
      <c r="EZ18" s="338"/>
      <c r="FA18" s="342" t="s">
        <v>313</v>
      </c>
      <c r="FB18" s="337"/>
      <c r="FC18" s="338"/>
      <c r="FD18" s="338"/>
      <c r="FE18" s="336">
        <v>211</v>
      </c>
      <c r="FF18" s="341"/>
      <c r="FG18" s="342">
        <v>321</v>
      </c>
      <c r="FH18" s="341"/>
      <c r="FI18" s="342" t="s">
        <v>314</v>
      </c>
      <c r="FJ18" s="341"/>
      <c r="FK18" s="342" t="s">
        <v>315</v>
      </c>
      <c r="FL18" s="341"/>
      <c r="FM18" s="342" t="s">
        <v>316</v>
      </c>
      <c r="FN18" s="341"/>
      <c r="FO18" s="342" t="s">
        <v>317</v>
      </c>
      <c r="FP18" s="341"/>
      <c r="FQ18" s="342" t="s">
        <v>318</v>
      </c>
      <c r="FR18" s="341"/>
      <c r="FS18" s="342" t="s">
        <v>319</v>
      </c>
      <c r="FT18" s="347"/>
      <c r="FU18" s="336" t="s">
        <v>320</v>
      </c>
      <c r="FV18" s="341"/>
      <c r="FW18" s="337"/>
      <c r="FX18" s="339"/>
      <c r="FY18" s="342" t="s">
        <v>321</v>
      </c>
      <c r="FZ18" s="341"/>
      <c r="GA18" s="338"/>
      <c r="GB18" s="338"/>
      <c r="GC18" s="342" t="s">
        <v>322</v>
      </c>
      <c r="GD18" s="341"/>
      <c r="GE18" s="338"/>
      <c r="GF18" s="338"/>
      <c r="GG18" s="342" t="s">
        <v>255</v>
      </c>
      <c r="GH18" s="337"/>
      <c r="GI18" s="338"/>
      <c r="GJ18" s="344"/>
      <c r="GK18" s="342" t="s">
        <v>256</v>
      </c>
      <c r="GL18" s="341"/>
      <c r="GM18" s="338"/>
      <c r="GN18" s="338"/>
      <c r="GO18" s="342" t="s">
        <v>257</v>
      </c>
      <c r="GP18" s="341"/>
      <c r="GQ18" s="338"/>
      <c r="GR18" s="338"/>
      <c r="GS18" s="462" t="s">
        <v>268</v>
      </c>
      <c r="GT18" s="341"/>
      <c r="GU18" s="337"/>
      <c r="GV18" s="466"/>
      <c r="GW18" s="473" t="s">
        <v>258</v>
      </c>
      <c r="GX18" s="337"/>
      <c r="GY18" s="338"/>
      <c r="GZ18" s="470"/>
      <c r="HA18" s="462" t="s">
        <v>323</v>
      </c>
      <c r="HB18" s="341"/>
      <c r="HC18" s="337"/>
      <c r="HD18" s="466"/>
      <c r="HE18" s="473"/>
      <c r="HF18" s="341"/>
      <c r="HG18" s="337"/>
      <c r="HH18" s="576"/>
    </row>
    <row r="19" spans="1:216" x14ac:dyDescent="0.25">
      <c r="A19" s="58">
        <f ca="1">EOMONTH(TimeLDN, -1) + 1</f>
        <v>46266</v>
      </c>
      <c r="B19" s="6" t="str">
        <f ca="1">INDEX(MthRef[], MATCH(MONTH(Futs!$A19), MthRef[Mth], 0), 2)</f>
        <v>U</v>
      </c>
      <c r="C19" s="6">
        <f t="shared" ref="C19:C66" ca="1" si="65">YEAR($A19)</f>
        <v>2026</v>
      </c>
      <c r="D19" s="6" t="str">
        <f t="shared" ref="D19:D66" ca="1" si="66">"Q" &amp; INT((MONTH($A19) + 2) / 3)  &amp; TEXT($A19, "yy")</f>
        <v>Q326</v>
      </c>
      <c r="E19" s="6" t="str">
        <f ca="1">$B19 &amp; RIGHT($C19, 1)</f>
        <v>U6</v>
      </c>
      <c r="F19" s="10"/>
      <c r="G19" s="10"/>
      <c r="H19" s="22">
        <f ca="1">IF(H$16 = 0, IFERROR(AVERAGE(_xll.BDP(H$18 &amp; $B19 &amp; RIGHT($C19, 1) &amp; " " &amp; "Comdty", "BID", "Fill=#N/A"), _xll.BDP(H$18 &amp; $B19 &amp; RIGHT($C19, 1) &amp; " " &amp; "Comdty", "ASK", "Fill=#N/A")), NA()), NA())</f>
        <v>1421.875</v>
      </c>
      <c r="I19" s="10"/>
      <c r="J19" s="10"/>
      <c r="K19" s="10"/>
      <c r="L19" s="10"/>
      <c r="M19" s="10"/>
      <c r="N19" s="7"/>
      <c r="O19" s="7"/>
      <c r="P19" s="7"/>
      <c r="Q19" s="7"/>
      <c r="R19" s="7"/>
      <c r="S19" s="7"/>
      <c r="T19" s="7"/>
      <c r="U19" s="7"/>
      <c r="V19" s="7"/>
      <c r="W19" s="7"/>
      <c r="X19" s="31">
        <f ca="1">INDEX(Expi[], MATCH($A19, Expi[Date], 0), MATCH(X$18, Expi[#Headers], 0))</f>
        <v>46287</v>
      </c>
      <c r="Y19" s="31">
        <f ca="1">INDEX(Expi[], MATCH($A19, Expi[Date], 0), MATCH(Y$18, Expi[#Headers], 0))</f>
        <v>46295</v>
      </c>
      <c r="Z19" s="31">
        <f ca="1">INDEX(Expi[], MATCH($A19, Expi[Date], 0), MATCH(Z$18, Expi[#Headers], 0))</f>
        <v>46275</v>
      </c>
      <c r="AA19" s="31">
        <f ca="1">INDEX(Expi[], MATCH($A19, Expi[Date], 0), MATCH(AA$18, Expi[#Headers], 0))</f>
        <v>46295</v>
      </c>
      <c r="AB19" s="31">
        <f ca="1">INDEX(Expi[], MATCH($A19, Expi[Date], 0), MATCH(AB$18, Expi[#Headers], 0))</f>
        <v>46295</v>
      </c>
      <c r="AC19" s="31">
        <f ca="1">INDEX(Expi[], MATCH($A19, Expi[Date], 0), MATCH(AC$18, Expi[#Headers], 0))</f>
        <v>46295</v>
      </c>
      <c r="AD19" s="23">
        <f ca="1">NETWORKDAYS($A19, EOMONTH($A19, 0), Hols[CME]) - AJ16</f>
        <v>21</v>
      </c>
      <c r="AE19" s="23">
        <f ca="1">NETWORKDAYS($A19, EOMONTH($A19, 0), Hols[ICE]) - AK16</f>
        <v>21</v>
      </c>
      <c r="AF19" s="23">
        <f ca="1">NETWORKDAYS($A19, EOMONTH($A19, 0), Hols[ICE]) - AL16</f>
        <v>21</v>
      </c>
      <c r="AG19" s="23">
        <f ca="1">NETWORKDAYS($A19, EOMONTH($A19, 0), Hols[CME]) - AM16</f>
        <v>21</v>
      </c>
      <c r="AH19" s="23">
        <f ca="1">NETWORKDAYS($A19, EOMONTH($A19, 0), Hols[CME]) - AN16</f>
        <v>21</v>
      </c>
      <c r="AI19" s="23">
        <f ca="1">NETWORKDAYS($A19, EOMONTH($A19, 0), Hols[ICE]) - AO16</f>
        <v>21</v>
      </c>
      <c r="AJ19" s="23">
        <f ca="1">IF(NETWORKDAYS($A19, X19, Hols[CME]) - AJ$16 &gt;= 0, NETWORKDAYS($A19, X19, Hols[CME]) - AJ$16, 0)</f>
        <v>15</v>
      </c>
      <c r="AK19" s="23">
        <f ca="1">IF(NETWORKDAYS($A19, Y19, Hols[ICE]) - AK$16 - 1 &gt;= 0, NETWORKDAYS($A19, Y19, Hols[ICE]) - AK$16 - 1, 0)</f>
        <v>20</v>
      </c>
      <c r="AL19" s="23">
        <f ca="1">IF(NETWORKDAYS($A19, Z19, Hols[ICE]) - AL$16 - 1 &gt;= 0, NETWORKDAYS($A19, Z19, Hols[ICE]) - AL$16 - 1, 0)</f>
        <v>6</v>
      </c>
      <c r="AM19" s="23">
        <f ca="1">IF(NETWORKDAYS($A19, AA19, Hols[CME]) - AM$16 &gt;= 0, NETWORKDAYS($A19, AA19, Hols[CME]) - AM$16, 0)</f>
        <v>21</v>
      </c>
      <c r="AN19" s="23">
        <f ca="1">IF(NETWORKDAYS($A19, AB19, Hols[CME]) - AN$16 &gt;= 0, NETWORKDAYS($A19, AB19, Hols[CME]) - AN$16, 0)</f>
        <v>21</v>
      </c>
      <c r="AO19" s="23">
        <f ca="1">IF(NETWORKDAYS($A19, AC19, Hols[ICE]) - AO$16 - 1 &gt;= 0, NETWORKDAYS($A19, AC19, Hols[ICE]) - AO$16 - 1, 0)</f>
        <v>20</v>
      </c>
      <c r="AP19" s="10">
        <f t="shared" ref="AP19:AP66" ca="1" si="67">AJ19/AD19</f>
        <v>0.7142857142857143</v>
      </c>
      <c r="AQ19" s="10">
        <f t="shared" ref="AQ19:AQ66" ca="1" si="68">AK19/AE19</f>
        <v>0.95238095238095233</v>
      </c>
      <c r="AR19" s="10">
        <f t="shared" ref="AR19:AR66" ca="1" si="69">AL19/AF19</f>
        <v>0.2857142857142857</v>
      </c>
      <c r="AS19" s="10">
        <f t="shared" ref="AS19:AS66" ca="1" si="70">AM19/AG19</f>
        <v>1</v>
      </c>
      <c r="AT19" s="10">
        <f t="shared" ref="AT19:AU66" ca="1" si="71">AN19/AH19</f>
        <v>1</v>
      </c>
      <c r="AU19" s="10">
        <f t="shared" ca="1" si="71"/>
        <v>0.95238095238095233</v>
      </c>
      <c r="AV19" s="28" t="e">
        <f ca="1">IFERROR(AVERAGE(_xll.BDH(AV$18 &amp; $B19 &amp; RIGHT($C19, 1) &amp; " " &amp; "Comdty", "PX_SETTLE", AV$16, AV$16, "Fill=#N/A")), IFERROR(AVERAGE(_xll.BDH(AV$18 &amp; $B19 &amp; RIGHT($C19, 2) &amp; " " &amp; "Comdty", "PX_SETTLE", AV$16, AV$16, "Fill=#N/A")), NA()))</f>
        <v>#N/A</v>
      </c>
      <c r="AW19" s="28" t="e">
        <f ca="1">IFERROR(AVERAGE(_xll.BDH(AW$18 &amp; $B19 &amp; RIGHT($C19, 1) &amp; " " &amp; "Comdty", "PX_SETTLE", AW$16, AW$16, "Fill=#N/A")), IFERROR(AVERAGE(_xll.BDH(AW$18 &amp; $B19 &amp; RIGHT($C19, 2) &amp; " " &amp; "Comdty", "PX_SETTLE", AW$16, AW$16, "Fill=#N/A")), NA()))</f>
        <v>#N/A</v>
      </c>
      <c r="AX19" s="29">
        <f ca="1">IFERROR(AVERAGE(_xll.BDH(AX$18 &amp; $B19 &amp; RIGHT($C19, 2) &amp; " " &amp; "Comdty", "FAIR_VALUE_SNAPSHOT_AT_1430", AX$16, AX$16, "TIME_ZONE_OVERRIDE=13", "Fill=#N/A")), NA())</f>
        <v>1433.63</v>
      </c>
      <c r="AY19" s="28" t="e">
        <f ca="1">IFERROR(AVERAGE(_xll.BDH(AY$18 &amp; $B19 &amp; RIGHT($C19, 1) &amp; " " &amp; "Comdty", "PX_SETTLE", AY$16, AY$16, "Fill=#N/A")), IFERROR(AVERAGE(_xll.BDH(AY$18 &amp; $B19 &amp; RIGHT($C19, 2) &amp; " " &amp; "Comdty", "PX_SETTLE", AY$16, AY$16, "Fill=#N/A")), NA()))</f>
        <v>#N/A</v>
      </c>
      <c r="AZ19" s="28" t="e">
        <f ca="1">IFERROR(AVERAGE(_xll.BDH(AZ$18 &amp; $B19 &amp; RIGHT($C19, 1) &amp; " " &amp; "Comdty", "PX_SETTLE", AZ$16, AZ$16, "Fill=#N/A")), NA())</f>
        <v>#N/A</v>
      </c>
      <c r="BA19" s="29" t="e">
        <f ca="1">IFERROR(AVERAGE(_xll.BDH(BA$18 &amp; $B19 &amp; RIGHT($C19, 2) &amp; " " &amp; "Comdty", "PX_SETTLE", BA$16, BA$16, "Fill=#N/A")), IFERROR(AVERAGE(_xll.BDH(BA$18 &amp; $B19 &amp; RIGHT($C19, 2) &amp; " " &amp; "Comdty", "PX_SETTLE", BA$16, BA$16, "Fill=#N/A")), NA()))</f>
        <v>#N/A</v>
      </c>
      <c r="BB19" s="29" t="e">
        <f ca="1">IFERROR(AVERAGE(_xll.BDH(BB$18 &amp; $B19 &amp; RIGHT($C19, 2) &amp; " " &amp; "Comdty", "PX_SETTLE", BB$16, BB$16, "Fill=#N/A")), IFERROR(AVERAGE(_xll.BDH(BB$18 &amp; $B19 &amp; RIGHT($C19, 2) &amp; " " &amp; "Comdty", "PX_SETTLE", BB$16, BB$16, "Fill=#N/A")), NA()))</f>
        <v>#N/A</v>
      </c>
      <c r="BC19" s="29" t="e">
        <f ca="1">IFERROR(AVERAGE(_xll.BDH(BC$18 &amp; $B19 &amp; RIGHT($C19, 2) &amp; " " &amp; "Comdty", "PX_SETTLE", BC$16, BC$16, "Fill=#N/A")), IFERROR(AVERAGE(_xll.BDH(BC$18 &amp; $B19 &amp; RIGHT($C19, 2) &amp; " " &amp; "Comdty", "PX_SETTLE", BC$16, BC$16, "Fill=#N/A")), NA()))</f>
        <v>#N/A</v>
      </c>
      <c r="BD19" s="29" cm="1">
        <f t="array" ref="BD19">_xll.BDP("USDCNY Curncy", "MID")</f>
        <v>6.7222999999999997</v>
      </c>
      <c r="BE19" s="138"/>
      <c r="BF19" s="46" t="str">
        <f t="shared" ref="BF19:BF66" ca="1" si="72">IFERROR(IF(AND(ISNUMBER($BE19), ISNUMBER($AV19)), $BE19 - $AV19, ""), "")</f>
        <v/>
      </c>
      <c r="BG19" s="47"/>
      <c r="BH19" s="114"/>
      <c r="BI19" s="139"/>
      <c r="BJ19" s="46" t="str">
        <f t="shared" ref="BJ19:BJ66" ca="1" si="73">IFERROR(IF(AND(ISNUMBER($BI19), ISNUMBER($AW19)), $BI19 - $AW19, ""), "")</f>
        <v/>
      </c>
      <c r="BK19" s="48"/>
      <c r="BL19" s="114"/>
      <c r="BM19" s="48">
        <f ca="1">IFERROR($H$19, "")</f>
        <v>1421.875</v>
      </c>
      <c r="BN19" s="46">
        <f t="shared" ref="BN19:BN66" ca="1" si="74">IFERROR(IF(AND(ISNUMBER($BM19), ISNUMBER($AX19)), $BM19 - $AX19, ""), "")</f>
        <v>-11.755000000000109</v>
      </c>
      <c r="BO19" s="47"/>
      <c r="BP19" s="46"/>
      <c r="BQ19" s="110"/>
      <c r="BR19" s="46" t="str">
        <f t="shared" ref="BR19:BR66" ca="1" si="75">IFERROR(IF(AND(ISNUMBER($BQ19), ISNUMBER($AY19)), $BQ19 - $AY19, ""), "")</f>
        <v/>
      </c>
      <c r="BS19" s="47"/>
      <c r="BT19" s="114"/>
      <c r="BU19" s="84"/>
      <c r="BV19" s="46" t="str">
        <f t="shared" ref="BV19:BV66" ca="1" si="76">IFERROR(IF(AND(ISNUMBER($BU19), ISNUMBER($AZ19)), $BU19 - $AZ19, ""), "")</f>
        <v/>
      </c>
      <c r="BW19" s="47"/>
      <c r="BX19" s="46"/>
      <c r="BY19" s="140">
        <f ca="1">IFERROR($AP19 * IF($BE20 &lt;&gt; "", $BE20, 0) + (1 - $AP19) * $BE21, "")</f>
        <v>89.741428571428557</v>
      </c>
      <c r="BZ19" s="46">
        <f ca="1">IFERROR($AP19 * IF($BF20 &lt;&gt; "", $BF20, 0) + (1 - $AP19) * $BF21, "")</f>
        <v>0.22714285714284951</v>
      </c>
      <c r="CA19" s="47"/>
      <c r="CB19" s="46"/>
      <c r="CC19" s="141">
        <f ca="1">IFERROR($AQ19 * IF($BI21 &lt;&gt; "", $BI21, 0) + (1 - $AQ19) * $BI22, "")</f>
        <v>94.934523809523796</v>
      </c>
      <c r="CD19" s="50">
        <f ca="1">IFERROR($AQ19 * IF($BJ21 &lt;&gt; "", $BJ21, 0) + (1 - $AQ19) * $BJ22, "")</f>
        <v>0.43119047619046569</v>
      </c>
      <c r="CE19" s="47"/>
      <c r="CF19" s="46"/>
      <c r="CG19" s="141">
        <f ca="1">IFERROR($AR19 * IF($BM19 &lt;&gt; "", $BM19, 0) + (1 - $AR19) * $BM20, "")</f>
        <v>1369.1071428571429</v>
      </c>
      <c r="CH19" s="50">
        <f ca="1">IFERROR($AR19 * IF($BN19 &lt;&gt; "", $BN19, 0) + (1 - $AR19) * $BN20, "")</f>
        <v>-10.144285714285745</v>
      </c>
      <c r="CI19" s="47"/>
      <c r="CJ19" s="46"/>
      <c r="CK19" s="141">
        <f ca="1">IFERROR($AS19 * IF($BQ20 &lt;&gt; "", $BQ20, 0) + (1 - $AS19) * $BQ21, "")</f>
        <v>465.62</v>
      </c>
      <c r="CL19" s="50">
        <f t="shared" ref="CL19:CL66" ca="1" si="77">IFERROR($AS19 * IF($BR20 &lt;&gt; "", $BR20, 0) + (1 - $AS19) * $BR21, "")</f>
        <v>-2.1100000000000136</v>
      </c>
      <c r="CM19" s="47"/>
      <c r="CN19" s="46"/>
      <c r="CO19" s="141">
        <f ca="1">IFERROR($AT19 * IF($BU20 &lt;&gt; "", $BU20, 0) + (1 - $AT19) * $BU21, "")</f>
        <v>314.59500000000003</v>
      </c>
      <c r="CP19" s="50">
        <f t="shared" ref="CP19:CP66" ca="1" si="78">IFERROR($AT19 * IF($BV20 &lt;&gt; "", $BV20, 0) + (1 - $AT19) * $BV21, "")</f>
        <v>1.0850000000000364</v>
      </c>
      <c r="CQ19" s="47"/>
      <c r="CR19" s="46"/>
      <c r="CS19" s="109" t="str">
        <f t="shared" ref="CS19:CS66" si="79">IFERROR(IF(AND(ISNUMBER($BE19), ISNUMBER($BI19)), $BE19 - $BI19, ""), "")</f>
        <v/>
      </c>
      <c r="CT19" s="46" t="str">
        <f t="shared" ref="CT19:CT66" ca="1" si="80">IFERROR(IF(AND(ISNUMBER($BF19), ISNUMBER($BJ19)), $BF19 - $BJ19, ""), "")</f>
        <v/>
      </c>
      <c r="CU19" s="47"/>
      <c r="CV19" s="46"/>
      <c r="CW19" s="110">
        <f ca="1">IFERROR(IF(AND(ISNUMBER($BY19), ISNUMBER($CC19)), $BY19 - $CC19, ""), "")</f>
        <v>-5.1930952380952391</v>
      </c>
      <c r="CX19" s="46">
        <f t="shared" ref="CX19:CX66" ca="1" si="81">IFERROR(IF(AND(ISNUMBER($BZ19), ISNUMBER($CD19)), $BZ19 - $CD19, ""), "")</f>
        <v>-0.20404761904761617</v>
      </c>
      <c r="CY19" s="47"/>
      <c r="CZ19" s="46"/>
      <c r="DA19" s="109" t="str">
        <f t="shared" ref="DA19:DA66" ca="1" si="82">IFERROR(IF(AND(ISNUMBER($BM19), ISNUMBER($BI19)), $BM19 / 7.45 - $BI19, ""), "")</f>
        <v/>
      </c>
      <c r="DB19" s="46" t="str">
        <f t="shared" ref="DB19:DB66" ca="1" si="83">IFERROR(IF(AND(ISNUMBER($BN19), ISNUMBER($BJ19)), $BN19 / 7.45 - $BJ19, ""), "")</f>
        <v/>
      </c>
      <c r="DC19" s="47"/>
      <c r="DD19" s="46"/>
      <c r="DE19" s="110" t="str">
        <f t="shared" ref="DE19:DE66" si="84">IFERROR(IF(AND(ISNUMBER($BQ19), ISNUMBER($BI19)), $BQ19 * 42/100 - $BI19, ""), "")</f>
        <v/>
      </c>
      <c r="DF19" s="46" t="str">
        <f t="shared" ref="DF19:DF66" ca="1" si="85">IFERROR(IF(AND(ISNUMBER($BR19), ISNUMBER($BJ19)), $BR19 * 42/100 - $BJ19, ""), "")</f>
        <v/>
      </c>
      <c r="DG19" s="47"/>
      <c r="DH19" s="46"/>
      <c r="DI19" s="110" t="str">
        <f t="shared" ref="DI19:DI66" si="86">IFERROR(IF(AND(ISNUMBER($BU19), ISNUMBER($BI19)), $BU19 * 42/100 - $BI19, ""), "")</f>
        <v/>
      </c>
      <c r="DJ19" s="46" t="str">
        <f t="shared" ref="DJ19:DJ66" ca="1" si="87">IFERROR(IF(AND(ISNUMBER($BV19), ISNUMBER($BJ19)), $BV19 * 42/100 - $BJ19, ""), "")</f>
        <v/>
      </c>
      <c r="DK19" s="47"/>
      <c r="DL19" s="46"/>
      <c r="DM19" s="110" t="str">
        <f t="shared" ref="DM19:DM66" si="88">IFERROR(IF(AND(ISNUMBER($BQ19), ISNUMBER($BE19)), $BQ19 * 42/100 - $BE19, ""), "")</f>
        <v/>
      </c>
      <c r="DN19" s="46" t="str">
        <f t="shared" ref="DN19:DN66" ca="1" si="89">IFERROR(IF(AND(ISNUMBER($BR19), ISNUMBER($BF19)), $BR19 * 42/100 - $BF19, ""), "")</f>
        <v/>
      </c>
      <c r="DO19" s="47"/>
      <c r="DP19" s="47"/>
      <c r="DQ19" s="110" t="str">
        <f t="shared" ref="DQ19:DQ66" si="90">IFERROR(IF(AND(ISNUMBER($BU19), ISNUMBER($BE19)), $BU19 * 42/100 - $BE19, ""), "")</f>
        <v/>
      </c>
      <c r="DR19" s="46" t="str">
        <f t="shared" ref="DR19:DR66" ca="1" si="91">IFERROR(IF(AND(ISNUMBER($BV19), ISNUMBER($BF19)), $BV19 * 42/100 - $BF19, ""), "")</f>
        <v/>
      </c>
      <c r="DS19" s="47"/>
      <c r="DT19" s="47"/>
      <c r="DU19" s="109">
        <f t="shared" ref="DU19:DU66" ca="1" si="92">IFERROR(IF(AND(ISNUMBER($CG19), ISNUMBER($CC19)), $CG19/7.45 - $CC19, ""), "")</f>
        <v>88.83824704378398</v>
      </c>
      <c r="DV19" s="46">
        <f t="shared" ref="DV19:DV66" ca="1" si="93">IFERROR(IF(AND(ISNUMBER($CH19), ISNUMBER($CD19)), $CH19/7.45 - $CD19, ""), "")</f>
        <v>-1.7928395653563376</v>
      </c>
      <c r="DW19" s="47"/>
      <c r="DX19" s="47"/>
      <c r="DY19" s="110">
        <f t="shared" ref="DY19:DY66" ca="1" si="94">IFERROR(IF(AND(ISNUMBER($CK19), ISNUMBER($CC19)), $CK19 * 42/100 - $CC19, ""), "")</f>
        <v>100.62587619047622</v>
      </c>
      <c r="DZ19" s="46">
        <f t="shared" ref="DZ19:DZ66" ca="1" si="95">IFERROR(IF(AND(ISNUMBER($CL19), ISNUMBER($CD19)), $CL19 * 42/100 - $CD19, ""), "")</f>
        <v>-1.3173904761904716</v>
      </c>
      <c r="EA19" s="47"/>
      <c r="EB19" s="47"/>
      <c r="EC19" s="110">
        <f t="shared" ref="EC19:EC66" ca="1" si="96">IFERROR(IF(AND(ISNUMBER($CO19), ISNUMBER($CC19)), $CO19 * 42/100 - $CC19, ""), "")</f>
        <v>37.195376190476225</v>
      </c>
      <c r="ED19" s="46">
        <f t="shared" ref="ED19:ED66" ca="1" si="97">IFERROR(IF(AND(ISNUMBER($CP19), ISNUMBER($CD19)), $CP19 * 42/100 - $CD19, ""), "")</f>
        <v>2.4509523809549572E-2</v>
      </c>
      <c r="EE19" s="47"/>
      <c r="EF19" s="47"/>
      <c r="EG19" s="110">
        <f t="shared" ref="EG19:EG66" ca="1" si="98">IFERROR(IF(AND(ISNUMBER($CK19), ISNUMBER($BY19)), $CK19 * 42/100 - $BY19, ""), "")</f>
        <v>105.81897142857146</v>
      </c>
      <c r="EH19" s="46">
        <f t="shared" ref="EH19:EH66" ca="1" si="99">IFERROR(IF(AND(ISNUMBER($CL19), ISNUMBER($BZ19)), $CL19 * 42/100 - $BZ19, ""), "")</f>
        <v>-1.1133428571428552</v>
      </c>
      <c r="EI19" s="47"/>
      <c r="EJ19" s="47"/>
      <c r="EK19" s="110">
        <f t="shared" ref="EK19:EK66" ca="1" si="100">IFERROR(IF(AND(ISNUMBER($CO19), ISNUMBER($BY19)), $CO19 * 42/100 - $BY19, ""), "")</f>
        <v>42.388471428571464</v>
      </c>
      <c r="EL19" s="46">
        <f t="shared" ref="EL19:EL66" ca="1" si="101">IFERROR(IF(AND(ISNUMBER($CP19), ISNUMBER($BZ19)), $CP19 * 42/100 - $BZ19, ""), "")</f>
        <v>0.22855714285716575</v>
      </c>
      <c r="EM19" s="47"/>
      <c r="EN19" s="47"/>
      <c r="EO19" s="109" t="str">
        <f t="shared" ref="EO19:EO66" ca="1" si="102">IF(AND(ISNUMBER($BQ19), ISNUMBER($BM19)), $BQ19 - $BM19/3.129, "")</f>
        <v/>
      </c>
      <c r="EP19" s="46" t="str">
        <f t="shared" ref="EP19:EP66" ca="1" si="103">IF(AND(ISNUMBER($BR19), ISNUMBER($BN19)), $BR19 - $BN19/3.129, "")</f>
        <v/>
      </c>
      <c r="EQ19" s="47"/>
      <c r="ER19" s="47"/>
      <c r="ES19" s="110">
        <f t="shared" ref="ES19:ES66" ca="1" si="104">IF(AND(ISNUMBER($CK19), ISNUMBER($CG19)), $CK19 - $CG19/3.129, "")</f>
        <v>28.065783682600568</v>
      </c>
      <c r="ET19" s="46">
        <f t="shared" ref="ET19:ET66" ca="1" si="105">IF(AND(ISNUMBER($CL19), ISNUMBER($CH19)), $CL19 - $CH19/3.129, "")</f>
        <v>1.1320216408711099</v>
      </c>
      <c r="EU19" s="47"/>
      <c r="EV19" s="47"/>
      <c r="EW19" s="109" t="str">
        <f t="shared" ref="EW19:EW66" si="106">IF(AND(ISNUMBER($BU19), ISNUMBER($BQ19)), $BU19 - $BQ19, "")</f>
        <v/>
      </c>
      <c r="EX19" s="46" t="str">
        <f t="shared" ref="EX19:EX66" ca="1" si="107">IF(AND(ISNUMBER($BV19), ISNUMBER($BR19)), $BV19 - $BR19, "")</f>
        <v/>
      </c>
      <c r="EY19" s="47"/>
      <c r="EZ19" s="47"/>
      <c r="FA19" s="110">
        <f t="shared" ref="FA19:FA66" ca="1" si="108">IF(AND(ISNUMBER($CO19), ISNUMBER($CK19)), $CO19 - $CK19, "")</f>
        <v>-151.02499999999998</v>
      </c>
      <c r="FB19" s="46">
        <f t="shared" ref="FB19:FB66" ca="1" si="109">IF(AND(ISNUMBER($CP19), ISNUMBER($CL19)), $CP19 - $CL19, "")</f>
        <v>3.19500000000005</v>
      </c>
      <c r="FC19" s="47"/>
      <c r="FD19" s="47"/>
      <c r="FE19" s="109" t="str">
        <f t="shared" ref="FE19:FE66" si="110">IFERROR(IF(AND(ISNUMBER($DQ19), ISNUMBER($DM19)), $DQ19 * 0.5 + $DM19 * 0.5, ""), "")</f>
        <v/>
      </c>
      <c r="FF19" s="46" t="str">
        <f t="shared" ref="FF19:FF66" ca="1" si="111">IFERROR(IF(AND(ISNUMBER($DR19), ISNUMBER($DN19)), $DR19 * 0.5 + $DN19 * 0.5, ""), "")</f>
        <v/>
      </c>
      <c r="FG19" s="110" t="str">
        <f t="shared" ref="FG19:FG66" si="112">IFERROR(IF(AND(ISNUMBER($DQ19), ISNUMBER($DM19)), $DQ19 * 2/3 + $DM19 * 1/3, ""), "")</f>
        <v/>
      </c>
      <c r="FH19" s="46" t="str">
        <f t="shared" ref="FH19:FH66" ca="1" si="113">IFERROR(IF(AND(ISNUMBER($DR19), ISNUMBER($DN19)), $DR19 * 2/3 + $DN19 * 1/3, ""), "")</f>
        <v/>
      </c>
      <c r="FI19" s="110" t="str">
        <f t="shared" ref="FI19:FI66" si="114">IFERROR(IF(AND(ISNUMBER($DI19), ISNUMBER($DE19)), $DI19 * 0.5 + $DE19 * 0.5, ""), "")</f>
        <v/>
      </c>
      <c r="FJ19" s="46" t="str">
        <f t="shared" ref="FJ19:FJ66" ca="1" si="115">IFERROR(IF(AND(ISNUMBER($DJ19), ISNUMBER($DF19)), $DJ19 * 0.5 + $DF19 * 0.5, ""), "")</f>
        <v/>
      </c>
      <c r="FK19" s="110" t="str">
        <f t="shared" ref="FK19:FK66" si="116">IFERROR(IF(AND(ISNUMBER($DI19), ISNUMBER($DE19)), $DI19 * 2/3 + $DE19 * 1/3, ""), "")</f>
        <v/>
      </c>
      <c r="FL19" s="46" t="str">
        <f t="shared" ref="FL19:FL66" ca="1" si="117">IFERROR(IF(AND(ISNUMBER($DJ19), ISNUMBER($DF19)), $DJ19 * 2/3 + $DF19 * 1/3, ""), "")</f>
        <v/>
      </c>
      <c r="FM19" s="110">
        <f t="shared" ref="FM19:FM66" ca="1" si="118">IFERROR(IF(AND(ISNUMBER($EK19), ISNUMBER($EG19)), $EK19 * 0.5 + $EG19 * 0.5, ""), "")</f>
        <v>74.103721428571461</v>
      </c>
      <c r="FN19" s="46">
        <f t="shared" ref="FN19:FN66" ca="1" si="119">IFERROR(IF(AND(ISNUMBER($EL19), ISNUMBER($EH19)), $EL19 * 0.5 + $EH19 * 0.5, ""), "")</f>
        <v>-0.44239285714284471</v>
      </c>
      <c r="FO19" s="110">
        <f t="shared" ref="FO19:FO66" ca="1" si="120">IFERROR(IF(AND(ISNUMBER($EK19), ISNUMBER($EG19)), $EK19 * 2/3 + $EG19 * 1/3, ""), "")</f>
        <v>63.531971428571467</v>
      </c>
      <c r="FP19" s="46">
        <f t="shared" ref="FP19:FP66" ca="1" si="121">IFERROR(IF(AND(ISNUMBER($EL19), ISNUMBER($EH19)), $EL19 * 2/3 + $EH19 * 1/3, ""), "")</f>
        <v>-0.21874285714284122</v>
      </c>
      <c r="FQ19" s="110">
        <f t="shared" ref="FQ19:FQ66" ca="1" si="122">IFERROR(IF(AND(ISNUMBER($EC19), ISNUMBER($DY19)), $EC19 * 0.5 + $DY19 * 0.5, ""), "")</f>
        <v>68.910626190476222</v>
      </c>
      <c r="FR19" s="46">
        <f t="shared" ref="FR19:FR66" ca="1" si="123">IFERROR(IF(AND(ISNUMBER($ED19), ISNUMBER($DZ19)), $ED19 * 0.5 + $DZ19 * 0.5, ""), "")</f>
        <v>-0.64644047619046097</v>
      </c>
      <c r="FS19" s="110">
        <f t="shared" ref="FS19:FS66" ca="1" si="124">IFERROR(IF(AND(ISNUMBER($EC19), ISNUMBER($DY19)), $EC19 * 2/3 + $DY19 * 1/3, ""), "")</f>
        <v>58.338876190476228</v>
      </c>
      <c r="FT19" s="111">
        <f t="shared" ref="FT19:FT66" ca="1" si="125">IFERROR(IF(AND(ISNUMBER($ED19), ISNUMBER($DZ19)), $ED19 * 2/3 + $DZ19 * 1/3, ""), "")</f>
        <v>-0.42279047619045751</v>
      </c>
      <c r="FU19" s="138"/>
      <c r="FV19" s="46" t="str">
        <f t="shared" ref="FV19" ca="1" si="126">IFERROR(IF(AND(ISNUMBER($BI19), ISNUMBER($AW19)), $BI19 - $AW19, ""), "")</f>
        <v/>
      </c>
      <c r="FW19" s="48"/>
      <c r="FX19" s="114"/>
      <c r="FY19" s="110"/>
      <c r="FZ19" s="46"/>
      <c r="GA19" s="47"/>
      <c r="GB19" s="46"/>
      <c r="GC19" s="110"/>
      <c r="GD19" s="46"/>
      <c r="GE19" s="47"/>
      <c r="GF19" s="46"/>
      <c r="GG19" s="141">
        <f ca="1">IFERROR($AU19 * IF($FU21 &lt;&gt; "", $FU21, 0) + (1 - $AU19) * $FU22, "")</f>
        <v>107.16166666666666</v>
      </c>
      <c r="GH19" s="50">
        <f ca="1">IFERROR($AU19 * IF($FV21 &lt;&gt; "", $FV21, 0) + (1 - $AU19) * $FV22, "")</f>
        <v>1.4988095238095187</v>
      </c>
      <c r="GI19" s="47"/>
      <c r="GJ19" s="115"/>
      <c r="GK19" s="110">
        <f t="shared" ref="GK19:GK66" ca="1" si="127">IFERROR(IF(AND(ISNUMBER($GG19), ISNUMBER($CC19)), $GG19 - $CC19, ""), "")</f>
        <v>12.227142857142866</v>
      </c>
      <c r="GL19" s="46">
        <f t="shared" ref="GL19:GL66" ca="1" si="128">IFERROR(IF(AND(ISNUMBER($GH19), ISNUMBER($CD19)), $GH19 - $CD19, ""), "")</f>
        <v>1.067619047619053</v>
      </c>
      <c r="GM19" s="47"/>
      <c r="GN19" s="46"/>
      <c r="GO19" s="110" t="str">
        <f ca="1">IFERROR(IF(AND(ISNUMBER($GG19), ISNUMBER(Crd!$X19)), $GG19 - Crd!$X19, ""), "")</f>
        <v/>
      </c>
      <c r="GP19" s="46" t="str">
        <f ca="1">IFERROR(IF(AND(ISNUMBER($GH19), ISNUMBER(Crd!$Y19)), $GH19 - Crd!$Y19, ""), "")</f>
        <v/>
      </c>
      <c r="GQ19" s="47"/>
      <c r="GR19" s="46"/>
      <c r="GS19" s="463"/>
      <c r="GT19" s="46" t="str">
        <f t="shared" ref="GT19" ca="1" si="129">IFERROR(IF(AND(ISNUMBER($BI19), ISNUMBER($AW19)), $BI19 - $AW19, ""), "")</f>
        <v/>
      </c>
      <c r="GU19" s="48"/>
      <c r="GV19" s="115"/>
      <c r="GW19" s="427">
        <f ca="1">IFERROR($AU19 * IF($GS21 &lt;&gt; "", $GS21, 0) + (1 - $AU19) * $GS22, "")</f>
        <v>101.65023809523809</v>
      </c>
      <c r="GX19" s="50">
        <f ca="1">IFERROR($AU19 * IF($GT21 &lt;&gt; "", $GT21, 0) + (1 - $AU19) * $GT22, "")</f>
        <v>2.7049999999999832</v>
      </c>
      <c r="GY19" s="47"/>
      <c r="GZ19" s="430"/>
      <c r="HA19" s="463"/>
      <c r="HB19" s="46" t="str">
        <f t="shared" ref="HB19" ca="1" si="130">IFERROR(IF(AND(ISNUMBER($BI19), ISNUMBER($AW19)), $BI19 - $AW19, ""), "")</f>
        <v/>
      </c>
      <c r="HC19" s="48"/>
      <c r="HD19" s="115"/>
      <c r="HE19" s="574" t="str">
        <f>IF(AND(ISNUMBER($HA19), ISNUMBER($BD19)), $HA19 / $BD19, "")</f>
        <v/>
      </c>
      <c r="HF19" s="46" t="str">
        <f ca="1">IF(AND(ISNUMBER($HB19), ISNUMBER($BD19)), $HB19 / $BD19, "")</f>
        <v/>
      </c>
      <c r="HG19" s="48" t="str">
        <f>IF(AND(ISNUMBER($HC19), ISNUMBER($BD19)), $HC19 / $BD19, "")</f>
        <v/>
      </c>
      <c r="HH19" s="430" t="str">
        <f>IF(AND(ISNUMBER($HD19), ISNUMBER($BD19)), $HD19 / $BD19, "")</f>
        <v/>
      </c>
    </row>
    <row r="20" spans="1:216" x14ac:dyDescent="0.25">
      <c r="A20" s="58">
        <f t="shared" ref="A20:A66" ca="1" si="131">EOMONTH($A19, 0) + 1</f>
        <v>46296</v>
      </c>
      <c r="B20" s="6" t="str">
        <f ca="1">INDEX(MthRef[], MATCH(MONTH(Futs!$A20), MthRef[Mth], 0), 2)</f>
        <v>V</v>
      </c>
      <c r="C20" s="6">
        <f t="shared" ca="1" si="65"/>
        <v>2026</v>
      </c>
      <c r="D20" s="6" t="str">
        <f t="shared" ca="1" si="66"/>
        <v>Q426</v>
      </c>
      <c r="E20" s="6" t="str">
        <f t="shared" ref="E20:E66" ca="1" si="132">$B20 &amp; RIGHT($C20, 1)</f>
        <v>V6</v>
      </c>
      <c r="F20" s="22">
        <f ca="1">IF(F$16 = 0, IFERROR(AVERAGE(_xll.BDP(F$18 &amp; $B20 &amp; RIGHT($C20, 1) &amp; " " &amp; "Comdty", "BID", "Fill=#N/A"), _xll.BDP(F$18 &amp; $B20 &amp; RIGHT($C20, 1) &amp; " " &amp; "Comdty", "ASK", "Fill=#N/A")), NA()), NA())</f>
        <v>90.47999999999999</v>
      </c>
      <c r="G20" s="10"/>
      <c r="H20" s="10">
        <f ca="1">IFERROR(AVERAGE(_xll.BDP(H$18 &amp; $B20 &amp; RIGHT($C20, 1) &amp; " " &amp; "Comdty", "BID", "Fill=#N/A"), _xll.BDP(H$18 &amp; $B20 &amp; RIGHT($C20, 1) &amp; " " &amp; "Comdty", "ASK", "Fill=#N/A")), NA())</f>
        <v>1348</v>
      </c>
      <c r="I20" s="22">
        <f ca="1">IF(I$16 = 0, IFERROR(AVERAGE(_xll.BDP(I$18 &amp; $B20 &amp; RIGHT($C20, 1) &amp; " " &amp; "Comdty", "BID", "Fill=#N/A"), _xll.BDP(I$18 &amp; $B20 &amp; RIGHT($C20, 1) &amp; " " &amp; "Comdty", "ASK", "Fill=#N/A")), NA()), NA())</f>
        <v>465.62</v>
      </c>
      <c r="J20" s="22">
        <f ca="1">IF(J$16 = 0, IFERROR(AVERAGE(_xll.BDP(J$18 &amp; $B20 &amp; RIGHT($C20, 1) &amp; " " &amp; "Comdty", "BID", "Fill=#N/A"), _xll.BDP(J$18 &amp; $B20 &amp; RIGHT($C20, 1) &amp; " " &amp; "Comdty", "ASK", "Fill=#N/A")), NA()), NA())</f>
        <v>314.59500000000003</v>
      </c>
      <c r="K20" s="10"/>
      <c r="L20" s="10"/>
      <c r="M20" s="22">
        <f ca="1">IF(M$16 = 0, IFERROR(AVERAGE(_xll.BDP(M$18 &amp; $B20 &amp; RIGHT($C20, 2) &amp; " " &amp; "Comdty", "BID", "Fill=#N/A"), _xll.BDP(M$18 &amp; $B20 &amp; RIGHT($C20, 2) &amp; " " &amp; "Comdty", "ASK", "Fill=#N/A")), NA()), NA())</f>
        <v>693.3</v>
      </c>
      <c r="N20" s="10"/>
      <c r="O20" s="10"/>
      <c r="P20" s="10">
        <f ca="1">IFERROR(AVERAGE(_xll.BDP(P$18 &amp; $B19 &amp; RIGHT($C19, 1) &amp; P$18 &amp; $B20 &amp; RIGHT($C20, 1) &amp; " " &amp; "Comdty", "BID", "Fill=#N/A"), _xll.BDP(P$18 &amp; $B19 &amp; RIGHT($C19, 1) &amp; P$18 &amp; $B20 &amp; RIGHT($C20, 1) &amp; " " &amp; "Comdty", "ASK", "Fill=#N/A")), NA())</f>
        <v>73.875</v>
      </c>
      <c r="Q20" s="10"/>
      <c r="R20" s="10"/>
      <c r="S20" s="10"/>
      <c r="T20" s="10"/>
      <c r="U20" s="10"/>
      <c r="V20" s="10"/>
      <c r="W20" s="10">
        <f ca="1">IF($A20 &lt; Diagnostics!$B$3, P20, INDEX(ImpSprd[], MATCH(Futs!$C20, ImpSprd[Yr], 0), MATCH(W$18, ImpSprd[#Headers], 0)))</f>
        <v>73.875</v>
      </c>
      <c r="X20" s="31">
        <f ca="1">INDEX(Expi[], MATCH($A20, Expi[Date], 0), MATCH(X$18, Expi[#Headers], 0))</f>
        <v>46315</v>
      </c>
      <c r="Y20" s="31">
        <f ca="1">INDEX(Expi[], MATCH($A20, Expi[Date], 0), MATCH(Y$18, Expi[#Headers], 0))</f>
        <v>46325</v>
      </c>
      <c r="Z20" s="31">
        <f ca="1">INDEX(Expi[], MATCH($A20, Expi[Date], 0), MATCH(Z$18, Expi[#Headers], 0))</f>
        <v>46307</v>
      </c>
      <c r="AA20" s="31">
        <f ca="1">INDEX(Expi[], MATCH($A20, Expi[Date], 0), MATCH(AA$18, Expi[#Headers], 0))</f>
        <v>46325</v>
      </c>
      <c r="AB20" s="31">
        <f ca="1">INDEX(Expi[], MATCH($A20, Expi[Date], 0), MATCH(AB$18, Expi[#Headers], 0))</f>
        <v>46325</v>
      </c>
      <c r="AC20" s="31">
        <f ca="1">INDEX(Expi[], MATCH($A20, Expi[Date], 0), MATCH(AC$18, Expi[#Headers], 0))</f>
        <v>46325</v>
      </c>
      <c r="AD20" s="7">
        <f ca="1">NETWORKDAYS($A20, EOMONTH($A20, 0), Hols[CME])</f>
        <v>22</v>
      </c>
      <c r="AE20" s="7">
        <f ca="1">NETWORKDAYS($A20, EOMONTH($A20, 0), Hols[ICE])</f>
        <v>22</v>
      </c>
      <c r="AF20" s="7">
        <f ca="1">NETWORKDAYS($A20, EOMONTH($A20, 0), Hols[ICE])</f>
        <v>22</v>
      </c>
      <c r="AG20" s="7">
        <f ca="1">NETWORKDAYS($A20, EOMONTH($A20, 0), Hols[CME])</f>
        <v>22</v>
      </c>
      <c r="AH20" s="7">
        <f ca="1">NETWORKDAYS($A20, EOMONTH($A20, 0), Hols[CME])</f>
        <v>22</v>
      </c>
      <c r="AI20" s="7">
        <f ca="1">NETWORKDAYS($A20, EOMONTH($A20, 0), Hols[ICE])</f>
        <v>22</v>
      </c>
      <c r="AJ20" s="7">
        <f ca="1">NETWORKDAYS($A20, X20, Hols[CME])</f>
        <v>14</v>
      </c>
      <c r="AK20" s="7">
        <f ca="1">NETWORKDAYS($A20, Y20, Hols[ICE]) - 1</f>
        <v>21</v>
      </c>
      <c r="AL20" s="7">
        <f ca="1">NETWORKDAYS($A20, Z20, Hols[ICE]) - 1</f>
        <v>7</v>
      </c>
      <c r="AM20" s="7">
        <f ca="1">NETWORKDAYS($A20, AA20, Hols[CME])</f>
        <v>22</v>
      </c>
      <c r="AN20" s="7">
        <f ca="1">NETWORKDAYS($A20, AB20, Hols[CME])</f>
        <v>22</v>
      </c>
      <c r="AO20" s="7">
        <f ca="1">NETWORKDAYS($A20, AC20, Hols[ICE]) - 1</f>
        <v>21</v>
      </c>
      <c r="AP20" s="10">
        <f t="shared" ca="1" si="67"/>
        <v>0.63636363636363635</v>
      </c>
      <c r="AQ20" s="10">
        <f t="shared" ca="1" si="68"/>
        <v>0.95454545454545459</v>
      </c>
      <c r="AR20" s="10">
        <f t="shared" ca="1" si="69"/>
        <v>0.31818181818181818</v>
      </c>
      <c r="AS20" s="10">
        <f t="shared" ca="1" si="70"/>
        <v>1</v>
      </c>
      <c r="AT20" s="10">
        <f t="shared" ca="1" si="71"/>
        <v>1</v>
      </c>
      <c r="AU20" s="10">
        <f t="shared" ca="1" si="71"/>
        <v>0.95454545454545459</v>
      </c>
      <c r="AV20" s="28">
        <f ca="1">IFERROR(AVERAGE(_xll.BDH(AV$18 &amp; $B20 &amp; RIGHT($C20, 1) &amp; " " &amp; "Comdty", "PX_SETTLE", AV$16, AV$16, "Fill=#N/A")), IFERROR(AVERAGE(_xll.BDH(AV$18 &amp; $B20 &amp; RIGHT($C20, 2) &amp; " " &amp; "Comdty", "PX_SETTLE", AV$16, AV$16, "Fill=#N/A")), NA()))</f>
        <v>90.22</v>
      </c>
      <c r="AW20" s="28" t="e">
        <f ca="1">IFERROR(AVERAGE(_xll.BDH(AW$18 &amp; $B20 &amp; RIGHT($C20, 1) &amp; " " &amp; "Comdty", "PX_SETTLE", AW$16, AW$16, "Fill=#N/A")), IFERROR(AVERAGE(_xll.BDH(AW$18 &amp; $B20 &amp; RIGHT($C20, 2) &amp; " " &amp; "Comdty", "PX_SETTLE", AW$16, AW$16, "Fill=#N/A")), NA()))</f>
        <v>#N/A</v>
      </c>
      <c r="AX20" s="29">
        <f ca="1">IFERROR(AVERAGE(_xll.BDH(AX$18 &amp; $B20 &amp; RIGHT($C20, 2) &amp; " " &amp; "Comdty", "FAIR_VALUE_SNAPSHOT_AT_1430", AX$16, AX$16, "TIME_ZONE_OVERRIDE=13", "Fill=#N/A")), NA())</f>
        <v>1357.5</v>
      </c>
      <c r="AY20" s="28">
        <f ca="1">IFERROR(AVERAGE(_xll.BDH(AY$18 &amp; $B20 &amp; RIGHT($C20, 1) &amp; " " &amp; "Comdty", "PX_SETTLE", AY$16, AY$16, "Fill=#N/A")), NA())</f>
        <v>467.73</v>
      </c>
      <c r="AZ20" s="28">
        <f ca="1">IFERROR(AVERAGE(_xll.BDH(AZ$18 &amp; $B20 &amp; RIGHT($C20, 1) &amp; " " &amp; "Comdty", "PX_SETTLE", AZ$16, AZ$16, "Fill=#N/A")), NA())</f>
        <v>313.51</v>
      </c>
      <c r="BA20" s="29" t="e">
        <f ca="1">IFERROR(AVERAGE(_xll.BDH(BA$18 &amp; $B20 &amp; RIGHT($C20, 2) &amp; " " &amp; "Comdty", "PX_SETTLE", BA$16, BA$16, "Fill=#N/A")), IFERROR(AVERAGE(_xll.BDH(BA$18 &amp; $B20 &amp; RIGHT($C20, 2) &amp; " " &amp; "Comdty", "PX_SETTLE", BA$16, BA$16, "Fill=#N/A")), NA()))</f>
        <v>#N/A</v>
      </c>
      <c r="BB20" s="29" t="e">
        <f ca="1">IFERROR(AVERAGE(_xll.BDH(BB$18 &amp; $B20 &amp; RIGHT($C20, 2) &amp; " " &amp; "Comdty", "PX_SETTLE", BB$16, BB$16, "Fill=#N/A")), IFERROR(AVERAGE(_xll.BDH(BB$18 &amp; $B20 &amp; RIGHT($C20, 2) &amp; " " &amp; "Comdty", "PX_SETTLE", BB$16, BB$16, "Fill=#N/A")), NA()))</f>
        <v>#N/A</v>
      </c>
      <c r="BC20" s="29">
        <f ca="1">IFERROR(AVERAGE(_xll.BDH(BC$18 &amp; $B20 &amp; RIGHT($C20, 2) &amp; " " &amp; "Comdty", "PX_SETTLE", BC$16, BC$16, "Fill=#N/A")), IFERROR(AVERAGE(_xll.BDH(BC$18 &amp; $B20 &amp; RIGHT($C20, 2) &amp; " " &amp; "Comdty", "PX_SETTLE", BC$16, BC$16, "Fill=#N/A")), NA()))</f>
        <v>637.20000000000005</v>
      </c>
      <c r="BD20" s="29" cm="1">
        <f t="array" ref="BD20">_xll.BFXFORWARD("USDCNY", "2W", "MidOutright")</f>
        <v>6.7723500000000003</v>
      </c>
      <c r="BE20" s="109">
        <f ca="1">IFERROR($F$20, "")</f>
        <v>90.47999999999999</v>
      </c>
      <c r="BF20" s="46">
        <f t="shared" ca="1" si="72"/>
        <v>0.25999999999999091</v>
      </c>
      <c r="BG20" s="47"/>
      <c r="BH20" s="114"/>
      <c r="BI20" s="110"/>
      <c r="BJ20" s="46" t="str">
        <f ca="1">IFERROR(IF(AND(ISNUMBER($BI20), ISNUMBER($AW20)), $BI20 - $AW20, ""), "")</f>
        <v/>
      </c>
      <c r="BK20" s="48"/>
      <c r="BL20" s="114"/>
      <c r="BM20" s="48">
        <f ca="1">IFERROR(IF(ISNUMBER($H$19), $BM19 - $W20, $H$20), "")</f>
        <v>1348</v>
      </c>
      <c r="BN20" s="46">
        <f t="shared" ca="1" si="74"/>
        <v>-9.5</v>
      </c>
      <c r="BO20" s="47">
        <f ca="1">IF(AND(ISNUMBER($BM19), ISNUMBER($BM20)), $BM19 - $BM20, "")</f>
        <v>73.875</v>
      </c>
      <c r="BP20" s="46">
        <f t="shared" ref="BP20:BP67" ca="1" si="133">IF(AND(ISNUMBER($BN19), ISNUMBER($BN20)), $BN19 - $BN20, "")</f>
        <v>-2.2550000000001091</v>
      </c>
      <c r="BQ20" s="110">
        <f ca="1">IFERROR($I$20, "")</f>
        <v>465.62</v>
      </c>
      <c r="BR20" s="46">
        <f t="shared" ca="1" si="75"/>
        <v>-2.1100000000000136</v>
      </c>
      <c r="BS20" s="47" t="str">
        <f ca="1">IF(AND(ISNUMBER($BQ19), ISNUMBER($BQ20)), $BQ19 - $BQ20, "")</f>
        <v/>
      </c>
      <c r="BT20" s="114" t="str">
        <f ca="1">IF(AND(ISNUMBER($BR19), ISNUMBER($BR20)), $BR19 - $BR20, "")</f>
        <v/>
      </c>
      <c r="BU20" s="48">
        <f ca="1">IFERROR($J$20, "")</f>
        <v>314.59500000000003</v>
      </c>
      <c r="BV20" s="46">
        <f t="shared" ca="1" si="76"/>
        <v>1.0850000000000364</v>
      </c>
      <c r="BW20" s="47" t="str">
        <f ca="1">IF(AND(ISNUMBER($BU19), ISNUMBER($BU20)), $BU19 - $BU20, "")</f>
        <v/>
      </c>
      <c r="BX20" s="46" t="str">
        <f ca="1">IF(AND(ISNUMBER($BV19), ISNUMBER($BV20)), $BV19 - $BV20, "")</f>
        <v/>
      </c>
      <c r="BY20" s="140">
        <f t="shared" ref="BY20:BY66" ca="1" si="134">IFERROR($AP20 * $BE21 + (1 - $AP20) * $BE22, "")</f>
        <v>86.847727272727269</v>
      </c>
      <c r="BZ20" s="46">
        <f t="shared" ref="BZ20:BZ66" ca="1" si="135">IFERROR($AP20 * $BF21 + (1 - $AP20) * $BF22, "")</f>
        <v>0.10863636363636173</v>
      </c>
      <c r="CA20" s="47">
        <f ca="1">IF(AND(ISNUMBER($BY19), ISNUMBER($BY20)), $BY19 - $BY20, "")</f>
        <v>2.8937012987012878</v>
      </c>
      <c r="CB20" s="46">
        <f ca="1">IF(AND(ISNUMBER($BZ19), ISNUMBER($BZ20)), $BZ19 - $BZ20, "")</f>
        <v>0.11850649350648779</v>
      </c>
      <c r="CC20" s="141">
        <f t="shared" ref="CC20:CC66" ca="1" si="136">IFERROR($AQ20 * $BI22 + (1 - $AQ20) * $BI23, "")</f>
        <v>91.486363636363635</v>
      </c>
      <c r="CD20" s="50">
        <f t="shared" ref="CD20:CD66" ca="1" si="137">IFERROR($AQ20 * $BJ22 + (1 - $AQ20) * $BJ23, "")</f>
        <v>4.8181818181824751E-2</v>
      </c>
      <c r="CE20" s="47">
        <f ca="1">IF(AND(ISNUMBER($CC19), ISNUMBER($CC20)), $CC19 - $CC20, "")</f>
        <v>3.4481601731601614</v>
      </c>
      <c r="CF20" s="46">
        <f ca="1">IF(AND(ISNUMBER($CD19), ISNUMBER($CD20)), $CD19 - $CD20, "")</f>
        <v>0.38300865800864092</v>
      </c>
      <c r="CG20" s="141">
        <f t="shared" ref="CG20:CG66" ca="1" si="138">IFERROR($AR20 * $BM20 + (1 - $AR20) * $BM21, "")</f>
        <v>1300.3579545454545</v>
      </c>
      <c r="CH20" s="50">
        <f t="shared" ref="CH20:CH66" ca="1" si="139">IFERROR($AR20 * $BN20 + (1 - $AR20) * $BN21, "")</f>
        <v>-8.7329545454545467</v>
      </c>
      <c r="CI20" s="47">
        <f ca="1">IF(AND(ISNUMBER($CG19), ISNUMBER($CG20)), $CG19 - $CG20, "")</f>
        <v>68.749188311688386</v>
      </c>
      <c r="CJ20" s="46">
        <f ca="1">IF(AND(ISNUMBER($CH19), ISNUMBER($CH20)), $CH19 - $CH20, "")</f>
        <v>-1.4113311688311985</v>
      </c>
      <c r="CK20" s="141">
        <f t="shared" ref="CK20:CK66" ca="1" si="140">IFERROR($AS20 * $BQ21 + (1 - $AS20) * $BQ22, "")</f>
        <v>448.32499999999999</v>
      </c>
      <c r="CL20" s="50">
        <f t="shared" ca="1" si="77"/>
        <v>-2.2150000000000318</v>
      </c>
      <c r="CM20" s="47">
        <f ca="1">IF(AND(ISNUMBER($CK19), ISNUMBER($CK20)), $CK19 - $CK20, "")</f>
        <v>17.295000000000016</v>
      </c>
      <c r="CN20" s="46">
        <f ca="1">IF(AND(ISNUMBER($CL19), ISNUMBER($CL20)), $CL19 - $CL20, "")</f>
        <v>0.10500000000001819</v>
      </c>
      <c r="CO20" s="141">
        <f t="shared" ref="CO20:CO66" ca="1" si="141">IFERROR($AT20 * $BU21 + (1 - $AT20) * $BU22, "")</f>
        <v>297.33500000000004</v>
      </c>
      <c r="CP20" s="50">
        <f t="shared" ca="1" si="78"/>
        <v>0.72500000000002274</v>
      </c>
      <c r="CQ20" s="47">
        <f ca="1">IF(AND(ISNUMBER($CO19), ISNUMBER($CO20)), $CO19 - $CO20, "")</f>
        <v>17.259999999999991</v>
      </c>
      <c r="CR20" s="46">
        <f ca="1">IF(AND(ISNUMBER($CP19), ISNUMBER($CP20)), $CP19 - $CP20, "")</f>
        <v>0.36000000000001364</v>
      </c>
      <c r="CS20" s="109" t="str">
        <f ca="1">IFERROR(IF(AND(ISNUMBER($BE20), ISNUMBER($BI20)), $BE20 - $BI20, ""), "")</f>
        <v/>
      </c>
      <c r="CT20" s="46" t="str">
        <f t="shared" ca="1" si="80"/>
        <v/>
      </c>
      <c r="CU20" s="47" t="str">
        <f ca="1">IF(AND(ISNUMBER($CS19), ISNUMBER($CS20)), $CS19 - $CS20, "")</f>
        <v/>
      </c>
      <c r="CV20" s="46" t="str">
        <f ca="1">IF(AND(ISNUMBER($CU19), ISNUMBER($CU20)), $CU19 - $CU20, "")</f>
        <v/>
      </c>
      <c r="CW20" s="110">
        <f t="shared" ref="CW20:CW66" ca="1" si="142">IFERROR(IF(AND(ISNUMBER($BY20), ISNUMBER($CC20)), $BY20 - $CC20, ""), "")</f>
        <v>-4.6386363636363654</v>
      </c>
      <c r="CX20" s="46">
        <f t="shared" ca="1" si="81"/>
        <v>6.0454545454536976E-2</v>
      </c>
      <c r="CY20" s="47">
        <f ca="1">IF(AND(ISNUMBER($CW19), ISNUMBER($CW20)), $CW19 - $CW20, "")</f>
        <v>-0.55445887445887365</v>
      </c>
      <c r="CZ20" s="46">
        <f ca="1">IF(AND(ISNUMBER($CX19), ISNUMBER($CX20)), $CX19 - $CX20, "")</f>
        <v>-0.26450216450215314</v>
      </c>
      <c r="DA20" s="109" t="str">
        <f ca="1">IFERROR(IF(AND(ISNUMBER($BM20), ISNUMBER($BI20)), $BM20 / 7.45 - $BI20, ""), "")</f>
        <v/>
      </c>
      <c r="DB20" s="46" t="str">
        <f t="shared" ca="1" si="83"/>
        <v/>
      </c>
      <c r="DC20" s="47" t="str">
        <f ca="1">IF(AND(ISNUMBER($DA19), ISNUMBER($DA20)), $DA19 - $DA20, "")</f>
        <v/>
      </c>
      <c r="DD20" s="46" t="str">
        <f t="shared" ref="DD20:DD26" ca="1" si="143">IF(AND(ISNUMBER($DB19), ISNUMBER($DB20)), $DB19 - $DB20, "")</f>
        <v/>
      </c>
      <c r="DE20" s="110" t="str">
        <f ca="1">IFERROR(IF(AND(ISNUMBER($BQ20), ISNUMBER($BI20)), $BQ20 * 42/100 - $BI20, ""), "")</f>
        <v/>
      </c>
      <c r="DF20" s="46" t="str">
        <f t="shared" ca="1" si="85"/>
        <v/>
      </c>
      <c r="DG20" s="47" t="str">
        <f ca="1">IF(AND(ISNUMBER($DE19), ISNUMBER($DE20)), $DE19 - $DE20, "")</f>
        <v/>
      </c>
      <c r="DH20" s="46" t="str">
        <f ca="1">IF(AND(ISNUMBER($DF19), ISNUMBER($DF20)), $DF19 - $DF20, "")</f>
        <v/>
      </c>
      <c r="DI20" s="110" t="str">
        <f ca="1">IFERROR(IF(AND(ISNUMBER($BU20), ISNUMBER($BI20)), $BU20 * 42/100 - $BI20, ""), "")</f>
        <v/>
      </c>
      <c r="DJ20" s="46" t="str">
        <f t="shared" ca="1" si="87"/>
        <v/>
      </c>
      <c r="DK20" s="47" t="str">
        <f ca="1">IF(AND(ISNUMBER($DI19), ISNUMBER($DI20)), $DI19 - $DI20, "")</f>
        <v/>
      </c>
      <c r="DL20" s="46" t="str">
        <f ca="1">IF(AND(ISNUMBER($DJ19), ISNUMBER($DJ20)), $DJ19 - $DJ20, "")</f>
        <v/>
      </c>
      <c r="DM20" s="110">
        <f t="shared" ca="1" si="88"/>
        <v>105.08040000000003</v>
      </c>
      <c r="DN20" s="46">
        <f t="shared" ca="1" si="89"/>
        <v>-1.1461999999999968</v>
      </c>
      <c r="DO20" s="47" t="str">
        <f ca="1">IF(AND(ISNUMBER($DM19), ISNUMBER($DM20)), $DM19 - $DM20, "")</f>
        <v/>
      </c>
      <c r="DP20" s="47" t="str">
        <f ca="1">IF(AND(ISNUMBER($DN19), ISNUMBER($DN20)), $DN19 - $DN20, "")</f>
        <v/>
      </c>
      <c r="DQ20" s="110">
        <f t="shared" ca="1" si="90"/>
        <v>41.649900000000031</v>
      </c>
      <c r="DR20" s="46">
        <f t="shared" ca="1" si="91"/>
        <v>0.19570000000002435</v>
      </c>
      <c r="DS20" s="47" t="str">
        <f ca="1">IF(AND(ISNUMBER($DQ19), ISNUMBER($DQ20)), $DQ19 - $DQ20, "")</f>
        <v/>
      </c>
      <c r="DT20" s="47" t="str">
        <f ca="1">IF(AND(ISNUMBER($DR19), ISNUMBER($DR20)), $DR19 - $DR20, "")</f>
        <v/>
      </c>
      <c r="DU20" s="109">
        <f t="shared" ca="1" si="92"/>
        <v>83.058328248932256</v>
      </c>
      <c r="DV20" s="46">
        <f t="shared" ca="1" si="93"/>
        <v>-1.220390482001227</v>
      </c>
      <c r="DW20" s="47">
        <f ca="1">IF(AND(ISNUMBER($DU19), ISNUMBER($DU20)), $DU19 - $DU20, "")</f>
        <v>5.7799187948517243</v>
      </c>
      <c r="DX20" s="47">
        <f ca="1">IF(AND(ISNUMBER($DV19), ISNUMBER($DV20)), $DV19 - $DV20, "")</f>
        <v>-0.57244908335511058</v>
      </c>
      <c r="DY20" s="110">
        <f t="shared" ca="1" si="94"/>
        <v>96.810136363636346</v>
      </c>
      <c r="DZ20" s="46">
        <f t="shared" ca="1" si="95"/>
        <v>-0.9784818181818381</v>
      </c>
      <c r="EA20" s="47">
        <f ca="1">IF(AND(ISNUMBER($DY19), ISNUMBER($DY20)), $DY19 - $DY20, "")</f>
        <v>3.8157398268398737</v>
      </c>
      <c r="EB20" s="47">
        <f ca="1">IF(AND(ISNUMBER($DZ19), ISNUMBER($DZ20)), $DZ19 - $DZ20, "")</f>
        <v>-0.33890865800863346</v>
      </c>
      <c r="EC20" s="110">
        <f t="shared" ca="1" si="96"/>
        <v>33.394336363636384</v>
      </c>
      <c r="ED20" s="46">
        <f t="shared" ca="1" si="97"/>
        <v>0.25631818181818478</v>
      </c>
      <c r="EE20" s="47">
        <f ca="1">IF(AND(ISNUMBER($EC19), ISNUMBER($EC20)), $EC19 - $EC20, "")</f>
        <v>3.8010398268398404</v>
      </c>
      <c r="EF20" s="47">
        <f ca="1">IF(AND(ISNUMBER($ED19), ISNUMBER($ED20)), $ED19 - $ED20, "")</f>
        <v>-0.2318086580086352</v>
      </c>
      <c r="EG20" s="110">
        <f t="shared" ca="1" si="98"/>
        <v>101.44877272727271</v>
      </c>
      <c r="EH20" s="46">
        <f t="shared" ca="1" si="99"/>
        <v>-1.0389363636363751</v>
      </c>
      <c r="EI20" s="47">
        <f ca="1">IF(AND(ISNUMBER($EG19), ISNUMBER($EG20)), $EG19 - $EG20, "")</f>
        <v>4.3701987012987473</v>
      </c>
      <c r="EJ20" s="47">
        <f ca="1">IF(AND(ISNUMBER($EH19), ISNUMBER($EH20)), $EH19 - $EH20, "")</f>
        <v>-7.4406493506480098E-2</v>
      </c>
      <c r="EK20" s="110">
        <f t="shared" ca="1" si="100"/>
        <v>38.03297272727275</v>
      </c>
      <c r="EL20" s="46">
        <f t="shared" ca="1" si="101"/>
        <v>0.19586363636364781</v>
      </c>
      <c r="EM20" s="47">
        <f ca="1">IF(AND(ISNUMBER($EK19), ISNUMBER($EK20)), $EK19 - $EK20, "")</f>
        <v>4.3554987012987141</v>
      </c>
      <c r="EN20" s="47">
        <f ca="1">IF(AND(ISNUMBER($EL19), ISNUMBER($EL20)), $EL19 - $EL20, "")</f>
        <v>3.2693506493517932E-2</v>
      </c>
      <c r="EO20" s="109">
        <f t="shared" ca="1" si="102"/>
        <v>34.811434963247052</v>
      </c>
      <c r="EP20" s="46">
        <f t="shared" ca="1" si="103"/>
        <v>0.92611377436879438</v>
      </c>
      <c r="EQ20" s="47" t="str">
        <f ca="1">IF(AND(ISNUMBER($EO19), ISNUMBER($EO20)), $EO19 - $EO20, "")</f>
        <v/>
      </c>
      <c r="ER20" s="47" t="str">
        <f ca="1">IF(AND(ISNUMBER($EP19), ISNUMBER($EP20)), $EP19 - $EP20, "")</f>
        <v/>
      </c>
      <c r="ES20" s="110">
        <f t="shared" ca="1" si="104"/>
        <v>32.742400273104977</v>
      </c>
      <c r="ET20" s="46">
        <f t="shared" ca="1" si="105"/>
        <v>0.57597300909378291</v>
      </c>
      <c r="EU20" s="47">
        <f ca="1">IF(AND(ISNUMBER($ES19), ISNUMBER($ES20)), $ES19 - $ES20, "")</f>
        <v>-4.676616590504409</v>
      </c>
      <c r="EV20" s="47">
        <f ca="1">IF(AND(ISNUMBER($ET19), ISNUMBER($ET20)), $ET19 - $ET20, "")</f>
        <v>0.556048631777327</v>
      </c>
      <c r="EW20" s="109">
        <f t="shared" ca="1" si="106"/>
        <v>-151.02499999999998</v>
      </c>
      <c r="EX20" s="46">
        <f t="shared" ca="1" si="107"/>
        <v>3.19500000000005</v>
      </c>
      <c r="EY20" s="47" t="str">
        <f ca="1">IF(AND(ISNUMBER($EW19), ISNUMBER($EW20)), $EW19 - $EW20, "")</f>
        <v/>
      </c>
      <c r="EZ20" s="47" t="str">
        <f ca="1">IF(AND(ISNUMBER($EX19), ISNUMBER($EX20)), $EX19 - $EX20, "")</f>
        <v/>
      </c>
      <c r="FA20" s="110">
        <f t="shared" ca="1" si="108"/>
        <v>-150.98999999999995</v>
      </c>
      <c r="FB20" s="46">
        <f t="shared" ca="1" si="109"/>
        <v>2.9400000000000546</v>
      </c>
      <c r="FC20" s="47">
        <f ca="1">IF(AND(ISNUMBER($FA19), ISNUMBER($FA20)), $FA19 - $FA20, "")</f>
        <v>-3.5000000000025011E-2</v>
      </c>
      <c r="FD20" s="47">
        <f ca="1">IF(AND(ISNUMBER($FB19), ISNUMBER($FB20)), $FB19 - $FB20, "")</f>
        <v>0.25499999999999545</v>
      </c>
      <c r="FE20" s="109">
        <f t="shared" ca="1" si="110"/>
        <v>73.365150000000028</v>
      </c>
      <c r="FF20" s="46">
        <f t="shared" ca="1" si="111"/>
        <v>-0.47524999999998618</v>
      </c>
      <c r="FG20" s="110">
        <f t="shared" ca="1" si="112"/>
        <v>62.793400000000034</v>
      </c>
      <c r="FH20" s="46">
        <f t="shared" ca="1" si="113"/>
        <v>-0.25159999999998273</v>
      </c>
      <c r="FI20" s="110" t="str">
        <f t="shared" ca="1" si="114"/>
        <v/>
      </c>
      <c r="FJ20" s="46" t="str">
        <f t="shared" ca="1" si="115"/>
        <v/>
      </c>
      <c r="FK20" s="110" t="str">
        <f t="shared" ca="1" si="116"/>
        <v/>
      </c>
      <c r="FL20" s="46" t="str">
        <f t="shared" ca="1" si="117"/>
        <v/>
      </c>
      <c r="FM20" s="110">
        <f t="shared" ca="1" si="118"/>
        <v>69.74087272727273</v>
      </c>
      <c r="FN20" s="46">
        <f t="shared" ca="1" si="119"/>
        <v>-0.42153636363636365</v>
      </c>
      <c r="FO20" s="110">
        <f t="shared" ca="1" si="120"/>
        <v>59.171572727272732</v>
      </c>
      <c r="FP20" s="46">
        <f t="shared" ca="1" si="121"/>
        <v>-0.21573636363635981</v>
      </c>
      <c r="FQ20" s="110">
        <f t="shared" ca="1" si="122"/>
        <v>65.102236363636365</v>
      </c>
      <c r="FR20" s="46">
        <f t="shared" ca="1" si="123"/>
        <v>-0.36108181818182666</v>
      </c>
      <c r="FS20" s="110">
        <f t="shared" ca="1" si="124"/>
        <v>54.532936363636367</v>
      </c>
      <c r="FT20" s="111">
        <f t="shared" ca="1" si="125"/>
        <v>-0.15528181818182285</v>
      </c>
      <c r="FU20" s="109"/>
      <c r="FV20" s="46"/>
      <c r="FW20" s="48"/>
      <c r="FX20" s="114"/>
      <c r="FY20" s="110"/>
      <c r="FZ20" s="46"/>
      <c r="GA20" s="47"/>
      <c r="GB20" s="46"/>
      <c r="GC20" s="110"/>
      <c r="GD20" s="46"/>
      <c r="GE20" s="47"/>
      <c r="GF20" s="46"/>
      <c r="GG20" s="141">
        <f ca="1">IFERROR($AU20 * $FU22 + (1 - $AU20) * $FU23, "")</f>
        <v>94.928636363636372</v>
      </c>
      <c r="GH20" s="50">
        <f ca="1">IFERROR($AU20 * $FV22 + (1 - $AU20) * $FV23, "")</f>
        <v>-0.8422727272727305</v>
      </c>
      <c r="GI20" s="47">
        <f t="shared" ref="GI20:GI66" ca="1" si="144">IF(AND(ISNUMBER($GG19), ISNUMBER($GG20)), $GG19 - $GG20, "")</f>
        <v>12.23303030303029</v>
      </c>
      <c r="GJ20" s="46">
        <f t="shared" ref="GJ20:GJ67" ca="1" si="145">IF(AND(ISNUMBER($GH19), ISNUMBER($GH20)), $GH19 - $GH20, "")</f>
        <v>2.3410822510822493</v>
      </c>
      <c r="GK20" s="110">
        <f t="shared" ca="1" si="127"/>
        <v>3.4422727272727371</v>
      </c>
      <c r="GL20" s="46">
        <f t="shared" ca="1" si="128"/>
        <v>-0.89045454545455527</v>
      </c>
      <c r="GM20" s="47">
        <f ca="1">IF(AND(ISNUMBER($GK19), ISNUMBER($GK20)), $GK19 - $GK20, "")</f>
        <v>8.7848701298701286</v>
      </c>
      <c r="GN20" s="46">
        <f ca="1">IF(AND(ISNUMBER($GL19), ISNUMBER($GL20)), $GL19 - $GL20, "")</f>
        <v>1.9580735930736082</v>
      </c>
      <c r="GO20" s="110" t="str">
        <f ca="1">IFERROR(IF(AND(ISNUMBER($GG20), ISNUMBER(Crd!$X20)), $GG20 - Crd!$X20, ""), "")</f>
        <v/>
      </c>
      <c r="GP20" s="46" t="str">
        <f ca="1">IFERROR(IF(AND(ISNUMBER($GH20), ISNUMBER(Crd!$Y20)), $GH20 - Crd!$Y20, ""), "")</f>
        <v/>
      </c>
      <c r="GQ20" s="47" t="str">
        <f ca="1">IF(AND(ISNUMBER($GO19), ISNUMBER($GO20)), $GO19 - $GO20, "")</f>
        <v/>
      </c>
      <c r="GR20" s="46" t="str">
        <f ca="1">IF(AND(ISNUMBER($GP19), ISNUMBER($GP20)), $GP19 - $GP20, "")</f>
        <v/>
      </c>
      <c r="GS20" s="436"/>
      <c r="GT20" s="46"/>
      <c r="GU20" s="48"/>
      <c r="GV20" s="46"/>
      <c r="GW20" s="427" t="str">
        <f ca="1">IFERROR($AU20 * $GS22 + (1 - $AU20) * $GS23, "")</f>
        <v/>
      </c>
      <c r="GX20" s="50" t="str">
        <f t="shared" ref="GX20:GX66" ca="1" si="146">IFERROR($AU20 * IF($GT22 &lt;&gt; "", $GT22, 0) + (1 - $AU20) * $GT23, "")</f>
        <v/>
      </c>
      <c r="GY20" s="47" t="str">
        <f ca="1">IF(AND(ISNUMBER($GW19), ISNUMBER($GW20)), $GW19 - $GW20, "")</f>
        <v/>
      </c>
      <c r="GZ20" s="432" t="str">
        <f ca="1">IF(AND(ISNUMBER($GX19), ISNUMBER($GX20)), $GX19 - $GX20, "")</f>
        <v/>
      </c>
      <c r="HA20" s="436">
        <f ca="1">IFERROR(IF(ISNUMBER($M20), $M20, ""), "")</f>
        <v>693.3</v>
      </c>
      <c r="HB20" s="46">
        <f ca="1">IFERROR(IF(AND(ISNUMBER($HA20), ISNUMBER($BC20)), $HA20 - $BC20, ""), "")</f>
        <v>56.099999999999909</v>
      </c>
      <c r="HC20" s="48"/>
      <c r="HD20" s="46"/>
      <c r="HE20" s="269">
        <f t="shared" ref="HE20:HE31" ca="1" si="147">IF(AND(ISNUMBER($HA20), ISNUMBER($BD20)), $HA20 / $BD20, "")</f>
        <v>102.37214556247092</v>
      </c>
      <c r="HF20" s="46">
        <f t="shared" ref="HF20:HF31" ca="1" si="148">IF(AND(ISNUMBER($HB20), ISNUMBER($BD20)), $HB20 / $BD20, "")</f>
        <v>8.2836829165651373</v>
      </c>
      <c r="HG20" s="48" t="str">
        <f t="shared" ref="HG20:HG31" si="149">IF(AND(ISNUMBER($HC20), ISNUMBER($BD20)), $HC20 / $BD20, "")</f>
        <v/>
      </c>
      <c r="HH20" s="432" t="str">
        <f t="shared" ref="HH20:HH31" si="150">IF(AND(ISNUMBER($HD20), ISNUMBER($BD20)), $HD20 / $BD20, "")</f>
        <v/>
      </c>
    </row>
    <row r="21" spans="1:216" x14ac:dyDescent="0.25">
      <c r="A21" s="58">
        <f t="shared" ca="1" si="131"/>
        <v>46327</v>
      </c>
      <c r="B21" s="6" t="str">
        <f ca="1">INDEX(MthRef[], MATCH(MONTH(Futs!$A21), MthRef[Mth], 0), 2)</f>
        <v>X</v>
      </c>
      <c r="C21" s="6">
        <f t="shared" ca="1" si="65"/>
        <v>2026</v>
      </c>
      <c r="D21" s="6" t="str">
        <f t="shared" ca="1" si="66"/>
        <v>Q426</v>
      </c>
      <c r="E21" s="6" t="str">
        <f t="shared" ca="1" si="132"/>
        <v>X6</v>
      </c>
      <c r="F21" s="10">
        <f ca="1">IFERROR(AVERAGE(_xll.BDP(F$18 &amp; $B21 &amp; RIGHT($C21, 1) &amp; " " &amp; "Comdty", "BID", "Fill=#N/A"), _xll.BDP(F$18 &amp; $B21 &amp; RIGHT($C21, 1) &amp; " " &amp; "Comdty", "ASK", "Fill=#N/A")), NA())</f>
        <v>87.89500000000001</v>
      </c>
      <c r="G21" s="22">
        <f ca="1">IF(G$16 = 0, IFERROR(AVERAGE(_xll.BDP(G$18 &amp; $B21 &amp; RIGHT($C21, 1) &amp; " " &amp; "Comdty", "BID", "Fill=#N/A"), _xll.BDP(G$18 &amp; $B21 &amp; RIGHT($C21, 1) &amp; " " &amp; "Comdty", "ASK", "Fill=#N/A")), NA()), NA())</f>
        <v>95.1</v>
      </c>
      <c r="H21" s="10">
        <f ca="1">IFERROR(AVERAGE(_xll.BDP(H$18 &amp; $B21 &amp; RIGHT($C21, 1) &amp; " " &amp; "Comdty", "BID", "Fill=#N/A"), _xll.BDP(H$18 &amp; $B21 &amp; RIGHT($C21, 1) &amp; " " &amp; "Comdty", "ASK", "Fill=#N/A")), NA())</f>
        <v>1278.25</v>
      </c>
      <c r="I21" s="10">
        <f ca="1">IFERROR(AVERAGE(_xll.BDP(I$18 &amp; $B21 &amp; RIGHT($C21, 1) &amp; " " &amp; "Comdty", "BID", "Fill=#N/A"), _xll.BDP(I$18 &amp; $B21 &amp; RIGHT($C21, 1) &amp; " " &amp; "Comdty", "ASK", "Fill=#N/A")), NA())</f>
        <v>448.32500000000005</v>
      </c>
      <c r="J21" s="10">
        <f ca="1">IFERROR(AVERAGE(_xll.BDP(J$18 &amp; $B21 &amp; RIGHT($C21, 1) &amp; " " &amp; "Comdty", "BID", "Fill=#N/A"), _xll.BDP(J$18 &amp; $B21 &amp; RIGHT($C21, 1) &amp; " " &amp; "Comdty", "ASK", "Fill=#N/A")), NA())</f>
        <v>297.33000000000004</v>
      </c>
      <c r="K21" s="22">
        <f ca="1">IF(K$16 = 0, IFERROR(AVERAGE(_xll.BDP(K$18 &amp; $B21 &amp; RIGHT($C21, 2) &amp; " " &amp; "Comdty", "BID", "Fill=#N/A"), _xll.BDP(K$18 &amp; $B21 &amp; RIGHT($C21, 2) &amp; " " &amp; "Comdty", "ASK", "Fill=#N/A")), NA()), NA())</f>
        <v>107.765</v>
      </c>
      <c r="L21" s="22">
        <f ca="1">IF(L$16 = 0, IFERROR(AVERAGE(_xll.BDP(L$18 &amp; $B21 &amp; RIGHT($C21, 2) &amp; " " &amp; "Comdty", "BID", "Fill=#N/A"), _xll.BDP(L$18 &amp; $B21 &amp; RIGHT($C21, 2) &amp; " " &amp; "Comdty", "ASK", "Fill=#N/A")), NA()), NA())</f>
        <v>101.97999999999999</v>
      </c>
      <c r="M21" s="10">
        <f ca="1">IFERROR(AVERAGE(_xll.BDP(M$18 &amp; $B21 &amp; RIGHT($C21, 2) &amp; " " &amp; "Comdty", "BID", "Fill=#N/A"), _xll.BDP(M$18 &amp; $B21 &amp; RIGHT($C21, 2) &amp; " " &amp; "Comdty", "ASK", "Fill=#N/A")), NA())</f>
        <v>652.29999999999995</v>
      </c>
      <c r="N21" s="10">
        <f ca="1">IFERROR(AVERAGE(_xll.BDP(N$18 &amp; $B20 &amp; RIGHT($C20, 1) &amp; N$18 &amp; $B21 &amp; RIGHT($C21, 1) &amp; " " &amp; "Comdty", "BID", "Fill=#N/A"), _xll.BDP(N$18 &amp; $B20 &amp; RIGHT($C20, 1) &amp; N$18 &amp; $B21 &amp; RIGHT($C21, 1) &amp; " " &amp; "Comdty", "ASK", "Fill=#N/A")), NA())</f>
        <v>2.585</v>
      </c>
      <c r="O21" s="10"/>
      <c r="P21" s="10">
        <f ca="1">IFERROR(AVERAGE(_xll.BDP(P$18 &amp; $B20 &amp; RIGHT($C20, 1) &amp; P$18 &amp; $B21 &amp; RIGHT($C21, 1) &amp; " " &amp; "Comdty", "BID", "Fill=#N/A"), _xll.BDP(P$18 &amp; $B20 &amp; RIGHT($C20, 1) &amp; P$18 &amp; $B21 &amp; RIGHT($C21, 1) &amp; " " &amp; "Comdty", "ASK", "Fill=#N/A")), NA())</f>
        <v>69.875</v>
      </c>
      <c r="Q21" s="10">
        <f ca="1">IFERROR(AVERAGE(_xll.BDP(Q$18 &amp; $B20 &amp; RIGHT($C20, 1) &amp; Q$18 &amp; $B21 &amp; RIGHT($C21, 1) &amp; " " &amp; "Comdty", "BID", "Fill=#N/A"), _xll.BDP(Q$18 &amp; $B20 &amp; RIGHT($C20, 1) &amp; Q$18 &amp; $B21 &amp; RIGHT($C21, 1) &amp; " " &amp; "Comdty", "ASK", "Fill=#N/A")), NA())</f>
        <v>17.295000000000002</v>
      </c>
      <c r="R21" s="10">
        <f ca="1">IFERROR(AVERAGE(_xll.BDP(R$18 &amp; $B20 &amp; RIGHT($C20, 1) &amp; R$18 &amp; $B21 &amp; RIGHT($C21, 1) &amp; " " &amp; "Comdty", "BID", "Fill=#N/A"), _xll.BDP(R$18 &amp; $B20 &amp; RIGHT($C20, 1) &amp; R$18 &amp; $B21 &amp; RIGHT($C21, 1) &amp; " " &amp; "Comdty", "ASK", "Fill=#N/A")), NA())</f>
        <v>17.259999999999998</v>
      </c>
      <c r="S21" s="10">
        <f ca="1">IFERROR(AVERAGE(_xll.BDP(S$18 &amp; $B20 &amp; RIGHT($C20, 1) &amp; $B21 &amp; RIGHT($C21, 1) &amp; " " &amp; "Comdty", "BID", "Fill=#N/A"), _xll.BDP(S$18 &amp; $B20 &amp; RIGHT($C20, 1) &amp; $B21 &amp; RIGHT($C21, 1) &amp; " " &amp; "Comdty", "ASK", "Fill=#N/A")), NA())</f>
        <v>-8.9649999999999999</v>
      </c>
      <c r="T21" s="10" t="e">
        <f ca="1">IFERROR(AVERAGE(_xll.BDP(T$18 &amp; $B20 &amp; RIGHT($C20, 1) &amp; $B21 &amp; RIGHT($C21, 1) &amp; " " &amp; "Comdty", "BID", "Fill=#N/A"), _xll.BDP(T$18 &amp; $B20 &amp; RIGHT($C20, 1) &amp; $B21 &amp; RIGHT($C21, 1) &amp; " " &amp; "Comdty", "ASK", "Fill=#N/A")), NA())</f>
        <v>#N/A</v>
      </c>
      <c r="U21" s="10">
        <f ca="1">IF($A21 &lt; Diagnostics!$B$3, N21, INDEX(ImpSprd[], MATCH(Futs!$C21, ImpSprd[Yr], 0), MATCH(U$18, ImpSprd[#Headers], 0)))</f>
        <v>2.585</v>
      </c>
      <c r="V21" s="10"/>
      <c r="W21" s="10">
        <f ca="1">IF($A21 &lt; Diagnostics!$B$3, P21, INDEX(ImpSprd[], MATCH(Futs!$C21, ImpSprd[Yr], 0), MATCH(W$18, ImpSprd[#Headers], 0)))</f>
        <v>69.875</v>
      </c>
      <c r="X21" s="31">
        <f ca="1">INDEX(Expi[], MATCH($A21, Expi[Date], 0), MATCH(X$18, Expi[#Headers], 0))</f>
        <v>46346</v>
      </c>
      <c r="Y21" s="31">
        <f ca="1">INDEX(Expi[], MATCH($A21, Expi[Date], 0), MATCH(Y$18, Expi[#Headers], 0))</f>
        <v>46356</v>
      </c>
      <c r="Z21" s="31">
        <f ca="1">INDEX(Expi[], MATCH($A21, Expi[Date], 0), MATCH(Z$18, Expi[#Headers], 0))</f>
        <v>46338</v>
      </c>
      <c r="AA21" s="31">
        <f ca="1">INDEX(Expi[], MATCH($A21, Expi[Date], 0), MATCH(AA$18, Expi[#Headers], 0))</f>
        <v>46356</v>
      </c>
      <c r="AB21" s="31">
        <f ca="1">INDEX(Expi[], MATCH($A21, Expi[Date], 0), MATCH(AB$18, Expi[#Headers], 0))</f>
        <v>46356</v>
      </c>
      <c r="AC21" s="31">
        <f ca="1">INDEX(Expi[], MATCH($A21, Expi[Date], 0), MATCH(AC$18, Expi[#Headers], 0))</f>
        <v>46356</v>
      </c>
      <c r="AD21" s="7">
        <f ca="1">NETWORKDAYS($A21, EOMONTH($A21, 0), Hols[CME])</f>
        <v>21</v>
      </c>
      <c r="AE21" s="7">
        <f ca="1">NETWORKDAYS($A21, EOMONTH($A21, 0), Hols[ICE])</f>
        <v>21</v>
      </c>
      <c r="AF21" s="7">
        <f ca="1">NETWORKDAYS($A21, EOMONTH($A21, 0), Hols[ICE])</f>
        <v>21</v>
      </c>
      <c r="AG21" s="7">
        <f ca="1">NETWORKDAYS($A21, EOMONTH($A21, 0), Hols[CME])</f>
        <v>21</v>
      </c>
      <c r="AH21" s="7">
        <f ca="1">NETWORKDAYS($A21, EOMONTH($A21, 0), Hols[CME])</f>
        <v>21</v>
      </c>
      <c r="AI21" s="7">
        <f ca="1">NETWORKDAYS($A21, EOMONTH($A21, 0), Hols[ICE])</f>
        <v>21</v>
      </c>
      <c r="AJ21" s="7">
        <f ca="1">NETWORKDAYS($A21, X21, Hols[CME])</f>
        <v>15</v>
      </c>
      <c r="AK21" s="7">
        <f ca="1">NETWORKDAYS($A21, Y21, Hols[ICE]) - 1</f>
        <v>20</v>
      </c>
      <c r="AL21" s="7">
        <f ca="1">NETWORKDAYS($A21, Z21, Hols[ICE]) - 1</f>
        <v>8</v>
      </c>
      <c r="AM21" s="7">
        <f ca="1">NETWORKDAYS($A21, AA21, Hols[CME])</f>
        <v>21</v>
      </c>
      <c r="AN21" s="7">
        <f ca="1">NETWORKDAYS($A21, AB21, Hols[CME])</f>
        <v>21</v>
      </c>
      <c r="AO21" s="7">
        <f ca="1">NETWORKDAYS($A21, AC21, Hols[ICE]) - 1</f>
        <v>20</v>
      </c>
      <c r="AP21" s="10">
        <f t="shared" ca="1" si="67"/>
        <v>0.7142857142857143</v>
      </c>
      <c r="AQ21" s="10">
        <f t="shared" ca="1" si="68"/>
        <v>0.95238095238095233</v>
      </c>
      <c r="AR21" s="10">
        <f t="shared" ca="1" si="69"/>
        <v>0.38095238095238093</v>
      </c>
      <c r="AS21" s="10">
        <f t="shared" ca="1" si="70"/>
        <v>1</v>
      </c>
      <c r="AT21" s="10">
        <f t="shared" ca="1" si="71"/>
        <v>1</v>
      </c>
      <c r="AU21" s="10">
        <f t="shared" ca="1" si="71"/>
        <v>0.95238095238095233</v>
      </c>
      <c r="AV21" s="28">
        <f ca="1">IFERROR(AVERAGE(_xll.BDH(AV$18 &amp; $B21 &amp; RIGHT($C21, 1) &amp; " " &amp; "Comdty", "PX_SETTLE", AV$16, AV$16, "Fill=#N/A")), IFERROR(AVERAGE(_xll.BDH(AV$18 &amp; $B21 &amp; RIGHT($C21, 2) &amp; " " &amp; "Comdty", "PX_SETTLE", AV$16, AV$16, "Fill=#N/A")), NA()))</f>
        <v>87.75</v>
      </c>
      <c r="AW21" s="28">
        <f ca="1">IFERROR(AVERAGE(_xll.BDH(AW$18 &amp; $B21 &amp; RIGHT($C21, 1) &amp; " " &amp; "Comdty", "PX_SETTLE", AW$16, AW$16, "Fill=#N/A")), IFERROR(AVERAGE(_xll.BDH(AW$18 &amp; $B21 &amp; RIGHT($C21, 2) &amp; " " &amp; "Comdty", "PX_SETTLE", AW$16, AW$16, "Fill=#N/A")), NA()))</f>
        <v>94.65</v>
      </c>
      <c r="AX21" s="29">
        <f ca="1">IFERROR(AVERAGE(_xll.BDH(AX$18 &amp; $B21 &amp; RIGHT($C21, 2) &amp; " " &amp; "Comdty", "FAIR_VALUE_SNAPSHOT_AT_1430", AX$16, AX$16, "TIME_ZONE_OVERRIDE=13", "Fill=#N/A")), NA())</f>
        <v>1286.5</v>
      </c>
      <c r="AY21" s="28">
        <f ca="1">IFERROR(AVERAGE(_xll.BDH(AY$18 &amp; $B21 &amp; RIGHT($C21, 1) &amp; " " &amp; "Comdty", "PX_SETTLE", AY$16, AY$16, "Fill=#N/A")), NA())</f>
        <v>450.54</v>
      </c>
      <c r="AZ21" s="28">
        <f ca="1">IFERROR(AVERAGE(_xll.BDH(AZ$18 &amp; $B21 &amp; RIGHT($C21, 1) &amp; " " &amp; "Comdty", "PX_SETTLE", AZ$16, AZ$16, "Fill=#N/A")), NA())</f>
        <v>296.61</v>
      </c>
      <c r="BA21" s="29">
        <f ca="1">IFERROR(AVERAGE(_xll.BDH(BA$18 &amp; $B21 &amp; RIGHT($C21, 2) &amp; " " &amp; "Comdty", "PX_SETTLE", BA$16, BA$16, "Fill=#N/A")), IFERROR(AVERAGE(_xll.BDH(BA$18 &amp; $B21 &amp; RIGHT($C21, 2) &amp; " " &amp; "Comdty", "PX_SETTLE", BA$16, BA$16, "Fill=#N/A")), NA()))</f>
        <v>106.15</v>
      </c>
      <c r="BB21" s="29">
        <f ca="1">IFERROR(AVERAGE(_xll.BDH(BB$18 &amp; $B21 &amp; RIGHT($C21, 2) &amp; " " &amp; "Comdty", "PX_SETTLE", BB$16, BB$16, "Fill=#N/A")), IFERROR(AVERAGE(_xll.BDH(BB$18 &amp; $B21 &amp; RIGHT($C21, 2) &amp; " " &amp; "Comdty", "PX_SETTLE", BB$16, BB$16, "Fill=#N/A")), NA()))</f>
        <v>99.18</v>
      </c>
      <c r="BC21" s="29">
        <f ca="1">IFERROR(AVERAGE(_xll.BDH(BC$18 &amp; $B21 &amp; RIGHT($C21, 2) &amp; " " &amp; "Comdty", "PX_SETTLE", BC$16, BC$16, "Fill=#N/A")), IFERROR(AVERAGE(_xll.BDH(BC$18 &amp; $B21 &amp; RIGHT($C21, 2) &amp; " " &amp; "Comdty", "PX_SETTLE", BC$16, BC$16, "Fill=#N/A")), NA()))</f>
        <v>610.79999999999995</v>
      </c>
      <c r="BD21" s="29" cm="1">
        <f t="array" ref="BD21">_xll.BFXFORWARD("USDCNY", "1M", "MidOutright")</f>
        <v>6.7596749999999997</v>
      </c>
      <c r="BE21" s="109">
        <f ca="1">IFERROR(IF(ISNUMBER($F$20), $BE20 - $U21, $F$21), "")</f>
        <v>87.894999999999996</v>
      </c>
      <c r="BF21" s="46">
        <f t="shared" ca="1" si="72"/>
        <v>0.14499999999999602</v>
      </c>
      <c r="BG21" s="47">
        <f t="shared" ref="BG21:BG66" ca="1" si="151">IF(AND(ISNUMBER($BE20), ISNUMBER($BE21)), $BE20 - $BE21, "")</f>
        <v>2.5849999999999937</v>
      </c>
      <c r="BH21" s="114">
        <f ca="1">IF(AND(ISNUMBER($BF20), ISNUMBER($BF21)), $BF20 - $BF21, "")</f>
        <v>0.11499999999999488</v>
      </c>
      <c r="BI21" s="110">
        <f ca="1">IFERROR($G$21, "")</f>
        <v>95.1</v>
      </c>
      <c r="BJ21" s="46">
        <f ca="1">IFERROR(IF(AND(ISNUMBER($BI21), ISNUMBER($AW21)), $BI21 - $AW21, ""), "")</f>
        <v>0.44999999999998863</v>
      </c>
      <c r="BK21" s="48"/>
      <c r="BL21" s="114"/>
      <c r="BM21" s="48">
        <f t="shared" ref="BM21:BM66" ca="1" si="152">IFERROR($BM20 - $W21, "")</f>
        <v>1278.125</v>
      </c>
      <c r="BN21" s="46">
        <f t="shared" ca="1" si="74"/>
        <v>-8.375</v>
      </c>
      <c r="BO21" s="47">
        <f ca="1">IF(AND(ISNUMBER($BM20), ISNUMBER($BM21)), $BM20 - $BM21, "")</f>
        <v>69.875</v>
      </c>
      <c r="BP21" s="46">
        <f t="shared" ca="1" si="133"/>
        <v>-1.125</v>
      </c>
      <c r="BQ21" s="110">
        <f ca="1">IFERROR(IF(ISNUMBER($I$20), $BQ20 - $Q21, $I$21), "")</f>
        <v>448.32499999999999</v>
      </c>
      <c r="BR21" s="46">
        <f t="shared" ca="1" si="75"/>
        <v>-2.2150000000000318</v>
      </c>
      <c r="BS21" s="47">
        <f t="shared" ref="BS21:BS66" ca="1" si="153">IF(AND(ISNUMBER($BQ20), ISNUMBER($BQ21)), $BQ20 - $BQ21, "")</f>
        <v>17.295000000000016</v>
      </c>
      <c r="BT21" s="114">
        <f t="shared" ref="BT21:BT67" ca="1" si="154">IF(AND(ISNUMBER($BR20), ISNUMBER($BR21)), $BR20 - $BR21, "")</f>
        <v>0.10500000000001819</v>
      </c>
      <c r="BU21" s="48">
        <f ca="1">IFERROR(IF(ISNUMBER($J$20), $BU20 - $R21, $J$21), "")</f>
        <v>297.33500000000004</v>
      </c>
      <c r="BV21" s="46">
        <f t="shared" ca="1" si="76"/>
        <v>0.72500000000002274</v>
      </c>
      <c r="BW21" s="47">
        <f t="shared" ref="BW21:BW66" ca="1" si="155">IF(AND(ISNUMBER($BU20), ISNUMBER($BU21)), $BU20 - $BU21, "")</f>
        <v>17.259999999999991</v>
      </c>
      <c r="BX21" s="46">
        <f t="shared" ref="BX21:BX67" ca="1" si="156">IF(AND(ISNUMBER($BV20), ISNUMBER($BV21)), $BV20 - $BV21, "")</f>
        <v>0.36000000000001364</v>
      </c>
      <c r="BY21" s="140">
        <f t="shared" ca="1" si="134"/>
        <v>84.250714285714281</v>
      </c>
      <c r="BZ21" s="46">
        <f t="shared" ca="1" si="135"/>
        <v>1.5000000000000568E-2</v>
      </c>
      <c r="CA21" s="47">
        <f t="shared" ref="CA21:CA66" ca="1" si="157">IF(AND(ISNUMBER($BY20), ISNUMBER($BY21)), $BY20 - $BY21, "")</f>
        <v>2.5970129870129881</v>
      </c>
      <c r="CB21" s="46">
        <f t="shared" ref="CB21:CB67" ca="1" si="158">IF(AND(ISNUMBER($BZ20), ISNUMBER($BZ21)), $BZ20 - $BZ21, "")</f>
        <v>9.3636363636361158E-2</v>
      </c>
      <c r="CC21" s="141">
        <f t="shared" ca="1" si="136"/>
        <v>88.455714285714294</v>
      </c>
      <c r="CD21" s="50">
        <f t="shared" ca="1" si="137"/>
        <v>-9.9047619047617622E-2</v>
      </c>
      <c r="CE21" s="47">
        <f t="shared" ref="CE21:CE66" ca="1" si="159">IF(AND(ISNUMBER($CC20), ISNUMBER($CC21)), $CC20 - $CC21, "")</f>
        <v>3.030649350649341</v>
      </c>
      <c r="CF21" s="46">
        <f t="shared" ref="CF21:CF67" ca="1" si="160">IF(AND(ISNUMBER($CD20), ISNUMBER($CD21)), $CD20 - $CD21, "")</f>
        <v>0.14722943722944237</v>
      </c>
      <c r="CG21" s="141">
        <f t="shared" ca="1" si="138"/>
        <v>1239.5119047619048</v>
      </c>
      <c r="CH21" s="50">
        <f t="shared" ca="1" si="139"/>
        <v>-7.3690476190476186</v>
      </c>
      <c r="CI21" s="47">
        <f t="shared" ref="CI21:CI66" ca="1" si="161">IF(AND(ISNUMBER($CG20), ISNUMBER($CG21)), $CG20 - $CG21, "")</f>
        <v>60.846049783549688</v>
      </c>
      <c r="CJ21" s="46">
        <f t="shared" ref="CJ21:CJ67" ca="1" si="162">IF(AND(ISNUMBER($CH20), ISNUMBER($CH21)), $CH20 - $CH21, "")</f>
        <v>-1.3639069264069281</v>
      </c>
      <c r="CK21" s="141">
        <f t="shared" ca="1" si="140"/>
        <v>428.97499999999997</v>
      </c>
      <c r="CL21" s="50">
        <f t="shared" ca="1" si="77"/>
        <v>-1.8750000000000568</v>
      </c>
      <c r="CM21" s="47">
        <f t="shared" ref="CM21:CM66" ca="1" si="163">IF(AND(ISNUMBER($CK20), ISNUMBER($CK21)), $CK20 - $CK21, "")</f>
        <v>19.350000000000023</v>
      </c>
      <c r="CN21" s="46">
        <f t="shared" ref="CN21:CN67" ca="1" si="164">IF(AND(ISNUMBER($CL20), ISNUMBER($CL21)), $CL20 - $CL21, "")</f>
        <v>-0.33999999999997499</v>
      </c>
      <c r="CO21" s="141">
        <f t="shared" ca="1" si="141"/>
        <v>281.76000000000005</v>
      </c>
      <c r="CP21" s="50">
        <f t="shared" ca="1" si="78"/>
        <v>0.51000000000004775</v>
      </c>
      <c r="CQ21" s="47">
        <f t="shared" ref="CQ21:CQ66" ca="1" si="165">IF(AND(ISNUMBER($CO20), ISNUMBER($CO21)), $CO20 - $CO21, "")</f>
        <v>15.574999999999989</v>
      </c>
      <c r="CR21" s="46">
        <f t="shared" ref="CR21:CR67" ca="1" si="166">IF(AND(ISNUMBER($CP20), ISNUMBER($CP21)), $CP20 - $CP21, "")</f>
        <v>0.21499999999997499</v>
      </c>
      <c r="CS21" s="109">
        <f ca="1">IFERROR(IF(AND(ISNUMBER($BE21), ISNUMBER($BI21)), $BE21 - $BI21, ""), "")</f>
        <v>-7.2049999999999983</v>
      </c>
      <c r="CT21" s="46">
        <f t="shared" ca="1" si="80"/>
        <v>-0.30499999999999261</v>
      </c>
      <c r="CU21" s="47" t="str">
        <f t="shared" ref="CU21:CU66" ca="1" si="167">IF(AND(ISNUMBER($CS20), ISNUMBER($CS21)), $CS20 - $CS21, "")</f>
        <v/>
      </c>
      <c r="CV21" s="46" t="str">
        <f t="shared" ref="CV21:CV67" ca="1" si="168">IF(AND(ISNUMBER($CU20), ISNUMBER($CU21)), $CU20 - $CU21, "")</f>
        <v/>
      </c>
      <c r="CW21" s="110">
        <f t="shared" ca="1" si="142"/>
        <v>-4.2050000000000125</v>
      </c>
      <c r="CX21" s="46">
        <f t="shared" ca="1" si="81"/>
        <v>0.11404761904761819</v>
      </c>
      <c r="CY21" s="47">
        <f t="shared" ref="CY21:CY66" ca="1" si="169">IF(AND(ISNUMBER($CW20), ISNUMBER($CW21)), $CW20 - $CW21, "")</f>
        <v>-0.43363636363635294</v>
      </c>
      <c r="CZ21" s="46">
        <f t="shared" ref="CZ21:CZ67" ca="1" si="170">IF(AND(ISNUMBER($CX20), ISNUMBER($CX21)), $CX20 - $CX21, "")</f>
        <v>-5.3593073593081214E-2</v>
      </c>
      <c r="DA21" s="109">
        <f ca="1">IFERROR(IF(AND(ISNUMBER($BM21), ISNUMBER($BI21)), $BM21 / 7.45 - $BI21, ""), "")</f>
        <v>76.460402684563746</v>
      </c>
      <c r="DB21" s="46">
        <f t="shared" ca="1" si="83"/>
        <v>-1.5741610738254919</v>
      </c>
      <c r="DC21" s="47" t="str">
        <f t="shared" ref="DC21:DC66" ca="1" si="171">IF(AND(ISNUMBER($DA20), ISNUMBER($DA21)), $DA20 - $DA21, "")</f>
        <v/>
      </c>
      <c r="DD21" s="46" t="str">
        <f t="shared" ca="1" si="143"/>
        <v/>
      </c>
      <c r="DE21" s="110">
        <f ca="1">IFERROR(IF(AND(ISNUMBER($BQ21), ISNUMBER($BI21)), $BQ21 * 42/100 - $BI21, ""), "")</f>
        <v>93.196499999999986</v>
      </c>
      <c r="DF21" s="46">
        <f t="shared" ca="1" si="85"/>
        <v>-1.3803000000000019</v>
      </c>
      <c r="DG21" s="47" t="str">
        <f t="shared" ref="DG21:DG66" ca="1" si="172">IF(AND(ISNUMBER($DE20), ISNUMBER($DE21)), $DE20 - $DE21, "")</f>
        <v/>
      </c>
      <c r="DH21" s="46" t="str">
        <f t="shared" ref="DH21:DH67" ca="1" si="173">IF(AND(ISNUMBER($DF20), ISNUMBER($DF21)), $DF20 - $DF21, "")</f>
        <v/>
      </c>
      <c r="DI21" s="110">
        <f ca="1">IFERROR(IF(AND(ISNUMBER($BU21), ISNUMBER($BI21)), $BU21 * 42/100 - $BI21, ""), "")</f>
        <v>29.780700000000024</v>
      </c>
      <c r="DJ21" s="46">
        <f t="shared" ca="1" si="87"/>
        <v>-0.14549999999997909</v>
      </c>
      <c r="DK21" s="47" t="str">
        <f t="shared" ref="DK21:DK66" ca="1" si="174">IF(AND(ISNUMBER($DI20), ISNUMBER($DI21)), $DI20 - $DI21, "")</f>
        <v/>
      </c>
      <c r="DL21" s="46" t="str">
        <f t="shared" ref="DL21:DL67" ca="1" si="175">IF(AND(ISNUMBER($DJ20), ISNUMBER($DJ21)), $DJ20 - $DJ21, "")</f>
        <v/>
      </c>
      <c r="DM21" s="110">
        <f t="shared" ca="1" si="88"/>
        <v>100.40149999999998</v>
      </c>
      <c r="DN21" s="46">
        <f t="shared" ca="1" si="89"/>
        <v>-1.0753000000000092</v>
      </c>
      <c r="DO21" s="47">
        <f t="shared" ref="DO21:DO66" ca="1" si="176">IF(AND(ISNUMBER($DM20), ISNUMBER($DM21)), $DM20 - $DM21, "")</f>
        <v>4.6789000000000414</v>
      </c>
      <c r="DP21" s="47">
        <f t="shared" ref="DP21:DP67" ca="1" si="177">IF(AND(ISNUMBER($DN20), ISNUMBER($DN21)), $DN20 - $DN21, "")</f>
        <v>-7.0899999999987529E-2</v>
      </c>
      <c r="DQ21" s="110">
        <f t="shared" ca="1" si="90"/>
        <v>36.985700000000023</v>
      </c>
      <c r="DR21" s="46">
        <f t="shared" ca="1" si="91"/>
        <v>0.15950000000001352</v>
      </c>
      <c r="DS21" s="47">
        <f t="shared" ref="DS21:DS66" ca="1" si="178">IF(AND(ISNUMBER($DQ20), ISNUMBER($DQ21)), $DQ20 - $DQ21, "")</f>
        <v>4.6642000000000081</v>
      </c>
      <c r="DT21" s="47">
        <f t="shared" ref="DT21:DT67" ca="1" si="179">IF(AND(ISNUMBER($DR20), ISNUMBER($DR21)), $DR20 - $DR21, "")</f>
        <v>3.6200000000010835E-2</v>
      </c>
      <c r="DU21" s="109">
        <f t="shared" ca="1" si="92"/>
        <v>77.921722595078307</v>
      </c>
      <c r="DV21" s="46">
        <f t="shared" ca="1" si="93"/>
        <v>-0.89008628954937818</v>
      </c>
      <c r="DW21" s="47">
        <f t="shared" ref="DW21:DW66" ca="1" si="180">IF(AND(ISNUMBER($DU20), ISNUMBER($DU21)), $DU20 - $DU21, "")</f>
        <v>5.1366056538539482</v>
      </c>
      <c r="DX21" s="47">
        <f t="shared" ref="DX21:DX67" ca="1" si="181">IF(AND(ISNUMBER($DV20), ISNUMBER($DV21)), $DV20 - $DV21, "")</f>
        <v>-0.33030419245184883</v>
      </c>
      <c r="DY21" s="110">
        <f t="shared" ca="1" si="94"/>
        <v>91.713785714285677</v>
      </c>
      <c r="DZ21" s="46">
        <f t="shared" ca="1" si="95"/>
        <v>-0.68845238095240624</v>
      </c>
      <c r="EA21" s="47">
        <f t="shared" ref="EA21:EA66" ca="1" si="182">IF(AND(ISNUMBER($DY20), ISNUMBER($DY21)), $DY20 - $DY21, "")</f>
        <v>5.0963506493506685</v>
      </c>
      <c r="EB21" s="47">
        <f t="shared" ref="EB21:EB67" ca="1" si="183">IF(AND(ISNUMBER($DZ20), ISNUMBER($DZ21)), $DZ20 - $DZ21, "")</f>
        <v>-0.29002943722943186</v>
      </c>
      <c r="EC21" s="110">
        <f t="shared" ca="1" si="96"/>
        <v>29.883485714285726</v>
      </c>
      <c r="ED21" s="46">
        <f t="shared" ca="1" si="97"/>
        <v>0.31324761904763765</v>
      </c>
      <c r="EE21" s="47">
        <f t="shared" ref="EE21:EE66" ca="1" si="184">IF(AND(ISNUMBER($EC20), ISNUMBER($EC21)), $EC20 - $EC21, "")</f>
        <v>3.5108506493506582</v>
      </c>
      <c r="EF21" s="47">
        <f t="shared" ref="EF21:EF67" ca="1" si="185">IF(AND(ISNUMBER($ED20), ISNUMBER($ED21)), $ED20 - $ED21, "")</f>
        <v>-5.6929437229452873E-2</v>
      </c>
      <c r="EG21" s="110">
        <f t="shared" ca="1" si="98"/>
        <v>95.91878571428569</v>
      </c>
      <c r="EH21" s="46">
        <f t="shared" ca="1" si="99"/>
        <v>-0.80250000000002442</v>
      </c>
      <c r="EI21" s="47">
        <f t="shared" ref="EI21:EI66" ca="1" si="186">IF(AND(ISNUMBER($EG20), ISNUMBER($EG21)), $EG20 - $EG21, "")</f>
        <v>5.5299870129870214</v>
      </c>
      <c r="EJ21" s="47">
        <f t="shared" ref="EJ21:EJ67" ca="1" si="187">IF(AND(ISNUMBER($EH20), ISNUMBER($EH21)), $EH20 - $EH21, "")</f>
        <v>-0.23643636363635068</v>
      </c>
      <c r="EK21" s="110">
        <f t="shared" ca="1" si="100"/>
        <v>34.088485714285738</v>
      </c>
      <c r="EL21" s="46">
        <f t="shared" ca="1" si="101"/>
        <v>0.19920000000001947</v>
      </c>
      <c r="EM21" s="47">
        <f t="shared" ref="EM21:EM66" ca="1" si="188">IF(AND(ISNUMBER($EK20), ISNUMBER($EK21)), $EK20 - $EK21, "")</f>
        <v>3.9444870129870111</v>
      </c>
      <c r="EN21" s="47">
        <f t="shared" ref="EN21:EN67" ca="1" si="189">IF(AND(ISNUMBER($EL20), ISNUMBER($EL21)), $EL20 - $EL21, "")</f>
        <v>-3.3363636363716587E-3</v>
      </c>
      <c r="EO21" s="109">
        <f t="shared" ca="1" si="102"/>
        <v>39.847850751038663</v>
      </c>
      <c r="EP21" s="46">
        <f t="shared" ca="1" si="103"/>
        <v>0.46157398529878568</v>
      </c>
      <c r="EQ21" s="47">
        <f t="shared" ref="EQ21:EQ66" ca="1" si="190">IF(AND(ISNUMBER($EO20), ISNUMBER($EO21)), $EO20 - $EO21, "")</f>
        <v>-5.0364157877916114</v>
      </c>
      <c r="ER21" s="47">
        <f t="shared" ref="ER21:ER67" ca="1" si="191">IF(AND(ISNUMBER($EP20), ISNUMBER($EP21)), $EP20 - $EP21, "")</f>
        <v>0.4645397890700087</v>
      </c>
      <c r="ES21" s="110">
        <f t="shared" ca="1" si="104"/>
        <v>32.838245521922374</v>
      </c>
      <c r="ET21" s="46">
        <f t="shared" ca="1" si="105"/>
        <v>0.48008073475469493</v>
      </c>
      <c r="EU21" s="47">
        <f t="shared" ref="EU21:EU66" ca="1" si="192">IF(AND(ISNUMBER($ES20), ISNUMBER($ES21)), $ES20 - $ES21, "")</f>
        <v>-9.5845248817397533E-2</v>
      </c>
      <c r="EV21" s="47">
        <f t="shared" ref="EV21:EV67" ca="1" si="193">IF(AND(ISNUMBER($ET20), ISNUMBER($ET21)), $ET20 - $ET21, "")</f>
        <v>9.5892274339087979E-2</v>
      </c>
      <c r="EW21" s="109">
        <f t="shared" ca="1" si="106"/>
        <v>-150.98999999999995</v>
      </c>
      <c r="EX21" s="46">
        <f t="shared" ca="1" si="107"/>
        <v>2.9400000000000546</v>
      </c>
      <c r="EY21" s="47">
        <f t="shared" ref="EY21:EY66" ca="1" si="194">IF(AND(ISNUMBER($EW20), ISNUMBER($EW21)), $EW20 - $EW21, "")</f>
        <v>-3.5000000000025011E-2</v>
      </c>
      <c r="EZ21" s="47">
        <f t="shared" ref="EZ21:EZ67" ca="1" si="195">IF(AND(ISNUMBER($EX20), ISNUMBER($EX21)), $EX20 - $EX21, "")</f>
        <v>0.25499999999999545</v>
      </c>
      <c r="FA21" s="110">
        <f t="shared" ca="1" si="108"/>
        <v>-147.21499999999992</v>
      </c>
      <c r="FB21" s="46">
        <f t="shared" ca="1" si="109"/>
        <v>2.3850000000001046</v>
      </c>
      <c r="FC21" s="47">
        <f t="shared" ref="FC21:FC66" ca="1" si="196">IF(AND(ISNUMBER($FA20), ISNUMBER($FA21)), $FA20 - $FA21, "")</f>
        <v>-3.7750000000000341</v>
      </c>
      <c r="FD21" s="47">
        <f t="shared" ref="FD21:FD67" ca="1" si="197">IF(AND(ISNUMBER($FB20), ISNUMBER($FB21)), $FB20 - $FB21, "")</f>
        <v>0.55499999999994998</v>
      </c>
      <c r="FE21" s="109">
        <f t="shared" ca="1" si="110"/>
        <v>68.693600000000004</v>
      </c>
      <c r="FF21" s="46">
        <f t="shared" ca="1" si="111"/>
        <v>-0.45789999999999786</v>
      </c>
      <c r="FG21" s="110">
        <f t="shared" ca="1" si="112"/>
        <v>58.124300000000012</v>
      </c>
      <c r="FH21" s="46">
        <f t="shared" ca="1" si="113"/>
        <v>-0.25209999999999411</v>
      </c>
      <c r="FI21" s="110">
        <f t="shared" ca="1" si="114"/>
        <v>61.488600000000005</v>
      </c>
      <c r="FJ21" s="46">
        <f t="shared" ca="1" si="115"/>
        <v>-0.76289999999999047</v>
      </c>
      <c r="FK21" s="110">
        <f t="shared" ca="1" si="116"/>
        <v>50.919300000000014</v>
      </c>
      <c r="FL21" s="46">
        <f t="shared" ca="1" si="117"/>
        <v>-0.55709999999998672</v>
      </c>
      <c r="FM21" s="110">
        <f t="shared" ca="1" si="118"/>
        <v>65.003635714285707</v>
      </c>
      <c r="FN21" s="46">
        <f t="shared" ca="1" si="119"/>
        <v>-0.30165000000000247</v>
      </c>
      <c r="FO21" s="110">
        <f t="shared" ca="1" si="120"/>
        <v>54.698585714285727</v>
      </c>
      <c r="FP21" s="46">
        <f t="shared" ca="1" si="121"/>
        <v>-0.13469999999999513</v>
      </c>
      <c r="FQ21" s="110">
        <f t="shared" ca="1" si="122"/>
        <v>60.798635714285702</v>
      </c>
      <c r="FR21" s="46">
        <f t="shared" ca="1" si="123"/>
        <v>-0.1876023809523843</v>
      </c>
      <c r="FS21" s="110">
        <f t="shared" ca="1" si="124"/>
        <v>50.493585714285715</v>
      </c>
      <c r="FT21" s="111">
        <f t="shared" ca="1" si="125"/>
        <v>-2.0652380952376981E-2</v>
      </c>
      <c r="FU21" s="109">
        <f ca="1">IFERROR($K$21, "")</f>
        <v>107.765</v>
      </c>
      <c r="FV21" s="46">
        <f ca="1">IFERROR(IF(AND(ISNUMBER($FU21), ISNUMBER($BA21)), $FU21 - $BA21, ""), "")</f>
        <v>1.6149999999999949</v>
      </c>
      <c r="FW21" s="48"/>
      <c r="FX21" s="114"/>
      <c r="FY21" s="110">
        <f ca="1">IFERROR(IF(AND(ISNUMBER($FU21), ISNUMBER($BI21)), $FU21 - $BI21, ""), "")</f>
        <v>12.665000000000006</v>
      </c>
      <c r="FZ21" s="46">
        <f ca="1">IFERROR(IF(AND(ISNUMBER($FV21), ISNUMBER($BJ21)), $FV21 - $BJ21, ""), "")</f>
        <v>1.1650000000000063</v>
      </c>
      <c r="GA21" s="47"/>
      <c r="GB21" s="46"/>
      <c r="GC21" s="110" t="str">
        <f ca="1">IFERROR(IF(AND(ISNUMBER($FU21), ISNUMBER(Crd!$X21)), $FU21 - Crd!$X21, ""), "")</f>
        <v/>
      </c>
      <c r="GD21" s="46" t="str">
        <f ca="1">IFERROR(IF(AND(ISNUMBER($FV21), ISNUMBER(Crd!$Y21)), $FV21 - Crd!$Y21, ""), "")</f>
        <v/>
      </c>
      <c r="GE21" s="47"/>
      <c r="GF21" s="46"/>
      <c r="GG21" s="141">
        <f t="shared" ref="GG21:GG66" ca="1" si="198">IFERROR($AU21 * $FU23 + (1 - $AU21) * $FU24, "")</f>
        <v>91.299285714285702</v>
      </c>
      <c r="GH21" s="50">
        <f t="shared" ref="GH21:GH66" ca="1" si="199">IFERROR($AU21 * $FV23 + (1 - $AU21) * $FV24, "")</f>
        <v>-1.2169047619047739</v>
      </c>
      <c r="GI21" s="47">
        <f t="shared" ca="1" si="144"/>
        <v>3.6293506493506698</v>
      </c>
      <c r="GJ21" s="46">
        <f t="shared" ca="1" si="145"/>
        <v>0.37463203463204342</v>
      </c>
      <c r="GK21" s="110">
        <f t="shared" ca="1" si="127"/>
        <v>2.8435714285714084</v>
      </c>
      <c r="GL21" s="46">
        <f t="shared" ca="1" si="128"/>
        <v>-1.1178571428571562</v>
      </c>
      <c r="GM21" s="47">
        <f t="shared" ref="GM21:GM66" ca="1" si="200">IF(AND(ISNUMBER($GK20), ISNUMBER($GK21)), $GK20 - $GK21, "")</f>
        <v>0.59870129870132871</v>
      </c>
      <c r="GN21" s="46">
        <f t="shared" ref="GN21:GN67" ca="1" si="201">IF(AND(ISNUMBER($GL20), ISNUMBER($GL21)), $GL20 - $GL21, "")</f>
        <v>0.22740259740260094</v>
      </c>
      <c r="GO21" s="110" t="str">
        <f ca="1">IFERROR(IF(AND(ISNUMBER($GG21), ISNUMBER(Crd!$X21)), $GG21 - Crd!$X21, ""), "")</f>
        <v/>
      </c>
      <c r="GP21" s="46" t="str">
        <f ca="1">IFERROR(IF(AND(ISNUMBER($GH21), ISNUMBER(Crd!$Y21)), $GH21 - Crd!$Y21, ""), "")</f>
        <v/>
      </c>
      <c r="GQ21" s="47" t="str">
        <f t="shared" ref="GQ21:GQ66" ca="1" si="202">IF(AND(ISNUMBER($GO20), ISNUMBER($GO21)), $GO20 - $GO21, "")</f>
        <v/>
      </c>
      <c r="GR21" s="46" t="str">
        <f t="shared" ref="GR21:GR67" ca="1" si="203">IF(AND(ISNUMBER($GP20), ISNUMBER($GP21)), $GP20 - $GP21, "")</f>
        <v/>
      </c>
      <c r="GS21" s="436">
        <f ca="1">IFERROR($L$21, "")</f>
        <v>101.97999999999999</v>
      </c>
      <c r="GT21" s="46">
        <f ca="1">IFERROR(IF(AND(ISNUMBER($GS21), ISNUMBER($BB21)), $GS21 - $BB21, ""), "")</f>
        <v>2.7999999999999829</v>
      </c>
      <c r="GU21" s="48"/>
      <c r="GV21" s="46"/>
      <c r="GW21" s="427" t="str">
        <f t="shared" ref="GW21:GW66" ca="1" si="204">IFERROR($AU21 * $GS23 + (1 - $AU21) * $GS24, "")</f>
        <v/>
      </c>
      <c r="GX21" s="50" t="str">
        <f t="shared" ca="1" si="146"/>
        <v/>
      </c>
      <c r="GY21" s="47" t="str">
        <f t="shared" ref="GY21:GY66" ca="1" si="205">IF(AND(ISNUMBER($GW20), ISNUMBER($GW21)), $GW20 - $GW21, "")</f>
        <v/>
      </c>
      <c r="GZ21" s="432" t="str">
        <f t="shared" ref="GZ21:GZ67" ca="1" si="206">IF(AND(ISNUMBER($GX20), ISNUMBER($GX21)), $GX20 - $GX21, "")</f>
        <v/>
      </c>
      <c r="HA21" s="436">
        <f t="shared" ref="HA21:HA31" ca="1" si="207">IFERROR(IF(ISNUMBER($M21), $M21, ""), "")</f>
        <v>652.29999999999995</v>
      </c>
      <c r="HB21" s="46">
        <f t="shared" ref="HB21:HB31" ca="1" si="208">IFERROR(IF(AND(ISNUMBER($HA21), ISNUMBER($BC21)), $HA21 - $BC21, ""), "")</f>
        <v>41.5</v>
      </c>
      <c r="HC21" s="48">
        <f ca="1">IF(AND(ISNUMBER($HA20), ISNUMBER($HA21)), $HA20 - $HA21, "")</f>
        <v>41</v>
      </c>
      <c r="HD21" s="46">
        <f ca="1">IF(AND(ISNUMBER($HB20), ISNUMBER($HB21)), $HB20 - $HB21, "")</f>
        <v>14.599999999999909</v>
      </c>
      <c r="HE21" s="269">
        <f t="shared" ca="1" si="147"/>
        <v>96.498722201881009</v>
      </c>
      <c r="HF21" s="46">
        <f t="shared" ca="1" si="148"/>
        <v>6.1393484154193807</v>
      </c>
      <c r="HG21" s="48">
        <f t="shared" ca="1" si="149"/>
        <v>6.065380362221557</v>
      </c>
      <c r="HH21" s="432">
        <f t="shared" ca="1" si="150"/>
        <v>2.1598671533764433</v>
      </c>
    </row>
    <row r="22" spans="1:216" x14ac:dyDescent="0.25">
      <c r="A22" s="58">
        <f t="shared" ca="1" si="131"/>
        <v>46357</v>
      </c>
      <c r="B22" s="6" t="str">
        <f ca="1">INDEX(MthRef[], MATCH(MONTH(Futs!$A22), MthRef[Mth], 0), 2)</f>
        <v>Z</v>
      </c>
      <c r="C22" s="6">
        <f t="shared" ca="1" si="65"/>
        <v>2026</v>
      </c>
      <c r="D22" s="6" t="str">
        <f t="shared" ca="1" si="66"/>
        <v>Q426</v>
      </c>
      <c r="E22" s="6" t="str">
        <f t="shared" ca="1" si="132"/>
        <v>Z6</v>
      </c>
      <c r="F22" s="10">
        <f ca="1">IFERROR(AVERAGE(_xll.BDP(F$18 &amp; $B22 &amp; RIGHT($C22, 1) &amp; " " &amp; "Comdty", "BID", "Fill=#N/A"), _xll.BDP(F$18 &amp; $B22 &amp; RIGHT($C22, 1) &amp; " " &amp; "Comdty", "ASK", "Fill=#N/A")), NA())</f>
        <v>85.009999999999991</v>
      </c>
      <c r="G22" s="10">
        <f ca="1">IFERROR(AVERAGE(_xll.BDP(G$18 &amp; $B22 &amp; RIGHT($C22, 1) &amp; " " &amp; "Comdty", "BID", "Fill=#N/A"), _xll.BDP(G$18 &amp; $B22 &amp; RIGHT($C22, 1) &amp; " " &amp; "Comdty", "ASK", "Fill=#N/A")), NA())</f>
        <v>91.63</v>
      </c>
      <c r="H22" s="10">
        <f ca="1">IFERROR(AVERAGE(_xll.BDP(H$18 &amp; $B22 &amp; RIGHT($C22, 1) &amp; " " &amp; "Comdty", "BID", "Fill=#N/A"), _xll.BDP(H$18 &amp; $B22 &amp; RIGHT($C22, 1) &amp; " " &amp; "Comdty", "ASK", "Fill=#N/A")), NA())</f>
        <v>1215.75</v>
      </c>
      <c r="I22" s="10">
        <f ca="1">IFERROR(AVERAGE(_xll.BDP(I$18 &amp; $B22 &amp; RIGHT($C22, 1) &amp; " " &amp; "Comdty", "BID", "Fill=#N/A"), _xll.BDP(I$18 &amp; $B22 &amp; RIGHT($C22, 1) &amp; " " &amp; "Comdty", "ASK", "Fill=#N/A")), NA())</f>
        <v>428.97500000000002</v>
      </c>
      <c r="J22" s="10">
        <f ca="1">IFERROR(AVERAGE(_xll.BDP(J$18 &amp; $B22 &amp; RIGHT($C22, 1) &amp; " " &amp; "Comdty", "BID", "Fill=#N/A"), _xll.BDP(J$18 &amp; $B22 &amp; RIGHT($C22, 1) &amp; " " &amp; "Comdty", "ASK", "Fill=#N/A")), NA())</f>
        <v>281.745</v>
      </c>
      <c r="K22" s="10">
        <f ca="1">IFERROR(AVERAGE(_xll.BDP(K$18 &amp; $B22 &amp; RIGHT($C22, 2) &amp; " " &amp; "Comdty", "BID", "Fill=#N/A"), _xll.BDP(K$18 &amp; $B22 &amp; RIGHT($C22, 2) &amp; " " &amp; "Comdty", "ASK", "Fill=#N/A")), NA())</f>
        <v>95.1</v>
      </c>
      <c r="L22" s="10">
        <f ca="1">IFERROR(AVERAGE(_xll.BDP(L$18 &amp; $B22 &amp; RIGHT($C22, 2) &amp; " " &amp; "Comdty", "BID", "Fill=#N/A"), _xll.BDP(L$18 &amp; $B22 &amp; RIGHT($C22, 2) &amp; " " &amp; "Comdty", "ASK", "Fill=#N/A")), NA())</f>
        <v>95.055000000000007</v>
      </c>
      <c r="M22" s="10">
        <f ca="1">IFERROR(AVERAGE(_xll.BDP(M$18 &amp; $B22 &amp; RIGHT($C22, 2) &amp; " " &amp; "Comdty", "BID", "Fill=#N/A"), _xll.BDP(M$18 &amp; $B22 &amp; RIGHT($C22, 2) &amp; " " &amp; "Comdty", "ASK", "Fill=#N/A")), NA())</f>
        <v>627.20000000000005</v>
      </c>
      <c r="N22" s="10">
        <f ca="1">IFERROR(AVERAGE(_xll.BDP(N$18 &amp; $B21 &amp; RIGHT($C21, 1) &amp; N$18 &amp; $B22 &amp; RIGHT($C22, 1) &amp; " " &amp; "Comdty", "BID", "Fill=#N/A"), _xll.BDP(N$18 &amp; $B21 &amp; RIGHT($C21, 1) &amp; N$18 &amp; $B22 &amp; RIGHT($C22, 1) &amp; " " &amp; "Comdty", "ASK", "Fill=#N/A")), NA())</f>
        <v>2.88</v>
      </c>
      <c r="O22" s="10">
        <f ca="1">IFERROR(AVERAGE(_xll.BDP(O$18 &amp; $B21 &amp; RIGHT($C21, 1) &amp; O$18 &amp; $B22 &amp; RIGHT($C22, 1) &amp; " " &amp; "Comdty", "BID", "Fill=#N/A"), _xll.BDP(O$18 &amp; $B21 &amp; RIGHT($C21, 1) &amp; O$18 &amp; $B22 &amp; RIGHT($C22, 1) &amp; " " &amp; "Comdty", "ASK", "Fill=#N/A")), NA())</f>
        <v>3.4750000000000001</v>
      </c>
      <c r="P22" s="10">
        <f ca="1">IFERROR(AVERAGE(_xll.BDP(P$18 &amp; $B21 &amp; RIGHT($C21, 1) &amp; P$18 &amp; $B22 &amp; RIGHT($C22, 1) &amp; " " &amp; "Comdty", "BID", "Fill=#N/A"), _xll.BDP(P$18 &amp; $B21 &amp; RIGHT($C21, 1) &amp; P$18 &amp; $B22 &amp; RIGHT($C22, 1) &amp; " " &amp; "Comdty", "ASK", "Fill=#N/A")), NA())</f>
        <v>62.375</v>
      </c>
      <c r="Q22" s="10">
        <f ca="1">IFERROR(AVERAGE(_xll.BDP(Q$18 &amp; $B21 &amp; RIGHT($C21, 1) &amp; Q$18 &amp; $B22 &amp; RIGHT($C22, 1) &amp; " " &amp; "Comdty", "BID", "Fill=#N/A"), _xll.BDP(Q$18 &amp; $B21 &amp; RIGHT($C21, 1) &amp; Q$18 &amp; $B22 &amp; RIGHT($C22, 1) &amp; " " &amp; "Comdty", "ASK", "Fill=#N/A")), NA())</f>
        <v>19.350000000000001</v>
      </c>
      <c r="R22" s="10">
        <f ca="1">IFERROR(AVERAGE(_xll.BDP(R$18 &amp; $B21 &amp; RIGHT($C21, 1) &amp; R$18 &amp; $B22 &amp; RIGHT($C22, 1) &amp; " " &amp; "Comdty", "BID", "Fill=#N/A"), _xll.BDP(R$18 &amp; $B21 &amp; RIGHT($C21, 1) &amp; R$18 &amp; $B22 &amp; RIGHT($C22, 1) &amp; " " &amp; "Comdty", "ASK", "Fill=#N/A")), NA())</f>
        <v>15.574999999999999</v>
      </c>
      <c r="S22" s="10">
        <f ca="1">IFERROR(AVERAGE(_xll.BDP(S$18 &amp; $B21 &amp; RIGHT($C21, 1) &amp; $B22 &amp; RIGHT($C22, 1) &amp; " " &amp; "Comdty", "BID", "Fill=#N/A"), _xll.BDP(S$18 &amp; $B21 &amp; RIGHT($C21, 1) &amp; $B22 &amp; RIGHT($C22, 1) &amp; " " &amp; "Comdty", "ASK", "Fill=#N/A")), NA())</f>
        <v>12.67</v>
      </c>
      <c r="T22" s="10">
        <f ca="1">IFERROR(AVERAGE(_xll.BDP(T$18 &amp; $B21 &amp; RIGHT($C21, 1) &amp; $B22 &amp; RIGHT($C22, 1) &amp; " " &amp; "Comdty", "BID", "Fill=#N/A"), _xll.BDP(T$18 &amp; $B21 &amp; RIGHT($C21, 1) &amp; $B22 &amp; RIGHT($C22, 1) &amp; " " &amp; "Comdty", "ASK", "Fill=#N/A")), NA())</f>
        <v>6.9249999999999998</v>
      </c>
      <c r="U22" s="10">
        <f ca="1">IF($A22 &lt; Diagnostics!$B$3, N22, INDEX(ImpSprd[], MATCH(Futs!$C22, ImpSprd[Yr], 0), MATCH(U$18, ImpSprd[#Headers], 0)))</f>
        <v>2.88</v>
      </c>
      <c r="V22" s="10">
        <f ca="1">IF($A22 &lt; Diagnostics!$B$3, O22, INDEX(ImpSprd[], MATCH(Futs!$C22, ImpSprd[Yr], 0), MATCH(V$18, ImpSprd[#Headers], 0)))</f>
        <v>3.4750000000000001</v>
      </c>
      <c r="W22" s="10">
        <f ca="1">IF($A22 &lt; Diagnostics!$B$3, P22, INDEX(ImpSprd[], MATCH(Futs!$C22, ImpSprd[Yr], 0), MATCH(W$18, ImpSprd[#Headers], 0)))</f>
        <v>62.375</v>
      </c>
      <c r="X22" s="31">
        <f ca="1">INDEX(Expi[], MATCH($A22, Expi[Date], 0), MATCH(X$18, Expi[#Headers], 0))</f>
        <v>46377</v>
      </c>
      <c r="Y22" s="31">
        <f ca="1">INDEX(Expi[], MATCH($A22, Expi[Date], 0), MATCH(Y$18, Expi[#Headers], 0))</f>
        <v>46386</v>
      </c>
      <c r="Z22" s="31">
        <f ca="1">INDEX(Expi[], MATCH($A22, Expi[Date], 0), MATCH(Z$18, Expi[#Headers], 0))</f>
        <v>46366</v>
      </c>
      <c r="AA22" s="31">
        <f ca="1">INDEX(Expi[], MATCH($A22, Expi[Date], 0), MATCH(AA$18, Expi[#Headers], 0))</f>
        <v>46387</v>
      </c>
      <c r="AB22" s="31">
        <f ca="1">INDEX(Expi[], MATCH($A22, Expi[Date], 0), MATCH(AB$18, Expi[#Headers], 0))</f>
        <v>46387</v>
      </c>
      <c r="AC22" s="31">
        <f ca="1">INDEX(Expi[], MATCH($A22, Expi[Date], 0), MATCH(AC$18, Expi[#Headers], 0))</f>
        <v>46386</v>
      </c>
      <c r="AD22" s="7">
        <f ca="1">NETWORKDAYS($A22, EOMONTH($A22, 0), Hols[CME])</f>
        <v>22</v>
      </c>
      <c r="AE22" s="7">
        <f ca="1">NETWORKDAYS($A22, EOMONTH($A22, 0), Hols[ICE])</f>
        <v>22</v>
      </c>
      <c r="AF22" s="7">
        <f ca="1">NETWORKDAYS($A22, EOMONTH($A22, 0), Hols[ICE])</f>
        <v>22</v>
      </c>
      <c r="AG22" s="7">
        <f ca="1">NETWORKDAYS($A22, EOMONTH($A22, 0), Hols[CME])</f>
        <v>22</v>
      </c>
      <c r="AH22" s="7">
        <f ca="1">NETWORKDAYS($A22, EOMONTH($A22, 0), Hols[CME])</f>
        <v>22</v>
      </c>
      <c r="AI22" s="7">
        <f ca="1">NETWORKDAYS($A22, EOMONTH($A22, 0), Hols[ICE])</f>
        <v>22</v>
      </c>
      <c r="AJ22" s="7">
        <f ca="1">NETWORKDAYS($A22, X22, Hols[CME])</f>
        <v>15</v>
      </c>
      <c r="AK22" s="7">
        <f ca="1">NETWORKDAYS($A22, Y22, Hols[ICE]) - 1</f>
        <v>20</v>
      </c>
      <c r="AL22" s="7">
        <f ca="1">NETWORKDAYS($A22, Z22, Hols[ICE]) - 1</f>
        <v>7</v>
      </c>
      <c r="AM22" s="7">
        <f ca="1">NETWORKDAYS($A22, AA22, Hols[CME])</f>
        <v>22</v>
      </c>
      <c r="AN22" s="7">
        <f ca="1">NETWORKDAYS($A22, AB22, Hols[CME])</f>
        <v>22</v>
      </c>
      <c r="AO22" s="7">
        <f ca="1">NETWORKDAYS($A22, AC22, Hols[ICE]) - 1</f>
        <v>20</v>
      </c>
      <c r="AP22" s="10">
        <f t="shared" ca="1" si="67"/>
        <v>0.68181818181818177</v>
      </c>
      <c r="AQ22" s="10">
        <f t="shared" ca="1" si="68"/>
        <v>0.90909090909090906</v>
      </c>
      <c r="AR22" s="10">
        <f t="shared" ca="1" si="69"/>
        <v>0.31818181818181818</v>
      </c>
      <c r="AS22" s="10">
        <f t="shared" ca="1" si="70"/>
        <v>1</v>
      </c>
      <c r="AT22" s="10">
        <f t="shared" ca="1" si="71"/>
        <v>1</v>
      </c>
      <c r="AU22" s="10">
        <f t="shared" ca="1" si="71"/>
        <v>0.90909090909090906</v>
      </c>
      <c r="AV22" s="28">
        <f ca="1">IFERROR(AVERAGE(_xll.BDH(AV$18 &amp; $B22 &amp; RIGHT($C22, 1) &amp; " " &amp; "Comdty", "PX_SETTLE", AV$16, AV$16, "Fill=#N/A")), IFERROR(AVERAGE(_xll.BDH(AV$18 &amp; $B22 &amp; RIGHT($C22, 2) &amp; " " &amp; "Comdty", "PX_SETTLE", AV$16, AV$16, "Fill=#N/A")), NA()))</f>
        <v>84.97</v>
      </c>
      <c r="AW22" s="28">
        <f ca="1">IFERROR(AVERAGE(_xll.BDH(AW$18 &amp; $B22 &amp; RIGHT($C22, 1) &amp; " " &amp; "Comdty", "PX_SETTLE", AW$16, AW$16, "Fill=#N/A")), IFERROR(AVERAGE(_xll.BDH(AW$18 &amp; $B22 &amp; RIGHT($C22, 2) &amp; " " &amp; "Comdty", "PX_SETTLE", AW$16, AW$16, "Fill=#N/A")), NA()))</f>
        <v>91.57</v>
      </c>
      <c r="AX22" s="29">
        <f ca="1">IFERROR(AVERAGE(_xll.BDH(AX$18 &amp; $B22 &amp; RIGHT($C22, 2) &amp; " " &amp; "Comdty", "FAIR_VALUE_SNAPSHOT_AT_1430", AX$16, AX$16, "TIME_ZONE_OVERRIDE=13", "Fill=#N/A")), NA())</f>
        <v>1222.5</v>
      </c>
      <c r="AY22" s="28">
        <f ca="1">IFERROR(AVERAGE(_xll.BDH(AY$18 &amp; $B22 &amp; RIGHT($C22, 1) &amp; " " &amp; "Comdty", "PX_SETTLE", AY$16, AY$16, "Fill=#N/A")), NA())</f>
        <v>430.85</v>
      </c>
      <c r="AZ22" s="28">
        <f ca="1">IFERROR(AVERAGE(_xll.BDH(AZ$18 &amp; $B22 &amp; RIGHT($C22, 1) &amp; " " &amp; "Comdty", "PX_SETTLE", AZ$16, AZ$16, "Fill=#N/A")), NA())</f>
        <v>281.25</v>
      </c>
      <c r="BA22" s="29">
        <f ca="1">IFERROR(AVERAGE(_xll.BDH(BA$18 &amp; $B22 &amp; RIGHT($C22, 2) &amp; " " &amp; "Comdty", "PX_SETTLE", BA$16, BA$16, "Fill=#N/A")), IFERROR(AVERAGE(_xll.BDH(BA$18 &amp; $B22 &amp; RIGHT($C22, 2) &amp; " " &amp; "Comdty", "PX_SETTLE", BA$16, BA$16, "Fill=#N/A")), NA()))</f>
        <v>95.92</v>
      </c>
      <c r="BB22" s="29">
        <f ca="1">IFERROR(AVERAGE(_xll.BDH(BB$18 &amp; $B22 &amp; RIGHT($C22, 2) &amp; " " &amp; "Comdty", "PX_SETTLE", BB$16, BB$16, "Fill=#N/A")), IFERROR(AVERAGE(_xll.BDH(BB$18 &amp; $B22 &amp; RIGHT($C22, 2) &amp; " " &amp; "Comdty", "PX_SETTLE", BB$16, BB$16, "Fill=#N/A")), NA()))</f>
        <v>94.25</v>
      </c>
      <c r="BC22" s="29">
        <f ca="1">IFERROR(AVERAGE(_xll.BDH(BC$18 &amp; $B22 &amp; RIGHT($C22, 2) &amp; " " &amp; "Comdty", "PX_SETTLE", BC$16, BC$16, "Fill=#N/A")), IFERROR(AVERAGE(_xll.BDH(BC$18 &amp; $B22 &amp; RIGHT($C22, 2) &amp; " " &amp; "Comdty", "PX_SETTLE", BC$16, BC$16, "Fill=#N/A")), NA()))</f>
        <v>596.6</v>
      </c>
      <c r="BD22" s="29" cm="1">
        <f t="array" ref="BD22">_xll.BFXFORWARD("USDCNY", "2M", "MidOutright")</f>
        <v>6.7412999999999998</v>
      </c>
      <c r="BE22" s="109">
        <f t="shared" ref="BE22:BE66" ca="1" si="209">IFERROR($BE21 - $U22, "")</f>
        <v>85.015000000000001</v>
      </c>
      <c r="BF22" s="46">
        <f t="shared" ca="1" si="72"/>
        <v>4.5000000000001705E-2</v>
      </c>
      <c r="BG22" s="47">
        <f t="shared" ca="1" si="151"/>
        <v>2.8799999999999955</v>
      </c>
      <c r="BH22" s="114">
        <f ca="1">IF(AND(ISNUMBER($BF21), ISNUMBER($BF22)), $BF21 - $BF22, "")</f>
        <v>9.9999999999994316E-2</v>
      </c>
      <c r="BI22" s="110">
        <f ca="1">IFERROR(IF(ISNUMBER($G$21), $G$21 - $V$22, $G$22), "")</f>
        <v>91.625</v>
      </c>
      <c r="BJ22" s="46">
        <f t="shared" ca="1" si="73"/>
        <v>5.5000000000006821E-2</v>
      </c>
      <c r="BK22" s="48">
        <f ca="1">IF(AND(ISNUMBER($BI21), ISNUMBER($BI22)), $BI21 - $BI22, "")</f>
        <v>3.4749999999999943</v>
      </c>
      <c r="BL22" s="114">
        <f ca="1">IF(AND(ISNUMBER($BJ21), ISNUMBER($BJ22)), $BJ21 - $BJ22, "")</f>
        <v>0.39499999999998181</v>
      </c>
      <c r="BM22" s="48">
        <f t="shared" ca="1" si="152"/>
        <v>1215.75</v>
      </c>
      <c r="BN22" s="46">
        <f t="shared" ca="1" si="74"/>
        <v>-6.75</v>
      </c>
      <c r="BO22" s="47">
        <f t="shared" ref="BO22:BO66" ca="1" si="210">IF(AND(ISNUMBER($BM21), ISNUMBER($BM22)), $BM21 - $BM22, "")</f>
        <v>62.375</v>
      </c>
      <c r="BP22" s="46">
        <f t="shared" ca="1" si="133"/>
        <v>-1.625</v>
      </c>
      <c r="BQ22" s="110">
        <f t="shared" ref="BQ22:BQ66" ca="1" si="211">IFERROR($BQ21 - $Q22, "")</f>
        <v>428.97499999999997</v>
      </c>
      <c r="BR22" s="46">
        <f t="shared" ca="1" si="75"/>
        <v>-1.8750000000000568</v>
      </c>
      <c r="BS22" s="47">
        <f t="shared" ca="1" si="153"/>
        <v>19.350000000000023</v>
      </c>
      <c r="BT22" s="114">
        <f t="shared" ca="1" si="154"/>
        <v>-0.33999999999997499</v>
      </c>
      <c r="BU22" s="48">
        <f t="shared" ref="BU22:BU66" ca="1" si="212">IFERROR($BU21 - $R22, "")</f>
        <v>281.76000000000005</v>
      </c>
      <c r="BV22" s="46">
        <f t="shared" ca="1" si="76"/>
        <v>0.51000000000004775</v>
      </c>
      <c r="BW22" s="47">
        <f t="shared" ca="1" si="155"/>
        <v>15.574999999999989</v>
      </c>
      <c r="BX22" s="46">
        <f t="shared" ca="1" si="156"/>
        <v>0.21499999999997499</v>
      </c>
      <c r="BY22" s="140">
        <f t="shared" ca="1" si="134"/>
        <v>81.600227272727281</v>
      </c>
      <c r="BZ22" s="46">
        <f t="shared" ca="1" si="135"/>
        <v>-8.7045454545454842E-2</v>
      </c>
      <c r="CA22" s="47">
        <f t="shared" ca="1" si="157"/>
        <v>2.650487012987</v>
      </c>
      <c r="CB22" s="46">
        <f t="shared" ca="1" si="158"/>
        <v>0.10204545454545541</v>
      </c>
      <c r="CC22" s="141">
        <f t="shared" ca="1" si="136"/>
        <v>85.89409090909092</v>
      </c>
      <c r="CD22" s="50">
        <f t="shared" ca="1" si="137"/>
        <v>-0.18499999999999323</v>
      </c>
      <c r="CE22" s="47">
        <f t="shared" ca="1" si="159"/>
        <v>2.5616233766233734</v>
      </c>
      <c r="CF22" s="46">
        <f t="shared" ca="1" si="160"/>
        <v>8.5952380952375604E-2</v>
      </c>
      <c r="CG22" s="141">
        <f t="shared" ca="1" si="138"/>
        <v>1184.3011363636365</v>
      </c>
      <c r="CH22" s="50">
        <f t="shared" ca="1" si="139"/>
        <v>-6.1534090909090908</v>
      </c>
      <c r="CI22" s="47">
        <f t="shared" ca="1" si="161"/>
        <v>55.210768398268328</v>
      </c>
      <c r="CJ22" s="46">
        <f t="shared" ca="1" si="162"/>
        <v>-1.2156385281385278</v>
      </c>
      <c r="CK22" s="141">
        <f t="shared" ca="1" si="140"/>
        <v>414.92499999999995</v>
      </c>
      <c r="CL22" s="50">
        <f t="shared" ca="1" si="77"/>
        <v>-1.535000000000025</v>
      </c>
      <c r="CM22" s="47">
        <f t="shared" ca="1" si="163"/>
        <v>14.050000000000011</v>
      </c>
      <c r="CN22" s="46">
        <f t="shared" ca="1" si="164"/>
        <v>-0.34000000000003183</v>
      </c>
      <c r="CO22" s="141">
        <f t="shared" ca="1" si="141"/>
        <v>272.40000000000003</v>
      </c>
      <c r="CP22" s="50">
        <f t="shared" ca="1" si="78"/>
        <v>0.3800000000000523</v>
      </c>
      <c r="CQ22" s="47">
        <f t="shared" ca="1" si="165"/>
        <v>9.3600000000000136</v>
      </c>
      <c r="CR22" s="46">
        <f t="shared" ca="1" si="166"/>
        <v>0.12999999999999545</v>
      </c>
      <c r="CS22" s="109">
        <f t="shared" ca="1" si="79"/>
        <v>-6.6099999999999994</v>
      </c>
      <c r="CT22" s="46">
        <f t="shared" ca="1" si="80"/>
        <v>-1.0000000000005116E-2</v>
      </c>
      <c r="CU22" s="47">
        <f t="shared" ca="1" si="167"/>
        <v>-0.59499999999999886</v>
      </c>
      <c r="CV22" s="46" t="str">
        <f t="shared" ca="1" si="168"/>
        <v/>
      </c>
      <c r="CW22" s="110">
        <f t="shared" ca="1" si="142"/>
        <v>-4.2938636363636391</v>
      </c>
      <c r="CX22" s="46">
        <f t="shared" ca="1" si="81"/>
        <v>9.7954545454538383E-2</v>
      </c>
      <c r="CY22" s="47">
        <f t="shared" ca="1" si="169"/>
        <v>8.8863636363626597E-2</v>
      </c>
      <c r="CZ22" s="46">
        <f t="shared" ca="1" si="170"/>
        <v>1.6093073593079807E-2</v>
      </c>
      <c r="DA22" s="109">
        <f ca="1">IFERROR(IF(AND(ISNUMBER($BM22), ISNUMBER($BI22)), $BM22 / 7.45 - $BI22, ""), "")</f>
        <v>71.562919463087241</v>
      </c>
      <c r="DB22" s="46">
        <f t="shared" ca="1" si="83"/>
        <v>-0.96104026845638268</v>
      </c>
      <c r="DC22" s="47">
        <f ca="1">IF(AND(ISNUMBER($DA21), ISNUMBER($DA22)), $DA21 - $DA22, "")</f>
        <v>4.8974832214765058</v>
      </c>
      <c r="DD22" s="46">
        <f t="shared" ca="1" si="143"/>
        <v>-0.61312080536910918</v>
      </c>
      <c r="DE22" s="110">
        <f t="shared" ca="1" si="84"/>
        <v>88.544499999999971</v>
      </c>
      <c r="DF22" s="46">
        <f t="shared" ca="1" si="85"/>
        <v>-0.84250000000003067</v>
      </c>
      <c r="DG22" s="47">
        <f t="shared" ca="1" si="172"/>
        <v>4.6520000000000152</v>
      </c>
      <c r="DH22" s="46">
        <f t="shared" ca="1" si="173"/>
        <v>-0.53779999999997119</v>
      </c>
      <c r="DI22" s="110">
        <f t="shared" ca="1" si="86"/>
        <v>26.714200000000019</v>
      </c>
      <c r="DJ22" s="46">
        <f t="shared" ca="1" si="87"/>
        <v>0.15920000000001322</v>
      </c>
      <c r="DK22" s="47">
        <f t="shared" ca="1" si="174"/>
        <v>3.0665000000000049</v>
      </c>
      <c r="DL22" s="46">
        <f t="shared" ca="1" si="175"/>
        <v>-0.30469999999999231</v>
      </c>
      <c r="DM22" s="110">
        <f t="shared" ca="1" si="88"/>
        <v>95.15449999999997</v>
      </c>
      <c r="DN22" s="46">
        <f t="shared" ca="1" si="89"/>
        <v>-0.83250000000002555</v>
      </c>
      <c r="DO22" s="47">
        <f t="shared" ca="1" si="176"/>
        <v>5.2470000000000141</v>
      </c>
      <c r="DP22" s="47">
        <f t="shared" ca="1" si="177"/>
        <v>-0.2427999999999837</v>
      </c>
      <c r="DQ22" s="110">
        <f t="shared" ca="1" si="90"/>
        <v>33.324200000000019</v>
      </c>
      <c r="DR22" s="46">
        <f t="shared" ca="1" si="91"/>
        <v>0.16920000000001834</v>
      </c>
      <c r="DS22" s="47">
        <f t="shared" ca="1" si="178"/>
        <v>3.6615000000000038</v>
      </c>
      <c r="DT22" s="47">
        <f t="shared" ca="1" si="179"/>
        <v>-9.7000000000048159E-3</v>
      </c>
      <c r="DU22" s="109">
        <f t="shared" ca="1" si="92"/>
        <v>73.072504575960949</v>
      </c>
      <c r="DV22" s="46">
        <f t="shared" ca="1" si="93"/>
        <v>-0.64096095179988466</v>
      </c>
      <c r="DW22" s="47">
        <f t="shared" ca="1" si="180"/>
        <v>4.8492180191173588</v>
      </c>
      <c r="DX22" s="47">
        <f t="shared" ca="1" si="181"/>
        <v>-0.24912533774949353</v>
      </c>
      <c r="DY22" s="110">
        <f t="shared" ca="1" si="94"/>
        <v>88.374409090909069</v>
      </c>
      <c r="DZ22" s="46">
        <f t="shared" ca="1" si="95"/>
        <v>-0.45970000000001726</v>
      </c>
      <c r="EA22" s="47">
        <f t="shared" ca="1" si="182"/>
        <v>3.3393766233766087</v>
      </c>
      <c r="EB22" s="47">
        <f t="shared" ca="1" si="183"/>
        <v>-0.22875238095238898</v>
      </c>
      <c r="EC22" s="110">
        <f t="shared" ca="1" si="96"/>
        <v>28.513909090909095</v>
      </c>
      <c r="ED22" s="46">
        <f t="shared" ca="1" si="97"/>
        <v>0.34460000000001523</v>
      </c>
      <c r="EE22" s="47">
        <f t="shared" ca="1" si="184"/>
        <v>1.3695766233766307</v>
      </c>
      <c r="EF22" s="47">
        <f t="shared" ca="1" si="185"/>
        <v>-3.1352380952377579E-2</v>
      </c>
      <c r="EG22" s="110">
        <f t="shared" ca="1" si="98"/>
        <v>92.668272727272708</v>
      </c>
      <c r="EH22" s="46">
        <f t="shared" ca="1" si="99"/>
        <v>-0.55765454545455562</v>
      </c>
      <c r="EI22" s="47">
        <f t="shared" ca="1" si="186"/>
        <v>3.2505129870129821</v>
      </c>
      <c r="EJ22" s="47">
        <f t="shared" ca="1" si="187"/>
        <v>-0.2448454545454688</v>
      </c>
      <c r="EK22" s="110">
        <f t="shared" ca="1" si="100"/>
        <v>32.807772727272734</v>
      </c>
      <c r="EL22" s="46">
        <f t="shared" ca="1" si="101"/>
        <v>0.24664545454547682</v>
      </c>
      <c r="EM22" s="47">
        <f t="shared" ca="1" si="188"/>
        <v>1.2807129870130041</v>
      </c>
      <c r="EN22" s="47">
        <f t="shared" ca="1" si="189"/>
        <v>-4.7445454545457344E-2</v>
      </c>
      <c r="EO22" s="109">
        <f t="shared" ca="1" si="102"/>
        <v>40.432334611697001</v>
      </c>
      <c r="EP22" s="46">
        <f t="shared" ca="1" si="103"/>
        <v>0.28223873441988578</v>
      </c>
      <c r="EQ22" s="47">
        <f t="shared" ca="1" si="190"/>
        <v>-0.58448386065833802</v>
      </c>
      <c r="ER22" s="47">
        <f t="shared" ca="1" si="191"/>
        <v>0.1793352508788999</v>
      </c>
      <c r="ES22" s="110">
        <f t="shared" ca="1" si="104"/>
        <v>36.433105987971658</v>
      </c>
      <c r="ET22" s="46">
        <f t="shared" ca="1" si="105"/>
        <v>0.43157369476158913</v>
      </c>
      <c r="EU22" s="47">
        <f t="shared" ca="1" si="192"/>
        <v>-3.5948604660492833</v>
      </c>
      <c r="EV22" s="47">
        <f t="shared" ca="1" si="193"/>
        <v>4.8507039993105794E-2</v>
      </c>
      <c r="EW22" s="109">
        <f t="shared" ca="1" si="106"/>
        <v>-147.21499999999992</v>
      </c>
      <c r="EX22" s="46">
        <f t="shared" ca="1" si="107"/>
        <v>2.3850000000001046</v>
      </c>
      <c r="EY22" s="47">
        <f t="shared" ca="1" si="194"/>
        <v>-3.7750000000000341</v>
      </c>
      <c r="EZ22" s="47">
        <f t="shared" ca="1" si="195"/>
        <v>0.55499999999994998</v>
      </c>
      <c r="FA22" s="110">
        <f t="shared" ca="1" si="108"/>
        <v>-142.52499999999992</v>
      </c>
      <c r="FB22" s="46">
        <f t="shared" ca="1" si="109"/>
        <v>1.9150000000000773</v>
      </c>
      <c r="FC22" s="47">
        <f t="shared" ca="1" si="196"/>
        <v>-4.6899999999999977</v>
      </c>
      <c r="FD22" s="47">
        <f t="shared" ca="1" si="197"/>
        <v>0.47000000000002728</v>
      </c>
      <c r="FE22" s="109">
        <f t="shared" ca="1" si="110"/>
        <v>64.239350000000002</v>
      </c>
      <c r="FF22" s="46">
        <f t="shared" ca="1" si="111"/>
        <v>-0.33165000000000361</v>
      </c>
      <c r="FG22" s="110">
        <f t="shared" ca="1" si="112"/>
        <v>53.934300000000007</v>
      </c>
      <c r="FH22" s="46">
        <f t="shared" ca="1" si="113"/>
        <v>-0.16469999999999629</v>
      </c>
      <c r="FI22" s="110">
        <f t="shared" ca="1" si="114"/>
        <v>57.629349999999995</v>
      </c>
      <c r="FJ22" s="46">
        <f t="shared" ca="1" si="115"/>
        <v>-0.34165000000000872</v>
      </c>
      <c r="FK22" s="110">
        <f t="shared" ca="1" si="116"/>
        <v>47.324300000000008</v>
      </c>
      <c r="FL22" s="46">
        <f t="shared" ca="1" si="117"/>
        <v>-0.17470000000000141</v>
      </c>
      <c r="FM22" s="110">
        <f t="shared" ca="1" si="118"/>
        <v>62.738022727272721</v>
      </c>
      <c r="FN22" s="46">
        <f t="shared" ca="1" si="119"/>
        <v>-0.1555045454545394</v>
      </c>
      <c r="FO22" s="110">
        <f t="shared" ca="1" si="120"/>
        <v>52.761272727272726</v>
      </c>
      <c r="FP22" s="46">
        <f t="shared" ca="1" si="121"/>
        <v>-2.1454545454533985E-2</v>
      </c>
      <c r="FQ22" s="110">
        <f t="shared" ca="1" si="122"/>
        <v>58.444159090909082</v>
      </c>
      <c r="FR22" s="46">
        <f t="shared" ca="1" si="123"/>
        <v>-5.7550000000001017E-2</v>
      </c>
      <c r="FS22" s="110">
        <f t="shared" ca="1" si="124"/>
        <v>48.467409090909086</v>
      </c>
      <c r="FT22" s="111">
        <f t="shared" ca="1" si="125"/>
        <v>7.6500000000004398E-2</v>
      </c>
      <c r="FU22" s="109">
        <f ca="1">IFERROR(IF(ISNUMBER($K$21), $K21 - $S22, $K$22), "")</f>
        <v>95.094999999999999</v>
      </c>
      <c r="FV22" s="46">
        <f t="shared" ref="FV22:FV66" ca="1" si="213">IFERROR(IF(AND(ISNUMBER($FU22), ISNUMBER($BA22)), $FU22 - $BA22, ""), "")</f>
        <v>-0.82500000000000284</v>
      </c>
      <c r="FW22" s="48">
        <f ca="1">IF(AND(ISNUMBER($FU21), ISNUMBER($FU22)), $FU21 - $FU22, "")</f>
        <v>12.670000000000002</v>
      </c>
      <c r="FX22" s="114">
        <f ca="1">IF(AND(ISNUMBER($FV21), ISNUMBER($FV22)), $FV21 - $FV22, "")</f>
        <v>2.4399999999999977</v>
      </c>
      <c r="FY22" s="110">
        <f t="shared" ref="FY22:FY66" ca="1" si="214">IFERROR(IF(AND(ISNUMBER($FU22), ISNUMBER($BI22)), $FU22 - $BI22, ""), "")</f>
        <v>3.4699999999999989</v>
      </c>
      <c r="FZ22" s="46">
        <f t="shared" ref="FZ22:FZ66" ca="1" si="215">IFERROR(IF(AND(ISNUMBER($FV22), ISNUMBER($BJ22)), $FV22 - $BJ22, ""), "")</f>
        <v>-0.88000000000000966</v>
      </c>
      <c r="GA22" s="47">
        <f t="shared" ref="GA22:GA66" ca="1" si="216">IF(AND(ISNUMBER($FY21), ISNUMBER($FY22)), $FY21 - $FY22, "")</f>
        <v>9.1950000000000074</v>
      </c>
      <c r="GB22" s="46">
        <f ca="1">IF(AND(ISNUMBER($FZ21), ISNUMBER($FZ22)), $FZ21 - $FZ22, "")</f>
        <v>2.0450000000000159</v>
      </c>
      <c r="GC22" s="110" t="str">
        <f ca="1">IFERROR(IF(AND(ISNUMBER($FU22), ISNUMBER(Crd!$X22)), $FU22 - Crd!$X22, ""), "")</f>
        <v/>
      </c>
      <c r="GD22" s="46" t="str">
        <f ca="1">IFERROR(IF(AND(ISNUMBER($FV22), ISNUMBER(Crd!$Y22)), $FV22 - Crd!$Y22, ""), "")</f>
        <v/>
      </c>
      <c r="GE22" s="47" t="str">
        <f t="shared" ref="GE22:GE66" ca="1" si="217">IF(AND(ISNUMBER($GC21), ISNUMBER($GC22)), $GC21 - $GC22, "")</f>
        <v/>
      </c>
      <c r="GF22" s="46" t="str">
        <f t="shared" ref="GF22:GF66" ca="1" si="218">IF(AND(ISNUMBER($GD21), ISNUMBER($GD22)), $GD21 - $GD22, "")</f>
        <v/>
      </c>
      <c r="GG22" s="141">
        <f t="shared" ca="1" si="198"/>
        <v>88.38</v>
      </c>
      <c r="GH22" s="50">
        <f t="shared" ca="1" si="199"/>
        <v>-1.4654545454545447</v>
      </c>
      <c r="GI22" s="47">
        <f t="shared" ca="1" si="144"/>
        <v>2.9192857142857065</v>
      </c>
      <c r="GJ22" s="46">
        <f t="shared" ca="1" si="145"/>
        <v>0.24854978354977075</v>
      </c>
      <c r="GK22" s="110">
        <f t="shared" ca="1" si="127"/>
        <v>2.4859090909090753</v>
      </c>
      <c r="GL22" s="46">
        <f t="shared" ca="1" si="128"/>
        <v>-1.2804545454545515</v>
      </c>
      <c r="GM22" s="47">
        <f t="shared" ca="1" si="200"/>
        <v>0.35766233766233313</v>
      </c>
      <c r="GN22" s="46">
        <f t="shared" ca="1" si="201"/>
        <v>0.1625974025973953</v>
      </c>
      <c r="GO22" s="110" t="str">
        <f ca="1">IFERROR(IF(AND(ISNUMBER($GG22), ISNUMBER(Crd!$X22)), $GG22 - Crd!$X22, ""), "")</f>
        <v/>
      </c>
      <c r="GP22" s="46" t="str">
        <f ca="1">IFERROR(IF(AND(ISNUMBER($GH22), ISNUMBER(Crd!$Y22)), $GH22 - Crd!$Y22, ""), "")</f>
        <v/>
      </c>
      <c r="GQ22" s="47" t="str">
        <f t="shared" ca="1" si="202"/>
        <v/>
      </c>
      <c r="GR22" s="46" t="str">
        <f t="shared" ca="1" si="203"/>
        <v/>
      </c>
      <c r="GS22" s="436">
        <f t="shared" ref="GS22:GS66" ca="1" si="219">IFERROR(IF(ISNUMBER($L$21), $GS21 - $T22, $L$22), "")</f>
        <v>95.054999999999993</v>
      </c>
      <c r="GT22" s="46">
        <f t="shared" ref="GT22:GT66" ca="1" si="220">IFERROR(IF(AND(ISNUMBER($GS22), ISNUMBER($BB22)), $GS22 - $BB22, ""), "")</f>
        <v>0.80499999999999261</v>
      </c>
      <c r="GU22" s="48">
        <f ca="1">IF(AND(ISNUMBER($GS21), ISNUMBER($GS22)), $GS21 - $GS22, "")</f>
        <v>6.9249999999999972</v>
      </c>
      <c r="GV22" s="46">
        <f ca="1">IF(AND(ISNUMBER($GT21), ISNUMBER($GT22)), $GT21 - $GT22, "")</f>
        <v>1.9949999999999903</v>
      </c>
      <c r="GW22" s="427" t="str">
        <f t="shared" ca="1" si="204"/>
        <v/>
      </c>
      <c r="GX22" s="50" t="str">
        <f t="shared" ca="1" si="146"/>
        <v/>
      </c>
      <c r="GY22" s="47" t="str">
        <f t="shared" ca="1" si="205"/>
        <v/>
      </c>
      <c r="GZ22" s="432" t="str">
        <f t="shared" ca="1" si="206"/>
        <v/>
      </c>
      <c r="HA22" s="436">
        <f t="shared" ca="1" si="207"/>
        <v>627.20000000000005</v>
      </c>
      <c r="HB22" s="46">
        <f t="shared" ca="1" si="208"/>
        <v>30.600000000000023</v>
      </c>
      <c r="HC22" s="48">
        <f t="shared" ref="HC22:HC31" ca="1" si="221">IF(AND(ISNUMBER($HA21), ISNUMBER($HA22)), $HA21 - $HA22, "")</f>
        <v>25.099999999999909</v>
      </c>
      <c r="HD22" s="46">
        <f t="shared" ref="HD22:HD31" ca="1" si="222">IF(AND(ISNUMBER($HB21), ISNUMBER($HB22)), $HB21 - $HB22, "")</f>
        <v>10.899999999999977</v>
      </c>
      <c r="HE22" s="269">
        <f t="shared" ca="1" si="147"/>
        <v>93.038434723272971</v>
      </c>
      <c r="HF22" s="46">
        <f t="shared" ca="1" si="148"/>
        <v>4.5391838369453996</v>
      </c>
      <c r="HG22" s="48">
        <f t="shared" ca="1" si="149"/>
        <v>3.7233174610238247</v>
      </c>
      <c r="HH22" s="432">
        <f t="shared" ca="1" si="150"/>
        <v>1.6168988177354482</v>
      </c>
    </row>
    <row r="23" spans="1:216" x14ac:dyDescent="0.25">
      <c r="A23" s="58">
        <f t="shared" ca="1" si="131"/>
        <v>46388</v>
      </c>
      <c r="B23" s="6" t="str">
        <f ca="1">INDEX(MthRef[], MATCH(MONTH(Futs!$A23), MthRef[Mth], 0), 2)</f>
        <v>F</v>
      </c>
      <c r="C23" s="6">
        <f t="shared" ca="1" si="65"/>
        <v>2027</v>
      </c>
      <c r="D23" s="6" t="str">
        <f t="shared" ca="1" si="66"/>
        <v>Q127</v>
      </c>
      <c r="E23" s="6" t="str">
        <f t="shared" ca="1" si="132"/>
        <v>F7</v>
      </c>
      <c r="F23" s="10">
        <f ca="1">IFERROR(AVERAGE(_xll.BDP(F$18 &amp; $B23 &amp; RIGHT($C23, 1) &amp; " " &amp; "Comdty", "BID", "Fill=#N/A"), _xll.BDP(F$18 &amp; $B23 &amp; RIGHT($C23, 1) &amp; " " &amp; "Comdty", "ASK", "Fill=#N/A")), NA())</f>
        <v>82.334999999999994</v>
      </c>
      <c r="G23" s="10">
        <f ca="1">IFERROR(AVERAGE(_xll.BDP(G$18 &amp; $B23 &amp; RIGHT($C23, 1) &amp; " " &amp; "Comdty", "BID", "Fill=#N/A"), _xll.BDP(G$18 &amp; $B23 &amp; RIGHT($C23, 1) &amp; " " &amp; "Comdty", "ASK", "Fill=#N/A")), NA())</f>
        <v>88.58</v>
      </c>
      <c r="H23" s="10">
        <f ca="1">IFERROR(AVERAGE(_xll.BDP(H$18 &amp; $B23 &amp; RIGHT($C23, 1) &amp; " " &amp; "Comdty", "BID", "Fill=#N/A"), _xll.BDP(H$18 &amp; $B23 &amp; RIGHT($C23, 1) &amp; " " &amp; "Comdty", "ASK", "Fill=#N/A")), NA())</f>
        <v>1169.625</v>
      </c>
      <c r="I23" s="10">
        <f ca="1">IFERROR(AVERAGE(_xll.BDP(I$18 &amp; $B23 &amp; RIGHT($C23, 1) &amp; " " &amp; "Comdty", "BID", "Fill=#N/A"), _xll.BDP(I$18 &amp; $B23 &amp; RIGHT($C23, 1) &amp; " " &amp; "Comdty", "ASK", "Fill=#N/A")), NA())</f>
        <v>414.935</v>
      </c>
      <c r="J23" s="10">
        <f ca="1">IFERROR(AVERAGE(_xll.BDP(J$18 &amp; $B23 &amp; RIGHT($C23, 1) &amp; " " &amp; "Comdty", "BID", "Fill=#N/A"), _xll.BDP(J$18 &amp; $B23 &amp; RIGHT($C23, 1) &amp; " " &amp; "Comdty", "ASK", "Fill=#N/A")), NA())</f>
        <v>272.375</v>
      </c>
      <c r="K23" s="10">
        <f ca="1">IFERROR(AVERAGE(_xll.BDP(K$18 &amp; $B23 &amp; RIGHT($C23, 2) &amp; " " &amp; "Comdty", "BID", "Fill=#N/A"), _xll.BDP(K$18 &amp; $B23 &amp; RIGHT($C23, 2) &amp; " " &amp; "Comdty", "ASK", "Fill=#N/A")), NA())</f>
        <v>91.435000000000002</v>
      </c>
      <c r="L23" s="10" t="e">
        <f ca="1">IFERROR(AVERAGE(_xll.BDP(L$18 &amp; $B23 &amp; RIGHT($C23, 2) &amp; " " &amp; "Comdty", "BID", "Fill=#N/A"), _xll.BDP(L$18 &amp; $B23 &amp; RIGHT($C23, 2) &amp; " " &amp; "Comdty", "ASK", "Fill=#N/A")), NA())</f>
        <v>#N/A</v>
      </c>
      <c r="M23" s="10">
        <f ca="1">IFERROR(AVERAGE(_xll.BDP(M$18 &amp; $B23 &amp; RIGHT($C23, 2) &amp; " " &amp; "Comdty", "BID", "Fill=#N/A"), _xll.BDP(M$18 &amp; $B23 &amp; RIGHT($C23, 2) &amp; " " &amp; "Comdty", "ASK", "Fill=#N/A")), NA())</f>
        <v>605.79999999999995</v>
      </c>
      <c r="N23" s="10">
        <f ca="1">IFERROR(AVERAGE(_xll.BDP(N$18 &amp; $B22 &amp; RIGHT($C22, 1) &amp; N$18 &amp; $B23 &amp; RIGHT($C23, 1) &amp; " " &amp; "Comdty", "BID", "Fill=#N/A"), _xll.BDP(N$18 &amp; $B22 &amp; RIGHT($C22, 1) &amp; N$18 &amp; $B23 &amp; RIGHT($C23, 1) &amp; " " &amp; "Comdty", "ASK", "Fill=#N/A")), NA())</f>
        <v>2.6749999999999998</v>
      </c>
      <c r="O23" s="10">
        <f ca="1">IFERROR(AVERAGE(_xll.BDP(O$18 &amp; $B22 &amp; RIGHT($C22, 1) &amp; O$18 &amp; $B23 &amp; RIGHT($C23, 1) &amp; " " &amp; "Comdty", "BID", "Fill=#N/A"), _xll.BDP(O$18 &amp; $B22 &amp; RIGHT($C22, 1) &amp; O$18 &amp; $B23 &amp; RIGHT($C23, 1) &amp; " " &amp; "Comdty", "ASK", "Fill=#N/A")), NA())</f>
        <v>3.05</v>
      </c>
      <c r="P23" s="10">
        <f ca="1">IFERROR(AVERAGE(_xll.BDP(P$18 &amp; $B22 &amp; RIGHT($C22, 1) &amp; P$18 &amp; $B23 &amp; RIGHT($C23, 1) &amp; " " &amp; "Comdty", "BID", "Fill=#N/A"), _xll.BDP(P$18 &amp; $B22 &amp; RIGHT($C22, 1) &amp; P$18 &amp; $B23 &amp; RIGHT($C23, 1) &amp; " " &amp; "Comdty", "ASK", "Fill=#N/A")), NA())</f>
        <v>46.125</v>
      </c>
      <c r="Q23" s="10">
        <f ca="1">IFERROR(AVERAGE(_xll.BDP(Q$18 &amp; $B22 &amp; RIGHT($C22, 1) &amp; Q$18 &amp; $B23 &amp; RIGHT($C23, 1) &amp; " " &amp; "Comdty", "BID", "Fill=#N/A"), _xll.BDP(Q$18 &amp; $B22 &amp; RIGHT($C22, 1) &amp; Q$18 &amp; $B23 &amp; RIGHT($C23, 1) &amp; " " &amp; "Comdty", "ASK", "Fill=#N/A")), NA())</f>
        <v>14.05</v>
      </c>
      <c r="R23" s="10">
        <f ca="1">IFERROR(AVERAGE(_xll.BDP(R$18 &amp; $B22 &amp; RIGHT($C22, 1) &amp; R$18 &amp; $B23 &amp; RIGHT($C23, 1) &amp; " " &amp; "Comdty", "BID", "Fill=#N/A"), _xll.BDP(R$18 &amp; $B22 &amp; RIGHT($C22, 1) &amp; R$18 &amp; $B23 &amp; RIGHT($C23, 1) &amp; " " &amp; "Comdty", "ASK", "Fill=#N/A")), NA())</f>
        <v>9.36</v>
      </c>
      <c r="S23" s="10">
        <f ca="1">IFERROR(AVERAGE(_xll.BDP(S$18 &amp; $B22 &amp; RIGHT($C22, 1) &amp; $B23 &amp; RIGHT($C23, 1) &amp; " " &amp; "Comdty", "BID", "Fill=#N/A"), _xll.BDP(S$18 &amp; $B22 &amp; RIGHT($C22, 1) &amp; $B23 &amp; RIGHT($C23, 1) &amp; " " &amp; "Comdty", "ASK", "Fill=#N/A")), NA())</f>
        <v>3.665</v>
      </c>
      <c r="T23" s="10" t="e">
        <f ca="1">IFERROR(AVERAGE(_xll.BDP(T$18 &amp; $B22 &amp; RIGHT($C22, 1) &amp; $B23 &amp; RIGHT($C23, 1) &amp; " " &amp; "Comdty", "BID", "Fill=#N/A"), _xll.BDP(T$18 &amp; $B22 &amp; RIGHT($C22, 1) &amp; $B23 &amp; RIGHT($C23, 1) &amp; " " &amp; "Comdty", "ASK", "Fill=#N/A")), NA())</f>
        <v>#N/A</v>
      </c>
      <c r="U23" s="10">
        <f ca="1">IF($A23 &lt; Diagnostics!$B$3, N23, INDEX(ImpSprd[], MATCH(Futs!$C23, ImpSprd[Yr], 0), MATCH(U$18, ImpSprd[#Headers], 0)))</f>
        <v>2.6749999999999998</v>
      </c>
      <c r="V23" s="10">
        <f ca="1">IF($A23 &lt; Diagnostics!$B$3, O23, INDEX(ImpSprd[], MATCH(Futs!$C23, ImpSprd[Yr], 0), MATCH(V$18, ImpSprd[#Headers], 0)))</f>
        <v>3.05</v>
      </c>
      <c r="W23" s="10">
        <f ca="1">IF($A23 &lt; Diagnostics!$B$3, P23, INDEX(ImpSprd[], MATCH(Futs!$C23, ImpSprd[Yr], 0), MATCH(W$18, ImpSprd[#Headers], 0)))</f>
        <v>46.125</v>
      </c>
      <c r="X23" s="31">
        <f ca="1">INDEX(Expi[], MATCH($A23, Expi[Date], 0), MATCH(X$18, Expi[#Headers], 0))</f>
        <v>46407</v>
      </c>
      <c r="Y23" s="31">
        <f ca="1">INDEX(Expi[], MATCH($A23, Expi[Date], 0), MATCH(Y$18, Expi[#Headers], 0))</f>
        <v>46416</v>
      </c>
      <c r="Z23" s="31">
        <f ca="1">INDEX(Expi[], MATCH($A23, Expi[Date], 0), MATCH(Z$18, Expi[#Headers], 0))</f>
        <v>46399</v>
      </c>
      <c r="AA23" s="31">
        <f ca="1">INDEX(Expi[], MATCH($A23, Expi[Date], 0), MATCH(AA$18, Expi[#Headers], 0))</f>
        <v>46416</v>
      </c>
      <c r="AB23" s="31">
        <f ca="1">INDEX(Expi[], MATCH($A23, Expi[Date], 0), MATCH(AB$18, Expi[#Headers], 0))</f>
        <v>46416</v>
      </c>
      <c r="AC23" s="31">
        <f ca="1">INDEX(Expi[], MATCH($A23, Expi[Date], 0), MATCH(AC$18, Expi[#Headers], 0))</f>
        <v>46416</v>
      </c>
      <c r="AD23" s="7">
        <f ca="1">NETWORKDAYS($A23, EOMONTH($A23, 0), Hols[CME])</f>
        <v>20</v>
      </c>
      <c r="AE23" s="7">
        <f ca="1">NETWORKDAYS($A23, EOMONTH($A23, 0), Hols[ICE])</f>
        <v>20</v>
      </c>
      <c r="AF23" s="7">
        <f ca="1">NETWORKDAYS($A23, EOMONTH($A23, 0), Hols[ICE])</f>
        <v>20</v>
      </c>
      <c r="AG23" s="7">
        <f ca="1">NETWORKDAYS($A23, EOMONTH($A23, 0), Hols[CME])</f>
        <v>20</v>
      </c>
      <c r="AH23" s="7">
        <f ca="1">NETWORKDAYS($A23, EOMONTH($A23, 0), Hols[CME])</f>
        <v>20</v>
      </c>
      <c r="AI23" s="7">
        <f ca="1">NETWORKDAYS($A23, EOMONTH($A23, 0), Hols[ICE])</f>
        <v>20</v>
      </c>
      <c r="AJ23" s="7">
        <f ca="1">NETWORKDAYS($A23, X23, Hols[CME])</f>
        <v>13</v>
      </c>
      <c r="AK23" s="7">
        <f ca="1">NETWORKDAYS($A23, Y23, Hols[ICE]) - 1</f>
        <v>19</v>
      </c>
      <c r="AL23" s="7">
        <f ca="1">NETWORKDAYS($A23, Z23, Hols[ICE]) - 1</f>
        <v>6</v>
      </c>
      <c r="AM23" s="7">
        <f ca="1">NETWORKDAYS($A23, AA23, Hols[CME])</f>
        <v>20</v>
      </c>
      <c r="AN23" s="7">
        <f ca="1">NETWORKDAYS($A23, AB23, Hols[CME])</f>
        <v>20</v>
      </c>
      <c r="AO23" s="7">
        <f ca="1">NETWORKDAYS($A23, AC23, Hols[ICE]) - 1</f>
        <v>19</v>
      </c>
      <c r="AP23" s="10">
        <f t="shared" ca="1" si="67"/>
        <v>0.65</v>
      </c>
      <c r="AQ23" s="10">
        <f t="shared" ca="1" si="68"/>
        <v>0.95</v>
      </c>
      <c r="AR23" s="10">
        <f t="shared" ca="1" si="69"/>
        <v>0.3</v>
      </c>
      <c r="AS23" s="10">
        <f t="shared" ca="1" si="70"/>
        <v>1</v>
      </c>
      <c r="AT23" s="10">
        <f t="shared" ca="1" si="71"/>
        <v>1</v>
      </c>
      <c r="AU23" s="10">
        <f t="shared" ca="1" si="71"/>
        <v>0.95</v>
      </c>
      <c r="AV23" s="28">
        <f ca="1">IFERROR(AVERAGE(_xll.BDH(AV$18 &amp; $B23 &amp; RIGHT($C23, 1) &amp; " " &amp; "Comdty", "PX_SETTLE", AV$16, AV$16, "Fill=#N/A")), IFERROR(AVERAGE(_xll.BDH(AV$18 &amp; $B23 &amp; RIGHT($C23, 2) &amp; " " &amp; "Comdty", "PX_SETTLE", AV$16, AV$16, "Fill=#N/A")), NA()))</f>
        <v>82.4</v>
      </c>
      <c r="AW23" s="28">
        <f ca="1">IFERROR(AVERAGE(_xll.BDH(AW$18 &amp; $B23 &amp; RIGHT($C23, 1) &amp; " " &amp; "Comdty", "PX_SETTLE", AW$16, AW$16, "Fill=#N/A")), IFERROR(AVERAGE(_xll.BDH(AW$18 &amp; $B23 &amp; RIGHT($C23, 2) &amp; " " &amp; "Comdty", "PX_SETTLE", AW$16, AW$16, "Fill=#N/A")), NA()))</f>
        <v>88.67</v>
      </c>
      <c r="AX23" s="29">
        <f ca="1">IFERROR(AVERAGE(_xll.BDH(AX$18 &amp; $B23 &amp; RIGHT($C23, 2) &amp; " " &amp; "Comdty", "FAIR_VALUE_SNAPSHOT_AT_1430", AX$16, AX$16, "TIME_ZONE_OVERRIDE=13", "Fill=#N/A")), NA())</f>
        <v>1175.5</v>
      </c>
      <c r="AY23" s="28">
        <f ca="1">IFERROR(AVERAGE(_xll.BDH(AY$18 &amp; $B23 &amp; RIGHT($C23, 1) &amp; " " &amp; "Comdty", "PX_SETTLE", AY$16, AY$16, "Fill=#N/A")), NA())</f>
        <v>416.46</v>
      </c>
      <c r="AZ23" s="28">
        <f ca="1">IFERROR(AVERAGE(_xll.BDH(AZ$18 &amp; $B23 &amp; RIGHT($C23, 1) &amp; " " &amp; "Comdty", "PX_SETTLE", AZ$16, AZ$16, "Fill=#N/A")), NA())</f>
        <v>272.02</v>
      </c>
      <c r="BA23" s="29">
        <f ca="1">IFERROR(AVERAGE(_xll.BDH(BA$18 &amp; $B23 &amp; RIGHT($C23, 2) &amp; " " &amp; "Comdty", "PX_SETTLE", BA$16, BA$16, "Fill=#N/A")), IFERROR(AVERAGE(_xll.BDH(BA$18 &amp; $B23 &amp; RIGHT($C23, 2) &amp; " " &amp; "Comdty", "PX_SETTLE", BA$16, BA$16, "Fill=#N/A")), NA()))</f>
        <v>92.64</v>
      </c>
      <c r="BB23" s="29">
        <f ca="1">IFERROR(AVERAGE(_xll.BDH(BB$18 &amp; $B23 &amp; RIGHT($C23, 2) &amp; " " &amp; "Comdty", "PX_SETTLE", BB$16, BB$16, "Fill=#N/A")), IFERROR(AVERAGE(_xll.BDH(BB$18 &amp; $B23 &amp; RIGHT($C23, 2) &amp; " " &amp; "Comdty", "PX_SETTLE", BB$16, BB$16, "Fill=#N/A")), NA()))</f>
        <v>90.34</v>
      </c>
      <c r="BC23" s="29">
        <f ca="1">IFERROR(AVERAGE(_xll.BDH(BC$18 &amp; $B23 &amp; RIGHT($C23, 2) &amp; " " &amp; "Comdty", "PX_SETTLE", BC$16, BC$16, "Fill=#N/A")), IFERROR(AVERAGE(_xll.BDH(BC$18 &amp; $B23 &amp; RIGHT($C23, 2) &amp; " " &amp; "Comdty", "PX_SETTLE", BC$16, BC$16, "Fill=#N/A")), NA()))</f>
        <v>583.9</v>
      </c>
      <c r="BD23" s="29" cm="1">
        <f t="array" ref="BD23">_xll.BFXFORWARD("USDCNY", "3M", "MidOutright")</f>
        <v>6.7227505000000001</v>
      </c>
      <c r="BE23" s="109">
        <f t="shared" ca="1" si="209"/>
        <v>82.34</v>
      </c>
      <c r="BF23" s="46">
        <f t="shared" ca="1" si="72"/>
        <v>-6.0000000000002274E-2</v>
      </c>
      <c r="BG23" s="47">
        <f t="shared" ca="1" si="151"/>
        <v>2.6749999999999972</v>
      </c>
      <c r="BH23" s="114">
        <f t="shared" ref="BH23:BH66" ca="1" si="223">IF(AND(ISNUMBER($BF22), ISNUMBER($BF23)), $BF22 - $BF23, "")</f>
        <v>0.10500000000000398</v>
      </c>
      <c r="BI23" s="110">
        <f t="shared" ref="BI23:BI66" ca="1" si="224">IFERROR($BI22 - $V23, "")</f>
        <v>88.575000000000003</v>
      </c>
      <c r="BJ23" s="46">
        <f t="shared" ca="1" si="73"/>
        <v>-9.4999999999998863E-2</v>
      </c>
      <c r="BK23" s="48">
        <f t="shared" ref="BK23:BK66" ca="1" si="225">IF(AND(ISNUMBER($BI22), ISNUMBER($BI23)), $BI22 - $BI23, "")</f>
        <v>3.0499999999999972</v>
      </c>
      <c r="BL23" s="114">
        <f t="shared" ref="BL23:BL66" ca="1" si="226">IF(AND(ISNUMBER($BJ22), ISNUMBER($BJ23)), $BJ22 - $BJ23, "")</f>
        <v>0.15000000000000568</v>
      </c>
      <c r="BM23" s="48">
        <f t="shared" ca="1" si="152"/>
        <v>1169.625</v>
      </c>
      <c r="BN23" s="46">
        <f t="shared" ca="1" si="74"/>
        <v>-5.875</v>
      </c>
      <c r="BO23" s="47">
        <f t="shared" ca="1" si="210"/>
        <v>46.125</v>
      </c>
      <c r="BP23" s="46">
        <f t="shared" ca="1" si="133"/>
        <v>-0.875</v>
      </c>
      <c r="BQ23" s="110">
        <f t="shared" ca="1" si="211"/>
        <v>414.92499999999995</v>
      </c>
      <c r="BR23" s="46">
        <f t="shared" ca="1" si="75"/>
        <v>-1.535000000000025</v>
      </c>
      <c r="BS23" s="47">
        <f t="shared" ca="1" si="153"/>
        <v>14.050000000000011</v>
      </c>
      <c r="BT23" s="114">
        <f t="shared" ca="1" si="154"/>
        <v>-0.34000000000003183</v>
      </c>
      <c r="BU23" s="48">
        <f t="shared" ca="1" si="212"/>
        <v>272.40000000000003</v>
      </c>
      <c r="BV23" s="46">
        <f t="shared" ca="1" si="76"/>
        <v>0.3800000000000523</v>
      </c>
      <c r="BW23" s="47">
        <f t="shared" ca="1" si="155"/>
        <v>9.3600000000000136</v>
      </c>
      <c r="BX23" s="46">
        <f t="shared" ca="1" si="156"/>
        <v>0.12999999999999545</v>
      </c>
      <c r="BY23" s="140">
        <f t="shared" ca="1" si="134"/>
        <v>79.355249999999998</v>
      </c>
      <c r="BZ23" s="46">
        <f t="shared" ca="1" si="135"/>
        <v>-0.1677500000000002</v>
      </c>
      <c r="CA23" s="47">
        <f t="shared" ca="1" si="157"/>
        <v>2.244977272727283</v>
      </c>
      <c r="CB23" s="46">
        <f t="shared" ca="1" si="158"/>
        <v>8.0704545454545362E-2</v>
      </c>
      <c r="CC23" s="141">
        <f t="shared" ca="1" si="136"/>
        <v>84.058500000000009</v>
      </c>
      <c r="CD23" s="50">
        <f t="shared" ca="1" si="137"/>
        <v>-0.23649999999999949</v>
      </c>
      <c r="CE23" s="47">
        <f t="shared" ca="1" si="159"/>
        <v>1.8355909090909108</v>
      </c>
      <c r="CF23" s="46">
        <f t="shared" ca="1" si="160"/>
        <v>5.1500000000006263E-2</v>
      </c>
      <c r="CG23" s="141">
        <f t="shared" ca="1" si="138"/>
        <v>1144.075</v>
      </c>
      <c r="CH23" s="50">
        <f t="shared" ca="1" si="139"/>
        <v>-5.5249999999999995</v>
      </c>
      <c r="CI23" s="47">
        <f t="shared" ca="1" si="161"/>
        <v>40.226136363636442</v>
      </c>
      <c r="CJ23" s="46">
        <f t="shared" ca="1" si="162"/>
        <v>-0.62840909090909136</v>
      </c>
      <c r="CK23" s="141">
        <f t="shared" ca="1" si="140"/>
        <v>402.55499999999995</v>
      </c>
      <c r="CL23" s="50">
        <f t="shared" ca="1" si="77"/>
        <v>-1.4550000000000409</v>
      </c>
      <c r="CM23" s="47">
        <f t="shared" ca="1" si="163"/>
        <v>12.370000000000005</v>
      </c>
      <c r="CN23" s="46">
        <f t="shared" ca="1" si="164"/>
        <v>-7.9999999999984084E-2</v>
      </c>
      <c r="CO23" s="141">
        <f t="shared" ca="1" si="141"/>
        <v>269.24</v>
      </c>
      <c r="CP23" s="50">
        <f t="shared" ca="1" si="78"/>
        <v>0.24000000000000909</v>
      </c>
      <c r="CQ23" s="47">
        <f t="shared" ca="1" si="165"/>
        <v>3.160000000000025</v>
      </c>
      <c r="CR23" s="46">
        <f t="shared" ca="1" si="166"/>
        <v>0.1400000000000432</v>
      </c>
      <c r="CS23" s="109">
        <f t="shared" ca="1" si="79"/>
        <v>-6.2349999999999994</v>
      </c>
      <c r="CT23" s="46">
        <f t="shared" ca="1" si="80"/>
        <v>3.4999999999996589E-2</v>
      </c>
      <c r="CU23" s="47">
        <f t="shared" ca="1" si="167"/>
        <v>-0.375</v>
      </c>
      <c r="CV23" s="46">
        <f t="shared" ca="1" si="168"/>
        <v>-0.21999999999999886</v>
      </c>
      <c r="CW23" s="110">
        <f t="shared" ca="1" si="142"/>
        <v>-4.7032500000000113</v>
      </c>
      <c r="CX23" s="46">
        <f t="shared" ca="1" si="81"/>
        <v>6.8749999999999284E-2</v>
      </c>
      <c r="CY23" s="47">
        <f t="shared" ca="1" si="169"/>
        <v>0.40938636363637215</v>
      </c>
      <c r="CZ23" s="46">
        <f t="shared" ca="1" si="170"/>
        <v>2.9204545454539099E-2</v>
      </c>
      <c r="DA23" s="109">
        <f t="shared" ca="1" si="82"/>
        <v>68.421644295302016</v>
      </c>
      <c r="DB23" s="46">
        <f t="shared" ca="1" si="83"/>
        <v>-0.6935906040268468</v>
      </c>
      <c r="DC23" s="47">
        <f t="shared" ca="1" si="171"/>
        <v>3.1412751677852242</v>
      </c>
      <c r="DD23" s="46">
        <f t="shared" ca="1" si="143"/>
        <v>-0.26744966442953588</v>
      </c>
      <c r="DE23" s="110">
        <f t="shared" ca="1" si="84"/>
        <v>85.693499999999986</v>
      </c>
      <c r="DF23" s="46">
        <f t="shared" ca="1" si="85"/>
        <v>-0.54970000000001162</v>
      </c>
      <c r="DG23" s="47">
        <f t="shared" ca="1" si="172"/>
        <v>2.8509999999999849</v>
      </c>
      <c r="DH23" s="46">
        <f t="shared" ca="1" si="173"/>
        <v>-0.29280000000001905</v>
      </c>
      <c r="DI23" s="110">
        <f ca="1">IFERROR(IF(AND(ISNUMBER($BU23), ISNUMBER($BI23)), $BU23 * 42/100 - $BI23, ""), "")</f>
        <v>25.833000000000013</v>
      </c>
      <c r="DJ23" s="46">
        <f t="shared" ca="1" si="87"/>
        <v>0.25460000000002081</v>
      </c>
      <c r="DK23" s="47">
        <f t="shared" ca="1" si="174"/>
        <v>0.88120000000000687</v>
      </c>
      <c r="DL23" s="46">
        <f t="shared" ca="1" si="175"/>
        <v>-9.540000000000759E-2</v>
      </c>
      <c r="DM23" s="110">
        <f t="shared" ca="1" si="88"/>
        <v>91.928499999999985</v>
      </c>
      <c r="DN23" s="46">
        <f t="shared" ca="1" si="89"/>
        <v>-0.58470000000000821</v>
      </c>
      <c r="DO23" s="47">
        <f t="shared" ca="1" si="176"/>
        <v>3.2259999999999849</v>
      </c>
      <c r="DP23" s="47">
        <f t="shared" ca="1" si="177"/>
        <v>-0.24780000000001734</v>
      </c>
      <c r="DQ23" s="110">
        <f t="shared" ca="1" si="90"/>
        <v>32.068000000000012</v>
      </c>
      <c r="DR23" s="46">
        <f t="shared" ca="1" si="91"/>
        <v>0.21960000000002425</v>
      </c>
      <c r="DS23" s="47">
        <f t="shared" ca="1" si="178"/>
        <v>1.2562000000000069</v>
      </c>
      <c r="DT23" s="47">
        <f t="shared" ca="1" si="179"/>
        <v>-5.0400000000005912E-2</v>
      </c>
      <c r="DU23" s="109">
        <f t="shared" ca="1" si="92"/>
        <v>69.508614093959721</v>
      </c>
      <c r="DV23" s="46">
        <f t="shared" ca="1" si="93"/>
        <v>-0.50511073825503394</v>
      </c>
      <c r="DW23" s="47">
        <f t="shared" ca="1" si="180"/>
        <v>3.5638904820012272</v>
      </c>
      <c r="DX23" s="47">
        <f t="shared" ca="1" si="181"/>
        <v>-0.13585021354485072</v>
      </c>
      <c r="DY23" s="110">
        <f t="shared" ca="1" si="94"/>
        <v>85.014599999999973</v>
      </c>
      <c r="DZ23" s="46">
        <f t="shared" ca="1" si="95"/>
        <v>-0.3746000000000177</v>
      </c>
      <c r="EA23" s="47">
        <f t="shared" ca="1" si="182"/>
        <v>3.3598090909090956</v>
      </c>
      <c r="EB23" s="47">
        <f t="shared" ca="1" si="183"/>
        <v>-8.5099999999999565E-2</v>
      </c>
      <c r="EC23" s="110">
        <f t="shared" ca="1" si="96"/>
        <v>29.022299999999987</v>
      </c>
      <c r="ED23" s="46">
        <f t="shared" ca="1" si="97"/>
        <v>0.33730000000000332</v>
      </c>
      <c r="EE23" s="47">
        <f t="shared" ca="1" si="184"/>
        <v>-0.5083909090908918</v>
      </c>
      <c r="EF23" s="47">
        <f t="shared" ca="1" si="185"/>
        <v>7.3000000000119081E-3</v>
      </c>
      <c r="EG23" s="110">
        <f t="shared" ca="1" si="98"/>
        <v>89.717849999999984</v>
      </c>
      <c r="EH23" s="46">
        <f t="shared" ca="1" si="99"/>
        <v>-0.44335000000001701</v>
      </c>
      <c r="EI23" s="47">
        <f t="shared" ca="1" si="186"/>
        <v>2.9504227272727235</v>
      </c>
      <c r="EJ23" s="47">
        <f t="shared" ca="1" si="187"/>
        <v>-0.11430454545453861</v>
      </c>
      <c r="EK23" s="110">
        <f t="shared" ca="1" si="100"/>
        <v>33.725549999999998</v>
      </c>
      <c r="EL23" s="46">
        <f t="shared" ca="1" si="101"/>
        <v>0.26855000000000401</v>
      </c>
      <c r="EM23" s="47">
        <f t="shared" ca="1" si="188"/>
        <v>-0.91777727272726395</v>
      </c>
      <c r="EN23" s="47">
        <f t="shared" ca="1" si="189"/>
        <v>-2.1904545454527191E-2</v>
      </c>
      <c r="EO23" s="109">
        <f t="shared" ca="1" si="102"/>
        <v>41.123465963566616</v>
      </c>
      <c r="EP23" s="46">
        <f t="shared" ca="1" si="103"/>
        <v>0.34259667625436929</v>
      </c>
      <c r="EQ23" s="47">
        <f t="shared" ca="1" si="190"/>
        <v>-0.69113135186961472</v>
      </c>
      <c r="ER23" s="47">
        <f t="shared" ca="1" si="191"/>
        <v>-6.0357941834483508E-2</v>
      </c>
      <c r="ES23" s="110">
        <f t="shared" ca="1" si="104"/>
        <v>36.919014062000599</v>
      </c>
      <c r="ET23" s="46">
        <f t="shared" ca="1" si="105"/>
        <v>0.310739852988134</v>
      </c>
      <c r="EU23" s="47">
        <f t="shared" ca="1" si="192"/>
        <v>-0.48590807402894143</v>
      </c>
      <c r="EV23" s="47">
        <f t="shared" ca="1" si="193"/>
        <v>0.12083384177345513</v>
      </c>
      <c r="EW23" s="109">
        <f t="shared" ca="1" si="106"/>
        <v>-142.52499999999992</v>
      </c>
      <c r="EX23" s="46">
        <f t="shared" ca="1" si="107"/>
        <v>1.9150000000000773</v>
      </c>
      <c r="EY23" s="47">
        <f t="shared" ca="1" si="194"/>
        <v>-4.6899999999999977</v>
      </c>
      <c r="EZ23" s="47">
        <f t="shared" ca="1" si="195"/>
        <v>0.47000000000002728</v>
      </c>
      <c r="FA23" s="110">
        <f t="shared" ca="1" si="108"/>
        <v>-133.31499999999994</v>
      </c>
      <c r="FB23" s="46">
        <f t="shared" ca="1" si="109"/>
        <v>1.69500000000005</v>
      </c>
      <c r="FC23" s="47">
        <f t="shared" ca="1" si="196"/>
        <v>-9.2099999999999795</v>
      </c>
      <c r="FD23" s="47">
        <f t="shared" ca="1" si="197"/>
        <v>0.22000000000002728</v>
      </c>
      <c r="FE23" s="109">
        <f t="shared" ca="1" si="110"/>
        <v>61.998249999999999</v>
      </c>
      <c r="FF23" s="46">
        <f t="shared" ca="1" si="111"/>
        <v>-0.182549999999992</v>
      </c>
      <c r="FG23" s="110">
        <f t="shared" ca="1" si="112"/>
        <v>52.021500000000003</v>
      </c>
      <c r="FH23" s="46">
        <f t="shared" ca="1" si="113"/>
        <v>-4.8499999999986582E-2</v>
      </c>
      <c r="FI23" s="110">
        <f t="shared" ca="1" si="114"/>
        <v>55.763249999999999</v>
      </c>
      <c r="FJ23" s="46">
        <f t="shared" ca="1" si="115"/>
        <v>-0.14754999999999541</v>
      </c>
      <c r="FK23" s="110">
        <f t="shared" ca="1" si="116"/>
        <v>45.786500000000004</v>
      </c>
      <c r="FL23" s="46">
        <f t="shared" ca="1" si="117"/>
        <v>-1.349999999999002E-2</v>
      </c>
      <c r="FM23" s="110">
        <f t="shared" ca="1" si="118"/>
        <v>61.721699999999991</v>
      </c>
      <c r="FN23" s="46">
        <f t="shared" ca="1" si="119"/>
        <v>-8.74000000000065E-2</v>
      </c>
      <c r="FO23" s="110">
        <f t="shared" ca="1" si="120"/>
        <v>52.389649999999989</v>
      </c>
      <c r="FP23" s="46">
        <f t="shared" ca="1" si="121"/>
        <v>3.1249999999997002E-2</v>
      </c>
      <c r="FQ23" s="110">
        <f t="shared" ca="1" si="122"/>
        <v>57.01844999999998</v>
      </c>
      <c r="FR23" s="46">
        <f t="shared" ca="1" si="123"/>
        <v>-1.8650000000007189E-2</v>
      </c>
      <c r="FS23" s="110">
        <f t="shared" ca="1" si="124"/>
        <v>47.686399999999978</v>
      </c>
      <c r="FT23" s="111">
        <f t="shared" ca="1" si="125"/>
        <v>9.9999999999996314E-2</v>
      </c>
      <c r="FU23" s="109">
        <f ca="1">IFERROR(IF(ISNUMBER($K$21), $K22 - $S23, $K23), "")</f>
        <v>91.434999999999988</v>
      </c>
      <c r="FV23" s="46">
        <f t="shared" ca="1" si="213"/>
        <v>-1.2050000000000125</v>
      </c>
      <c r="FW23" s="48">
        <f t="shared" ref="FW23:FW66" ca="1" si="227">IF(AND(ISNUMBER($FU22), ISNUMBER($FU23)), $FU22 - $FU23, "")</f>
        <v>3.6600000000000108</v>
      </c>
      <c r="FX23" s="114">
        <f t="shared" ref="FX23:FX66" ca="1" si="228">IF(AND(ISNUMBER($FV22), ISNUMBER($FV23)), $FV22 - $FV23, "")</f>
        <v>0.38000000000000966</v>
      </c>
      <c r="FY23" s="110">
        <f t="shared" ca="1" si="214"/>
        <v>2.8599999999999852</v>
      </c>
      <c r="FZ23" s="46">
        <f t="shared" ca="1" si="215"/>
        <v>-1.1100000000000136</v>
      </c>
      <c r="GA23" s="47">
        <f t="shared" ca="1" si="216"/>
        <v>0.61000000000001364</v>
      </c>
      <c r="GB23" s="46">
        <f t="shared" ref="GB23:GB67" ca="1" si="229">IF(AND(ISNUMBER($FZ22), ISNUMBER($FZ23)), $FZ22 - $FZ23, "")</f>
        <v>0.23000000000000398</v>
      </c>
      <c r="GC23" s="110" t="str">
        <f ca="1">IFERROR(IF(AND(ISNUMBER($FU23), ISNUMBER(Crd!$X23)), $FU23 - Crd!$X23, ""), "")</f>
        <v/>
      </c>
      <c r="GD23" s="46" t="str">
        <f ca="1">IFERROR(IF(AND(ISNUMBER($FV23), ISNUMBER(Crd!$Y23)), $FV23 - Crd!$Y23, ""), "")</f>
        <v/>
      </c>
      <c r="GE23" s="47" t="str">
        <f t="shared" ca="1" si="217"/>
        <v/>
      </c>
      <c r="GF23" s="46" t="str">
        <f t="shared" ca="1" si="218"/>
        <v/>
      </c>
      <c r="GG23" s="141" t="str">
        <f t="shared" ca="1" si="198"/>
        <v/>
      </c>
      <c r="GH23" s="50" t="str">
        <f t="shared" ca="1" si="199"/>
        <v/>
      </c>
      <c r="GI23" s="47" t="str">
        <f t="shared" ca="1" si="144"/>
        <v/>
      </c>
      <c r="GJ23" s="46" t="str">
        <f t="shared" ca="1" si="145"/>
        <v/>
      </c>
      <c r="GK23" s="110" t="str">
        <f t="shared" ca="1" si="127"/>
        <v/>
      </c>
      <c r="GL23" s="46" t="str">
        <f t="shared" ca="1" si="128"/>
        <v/>
      </c>
      <c r="GM23" s="47" t="str">
        <f t="shared" ca="1" si="200"/>
        <v/>
      </c>
      <c r="GN23" s="46" t="str">
        <f t="shared" ca="1" si="201"/>
        <v/>
      </c>
      <c r="GO23" s="110" t="str">
        <f ca="1">IFERROR(IF(AND(ISNUMBER($GG23), ISNUMBER(Crd!$X23)), $GG23 - Crd!$X23, ""), "")</f>
        <v/>
      </c>
      <c r="GP23" s="46" t="str">
        <f ca="1">IFERROR(IF(AND(ISNUMBER($GH23), ISNUMBER(Crd!$Y23)), $GH23 - Crd!$Y23, ""), "")</f>
        <v/>
      </c>
      <c r="GQ23" s="47" t="str">
        <f t="shared" ca="1" si="202"/>
        <v/>
      </c>
      <c r="GR23" s="46" t="str">
        <f t="shared" ca="1" si="203"/>
        <v/>
      </c>
      <c r="GS23" s="436" t="str">
        <f t="shared" ca="1" si="219"/>
        <v/>
      </c>
      <c r="GT23" s="46" t="str">
        <f t="shared" ca="1" si="220"/>
        <v/>
      </c>
      <c r="GU23" s="48" t="str">
        <f t="shared" ref="GU23:GU66" ca="1" si="230">IF(AND(ISNUMBER($GS22), ISNUMBER($GS23)), $GS22 - $GS23, "")</f>
        <v/>
      </c>
      <c r="GV23" s="46" t="str">
        <f t="shared" ref="GV23:GV66" ca="1" si="231">IF(AND(ISNUMBER($GT22), ISNUMBER($GT23)), $GT22 - $GT23, "")</f>
        <v/>
      </c>
      <c r="GW23" s="427" t="str">
        <f t="shared" ca="1" si="204"/>
        <v/>
      </c>
      <c r="GX23" s="50" t="str">
        <f t="shared" ca="1" si="146"/>
        <v/>
      </c>
      <c r="GY23" s="47" t="str">
        <f t="shared" ca="1" si="205"/>
        <v/>
      </c>
      <c r="GZ23" s="432" t="str">
        <f t="shared" ca="1" si="206"/>
        <v/>
      </c>
      <c r="HA23" s="436">
        <f t="shared" ca="1" si="207"/>
        <v>605.79999999999995</v>
      </c>
      <c r="HB23" s="46">
        <f t="shared" ca="1" si="208"/>
        <v>21.899999999999977</v>
      </c>
      <c r="HC23" s="48">
        <f t="shared" ca="1" si="221"/>
        <v>21.400000000000091</v>
      </c>
      <c r="HD23" s="46">
        <f t="shared" ca="1" si="222"/>
        <v>8.7000000000000455</v>
      </c>
      <c r="HE23" s="269">
        <f t="shared" ca="1" si="147"/>
        <v>90.111926658590107</v>
      </c>
      <c r="HF23" s="46">
        <f t="shared" ca="1" si="148"/>
        <v>3.2575952357595268</v>
      </c>
      <c r="HG23" s="48">
        <f t="shared" ca="1" si="149"/>
        <v>3.183220915308413</v>
      </c>
      <c r="HH23" s="432">
        <f t="shared" ca="1" si="150"/>
        <v>1.2941131758496831</v>
      </c>
    </row>
    <row r="24" spans="1:216" x14ac:dyDescent="0.25">
      <c r="A24" s="58">
        <f t="shared" ca="1" si="131"/>
        <v>46419</v>
      </c>
      <c r="B24" s="6" t="str">
        <f ca="1">INDEX(MthRef[], MATCH(MONTH(Futs!$A24), MthRef[Mth], 0), 2)</f>
        <v>G</v>
      </c>
      <c r="C24" s="6">
        <f t="shared" ca="1" si="65"/>
        <v>2027</v>
      </c>
      <c r="D24" s="6" t="str">
        <f t="shared" ca="1" si="66"/>
        <v>Q127</v>
      </c>
      <c r="E24" s="6" t="str">
        <f t="shared" ca="1" si="132"/>
        <v>G7</v>
      </c>
      <c r="F24" s="10">
        <f ca="1">IFERROR(AVERAGE(_xll.BDP(F$18 &amp; $B24 &amp; RIGHT($C24, 1) &amp; " " &amp; "Comdty", "BID", "Fill=#N/A"), _xll.BDP(F$18 &amp; $B24 &amp; RIGHT($C24, 1) &amp; " " &amp; "Comdty", "ASK", "Fill=#N/A")), NA())</f>
        <v>80.004999999999995</v>
      </c>
      <c r="G24" s="10">
        <f ca="1">IFERROR(AVERAGE(_xll.BDP(G$18 &amp; $B24 &amp; RIGHT($C24, 1) &amp; " " &amp; "Comdty", "BID", "Fill=#N/A"), _xll.BDP(G$18 &amp; $B24 &amp; RIGHT($C24, 1) &amp; " " &amp; "Comdty", "ASK", "Fill=#N/A")), NA())</f>
        <v>86.075000000000003</v>
      </c>
      <c r="H24" s="10">
        <f ca="1">IFERROR(AVERAGE(_xll.BDP(H$18 &amp; $B24 &amp; RIGHT($C24, 1) &amp; " " &amp; "Comdty", "BID", "Fill=#N/A"), _xll.BDP(H$18 &amp; $B24 &amp; RIGHT($C24, 1) &amp; " " &amp; "Comdty", "ASK", "Fill=#N/A")), NA())</f>
        <v>1133</v>
      </c>
      <c r="I24" s="10">
        <f ca="1">IFERROR(AVERAGE(_xll.BDP(I$18 &amp; $B24 &amp; RIGHT($C24, 1) &amp; " " &amp; "Comdty", "BID", "Fill=#N/A"), _xll.BDP(I$18 &amp; $B24 &amp; RIGHT($C24, 1) &amp; " " &amp; "Comdty", "ASK", "Fill=#N/A")), NA())</f>
        <v>402.57</v>
      </c>
      <c r="J24" s="10">
        <f ca="1">IFERROR(AVERAGE(_xll.BDP(J$18 &amp; $B24 &amp; RIGHT($C24, 1) &amp; " " &amp; "Comdty", "BID", "Fill=#N/A"), _xll.BDP(J$18 &amp; $B24 &amp; RIGHT($C24, 1) &amp; " " &amp; "Comdty", "ASK", "Fill=#N/A")), NA())</f>
        <v>269.20500000000004</v>
      </c>
      <c r="K24" s="10">
        <f ca="1">IFERROR(AVERAGE(_xll.BDP(K$18 &amp; $B24 &amp; RIGHT($C24, 2) &amp; " " &amp; "Comdty", "BID", "Fill=#N/A"), _xll.BDP(K$18 &amp; $B24 &amp; RIGHT($C24, 2) &amp; " " &amp; "Comdty", "ASK", "Fill=#N/A")), NA())</f>
        <v>88.584999999999994</v>
      </c>
      <c r="L24" s="10" t="e">
        <f ca="1">IFERROR(AVERAGE(_xll.BDP(L$18 &amp; $B24 &amp; RIGHT($C24, 2) &amp; " " &amp; "Comdty", "BID", "Fill=#N/A"), _xll.BDP(L$18 &amp; $B24 &amp; RIGHT($C24, 2) &amp; " " &amp; "Comdty", "ASK", "Fill=#N/A")), NA())</f>
        <v>#N/A</v>
      </c>
      <c r="M24" s="10">
        <f ca="1">IFERROR(AVERAGE(_xll.BDP(M$18 &amp; $B24 &amp; RIGHT($C24, 2) &amp; " " &amp; "Comdty", "BID", "Fill=#N/A"), _xll.BDP(M$18 &amp; $B24 &amp; RIGHT($C24, 2) &amp; " " &amp; "Comdty", "ASK", "Fill=#N/A")), NA())</f>
        <v>590.45000000000005</v>
      </c>
      <c r="N24" s="10">
        <f ca="1">IFERROR(AVERAGE(_xll.BDP(N$18 &amp; $B23 &amp; RIGHT($C23, 1) &amp; N$18 &amp; $B24 &amp; RIGHT($C24, 1) &amp; " " &amp; "Comdty", "BID", "Fill=#N/A"), _xll.BDP(N$18 &amp; $B23 &amp; RIGHT($C23, 1) &amp; N$18 &amp; $B24 &amp; RIGHT($C24, 1) &amp; " " &amp; "Comdty", "ASK", "Fill=#N/A")), NA())</f>
        <v>2.3250000000000002</v>
      </c>
      <c r="O24" s="10">
        <f ca="1">IFERROR(AVERAGE(_xll.BDP(O$18 &amp; $B23 &amp; RIGHT($C23, 1) &amp; O$18 &amp; $B24 &amp; RIGHT($C24, 1) &amp; " " &amp; "Comdty", "BID", "Fill=#N/A"), _xll.BDP(O$18 &amp; $B23 &amp; RIGHT($C23, 1) &amp; O$18 &amp; $B24 &amp; RIGHT($C24, 1) &amp; " " &amp; "Comdty", "ASK", "Fill=#N/A")), NA())</f>
        <v>2.5049999999999999</v>
      </c>
      <c r="P24" s="10">
        <f ca="1">IFERROR(AVERAGE(_xll.BDP(P$18 &amp; $B23 &amp; RIGHT($C23, 1) &amp; P$18 &amp; $B24 &amp; RIGHT($C24, 1) &amp; " " &amp; "Comdty", "BID", "Fill=#N/A"), _xll.BDP(P$18 &amp; $B23 &amp; RIGHT($C23, 1) &amp; P$18 &amp; $B24 &amp; RIGHT($C24, 1) &amp; " " &amp; "Comdty", "ASK", "Fill=#N/A")), NA())</f>
        <v>36.5</v>
      </c>
      <c r="Q24" s="10">
        <f ca="1">IFERROR(AVERAGE(_xll.BDP(Q$18 &amp; $B23 &amp; RIGHT($C23, 1) &amp; Q$18 &amp; $B24 &amp; RIGHT($C24, 1) &amp; " " &amp; "Comdty", "BID", "Fill=#N/A"), _xll.BDP(Q$18 &amp; $B23 &amp; RIGHT($C23, 1) &amp; Q$18 &amp; $B24 &amp; RIGHT($C24, 1) &amp; " " &amp; "Comdty", "ASK", "Fill=#N/A")), NA())</f>
        <v>12.370000000000001</v>
      </c>
      <c r="R24" s="10">
        <f ca="1">IFERROR(AVERAGE(_xll.BDP(R$18 &amp; $B23 &amp; RIGHT($C23, 1) &amp; R$18 &amp; $B24 &amp; RIGHT($C24, 1) &amp; " " &amp; "Comdty", "BID", "Fill=#N/A"), _xll.BDP(R$18 &amp; $B23 &amp; RIGHT($C23, 1) &amp; R$18 &amp; $B24 &amp; RIGHT($C24, 1) &amp; " " &amp; "Comdty", "ASK", "Fill=#N/A")), NA())</f>
        <v>3.16</v>
      </c>
      <c r="S24" s="10">
        <f ca="1">IFERROR(AVERAGE(_xll.BDP(S$18 &amp; $B23 &amp; RIGHT($C23, 1) &amp; $B24 &amp; RIGHT($C24, 1) &amp; " " &amp; "Comdty", "BID", "Fill=#N/A"), _xll.BDP(S$18 &amp; $B23 &amp; RIGHT($C23, 1) &amp; $B24 &amp; RIGHT($C24, 1) &amp; " " &amp; "Comdty", "ASK", "Fill=#N/A")), NA())</f>
        <v>2.85</v>
      </c>
      <c r="T24" s="10" t="e">
        <f ca="1">IFERROR(AVERAGE(_xll.BDP(T$18 &amp; $B23 &amp; RIGHT($C23, 1) &amp; $B24 &amp; RIGHT($C24, 1) &amp; " " &amp; "Comdty", "BID", "Fill=#N/A"), _xll.BDP(T$18 &amp; $B23 &amp; RIGHT($C23, 1) &amp; $B24 &amp; RIGHT($C24, 1) &amp; " " &amp; "Comdty", "ASK", "Fill=#N/A")), NA())</f>
        <v>#N/A</v>
      </c>
      <c r="U24" s="10">
        <f ca="1">IF($A24 &lt; Diagnostics!$B$3, N24, INDEX(ImpSprd[], MATCH(Futs!$C24, ImpSprd[Yr], 0), MATCH(U$18, ImpSprd[#Headers], 0)))</f>
        <v>2.3250000000000002</v>
      </c>
      <c r="V24" s="10">
        <f ca="1">IF($A24 &lt; Diagnostics!$B$3, O24, INDEX(ImpSprd[], MATCH(Futs!$C24, ImpSprd[Yr], 0), MATCH(V$18, ImpSprd[#Headers], 0)))</f>
        <v>2.5049999999999999</v>
      </c>
      <c r="W24" s="10">
        <f ca="1">IF($A24 &lt; Diagnostics!$B$3, P24, INDEX(ImpSprd[], MATCH(Futs!$C24, ImpSprd[Yr], 0), MATCH(W$18, ImpSprd[#Headers], 0)))</f>
        <v>36.5</v>
      </c>
      <c r="X24" s="31">
        <f ca="1">INDEX(Expi[], MATCH($A24, Expi[Date], 0), MATCH(X$18, Expi[#Headers], 0))</f>
        <v>46440</v>
      </c>
      <c r="Y24" s="31">
        <f ca="1">INDEX(Expi[], MATCH($A24, Expi[Date], 0), MATCH(Y$18, Expi[#Headers], 0))</f>
        <v>46444</v>
      </c>
      <c r="Z24" s="31">
        <f ca="1">INDEX(Expi[], MATCH($A24, Expi[Date], 0), MATCH(Z$18, Expi[#Headers], 0))</f>
        <v>46429</v>
      </c>
      <c r="AA24" s="31">
        <f ca="1">INDEX(Expi[], MATCH($A24, Expi[Date], 0), MATCH(AA$18, Expi[#Headers], 0))</f>
        <v>46444</v>
      </c>
      <c r="AB24" s="31">
        <f ca="1">INDEX(Expi[], MATCH($A24, Expi[Date], 0), MATCH(AB$18, Expi[#Headers], 0))</f>
        <v>46444</v>
      </c>
      <c r="AC24" s="31">
        <f ca="1">INDEX(Expi[], MATCH($A24, Expi[Date], 0), MATCH(AC$18, Expi[#Headers], 0))</f>
        <v>46444</v>
      </c>
      <c r="AD24" s="7">
        <f ca="1">NETWORKDAYS($A24, EOMONTH($A24, 0), Hols[CME])</f>
        <v>20</v>
      </c>
      <c r="AE24" s="7">
        <f ca="1">NETWORKDAYS($A24, EOMONTH($A24, 0), Hols[ICE])</f>
        <v>20</v>
      </c>
      <c r="AF24" s="7">
        <f ca="1">NETWORKDAYS($A24, EOMONTH($A24, 0), Hols[ICE])</f>
        <v>20</v>
      </c>
      <c r="AG24" s="7">
        <f ca="1">NETWORKDAYS($A24, EOMONTH($A24, 0), Hols[CME])</f>
        <v>20</v>
      </c>
      <c r="AH24" s="7">
        <f ca="1">NETWORKDAYS($A24, EOMONTH($A24, 0), Hols[CME])</f>
        <v>20</v>
      </c>
      <c r="AI24" s="7">
        <f ca="1">NETWORKDAYS($A24, EOMONTH($A24, 0), Hols[ICE])</f>
        <v>20</v>
      </c>
      <c r="AJ24" s="7">
        <f ca="1">NETWORKDAYS($A24, X24, Hols[CME])</f>
        <v>16</v>
      </c>
      <c r="AK24" s="7">
        <f ca="1">NETWORKDAYS($A24, Y24, Hols[ICE]) - 1</f>
        <v>19</v>
      </c>
      <c r="AL24" s="7">
        <f ca="1">NETWORKDAYS($A24, Z24, Hols[ICE]) - 1</f>
        <v>8</v>
      </c>
      <c r="AM24" s="7">
        <f ca="1">NETWORKDAYS($A24, AA24, Hols[CME])</f>
        <v>20</v>
      </c>
      <c r="AN24" s="7">
        <f ca="1">NETWORKDAYS($A24, AB24, Hols[CME])</f>
        <v>20</v>
      </c>
      <c r="AO24" s="7">
        <f ca="1">NETWORKDAYS($A24, AC24, Hols[ICE]) - 1</f>
        <v>19</v>
      </c>
      <c r="AP24" s="10">
        <f t="shared" ca="1" si="67"/>
        <v>0.8</v>
      </c>
      <c r="AQ24" s="10">
        <f t="shared" ca="1" si="68"/>
        <v>0.95</v>
      </c>
      <c r="AR24" s="10">
        <f t="shared" ca="1" si="69"/>
        <v>0.4</v>
      </c>
      <c r="AS24" s="10">
        <f t="shared" ca="1" si="70"/>
        <v>1</v>
      </c>
      <c r="AT24" s="10">
        <f t="shared" ca="1" si="71"/>
        <v>1</v>
      </c>
      <c r="AU24" s="10">
        <f t="shared" ca="1" si="71"/>
        <v>0.95</v>
      </c>
      <c r="AV24" s="28">
        <f ca="1">IFERROR(AVERAGE(_xll.BDH(AV$18 &amp; $B24 &amp; RIGHT($C24, 1) &amp; " " &amp; "Comdty", "PX_SETTLE", AV$16, AV$16, "Fill=#N/A")), IFERROR(AVERAGE(_xll.BDH(AV$18 &amp; $B24 &amp; RIGHT($C24, 2) &amp; " " &amp; "Comdty", "PX_SETTLE", AV$16, AV$16, "Fill=#N/A")), NA()))</f>
        <v>80.16</v>
      </c>
      <c r="AW24" s="28">
        <f ca="1">IFERROR(AVERAGE(_xll.BDH(AW$18 &amp; $B24 &amp; RIGHT($C24, 1) &amp; " " &amp; "Comdty", "PX_SETTLE", AW$16, AW$16, "Fill=#N/A")), IFERROR(AVERAGE(_xll.BDH(AW$18 &amp; $B24 &amp; RIGHT($C24, 2) &amp; " " &amp; "Comdty", "PX_SETTLE", AW$16, AW$16, "Fill=#N/A")), NA()))</f>
        <v>86.25</v>
      </c>
      <c r="AX24" s="29">
        <f ca="1">IFERROR(AVERAGE(_xll.BDH(AX$18 &amp; $B24 &amp; RIGHT($C24, 2) &amp; " " &amp; "Comdty", "FAIR_VALUE_SNAPSHOT_AT_1430", AX$16, AX$16, "TIME_ZONE_OVERRIDE=13", "Fill=#N/A")), NA())</f>
        <v>1138.5</v>
      </c>
      <c r="AY24" s="28">
        <f ca="1">IFERROR(AVERAGE(_xll.BDH(AY$18 &amp; $B24 &amp; RIGHT($C24, 1) &amp; " " &amp; "Comdty", "PX_SETTLE", AY$16, AY$16, "Fill=#N/A")), NA())</f>
        <v>404.01</v>
      </c>
      <c r="AZ24" s="28">
        <f ca="1">IFERROR(AVERAGE(_xll.BDH(AZ$18 &amp; $B24 &amp; RIGHT($C24, 1) &amp; " " &amp; "Comdty", "PX_SETTLE", AZ$16, AZ$16, "Fill=#N/A")), NA())</f>
        <v>269</v>
      </c>
      <c r="BA24" s="29">
        <f ca="1">IFERROR(AVERAGE(_xll.BDH(BA$18 &amp; $B24 &amp; RIGHT($C24, 2) &amp; " " &amp; "Comdty", "PX_SETTLE", BA$16, BA$16, "Fill=#N/A")), IFERROR(AVERAGE(_xll.BDH(BA$18 &amp; $B24 &amp; RIGHT($C24, 2) &amp; " " &amp; "Comdty", "PX_SETTLE", BA$16, BA$16, "Fill=#N/A")), NA()))</f>
        <v>90.04</v>
      </c>
      <c r="BB24" s="29">
        <f ca="1">IFERROR(AVERAGE(_xll.BDH(BB$18 &amp; $B24 &amp; RIGHT($C24, 2) &amp; " " &amp; "Comdty", "PX_SETTLE", BB$16, BB$16, "Fill=#N/A")), IFERROR(AVERAGE(_xll.BDH(BB$18 &amp; $B24 &amp; RIGHT($C24, 2) &amp; " " &amp; "Comdty", "PX_SETTLE", BB$16, BB$16, "Fill=#N/A")), NA()))</f>
        <v>86.95</v>
      </c>
      <c r="BC24" s="29">
        <f ca="1">IFERROR(AVERAGE(_xll.BDH(BC$18 &amp; $B24 &amp; RIGHT($C24, 2) &amp; " " &amp; "Comdty", "PX_SETTLE", BC$16, BC$16, "Fill=#N/A")), IFERROR(AVERAGE(_xll.BDH(BC$18 &amp; $B24 &amp; RIGHT($C24, 2) &amp; " " &amp; "Comdty", "PX_SETTLE", BC$16, BC$16, "Fill=#N/A")), NA()))</f>
        <v>573.1</v>
      </c>
      <c r="BD24" s="29" cm="1">
        <f t="array" ref="BD24">_xll.BFXFORWARD("USDCNY", "4M", "MidOutright")</f>
        <v>6.7060620000000002</v>
      </c>
      <c r="BE24" s="109">
        <f t="shared" ca="1" si="209"/>
        <v>80.015000000000001</v>
      </c>
      <c r="BF24" s="46">
        <f t="shared" ca="1" si="72"/>
        <v>-0.14499999999999602</v>
      </c>
      <c r="BG24" s="47">
        <f t="shared" ca="1" si="151"/>
        <v>2.3250000000000028</v>
      </c>
      <c r="BH24" s="114">
        <f t="shared" ca="1" si="223"/>
        <v>8.4999999999993747E-2</v>
      </c>
      <c r="BI24" s="110">
        <f t="shared" ca="1" si="224"/>
        <v>86.070000000000007</v>
      </c>
      <c r="BJ24" s="46">
        <f t="shared" ca="1" si="73"/>
        <v>-0.17999999999999261</v>
      </c>
      <c r="BK24" s="48">
        <f t="shared" ca="1" si="225"/>
        <v>2.5049999999999955</v>
      </c>
      <c r="BL24" s="114">
        <f t="shared" ca="1" si="226"/>
        <v>8.4999999999993747E-2</v>
      </c>
      <c r="BM24" s="48">
        <f t="shared" ca="1" si="152"/>
        <v>1133.125</v>
      </c>
      <c r="BN24" s="46">
        <f t="shared" ca="1" si="74"/>
        <v>-5.375</v>
      </c>
      <c r="BO24" s="47">
        <f t="shared" ca="1" si="210"/>
        <v>36.5</v>
      </c>
      <c r="BP24" s="46">
        <f t="shared" ca="1" si="133"/>
        <v>-0.5</v>
      </c>
      <c r="BQ24" s="110">
        <f t="shared" ca="1" si="211"/>
        <v>402.55499999999995</v>
      </c>
      <c r="BR24" s="46">
        <f t="shared" ca="1" si="75"/>
        <v>-1.4550000000000409</v>
      </c>
      <c r="BS24" s="47">
        <f t="shared" ca="1" si="153"/>
        <v>12.370000000000005</v>
      </c>
      <c r="BT24" s="114">
        <f t="shared" ca="1" si="154"/>
        <v>-7.9999999999984084E-2</v>
      </c>
      <c r="BU24" s="48">
        <f t="shared" ca="1" si="212"/>
        <v>269.24</v>
      </c>
      <c r="BV24" s="46">
        <f t="shared" ca="1" si="76"/>
        <v>0.24000000000000909</v>
      </c>
      <c r="BW24" s="47">
        <f t="shared" ca="1" si="155"/>
        <v>3.160000000000025</v>
      </c>
      <c r="BX24" s="46">
        <f t="shared" ca="1" si="156"/>
        <v>0.1400000000000432</v>
      </c>
      <c r="BY24" s="140">
        <f t="shared" ca="1" si="134"/>
        <v>77.830999999999989</v>
      </c>
      <c r="BZ24" s="46">
        <f t="shared" ca="1" si="135"/>
        <v>-0.2190000000000083</v>
      </c>
      <c r="CA24" s="47">
        <f t="shared" ca="1" si="157"/>
        <v>1.5242500000000092</v>
      </c>
      <c r="CB24" s="46">
        <f t="shared" ca="1" si="158"/>
        <v>5.1250000000008095E-2</v>
      </c>
      <c r="CC24" s="141">
        <f t="shared" ca="1" si="136"/>
        <v>82.544000000000011</v>
      </c>
      <c r="CD24" s="50">
        <f t="shared" ca="1" si="137"/>
        <v>-0.26550000000000012</v>
      </c>
      <c r="CE24" s="47">
        <f t="shared" ca="1" si="159"/>
        <v>1.5144999999999982</v>
      </c>
      <c r="CF24" s="46">
        <f t="shared" ca="1" si="160"/>
        <v>2.9000000000000636E-2</v>
      </c>
      <c r="CG24" s="141">
        <f t="shared" ca="1" si="138"/>
        <v>1111.75</v>
      </c>
      <c r="CH24" s="50">
        <f t="shared" ca="1" si="139"/>
        <v>-5.15</v>
      </c>
      <c r="CI24" s="47">
        <f t="shared" ca="1" si="161"/>
        <v>32.325000000000045</v>
      </c>
      <c r="CJ24" s="46">
        <f t="shared" ca="1" si="162"/>
        <v>-0.37499999999999911</v>
      </c>
      <c r="CK24" s="141">
        <f t="shared" ca="1" si="140"/>
        <v>389.32999999999993</v>
      </c>
      <c r="CL24" s="50">
        <f t="shared" ca="1" si="77"/>
        <v>-1.4200000000000728</v>
      </c>
      <c r="CM24" s="47">
        <f t="shared" ca="1" si="163"/>
        <v>13.225000000000023</v>
      </c>
      <c r="CN24" s="46">
        <f t="shared" ca="1" si="164"/>
        <v>-3.4999999999968168E-2</v>
      </c>
      <c r="CO24" s="141">
        <f t="shared" ca="1" si="141"/>
        <v>269.29000000000002</v>
      </c>
      <c r="CP24" s="50">
        <f t="shared" ca="1" si="78"/>
        <v>0.18000000000000682</v>
      </c>
      <c r="CQ24" s="47">
        <f t="shared" ca="1" si="165"/>
        <v>-5.0000000000011369E-2</v>
      </c>
      <c r="CR24" s="46">
        <f t="shared" ca="1" si="166"/>
        <v>6.0000000000002274E-2</v>
      </c>
      <c r="CS24" s="109">
        <f t="shared" ca="1" si="79"/>
        <v>-6.0550000000000068</v>
      </c>
      <c r="CT24" s="46">
        <f t="shared" ca="1" si="80"/>
        <v>3.4999999999996589E-2</v>
      </c>
      <c r="CU24" s="47">
        <f t="shared" ca="1" si="167"/>
        <v>-0.17999999999999261</v>
      </c>
      <c r="CV24" s="46">
        <f t="shared" ca="1" si="168"/>
        <v>-0.19500000000000739</v>
      </c>
      <c r="CW24" s="110">
        <f t="shared" ca="1" si="142"/>
        <v>-4.7130000000000223</v>
      </c>
      <c r="CX24" s="46">
        <f t="shared" ca="1" si="81"/>
        <v>4.6499999999991826E-2</v>
      </c>
      <c r="CY24" s="47">
        <f t="shared" ca="1" si="169"/>
        <v>9.7500000000110276E-3</v>
      </c>
      <c r="CZ24" s="46">
        <f t="shared" ca="1" si="170"/>
        <v>2.2250000000007458E-2</v>
      </c>
      <c r="DA24" s="109">
        <f t="shared" ca="1" si="82"/>
        <v>66.027315436241608</v>
      </c>
      <c r="DB24" s="46">
        <f t="shared" ca="1" si="83"/>
        <v>-0.5414765100671215</v>
      </c>
      <c r="DC24" s="47">
        <f t="shared" ca="1" si="171"/>
        <v>2.3943288590604084</v>
      </c>
      <c r="DD24" s="46">
        <f t="shared" ca="1" si="143"/>
        <v>-0.15211409395972531</v>
      </c>
      <c r="DE24" s="110">
        <f t="shared" ca="1" si="84"/>
        <v>83.003099999999975</v>
      </c>
      <c r="DF24" s="46">
        <f t="shared" ca="1" si="85"/>
        <v>-0.43110000000002457</v>
      </c>
      <c r="DG24" s="47">
        <f t="shared" ca="1" si="172"/>
        <v>2.690400000000011</v>
      </c>
      <c r="DH24" s="46">
        <f t="shared" ca="1" si="173"/>
        <v>-0.11859999999998705</v>
      </c>
      <c r="DI24" s="110">
        <f t="shared" ca="1" si="86"/>
        <v>27.010799999999989</v>
      </c>
      <c r="DJ24" s="46">
        <f t="shared" ca="1" si="87"/>
        <v>0.28079999999999644</v>
      </c>
      <c r="DK24" s="47">
        <f t="shared" ca="1" si="174"/>
        <v>-1.1777999999999764</v>
      </c>
      <c r="DL24" s="46">
        <f t="shared" ca="1" si="175"/>
        <v>-2.6199999999975632E-2</v>
      </c>
      <c r="DM24" s="110">
        <f t="shared" ca="1" si="88"/>
        <v>89.058099999999982</v>
      </c>
      <c r="DN24" s="46">
        <f t="shared" ca="1" si="89"/>
        <v>-0.46610000000002116</v>
      </c>
      <c r="DO24" s="47">
        <f t="shared" ca="1" si="176"/>
        <v>2.8704000000000036</v>
      </c>
      <c r="DP24" s="47">
        <f t="shared" ca="1" si="177"/>
        <v>-0.11859999999998705</v>
      </c>
      <c r="DQ24" s="110">
        <f t="shared" ca="1" si="90"/>
        <v>33.065799999999996</v>
      </c>
      <c r="DR24" s="46">
        <f t="shared" ca="1" si="91"/>
        <v>0.24579999999999985</v>
      </c>
      <c r="DS24" s="47">
        <f t="shared" ca="1" si="178"/>
        <v>-0.99779999999998381</v>
      </c>
      <c r="DT24" s="47">
        <f t="shared" ca="1" si="179"/>
        <v>-2.6199999999975604E-2</v>
      </c>
      <c r="DU24" s="109">
        <f t="shared" ca="1" si="92"/>
        <v>66.684187919463085</v>
      </c>
      <c r="DV24" s="46">
        <f t="shared" ca="1" si="93"/>
        <v>-0.42577516778523478</v>
      </c>
      <c r="DW24" s="47">
        <f t="shared" ca="1" si="180"/>
        <v>2.8244261744966366</v>
      </c>
      <c r="DX24" s="47">
        <f t="shared" ca="1" si="181"/>
        <v>-7.9335570469799166E-2</v>
      </c>
      <c r="DY24" s="110">
        <f t="shared" ca="1" si="94"/>
        <v>80.974599999999953</v>
      </c>
      <c r="DZ24" s="46">
        <f t="shared" ca="1" si="95"/>
        <v>-0.33090000000003045</v>
      </c>
      <c r="EA24" s="47">
        <f t="shared" ca="1" si="182"/>
        <v>4.0400000000000205</v>
      </c>
      <c r="EB24" s="47">
        <f t="shared" ca="1" si="183"/>
        <v>-4.3699999999987249E-2</v>
      </c>
      <c r="EC24" s="110">
        <f t="shared" ca="1" si="96"/>
        <v>30.557799999999986</v>
      </c>
      <c r="ED24" s="46">
        <f t="shared" ca="1" si="97"/>
        <v>0.34110000000000296</v>
      </c>
      <c r="EE24" s="47">
        <f t="shared" ca="1" si="184"/>
        <v>-1.535499999999999</v>
      </c>
      <c r="EF24" s="47">
        <f t="shared" ca="1" si="185"/>
        <v>-3.799999999999637E-3</v>
      </c>
      <c r="EG24" s="110">
        <f t="shared" ca="1" si="98"/>
        <v>85.687599999999975</v>
      </c>
      <c r="EH24" s="46">
        <f t="shared" ca="1" si="99"/>
        <v>-0.37740000000002227</v>
      </c>
      <c r="EI24" s="47">
        <f t="shared" ca="1" si="186"/>
        <v>4.0302500000000094</v>
      </c>
      <c r="EJ24" s="47">
        <f t="shared" ca="1" si="187"/>
        <v>-6.5949999999994735E-2</v>
      </c>
      <c r="EK24" s="110">
        <f t="shared" ca="1" si="100"/>
        <v>35.270800000000008</v>
      </c>
      <c r="EL24" s="46">
        <f t="shared" ca="1" si="101"/>
        <v>0.29460000000001119</v>
      </c>
      <c r="EM24" s="47">
        <f t="shared" ca="1" si="188"/>
        <v>-1.54525000000001</v>
      </c>
      <c r="EN24" s="47">
        <f t="shared" ca="1" si="189"/>
        <v>-2.6050000000007179E-2</v>
      </c>
      <c r="EO24" s="109">
        <f t="shared" ca="1" si="102"/>
        <v>40.418534675615149</v>
      </c>
      <c r="EP24" s="46">
        <f t="shared" ca="1" si="103"/>
        <v>0.26280121444546878</v>
      </c>
      <c r="EQ24" s="47">
        <f t="shared" ca="1" si="190"/>
        <v>0.70493128795146731</v>
      </c>
      <c r="ER24" s="47">
        <f t="shared" ca="1" si="191"/>
        <v>7.9795461808900514E-2</v>
      </c>
      <c r="ES24" s="110">
        <f t="shared" ca="1" si="104"/>
        <v>34.024790667944956</v>
      </c>
      <c r="ET24" s="46">
        <f t="shared" ca="1" si="105"/>
        <v>0.22589325663143911</v>
      </c>
      <c r="EU24" s="47">
        <f t="shared" ca="1" si="192"/>
        <v>2.8942233940556434</v>
      </c>
      <c r="EV24" s="47">
        <f t="shared" ca="1" si="193"/>
        <v>8.4846596356694892E-2</v>
      </c>
      <c r="EW24" s="109">
        <f t="shared" ca="1" si="106"/>
        <v>-133.31499999999994</v>
      </c>
      <c r="EX24" s="46">
        <f t="shared" ca="1" si="107"/>
        <v>1.69500000000005</v>
      </c>
      <c r="EY24" s="47">
        <f t="shared" ca="1" si="194"/>
        <v>-9.2099999999999795</v>
      </c>
      <c r="EZ24" s="47">
        <f t="shared" ca="1" si="195"/>
        <v>0.22000000000002728</v>
      </c>
      <c r="FA24" s="110">
        <f t="shared" ca="1" si="108"/>
        <v>-120.03999999999991</v>
      </c>
      <c r="FB24" s="46">
        <f t="shared" ca="1" si="109"/>
        <v>1.6000000000000796</v>
      </c>
      <c r="FC24" s="47">
        <f t="shared" ca="1" si="196"/>
        <v>-13.275000000000034</v>
      </c>
      <c r="FD24" s="47">
        <f t="shared" ca="1" si="197"/>
        <v>9.4999999999970441E-2</v>
      </c>
      <c r="FE24" s="109">
        <f t="shared" ca="1" si="110"/>
        <v>61.061949999999989</v>
      </c>
      <c r="FF24" s="46">
        <f t="shared" ca="1" si="111"/>
        <v>-0.11015000000001066</v>
      </c>
      <c r="FG24" s="110">
        <f t="shared" ca="1" si="112"/>
        <v>51.729899999999986</v>
      </c>
      <c r="FH24" s="46">
        <f t="shared" ca="1" si="113"/>
        <v>8.4999999999928466E-3</v>
      </c>
      <c r="FI24" s="110">
        <f t="shared" ca="1" si="114"/>
        <v>55.006949999999982</v>
      </c>
      <c r="FJ24" s="46">
        <f t="shared" ca="1" si="115"/>
        <v>-7.5150000000014067E-2</v>
      </c>
      <c r="FK24" s="110">
        <f t="shared" ca="1" si="116"/>
        <v>45.674899999999987</v>
      </c>
      <c r="FL24" s="46">
        <f t="shared" ca="1" si="117"/>
        <v>4.3499999999989436E-2</v>
      </c>
      <c r="FM24" s="110">
        <f t="shared" ca="1" si="118"/>
        <v>60.479199999999992</v>
      </c>
      <c r="FN24" s="46">
        <f t="shared" ca="1" si="119"/>
        <v>-4.1400000000005543E-2</v>
      </c>
      <c r="FO24" s="110">
        <f t="shared" ca="1" si="120"/>
        <v>52.076399999999992</v>
      </c>
      <c r="FP24" s="46">
        <f t="shared" ca="1" si="121"/>
        <v>7.0600000000000024E-2</v>
      </c>
      <c r="FQ24" s="110">
        <f t="shared" ca="1" si="122"/>
        <v>55.766199999999969</v>
      </c>
      <c r="FR24" s="46">
        <f t="shared" ca="1" si="123"/>
        <v>5.0999999999862544E-3</v>
      </c>
      <c r="FS24" s="110">
        <f t="shared" ca="1" si="124"/>
        <v>47.363399999999977</v>
      </c>
      <c r="FT24" s="111">
        <f t="shared" ca="1" si="125"/>
        <v>0.11709999999999181</v>
      </c>
      <c r="FU24" s="109">
        <f t="shared" ref="FU24:FU66" ca="1" si="232">IFERROR(IF(ISNUMBER($K$21), $K23 - $S24, $K24), "")</f>
        <v>88.585000000000008</v>
      </c>
      <c r="FV24" s="46">
        <f t="shared" ca="1" si="213"/>
        <v>-1.4549999999999983</v>
      </c>
      <c r="FW24" s="48">
        <f t="shared" ca="1" si="227"/>
        <v>2.8499999999999801</v>
      </c>
      <c r="FX24" s="114">
        <f t="shared" ca="1" si="228"/>
        <v>0.24999999999998579</v>
      </c>
      <c r="FY24" s="110">
        <f t="shared" ca="1" si="214"/>
        <v>2.5150000000000006</v>
      </c>
      <c r="FZ24" s="46">
        <f t="shared" ca="1" si="215"/>
        <v>-1.2750000000000057</v>
      </c>
      <c r="GA24" s="47">
        <f t="shared" ca="1" si="216"/>
        <v>0.34499999999998465</v>
      </c>
      <c r="GB24" s="46">
        <f t="shared" ca="1" si="229"/>
        <v>0.16499999999999204</v>
      </c>
      <c r="GC24" s="110" t="str">
        <f ca="1">IFERROR(IF(AND(ISNUMBER($FU24), ISNUMBER(Crd!$X24)), $FU24 - Crd!$X24, ""), "")</f>
        <v/>
      </c>
      <c r="GD24" s="46" t="str">
        <f ca="1">IFERROR(IF(AND(ISNUMBER($FV24), ISNUMBER(Crd!$Y24)), $FV24 - Crd!$Y24, ""), "")</f>
        <v/>
      </c>
      <c r="GE24" s="47" t="str">
        <f t="shared" ca="1" si="217"/>
        <v/>
      </c>
      <c r="GF24" s="46" t="str">
        <f t="shared" ca="1" si="218"/>
        <v/>
      </c>
      <c r="GG24" s="141" t="str">
        <f t="shared" ca="1" si="198"/>
        <v/>
      </c>
      <c r="GH24" s="50" t="str">
        <f t="shared" ca="1" si="199"/>
        <v/>
      </c>
      <c r="GI24" s="47" t="str">
        <f t="shared" ca="1" si="144"/>
        <v/>
      </c>
      <c r="GJ24" s="46" t="str">
        <f t="shared" ca="1" si="145"/>
        <v/>
      </c>
      <c r="GK24" s="110" t="str">
        <f t="shared" ca="1" si="127"/>
        <v/>
      </c>
      <c r="GL24" s="46" t="str">
        <f t="shared" ca="1" si="128"/>
        <v/>
      </c>
      <c r="GM24" s="47" t="str">
        <f t="shared" ca="1" si="200"/>
        <v/>
      </c>
      <c r="GN24" s="46" t="str">
        <f t="shared" ca="1" si="201"/>
        <v/>
      </c>
      <c r="GO24" s="110" t="str">
        <f ca="1">IFERROR(IF(AND(ISNUMBER($GG24), ISNUMBER(Crd!$X24)), $GG24 - Crd!$X24, ""), "")</f>
        <v/>
      </c>
      <c r="GP24" s="46" t="str">
        <f ca="1">IFERROR(IF(AND(ISNUMBER($GH24), ISNUMBER(Crd!$Y24)), $GH24 - Crd!$Y24, ""), "")</f>
        <v/>
      </c>
      <c r="GQ24" s="47" t="str">
        <f t="shared" ca="1" si="202"/>
        <v/>
      </c>
      <c r="GR24" s="46" t="str">
        <f t="shared" ca="1" si="203"/>
        <v/>
      </c>
      <c r="GS24" s="436" t="str">
        <f t="shared" ca="1" si="219"/>
        <v/>
      </c>
      <c r="GT24" s="46" t="str">
        <f t="shared" ca="1" si="220"/>
        <v/>
      </c>
      <c r="GU24" s="48" t="str">
        <f t="shared" ca="1" si="230"/>
        <v/>
      </c>
      <c r="GV24" s="46" t="str">
        <f t="shared" ca="1" si="231"/>
        <v/>
      </c>
      <c r="GW24" s="427" t="str">
        <f t="shared" ca="1" si="204"/>
        <v/>
      </c>
      <c r="GX24" s="50" t="str">
        <f t="shared" ca="1" si="146"/>
        <v/>
      </c>
      <c r="GY24" s="47" t="str">
        <f t="shared" ca="1" si="205"/>
        <v/>
      </c>
      <c r="GZ24" s="432" t="str">
        <f t="shared" ca="1" si="206"/>
        <v/>
      </c>
      <c r="HA24" s="436">
        <f t="shared" ca="1" si="207"/>
        <v>590.45000000000005</v>
      </c>
      <c r="HB24" s="46">
        <f t="shared" ca="1" si="208"/>
        <v>17.350000000000023</v>
      </c>
      <c r="HC24" s="48">
        <f t="shared" ca="1" si="221"/>
        <v>15.349999999999909</v>
      </c>
      <c r="HD24" s="46">
        <f t="shared" ca="1" si="222"/>
        <v>4.5499999999999545</v>
      </c>
      <c r="HE24" s="269">
        <f t="shared" ca="1" si="147"/>
        <v>88.047202665290001</v>
      </c>
      <c r="HF24" s="46">
        <f t="shared" ca="1" si="148"/>
        <v>2.5872113917228954</v>
      </c>
      <c r="HG24" s="48">
        <f t="shared" ca="1" si="149"/>
        <v>2.2889737673167811</v>
      </c>
      <c r="HH24" s="432">
        <f t="shared" ca="1" si="150"/>
        <v>0.67849059552386404</v>
      </c>
    </row>
    <row r="25" spans="1:216" x14ac:dyDescent="0.25">
      <c r="A25" s="58">
        <f t="shared" ca="1" si="131"/>
        <v>46447</v>
      </c>
      <c r="B25" s="6" t="str">
        <f ca="1">INDEX(MthRef[], MATCH(MONTH(Futs!$A25), MthRef[Mth], 0), 2)</f>
        <v>H</v>
      </c>
      <c r="C25" s="6">
        <f t="shared" ca="1" si="65"/>
        <v>2027</v>
      </c>
      <c r="D25" s="6" t="str">
        <f t="shared" ca="1" si="66"/>
        <v>Q127</v>
      </c>
      <c r="E25" s="6" t="str">
        <f t="shared" ca="1" si="132"/>
        <v>H7</v>
      </c>
      <c r="F25" s="10">
        <f ca="1">IFERROR(AVERAGE(_xll.BDP(F$18 &amp; $B25 &amp; RIGHT($C25, 1) &amp; " " &amp; "Comdty", "BID", "Fill=#N/A"), _xll.BDP(F$18 &amp; $B25 &amp; RIGHT($C25, 1) &amp; " " &amp; "Comdty", "ASK", "Fill=#N/A")), NA())</f>
        <v>78.125</v>
      </c>
      <c r="G25" s="10">
        <f ca="1">IFERROR(AVERAGE(_xll.BDP(G$18 &amp; $B25 &amp; RIGHT($C25, 1) &amp; " " &amp; "Comdty", "BID", "Fill=#N/A"), _xll.BDP(G$18 &amp; $B25 &amp; RIGHT($C25, 1) &amp; " " &amp; "Comdty", "ASK", "Fill=#N/A")), NA())</f>
        <v>84.135000000000005</v>
      </c>
      <c r="H25" s="10">
        <f ca="1">IFERROR(AVERAGE(_xll.BDP(H$18 &amp; $B25 &amp; RIGHT($C25, 1) &amp; " " &amp; "Comdty", "BID", "Fill=#N/A"), _xll.BDP(H$18 &amp; $B25 &amp; RIGHT($C25, 1) &amp; " " &amp; "Comdty", "ASK", "Fill=#N/A")), NA())</f>
        <v>1097.375</v>
      </c>
      <c r="I25" s="10">
        <f ca="1">IFERROR(AVERAGE(_xll.BDP(I$18 &amp; $B25 &amp; RIGHT($C25, 1) &amp; " " &amp; "Comdty", "BID", "Fill=#N/A"), _xll.BDP(I$18 &amp; $B25 &amp; RIGHT($C25, 1) &amp; " " &amp; "Comdty", "ASK", "Fill=#N/A")), NA())</f>
        <v>389.34000000000003</v>
      </c>
      <c r="J25" s="10">
        <f ca="1">IFERROR(AVERAGE(_xll.BDP(J$18 &amp; $B25 &amp; RIGHT($C25, 1) &amp; " " &amp; "Comdty", "BID", "Fill=#N/A"), _xll.BDP(J$18 &amp; $B25 &amp; RIGHT($C25, 1) &amp; " " &amp; "Comdty", "ASK", "Fill=#N/A")), NA())</f>
        <v>269.25</v>
      </c>
      <c r="K25" s="10" t="e">
        <f ca="1">IFERROR(AVERAGE(_xll.BDP(K$18 &amp; $B25 &amp; RIGHT($C25, 2) &amp; " " &amp; "Comdty", "BID", "Fill=#N/A"), _xll.BDP(K$18 &amp; $B25 &amp; RIGHT($C25, 2) &amp; " " &amp; "Comdty", "ASK", "Fill=#N/A")), NA())</f>
        <v>#N/A</v>
      </c>
      <c r="L25" s="10" t="e">
        <f ca="1">IFERROR(AVERAGE(_xll.BDP(L$18 &amp; $B25 &amp; RIGHT($C25, 2) &amp; " " &amp; "Comdty", "BID", "Fill=#N/A"), _xll.BDP(L$18 &amp; $B25 &amp; RIGHT($C25, 2) &amp; " " &amp; "Comdty", "ASK", "Fill=#N/A")), NA())</f>
        <v>#N/A</v>
      </c>
      <c r="M25" s="10">
        <f ca="1">IFERROR(AVERAGE(_xll.BDP(M$18 &amp; $B25 &amp; RIGHT($C25, 2) &amp; " " &amp; "Comdty", "BID", "Fill=#N/A"), _xll.BDP(M$18 &amp; $B25 &amp; RIGHT($C25, 2) &amp; " " &amp; "Comdty", "ASK", "Fill=#N/A")), NA())</f>
        <v>579.6</v>
      </c>
      <c r="N25" s="10">
        <f ca="1">IFERROR(AVERAGE(_xll.BDP(N$18 &amp; $B24 &amp; RIGHT($C24, 1) &amp; N$18 &amp; $B25 &amp; RIGHT($C25, 1) &amp; " " &amp; "Comdty", "BID", "Fill=#N/A"), _xll.BDP(N$18 &amp; $B24 &amp; RIGHT($C24, 1) &amp; N$18 &amp; $B25 &amp; RIGHT($C25, 1) &amp; " " &amp; "Comdty", "ASK", "Fill=#N/A")), NA())</f>
        <v>1.8849999999999998</v>
      </c>
      <c r="O25" s="10">
        <f ca="1">IFERROR(AVERAGE(_xll.BDP(O$18 &amp; $B24 &amp; RIGHT($C24, 1) &amp; O$18 &amp; $B25 &amp; RIGHT($C25, 1) &amp; " " &amp; "Comdty", "BID", "Fill=#N/A"), _xll.BDP(O$18 &amp; $B24 &amp; RIGHT($C24, 1) &amp; O$18 &amp; $B25 &amp; RIGHT($C25, 1) &amp; " " &amp; "Comdty", "ASK", "Fill=#N/A")), NA())</f>
        <v>1.9350000000000001</v>
      </c>
      <c r="P25" s="10">
        <f ca="1">IFERROR(AVERAGE(_xll.BDP(P$18 &amp; $B24 &amp; RIGHT($C24, 1) &amp; P$18 &amp; $B25 &amp; RIGHT($C25, 1) &amp; " " &amp; "Comdty", "BID", "Fill=#N/A"), _xll.BDP(P$18 &amp; $B24 &amp; RIGHT($C24, 1) &amp; P$18 &amp; $B25 &amp; RIGHT($C25, 1) &amp; " " &amp; "Comdty", "ASK", "Fill=#N/A")), NA())</f>
        <v>35.625</v>
      </c>
      <c r="Q25" s="10">
        <f ca="1">IFERROR(AVERAGE(_xll.BDP(Q$18 &amp; $B24 &amp; RIGHT($C24, 1) &amp; Q$18 &amp; $B25 &amp; RIGHT($C25, 1) &amp; " " &amp; "Comdty", "BID", "Fill=#N/A"), _xll.BDP(Q$18 &amp; $B24 &amp; RIGHT($C24, 1) &amp; Q$18 &amp; $B25 &amp; RIGHT($C25, 1) &amp; " " &amp; "Comdty", "ASK", "Fill=#N/A")), NA())</f>
        <v>13.225000000000001</v>
      </c>
      <c r="R25" s="10">
        <f ca="1">IFERROR(AVERAGE(_xll.BDP(R$18 &amp; $B24 &amp; RIGHT($C24, 1) &amp; R$18 &amp; $B25 &amp; RIGHT($C25, 1) &amp; " " &amp; "Comdty", "BID", "Fill=#N/A"), _xll.BDP(R$18 &amp; $B24 &amp; RIGHT($C24, 1) &amp; R$18 &amp; $B25 &amp; RIGHT($C25, 1) &amp; " " &amp; "Comdty", "ASK", "Fill=#N/A")), NA())</f>
        <v>-0.05</v>
      </c>
      <c r="S25" s="10">
        <f ca="1">IFERROR(AVERAGE(_xll.BDP(S$18 &amp; $B24 &amp; RIGHT($C24, 1) &amp; $B25 &amp; RIGHT($C25, 1) &amp; " " &amp; "Comdty", "BID", "Fill=#N/A"), _xll.BDP(S$18 &amp; $B24 &amp; RIGHT($C24, 1) &amp; $B25 &amp; RIGHT($C25, 1) &amp; " " &amp; "Comdty", "ASK", "Fill=#N/A")), NA())</f>
        <v>2.2549999999999999</v>
      </c>
      <c r="T25" s="10" t="e">
        <f ca="1">IFERROR(AVERAGE(_xll.BDP(T$18 &amp; $B24 &amp; RIGHT($C24, 1) &amp; $B25 &amp; RIGHT($C25, 1) &amp; " " &amp; "Comdty", "BID", "Fill=#N/A"), _xll.BDP(T$18 &amp; $B24 &amp; RIGHT($C24, 1) &amp; $B25 &amp; RIGHT($C25, 1) &amp; " " &amp; "Comdty", "ASK", "Fill=#N/A")), NA())</f>
        <v>#N/A</v>
      </c>
      <c r="U25" s="10">
        <f ca="1">IF($A25 &lt; Diagnostics!$B$3, N25, INDEX(ImpSprd[], MATCH(Futs!$C25, ImpSprd[Yr], 0), MATCH(U$18, ImpSprd[#Headers], 0)))</f>
        <v>1.8849999999999998</v>
      </c>
      <c r="V25" s="10">
        <f ca="1">IF($A25 &lt; Diagnostics!$B$3, O25, INDEX(ImpSprd[], MATCH(Futs!$C25, ImpSprd[Yr], 0), MATCH(V$18, ImpSprd[#Headers], 0)))</f>
        <v>1.9350000000000001</v>
      </c>
      <c r="W25" s="10">
        <f ca="1">IF($A25 &lt; Diagnostics!$B$3, P25, INDEX(ImpSprd[], MATCH(Futs!$C25, ImpSprd[Yr], 0), MATCH(W$18, ImpSprd[#Headers], 0)))</f>
        <v>35.625</v>
      </c>
      <c r="X25" s="31">
        <f ca="1">INDEX(Expi[], MATCH($A25, Expi[Date], 0), MATCH(X$18, Expi[#Headers], 0))</f>
        <v>46468</v>
      </c>
      <c r="Y25" s="31">
        <f ca="1">INDEX(Expi[], MATCH($A25, Expi[Date], 0), MATCH(Y$18, Expi[#Headers], 0))</f>
        <v>46477</v>
      </c>
      <c r="Z25" s="31">
        <f ca="1">INDEX(Expi[], MATCH($A25, Expi[Date], 0), MATCH(Z$18, Expi[#Headers], 0))</f>
        <v>46457</v>
      </c>
      <c r="AA25" s="31">
        <f ca="1">INDEX(Expi[], MATCH($A25, Expi[Date], 0), MATCH(AA$18, Expi[#Headers], 0))</f>
        <v>46477</v>
      </c>
      <c r="AB25" s="31">
        <f ca="1">INDEX(Expi[], MATCH($A25, Expi[Date], 0), MATCH(AB$18, Expi[#Headers], 0))</f>
        <v>46477</v>
      </c>
      <c r="AC25" s="31">
        <f ca="1">INDEX(Expi[], MATCH($A25, Expi[Date], 0), MATCH(AC$18, Expi[#Headers], 0))</f>
        <v>46477</v>
      </c>
      <c r="AD25" s="7">
        <f ca="1">NETWORKDAYS($A25, EOMONTH($A25, 0), Hols[CME])</f>
        <v>23</v>
      </c>
      <c r="AE25" s="7">
        <f ca="1">NETWORKDAYS($A25, EOMONTH($A25, 0), Hols[ICE])</f>
        <v>23</v>
      </c>
      <c r="AF25" s="7">
        <f ca="1">NETWORKDAYS($A25, EOMONTH($A25, 0), Hols[ICE])</f>
        <v>23</v>
      </c>
      <c r="AG25" s="7">
        <f ca="1">NETWORKDAYS($A25, EOMONTH($A25, 0), Hols[CME])</f>
        <v>23</v>
      </c>
      <c r="AH25" s="7">
        <f ca="1">NETWORKDAYS($A25, EOMONTH($A25, 0), Hols[CME])</f>
        <v>23</v>
      </c>
      <c r="AI25" s="7">
        <f ca="1">NETWORKDAYS($A25, EOMONTH($A25, 0), Hols[ICE])</f>
        <v>23</v>
      </c>
      <c r="AJ25" s="7">
        <f ca="1">NETWORKDAYS($A25, X25, Hols[CME])</f>
        <v>16</v>
      </c>
      <c r="AK25" s="7">
        <f ca="1">NETWORKDAYS($A25, Y25, Hols[ICE]) - 1</f>
        <v>22</v>
      </c>
      <c r="AL25" s="7">
        <f ca="1">NETWORKDAYS($A25, Z25, Hols[ICE]) - 1</f>
        <v>8</v>
      </c>
      <c r="AM25" s="7">
        <f ca="1">NETWORKDAYS($A25, AA25, Hols[CME])</f>
        <v>23</v>
      </c>
      <c r="AN25" s="7">
        <f ca="1">NETWORKDAYS($A25, AB25, Hols[CME])</f>
        <v>23</v>
      </c>
      <c r="AO25" s="7">
        <f ca="1">NETWORKDAYS($A25, AC25, Hols[ICE]) - 1</f>
        <v>22</v>
      </c>
      <c r="AP25" s="10">
        <f t="shared" ca="1" si="67"/>
        <v>0.69565217391304346</v>
      </c>
      <c r="AQ25" s="10">
        <f t="shared" ca="1" si="68"/>
        <v>0.95652173913043481</v>
      </c>
      <c r="AR25" s="10">
        <f t="shared" ca="1" si="69"/>
        <v>0.34782608695652173</v>
      </c>
      <c r="AS25" s="10">
        <f t="shared" ca="1" si="70"/>
        <v>1</v>
      </c>
      <c r="AT25" s="10">
        <f t="shared" ca="1" si="71"/>
        <v>1</v>
      </c>
      <c r="AU25" s="10">
        <f t="shared" ca="1" si="71"/>
        <v>0.95652173913043481</v>
      </c>
      <c r="AV25" s="28">
        <f ca="1">IFERROR(AVERAGE(_xll.BDH(AV$18 &amp; $B25 &amp; RIGHT($C25, 1) &amp; " " &amp; "Comdty", "PX_SETTLE", AV$16, AV$16, "Fill=#N/A")), IFERROR(AVERAGE(_xll.BDH(AV$18 &amp; $B25 &amp; RIGHT($C25, 2) &amp; " " &amp; "Comdty", "PX_SETTLE", AV$16, AV$16, "Fill=#N/A")), NA()))</f>
        <v>78.34</v>
      </c>
      <c r="AW25" s="28">
        <f ca="1">IFERROR(AVERAGE(_xll.BDH(AW$18 &amp; $B25 &amp; RIGHT($C25, 1) &amp; " " &amp; "Comdty", "PX_SETTLE", AW$16, AW$16, "Fill=#N/A")), IFERROR(AVERAGE(_xll.BDH(AW$18 &amp; $B25 &amp; RIGHT($C25, 2) &amp; " " &amp; "Comdty", "PX_SETTLE", AW$16, AW$16, "Fill=#N/A")), NA()))</f>
        <v>84.37</v>
      </c>
      <c r="AX25" s="29">
        <f ca="1">IFERROR(AVERAGE(_xll.BDH(AX$18 &amp; $B25 &amp; RIGHT($C25, 2) &amp; " " &amp; "Comdty", "FAIR_VALUE_SNAPSHOT_AT_1430", AX$16, AX$16, "TIME_ZONE_OVERRIDE=13", "Fill=#N/A")), NA())</f>
        <v>1102.5</v>
      </c>
      <c r="AY25" s="28">
        <f ca="1">IFERROR(AVERAGE(_xll.BDH(AY$18 &amp; $B25 &amp; RIGHT($C25, 1) &amp; " " &amp; "Comdty", "PX_SETTLE", AY$16, AY$16, "Fill=#N/A")), NA())</f>
        <v>390.75</v>
      </c>
      <c r="AZ25" s="28">
        <f ca="1">IFERROR(AVERAGE(_xll.BDH(AZ$18 &amp; $B25 &amp; RIGHT($C25, 1) &amp; " " &amp; "Comdty", "PX_SETTLE", AZ$16, AZ$16, "Fill=#N/A")), NA())</f>
        <v>269.11</v>
      </c>
      <c r="BA25" s="29">
        <f ca="1">IFERROR(AVERAGE(_xll.BDH(BA$18 &amp; $B25 &amp; RIGHT($C25, 2) &amp; " " &amp; "Comdty", "PX_SETTLE", BA$16, BA$16, "Fill=#N/A")), IFERROR(AVERAGE(_xll.BDH(BA$18 &amp; $B25 &amp; RIGHT($C25, 2) &amp; " " &amp; "Comdty", "PX_SETTLE", BA$16, BA$16, "Fill=#N/A")), NA()))</f>
        <v>87.9</v>
      </c>
      <c r="BB25" s="29">
        <f ca="1">IFERROR(AVERAGE(_xll.BDH(BB$18 &amp; $B25 &amp; RIGHT($C25, 2) &amp; " " &amp; "Comdty", "PX_SETTLE", BB$16, BB$16, "Fill=#N/A")), IFERROR(AVERAGE(_xll.BDH(BB$18 &amp; $B25 &amp; RIGHT($C25, 2) &amp; " " &amp; "Comdty", "PX_SETTLE", BB$16, BB$16, "Fill=#N/A")), NA()))</f>
        <v>85.07</v>
      </c>
      <c r="BC25" s="29">
        <f ca="1">IFERROR(AVERAGE(_xll.BDH(BC$18 &amp; $B25 &amp; RIGHT($C25, 2) &amp; " " &amp; "Comdty", "PX_SETTLE", BC$16, BC$16, "Fill=#N/A")), IFERROR(AVERAGE(_xll.BDH(BC$18 &amp; $B25 &amp; RIGHT($C25, 2) &amp; " " &amp; "Comdty", "PX_SETTLE", BC$16, BC$16, "Fill=#N/A")), NA()))</f>
        <v>563.79999999999995</v>
      </c>
      <c r="BD25" s="29" cm="1">
        <f t="array" ref="BD25">_xll.BFXFORWARD("USDCNY", "5M", "MidOutright")</f>
        <v>6.6893739999999999</v>
      </c>
      <c r="BE25" s="109">
        <f t="shared" ca="1" si="209"/>
        <v>78.13</v>
      </c>
      <c r="BF25" s="46">
        <f t="shared" ca="1" si="72"/>
        <v>-0.21000000000000796</v>
      </c>
      <c r="BG25" s="47">
        <f t="shared" ca="1" si="151"/>
        <v>1.8850000000000051</v>
      </c>
      <c r="BH25" s="114">
        <f t="shared" ca="1" si="223"/>
        <v>6.5000000000011937E-2</v>
      </c>
      <c r="BI25" s="110">
        <f t="shared" ca="1" si="224"/>
        <v>84.135000000000005</v>
      </c>
      <c r="BJ25" s="46">
        <f t="shared" ca="1" si="73"/>
        <v>-0.23499999999999943</v>
      </c>
      <c r="BK25" s="48">
        <f t="shared" ca="1" si="225"/>
        <v>1.9350000000000023</v>
      </c>
      <c r="BL25" s="114">
        <f t="shared" ca="1" si="226"/>
        <v>5.5000000000006821E-2</v>
      </c>
      <c r="BM25" s="48">
        <f t="shared" ca="1" si="152"/>
        <v>1097.5</v>
      </c>
      <c r="BN25" s="46">
        <f t="shared" ca="1" si="74"/>
        <v>-5</v>
      </c>
      <c r="BO25" s="47">
        <f t="shared" ca="1" si="210"/>
        <v>35.625</v>
      </c>
      <c r="BP25" s="46">
        <f t="shared" ca="1" si="133"/>
        <v>-0.375</v>
      </c>
      <c r="BQ25" s="110">
        <f t="shared" ca="1" si="211"/>
        <v>389.32999999999993</v>
      </c>
      <c r="BR25" s="46">
        <f t="shared" ca="1" si="75"/>
        <v>-1.4200000000000728</v>
      </c>
      <c r="BS25" s="47">
        <f t="shared" ca="1" si="153"/>
        <v>13.225000000000023</v>
      </c>
      <c r="BT25" s="114">
        <f t="shared" ca="1" si="154"/>
        <v>-3.4999999999968168E-2</v>
      </c>
      <c r="BU25" s="48">
        <f t="shared" ca="1" si="212"/>
        <v>269.29000000000002</v>
      </c>
      <c r="BV25" s="46">
        <f t="shared" ca="1" si="76"/>
        <v>0.18000000000000682</v>
      </c>
      <c r="BW25" s="47">
        <f t="shared" ca="1" si="155"/>
        <v>-5.0000000000011369E-2</v>
      </c>
      <c r="BX25" s="46">
        <f t="shared" ca="1" si="156"/>
        <v>6.0000000000002274E-2</v>
      </c>
      <c r="BY25" s="140">
        <f t="shared" ca="1" si="134"/>
        <v>76.283478260869558</v>
      </c>
      <c r="BZ25" s="46">
        <f t="shared" ca="1" si="135"/>
        <v>-0.25347826086957626</v>
      </c>
      <c r="CA25" s="47">
        <f t="shared" ca="1" si="157"/>
        <v>1.5475217391304312</v>
      </c>
      <c r="CB25" s="46">
        <f t="shared" ca="1" si="158"/>
        <v>3.4478260869567956E-2</v>
      </c>
      <c r="CC25" s="141">
        <f t="shared" ca="1" si="136"/>
        <v>81.342173913043482</v>
      </c>
      <c r="CD25" s="50">
        <f t="shared" ca="1" si="137"/>
        <v>-0.27478260869564386</v>
      </c>
      <c r="CE25" s="47">
        <f t="shared" ca="1" si="159"/>
        <v>1.2018260869565296</v>
      </c>
      <c r="CF25" s="46">
        <f t="shared" ca="1" si="160"/>
        <v>9.2826086956437348E-3</v>
      </c>
      <c r="CG25" s="141">
        <f t="shared" ca="1" si="138"/>
        <v>1073.695652173913</v>
      </c>
      <c r="CH25" s="50">
        <f t="shared" ca="1" si="139"/>
        <v>-5</v>
      </c>
      <c r="CI25" s="47">
        <f t="shared" ca="1" si="161"/>
        <v>38.054347826086996</v>
      </c>
      <c r="CJ25" s="46">
        <f t="shared" ca="1" si="162"/>
        <v>-0.15000000000000036</v>
      </c>
      <c r="CK25" s="141">
        <f t="shared" ca="1" si="140"/>
        <v>375.43499999999995</v>
      </c>
      <c r="CL25" s="50">
        <f t="shared" ca="1" si="77"/>
        <v>-1.3250000000000455</v>
      </c>
      <c r="CM25" s="47">
        <f t="shared" ca="1" si="163"/>
        <v>13.894999999999982</v>
      </c>
      <c r="CN25" s="46">
        <f t="shared" ca="1" si="164"/>
        <v>-9.5000000000027285E-2</v>
      </c>
      <c r="CO25" s="141">
        <f t="shared" ca="1" si="141"/>
        <v>288.30500000000001</v>
      </c>
      <c r="CP25" s="50">
        <f t="shared" ca="1" si="78"/>
        <v>-0.23500000000001364</v>
      </c>
      <c r="CQ25" s="47">
        <f t="shared" ca="1" si="165"/>
        <v>-19.014999999999986</v>
      </c>
      <c r="CR25" s="46">
        <f t="shared" ca="1" si="166"/>
        <v>0.41500000000002046</v>
      </c>
      <c r="CS25" s="109">
        <f t="shared" ca="1" si="79"/>
        <v>-6.0050000000000097</v>
      </c>
      <c r="CT25" s="46">
        <f t="shared" ca="1" si="80"/>
        <v>2.4999999999991473E-2</v>
      </c>
      <c r="CU25" s="47">
        <f t="shared" ca="1" si="167"/>
        <v>-4.9999999999997158E-2</v>
      </c>
      <c r="CV25" s="46">
        <f t="shared" ca="1" si="168"/>
        <v>-0.12999999999999545</v>
      </c>
      <c r="CW25" s="110">
        <f t="shared" ca="1" si="142"/>
        <v>-5.0586956521739239</v>
      </c>
      <c r="CX25" s="46">
        <f t="shared" ca="1" si="81"/>
        <v>2.1304347826067604E-2</v>
      </c>
      <c r="CY25" s="47">
        <f t="shared" ca="1" si="169"/>
        <v>0.34569565217390164</v>
      </c>
      <c r="CZ25" s="46">
        <f t="shared" ca="1" si="170"/>
        <v>2.5195652173924221E-2</v>
      </c>
      <c r="DA25" s="109">
        <f t="shared" ca="1" si="82"/>
        <v>63.180436241610735</v>
      </c>
      <c r="DB25" s="46">
        <f t="shared" ca="1" si="83"/>
        <v>-0.43614093959731604</v>
      </c>
      <c r="DC25" s="47">
        <f t="shared" ca="1" si="171"/>
        <v>2.8468791946308727</v>
      </c>
      <c r="DD25" s="46">
        <f t="shared" ca="1" si="143"/>
        <v>-0.10533557046980546</v>
      </c>
      <c r="DE25" s="110">
        <f t="shared" ca="1" si="84"/>
        <v>79.383599999999959</v>
      </c>
      <c r="DF25" s="46">
        <f t="shared" ca="1" si="85"/>
        <v>-0.36140000000003114</v>
      </c>
      <c r="DG25" s="47">
        <f t="shared" ca="1" si="172"/>
        <v>3.6195000000000164</v>
      </c>
      <c r="DH25" s="46">
        <f t="shared" ca="1" si="173"/>
        <v>-6.9699999999993434E-2</v>
      </c>
      <c r="DI25" s="110">
        <f t="shared" ca="1" si="86"/>
        <v>28.966799999999992</v>
      </c>
      <c r="DJ25" s="46">
        <f t="shared" ca="1" si="87"/>
        <v>0.31060000000000232</v>
      </c>
      <c r="DK25" s="47">
        <f t="shared" ca="1" si="174"/>
        <v>-1.9560000000000031</v>
      </c>
      <c r="DL25" s="46">
        <f t="shared" ca="1" si="175"/>
        <v>-2.9800000000005877E-2</v>
      </c>
      <c r="DM25" s="110">
        <f t="shared" ca="1" si="88"/>
        <v>85.388599999999968</v>
      </c>
      <c r="DN25" s="46">
        <f t="shared" ca="1" si="89"/>
        <v>-0.38640000000002261</v>
      </c>
      <c r="DO25" s="47">
        <f t="shared" ca="1" si="176"/>
        <v>3.6695000000000135</v>
      </c>
      <c r="DP25" s="47">
        <f t="shared" ca="1" si="177"/>
        <v>-7.969999999999855E-2</v>
      </c>
      <c r="DQ25" s="110">
        <f t="shared" ca="1" si="90"/>
        <v>34.971800000000002</v>
      </c>
      <c r="DR25" s="46">
        <f t="shared" ca="1" si="91"/>
        <v>0.28560000000001085</v>
      </c>
      <c r="DS25" s="47">
        <f t="shared" ca="1" si="178"/>
        <v>-1.9060000000000059</v>
      </c>
      <c r="DT25" s="47">
        <f t="shared" ca="1" si="179"/>
        <v>-3.9800000000010993E-2</v>
      </c>
      <c r="DU25" s="109">
        <f t="shared" ca="1" si="92"/>
        <v>62.77804785526699</v>
      </c>
      <c r="DV25" s="46">
        <f t="shared" ca="1" si="93"/>
        <v>-0.39635833090167161</v>
      </c>
      <c r="DW25" s="47">
        <f t="shared" ca="1" si="180"/>
        <v>3.9061400641960944</v>
      </c>
      <c r="DX25" s="47">
        <f t="shared" ca="1" si="181"/>
        <v>-2.9416836883563169E-2</v>
      </c>
      <c r="DY25" s="110">
        <f t="shared" ca="1" si="94"/>
        <v>76.340526086956473</v>
      </c>
      <c r="DZ25" s="46">
        <f t="shared" ca="1" si="95"/>
        <v>-0.28171739130437523</v>
      </c>
      <c r="EA25" s="47">
        <f t="shared" ca="1" si="182"/>
        <v>4.6340739130434798</v>
      </c>
      <c r="EB25" s="47">
        <f t="shared" ca="1" si="183"/>
        <v>-4.9182608695655217E-2</v>
      </c>
      <c r="EC25" s="110">
        <f t="shared" ca="1" si="96"/>
        <v>39.745926086956516</v>
      </c>
      <c r="ED25" s="46">
        <f t="shared" ca="1" si="97"/>
        <v>0.17608260869563813</v>
      </c>
      <c r="EE25" s="47">
        <f t="shared" ca="1" si="184"/>
        <v>-9.1881260869565295</v>
      </c>
      <c r="EF25" s="47">
        <f t="shared" ca="1" si="185"/>
        <v>0.16501739130436482</v>
      </c>
      <c r="EG25" s="110">
        <f t="shared" ca="1" si="98"/>
        <v>81.399221739130397</v>
      </c>
      <c r="EH25" s="46">
        <f t="shared" ca="1" si="99"/>
        <v>-0.30302173913044284</v>
      </c>
      <c r="EI25" s="47">
        <f t="shared" ca="1" si="186"/>
        <v>4.2883782608695782</v>
      </c>
      <c r="EJ25" s="47">
        <f t="shared" ca="1" si="187"/>
        <v>-7.4378260869579438E-2</v>
      </c>
      <c r="EK25" s="110">
        <f t="shared" ca="1" si="100"/>
        <v>44.80462173913044</v>
      </c>
      <c r="EL25" s="46">
        <f t="shared" ca="1" si="101"/>
        <v>0.15477826086957053</v>
      </c>
      <c r="EM25" s="47">
        <f t="shared" ca="1" si="188"/>
        <v>-9.5338217391304312</v>
      </c>
      <c r="EN25" s="47">
        <f t="shared" ca="1" si="189"/>
        <v>0.13982173913044066</v>
      </c>
      <c r="EO25" s="109">
        <f t="shared" ca="1" si="102"/>
        <v>38.578961329498156</v>
      </c>
      <c r="EP25" s="46">
        <f t="shared" ca="1" si="103"/>
        <v>0.17795461808877344</v>
      </c>
      <c r="EQ25" s="47">
        <f t="shared" ca="1" si="190"/>
        <v>1.8395733461169925</v>
      </c>
      <c r="ER25" s="47">
        <f t="shared" ca="1" si="191"/>
        <v>8.4846596356695336E-2</v>
      </c>
      <c r="ES25" s="110">
        <f t="shared" ca="1" si="104"/>
        <v>32.291614837355951</v>
      </c>
      <c r="ET25" s="46">
        <f t="shared" ca="1" si="105"/>
        <v>0.27295461808880073</v>
      </c>
      <c r="EU25" s="47">
        <f t="shared" ca="1" si="192"/>
        <v>1.7331758305890048</v>
      </c>
      <c r="EV25" s="47">
        <f t="shared" ca="1" si="193"/>
        <v>-4.7061361457361617E-2</v>
      </c>
      <c r="EW25" s="109">
        <f t="shared" ca="1" si="106"/>
        <v>-120.03999999999991</v>
      </c>
      <c r="EX25" s="46">
        <f t="shared" ca="1" si="107"/>
        <v>1.6000000000000796</v>
      </c>
      <c r="EY25" s="47">
        <f t="shared" ca="1" si="194"/>
        <v>-13.275000000000034</v>
      </c>
      <c r="EZ25" s="47">
        <f t="shared" ca="1" si="195"/>
        <v>9.4999999999970441E-2</v>
      </c>
      <c r="FA25" s="110">
        <f t="shared" ca="1" si="108"/>
        <v>-87.129999999999939</v>
      </c>
      <c r="FB25" s="46">
        <f t="shared" ca="1" si="109"/>
        <v>1.0900000000000318</v>
      </c>
      <c r="FC25" s="47">
        <f t="shared" ca="1" si="196"/>
        <v>-32.909999999999968</v>
      </c>
      <c r="FD25" s="47">
        <f t="shared" ca="1" si="197"/>
        <v>0.51000000000004775</v>
      </c>
      <c r="FE25" s="109">
        <f t="shared" ca="1" si="110"/>
        <v>60.180199999999985</v>
      </c>
      <c r="FF25" s="46">
        <f t="shared" ca="1" si="111"/>
        <v>-5.0400000000005885E-2</v>
      </c>
      <c r="FG25" s="110">
        <f t="shared" ca="1" si="112"/>
        <v>51.777399999999986</v>
      </c>
      <c r="FH25" s="46">
        <f t="shared" ca="1" si="113"/>
        <v>6.1599999999999683E-2</v>
      </c>
      <c r="FI25" s="110">
        <f t="shared" ca="1" si="114"/>
        <v>54.175199999999975</v>
      </c>
      <c r="FJ25" s="46">
        <f t="shared" ca="1" si="115"/>
        <v>-2.5400000000014411E-2</v>
      </c>
      <c r="FK25" s="110">
        <f t="shared" ca="1" si="116"/>
        <v>45.772399999999983</v>
      </c>
      <c r="FL25" s="46">
        <f t="shared" ca="1" si="117"/>
        <v>8.6599999999991156E-2</v>
      </c>
      <c r="FM25" s="110">
        <f t="shared" ca="1" si="118"/>
        <v>63.101921739130418</v>
      </c>
      <c r="FN25" s="46">
        <f t="shared" ca="1" si="119"/>
        <v>-7.4121739130436154E-2</v>
      </c>
      <c r="FO25" s="110">
        <f t="shared" ca="1" si="120"/>
        <v>57.002821739130425</v>
      </c>
      <c r="FP25" s="46">
        <f t="shared" ca="1" si="121"/>
        <v>2.1782608695660732E-3</v>
      </c>
      <c r="FQ25" s="110">
        <f t="shared" ca="1" si="122"/>
        <v>58.043226086956494</v>
      </c>
      <c r="FR25" s="46">
        <f t="shared" ca="1" si="123"/>
        <v>-5.2817391304368549E-2</v>
      </c>
      <c r="FS25" s="110">
        <f t="shared" ca="1" si="124"/>
        <v>51.944126086956501</v>
      </c>
      <c r="FT25" s="111">
        <f t="shared" ca="1" si="125"/>
        <v>2.3482608695633678E-2</v>
      </c>
      <c r="FU25" s="109">
        <f t="shared" ca="1" si="232"/>
        <v>86.33</v>
      </c>
      <c r="FV25" s="46">
        <f t="shared" ca="1" si="213"/>
        <v>-1.5700000000000074</v>
      </c>
      <c r="FW25" s="48">
        <f t="shared" ca="1" si="227"/>
        <v>2.2550000000000097</v>
      </c>
      <c r="FX25" s="114">
        <f t="shared" ca="1" si="228"/>
        <v>0.11500000000000909</v>
      </c>
      <c r="FY25" s="110">
        <f t="shared" ca="1" si="214"/>
        <v>2.1949999999999932</v>
      </c>
      <c r="FZ25" s="46">
        <f t="shared" ca="1" si="215"/>
        <v>-1.335000000000008</v>
      </c>
      <c r="GA25" s="47">
        <f t="shared" ca="1" si="216"/>
        <v>0.32000000000000739</v>
      </c>
      <c r="GB25" s="46">
        <f t="shared" ca="1" si="229"/>
        <v>6.0000000000002274E-2</v>
      </c>
      <c r="GC25" s="110" t="str">
        <f ca="1">IFERROR(IF(AND(ISNUMBER($FU25), ISNUMBER(Crd!$X25)), $FU25 - Crd!$X25, ""), "")</f>
        <v/>
      </c>
      <c r="GD25" s="46" t="str">
        <f ca="1">IFERROR(IF(AND(ISNUMBER($FV25), ISNUMBER(Crd!$Y25)), $FV25 - Crd!$Y25, ""), "")</f>
        <v/>
      </c>
      <c r="GE25" s="47" t="str">
        <f t="shared" ca="1" si="217"/>
        <v/>
      </c>
      <c r="GF25" s="46" t="str">
        <f t="shared" ca="1" si="218"/>
        <v/>
      </c>
      <c r="GG25" s="141" t="str">
        <f t="shared" ca="1" si="198"/>
        <v/>
      </c>
      <c r="GH25" s="50" t="str">
        <f t="shared" ca="1" si="199"/>
        <v/>
      </c>
      <c r="GI25" s="47" t="str">
        <f t="shared" ca="1" si="144"/>
        <v/>
      </c>
      <c r="GJ25" s="46" t="str">
        <f t="shared" ca="1" si="145"/>
        <v/>
      </c>
      <c r="GK25" s="110" t="str">
        <f t="shared" ca="1" si="127"/>
        <v/>
      </c>
      <c r="GL25" s="46" t="str">
        <f t="shared" ca="1" si="128"/>
        <v/>
      </c>
      <c r="GM25" s="47" t="str">
        <f t="shared" ca="1" si="200"/>
        <v/>
      </c>
      <c r="GN25" s="46" t="str">
        <f t="shared" ca="1" si="201"/>
        <v/>
      </c>
      <c r="GO25" s="110" t="str">
        <f ca="1">IFERROR(IF(AND(ISNUMBER($GG25), ISNUMBER(Crd!$X25)), $GG25 - Crd!$X25, ""), "")</f>
        <v/>
      </c>
      <c r="GP25" s="46" t="str">
        <f ca="1">IFERROR(IF(AND(ISNUMBER($GH25), ISNUMBER(Crd!$Y25)), $GH25 - Crd!$Y25, ""), "")</f>
        <v/>
      </c>
      <c r="GQ25" s="47" t="str">
        <f t="shared" ca="1" si="202"/>
        <v/>
      </c>
      <c r="GR25" s="46" t="str">
        <f t="shared" ca="1" si="203"/>
        <v/>
      </c>
      <c r="GS25" s="436" t="str">
        <f t="shared" ca="1" si="219"/>
        <v/>
      </c>
      <c r="GT25" s="46" t="str">
        <f t="shared" ca="1" si="220"/>
        <v/>
      </c>
      <c r="GU25" s="48" t="str">
        <f t="shared" ca="1" si="230"/>
        <v/>
      </c>
      <c r="GV25" s="46" t="str">
        <f t="shared" ca="1" si="231"/>
        <v/>
      </c>
      <c r="GW25" s="427" t="str">
        <f t="shared" ca="1" si="204"/>
        <v/>
      </c>
      <c r="GX25" s="50" t="str">
        <f t="shared" ca="1" si="146"/>
        <v/>
      </c>
      <c r="GY25" s="47" t="str">
        <f t="shared" ca="1" si="205"/>
        <v/>
      </c>
      <c r="GZ25" s="432" t="str">
        <f t="shared" ca="1" si="206"/>
        <v/>
      </c>
      <c r="HA25" s="436">
        <f t="shared" ca="1" si="207"/>
        <v>579.6</v>
      </c>
      <c r="HB25" s="46">
        <f t="shared" ca="1" si="208"/>
        <v>15.800000000000068</v>
      </c>
      <c r="HC25" s="48">
        <f t="shared" ca="1" si="221"/>
        <v>10.850000000000023</v>
      </c>
      <c r="HD25" s="46">
        <f t="shared" ca="1" si="222"/>
        <v>1.5499999999999545</v>
      </c>
      <c r="HE25" s="269">
        <f t="shared" ca="1" si="147"/>
        <v>86.644878878053461</v>
      </c>
      <c r="HF25" s="46">
        <f t="shared" ca="1" si="148"/>
        <v>2.361954945260957</v>
      </c>
      <c r="HG25" s="48">
        <f t="shared" ca="1" si="149"/>
        <v>1.6219753896254003</v>
      </c>
      <c r="HH25" s="432">
        <f t="shared" ca="1" si="150"/>
        <v>0.23171076994647849</v>
      </c>
    </row>
    <row r="26" spans="1:216" x14ac:dyDescent="0.25">
      <c r="A26" s="58">
        <f t="shared" ca="1" si="131"/>
        <v>46478</v>
      </c>
      <c r="B26" s="6" t="str">
        <f ca="1">INDEX(MthRef[], MATCH(MONTH(Futs!$A26), MthRef[Mth], 0), 2)</f>
        <v>J</v>
      </c>
      <c r="C26" s="6">
        <f t="shared" ca="1" si="65"/>
        <v>2027</v>
      </c>
      <c r="D26" s="6" t="str">
        <f t="shared" ca="1" si="66"/>
        <v>Q227</v>
      </c>
      <c r="E26" s="6" t="str">
        <f t="shared" ca="1" si="132"/>
        <v>J7</v>
      </c>
      <c r="F26" s="10">
        <f ca="1">IFERROR(AVERAGE(_xll.BDP(F$18 &amp; $B26 &amp; RIGHT($C26, 1) &amp; " " &amp; "Comdty", "BID", "Fill=#N/A"), _xll.BDP(F$18 &amp; $B26 &amp; RIGHT($C26, 1) &amp; " " &amp; "Comdty", "ASK", "Fill=#N/A")), NA())</f>
        <v>76.63</v>
      </c>
      <c r="G26" s="10">
        <f ca="1">IFERROR(AVERAGE(_xll.BDP(G$18 &amp; $B26 &amp; RIGHT($C26, 1) &amp; " " &amp; "Comdty", "BID", "Fill=#N/A"), _xll.BDP(G$18 &amp; $B26 &amp; RIGHT($C26, 1) &amp; " " &amp; "Comdty", "ASK", "Fill=#N/A")), NA())</f>
        <v>82.605000000000004</v>
      </c>
      <c r="H26" s="10">
        <f ca="1">IFERROR(AVERAGE(_xll.BDP(H$18 &amp; $B26 &amp; RIGHT($C26, 1) &amp; " " &amp; "Comdty", "BID", "Fill=#N/A"), _xll.BDP(H$18 &amp; $B26 &amp; RIGHT($C26, 1) &amp; " " &amp; "Comdty", "ASK", "Fill=#N/A")), NA())</f>
        <v>1060.875</v>
      </c>
      <c r="I26" s="10">
        <f ca="1">IFERROR(AVERAGE(_xll.BDP(I$18 &amp; $B26 &amp; RIGHT($C26, 1) &amp; " " &amp; "Comdty", "BID", "Fill=#N/A"), _xll.BDP(I$18 &amp; $B26 &amp; RIGHT($C26, 1) &amp; " " &amp; "Comdty", "ASK", "Fill=#N/A")), NA())</f>
        <v>375.44500000000005</v>
      </c>
      <c r="J26" s="10">
        <f ca="1">IFERROR(AVERAGE(_xll.BDP(J$18 &amp; $B26 &amp; RIGHT($C26, 1) &amp; " " &amp; "Comdty", "BID", "Fill=#N/A"), _xll.BDP(J$18 &amp; $B26 &amp; RIGHT($C26, 1) &amp; " " &amp; "Comdty", "ASK", "Fill=#N/A")), NA())</f>
        <v>288.26499999999999</v>
      </c>
      <c r="K26" s="10" t="e">
        <f ca="1">IFERROR(AVERAGE(_xll.BDP(K$18 &amp; $B26 &amp; RIGHT($C26, 2) &amp; " " &amp; "Comdty", "BID", "Fill=#N/A"), _xll.BDP(K$18 &amp; $B26 &amp; RIGHT($C26, 2) &amp; " " &amp; "Comdty", "ASK", "Fill=#N/A")), NA())</f>
        <v>#N/A</v>
      </c>
      <c r="L26" s="10" t="e">
        <f ca="1">IFERROR(AVERAGE(_xll.BDP(L$18 &amp; $B26 &amp; RIGHT($C26, 2) &amp; " " &amp; "Comdty", "BID", "Fill=#N/A"), _xll.BDP(L$18 &amp; $B26 &amp; RIGHT($C26, 2) &amp; " " &amp; "Comdty", "ASK", "Fill=#N/A")), NA())</f>
        <v>#N/A</v>
      </c>
      <c r="M26" s="10">
        <f ca="1">IFERROR(AVERAGE(_xll.BDP(M$18 &amp; $B26 &amp; RIGHT($C26, 2) &amp; " " &amp; "Comdty", "BID", "Fill=#N/A"), _xll.BDP(M$18 &amp; $B26 &amp; RIGHT($C26, 2) &amp; " " &amp; "Comdty", "ASK", "Fill=#N/A")), NA())</f>
        <v>558.70000000000005</v>
      </c>
      <c r="N26" s="10">
        <f ca="1">IFERROR(AVERAGE(_xll.BDP(N$18 &amp; $B25 &amp; RIGHT($C25, 1) &amp; N$18 &amp; $B26 &amp; RIGHT($C26, 1) &amp; " " &amp; "Comdty", "BID", "Fill=#N/A"), _xll.BDP(N$18 &amp; $B25 &amp; RIGHT($C25, 1) &amp; N$18 &amp; $B26 &amp; RIGHT($C26, 1) &amp; " " &amp; "Comdty", "ASK", "Fill=#N/A")), NA())</f>
        <v>1.4950000000000001</v>
      </c>
      <c r="O26" s="10">
        <f ca="1">IFERROR(AVERAGE(_xll.BDP(O$18 &amp; $B25 &amp; RIGHT($C25, 1) &amp; O$18 &amp; $B26 &amp; RIGHT($C26, 1) &amp; " " &amp; "Comdty", "BID", "Fill=#N/A"), _xll.BDP(O$18 &amp; $B25 &amp; RIGHT($C25, 1) &amp; O$18 &amp; $B26 &amp; RIGHT($C26, 1) &amp; " " &amp; "Comdty", "ASK", "Fill=#N/A")), NA())</f>
        <v>1.53</v>
      </c>
      <c r="P26" s="10">
        <f ca="1">IFERROR(AVERAGE(_xll.BDP(P$18 &amp; $B25 &amp; RIGHT($C25, 1) &amp; P$18 &amp; $B26 &amp; RIGHT($C26, 1) &amp; " " &amp; "Comdty", "BID", "Fill=#N/A"), _xll.BDP(P$18 &amp; $B25 &amp; RIGHT($C25, 1) &amp; P$18 &amp; $B26 &amp; RIGHT($C26, 1) &amp; " " &amp; "Comdty", "ASK", "Fill=#N/A")), NA())</f>
        <v>36.5</v>
      </c>
      <c r="Q26" s="10">
        <f ca="1">IFERROR(AVERAGE(_xll.BDP(Q$18 &amp; $B25 &amp; RIGHT($C25, 1) &amp; Q$18 &amp; $B26 &amp; RIGHT($C26, 1) &amp; " " &amp; "Comdty", "BID", "Fill=#N/A"), _xll.BDP(Q$18 &amp; $B25 &amp; RIGHT($C25, 1) &amp; Q$18 &amp; $B26 &amp; RIGHT($C26, 1) &amp; " " &amp; "Comdty", "ASK", "Fill=#N/A")), NA())</f>
        <v>13.895</v>
      </c>
      <c r="R26" s="10">
        <f ca="1">IFERROR(AVERAGE(_xll.BDP(R$18 &amp; $B25 &amp; RIGHT($C25, 1) &amp; R$18 &amp; $B26 &amp; RIGHT($C26, 1) &amp; " " &amp; "Comdty", "BID", "Fill=#N/A"), _xll.BDP(R$18 &amp; $B25 &amp; RIGHT($C25, 1) &amp; R$18 &amp; $B26 &amp; RIGHT($C26, 1) &amp; " " &amp; "Comdty", "ASK", "Fill=#N/A")), NA())</f>
        <v>-19.015000000000001</v>
      </c>
      <c r="S26" s="10" t="e">
        <f ca="1">IFERROR(AVERAGE(_xll.BDP(S$18 &amp; $B25 &amp; RIGHT($C25, 1) &amp; $B26 &amp; RIGHT($C26, 1) &amp; " " &amp; "Comdty", "BID", "Fill=#N/A"), _xll.BDP(S$18 &amp; $B25 &amp; RIGHT($C25, 1) &amp; $B26 &amp; RIGHT($C26, 1) &amp; " " &amp; "Comdty", "ASK", "Fill=#N/A")), NA())</f>
        <v>#N/A</v>
      </c>
      <c r="T26" s="10" t="e">
        <f ca="1">IFERROR(AVERAGE(_xll.BDP(T$18 &amp; $B25 &amp; RIGHT($C25, 1) &amp; $B26 &amp; RIGHT($C26, 1) &amp; " " &amp; "Comdty", "BID", "Fill=#N/A"), _xll.BDP(T$18 &amp; $B25 &amp; RIGHT($C25, 1) &amp; $B26 &amp; RIGHT($C26, 1) &amp; " " &amp; "Comdty", "ASK", "Fill=#N/A")), NA())</f>
        <v>#N/A</v>
      </c>
      <c r="U26" s="10">
        <f ca="1">IF($A26 &lt; Diagnostics!$B$3, N26, INDEX(ImpSprd[], MATCH(Futs!$C26, ImpSprd[Yr], 0), MATCH(U$18, ImpSprd[#Headers], 0)))</f>
        <v>1.4950000000000001</v>
      </c>
      <c r="V26" s="10">
        <f ca="1">IF($A26 &lt; Diagnostics!$B$3, O26, INDEX(ImpSprd[], MATCH(Futs!$C26, ImpSprd[Yr], 0), MATCH(V$18, ImpSprd[#Headers], 0)))</f>
        <v>1.53</v>
      </c>
      <c r="W26" s="10">
        <f ca="1">IF($A26 &lt; Diagnostics!$B$3, P26, INDEX(ImpSprd[], MATCH(Futs!$C26, ImpSprd[Yr], 0), MATCH(W$18, ImpSprd[#Headers], 0)))</f>
        <v>36.5</v>
      </c>
      <c r="X26" s="31">
        <f ca="1">INDEX(Expi[], MATCH($A26, Expi[Date], 0), MATCH(X$18, Expi[#Headers], 0))</f>
        <v>46497</v>
      </c>
      <c r="Y26" s="31">
        <f ca="1">INDEX(Expi[], MATCH($A26, Expi[Date], 0), MATCH(Y$18, Expi[#Headers], 0))</f>
        <v>46507</v>
      </c>
      <c r="Z26" s="31">
        <f ca="1">INDEX(Expi[], MATCH($A26, Expi[Date], 0), MATCH(Z$18, Expi[#Headers], 0))</f>
        <v>46489</v>
      </c>
      <c r="AA26" s="31">
        <f ca="1">INDEX(Expi[], MATCH($A26, Expi[Date], 0), MATCH(AA$18, Expi[#Headers], 0))</f>
        <v>46507</v>
      </c>
      <c r="AB26" s="31">
        <f ca="1">INDEX(Expi[], MATCH($A26, Expi[Date], 0), MATCH(AB$18, Expi[#Headers], 0))</f>
        <v>46507</v>
      </c>
      <c r="AC26" s="31">
        <f ca="1">INDEX(Expi[], MATCH($A26, Expi[Date], 0), MATCH(AC$18, Expi[#Headers], 0))</f>
        <v>46507</v>
      </c>
      <c r="AD26" s="7">
        <f ca="1">NETWORKDAYS($A26, EOMONTH($A26, 0), Hols[CME])</f>
        <v>22</v>
      </c>
      <c r="AE26" s="7">
        <f ca="1">NETWORKDAYS($A26, EOMONTH($A26, 0), Hols[ICE])</f>
        <v>22</v>
      </c>
      <c r="AF26" s="7">
        <f ca="1">NETWORKDAYS($A26, EOMONTH($A26, 0), Hols[ICE])</f>
        <v>22</v>
      </c>
      <c r="AG26" s="7">
        <f ca="1">NETWORKDAYS($A26, EOMONTH($A26, 0), Hols[CME])</f>
        <v>22</v>
      </c>
      <c r="AH26" s="7">
        <f ca="1">NETWORKDAYS($A26, EOMONTH($A26, 0), Hols[CME])</f>
        <v>22</v>
      </c>
      <c r="AI26" s="7">
        <f ca="1">NETWORKDAYS($A26, EOMONTH($A26, 0), Hols[ICE])</f>
        <v>22</v>
      </c>
      <c r="AJ26" s="7">
        <f ca="1">NETWORKDAYS($A26, X26, Hols[CME])</f>
        <v>14</v>
      </c>
      <c r="AK26" s="7">
        <f ca="1">NETWORKDAYS($A26, Y26, Hols[ICE]) - 1</f>
        <v>21</v>
      </c>
      <c r="AL26" s="7">
        <f ca="1">NETWORKDAYS($A26, Z26, Hols[ICE]) - 1</f>
        <v>7</v>
      </c>
      <c r="AM26" s="7">
        <f ca="1">NETWORKDAYS($A26, AA26, Hols[CME])</f>
        <v>22</v>
      </c>
      <c r="AN26" s="7">
        <f ca="1">NETWORKDAYS($A26, AB26, Hols[CME])</f>
        <v>22</v>
      </c>
      <c r="AO26" s="7">
        <f ca="1">NETWORKDAYS($A26, AC26, Hols[ICE]) - 1</f>
        <v>21</v>
      </c>
      <c r="AP26" s="10">
        <f t="shared" ca="1" si="67"/>
        <v>0.63636363636363635</v>
      </c>
      <c r="AQ26" s="10">
        <f t="shared" ca="1" si="68"/>
        <v>0.95454545454545459</v>
      </c>
      <c r="AR26" s="10">
        <f t="shared" ca="1" si="69"/>
        <v>0.31818181818181818</v>
      </c>
      <c r="AS26" s="10">
        <f t="shared" ca="1" si="70"/>
        <v>1</v>
      </c>
      <c r="AT26" s="10">
        <f t="shared" ca="1" si="71"/>
        <v>1</v>
      </c>
      <c r="AU26" s="10">
        <f t="shared" ca="1" si="71"/>
        <v>0.95454545454545459</v>
      </c>
      <c r="AV26" s="28">
        <f ca="1">IFERROR(AVERAGE(_xll.BDH(AV$18 &amp; $B26 &amp; RIGHT($C26, 1) &amp; " " &amp; "Comdty", "PX_SETTLE", AV$16, AV$16, "Fill=#N/A")), IFERROR(AVERAGE(_xll.BDH(AV$18 &amp; $B26 &amp; RIGHT($C26, 2) &amp; " " &amp; "Comdty", "PX_SETTLE", AV$16, AV$16, "Fill=#N/A")), NA()))</f>
        <v>76.89</v>
      </c>
      <c r="AW26" s="28">
        <f ca="1">IFERROR(AVERAGE(_xll.BDH(AW$18 &amp; $B26 &amp; RIGHT($C26, 1) &amp; " " &amp; "Comdty", "PX_SETTLE", AW$16, AW$16, "Fill=#N/A")), IFERROR(AVERAGE(_xll.BDH(AW$18 &amp; $B26 &amp; RIGHT($C26, 2) &amp; " " &amp; "Comdty", "PX_SETTLE", AW$16, AW$16, "Fill=#N/A")), NA()))</f>
        <v>82.87</v>
      </c>
      <c r="AX26" s="29">
        <f ca="1">IFERROR(AVERAGE(_xll.BDH(AX$18 &amp; $B26 &amp; RIGHT($C26, 2) &amp; " " &amp; "Comdty", "FAIR_VALUE_SNAPSHOT_AT_1430", AX$16, AX$16, "TIME_ZONE_OVERRIDE=13", "Fill=#N/A")), NA())</f>
        <v>1066</v>
      </c>
      <c r="AY26" s="28">
        <f ca="1">IFERROR(AVERAGE(_xll.BDH(AY$18 &amp; $B26 &amp; RIGHT($C26, 1) &amp; " " &amp; "Comdty", "PX_SETTLE", AY$16, AY$16, "Fill=#N/A")), NA())</f>
        <v>376.76</v>
      </c>
      <c r="AZ26" s="28">
        <f ca="1">IFERROR(AVERAGE(_xll.BDH(AZ$18 &amp; $B26 &amp; RIGHT($C26, 1) &amp; " " &amp; "Comdty", "PX_SETTLE", AZ$16, AZ$16, "Fill=#N/A")), NA())</f>
        <v>288.54000000000002</v>
      </c>
      <c r="BA26" s="29" t="e">
        <f ca="1">IFERROR(AVERAGE(_xll.BDH(BA$18 &amp; $B26 &amp; RIGHT($C26, 2) &amp; " " &amp; "Comdty", "PX_SETTLE", BA$16, BA$16, "Fill=#N/A")), IFERROR(AVERAGE(_xll.BDH(BA$18 &amp; $B26 &amp; RIGHT($C26, 2) &amp; " " &amp; "Comdty", "PX_SETTLE", BA$16, BA$16, "Fill=#N/A")), NA()))</f>
        <v>#N/A</v>
      </c>
      <c r="BB26" s="29">
        <f ca="1">IFERROR(AVERAGE(_xll.BDH(BB$18 &amp; $B26 &amp; RIGHT($C26, 2) &amp; " " &amp; "Comdty", "PX_SETTLE", BB$16, BB$16, "Fill=#N/A")), IFERROR(AVERAGE(_xll.BDH(BB$18 &amp; $B26 &amp; RIGHT($C26, 2) &amp; " " &amp; "Comdty", "PX_SETTLE", BB$16, BB$16, "Fill=#N/A")), NA()))</f>
        <v>83.57</v>
      </c>
      <c r="BC26" s="29">
        <f ca="1">IFERROR(AVERAGE(_xll.BDH(BC$18 &amp; $B26 &amp; RIGHT($C26, 2) &amp; " " &amp; "Comdty", "PX_SETTLE", BC$16, BC$16, "Fill=#N/A")), IFERROR(AVERAGE(_xll.BDH(BC$18 &amp; $B26 &amp; RIGHT($C26, 2) &amp; " " &amp; "Comdty", "PX_SETTLE", BC$16, BC$16, "Fill=#N/A")), NA()))</f>
        <v>557.29999999999995</v>
      </c>
      <c r="BD26" s="29" cm="1">
        <f t="array" ref="BD26">_xll.BFXFORWARD("USDCNY", "6M", "MidOutright")</f>
        <v>6.6743005000000002</v>
      </c>
      <c r="BE26" s="109">
        <f t="shared" ca="1" si="209"/>
        <v>76.634999999999991</v>
      </c>
      <c r="BF26" s="46">
        <f t="shared" ca="1" si="72"/>
        <v>-0.25500000000000966</v>
      </c>
      <c r="BG26" s="47">
        <f t="shared" ca="1" si="151"/>
        <v>1.4950000000000045</v>
      </c>
      <c r="BH26" s="114">
        <f t="shared" ca="1" si="223"/>
        <v>4.5000000000001705E-2</v>
      </c>
      <c r="BI26" s="110">
        <f t="shared" ca="1" si="224"/>
        <v>82.605000000000004</v>
      </c>
      <c r="BJ26" s="46">
        <f t="shared" ca="1" si="73"/>
        <v>-0.26500000000000057</v>
      </c>
      <c r="BK26" s="48">
        <f t="shared" ca="1" si="225"/>
        <v>1.5300000000000011</v>
      </c>
      <c r="BL26" s="114">
        <f t="shared" ca="1" si="226"/>
        <v>3.0000000000001137E-2</v>
      </c>
      <c r="BM26" s="48">
        <f t="shared" ca="1" si="152"/>
        <v>1061</v>
      </c>
      <c r="BN26" s="46">
        <f t="shared" ca="1" si="74"/>
        <v>-5</v>
      </c>
      <c r="BO26" s="47">
        <f t="shared" ca="1" si="210"/>
        <v>36.5</v>
      </c>
      <c r="BP26" s="46">
        <f t="shared" ca="1" si="133"/>
        <v>0</v>
      </c>
      <c r="BQ26" s="110">
        <f t="shared" ca="1" si="211"/>
        <v>375.43499999999995</v>
      </c>
      <c r="BR26" s="46">
        <f t="shared" ca="1" si="75"/>
        <v>-1.3250000000000455</v>
      </c>
      <c r="BS26" s="47">
        <f t="shared" ca="1" si="153"/>
        <v>13.894999999999982</v>
      </c>
      <c r="BT26" s="114">
        <f t="shared" ca="1" si="154"/>
        <v>-9.5000000000027285E-2</v>
      </c>
      <c r="BU26" s="48">
        <f t="shared" ca="1" si="212"/>
        <v>288.30500000000001</v>
      </c>
      <c r="BV26" s="46">
        <f t="shared" ca="1" si="76"/>
        <v>-0.23500000000001364</v>
      </c>
      <c r="BW26" s="47">
        <f t="shared" ca="1" si="155"/>
        <v>-19.014999999999986</v>
      </c>
      <c r="BX26" s="46">
        <f t="shared" ca="1" si="156"/>
        <v>0.41500000000002046</v>
      </c>
      <c r="BY26" s="140">
        <f t="shared" ca="1" si="134"/>
        <v>75.150909090909082</v>
      </c>
      <c r="BZ26" s="46">
        <f t="shared" ca="1" si="135"/>
        <v>-0.24818181818182888</v>
      </c>
      <c r="CA26" s="47">
        <f t="shared" ca="1" si="157"/>
        <v>1.1325691699604761</v>
      </c>
      <c r="CB26" s="46">
        <f t="shared" ca="1" si="158"/>
        <v>-5.2964426877473714E-3</v>
      </c>
      <c r="CC26" s="141">
        <f t="shared" ca="1" si="136"/>
        <v>80.362954545454542</v>
      </c>
      <c r="CD26" s="50">
        <f t="shared" ca="1" si="137"/>
        <v>-0.26931818181817779</v>
      </c>
      <c r="CE26" s="47">
        <f t="shared" ca="1" si="159"/>
        <v>0.97921936758893935</v>
      </c>
      <c r="CF26" s="46">
        <f t="shared" ca="1" si="160"/>
        <v>-5.4644268774660665E-3</v>
      </c>
      <c r="CG26" s="141">
        <f t="shared" ca="1" si="138"/>
        <v>1040.971590909091</v>
      </c>
      <c r="CH26" s="50">
        <f t="shared" ca="1" si="139"/>
        <v>-5.0852272727272734</v>
      </c>
      <c r="CI26" s="47">
        <f t="shared" ca="1" si="161"/>
        <v>32.724061264822012</v>
      </c>
      <c r="CJ26" s="46">
        <f t="shared" ca="1" si="162"/>
        <v>8.5227272727273373E-2</v>
      </c>
      <c r="CK26" s="141">
        <f t="shared" ca="1" si="140"/>
        <v>364.17499999999995</v>
      </c>
      <c r="CL26" s="50">
        <f t="shared" ca="1" si="77"/>
        <v>-1.2150000000000318</v>
      </c>
      <c r="CM26" s="47">
        <f t="shared" ca="1" si="163"/>
        <v>11.259999999999991</v>
      </c>
      <c r="CN26" s="46">
        <f t="shared" ca="1" si="164"/>
        <v>-0.11000000000001364</v>
      </c>
      <c r="CO26" s="141">
        <f t="shared" ca="1" si="141"/>
        <v>285.56</v>
      </c>
      <c r="CP26" s="50">
        <f t="shared" ca="1" si="78"/>
        <v>-0.54000000000002046</v>
      </c>
      <c r="CQ26" s="47">
        <f t="shared" ca="1" si="165"/>
        <v>2.7450000000000045</v>
      </c>
      <c r="CR26" s="46">
        <f t="shared" ca="1" si="166"/>
        <v>0.30500000000000682</v>
      </c>
      <c r="CS26" s="109">
        <f t="shared" ca="1" si="79"/>
        <v>-5.9700000000000131</v>
      </c>
      <c r="CT26" s="46">
        <f t="shared" ca="1" si="80"/>
        <v>9.9999999999909051E-3</v>
      </c>
      <c r="CU26" s="47">
        <f t="shared" ca="1" si="167"/>
        <v>-3.4999999999996589E-2</v>
      </c>
      <c r="CV26" s="46">
        <f t="shared" ca="1" si="168"/>
        <v>-1.5000000000000568E-2</v>
      </c>
      <c r="CW26" s="110">
        <f t="shared" ca="1" si="142"/>
        <v>-5.2120454545454606</v>
      </c>
      <c r="CX26" s="46">
        <f t="shared" ca="1" si="81"/>
        <v>2.1136363636348909E-2</v>
      </c>
      <c r="CY26" s="47">
        <f t="shared" ca="1" si="169"/>
        <v>0.15334980237153673</v>
      </c>
      <c r="CZ26" s="46">
        <f t="shared" ca="1" si="170"/>
        <v>1.6798418971869511E-4</v>
      </c>
      <c r="DA26" s="109">
        <f t="shared" ca="1" si="82"/>
        <v>59.811107382550333</v>
      </c>
      <c r="DB26" s="46">
        <f t="shared" ca="1" si="83"/>
        <v>-0.4061409395973149</v>
      </c>
      <c r="DC26" s="47">
        <f t="shared" ca="1" si="171"/>
        <v>3.3693288590604027</v>
      </c>
      <c r="DD26" s="46">
        <f t="shared" ca="1" si="143"/>
        <v>-3.0000000000001137E-2</v>
      </c>
      <c r="DE26" s="110">
        <f t="shared" ca="1" si="84"/>
        <v>75.07769999999995</v>
      </c>
      <c r="DF26" s="46">
        <f t="shared" ca="1" si="85"/>
        <v>-0.29150000000001852</v>
      </c>
      <c r="DG26" s="47">
        <f t="shared" ca="1" si="172"/>
        <v>4.3059000000000083</v>
      </c>
      <c r="DH26" s="46">
        <f t="shared" ca="1" si="173"/>
        <v>-6.9900000000012619E-2</v>
      </c>
      <c r="DI26" s="110">
        <f t="shared" ca="1" si="86"/>
        <v>38.483099999999993</v>
      </c>
      <c r="DJ26" s="46">
        <f t="shared" ca="1" si="87"/>
        <v>0.16629999999999484</v>
      </c>
      <c r="DK26" s="47">
        <f t="shared" ca="1" si="174"/>
        <v>-9.5163000000000011</v>
      </c>
      <c r="DL26" s="46">
        <f t="shared" ca="1" si="175"/>
        <v>0.14430000000000748</v>
      </c>
      <c r="DM26" s="110">
        <f t="shared" ca="1" si="88"/>
        <v>81.047699999999963</v>
      </c>
      <c r="DN26" s="46">
        <f t="shared" ca="1" si="89"/>
        <v>-0.30150000000000943</v>
      </c>
      <c r="DO26" s="47">
        <f t="shared" ca="1" si="176"/>
        <v>4.3409000000000049</v>
      </c>
      <c r="DP26" s="47">
        <f t="shared" ca="1" si="177"/>
        <v>-8.4900000000013187E-2</v>
      </c>
      <c r="DQ26" s="110">
        <f t="shared" ca="1" si="90"/>
        <v>44.453100000000006</v>
      </c>
      <c r="DR26" s="46">
        <f t="shared" ca="1" si="91"/>
        <v>0.15630000000000394</v>
      </c>
      <c r="DS26" s="47">
        <f t="shared" ca="1" si="178"/>
        <v>-9.4813000000000045</v>
      </c>
      <c r="DT26" s="47">
        <f t="shared" ca="1" si="179"/>
        <v>0.12930000000000691</v>
      </c>
      <c r="DU26" s="109">
        <f t="shared" ca="1" si="92"/>
        <v>59.36477577791338</v>
      </c>
      <c r="DV26" s="46">
        <f t="shared" ca="1" si="93"/>
        <v>-0.41326266015863744</v>
      </c>
      <c r="DW26" s="47">
        <f t="shared" ca="1" si="180"/>
        <v>3.4132720773536107</v>
      </c>
      <c r="DX26" s="47">
        <f t="shared" ca="1" si="181"/>
        <v>1.6904329256965833E-2</v>
      </c>
      <c r="DY26" s="110">
        <f t="shared" ca="1" si="94"/>
        <v>72.590545454545449</v>
      </c>
      <c r="DZ26" s="46">
        <f t="shared" ca="1" si="95"/>
        <v>-0.24098181818183562</v>
      </c>
      <c r="EA26" s="47">
        <f t="shared" ca="1" si="182"/>
        <v>3.7499806324110239</v>
      </c>
      <c r="EB26" s="47">
        <f t="shared" ca="1" si="183"/>
        <v>-4.0735573122539614E-2</v>
      </c>
      <c r="EC26" s="110">
        <f t="shared" ca="1" si="96"/>
        <v>39.572245454545467</v>
      </c>
      <c r="ED26" s="46">
        <f t="shared" ca="1" si="97"/>
        <v>4.2518181818169187E-2</v>
      </c>
      <c r="EE26" s="47">
        <f t="shared" ca="1" si="184"/>
        <v>0.17368063241104892</v>
      </c>
      <c r="EF26" s="47">
        <f t="shared" ca="1" si="185"/>
        <v>0.13356442687746894</v>
      </c>
      <c r="EG26" s="110">
        <f t="shared" ca="1" si="98"/>
        <v>77.80259090909091</v>
      </c>
      <c r="EH26" s="46">
        <f t="shared" ca="1" si="99"/>
        <v>-0.26211818181818453</v>
      </c>
      <c r="EI26" s="47">
        <f t="shared" ca="1" si="186"/>
        <v>3.5966308300394871</v>
      </c>
      <c r="EJ26" s="47">
        <f t="shared" ca="1" si="187"/>
        <v>-4.090355731225831E-2</v>
      </c>
      <c r="EK26" s="110">
        <f t="shared" ca="1" si="100"/>
        <v>44.784290909090927</v>
      </c>
      <c r="EL26" s="46">
        <f t="shared" ca="1" si="101"/>
        <v>2.1381818181820278E-2</v>
      </c>
      <c r="EM26" s="47">
        <f t="shared" ca="1" si="188"/>
        <v>2.0330830039512193E-2</v>
      </c>
      <c r="EN26" s="47">
        <f t="shared" ca="1" si="189"/>
        <v>0.13339644268775025</v>
      </c>
      <c r="EO26" s="109">
        <f t="shared" ca="1" si="102"/>
        <v>36.349030041546769</v>
      </c>
      <c r="EP26" s="46">
        <f t="shared" ca="1" si="103"/>
        <v>0.27295461808880073</v>
      </c>
      <c r="EQ26" s="47">
        <f t="shared" ca="1" si="190"/>
        <v>2.2299312879513877</v>
      </c>
      <c r="ER26" s="47">
        <f t="shared" ca="1" si="191"/>
        <v>-9.5000000000027285E-2</v>
      </c>
      <c r="ES26" s="110">
        <f t="shared" ca="1" si="104"/>
        <v>31.489927801504905</v>
      </c>
      <c r="ET26" s="46">
        <f t="shared" ca="1" si="105"/>
        <v>0.41019248089714733</v>
      </c>
      <c r="EU26" s="47">
        <f t="shared" ca="1" si="192"/>
        <v>0.80168703585104595</v>
      </c>
      <c r="EV26" s="47">
        <f t="shared" ca="1" si="193"/>
        <v>-0.1372378628083466</v>
      </c>
      <c r="EW26" s="109">
        <f t="shared" ca="1" si="106"/>
        <v>-87.129999999999939</v>
      </c>
      <c r="EX26" s="46">
        <f t="shared" ca="1" si="107"/>
        <v>1.0900000000000318</v>
      </c>
      <c r="EY26" s="47">
        <f t="shared" ca="1" si="194"/>
        <v>-32.909999999999968</v>
      </c>
      <c r="EZ26" s="47">
        <f t="shared" ca="1" si="195"/>
        <v>0.51000000000004775</v>
      </c>
      <c r="FA26" s="110">
        <f t="shared" ca="1" si="108"/>
        <v>-78.614999999999952</v>
      </c>
      <c r="FB26" s="46">
        <f t="shared" ca="1" si="109"/>
        <v>0.67500000000001137</v>
      </c>
      <c r="FC26" s="47">
        <f t="shared" ca="1" si="196"/>
        <v>-8.5149999999999864</v>
      </c>
      <c r="FD26" s="47">
        <f t="shared" ca="1" si="197"/>
        <v>0.41500000000002046</v>
      </c>
      <c r="FE26" s="109">
        <f t="shared" ca="1" si="110"/>
        <v>62.750399999999985</v>
      </c>
      <c r="FF26" s="46">
        <f t="shared" ca="1" si="111"/>
        <v>-7.2600000000002746E-2</v>
      </c>
      <c r="FG26" s="110">
        <f t="shared" ca="1" si="112"/>
        <v>56.651299999999992</v>
      </c>
      <c r="FH26" s="46">
        <f t="shared" ca="1" si="113"/>
        <v>3.6999999999994815E-3</v>
      </c>
      <c r="FI26" s="110">
        <f t="shared" ca="1" si="114"/>
        <v>56.780399999999972</v>
      </c>
      <c r="FJ26" s="46">
        <f t="shared" ca="1" si="115"/>
        <v>-6.2600000000011841E-2</v>
      </c>
      <c r="FK26" s="110">
        <f t="shared" ca="1" si="116"/>
        <v>50.681299999999979</v>
      </c>
      <c r="FL26" s="46">
        <f t="shared" ca="1" si="117"/>
        <v>1.3699999999990387E-2</v>
      </c>
      <c r="FM26" s="110">
        <f t="shared" ca="1" si="118"/>
        <v>61.293440909090918</v>
      </c>
      <c r="FN26" s="46">
        <f t="shared" ca="1" si="119"/>
        <v>-0.12036818181818212</v>
      </c>
      <c r="FO26" s="110">
        <f t="shared" ca="1" si="120"/>
        <v>55.790390909090917</v>
      </c>
      <c r="FP26" s="46">
        <f t="shared" ca="1" si="121"/>
        <v>-7.3118181818181319E-2</v>
      </c>
      <c r="FQ26" s="110">
        <f t="shared" ca="1" si="122"/>
        <v>56.081395454545458</v>
      </c>
      <c r="FR26" s="46">
        <f t="shared" ca="1" si="123"/>
        <v>-9.9231818181833215E-2</v>
      </c>
      <c r="FS26" s="110">
        <f t="shared" ca="1" si="124"/>
        <v>50.578345454545463</v>
      </c>
      <c r="FT26" s="111">
        <f t="shared" ca="1" si="125"/>
        <v>-5.1981818181832409E-2</v>
      </c>
      <c r="FU26" s="109" t="str">
        <f t="shared" ca="1" si="232"/>
        <v/>
      </c>
      <c r="FV26" s="46" t="str">
        <f t="shared" ca="1" si="213"/>
        <v/>
      </c>
      <c r="FW26" s="48" t="str">
        <f t="shared" ca="1" si="227"/>
        <v/>
      </c>
      <c r="FX26" s="114" t="str">
        <f t="shared" ca="1" si="228"/>
        <v/>
      </c>
      <c r="FY26" s="110" t="str">
        <f t="shared" ca="1" si="214"/>
        <v/>
      </c>
      <c r="FZ26" s="46" t="str">
        <f t="shared" ca="1" si="215"/>
        <v/>
      </c>
      <c r="GA26" s="47" t="str">
        <f t="shared" ca="1" si="216"/>
        <v/>
      </c>
      <c r="GB26" s="46" t="str">
        <f t="shared" ca="1" si="229"/>
        <v/>
      </c>
      <c r="GC26" s="110" t="str">
        <f ca="1">IFERROR(IF(AND(ISNUMBER($FU26), ISNUMBER(Crd!$X26)), $FU26 - Crd!$X26, ""), "")</f>
        <v/>
      </c>
      <c r="GD26" s="46" t="str">
        <f ca="1">IFERROR(IF(AND(ISNUMBER($FV26), ISNUMBER(Crd!$Y26)), $FV26 - Crd!$Y26, ""), "")</f>
        <v/>
      </c>
      <c r="GE26" s="47" t="str">
        <f t="shared" ca="1" si="217"/>
        <v/>
      </c>
      <c r="GF26" s="46" t="str">
        <f t="shared" ca="1" si="218"/>
        <v/>
      </c>
      <c r="GG26" s="141" t="str">
        <f t="shared" ca="1" si="198"/>
        <v/>
      </c>
      <c r="GH26" s="50" t="str">
        <f t="shared" ca="1" si="199"/>
        <v/>
      </c>
      <c r="GI26" s="47" t="str">
        <f t="shared" ca="1" si="144"/>
        <v/>
      </c>
      <c r="GJ26" s="46" t="str">
        <f t="shared" ca="1" si="145"/>
        <v/>
      </c>
      <c r="GK26" s="110" t="str">
        <f t="shared" ca="1" si="127"/>
        <v/>
      </c>
      <c r="GL26" s="46" t="str">
        <f t="shared" ca="1" si="128"/>
        <v/>
      </c>
      <c r="GM26" s="47" t="str">
        <f t="shared" ca="1" si="200"/>
        <v/>
      </c>
      <c r="GN26" s="46" t="str">
        <f t="shared" ca="1" si="201"/>
        <v/>
      </c>
      <c r="GO26" s="110" t="str">
        <f ca="1">IFERROR(IF(AND(ISNUMBER($GG26), ISNUMBER(Crd!$X26)), $GG26 - Crd!$X26, ""), "")</f>
        <v/>
      </c>
      <c r="GP26" s="46" t="str">
        <f ca="1">IFERROR(IF(AND(ISNUMBER($GH26), ISNUMBER(Crd!$Y26)), $GH26 - Crd!$Y26, ""), "")</f>
        <v/>
      </c>
      <c r="GQ26" s="47" t="str">
        <f t="shared" ca="1" si="202"/>
        <v/>
      </c>
      <c r="GR26" s="46" t="str">
        <f t="shared" ca="1" si="203"/>
        <v/>
      </c>
      <c r="GS26" s="436" t="str">
        <f t="shared" ca="1" si="219"/>
        <v/>
      </c>
      <c r="GT26" s="46" t="str">
        <f t="shared" ca="1" si="220"/>
        <v/>
      </c>
      <c r="GU26" s="48" t="str">
        <f t="shared" ca="1" si="230"/>
        <v/>
      </c>
      <c r="GV26" s="46" t="str">
        <f t="shared" ca="1" si="231"/>
        <v/>
      </c>
      <c r="GW26" s="427" t="str">
        <f t="shared" ca="1" si="204"/>
        <v/>
      </c>
      <c r="GX26" s="50" t="str">
        <f t="shared" ca="1" si="146"/>
        <v/>
      </c>
      <c r="GY26" s="47" t="str">
        <f t="shared" ca="1" si="205"/>
        <v/>
      </c>
      <c r="GZ26" s="432" t="str">
        <f t="shared" ca="1" si="206"/>
        <v/>
      </c>
      <c r="HA26" s="436">
        <f t="shared" ca="1" si="207"/>
        <v>558.70000000000005</v>
      </c>
      <c r="HB26" s="46">
        <f t="shared" ca="1" si="208"/>
        <v>1.4000000000000909</v>
      </c>
      <c r="HC26" s="48">
        <f t="shared" ca="1" si="221"/>
        <v>20.899999999999977</v>
      </c>
      <c r="HD26" s="46">
        <f t="shared" ca="1" si="222"/>
        <v>14.399999999999977</v>
      </c>
      <c r="HE26" s="269">
        <f t="shared" ca="1" si="147"/>
        <v>83.709146748786637</v>
      </c>
      <c r="HF26" s="46">
        <f t="shared" ca="1" si="148"/>
        <v>0.20975980928639501</v>
      </c>
      <c r="HG26" s="48">
        <f t="shared" ca="1" si="149"/>
        <v>3.1314142957752615</v>
      </c>
      <c r="HH26" s="432">
        <f t="shared" ca="1" si="150"/>
        <v>2.157529466945634</v>
      </c>
    </row>
    <row r="27" spans="1:216" x14ac:dyDescent="0.25">
      <c r="A27" s="58">
        <f t="shared" ca="1" si="131"/>
        <v>46508</v>
      </c>
      <c r="B27" s="6" t="str">
        <f ca="1">INDEX(MthRef[], MATCH(MONTH(Futs!$A27), MthRef[Mth], 0), 2)</f>
        <v>K</v>
      </c>
      <c r="C27" s="6">
        <f t="shared" ca="1" si="65"/>
        <v>2027</v>
      </c>
      <c r="D27" s="6" t="str">
        <f t="shared" ca="1" si="66"/>
        <v>Q227</v>
      </c>
      <c r="E27" s="6" t="str">
        <f t="shared" ca="1" si="132"/>
        <v>K7</v>
      </c>
      <c r="F27" s="10">
        <f ca="1">IFERROR(AVERAGE(_xll.BDP(F$18 &amp; $B27 &amp; RIGHT($C27, 1) &amp; " " &amp; "Comdty", "BID", "Fill=#N/A"), _xll.BDP(F$18 &amp; $B27 &amp; RIGHT($C27, 1) &amp; " " &amp; "Comdty", "ASK", "Fill=#N/A")), NA())</f>
        <v>75.47</v>
      </c>
      <c r="G27" s="10">
        <f ca="1">IFERROR(AVERAGE(_xll.BDP(G$18 &amp; $B27 &amp; RIGHT($C27, 1) &amp; " " &amp; "Comdty", "BID", "Fill=#N/A"), _xll.BDP(G$18 &amp; $B27 &amp; RIGHT($C27, 1) &amp; " " &amp; "Comdty", "ASK", "Fill=#N/A")), NA())</f>
        <v>81.385000000000005</v>
      </c>
      <c r="H27" s="10">
        <f ca="1">IFERROR(AVERAGE(_xll.BDP(H$18 &amp; $B27 &amp; RIGHT($C27, 1) &amp; " " &amp; "Comdty", "BID", "Fill=#N/A"), _xll.BDP(H$18 &amp; $B27 &amp; RIGHT($C27, 1) &amp; " " &amp; "Comdty", "ASK", "Fill=#N/A")), NA())</f>
        <v>1031.625</v>
      </c>
      <c r="I27" s="10">
        <f ca="1">IFERROR(AVERAGE(_xll.BDP(I$18 &amp; $B27 &amp; RIGHT($C27, 1) &amp; " " &amp; "Comdty", "BID", "Fill=#N/A"), _xll.BDP(I$18 &amp; $B27 &amp; RIGHT($C27, 1) &amp; " " &amp; "Comdty", "ASK", "Fill=#N/A")), NA())</f>
        <v>364.15499999999997</v>
      </c>
      <c r="J27" s="10">
        <f ca="1">IFERROR(AVERAGE(_xll.BDP(J$18 &amp; $B27 &amp; RIGHT($C27, 1) &amp; " " &amp; "Comdty", "BID", "Fill=#N/A"), _xll.BDP(J$18 &amp; $B27 &amp; RIGHT($C27, 1) &amp; " " &amp; "Comdty", "ASK", "Fill=#N/A")), NA())</f>
        <v>285.505</v>
      </c>
      <c r="K27" s="10" t="e">
        <f ca="1">IFERROR(AVERAGE(_xll.BDP(K$18 &amp; $B27 &amp; RIGHT($C27, 2) &amp; " " &amp; "Comdty", "BID", "Fill=#N/A"), _xll.BDP(K$18 &amp; $B27 &amp; RIGHT($C27, 2) &amp; " " &amp; "Comdty", "ASK", "Fill=#N/A")), NA())</f>
        <v>#N/A</v>
      </c>
      <c r="L27" s="10" t="e">
        <f ca="1">IFERROR(AVERAGE(_xll.BDP(L$18 &amp; $B27 &amp; RIGHT($C27, 2) &amp; " " &amp; "Comdty", "BID", "Fill=#N/A"), _xll.BDP(L$18 &amp; $B27 &amp; RIGHT($C27, 2) &amp; " " &amp; "Comdty", "ASK", "Fill=#N/A")), NA())</f>
        <v>#N/A</v>
      </c>
      <c r="M27" s="10">
        <f ca="1">IFERROR(AVERAGE(_xll.BDP(M$18 &amp; $B27 &amp; RIGHT($C27, 2) &amp; " " &amp; "Comdty", "BID", "Fill=#N/A"), _xll.BDP(M$18 &amp; $B27 &amp; RIGHT($C27, 2) &amp; " " &amp; "Comdty", "ASK", "Fill=#N/A")), NA())</f>
        <v>550.65</v>
      </c>
      <c r="N27" s="10">
        <f ca="1">IFERROR(AVERAGE(_xll.BDP(N$18 &amp; $B26 &amp; RIGHT($C26, 1) &amp; N$18 &amp; $B27 &amp; RIGHT($C27, 1) &amp; " " &amp; "Comdty", "BID", "Fill=#N/A"), _xll.BDP(N$18 &amp; $B26 &amp; RIGHT($C26, 1) &amp; N$18 &amp; $B27 &amp; RIGHT($C27, 1) &amp; " " &amp; "Comdty", "ASK", "Fill=#N/A")), NA())</f>
        <v>1.1549999999999998</v>
      </c>
      <c r="O27" s="10">
        <f ca="1">IFERROR(AVERAGE(_xll.BDP(O$18 &amp; $B26 &amp; RIGHT($C26, 1) &amp; O$18 &amp; $B27 &amp; RIGHT($C27, 1) &amp; " " &amp; "Comdty", "BID", "Fill=#N/A"), _xll.BDP(O$18 &amp; $B26 &amp; RIGHT($C26, 1) &amp; O$18 &amp; $B27 &amp; RIGHT($C27, 1) &amp; " " &amp; "Comdty", "ASK", "Fill=#N/A")), NA())</f>
        <v>1.22</v>
      </c>
      <c r="P27" s="10">
        <f ca="1">IFERROR(AVERAGE(_xll.BDP(P$18 &amp; $B26 &amp; RIGHT($C26, 1) &amp; P$18 &amp; $B27 &amp; RIGHT($C27, 1) &amp; " " &amp; "Comdty", "BID", "Fill=#N/A"), _xll.BDP(P$18 &amp; $B26 &amp; RIGHT($C26, 1) &amp; P$18 &amp; $B27 &amp; RIGHT($C27, 1) &amp; " " &amp; "Comdty", "ASK", "Fill=#N/A")), NA())</f>
        <v>29.375</v>
      </c>
      <c r="Q27" s="10">
        <f ca="1">IFERROR(AVERAGE(_xll.BDP(Q$18 &amp; $B26 &amp; RIGHT($C26, 1) &amp; Q$18 &amp; $B27 &amp; RIGHT($C27, 1) &amp; " " &amp; "Comdty", "BID", "Fill=#N/A"), _xll.BDP(Q$18 &amp; $B26 &amp; RIGHT($C26, 1) &amp; Q$18 &amp; $B27 &amp; RIGHT($C27, 1) &amp; " " &amp; "Comdty", "ASK", "Fill=#N/A")), NA())</f>
        <v>11.26</v>
      </c>
      <c r="R27" s="10">
        <f ca="1">IFERROR(AVERAGE(_xll.BDP(R$18 &amp; $B26 &amp; RIGHT($C26, 1) &amp; R$18 &amp; $B27 &amp; RIGHT($C27, 1) &amp; " " &amp; "Comdty", "BID", "Fill=#N/A"), _xll.BDP(R$18 &amp; $B26 &amp; RIGHT($C26, 1) &amp; R$18 &amp; $B27 &amp; RIGHT($C27, 1) &amp; " " &amp; "Comdty", "ASK", "Fill=#N/A")), NA())</f>
        <v>2.7450000000000001</v>
      </c>
      <c r="S27" s="10" t="e">
        <f ca="1">IFERROR(AVERAGE(_xll.BDP(S$18 &amp; $B26 &amp; RIGHT($C26, 1) &amp; $B27 &amp; RIGHT($C27, 1) &amp; " " &amp; "Comdty", "BID", "Fill=#N/A"), _xll.BDP(S$18 &amp; $B26 &amp; RIGHT($C26, 1) &amp; $B27 &amp; RIGHT($C27, 1) &amp; " " &amp; "Comdty", "ASK", "Fill=#N/A")), NA())</f>
        <v>#N/A</v>
      </c>
      <c r="T27" s="10" t="e">
        <f ca="1">IFERROR(AVERAGE(_xll.BDP(T$18 &amp; $B26 &amp; RIGHT($C26, 1) &amp; $B27 &amp; RIGHT($C27, 1) &amp; " " &amp; "Comdty", "BID", "Fill=#N/A"), _xll.BDP(T$18 &amp; $B26 &amp; RIGHT($C26, 1) &amp; $B27 &amp; RIGHT($C27, 1) &amp; " " &amp; "Comdty", "ASK", "Fill=#N/A")), NA())</f>
        <v>#N/A</v>
      </c>
      <c r="U27" s="10">
        <f ca="1">IF($A27 &lt; Diagnostics!$B$3, N27, INDEX(ImpSprd[], MATCH(Futs!$C27, ImpSprd[Yr], 0), MATCH(U$18, ImpSprd[#Headers], 0)))</f>
        <v>1.1549999999999998</v>
      </c>
      <c r="V27" s="10">
        <f ca="1">IF($A27 &lt; Diagnostics!$B$3, O27, INDEX(ImpSprd[], MATCH(Futs!$C27, ImpSprd[Yr], 0), MATCH(V$18, ImpSprd[#Headers], 0)))</f>
        <v>1.22</v>
      </c>
      <c r="W27" s="10">
        <f ca="1">IF($A27 &lt; Diagnostics!$B$3, P27, INDEX(ImpSprd[], MATCH(Futs!$C27, ImpSprd[Yr], 0), MATCH(W$18, ImpSprd[#Headers], 0)))</f>
        <v>29.375</v>
      </c>
      <c r="X27" s="31">
        <f ca="1">INDEX(Expi[], MATCH($A27, Expi[Date], 0), MATCH(X$18, Expi[#Headers], 0))</f>
        <v>46527</v>
      </c>
      <c r="Y27" s="31">
        <f ca="1">INDEX(Expi[], MATCH($A27, Expi[Date], 0), MATCH(Y$18, Expi[#Headers], 0))</f>
        <v>46535</v>
      </c>
      <c r="Z27" s="31">
        <f ca="1">INDEX(Expi[], MATCH($A27, Expi[Date], 0), MATCH(Z$18, Expi[#Headers], 0))</f>
        <v>46519</v>
      </c>
      <c r="AA27" s="31">
        <f ca="1">INDEX(Expi[], MATCH($A27, Expi[Date], 0), MATCH(AA$18, Expi[#Headers], 0))</f>
        <v>46535</v>
      </c>
      <c r="AB27" s="31">
        <f ca="1">INDEX(Expi[], MATCH($A27, Expi[Date], 0), MATCH(AB$18, Expi[#Headers], 0))</f>
        <v>46535</v>
      </c>
      <c r="AC27" s="31">
        <f ca="1">INDEX(Expi[], MATCH($A27, Expi[Date], 0), MATCH(AC$18, Expi[#Headers], 0))</f>
        <v>46535</v>
      </c>
      <c r="AD27" s="7">
        <f ca="1">NETWORKDAYS($A27, EOMONTH($A27, 0), Hols[CME])</f>
        <v>21</v>
      </c>
      <c r="AE27" s="7">
        <f ca="1">NETWORKDAYS($A27, EOMONTH($A27, 0), Hols[ICE])</f>
        <v>21</v>
      </c>
      <c r="AF27" s="7">
        <f ca="1">NETWORKDAYS($A27, EOMONTH($A27, 0), Hols[ICE])</f>
        <v>21</v>
      </c>
      <c r="AG27" s="7">
        <f ca="1">NETWORKDAYS($A27, EOMONTH($A27, 0), Hols[CME])</f>
        <v>21</v>
      </c>
      <c r="AH27" s="7">
        <f ca="1">NETWORKDAYS($A27, EOMONTH($A27, 0), Hols[CME])</f>
        <v>21</v>
      </c>
      <c r="AI27" s="7">
        <f ca="1">NETWORKDAYS($A27, EOMONTH($A27, 0), Hols[ICE])</f>
        <v>21</v>
      </c>
      <c r="AJ27" s="7">
        <f ca="1">NETWORKDAYS($A27, X27, Hols[CME])</f>
        <v>14</v>
      </c>
      <c r="AK27" s="7">
        <f ca="1">NETWORKDAYS($A27, Y27, Hols[ICE]) - 1</f>
        <v>19</v>
      </c>
      <c r="AL27" s="7">
        <f ca="1">NETWORKDAYS($A27, Z27, Hols[ICE]) - 1</f>
        <v>7</v>
      </c>
      <c r="AM27" s="7">
        <f ca="1">NETWORKDAYS($A27, AA27, Hols[CME])</f>
        <v>20</v>
      </c>
      <c r="AN27" s="7">
        <f ca="1">NETWORKDAYS($A27, AB27, Hols[CME])</f>
        <v>20</v>
      </c>
      <c r="AO27" s="7">
        <f ca="1">NETWORKDAYS($A27, AC27, Hols[ICE]) - 1</f>
        <v>19</v>
      </c>
      <c r="AP27" s="10">
        <f t="shared" ca="1" si="67"/>
        <v>0.66666666666666663</v>
      </c>
      <c r="AQ27" s="10">
        <f t="shared" ca="1" si="68"/>
        <v>0.90476190476190477</v>
      </c>
      <c r="AR27" s="10">
        <f t="shared" ca="1" si="69"/>
        <v>0.33333333333333331</v>
      </c>
      <c r="AS27" s="10">
        <f t="shared" ca="1" si="70"/>
        <v>0.95238095238095233</v>
      </c>
      <c r="AT27" s="10">
        <f t="shared" ca="1" si="71"/>
        <v>0.95238095238095233</v>
      </c>
      <c r="AU27" s="10">
        <f t="shared" ca="1" si="71"/>
        <v>0.90476190476190477</v>
      </c>
      <c r="AV27" s="28">
        <f ca="1">IFERROR(AVERAGE(_xll.BDH(AV$18 &amp; $B27 &amp; RIGHT($C27, 1) &amp; " " &amp; "Comdty", "PX_SETTLE", AV$16, AV$16, "Fill=#N/A")), IFERROR(AVERAGE(_xll.BDH(AV$18 &amp; $B27 &amp; RIGHT($C27, 2) &amp; " " &amp; "Comdty", "PX_SETTLE", AV$16, AV$16, "Fill=#N/A")), NA()))</f>
        <v>75.73</v>
      </c>
      <c r="AW27" s="28">
        <f ca="1">IFERROR(AVERAGE(_xll.BDH(AW$18 &amp; $B27 &amp; RIGHT($C27, 1) &amp; " " &amp; "Comdty", "PX_SETTLE", AW$16, AW$16, "Fill=#N/A")), IFERROR(AVERAGE(_xll.BDH(AW$18 &amp; $B27 &amp; RIGHT($C27, 2) &amp; " " &amp; "Comdty", "PX_SETTLE", AW$16, AW$16, "Fill=#N/A")), NA()))</f>
        <v>81.66</v>
      </c>
      <c r="AX27" s="29">
        <f ca="1">IFERROR(AVERAGE(_xll.BDH(AX$18 &amp; $B27 &amp; RIGHT($C27, 2) &amp; " " &amp; "Comdty", "FAIR_VALUE_SNAPSHOT_AT_1430", AX$16, AX$16, "TIME_ZONE_OVERRIDE=13", "Fill=#N/A")), NA())</f>
        <v>1036.75</v>
      </c>
      <c r="AY27" s="28">
        <f ca="1">IFERROR(AVERAGE(_xll.BDH(AY$18 &amp; $B27 &amp; RIGHT($C27, 1) &amp; " " &amp; "Comdty", "PX_SETTLE", AY$16, AY$16, "Fill=#N/A")), NA())</f>
        <v>365.39</v>
      </c>
      <c r="AZ27" s="28">
        <f ca="1">IFERROR(AVERAGE(_xll.BDH(AZ$18 &amp; $B27 &amp; RIGHT($C27, 1) &amp; " " &amp; "Comdty", "PX_SETTLE", AZ$16, AZ$16, "Fill=#N/A")), NA())</f>
        <v>286.10000000000002</v>
      </c>
      <c r="BA27" s="29" t="e">
        <f ca="1">IFERROR(AVERAGE(_xll.BDH(BA$18 &amp; $B27 &amp; RIGHT($C27, 2) &amp; " " &amp; "Comdty", "PX_SETTLE", BA$16, BA$16, "Fill=#N/A")), IFERROR(AVERAGE(_xll.BDH(BA$18 &amp; $B27 &amp; RIGHT($C27, 2) &amp; " " &amp; "Comdty", "PX_SETTLE", BA$16, BA$16, "Fill=#N/A")), NA()))</f>
        <v>#N/A</v>
      </c>
      <c r="BB27" s="29">
        <f ca="1">IFERROR(AVERAGE(_xll.BDH(BB$18 &amp; $B27 &amp; RIGHT($C27, 2) &amp; " " &amp; "Comdty", "PX_SETTLE", BB$16, BB$16, "Fill=#N/A")), IFERROR(AVERAGE(_xll.BDH(BB$18 &amp; $B27 &amp; RIGHT($C27, 2) &amp; " " &amp; "Comdty", "PX_SETTLE", BB$16, BB$16, "Fill=#N/A")), NA()))</f>
        <v>82.36</v>
      </c>
      <c r="BC27" s="29">
        <f ca="1">IFERROR(AVERAGE(_xll.BDH(BC$18 &amp; $B27 &amp; RIGHT($C27, 2) &amp; " " &amp; "Comdty", "PX_SETTLE", BC$16, BC$16, "Fill=#N/A")), IFERROR(AVERAGE(_xll.BDH(BC$18 &amp; $B27 &amp; RIGHT($C27, 2) &amp; " " &amp; "Comdty", "PX_SETTLE", BC$16, BC$16, "Fill=#N/A")), NA()))</f>
        <v>549.79999999999995</v>
      </c>
      <c r="BD27" s="29" cm="1">
        <f t="array" ref="BD27">_xll.BFXFORWARD("USDCNY", "7M", "MidOutright")</f>
        <v>6.6568315</v>
      </c>
      <c r="BE27" s="109">
        <f t="shared" ca="1" si="209"/>
        <v>75.47999999999999</v>
      </c>
      <c r="BF27" s="46">
        <f t="shared" ca="1" si="72"/>
        <v>-0.25000000000001421</v>
      </c>
      <c r="BG27" s="47">
        <f t="shared" ca="1" si="151"/>
        <v>1.1550000000000011</v>
      </c>
      <c r="BH27" s="114">
        <f t="shared" ca="1" si="223"/>
        <v>-4.9999999999954525E-3</v>
      </c>
      <c r="BI27" s="110">
        <f t="shared" ca="1" si="224"/>
        <v>81.385000000000005</v>
      </c>
      <c r="BJ27" s="46">
        <f t="shared" ca="1" si="73"/>
        <v>-0.27499999999999147</v>
      </c>
      <c r="BK27" s="48">
        <f t="shared" ca="1" si="225"/>
        <v>1.2199999999999989</v>
      </c>
      <c r="BL27" s="114">
        <f t="shared" ca="1" si="226"/>
        <v>9.9999999999909051E-3</v>
      </c>
      <c r="BM27" s="48">
        <f t="shared" ca="1" si="152"/>
        <v>1031.625</v>
      </c>
      <c r="BN27" s="46">
        <f t="shared" ca="1" si="74"/>
        <v>-5.125</v>
      </c>
      <c r="BO27" s="47">
        <f t="shared" ca="1" si="210"/>
        <v>29.375</v>
      </c>
      <c r="BP27" s="46">
        <f t="shared" ca="1" si="133"/>
        <v>0.125</v>
      </c>
      <c r="BQ27" s="110">
        <f t="shared" ca="1" si="211"/>
        <v>364.17499999999995</v>
      </c>
      <c r="BR27" s="46">
        <f t="shared" ca="1" si="75"/>
        <v>-1.2150000000000318</v>
      </c>
      <c r="BS27" s="47">
        <f t="shared" ca="1" si="153"/>
        <v>11.259999999999991</v>
      </c>
      <c r="BT27" s="114">
        <f t="shared" ca="1" si="154"/>
        <v>-0.11000000000001364</v>
      </c>
      <c r="BU27" s="48">
        <f t="shared" ca="1" si="212"/>
        <v>285.56</v>
      </c>
      <c r="BV27" s="46">
        <f t="shared" ca="1" si="76"/>
        <v>-0.54000000000002046</v>
      </c>
      <c r="BW27" s="47">
        <f t="shared" ca="1" si="155"/>
        <v>2.7450000000000045</v>
      </c>
      <c r="BX27" s="46">
        <f t="shared" ca="1" si="156"/>
        <v>0.30500000000000682</v>
      </c>
      <c r="BY27" s="140">
        <f t="shared" ca="1" si="134"/>
        <v>74.323333333333323</v>
      </c>
      <c r="BZ27" s="46">
        <f t="shared" ca="1" si="135"/>
        <v>-0.2433333333333394</v>
      </c>
      <c r="CA27" s="47">
        <f t="shared" ca="1" si="157"/>
        <v>0.82757575757575808</v>
      </c>
      <c r="CB27" s="46">
        <f t="shared" ca="1" si="158"/>
        <v>-4.8484848484894871E-3</v>
      </c>
      <c r="CC27" s="141">
        <f t="shared" ca="1" si="136"/>
        <v>79.518809523809537</v>
      </c>
      <c r="CD27" s="50">
        <f t="shared" ca="1" si="137"/>
        <v>-0.25357142857142262</v>
      </c>
      <c r="CE27" s="47">
        <f t="shared" ca="1" si="159"/>
        <v>0.84414502164500504</v>
      </c>
      <c r="CF27" s="46">
        <f t="shared" ca="1" si="160"/>
        <v>-1.5746753246755174E-2</v>
      </c>
      <c r="CG27" s="141">
        <f t="shared" ca="1" si="138"/>
        <v>1015.3750000000001</v>
      </c>
      <c r="CH27" s="50">
        <f t="shared" ca="1" si="139"/>
        <v>-5.2083333333333339</v>
      </c>
      <c r="CI27" s="47">
        <f t="shared" ca="1" si="161"/>
        <v>25.596590909090878</v>
      </c>
      <c r="CJ27" s="46">
        <f t="shared" ca="1" si="162"/>
        <v>0.12310606060606055</v>
      </c>
      <c r="CK27" s="141">
        <f t="shared" ca="1" si="140"/>
        <v>354.68523809523805</v>
      </c>
      <c r="CL27" s="50">
        <f t="shared" ca="1" si="77"/>
        <v>-1.1114285714285812</v>
      </c>
      <c r="CM27" s="47">
        <f t="shared" ca="1" si="163"/>
        <v>9.489761904761906</v>
      </c>
      <c r="CN27" s="46">
        <f t="shared" ca="1" si="164"/>
        <v>-0.10357142857145063</v>
      </c>
      <c r="CO27" s="141">
        <f t="shared" ca="1" si="141"/>
        <v>280.86095238095237</v>
      </c>
      <c r="CP27" s="50">
        <f t="shared" ca="1" si="78"/>
        <v>-0.65904761904758813</v>
      </c>
      <c r="CQ27" s="47">
        <f t="shared" ca="1" si="165"/>
        <v>4.6990476190476329</v>
      </c>
      <c r="CR27" s="46">
        <f t="shared" ca="1" si="166"/>
        <v>0.11904761904756767</v>
      </c>
      <c r="CS27" s="109">
        <f t="shared" ca="1" si="79"/>
        <v>-5.9050000000000153</v>
      </c>
      <c r="CT27" s="46">
        <f t="shared" ca="1" si="80"/>
        <v>2.4999999999977263E-2</v>
      </c>
      <c r="CU27" s="47">
        <f t="shared" ca="1" si="167"/>
        <v>-6.4999999999997726E-2</v>
      </c>
      <c r="CV27" s="46">
        <f t="shared" ca="1" si="168"/>
        <v>3.0000000000001137E-2</v>
      </c>
      <c r="CW27" s="110">
        <f t="shared" ca="1" si="142"/>
        <v>-5.1954761904762137</v>
      </c>
      <c r="CX27" s="46">
        <f t="shared" ca="1" si="81"/>
        <v>1.0238095238083222E-2</v>
      </c>
      <c r="CY27" s="47">
        <f t="shared" ca="1" si="169"/>
        <v>-1.6569264069246969E-2</v>
      </c>
      <c r="CZ27" s="46">
        <f t="shared" ca="1" si="170"/>
        <v>1.0898268398265687E-2</v>
      </c>
      <c r="DA27" s="109">
        <f t="shared" ca="1" si="82"/>
        <v>57.088154362416091</v>
      </c>
      <c r="DB27" s="46">
        <f t="shared" ca="1" si="83"/>
        <v>-0.4129194630872568</v>
      </c>
      <c r="DC27" s="47">
        <f t="shared" ca="1" si="171"/>
        <v>2.7229530201342413</v>
      </c>
      <c r="DD27" s="46">
        <f t="shared" ref="DD27:DD67" ca="1" si="233">IF(AND(ISNUMBER($DB26), ISNUMBER($DB27)), $DB26 - $DB27, "")</f>
        <v>6.7785234899419011E-3</v>
      </c>
      <c r="DE27" s="110">
        <f t="shared" ca="1" si="84"/>
        <v>71.568499999999986</v>
      </c>
      <c r="DF27" s="46">
        <f t="shared" ca="1" si="85"/>
        <v>-0.23530000000002194</v>
      </c>
      <c r="DG27" s="47">
        <f t="shared" ca="1" si="172"/>
        <v>3.5091999999999643</v>
      </c>
      <c r="DH27" s="46">
        <f t="shared" ca="1" si="173"/>
        <v>-5.6199999999996586E-2</v>
      </c>
      <c r="DI27" s="110">
        <f t="shared" ca="1" si="86"/>
        <v>38.550200000000004</v>
      </c>
      <c r="DJ27" s="46">
        <f t="shared" ca="1" si="87"/>
        <v>4.8199999999982868E-2</v>
      </c>
      <c r="DK27" s="47">
        <f t="shared" ca="1" si="174"/>
        <v>-6.7100000000010596E-2</v>
      </c>
      <c r="DL27" s="46">
        <f t="shared" ca="1" si="175"/>
        <v>0.11810000000001197</v>
      </c>
      <c r="DM27" s="110">
        <f t="shared" ca="1" si="88"/>
        <v>77.473500000000001</v>
      </c>
      <c r="DN27" s="46">
        <f t="shared" ca="1" si="89"/>
        <v>-0.2602999999999992</v>
      </c>
      <c r="DO27" s="47">
        <f t="shared" ca="1" si="176"/>
        <v>3.5741999999999621</v>
      </c>
      <c r="DP27" s="47">
        <f t="shared" ca="1" si="177"/>
        <v>-4.1200000000010228E-2</v>
      </c>
      <c r="DQ27" s="110">
        <f t="shared" ca="1" si="90"/>
        <v>44.455200000000019</v>
      </c>
      <c r="DR27" s="46">
        <f t="shared" ca="1" si="91"/>
        <v>2.3200000000005605E-2</v>
      </c>
      <c r="DS27" s="47">
        <f t="shared" ca="1" si="178"/>
        <v>-2.1000000000128694E-3</v>
      </c>
      <c r="DT27" s="47">
        <f t="shared" ca="1" si="179"/>
        <v>0.13309999999999833</v>
      </c>
      <c r="DU27" s="109">
        <f t="shared" ca="1" si="92"/>
        <v>56.773136784915309</v>
      </c>
      <c r="DV27" s="46">
        <f t="shared" ca="1" si="93"/>
        <v>-0.44553371684244764</v>
      </c>
      <c r="DW27" s="47">
        <f t="shared" ca="1" si="180"/>
        <v>2.591638992998071</v>
      </c>
      <c r="DX27" s="47">
        <f t="shared" ca="1" si="181"/>
        <v>3.2271056683810195E-2</v>
      </c>
      <c r="DY27" s="110">
        <f t="shared" ca="1" si="94"/>
        <v>69.448990476190446</v>
      </c>
      <c r="DZ27" s="46">
        <f t="shared" ca="1" si="95"/>
        <v>-0.21322857142858148</v>
      </c>
      <c r="EA27" s="47">
        <f t="shared" ca="1" si="182"/>
        <v>3.1415549783550034</v>
      </c>
      <c r="EB27" s="47">
        <f t="shared" ca="1" si="183"/>
        <v>-2.7753246753254135E-2</v>
      </c>
      <c r="EC27" s="110">
        <f t="shared" ca="1" si="96"/>
        <v>38.442790476190467</v>
      </c>
      <c r="ED27" s="46">
        <f t="shared" ca="1" si="97"/>
        <v>-2.3228571428564437E-2</v>
      </c>
      <c r="EE27" s="47">
        <f t="shared" ca="1" si="184"/>
        <v>1.1294549783549996</v>
      </c>
      <c r="EF27" s="47">
        <f t="shared" ca="1" si="185"/>
        <v>6.5746753246733625E-2</v>
      </c>
      <c r="EG27" s="110">
        <f t="shared" ca="1" si="98"/>
        <v>74.644466666666659</v>
      </c>
      <c r="EH27" s="46">
        <f t="shared" ca="1" si="99"/>
        <v>-0.2234666666666647</v>
      </c>
      <c r="EI27" s="47">
        <f t="shared" ca="1" si="186"/>
        <v>3.1581242424242504</v>
      </c>
      <c r="EJ27" s="47">
        <f t="shared" ca="1" si="187"/>
        <v>-3.8651515151519822E-2</v>
      </c>
      <c r="EK27" s="110">
        <f t="shared" ca="1" si="100"/>
        <v>43.638266666666681</v>
      </c>
      <c r="EL27" s="46">
        <f t="shared" ca="1" si="101"/>
        <v>-3.346666666664766E-2</v>
      </c>
      <c r="EM27" s="47">
        <f t="shared" ca="1" si="188"/>
        <v>1.1460242424242466</v>
      </c>
      <c r="EN27" s="47">
        <f t="shared" ca="1" si="189"/>
        <v>5.4848484848467938E-2</v>
      </c>
      <c r="EO27" s="109">
        <f t="shared" ca="1" si="102"/>
        <v>34.477013422818743</v>
      </c>
      <c r="EP27" s="46">
        <f t="shared" ca="1" si="103"/>
        <v>0.42290348354103569</v>
      </c>
      <c r="EQ27" s="47">
        <f t="shared" ca="1" si="190"/>
        <v>1.8720166187280256</v>
      </c>
      <c r="ER27" s="47">
        <f t="shared" ca="1" si="191"/>
        <v>-0.14994886545223496</v>
      </c>
      <c r="ES27" s="110">
        <f t="shared" ca="1" si="104"/>
        <v>30.180604026845572</v>
      </c>
      <c r="ET27" s="46">
        <f t="shared" ca="1" si="105"/>
        <v>0.55310748908063379</v>
      </c>
      <c r="EU27" s="47">
        <f t="shared" ca="1" si="192"/>
        <v>1.3093237746593331</v>
      </c>
      <c r="EV27" s="47">
        <f t="shared" ca="1" si="193"/>
        <v>-0.14291500818348646</v>
      </c>
      <c r="EW27" s="109">
        <f t="shared" ca="1" si="106"/>
        <v>-78.614999999999952</v>
      </c>
      <c r="EX27" s="46">
        <f t="shared" ca="1" si="107"/>
        <v>0.67500000000001137</v>
      </c>
      <c r="EY27" s="47">
        <f t="shared" ca="1" si="194"/>
        <v>-8.5149999999999864</v>
      </c>
      <c r="EZ27" s="47">
        <f t="shared" ca="1" si="195"/>
        <v>0.41500000000002046</v>
      </c>
      <c r="FA27" s="110">
        <f t="shared" ca="1" si="108"/>
        <v>-73.824285714285679</v>
      </c>
      <c r="FB27" s="46">
        <f t="shared" ca="1" si="109"/>
        <v>0.45238095238099307</v>
      </c>
      <c r="FC27" s="47">
        <f t="shared" ca="1" si="196"/>
        <v>-4.790714285714273</v>
      </c>
      <c r="FD27" s="47">
        <f t="shared" ca="1" si="197"/>
        <v>0.2226190476190183</v>
      </c>
      <c r="FE27" s="109">
        <f t="shared" ca="1" si="110"/>
        <v>60.96435000000001</v>
      </c>
      <c r="FF27" s="46">
        <f t="shared" ca="1" si="111"/>
        <v>-0.1185499999999968</v>
      </c>
      <c r="FG27" s="110">
        <f t="shared" ca="1" si="112"/>
        <v>55.461300000000008</v>
      </c>
      <c r="FH27" s="46">
        <f t="shared" ca="1" si="113"/>
        <v>-7.1299999999995992E-2</v>
      </c>
      <c r="FI27" s="110">
        <f t="shared" ca="1" si="114"/>
        <v>55.059349999999995</v>
      </c>
      <c r="FJ27" s="46">
        <f t="shared" ca="1" si="115"/>
        <v>-9.3550000000019534E-2</v>
      </c>
      <c r="FK27" s="110">
        <f t="shared" ca="1" si="116"/>
        <v>49.5563</v>
      </c>
      <c r="FL27" s="46">
        <f t="shared" ca="1" si="117"/>
        <v>-4.6300000000018729E-2</v>
      </c>
      <c r="FM27" s="110">
        <f t="shared" ca="1" si="118"/>
        <v>59.14136666666667</v>
      </c>
      <c r="FN27" s="46">
        <f t="shared" ca="1" si="119"/>
        <v>-0.12846666666665618</v>
      </c>
      <c r="FO27" s="110">
        <f t="shared" ca="1" si="120"/>
        <v>53.973666666666674</v>
      </c>
      <c r="FP27" s="46">
        <f t="shared" ca="1" si="121"/>
        <v>-9.6799999999986674E-2</v>
      </c>
      <c r="FQ27" s="110">
        <f t="shared" ca="1" si="122"/>
        <v>53.945890476190456</v>
      </c>
      <c r="FR27" s="46">
        <f t="shared" ca="1" si="123"/>
        <v>-0.11822857142857296</v>
      </c>
      <c r="FS27" s="110">
        <f t="shared" ca="1" si="124"/>
        <v>48.77819047619046</v>
      </c>
      <c r="FT27" s="111">
        <f t="shared" ca="1" si="125"/>
        <v>-8.6561904761903452E-2</v>
      </c>
      <c r="FU27" s="109" t="str">
        <f t="shared" ca="1" si="232"/>
        <v/>
      </c>
      <c r="FV27" s="46" t="str">
        <f t="shared" ca="1" si="213"/>
        <v/>
      </c>
      <c r="FW27" s="48" t="str">
        <f t="shared" ca="1" si="227"/>
        <v/>
      </c>
      <c r="FX27" s="114" t="str">
        <f t="shared" ca="1" si="228"/>
        <v/>
      </c>
      <c r="FY27" s="110" t="str">
        <f t="shared" ca="1" si="214"/>
        <v/>
      </c>
      <c r="FZ27" s="46" t="str">
        <f t="shared" ca="1" si="215"/>
        <v/>
      </c>
      <c r="GA27" s="47" t="str">
        <f t="shared" ca="1" si="216"/>
        <v/>
      </c>
      <c r="GB27" s="46" t="str">
        <f t="shared" ca="1" si="229"/>
        <v/>
      </c>
      <c r="GC27" s="110" t="str">
        <f ca="1">IFERROR(IF(AND(ISNUMBER($FU27), ISNUMBER(Crd!$X27)), $FU27 - Crd!$X27, ""), "")</f>
        <v/>
      </c>
      <c r="GD27" s="46" t="str">
        <f ca="1">IFERROR(IF(AND(ISNUMBER($FV27), ISNUMBER(Crd!$Y27)), $FV27 - Crd!$Y27, ""), "")</f>
        <v/>
      </c>
      <c r="GE27" s="47" t="str">
        <f t="shared" ca="1" si="217"/>
        <v/>
      </c>
      <c r="GF27" s="46" t="str">
        <f t="shared" ca="1" si="218"/>
        <v/>
      </c>
      <c r="GG27" s="141" t="str">
        <f t="shared" ca="1" si="198"/>
        <v/>
      </c>
      <c r="GH27" s="50" t="str">
        <f t="shared" ca="1" si="199"/>
        <v/>
      </c>
      <c r="GI27" s="47" t="str">
        <f t="shared" ca="1" si="144"/>
        <v/>
      </c>
      <c r="GJ27" s="46" t="str">
        <f t="shared" ca="1" si="145"/>
        <v/>
      </c>
      <c r="GK27" s="110" t="str">
        <f t="shared" ca="1" si="127"/>
        <v/>
      </c>
      <c r="GL27" s="46" t="str">
        <f t="shared" ca="1" si="128"/>
        <v/>
      </c>
      <c r="GM27" s="47" t="str">
        <f t="shared" ca="1" si="200"/>
        <v/>
      </c>
      <c r="GN27" s="46" t="str">
        <f t="shared" ca="1" si="201"/>
        <v/>
      </c>
      <c r="GO27" s="110" t="str">
        <f ca="1">IFERROR(IF(AND(ISNUMBER($GG27), ISNUMBER(Crd!$X27)), $GG27 - Crd!$X27, ""), "")</f>
        <v/>
      </c>
      <c r="GP27" s="46" t="str">
        <f ca="1">IFERROR(IF(AND(ISNUMBER($GH27), ISNUMBER(Crd!$Y27)), $GH27 - Crd!$Y27, ""), "")</f>
        <v/>
      </c>
      <c r="GQ27" s="47" t="str">
        <f t="shared" ca="1" si="202"/>
        <v/>
      </c>
      <c r="GR27" s="46" t="str">
        <f t="shared" ca="1" si="203"/>
        <v/>
      </c>
      <c r="GS27" s="436" t="str">
        <f t="shared" ca="1" si="219"/>
        <v/>
      </c>
      <c r="GT27" s="46" t="str">
        <f t="shared" ca="1" si="220"/>
        <v/>
      </c>
      <c r="GU27" s="48" t="str">
        <f t="shared" ca="1" si="230"/>
        <v/>
      </c>
      <c r="GV27" s="46" t="str">
        <f t="shared" ca="1" si="231"/>
        <v/>
      </c>
      <c r="GW27" s="427" t="str">
        <f t="shared" ca="1" si="204"/>
        <v/>
      </c>
      <c r="GX27" s="50" t="str">
        <f t="shared" ca="1" si="146"/>
        <v/>
      </c>
      <c r="GY27" s="47" t="str">
        <f t="shared" ca="1" si="205"/>
        <v/>
      </c>
      <c r="GZ27" s="432" t="str">
        <f t="shared" ca="1" si="206"/>
        <v/>
      </c>
      <c r="HA27" s="436">
        <f t="shared" ca="1" si="207"/>
        <v>550.65</v>
      </c>
      <c r="HB27" s="46">
        <f t="shared" ca="1" si="208"/>
        <v>0.85000000000002274</v>
      </c>
      <c r="HC27" s="48">
        <f t="shared" ca="1" si="221"/>
        <v>8.0500000000000682</v>
      </c>
      <c r="HD27" s="46">
        <f t="shared" ca="1" si="222"/>
        <v>0.55000000000006821</v>
      </c>
      <c r="HE27" s="269">
        <f t="shared" ca="1" si="147"/>
        <v>82.719534060611267</v>
      </c>
      <c r="HF27" s="46">
        <f t="shared" ca="1" si="148"/>
        <v>0.12768837546812215</v>
      </c>
      <c r="HG27" s="48">
        <f t="shared" ca="1" si="149"/>
        <v>1.2092840264921936</v>
      </c>
      <c r="HH27" s="432">
        <f t="shared" ca="1" si="150"/>
        <v>8.2621890008792956E-2</v>
      </c>
    </row>
    <row r="28" spans="1:216" x14ac:dyDescent="0.25">
      <c r="A28" s="58">
        <f t="shared" ca="1" si="131"/>
        <v>46539</v>
      </c>
      <c r="B28" s="6" t="str">
        <f ca="1">INDEX(MthRef[], MATCH(MONTH(Futs!$A28), MthRef[Mth], 0), 2)</f>
        <v>M</v>
      </c>
      <c r="C28" s="6">
        <f t="shared" ca="1" si="65"/>
        <v>2027</v>
      </c>
      <c r="D28" s="6" t="str">
        <f t="shared" ca="1" si="66"/>
        <v>Q227</v>
      </c>
      <c r="E28" s="6" t="str">
        <f t="shared" ca="1" si="132"/>
        <v>M7</v>
      </c>
      <c r="F28" s="10">
        <f ca="1">IFERROR(AVERAGE(_xll.BDP(F$18 &amp; $B28 &amp; RIGHT($C28, 1) &amp; " " &amp; "Comdty", "BID", "Fill=#N/A"), _xll.BDP(F$18 &amp; $B28 &amp; RIGHT($C28, 1) &amp; " " &amp; "Comdty", "ASK", "Fill=#N/A")), NA())</f>
        <v>74.564999999999998</v>
      </c>
      <c r="G28" s="10">
        <f ca="1">IFERROR(AVERAGE(_xll.BDP(G$18 &amp; $B28 &amp; RIGHT($C28, 1) &amp; " " &amp; "Comdty", "BID", "Fill=#N/A"), _xll.BDP(G$18 &amp; $B28 &amp; RIGHT($C28, 1) &amp; " " &amp; "Comdty", "ASK", "Fill=#N/A")), NA())</f>
        <v>80.400000000000006</v>
      </c>
      <c r="H28" s="10">
        <f ca="1">IFERROR(AVERAGE(_xll.BDP(H$18 &amp; $B28 &amp; RIGHT($C28, 1) &amp; " " &amp; "Comdty", "BID", "Fill=#N/A"), _xll.BDP(H$18 &amp; $B28 &amp; RIGHT($C28, 1) &amp; " " &amp; "Comdty", "ASK", "Fill=#N/A")), NA())</f>
        <v>1007.25</v>
      </c>
      <c r="I28" s="10">
        <f ca="1">IFERROR(AVERAGE(_xll.BDP(I$18 &amp; $B28 &amp; RIGHT($C28, 1) &amp; " " &amp; "Comdty", "BID", "Fill=#N/A"), _xll.BDP(I$18 &amp; $B28 &amp; RIGHT($C28, 1) &amp; " " &amp; "Comdty", "ASK", "Fill=#N/A")), NA())</f>
        <v>354.94499999999999</v>
      </c>
      <c r="J28" s="10">
        <f ca="1">IFERROR(AVERAGE(_xll.BDP(J$18 &amp; $B28 &amp; RIGHT($C28, 1) &amp; " " &amp; "Comdty", "BID", "Fill=#N/A"), _xll.BDP(J$18 &amp; $B28 &amp; RIGHT($C28, 1) &amp; " " &amp; "Comdty", "ASK", "Fill=#N/A")), NA())</f>
        <v>281.05500000000001</v>
      </c>
      <c r="K28" s="10" t="e">
        <f ca="1">IFERROR(AVERAGE(_xll.BDP(K$18 &amp; $B28 &amp; RIGHT($C28, 2) &amp; " " &amp; "Comdty", "BID", "Fill=#N/A"), _xll.BDP(K$18 &amp; $B28 &amp; RIGHT($C28, 2) &amp; " " &amp; "Comdty", "ASK", "Fill=#N/A")), NA())</f>
        <v>#N/A</v>
      </c>
      <c r="L28" s="10" t="e">
        <f ca="1">IFERROR(AVERAGE(_xll.BDP(L$18 &amp; $B28 &amp; RIGHT($C28, 2) &amp; " " &amp; "Comdty", "BID", "Fill=#N/A"), _xll.BDP(L$18 &amp; $B28 &amp; RIGHT($C28, 2) &amp; " " &amp; "Comdty", "ASK", "Fill=#N/A")), NA())</f>
        <v>#N/A</v>
      </c>
      <c r="M28" s="10">
        <f ca="1">IFERROR(AVERAGE(_xll.BDP(M$18 &amp; $B28 &amp; RIGHT($C28, 2) &amp; " " &amp; "Comdty", "BID", "Fill=#N/A"), _xll.BDP(M$18 &amp; $B28 &amp; RIGHT($C28, 2) &amp; " " &amp; "Comdty", "ASK", "Fill=#N/A")), NA())</f>
        <v>541.1</v>
      </c>
      <c r="N28" s="10">
        <f ca="1">IFERROR(AVERAGE(_xll.BDP(N$18 &amp; $B27 &amp; RIGHT($C27, 1) &amp; N$18 &amp; $B28 &amp; RIGHT($C28, 1) &amp; " " &amp; "Comdty", "BID", "Fill=#N/A"), _xll.BDP(N$18 &amp; $B27 &amp; RIGHT($C27, 1) &amp; N$18 &amp; $B28 &amp; RIGHT($C28, 1) &amp; " " &amp; "Comdty", "ASK", "Fill=#N/A")), NA())</f>
        <v>0.90500000000000003</v>
      </c>
      <c r="O28" s="10">
        <f ca="1">IFERROR(AVERAGE(_xll.BDP(O$18 &amp; $B27 &amp; RIGHT($C27, 1) &amp; O$18 &amp; $B28 &amp; RIGHT($C28, 1) &amp; " " &amp; "Comdty", "BID", "Fill=#N/A"), _xll.BDP(O$18 &amp; $B27 &amp; RIGHT($C27, 1) &amp; O$18 &amp; $B28 &amp; RIGHT($C28, 1) &amp; " " &amp; "Comdty", "ASK", "Fill=#N/A")), NA())</f>
        <v>0.98499999999999999</v>
      </c>
      <c r="P28" s="10">
        <f ca="1">IFERROR(AVERAGE(_xll.BDP(P$18 &amp; $B27 &amp; RIGHT($C27, 1) &amp; P$18 &amp; $B28 &amp; RIGHT($C28, 1) &amp; " " &amp; "Comdty", "BID", "Fill=#N/A"), _xll.BDP(P$18 &amp; $B27 &amp; RIGHT($C27, 1) &amp; P$18 &amp; $B28 &amp; RIGHT($C28, 1) &amp; " " &amp; "Comdty", "ASK", "Fill=#N/A")), NA())</f>
        <v>24.375</v>
      </c>
      <c r="Q28" s="10">
        <f ca="1">IFERROR(AVERAGE(_xll.BDP(Q$18 &amp; $B27 &amp; RIGHT($C27, 1) &amp; Q$18 &amp; $B28 &amp; RIGHT($C28, 1) &amp; " " &amp; "Comdty", "BID", "Fill=#N/A"), _xll.BDP(Q$18 &amp; $B27 &amp; RIGHT($C27, 1) &amp; Q$18 &amp; $B28 &amp; RIGHT($C28, 1) &amp; " " &amp; "Comdty", "ASK", "Fill=#N/A")), NA())</f>
        <v>9.1999999999999993</v>
      </c>
      <c r="R28" s="10">
        <f ca="1">IFERROR(AVERAGE(_xll.BDP(R$18 &amp; $B27 &amp; RIGHT($C27, 1) &amp; R$18 &amp; $B28 &amp; RIGHT($C28, 1) &amp; " " &amp; "Comdty", "BID", "Fill=#N/A"), _xll.BDP(R$18 &amp; $B27 &amp; RIGHT($C27, 1) &amp; R$18 &amp; $B28 &amp; RIGHT($C28, 1) &amp; " " &amp; "Comdty", "ASK", "Fill=#N/A")), NA())</f>
        <v>4.45</v>
      </c>
      <c r="S28" s="10" t="e">
        <f ca="1">IFERROR(AVERAGE(_xll.BDP(S$18 &amp; $B27 &amp; RIGHT($C27, 1) &amp; $B28 &amp; RIGHT($C28, 1) &amp; " " &amp; "Comdty", "BID", "Fill=#N/A"), _xll.BDP(S$18 &amp; $B27 &amp; RIGHT($C27, 1) &amp; $B28 &amp; RIGHT($C28, 1) &amp; " " &amp; "Comdty", "ASK", "Fill=#N/A")), NA())</f>
        <v>#N/A</v>
      </c>
      <c r="T28" s="10" t="e">
        <f ca="1">IFERROR(AVERAGE(_xll.BDP(T$18 &amp; $B27 &amp; RIGHT($C27, 1) &amp; $B28 &amp; RIGHT($C28, 1) &amp; " " &amp; "Comdty", "BID", "Fill=#N/A"), _xll.BDP(T$18 &amp; $B27 &amp; RIGHT($C27, 1) &amp; $B28 &amp; RIGHT($C28, 1) &amp; " " &amp; "Comdty", "ASK", "Fill=#N/A")), NA())</f>
        <v>#N/A</v>
      </c>
      <c r="U28" s="10">
        <f ca="1">IF($A28 &lt; Diagnostics!$B$3, N28, INDEX(ImpSprd[], MATCH(Futs!$C28, ImpSprd[Yr], 0), MATCH(U$18, ImpSprd[#Headers], 0)))</f>
        <v>0.90500000000000003</v>
      </c>
      <c r="V28" s="10">
        <f ca="1">IF($A28 &lt; Diagnostics!$B$3, O28, INDEX(ImpSprd[], MATCH(Futs!$C28, ImpSprd[Yr], 0), MATCH(V$18, ImpSprd[#Headers], 0)))</f>
        <v>0.98499999999999999</v>
      </c>
      <c r="W28" s="10">
        <f ca="1">IF($A28 &lt; Diagnostics!$B$3, P28, INDEX(ImpSprd[], MATCH(Futs!$C28, ImpSprd[Yr], 0), MATCH(W$18, ImpSprd[#Headers], 0)))</f>
        <v>24.375</v>
      </c>
      <c r="X28" s="31">
        <f ca="1">INDEX(Expi[], MATCH($A28, Expi[Date], 0), MATCH(X$18, Expi[#Headers], 0))</f>
        <v>46560</v>
      </c>
      <c r="Y28" s="31">
        <f ca="1">INDEX(Expi[], MATCH($A28, Expi[Date], 0), MATCH(Y$18, Expi[#Headers], 0))</f>
        <v>46568</v>
      </c>
      <c r="Z28" s="31">
        <f ca="1">INDEX(Expi[], MATCH($A28, Expi[Date], 0), MATCH(Z$18, Expi[#Headers], 0))</f>
        <v>46548</v>
      </c>
      <c r="AA28" s="31">
        <f ca="1">INDEX(Expi[], MATCH($A28, Expi[Date], 0), MATCH(AA$18, Expi[#Headers], 0))</f>
        <v>46568</v>
      </c>
      <c r="AB28" s="31">
        <f ca="1">INDEX(Expi[], MATCH($A28, Expi[Date], 0), MATCH(AB$18, Expi[#Headers], 0))</f>
        <v>46568</v>
      </c>
      <c r="AC28" s="31">
        <f ca="1">INDEX(Expi[], MATCH($A28, Expi[Date], 0), MATCH(AC$18, Expi[#Headers], 0))</f>
        <v>46568</v>
      </c>
      <c r="AD28" s="7">
        <f ca="1">NETWORKDAYS($A28, EOMONTH($A28, 0), Hols[CME])</f>
        <v>22</v>
      </c>
      <c r="AE28" s="7">
        <f ca="1">NETWORKDAYS($A28, EOMONTH($A28, 0), Hols[ICE])</f>
        <v>22</v>
      </c>
      <c r="AF28" s="7">
        <f ca="1">NETWORKDAYS($A28, EOMONTH($A28, 0), Hols[ICE])</f>
        <v>22</v>
      </c>
      <c r="AG28" s="7">
        <f ca="1">NETWORKDAYS($A28, EOMONTH($A28, 0), Hols[CME])</f>
        <v>22</v>
      </c>
      <c r="AH28" s="7">
        <f ca="1">NETWORKDAYS($A28, EOMONTH($A28, 0), Hols[CME])</f>
        <v>22</v>
      </c>
      <c r="AI28" s="7">
        <f ca="1">NETWORKDAYS($A28, EOMONTH($A28, 0), Hols[ICE])</f>
        <v>22</v>
      </c>
      <c r="AJ28" s="7">
        <f ca="1">NETWORKDAYS($A28, X28, Hols[CME])</f>
        <v>16</v>
      </c>
      <c r="AK28" s="7">
        <f ca="1">NETWORKDAYS($A28, Y28, Hols[ICE]) - 1</f>
        <v>21</v>
      </c>
      <c r="AL28" s="7">
        <f ca="1">NETWORKDAYS($A28, Z28, Hols[ICE]) - 1</f>
        <v>7</v>
      </c>
      <c r="AM28" s="7">
        <f ca="1">NETWORKDAYS($A28, AA28, Hols[CME])</f>
        <v>22</v>
      </c>
      <c r="AN28" s="7">
        <f ca="1">NETWORKDAYS($A28, AB28, Hols[CME])</f>
        <v>22</v>
      </c>
      <c r="AO28" s="7">
        <f ca="1">NETWORKDAYS($A28, AC28, Hols[ICE]) - 1</f>
        <v>21</v>
      </c>
      <c r="AP28" s="10">
        <f t="shared" ca="1" si="67"/>
        <v>0.72727272727272729</v>
      </c>
      <c r="AQ28" s="10">
        <f t="shared" ca="1" si="68"/>
        <v>0.95454545454545459</v>
      </c>
      <c r="AR28" s="10">
        <f t="shared" ca="1" si="69"/>
        <v>0.31818181818181818</v>
      </c>
      <c r="AS28" s="10">
        <f t="shared" ca="1" si="70"/>
        <v>1</v>
      </c>
      <c r="AT28" s="10">
        <f t="shared" ca="1" si="71"/>
        <v>1</v>
      </c>
      <c r="AU28" s="10">
        <f t="shared" ca="1" si="71"/>
        <v>0.95454545454545459</v>
      </c>
      <c r="AV28" s="28">
        <f ca="1">IFERROR(AVERAGE(_xll.BDH(AV$18 &amp; $B28 &amp; RIGHT($C28, 1) &amp; " " &amp; "Comdty", "PX_SETTLE", AV$16, AV$16, "Fill=#N/A")), IFERROR(AVERAGE(_xll.BDH(AV$18 &amp; $B28 &amp; RIGHT($C28, 2) &amp; " " &amp; "Comdty", "PX_SETTLE", AV$16, AV$16, "Fill=#N/A")), NA()))</f>
        <v>74.819999999999993</v>
      </c>
      <c r="AW28" s="28">
        <f ca="1">IFERROR(AVERAGE(_xll.BDH(AW$18 &amp; $B28 &amp; RIGHT($C28, 1) &amp; " " &amp; "Comdty", "PX_SETTLE", AW$16, AW$16, "Fill=#N/A")), IFERROR(AVERAGE(_xll.BDH(AW$18 &amp; $B28 &amp; RIGHT($C28, 2) &amp; " " &amp; "Comdty", "PX_SETTLE", AW$16, AW$16, "Fill=#N/A")), NA()))</f>
        <v>80.67</v>
      </c>
      <c r="AX28" s="29">
        <f ca="1">IFERROR(AVERAGE(_xll.BDH(AX$18 &amp; $B28 &amp; RIGHT($C28, 2) &amp; " " &amp; "Comdty", "FAIR_VALUE_SNAPSHOT_AT_1430", AX$16, AX$16, "TIME_ZONE_OVERRIDE=13", "Fill=#N/A")), NA())</f>
        <v>1012.5</v>
      </c>
      <c r="AY28" s="28">
        <f ca="1">IFERROR(AVERAGE(_xll.BDH(AY$18 &amp; $B28 &amp; RIGHT($C28, 1) &amp; " " &amp; "Comdty", "PX_SETTLE", AY$16, AY$16, "Fill=#N/A")), NA())</f>
        <v>356.09</v>
      </c>
      <c r="AZ28" s="28">
        <f ca="1">IFERROR(AVERAGE(_xll.BDH(AZ$18 &amp; $B28 &amp; RIGHT($C28, 1) &amp; " " &amp; "Comdty", "PX_SETTLE", AZ$16, AZ$16, "Fill=#N/A")), NA())</f>
        <v>281.77</v>
      </c>
      <c r="BA28" s="29" t="e">
        <f ca="1">IFERROR(AVERAGE(_xll.BDH(BA$18 &amp; $B28 &amp; RIGHT($C28, 2) &amp; " " &amp; "Comdty", "PX_SETTLE", BA$16, BA$16, "Fill=#N/A")), IFERROR(AVERAGE(_xll.BDH(BA$18 &amp; $B28 &amp; RIGHT($C28, 2) &amp; " " &amp; "Comdty", "PX_SETTLE", BA$16, BA$16, "Fill=#N/A")), NA()))</f>
        <v>#N/A</v>
      </c>
      <c r="BB28" s="29">
        <f ca="1">IFERROR(AVERAGE(_xll.BDH(BB$18 &amp; $B28 &amp; RIGHT($C28, 2) &amp; " " &amp; "Comdty", "PX_SETTLE", BB$16, BB$16, "Fill=#N/A")), IFERROR(AVERAGE(_xll.BDH(BB$18 &amp; $B28 &amp; RIGHT($C28, 2) &amp; " " &amp; "Comdty", "PX_SETTLE", BB$16, BB$16, "Fill=#N/A")), NA()))</f>
        <v>81.37</v>
      </c>
      <c r="BC28" s="29">
        <f ca="1">IFERROR(AVERAGE(_xll.BDH(BC$18 &amp; $B28 &amp; RIGHT($C28, 2) &amp; " " &amp; "Comdty", "PX_SETTLE", BC$16, BC$16, "Fill=#N/A")), IFERROR(AVERAGE(_xll.BDH(BC$18 &amp; $B28 &amp; RIGHT($C28, 2) &amp; " " &amp; "Comdty", "PX_SETTLE", BC$16, BC$16, "Fill=#N/A")), NA()))</f>
        <v>538.70000000000005</v>
      </c>
      <c r="BD28" s="29" cm="1">
        <f t="array" ref="BD28">_xll.BFXFORWARD("USDCNY", "8M", "MidOutright")</f>
        <v>6.6409510000000003</v>
      </c>
      <c r="BE28" s="109">
        <f t="shared" ca="1" si="209"/>
        <v>74.574999999999989</v>
      </c>
      <c r="BF28" s="46">
        <f t="shared" ca="1" si="72"/>
        <v>-0.24500000000000455</v>
      </c>
      <c r="BG28" s="47">
        <f t="shared" ca="1" si="151"/>
        <v>0.90500000000000114</v>
      </c>
      <c r="BH28" s="114">
        <f t="shared" ca="1" si="223"/>
        <v>-5.0000000000096634E-3</v>
      </c>
      <c r="BI28" s="110">
        <f t="shared" ca="1" si="224"/>
        <v>80.400000000000006</v>
      </c>
      <c r="BJ28" s="46">
        <f t="shared" ca="1" si="73"/>
        <v>-0.26999999999999602</v>
      </c>
      <c r="BK28" s="48">
        <f t="shared" ca="1" si="225"/>
        <v>0.98499999999999943</v>
      </c>
      <c r="BL28" s="114">
        <f t="shared" ca="1" si="226"/>
        <v>-4.9999999999954525E-3</v>
      </c>
      <c r="BM28" s="48">
        <f t="shared" ca="1" si="152"/>
        <v>1007.25</v>
      </c>
      <c r="BN28" s="46">
        <f t="shared" ca="1" si="74"/>
        <v>-5.25</v>
      </c>
      <c r="BO28" s="47">
        <f t="shared" ca="1" si="210"/>
        <v>24.375</v>
      </c>
      <c r="BP28" s="46">
        <f t="shared" ca="1" si="133"/>
        <v>0.125</v>
      </c>
      <c r="BQ28" s="110">
        <f t="shared" ca="1" si="211"/>
        <v>354.97499999999997</v>
      </c>
      <c r="BR28" s="46">
        <f t="shared" ca="1" si="75"/>
        <v>-1.1150000000000091</v>
      </c>
      <c r="BS28" s="47">
        <f t="shared" ca="1" si="153"/>
        <v>9.1999999999999886</v>
      </c>
      <c r="BT28" s="114">
        <f t="shared" ca="1" si="154"/>
        <v>-0.10000000000002274</v>
      </c>
      <c r="BU28" s="48">
        <f t="shared" ca="1" si="212"/>
        <v>281.11</v>
      </c>
      <c r="BV28" s="46">
        <f t="shared" ca="1" si="76"/>
        <v>-0.65999999999996817</v>
      </c>
      <c r="BW28" s="47">
        <f t="shared" ca="1" si="155"/>
        <v>4.4499999999999886</v>
      </c>
      <c r="BX28" s="46">
        <f t="shared" ca="1" si="156"/>
        <v>0.1199999999999477</v>
      </c>
      <c r="BY28" s="140">
        <f t="shared" ca="1" si="134"/>
        <v>73.646818181818162</v>
      </c>
      <c r="BZ28" s="46">
        <f t="shared" ca="1" si="135"/>
        <v>-0.23045454545455549</v>
      </c>
      <c r="CA28" s="47">
        <f t="shared" ca="1" si="157"/>
        <v>0.67651515151516151</v>
      </c>
      <c r="CB28" s="46">
        <f t="shared" ca="1" si="158"/>
        <v>-1.2878787878783909E-2</v>
      </c>
      <c r="CC28" s="141">
        <f t="shared" ca="1" si="136"/>
        <v>78.862500000000026</v>
      </c>
      <c r="CD28" s="50">
        <f t="shared" ca="1" si="137"/>
        <v>-0.23931818181816311</v>
      </c>
      <c r="CE28" s="47">
        <f t="shared" ca="1" si="159"/>
        <v>0.65630952380951157</v>
      </c>
      <c r="CF28" s="46">
        <f t="shared" ca="1" si="160"/>
        <v>-1.4253246753259508E-2</v>
      </c>
      <c r="CG28" s="141">
        <f t="shared" ca="1" si="138"/>
        <v>994.8920454545455</v>
      </c>
      <c r="CH28" s="50">
        <f t="shared" ca="1" si="139"/>
        <v>-5.1647727272727275</v>
      </c>
      <c r="CI28" s="47">
        <f t="shared" ca="1" si="161"/>
        <v>20.482954545454618</v>
      </c>
      <c r="CJ28" s="46">
        <f t="shared" ca="1" si="162"/>
        <v>-4.356060606060641E-2</v>
      </c>
      <c r="CK28" s="141">
        <f t="shared" ca="1" si="140"/>
        <v>348.89</v>
      </c>
      <c r="CL28" s="50">
        <f t="shared" ca="1" si="77"/>
        <v>-1.0400000000000205</v>
      </c>
      <c r="CM28" s="47">
        <f t="shared" ca="1" si="163"/>
        <v>5.7952380952380622</v>
      </c>
      <c r="CN28" s="46">
        <f t="shared" ca="1" si="164"/>
        <v>-7.1428571428560739E-2</v>
      </c>
      <c r="CO28" s="141">
        <f t="shared" ca="1" si="141"/>
        <v>275.88</v>
      </c>
      <c r="CP28" s="50">
        <f t="shared" ca="1" si="78"/>
        <v>-0.63999999999998636</v>
      </c>
      <c r="CQ28" s="47">
        <f t="shared" ca="1" si="165"/>
        <v>4.9809523809523739</v>
      </c>
      <c r="CR28" s="46">
        <f t="shared" ca="1" si="166"/>
        <v>-1.9047619047601771E-2</v>
      </c>
      <c r="CS28" s="109">
        <f t="shared" ca="1" si="79"/>
        <v>-5.8250000000000171</v>
      </c>
      <c r="CT28" s="46">
        <f t="shared" ca="1" si="80"/>
        <v>2.4999999999991473E-2</v>
      </c>
      <c r="CU28" s="47">
        <f t="shared" ca="1" si="167"/>
        <v>-7.9999999999998295E-2</v>
      </c>
      <c r="CV28" s="46">
        <f t="shared" ca="1" si="168"/>
        <v>1.5000000000000568E-2</v>
      </c>
      <c r="CW28" s="110">
        <f t="shared" ca="1" si="142"/>
        <v>-5.2156818181818636</v>
      </c>
      <c r="CX28" s="46">
        <f t="shared" ca="1" si="81"/>
        <v>8.8636363636076243E-3</v>
      </c>
      <c r="CY28" s="47">
        <f t="shared" ca="1" si="169"/>
        <v>2.0205627705649931E-2</v>
      </c>
      <c r="CZ28" s="46">
        <f t="shared" ca="1" si="170"/>
        <v>1.3744588744755981E-3</v>
      </c>
      <c r="DA28" s="109">
        <f t="shared" ca="1" si="82"/>
        <v>54.801342281879187</v>
      </c>
      <c r="DB28" s="46">
        <f t="shared" ca="1" si="83"/>
        <v>-0.43469798657718517</v>
      </c>
      <c r="DC28" s="47">
        <f t="shared" ca="1" si="171"/>
        <v>2.2868120805369045</v>
      </c>
      <c r="DD28" s="46">
        <f t="shared" ca="1" si="233"/>
        <v>2.177852348992837E-2</v>
      </c>
      <c r="DE28" s="110">
        <f t="shared" ca="1" si="84"/>
        <v>68.689499999999981</v>
      </c>
      <c r="DF28" s="46">
        <f t="shared" ca="1" si="85"/>
        <v>-0.1983000000000078</v>
      </c>
      <c r="DG28" s="47">
        <f t="shared" ca="1" si="172"/>
        <v>2.8790000000000049</v>
      </c>
      <c r="DH28" s="46">
        <f t="shared" ca="1" si="173"/>
        <v>-3.7000000000014133E-2</v>
      </c>
      <c r="DI28" s="110">
        <f t="shared" ca="1" si="86"/>
        <v>37.666200000000003</v>
      </c>
      <c r="DJ28" s="46">
        <f t="shared" ca="1" si="87"/>
        <v>-7.1999999999906028E-3</v>
      </c>
      <c r="DK28" s="47">
        <f t="shared" ca="1" si="174"/>
        <v>0.88400000000000034</v>
      </c>
      <c r="DL28" s="46">
        <f t="shared" ca="1" si="175"/>
        <v>5.539999999997347E-2</v>
      </c>
      <c r="DM28" s="110">
        <f t="shared" ca="1" si="88"/>
        <v>74.514499999999998</v>
      </c>
      <c r="DN28" s="46">
        <f t="shared" ca="1" si="89"/>
        <v>-0.22329999999999928</v>
      </c>
      <c r="DO28" s="47">
        <f t="shared" ca="1" si="176"/>
        <v>2.9590000000000032</v>
      </c>
      <c r="DP28" s="47">
        <f t="shared" ca="1" si="177"/>
        <v>-3.6999999999999922E-2</v>
      </c>
      <c r="DQ28" s="110">
        <f t="shared" ca="1" si="90"/>
        <v>43.491200000000021</v>
      </c>
      <c r="DR28" s="46">
        <f t="shared" ca="1" si="91"/>
        <v>-3.2199999999982076E-2</v>
      </c>
      <c r="DS28" s="47">
        <f t="shared" ca="1" si="178"/>
        <v>0.96399999999999864</v>
      </c>
      <c r="DT28" s="47">
        <f t="shared" ca="1" si="179"/>
        <v>5.5399999999987681E-2</v>
      </c>
      <c r="DU28" s="109">
        <f t="shared" ca="1" si="92"/>
        <v>54.680056436851729</v>
      </c>
      <c r="DV28" s="46">
        <f t="shared" ca="1" si="93"/>
        <v>-0.45393990237951842</v>
      </c>
      <c r="DW28" s="47">
        <f t="shared" ca="1" si="180"/>
        <v>2.0930803480635802</v>
      </c>
      <c r="DX28" s="47">
        <f t="shared" ca="1" si="181"/>
        <v>8.4061855370707872E-3</v>
      </c>
      <c r="DY28" s="110">
        <f t="shared" ca="1" si="94"/>
        <v>67.67129999999996</v>
      </c>
      <c r="DZ28" s="46">
        <f t="shared" ca="1" si="95"/>
        <v>-0.19748181818184546</v>
      </c>
      <c r="EA28" s="47">
        <f t="shared" ca="1" si="182"/>
        <v>1.7776904761904859</v>
      </c>
      <c r="EB28" s="47">
        <f t="shared" ca="1" si="183"/>
        <v>-1.5746753246736023E-2</v>
      </c>
      <c r="EC28" s="110">
        <f t="shared" ca="1" si="96"/>
        <v>37.007099999999966</v>
      </c>
      <c r="ED28" s="46">
        <f t="shared" ca="1" si="97"/>
        <v>-2.9481818181831154E-2</v>
      </c>
      <c r="EE28" s="47">
        <f t="shared" ca="1" si="184"/>
        <v>1.4356904761905014</v>
      </c>
      <c r="EF28" s="47">
        <f t="shared" ca="1" si="185"/>
        <v>6.2532467532667169E-3</v>
      </c>
      <c r="EG28" s="110">
        <f t="shared" ca="1" si="98"/>
        <v>72.886981818181823</v>
      </c>
      <c r="EH28" s="46">
        <f t="shared" ca="1" si="99"/>
        <v>-0.20634545454545308</v>
      </c>
      <c r="EI28" s="47">
        <f t="shared" ca="1" si="186"/>
        <v>1.757484848484836</v>
      </c>
      <c r="EJ28" s="47">
        <f t="shared" ca="1" si="187"/>
        <v>-1.7121212121211621E-2</v>
      </c>
      <c r="EK28" s="110">
        <f t="shared" ca="1" si="100"/>
        <v>42.222781818181829</v>
      </c>
      <c r="EL28" s="46">
        <f t="shared" ca="1" si="101"/>
        <v>-3.8345454545438779E-2</v>
      </c>
      <c r="EM28" s="47">
        <f t="shared" ca="1" si="188"/>
        <v>1.4154848484848515</v>
      </c>
      <c r="EN28" s="47">
        <f t="shared" ca="1" si="189"/>
        <v>4.8787878787911187E-3</v>
      </c>
      <c r="EO28" s="109">
        <f t="shared" ca="1" si="102"/>
        <v>33.067042186001856</v>
      </c>
      <c r="EP28" s="46">
        <f t="shared" ca="1" si="103"/>
        <v>0.56285234899327952</v>
      </c>
      <c r="EQ28" s="47">
        <f t="shared" ca="1" si="190"/>
        <v>1.4099712368168866</v>
      </c>
      <c r="ER28" s="47">
        <f t="shared" ca="1" si="191"/>
        <v>-0.13994886545224383</v>
      </c>
      <c r="ES28" s="110">
        <f t="shared" ca="1" si="104"/>
        <v>30.931532293210125</v>
      </c>
      <c r="ET28" s="46">
        <f t="shared" ca="1" si="105"/>
        <v>0.61061448618493563</v>
      </c>
      <c r="EU28" s="47">
        <f t="shared" ca="1" si="192"/>
        <v>-0.75092826636455356</v>
      </c>
      <c r="EV28" s="47">
        <f t="shared" ca="1" si="193"/>
        <v>-5.7506997104301849E-2</v>
      </c>
      <c r="EW28" s="109">
        <f t="shared" ca="1" si="106"/>
        <v>-73.864999999999952</v>
      </c>
      <c r="EX28" s="46">
        <f t="shared" ca="1" si="107"/>
        <v>0.45500000000004093</v>
      </c>
      <c r="EY28" s="47">
        <f t="shared" ca="1" si="194"/>
        <v>-4.75</v>
      </c>
      <c r="EZ28" s="47">
        <f t="shared" ca="1" si="195"/>
        <v>0.21999999999997044</v>
      </c>
      <c r="FA28" s="110">
        <f t="shared" ca="1" si="108"/>
        <v>-73.009999999999991</v>
      </c>
      <c r="FB28" s="46">
        <f t="shared" ca="1" si="109"/>
        <v>0.40000000000003411</v>
      </c>
      <c r="FC28" s="47">
        <f t="shared" ca="1" si="196"/>
        <v>-0.8142857142856883</v>
      </c>
      <c r="FD28" s="47">
        <f t="shared" ca="1" si="197"/>
        <v>5.2380952380958967E-2</v>
      </c>
      <c r="FE28" s="109">
        <f t="shared" ca="1" si="110"/>
        <v>59.002850000000009</v>
      </c>
      <c r="FF28" s="46">
        <f t="shared" ca="1" si="111"/>
        <v>-0.12774999999999068</v>
      </c>
      <c r="FG28" s="110">
        <f t="shared" ca="1" si="112"/>
        <v>53.832300000000018</v>
      </c>
      <c r="FH28" s="46">
        <f t="shared" ca="1" si="113"/>
        <v>-9.5899999999987801E-2</v>
      </c>
      <c r="FI28" s="110">
        <f t="shared" ca="1" si="114"/>
        <v>53.177849999999992</v>
      </c>
      <c r="FJ28" s="46">
        <f t="shared" ca="1" si="115"/>
        <v>-0.1027499999999992</v>
      </c>
      <c r="FK28" s="110">
        <f t="shared" ca="1" si="116"/>
        <v>48.007299999999994</v>
      </c>
      <c r="FL28" s="46">
        <f t="shared" ca="1" si="117"/>
        <v>-7.0899999999996341E-2</v>
      </c>
      <c r="FM28" s="110">
        <f t="shared" ca="1" si="118"/>
        <v>57.554881818181826</v>
      </c>
      <c r="FN28" s="46">
        <f t="shared" ca="1" si="119"/>
        <v>-0.12234545454544593</v>
      </c>
      <c r="FO28" s="110">
        <f t="shared" ca="1" si="120"/>
        <v>52.444181818181832</v>
      </c>
      <c r="FP28" s="46">
        <f t="shared" ca="1" si="121"/>
        <v>-9.4345454545443547E-2</v>
      </c>
      <c r="FQ28" s="110">
        <f t="shared" ca="1" si="122"/>
        <v>52.339199999999963</v>
      </c>
      <c r="FR28" s="46">
        <f t="shared" ca="1" si="123"/>
        <v>-0.11348181818183831</v>
      </c>
      <c r="FS28" s="110">
        <f t="shared" ca="1" si="124"/>
        <v>47.228499999999968</v>
      </c>
      <c r="FT28" s="111">
        <f t="shared" ca="1" si="125"/>
        <v>-8.5481818181835922E-2</v>
      </c>
      <c r="FU28" s="109" t="str">
        <f t="shared" ca="1" si="232"/>
        <v/>
      </c>
      <c r="FV28" s="46" t="str">
        <f t="shared" ca="1" si="213"/>
        <v/>
      </c>
      <c r="FW28" s="48" t="str">
        <f t="shared" ca="1" si="227"/>
        <v/>
      </c>
      <c r="FX28" s="114" t="str">
        <f t="shared" ca="1" si="228"/>
        <v/>
      </c>
      <c r="FY28" s="110" t="str">
        <f t="shared" ca="1" si="214"/>
        <v/>
      </c>
      <c r="FZ28" s="46" t="str">
        <f t="shared" ca="1" si="215"/>
        <v/>
      </c>
      <c r="GA28" s="47" t="str">
        <f t="shared" ca="1" si="216"/>
        <v/>
      </c>
      <c r="GB28" s="46" t="str">
        <f t="shared" ca="1" si="229"/>
        <v/>
      </c>
      <c r="GC28" s="110" t="str">
        <f ca="1">IFERROR(IF(AND(ISNUMBER($FU28), ISNUMBER(Crd!$X28)), $FU28 - Crd!$X28, ""), "")</f>
        <v/>
      </c>
      <c r="GD28" s="46" t="str">
        <f ca="1">IFERROR(IF(AND(ISNUMBER($FV28), ISNUMBER(Crd!$Y28)), $FV28 - Crd!$Y28, ""), "")</f>
        <v/>
      </c>
      <c r="GE28" s="47" t="str">
        <f t="shared" ca="1" si="217"/>
        <v/>
      </c>
      <c r="GF28" s="46" t="str">
        <f t="shared" ca="1" si="218"/>
        <v/>
      </c>
      <c r="GG28" s="141" t="str">
        <f t="shared" ca="1" si="198"/>
        <v/>
      </c>
      <c r="GH28" s="50" t="str">
        <f t="shared" ca="1" si="199"/>
        <v/>
      </c>
      <c r="GI28" s="47" t="str">
        <f t="shared" ca="1" si="144"/>
        <v/>
      </c>
      <c r="GJ28" s="46" t="str">
        <f t="shared" ca="1" si="145"/>
        <v/>
      </c>
      <c r="GK28" s="110" t="str">
        <f t="shared" ca="1" si="127"/>
        <v/>
      </c>
      <c r="GL28" s="46" t="str">
        <f t="shared" ca="1" si="128"/>
        <v/>
      </c>
      <c r="GM28" s="47" t="str">
        <f t="shared" ca="1" si="200"/>
        <v/>
      </c>
      <c r="GN28" s="46" t="str">
        <f t="shared" ca="1" si="201"/>
        <v/>
      </c>
      <c r="GO28" s="110" t="str">
        <f ca="1">IFERROR(IF(AND(ISNUMBER($GG28), ISNUMBER(Crd!$X28)), $GG28 - Crd!$X28, ""), "")</f>
        <v/>
      </c>
      <c r="GP28" s="46" t="str">
        <f ca="1">IFERROR(IF(AND(ISNUMBER($GH28), ISNUMBER(Crd!$Y28)), $GH28 - Crd!$Y28, ""), "")</f>
        <v/>
      </c>
      <c r="GQ28" s="47" t="str">
        <f t="shared" ca="1" si="202"/>
        <v/>
      </c>
      <c r="GR28" s="46" t="str">
        <f t="shared" ca="1" si="203"/>
        <v/>
      </c>
      <c r="GS28" s="436" t="str">
        <f t="shared" ca="1" si="219"/>
        <v/>
      </c>
      <c r="GT28" s="46" t="str">
        <f t="shared" ca="1" si="220"/>
        <v/>
      </c>
      <c r="GU28" s="48" t="str">
        <f t="shared" ca="1" si="230"/>
        <v/>
      </c>
      <c r="GV28" s="46" t="str">
        <f t="shared" ca="1" si="231"/>
        <v/>
      </c>
      <c r="GW28" s="427" t="str">
        <f t="shared" ca="1" si="204"/>
        <v/>
      </c>
      <c r="GX28" s="50" t="str">
        <f t="shared" ca="1" si="146"/>
        <v/>
      </c>
      <c r="GY28" s="47" t="str">
        <f t="shared" ca="1" si="205"/>
        <v/>
      </c>
      <c r="GZ28" s="432" t="str">
        <f t="shared" ca="1" si="206"/>
        <v/>
      </c>
      <c r="HA28" s="436">
        <f t="shared" ca="1" si="207"/>
        <v>541.1</v>
      </c>
      <c r="HB28" s="46">
        <f t="shared" ca="1" si="208"/>
        <v>2.3999999999999773</v>
      </c>
      <c r="HC28" s="48">
        <f t="shared" ca="1" si="221"/>
        <v>9.5499999999999545</v>
      </c>
      <c r="HD28" s="46">
        <f t="shared" ca="1" si="222"/>
        <v>-1.5499999999999545</v>
      </c>
      <c r="HE28" s="269">
        <f t="shared" ca="1" si="147"/>
        <v>81.479294155309987</v>
      </c>
      <c r="HF28" s="46">
        <f t="shared" ca="1" si="148"/>
        <v>0.36139402323552411</v>
      </c>
      <c r="HG28" s="48">
        <f t="shared" ca="1" si="149"/>
        <v>1.4380470507913632</v>
      </c>
      <c r="HH28" s="432">
        <f t="shared" ca="1" si="150"/>
        <v>-0.23340030667293804</v>
      </c>
    </row>
    <row r="29" spans="1:216" x14ac:dyDescent="0.25">
      <c r="A29" s="58">
        <f t="shared" ca="1" si="131"/>
        <v>46569</v>
      </c>
      <c r="B29" s="6" t="str">
        <f ca="1">INDEX(MthRef[], MATCH(MONTH(Futs!$A29), MthRef[Mth], 0), 2)</f>
        <v>N</v>
      </c>
      <c r="C29" s="6">
        <f t="shared" ca="1" si="65"/>
        <v>2027</v>
      </c>
      <c r="D29" s="6" t="str">
        <f t="shared" ca="1" si="66"/>
        <v>Q327</v>
      </c>
      <c r="E29" s="6" t="str">
        <f t="shared" ca="1" si="132"/>
        <v>N7</v>
      </c>
      <c r="F29" s="10">
        <f ca="1">IFERROR(AVERAGE(_xll.BDP(F$18 &amp; $B29 &amp; RIGHT($C29, 1) &amp; " " &amp; "Comdty", "BID", "Fill=#N/A"), _xll.BDP(F$18 &amp; $B29 &amp; RIGHT($C29, 1) &amp; " " &amp; "Comdty", "ASK", "Fill=#N/A")), NA())</f>
        <v>73.81</v>
      </c>
      <c r="G29" s="10">
        <f ca="1">IFERROR(AVERAGE(_xll.BDP(G$18 &amp; $B29 &amp; RIGHT($C29, 1) &amp; " " &amp; "Comdty", "BID", "Fill=#N/A"), _xll.BDP(G$18 &amp; $B29 &amp; RIGHT($C29, 1) &amp; " " &amp; "Comdty", "ASK", "Fill=#N/A")), NA())</f>
        <v>79.584999999999994</v>
      </c>
      <c r="H29" s="10">
        <f ca="1">IFERROR(AVERAGE(_xll.BDP(H$18 &amp; $B29 &amp; RIGHT($C29, 1) &amp; " " &amp; "Comdty", "BID", "Fill=#N/A"), _xll.BDP(H$18 &amp; $B29 &amp; RIGHT($C29, 1) &amp; " " &amp; "Comdty", "ASK", "Fill=#N/A")), NA())</f>
        <v>989.125</v>
      </c>
      <c r="I29" s="10">
        <f ca="1">IFERROR(AVERAGE(_xll.BDP(I$18 &amp; $B29 &amp; RIGHT($C29, 1) &amp; " " &amp; "Comdty", "BID", "Fill=#N/A"), _xll.BDP(I$18 &amp; $B29 &amp; RIGHT($C29, 1) &amp; " " &amp; "Comdty", "ASK", "Fill=#N/A")), NA())</f>
        <v>348.80500000000001</v>
      </c>
      <c r="J29" s="10">
        <f ca="1">IFERROR(AVERAGE(_xll.BDP(J$18 &amp; $B29 &amp; RIGHT($C29, 1) &amp; " " &amp; "Comdty", "BID", "Fill=#N/A"), _xll.BDP(J$18 &amp; $B29 &amp; RIGHT($C29, 1) &amp; " " &amp; "Comdty", "ASK", "Fill=#N/A")), NA())</f>
        <v>275.82499999999999</v>
      </c>
      <c r="K29" s="10" t="e">
        <f ca="1">IFERROR(AVERAGE(_xll.BDP(K$18 &amp; $B29 &amp; RIGHT($C29, 2) &amp; " " &amp; "Comdty", "BID", "Fill=#N/A"), _xll.BDP(K$18 &amp; $B29 &amp; RIGHT($C29, 2) &amp; " " &amp; "Comdty", "ASK", "Fill=#N/A")), NA())</f>
        <v>#N/A</v>
      </c>
      <c r="L29" s="10" t="e">
        <f ca="1">IFERROR(AVERAGE(_xll.BDP(L$18 &amp; $B29 &amp; RIGHT($C29, 2) &amp; " " &amp; "Comdty", "BID", "Fill=#N/A"), _xll.BDP(L$18 &amp; $B29 &amp; RIGHT($C29, 2) &amp; " " &amp; "Comdty", "ASK", "Fill=#N/A")), NA())</f>
        <v>#N/A</v>
      </c>
      <c r="M29" s="10">
        <f ca="1">IFERROR(AVERAGE(_xll.BDP(M$18 &amp; $B29 &amp; RIGHT($C29, 2) &amp; " " &amp; "Comdty", "BID", "Fill=#N/A"), _xll.BDP(M$18 &amp; $B29 &amp; RIGHT($C29, 2) &amp; " " &amp; "Comdty", "ASK", "Fill=#N/A")), NA())</f>
        <v>540.70000000000005</v>
      </c>
      <c r="N29" s="10">
        <f ca="1">IFERROR(AVERAGE(_xll.BDP(N$18 &amp; $B28 &amp; RIGHT($C28, 1) &amp; N$18 &amp; $B29 &amp; RIGHT($C29, 1) &amp; " " &amp; "Comdty", "BID", "Fill=#N/A"), _xll.BDP(N$18 &amp; $B28 &amp; RIGHT($C28, 1) &amp; N$18 &amp; $B29 &amp; RIGHT($C29, 1) &amp; " " &amp; "Comdty", "ASK", "Fill=#N/A")), NA())</f>
        <v>0.755</v>
      </c>
      <c r="O29" s="10">
        <f ca="1">IFERROR(AVERAGE(_xll.BDP(O$18 &amp; $B28 &amp; RIGHT($C28, 1) &amp; O$18 &amp; $B29 &amp; RIGHT($C29, 1) &amp; " " &amp; "Comdty", "BID", "Fill=#N/A"), _xll.BDP(O$18 &amp; $B28 &amp; RIGHT($C28, 1) &amp; O$18 &amp; $B29 &amp; RIGHT($C29, 1) &amp; " " &amp; "Comdty", "ASK", "Fill=#N/A")), NA())</f>
        <v>0.81499999999999995</v>
      </c>
      <c r="P29" s="10">
        <f ca="1">IFERROR(AVERAGE(_xll.BDP(P$18 &amp; $B28 &amp; RIGHT($C28, 1) &amp; P$18 &amp; $B29 &amp; RIGHT($C29, 1) &amp; " " &amp; "Comdty", "BID", "Fill=#N/A"), _xll.BDP(P$18 &amp; $B28 &amp; RIGHT($C28, 1) &amp; P$18 &amp; $B29 &amp; RIGHT($C29, 1) &amp; " " &amp; "Comdty", "ASK", "Fill=#N/A")), NA())</f>
        <v>18.125</v>
      </c>
      <c r="Q29" s="10">
        <f ca="1">IFERROR(AVERAGE(_xll.BDP(Q$18 &amp; $B28 &amp; RIGHT($C28, 1) &amp; Q$18 &amp; $B29 &amp; RIGHT($C29, 1) &amp; " " &amp; "Comdty", "BID", "Fill=#N/A"), _xll.BDP(Q$18 &amp; $B28 &amp; RIGHT($C28, 1) &amp; Q$18 &amp; $B29 &amp; RIGHT($C29, 1) &amp; " " &amp; "Comdty", "ASK", "Fill=#N/A")), NA())</f>
        <v>6.085</v>
      </c>
      <c r="R29" s="10">
        <f ca="1">IFERROR(AVERAGE(_xll.BDP(R$18 &amp; $B28 &amp; RIGHT($C28, 1) &amp; R$18 &amp; $B29 &amp; RIGHT($C29, 1) &amp; " " &amp; "Comdty", "BID", "Fill=#N/A"), _xll.BDP(R$18 &amp; $B28 &amp; RIGHT($C28, 1) &amp; R$18 &amp; $B29 &amp; RIGHT($C29, 1) &amp; " " &amp; "Comdty", "ASK", "Fill=#N/A")), NA())</f>
        <v>5.23</v>
      </c>
      <c r="S29" s="10" t="e">
        <f ca="1">IFERROR(AVERAGE(_xll.BDP(S$18 &amp; $B28 &amp; RIGHT($C28, 1) &amp; $B29 &amp; RIGHT($C29, 1) &amp; " " &amp; "Comdty", "BID", "Fill=#N/A"), _xll.BDP(S$18 &amp; $B28 &amp; RIGHT($C28, 1) &amp; $B29 &amp; RIGHT($C29, 1) &amp; " " &amp; "Comdty", "ASK", "Fill=#N/A")), NA())</f>
        <v>#N/A</v>
      </c>
      <c r="T29" s="10" t="e">
        <f ca="1">IFERROR(AVERAGE(_xll.BDP(T$18 &amp; $B28 &amp; RIGHT($C28, 1) &amp; $B29 &amp; RIGHT($C29, 1) &amp; " " &amp; "Comdty", "BID", "Fill=#N/A"), _xll.BDP(T$18 &amp; $B28 &amp; RIGHT($C28, 1) &amp; $B29 &amp; RIGHT($C29, 1) &amp; " " &amp; "Comdty", "ASK", "Fill=#N/A")), NA())</f>
        <v>#N/A</v>
      </c>
      <c r="U29" s="10">
        <f ca="1">IF($A29 &lt; Diagnostics!$B$3, N29, INDEX(ImpSprd[], MATCH(Futs!$C29, ImpSprd[Yr], 0), MATCH(U$18, ImpSprd[#Headers], 0)))</f>
        <v>0.755</v>
      </c>
      <c r="V29" s="10">
        <f ca="1">IF($A29 &lt; Diagnostics!$B$3, O29, INDEX(ImpSprd[], MATCH(Futs!$C29, ImpSprd[Yr], 0), MATCH(V$18, ImpSprd[#Headers], 0)))</f>
        <v>0.81499999999999995</v>
      </c>
      <c r="W29" s="10">
        <f ca="1">IF($A29 &lt; Diagnostics!$B$3, P29, INDEX(ImpSprd[], MATCH(Futs!$C29, ImpSprd[Yr], 0), MATCH(W$18, ImpSprd[#Headers], 0)))</f>
        <v>18.125</v>
      </c>
      <c r="X29" s="31">
        <f ca="1">INDEX(Expi[], MATCH($A29, Expi[Date], 0), MATCH(X$18, Expi[#Headers], 0))</f>
        <v>46588</v>
      </c>
      <c r="Y29" s="31">
        <f ca="1">INDEX(Expi[], MATCH($A29, Expi[Date], 0), MATCH(Y$18, Expi[#Headers], 0))</f>
        <v>46598</v>
      </c>
      <c r="Z29" s="31">
        <f ca="1">INDEX(Expi[], MATCH($A29, Expi[Date], 0), MATCH(Z$18, Expi[#Headers], 0))</f>
        <v>46580</v>
      </c>
      <c r="AA29" s="31">
        <f ca="1">INDEX(Expi[], MATCH($A29, Expi[Date], 0), MATCH(AA$18, Expi[#Headers], 0))</f>
        <v>46598</v>
      </c>
      <c r="AB29" s="31">
        <f ca="1">INDEX(Expi[], MATCH($A29, Expi[Date], 0), MATCH(AB$18, Expi[#Headers], 0))</f>
        <v>46598</v>
      </c>
      <c r="AC29" s="31">
        <f ca="1">INDEX(Expi[], MATCH($A29, Expi[Date], 0), MATCH(AC$18, Expi[#Headers], 0))</f>
        <v>46598</v>
      </c>
      <c r="AD29" s="7">
        <f ca="1">NETWORKDAYS($A29, EOMONTH($A29, 0), Hols[CME])</f>
        <v>22</v>
      </c>
      <c r="AE29" s="7">
        <f ca="1">NETWORKDAYS($A29, EOMONTH($A29, 0), Hols[ICE])</f>
        <v>22</v>
      </c>
      <c r="AF29" s="7">
        <f ca="1">NETWORKDAYS($A29, EOMONTH($A29, 0), Hols[ICE])</f>
        <v>22</v>
      </c>
      <c r="AG29" s="7">
        <f ca="1">NETWORKDAYS($A29, EOMONTH($A29, 0), Hols[CME])</f>
        <v>22</v>
      </c>
      <c r="AH29" s="7">
        <f ca="1">NETWORKDAYS($A29, EOMONTH($A29, 0), Hols[CME])</f>
        <v>22</v>
      </c>
      <c r="AI29" s="7">
        <f ca="1">NETWORKDAYS($A29, EOMONTH($A29, 0), Hols[ICE])</f>
        <v>22</v>
      </c>
      <c r="AJ29" s="7">
        <f ca="1">NETWORKDAYS($A29, X29, Hols[CME])</f>
        <v>14</v>
      </c>
      <c r="AK29" s="7">
        <f ca="1">NETWORKDAYS($A29, Y29, Hols[ICE]) - 1</f>
        <v>21</v>
      </c>
      <c r="AL29" s="7">
        <f ca="1">NETWORKDAYS($A29, Z29, Hols[ICE]) - 1</f>
        <v>7</v>
      </c>
      <c r="AM29" s="7">
        <f ca="1">NETWORKDAYS($A29, AA29, Hols[CME])</f>
        <v>22</v>
      </c>
      <c r="AN29" s="7">
        <f ca="1">NETWORKDAYS($A29, AB29, Hols[CME])</f>
        <v>22</v>
      </c>
      <c r="AO29" s="7">
        <f ca="1">NETWORKDAYS($A29, AC29, Hols[ICE]) - 1</f>
        <v>21</v>
      </c>
      <c r="AP29" s="10">
        <f t="shared" ca="1" si="67"/>
        <v>0.63636363636363635</v>
      </c>
      <c r="AQ29" s="10">
        <f t="shared" ca="1" si="68"/>
        <v>0.95454545454545459</v>
      </c>
      <c r="AR29" s="10">
        <f t="shared" ca="1" si="69"/>
        <v>0.31818181818181818</v>
      </c>
      <c r="AS29" s="10">
        <f t="shared" ca="1" si="70"/>
        <v>1</v>
      </c>
      <c r="AT29" s="10">
        <f t="shared" ca="1" si="71"/>
        <v>1</v>
      </c>
      <c r="AU29" s="10">
        <f t="shared" ca="1" si="71"/>
        <v>0.95454545454545459</v>
      </c>
      <c r="AV29" s="28">
        <f ca="1">IFERROR(AVERAGE(_xll.BDH(AV$18 &amp; $B29 &amp; RIGHT($C29, 1) &amp; " " &amp; "Comdty", "PX_SETTLE", AV$16, AV$16, "Fill=#N/A")), IFERROR(AVERAGE(_xll.BDH(AV$18 &amp; $B29 &amp; RIGHT($C29, 2) &amp; " " &amp; "Comdty", "PX_SETTLE", AV$16, AV$16, "Fill=#N/A")), NA()))</f>
        <v>74.06</v>
      </c>
      <c r="AW29" s="28">
        <f ca="1">IFERROR(AVERAGE(_xll.BDH(AW$18 &amp; $B29 &amp; RIGHT($C29, 1) &amp; " " &amp; "Comdty", "PX_SETTLE", AW$16, AW$16, "Fill=#N/A")), IFERROR(AVERAGE(_xll.BDH(AW$18 &amp; $B29 &amp; RIGHT($C29, 2) &amp; " " &amp; "Comdty", "PX_SETTLE", AW$16, AW$16, "Fill=#N/A")), NA()))</f>
        <v>79.84</v>
      </c>
      <c r="AX29" s="29">
        <f ca="1">IFERROR(AVERAGE(_xll.BDH(AX$18 &amp; $B29 &amp; RIGHT($C29, 2) &amp; " " &amp; "Comdty", "FAIR_VALUE_SNAPSHOT_AT_1430", AX$16, AX$16, "TIME_ZONE_OVERRIDE=13", "Fill=#N/A")), NA())</f>
        <v>994.25</v>
      </c>
      <c r="AY29" s="28">
        <f ca="1">IFERROR(AVERAGE(_xll.BDH(AY$18 &amp; $B29 &amp; RIGHT($C29, 1) &amp; " " &amp; "Comdty", "PX_SETTLE", AY$16, AY$16, "Fill=#N/A")), NA())</f>
        <v>349.93</v>
      </c>
      <c r="AZ29" s="28">
        <f ca="1">IFERROR(AVERAGE(_xll.BDH(AZ$18 &amp; $B29 &amp; RIGHT($C29, 1) &amp; " " &amp; "Comdty", "PX_SETTLE", AZ$16, AZ$16, "Fill=#N/A")), NA())</f>
        <v>276.52</v>
      </c>
      <c r="BA29" s="29" t="e">
        <f ca="1">IFERROR(AVERAGE(_xll.BDH(BA$18 &amp; $B29 &amp; RIGHT($C29, 2) &amp; " " &amp; "Comdty", "PX_SETTLE", BA$16, BA$16, "Fill=#N/A")), IFERROR(AVERAGE(_xll.BDH(BA$18 &amp; $B29 &amp; RIGHT($C29, 2) &amp; " " &amp; "Comdty", "PX_SETTLE", BA$16, BA$16, "Fill=#N/A")), NA()))</f>
        <v>#N/A</v>
      </c>
      <c r="BB29" s="29">
        <f ca="1">IFERROR(AVERAGE(_xll.BDH(BB$18 &amp; $B29 &amp; RIGHT($C29, 2) &amp; " " &amp; "Comdty", "PX_SETTLE", BB$16, BB$16, "Fill=#N/A")), IFERROR(AVERAGE(_xll.BDH(BB$18 &amp; $B29 &amp; RIGHT($C29, 2) &amp; " " &amp; "Comdty", "PX_SETTLE", BB$16, BB$16, "Fill=#N/A")), NA()))</f>
        <v>80.540000000000006</v>
      </c>
      <c r="BC29" s="29">
        <f ca="1">IFERROR(AVERAGE(_xll.BDH(BC$18 &amp; $B29 &amp; RIGHT($C29, 2) &amp; " " &amp; "Comdty", "PX_SETTLE", BC$16, BC$16, "Fill=#N/A")), IFERROR(AVERAGE(_xll.BDH(BC$18 &amp; $B29 &amp; RIGHT($C29, 2) &amp; " " &amp; "Comdty", "PX_SETTLE", BC$16, BC$16, "Fill=#N/A")), NA()))</f>
        <v>544</v>
      </c>
      <c r="BD29" s="29" cm="1">
        <f t="array" ref="BD29">_xll.BFXFORWARD("USDCNY", "9M", "MidOutright")</f>
        <v>6.6256000000000004</v>
      </c>
      <c r="BE29" s="109">
        <f t="shared" ca="1" si="209"/>
        <v>73.819999999999993</v>
      </c>
      <c r="BF29" s="46">
        <f t="shared" ca="1" si="72"/>
        <v>-0.24000000000000909</v>
      </c>
      <c r="BG29" s="47">
        <f t="shared" ca="1" si="151"/>
        <v>0.75499999999999545</v>
      </c>
      <c r="BH29" s="114">
        <f t="shared" ca="1" si="223"/>
        <v>-4.9999999999954525E-3</v>
      </c>
      <c r="BI29" s="110">
        <f t="shared" ca="1" si="224"/>
        <v>79.585000000000008</v>
      </c>
      <c r="BJ29" s="46">
        <f t="shared" ca="1" si="73"/>
        <v>-0.25499999999999545</v>
      </c>
      <c r="BK29" s="48">
        <f t="shared" ca="1" si="225"/>
        <v>0.81499999999999773</v>
      </c>
      <c r="BL29" s="114">
        <f t="shared" ca="1" si="226"/>
        <v>-1.5000000000000568E-2</v>
      </c>
      <c r="BM29" s="48">
        <f t="shared" ca="1" si="152"/>
        <v>989.125</v>
      </c>
      <c r="BN29" s="46">
        <f t="shared" ca="1" si="74"/>
        <v>-5.125</v>
      </c>
      <c r="BO29" s="47">
        <f t="shared" ca="1" si="210"/>
        <v>18.125</v>
      </c>
      <c r="BP29" s="46">
        <f t="shared" ca="1" si="133"/>
        <v>-0.125</v>
      </c>
      <c r="BQ29" s="110">
        <f t="shared" ca="1" si="211"/>
        <v>348.89</v>
      </c>
      <c r="BR29" s="46">
        <f t="shared" ca="1" si="75"/>
        <v>-1.0400000000000205</v>
      </c>
      <c r="BS29" s="47">
        <f t="shared" ca="1" si="153"/>
        <v>6.0849999999999795</v>
      </c>
      <c r="BT29" s="114">
        <f t="shared" ca="1" si="154"/>
        <v>-7.4999999999988631E-2</v>
      </c>
      <c r="BU29" s="48">
        <f t="shared" ca="1" si="212"/>
        <v>275.88</v>
      </c>
      <c r="BV29" s="46">
        <f t="shared" ca="1" si="76"/>
        <v>-0.63999999999998636</v>
      </c>
      <c r="BW29" s="47">
        <f t="shared" ca="1" si="155"/>
        <v>5.2300000000000182</v>
      </c>
      <c r="BX29" s="46">
        <f t="shared" ca="1" si="156"/>
        <v>-1.999999999998181E-2</v>
      </c>
      <c r="BY29" s="140">
        <f t="shared" ca="1" si="134"/>
        <v>72.992272727272706</v>
      </c>
      <c r="BZ29" s="46">
        <f t="shared" ca="1" si="135"/>
        <v>-0.19772727272728668</v>
      </c>
      <c r="CA29" s="47">
        <f t="shared" ca="1" si="157"/>
        <v>0.6545454545454561</v>
      </c>
      <c r="CB29" s="46">
        <f t="shared" ca="1" si="158"/>
        <v>-3.2727272727268802E-2</v>
      </c>
      <c r="CC29" s="141">
        <f t="shared" ca="1" si="136"/>
        <v>78.261818181818185</v>
      </c>
      <c r="CD29" s="50">
        <f t="shared" ca="1" si="137"/>
        <v>-0.22363636363635792</v>
      </c>
      <c r="CE29" s="47">
        <f t="shared" ca="1" si="159"/>
        <v>0.6006818181818403</v>
      </c>
      <c r="CF29" s="46">
        <f t="shared" ca="1" si="160"/>
        <v>-1.5681818181805196E-2</v>
      </c>
      <c r="CG29" s="141">
        <f t="shared" ca="1" si="138"/>
        <v>978.8125</v>
      </c>
      <c r="CH29" s="50">
        <f t="shared" ca="1" si="139"/>
        <v>-4.9579545454545428</v>
      </c>
      <c r="CI29" s="47">
        <f t="shared" ca="1" si="161"/>
        <v>16.079545454545496</v>
      </c>
      <c r="CJ29" s="46">
        <f t="shared" ca="1" si="162"/>
        <v>-0.20681818181818468</v>
      </c>
      <c r="CK29" s="141">
        <f t="shared" ca="1" si="140"/>
        <v>344.08</v>
      </c>
      <c r="CL29" s="50">
        <f t="shared" ca="1" si="77"/>
        <v>-0.94999999999998863</v>
      </c>
      <c r="CM29" s="47">
        <f t="shared" ca="1" si="163"/>
        <v>4.8100000000000023</v>
      </c>
      <c r="CN29" s="46">
        <f t="shared" ca="1" si="164"/>
        <v>-9.0000000000031832E-2</v>
      </c>
      <c r="CO29" s="141">
        <f t="shared" ca="1" si="141"/>
        <v>270.21499999999997</v>
      </c>
      <c r="CP29" s="50">
        <f t="shared" ca="1" si="78"/>
        <v>-0.54500000000001592</v>
      </c>
      <c r="CQ29" s="47">
        <f t="shared" ca="1" si="165"/>
        <v>5.6650000000000205</v>
      </c>
      <c r="CR29" s="46">
        <f t="shared" ca="1" si="166"/>
        <v>-9.4999999999970441E-2</v>
      </c>
      <c r="CS29" s="109">
        <f t="shared" ca="1" si="79"/>
        <v>-5.7650000000000148</v>
      </c>
      <c r="CT29" s="46">
        <f t="shared" ca="1" si="80"/>
        <v>1.4999999999986358E-2</v>
      </c>
      <c r="CU29" s="47">
        <f t="shared" ca="1" si="167"/>
        <v>-6.0000000000002274E-2</v>
      </c>
      <c r="CV29" s="46">
        <f t="shared" ca="1" si="168"/>
        <v>-1.9999999999996021E-2</v>
      </c>
      <c r="CW29" s="110">
        <f t="shared" ca="1" si="142"/>
        <v>-5.2695454545454794</v>
      </c>
      <c r="CX29" s="46">
        <f t="shared" ca="1" si="81"/>
        <v>2.5909090909071231E-2</v>
      </c>
      <c r="CY29" s="47">
        <f t="shared" ca="1" si="169"/>
        <v>5.3863636363615797E-2</v>
      </c>
      <c r="CZ29" s="46">
        <f t="shared" ca="1" si="170"/>
        <v>-1.7045454545463606E-2</v>
      </c>
      <c r="DA29" s="109">
        <f t="shared" ca="1" si="82"/>
        <v>53.183456375838915</v>
      </c>
      <c r="DB29" s="46">
        <f t="shared" ca="1" si="83"/>
        <v>-0.43291946308725282</v>
      </c>
      <c r="DC29" s="47">
        <f t="shared" ca="1" si="171"/>
        <v>1.6178859060402715</v>
      </c>
      <c r="DD29" s="46">
        <f t="shared" ca="1" si="233"/>
        <v>-1.7785234899323488E-3</v>
      </c>
      <c r="DE29" s="110">
        <f t="shared" ca="1" si="84"/>
        <v>66.948799999999977</v>
      </c>
      <c r="DF29" s="46">
        <f t="shared" ca="1" si="85"/>
        <v>-0.18180000000001312</v>
      </c>
      <c r="DG29" s="47">
        <f t="shared" ca="1" si="172"/>
        <v>1.7407000000000039</v>
      </c>
      <c r="DH29" s="46">
        <f t="shared" ca="1" si="173"/>
        <v>-1.6499999999994686E-2</v>
      </c>
      <c r="DI29" s="110">
        <f t="shared" ca="1" si="86"/>
        <v>36.284599999999983</v>
      </c>
      <c r="DJ29" s="46">
        <f t="shared" ca="1" si="87"/>
        <v>-1.3799999999998813E-2</v>
      </c>
      <c r="DK29" s="47">
        <f t="shared" ca="1" si="174"/>
        <v>1.3816000000000201</v>
      </c>
      <c r="DL29" s="46">
        <f t="shared" ca="1" si="175"/>
        <v>6.6000000000082104E-3</v>
      </c>
      <c r="DM29" s="110">
        <f t="shared" ca="1" si="88"/>
        <v>72.713799999999992</v>
      </c>
      <c r="DN29" s="46">
        <f t="shared" ca="1" si="89"/>
        <v>-0.19679999999999948</v>
      </c>
      <c r="DO29" s="47">
        <f t="shared" ca="1" si="176"/>
        <v>1.8007000000000062</v>
      </c>
      <c r="DP29" s="47">
        <f t="shared" ca="1" si="177"/>
        <v>-2.6499999999999801E-2</v>
      </c>
      <c r="DQ29" s="110">
        <f t="shared" ca="1" si="90"/>
        <v>42.049599999999998</v>
      </c>
      <c r="DR29" s="46">
        <f t="shared" ca="1" si="91"/>
        <v>-2.8799999999985171E-2</v>
      </c>
      <c r="DS29" s="47">
        <f t="shared" ca="1" si="178"/>
        <v>1.4416000000000224</v>
      </c>
      <c r="DT29" s="47">
        <f t="shared" ca="1" si="179"/>
        <v>-3.3999999999969055E-3</v>
      </c>
      <c r="DU29" s="109">
        <f t="shared" ca="1" si="92"/>
        <v>53.122410006101276</v>
      </c>
      <c r="DV29" s="46">
        <f t="shared" ca="1" si="93"/>
        <v>-0.44186089078707064</v>
      </c>
      <c r="DW29" s="47">
        <f t="shared" ca="1" si="180"/>
        <v>1.5576464307504523</v>
      </c>
      <c r="DX29" s="47">
        <f t="shared" ca="1" si="181"/>
        <v>-1.2079011592447786E-2</v>
      </c>
      <c r="DY29" s="110">
        <f t="shared" ca="1" si="94"/>
        <v>66.251781818181811</v>
      </c>
      <c r="DZ29" s="46">
        <f t="shared" ca="1" si="95"/>
        <v>-0.17536363636363733</v>
      </c>
      <c r="EA29" s="47">
        <f t="shared" ca="1" si="182"/>
        <v>1.4195181818181482</v>
      </c>
      <c r="EB29" s="47">
        <f t="shared" ca="1" si="183"/>
        <v>-2.2118181818208127E-2</v>
      </c>
      <c r="EC29" s="110">
        <f t="shared" ca="1" si="96"/>
        <v>35.228481818181805</v>
      </c>
      <c r="ED29" s="46">
        <f t="shared" ca="1" si="97"/>
        <v>-5.263636363648766E-3</v>
      </c>
      <c r="EE29" s="47">
        <f t="shared" ca="1" si="184"/>
        <v>1.7786181818181603</v>
      </c>
      <c r="EF29" s="47">
        <f t="shared" ca="1" si="185"/>
        <v>-2.4218181818182388E-2</v>
      </c>
      <c r="EG29" s="110">
        <f t="shared" ca="1" si="98"/>
        <v>71.521327272727291</v>
      </c>
      <c r="EH29" s="46">
        <f t="shared" ca="1" si="99"/>
        <v>-0.20127272727270856</v>
      </c>
      <c r="EI29" s="47">
        <f t="shared" ca="1" si="186"/>
        <v>1.3656545454545324</v>
      </c>
      <c r="EJ29" s="47">
        <f t="shared" ca="1" si="187"/>
        <v>-5.0727272727445205E-3</v>
      </c>
      <c r="EK29" s="110">
        <f t="shared" ca="1" si="100"/>
        <v>40.498027272727285</v>
      </c>
      <c r="EL29" s="46">
        <f t="shared" ca="1" si="101"/>
        <v>-3.1172727272719997E-2</v>
      </c>
      <c r="EM29" s="47">
        <f t="shared" ca="1" si="188"/>
        <v>1.7247545454545445</v>
      </c>
      <c r="EN29" s="47">
        <f t="shared" ca="1" si="189"/>
        <v>-7.1727272727187819E-3</v>
      </c>
      <c r="EO29" s="109">
        <f t="shared" ca="1" si="102"/>
        <v>32.774627676573971</v>
      </c>
      <c r="EP29" s="46">
        <f t="shared" ca="1" si="103"/>
        <v>0.59790348354104705</v>
      </c>
      <c r="EQ29" s="47">
        <f t="shared" ca="1" si="190"/>
        <v>0.2924145094278856</v>
      </c>
      <c r="ER29" s="47">
        <f t="shared" ca="1" si="191"/>
        <v>-3.5051134547767537E-2</v>
      </c>
      <c r="ES29" s="110">
        <f t="shared" ca="1" si="104"/>
        <v>31.260409076382189</v>
      </c>
      <c r="ET29" s="46">
        <f t="shared" ca="1" si="105"/>
        <v>0.63451727243674605</v>
      </c>
      <c r="EU29" s="47">
        <f t="shared" ca="1" si="192"/>
        <v>-0.32887678317206337</v>
      </c>
      <c r="EV29" s="47">
        <f t="shared" ca="1" si="193"/>
        <v>-2.3902786251810415E-2</v>
      </c>
      <c r="EW29" s="109">
        <f t="shared" ca="1" si="106"/>
        <v>-73.009999999999991</v>
      </c>
      <c r="EX29" s="46">
        <f t="shared" ca="1" si="107"/>
        <v>0.40000000000003411</v>
      </c>
      <c r="EY29" s="47">
        <f t="shared" ca="1" si="194"/>
        <v>-0.85499999999996135</v>
      </c>
      <c r="EZ29" s="47">
        <f t="shared" ca="1" si="195"/>
        <v>5.5000000000006821E-2</v>
      </c>
      <c r="FA29" s="110">
        <f t="shared" ca="1" si="108"/>
        <v>-73.865000000000009</v>
      </c>
      <c r="FB29" s="46">
        <f t="shared" ca="1" si="109"/>
        <v>0.40499999999997272</v>
      </c>
      <c r="FC29" s="47">
        <f t="shared" ca="1" si="196"/>
        <v>0.85500000000001819</v>
      </c>
      <c r="FD29" s="47">
        <f t="shared" ca="1" si="197"/>
        <v>-4.9999999999386091E-3</v>
      </c>
      <c r="FE29" s="109">
        <f t="shared" ca="1" si="110"/>
        <v>57.381699999999995</v>
      </c>
      <c r="FF29" s="46">
        <f t="shared" ca="1" si="111"/>
        <v>-0.11279999999999232</v>
      </c>
      <c r="FG29" s="110">
        <f t="shared" ca="1" si="112"/>
        <v>52.271000000000001</v>
      </c>
      <c r="FH29" s="46">
        <f t="shared" ca="1" si="113"/>
        <v>-8.4799999999989939E-2</v>
      </c>
      <c r="FI29" s="110">
        <f t="shared" ca="1" si="114"/>
        <v>51.61669999999998</v>
      </c>
      <c r="FJ29" s="46">
        <f t="shared" ca="1" si="115"/>
        <v>-9.7800000000005965E-2</v>
      </c>
      <c r="FK29" s="110">
        <f t="shared" ca="1" si="116"/>
        <v>46.505999999999986</v>
      </c>
      <c r="FL29" s="46">
        <f t="shared" ca="1" si="117"/>
        <v>-6.9800000000003581E-2</v>
      </c>
      <c r="FM29" s="110">
        <f t="shared" ca="1" si="118"/>
        <v>56.009677272727288</v>
      </c>
      <c r="FN29" s="46">
        <f t="shared" ca="1" si="119"/>
        <v>-0.11622272727271428</v>
      </c>
      <c r="FO29" s="110">
        <f t="shared" ca="1" si="120"/>
        <v>50.839127272727282</v>
      </c>
      <c r="FP29" s="46">
        <f t="shared" ca="1" si="121"/>
        <v>-8.7872727272716195E-2</v>
      </c>
      <c r="FQ29" s="110">
        <f t="shared" ca="1" si="122"/>
        <v>50.740131818181808</v>
      </c>
      <c r="FR29" s="46">
        <f t="shared" ca="1" si="123"/>
        <v>-9.0313636363643049E-2</v>
      </c>
      <c r="FS29" s="110">
        <f t="shared" ca="1" si="124"/>
        <v>45.569581818181803</v>
      </c>
      <c r="FT29" s="111">
        <f t="shared" ca="1" si="125"/>
        <v>-6.1963636363644957E-2</v>
      </c>
      <c r="FU29" s="109" t="str">
        <f t="shared" ca="1" si="232"/>
        <v/>
      </c>
      <c r="FV29" s="46" t="str">
        <f t="shared" ca="1" si="213"/>
        <v/>
      </c>
      <c r="FW29" s="48" t="str">
        <f t="shared" ca="1" si="227"/>
        <v/>
      </c>
      <c r="FX29" s="114" t="str">
        <f t="shared" ca="1" si="228"/>
        <v/>
      </c>
      <c r="FY29" s="110" t="str">
        <f t="shared" ca="1" si="214"/>
        <v/>
      </c>
      <c r="FZ29" s="46" t="str">
        <f t="shared" ca="1" si="215"/>
        <v/>
      </c>
      <c r="GA29" s="47" t="str">
        <f t="shared" ca="1" si="216"/>
        <v/>
      </c>
      <c r="GB29" s="46" t="str">
        <f t="shared" ca="1" si="229"/>
        <v/>
      </c>
      <c r="GC29" s="110" t="str">
        <f ca="1">IFERROR(IF(AND(ISNUMBER($FU29), ISNUMBER(Crd!$X29)), $FU29 - Crd!$X29, ""), "")</f>
        <v/>
      </c>
      <c r="GD29" s="46" t="str">
        <f ca="1">IFERROR(IF(AND(ISNUMBER($FV29), ISNUMBER(Crd!$Y29)), $FV29 - Crd!$Y29, ""), "")</f>
        <v/>
      </c>
      <c r="GE29" s="47" t="str">
        <f t="shared" ca="1" si="217"/>
        <v/>
      </c>
      <c r="GF29" s="46" t="str">
        <f t="shared" ca="1" si="218"/>
        <v/>
      </c>
      <c r="GG29" s="141" t="str">
        <f t="shared" ca="1" si="198"/>
        <v/>
      </c>
      <c r="GH29" s="50" t="str">
        <f t="shared" ca="1" si="199"/>
        <v/>
      </c>
      <c r="GI29" s="47" t="str">
        <f t="shared" ca="1" si="144"/>
        <v/>
      </c>
      <c r="GJ29" s="46" t="str">
        <f t="shared" ca="1" si="145"/>
        <v/>
      </c>
      <c r="GK29" s="110" t="str">
        <f t="shared" ca="1" si="127"/>
        <v/>
      </c>
      <c r="GL29" s="46" t="str">
        <f t="shared" ca="1" si="128"/>
        <v/>
      </c>
      <c r="GM29" s="47" t="str">
        <f t="shared" ca="1" si="200"/>
        <v/>
      </c>
      <c r="GN29" s="46" t="str">
        <f t="shared" ca="1" si="201"/>
        <v/>
      </c>
      <c r="GO29" s="110" t="str">
        <f ca="1">IFERROR(IF(AND(ISNUMBER($GG29), ISNUMBER(Crd!$X29)), $GG29 - Crd!$X29, ""), "")</f>
        <v/>
      </c>
      <c r="GP29" s="46" t="str">
        <f ca="1">IFERROR(IF(AND(ISNUMBER($GH29), ISNUMBER(Crd!$Y29)), $GH29 - Crd!$Y29, ""), "")</f>
        <v/>
      </c>
      <c r="GQ29" s="47" t="str">
        <f t="shared" ca="1" si="202"/>
        <v/>
      </c>
      <c r="GR29" s="46" t="str">
        <f t="shared" ca="1" si="203"/>
        <v/>
      </c>
      <c r="GS29" s="436" t="str">
        <f t="shared" ca="1" si="219"/>
        <v/>
      </c>
      <c r="GT29" s="46" t="str">
        <f t="shared" ca="1" si="220"/>
        <v/>
      </c>
      <c r="GU29" s="48" t="str">
        <f t="shared" ca="1" si="230"/>
        <v/>
      </c>
      <c r="GV29" s="46" t="str">
        <f t="shared" ca="1" si="231"/>
        <v/>
      </c>
      <c r="GW29" s="427" t="str">
        <f t="shared" ca="1" si="204"/>
        <v/>
      </c>
      <c r="GX29" s="50" t="str">
        <f t="shared" ca="1" si="146"/>
        <v/>
      </c>
      <c r="GY29" s="47" t="str">
        <f t="shared" ca="1" si="205"/>
        <v/>
      </c>
      <c r="GZ29" s="432" t="str">
        <f t="shared" ca="1" si="206"/>
        <v/>
      </c>
      <c r="HA29" s="436">
        <f t="shared" ca="1" si="207"/>
        <v>540.70000000000005</v>
      </c>
      <c r="HB29" s="46">
        <f t="shared" ca="1" si="208"/>
        <v>-3.2999999999999545</v>
      </c>
      <c r="HC29" s="48">
        <f t="shared" ca="1" si="221"/>
        <v>0.39999999999997726</v>
      </c>
      <c r="HD29" s="46">
        <f t="shared" ca="1" si="222"/>
        <v>5.6999999999999318</v>
      </c>
      <c r="HE29" s="269">
        <f t="shared" ca="1" si="147"/>
        <v>81.607703453272165</v>
      </c>
      <c r="HF29" s="46">
        <f t="shared" ca="1" si="148"/>
        <v>-0.49806809949286923</v>
      </c>
      <c r="HG29" s="48">
        <f t="shared" ca="1" si="149"/>
        <v>6.0371890847617911E-2</v>
      </c>
      <c r="HH29" s="432">
        <f t="shared" ca="1" si="150"/>
        <v>0.86029944457859386</v>
      </c>
    </row>
    <row r="30" spans="1:216" x14ac:dyDescent="0.25">
      <c r="A30" s="58">
        <f t="shared" ca="1" si="131"/>
        <v>46600</v>
      </c>
      <c r="B30" s="6" t="str">
        <f ca="1">INDEX(MthRef[], MATCH(MONTH(Futs!$A30), MthRef[Mth], 0), 2)</f>
        <v>Q</v>
      </c>
      <c r="C30" s="6">
        <f t="shared" ca="1" si="65"/>
        <v>2027</v>
      </c>
      <c r="D30" s="6" t="str">
        <f t="shared" ca="1" si="66"/>
        <v>Q327</v>
      </c>
      <c r="E30" s="6" t="str">
        <f t="shared" ca="1" si="132"/>
        <v>Q7</v>
      </c>
      <c r="F30" s="10">
        <f ca="1">IFERROR(AVERAGE(_xll.BDP(F$18 &amp; $B30 &amp; RIGHT($C30, 1) &amp; " " &amp; "Comdty", "BID", "Fill=#N/A"), _xll.BDP(F$18 &amp; $B30 &amp; RIGHT($C30, 1) &amp; " " &amp; "Comdty", "ASK", "Fill=#N/A")), NA())</f>
        <v>73.180000000000007</v>
      </c>
      <c r="G30" s="10">
        <f ca="1">IFERROR(AVERAGE(_xll.BDP(G$18 &amp; $B30 &amp; RIGHT($C30, 1) &amp; " " &amp; "Comdty", "BID", "Fill=#N/A"), _xll.BDP(G$18 &amp; $B30 &amp; RIGHT($C30, 1) &amp; " " &amp; "Comdty", "ASK", "Fill=#N/A")), NA())</f>
        <v>78.885000000000005</v>
      </c>
      <c r="H30" s="10">
        <f ca="1">IFERROR(AVERAGE(_xll.BDP(H$18 &amp; $B30 &amp; RIGHT($C30, 1) &amp; " " &amp; "Comdty", "BID", "Fill=#N/A"), _xll.BDP(H$18 &amp; $B30 &amp; RIGHT($C30, 1) &amp; " " &amp; "Comdty", "ASK", "Fill=#N/A")), NA())</f>
        <v>974</v>
      </c>
      <c r="I30" s="10">
        <f ca="1">IFERROR(AVERAGE(_xll.BDP(I$18 &amp; $B30 &amp; RIGHT($C30, 1) &amp; " " &amp; "Comdty", "BID", "Fill=#N/A"), _xll.BDP(I$18 &amp; $B30 &amp; RIGHT($C30, 1) &amp; " " &amp; "Comdty", "ASK", "Fill=#N/A")), NA())</f>
        <v>344.04999999999995</v>
      </c>
      <c r="J30" s="10">
        <f ca="1">IFERROR(AVERAGE(_xll.BDP(J$18 &amp; $B30 &amp; RIGHT($C30, 1) &amp; " " &amp; "Comdty", "BID", "Fill=#N/A"), _xll.BDP(J$18 &amp; $B30 &amp; RIGHT($C30, 1) &amp; " " &amp; "Comdty", "ASK", "Fill=#N/A")), NA())</f>
        <v>270.16999999999996</v>
      </c>
      <c r="K30" s="10" t="e">
        <f ca="1">IFERROR(AVERAGE(_xll.BDP(K$18 &amp; $B30 &amp; RIGHT($C30, 2) &amp; " " &amp; "Comdty", "BID", "Fill=#N/A"), _xll.BDP(K$18 &amp; $B30 &amp; RIGHT($C30, 2) &amp; " " &amp; "Comdty", "ASK", "Fill=#N/A")), NA())</f>
        <v>#N/A</v>
      </c>
      <c r="L30" s="10" t="e">
        <f ca="1">IFERROR(AVERAGE(_xll.BDP(L$18 &amp; $B30 &amp; RIGHT($C30, 2) &amp; " " &amp; "Comdty", "BID", "Fill=#N/A"), _xll.BDP(L$18 &amp; $B30 &amp; RIGHT($C30, 2) &amp; " " &amp; "Comdty", "ASK", "Fill=#N/A")), NA())</f>
        <v>#N/A</v>
      </c>
      <c r="M30" s="10">
        <f ca="1">IFERROR(AVERAGE(_xll.BDP(M$18 &amp; $B30 &amp; RIGHT($C30, 2) &amp; " " &amp; "Comdty", "BID", "Fill=#N/A"), _xll.BDP(M$18 &amp; $B30 &amp; RIGHT($C30, 2) &amp; " " &amp; "Comdty", "ASK", "Fill=#N/A")), NA())</f>
        <v>523.25</v>
      </c>
      <c r="N30" s="10">
        <f ca="1">IFERROR(AVERAGE(_xll.BDP(N$18 &amp; $B29 &amp; RIGHT($C29, 1) &amp; N$18 &amp; $B30 &amp; RIGHT($C30, 1) &amp; " " &amp; "Comdty", "BID", "Fill=#N/A"), _xll.BDP(N$18 &amp; $B29 &amp; RIGHT($C29, 1) &amp; N$18 &amp; $B30 &amp; RIGHT($C30, 1) &amp; " " &amp; "Comdty", "ASK", "Fill=#N/A")), NA())</f>
        <v>0.63500000000000001</v>
      </c>
      <c r="O30" s="10">
        <f ca="1">IFERROR(AVERAGE(_xll.BDP(O$18 &amp; $B29 &amp; RIGHT($C29, 1) &amp; O$18 &amp; $B30 &amp; RIGHT($C30, 1) &amp; " " &amp; "Comdty", "BID", "Fill=#N/A"), _xll.BDP(O$18 &amp; $B29 &amp; RIGHT($C29, 1) &amp; O$18 &amp; $B30 &amp; RIGHT($C30, 1) &amp; " " &amp; "Comdty", "ASK", "Fill=#N/A")), NA())</f>
        <v>0.69499999999999995</v>
      </c>
      <c r="P30" s="10">
        <f ca="1">IFERROR(AVERAGE(_xll.BDP(P$18 &amp; $B29 &amp; RIGHT($C29, 1) &amp; P$18 &amp; $B30 &amp; RIGHT($C30, 1) &amp; " " &amp; "Comdty", "BID", "Fill=#N/A"), _xll.BDP(P$18 &amp; $B29 &amp; RIGHT($C29, 1) &amp; P$18 &amp; $B30 &amp; RIGHT($C30, 1) &amp; " " &amp; "Comdty", "ASK", "Fill=#N/A")), NA())</f>
        <v>15.125</v>
      </c>
      <c r="Q30" s="10">
        <f ca="1">IFERROR(AVERAGE(_xll.BDP(Q$18 &amp; $B29 &amp; RIGHT($C29, 1) &amp; Q$18 &amp; $B30 &amp; RIGHT($C30, 1) &amp; " " &amp; "Comdty", "BID", "Fill=#N/A"), _xll.BDP(Q$18 &amp; $B29 &amp; RIGHT($C29, 1) &amp; Q$18 &amp; $B30 &amp; RIGHT($C30, 1) &amp; " " &amp; "Comdty", "ASK", "Fill=#N/A")), NA())</f>
        <v>4.8100000000000005</v>
      </c>
      <c r="R30" s="10">
        <f ca="1">IFERROR(AVERAGE(_xll.BDP(R$18 &amp; $B29 &amp; RIGHT($C29, 1) &amp; R$18 &amp; $B30 &amp; RIGHT($C30, 1) &amp; " " &amp; "Comdty", "BID", "Fill=#N/A"), _xll.BDP(R$18 &amp; $B29 &amp; RIGHT($C29, 1) &amp; R$18 &amp; $B30 &amp; RIGHT($C30, 1) &amp; " " &amp; "Comdty", "ASK", "Fill=#N/A")), NA())</f>
        <v>5.665</v>
      </c>
      <c r="S30" s="10" t="e">
        <f ca="1">IFERROR(AVERAGE(_xll.BDP(S$18 &amp; $B29 &amp; RIGHT($C29, 1) &amp; $B30 &amp; RIGHT($C30, 1) &amp; " " &amp; "Comdty", "BID", "Fill=#N/A"), _xll.BDP(S$18 &amp; $B29 &amp; RIGHT($C29, 1) &amp; $B30 &amp; RIGHT($C30, 1) &amp; " " &amp; "Comdty", "ASK", "Fill=#N/A")), NA())</f>
        <v>#N/A</v>
      </c>
      <c r="T30" s="10" t="e">
        <f ca="1">IFERROR(AVERAGE(_xll.BDP(T$18 &amp; $B29 &amp; RIGHT($C29, 1) &amp; $B30 &amp; RIGHT($C30, 1) &amp; " " &amp; "Comdty", "BID", "Fill=#N/A"), _xll.BDP(T$18 &amp; $B29 &amp; RIGHT($C29, 1) &amp; $B30 &amp; RIGHT($C30, 1) &amp; " " &amp; "Comdty", "ASK", "Fill=#N/A")), NA())</f>
        <v>#N/A</v>
      </c>
      <c r="U30" s="10">
        <f ca="1">IF($A30 &lt; Diagnostics!$B$3, N30, INDEX(ImpSprd[], MATCH(Futs!$C30, ImpSprd[Yr], 0), MATCH(U$18, ImpSprd[#Headers], 0)))</f>
        <v>0.63500000000000001</v>
      </c>
      <c r="V30" s="10">
        <f ca="1">IF($A30 &lt; Diagnostics!$B$3, O30, INDEX(ImpSprd[], MATCH(Futs!$C30, ImpSprd[Yr], 0), MATCH(V$18, ImpSprd[#Headers], 0)))</f>
        <v>0.69499999999999995</v>
      </c>
      <c r="W30" s="10">
        <f ca="1">IF($A30 &lt; Diagnostics!$B$3, P30, INDEX(ImpSprd[], MATCH(Futs!$C30, ImpSprd[Yr], 0), MATCH(W$18, ImpSprd[#Headers], 0)))</f>
        <v>15.125</v>
      </c>
      <c r="X30" s="31">
        <f ca="1">INDEX(Expi[], MATCH($A30, Expi[Date], 0), MATCH(X$18, Expi[#Headers], 0))</f>
        <v>46619</v>
      </c>
      <c r="Y30" s="31">
        <f ca="1">INDEX(Expi[], MATCH($A30, Expi[Date], 0), MATCH(Y$18, Expi[#Headers], 0))</f>
        <v>46630</v>
      </c>
      <c r="Z30" s="31">
        <f ca="1">INDEX(Expi[], MATCH($A30, Expi[Date], 0), MATCH(Z$18, Expi[#Headers], 0))</f>
        <v>46611</v>
      </c>
      <c r="AA30" s="31">
        <f ca="1">INDEX(Expi[], MATCH($A30, Expi[Date], 0), MATCH(AA$18, Expi[#Headers], 0))</f>
        <v>46630</v>
      </c>
      <c r="AB30" s="31">
        <f ca="1">INDEX(Expi[], MATCH($A30, Expi[Date], 0), MATCH(AB$18, Expi[#Headers], 0))</f>
        <v>46630</v>
      </c>
      <c r="AC30" s="31">
        <f ca="1">INDEX(Expi[], MATCH($A30, Expi[Date], 0), MATCH(AC$18, Expi[#Headers], 0))</f>
        <v>46630</v>
      </c>
      <c r="AD30" s="7">
        <f ca="1">NETWORKDAYS($A30, EOMONTH($A30, 0), Hols[CME])</f>
        <v>22</v>
      </c>
      <c r="AE30" s="7">
        <f ca="1">NETWORKDAYS($A30, EOMONTH($A30, 0), Hols[ICE])</f>
        <v>22</v>
      </c>
      <c r="AF30" s="7">
        <f ca="1">NETWORKDAYS($A30, EOMONTH($A30, 0), Hols[ICE])</f>
        <v>22</v>
      </c>
      <c r="AG30" s="7">
        <f ca="1">NETWORKDAYS($A30, EOMONTH($A30, 0), Hols[CME])</f>
        <v>22</v>
      </c>
      <c r="AH30" s="7">
        <f ca="1">NETWORKDAYS($A30, EOMONTH($A30, 0), Hols[CME])</f>
        <v>22</v>
      </c>
      <c r="AI30" s="7">
        <f ca="1">NETWORKDAYS($A30, EOMONTH($A30, 0), Hols[ICE])</f>
        <v>22</v>
      </c>
      <c r="AJ30" s="7">
        <f ca="1">NETWORKDAYS($A30, X30, Hols[CME])</f>
        <v>15</v>
      </c>
      <c r="AK30" s="7">
        <f ca="1">NETWORKDAYS($A30, Y30, Hols[ICE]) - 1</f>
        <v>21</v>
      </c>
      <c r="AL30" s="7">
        <f ca="1">NETWORKDAYS($A30, Z30, Hols[ICE]) - 1</f>
        <v>8</v>
      </c>
      <c r="AM30" s="7">
        <f ca="1">NETWORKDAYS($A30, AA30, Hols[CME])</f>
        <v>22</v>
      </c>
      <c r="AN30" s="7">
        <f ca="1">NETWORKDAYS($A30, AB30, Hols[CME])</f>
        <v>22</v>
      </c>
      <c r="AO30" s="7">
        <f ca="1">NETWORKDAYS($A30, AC30, Hols[ICE]) - 1</f>
        <v>21</v>
      </c>
      <c r="AP30" s="10">
        <f t="shared" ca="1" si="67"/>
        <v>0.68181818181818177</v>
      </c>
      <c r="AQ30" s="10">
        <f t="shared" ca="1" si="68"/>
        <v>0.95454545454545459</v>
      </c>
      <c r="AR30" s="10">
        <f t="shared" ca="1" si="69"/>
        <v>0.36363636363636365</v>
      </c>
      <c r="AS30" s="10">
        <f t="shared" ca="1" si="70"/>
        <v>1</v>
      </c>
      <c r="AT30" s="10">
        <f t="shared" ca="1" si="71"/>
        <v>1</v>
      </c>
      <c r="AU30" s="10">
        <f t="shared" ca="1" si="71"/>
        <v>0.95454545454545459</v>
      </c>
      <c r="AV30" s="28">
        <f ca="1">IFERROR(AVERAGE(_xll.BDH(AV$18 &amp; $B30 &amp; RIGHT($C30, 1) &amp; " " &amp; "Comdty", "PX_SETTLE", AV$16, AV$16, "Fill=#N/A")), IFERROR(AVERAGE(_xll.BDH(AV$18 &amp; $B30 &amp; RIGHT($C30, 2) &amp; " " &amp; "Comdty", "PX_SETTLE", AV$16, AV$16, "Fill=#N/A")), NA()))</f>
        <v>73.39</v>
      </c>
      <c r="AW30" s="28">
        <f ca="1">IFERROR(AVERAGE(_xll.BDH(AW$18 &amp; $B30 &amp; RIGHT($C30, 1) &amp; " " &amp; "Comdty", "PX_SETTLE", AW$16, AW$16, "Fill=#N/A")), IFERROR(AVERAGE(_xll.BDH(AW$18 &amp; $B30 &amp; RIGHT($C30, 2) &amp; " " &amp; "Comdty", "PX_SETTLE", AW$16, AW$16, "Fill=#N/A")), NA()))</f>
        <v>79.13</v>
      </c>
      <c r="AX30" s="29">
        <f ca="1">IFERROR(AVERAGE(_xll.BDH(AX$18 &amp; $B30 &amp; RIGHT($C30, 2) &amp; " " &amp; "Comdty", "FAIR_VALUE_SNAPSHOT_AT_1430", AX$16, AX$16, "TIME_ZONE_OVERRIDE=13", "Fill=#N/A")), NA())</f>
        <v>978.88</v>
      </c>
      <c r="AY30" s="28">
        <f ca="1">IFERROR(AVERAGE(_xll.BDH(AY$18 &amp; $B30 &amp; RIGHT($C30, 1) &amp; " " &amp; "Comdty", "PX_SETTLE", AY$16, AY$16, "Fill=#N/A")), NA())</f>
        <v>345.03</v>
      </c>
      <c r="AZ30" s="28">
        <f ca="1">IFERROR(AVERAGE(_xll.BDH(AZ$18 &amp; $B30 &amp; RIGHT($C30, 1) &amp; " " &amp; "Comdty", "PX_SETTLE", AZ$16, AZ$16, "Fill=#N/A")), NA())</f>
        <v>270.76</v>
      </c>
      <c r="BA30" s="29" t="e">
        <f ca="1">IFERROR(AVERAGE(_xll.BDH(BA$18 &amp; $B30 &amp; RIGHT($C30, 2) &amp; " " &amp; "Comdty", "PX_SETTLE", BA$16, BA$16, "Fill=#N/A")), IFERROR(AVERAGE(_xll.BDH(BA$18 &amp; $B30 &amp; RIGHT($C30, 2) &amp; " " &amp; "Comdty", "PX_SETTLE", BA$16, BA$16, "Fill=#N/A")), NA()))</f>
        <v>#N/A</v>
      </c>
      <c r="BB30" s="29">
        <f ca="1">IFERROR(AVERAGE(_xll.BDH(BB$18 &amp; $B30 &amp; RIGHT($C30, 2) &amp; " " &amp; "Comdty", "PX_SETTLE", BB$16, BB$16, "Fill=#N/A")), IFERROR(AVERAGE(_xll.BDH(BB$18 &amp; $B30 &amp; RIGHT($C30, 2) &amp; " " &amp; "Comdty", "PX_SETTLE", BB$16, BB$16, "Fill=#N/A")), NA()))</f>
        <v>79.83</v>
      </c>
      <c r="BC30" s="29">
        <f ca="1">IFERROR(AVERAGE(_xll.BDH(BC$18 &amp; $B30 &amp; RIGHT($C30, 2) &amp; " " &amp; "Comdty", "PX_SETTLE", BC$16, BC$16, "Fill=#N/A")), IFERROR(AVERAGE(_xll.BDH(BC$18 &amp; $B30 &amp; RIGHT($C30, 2) &amp; " " &amp; "Comdty", "PX_SETTLE", BC$16, BC$16, "Fill=#N/A")), NA()))</f>
        <v>521.1</v>
      </c>
      <c r="BD30" s="29" cm="1">
        <f t="array" ref="BD30">_xll.BFXFORWARD("USDCNY", "10M", "MidOutright")</f>
        <v>6.6086229999999997</v>
      </c>
      <c r="BE30" s="109">
        <f t="shared" ca="1" si="209"/>
        <v>73.184999999999988</v>
      </c>
      <c r="BF30" s="46">
        <f t="shared" ca="1" si="72"/>
        <v>-0.20500000000001251</v>
      </c>
      <c r="BG30" s="47">
        <f t="shared" ca="1" si="151"/>
        <v>0.63500000000000512</v>
      </c>
      <c r="BH30" s="114">
        <f t="shared" ca="1" si="223"/>
        <v>-3.4999999999996589E-2</v>
      </c>
      <c r="BI30" s="110">
        <f t="shared" ca="1" si="224"/>
        <v>78.890000000000015</v>
      </c>
      <c r="BJ30" s="46">
        <f t="shared" ca="1" si="73"/>
        <v>-0.23999999999998067</v>
      </c>
      <c r="BK30" s="48">
        <f t="shared" ca="1" si="225"/>
        <v>0.69499999999999318</v>
      </c>
      <c r="BL30" s="114">
        <f t="shared" ca="1" si="226"/>
        <v>-1.5000000000014779E-2</v>
      </c>
      <c r="BM30" s="48">
        <f t="shared" ca="1" si="152"/>
        <v>974</v>
      </c>
      <c r="BN30" s="46">
        <f t="shared" ca="1" si="74"/>
        <v>-4.8799999999999955</v>
      </c>
      <c r="BO30" s="47">
        <f t="shared" ca="1" si="210"/>
        <v>15.125</v>
      </c>
      <c r="BP30" s="46">
        <f t="shared" ca="1" si="133"/>
        <v>-0.24500000000000455</v>
      </c>
      <c r="BQ30" s="110">
        <f t="shared" ca="1" si="211"/>
        <v>344.08</v>
      </c>
      <c r="BR30" s="46">
        <f t="shared" ca="1" si="75"/>
        <v>-0.94999999999998863</v>
      </c>
      <c r="BS30" s="47">
        <f t="shared" ca="1" si="153"/>
        <v>4.8100000000000023</v>
      </c>
      <c r="BT30" s="114">
        <f t="shared" ca="1" si="154"/>
        <v>-9.0000000000031832E-2</v>
      </c>
      <c r="BU30" s="48">
        <f t="shared" ca="1" si="212"/>
        <v>270.21499999999997</v>
      </c>
      <c r="BV30" s="46">
        <f t="shared" ca="1" si="76"/>
        <v>-0.54500000000001592</v>
      </c>
      <c r="BW30" s="47">
        <f t="shared" ca="1" si="155"/>
        <v>5.6650000000000205</v>
      </c>
      <c r="BX30" s="46">
        <f t="shared" ca="1" si="156"/>
        <v>-9.4999999999970441E-2</v>
      </c>
      <c r="BY30" s="140">
        <f t="shared" ca="1" si="134"/>
        <v>72.508636363636356</v>
      </c>
      <c r="BZ30" s="46">
        <f t="shared" ca="1" si="135"/>
        <v>-0.17545454545455705</v>
      </c>
      <c r="CA30" s="47">
        <f t="shared" ca="1" si="157"/>
        <v>0.4836363636363501</v>
      </c>
      <c r="CB30" s="46">
        <f t="shared" ca="1" si="158"/>
        <v>-2.2272727272729637E-2</v>
      </c>
      <c r="CC30" s="141">
        <f t="shared" ca="1" si="136"/>
        <v>77.754772727272737</v>
      </c>
      <c r="CD30" s="50">
        <f t="shared" ca="1" si="137"/>
        <v>-0.19340909090908359</v>
      </c>
      <c r="CE30" s="47">
        <f t="shared" ca="1" si="159"/>
        <v>0.50704545454544814</v>
      </c>
      <c r="CF30" s="46">
        <f t="shared" ca="1" si="160"/>
        <v>-3.0227272727274324E-2</v>
      </c>
      <c r="CG30" s="141">
        <f t="shared" ca="1" si="138"/>
        <v>965.48863636363626</v>
      </c>
      <c r="CH30" s="50">
        <f t="shared" ca="1" si="139"/>
        <v>-4.8004545454545404</v>
      </c>
      <c r="CI30" s="47">
        <f t="shared" ca="1" si="161"/>
        <v>13.32386363636374</v>
      </c>
      <c r="CJ30" s="46">
        <f t="shared" ca="1" si="162"/>
        <v>-0.15750000000000242</v>
      </c>
      <c r="CK30" s="141">
        <f t="shared" ca="1" si="140"/>
        <v>340.19</v>
      </c>
      <c r="CL30" s="50">
        <f t="shared" ca="1" si="77"/>
        <v>-0.92000000000001592</v>
      </c>
      <c r="CM30" s="47">
        <f t="shared" ca="1" si="163"/>
        <v>3.8899999999999864</v>
      </c>
      <c r="CN30" s="46">
        <f t="shared" ca="1" si="164"/>
        <v>-2.9999999999972715E-2</v>
      </c>
      <c r="CO30" s="141">
        <f t="shared" ca="1" si="141"/>
        <v>263.65999999999997</v>
      </c>
      <c r="CP30" s="50">
        <f t="shared" ca="1" si="78"/>
        <v>-0.32000000000005002</v>
      </c>
      <c r="CQ30" s="47">
        <f t="shared" ca="1" si="165"/>
        <v>6.5550000000000068</v>
      </c>
      <c r="CR30" s="46">
        <f t="shared" ca="1" si="166"/>
        <v>-0.22499999999996589</v>
      </c>
      <c r="CS30" s="109">
        <f t="shared" ca="1" si="79"/>
        <v>-5.7050000000000267</v>
      </c>
      <c r="CT30" s="46">
        <f t="shared" ca="1" si="80"/>
        <v>3.4999999999968168E-2</v>
      </c>
      <c r="CU30" s="47">
        <f t="shared" ca="1" si="167"/>
        <v>-5.9999999999988063E-2</v>
      </c>
      <c r="CV30" s="46">
        <f t="shared" ca="1" si="168"/>
        <v>-1.4210854715202004E-14</v>
      </c>
      <c r="CW30" s="110">
        <f t="shared" ca="1" si="142"/>
        <v>-5.2461363636363814</v>
      </c>
      <c r="CX30" s="46">
        <f t="shared" ca="1" si="81"/>
        <v>1.7954545454526544E-2</v>
      </c>
      <c r="CY30" s="47">
        <f t="shared" ca="1" si="169"/>
        <v>-2.340909090909804E-2</v>
      </c>
      <c r="CZ30" s="46">
        <f t="shared" ca="1" si="170"/>
        <v>7.954545454544687E-3</v>
      </c>
      <c r="DA30" s="109">
        <f t="shared" ca="1" si="82"/>
        <v>51.848255033557024</v>
      </c>
      <c r="DB30" s="46">
        <f t="shared" ca="1" si="83"/>
        <v>-0.41503355704699851</v>
      </c>
      <c r="DC30" s="47">
        <f t="shared" ca="1" si="171"/>
        <v>1.3352013422818914</v>
      </c>
      <c r="DD30" s="46">
        <f t="shared" ca="1" si="233"/>
        <v>-1.7885906040254307E-2</v>
      </c>
      <c r="DE30" s="110">
        <f t="shared" ca="1" si="84"/>
        <v>65.623599999999982</v>
      </c>
      <c r="DF30" s="46">
        <f t="shared" ca="1" si="85"/>
        <v>-0.15900000000001457</v>
      </c>
      <c r="DG30" s="47">
        <f t="shared" ca="1" si="172"/>
        <v>1.3251999999999953</v>
      </c>
      <c r="DH30" s="46">
        <f t="shared" ca="1" si="173"/>
        <v>-2.2799999999998544E-2</v>
      </c>
      <c r="DI30" s="110">
        <f t="shared" ca="1" si="86"/>
        <v>34.600299999999976</v>
      </c>
      <c r="DJ30" s="46">
        <f t="shared" ca="1" si="87"/>
        <v>1.1099999999973992E-2</v>
      </c>
      <c r="DK30" s="47">
        <f t="shared" ca="1" si="174"/>
        <v>1.6843000000000075</v>
      </c>
      <c r="DL30" s="46">
        <f t="shared" ca="1" si="175"/>
        <v>-2.4899999999972805E-2</v>
      </c>
      <c r="DM30" s="110">
        <f t="shared" ca="1" si="88"/>
        <v>71.328600000000009</v>
      </c>
      <c r="DN30" s="46">
        <f t="shared" ca="1" si="89"/>
        <v>-0.19399999999998274</v>
      </c>
      <c r="DO30" s="47">
        <f t="shared" ca="1" si="176"/>
        <v>1.3851999999999833</v>
      </c>
      <c r="DP30" s="47">
        <f t="shared" ca="1" si="177"/>
        <v>-2.8000000000167335E-3</v>
      </c>
      <c r="DQ30" s="110">
        <f t="shared" ca="1" si="90"/>
        <v>40.305300000000003</v>
      </c>
      <c r="DR30" s="46">
        <f t="shared" ca="1" si="91"/>
        <v>-2.3899999999994176E-2</v>
      </c>
      <c r="DS30" s="47">
        <f t="shared" ca="1" si="178"/>
        <v>1.7442999999999955</v>
      </c>
      <c r="DT30" s="47">
        <f t="shared" ca="1" si="179"/>
        <v>-4.8999999999909949E-3</v>
      </c>
      <c r="DU30" s="109">
        <f t="shared" ca="1" si="92"/>
        <v>51.841017388651593</v>
      </c>
      <c r="DV30" s="46">
        <f t="shared" ca="1" si="93"/>
        <v>-0.45094722391702918</v>
      </c>
      <c r="DW30" s="47">
        <f t="shared" ca="1" si="180"/>
        <v>1.2813926174496828</v>
      </c>
      <c r="DX30" s="47">
        <f t="shared" ca="1" si="181"/>
        <v>9.0863331299585459E-3</v>
      </c>
      <c r="DY30" s="110">
        <f t="shared" ca="1" si="94"/>
        <v>65.125027272727252</v>
      </c>
      <c r="DZ30" s="46">
        <f t="shared" ca="1" si="95"/>
        <v>-0.19299090909092309</v>
      </c>
      <c r="EA30" s="47">
        <f t="shared" ca="1" si="182"/>
        <v>1.1267545454545598</v>
      </c>
      <c r="EB30" s="47">
        <f t="shared" ca="1" si="183"/>
        <v>1.7627272727285759E-2</v>
      </c>
      <c r="EC30" s="110">
        <f t="shared" ca="1" si="96"/>
        <v>32.98242727272725</v>
      </c>
      <c r="ED30" s="46">
        <f t="shared" ca="1" si="97"/>
        <v>5.9009090909062589E-2</v>
      </c>
      <c r="EE30" s="47">
        <f t="shared" ca="1" si="184"/>
        <v>2.2460545454545553</v>
      </c>
      <c r="EF30" s="47">
        <f t="shared" ca="1" si="185"/>
        <v>-6.4272727272711355E-2</v>
      </c>
      <c r="EG30" s="110">
        <f t="shared" ca="1" si="98"/>
        <v>70.371163636363633</v>
      </c>
      <c r="EH30" s="46">
        <f t="shared" ca="1" si="99"/>
        <v>-0.21094545454544963</v>
      </c>
      <c r="EI30" s="47">
        <f t="shared" ca="1" si="186"/>
        <v>1.1501636363636578</v>
      </c>
      <c r="EJ30" s="47">
        <f t="shared" ca="1" si="187"/>
        <v>9.6727272727410718E-3</v>
      </c>
      <c r="EK30" s="110">
        <f t="shared" ca="1" si="100"/>
        <v>38.228563636363631</v>
      </c>
      <c r="EL30" s="46">
        <f t="shared" ca="1" si="101"/>
        <v>4.1054545454536046E-2</v>
      </c>
      <c r="EM30" s="47">
        <f t="shared" ca="1" si="188"/>
        <v>2.2694636363636533</v>
      </c>
      <c r="EN30" s="47">
        <f t="shared" ca="1" si="189"/>
        <v>-7.2227272727256042E-2</v>
      </c>
      <c r="EO30" s="109">
        <f t="shared" ca="1" si="102"/>
        <v>32.798440396292733</v>
      </c>
      <c r="EP30" s="46">
        <f t="shared" ca="1" si="103"/>
        <v>0.60960370725472379</v>
      </c>
      <c r="EQ30" s="47">
        <f t="shared" ca="1" si="190"/>
        <v>-2.381271971876231E-2</v>
      </c>
      <c r="ER30" s="47">
        <f t="shared" ca="1" si="191"/>
        <v>-1.1700223713676738E-2</v>
      </c>
      <c r="ES30" s="110">
        <f t="shared" ca="1" si="104"/>
        <v>31.628594962084946</v>
      </c>
      <c r="ET30" s="46">
        <f t="shared" ca="1" si="105"/>
        <v>0.61418170196691935</v>
      </c>
      <c r="EU30" s="47">
        <f t="shared" ca="1" si="192"/>
        <v>-0.36818588570275779</v>
      </c>
      <c r="EV30" s="47">
        <f t="shared" ca="1" si="193"/>
        <v>2.0335570469826703E-2</v>
      </c>
      <c r="EW30" s="109">
        <f t="shared" ca="1" si="106"/>
        <v>-73.865000000000009</v>
      </c>
      <c r="EX30" s="46">
        <f t="shared" ca="1" si="107"/>
        <v>0.40499999999997272</v>
      </c>
      <c r="EY30" s="47">
        <f t="shared" ca="1" si="194"/>
        <v>0.85500000000001819</v>
      </c>
      <c r="EZ30" s="47">
        <f t="shared" ca="1" si="195"/>
        <v>-4.9999999999386091E-3</v>
      </c>
      <c r="FA30" s="110">
        <f t="shared" ca="1" si="108"/>
        <v>-76.53000000000003</v>
      </c>
      <c r="FB30" s="46">
        <f t="shared" ca="1" si="109"/>
        <v>0.59999999999996589</v>
      </c>
      <c r="FC30" s="47">
        <f t="shared" ca="1" si="196"/>
        <v>2.6650000000000205</v>
      </c>
      <c r="FD30" s="47">
        <f t="shared" ca="1" si="197"/>
        <v>-0.19499999999999318</v>
      </c>
      <c r="FE30" s="109">
        <f t="shared" ca="1" si="110"/>
        <v>55.816950000000006</v>
      </c>
      <c r="FF30" s="46">
        <f t="shared" ca="1" si="111"/>
        <v>-0.10894999999998846</v>
      </c>
      <c r="FG30" s="110">
        <f t="shared" ca="1" si="112"/>
        <v>50.6464</v>
      </c>
      <c r="FH30" s="46">
        <f t="shared" ca="1" si="113"/>
        <v>-8.0599999999990374E-2</v>
      </c>
      <c r="FI30" s="110">
        <f t="shared" ca="1" si="114"/>
        <v>50.111949999999979</v>
      </c>
      <c r="FJ30" s="46">
        <f t="shared" ca="1" si="115"/>
        <v>-7.3950000000020291E-2</v>
      </c>
      <c r="FK30" s="110">
        <f t="shared" ca="1" si="116"/>
        <v>44.94139999999998</v>
      </c>
      <c r="FL30" s="46">
        <f t="shared" ca="1" si="117"/>
        <v>-4.5600000000022192E-2</v>
      </c>
      <c r="FM30" s="110">
        <f t="shared" ca="1" si="118"/>
        <v>54.299863636363632</v>
      </c>
      <c r="FN30" s="46">
        <f t="shared" ca="1" si="119"/>
        <v>-8.4945454545456794E-2</v>
      </c>
      <c r="FO30" s="110">
        <f t="shared" ca="1" si="120"/>
        <v>48.94276363636363</v>
      </c>
      <c r="FP30" s="46">
        <f t="shared" ca="1" si="121"/>
        <v>-4.2945454545459172E-2</v>
      </c>
      <c r="FQ30" s="110">
        <f t="shared" ca="1" si="122"/>
        <v>49.053727272727251</v>
      </c>
      <c r="FR30" s="46">
        <f t="shared" ca="1" si="123"/>
        <v>-6.6990909090930251E-2</v>
      </c>
      <c r="FS30" s="110">
        <f t="shared" ca="1" si="124"/>
        <v>43.696627272727255</v>
      </c>
      <c r="FT30" s="111">
        <f t="shared" ca="1" si="125"/>
        <v>-2.4990909090932635E-2</v>
      </c>
      <c r="FU30" s="109" t="str">
        <f t="shared" ca="1" si="232"/>
        <v/>
      </c>
      <c r="FV30" s="46" t="str">
        <f t="shared" ca="1" si="213"/>
        <v/>
      </c>
      <c r="FW30" s="48" t="str">
        <f t="shared" ca="1" si="227"/>
        <v/>
      </c>
      <c r="FX30" s="114" t="str">
        <f t="shared" ca="1" si="228"/>
        <v/>
      </c>
      <c r="FY30" s="110" t="str">
        <f t="shared" ca="1" si="214"/>
        <v/>
      </c>
      <c r="FZ30" s="46" t="str">
        <f t="shared" ca="1" si="215"/>
        <v/>
      </c>
      <c r="GA30" s="47" t="str">
        <f t="shared" ca="1" si="216"/>
        <v/>
      </c>
      <c r="GB30" s="46" t="str">
        <f t="shared" ca="1" si="229"/>
        <v/>
      </c>
      <c r="GC30" s="110" t="str">
        <f ca="1">IFERROR(IF(AND(ISNUMBER($FU30), ISNUMBER(Crd!$X30)), $FU30 - Crd!$X30, ""), "")</f>
        <v/>
      </c>
      <c r="GD30" s="46" t="str">
        <f ca="1">IFERROR(IF(AND(ISNUMBER($FV30), ISNUMBER(Crd!$Y30)), $FV30 - Crd!$Y30, ""), "")</f>
        <v/>
      </c>
      <c r="GE30" s="47" t="str">
        <f t="shared" ca="1" si="217"/>
        <v/>
      </c>
      <c r="GF30" s="46" t="str">
        <f t="shared" ca="1" si="218"/>
        <v/>
      </c>
      <c r="GG30" s="141" t="str">
        <f t="shared" ca="1" si="198"/>
        <v/>
      </c>
      <c r="GH30" s="50" t="str">
        <f t="shared" ca="1" si="199"/>
        <v/>
      </c>
      <c r="GI30" s="47" t="str">
        <f t="shared" ca="1" si="144"/>
        <v/>
      </c>
      <c r="GJ30" s="46" t="str">
        <f t="shared" ca="1" si="145"/>
        <v/>
      </c>
      <c r="GK30" s="110" t="str">
        <f t="shared" ca="1" si="127"/>
        <v/>
      </c>
      <c r="GL30" s="46" t="str">
        <f t="shared" ca="1" si="128"/>
        <v/>
      </c>
      <c r="GM30" s="47" t="str">
        <f t="shared" ca="1" si="200"/>
        <v/>
      </c>
      <c r="GN30" s="46" t="str">
        <f t="shared" ca="1" si="201"/>
        <v/>
      </c>
      <c r="GO30" s="110" t="str">
        <f ca="1">IFERROR(IF(AND(ISNUMBER($GG30), ISNUMBER(Crd!$X30)), $GG30 - Crd!$X30, ""), "")</f>
        <v/>
      </c>
      <c r="GP30" s="46" t="str">
        <f ca="1">IFERROR(IF(AND(ISNUMBER($GH30), ISNUMBER(Crd!$Y30)), $GH30 - Crd!$Y30, ""), "")</f>
        <v/>
      </c>
      <c r="GQ30" s="47" t="str">
        <f t="shared" ca="1" si="202"/>
        <v/>
      </c>
      <c r="GR30" s="46" t="str">
        <f t="shared" ca="1" si="203"/>
        <v/>
      </c>
      <c r="GS30" s="436" t="str">
        <f t="shared" ca="1" si="219"/>
        <v/>
      </c>
      <c r="GT30" s="46" t="str">
        <f t="shared" ca="1" si="220"/>
        <v/>
      </c>
      <c r="GU30" s="48" t="str">
        <f t="shared" ca="1" si="230"/>
        <v/>
      </c>
      <c r="GV30" s="46" t="str">
        <f t="shared" ca="1" si="231"/>
        <v/>
      </c>
      <c r="GW30" s="427" t="str">
        <f t="shared" ca="1" si="204"/>
        <v/>
      </c>
      <c r="GX30" s="50" t="str">
        <f t="shared" ca="1" si="146"/>
        <v/>
      </c>
      <c r="GY30" s="47" t="str">
        <f t="shared" ca="1" si="205"/>
        <v/>
      </c>
      <c r="GZ30" s="432" t="str">
        <f t="shared" ca="1" si="206"/>
        <v/>
      </c>
      <c r="HA30" s="436">
        <f t="shared" ca="1" si="207"/>
        <v>523.25</v>
      </c>
      <c r="HB30" s="46">
        <f t="shared" ca="1" si="208"/>
        <v>2.1499999999999773</v>
      </c>
      <c r="HC30" s="48">
        <f t="shared" ca="1" si="221"/>
        <v>17.450000000000045</v>
      </c>
      <c r="HD30" s="46">
        <f t="shared" ca="1" si="222"/>
        <v>-5.4499999999999318</v>
      </c>
      <c r="HE30" s="269">
        <f t="shared" ca="1" si="147"/>
        <v>79.176857266634826</v>
      </c>
      <c r="HF30" s="46">
        <f t="shared" ca="1" si="148"/>
        <v>0.32533252388583483</v>
      </c>
      <c r="HG30" s="48">
        <f t="shared" ca="1" si="149"/>
        <v>2.6404895543292524</v>
      </c>
      <c r="HH30" s="432">
        <f t="shared" ca="1" si="150"/>
        <v>-0.82468011868734714</v>
      </c>
    </row>
    <row r="31" spans="1:216" x14ac:dyDescent="0.25">
      <c r="A31" s="58">
        <f t="shared" ca="1" si="131"/>
        <v>46631</v>
      </c>
      <c r="B31" s="6" t="str">
        <f ca="1">INDEX(MthRef[], MATCH(MONTH(Futs!$A31), MthRef[Mth], 0), 2)</f>
        <v>U</v>
      </c>
      <c r="C31" s="6">
        <f t="shared" ca="1" si="65"/>
        <v>2027</v>
      </c>
      <c r="D31" s="6" t="str">
        <f t="shared" ca="1" si="66"/>
        <v>Q327</v>
      </c>
      <c r="E31" s="6" t="str">
        <f t="shared" ca="1" si="132"/>
        <v>U7</v>
      </c>
      <c r="F31" s="10">
        <f ca="1">IFERROR(AVERAGE(_xll.BDP(F$18 &amp; $B31 &amp; RIGHT($C31, 1) &amp; " " &amp; "Comdty", "BID", "Fill=#N/A"), _xll.BDP(F$18 &amp; $B31 &amp; RIGHT($C31, 1) &amp; " " &amp; "Comdty", "ASK", "Fill=#N/A")), NA())</f>
        <v>72.650000000000006</v>
      </c>
      <c r="G31" s="10">
        <f ca="1">IFERROR(AVERAGE(_xll.BDP(G$18 &amp; $B31 &amp; RIGHT($C31, 1) &amp; " " &amp; "Comdty", "BID", "Fill=#N/A"), _xll.BDP(G$18 &amp; $B31 &amp; RIGHT($C31, 1) &amp; " " &amp; "Comdty", "ASK", "Fill=#N/A")), NA())</f>
        <v>78.284999999999997</v>
      </c>
      <c r="H31" s="10">
        <f ca="1">IFERROR(AVERAGE(_xll.BDP(H$18 &amp; $B31 &amp; RIGHT($C31, 1) &amp; " " &amp; "Comdty", "BID", "Fill=#N/A"), _xll.BDP(H$18 &amp; $B31 &amp; RIGHT($C31, 1) &amp; " " &amp; "Comdty", "ASK", "Fill=#N/A")), NA())</f>
        <v>960.75</v>
      </c>
      <c r="I31" s="10">
        <f ca="1">IFERROR(AVERAGE(_xll.BDP(I$18 &amp; $B31 &amp; RIGHT($C31, 1) &amp; " " &amp; "Comdty", "BID", "Fill=#N/A"), _xll.BDP(I$18 &amp; $B31 &amp; RIGHT($C31, 1) &amp; " " &amp; "Comdty", "ASK", "Fill=#N/A")), NA())</f>
        <v>339.90499999999997</v>
      </c>
      <c r="J31" s="10">
        <f ca="1">IFERROR(AVERAGE(_xll.BDP(J$18 &amp; $B31 &amp; RIGHT($C31, 1) &amp; " " &amp; "Comdty", "BID", "Fill=#N/A"), _xll.BDP(J$18 &amp; $B31 &amp; RIGHT($C31, 1) &amp; " " &amp; "Comdty", "ASK", "Fill=#N/A")), NA())</f>
        <v>264.02</v>
      </c>
      <c r="K31" s="10" t="e">
        <f ca="1">IFERROR(AVERAGE(_xll.BDP(K$18 &amp; $B31 &amp; RIGHT($C31, 2) &amp; " " &amp; "Comdty", "BID", "Fill=#N/A"), _xll.BDP(K$18 &amp; $B31 &amp; RIGHT($C31, 2) &amp; " " &amp; "Comdty", "ASK", "Fill=#N/A")), NA())</f>
        <v>#N/A</v>
      </c>
      <c r="L31" s="10" t="e">
        <f ca="1">IFERROR(AVERAGE(_xll.BDP(L$18 &amp; $B31 &amp; RIGHT($C31, 2) &amp; " " &amp; "Comdty", "BID", "Fill=#N/A"), _xll.BDP(L$18 &amp; $B31 &amp; RIGHT($C31, 2) &amp; " " &amp; "Comdty", "ASK", "Fill=#N/A")), NA())</f>
        <v>#N/A</v>
      </c>
      <c r="M31" s="10">
        <f ca="1">IFERROR(AVERAGE(_xll.BDP(M$18 &amp; $B31 &amp; RIGHT($C31, 2) &amp; " " &amp; "Comdty", "BID", "Fill=#N/A"), _xll.BDP(M$18 &amp; $B31 &amp; RIGHT($C31, 2) &amp; " " &amp; "Comdty", "ASK", "Fill=#N/A")), NA())</f>
        <v>526.15</v>
      </c>
      <c r="N31" s="10">
        <f ca="1">IFERROR(AVERAGE(_xll.BDP(N$18 &amp; $B30 &amp; RIGHT($C30, 1) &amp; N$18 &amp; $B31 &amp; RIGHT($C31, 1) &amp; " " &amp; "Comdty", "BID", "Fill=#N/A"), _xll.BDP(N$18 &amp; $B30 &amp; RIGHT($C30, 1) &amp; N$18 &amp; $B31 &amp; RIGHT($C31, 1) &amp; " " &amp; "Comdty", "ASK", "Fill=#N/A")), NA())</f>
        <v>0.53</v>
      </c>
      <c r="O31" s="10">
        <f ca="1">IFERROR(AVERAGE(_xll.BDP(O$18 &amp; $B30 &amp; RIGHT($C30, 1) &amp; O$18 &amp; $B31 &amp; RIGHT($C31, 1) &amp; " " &amp; "Comdty", "BID", "Fill=#N/A"), _xll.BDP(O$18 &amp; $B30 &amp; RIGHT($C30, 1) &amp; O$18 &amp; $B31 &amp; RIGHT($C31, 1) &amp; " " &amp; "Comdty", "ASK", "Fill=#N/A")), NA())</f>
        <v>0.60499999999999998</v>
      </c>
      <c r="P31" s="10">
        <f ca="1">IFERROR(AVERAGE(_xll.BDP(P$18 &amp; $B30 &amp; RIGHT($C30, 1) &amp; P$18 &amp; $B31 &amp; RIGHT($C31, 1) &amp; " " &amp; "Comdty", "BID", "Fill=#N/A"), _xll.BDP(P$18 &amp; $B30 &amp; RIGHT($C30, 1) &amp; P$18 &amp; $B31 &amp; RIGHT($C31, 1) &amp; " " &amp; "Comdty", "ASK", "Fill=#N/A")), NA())</f>
        <v>13.375</v>
      </c>
      <c r="Q31" s="10">
        <f ca="1">IFERROR(AVERAGE(_xll.BDP(Q$18 &amp; $B30 &amp; RIGHT($C30, 1) &amp; Q$18 &amp; $B31 &amp; RIGHT($C31, 1) &amp; " " &amp; "Comdty", "BID", "Fill=#N/A"), _xll.BDP(Q$18 &amp; $B30 &amp; RIGHT($C30, 1) &amp; Q$18 &amp; $B31 &amp; RIGHT($C31, 1) &amp; " " &amp; "Comdty", "ASK", "Fill=#N/A")), NA())</f>
        <v>3.89</v>
      </c>
      <c r="R31" s="10">
        <f ca="1">IFERROR(AVERAGE(_xll.BDP(R$18 &amp; $B30 &amp; RIGHT($C30, 1) &amp; R$18 &amp; $B31 &amp; RIGHT($C31, 1) &amp; " " &amp; "Comdty", "BID", "Fill=#N/A"), _xll.BDP(R$18 &amp; $B30 &amp; RIGHT($C30, 1) &amp; R$18 &amp; $B31 &amp; RIGHT($C31, 1) &amp; " " &amp; "Comdty", "ASK", "Fill=#N/A")), NA())</f>
        <v>6.5549999999999997</v>
      </c>
      <c r="S31" s="10" t="e">
        <f ca="1">IFERROR(AVERAGE(_xll.BDP(S$18 &amp; $B30 &amp; RIGHT($C30, 1) &amp; $B31 &amp; RIGHT($C31, 1) &amp; " " &amp; "Comdty", "BID", "Fill=#N/A"), _xll.BDP(S$18 &amp; $B30 &amp; RIGHT($C30, 1) &amp; $B31 &amp; RIGHT($C31, 1) &amp; " " &amp; "Comdty", "ASK", "Fill=#N/A")), NA())</f>
        <v>#N/A</v>
      </c>
      <c r="T31" s="10" t="e">
        <f ca="1">IFERROR(AVERAGE(_xll.BDP(T$18 &amp; $B30 &amp; RIGHT($C30, 1) &amp; $B31 &amp; RIGHT($C31, 1) &amp; " " &amp; "Comdty", "BID", "Fill=#N/A"), _xll.BDP(T$18 &amp; $B30 &amp; RIGHT($C30, 1) &amp; $B31 &amp; RIGHT($C31, 1) &amp; " " &amp; "Comdty", "ASK", "Fill=#N/A")), NA())</f>
        <v>#N/A</v>
      </c>
      <c r="U31" s="10">
        <f ca="1">IF($A31 &lt; Diagnostics!$B$3, N31, INDEX(ImpSprd[], MATCH(Futs!$C31, ImpSprd[Yr], 0), MATCH(U$18, ImpSprd[#Headers], 0)))</f>
        <v>0.53</v>
      </c>
      <c r="V31" s="10">
        <f ca="1">IF($A31 &lt; Diagnostics!$B$3, O31, INDEX(ImpSprd[], MATCH(Futs!$C31, ImpSprd[Yr], 0), MATCH(V$18, ImpSprd[#Headers], 0)))</f>
        <v>0.60499999999999998</v>
      </c>
      <c r="W31" s="10">
        <f ca="1">IF($A31 &lt; Diagnostics!$B$3, P31, INDEX(ImpSprd[], MATCH(Futs!$C31, ImpSprd[Yr], 0), MATCH(W$18, ImpSprd[#Headers], 0)))</f>
        <v>13.375</v>
      </c>
      <c r="X31" s="31">
        <f ca="1">INDEX(Expi[], MATCH($A31, Expi[Date], 0), MATCH(X$18, Expi[#Headers], 0))</f>
        <v>46651</v>
      </c>
      <c r="Y31" s="31">
        <f ca="1">INDEX(Expi[], MATCH($A31, Expi[Date], 0), MATCH(Y$18, Expi[#Headers], 0))</f>
        <v>46660</v>
      </c>
      <c r="Z31" s="31">
        <f ca="1">INDEX(Expi[], MATCH($A31, Expi[Date], 0), MATCH(Z$18, Expi[#Headers], 0))</f>
        <v>46640</v>
      </c>
      <c r="AA31" s="31">
        <f ca="1">INDEX(Expi[], MATCH($A31, Expi[Date], 0), MATCH(AA$18, Expi[#Headers], 0))</f>
        <v>46660</v>
      </c>
      <c r="AB31" s="31">
        <f ca="1">INDEX(Expi[], MATCH($A31, Expi[Date], 0), MATCH(AB$18, Expi[#Headers], 0))</f>
        <v>46660</v>
      </c>
      <c r="AC31" s="31">
        <f ca="1">INDEX(Expi[], MATCH($A31, Expi[Date], 0), MATCH(AC$18, Expi[#Headers], 0))</f>
        <v>46660</v>
      </c>
      <c r="AD31" s="7">
        <f ca="1">NETWORKDAYS($A31, EOMONTH($A31, 0), Hols[CME])</f>
        <v>22</v>
      </c>
      <c r="AE31" s="7">
        <f ca="1">NETWORKDAYS($A31, EOMONTH($A31, 0), Hols[ICE])</f>
        <v>22</v>
      </c>
      <c r="AF31" s="7">
        <f ca="1">NETWORKDAYS($A31, EOMONTH($A31, 0), Hols[ICE])</f>
        <v>22</v>
      </c>
      <c r="AG31" s="7">
        <f ca="1">NETWORKDAYS($A31, EOMONTH($A31, 0), Hols[CME])</f>
        <v>22</v>
      </c>
      <c r="AH31" s="7">
        <f ca="1">NETWORKDAYS($A31, EOMONTH($A31, 0), Hols[CME])</f>
        <v>22</v>
      </c>
      <c r="AI31" s="7">
        <f ca="1">NETWORKDAYS($A31, EOMONTH($A31, 0), Hols[ICE])</f>
        <v>22</v>
      </c>
      <c r="AJ31" s="7">
        <f ca="1">NETWORKDAYS($A31, X31, Hols[CME])</f>
        <v>15</v>
      </c>
      <c r="AK31" s="7">
        <f ca="1">NETWORKDAYS($A31, Y31, Hols[ICE]) - 1</f>
        <v>21</v>
      </c>
      <c r="AL31" s="7">
        <f ca="1">NETWORKDAYS($A31, Z31, Hols[ICE]) - 1</f>
        <v>7</v>
      </c>
      <c r="AM31" s="7">
        <f ca="1">NETWORKDAYS($A31, AA31, Hols[CME])</f>
        <v>22</v>
      </c>
      <c r="AN31" s="7">
        <f ca="1">NETWORKDAYS($A31, AB31, Hols[CME])</f>
        <v>22</v>
      </c>
      <c r="AO31" s="7">
        <f ca="1">NETWORKDAYS($A31, AC31, Hols[ICE]) - 1</f>
        <v>21</v>
      </c>
      <c r="AP31" s="10">
        <f t="shared" ca="1" si="67"/>
        <v>0.68181818181818177</v>
      </c>
      <c r="AQ31" s="10">
        <f t="shared" ca="1" si="68"/>
        <v>0.95454545454545459</v>
      </c>
      <c r="AR31" s="10">
        <f t="shared" ca="1" si="69"/>
        <v>0.31818181818181818</v>
      </c>
      <c r="AS31" s="10">
        <f t="shared" ca="1" si="70"/>
        <v>1</v>
      </c>
      <c r="AT31" s="10">
        <f t="shared" ca="1" si="71"/>
        <v>1</v>
      </c>
      <c r="AU31" s="10">
        <f t="shared" ca="1" si="71"/>
        <v>0.95454545454545459</v>
      </c>
      <c r="AV31" s="28">
        <f ca="1">IFERROR(AVERAGE(_xll.BDH(AV$18 &amp; $B31 &amp; RIGHT($C31, 1) &amp; " " &amp; "Comdty", "PX_SETTLE", AV$16, AV$16, "Fill=#N/A")), IFERROR(AVERAGE(_xll.BDH(AV$18 &amp; $B31 &amp; RIGHT($C31, 2) &amp; " " &amp; "Comdty", "PX_SETTLE", AV$16, AV$16, "Fill=#N/A")), NA()))</f>
        <v>72.84</v>
      </c>
      <c r="AW31" s="28">
        <f ca="1">IFERROR(AVERAGE(_xll.BDH(AW$18 &amp; $B31 &amp; RIGHT($C31, 1) &amp; " " &amp; "Comdty", "PX_SETTLE", AW$16, AW$16, "Fill=#N/A")), IFERROR(AVERAGE(_xll.BDH(AW$18 &amp; $B31 &amp; RIGHT($C31, 2) &amp; " " &amp; "Comdty", "PX_SETTLE", AW$16, AW$16, "Fill=#N/A")), NA()))</f>
        <v>78.510000000000005</v>
      </c>
      <c r="AX31" s="29">
        <f ca="1">IFERROR(AVERAGE(_xll.BDH(AX$18 &amp; $B31 &amp; RIGHT($C31, 2) &amp; " " &amp; "Comdty", "FAIR_VALUE_SNAPSHOT_AT_1430", AX$16, AX$16, "TIME_ZONE_OVERRIDE=13", "Fill=#N/A")), NA())</f>
        <v>965.38</v>
      </c>
      <c r="AY31" s="28">
        <f ca="1">IFERROR(AVERAGE(_xll.BDH(AY$18 &amp; $B31 &amp; RIGHT($C31, 1) &amp; " " &amp; "Comdty", "PX_SETTLE", AY$16, AY$16, "Fill=#N/A")), NA())</f>
        <v>341.11</v>
      </c>
      <c r="AZ31" s="28">
        <f ca="1">IFERROR(AVERAGE(_xll.BDH(AZ$18 &amp; $B31 &amp; RIGHT($C31, 1) &amp; " " &amp; "Comdty", "PX_SETTLE", AZ$16, AZ$16, "Fill=#N/A")), NA())</f>
        <v>263.98</v>
      </c>
      <c r="BA31" s="29" t="e">
        <f ca="1">IFERROR(AVERAGE(_xll.BDH(BA$18 &amp; $B31 &amp; RIGHT($C31, 2) &amp; " " &amp; "Comdty", "PX_SETTLE", BA$16, BA$16, "Fill=#N/A")), IFERROR(AVERAGE(_xll.BDH(BA$18 &amp; $B31 &amp; RIGHT($C31, 2) &amp; " " &amp; "Comdty", "PX_SETTLE", BA$16, BA$16, "Fill=#N/A")), NA()))</f>
        <v>#N/A</v>
      </c>
      <c r="BB31" s="29">
        <f ca="1">IFERROR(AVERAGE(_xll.BDH(BB$18 &amp; $B31 &amp; RIGHT($C31, 2) &amp; " " &amp; "Comdty", "PX_SETTLE", BB$16, BB$16, "Fill=#N/A")), IFERROR(AVERAGE(_xll.BDH(BB$18 &amp; $B31 &amp; RIGHT($C31, 2) &amp; " " &amp; "Comdty", "PX_SETTLE", BB$16, BB$16, "Fill=#N/A")), NA()))</f>
        <v>79.209999999999994</v>
      </c>
      <c r="BC31" s="29">
        <f ca="1">IFERROR(AVERAGE(_xll.BDH(BC$18 &amp; $B31 &amp; RIGHT($C31, 2) &amp; " " &amp; "Comdty", "PX_SETTLE", BC$16, BC$16, "Fill=#N/A")), IFERROR(AVERAGE(_xll.BDH(BC$18 &amp; $B31 &amp; RIGHT($C31, 2) &amp; " " &amp; "Comdty", "PX_SETTLE", BC$16, BC$16, "Fill=#N/A")), NA()))</f>
        <v>534</v>
      </c>
      <c r="BD31" s="29" cm="1">
        <f t="array" ref="BD31">_xll.BFXFORWARD("USDCNY", "11M", "MidOutright")</f>
        <v>6.5932374999999999</v>
      </c>
      <c r="BE31" s="109">
        <f t="shared" ca="1" si="209"/>
        <v>72.654999999999987</v>
      </c>
      <c r="BF31" s="46">
        <f t="shared" ca="1" si="72"/>
        <v>-0.18500000000001648</v>
      </c>
      <c r="BG31" s="47">
        <f t="shared" ca="1" si="151"/>
        <v>0.53000000000000114</v>
      </c>
      <c r="BH31" s="114">
        <f t="shared" ca="1" si="223"/>
        <v>-1.9999999999996021E-2</v>
      </c>
      <c r="BI31" s="110">
        <f t="shared" ca="1" si="224"/>
        <v>78.285000000000011</v>
      </c>
      <c r="BJ31" s="46">
        <f t="shared" ca="1" si="73"/>
        <v>-0.22499999999999432</v>
      </c>
      <c r="BK31" s="48">
        <f t="shared" ca="1" si="225"/>
        <v>0.60500000000000398</v>
      </c>
      <c r="BL31" s="114">
        <f t="shared" ca="1" si="226"/>
        <v>-1.4999999999986358E-2</v>
      </c>
      <c r="BM31" s="48">
        <f t="shared" ca="1" si="152"/>
        <v>960.625</v>
      </c>
      <c r="BN31" s="46">
        <f t="shared" ca="1" si="74"/>
        <v>-4.7549999999999955</v>
      </c>
      <c r="BO31" s="47">
        <f t="shared" ca="1" si="210"/>
        <v>13.375</v>
      </c>
      <c r="BP31" s="46">
        <f t="shared" ca="1" si="133"/>
        <v>-0.125</v>
      </c>
      <c r="BQ31" s="110">
        <f t="shared" ca="1" si="211"/>
        <v>340.19</v>
      </c>
      <c r="BR31" s="46">
        <f t="shared" ca="1" si="75"/>
        <v>-0.92000000000001592</v>
      </c>
      <c r="BS31" s="47">
        <f t="shared" ca="1" si="153"/>
        <v>3.8899999999999864</v>
      </c>
      <c r="BT31" s="114">
        <f t="shared" ca="1" si="154"/>
        <v>-2.9999999999972715E-2</v>
      </c>
      <c r="BU31" s="48">
        <f t="shared" ca="1" si="212"/>
        <v>263.65999999999997</v>
      </c>
      <c r="BV31" s="46">
        <f t="shared" ca="1" si="76"/>
        <v>-0.32000000000005002</v>
      </c>
      <c r="BW31" s="47">
        <f t="shared" ca="1" si="155"/>
        <v>6.5550000000000068</v>
      </c>
      <c r="BX31" s="46">
        <f t="shared" ca="1" si="156"/>
        <v>-0.22499999999996589</v>
      </c>
      <c r="BY31" s="140">
        <f t="shared" ca="1" si="134"/>
        <v>72.074090909090899</v>
      </c>
      <c r="BZ31" s="46">
        <f t="shared" ca="1" si="135"/>
        <v>-0.14545454545454622</v>
      </c>
      <c r="CA31" s="47">
        <f t="shared" ca="1" si="157"/>
        <v>0.43454545454545723</v>
      </c>
      <c r="CB31" s="46">
        <f t="shared" ca="1" si="158"/>
        <v>-3.0000000000010824E-2</v>
      </c>
      <c r="CC31" s="141">
        <f t="shared" ca="1" si="136"/>
        <v>77.311590909090924</v>
      </c>
      <c r="CD31" s="50">
        <f t="shared" ca="1" si="137"/>
        <v>-0.15840909090907346</v>
      </c>
      <c r="CE31" s="47">
        <f t="shared" ca="1" si="159"/>
        <v>0.44318181818181301</v>
      </c>
      <c r="CF31" s="46">
        <f t="shared" ca="1" si="160"/>
        <v>-3.5000000000010134E-2</v>
      </c>
      <c r="CG31" s="141">
        <f t="shared" ca="1" si="138"/>
        <v>952.86931818181824</v>
      </c>
      <c r="CH31" s="50">
        <f t="shared" ca="1" si="139"/>
        <v>-4.669772727272723</v>
      </c>
      <c r="CI31" s="47">
        <f t="shared" ca="1" si="161"/>
        <v>12.619318181818016</v>
      </c>
      <c r="CJ31" s="46">
        <f t="shared" ca="1" si="162"/>
        <v>-0.13068181818181746</v>
      </c>
      <c r="CK31" s="141">
        <f t="shared" ca="1" si="140"/>
        <v>336.46999999999997</v>
      </c>
      <c r="CL31" s="50">
        <f t="shared" ca="1" si="77"/>
        <v>-0.92000000000001592</v>
      </c>
      <c r="CM31" s="47">
        <f t="shared" ca="1" si="163"/>
        <v>3.7200000000000273</v>
      </c>
      <c r="CN31" s="46">
        <f t="shared" ca="1" si="164"/>
        <v>0</v>
      </c>
      <c r="CO31" s="141">
        <f t="shared" ca="1" si="141"/>
        <v>245.10999999999996</v>
      </c>
      <c r="CP31" s="50">
        <f t="shared" ca="1" si="78"/>
        <v>-3.0000000000029559E-2</v>
      </c>
      <c r="CQ31" s="47">
        <f t="shared" ca="1" si="165"/>
        <v>18.550000000000011</v>
      </c>
      <c r="CR31" s="46">
        <f t="shared" ca="1" si="166"/>
        <v>-0.29000000000002046</v>
      </c>
      <c r="CS31" s="109">
        <f t="shared" ca="1" si="79"/>
        <v>-5.6300000000000239</v>
      </c>
      <c r="CT31" s="46">
        <f t="shared" ca="1" si="80"/>
        <v>3.9999999999977831E-2</v>
      </c>
      <c r="CU31" s="47">
        <f t="shared" ca="1" si="167"/>
        <v>-7.5000000000002842E-2</v>
      </c>
      <c r="CV31" s="46">
        <f t="shared" ca="1" si="168"/>
        <v>1.5000000000014779E-2</v>
      </c>
      <c r="CW31" s="110">
        <f t="shared" ca="1" si="142"/>
        <v>-5.2375000000000256</v>
      </c>
      <c r="CX31" s="46">
        <f t="shared" ca="1" si="81"/>
        <v>1.2954545454527233E-2</v>
      </c>
      <c r="CY31" s="47">
        <f t="shared" ca="1" si="169"/>
        <v>-8.6363636363557816E-3</v>
      </c>
      <c r="CZ31" s="46">
        <f t="shared" ca="1" si="170"/>
        <v>4.9999999999993106E-3</v>
      </c>
      <c r="DA31" s="109">
        <f t="shared" ca="1" si="82"/>
        <v>50.657953020134201</v>
      </c>
      <c r="DB31" s="46">
        <f t="shared" ca="1" si="83"/>
        <v>-0.41325503355705206</v>
      </c>
      <c r="DC31" s="47">
        <f t="shared" ca="1" si="171"/>
        <v>1.1903020134228228</v>
      </c>
      <c r="DD31" s="46">
        <f t="shared" ca="1" si="233"/>
        <v>-1.7785234899464486E-3</v>
      </c>
      <c r="DE31" s="110">
        <f t="shared" ca="1" si="84"/>
        <v>64.594799999999978</v>
      </c>
      <c r="DF31" s="46">
        <f t="shared" ca="1" si="85"/>
        <v>-0.16140000000001237</v>
      </c>
      <c r="DG31" s="47">
        <f t="shared" ca="1" si="172"/>
        <v>1.0288000000000039</v>
      </c>
      <c r="DH31" s="46">
        <f t="shared" ca="1" si="173"/>
        <v>2.3999999999977928E-3</v>
      </c>
      <c r="DI31" s="110">
        <f t="shared" ca="1" si="86"/>
        <v>32.452199999999976</v>
      </c>
      <c r="DJ31" s="46">
        <f t="shared" ca="1" si="87"/>
        <v>9.0599999999973313E-2</v>
      </c>
      <c r="DK31" s="47">
        <f t="shared" ca="1" si="174"/>
        <v>2.1480999999999995</v>
      </c>
      <c r="DL31" s="46">
        <f t="shared" ca="1" si="175"/>
        <v>-7.9499999999999321E-2</v>
      </c>
      <c r="DM31" s="110">
        <f t="shared" ca="1" si="88"/>
        <v>70.224800000000002</v>
      </c>
      <c r="DN31" s="46">
        <f t="shared" ca="1" si="89"/>
        <v>-0.2013999999999902</v>
      </c>
      <c r="DO31" s="47">
        <f t="shared" ca="1" si="176"/>
        <v>1.1038000000000068</v>
      </c>
      <c r="DP31" s="47">
        <f t="shared" ca="1" si="177"/>
        <v>7.4000000000074562E-3</v>
      </c>
      <c r="DQ31" s="110">
        <f t="shared" ca="1" si="90"/>
        <v>38.0822</v>
      </c>
      <c r="DR31" s="46">
        <f t="shared" ca="1" si="91"/>
        <v>5.0599999999995482E-2</v>
      </c>
      <c r="DS31" s="47">
        <f t="shared" ca="1" si="178"/>
        <v>2.2231000000000023</v>
      </c>
      <c r="DT31" s="47">
        <f t="shared" ca="1" si="179"/>
        <v>-7.4499999999989658E-2</v>
      </c>
      <c r="DU31" s="109">
        <f t="shared" ca="1" si="92"/>
        <v>50.590330994508832</v>
      </c>
      <c r="DV31" s="46">
        <f t="shared" ca="1" si="93"/>
        <v>-0.46840604026847327</v>
      </c>
      <c r="DW31" s="47">
        <f t="shared" ca="1" si="180"/>
        <v>1.2506863941427611</v>
      </c>
      <c r="DX31" s="47">
        <f t="shared" ca="1" si="181"/>
        <v>1.7458816351444084E-2</v>
      </c>
      <c r="DY31" s="110">
        <f t="shared" ca="1" si="94"/>
        <v>64.005809090909068</v>
      </c>
      <c r="DZ31" s="46">
        <f t="shared" ca="1" si="95"/>
        <v>-0.22799090909093322</v>
      </c>
      <c r="EA31" s="47">
        <f t="shared" ca="1" si="182"/>
        <v>1.1192181818181837</v>
      </c>
      <c r="EB31" s="47">
        <f t="shared" ca="1" si="183"/>
        <v>3.5000000000010134E-2</v>
      </c>
      <c r="EC31" s="110">
        <f t="shared" ca="1" si="96"/>
        <v>25.634609090909066</v>
      </c>
      <c r="ED31" s="46">
        <f t="shared" ca="1" si="97"/>
        <v>0.14580909090906105</v>
      </c>
      <c r="EE31" s="47">
        <f t="shared" ca="1" si="184"/>
        <v>7.3478181818181838</v>
      </c>
      <c r="EF31" s="47">
        <f t="shared" ca="1" si="185"/>
        <v>-8.6799999999998462E-2</v>
      </c>
      <c r="EG31" s="110">
        <f t="shared" ca="1" si="98"/>
        <v>69.243309090909094</v>
      </c>
      <c r="EH31" s="46">
        <f t="shared" ca="1" si="99"/>
        <v>-0.24094545454546046</v>
      </c>
      <c r="EI31" s="47">
        <f t="shared" ca="1" si="186"/>
        <v>1.1278545454545394</v>
      </c>
      <c r="EJ31" s="47">
        <f t="shared" ca="1" si="187"/>
        <v>3.0000000000010824E-2</v>
      </c>
      <c r="EK31" s="110">
        <f t="shared" ca="1" si="100"/>
        <v>30.872109090909092</v>
      </c>
      <c r="EL31" s="46">
        <f t="shared" ca="1" si="101"/>
        <v>0.13285454545453382</v>
      </c>
      <c r="EM31" s="47">
        <f t="shared" ca="1" si="188"/>
        <v>7.3564545454545396</v>
      </c>
      <c r="EN31" s="47">
        <f t="shared" ca="1" si="189"/>
        <v>-9.1799999999997772E-2</v>
      </c>
      <c r="EO31" s="109">
        <f t="shared" ca="1" si="102"/>
        <v>33.182968999680384</v>
      </c>
      <c r="EP31" s="46">
        <f t="shared" ca="1" si="103"/>
        <v>0.59965484180247541</v>
      </c>
      <c r="EQ31" s="47">
        <f t="shared" ca="1" si="190"/>
        <v>-0.38452860338765049</v>
      </c>
      <c r="ER31" s="47">
        <f t="shared" ca="1" si="191"/>
        <v>9.9488654522483788E-3</v>
      </c>
      <c r="ES31" s="110">
        <f t="shared" ca="1" si="104"/>
        <v>31.941614515238655</v>
      </c>
      <c r="ET31" s="46">
        <f t="shared" ca="1" si="105"/>
        <v>0.5724169789941429</v>
      </c>
      <c r="EU31" s="47">
        <f t="shared" ca="1" si="192"/>
        <v>-0.31301955315370833</v>
      </c>
      <c r="EV31" s="47">
        <f t="shared" ca="1" si="193"/>
        <v>4.1764722972776447E-2</v>
      </c>
      <c r="EW31" s="109">
        <f t="shared" ca="1" si="106"/>
        <v>-76.53000000000003</v>
      </c>
      <c r="EX31" s="46">
        <f t="shared" ca="1" si="107"/>
        <v>0.59999999999996589</v>
      </c>
      <c r="EY31" s="47">
        <f t="shared" ca="1" si="194"/>
        <v>2.6650000000000205</v>
      </c>
      <c r="EZ31" s="47">
        <f t="shared" ca="1" si="195"/>
        <v>-0.19499999999999318</v>
      </c>
      <c r="FA31" s="110">
        <f t="shared" ca="1" si="108"/>
        <v>-91.360000000000014</v>
      </c>
      <c r="FB31" s="46">
        <f t="shared" ca="1" si="109"/>
        <v>0.88999999999998636</v>
      </c>
      <c r="FC31" s="47">
        <f t="shared" ca="1" si="196"/>
        <v>14.829999999999984</v>
      </c>
      <c r="FD31" s="47">
        <f t="shared" ca="1" si="197"/>
        <v>-0.29000000000002046</v>
      </c>
      <c r="FE31" s="109">
        <f t="shared" ca="1" si="110"/>
        <v>54.153500000000001</v>
      </c>
      <c r="FF31" s="46">
        <f t="shared" ca="1" si="111"/>
        <v>-7.5399999999997358E-2</v>
      </c>
      <c r="FG31" s="110">
        <f t="shared" ca="1" si="112"/>
        <v>48.796399999999998</v>
      </c>
      <c r="FH31" s="46">
        <f t="shared" ca="1" si="113"/>
        <v>-3.3399999999999742E-2</v>
      </c>
      <c r="FI31" s="110">
        <f t="shared" ca="1" si="114"/>
        <v>48.523499999999977</v>
      </c>
      <c r="FJ31" s="46">
        <f t="shared" ca="1" si="115"/>
        <v>-3.5400000000019527E-2</v>
      </c>
      <c r="FK31" s="110">
        <f t="shared" ca="1" si="116"/>
        <v>43.166399999999982</v>
      </c>
      <c r="FL31" s="46">
        <f t="shared" ca="1" si="117"/>
        <v>6.5999999999780887E-3</v>
      </c>
      <c r="FM31" s="110">
        <f t="shared" ca="1" si="118"/>
        <v>50.057709090909093</v>
      </c>
      <c r="FN31" s="46">
        <f t="shared" ca="1" si="119"/>
        <v>-5.404545454546332E-2</v>
      </c>
      <c r="FO31" s="110">
        <f t="shared" ca="1" si="120"/>
        <v>43.66250909090909</v>
      </c>
      <c r="FP31" s="46">
        <f t="shared" ca="1" si="121"/>
        <v>8.2545454545357166E-3</v>
      </c>
      <c r="FQ31" s="110">
        <f t="shared" ca="1" si="122"/>
        <v>44.820209090909067</v>
      </c>
      <c r="FR31" s="46">
        <f t="shared" ca="1" si="123"/>
        <v>-4.1090909090936087E-2</v>
      </c>
      <c r="FS31" s="110">
        <f t="shared" ca="1" si="124"/>
        <v>38.425009090909072</v>
      </c>
      <c r="FT31" s="111">
        <f t="shared" ca="1" si="125"/>
        <v>2.1209090909062964E-2</v>
      </c>
      <c r="FU31" s="109" t="str">
        <f t="shared" ca="1" si="232"/>
        <v/>
      </c>
      <c r="FV31" s="46" t="str">
        <f t="shared" ca="1" si="213"/>
        <v/>
      </c>
      <c r="FW31" s="48" t="str">
        <f t="shared" ca="1" si="227"/>
        <v/>
      </c>
      <c r="FX31" s="114" t="str">
        <f t="shared" ca="1" si="228"/>
        <v/>
      </c>
      <c r="FY31" s="110" t="str">
        <f t="shared" ca="1" si="214"/>
        <v/>
      </c>
      <c r="FZ31" s="46" t="str">
        <f t="shared" ca="1" si="215"/>
        <v/>
      </c>
      <c r="GA31" s="47" t="str">
        <f t="shared" ca="1" si="216"/>
        <v/>
      </c>
      <c r="GB31" s="46" t="str">
        <f t="shared" ca="1" si="229"/>
        <v/>
      </c>
      <c r="GC31" s="110" t="str">
        <f ca="1">IFERROR(IF(AND(ISNUMBER($FU31), ISNUMBER(Crd!$X31)), $FU31 - Crd!$X31, ""), "")</f>
        <v/>
      </c>
      <c r="GD31" s="46" t="str">
        <f ca="1">IFERROR(IF(AND(ISNUMBER($FV31), ISNUMBER(Crd!$Y31)), $FV31 - Crd!$Y31, ""), "")</f>
        <v/>
      </c>
      <c r="GE31" s="47" t="str">
        <f t="shared" ca="1" si="217"/>
        <v/>
      </c>
      <c r="GF31" s="46" t="str">
        <f t="shared" ca="1" si="218"/>
        <v/>
      </c>
      <c r="GG31" s="141" t="str">
        <f t="shared" ca="1" si="198"/>
        <v/>
      </c>
      <c r="GH31" s="50" t="str">
        <f t="shared" ca="1" si="199"/>
        <v/>
      </c>
      <c r="GI31" s="47" t="str">
        <f t="shared" ca="1" si="144"/>
        <v/>
      </c>
      <c r="GJ31" s="46" t="str">
        <f t="shared" ca="1" si="145"/>
        <v/>
      </c>
      <c r="GK31" s="110" t="str">
        <f t="shared" ca="1" si="127"/>
        <v/>
      </c>
      <c r="GL31" s="46" t="str">
        <f t="shared" ca="1" si="128"/>
        <v/>
      </c>
      <c r="GM31" s="47" t="str">
        <f t="shared" ca="1" si="200"/>
        <v/>
      </c>
      <c r="GN31" s="46" t="str">
        <f t="shared" ca="1" si="201"/>
        <v/>
      </c>
      <c r="GO31" s="110" t="str">
        <f ca="1">IFERROR(IF(AND(ISNUMBER($GG31), ISNUMBER(Crd!$X31)), $GG31 - Crd!$X31, ""), "")</f>
        <v/>
      </c>
      <c r="GP31" s="46" t="str">
        <f ca="1">IFERROR(IF(AND(ISNUMBER($GH31), ISNUMBER(Crd!$Y31)), $GH31 - Crd!$Y31, ""), "")</f>
        <v/>
      </c>
      <c r="GQ31" s="47" t="str">
        <f t="shared" ca="1" si="202"/>
        <v/>
      </c>
      <c r="GR31" s="46" t="str">
        <f t="shared" ca="1" si="203"/>
        <v/>
      </c>
      <c r="GS31" s="436" t="str">
        <f t="shared" ca="1" si="219"/>
        <v/>
      </c>
      <c r="GT31" s="46" t="str">
        <f t="shared" ca="1" si="220"/>
        <v/>
      </c>
      <c r="GU31" s="48" t="str">
        <f t="shared" ca="1" si="230"/>
        <v/>
      </c>
      <c r="GV31" s="46" t="str">
        <f t="shared" ca="1" si="231"/>
        <v/>
      </c>
      <c r="GW31" s="427" t="str">
        <f t="shared" ca="1" si="204"/>
        <v/>
      </c>
      <c r="GX31" s="50" t="str">
        <f t="shared" ca="1" si="146"/>
        <v/>
      </c>
      <c r="GY31" s="47" t="str">
        <f t="shared" ca="1" si="205"/>
        <v/>
      </c>
      <c r="GZ31" s="432" t="str">
        <f t="shared" ca="1" si="206"/>
        <v/>
      </c>
      <c r="HA31" s="436">
        <f t="shared" ca="1" si="207"/>
        <v>526.15</v>
      </c>
      <c r="HB31" s="46">
        <f t="shared" ca="1" si="208"/>
        <v>-7.8500000000000227</v>
      </c>
      <c r="HC31" s="48">
        <f t="shared" ca="1" si="221"/>
        <v>-2.8999999999999773</v>
      </c>
      <c r="HD31" s="46">
        <f t="shared" ca="1" si="222"/>
        <v>10</v>
      </c>
      <c r="HE31" s="269">
        <f t="shared" ca="1" si="147"/>
        <v>79.801463241692716</v>
      </c>
      <c r="HF31" s="46">
        <f t="shared" ca="1" si="148"/>
        <v>-1.1906138676181501</v>
      </c>
      <c r="HG31" s="48">
        <f t="shared" ca="1" si="149"/>
        <v>-0.43984461351498066</v>
      </c>
      <c r="HH31" s="432">
        <f t="shared" ca="1" si="150"/>
        <v>1.5167055638447728</v>
      </c>
    </row>
    <row r="32" spans="1:216" x14ac:dyDescent="0.25">
      <c r="A32" s="58">
        <f t="shared" ca="1" si="131"/>
        <v>46661</v>
      </c>
      <c r="B32" s="6" t="str">
        <f ca="1">INDEX(MthRef[], MATCH(MONTH(Futs!$A32), MthRef[Mth], 0), 2)</f>
        <v>V</v>
      </c>
      <c r="C32" s="6">
        <f t="shared" ca="1" si="65"/>
        <v>2027</v>
      </c>
      <c r="D32" s="6" t="str">
        <f t="shared" ca="1" si="66"/>
        <v>Q427</v>
      </c>
      <c r="E32" s="6" t="str">
        <f t="shared" ca="1" si="132"/>
        <v>V7</v>
      </c>
      <c r="F32" s="10">
        <f ca="1">IFERROR(AVERAGE(_xll.BDP(F$18 &amp; $B32 &amp; RIGHT($C32, 1) &amp; " " &amp; "Comdty", "BID", "Fill=#N/A"), _xll.BDP(F$18 &amp; $B32 &amp; RIGHT($C32, 1) &amp; " " &amp; "Comdty", "ASK", "Fill=#N/A")), NA())</f>
        <v>72.14</v>
      </c>
      <c r="G32" s="10">
        <f ca="1">IFERROR(AVERAGE(_xll.BDP(G$18 &amp; $B32 &amp; RIGHT($C32, 1) &amp; " " &amp; "Comdty", "BID", "Fill=#N/A"), _xll.BDP(G$18 &amp; $B32 &amp; RIGHT($C32, 1) &amp; " " &amp; "Comdty", "ASK", "Fill=#N/A")), NA())</f>
        <v>77.775000000000006</v>
      </c>
      <c r="H32" s="10">
        <f ca="1">IFERROR(AVERAGE(_xll.BDP(H$18 &amp; $B32 &amp; RIGHT($C32, 1) &amp; " " &amp; "Comdty", "BID", "Fill=#N/A"), _xll.BDP(H$18 &amp; $B32 &amp; RIGHT($C32, 1) &amp; " " &amp; "Comdty", "ASK", "Fill=#N/A")), NA())</f>
        <v>949.25</v>
      </c>
      <c r="I32" s="10">
        <f ca="1">IFERROR(AVERAGE(_xll.BDP(I$18 &amp; $B32 &amp; RIGHT($C32, 1) &amp; " " &amp; "Comdty", "BID", "Fill=#N/A"), _xll.BDP(I$18 &amp; $B32 &amp; RIGHT($C32, 1) &amp; " " &amp; "Comdty", "ASK", "Fill=#N/A")), NA())</f>
        <v>336.27499999999998</v>
      </c>
      <c r="J32" s="10">
        <f ca="1">IFERROR(AVERAGE(_xll.BDP(J$18 &amp; $B32 &amp; RIGHT($C32, 1) &amp; " " &amp; "Comdty", "BID", "Fill=#N/A"), _xll.BDP(J$18 &amp; $B32 &amp; RIGHT($C32, 1) &amp; " " &amp; "Comdty", "ASK", "Fill=#N/A")), NA())</f>
        <v>245.13499999999999</v>
      </c>
      <c r="K32" s="10" t="e">
        <f ca="1">IFERROR(AVERAGE(_xll.BDP(K$18 &amp; $B32 &amp; RIGHT($C32, 2) &amp; " " &amp; "Comdty", "BID", "Fill=#N/A"), _xll.BDP(K$18 &amp; $B32 &amp; RIGHT($C32, 2) &amp; " " &amp; "Comdty", "ASK", "Fill=#N/A")), NA())</f>
        <v>#N/A</v>
      </c>
      <c r="L32" s="10" t="e">
        <f ca="1">IFERROR(AVERAGE(_xll.BDP(L$18 &amp; $B32 &amp; RIGHT($C32, 2) &amp; " " &amp; "Comdty", "BID", "Fill=#N/A"), _xll.BDP(L$18 &amp; $B32 &amp; RIGHT($C32, 2) &amp; " " &amp; "Comdty", "ASK", "Fill=#N/A")), NA())</f>
        <v>#N/A</v>
      </c>
      <c r="M32" s="10" t="e">
        <f ca="1">IFERROR(AVERAGE(_xll.BDP(M$18 &amp; $B32 &amp; RIGHT($C32, 2) &amp; " " &amp; "Comdty", "BID", "Fill=#N/A"), _xll.BDP(M$18 &amp; $B32 &amp; RIGHT($C32, 2) &amp; " " &amp; "Comdty", "ASK", "Fill=#N/A")), NA())</f>
        <v>#N/A</v>
      </c>
      <c r="N32" s="10">
        <f ca="1">IFERROR(AVERAGE(_xll.BDP(N$18 &amp; $B31 &amp; RIGHT($C31, 1) &amp; N$18 &amp; $B32 &amp; RIGHT($C32, 1) &amp; " " &amp; "Comdty", "BID", "Fill=#N/A"), _xll.BDP(N$18 &amp; $B31 &amp; RIGHT($C31, 1) &amp; N$18 &amp; $B32 &amp; RIGHT($C32, 1) &amp; " " &amp; "Comdty", "ASK", "Fill=#N/A")), NA())</f>
        <v>0.45999999999999996</v>
      </c>
      <c r="O32" s="10">
        <f ca="1">IFERROR(AVERAGE(_xll.BDP(O$18 &amp; $B31 &amp; RIGHT($C31, 1) &amp; O$18 &amp; $B32 &amp; RIGHT($C32, 1) &amp; " " &amp; "Comdty", "BID", "Fill=#N/A"), _xll.BDP(O$18 &amp; $B31 &amp; RIGHT($C31, 1) &amp; O$18 &amp; $B32 &amp; RIGHT($C32, 1) &amp; " " &amp; "Comdty", "ASK", "Fill=#N/A")), NA())</f>
        <v>0.51</v>
      </c>
      <c r="P32" s="10">
        <f ca="1">IFERROR(AVERAGE(_xll.BDP(P$18 &amp; $B31 &amp; RIGHT($C31, 1) &amp; P$18 &amp; $B32 &amp; RIGHT($C32, 1) &amp; " " &amp; "Comdty", "BID", "Fill=#N/A"), _xll.BDP(P$18 &amp; $B31 &amp; RIGHT($C31, 1) &amp; P$18 &amp; $B32 &amp; RIGHT($C32, 1) &amp; " " &amp; "Comdty", "ASK", "Fill=#N/A")), NA())</f>
        <v>11.375</v>
      </c>
      <c r="Q32" s="10">
        <f ca="1">IFERROR(AVERAGE(_xll.BDP(Q$18 &amp; $B31 &amp; RIGHT($C31, 1) &amp; Q$18 &amp; $B32 &amp; RIGHT($C32, 1) &amp; " " &amp; "Comdty", "BID", "Fill=#N/A"), _xll.BDP(Q$18 &amp; $B31 &amp; RIGHT($C31, 1) &amp; Q$18 &amp; $B32 &amp; RIGHT($C32, 1) &amp; " " &amp; "Comdty", "ASK", "Fill=#N/A")), NA())</f>
        <v>3.7199999999999998</v>
      </c>
      <c r="R32" s="10">
        <f ca="1">IFERROR(AVERAGE(_xll.BDP(R$18 &amp; $B31 &amp; RIGHT($C31, 1) &amp; R$18 &amp; $B32 &amp; RIGHT($C32, 1) &amp; " " &amp; "Comdty", "BID", "Fill=#N/A"), _xll.BDP(R$18 &amp; $B31 &amp; RIGHT($C31, 1) &amp; R$18 &amp; $B32 &amp; RIGHT($C32, 1) &amp; " " &amp; "Comdty", "ASK", "Fill=#N/A")), NA())</f>
        <v>18.55</v>
      </c>
      <c r="S32" s="10" t="e">
        <f ca="1">IFERROR(AVERAGE(_xll.BDP(S$18 &amp; $B31 &amp; RIGHT($C31, 1) &amp; $B32 &amp; RIGHT($C32, 1) &amp; " " &amp; "Comdty", "BID", "Fill=#N/A"), _xll.BDP(S$18 &amp; $B31 &amp; RIGHT($C31, 1) &amp; $B32 &amp; RIGHT($C32, 1) &amp; " " &amp; "Comdty", "ASK", "Fill=#N/A")), NA())</f>
        <v>#N/A</v>
      </c>
      <c r="T32" s="10" t="e">
        <f ca="1">IFERROR(AVERAGE(_xll.BDP(T$18 &amp; $B31 &amp; RIGHT($C31, 1) &amp; $B32 &amp; RIGHT($C32, 1) &amp; " " &amp; "Comdty", "BID", "Fill=#N/A"), _xll.BDP(T$18 &amp; $B31 &amp; RIGHT($C31, 1) &amp; $B32 &amp; RIGHT($C32, 1) &amp; " " &amp; "Comdty", "ASK", "Fill=#N/A")), NA())</f>
        <v>#N/A</v>
      </c>
      <c r="U32" s="10">
        <f ca="1">IF($A32 &lt; Diagnostics!$B$3, N32, INDEX(ImpSprd[], MATCH(Futs!$C32, ImpSprd[Yr], 0), MATCH(U$18, ImpSprd[#Headers], 0)))</f>
        <v>0.45999999999999996</v>
      </c>
      <c r="V32" s="10">
        <f ca="1">IF($A32 &lt; Diagnostics!$B$3, O32, INDEX(ImpSprd[], MATCH(Futs!$C32, ImpSprd[Yr], 0), MATCH(V$18, ImpSprd[#Headers], 0)))</f>
        <v>0.51</v>
      </c>
      <c r="W32" s="10">
        <f ca="1">IF($A32 &lt; Diagnostics!$B$3, P32, INDEX(ImpSprd[], MATCH(Futs!$C32, ImpSprd[Yr], 0), MATCH(W$18, ImpSprd[#Headers], 0)))</f>
        <v>11.375</v>
      </c>
      <c r="X32" s="31">
        <f ca="1">INDEX(Expi[], MATCH($A32, Expi[Date], 0), MATCH(X$18, Expi[#Headers], 0))</f>
        <v>46680</v>
      </c>
      <c r="Y32" s="31">
        <f ca="1">INDEX(Expi[], MATCH($A32, Expi[Date], 0), MATCH(Y$18, Expi[#Headers], 0))</f>
        <v>46689</v>
      </c>
      <c r="Z32" s="31">
        <f ca="1">INDEX(Expi[], MATCH($A32, Expi[Date], 0), MATCH(Z$18, Expi[#Headers], 0))</f>
        <v>46672</v>
      </c>
      <c r="AA32" s="31">
        <f ca="1">INDEX(Expi[], MATCH($A32, Expi[Date], 0), MATCH(AA$18, Expi[#Headers], 0))</f>
        <v>46689</v>
      </c>
      <c r="AB32" s="31">
        <f ca="1">INDEX(Expi[], MATCH($A32, Expi[Date], 0), MATCH(AB$18, Expi[#Headers], 0))</f>
        <v>46689</v>
      </c>
      <c r="AC32" s="31">
        <f ca="1">INDEX(Expi[], MATCH($A32, Expi[Date], 0), MATCH(AC$18, Expi[#Headers], 0))</f>
        <v>46689</v>
      </c>
      <c r="AD32" s="7">
        <f ca="1">NETWORKDAYS($A32, EOMONTH($A32, 0), Hols[CME])</f>
        <v>21</v>
      </c>
      <c r="AE32" s="7">
        <f ca="1">NETWORKDAYS($A32, EOMONTH($A32, 0), Hols[ICE])</f>
        <v>21</v>
      </c>
      <c r="AF32" s="7">
        <f ca="1">NETWORKDAYS($A32, EOMONTH($A32, 0), Hols[ICE])</f>
        <v>21</v>
      </c>
      <c r="AG32" s="7">
        <f ca="1">NETWORKDAYS($A32, EOMONTH($A32, 0), Hols[CME])</f>
        <v>21</v>
      </c>
      <c r="AH32" s="7">
        <f ca="1">NETWORKDAYS($A32, EOMONTH($A32, 0), Hols[CME])</f>
        <v>21</v>
      </c>
      <c r="AI32" s="7">
        <f ca="1">NETWORKDAYS($A32, EOMONTH($A32, 0), Hols[ICE])</f>
        <v>21</v>
      </c>
      <c r="AJ32" s="7">
        <f ca="1">NETWORKDAYS($A32, X32, Hols[CME])</f>
        <v>14</v>
      </c>
      <c r="AK32" s="7">
        <f ca="1">NETWORKDAYS($A32, Y32, Hols[ICE]) - 1</f>
        <v>20</v>
      </c>
      <c r="AL32" s="7">
        <f ca="1">NETWORKDAYS($A32, Z32, Hols[ICE]) - 1</f>
        <v>7</v>
      </c>
      <c r="AM32" s="7">
        <f ca="1">NETWORKDAYS($A32, AA32, Hols[CME])</f>
        <v>21</v>
      </c>
      <c r="AN32" s="7">
        <f ca="1">NETWORKDAYS($A32, AB32, Hols[CME])</f>
        <v>21</v>
      </c>
      <c r="AO32" s="7">
        <f ca="1">NETWORKDAYS($A32, AC32, Hols[ICE]) - 1</f>
        <v>20</v>
      </c>
      <c r="AP32" s="10">
        <f t="shared" ca="1" si="67"/>
        <v>0.66666666666666663</v>
      </c>
      <c r="AQ32" s="10">
        <f t="shared" ca="1" si="68"/>
        <v>0.95238095238095233</v>
      </c>
      <c r="AR32" s="10">
        <f t="shared" ca="1" si="69"/>
        <v>0.33333333333333331</v>
      </c>
      <c r="AS32" s="10">
        <f t="shared" ca="1" si="70"/>
        <v>1</v>
      </c>
      <c r="AT32" s="10">
        <f t="shared" ca="1" si="71"/>
        <v>1</v>
      </c>
      <c r="AU32" s="10">
        <f t="shared" ca="1" si="71"/>
        <v>0.95238095238095233</v>
      </c>
      <c r="AV32" s="28">
        <f ca="1">IFERROR(AVERAGE(_xll.BDH(AV$18 &amp; $B32 &amp; RIGHT($C32, 1) &amp; " " &amp; "Comdty", "PX_SETTLE", AV$16, AV$16, "Fill=#N/A")), IFERROR(AVERAGE(_xll.BDH(AV$18 &amp; $B32 &amp; RIGHT($C32, 2) &amp; " " &amp; "Comdty", "PX_SETTLE", AV$16, AV$16, "Fill=#N/A")), NA()))</f>
        <v>72.349999999999994</v>
      </c>
      <c r="AW32" s="28">
        <f ca="1">IFERROR(AVERAGE(_xll.BDH(AW$18 &amp; $B32 &amp; RIGHT($C32, 1) &amp; " " &amp; "Comdty", "PX_SETTLE", AW$16, AW$16, "Fill=#N/A")), IFERROR(AVERAGE(_xll.BDH(AW$18 &amp; $B32 &amp; RIGHT($C32, 2) &amp; " " &amp; "Comdty", "PX_SETTLE", AW$16, AW$16, "Fill=#N/A")), NA()))</f>
        <v>77.97</v>
      </c>
      <c r="AX32" s="29">
        <f ca="1">IFERROR(AVERAGE(_xll.BDH(AX$18 &amp; $B32 &amp; RIGHT($C32, 2) &amp; " " &amp; "Comdty", "FAIR_VALUE_SNAPSHOT_AT_1430", AX$16, AX$16, "TIME_ZONE_OVERRIDE=13", "Fill=#N/A")), NA())</f>
        <v>953.88</v>
      </c>
      <c r="AY32" s="28">
        <f ca="1">IFERROR(AVERAGE(_xll.BDH(AY$18 &amp; $B32 &amp; RIGHT($C32, 1) &amp; " " &amp; "Comdty", "PX_SETTLE", AY$16, AY$16, "Fill=#N/A")), NA())</f>
        <v>337.39</v>
      </c>
      <c r="AZ32" s="28">
        <f ca="1">IFERROR(AVERAGE(_xll.BDH(AZ$18 &amp; $B32 &amp; RIGHT($C32, 1) &amp; " " &amp; "Comdty", "PX_SETTLE", AZ$16, AZ$16, "Fill=#N/A")), NA())</f>
        <v>245.14</v>
      </c>
      <c r="BA32" s="29" t="e">
        <f ca="1">IFERROR(AVERAGE(_xll.BDH(BA$18 &amp; $B32 &amp; RIGHT($C32, 2) &amp; " " &amp; "Comdty", "PX_SETTLE", BA$16, BA$16, "Fill=#N/A")), IFERROR(AVERAGE(_xll.BDH(BA$18 &amp; $B32 &amp; RIGHT($C32, 2) &amp; " " &amp; "Comdty", "PX_SETTLE", BA$16, BA$16, "Fill=#N/A")), NA()))</f>
        <v>#N/A</v>
      </c>
      <c r="BB32" s="29">
        <f ca="1">IFERROR(AVERAGE(_xll.BDH(BB$18 &amp; $B32 &amp; RIGHT($C32, 2) &amp; " " &amp; "Comdty", "PX_SETTLE", BB$16, BB$16, "Fill=#N/A")), IFERROR(AVERAGE(_xll.BDH(BB$18 &amp; $B32 &amp; RIGHT($C32, 2) &amp; " " &amp; "Comdty", "PX_SETTLE", BB$16, BB$16, "Fill=#N/A")), NA()))</f>
        <v>78.67</v>
      </c>
      <c r="BC32" s="29" t="e">
        <f ca="1">IFERROR(AVERAGE(_xll.BDH(BC$18 &amp; $B32 &amp; RIGHT($C32, 2) &amp; " " &amp; "Comdty", "PX_SETTLE", BC$16, BC$16, "Fill=#N/A")), IFERROR(AVERAGE(_xll.BDH(BC$18 &amp; $B32 &amp; RIGHT($C32, 2) &amp; " " &amp; "Comdty", "PX_SETTLE", BC$16, BC$16, "Fill=#N/A")), NA()))</f>
        <v>#N/A</v>
      </c>
      <c r="BD32" s="29" cm="1">
        <f t="array" ref="BD32">_xll.BFXFORWARD("USDCNY", "12M", "MidOutright")</f>
        <v>6.5751999999999997</v>
      </c>
      <c r="BE32" s="109">
        <f t="shared" ca="1" si="209"/>
        <v>72.194999999999993</v>
      </c>
      <c r="BF32" s="46">
        <f t="shared" ca="1" si="72"/>
        <v>-0.15500000000000114</v>
      </c>
      <c r="BG32" s="47">
        <f t="shared" ca="1" si="151"/>
        <v>0.45999999999999375</v>
      </c>
      <c r="BH32" s="114">
        <f t="shared" ca="1" si="223"/>
        <v>-3.0000000000015348E-2</v>
      </c>
      <c r="BI32" s="110">
        <f t="shared" ca="1" si="224"/>
        <v>77.775000000000006</v>
      </c>
      <c r="BJ32" s="46">
        <f t="shared" ca="1" si="73"/>
        <v>-0.19499999999999318</v>
      </c>
      <c r="BK32" s="48">
        <f t="shared" ca="1" si="225"/>
        <v>0.51000000000000512</v>
      </c>
      <c r="BL32" s="114">
        <f t="shared" ca="1" si="226"/>
        <v>-3.0000000000001137E-2</v>
      </c>
      <c r="BM32" s="48">
        <f t="shared" ca="1" si="152"/>
        <v>949.25</v>
      </c>
      <c r="BN32" s="46">
        <f t="shared" ca="1" si="74"/>
        <v>-4.6299999999999955</v>
      </c>
      <c r="BO32" s="47">
        <f t="shared" ca="1" si="210"/>
        <v>11.375</v>
      </c>
      <c r="BP32" s="46">
        <f t="shared" ca="1" si="133"/>
        <v>-0.125</v>
      </c>
      <c r="BQ32" s="110">
        <f t="shared" ca="1" si="211"/>
        <v>336.46999999999997</v>
      </c>
      <c r="BR32" s="46">
        <f t="shared" ca="1" si="75"/>
        <v>-0.92000000000001592</v>
      </c>
      <c r="BS32" s="47">
        <f t="shared" ca="1" si="153"/>
        <v>3.7200000000000273</v>
      </c>
      <c r="BT32" s="114">
        <f t="shared" ca="1" si="154"/>
        <v>0</v>
      </c>
      <c r="BU32" s="48">
        <f t="shared" ca="1" si="212"/>
        <v>245.10999999999996</v>
      </c>
      <c r="BV32" s="46">
        <f t="shared" ca="1" si="76"/>
        <v>-3.0000000000029559E-2</v>
      </c>
      <c r="BW32" s="47">
        <f t="shared" ca="1" si="155"/>
        <v>18.550000000000011</v>
      </c>
      <c r="BX32" s="46">
        <f t="shared" ca="1" si="156"/>
        <v>-0.29000000000002046</v>
      </c>
      <c r="BY32" s="140">
        <f t="shared" ca="1" si="134"/>
        <v>71.701666666666668</v>
      </c>
      <c r="BZ32" s="46">
        <f t="shared" ca="1" si="135"/>
        <v>-0.11499999999999963</v>
      </c>
      <c r="CA32" s="47">
        <f t="shared" ca="1" si="157"/>
        <v>0.37242424242423056</v>
      </c>
      <c r="CB32" s="46">
        <f t="shared" ca="1" si="158"/>
        <v>-3.0454545454546594E-2</v>
      </c>
      <c r="CC32" s="141">
        <f t="shared" ca="1" si="136"/>
        <v>76.91049783549785</v>
      </c>
      <c r="CD32" s="50">
        <f t="shared" ca="1" si="137"/>
        <v>-0.11950216450214987</v>
      </c>
      <c r="CE32" s="47">
        <f t="shared" ca="1" si="159"/>
        <v>0.40109307359307422</v>
      </c>
      <c r="CF32" s="46">
        <f t="shared" ca="1" si="160"/>
        <v>-3.8906926406923587E-2</v>
      </c>
      <c r="CG32" s="141">
        <f t="shared" ca="1" si="138"/>
        <v>939.33333333333337</v>
      </c>
      <c r="CH32" s="50">
        <f t="shared" ca="1" si="139"/>
        <v>-4.3799999999999955</v>
      </c>
      <c r="CI32" s="47">
        <f t="shared" ca="1" si="161"/>
        <v>13.535984848484873</v>
      </c>
      <c r="CJ32" s="46">
        <f t="shared" ca="1" si="162"/>
        <v>-0.28977272727272751</v>
      </c>
      <c r="CK32" s="141">
        <f t="shared" ca="1" si="140"/>
        <v>332.15</v>
      </c>
      <c r="CL32" s="50">
        <f t="shared" ca="1" si="77"/>
        <v>-0.95000000000004547</v>
      </c>
      <c r="CM32" s="47">
        <f t="shared" ca="1" si="163"/>
        <v>4.3199999999999932</v>
      </c>
      <c r="CN32" s="46">
        <f t="shared" ca="1" si="164"/>
        <v>3.0000000000029559E-2</v>
      </c>
      <c r="CO32" s="141">
        <f t="shared" ca="1" si="141"/>
        <v>238.49499999999995</v>
      </c>
      <c r="CP32" s="50">
        <f t="shared" ca="1" si="78"/>
        <v>9.499999999994202E-2</v>
      </c>
      <c r="CQ32" s="47">
        <f t="shared" ca="1" si="165"/>
        <v>6.6150000000000091</v>
      </c>
      <c r="CR32" s="46">
        <f t="shared" ca="1" si="166"/>
        <v>-0.12499999999997158</v>
      </c>
      <c r="CS32" s="109">
        <f t="shared" ca="1" si="79"/>
        <v>-5.5800000000000125</v>
      </c>
      <c r="CT32" s="46">
        <f t="shared" ca="1" si="80"/>
        <v>3.9999999999992042E-2</v>
      </c>
      <c r="CU32" s="47">
        <f t="shared" ca="1" si="167"/>
        <v>-5.0000000000011369E-2</v>
      </c>
      <c r="CV32" s="46">
        <f t="shared" ca="1" si="168"/>
        <v>-2.4999999999991473E-2</v>
      </c>
      <c r="CW32" s="110">
        <f t="shared" ca="1" si="142"/>
        <v>-5.2088311688311819</v>
      </c>
      <c r="CX32" s="46">
        <f t="shared" ca="1" si="81"/>
        <v>4.502164502150241E-3</v>
      </c>
      <c r="CY32" s="47">
        <f t="shared" ca="1" si="169"/>
        <v>-2.8668831168843667E-2</v>
      </c>
      <c r="CZ32" s="46">
        <f t="shared" ca="1" si="170"/>
        <v>8.4523809523769922E-3</v>
      </c>
      <c r="DA32" s="109">
        <f t="shared" ca="1" si="82"/>
        <v>49.641107382550331</v>
      </c>
      <c r="DB32" s="46">
        <f t="shared" ca="1" si="83"/>
        <v>-0.42647651006712028</v>
      </c>
      <c r="DC32" s="47">
        <f t="shared" ca="1" si="171"/>
        <v>1.0168456375838701</v>
      </c>
      <c r="DD32" s="46">
        <f t="shared" ca="1" si="233"/>
        <v>1.322147651006822E-2</v>
      </c>
      <c r="DE32" s="110">
        <f t="shared" ca="1" si="84"/>
        <v>63.542399999999986</v>
      </c>
      <c r="DF32" s="46">
        <f t="shared" ca="1" si="85"/>
        <v>-0.1914000000000135</v>
      </c>
      <c r="DG32" s="47">
        <f t="shared" ca="1" si="172"/>
        <v>1.0523999999999916</v>
      </c>
      <c r="DH32" s="46">
        <f t="shared" ca="1" si="173"/>
        <v>3.0000000000001137E-2</v>
      </c>
      <c r="DI32" s="110">
        <f t="shared" ca="1" si="86"/>
        <v>25.171199999999985</v>
      </c>
      <c r="DJ32" s="46">
        <f t="shared" ca="1" si="87"/>
        <v>0.18239999999998077</v>
      </c>
      <c r="DK32" s="47">
        <f t="shared" ca="1" si="174"/>
        <v>7.2809999999999917</v>
      </c>
      <c r="DL32" s="46">
        <f t="shared" ca="1" si="175"/>
        <v>-9.1800000000007459E-2</v>
      </c>
      <c r="DM32" s="110">
        <f t="shared" ca="1" si="88"/>
        <v>69.122399999999999</v>
      </c>
      <c r="DN32" s="46">
        <f t="shared" ca="1" si="89"/>
        <v>-0.23140000000000555</v>
      </c>
      <c r="DO32" s="47">
        <f t="shared" ca="1" si="176"/>
        <v>1.1024000000000029</v>
      </c>
      <c r="DP32" s="47">
        <f t="shared" ca="1" si="177"/>
        <v>3.0000000000015348E-2</v>
      </c>
      <c r="DQ32" s="110">
        <f t="shared" ca="1" si="90"/>
        <v>30.751199999999997</v>
      </c>
      <c r="DR32" s="46">
        <f t="shared" ca="1" si="91"/>
        <v>0.14239999999998873</v>
      </c>
      <c r="DS32" s="47">
        <f t="shared" ca="1" si="178"/>
        <v>7.3310000000000031</v>
      </c>
      <c r="DT32" s="47">
        <f t="shared" ca="1" si="179"/>
        <v>-9.1799999999993248E-2</v>
      </c>
      <c r="DU32" s="109">
        <f t="shared" ca="1" si="92"/>
        <v>49.174513350184483</v>
      </c>
      <c r="DV32" s="46">
        <f t="shared" ca="1" si="93"/>
        <v>-0.46841729858509784</v>
      </c>
      <c r="DW32" s="47">
        <f t="shared" ca="1" si="180"/>
        <v>1.4158176443243491</v>
      </c>
      <c r="DX32" s="47">
        <f t="shared" ca="1" si="181"/>
        <v>1.1258316624573883E-5</v>
      </c>
      <c r="DY32" s="110">
        <f t="shared" ca="1" si="94"/>
        <v>62.592502164502136</v>
      </c>
      <c r="DZ32" s="46">
        <f t="shared" ca="1" si="95"/>
        <v>-0.27949783549786922</v>
      </c>
      <c r="EA32" s="47">
        <f t="shared" ca="1" si="182"/>
        <v>1.413306926406932</v>
      </c>
      <c r="EB32" s="47">
        <f t="shared" ca="1" si="183"/>
        <v>5.1506926406935993E-2</v>
      </c>
      <c r="EC32" s="110">
        <f t="shared" ca="1" si="96"/>
        <v>23.257402164502125</v>
      </c>
      <c r="ED32" s="46">
        <f t="shared" ca="1" si="97"/>
        <v>0.15940216450212552</v>
      </c>
      <c r="EE32" s="47">
        <f t="shared" ca="1" si="184"/>
        <v>2.3772069264069415</v>
      </c>
      <c r="EF32" s="47">
        <f t="shared" ca="1" si="185"/>
        <v>-1.359307359306447E-2</v>
      </c>
      <c r="EG32" s="110">
        <f t="shared" ca="1" si="98"/>
        <v>67.801333333333318</v>
      </c>
      <c r="EH32" s="46">
        <f t="shared" ca="1" si="99"/>
        <v>-0.28400000000001946</v>
      </c>
      <c r="EI32" s="47">
        <f t="shared" ca="1" si="186"/>
        <v>1.4419757575757757</v>
      </c>
      <c r="EJ32" s="47">
        <f t="shared" ca="1" si="187"/>
        <v>4.3054545454559001E-2</v>
      </c>
      <c r="EK32" s="110">
        <f t="shared" ca="1" si="100"/>
        <v>28.466233333333307</v>
      </c>
      <c r="EL32" s="46">
        <f t="shared" ca="1" si="101"/>
        <v>0.15489999999997528</v>
      </c>
      <c r="EM32" s="47">
        <f t="shared" ca="1" si="188"/>
        <v>2.4058757575757852</v>
      </c>
      <c r="EN32" s="47">
        <f t="shared" ca="1" si="189"/>
        <v>-2.2045454545441462E-2</v>
      </c>
      <c r="EO32" s="109">
        <f t="shared" ca="1" si="102"/>
        <v>33.098315755832516</v>
      </c>
      <c r="EP32" s="46">
        <f t="shared" ca="1" si="103"/>
        <v>0.55970597635025432</v>
      </c>
      <c r="EQ32" s="47">
        <f t="shared" ca="1" si="190"/>
        <v>8.4653243847867543E-2</v>
      </c>
      <c r="ER32" s="47">
        <f t="shared" ca="1" si="191"/>
        <v>3.9948865452221094E-2</v>
      </c>
      <c r="ES32" s="110">
        <f t="shared" ca="1" si="104"/>
        <v>31.947592415042038</v>
      </c>
      <c r="ET32" s="46">
        <f t="shared" ca="1" si="105"/>
        <v>0.44980824544578235</v>
      </c>
      <c r="EU32" s="47">
        <f t="shared" ca="1" si="192"/>
        <v>-5.9778998033834796E-3</v>
      </c>
      <c r="EV32" s="47">
        <f t="shared" ca="1" si="193"/>
        <v>0.12260873354836055</v>
      </c>
      <c r="EW32" s="109">
        <f t="shared" ca="1" si="106"/>
        <v>-91.360000000000014</v>
      </c>
      <c r="EX32" s="46">
        <f t="shared" ca="1" si="107"/>
        <v>0.88999999999998636</v>
      </c>
      <c r="EY32" s="47">
        <f t="shared" ca="1" si="194"/>
        <v>14.829999999999984</v>
      </c>
      <c r="EZ32" s="47">
        <f t="shared" ca="1" si="195"/>
        <v>-0.29000000000002046</v>
      </c>
      <c r="FA32" s="110">
        <f t="shared" ca="1" si="108"/>
        <v>-93.65500000000003</v>
      </c>
      <c r="FB32" s="46">
        <f t="shared" ca="1" si="109"/>
        <v>1.0449999999999875</v>
      </c>
      <c r="FC32" s="47">
        <f t="shared" ca="1" si="196"/>
        <v>2.2950000000000159</v>
      </c>
      <c r="FD32" s="47">
        <f t="shared" ca="1" si="197"/>
        <v>-0.15500000000000114</v>
      </c>
      <c r="FE32" s="109">
        <f t="shared" ca="1" si="110"/>
        <v>49.936799999999998</v>
      </c>
      <c r="FF32" s="46">
        <f t="shared" ca="1" si="111"/>
        <v>-4.4500000000008408E-2</v>
      </c>
      <c r="FG32" s="110">
        <f t="shared" ca="1" si="112"/>
        <v>43.541600000000003</v>
      </c>
      <c r="FH32" s="46">
        <f t="shared" ca="1" si="113"/>
        <v>1.7799999999990643E-2</v>
      </c>
      <c r="FI32" s="110">
        <f t="shared" ca="1" si="114"/>
        <v>44.356799999999986</v>
      </c>
      <c r="FJ32" s="46">
        <f t="shared" ca="1" si="115"/>
        <v>-4.5000000000163659E-3</v>
      </c>
      <c r="FK32" s="110">
        <f t="shared" ca="1" si="116"/>
        <v>37.961599999999983</v>
      </c>
      <c r="FL32" s="46">
        <f t="shared" ca="1" si="117"/>
        <v>5.7799999999982671E-2</v>
      </c>
      <c r="FM32" s="110">
        <f t="shared" ca="1" si="118"/>
        <v>48.133783333333312</v>
      </c>
      <c r="FN32" s="46">
        <f t="shared" ca="1" si="119"/>
        <v>-6.455000000002209E-2</v>
      </c>
      <c r="FO32" s="110">
        <f t="shared" ca="1" si="120"/>
        <v>41.577933333333306</v>
      </c>
      <c r="FP32" s="46">
        <f t="shared" ca="1" si="121"/>
        <v>8.5999999999770288E-3</v>
      </c>
      <c r="FQ32" s="110">
        <f t="shared" ca="1" si="122"/>
        <v>42.92495216450213</v>
      </c>
      <c r="FR32" s="46">
        <f t="shared" ca="1" si="123"/>
        <v>-6.0047835497871849E-2</v>
      </c>
      <c r="FS32" s="110">
        <f t="shared" ca="1" si="124"/>
        <v>36.369102164502124</v>
      </c>
      <c r="FT32" s="111">
        <f t="shared" ca="1" si="125"/>
        <v>1.3102164502127284E-2</v>
      </c>
      <c r="FU32" s="109" t="str">
        <f t="shared" ca="1" si="232"/>
        <v/>
      </c>
      <c r="FV32" s="46" t="str">
        <f t="shared" ca="1" si="213"/>
        <v/>
      </c>
      <c r="FW32" s="48" t="str">
        <f t="shared" ca="1" si="227"/>
        <v/>
      </c>
      <c r="FX32" s="114" t="str">
        <f t="shared" ca="1" si="228"/>
        <v/>
      </c>
      <c r="FY32" s="110" t="str">
        <f t="shared" ca="1" si="214"/>
        <v/>
      </c>
      <c r="FZ32" s="46" t="str">
        <f t="shared" ca="1" si="215"/>
        <v/>
      </c>
      <c r="GA32" s="47" t="str">
        <f t="shared" ca="1" si="216"/>
        <v/>
      </c>
      <c r="GB32" s="46" t="str">
        <f t="shared" ca="1" si="229"/>
        <v/>
      </c>
      <c r="GC32" s="110" t="str">
        <f ca="1">IFERROR(IF(AND(ISNUMBER($FU32), ISNUMBER(Crd!$X32)), $FU32 - Crd!$X32, ""), "")</f>
        <v/>
      </c>
      <c r="GD32" s="46" t="str">
        <f ca="1">IFERROR(IF(AND(ISNUMBER($FV32), ISNUMBER(Crd!$Y32)), $FV32 - Crd!$Y32, ""), "")</f>
        <v/>
      </c>
      <c r="GE32" s="47" t="str">
        <f t="shared" ca="1" si="217"/>
        <v/>
      </c>
      <c r="GF32" s="46" t="str">
        <f t="shared" ca="1" si="218"/>
        <v/>
      </c>
      <c r="GG32" s="141" t="str">
        <f t="shared" ca="1" si="198"/>
        <v/>
      </c>
      <c r="GH32" s="50" t="str">
        <f t="shared" ca="1" si="199"/>
        <v/>
      </c>
      <c r="GI32" s="47" t="str">
        <f t="shared" ca="1" si="144"/>
        <v/>
      </c>
      <c r="GJ32" s="46" t="str">
        <f t="shared" ca="1" si="145"/>
        <v/>
      </c>
      <c r="GK32" s="110" t="str">
        <f t="shared" ca="1" si="127"/>
        <v/>
      </c>
      <c r="GL32" s="46" t="str">
        <f t="shared" ca="1" si="128"/>
        <v/>
      </c>
      <c r="GM32" s="47" t="str">
        <f t="shared" ca="1" si="200"/>
        <v/>
      </c>
      <c r="GN32" s="46" t="str">
        <f t="shared" ca="1" si="201"/>
        <v/>
      </c>
      <c r="GO32" s="110" t="str">
        <f ca="1">IFERROR(IF(AND(ISNUMBER($GG32), ISNUMBER(Crd!$X32)), $GG32 - Crd!$X32, ""), "")</f>
        <v/>
      </c>
      <c r="GP32" s="46" t="str">
        <f ca="1">IFERROR(IF(AND(ISNUMBER($GH32), ISNUMBER(Crd!$Y32)), $GH32 - Crd!$Y32, ""), "")</f>
        <v/>
      </c>
      <c r="GQ32" s="47" t="str">
        <f t="shared" ca="1" si="202"/>
        <v/>
      </c>
      <c r="GR32" s="46" t="str">
        <f t="shared" ca="1" si="203"/>
        <v/>
      </c>
      <c r="GS32" s="436" t="str">
        <f t="shared" ca="1" si="219"/>
        <v/>
      </c>
      <c r="GT32" s="46" t="str">
        <f t="shared" ca="1" si="220"/>
        <v/>
      </c>
      <c r="GU32" s="48" t="str">
        <f t="shared" ca="1" si="230"/>
        <v/>
      </c>
      <c r="GV32" s="46" t="str">
        <f t="shared" ca="1" si="231"/>
        <v/>
      </c>
      <c r="GW32" s="427" t="str">
        <f t="shared" ca="1" si="204"/>
        <v/>
      </c>
      <c r="GX32" s="50" t="str">
        <f t="shared" ca="1" si="146"/>
        <v/>
      </c>
      <c r="GY32" s="47" t="str">
        <f t="shared" ca="1" si="205"/>
        <v/>
      </c>
      <c r="GZ32" s="432" t="str">
        <f t="shared" ca="1" si="206"/>
        <v/>
      </c>
      <c r="HA32" s="436"/>
      <c r="HB32" s="46"/>
      <c r="HC32" s="48"/>
      <c r="HD32" s="46"/>
      <c r="HE32" s="269"/>
      <c r="HF32" s="46"/>
      <c r="HG32" s="48"/>
      <c r="HH32" s="432"/>
    </row>
    <row r="33" spans="1:216" x14ac:dyDescent="0.25">
      <c r="A33" s="58">
        <f t="shared" ca="1" si="131"/>
        <v>46692</v>
      </c>
      <c r="B33" s="6" t="str">
        <f ca="1">INDEX(MthRef[], MATCH(MONTH(Futs!$A33), MthRef[Mth], 0), 2)</f>
        <v>X</v>
      </c>
      <c r="C33" s="6">
        <f t="shared" ca="1" si="65"/>
        <v>2027</v>
      </c>
      <c r="D33" s="6" t="str">
        <f t="shared" ca="1" si="66"/>
        <v>Q427</v>
      </c>
      <c r="E33" s="6" t="str">
        <f t="shared" ca="1" si="132"/>
        <v>X7</v>
      </c>
      <c r="F33" s="10">
        <f ca="1">IFERROR(AVERAGE(_xll.BDP(F$18 &amp; $B33 &amp; RIGHT($C33, 1) &amp; " " &amp; "Comdty", "BID", "Fill=#N/A"), _xll.BDP(F$18 &amp; $B33 &amp; RIGHT($C33, 1) &amp; " " &amp; "Comdty", "ASK", "Fill=#N/A")), NA())</f>
        <v>71.789999999999992</v>
      </c>
      <c r="G33" s="10">
        <f ca="1">IFERROR(AVERAGE(_xll.BDP(G$18 &amp; $B33 &amp; RIGHT($C33, 1) &amp; " " &amp; "Comdty", "BID", "Fill=#N/A"), _xll.BDP(G$18 &amp; $B33 &amp; RIGHT($C33, 1) &amp; " " &amp; "Comdty", "ASK", "Fill=#N/A")), NA())</f>
        <v>77.325000000000003</v>
      </c>
      <c r="H33" s="10">
        <f ca="1">IFERROR(AVERAGE(_xll.BDP(H$18 &amp; $B33 &amp; RIGHT($C33, 1) &amp; " " &amp; "Comdty", "BID", "Fill=#N/A"), _xll.BDP(H$18 &amp; $B33 &amp; RIGHT($C33, 1) &amp; " " &amp; "Comdty", "ASK", "Fill=#N/A")), NA())</f>
        <v>934.375</v>
      </c>
      <c r="I33" s="10">
        <f ca="1">IFERROR(AVERAGE(_xll.BDP(I$18 &amp; $B33 &amp; RIGHT($C33, 1) &amp; " " &amp; "Comdty", "BID", "Fill=#N/A"), _xll.BDP(I$18 &amp; $B33 &amp; RIGHT($C33, 1) &amp; " " &amp; "Comdty", "ASK", "Fill=#N/A")), NA())</f>
        <v>331.80999999999995</v>
      </c>
      <c r="J33" s="10">
        <f ca="1">IFERROR(AVERAGE(_xll.BDP(J$18 &amp; $B33 &amp; RIGHT($C33, 1) &amp; " " &amp; "Comdty", "BID", "Fill=#N/A"), _xll.BDP(J$18 &amp; $B33 &amp; RIGHT($C33, 1) &amp; " " &amp; "Comdty", "ASK", "Fill=#N/A")), NA())</f>
        <v>238.45</v>
      </c>
      <c r="K33" s="10" t="e">
        <f ca="1">IFERROR(AVERAGE(_xll.BDP(K$18 &amp; $B33 &amp; RIGHT($C33, 2) &amp; " " &amp; "Comdty", "BID", "Fill=#N/A"), _xll.BDP(K$18 &amp; $B33 &amp; RIGHT($C33, 2) &amp; " " &amp; "Comdty", "ASK", "Fill=#N/A")), NA())</f>
        <v>#N/A</v>
      </c>
      <c r="L33" s="10" t="e">
        <f ca="1">IFERROR(AVERAGE(_xll.BDP(L$18 &amp; $B33 &amp; RIGHT($C33, 2) &amp; " " &amp; "Comdty", "BID", "Fill=#N/A"), _xll.BDP(L$18 &amp; $B33 &amp; RIGHT($C33, 2) &amp; " " &amp; "Comdty", "ASK", "Fill=#N/A")), NA())</f>
        <v>#N/A</v>
      </c>
      <c r="M33" s="10" t="e">
        <f ca="1">IFERROR(AVERAGE(_xll.BDP(M$18 &amp; $B33 &amp; RIGHT($C33, 2) &amp; " " &amp; "Comdty", "BID", "Fill=#N/A"), _xll.BDP(M$18 &amp; $B33 &amp; RIGHT($C33, 2) &amp; " " &amp; "Comdty", "ASK", "Fill=#N/A")), NA())</f>
        <v>#N/A</v>
      </c>
      <c r="N33" s="10">
        <f ca="1">IFERROR(AVERAGE(_xll.BDP(N$18 &amp; $B32 &amp; RIGHT($C32, 1) &amp; N$18 &amp; $B33 &amp; RIGHT($C33, 1) &amp; " " &amp; "Comdty", "BID", "Fill=#N/A"), _xll.BDP(N$18 &amp; $B32 &amp; RIGHT($C32, 1) &amp; N$18 &amp; $B33 &amp; RIGHT($C33, 1) &amp; " " &amp; "Comdty", "ASK", "Fill=#N/A")), NA())</f>
        <v>0.38</v>
      </c>
      <c r="O33" s="10">
        <f ca="1">IFERROR(AVERAGE(_xll.BDP(O$18 &amp; $B32 &amp; RIGHT($C32, 1) &amp; O$18 &amp; $B33 &amp; RIGHT($C33, 1) &amp; " " &amp; "Comdty", "BID", "Fill=#N/A"), _xll.BDP(O$18 &amp; $B32 &amp; RIGHT($C32, 1) &amp; O$18 &amp; $B33 &amp; RIGHT($C33, 1) &amp; " " &amp; "Comdty", "ASK", "Fill=#N/A")), NA())</f>
        <v>0.44500000000000001</v>
      </c>
      <c r="P33" s="10">
        <f ca="1">IFERROR(AVERAGE(_xll.BDP(P$18 &amp; $B32 &amp; RIGHT($C32, 1) &amp; P$18 &amp; $B33 &amp; RIGHT($C33, 1) &amp; " " &amp; "Comdty", "BID", "Fill=#N/A"), _xll.BDP(P$18 &amp; $B32 &amp; RIGHT($C32, 1) &amp; P$18 &amp; $B33 &amp; RIGHT($C33, 1) &amp; " " &amp; "Comdty", "ASK", "Fill=#N/A")), NA())</f>
        <v>14.875</v>
      </c>
      <c r="Q33" s="10">
        <f ca="1">IFERROR(AVERAGE(_xll.BDP(Q$18 &amp; $B32 &amp; RIGHT($C32, 1) &amp; Q$18 &amp; $B33 &amp; RIGHT($C33, 1) &amp; " " &amp; "Comdty", "BID", "Fill=#N/A"), _xll.BDP(Q$18 &amp; $B32 &amp; RIGHT($C32, 1) &amp; Q$18 &amp; $B33 &amp; RIGHT($C33, 1) &amp; " " &amp; "Comdty", "ASK", "Fill=#N/A")), NA())</f>
        <v>4.32</v>
      </c>
      <c r="R33" s="10">
        <f ca="1">IFERROR(AVERAGE(_xll.BDP(R$18 &amp; $B32 &amp; RIGHT($C32, 1) &amp; R$18 &amp; $B33 &amp; RIGHT($C33, 1) &amp; " " &amp; "Comdty", "BID", "Fill=#N/A"), _xll.BDP(R$18 &amp; $B32 &amp; RIGHT($C32, 1) &amp; R$18 &amp; $B33 &amp; RIGHT($C33, 1) &amp; " " &amp; "Comdty", "ASK", "Fill=#N/A")), NA())</f>
        <v>6.6150000000000002</v>
      </c>
      <c r="S33" s="10" t="e">
        <f ca="1">IFERROR(AVERAGE(_xll.BDP(S$18 &amp; $B32 &amp; RIGHT($C32, 1) &amp; $B33 &amp; RIGHT($C33, 1) &amp; " " &amp; "Comdty", "BID", "Fill=#N/A"), _xll.BDP(S$18 &amp; $B32 &amp; RIGHT($C32, 1) &amp; $B33 &amp; RIGHT($C33, 1) &amp; " " &amp; "Comdty", "ASK", "Fill=#N/A")), NA())</f>
        <v>#N/A</v>
      </c>
      <c r="T33" s="10" t="e">
        <f ca="1">IFERROR(AVERAGE(_xll.BDP(T$18 &amp; $B32 &amp; RIGHT($C32, 1) &amp; $B33 &amp; RIGHT($C33, 1) &amp; " " &amp; "Comdty", "BID", "Fill=#N/A"), _xll.BDP(T$18 &amp; $B32 &amp; RIGHT($C32, 1) &amp; $B33 &amp; RIGHT($C33, 1) &amp; " " &amp; "Comdty", "ASK", "Fill=#N/A")), NA())</f>
        <v>#N/A</v>
      </c>
      <c r="U33" s="10">
        <f ca="1">IF($A33 &lt; Diagnostics!$B$3, N33, INDEX(ImpSprd[], MATCH(Futs!$C33, ImpSprd[Yr], 0), MATCH(U$18, ImpSprd[#Headers], 0)))</f>
        <v>0.38</v>
      </c>
      <c r="V33" s="10">
        <f ca="1">IF($A33 &lt; Diagnostics!$B$3, O33, INDEX(ImpSprd[], MATCH(Futs!$C33, ImpSprd[Yr], 0), MATCH(V$18, ImpSprd[#Headers], 0)))</f>
        <v>0.44500000000000001</v>
      </c>
      <c r="W33" s="10">
        <f ca="1">IF($A33 &lt; Diagnostics!$B$3, P33, INDEX(ImpSprd[], MATCH(Futs!$C33, ImpSprd[Yr], 0), MATCH(W$18, ImpSprd[#Headers], 0)))</f>
        <v>14.875</v>
      </c>
      <c r="X33" s="31">
        <f ca="1">INDEX(Expi[], MATCH($A33, Expi[Date], 0), MATCH(X$18, Expi[#Headers], 0))</f>
        <v>46710</v>
      </c>
      <c r="Y33" s="31">
        <f ca="1">INDEX(Expi[], MATCH($A33, Expi[Date], 0), MATCH(Y$18, Expi[#Headers], 0))</f>
        <v>46721</v>
      </c>
      <c r="Z33" s="31">
        <f ca="1">INDEX(Expi[], MATCH($A33, Expi[Date], 0), MATCH(Z$18, Expi[#Headers], 0))</f>
        <v>46702</v>
      </c>
      <c r="AA33" s="31">
        <f ca="1">INDEX(Expi[], MATCH($A33, Expi[Date], 0), MATCH(AA$18, Expi[#Headers], 0))</f>
        <v>46721</v>
      </c>
      <c r="AB33" s="31">
        <f ca="1">INDEX(Expi[], MATCH($A33, Expi[Date], 0), MATCH(AB$18, Expi[#Headers], 0))</f>
        <v>46721</v>
      </c>
      <c r="AC33" s="31">
        <f ca="1">INDEX(Expi[], MATCH($A33, Expi[Date], 0), MATCH(AC$18, Expi[#Headers], 0))</f>
        <v>46721</v>
      </c>
      <c r="AD33" s="7">
        <f ca="1">NETWORKDAYS($A33, EOMONTH($A33, 0), Hols[CME])</f>
        <v>22</v>
      </c>
      <c r="AE33" s="7">
        <f ca="1">NETWORKDAYS($A33, EOMONTH($A33, 0), Hols[ICE])</f>
        <v>22</v>
      </c>
      <c r="AF33" s="7">
        <f ca="1">NETWORKDAYS($A33, EOMONTH($A33, 0), Hols[ICE])</f>
        <v>22</v>
      </c>
      <c r="AG33" s="7">
        <f ca="1">NETWORKDAYS($A33, EOMONTH($A33, 0), Hols[CME])</f>
        <v>22</v>
      </c>
      <c r="AH33" s="7">
        <f ca="1">NETWORKDAYS($A33, EOMONTH($A33, 0), Hols[CME])</f>
        <v>22</v>
      </c>
      <c r="AI33" s="7">
        <f ca="1">NETWORKDAYS($A33, EOMONTH($A33, 0), Hols[ICE])</f>
        <v>22</v>
      </c>
      <c r="AJ33" s="7">
        <f ca="1">NETWORKDAYS($A33, X33, Hols[CME])</f>
        <v>15</v>
      </c>
      <c r="AK33" s="7">
        <f ca="1">NETWORKDAYS($A33, Y33, Hols[ICE]) - 1</f>
        <v>21</v>
      </c>
      <c r="AL33" s="7">
        <f ca="1">NETWORKDAYS($A33, Z33, Hols[ICE]) - 1</f>
        <v>8</v>
      </c>
      <c r="AM33" s="7">
        <f ca="1">NETWORKDAYS($A33, AA33, Hols[CME])</f>
        <v>22</v>
      </c>
      <c r="AN33" s="7">
        <f ca="1">NETWORKDAYS($A33, AB33, Hols[CME])</f>
        <v>22</v>
      </c>
      <c r="AO33" s="7">
        <f ca="1">NETWORKDAYS($A33, AC33, Hols[ICE]) - 1</f>
        <v>21</v>
      </c>
      <c r="AP33" s="10">
        <f t="shared" ca="1" si="67"/>
        <v>0.68181818181818177</v>
      </c>
      <c r="AQ33" s="10">
        <f t="shared" ca="1" si="68"/>
        <v>0.95454545454545459</v>
      </c>
      <c r="AR33" s="10">
        <f t="shared" ca="1" si="69"/>
        <v>0.36363636363636365</v>
      </c>
      <c r="AS33" s="10">
        <f t="shared" ca="1" si="70"/>
        <v>1</v>
      </c>
      <c r="AT33" s="10">
        <f t="shared" ca="1" si="71"/>
        <v>1</v>
      </c>
      <c r="AU33" s="10">
        <f t="shared" ca="1" si="71"/>
        <v>0.95454545454545459</v>
      </c>
      <c r="AV33" s="28">
        <f ca="1">IFERROR(AVERAGE(_xll.BDH(AV$18 &amp; $B33 &amp; RIGHT($C33, 1) &amp; " " &amp; "Comdty", "PX_SETTLE", AV$16, AV$16, "Fill=#N/A")), IFERROR(AVERAGE(_xll.BDH(AV$18 &amp; $B33 &amp; RIGHT($C33, 2) &amp; " " &amp; "Comdty", "PX_SETTLE", AV$16, AV$16, "Fill=#N/A")), NA()))</f>
        <v>71.94</v>
      </c>
      <c r="AW33" s="28">
        <f ca="1">IFERROR(AVERAGE(_xll.BDH(AW$18 &amp; $B33 &amp; RIGHT($C33, 1) &amp; " " &amp; "Comdty", "PX_SETTLE", AW$16, AW$16, "Fill=#N/A")), IFERROR(AVERAGE(_xll.BDH(AW$18 &amp; $B33 &amp; RIGHT($C33, 2) &amp; " " &amp; "Comdty", "PX_SETTLE", AW$16, AW$16, "Fill=#N/A")), NA()))</f>
        <v>77.489999999999995</v>
      </c>
      <c r="AX33" s="29">
        <f ca="1">IFERROR(AVERAGE(_xll.BDH(AX$18 &amp; $B33 &amp; RIGHT($C33, 2) &amp; " " &amp; "Comdty", "FAIR_VALUE_SNAPSHOT_AT_1430", AX$16, AX$16, "TIME_ZONE_OVERRIDE=13", "Fill=#N/A")), NA())</f>
        <v>938.63</v>
      </c>
      <c r="AY33" s="28">
        <f ca="1">IFERROR(AVERAGE(_xll.BDH(AY$18 &amp; $B33 &amp; RIGHT($C33, 1) &amp; " " &amp; "Comdty", "PX_SETTLE", AY$16, AY$16, "Fill=#N/A")), NA())</f>
        <v>333.1</v>
      </c>
      <c r="AZ33" s="28">
        <f ca="1">IFERROR(AVERAGE(_xll.BDH(AZ$18 &amp; $B33 &amp; RIGHT($C33, 1) &amp; " " &amp; "Comdty", "PX_SETTLE", AZ$16, AZ$16, "Fill=#N/A")), NA())</f>
        <v>238.4</v>
      </c>
      <c r="BA33" s="29" t="e">
        <f ca="1">IFERROR(AVERAGE(_xll.BDH(BA$18 &amp; $B33 &amp; RIGHT($C33, 2) &amp; " " &amp; "Comdty", "PX_SETTLE", BA$16, BA$16, "Fill=#N/A")), IFERROR(AVERAGE(_xll.BDH(BA$18 &amp; $B33 &amp; RIGHT($C33, 2) &amp; " " &amp; "Comdty", "PX_SETTLE", BA$16, BA$16, "Fill=#N/A")), NA()))</f>
        <v>#N/A</v>
      </c>
      <c r="BB33" s="29">
        <f ca="1">IFERROR(AVERAGE(_xll.BDH(BB$18 &amp; $B33 &amp; RIGHT($C33, 2) &amp; " " &amp; "Comdty", "PX_SETTLE", BB$16, BB$16, "Fill=#N/A")), IFERROR(AVERAGE(_xll.BDH(BB$18 &amp; $B33 &amp; RIGHT($C33, 2) &amp; " " &amp; "Comdty", "PX_SETTLE", BB$16, BB$16, "Fill=#N/A")), NA()))</f>
        <v>78.19</v>
      </c>
      <c r="BC33" s="29" t="e">
        <f ca="1">IFERROR(AVERAGE(_xll.BDH(BC$18 &amp; $B33 &amp; RIGHT($C33, 2) &amp; " " &amp; "Comdty", "PX_SETTLE", BC$16, BC$16, "Fill=#N/A")), IFERROR(AVERAGE(_xll.BDH(BC$18 &amp; $B33 &amp; RIGHT($C33, 2) &amp; " " &amp; "Comdty", "PX_SETTLE", BC$16, BC$16, "Fill=#N/A")), NA()))</f>
        <v>#N/A</v>
      </c>
      <c r="BD33" s="29" cm="1">
        <f t="array" ref="BD33">_xll.BFXFORWARD("USDCNY", "13M", "MidOutright")</f>
        <v>6.5612500000000002</v>
      </c>
      <c r="BE33" s="109">
        <f t="shared" ca="1" si="209"/>
        <v>71.814999999999998</v>
      </c>
      <c r="BF33" s="46">
        <f t="shared" ca="1" si="72"/>
        <v>-0.125</v>
      </c>
      <c r="BG33" s="47">
        <f t="shared" ca="1" si="151"/>
        <v>0.37999999999999545</v>
      </c>
      <c r="BH33" s="114">
        <f t="shared" ca="1" si="223"/>
        <v>-3.0000000000001137E-2</v>
      </c>
      <c r="BI33" s="110">
        <f t="shared" ca="1" si="224"/>
        <v>77.330000000000013</v>
      </c>
      <c r="BJ33" s="46">
        <f t="shared" ca="1" si="73"/>
        <v>-0.15999999999998238</v>
      </c>
      <c r="BK33" s="48">
        <f t="shared" ca="1" si="225"/>
        <v>0.44499999999999318</v>
      </c>
      <c r="BL33" s="114">
        <f t="shared" ca="1" si="226"/>
        <v>-3.50000000000108E-2</v>
      </c>
      <c r="BM33" s="48">
        <f t="shared" ca="1" si="152"/>
        <v>934.375</v>
      </c>
      <c r="BN33" s="46">
        <f t="shared" ca="1" si="74"/>
        <v>-4.2549999999999955</v>
      </c>
      <c r="BO33" s="47">
        <f t="shared" ca="1" si="210"/>
        <v>14.875</v>
      </c>
      <c r="BP33" s="46">
        <f t="shared" ca="1" si="133"/>
        <v>-0.375</v>
      </c>
      <c r="BQ33" s="110">
        <f t="shared" ca="1" si="211"/>
        <v>332.15</v>
      </c>
      <c r="BR33" s="46">
        <f t="shared" ca="1" si="75"/>
        <v>-0.95000000000004547</v>
      </c>
      <c r="BS33" s="47">
        <f t="shared" ca="1" si="153"/>
        <v>4.3199999999999932</v>
      </c>
      <c r="BT33" s="114">
        <f t="shared" ca="1" si="154"/>
        <v>3.0000000000029559E-2</v>
      </c>
      <c r="BU33" s="48">
        <f t="shared" ca="1" si="212"/>
        <v>238.49499999999995</v>
      </c>
      <c r="BV33" s="46">
        <f t="shared" ca="1" si="76"/>
        <v>9.499999999994202E-2</v>
      </c>
      <c r="BW33" s="47">
        <f t="shared" ca="1" si="155"/>
        <v>6.6150000000000091</v>
      </c>
      <c r="BX33" s="46">
        <f t="shared" ca="1" si="156"/>
        <v>-0.12499999999997158</v>
      </c>
      <c r="BY33" s="140">
        <f t="shared" ca="1" si="134"/>
        <v>71.389524793388432</v>
      </c>
      <c r="BZ33" s="46">
        <f t="shared" ca="1" si="135"/>
        <v>-5.9566115702478772E-2</v>
      </c>
      <c r="CA33" s="47">
        <f t="shared" ca="1" si="157"/>
        <v>0.31214187327823595</v>
      </c>
      <c r="CB33" s="46">
        <f t="shared" ca="1" si="158"/>
        <v>-5.5433884297520858E-2</v>
      </c>
      <c r="CC33" s="141">
        <f t="shared" ca="1" si="136"/>
        <v>76.606611570247949</v>
      </c>
      <c r="CD33" s="50">
        <f t="shared" ca="1" si="137"/>
        <v>-5.6611570247701564E-3</v>
      </c>
      <c r="CE33" s="47">
        <f t="shared" ca="1" si="159"/>
        <v>0.30388626524990059</v>
      </c>
      <c r="CF33" s="46">
        <f t="shared" ca="1" si="160"/>
        <v>-0.11384100747737971</v>
      </c>
      <c r="CG33" s="141">
        <f t="shared" ca="1" si="138"/>
        <v>924.11363636363649</v>
      </c>
      <c r="CH33" s="50">
        <f t="shared" ca="1" si="139"/>
        <v>-4.2518181818181802</v>
      </c>
      <c r="CI33" s="47">
        <f t="shared" ca="1" si="161"/>
        <v>15.219696969696884</v>
      </c>
      <c r="CJ33" s="46">
        <f t="shared" ca="1" si="162"/>
        <v>-0.12818181818181529</v>
      </c>
      <c r="CK33" s="141">
        <f t="shared" ca="1" si="140"/>
        <v>327.47499999999997</v>
      </c>
      <c r="CL33" s="50">
        <f t="shared" ca="1" si="77"/>
        <v>-0.98500000000001364</v>
      </c>
      <c r="CM33" s="47">
        <f t="shared" ca="1" si="163"/>
        <v>4.6750000000000114</v>
      </c>
      <c r="CN33" s="46">
        <f t="shared" ca="1" si="164"/>
        <v>3.4999999999968168E-2</v>
      </c>
      <c r="CO33" s="141">
        <f t="shared" ca="1" si="141"/>
        <v>233.46999999999994</v>
      </c>
      <c r="CP33" s="50">
        <f t="shared" ca="1" si="78"/>
        <v>0.20999999999995111</v>
      </c>
      <c r="CQ33" s="47">
        <f t="shared" ca="1" si="165"/>
        <v>5.0250000000000057</v>
      </c>
      <c r="CR33" s="46">
        <f t="shared" ca="1" si="166"/>
        <v>-0.11500000000000909</v>
      </c>
      <c r="CS33" s="109">
        <f t="shared" ca="1" si="79"/>
        <v>-5.5150000000000148</v>
      </c>
      <c r="CT33" s="46">
        <f t="shared" ca="1" si="80"/>
        <v>3.4999999999982379E-2</v>
      </c>
      <c r="CU33" s="47">
        <f t="shared" ca="1" si="167"/>
        <v>-6.4999999999997726E-2</v>
      </c>
      <c r="CV33" s="46">
        <f t="shared" ca="1" si="168"/>
        <v>1.4999999999986358E-2</v>
      </c>
      <c r="CW33" s="110">
        <f t="shared" ca="1" si="142"/>
        <v>-5.2170867768595173</v>
      </c>
      <c r="CX33" s="46">
        <f t="shared" ca="1" si="81"/>
        <v>-5.3904958677708614E-2</v>
      </c>
      <c r="CY33" s="47">
        <f t="shared" ca="1" si="169"/>
        <v>8.2556080283353594E-3</v>
      </c>
      <c r="CZ33" s="46">
        <f t="shared" ca="1" si="170"/>
        <v>5.8407123179858855E-2</v>
      </c>
      <c r="DA33" s="109">
        <f t="shared" ca="1" si="82"/>
        <v>48.089463087248305</v>
      </c>
      <c r="DB33" s="46">
        <f t="shared" ca="1" si="83"/>
        <v>-0.41114093959733244</v>
      </c>
      <c r="DC33" s="47">
        <f t="shared" ca="1" si="171"/>
        <v>1.551644295302026</v>
      </c>
      <c r="DD33" s="46">
        <f t="shared" ca="1" si="233"/>
        <v>-1.533557046978784E-2</v>
      </c>
      <c r="DE33" s="110">
        <f t="shared" ca="1" si="84"/>
        <v>62.172999999999973</v>
      </c>
      <c r="DF33" s="46">
        <f t="shared" ca="1" si="85"/>
        <v>-0.23900000000003674</v>
      </c>
      <c r="DG33" s="47">
        <f t="shared" ca="1" si="172"/>
        <v>1.3694000000000131</v>
      </c>
      <c r="DH33" s="46">
        <f t="shared" ca="1" si="173"/>
        <v>4.7600000000023235E-2</v>
      </c>
      <c r="DI33" s="110">
        <f t="shared" ca="1" si="86"/>
        <v>22.837899999999962</v>
      </c>
      <c r="DJ33" s="46">
        <f t="shared" ca="1" si="87"/>
        <v>0.19989999999995803</v>
      </c>
      <c r="DK33" s="47">
        <f t="shared" ca="1" si="174"/>
        <v>2.3333000000000226</v>
      </c>
      <c r="DL33" s="46">
        <f t="shared" ca="1" si="175"/>
        <v>-1.7499999999977256E-2</v>
      </c>
      <c r="DM33" s="110">
        <f t="shared" ca="1" si="88"/>
        <v>67.687999999999988</v>
      </c>
      <c r="DN33" s="46">
        <f t="shared" ca="1" si="89"/>
        <v>-0.27400000000001912</v>
      </c>
      <c r="DO33" s="47">
        <f t="shared" ca="1" si="176"/>
        <v>1.4344000000000108</v>
      </c>
      <c r="DP33" s="47">
        <f t="shared" ca="1" si="177"/>
        <v>4.2600000000013571E-2</v>
      </c>
      <c r="DQ33" s="110">
        <f t="shared" ca="1" si="90"/>
        <v>28.352899999999977</v>
      </c>
      <c r="DR33" s="46">
        <f t="shared" ca="1" si="91"/>
        <v>0.16489999999997565</v>
      </c>
      <c r="DS33" s="47">
        <f t="shared" ca="1" si="178"/>
        <v>2.3983000000000203</v>
      </c>
      <c r="DT33" s="47">
        <f t="shared" ca="1" si="179"/>
        <v>-2.2499999999986919E-2</v>
      </c>
      <c r="DU33" s="109">
        <f t="shared" ca="1" si="92"/>
        <v>47.435487270508617</v>
      </c>
      <c r="DV33" s="46">
        <f t="shared" ca="1" si="93"/>
        <v>-0.56505269288371041</v>
      </c>
      <c r="DW33" s="47">
        <f t="shared" ca="1" si="180"/>
        <v>1.7390260796758668</v>
      </c>
      <c r="DX33" s="47">
        <f t="shared" ca="1" si="181"/>
        <v>9.6635394298612565E-2</v>
      </c>
      <c r="DY33" s="110">
        <f t="shared" ca="1" si="94"/>
        <v>60.932888429752026</v>
      </c>
      <c r="DZ33" s="46">
        <f t="shared" ca="1" si="95"/>
        <v>-0.40803884297523557</v>
      </c>
      <c r="EA33" s="47">
        <f t="shared" ca="1" si="182"/>
        <v>1.6596137347501099</v>
      </c>
      <c r="EB33" s="47">
        <f t="shared" ca="1" si="183"/>
        <v>0.12854100747736635</v>
      </c>
      <c r="EC33" s="110">
        <f t="shared" ca="1" si="96"/>
        <v>21.450788429752023</v>
      </c>
      <c r="ED33" s="46">
        <f t="shared" ca="1" si="97"/>
        <v>9.386115702474962E-2</v>
      </c>
      <c r="EE33" s="47">
        <f t="shared" ca="1" si="184"/>
        <v>1.8066137347501012</v>
      </c>
      <c r="EF33" s="47">
        <f t="shared" ca="1" si="185"/>
        <v>6.5541007477375901E-2</v>
      </c>
      <c r="EG33" s="110">
        <f t="shared" ca="1" si="98"/>
        <v>66.149975206611543</v>
      </c>
      <c r="EH33" s="46">
        <f t="shared" ca="1" si="99"/>
        <v>-0.35413388429752696</v>
      </c>
      <c r="EI33" s="47">
        <f t="shared" ca="1" si="186"/>
        <v>1.6513581267217745</v>
      </c>
      <c r="EJ33" s="47">
        <f t="shared" ca="1" si="187"/>
        <v>7.0133884297507498E-2</v>
      </c>
      <c r="EK33" s="110">
        <f t="shared" ca="1" si="100"/>
        <v>26.667875206611541</v>
      </c>
      <c r="EL33" s="46">
        <f t="shared" ca="1" si="101"/>
        <v>0.14776611570245823</v>
      </c>
      <c r="EM33" s="47">
        <f t="shared" ca="1" si="188"/>
        <v>1.7983581267217659</v>
      </c>
      <c r="EN33" s="47">
        <f t="shared" ca="1" si="189"/>
        <v>7.1338842975170458E-3</v>
      </c>
      <c r="EO33" s="109">
        <f t="shared" ca="1" si="102"/>
        <v>33.532230744646824</v>
      </c>
      <c r="EP33" s="46">
        <f t="shared" ca="1" si="103"/>
        <v>0.40985937999356126</v>
      </c>
      <c r="EQ33" s="47">
        <f t="shared" ca="1" si="190"/>
        <v>-0.43391498881430834</v>
      </c>
      <c r="ER33" s="47">
        <f t="shared" ca="1" si="191"/>
        <v>0.14984659635669306</v>
      </c>
      <c r="ES33" s="110">
        <f t="shared" ca="1" si="104"/>
        <v>32.136669426770027</v>
      </c>
      <c r="ET33" s="46">
        <f t="shared" ca="1" si="105"/>
        <v>0.37384249978208284</v>
      </c>
      <c r="EU33" s="47">
        <f t="shared" ca="1" si="192"/>
        <v>-0.18907701172798852</v>
      </c>
      <c r="EV33" s="47">
        <f t="shared" ca="1" si="193"/>
        <v>7.5965745663699513E-2</v>
      </c>
      <c r="EW33" s="109">
        <f t="shared" ca="1" si="106"/>
        <v>-93.65500000000003</v>
      </c>
      <c r="EX33" s="46">
        <f t="shared" ca="1" si="107"/>
        <v>1.0449999999999875</v>
      </c>
      <c r="EY33" s="47">
        <f t="shared" ca="1" si="194"/>
        <v>2.2950000000000159</v>
      </c>
      <c r="EZ33" s="47">
        <f t="shared" ca="1" si="195"/>
        <v>-0.15500000000000114</v>
      </c>
      <c r="FA33" s="110">
        <f t="shared" ca="1" si="108"/>
        <v>-94.005000000000024</v>
      </c>
      <c r="FB33" s="46">
        <f t="shared" ca="1" si="109"/>
        <v>1.1949999999999648</v>
      </c>
      <c r="FC33" s="47">
        <f t="shared" ca="1" si="196"/>
        <v>0.34999999999999432</v>
      </c>
      <c r="FD33" s="47">
        <f t="shared" ca="1" si="197"/>
        <v>-0.14999999999997726</v>
      </c>
      <c r="FE33" s="109">
        <f t="shared" ca="1" si="110"/>
        <v>48.020449999999983</v>
      </c>
      <c r="FF33" s="46">
        <f t="shared" ca="1" si="111"/>
        <v>-5.4550000000021734E-2</v>
      </c>
      <c r="FG33" s="110">
        <f t="shared" ca="1" si="112"/>
        <v>41.464599999999976</v>
      </c>
      <c r="FH33" s="46">
        <f t="shared" ca="1" si="113"/>
        <v>1.8599999999977399E-2</v>
      </c>
      <c r="FI33" s="110">
        <f t="shared" ca="1" si="114"/>
        <v>42.505449999999968</v>
      </c>
      <c r="FJ33" s="46">
        <f t="shared" ca="1" si="115"/>
        <v>-1.9550000000039355E-2</v>
      </c>
      <c r="FK33" s="110">
        <f t="shared" ca="1" si="116"/>
        <v>35.949599999999961</v>
      </c>
      <c r="FL33" s="46">
        <f t="shared" ca="1" si="117"/>
        <v>5.3599999999959777E-2</v>
      </c>
      <c r="FM33" s="110">
        <f t="shared" ca="1" si="118"/>
        <v>46.408925206611542</v>
      </c>
      <c r="FN33" s="46">
        <f t="shared" ca="1" si="119"/>
        <v>-0.10318388429753436</v>
      </c>
      <c r="FO33" s="110">
        <f t="shared" ca="1" si="120"/>
        <v>39.828575206611539</v>
      </c>
      <c r="FP33" s="46">
        <f t="shared" ca="1" si="121"/>
        <v>-1.953388429753683E-2</v>
      </c>
      <c r="FQ33" s="110">
        <f t="shared" ca="1" si="122"/>
        <v>41.191838429752025</v>
      </c>
      <c r="FR33" s="46">
        <f t="shared" ca="1" si="123"/>
        <v>-0.15708884297524298</v>
      </c>
      <c r="FS33" s="110">
        <f t="shared" ca="1" si="124"/>
        <v>34.611488429752022</v>
      </c>
      <c r="FT33" s="111">
        <f t="shared" ca="1" si="125"/>
        <v>-7.343884297524543E-2</v>
      </c>
      <c r="FU33" s="109" t="str">
        <f t="shared" ca="1" si="232"/>
        <v/>
      </c>
      <c r="FV33" s="46" t="str">
        <f t="shared" ca="1" si="213"/>
        <v/>
      </c>
      <c r="FW33" s="48" t="str">
        <f t="shared" ca="1" si="227"/>
        <v/>
      </c>
      <c r="FX33" s="114" t="str">
        <f t="shared" ca="1" si="228"/>
        <v/>
      </c>
      <c r="FY33" s="110" t="str">
        <f t="shared" ca="1" si="214"/>
        <v/>
      </c>
      <c r="FZ33" s="46" t="str">
        <f t="shared" ca="1" si="215"/>
        <v/>
      </c>
      <c r="GA33" s="47" t="str">
        <f t="shared" ca="1" si="216"/>
        <v/>
      </c>
      <c r="GB33" s="46" t="str">
        <f t="shared" ca="1" si="229"/>
        <v/>
      </c>
      <c r="GC33" s="110" t="str">
        <f ca="1">IFERROR(IF(AND(ISNUMBER($FU33), ISNUMBER(Crd!$X33)), $FU33 - Crd!$X33, ""), "")</f>
        <v/>
      </c>
      <c r="GD33" s="46" t="str">
        <f ca="1">IFERROR(IF(AND(ISNUMBER($FV33), ISNUMBER(Crd!$Y33)), $FV33 - Crd!$Y33, ""), "")</f>
        <v/>
      </c>
      <c r="GE33" s="47" t="str">
        <f t="shared" ca="1" si="217"/>
        <v/>
      </c>
      <c r="GF33" s="46" t="str">
        <f t="shared" ca="1" si="218"/>
        <v/>
      </c>
      <c r="GG33" s="141" t="str">
        <f t="shared" ca="1" si="198"/>
        <v/>
      </c>
      <c r="GH33" s="50" t="str">
        <f t="shared" ca="1" si="199"/>
        <v/>
      </c>
      <c r="GI33" s="47" t="str">
        <f t="shared" ca="1" si="144"/>
        <v/>
      </c>
      <c r="GJ33" s="46" t="str">
        <f t="shared" ca="1" si="145"/>
        <v/>
      </c>
      <c r="GK33" s="110" t="str">
        <f t="shared" ca="1" si="127"/>
        <v/>
      </c>
      <c r="GL33" s="46" t="str">
        <f t="shared" ca="1" si="128"/>
        <v/>
      </c>
      <c r="GM33" s="47" t="str">
        <f t="shared" ca="1" si="200"/>
        <v/>
      </c>
      <c r="GN33" s="46" t="str">
        <f t="shared" ca="1" si="201"/>
        <v/>
      </c>
      <c r="GO33" s="110" t="str">
        <f ca="1">IFERROR(IF(AND(ISNUMBER($GG33), ISNUMBER(Crd!$X33)), $GG33 - Crd!$X33, ""), "")</f>
        <v/>
      </c>
      <c r="GP33" s="46" t="str">
        <f ca="1">IFERROR(IF(AND(ISNUMBER($GH33), ISNUMBER(Crd!$Y33)), $GH33 - Crd!$Y33, ""), "")</f>
        <v/>
      </c>
      <c r="GQ33" s="47" t="str">
        <f t="shared" ca="1" si="202"/>
        <v/>
      </c>
      <c r="GR33" s="46" t="str">
        <f t="shared" ca="1" si="203"/>
        <v/>
      </c>
      <c r="GS33" s="436" t="str">
        <f t="shared" ca="1" si="219"/>
        <v/>
      </c>
      <c r="GT33" s="46" t="str">
        <f t="shared" ca="1" si="220"/>
        <v/>
      </c>
      <c r="GU33" s="48" t="str">
        <f t="shared" ca="1" si="230"/>
        <v/>
      </c>
      <c r="GV33" s="46" t="str">
        <f t="shared" ca="1" si="231"/>
        <v/>
      </c>
      <c r="GW33" s="427" t="str">
        <f t="shared" ca="1" si="204"/>
        <v/>
      </c>
      <c r="GX33" s="50" t="str">
        <f t="shared" ca="1" si="146"/>
        <v/>
      </c>
      <c r="GY33" s="47" t="str">
        <f t="shared" ca="1" si="205"/>
        <v/>
      </c>
      <c r="GZ33" s="432" t="str">
        <f t="shared" ca="1" si="206"/>
        <v/>
      </c>
      <c r="HA33" s="436"/>
      <c r="HB33" s="46"/>
      <c r="HC33" s="48"/>
      <c r="HD33" s="46"/>
      <c r="HE33" s="269"/>
      <c r="HF33" s="46"/>
      <c r="HG33" s="48"/>
      <c r="HH33" s="432"/>
    </row>
    <row r="34" spans="1:216" x14ac:dyDescent="0.25">
      <c r="A34" s="58">
        <f t="shared" ca="1" si="131"/>
        <v>46722</v>
      </c>
      <c r="B34" s="6" t="str">
        <f ca="1">INDEX(MthRef[], MATCH(MONTH(Futs!$A34), MthRef[Mth], 0), 2)</f>
        <v>Z</v>
      </c>
      <c r="C34" s="6">
        <f t="shared" ca="1" si="65"/>
        <v>2027</v>
      </c>
      <c r="D34" s="6" t="str">
        <f t="shared" ca="1" si="66"/>
        <v>Q427</v>
      </c>
      <c r="E34" s="6" t="str">
        <f t="shared" ca="1" si="132"/>
        <v>Z7</v>
      </c>
      <c r="F34" s="10">
        <f ca="1">IFERROR(AVERAGE(_xll.BDP(F$18 &amp; $B34 &amp; RIGHT($C34, 1) &amp; " " &amp; "Comdty", "BID", "Fill=#N/A"), _xll.BDP(F$18 &amp; $B34 &amp; RIGHT($C34, 1) &amp; " " &amp; "Comdty", "ASK", "Fill=#N/A")), NA())</f>
        <v>71.47</v>
      </c>
      <c r="G34" s="10">
        <f ca="1">IFERROR(AVERAGE(_xll.BDP(G$18 &amp; $B34 &amp; RIGHT($C34, 1) &amp; " " &amp; "Comdty", "BID", "Fill=#N/A"), _xll.BDP(G$18 &amp; $B34 &amp; RIGHT($C34, 1) &amp; " " &amp; "Comdty", "ASK", "Fill=#N/A")), NA())</f>
        <v>76.930000000000007</v>
      </c>
      <c r="H34" s="10">
        <f ca="1">IFERROR(AVERAGE(_xll.BDP(H$18 &amp; $B34 &amp; RIGHT($C34, 1) &amp; " " &amp; "Comdty", "BID", "Fill=#N/A"), _xll.BDP(H$18 &amp; $B34 &amp; RIGHT($C34, 1) &amp; " " &amp; "Comdty", "ASK", "Fill=#N/A")), NA())</f>
        <v>918.25</v>
      </c>
      <c r="I34" s="10">
        <f ca="1">IFERROR(AVERAGE(_xll.BDP(I$18 &amp; $B34 &amp; RIGHT($C34, 1) &amp; " " &amp; "Comdty", "BID", "Fill=#N/A"), _xll.BDP(I$18 &amp; $B34 &amp; RIGHT($C34, 1) &amp; " " &amp; "Comdty", "ASK", "Fill=#N/A")), NA())</f>
        <v>327.39999999999998</v>
      </c>
      <c r="J34" s="10">
        <f ca="1">IFERROR(AVERAGE(_xll.BDP(J$18 &amp; $B34 &amp; RIGHT($C34, 1) &amp; " " &amp; "Comdty", "BID", "Fill=#N/A"), _xll.BDP(J$18 &amp; $B34 &amp; RIGHT($C34, 1) &amp; " " &amp; "Comdty", "ASK", "Fill=#N/A")), NA())</f>
        <v>233.41500000000002</v>
      </c>
      <c r="K34" s="10" t="e">
        <f ca="1">IFERROR(AVERAGE(_xll.BDP(K$18 &amp; $B34 &amp; RIGHT($C34, 2) &amp; " " &amp; "Comdty", "BID", "Fill=#N/A"), _xll.BDP(K$18 &amp; $B34 &amp; RIGHT($C34, 2) &amp; " " &amp; "Comdty", "ASK", "Fill=#N/A")), NA())</f>
        <v>#N/A</v>
      </c>
      <c r="L34" s="10" t="e">
        <f ca="1">IFERROR(AVERAGE(_xll.BDP(L$18 &amp; $B34 &amp; RIGHT($C34, 2) &amp; " " &amp; "Comdty", "BID", "Fill=#N/A"), _xll.BDP(L$18 &amp; $B34 &amp; RIGHT($C34, 2) &amp; " " &amp; "Comdty", "ASK", "Fill=#N/A")), NA())</f>
        <v>#N/A</v>
      </c>
      <c r="M34" s="10">
        <f ca="1">IFERROR(AVERAGE(_xll.BDP(M$18 &amp; $B34 &amp; RIGHT($C34, 2) &amp; " " &amp; "Comdty", "BID", "Fill=#N/A"), _xll.BDP(M$18 &amp; $B34 &amp; RIGHT($C34, 2) &amp; " " &amp; "Comdty", "ASK", "Fill=#N/A")), NA())</f>
        <v>513.75</v>
      </c>
      <c r="N34" s="10">
        <f ca="1">IFERROR(AVERAGE(_xll.BDP(N$18 &amp; $B33 &amp; RIGHT($C33, 1) &amp; N$18 &amp; $B34 &amp; RIGHT($C34, 1) &amp; " " &amp; "Comdty", "BID", "Fill=#N/A"), _xll.BDP(N$18 &amp; $B33 &amp; RIGHT($C33, 1) &amp; N$18 &amp; $B34 &amp; RIGHT($C34, 1) &amp; " " &amp; "Comdty", "ASK", "Fill=#N/A")), NA())</f>
        <v>0.33999999999999997</v>
      </c>
      <c r="O34" s="10">
        <f ca="1">IFERROR(AVERAGE(_xll.BDP(O$18 &amp; $B33 &amp; RIGHT($C33, 1) &amp; O$18 &amp; $B34 &amp; RIGHT($C34, 1) &amp; " " &amp; "Comdty", "BID", "Fill=#N/A"), _xll.BDP(O$18 &amp; $B33 &amp; RIGHT($C33, 1) &amp; O$18 &amp; $B34 &amp; RIGHT($C34, 1) &amp; " " &amp; "Comdty", "ASK", "Fill=#N/A")), NA())</f>
        <v>0.40500000000000003</v>
      </c>
      <c r="P34" s="10">
        <f ca="1">IFERROR(AVERAGE(_xll.BDP(P$18 &amp; $B33 &amp; RIGHT($C33, 1) &amp; P$18 &amp; $B34 &amp; RIGHT($C34, 1) &amp; " " &amp; "Comdty", "BID", "Fill=#N/A"), _xll.BDP(P$18 &amp; $B33 &amp; RIGHT($C33, 1) &amp; P$18 &amp; $B34 &amp; RIGHT($C34, 1) &amp; " " &amp; "Comdty", "ASK", "Fill=#N/A")), NA())</f>
        <v>16.125</v>
      </c>
      <c r="Q34" s="10">
        <f ca="1">IFERROR(AVERAGE(_xll.BDP(Q$18 &amp; $B33 &amp; RIGHT($C33, 1) &amp; Q$18 &amp; $B34 &amp; RIGHT($C34, 1) &amp; " " &amp; "Comdty", "BID", "Fill=#N/A"), _xll.BDP(Q$18 &amp; $B33 &amp; RIGHT($C33, 1) &amp; Q$18 &amp; $B34 &amp; RIGHT($C34, 1) &amp; " " &amp; "Comdty", "ASK", "Fill=#N/A")), NA())</f>
        <v>4.6749999999999998</v>
      </c>
      <c r="R34" s="10">
        <f ca="1">IFERROR(AVERAGE(_xll.BDP(R$18 &amp; $B33 &amp; RIGHT($C33, 1) &amp; R$18 &amp; $B34 &amp; RIGHT($C34, 1) &amp; " " &amp; "Comdty", "BID", "Fill=#N/A"), _xll.BDP(R$18 &amp; $B33 &amp; RIGHT($C33, 1) &amp; R$18 &amp; $B34 &amp; RIGHT($C34, 1) &amp; " " &amp; "Comdty", "ASK", "Fill=#N/A")), NA())</f>
        <v>5.0250000000000004</v>
      </c>
      <c r="S34" s="10" t="e">
        <f ca="1">IFERROR(AVERAGE(_xll.BDP(S$18 &amp; $B33 &amp; RIGHT($C33, 1) &amp; $B34 &amp; RIGHT($C34, 1) &amp; " " &amp; "Comdty", "BID", "Fill=#N/A"), _xll.BDP(S$18 &amp; $B33 &amp; RIGHT($C33, 1) &amp; $B34 &amp; RIGHT($C34, 1) &amp; " " &amp; "Comdty", "ASK", "Fill=#N/A")), NA())</f>
        <v>#N/A</v>
      </c>
      <c r="T34" s="10" t="e">
        <f ca="1">IFERROR(AVERAGE(_xll.BDP(T$18 &amp; $B33 &amp; RIGHT($C33, 1) &amp; $B34 &amp; RIGHT($C34, 1) &amp; " " &amp; "Comdty", "BID", "Fill=#N/A"), _xll.BDP(T$18 &amp; $B33 &amp; RIGHT($C33, 1) &amp; $B34 &amp; RIGHT($C34, 1) &amp; " " &amp; "Comdty", "ASK", "Fill=#N/A")), NA())</f>
        <v>#N/A</v>
      </c>
      <c r="U34" s="10">
        <f ca="1">IF($A34 &lt; Diagnostics!$B$3, N34, INDEX(ImpSprd[], MATCH(Futs!$C34, ImpSprd[Yr], 0), MATCH(U$18, ImpSprd[#Headers], 0)))</f>
        <v>0.33999999999999997</v>
      </c>
      <c r="V34" s="10">
        <f ca="1">IF($A34 &lt; Diagnostics!$B$3, O34, INDEX(ImpSprd[], MATCH(Futs!$C34, ImpSprd[Yr], 0), MATCH(V$18, ImpSprd[#Headers], 0)))</f>
        <v>0.40500000000000003</v>
      </c>
      <c r="W34" s="10">
        <f ca="1">IF($A34 &lt; Diagnostics!$B$3, P34, INDEX(ImpSprd[], MATCH(Futs!$C34, ImpSprd[Yr], 0), MATCH(W$18, ImpSprd[#Headers], 0)))</f>
        <v>16.125</v>
      </c>
      <c r="X34" s="31">
        <f ca="1">INDEX(Expi[], MATCH($A34, Expi[Date], 0), MATCH(X$18, Expi[#Headers], 0))</f>
        <v>46741</v>
      </c>
      <c r="Y34" s="31">
        <f ca="1">INDEX(Expi[], MATCH($A34, Expi[Date], 0), MATCH(Y$18, Expi[#Headers], 0))</f>
        <v>46751</v>
      </c>
      <c r="Z34" s="31">
        <f ca="1">INDEX(Expi[], MATCH($A34, Expi[Date], 0), MATCH(Z$18, Expi[#Headers], 0))</f>
        <v>46731</v>
      </c>
      <c r="AA34" s="31">
        <f ca="1">INDEX(Expi[], MATCH($A34, Expi[Date], 0), MATCH(AA$18, Expi[#Headers], 0))</f>
        <v>46752</v>
      </c>
      <c r="AB34" s="31">
        <f ca="1">INDEX(Expi[], MATCH($A34, Expi[Date], 0), MATCH(AB$18, Expi[#Headers], 0))</f>
        <v>46752</v>
      </c>
      <c r="AC34" s="31">
        <f ca="1">INDEX(Expi[], MATCH($A34, Expi[Date], 0), MATCH(AC$18, Expi[#Headers], 0))</f>
        <v>46751</v>
      </c>
      <c r="AD34" s="7">
        <f ca="1">NETWORKDAYS($A34, EOMONTH($A34, 0), Hols[CME])</f>
        <v>23</v>
      </c>
      <c r="AE34" s="7">
        <f ca="1">NETWORKDAYS($A34, EOMONTH($A34, 0), Hols[ICE])</f>
        <v>23</v>
      </c>
      <c r="AF34" s="7">
        <f ca="1">NETWORKDAYS($A34, EOMONTH($A34, 0), Hols[ICE])</f>
        <v>23</v>
      </c>
      <c r="AG34" s="7">
        <f ca="1">NETWORKDAYS($A34, EOMONTH($A34, 0), Hols[CME])</f>
        <v>23</v>
      </c>
      <c r="AH34" s="7">
        <f ca="1">NETWORKDAYS($A34, EOMONTH($A34, 0), Hols[CME])</f>
        <v>23</v>
      </c>
      <c r="AI34" s="7">
        <f ca="1">NETWORKDAYS($A34, EOMONTH($A34, 0), Hols[ICE])</f>
        <v>23</v>
      </c>
      <c r="AJ34" s="7">
        <f ca="1">NETWORKDAYS($A34, X34, Hols[CME])</f>
        <v>14</v>
      </c>
      <c r="AK34" s="7">
        <f ca="1">NETWORKDAYS($A34, Y34, Hols[ICE]) - 1</f>
        <v>21</v>
      </c>
      <c r="AL34" s="7">
        <f ca="1">NETWORKDAYS($A34, Z34, Hols[ICE]) - 1</f>
        <v>7</v>
      </c>
      <c r="AM34" s="7">
        <f ca="1">NETWORKDAYS($A34, AA34, Hols[CME])</f>
        <v>23</v>
      </c>
      <c r="AN34" s="7">
        <f ca="1">NETWORKDAYS($A34, AB34, Hols[CME])</f>
        <v>23</v>
      </c>
      <c r="AO34" s="7">
        <f ca="1">NETWORKDAYS($A34, AC34, Hols[ICE]) - 1</f>
        <v>21</v>
      </c>
      <c r="AP34" s="10">
        <f t="shared" ca="1" si="67"/>
        <v>0.60869565217391308</v>
      </c>
      <c r="AQ34" s="10">
        <f t="shared" ca="1" si="68"/>
        <v>0.91304347826086951</v>
      </c>
      <c r="AR34" s="10">
        <f t="shared" ca="1" si="69"/>
        <v>0.30434782608695654</v>
      </c>
      <c r="AS34" s="10">
        <f t="shared" ca="1" si="70"/>
        <v>1</v>
      </c>
      <c r="AT34" s="10">
        <f t="shared" ca="1" si="71"/>
        <v>1</v>
      </c>
      <c r="AU34" s="10">
        <f t="shared" ca="1" si="71"/>
        <v>0.91304347826086951</v>
      </c>
      <c r="AV34" s="28">
        <f ca="1">IFERROR(AVERAGE(_xll.BDH(AV$18 &amp; $B34 &amp; RIGHT($C34, 1) &amp; " " &amp; "Comdty", "PX_SETTLE", AV$16, AV$16, "Fill=#N/A")), IFERROR(AVERAGE(_xll.BDH(AV$18 &amp; $B34 &amp; RIGHT($C34, 2) &amp; " " &amp; "Comdty", "PX_SETTLE", AV$16, AV$16, "Fill=#N/A")), NA()))</f>
        <v>71.569999999999993</v>
      </c>
      <c r="AW34" s="28">
        <f ca="1">IFERROR(AVERAGE(_xll.BDH(AW$18 &amp; $B34 &amp; RIGHT($C34, 1) &amp; " " &amp; "Comdty", "PX_SETTLE", AW$16, AW$16, "Fill=#N/A")), IFERROR(AVERAGE(_xll.BDH(AW$18 &amp; $B34 &amp; RIGHT($C34, 2) &amp; " " &amp; "Comdty", "PX_SETTLE", AW$16, AW$16, "Fill=#N/A")), NA()))</f>
        <v>77.05</v>
      </c>
      <c r="AX34" s="29">
        <f ca="1">IFERROR(AVERAGE(_xll.BDH(AX$18 &amp; $B34 &amp; RIGHT($C34, 2) &amp; " " &amp; "Comdty", "FAIR_VALUE_SNAPSHOT_AT_1430", AX$16, AX$16, "TIME_ZONE_OVERRIDE=13", "Fill=#N/A")), NA())</f>
        <v>922.5</v>
      </c>
      <c r="AY34" s="28">
        <f ca="1">IFERROR(AVERAGE(_xll.BDH(AY$18 &amp; $B34 &amp; RIGHT($C34, 1) &amp; " " &amp; "Comdty", "PX_SETTLE", AY$16, AY$16, "Fill=#N/A")), NA())</f>
        <v>328.46</v>
      </c>
      <c r="AZ34" s="28">
        <f ca="1">IFERROR(AVERAGE(_xll.BDH(AZ$18 &amp; $B34 &amp; RIGHT($C34, 1) &amp; " " &amp; "Comdty", "PX_SETTLE", AZ$16, AZ$16, "Fill=#N/A")), NA())</f>
        <v>233.26</v>
      </c>
      <c r="BA34" s="29" t="e">
        <f ca="1">IFERROR(AVERAGE(_xll.BDH(BA$18 &amp; $B34 &amp; RIGHT($C34, 2) &amp; " " &amp; "Comdty", "PX_SETTLE", BA$16, BA$16, "Fill=#N/A")), IFERROR(AVERAGE(_xll.BDH(BA$18 &amp; $B34 &amp; RIGHT($C34, 2) &amp; " " &amp; "Comdty", "PX_SETTLE", BA$16, BA$16, "Fill=#N/A")), NA()))</f>
        <v>#N/A</v>
      </c>
      <c r="BB34" s="29">
        <f ca="1">IFERROR(AVERAGE(_xll.BDH(BB$18 &amp; $B34 &amp; RIGHT($C34, 2) &amp; " " &amp; "Comdty", "PX_SETTLE", BB$16, BB$16, "Fill=#N/A")), IFERROR(AVERAGE(_xll.BDH(BB$18 &amp; $B34 &amp; RIGHT($C34, 2) &amp; " " &amp; "Comdty", "PX_SETTLE", BB$16, BB$16, "Fill=#N/A")), NA()))</f>
        <v>77.75</v>
      </c>
      <c r="BC34" s="29">
        <f ca="1">IFERROR(AVERAGE(_xll.BDH(BC$18 &amp; $B34 &amp; RIGHT($C34, 2) &amp; " " &amp; "Comdty", "PX_SETTLE", BC$16, BC$16, "Fill=#N/A")), IFERROR(AVERAGE(_xll.BDH(BC$18 &amp; $B34 &amp; RIGHT($C34, 2) &amp; " " &amp; "Comdty", "PX_SETTLE", BC$16, BC$16, "Fill=#N/A")), NA()))</f>
        <v>516</v>
      </c>
      <c r="BD34" s="29" cm="1">
        <f t="array" ref="BD34">_xll.BFXFORWARD("USDCNY", "14M", "MidOutright")</f>
        <v>6.5491000000000001</v>
      </c>
      <c r="BE34" s="109">
        <f t="shared" ca="1" si="209"/>
        <v>71.474999999999994</v>
      </c>
      <c r="BF34" s="46">
        <f t="shared" ca="1" si="72"/>
        <v>-9.4999999999998863E-2</v>
      </c>
      <c r="BG34" s="47">
        <f t="shared" ca="1" si="151"/>
        <v>0.34000000000000341</v>
      </c>
      <c r="BH34" s="114">
        <f t="shared" ca="1" si="223"/>
        <v>-3.0000000000001137E-2</v>
      </c>
      <c r="BI34" s="110">
        <f t="shared" ca="1" si="224"/>
        <v>76.925000000000011</v>
      </c>
      <c r="BJ34" s="46">
        <f t="shared" ca="1" si="73"/>
        <v>-0.12499999999998579</v>
      </c>
      <c r="BK34" s="48">
        <f t="shared" ca="1" si="225"/>
        <v>0.40500000000000114</v>
      </c>
      <c r="BL34" s="114">
        <f t="shared" ca="1" si="226"/>
        <v>-3.4999999999996589E-2</v>
      </c>
      <c r="BM34" s="48">
        <f t="shared" ca="1" si="152"/>
        <v>918.25</v>
      </c>
      <c r="BN34" s="46">
        <f t="shared" ca="1" si="74"/>
        <v>-4.25</v>
      </c>
      <c r="BO34" s="47">
        <f t="shared" ca="1" si="210"/>
        <v>16.125</v>
      </c>
      <c r="BP34" s="46">
        <f t="shared" ca="1" si="133"/>
        <v>-4.9999999999954525E-3</v>
      </c>
      <c r="BQ34" s="110">
        <f t="shared" ca="1" si="211"/>
        <v>327.47499999999997</v>
      </c>
      <c r="BR34" s="46">
        <f t="shared" ca="1" si="75"/>
        <v>-0.98500000000001364</v>
      </c>
      <c r="BS34" s="47">
        <f t="shared" ca="1" si="153"/>
        <v>4.6750000000000114</v>
      </c>
      <c r="BT34" s="114">
        <f t="shared" ca="1" si="154"/>
        <v>3.4999999999968168E-2</v>
      </c>
      <c r="BU34" s="48">
        <f t="shared" ca="1" si="212"/>
        <v>233.46999999999994</v>
      </c>
      <c r="BV34" s="46">
        <f t="shared" ca="1" si="76"/>
        <v>0.20999999999995111</v>
      </c>
      <c r="BW34" s="47">
        <f t="shared" ca="1" si="155"/>
        <v>5.0250000000000057</v>
      </c>
      <c r="BX34" s="46">
        <f t="shared" ca="1" si="156"/>
        <v>-0.11500000000000909</v>
      </c>
      <c r="BY34" s="140">
        <f t="shared" ca="1" si="134"/>
        <v>71.10124505928853</v>
      </c>
      <c r="BZ34" s="46">
        <f t="shared" ca="1" si="135"/>
        <v>5.2114624505929026E-2</v>
      </c>
      <c r="CA34" s="47">
        <f t="shared" ca="1" si="157"/>
        <v>0.28827973409990193</v>
      </c>
      <c r="CB34" s="46">
        <f t="shared" ca="1" si="158"/>
        <v>-0.11168074020840779</v>
      </c>
      <c r="CC34" s="141">
        <f t="shared" ca="1" si="136"/>
        <v>76.289426877470376</v>
      </c>
      <c r="CD34" s="50">
        <f t="shared" ca="1" si="137"/>
        <v>7.8992094861690176E-2</v>
      </c>
      <c r="CE34" s="47">
        <f t="shared" ca="1" si="159"/>
        <v>0.31718469277757322</v>
      </c>
      <c r="CF34" s="46">
        <f t="shared" ca="1" si="160"/>
        <v>-8.4653251886460334E-2</v>
      </c>
      <c r="CG34" s="141">
        <f t="shared" ca="1" si="138"/>
        <v>911.78359683794474</v>
      </c>
      <c r="CH34" s="50">
        <f t="shared" ca="1" si="139"/>
        <v>-2.5424901185770468</v>
      </c>
      <c r="CI34" s="47">
        <f t="shared" ca="1" si="161"/>
        <v>12.330039525691745</v>
      </c>
      <c r="CJ34" s="46">
        <f t="shared" ca="1" si="162"/>
        <v>-1.7093280632411334</v>
      </c>
      <c r="CK34" s="141">
        <f t="shared" ca="1" si="140"/>
        <v>323.72999999999996</v>
      </c>
      <c r="CL34" s="50">
        <f t="shared" ca="1" si="77"/>
        <v>-1.0200000000000387</v>
      </c>
      <c r="CM34" s="47">
        <f t="shared" ca="1" si="163"/>
        <v>3.7450000000000045</v>
      </c>
      <c r="CN34" s="46">
        <f t="shared" ca="1" si="164"/>
        <v>3.5000000000025011E-2</v>
      </c>
      <c r="CO34" s="141">
        <f t="shared" ca="1" si="141"/>
        <v>230.41499999999994</v>
      </c>
      <c r="CP34" s="50">
        <f t="shared" ca="1" si="78"/>
        <v>0.33499999999992269</v>
      </c>
      <c r="CQ34" s="47">
        <f t="shared" ca="1" si="165"/>
        <v>3.0550000000000068</v>
      </c>
      <c r="CR34" s="46">
        <f t="shared" ca="1" si="166"/>
        <v>-0.12499999999997158</v>
      </c>
      <c r="CS34" s="109">
        <f t="shared" ca="1" si="79"/>
        <v>-5.4500000000000171</v>
      </c>
      <c r="CT34" s="46">
        <f t="shared" ca="1" si="80"/>
        <v>2.9999999999986926E-2</v>
      </c>
      <c r="CU34" s="47">
        <f t="shared" ca="1" si="167"/>
        <v>-6.4999999999997726E-2</v>
      </c>
      <c r="CV34" s="46">
        <f t="shared" ca="1" si="168"/>
        <v>0</v>
      </c>
      <c r="CW34" s="110">
        <f t="shared" ca="1" si="142"/>
        <v>-5.188181818181846</v>
      </c>
      <c r="CX34" s="46">
        <f t="shared" ca="1" si="81"/>
        <v>-2.687747035576115E-2</v>
      </c>
      <c r="CY34" s="47">
        <f t="shared" ca="1" si="169"/>
        <v>-2.8904958677671289E-2</v>
      </c>
      <c r="CZ34" s="46">
        <f t="shared" ca="1" si="170"/>
        <v>-2.7027488321947464E-2</v>
      </c>
      <c r="DA34" s="109">
        <f t="shared" ca="1" si="82"/>
        <v>46.33003355704696</v>
      </c>
      <c r="DB34" s="46">
        <f t="shared" ca="1" si="83"/>
        <v>-0.44546979865773229</v>
      </c>
      <c r="DC34" s="47">
        <f t="shared" ca="1" si="171"/>
        <v>1.759429530201345</v>
      </c>
      <c r="DD34" s="46">
        <f t="shared" ca="1" si="233"/>
        <v>3.4328859060399841E-2</v>
      </c>
      <c r="DE34" s="110">
        <f t="shared" ca="1" si="84"/>
        <v>60.614499999999964</v>
      </c>
      <c r="DF34" s="46">
        <f t="shared" ca="1" si="85"/>
        <v>-0.28870000000001994</v>
      </c>
      <c r="DG34" s="47">
        <f t="shared" ca="1" si="172"/>
        <v>1.5585000000000093</v>
      </c>
      <c r="DH34" s="46">
        <f t="shared" ca="1" si="173"/>
        <v>4.9699999999983202E-2</v>
      </c>
      <c r="DI34" s="110">
        <f t="shared" ca="1" si="86"/>
        <v>21.132399999999961</v>
      </c>
      <c r="DJ34" s="46">
        <f t="shared" ca="1" si="87"/>
        <v>0.21319999999996525</v>
      </c>
      <c r="DK34" s="47">
        <f t="shared" ca="1" si="174"/>
        <v>1.7055000000000007</v>
      </c>
      <c r="DL34" s="46">
        <f t="shared" ca="1" si="175"/>
        <v>-1.3300000000007223E-2</v>
      </c>
      <c r="DM34" s="110">
        <f t="shared" ca="1" si="88"/>
        <v>66.064499999999981</v>
      </c>
      <c r="DN34" s="46">
        <f t="shared" ca="1" si="89"/>
        <v>-0.31870000000000687</v>
      </c>
      <c r="DO34" s="47">
        <f t="shared" ca="1" si="176"/>
        <v>1.623500000000007</v>
      </c>
      <c r="DP34" s="47">
        <f t="shared" ca="1" si="177"/>
        <v>4.469999999998775E-2</v>
      </c>
      <c r="DQ34" s="110">
        <f t="shared" ca="1" si="90"/>
        <v>26.582399999999978</v>
      </c>
      <c r="DR34" s="46">
        <f t="shared" ca="1" si="91"/>
        <v>0.18319999999997832</v>
      </c>
      <c r="DS34" s="47">
        <f t="shared" ca="1" si="178"/>
        <v>1.7704999999999984</v>
      </c>
      <c r="DT34" s="47">
        <f t="shared" ca="1" si="179"/>
        <v>-1.8300000000002675E-2</v>
      </c>
      <c r="DU34" s="109">
        <f t="shared" ca="1" si="92"/>
        <v>46.097633100777244</v>
      </c>
      <c r="DV34" s="46">
        <f t="shared" ca="1" si="93"/>
        <v>-0.420265936281428</v>
      </c>
      <c r="DW34" s="47">
        <f t="shared" ca="1" si="180"/>
        <v>1.3378541697313722</v>
      </c>
      <c r="DX34" s="47">
        <f t="shared" ca="1" si="181"/>
        <v>-0.14478675660228241</v>
      </c>
      <c r="DY34" s="110">
        <f t="shared" ca="1" si="94"/>
        <v>59.677173122529595</v>
      </c>
      <c r="DZ34" s="46">
        <f t="shared" ca="1" si="95"/>
        <v>-0.50739209486170633</v>
      </c>
      <c r="EA34" s="47">
        <f t="shared" ca="1" si="182"/>
        <v>1.255715307222431</v>
      </c>
      <c r="EB34" s="47">
        <f t="shared" ca="1" si="183"/>
        <v>9.9353251886470761E-2</v>
      </c>
      <c r="EC34" s="110">
        <f t="shared" ca="1" si="96"/>
        <v>20.484873122529592</v>
      </c>
      <c r="ED34" s="46">
        <f t="shared" ca="1" si="97"/>
        <v>6.1707905138277341E-2</v>
      </c>
      <c r="EE34" s="47">
        <f t="shared" ca="1" si="184"/>
        <v>0.96591530722243135</v>
      </c>
      <c r="EF34" s="47">
        <f t="shared" ca="1" si="185"/>
        <v>3.2153251886472278E-2</v>
      </c>
      <c r="EG34" s="110">
        <f t="shared" ca="1" si="98"/>
        <v>64.865354940711441</v>
      </c>
      <c r="EH34" s="46">
        <f t="shared" ca="1" si="99"/>
        <v>-0.48051462450594523</v>
      </c>
      <c r="EI34" s="47">
        <f t="shared" ca="1" si="186"/>
        <v>1.2846202659001023</v>
      </c>
      <c r="EJ34" s="47">
        <f t="shared" ca="1" si="187"/>
        <v>0.12638074020841827</v>
      </c>
      <c r="EK34" s="110">
        <f t="shared" ca="1" si="100"/>
        <v>25.673054940711438</v>
      </c>
      <c r="EL34" s="46">
        <f t="shared" ca="1" si="101"/>
        <v>8.8585375494038499E-2</v>
      </c>
      <c r="EM34" s="47">
        <f t="shared" ca="1" si="188"/>
        <v>0.99482026590010264</v>
      </c>
      <c r="EN34" s="47">
        <f t="shared" ca="1" si="189"/>
        <v>5.9180740208419735E-2</v>
      </c>
      <c r="EO34" s="109">
        <f t="shared" ca="1" si="102"/>
        <v>34.010634387983373</v>
      </c>
      <c r="EP34" s="46">
        <f t="shared" ca="1" si="103"/>
        <v>0.37326142537550577</v>
      </c>
      <c r="EQ34" s="47">
        <f t="shared" ca="1" si="190"/>
        <v>-0.47840364333654861</v>
      </c>
      <c r="ER34" s="47">
        <f t="shared" ca="1" si="191"/>
        <v>3.6597954618055484E-2</v>
      </c>
      <c r="ES34" s="110">
        <f t="shared" ca="1" si="104"/>
        <v>32.332238147029443</v>
      </c>
      <c r="ET34" s="46">
        <f t="shared" ca="1" si="105"/>
        <v>-0.20744323471494863</v>
      </c>
      <c r="EU34" s="47">
        <f t="shared" ca="1" si="192"/>
        <v>-0.1955687202594163</v>
      </c>
      <c r="EV34" s="47">
        <f t="shared" ca="1" si="193"/>
        <v>0.58128573449703147</v>
      </c>
      <c r="EW34" s="109">
        <f t="shared" ca="1" si="106"/>
        <v>-94.005000000000024</v>
      </c>
      <c r="EX34" s="46">
        <f t="shared" ca="1" si="107"/>
        <v>1.1949999999999648</v>
      </c>
      <c r="EY34" s="47">
        <f t="shared" ca="1" si="194"/>
        <v>0.34999999999999432</v>
      </c>
      <c r="EZ34" s="47">
        <f t="shared" ca="1" si="195"/>
        <v>-0.14999999999997726</v>
      </c>
      <c r="FA34" s="110">
        <f t="shared" ca="1" si="108"/>
        <v>-93.315000000000026</v>
      </c>
      <c r="FB34" s="46">
        <f t="shared" ca="1" si="109"/>
        <v>1.3549999999999613</v>
      </c>
      <c r="FC34" s="47">
        <f t="shared" ca="1" si="196"/>
        <v>-0.68999999999999773</v>
      </c>
      <c r="FD34" s="47">
        <f t="shared" ca="1" si="197"/>
        <v>-0.15999999999999659</v>
      </c>
      <c r="FE34" s="109">
        <f t="shared" ca="1" si="110"/>
        <v>46.32344999999998</v>
      </c>
      <c r="FF34" s="46">
        <f t="shared" ca="1" si="111"/>
        <v>-6.7750000000014271E-2</v>
      </c>
      <c r="FG34" s="110">
        <f t="shared" ca="1" si="112"/>
        <v>39.743099999999977</v>
      </c>
      <c r="FH34" s="46">
        <f t="shared" ca="1" si="113"/>
        <v>1.5899999999983261E-2</v>
      </c>
      <c r="FI34" s="110">
        <f t="shared" ca="1" si="114"/>
        <v>40.873449999999963</v>
      </c>
      <c r="FJ34" s="46">
        <f t="shared" ca="1" si="115"/>
        <v>-3.7750000000027345E-2</v>
      </c>
      <c r="FK34" s="110">
        <f t="shared" ca="1" si="116"/>
        <v>34.293099999999967</v>
      </c>
      <c r="FL34" s="46">
        <f t="shared" ca="1" si="117"/>
        <v>4.5899999999970173E-2</v>
      </c>
      <c r="FM34" s="110">
        <f t="shared" ca="1" si="118"/>
        <v>45.26920494071144</v>
      </c>
      <c r="FN34" s="46">
        <f t="shared" ca="1" si="119"/>
        <v>-0.19596462450595337</v>
      </c>
      <c r="FO34" s="110">
        <f t="shared" ca="1" si="120"/>
        <v>38.737154940711441</v>
      </c>
      <c r="FP34" s="46">
        <f t="shared" ca="1" si="121"/>
        <v>-0.10111462450595607</v>
      </c>
      <c r="FQ34" s="110">
        <f t="shared" ca="1" si="122"/>
        <v>40.081023122529594</v>
      </c>
      <c r="FR34" s="46">
        <f t="shared" ca="1" si="123"/>
        <v>-0.2228420948617145</v>
      </c>
      <c r="FS34" s="110">
        <f t="shared" ca="1" si="124"/>
        <v>33.548973122529588</v>
      </c>
      <c r="FT34" s="111">
        <f t="shared" ca="1" si="125"/>
        <v>-0.12799209486171723</v>
      </c>
      <c r="FU34" s="109" t="str">
        <f t="shared" ca="1" si="232"/>
        <v/>
      </c>
      <c r="FV34" s="46" t="str">
        <f t="shared" ca="1" si="213"/>
        <v/>
      </c>
      <c r="FW34" s="48" t="str">
        <f t="shared" ca="1" si="227"/>
        <v/>
      </c>
      <c r="FX34" s="114" t="str">
        <f t="shared" ca="1" si="228"/>
        <v/>
      </c>
      <c r="FY34" s="110" t="str">
        <f t="shared" ca="1" si="214"/>
        <v/>
      </c>
      <c r="FZ34" s="46" t="str">
        <f t="shared" ca="1" si="215"/>
        <v/>
      </c>
      <c r="GA34" s="47" t="str">
        <f t="shared" ca="1" si="216"/>
        <v/>
      </c>
      <c r="GB34" s="46" t="str">
        <f t="shared" ca="1" si="229"/>
        <v/>
      </c>
      <c r="GC34" s="110" t="str">
        <f ca="1">IFERROR(IF(AND(ISNUMBER($FU34), ISNUMBER(Crd!$X34)), $FU34 - Crd!$X34, ""), "")</f>
        <v/>
      </c>
      <c r="GD34" s="46" t="str">
        <f ca="1">IFERROR(IF(AND(ISNUMBER($FV34), ISNUMBER(Crd!$Y34)), $FV34 - Crd!$Y34, ""), "")</f>
        <v/>
      </c>
      <c r="GE34" s="47" t="str">
        <f t="shared" ca="1" si="217"/>
        <v/>
      </c>
      <c r="GF34" s="46" t="str">
        <f t="shared" ca="1" si="218"/>
        <v/>
      </c>
      <c r="GG34" s="141" t="str">
        <f t="shared" ca="1" si="198"/>
        <v/>
      </c>
      <c r="GH34" s="50" t="str">
        <f t="shared" ca="1" si="199"/>
        <v/>
      </c>
      <c r="GI34" s="47" t="str">
        <f t="shared" ca="1" si="144"/>
        <v/>
      </c>
      <c r="GJ34" s="46" t="str">
        <f t="shared" ca="1" si="145"/>
        <v/>
      </c>
      <c r="GK34" s="110" t="str">
        <f t="shared" ca="1" si="127"/>
        <v/>
      </c>
      <c r="GL34" s="46" t="str">
        <f t="shared" ca="1" si="128"/>
        <v/>
      </c>
      <c r="GM34" s="47" t="str">
        <f t="shared" ca="1" si="200"/>
        <v/>
      </c>
      <c r="GN34" s="46" t="str">
        <f t="shared" ca="1" si="201"/>
        <v/>
      </c>
      <c r="GO34" s="110" t="str">
        <f ca="1">IFERROR(IF(AND(ISNUMBER($GG34), ISNUMBER(Crd!$X34)), $GG34 - Crd!$X34, ""), "")</f>
        <v/>
      </c>
      <c r="GP34" s="46" t="str">
        <f ca="1">IFERROR(IF(AND(ISNUMBER($GH34), ISNUMBER(Crd!$Y34)), $GH34 - Crd!$Y34, ""), "")</f>
        <v/>
      </c>
      <c r="GQ34" s="47" t="str">
        <f t="shared" ca="1" si="202"/>
        <v/>
      </c>
      <c r="GR34" s="46" t="str">
        <f t="shared" ca="1" si="203"/>
        <v/>
      </c>
      <c r="GS34" s="436" t="str">
        <f t="shared" ca="1" si="219"/>
        <v/>
      </c>
      <c r="GT34" s="46" t="str">
        <f t="shared" ca="1" si="220"/>
        <v/>
      </c>
      <c r="GU34" s="48" t="str">
        <f t="shared" ca="1" si="230"/>
        <v/>
      </c>
      <c r="GV34" s="46" t="str">
        <f t="shared" ca="1" si="231"/>
        <v/>
      </c>
      <c r="GW34" s="427" t="str">
        <f t="shared" ca="1" si="204"/>
        <v/>
      </c>
      <c r="GX34" s="50" t="str">
        <f t="shared" ca="1" si="146"/>
        <v/>
      </c>
      <c r="GY34" s="47" t="str">
        <f t="shared" ca="1" si="205"/>
        <v/>
      </c>
      <c r="GZ34" s="432" t="str">
        <f t="shared" ca="1" si="206"/>
        <v/>
      </c>
      <c r="HA34" s="436"/>
      <c r="HB34" s="46"/>
      <c r="HC34" s="48"/>
      <c r="HD34" s="46"/>
      <c r="HE34" s="269"/>
      <c r="HF34" s="46"/>
      <c r="HG34" s="48"/>
      <c r="HH34" s="432"/>
    </row>
    <row r="35" spans="1:216" x14ac:dyDescent="0.25">
      <c r="A35" s="58">
        <f t="shared" ca="1" si="131"/>
        <v>46753</v>
      </c>
      <c r="B35" s="6" t="str">
        <f ca="1">INDEX(MthRef[], MATCH(MONTH(Futs!$A35), MthRef[Mth], 0), 2)</f>
        <v>F</v>
      </c>
      <c r="C35" s="6">
        <f t="shared" ca="1" si="65"/>
        <v>2028</v>
      </c>
      <c r="D35" s="6" t="str">
        <f t="shared" ca="1" si="66"/>
        <v>Q128</v>
      </c>
      <c r="E35" s="6" t="str">
        <f t="shared" ca="1" si="132"/>
        <v>F8</v>
      </c>
      <c r="F35" s="10">
        <f ca="1">IFERROR(AVERAGE(_xll.BDP(F$18 &amp; $B35 &amp; RIGHT($C35, 1) &amp; " " &amp; "Comdty", "BID", "Fill=#N/A"), _xll.BDP(F$18 &amp; $B35 &amp; RIGHT($C35, 1) &amp; " " &amp; "Comdty", "ASK", "Fill=#N/A")), NA())</f>
        <v>71.125</v>
      </c>
      <c r="G35" s="10">
        <f ca="1">IFERROR(AVERAGE(_xll.BDP(G$18 &amp; $B35 &amp; RIGHT($C35, 1) &amp; " " &amp; "Comdty", "BID", "Fill=#N/A"), _xll.BDP(G$18 &amp; $B35 &amp; RIGHT($C35, 1) &amp; " " &amp; "Comdty", "ASK", "Fill=#N/A")), NA())</f>
        <v>76.539999999999992</v>
      </c>
      <c r="H35" s="10">
        <f ca="1">IFERROR(AVERAGE(_xll.BDP(H$18 &amp; $B35 &amp; RIGHT($C35, 1) &amp; " " &amp; "Comdty", "BID", "Fill=#N/A"), _xll.BDP(H$18 &amp; $B35 &amp; RIGHT($C35, 1) &amp; " " &amp; "Comdty", "ASK", "Fill=#N/A")), NA())</f>
        <v>906.5</v>
      </c>
      <c r="I35" s="10">
        <f ca="1">IFERROR(AVERAGE(_xll.BDP(I$18 &amp; $B35 &amp; RIGHT($C35, 1) &amp; " " &amp; "Comdty", "BID", "Fill=#N/A"), _xll.BDP(I$18 &amp; $B35 &amp; RIGHT($C35, 1) &amp; " " &amp; "Comdty", "ASK", "Fill=#N/A")), NA())</f>
        <v>323.41999999999996</v>
      </c>
      <c r="J35" s="10">
        <f ca="1">IFERROR(AVERAGE(_xll.BDP(J$18 &amp; $B35 &amp; RIGHT($C35, 1) &amp; " " &amp; "Comdty", "BID", "Fill=#N/A"), _xll.BDP(J$18 &amp; $B35 &amp; RIGHT($C35, 1) &amp; " " &amp; "Comdty", "ASK", "Fill=#N/A")), NA())</f>
        <v>229.62</v>
      </c>
      <c r="K35" s="10" t="e">
        <f ca="1">IFERROR(AVERAGE(_xll.BDP(K$18 &amp; $B35 &amp; RIGHT($C35, 2) &amp; " " &amp; "Comdty", "BID", "Fill=#N/A"), _xll.BDP(K$18 &amp; $B35 &amp; RIGHT($C35, 2) &amp; " " &amp; "Comdty", "ASK", "Fill=#N/A")), NA())</f>
        <v>#N/A</v>
      </c>
      <c r="L35" s="10" t="e">
        <f ca="1">IFERROR(AVERAGE(_xll.BDP(L$18 &amp; $B35 &amp; RIGHT($C35, 2) &amp; " " &amp; "Comdty", "BID", "Fill=#N/A"), _xll.BDP(L$18 &amp; $B35 &amp; RIGHT($C35, 2) &amp; " " &amp; "Comdty", "ASK", "Fill=#N/A")), NA())</f>
        <v>#N/A</v>
      </c>
      <c r="M35" s="10" t="e">
        <f ca="1">IFERROR(AVERAGE(_xll.BDP(M$18 &amp; $B35 &amp; RIGHT($C35, 2) &amp; " " &amp; "Comdty", "BID", "Fill=#N/A"), _xll.BDP(M$18 &amp; $B35 &amp; RIGHT($C35, 2) &amp; " " &amp; "Comdty", "ASK", "Fill=#N/A")), NA())</f>
        <v>#N/A</v>
      </c>
      <c r="N35" s="10">
        <f ca="1">IFERROR(AVERAGE(_xll.BDP(N$18 &amp; $B34 &amp; RIGHT($C34, 1) &amp; N$18 &amp; $B35 &amp; RIGHT($C35, 1) &amp; " " &amp; "Comdty", "BID", "Fill=#N/A"), _xll.BDP(N$18 &amp; $B34 &amp; RIGHT($C34, 1) &amp; N$18 &amp; $B35 &amp; RIGHT($C35, 1) &amp; " " &amp; "Comdty", "ASK", "Fill=#N/A")), NA())</f>
        <v>0.35499999999999998</v>
      </c>
      <c r="O35" s="10">
        <f ca="1">IFERROR(AVERAGE(_xll.BDP(O$18 &amp; $B34 &amp; RIGHT($C34, 1) &amp; O$18 &amp; $B35 &amp; RIGHT($C35, 1) &amp; " " &amp; "Comdty", "BID", "Fill=#N/A"), _xll.BDP(O$18 &amp; $B34 &amp; RIGHT($C34, 1) &amp; O$18 &amp; $B35 &amp; RIGHT($C35, 1) &amp; " " &amp; "Comdty", "ASK", "Fill=#N/A")), NA())</f>
        <v>0.39500000000000002</v>
      </c>
      <c r="P35" s="10">
        <f ca="1">IFERROR(AVERAGE(_xll.BDP(P$18 &amp; $B34 &amp; RIGHT($C34, 1) &amp; P$18 &amp; $B35 &amp; RIGHT($C35, 1) &amp; " " &amp; "Comdty", "BID", "Fill=#N/A"), _xll.BDP(P$18 &amp; $B34 &amp; RIGHT($C34, 1) &amp; P$18 &amp; $B35 &amp; RIGHT($C35, 1) &amp; " " &amp; "Comdty", "ASK", "Fill=#N/A")), NA())</f>
        <v>11.625</v>
      </c>
      <c r="Q35" s="10">
        <f ca="1">IFERROR(AVERAGE(_xll.BDP(Q$18 &amp; $B34 &amp; RIGHT($C34, 1) &amp; Q$18 &amp; $B35 &amp; RIGHT($C35, 1) &amp; " " &amp; "Comdty", "BID", "Fill=#N/A"), _xll.BDP(Q$18 &amp; $B34 &amp; RIGHT($C34, 1) &amp; Q$18 &amp; $B35 &amp; RIGHT($C35, 1) &amp; " " &amp; "Comdty", "ASK", "Fill=#N/A")), NA())</f>
        <v>3.7450000000000001</v>
      </c>
      <c r="R35" s="10">
        <f ca="1">IFERROR(AVERAGE(_xll.BDP(R$18 &amp; $B34 &amp; RIGHT($C34, 1) &amp; R$18 &amp; $B35 &amp; RIGHT($C35, 1) &amp; " " &amp; "Comdty", "BID", "Fill=#N/A"), _xll.BDP(R$18 &amp; $B34 &amp; RIGHT($C34, 1) &amp; R$18 &amp; $B35 &amp; RIGHT($C35, 1) &amp; " " &amp; "Comdty", "ASK", "Fill=#N/A")), NA())</f>
        <v>3.0550000000000002</v>
      </c>
      <c r="S35" s="10" t="e">
        <f ca="1">IFERROR(AVERAGE(_xll.BDP(S$18 &amp; $B34 &amp; RIGHT($C34, 1) &amp; $B35 &amp; RIGHT($C35, 1) &amp; " " &amp; "Comdty", "BID", "Fill=#N/A"), _xll.BDP(S$18 &amp; $B34 &amp; RIGHT($C34, 1) &amp; $B35 &amp; RIGHT($C35, 1) &amp; " " &amp; "Comdty", "ASK", "Fill=#N/A")), NA())</f>
        <v>#N/A</v>
      </c>
      <c r="T35" s="10" t="e">
        <f ca="1">IFERROR(AVERAGE(_xll.BDP(T$18 &amp; $B34 &amp; RIGHT($C34, 1) &amp; $B35 &amp; RIGHT($C35, 1) &amp; " " &amp; "Comdty", "BID", "Fill=#N/A"), _xll.BDP(T$18 &amp; $B34 &amp; RIGHT($C34, 1) &amp; $B35 &amp; RIGHT($C35, 1) &amp; " " &amp; "Comdty", "ASK", "Fill=#N/A")), NA())</f>
        <v>#N/A</v>
      </c>
      <c r="U35" s="10">
        <f ca="1">IF($A35 &lt; Diagnostics!$B$3, N35, INDEX(ImpSprd[], MATCH(Futs!$C35, ImpSprd[Yr], 0), MATCH(U$18, ImpSprd[#Headers], 0)))</f>
        <v>0.26863636363636362</v>
      </c>
      <c r="V35" s="10">
        <f ca="1">IF($A35 &lt; Diagnostics!$B$3, O35, INDEX(ImpSprd[], MATCH(Futs!$C35, ImpSprd[Yr], 0), MATCH(V$18, ImpSprd[#Headers], 0)))</f>
        <v>0.30454545454545451</v>
      </c>
      <c r="W35" s="10">
        <f ca="1">IF($A35 &lt; Diagnostics!$B$3, P35, INDEX(ImpSprd[], MATCH(Futs!$C35, ImpSprd[Yr], 0), MATCH(W$18, ImpSprd[#Headers], 0)))</f>
        <v>9.295454545454545</v>
      </c>
      <c r="X35" s="31">
        <f ca="1">INDEX(Expi[], MATCH($A35, Expi[Date], 0), MATCH(X$18, Expi[#Headers], 0))</f>
        <v>46772</v>
      </c>
      <c r="Y35" s="31">
        <f ca="1">INDEX(Expi[], MATCH($A35, Expi[Date], 0), MATCH(Y$18, Expi[#Headers], 0))</f>
        <v>46783</v>
      </c>
      <c r="Z35" s="31">
        <f ca="1">INDEX(Expi[], MATCH($A35, Expi[Date], 0), MATCH(Z$18, Expi[#Headers], 0))</f>
        <v>46764</v>
      </c>
      <c r="AA35" s="31">
        <f ca="1">INDEX(Expi[], MATCH($A35, Expi[Date], 0), MATCH(AA$18, Expi[#Headers], 0))</f>
        <v>46783</v>
      </c>
      <c r="AB35" s="31">
        <f ca="1">INDEX(Expi[], MATCH($A35, Expi[Date], 0), MATCH(AB$18, Expi[#Headers], 0))</f>
        <v>46783</v>
      </c>
      <c r="AC35" s="31">
        <f ca="1">INDEX(Expi[], MATCH($A35, Expi[Date], 0), MATCH(AC$18, Expi[#Headers], 0))</f>
        <v>46783</v>
      </c>
      <c r="AD35" s="7">
        <f ca="1">NETWORKDAYS($A35, EOMONTH($A35, 0), Hols[CME])</f>
        <v>21</v>
      </c>
      <c r="AE35" s="7">
        <f ca="1">NETWORKDAYS($A35, EOMONTH($A35, 0), Hols[ICE])</f>
        <v>21</v>
      </c>
      <c r="AF35" s="7">
        <f ca="1">NETWORKDAYS($A35, EOMONTH($A35, 0), Hols[ICE])</f>
        <v>21</v>
      </c>
      <c r="AG35" s="7">
        <f ca="1">NETWORKDAYS($A35, EOMONTH($A35, 0), Hols[CME])</f>
        <v>21</v>
      </c>
      <c r="AH35" s="7">
        <f ca="1">NETWORKDAYS($A35, EOMONTH($A35, 0), Hols[CME])</f>
        <v>21</v>
      </c>
      <c r="AI35" s="7">
        <f ca="1">NETWORKDAYS($A35, EOMONTH($A35, 0), Hols[ICE])</f>
        <v>21</v>
      </c>
      <c r="AJ35" s="7">
        <f ca="1">NETWORKDAYS($A35, X35, Hols[CME])</f>
        <v>14</v>
      </c>
      <c r="AK35" s="7">
        <f ca="1">NETWORKDAYS($A35, Y35, Hols[ICE]) - 1</f>
        <v>20</v>
      </c>
      <c r="AL35" s="7">
        <f ca="1">NETWORKDAYS($A35, Z35, Hols[ICE]) - 1</f>
        <v>7</v>
      </c>
      <c r="AM35" s="7">
        <f ca="1">NETWORKDAYS($A35, AA35, Hols[CME])</f>
        <v>21</v>
      </c>
      <c r="AN35" s="7">
        <f ca="1">NETWORKDAYS($A35, AB35, Hols[CME])</f>
        <v>21</v>
      </c>
      <c r="AO35" s="7">
        <f ca="1">NETWORKDAYS($A35, AC35, Hols[ICE]) - 1</f>
        <v>20</v>
      </c>
      <c r="AP35" s="10">
        <f t="shared" ca="1" si="67"/>
        <v>0.66666666666666663</v>
      </c>
      <c r="AQ35" s="10">
        <f t="shared" ca="1" si="68"/>
        <v>0.95238095238095233</v>
      </c>
      <c r="AR35" s="10">
        <f t="shared" ca="1" si="69"/>
        <v>0.33333333333333331</v>
      </c>
      <c r="AS35" s="10">
        <f t="shared" ca="1" si="70"/>
        <v>1</v>
      </c>
      <c r="AT35" s="10">
        <f t="shared" ca="1" si="71"/>
        <v>1</v>
      </c>
      <c r="AU35" s="10">
        <f t="shared" ca="1" si="71"/>
        <v>0.95238095238095233</v>
      </c>
      <c r="AV35" s="28">
        <f ca="1">IFERROR(AVERAGE(_xll.BDH(AV$18 &amp; $B35 &amp; RIGHT($C35, 1) &amp; " " &amp; "Comdty", "PX_SETTLE", AV$16, AV$16, "Fill=#N/A")), IFERROR(AVERAGE(_xll.BDH(AV$18 &amp; $B35 &amp; RIGHT($C35, 2) &amp; " " &amp; "Comdty", "PX_SETTLE", AV$16, AV$16, "Fill=#N/A")), NA()))</f>
        <v>71.19</v>
      </c>
      <c r="AW35" s="28">
        <f ca="1">IFERROR(AVERAGE(_xll.BDH(AW$18 &amp; $B35 &amp; RIGHT($C35, 1) &amp; " " &amp; "Comdty", "PX_SETTLE", AW$16, AW$16, "Fill=#N/A")), IFERROR(AVERAGE(_xll.BDH(AW$18 &amp; $B35 &amp; RIGHT($C35, 2) &amp; " " &amp; "Comdty", "PX_SETTLE", AW$16, AW$16, "Fill=#N/A")), NA()))</f>
        <v>76.63</v>
      </c>
      <c r="AX35" s="29">
        <f ca="1">IFERROR(AVERAGE(_xll.BDH(AX$18 &amp; $B35 &amp; RIGHT($C35, 2) &amp; " " &amp; "Comdty", "FAIR_VALUE_SNAPSHOT_AT_1430", AX$16, AX$16, "TIME_ZONE_OVERRIDE=13", "Fill=#N/A")), NA())</f>
        <v>910.75</v>
      </c>
      <c r="AY35" s="28">
        <f ca="1">IFERROR(AVERAGE(_xll.BDH(AY$18 &amp; $B35 &amp; RIGHT($C35, 1) &amp; " " &amp; "Comdty", "PX_SETTLE", AY$16, AY$16, "Fill=#N/A")), NA())</f>
        <v>324.75</v>
      </c>
      <c r="AZ35" s="28">
        <f ca="1">IFERROR(AVERAGE(_xll.BDH(AZ$18 &amp; $B35 &amp; RIGHT($C35, 1) &amp; " " &amp; "Comdty", "PX_SETTLE", AZ$16, AZ$16, "Fill=#N/A")), NA())</f>
        <v>230.08</v>
      </c>
      <c r="BA35" s="29" t="e">
        <f ca="1">IFERROR(AVERAGE(_xll.BDH(BA$18 &amp; $B35 &amp; RIGHT($C35, 2) &amp; " " &amp; "Comdty", "PX_SETTLE", BA$16, BA$16, "Fill=#N/A")), IFERROR(AVERAGE(_xll.BDH(BA$18 &amp; $B35 &amp; RIGHT($C35, 2) &amp; " " &amp; "Comdty", "PX_SETTLE", BA$16, BA$16, "Fill=#N/A")), NA()))</f>
        <v>#N/A</v>
      </c>
      <c r="BB35" s="29">
        <f ca="1">IFERROR(AVERAGE(_xll.BDH(BB$18 &amp; $B35 &amp; RIGHT($C35, 2) &amp; " " &amp; "Comdty", "PX_SETTLE", BB$16, BB$16, "Fill=#N/A")), IFERROR(AVERAGE(_xll.BDH(BB$18 &amp; $B35 &amp; RIGHT($C35, 2) &amp; " " &amp; "Comdty", "PX_SETTLE", BB$16, BB$16, "Fill=#N/A")), NA()))</f>
        <v>77.33</v>
      </c>
      <c r="BC35" s="29" t="e">
        <f ca="1">IFERROR(AVERAGE(_xll.BDH(BC$18 &amp; $B35 &amp; RIGHT($C35, 2) &amp; " " &amp; "Comdty", "PX_SETTLE", BC$16, BC$16, "Fill=#N/A")), IFERROR(AVERAGE(_xll.BDH(BC$18 &amp; $B35 &amp; RIGHT($C35, 2) &amp; " " &amp; "Comdty", "PX_SETTLE", BC$16, BC$16, "Fill=#N/A")), NA()))</f>
        <v>#N/A</v>
      </c>
      <c r="BD35" s="29" cm="1">
        <f t="array" ref="BD35">_xll.BFXFORWARD("USDCNY", "15M", "MidOutright")</f>
        <v>6.5347</v>
      </c>
      <c r="BE35" s="109">
        <f t="shared" ca="1" si="209"/>
        <v>71.206363636363633</v>
      </c>
      <c r="BF35" s="46">
        <f t="shared" ca="1" si="72"/>
        <v>1.6363636363635692E-2</v>
      </c>
      <c r="BG35" s="47">
        <f t="shared" ca="1" si="151"/>
        <v>0.2686363636363609</v>
      </c>
      <c r="BH35" s="114">
        <f t="shared" ca="1" si="223"/>
        <v>-0.11136363636363455</v>
      </c>
      <c r="BI35" s="110">
        <f t="shared" ca="1" si="224"/>
        <v>76.620454545454564</v>
      </c>
      <c r="BJ35" s="46">
        <f t="shared" ca="1" si="73"/>
        <v>-9.5454545454316531E-3</v>
      </c>
      <c r="BK35" s="48">
        <f t="shared" ca="1" si="225"/>
        <v>0.30454545454544757</v>
      </c>
      <c r="BL35" s="114">
        <f t="shared" ca="1" si="226"/>
        <v>-0.11545454545455414</v>
      </c>
      <c r="BM35" s="48">
        <f t="shared" ca="1" si="152"/>
        <v>908.9545454545455</v>
      </c>
      <c r="BN35" s="46">
        <f t="shared" ca="1" si="74"/>
        <v>-1.7954545454545041</v>
      </c>
      <c r="BO35" s="47">
        <f t="shared" ca="1" si="210"/>
        <v>9.2954545454545041</v>
      </c>
      <c r="BP35" s="46">
        <f t="shared" ca="1" si="133"/>
        <v>-2.4545454545454959</v>
      </c>
      <c r="BQ35" s="110">
        <f t="shared" ca="1" si="211"/>
        <v>323.72999999999996</v>
      </c>
      <c r="BR35" s="46">
        <f t="shared" ca="1" si="75"/>
        <v>-1.0200000000000387</v>
      </c>
      <c r="BS35" s="47">
        <f t="shared" ca="1" si="153"/>
        <v>3.7450000000000045</v>
      </c>
      <c r="BT35" s="114">
        <f t="shared" ca="1" si="154"/>
        <v>3.5000000000025011E-2</v>
      </c>
      <c r="BU35" s="48">
        <f t="shared" ca="1" si="212"/>
        <v>230.41499999999994</v>
      </c>
      <c r="BV35" s="46">
        <f t="shared" ca="1" si="76"/>
        <v>0.33499999999992269</v>
      </c>
      <c r="BW35" s="47">
        <f t="shared" ca="1" si="155"/>
        <v>3.0550000000000068</v>
      </c>
      <c r="BX35" s="46">
        <f t="shared" ca="1" si="156"/>
        <v>-0.12499999999997158</v>
      </c>
      <c r="BY35" s="140">
        <f t="shared" ca="1" si="134"/>
        <v>70.848181818181814</v>
      </c>
      <c r="BZ35" s="46">
        <f t="shared" ca="1" si="135"/>
        <v>19.931115151515158</v>
      </c>
      <c r="CA35" s="47">
        <f t="shared" ca="1" si="157"/>
        <v>0.25306324110671596</v>
      </c>
      <c r="CB35" s="46">
        <f t="shared" ca="1" si="158"/>
        <v>-19.879000527009229</v>
      </c>
      <c r="CC35" s="141">
        <f t="shared" ca="1" si="136"/>
        <v>75.996861471861507</v>
      </c>
      <c r="CD35" s="50">
        <f t="shared" ca="1" si="137"/>
        <v>0.11162337662340369</v>
      </c>
      <c r="CE35" s="47">
        <f t="shared" ca="1" si="159"/>
        <v>0.2925654056088689</v>
      </c>
      <c r="CF35" s="46">
        <f t="shared" ca="1" si="160"/>
        <v>-3.263128176171351E-2</v>
      </c>
      <c r="CG35" s="141">
        <f t="shared" ca="1" si="138"/>
        <v>902.75757575757586</v>
      </c>
      <c r="CH35" s="50">
        <f t="shared" ca="1" si="139"/>
        <v>-1.4924242424241736</v>
      </c>
      <c r="CI35" s="47">
        <f t="shared" ca="1" si="161"/>
        <v>9.0260210803688778</v>
      </c>
      <c r="CJ35" s="46">
        <f t="shared" ca="1" si="162"/>
        <v>-1.0500658761528732</v>
      </c>
      <c r="CK35" s="141">
        <f t="shared" ca="1" si="140"/>
        <v>319.93499999999995</v>
      </c>
      <c r="CL35" s="50">
        <f t="shared" ca="1" si="77"/>
        <v>-1.0850000000000364</v>
      </c>
      <c r="CM35" s="47">
        <f t="shared" ca="1" si="163"/>
        <v>3.7950000000000159</v>
      </c>
      <c r="CN35" s="46">
        <f t="shared" ca="1" si="164"/>
        <v>6.4999999999997726E-2</v>
      </c>
      <c r="CO35" s="141">
        <f t="shared" ca="1" si="141"/>
        <v>229.27999999999994</v>
      </c>
      <c r="CP35" s="50">
        <f t="shared" ca="1" si="78"/>
        <v>0.46999999999994202</v>
      </c>
      <c r="CQ35" s="47">
        <f t="shared" ca="1" si="165"/>
        <v>1.1349999999999909</v>
      </c>
      <c r="CR35" s="46">
        <f t="shared" ca="1" si="166"/>
        <v>-0.13500000000001933</v>
      </c>
      <c r="CS35" s="109">
        <f t="shared" ca="1" si="79"/>
        <v>-5.4140909090909304</v>
      </c>
      <c r="CT35" s="46">
        <f t="shared" ca="1" si="80"/>
        <v>2.5909090909067345E-2</v>
      </c>
      <c r="CU35" s="47">
        <f t="shared" ca="1" si="167"/>
        <v>-3.5909090909086672E-2</v>
      </c>
      <c r="CV35" s="46">
        <f t="shared" ca="1" si="168"/>
        <v>-2.9090909090911055E-2</v>
      </c>
      <c r="CW35" s="110">
        <f t="shared" ca="1" si="142"/>
        <v>-5.148679653679693</v>
      </c>
      <c r="CX35" s="46">
        <f t="shared" ca="1" si="81"/>
        <v>19.819491774891755</v>
      </c>
      <c r="CY35" s="47">
        <f t="shared" ca="1" si="169"/>
        <v>-3.9502164502152937E-2</v>
      </c>
      <c r="CZ35" s="46">
        <f t="shared" ca="1" si="170"/>
        <v>-19.846369245247516</v>
      </c>
      <c r="DA35" s="109">
        <f t="shared" ca="1" si="82"/>
        <v>45.38686699206832</v>
      </c>
      <c r="DB35" s="46">
        <f t="shared" ca="1" si="83"/>
        <v>-0.2314551555826897</v>
      </c>
      <c r="DC35" s="47">
        <f t="shared" ca="1" si="171"/>
        <v>0.9431665649786396</v>
      </c>
      <c r="DD35" s="46">
        <f t="shared" ca="1" si="233"/>
        <v>-0.21401464307504259</v>
      </c>
      <c r="DE35" s="110">
        <f t="shared" ca="1" si="84"/>
        <v>59.346145454545407</v>
      </c>
      <c r="DF35" s="46">
        <f t="shared" ca="1" si="85"/>
        <v>-0.41885454545458456</v>
      </c>
      <c r="DG35" s="47">
        <f t="shared" ca="1" si="172"/>
        <v>1.2683545454545566</v>
      </c>
      <c r="DH35" s="46">
        <f t="shared" ca="1" si="173"/>
        <v>0.13015454545456462</v>
      </c>
      <c r="DI35" s="110">
        <f t="shared" ca="1" si="86"/>
        <v>20.153845454545404</v>
      </c>
      <c r="DJ35" s="46">
        <f t="shared" ca="1" si="87"/>
        <v>0.15024545454539917</v>
      </c>
      <c r="DK35" s="47">
        <f t="shared" ca="1" si="174"/>
        <v>0.978554545454557</v>
      </c>
      <c r="DL35" s="46">
        <f t="shared" ca="1" si="175"/>
        <v>6.295454545456608E-2</v>
      </c>
      <c r="DM35" s="110">
        <f t="shared" ca="1" si="88"/>
        <v>64.760236363636338</v>
      </c>
      <c r="DN35" s="46">
        <f t="shared" ca="1" si="89"/>
        <v>-0.4447636363636519</v>
      </c>
      <c r="DO35" s="47">
        <f t="shared" ca="1" si="176"/>
        <v>1.3042636363636433</v>
      </c>
      <c r="DP35" s="47">
        <f t="shared" ca="1" si="177"/>
        <v>0.12606363636364504</v>
      </c>
      <c r="DQ35" s="110">
        <f t="shared" ca="1" si="90"/>
        <v>25.567936363636335</v>
      </c>
      <c r="DR35" s="46">
        <f t="shared" ca="1" si="91"/>
        <v>0.12433636363633183</v>
      </c>
      <c r="DS35" s="47">
        <f t="shared" ca="1" si="178"/>
        <v>1.0144636363636437</v>
      </c>
      <c r="DT35" s="47">
        <f t="shared" ca="1" si="179"/>
        <v>5.8863636363646499E-2</v>
      </c>
      <c r="DU35" s="109">
        <f t="shared" ca="1" si="92"/>
        <v>45.178652052645319</v>
      </c>
      <c r="DV35" s="46">
        <f t="shared" ca="1" si="93"/>
        <v>-0.31194877829107798</v>
      </c>
      <c r="DW35" s="47">
        <f t="shared" ca="1" si="180"/>
        <v>0.9189810481319256</v>
      </c>
      <c r="DX35" s="47">
        <f t="shared" ca="1" si="181"/>
        <v>-0.10831715799035002</v>
      </c>
      <c r="DY35" s="110">
        <f t="shared" ca="1" si="94"/>
        <v>58.375838528138473</v>
      </c>
      <c r="DZ35" s="46">
        <f t="shared" ca="1" si="95"/>
        <v>-0.56732337662341892</v>
      </c>
      <c r="EA35" s="47">
        <f t="shared" ca="1" si="182"/>
        <v>1.3013345943911219</v>
      </c>
      <c r="EB35" s="47">
        <f t="shared" ca="1" si="183"/>
        <v>5.9931281761712585E-2</v>
      </c>
      <c r="EC35" s="110">
        <f t="shared" ca="1" si="96"/>
        <v>20.300738528138481</v>
      </c>
      <c r="ED35" s="46">
        <f t="shared" ca="1" si="97"/>
        <v>8.5776623376571964E-2</v>
      </c>
      <c r="EE35" s="47">
        <f t="shared" ca="1" si="184"/>
        <v>0.1841345943911108</v>
      </c>
      <c r="EF35" s="47">
        <f t="shared" ca="1" si="185"/>
        <v>-2.4068718238294623E-2</v>
      </c>
      <c r="EG35" s="110">
        <f t="shared" ca="1" si="98"/>
        <v>63.524518181818166</v>
      </c>
      <c r="EH35" s="46">
        <f t="shared" ca="1" si="99"/>
        <v>-20.386815151515172</v>
      </c>
      <c r="EI35" s="47">
        <f t="shared" ca="1" si="186"/>
        <v>1.3408367588932748</v>
      </c>
      <c r="EJ35" s="47">
        <f t="shared" ca="1" si="187"/>
        <v>19.906300527009225</v>
      </c>
      <c r="EK35" s="110">
        <f t="shared" ca="1" si="100"/>
        <v>25.449418181818174</v>
      </c>
      <c r="EL35" s="46">
        <f t="shared" ca="1" si="101"/>
        <v>-19.733715151515181</v>
      </c>
      <c r="EM35" s="47">
        <f t="shared" ca="1" si="188"/>
        <v>0.22363675889326373</v>
      </c>
      <c r="EN35" s="47">
        <f t="shared" ca="1" si="189"/>
        <v>19.822300527009219</v>
      </c>
      <c r="EO35" s="109">
        <f t="shared" ca="1" si="102"/>
        <v>33.236377291612143</v>
      </c>
      <c r="EP35" s="46">
        <f t="shared" ca="1" si="103"/>
        <v>-0.44618902350451162</v>
      </c>
      <c r="EQ35" s="47">
        <f t="shared" ca="1" si="190"/>
        <v>0.77425709637122964</v>
      </c>
      <c r="ER35" s="47">
        <f t="shared" ca="1" si="191"/>
        <v>0.81945044888001739</v>
      </c>
      <c r="ES35" s="110">
        <f t="shared" ca="1" si="104"/>
        <v>31.421872560697977</v>
      </c>
      <c r="ET35" s="46">
        <f t="shared" ca="1" si="105"/>
        <v>-0.60803475793414519</v>
      </c>
      <c r="EU35" s="47">
        <f t="shared" ca="1" si="192"/>
        <v>0.91036558633146569</v>
      </c>
      <c r="EV35" s="47">
        <f t="shared" ca="1" si="193"/>
        <v>0.40059152321919655</v>
      </c>
      <c r="EW35" s="109">
        <f t="shared" ca="1" si="106"/>
        <v>-93.315000000000026</v>
      </c>
      <c r="EX35" s="46">
        <f t="shared" ca="1" si="107"/>
        <v>1.3549999999999613</v>
      </c>
      <c r="EY35" s="47">
        <f t="shared" ca="1" si="194"/>
        <v>-0.68999999999999773</v>
      </c>
      <c r="EZ35" s="47">
        <f t="shared" ca="1" si="195"/>
        <v>-0.15999999999999659</v>
      </c>
      <c r="FA35" s="110">
        <f t="shared" ca="1" si="108"/>
        <v>-90.655000000000001</v>
      </c>
      <c r="FB35" s="46">
        <f t="shared" ca="1" si="109"/>
        <v>1.5549999999999784</v>
      </c>
      <c r="FC35" s="47">
        <f t="shared" ca="1" si="196"/>
        <v>-2.660000000000025</v>
      </c>
      <c r="FD35" s="47">
        <f t="shared" ca="1" si="197"/>
        <v>-0.20000000000001705</v>
      </c>
      <c r="FE35" s="109">
        <f t="shared" ca="1" si="110"/>
        <v>45.164086363636336</v>
      </c>
      <c r="FF35" s="46">
        <f t="shared" ca="1" si="111"/>
        <v>-0.16021363636366004</v>
      </c>
      <c r="FG35" s="110">
        <f t="shared" ca="1" si="112"/>
        <v>38.632036363636338</v>
      </c>
      <c r="FH35" s="46">
        <f t="shared" ca="1" si="113"/>
        <v>-6.5363636363662755E-2</v>
      </c>
      <c r="FI35" s="110">
        <f t="shared" ca="1" si="114"/>
        <v>39.749995454545406</v>
      </c>
      <c r="FJ35" s="46">
        <f t="shared" ca="1" si="115"/>
        <v>-0.13430454545459269</v>
      </c>
      <c r="FK35" s="110">
        <f t="shared" ca="1" si="116"/>
        <v>33.217945454545408</v>
      </c>
      <c r="FL35" s="46">
        <f t="shared" ca="1" si="117"/>
        <v>-3.9454545454595411E-2</v>
      </c>
      <c r="FM35" s="110">
        <f t="shared" ca="1" si="118"/>
        <v>44.48696818181817</v>
      </c>
      <c r="FN35" s="46">
        <f t="shared" ca="1" si="119"/>
        <v>-20.060265151515175</v>
      </c>
      <c r="FO35" s="110">
        <f t="shared" ca="1" si="120"/>
        <v>38.141118181818172</v>
      </c>
      <c r="FP35" s="46">
        <f t="shared" ca="1" si="121"/>
        <v>-19.951415151515178</v>
      </c>
      <c r="FQ35" s="110">
        <f t="shared" ca="1" si="122"/>
        <v>39.338288528138477</v>
      </c>
      <c r="FR35" s="46">
        <f t="shared" ca="1" si="123"/>
        <v>-0.24077337662342346</v>
      </c>
      <c r="FS35" s="110">
        <f t="shared" ca="1" si="124"/>
        <v>32.992438528138479</v>
      </c>
      <c r="FT35" s="111">
        <f t="shared" ca="1" si="125"/>
        <v>-0.13192337662342499</v>
      </c>
      <c r="FU35" s="109" t="str">
        <f t="shared" ca="1" si="232"/>
        <v/>
      </c>
      <c r="FV35" s="46" t="str">
        <f t="shared" ca="1" si="213"/>
        <v/>
      </c>
      <c r="FW35" s="48" t="str">
        <f t="shared" ca="1" si="227"/>
        <v/>
      </c>
      <c r="FX35" s="114" t="str">
        <f t="shared" ca="1" si="228"/>
        <v/>
      </c>
      <c r="FY35" s="110" t="str">
        <f t="shared" ca="1" si="214"/>
        <v/>
      </c>
      <c r="FZ35" s="46" t="str">
        <f t="shared" ca="1" si="215"/>
        <v/>
      </c>
      <c r="GA35" s="47" t="str">
        <f t="shared" ca="1" si="216"/>
        <v/>
      </c>
      <c r="GB35" s="46" t="str">
        <f t="shared" ca="1" si="229"/>
        <v/>
      </c>
      <c r="GC35" s="110" t="str">
        <f ca="1">IFERROR(IF(AND(ISNUMBER($FU35), ISNUMBER(Crd!$X35)), $FU35 - Crd!$X35, ""), "")</f>
        <v/>
      </c>
      <c r="GD35" s="46" t="str">
        <f ca="1">IFERROR(IF(AND(ISNUMBER($FV35), ISNUMBER(Crd!$Y35)), $FV35 - Crd!$Y35, ""), "")</f>
        <v/>
      </c>
      <c r="GE35" s="47" t="str">
        <f t="shared" ca="1" si="217"/>
        <v/>
      </c>
      <c r="GF35" s="46" t="str">
        <f t="shared" ca="1" si="218"/>
        <v/>
      </c>
      <c r="GG35" s="141" t="str">
        <f t="shared" ca="1" si="198"/>
        <v/>
      </c>
      <c r="GH35" s="50" t="str">
        <f t="shared" ca="1" si="199"/>
        <v/>
      </c>
      <c r="GI35" s="47" t="str">
        <f t="shared" ca="1" si="144"/>
        <v/>
      </c>
      <c r="GJ35" s="46" t="str">
        <f t="shared" ca="1" si="145"/>
        <v/>
      </c>
      <c r="GK35" s="110" t="str">
        <f t="shared" ca="1" si="127"/>
        <v/>
      </c>
      <c r="GL35" s="46" t="str">
        <f t="shared" ca="1" si="128"/>
        <v/>
      </c>
      <c r="GM35" s="47" t="str">
        <f t="shared" ca="1" si="200"/>
        <v/>
      </c>
      <c r="GN35" s="46" t="str">
        <f t="shared" ca="1" si="201"/>
        <v/>
      </c>
      <c r="GO35" s="110" t="str">
        <f ca="1">IFERROR(IF(AND(ISNUMBER($GG35), ISNUMBER(Crd!$X35)), $GG35 - Crd!$X35, ""), "")</f>
        <v/>
      </c>
      <c r="GP35" s="46" t="str">
        <f ca="1">IFERROR(IF(AND(ISNUMBER($GH35), ISNUMBER(Crd!$Y35)), $GH35 - Crd!$Y35, ""), "")</f>
        <v/>
      </c>
      <c r="GQ35" s="47" t="str">
        <f t="shared" ca="1" si="202"/>
        <v/>
      </c>
      <c r="GR35" s="46" t="str">
        <f t="shared" ca="1" si="203"/>
        <v/>
      </c>
      <c r="GS35" s="436" t="str">
        <f t="shared" ca="1" si="219"/>
        <v/>
      </c>
      <c r="GT35" s="46" t="str">
        <f t="shared" ca="1" si="220"/>
        <v/>
      </c>
      <c r="GU35" s="48" t="str">
        <f t="shared" ca="1" si="230"/>
        <v/>
      </c>
      <c r="GV35" s="46" t="str">
        <f t="shared" ca="1" si="231"/>
        <v/>
      </c>
      <c r="GW35" s="427" t="str">
        <f t="shared" ca="1" si="204"/>
        <v/>
      </c>
      <c r="GX35" s="50" t="str">
        <f t="shared" ca="1" si="146"/>
        <v/>
      </c>
      <c r="GY35" s="47" t="str">
        <f t="shared" ca="1" si="205"/>
        <v/>
      </c>
      <c r="GZ35" s="432" t="str">
        <f t="shared" ca="1" si="206"/>
        <v/>
      </c>
      <c r="HA35" s="436"/>
      <c r="HB35" s="46"/>
      <c r="HC35" s="48"/>
      <c r="HD35" s="46"/>
      <c r="HE35" s="269"/>
      <c r="HF35" s="46"/>
      <c r="HG35" s="48"/>
      <c r="HH35" s="432"/>
    </row>
    <row r="36" spans="1:216" x14ac:dyDescent="0.25">
      <c r="A36" s="58">
        <f t="shared" ca="1" si="131"/>
        <v>46784</v>
      </c>
      <c r="B36" s="6" t="str">
        <f ca="1">INDEX(MthRef[], MATCH(MONTH(Futs!$A36), MthRef[Mth], 0), 2)</f>
        <v>G</v>
      </c>
      <c r="C36" s="6">
        <f t="shared" ca="1" si="65"/>
        <v>2028</v>
      </c>
      <c r="D36" s="6" t="str">
        <f t="shared" ca="1" si="66"/>
        <v>Q128</v>
      </c>
      <c r="E36" s="6" t="str">
        <f t="shared" ca="1" si="132"/>
        <v>G8</v>
      </c>
      <c r="F36" s="10">
        <f ca="1">IFERROR(AVERAGE(_xll.BDP(F$18 &amp; $B36 &amp; RIGHT($C36, 1) &amp; " " &amp; "Comdty", "BID", "Fill=#N/A"), _xll.BDP(F$18 &amp; $B36 &amp; RIGHT($C36, 1) &amp; " " &amp; "Comdty", "ASK", "Fill=#N/A")), NA())</f>
        <v>70.75</v>
      </c>
      <c r="G36" s="10">
        <f ca="1">IFERROR(AVERAGE(_xll.BDP(G$18 &amp; $B36 &amp; RIGHT($C36, 1) &amp; " " &amp; "Comdty", "BID", "Fill=#N/A"), _xll.BDP(G$18 &amp; $B36 &amp; RIGHT($C36, 1) &amp; " " &amp; "Comdty", "ASK", "Fill=#N/A")), NA())</f>
        <v>76.164999999999992</v>
      </c>
      <c r="H36" s="10">
        <f ca="1">IFERROR(AVERAGE(_xll.BDP(H$18 &amp; $B36 &amp; RIGHT($C36, 1) &amp; " " &amp; "Comdty", "BID", "Fill=#N/A"), _xll.BDP(H$18 &amp; $B36 &amp; RIGHT($C36, 1) &amp; " " &amp; "Comdty", "ASK", "Fill=#N/A")), NA())</f>
        <v>895.5</v>
      </c>
      <c r="I36" s="10">
        <f ca="1">IFERROR(AVERAGE(_xll.BDP(I$18 &amp; $B36 &amp; RIGHT($C36, 1) &amp; " " &amp; "Comdty", "BID", "Fill=#N/A"), _xll.BDP(I$18 &amp; $B36 &amp; RIGHT($C36, 1) &amp; " " &amp; "Comdty", "ASK", "Fill=#N/A")), NA())</f>
        <v>319.56</v>
      </c>
      <c r="J36" s="10">
        <f ca="1">IFERROR(AVERAGE(_xll.BDP(J$18 &amp; $B36 &amp; RIGHT($C36, 1) &amp; " " &amp; "Comdty", "BID", "Fill=#N/A"), _xll.BDP(J$18 &amp; $B36 &amp; RIGHT($C36, 1) &amp; " " &amp; "Comdty", "ASK", "Fill=#N/A")), NA())</f>
        <v>228.41499999999999</v>
      </c>
      <c r="K36" s="10" t="e">
        <f ca="1">IFERROR(AVERAGE(_xll.BDP(K$18 &amp; $B36 &amp; RIGHT($C36, 2) &amp; " " &amp; "Comdty", "BID", "Fill=#N/A"), _xll.BDP(K$18 &amp; $B36 &amp; RIGHT($C36, 2) &amp; " " &amp; "Comdty", "ASK", "Fill=#N/A")), NA())</f>
        <v>#N/A</v>
      </c>
      <c r="L36" s="10" t="e">
        <f ca="1">IFERROR(AVERAGE(_xll.BDP(L$18 &amp; $B36 &amp; RIGHT($C36, 2) &amp; " " &amp; "Comdty", "BID", "Fill=#N/A"), _xll.BDP(L$18 &amp; $B36 &amp; RIGHT($C36, 2) &amp; " " &amp; "Comdty", "ASK", "Fill=#N/A")), NA())</f>
        <v>#N/A</v>
      </c>
      <c r="M36" s="10" t="e">
        <f ca="1">IFERROR(AVERAGE(_xll.BDP(M$18 &amp; $B36 &amp; RIGHT($C36, 2) &amp; " " &amp; "Comdty", "BID", "Fill=#N/A"), _xll.BDP(M$18 &amp; $B36 &amp; RIGHT($C36, 2) &amp; " " &amp; "Comdty", "ASK", "Fill=#N/A")), NA())</f>
        <v>#N/A</v>
      </c>
      <c r="N36" s="10">
        <f ca="1">IFERROR(AVERAGE(_xll.BDP(N$18 &amp; $B35 &amp; RIGHT($C35, 1) &amp; N$18 &amp; $B36 &amp; RIGHT($C36, 1) &amp; " " &amp; "Comdty", "BID", "Fill=#N/A"), _xll.BDP(N$18 &amp; $B35 &amp; RIGHT($C35, 1) &amp; N$18 &amp; $B36 &amp; RIGHT($C36, 1) &amp; " " &amp; "Comdty", "ASK", "Fill=#N/A")), NA())</f>
        <v>0.33500000000000002</v>
      </c>
      <c r="O36" s="10">
        <f ca="1">IFERROR(AVERAGE(_xll.BDP(O$18 &amp; $B35 &amp; RIGHT($C35, 1) &amp; O$18 &amp; $B36 &amp; RIGHT($C36, 1) &amp; " " &amp; "Comdty", "BID", "Fill=#N/A"), _xll.BDP(O$18 &amp; $B35 &amp; RIGHT($C35, 1) &amp; O$18 &amp; $B36 &amp; RIGHT($C36, 1) &amp; " " &amp; "Comdty", "ASK", "Fill=#N/A")), NA())</f>
        <v>0.36</v>
      </c>
      <c r="P36" s="10">
        <f ca="1">IFERROR(AVERAGE(_xll.BDP(P$18 &amp; $B35 &amp; RIGHT($C35, 1) &amp; P$18 &amp; $B36 &amp; RIGHT($C36, 1) &amp; " " &amp; "Comdty", "BID", "Fill=#N/A"), _xll.BDP(P$18 &amp; $B35 &amp; RIGHT($C35, 1) &amp; P$18 &amp; $B36 &amp; RIGHT($C36, 1) &amp; " " &amp; "Comdty", "ASK", "Fill=#N/A")), NA())</f>
        <v>9.875</v>
      </c>
      <c r="Q36" s="10">
        <f ca="1">IFERROR(AVERAGE(_xll.BDP(Q$18 &amp; $B35 &amp; RIGHT($C35, 1) &amp; Q$18 &amp; $B36 &amp; RIGHT($C36, 1) &amp; " " &amp; "Comdty", "BID", "Fill=#N/A"), _xll.BDP(Q$18 &amp; $B35 &amp; RIGHT($C35, 1) &amp; Q$18 &amp; $B36 &amp; RIGHT($C36, 1) &amp; " " &amp; "Comdty", "ASK", "Fill=#N/A")), NA())</f>
        <v>3.7949999999999999</v>
      </c>
      <c r="R36" s="10">
        <f ca="1">IFERROR(AVERAGE(_xll.BDP(R$18 &amp; $B35 &amp; RIGHT($C35, 1) &amp; R$18 &amp; $B36 &amp; RIGHT($C36, 1) &amp; " " &amp; "Comdty", "BID", "Fill=#N/A"), _xll.BDP(R$18 &amp; $B35 &amp; RIGHT($C35, 1) &amp; R$18 &amp; $B36 &amp; RIGHT($C36, 1) &amp; " " &amp; "Comdty", "ASK", "Fill=#N/A")), NA())</f>
        <v>1.135</v>
      </c>
      <c r="S36" s="10" t="e">
        <f ca="1">IFERROR(AVERAGE(_xll.BDP(S$18 &amp; $B35 &amp; RIGHT($C35, 1) &amp; $B36 &amp; RIGHT($C36, 1) &amp; " " &amp; "Comdty", "BID", "Fill=#N/A"), _xll.BDP(S$18 &amp; $B35 &amp; RIGHT($C35, 1) &amp; $B36 &amp; RIGHT($C36, 1) &amp; " " &amp; "Comdty", "ASK", "Fill=#N/A")), NA())</f>
        <v>#N/A</v>
      </c>
      <c r="T36" s="10" t="e">
        <f ca="1">IFERROR(AVERAGE(_xll.BDP(T$18 &amp; $B35 &amp; RIGHT($C35, 1) &amp; $B36 &amp; RIGHT($C36, 1) &amp; " " &amp; "Comdty", "BID", "Fill=#N/A"), _xll.BDP(T$18 &amp; $B35 &amp; RIGHT($C35, 1) &amp; $B36 &amp; RIGHT($C36, 1) &amp; " " &amp; "Comdty", "ASK", "Fill=#N/A")), NA())</f>
        <v>#N/A</v>
      </c>
      <c r="U36" s="10">
        <f ca="1">IF($A36 &lt; Diagnostics!$B$3, N36, INDEX(ImpSprd[], MATCH(Futs!$C36, ImpSprd[Yr], 0), MATCH(U$18, ImpSprd[#Headers], 0)))</f>
        <v>0.26863636363636362</v>
      </c>
      <c r="V36" s="10">
        <f ca="1">IF($A36 &lt; Diagnostics!$B$3, O36, INDEX(ImpSprd[], MATCH(Futs!$C36, ImpSprd[Yr], 0), MATCH(V$18, ImpSprd[#Headers], 0)))</f>
        <v>0.30454545454545451</v>
      </c>
      <c r="W36" s="10">
        <f ca="1">IF($A36 &lt; Diagnostics!$B$3, P36, INDEX(ImpSprd[], MATCH(Futs!$C36, ImpSprd[Yr], 0), MATCH(W$18, ImpSprd[#Headers], 0)))</f>
        <v>9.295454545454545</v>
      </c>
      <c r="X36" s="31">
        <f ca="1">INDEX(Expi[], MATCH($A36, Expi[Date], 0), MATCH(X$18, Expi[#Headers], 0))</f>
        <v>46805</v>
      </c>
      <c r="Y36" s="31">
        <f ca="1">INDEX(Expi[], MATCH($A36, Expi[Date], 0), MATCH(Y$18, Expi[#Headers], 0))</f>
        <v>46812</v>
      </c>
      <c r="Z36" s="31">
        <f ca="1">INDEX(Expi[], MATCH($A36, Expi[Date], 0), MATCH(Z$18, Expi[#Headers], 0))</f>
        <v>46793</v>
      </c>
      <c r="AA36" s="31">
        <f ca="1">INDEX(Expi[], MATCH($A36, Expi[Date], 0), MATCH(AA$18, Expi[#Headers], 0))</f>
        <v>46812</v>
      </c>
      <c r="AB36" s="31">
        <f ca="1">INDEX(Expi[], MATCH($A36, Expi[Date], 0), MATCH(AB$18, Expi[#Headers], 0))</f>
        <v>46812</v>
      </c>
      <c r="AC36" s="31">
        <f ca="1">INDEX(Expi[], MATCH($A36, Expi[Date], 0), MATCH(AC$18, Expi[#Headers], 0))</f>
        <v>46812</v>
      </c>
      <c r="AD36" s="7">
        <f ca="1">NETWORKDAYS($A36, EOMONTH($A36, 0), Hols[CME])</f>
        <v>21</v>
      </c>
      <c r="AE36" s="7">
        <f ca="1">NETWORKDAYS($A36, EOMONTH($A36, 0), Hols[ICE])</f>
        <v>21</v>
      </c>
      <c r="AF36" s="7">
        <f ca="1">NETWORKDAYS($A36, EOMONTH($A36, 0), Hols[ICE])</f>
        <v>21</v>
      </c>
      <c r="AG36" s="7">
        <f ca="1">NETWORKDAYS($A36, EOMONTH($A36, 0), Hols[CME])</f>
        <v>21</v>
      </c>
      <c r="AH36" s="7">
        <f ca="1">NETWORKDAYS($A36, EOMONTH($A36, 0), Hols[CME])</f>
        <v>21</v>
      </c>
      <c r="AI36" s="7">
        <f ca="1">NETWORKDAYS($A36, EOMONTH($A36, 0), Hols[ICE])</f>
        <v>21</v>
      </c>
      <c r="AJ36" s="7">
        <f ca="1">NETWORKDAYS($A36, X36, Hols[CME])</f>
        <v>16</v>
      </c>
      <c r="AK36" s="7">
        <f ca="1">NETWORKDAYS($A36, Y36, Hols[ICE]) - 1</f>
        <v>20</v>
      </c>
      <c r="AL36" s="7">
        <f ca="1">NETWORKDAYS($A36, Z36, Hols[ICE]) - 1</f>
        <v>7</v>
      </c>
      <c r="AM36" s="7">
        <f ca="1">NETWORKDAYS($A36, AA36, Hols[CME])</f>
        <v>21</v>
      </c>
      <c r="AN36" s="7">
        <f ca="1">NETWORKDAYS($A36, AB36, Hols[CME])</f>
        <v>21</v>
      </c>
      <c r="AO36" s="7">
        <f ca="1">NETWORKDAYS($A36, AC36, Hols[ICE]) - 1</f>
        <v>20</v>
      </c>
      <c r="AP36" s="10">
        <f t="shared" ca="1" si="67"/>
        <v>0.76190476190476186</v>
      </c>
      <c r="AQ36" s="10">
        <f t="shared" ca="1" si="68"/>
        <v>0.95238095238095233</v>
      </c>
      <c r="AR36" s="10">
        <f t="shared" ca="1" si="69"/>
        <v>0.33333333333333331</v>
      </c>
      <c r="AS36" s="10">
        <f t="shared" ca="1" si="70"/>
        <v>1</v>
      </c>
      <c r="AT36" s="10">
        <f t="shared" ca="1" si="71"/>
        <v>1</v>
      </c>
      <c r="AU36" s="10">
        <f t="shared" ca="1" si="71"/>
        <v>0.95238095238095233</v>
      </c>
      <c r="AV36" s="28">
        <f ca="1">IFERROR(AVERAGE(_xll.BDH(AV$18 &amp; $B36 &amp; RIGHT($C36, 1) &amp; " " &amp; "Comdty", "PX_SETTLE", AV$16, AV$16, "Fill=#N/A")), IFERROR(AVERAGE(_xll.BDH(AV$18 &amp; $B36 &amp; RIGHT($C36, 2) &amp; " " &amp; "Comdty", "PX_SETTLE", AV$16, AV$16, "Fill=#N/A")), NA()))</f>
        <v>70.83</v>
      </c>
      <c r="AW36" s="28">
        <f ca="1">IFERROR(AVERAGE(_xll.BDH(AW$18 &amp; $B36 &amp; RIGHT($C36, 1) &amp; " " &amp; "Comdty", "PX_SETTLE", AW$16, AW$16, "Fill=#N/A")), IFERROR(AVERAGE(_xll.BDH(AW$18 &amp; $B36 &amp; RIGHT($C36, 2) &amp; " " &amp; "Comdty", "PX_SETTLE", AW$16, AW$16, "Fill=#N/A")), NA()))</f>
        <v>76.239999999999995</v>
      </c>
      <c r="AX36" s="29">
        <f ca="1">IFERROR(AVERAGE(_xll.BDH(AX$18 &amp; $B36 &amp; RIGHT($C36, 2) &amp; " " &amp; "Comdty", "FAIR_VALUE_SNAPSHOT_AT_1430", AX$16, AX$16, "TIME_ZONE_OVERRIDE=13", "Fill=#N/A")), NA())</f>
        <v>901</v>
      </c>
      <c r="AY36" s="28">
        <f ca="1">IFERROR(AVERAGE(_xll.BDH(AY$18 &amp; $B36 &amp; RIGHT($C36, 1) &amp; " " &amp; "Comdty", "PX_SETTLE", AY$16, AY$16, "Fill=#N/A")), NA())</f>
        <v>321.02</v>
      </c>
      <c r="AZ36" s="28">
        <f ca="1">IFERROR(AVERAGE(_xll.BDH(AZ$18 &amp; $B36 &amp; RIGHT($C36, 1) &amp; " " &amp; "Comdty", "PX_SETTLE", AZ$16, AZ$16, "Fill=#N/A")), NA())</f>
        <v>228.81</v>
      </c>
      <c r="BA36" s="29" t="e">
        <f ca="1">IFERROR(AVERAGE(_xll.BDH(BA$18 &amp; $B36 &amp; RIGHT($C36, 2) &amp; " " &amp; "Comdty", "PX_SETTLE", BA$16, BA$16, "Fill=#N/A")), IFERROR(AVERAGE(_xll.BDH(BA$18 &amp; $B36 &amp; RIGHT($C36, 2) &amp; " " &amp; "Comdty", "PX_SETTLE", BA$16, BA$16, "Fill=#N/A")), NA()))</f>
        <v>#N/A</v>
      </c>
      <c r="BB36" s="29">
        <f ca="1">IFERROR(AVERAGE(_xll.BDH(BB$18 &amp; $B36 &amp; RIGHT($C36, 2) &amp; " " &amp; "Comdty", "PX_SETTLE", BB$16, BB$16, "Fill=#N/A")), IFERROR(AVERAGE(_xll.BDH(BB$18 &amp; $B36 &amp; RIGHT($C36, 2) &amp; " " &amp; "Comdty", "PX_SETTLE", BB$16, BB$16, "Fill=#N/A")), NA()))</f>
        <v>76.94</v>
      </c>
      <c r="BC36" s="29" t="e">
        <f ca="1">IFERROR(AVERAGE(_xll.BDH(BC$18 &amp; $B36 &amp; RIGHT($C36, 2) &amp; " " &amp; "Comdty", "PX_SETTLE", BC$16, BC$16, "Fill=#N/A")), IFERROR(AVERAGE(_xll.BDH(BC$18 &amp; $B36 &amp; RIGHT($C36, 2) &amp; " " &amp; "Comdty", "PX_SETTLE", BC$16, BC$16, "Fill=#N/A")), NA()))</f>
        <v>#N/A</v>
      </c>
      <c r="BD36" s="29" cm="1">
        <f t="array" ref="BD36">_xll.BFXFORWARD("USDCNY", "16M", "MidOutright")</f>
        <v>6.5216500000000002</v>
      </c>
      <c r="BE36" s="109">
        <f t="shared" ca="1" si="209"/>
        <v>70.937727272727273</v>
      </c>
      <c r="BF36" s="46">
        <f t="shared" ca="1" si="72"/>
        <v>0.10772727272727423</v>
      </c>
      <c r="BG36" s="47">
        <f t="shared" ca="1" si="151"/>
        <v>0.2686363636363609</v>
      </c>
      <c r="BH36" s="114">
        <f t="shared" ca="1" si="223"/>
        <v>-9.1363636363638534E-2</v>
      </c>
      <c r="BI36" s="110">
        <f t="shared" ca="1" si="224"/>
        <v>76.315909090909116</v>
      </c>
      <c r="BJ36" s="46">
        <f t="shared" ca="1" si="73"/>
        <v>7.5909090909121346E-2</v>
      </c>
      <c r="BK36" s="48">
        <f t="shared" ca="1" si="225"/>
        <v>0.30454545454544757</v>
      </c>
      <c r="BL36" s="114">
        <f t="shared" ca="1" si="226"/>
        <v>-8.5454545454552999E-2</v>
      </c>
      <c r="BM36" s="48">
        <f t="shared" ca="1" si="152"/>
        <v>899.65909090909099</v>
      </c>
      <c r="BN36" s="46">
        <f t="shared" ca="1" si="74"/>
        <v>-1.3409090909090082</v>
      </c>
      <c r="BO36" s="47">
        <f t="shared" ca="1" si="210"/>
        <v>9.2954545454545041</v>
      </c>
      <c r="BP36" s="46">
        <f t="shared" ca="1" si="133"/>
        <v>-0.45454545454549589</v>
      </c>
      <c r="BQ36" s="110">
        <f t="shared" ca="1" si="211"/>
        <v>319.93499999999995</v>
      </c>
      <c r="BR36" s="46">
        <f t="shared" ca="1" si="75"/>
        <v>-1.0850000000000364</v>
      </c>
      <c r="BS36" s="47">
        <f t="shared" ca="1" si="153"/>
        <v>3.7950000000000159</v>
      </c>
      <c r="BT36" s="114">
        <f t="shared" ca="1" si="154"/>
        <v>6.4999999999997726E-2</v>
      </c>
      <c r="BU36" s="48">
        <f t="shared" ca="1" si="212"/>
        <v>229.27999999999994</v>
      </c>
      <c r="BV36" s="46">
        <f t="shared" ca="1" si="76"/>
        <v>0.46999999999994202</v>
      </c>
      <c r="BW36" s="47">
        <f t="shared" ca="1" si="155"/>
        <v>1.1349999999999909</v>
      </c>
      <c r="BX36" s="46">
        <f t="shared" ca="1" si="156"/>
        <v>-0.13500000000001933</v>
      </c>
      <c r="BY36" s="140">
        <f t="shared" ca="1" si="134"/>
        <v>70.605129870129872</v>
      </c>
      <c r="BZ36" s="46">
        <f t="shared" ca="1" si="135"/>
        <v>45.440406060606058</v>
      </c>
      <c r="CA36" s="47">
        <f t="shared" ca="1" si="157"/>
        <v>0.24305194805194219</v>
      </c>
      <c r="CB36" s="46">
        <f t="shared" ca="1" si="158"/>
        <v>-25.5092909090909</v>
      </c>
      <c r="CC36" s="141">
        <f t="shared" ca="1" si="136"/>
        <v>75.692316017316045</v>
      </c>
      <c r="CD36" s="50">
        <f t="shared" ca="1" si="137"/>
        <v>0.11660173160176765</v>
      </c>
      <c r="CE36" s="47">
        <f t="shared" ca="1" si="159"/>
        <v>0.30454545454546178</v>
      </c>
      <c r="CF36" s="46">
        <f t="shared" ca="1" si="160"/>
        <v>-4.9783549783639636E-3</v>
      </c>
      <c r="CG36" s="141">
        <f t="shared" ca="1" si="138"/>
        <v>893.46212121212136</v>
      </c>
      <c r="CH36" s="50">
        <f t="shared" ca="1" si="139"/>
        <v>-0.70454545454534423</v>
      </c>
      <c r="CI36" s="47">
        <f t="shared" ca="1" si="161"/>
        <v>9.2954545454545041</v>
      </c>
      <c r="CJ36" s="46">
        <f t="shared" ca="1" si="162"/>
        <v>-0.78787878787882937</v>
      </c>
      <c r="CK36" s="141">
        <f t="shared" ca="1" si="140"/>
        <v>315.16999999999996</v>
      </c>
      <c r="CL36" s="50">
        <f t="shared" ca="1" si="77"/>
        <v>-1.1100000000000136</v>
      </c>
      <c r="CM36" s="47">
        <f t="shared" ca="1" si="163"/>
        <v>4.7649999999999864</v>
      </c>
      <c r="CN36" s="46">
        <f t="shared" ca="1" si="164"/>
        <v>2.4999999999977263E-2</v>
      </c>
      <c r="CO36" s="141">
        <f t="shared" ca="1" si="141"/>
        <v>229.71499999999995</v>
      </c>
      <c r="CP36" s="50">
        <f t="shared" ca="1" si="78"/>
        <v>0.67499999999995453</v>
      </c>
      <c r="CQ36" s="47">
        <f t="shared" ca="1" si="165"/>
        <v>-0.43500000000000227</v>
      </c>
      <c r="CR36" s="46">
        <f t="shared" ca="1" si="166"/>
        <v>-0.20500000000001251</v>
      </c>
      <c r="CS36" s="109">
        <f t="shared" ca="1" si="79"/>
        <v>-5.3781818181818437</v>
      </c>
      <c r="CT36" s="46">
        <f t="shared" ca="1" si="80"/>
        <v>3.181818181815288E-2</v>
      </c>
      <c r="CU36" s="47">
        <f t="shared" ca="1" si="167"/>
        <v>-3.5909090909086672E-2</v>
      </c>
      <c r="CV36" s="46">
        <f t="shared" ca="1" si="168"/>
        <v>0</v>
      </c>
      <c r="CW36" s="110">
        <f t="shared" ca="1" si="142"/>
        <v>-5.0871861471861735</v>
      </c>
      <c r="CX36" s="46">
        <f t="shared" ca="1" si="81"/>
        <v>45.32380432900429</v>
      </c>
      <c r="CY36" s="47">
        <f t="shared" ca="1" si="169"/>
        <v>-6.149350649351959E-2</v>
      </c>
      <c r="CZ36" s="46">
        <f t="shared" ca="1" si="170"/>
        <v>-25.504312554112534</v>
      </c>
      <c r="DA36" s="109">
        <f t="shared" ca="1" si="82"/>
        <v>44.443700427089667</v>
      </c>
      <c r="DB36" s="46">
        <f t="shared" ca="1" si="83"/>
        <v>-0.25589688834657209</v>
      </c>
      <c r="DC36" s="47">
        <f t="shared" ca="1" si="171"/>
        <v>0.94316656497865381</v>
      </c>
      <c r="DD36" s="46">
        <f t="shared" ca="1" si="233"/>
        <v>2.4441732763882396E-2</v>
      </c>
      <c r="DE36" s="110">
        <f t="shared" ca="1" si="84"/>
        <v>58.056790909090864</v>
      </c>
      <c r="DF36" s="46">
        <f t="shared" ca="1" si="85"/>
        <v>-0.53160909090913666</v>
      </c>
      <c r="DG36" s="47">
        <f t="shared" ca="1" si="172"/>
        <v>1.2893545454545432</v>
      </c>
      <c r="DH36" s="46">
        <f t="shared" ca="1" si="173"/>
        <v>0.1127545454545521</v>
      </c>
      <c r="DI36" s="110">
        <f t="shared" ca="1" si="86"/>
        <v>19.981690909090872</v>
      </c>
      <c r="DJ36" s="46">
        <f t="shared" ca="1" si="87"/>
        <v>0.1214909090908543</v>
      </c>
      <c r="DK36" s="47">
        <f t="shared" ca="1" si="174"/>
        <v>0.17215454545453213</v>
      </c>
      <c r="DL36" s="46">
        <f t="shared" ca="1" si="175"/>
        <v>2.8754545454544866E-2</v>
      </c>
      <c r="DM36" s="110">
        <f t="shared" ca="1" si="88"/>
        <v>63.434972727272708</v>
      </c>
      <c r="DN36" s="46">
        <f t="shared" ca="1" si="89"/>
        <v>-0.56342727272728954</v>
      </c>
      <c r="DO36" s="47">
        <f t="shared" ca="1" si="176"/>
        <v>1.3252636363636299</v>
      </c>
      <c r="DP36" s="47">
        <f t="shared" ca="1" si="177"/>
        <v>0.11866363636363764</v>
      </c>
      <c r="DQ36" s="110">
        <f t="shared" ca="1" si="90"/>
        <v>25.359872727272716</v>
      </c>
      <c r="DR36" s="46">
        <f t="shared" ca="1" si="91"/>
        <v>8.9672727272701425E-2</v>
      </c>
      <c r="DS36" s="47">
        <f t="shared" ca="1" si="178"/>
        <v>0.2080636363636188</v>
      </c>
      <c r="DT36" s="47">
        <f t="shared" ca="1" si="179"/>
        <v>3.4663636363630401E-2</v>
      </c>
      <c r="DU36" s="109">
        <f t="shared" ca="1" si="92"/>
        <v>44.235485487666679</v>
      </c>
      <c r="DV36" s="46">
        <f t="shared" ca="1" si="93"/>
        <v>-0.21117159127228363</v>
      </c>
      <c r="DW36" s="47">
        <f t="shared" ca="1" si="180"/>
        <v>0.9431665649786396</v>
      </c>
      <c r="DX36" s="47">
        <f t="shared" ca="1" si="181"/>
        <v>-0.10077718701879435</v>
      </c>
      <c r="DY36" s="110">
        <f t="shared" ca="1" si="94"/>
        <v>56.67908398268392</v>
      </c>
      <c r="DZ36" s="46">
        <f t="shared" ca="1" si="95"/>
        <v>-0.5828017316017734</v>
      </c>
      <c r="EA36" s="47">
        <f t="shared" ca="1" si="182"/>
        <v>1.696754545454553</v>
      </c>
      <c r="EB36" s="47">
        <f t="shared" ca="1" si="183"/>
        <v>1.547835497835448E-2</v>
      </c>
      <c r="EC36" s="110">
        <f t="shared" ca="1" si="96"/>
        <v>20.787983982683926</v>
      </c>
      <c r="ED36" s="46">
        <f t="shared" ca="1" si="97"/>
        <v>0.16689826839821323</v>
      </c>
      <c r="EE36" s="47">
        <f t="shared" ca="1" si="184"/>
        <v>-0.48724545454544455</v>
      </c>
      <c r="EF36" s="47">
        <f t="shared" ca="1" si="185"/>
        <v>-8.1121645021641264E-2</v>
      </c>
      <c r="EG36" s="110">
        <f t="shared" ca="1" si="98"/>
        <v>61.766270129870094</v>
      </c>
      <c r="EH36" s="46">
        <f t="shared" ca="1" si="99"/>
        <v>-45.906606060606066</v>
      </c>
      <c r="EI36" s="47">
        <f t="shared" ca="1" si="186"/>
        <v>1.7582480519480725</v>
      </c>
      <c r="EJ36" s="47">
        <f t="shared" ca="1" si="187"/>
        <v>25.519790909090894</v>
      </c>
      <c r="EK36" s="110">
        <f t="shared" ca="1" si="100"/>
        <v>25.875170129870099</v>
      </c>
      <c r="EL36" s="46">
        <f t="shared" ca="1" si="101"/>
        <v>-45.156906060606076</v>
      </c>
      <c r="EM36" s="47">
        <f t="shared" ca="1" si="188"/>
        <v>-0.42575194805192496</v>
      </c>
      <c r="EN36" s="47">
        <f t="shared" ca="1" si="189"/>
        <v>25.423190909090895</v>
      </c>
      <c r="EO36" s="109">
        <f t="shared" ca="1" si="102"/>
        <v>32.412120195240902</v>
      </c>
      <c r="EP36" s="46">
        <f t="shared" ca="1" si="103"/>
        <v>-0.65645762514896311</v>
      </c>
      <c r="EQ36" s="47">
        <f t="shared" ca="1" si="190"/>
        <v>0.824257096371241</v>
      </c>
      <c r="ER36" s="47">
        <f t="shared" ca="1" si="191"/>
        <v>0.21026860164445149</v>
      </c>
      <c r="ES36" s="110">
        <f t="shared" ca="1" si="104"/>
        <v>29.627615464326766</v>
      </c>
      <c r="ET36" s="46">
        <f t="shared" ca="1" si="105"/>
        <v>-0.88483366745116598</v>
      </c>
      <c r="EU36" s="47">
        <f t="shared" ca="1" si="192"/>
        <v>1.7942570963712114</v>
      </c>
      <c r="EV36" s="47">
        <f t="shared" ca="1" si="193"/>
        <v>0.2767989095170208</v>
      </c>
      <c r="EW36" s="109">
        <f t="shared" ca="1" si="106"/>
        <v>-90.655000000000001</v>
      </c>
      <c r="EX36" s="46">
        <f t="shared" ca="1" si="107"/>
        <v>1.5549999999999784</v>
      </c>
      <c r="EY36" s="47">
        <f t="shared" ca="1" si="194"/>
        <v>-2.660000000000025</v>
      </c>
      <c r="EZ36" s="47">
        <f t="shared" ca="1" si="195"/>
        <v>-0.20000000000001705</v>
      </c>
      <c r="FA36" s="110">
        <f t="shared" ca="1" si="108"/>
        <v>-85.455000000000013</v>
      </c>
      <c r="FB36" s="46">
        <f t="shared" ca="1" si="109"/>
        <v>1.7849999999999682</v>
      </c>
      <c r="FC36" s="47">
        <f t="shared" ca="1" si="196"/>
        <v>-5.1999999999999886</v>
      </c>
      <c r="FD36" s="47">
        <f t="shared" ca="1" si="197"/>
        <v>-0.22999999999998977</v>
      </c>
      <c r="FE36" s="109">
        <f t="shared" ca="1" si="110"/>
        <v>44.397422727272712</v>
      </c>
      <c r="FF36" s="46">
        <f t="shared" ca="1" si="111"/>
        <v>-0.23687727272729406</v>
      </c>
      <c r="FG36" s="110">
        <f t="shared" ca="1" si="112"/>
        <v>38.051572727272713</v>
      </c>
      <c r="FH36" s="46">
        <f t="shared" ca="1" si="113"/>
        <v>-0.12802727272729555</v>
      </c>
      <c r="FI36" s="110">
        <f t="shared" ca="1" si="114"/>
        <v>39.019240909090868</v>
      </c>
      <c r="FJ36" s="46">
        <f t="shared" ca="1" si="115"/>
        <v>-0.20505909090914118</v>
      </c>
      <c r="FK36" s="110">
        <f t="shared" ca="1" si="116"/>
        <v>32.67339090909087</v>
      </c>
      <c r="FL36" s="46">
        <f t="shared" ca="1" si="117"/>
        <v>-9.6209090909142675E-2</v>
      </c>
      <c r="FM36" s="110">
        <f t="shared" ca="1" si="118"/>
        <v>43.820720129870097</v>
      </c>
      <c r="FN36" s="46">
        <f t="shared" ca="1" si="119"/>
        <v>-45.531756060606071</v>
      </c>
      <c r="FO36" s="110">
        <f t="shared" ca="1" si="120"/>
        <v>37.838870129870102</v>
      </c>
      <c r="FP36" s="46">
        <f t="shared" ca="1" si="121"/>
        <v>-45.406806060606073</v>
      </c>
      <c r="FQ36" s="110">
        <f t="shared" ca="1" si="122"/>
        <v>38.733533982683923</v>
      </c>
      <c r="FR36" s="46">
        <f t="shared" ca="1" si="123"/>
        <v>-0.2079517316017801</v>
      </c>
      <c r="FS36" s="110">
        <f t="shared" ca="1" si="124"/>
        <v>32.751683982683929</v>
      </c>
      <c r="FT36" s="111">
        <f t="shared" ca="1" si="125"/>
        <v>-8.3001731601782314E-2</v>
      </c>
      <c r="FU36" s="109" t="str">
        <f t="shared" ca="1" si="232"/>
        <v/>
      </c>
      <c r="FV36" s="46" t="str">
        <f t="shared" ca="1" si="213"/>
        <v/>
      </c>
      <c r="FW36" s="48" t="str">
        <f t="shared" ca="1" si="227"/>
        <v/>
      </c>
      <c r="FX36" s="114" t="str">
        <f t="shared" ca="1" si="228"/>
        <v/>
      </c>
      <c r="FY36" s="110" t="str">
        <f t="shared" ca="1" si="214"/>
        <v/>
      </c>
      <c r="FZ36" s="46" t="str">
        <f t="shared" ca="1" si="215"/>
        <v/>
      </c>
      <c r="GA36" s="47" t="str">
        <f t="shared" ca="1" si="216"/>
        <v/>
      </c>
      <c r="GB36" s="46" t="str">
        <f t="shared" ca="1" si="229"/>
        <v/>
      </c>
      <c r="GC36" s="110" t="str">
        <f ca="1">IFERROR(IF(AND(ISNUMBER($FU36), ISNUMBER(Crd!$X36)), $FU36 - Crd!$X36, ""), "")</f>
        <v/>
      </c>
      <c r="GD36" s="46" t="str">
        <f ca="1">IFERROR(IF(AND(ISNUMBER($FV36), ISNUMBER(Crd!$Y36)), $FV36 - Crd!$Y36, ""), "")</f>
        <v/>
      </c>
      <c r="GE36" s="47" t="str">
        <f t="shared" ca="1" si="217"/>
        <v/>
      </c>
      <c r="GF36" s="46" t="str">
        <f t="shared" ca="1" si="218"/>
        <v/>
      </c>
      <c r="GG36" s="141" t="str">
        <f t="shared" ca="1" si="198"/>
        <v/>
      </c>
      <c r="GH36" s="50" t="str">
        <f t="shared" ca="1" si="199"/>
        <v/>
      </c>
      <c r="GI36" s="47" t="str">
        <f t="shared" ca="1" si="144"/>
        <v/>
      </c>
      <c r="GJ36" s="46" t="str">
        <f t="shared" ca="1" si="145"/>
        <v/>
      </c>
      <c r="GK36" s="110" t="str">
        <f t="shared" ca="1" si="127"/>
        <v/>
      </c>
      <c r="GL36" s="46" t="str">
        <f t="shared" ca="1" si="128"/>
        <v/>
      </c>
      <c r="GM36" s="47" t="str">
        <f t="shared" ca="1" si="200"/>
        <v/>
      </c>
      <c r="GN36" s="46" t="str">
        <f t="shared" ca="1" si="201"/>
        <v/>
      </c>
      <c r="GO36" s="110" t="str">
        <f ca="1">IFERROR(IF(AND(ISNUMBER($GG36), ISNUMBER(Crd!$X36)), $GG36 - Crd!$X36, ""), "")</f>
        <v/>
      </c>
      <c r="GP36" s="46" t="str">
        <f ca="1">IFERROR(IF(AND(ISNUMBER($GH36), ISNUMBER(Crd!$Y36)), $GH36 - Crd!$Y36, ""), "")</f>
        <v/>
      </c>
      <c r="GQ36" s="47" t="str">
        <f t="shared" ca="1" si="202"/>
        <v/>
      </c>
      <c r="GR36" s="46" t="str">
        <f t="shared" ca="1" si="203"/>
        <v/>
      </c>
      <c r="GS36" s="436" t="str">
        <f t="shared" ca="1" si="219"/>
        <v/>
      </c>
      <c r="GT36" s="46" t="str">
        <f t="shared" ca="1" si="220"/>
        <v/>
      </c>
      <c r="GU36" s="48" t="str">
        <f t="shared" ca="1" si="230"/>
        <v/>
      </c>
      <c r="GV36" s="46" t="str">
        <f t="shared" ca="1" si="231"/>
        <v/>
      </c>
      <c r="GW36" s="427" t="str">
        <f t="shared" ca="1" si="204"/>
        <v/>
      </c>
      <c r="GX36" s="50" t="str">
        <f t="shared" ca="1" si="146"/>
        <v/>
      </c>
      <c r="GY36" s="47" t="str">
        <f t="shared" ca="1" si="205"/>
        <v/>
      </c>
      <c r="GZ36" s="432" t="str">
        <f t="shared" ca="1" si="206"/>
        <v/>
      </c>
      <c r="HA36" s="436"/>
      <c r="HB36" s="46"/>
      <c r="HC36" s="48"/>
      <c r="HD36" s="46"/>
      <c r="HE36" s="269"/>
      <c r="HF36" s="46"/>
      <c r="HG36" s="48"/>
      <c r="HH36" s="432"/>
    </row>
    <row r="37" spans="1:216" x14ac:dyDescent="0.25">
      <c r="A37" s="58">
        <f t="shared" ca="1" si="131"/>
        <v>46813</v>
      </c>
      <c r="B37" s="6" t="str">
        <f ca="1">INDEX(MthRef[], MATCH(MONTH(Futs!$A37), MthRef[Mth], 0), 2)</f>
        <v>H</v>
      </c>
      <c r="C37" s="6">
        <f t="shared" ca="1" si="65"/>
        <v>2028</v>
      </c>
      <c r="D37" s="6" t="str">
        <f t="shared" ca="1" si="66"/>
        <v>Q128</v>
      </c>
      <c r="E37" s="6" t="str">
        <f t="shared" ca="1" si="132"/>
        <v>H8</v>
      </c>
      <c r="F37" s="10" t="e">
        <f ca="1">IFERROR(AVERAGE(_xll.BDP(F$18 &amp; $B37 &amp; RIGHT($C37, 1) &amp; " " &amp; "Comdty", "BID", "Fill=#N/A"), _xll.BDP(F$18 &amp; $B37 &amp; RIGHT($C37, 1) &amp; " " &amp; "Comdty", "ASK", "Fill=#N/A")), NA())</f>
        <v>#N/A</v>
      </c>
      <c r="G37" s="10">
        <f ca="1">IFERROR(AVERAGE(_xll.BDP(G$18 &amp; $B37 &amp; RIGHT($C37, 1) &amp; " " &amp; "Comdty", "BID", "Fill=#N/A"), _xll.BDP(G$18 &amp; $B37 &amp; RIGHT($C37, 1) &amp; " " &amp; "Comdty", "ASK", "Fill=#N/A")), NA())</f>
        <v>75.849999999999994</v>
      </c>
      <c r="H37" s="10">
        <f ca="1">IFERROR(AVERAGE(_xll.BDP(H$18 &amp; $B37 &amp; RIGHT($C37, 1) &amp; " " &amp; "Comdty", "BID", "Fill=#N/A"), _xll.BDP(H$18 &amp; $B37 &amp; RIGHT($C37, 1) &amp; " " &amp; "Comdty", "ASK", "Fill=#N/A")), NA())</f>
        <v>885.625</v>
      </c>
      <c r="I37" s="10">
        <f ca="1">IFERROR(AVERAGE(_xll.BDP(I$18 &amp; $B37 &amp; RIGHT($C37, 1) &amp; " " &amp; "Comdty", "BID", "Fill=#N/A"), _xll.BDP(I$18 &amp; $B37 &amp; RIGHT($C37, 1) &amp; " " &amp; "Comdty", "ASK", "Fill=#N/A")), NA())</f>
        <v>314.84000000000003</v>
      </c>
      <c r="J37" s="10">
        <f ca="1">IFERROR(AVERAGE(_xll.BDP(J$18 &amp; $B37 &amp; RIGHT($C37, 1) &amp; " " &amp; "Comdty", "BID", "Fill=#N/A"), _xll.BDP(J$18 &amp; $B37 &amp; RIGHT($C37, 1) &amp; " " &amp; "Comdty", "ASK", "Fill=#N/A")), NA())</f>
        <v>229.06</v>
      </c>
      <c r="K37" s="10" t="e">
        <f ca="1">IFERROR(AVERAGE(_xll.BDP(K$18 &amp; $B37 &amp; RIGHT($C37, 2) &amp; " " &amp; "Comdty", "BID", "Fill=#N/A"), _xll.BDP(K$18 &amp; $B37 &amp; RIGHT($C37, 2) &amp; " " &amp; "Comdty", "ASK", "Fill=#N/A")), NA())</f>
        <v>#N/A</v>
      </c>
      <c r="L37" s="10" t="e">
        <f ca="1">IFERROR(AVERAGE(_xll.BDP(L$18 &amp; $B37 &amp; RIGHT($C37, 2) &amp; " " &amp; "Comdty", "BID", "Fill=#N/A"), _xll.BDP(L$18 &amp; $B37 &amp; RIGHT($C37, 2) &amp; " " &amp; "Comdty", "ASK", "Fill=#N/A")), NA())</f>
        <v>#N/A</v>
      </c>
      <c r="M37" s="10">
        <f ca="1">IFERROR(AVERAGE(_xll.BDP(M$18 &amp; $B37 &amp; RIGHT($C37, 2) &amp; " " &amp; "Comdty", "BID", "Fill=#N/A"), _xll.BDP(M$18 &amp; $B37 &amp; RIGHT($C37, 2) &amp; " " &amp; "Comdty", "ASK", "Fill=#N/A")), NA())</f>
        <v>517.45000000000005</v>
      </c>
      <c r="N37" s="10">
        <f ca="1">IFERROR(AVERAGE(_xll.BDP(N$18 &amp; $B36 &amp; RIGHT($C36, 1) &amp; N$18 &amp; $B37 &amp; RIGHT($C37, 1) &amp; " " &amp; "Comdty", "BID", "Fill=#N/A"), _xll.BDP(N$18 &amp; $B36 &amp; RIGHT($C36, 1) &amp; N$18 &amp; $B37 &amp; RIGHT($C37, 1) &amp; " " &amp; "Comdty", "ASK", "Fill=#N/A")), NA())</f>
        <v>0.3</v>
      </c>
      <c r="O37" s="10">
        <f ca="1">IFERROR(AVERAGE(_xll.BDP(O$18 &amp; $B36 &amp; RIGHT($C36, 1) &amp; O$18 &amp; $B37 &amp; RIGHT($C37, 1) &amp; " " &amp; "Comdty", "BID", "Fill=#N/A"), _xll.BDP(O$18 &amp; $B36 &amp; RIGHT($C36, 1) &amp; O$18 &amp; $B37 &amp; RIGHT($C37, 1) &amp; " " &amp; "Comdty", "ASK", "Fill=#N/A")), NA())</f>
        <v>0.315</v>
      </c>
      <c r="P37" s="10">
        <f ca="1">IFERROR(AVERAGE(_xll.BDP(P$18 &amp; $B36 &amp; RIGHT($C36, 1) &amp; P$18 &amp; $B37 &amp; RIGHT($C37, 1) &amp; " " &amp; "Comdty", "BID", "Fill=#N/A"), _xll.BDP(P$18 &amp; $B36 &amp; RIGHT($C36, 1) &amp; P$18 &amp; $B37 &amp; RIGHT($C37, 1) &amp; " " &amp; "Comdty", "ASK", "Fill=#N/A")), NA())</f>
        <v>10.375</v>
      </c>
      <c r="Q37" s="10">
        <f ca="1">IFERROR(AVERAGE(_xll.BDP(Q$18 &amp; $B36 &amp; RIGHT($C36, 1) &amp; Q$18 &amp; $B37 &amp; RIGHT($C37, 1) &amp; " " &amp; "Comdty", "BID", "Fill=#N/A"), _xll.BDP(Q$18 &amp; $B36 &amp; RIGHT($C36, 1) &amp; Q$18 &amp; $B37 &amp; RIGHT($C37, 1) &amp; " " &amp; "Comdty", "ASK", "Fill=#N/A")), NA())</f>
        <v>4.7650000000000006</v>
      </c>
      <c r="R37" s="10">
        <f ca="1">IFERROR(AVERAGE(_xll.BDP(R$18 &amp; $B36 &amp; RIGHT($C36, 1) &amp; R$18 &amp; $B37 &amp; RIGHT($C37, 1) &amp; " " &amp; "Comdty", "BID", "Fill=#N/A"), _xll.BDP(R$18 &amp; $B36 &amp; RIGHT($C36, 1) &amp; R$18 &amp; $B37 &amp; RIGHT($C37, 1) &amp; " " &amp; "Comdty", "ASK", "Fill=#N/A")), NA())</f>
        <v>-0.43500000000000005</v>
      </c>
      <c r="S37" s="10" t="e">
        <f ca="1">IFERROR(AVERAGE(_xll.BDP(S$18 &amp; $B36 &amp; RIGHT($C36, 1) &amp; $B37 &amp; RIGHT($C37, 1) &amp; " " &amp; "Comdty", "BID", "Fill=#N/A"), _xll.BDP(S$18 &amp; $B36 &amp; RIGHT($C36, 1) &amp; $B37 &amp; RIGHT($C37, 1) &amp; " " &amp; "Comdty", "ASK", "Fill=#N/A")), NA())</f>
        <v>#N/A</v>
      </c>
      <c r="T37" s="10" t="e">
        <f ca="1">IFERROR(AVERAGE(_xll.BDP(T$18 &amp; $B36 &amp; RIGHT($C36, 1) &amp; $B37 &amp; RIGHT($C37, 1) &amp; " " &amp; "Comdty", "BID", "Fill=#N/A"), _xll.BDP(T$18 &amp; $B36 &amp; RIGHT($C36, 1) &amp; $B37 &amp; RIGHT($C37, 1) &amp; " " &amp; "Comdty", "ASK", "Fill=#N/A")), NA())</f>
        <v>#N/A</v>
      </c>
      <c r="U37" s="10">
        <f ca="1">IF($A37 &lt; Diagnostics!$B$3, N37, INDEX(ImpSprd[], MATCH(Futs!$C37, ImpSprd[Yr], 0), MATCH(U$18, ImpSprd[#Headers], 0)))</f>
        <v>0.26863636363636362</v>
      </c>
      <c r="V37" s="10">
        <f ca="1">IF($A37 &lt; Diagnostics!$B$3, O37, INDEX(ImpSprd[], MATCH(Futs!$C37, ImpSprd[Yr], 0), MATCH(V$18, ImpSprd[#Headers], 0)))</f>
        <v>0.30454545454545451</v>
      </c>
      <c r="W37" s="10">
        <f ca="1">IF($A37 &lt; Diagnostics!$B$3, P37, INDEX(ImpSprd[], MATCH(Futs!$C37, ImpSprd[Yr], 0), MATCH(W$18, ImpSprd[#Headers], 0)))</f>
        <v>9.295454545454545</v>
      </c>
      <c r="X37" s="31">
        <f ca="1">INDEX(Expi[], MATCH($A37, Expi[Date], 0), MATCH(X$18, Expi[#Headers], 0))</f>
        <v>46833</v>
      </c>
      <c r="Y37" s="31">
        <f ca="1">INDEX(Expi[], MATCH($A37, Expi[Date], 0), MATCH(Y$18, Expi[#Headers], 0))</f>
        <v>46843</v>
      </c>
      <c r="Z37" s="31">
        <f ca="1">INDEX(Expi[], MATCH($A37, Expi[Date], 0), MATCH(Z$18, Expi[#Headers], 0))</f>
        <v>46822</v>
      </c>
      <c r="AA37" s="31">
        <f ca="1">INDEX(Expi[], MATCH($A37, Expi[Date], 0), MATCH(AA$18, Expi[#Headers], 0))</f>
        <v>46843</v>
      </c>
      <c r="AB37" s="31">
        <f ca="1">INDEX(Expi[], MATCH($A37, Expi[Date], 0), MATCH(AB$18, Expi[#Headers], 0))</f>
        <v>46843</v>
      </c>
      <c r="AC37" s="31">
        <f ca="1">INDEX(Expi[], MATCH($A37, Expi[Date], 0), MATCH(AC$18, Expi[#Headers], 0))</f>
        <v>46843</v>
      </c>
      <c r="AD37" s="7">
        <f ca="1">NETWORKDAYS($A37, EOMONTH($A37, 0), Hols[CME])</f>
        <v>23</v>
      </c>
      <c r="AE37" s="7">
        <f ca="1">NETWORKDAYS($A37, EOMONTH($A37, 0), Hols[ICE])</f>
        <v>23</v>
      </c>
      <c r="AF37" s="7">
        <f ca="1">NETWORKDAYS($A37, EOMONTH($A37, 0), Hols[ICE])</f>
        <v>23</v>
      </c>
      <c r="AG37" s="7">
        <f ca="1">NETWORKDAYS($A37, EOMONTH($A37, 0), Hols[CME])</f>
        <v>23</v>
      </c>
      <c r="AH37" s="7">
        <f ca="1">NETWORKDAYS($A37, EOMONTH($A37, 0), Hols[CME])</f>
        <v>23</v>
      </c>
      <c r="AI37" s="7">
        <f ca="1">NETWORKDAYS($A37, EOMONTH($A37, 0), Hols[ICE])</f>
        <v>23</v>
      </c>
      <c r="AJ37" s="7">
        <f ca="1">NETWORKDAYS($A37, X37, Hols[CME])</f>
        <v>15</v>
      </c>
      <c r="AK37" s="7">
        <f ca="1">NETWORKDAYS($A37, Y37, Hols[ICE]) - 1</f>
        <v>22</v>
      </c>
      <c r="AL37" s="7">
        <f ca="1">NETWORKDAYS($A37, Z37, Hols[ICE]) - 1</f>
        <v>7</v>
      </c>
      <c r="AM37" s="7">
        <f ca="1">NETWORKDAYS($A37, AA37, Hols[CME])</f>
        <v>23</v>
      </c>
      <c r="AN37" s="7">
        <f ca="1">NETWORKDAYS($A37, AB37, Hols[CME])</f>
        <v>23</v>
      </c>
      <c r="AO37" s="7">
        <f ca="1">NETWORKDAYS($A37, AC37, Hols[ICE]) - 1</f>
        <v>22</v>
      </c>
      <c r="AP37" s="10">
        <f t="shared" ca="1" si="67"/>
        <v>0.65217391304347827</v>
      </c>
      <c r="AQ37" s="10">
        <f t="shared" ca="1" si="68"/>
        <v>0.95652173913043481</v>
      </c>
      <c r="AR37" s="10">
        <f t="shared" ca="1" si="69"/>
        <v>0.30434782608695654</v>
      </c>
      <c r="AS37" s="10">
        <f t="shared" ca="1" si="70"/>
        <v>1</v>
      </c>
      <c r="AT37" s="10">
        <f t="shared" ca="1" si="71"/>
        <v>1</v>
      </c>
      <c r="AU37" s="10">
        <f t="shared" ca="1" si="71"/>
        <v>0.95652173913043481</v>
      </c>
      <c r="AV37" s="28">
        <f ca="1">IFERROR(AVERAGE(_xll.BDH(AV$18 &amp; $B37 &amp; RIGHT($C37, 1) &amp; " " &amp; "Comdty", "PX_SETTLE", AV$16, AV$16, "Fill=#N/A")), IFERROR(AVERAGE(_xll.BDH(AV$18 &amp; $B37 &amp; RIGHT($C37, 2) &amp; " " &amp; "Comdty", "PX_SETTLE", AV$16, AV$16, "Fill=#N/A")), NA()))</f>
        <v>11.091200000000001</v>
      </c>
      <c r="AW37" s="28">
        <f ca="1">IFERROR(AVERAGE(_xll.BDH(AW$18 &amp; $B37 &amp; RIGHT($C37, 1) &amp; " " &amp; "Comdty", "PX_SETTLE", AW$16, AW$16, "Fill=#N/A")), IFERROR(AVERAGE(_xll.BDH(AW$18 &amp; $B37 &amp; RIGHT($C37, 2) &amp; " " &amp; "Comdty", "PX_SETTLE", AW$16, AW$16, "Fill=#N/A")), NA()))</f>
        <v>75.900000000000006</v>
      </c>
      <c r="AX37" s="29">
        <f ca="1">IFERROR(AVERAGE(_xll.BDH(AX$18 &amp; $B37 &amp; RIGHT($C37, 2) &amp; " " &amp; "Comdty", "FAIR_VALUE_SNAPSHOT_AT_1430", AX$16, AX$16, "TIME_ZONE_OVERRIDE=13", "Fill=#N/A")), NA())</f>
        <v>890.75</v>
      </c>
      <c r="AY37" s="28">
        <f ca="1">IFERROR(AVERAGE(_xll.BDH(AY$18 &amp; $B37 &amp; RIGHT($C37, 1) &amp; " " &amp; "Comdty", "PX_SETTLE", AY$16, AY$16, "Fill=#N/A")), NA())</f>
        <v>316.27999999999997</v>
      </c>
      <c r="AZ37" s="28">
        <f ca="1">IFERROR(AVERAGE(_xll.BDH(AZ$18 &amp; $B37 &amp; RIGHT($C37, 1) &amp; " " &amp; "Comdty", "PX_SETTLE", AZ$16, AZ$16, "Fill=#N/A")), NA())</f>
        <v>229.04</v>
      </c>
      <c r="BA37" s="29" t="e">
        <f ca="1">IFERROR(AVERAGE(_xll.BDH(BA$18 &amp; $B37 &amp; RIGHT($C37, 2) &amp; " " &amp; "Comdty", "PX_SETTLE", BA$16, BA$16, "Fill=#N/A")), IFERROR(AVERAGE(_xll.BDH(BA$18 &amp; $B37 &amp; RIGHT($C37, 2) &amp; " " &amp; "Comdty", "PX_SETTLE", BA$16, BA$16, "Fill=#N/A")), NA()))</f>
        <v>#N/A</v>
      </c>
      <c r="BB37" s="29">
        <f ca="1">IFERROR(AVERAGE(_xll.BDH(BB$18 &amp; $B37 &amp; RIGHT($C37, 2) &amp; " " &amp; "Comdty", "PX_SETTLE", BB$16, BB$16, "Fill=#N/A")), IFERROR(AVERAGE(_xll.BDH(BB$18 &amp; $B37 &amp; RIGHT($C37, 2) &amp; " " &amp; "Comdty", "PX_SETTLE", BB$16, BB$16, "Fill=#N/A")), NA()))</f>
        <v>76.599999999999994</v>
      </c>
      <c r="BC37" s="29">
        <f ca="1">IFERROR(AVERAGE(_xll.BDH(BC$18 &amp; $B37 &amp; RIGHT($C37, 2) &amp; " " &amp; "Comdty", "PX_SETTLE", BC$16, BC$16, "Fill=#N/A")), IFERROR(AVERAGE(_xll.BDH(BC$18 &amp; $B37 &amp; RIGHT($C37, 2) &amp; " " &amp; "Comdty", "PX_SETTLE", BC$16, BC$16, "Fill=#N/A")), NA()))</f>
        <v>511.3</v>
      </c>
      <c r="BD37" s="29" cm="1">
        <f t="array" ref="BD37">_xll.BFXFORWARD("USDCNY", "17M", "MidOutright")</f>
        <v>6.5076999999999998</v>
      </c>
      <c r="BE37" s="109">
        <f t="shared" ca="1" si="209"/>
        <v>70.669090909090912</v>
      </c>
      <c r="BF37" s="46">
        <f t="shared" ca="1" si="72"/>
        <v>59.577890909090911</v>
      </c>
      <c r="BG37" s="47">
        <f t="shared" ca="1" si="151"/>
        <v>0.2686363636363609</v>
      </c>
      <c r="BH37" s="114">
        <f t="shared" ca="1" si="223"/>
        <v>-59.470163636363637</v>
      </c>
      <c r="BI37" s="110">
        <f t="shared" ca="1" si="224"/>
        <v>76.011363636363669</v>
      </c>
      <c r="BJ37" s="46">
        <f t="shared" ca="1" si="73"/>
        <v>0.11136363636366298</v>
      </c>
      <c r="BK37" s="48">
        <f t="shared" ca="1" si="225"/>
        <v>0.30454545454544757</v>
      </c>
      <c r="BL37" s="114">
        <f t="shared" ca="1" si="226"/>
        <v>-3.5454545454541631E-2</v>
      </c>
      <c r="BM37" s="48">
        <f t="shared" ca="1" si="152"/>
        <v>890.36363636363649</v>
      </c>
      <c r="BN37" s="46">
        <f t="shared" ca="1" si="74"/>
        <v>-0.38636363636351234</v>
      </c>
      <c r="BO37" s="47">
        <f t="shared" ca="1" si="210"/>
        <v>9.2954545454545041</v>
      </c>
      <c r="BP37" s="46">
        <f t="shared" ca="1" si="133"/>
        <v>-0.95454545454549589</v>
      </c>
      <c r="BQ37" s="110">
        <f t="shared" ca="1" si="211"/>
        <v>315.16999999999996</v>
      </c>
      <c r="BR37" s="46">
        <f t="shared" ca="1" si="75"/>
        <v>-1.1100000000000136</v>
      </c>
      <c r="BS37" s="47">
        <f t="shared" ca="1" si="153"/>
        <v>4.7649999999999864</v>
      </c>
      <c r="BT37" s="114">
        <f t="shared" ca="1" si="154"/>
        <v>2.4999999999977263E-2</v>
      </c>
      <c r="BU37" s="48">
        <f t="shared" ca="1" si="212"/>
        <v>229.71499999999995</v>
      </c>
      <c r="BV37" s="46">
        <f t="shared" ca="1" si="76"/>
        <v>0.67499999999995453</v>
      </c>
      <c r="BW37" s="47">
        <f t="shared" ca="1" si="155"/>
        <v>-0.43500000000000227</v>
      </c>
      <c r="BX37" s="46">
        <f t="shared" ca="1" si="156"/>
        <v>-0.20500000000001251</v>
      </c>
      <c r="BY37" s="140">
        <f t="shared" ca="1" si="134"/>
        <v>70.307015810276681</v>
      </c>
      <c r="BZ37" s="46">
        <f t="shared" ca="1" si="135"/>
        <v>0.19397233201581365</v>
      </c>
      <c r="CA37" s="47">
        <f t="shared" ca="1" si="157"/>
        <v>0.29811405985319084</v>
      </c>
      <c r="CB37" s="46">
        <f t="shared" ca="1" si="158"/>
        <v>45.246433728590247</v>
      </c>
      <c r="CC37" s="141">
        <f t="shared" ca="1" si="136"/>
        <v>75.389031620553411</v>
      </c>
      <c r="CD37" s="50">
        <f t="shared" ca="1" si="137"/>
        <v>0.11120553359687829</v>
      </c>
      <c r="CE37" s="47">
        <f t="shared" ca="1" si="159"/>
        <v>0.30328439676263486</v>
      </c>
      <c r="CF37" s="46">
        <f t="shared" ca="1" si="160"/>
        <v>5.3961980048893576E-3</v>
      </c>
      <c r="CG37" s="141">
        <f t="shared" ca="1" si="138"/>
        <v>883.89723320158123</v>
      </c>
      <c r="CH37" s="50">
        <f t="shared" ca="1" si="139"/>
        <v>1.4950592885377021</v>
      </c>
      <c r="CI37" s="47">
        <f t="shared" ca="1" si="161"/>
        <v>9.5648880105401304</v>
      </c>
      <c r="CJ37" s="46">
        <f t="shared" ca="1" si="162"/>
        <v>-2.1996047430830465</v>
      </c>
      <c r="CK37" s="141">
        <f t="shared" ca="1" si="140"/>
        <v>309.81499999999994</v>
      </c>
      <c r="CL37" s="50">
        <f t="shared" ca="1" si="77"/>
        <v>-1.1750000000000682</v>
      </c>
      <c r="CM37" s="47">
        <f t="shared" ca="1" si="163"/>
        <v>5.3550000000000182</v>
      </c>
      <c r="CN37" s="46">
        <f t="shared" ca="1" si="164"/>
        <v>6.500000000005457E-2</v>
      </c>
      <c r="CO37" s="141">
        <f t="shared" ca="1" si="141"/>
        <v>248.21499999999995</v>
      </c>
      <c r="CP37" s="50">
        <f t="shared" ca="1" si="78"/>
        <v>1.1949999999999363</v>
      </c>
      <c r="CQ37" s="47">
        <f t="shared" ca="1" si="165"/>
        <v>-18.5</v>
      </c>
      <c r="CR37" s="46">
        <f t="shared" ca="1" si="166"/>
        <v>-0.51999999999998181</v>
      </c>
      <c r="CS37" s="109">
        <f t="shared" ca="1" si="79"/>
        <v>-5.342272727272757</v>
      </c>
      <c r="CT37" s="46">
        <f t="shared" ca="1" si="80"/>
        <v>59.466527272727248</v>
      </c>
      <c r="CU37" s="47">
        <f t="shared" ca="1" si="167"/>
        <v>-3.5909090909086672E-2</v>
      </c>
      <c r="CV37" s="46">
        <f t="shared" ca="1" si="168"/>
        <v>0</v>
      </c>
      <c r="CW37" s="110">
        <f t="shared" ca="1" si="142"/>
        <v>-5.0820158102767294</v>
      </c>
      <c r="CX37" s="46">
        <f t="shared" ca="1" si="81"/>
        <v>8.2766798418935361E-2</v>
      </c>
      <c r="CY37" s="47">
        <f t="shared" ca="1" si="169"/>
        <v>-5.1703369094440177E-3</v>
      </c>
      <c r="CZ37" s="46">
        <f t="shared" ca="1" si="170"/>
        <v>45.241037530585352</v>
      </c>
      <c r="DA37" s="109">
        <f t="shared" ca="1" si="82"/>
        <v>43.500533862111027</v>
      </c>
      <c r="DB37" s="46">
        <f t="shared" ca="1" si="83"/>
        <v>-0.16322452715071162</v>
      </c>
      <c r="DC37" s="47">
        <f t="shared" ca="1" si="171"/>
        <v>0.9431665649786396</v>
      </c>
      <c r="DD37" s="46">
        <f t="shared" ca="1" si="233"/>
        <v>-9.2672361195860475E-2</v>
      </c>
      <c r="DE37" s="110">
        <f t="shared" ca="1" si="84"/>
        <v>56.360036363636297</v>
      </c>
      <c r="DF37" s="46">
        <f t="shared" ca="1" si="85"/>
        <v>-0.5775636363636687</v>
      </c>
      <c r="DG37" s="47">
        <f t="shared" ca="1" si="172"/>
        <v>1.6967545454545672</v>
      </c>
      <c r="DH37" s="46">
        <f t="shared" ca="1" si="173"/>
        <v>4.5954545454532036E-2</v>
      </c>
      <c r="DI37" s="110">
        <f t="shared" ca="1" si="86"/>
        <v>20.468936363636303</v>
      </c>
      <c r="DJ37" s="46">
        <f t="shared" ca="1" si="87"/>
        <v>0.1721363636363179</v>
      </c>
      <c r="DK37" s="47">
        <f t="shared" ca="1" si="174"/>
        <v>-0.48724545454543033</v>
      </c>
      <c r="DL37" s="46">
        <f t="shared" ca="1" si="175"/>
        <v>-5.0645454545463597E-2</v>
      </c>
      <c r="DM37" s="110">
        <f t="shared" ca="1" si="88"/>
        <v>61.702309090909054</v>
      </c>
      <c r="DN37" s="46">
        <f t="shared" ca="1" si="89"/>
        <v>-60.044090909090919</v>
      </c>
      <c r="DO37" s="47">
        <f t="shared" ca="1" si="176"/>
        <v>1.7326636363636538</v>
      </c>
      <c r="DP37" s="47">
        <f t="shared" ca="1" si="177"/>
        <v>59.48066363636363</v>
      </c>
      <c r="DQ37" s="110">
        <f t="shared" ca="1" si="90"/>
        <v>25.81120909090906</v>
      </c>
      <c r="DR37" s="46">
        <f t="shared" ca="1" si="91"/>
        <v>-59.294390909090929</v>
      </c>
      <c r="DS37" s="47">
        <f t="shared" ca="1" si="178"/>
        <v>-0.45133636363634366</v>
      </c>
      <c r="DT37" s="47">
        <f t="shared" ca="1" si="179"/>
        <v>59.384063636363628</v>
      </c>
      <c r="DU37" s="109">
        <f t="shared" ca="1" si="92"/>
        <v>43.25489229912192</v>
      </c>
      <c r="DV37" s="46">
        <f t="shared" ca="1" si="93"/>
        <v>8.9473565535699157E-2</v>
      </c>
      <c r="DW37" s="47">
        <f t="shared" ca="1" si="180"/>
        <v>0.98059318854475919</v>
      </c>
      <c r="DX37" s="47">
        <f t="shared" ca="1" si="181"/>
        <v>-0.30064515680798276</v>
      </c>
      <c r="DY37" s="110">
        <f t="shared" ca="1" si="94"/>
        <v>54.733268379446557</v>
      </c>
      <c r="DZ37" s="46">
        <f t="shared" ca="1" si="95"/>
        <v>-0.60470553359690693</v>
      </c>
      <c r="EA37" s="47">
        <f t="shared" ca="1" si="182"/>
        <v>1.9458156032373637</v>
      </c>
      <c r="EB37" s="47">
        <f t="shared" ca="1" si="183"/>
        <v>2.1903801995133532E-2</v>
      </c>
      <c r="EC37" s="110">
        <f t="shared" ca="1" si="96"/>
        <v>28.861268379446557</v>
      </c>
      <c r="ED37" s="46">
        <f t="shared" ca="1" si="97"/>
        <v>0.39069446640309496</v>
      </c>
      <c r="EE37" s="47">
        <f t="shared" ca="1" si="184"/>
        <v>-8.0732843967626309</v>
      </c>
      <c r="EF37" s="47">
        <f t="shared" ca="1" si="185"/>
        <v>-0.22379619800488174</v>
      </c>
      <c r="EG37" s="110">
        <f t="shared" ca="1" si="98"/>
        <v>59.815284189723286</v>
      </c>
      <c r="EH37" s="46">
        <f t="shared" ca="1" si="99"/>
        <v>-0.68747233201584224</v>
      </c>
      <c r="EI37" s="47">
        <f t="shared" ca="1" si="186"/>
        <v>1.9509859401468077</v>
      </c>
      <c r="EJ37" s="47">
        <f t="shared" ca="1" si="187"/>
        <v>-45.219133728590222</v>
      </c>
      <c r="EK37" s="110">
        <f t="shared" ca="1" si="100"/>
        <v>33.943284189723286</v>
      </c>
      <c r="EL37" s="46">
        <f t="shared" ca="1" si="101"/>
        <v>0.3079276679841596</v>
      </c>
      <c r="EM37" s="47">
        <f t="shared" ca="1" si="188"/>
        <v>-8.0681140598531869</v>
      </c>
      <c r="EN37" s="47">
        <f t="shared" ca="1" si="189"/>
        <v>-45.464833728590236</v>
      </c>
      <c r="EO37" s="109">
        <f t="shared" ca="1" si="102"/>
        <v>30.617863098869748</v>
      </c>
      <c r="EP37" s="46">
        <f t="shared" ca="1" si="103"/>
        <v>-0.98652168860227873</v>
      </c>
      <c r="EQ37" s="47">
        <f t="shared" ca="1" si="190"/>
        <v>1.7942570963711546</v>
      </c>
      <c r="ER37" s="47">
        <f t="shared" ca="1" si="191"/>
        <v>0.33006406345331563</v>
      </c>
      <c r="ES37" s="110">
        <f t="shared" ca="1" si="104"/>
        <v>27.329466857915804</v>
      </c>
      <c r="ET37" s="46">
        <f t="shared" ca="1" si="105"/>
        <v>-1.6528073788871573</v>
      </c>
      <c r="EU37" s="47">
        <f t="shared" ca="1" si="192"/>
        <v>2.2981486064109617</v>
      </c>
      <c r="EV37" s="47">
        <f t="shared" ca="1" si="193"/>
        <v>0.76797371143599136</v>
      </c>
      <c r="EW37" s="109">
        <f t="shared" ca="1" si="106"/>
        <v>-85.455000000000013</v>
      </c>
      <c r="EX37" s="46">
        <f t="shared" ca="1" si="107"/>
        <v>1.7849999999999682</v>
      </c>
      <c r="EY37" s="47">
        <f t="shared" ca="1" si="194"/>
        <v>-5.1999999999999886</v>
      </c>
      <c r="EZ37" s="47">
        <f t="shared" ca="1" si="195"/>
        <v>-0.22999999999998977</v>
      </c>
      <c r="FA37" s="110">
        <f t="shared" ca="1" si="108"/>
        <v>-61.599999999999994</v>
      </c>
      <c r="FB37" s="46">
        <f t="shared" ca="1" si="109"/>
        <v>2.3700000000000045</v>
      </c>
      <c r="FC37" s="47">
        <f t="shared" ca="1" si="196"/>
        <v>-23.855000000000018</v>
      </c>
      <c r="FD37" s="47">
        <f t="shared" ca="1" si="197"/>
        <v>-0.58500000000003638</v>
      </c>
      <c r="FE37" s="109">
        <f t="shared" ca="1" si="110"/>
        <v>43.756759090909057</v>
      </c>
      <c r="FF37" s="46">
        <f t="shared" ca="1" si="111"/>
        <v>-59.669240909090924</v>
      </c>
      <c r="FG37" s="110">
        <f t="shared" ca="1" si="112"/>
        <v>37.774909090909055</v>
      </c>
      <c r="FH37" s="46">
        <f t="shared" ca="1" si="113"/>
        <v>-59.544290909090932</v>
      </c>
      <c r="FI37" s="110">
        <f t="shared" ca="1" si="114"/>
        <v>38.4144863636363</v>
      </c>
      <c r="FJ37" s="46">
        <f t="shared" ca="1" si="115"/>
        <v>-0.2027136363636754</v>
      </c>
      <c r="FK37" s="110">
        <f t="shared" ca="1" si="116"/>
        <v>32.432636363636306</v>
      </c>
      <c r="FL37" s="46">
        <f t="shared" ca="1" si="117"/>
        <v>-7.7763636363677627E-2</v>
      </c>
      <c r="FM37" s="110">
        <f t="shared" ca="1" si="118"/>
        <v>46.879284189723286</v>
      </c>
      <c r="FN37" s="46">
        <f t="shared" ca="1" si="119"/>
        <v>-0.18977233201584132</v>
      </c>
      <c r="FO37" s="110">
        <f t="shared" ca="1" si="120"/>
        <v>42.567284189723281</v>
      </c>
      <c r="FP37" s="46">
        <f t="shared" ca="1" si="121"/>
        <v>-2.3872332015840991E-2</v>
      </c>
      <c r="FQ37" s="110">
        <f t="shared" ca="1" si="122"/>
        <v>41.797268379446557</v>
      </c>
      <c r="FR37" s="46">
        <f t="shared" ca="1" si="123"/>
        <v>-0.10700553359690598</v>
      </c>
      <c r="FS37" s="110">
        <f t="shared" ca="1" si="124"/>
        <v>37.485268379446559</v>
      </c>
      <c r="FT37" s="111">
        <f t="shared" ca="1" si="125"/>
        <v>5.8894466403094342E-2</v>
      </c>
      <c r="FU37" s="109" t="str">
        <f t="shared" ca="1" si="232"/>
        <v/>
      </c>
      <c r="FV37" s="46" t="str">
        <f t="shared" ca="1" si="213"/>
        <v/>
      </c>
      <c r="FW37" s="48" t="str">
        <f t="shared" ca="1" si="227"/>
        <v/>
      </c>
      <c r="FX37" s="114" t="str">
        <f t="shared" ca="1" si="228"/>
        <v/>
      </c>
      <c r="FY37" s="110" t="str">
        <f t="shared" ca="1" si="214"/>
        <v/>
      </c>
      <c r="FZ37" s="46" t="str">
        <f t="shared" ca="1" si="215"/>
        <v/>
      </c>
      <c r="GA37" s="47" t="str">
        <f t="shared" ca="1" si="216"/>
        <v/>
      </c>
      <c r="GB37" s="46" t="str">
        <f t="shared" ca="1" si="229"/>
        <v/>
      </c>
      <c r="GC37" s="110" t="str">
        <f ca="1">IFERROR(IF(AND(ISNUMBER($FU37), ISNUMBER(Crd!$X37)), $FU37 - Crd!$X37, ""), "")</f>
        <v/>
      </c>
      <c r="GD37" s="46" t="str">
        <f ca="1">IFERROR(IF(AND(ISNUMBER($FV37), ISNUMBER(Crd!$Y37)), $FV37 - Crd!$Y37, ""), "")</f>
        <v/>
      </c>
      <c r="GE37" s="47" t="str">
        <f t="shared" ca="1" si="217"/>
        <v/>
      </c>
      <c r="GF37" s="46" t="str">
        <f t="shared" ca="1" si="218"/>
        <v/>
      </c>
      <c r="GG37" s="141" t="str">
        <f t="shared" ca="1" si="198"/>
        <v/>
      </c>
      <c r="GH37" s="50" t="str">
        <f t="shared" ca="1" si="199"/>
        <v/>
      </c>
      <c r="GI37" s="47" t="str">
        <f t="shared" ca="1" si="144"/>
        <v/>
      </c>
      <c r="GJ37" s="46" t="str">
        <f t="shared" ca="1" si="145"/>
        <v/>
      </c>
      <c r="GK37" s="110" t="str">
        <f t="shared" ca="1" si="127"/>
        <v/>
      </c>
      <c r="GL37" s="46" t="str">
        <f t="shared" ca="1" si="128"/>
        <v/>
      </c>
      <c r="GM37" s="47" t="str">
        <f t="shared" ca="1" si="200"/>
        <v/>
      </c>
      <c r="GN37" s="46" t="str">
        <f t="shared" ca="1" si="201"/>
        <v/>
      </c>
      <c r="GO37" s="110" t="str">
        <f ca="1">IFERROR(IF(AND(ISNUMBER($GG37), ISNUMBER(Crd!$X37)), $GG37 - Crd!$X37, ""), "")</f>
        <v/>
      </c>
      <c r="GP37" s="46" t="str">
        <f ca="1">IFERROR(IF(AND(ISNUMBER($GH37), ISNUMBER(Crd!$Y37)), $GH37 - Crd!$Y37, ""), "")</f>
        <v/>
      </c>
      <c r="GQ37" s="47" t="str">
        <f t="shared" ca="1" si="202"/>
        <v/>
      </c>
      <c r="GR37" s="46" t="str">
        <f t="shared" ca="1" si="203"/>
        <v/>
      </c>
      <c r="GS37" s="436" t="str">
        <f t="shared" ca="1" si="219"/>
        <v/>
      </c>
      <c r="GT37" s="46" t="str">
        <f t="shared" ca="1" si="220"/>
        <v/>
      </c>
      <c r="GU37" s="48" t="str">
        <f t="shared" ca="1" si="230"/>
        <v/>
      </c>
      <c r="GV37" s="46" t="str">
        <f t="shared" ca="1" si="231"/>
        <v/>
      </c>
      <c r="GW37" s="427" t="str">
        <f t="shared" ca="1" si="204"/>
        <v/>
      </c>
      <c r="GX37" s="50" t="str">
        <f t="shared" ca="1" si="146"/>
        <v/>
      </c>
      <c r="GY37" s="47" t="str">
        <f t="shared" ca="1" si="205"/>
        <v/>
      </c>
      <c r="GZ37" s="432" t="str">
        <f t="shared" ca="1" si="206"/>
        <v/>
      </c>
      <c r="HA37" s="436"/>
      <c r="HB37" s="46"/>
      <c r="HC37" s="48"/>
      <c r="HD37" s="46"/>
      <c r="HE37" s="269"/>
      <c r="HF37" s="46"/>
      <c r="HG37" s="48"/>
      <c r="HH37" s="432"/>
    </row>
    <row r="38" spans="1:216" x14ac:dyDescent="0.25">
      <c r="A38" s="58">
        <f t="shared" ca="1" si="131"/>
        <v>46844</v>
      </c>
      <c r="B38" s="6" t="str">
        <f ca="1">INDEX(MthRef[], MATCH(MONTH(Futs!$A38), MthRef[Mth], 0), 2)</f>
        <v>J</v>
      </c>
      <c r="C38" s="6">
        <f t="shared" ca="1" si="65"/>
        <v>2028</v>
      </c>
      <c r="D38" s="6" t="str">
        <f t="shared" ca="1" si="66"/>
        <v>Q228</v>
      </c>
      <c r="E38" s="6" t="str">
        <f t="shared" ca="1" si="132"/>
        <v>J8</v>
      </c>
      <c r="F38" s="10" t="e">
        <f ca="1">IFERROR(AVERAGE(_xll.BDP(F$18 &amp; $B38 &amp; RIGHT($C38, 1) &amp; " " &amp; "Comdty", "BID", "Fill=#N/A"), _xll.BDP(F$18 &amp; $B38 &amp; RIGHT($C38, 1) &amp; " " &amp; "Comdty", "ASK", "Fill=#N/A")), NA())</f>
        <v>#N/A</v>
      </c>
      <c r="G38" s="10">
        <f ca="1">IFERROR(AVERAGE(_xll.BDP(G$18 &amp; $B38 &amp; RIGHT($C38, 1) &amp; " " &amp; "Comdty", "BID", "Fill=#N/A"), _xll.BDP(G$18 &amp; $B38 &amp; RIGHT($C38, 1) &amp; " " &amp; "Comdty", "ASK", "Fill=#N/A")), NA())</f>
        <v>75.555000000000007</v>
      </c>
      <c r="H38" s="10">
        <f ca="1">IFERROR(AVERAGE(_xll.BDP(H$18 &amp; $B38 &amp; RIGHT($C38, 1) &amp; " " &amp; "Comdty", "BID", "Fill=#N/A"), _xll.BDP(H$18 &amp; $B38 &amp; RIGHT($C38, 1) &amp; " " &amp; "Comdty", "ASK", "Fill=#N/A")), NA())</f>
        <v>873.125</v>
      </c>
      <c r="I38" s="10">
        <f ca="1">IFERROR(AVERAGE(_xll.BDP(I$18 &amp; $B38 &amp; RIGHT($C38, 1) &amp; " " &amp; "Comdty", "BID", "Fill=#N/A"), _xll.BDP(I$18 &amp; $B38 &amp; RIGHT($C38, 1) &amp; " " &amp; "Comdty", "ASK", "Fill=#N/A")), NA())</f>
        <v>309.51</v>
      </c>
      <c r="J38" s="10">
        <f ca="1">IFERROR(AVERAGE(_xll.BDP(J$18 &amp; $B38 &amp; RIGHT($C38, 1) &amp; " " &amp; "Comdty", "BID", "Fill=#N/A"), _xll.BDP(J$18 &amp; $B38 &amp; RIGHT($C38, 1) &amp; " " &amp; "Comdty", "ASK", "Fill=#N/A")), NA())</f>
        <v>247.30500000000001</v>
      </c>
      <c r="K38" s="10" t="e">
        <f ca="1">IFERROR(AVERAGE(_xll.BDP(K$18 &amp; $B38 &amp; RIGHT($C38, 2) &amp; " " &amp; "Comdty", "BID", "Fill=#N/A"), _xll.BDP(K$18 &amp; $B38 &amp; RIGHT($C38, 2) &amp; " " &amp; "Comdty", "ASK", "Fill=#N/A")), NA())</f>
        <v>#N/A</v>
      </c>
      <c r="L38" s="10" t="e">
        <f ca="1">IFERROR(AVERAGE(_xll.BDP(L$18 &amp; $B38 &amp; RIGHT($C38, 2) &amp; " " &amp; "Comdty", "BID", "Fill=#N/A"), _xll.BDP(L$18 &amp; $B38 &amp; RIGHT($C38, 2) &amp; " " &amp; "Comdty", "ASK", "Fill=#N/A")), NA())</f>
        <v>#N/A</v>
      </c>
      <c r="M38" s="10" t="e">
        <f ca="1">IFERROR(AVERAGE(_xll.BDP(M$18 &amp; $B38 &amp; RIGHT($C38, 2) &amp; " " &amp; "Comdty", "BID", "Fill=#N/A"), _xll.BDP(M$18 &amp; $B38 &amp; RIGHT($C38, 2) &amp; " " &amp; "Comdty", "ASK", "Fill=#N/A")), NA())</f>
        <v>#N/A</v>
      </c>
      <c r="N38" s="10">
        <f ca="1">IFERROR(AVERAGE(_xll.BDP(N$18 &amp; $B37 &amp; RIGHT($C37, 1) &amp; N$18 &amp; $B38 &amp; RIGHT($C38, 1) &amp; " " &amp; "Comdty", "BID", "Fill=#N/A"), _xll.BDP(N$18 &amp; $B37 &amp; RIGHT($C37, 1) &amp; N$18 &amp; $B38 &amp; RIGHT($C38, 1) &amp; " " &amp; "Comdty", "ASK", "Fill=#N/A")), NA())</f>
        <v>0.27500000000000002</v>
      </c>
      <c r="O38" s="10">
        <f ca="1">IFERROR(AVERAGE(_xll.BDP(O$18 &amp; $B37 &amp; RIGHT($C37, 1) &amp; O$18 &amp; $B38 &amp; RIGHT($C38, 1) &amp; " " &amp; "Comdty", "BID", "Fill=#N/A"), _xll.BDP(O$18 &amp; $B37 &amp; RIGHT($C37, 1) &amp; O$18 &amp; $B38 &amp; RIGHT($C38, 1) &amp; " " &amp; "Comdty", "ASK", "Fill=#N/A")), NA())</f>
        <v>0.29499999999999998</v>
      </c>
      <c r="P38" s="10">
        <f ca="1">IFERROR(AVERAGE(_xll.BDP(P$18 &amp; $B37 &amp; RIGHT($C37, 1) &amp; P$18 &amp; $B38 &amp; RIGHT($C38, 1) &amp; " " &amp; "Comdty", "BID", "Fill=#N/A"), _xll.BDP(P$18 &amp; $B37 &amp; RIGHT($C37, 1) &amp; P$18 &amp; $B38 &amp; RIGHT($C38, 1) &amp; " " &amp; "Comdty", "ASK", "Fill=#N/A")), NA())</f>
        <v>12.125</v>
      </c>
      <c r="Q38" s="10">
        <f ca="1">IFERROR(AVERAGE(_xll.BDP(Q$18 &amp; $B37 &amp; RIGHT($C37, 1) &amp; Q$18 &amp; $B38 &amp; RIGHT($C38, 1) &amp; " " &amp; "Comdty", "BID", "Fill=#N/A"), _xll.BDP(Q$18 &amp; $B37 &amp; RIGHT($C37, 1) &amp; Q$18 &amp; $B38 &amp; RIGHT($C38, 1) &amp; " " &amp; "Comdty", "ASK", "Fill=#N/A")), NA())</f>
        <v>5.3550000000000004</v>
      </c>
      <c r="R38" s="10">
        <f ca="1">IFERROR(AVERAGE(_xll.BDP(R$18 &amp; $B37 &amp; RIGHT($C37, 1) &amp; R$18 &amp; $B38 &amp; RIGHT($C38, 1) &amp; " " &amp; "Comdty", "BID", "Fill=#N/A"), _xll.BDP(R$18 &amp; $B37 &amp; RIGHT($C37, 1) &amp; R$18 &amp; $B38 &amp; RIGHT($C38, 1) &amp; " " &amp; "Comdty", "ASK", "Fill=#N/A")), NA())</f>
        <v>-18.5</v>
      </c>
      <c r="S38" s="10" t="e">
        <f ca="1">IFERROR(AVERAGE(_xll.BDP(S$18 &amp; $B37 &amp; RIGHT($C37, 1) &amp; $B38 &amp; RIGHT($C38, 1) &amp; " " &amp; "Comdty", "BID", "Fill=#N/A"), _xll.BDP(S$18 &amp; $B37 &amp; RIGHT($C37, 1) &amp; $B38 &amp; RIGHT($C38, 1) &amp; " " &amp; "Comdty", "ASK", "Fill=#N/A")), NA())</f>
        <v>#N/A</v>
      </c>
      <c r="T38" s="10" t="e">
        <f ca="1">IFERROR(AVERAGE(_xll.BDP(T$18 &amp; $B37 &amp; RIGHT($C37, 1) &amp; $B38 &amp; RIGHT($C38, 1) &amp; " " &amp; "Comdty", "BID", "Fill=#N/A"), _xll.BDP(T$18 &amp; $B37 &amp; RIGHT($C37, 1) &amp; $B38 &amp; RIGHT($C38, 1) &amp; " " &amp; "Comdty", "ASK", "Fill=#N/A")), NA())</f>
        <v>#N/A</v>
      </c>
      <c r="U38" s="10">
        <f ca="1">IF($A38 &lt; Diagnostics!$B$3, N38, INDEX(ImpSprd[], MATCH(Futs!$C38, ImpSprd[Yr], 0), MATCH(U$18, ImpSprd[#Headers], 0)))</f>
        <v>0.26863636363636362</v>
      </c>
      <c r="V38" s="10">
        <f ca="1">IF($A38 &lt; Diagnostics!$B$3, O38, INDEX(ImpSprd[], MATCH(Futs!$C38, ImpSprd[Yr], 0), MATCH(V$18, ImpSprd[#Headers], 0)))</f>
        <v>0.30454545454545451</v>
      </c>
      <c r="W38" s="10">
        <f ca="1">IF($A38 &lt; Diagnostics!$B$3, P38, INDEX(ImpSprd[], MATCH(Futs!$C38, ImpSprd[Yr], 0), MATCH(W$18, ImpSprd[#Headers], 0)))</f>
        <v>9.295454545454545</v>
      </c>
      <c r="X38" s="31">
        <f ca="1">INDEX(Expi[], MATCH($A38, Expi[Date], 0), MATCH(X$18, Expi[#Headers], 0))</f>
        <v>46863</v>
      </c>
      <c r="Y38" s="31">
        <f ca="1">INDEX(Expi[], MATCH($A38, Expi[Date], 0), MATCH(Y$18, Expi[#Headers], 0))</f>
        <v>46871</v>
      </c>
      <c r="Z38" s="31">
        <f ca="1">INDEX(Expi[], MATCH($A38, Expi[Date], 0), MATCH(Z$18, Expi[#Headers], 0))</f>
        <v>46855</v>
      </c>
      <c r="AA38" s="31">
        <f ca="1">INDEX(Expi[], MATCH($A38, Expi[Date], 0), MATCH(AA$18, Expi[#Headers], 0))</f>
        <v>46871</v>
      </c>
      <c r="AB38" s="31">
        <f ca="1">INDEX(Expi[], MATCH($A38, Expi[Date], 0), MATCH(AB$18, Expi[#Headers], 0))</f>
        <v>46871</v>
      </c>
      <c r="AC38" s="31">
        <f ca="1">INDEX(Expi[], MATCH($A38, Expi[Date], 0), MATCH(AC$18, Expi[#Headers], 0))</f>
        <v>46871</v>
      </c>
      <c r="AD38" s="7">
        <f ca="1">NETWORKDAYS($A38, EOMONTH($A38, 0), Hols[CME])</f>
        <v>20</v>
      </c>
      <c r="AE38" s="7">
        <f ca="1">NETWORKDAYS($A38, EOMONTH($A38, 0), Hols[ICE])</f>
        <v>20</v>
      </c>
      <c r="AF38" s="7">
        <f ca="1">NETWORKDAYS($A38, EOMONTH($A38, 0), Hols[ICE])</f>
        <v>20</v>
      </c>
      <c r="AG38" s="7">
        <f ca="1">NETWORKDAYS($A38, EOMONTH($A38, 0), Hols[CME])</f>
        <v>20</v>
      </c>
      <c r="AH38" s="7">
        <f ca="1">NETWORKDAYS($A38, EOMONTH($A38, 0), Hols[CME])</f>
        <v>20</v>
      </c>
      <c r="AI38" s="7">
        <f ca="1">NETWORKDAYS($A38, EOMONTH($A38, 0), Hols[ICE])</f>
        <v>20</v>
      </c>
      <c r="AJ38" s="7">
        <f ca="1">NETWORKDAYS($A38, X38, Hols[CME])</f>
        <v>14</v>
      </c>
      <c r="AK38" s="7">
        <f ca="1">NETWORKDAYS($A38, Y38, Hols[ICE]) - 1</f>
        <v>19</v>
      </c>
      <c r="AL38" s="7">
        <f ca="1">NETWORKDAYS($A38, Z38, Hols[ICE]) - 1</f>
        <v>7</v>
      </c>
      <c r="AM38" s="7">
        <f ca="1">NETWORKDAYS($A38, AA38, Hols[CME])</f>
        <v>20</v>
      </c>
      <c r="AN38" s="7">
        <f ca="1">NETWORKDAYS($A38, AB38, Hols[CME])</f>
        <v>20</v>
      </c>
      <c r="AO38" s="7">
        <f ca="1">NETWORKDAYS($A38, AC38, Hols[ICE]) - 1</f>
        <v>19</v>
      </c>
      <c r="AP38" s="10">
        <f t="shared" ca="1" si="67"/>
        <v>0.7</v>
      </c>
      <c r="AQ38" s="10">
        <f t="shared" ca="1" si="68"/>
        <v>0.95</v>
      </c>
      <c r="AR38" s="10">
        <f t="shared" ca="1" si="69"/>
        <v>0.35</v>
      </c>
      <c r="AS38" s="10">
        <f t="shared" ca="1" si="70"/>
        <v>1</v>
      </c>
      <c r="AT38" s="10">
        <f t="shared" ca="1" si="71"/>
        <v>1</v>
      </c>
      <c r="AU38" s="10">
        <f t="shared" ca="1" si="71"/>
        <v>0.95</v>
      </c>
      <c r="AV38" s="28">
        <f ca="1">IFERROR(AVERAGE(_xll.BDH(AV$18 &amp; $B38 &amp; RIGHT($C38, 1) &amp; " " &amp; "Comdty", "PX_SETTLE", AV$16, AV$16, "Fill=#N/A")), IFERROR(AVERAGE(_xll.BDH(AV$18 &amp; $B38 &amp; RIGHT($C38, 2) &amp; " " &amp; "Comdty", "PX_SETTLE", AV$16, AV$16, "Fill=#N/A")), NA()))</f>
        <v>70.2</v>
      </c>
      <c r="AW38" s="28">
        <f ca="1">IFERROR(AVERAGE(_xll.BDH(AW$18 &amp; $B38 &amp; RIGHT($C38, 1) &amp; " " &amp; "Comdty", "PX_SETTLE", AW$16, AW$16, "Fill=#N/A")), IFERROR(AVERAGE(_xll.BDH(AW$18 &amp; $B38 &amp; RIGHT($C38, 2) &amp; " " &amp; "Comdty", "PX_SETTLE", AW$16, AW$16, "Fill=#N/A")), NA()))</f>
        <v>75.59</v>
      </c>
      <c r="AX38" s="29">
        <f ca="1">IFERROR(AVERAGE(_xll.BDH(AX$18 &amp; $B38 &amp; RIGHT($C38, 2) &amp; " " &amp; "Comdty", "FAIR_VALUE_SNAPSHOT_AT_1430", AX$16, AX$16, "TIME_ZONE_OVERRIDE=13", "Fill=#N/A")), NA())</f>
        <v>878.75</v>
      </c>
      <c r="AY38" s="28">
        <f ca="1">IFERROR(AVERAGE(_xll.BDH(AY$18 &amp; $B38 &amp; RIGHT($C38, 1) &amp; " " &amp; "Comdty", "PX_SETTLE", AY$16, AY$16, "Fill=#N/A")), NA())</f>
        <v>310.99</v>
      </c>
      <c r="AZ38" s="28">
        <f ca="1">IFERROR(AVERAGE(_xll.BDH(AZ$18 &amp; $B38 &amp; RIGHT($C38, 1) &amp; " " &amp; "Comdty", "PX_SETTLE", AZ$16, AZ$16, "Fill=#N/A")), NA())</f>
        <v>247.02</v>
      </c>
      <c r="BA38" s="29" t="e">
        <f ca="1">IFERROR(AVERAGE(_xll.BDH(BA$18 &amp; $B38 &amp; RIGHT($C38, 2) &amp; " " &amp; "Comdty", "PX_SETTLE", BA$16, BA$16, "Fill=#N/A")), IFERROR(AVERAGE(_xll.BDH(BA$18 &amp; $B38 &amp; RIGHT($C38, 2) &amp; " " &amp; "Comdty", "PX_SETTLE", BA$16, BA$16, "Fill=#N/A")), NA()))</f>
        <v>#N/A</v>
      </c>
      <c r="BB38" s="29">
        <f ca="1">IFERROR(AVERAGE(_xll.BDH(BB$18 &amp; $B38 &amp; RIGHT($C38, 2) &amp; " " &amp; "Comdty", "PX_SETTLE", BB$16, BB$16, "Fill=#N/A")), IFERROR(AVERAGE(_xll.BDH(BB$18 &amp; $B38 &amp; RIGHT($C38, 2) &amp; " " &amp; "Comdty", "PX_SETTLE", BB$16, BB$16, "Fill=#N/A")), NA()))</f>
        <v>76.290000000000006</v>
      </c>
      <c r="BC38" s="29" t="e">
        <f ca="1">IFERROR(AVERAGE(_xll.BDH(BC$18 &amp; $B38 &amp; RIGHT($C38, 2) &amp; " " &amp; "Comdty", "PX_SETTLE", BC$16, BC$16, "Fill=#N/A")), IFERROR(AVERAGE(_xll.BDH(BC$18 &amp; $B38 &amp; RIGHT($C38, 2) &amp; " " &amp; "Comdty", "PX_SETTLE", BC$16, BC$16, "Fill=#N/A")), NA()))</f>
        <v>#N/A</v>
      </c>
      <c r="BD38" s="29" cm="1">
        <f t="array" ref="BD38">_xll.BFXFORWARD("USDCNY", "18M", "MidOutright")</f>
        <v>6.4937500000000004</v>
      </c>
      <c r="BE38" s="109">
        <f t="shared" ca="1" si="209"/>
        <v>70.400454545454551</v>
      </c>
      <c r="BF38" s="46">
        <f t="shared" ca="1" si="72"/>
        <v>0.20045454545454788</v>
      </c>
      <c r="BG38" s="47">
        <f t="shared" ca="1" si="151"/>
        <v>0.2686363636363609</v>
      </c>
      <c r="BH38" s="114">
        <f t="shared" ca="1" si="223"/>
        <v>59.377436363636363</v>
      </c>
      <c r="BI38" s="110">
        <f t="shared" ca="1" si="224"/>
        <v>75.706818181818221</v>
      </c>
      <c r="BJ38" s="46">
        <f t="shared" ca="1" si="73"/>
        <v>0.11681818181821768</v>
      </c>
      <c r="BK38" s="48">
        <f t="shared" ca="1" si="225"/>
        <v>0.30454545454544757</v>
      </c>
      <c r="BL38" s="114">
        <f t="shared" ca="1" si="226"/>
        <v>-5.4545454545547045E-3</v>
      </c>
      <c r="BM38" s="48">
        <f t="shared" ca="1" si="152"/>
        <v>881.06818181818198</v>
      </c>
      <c r="BN38" s="46">
        <f t="shared" ca="1" si="74"/>
        <v>2.3181818181819835</v>
      </c>
      <c r="BO38" s="47">
        <f t="shared" ca="1" si="210"/>
        <v>9.2954545454545041</v>
      </c>
      <c r="BP38" s="46">
        <f t="shared" ca="1" si="133"/>
        <v>-2.7045454545454959</v>
      </c>
      <c r="BQ38" s="110">
        <f t="shared" ca="1" si="211"/>
        <v>309.81499999999994</v>
      </c>
      <c r="BR38" s="46">
        <f t="shared" ca="1" si="75"/>
        <v>-1.1750000000000682</v>
      </c>
      <c r="BS38" s="47">
        <f t="shared" ca="1" si="153"/>
        <v>5.3550000000000182</v>
      </c>
      <c r="BT38" s="114">
        <f t="shared" ca="1" si="154"/>
        <v>6.500000000005457E-2</v>
      </c>
      <c r="BU38" s="48">
        <f t="shared" ca="1" si="212"/>
        <v>248.21499999999995</v>
      </c>
      <c r="BV38" s="46">
        <f t="shared" ca="1" si="76"/>
        <v>1.1949999999999363</v>
      </c>
      <c r="BW38" s="47">
        <f t="shared" ca="1" si="155"/>
        <v>-18.5</v>
      </c>
      <c r="BX38" s="46">
        <f t="shared" ca="1" si="156"/>
        <v>-0.51999999999998181</v>
      </c>
      <c r="BY38" s="140">
        <f t="shared" ca="1" si="134"/>
        <v>70.051227272727289</v>
      </c>
      <c r="BZ38" s="46">
        <f t="shared" ca="1" si="135"/>
        <v>17.743477272727283</v>
      </c>
      <c r="CA38" s="47">
        <f t="shared" ca="1" si="157"/>
        <v>0.25578853754939246</v>
      </c>
      <c r="CB38" s="46">
        <f t="shared" ca="1" si="158"/>
        <v>-17.549504940711468</v>
      </c>
      <c r="CC38" s="141">
        <f t="shared" ca="1" si="136"/>
        <v>75.082500000000053</v>
      </c>
      <c r="CD38" s="50">
        <f t="shared" ca="1" si="137"/>
        <v>8.650000000004851E-2</v>
      </c>
      <c r="CE38" s="47">
        <f t="shared" ca="1" si="159"/>
        <v>0.3065316205533577</v>
      </c>
      <c r="CF38" s="46">
        <f t="shared" ca="1" si="160"/>
        <v>2.4705533596829782E-2</v>
      </c>
      <c r="CG38" s="141">
        <f t="shared" ca="1" si="138"/>
        <v>875.02613636363662</v>
      </c>
      <c r="CH38" s="50">
        <f t="shared" ca="1" si="139"/>
        <v>2.9386363636365558</v>
      </c>
      <c r="CI38" s="47">
        <f t="shared" ca="1" si="161"/>
        <v>8.8710968379446058</v>
      </c>
      <c r="CJ38" s="46">
        <f t="shared" ca="1" si="162"/>
        <v>-1.4435770750988537</v>
      </c>
      <c r="CK38" s="141">
        <f t="shared" ca="1" si="140"/>
        <v>305.66499999999996</v>
      </c>
      <c r="CL38" s="50">
        <f t="shared" ca="1" si="77"/>
        <v>-1.3950000000000387</v>
      </c>
      <c r="CM38" s="47">
        <f t="shared" ca="1" si="163"/>
        <v>4.1499999999999773</v>
      </c>
      <c r="CN38" s="46">
        <f t="shared" ca="1" si="164"/>
        <v>0.21999999999997044</v>
      </c>
      <c r="CO38" s="141">
        <f t="shared" ca="1" si="141"/>
        <v>247.66999999999996</v>
      </c>
      <c r="CP38" s="50">
        <f t="shared" ca="1" si="78"/>
        <v>0.97999999999996135</v>
      </c>
      <c r="CQ38" s="47">
        <f t="shared" ca="1" si="165"/>
        <v>0.54499999999998749</v>
      </c>
      <c r="CR38" s="46">
        <f t="shared" ca="1" si="166"/>
        <v>0.21499999999997499</v>
      </c>
      <c r="CS38" s="109">
        <f t="shared" ca="1" si="79"/>
        <v>-5.3063636363636704</v>
      </c>
      <c r="CT38" s="46">
        <f t="shared" ca="1" si="80"/>
        <v>8.3636363636330202E-2</v>
      </c>
      <c r="CU38" s="47">
        <f t="shared" ca="1" si="167"/>
        <v>-3.5909090909086672E-2</v>
      </c>
      <c r="CV38" s="46">
        <f t="shared" ca="1" si="168"/>
        <v>0</v>
      </c>
      <c r="CW38" s="110">
        <f t="shared" ca="1" si="142"/>
        <v>-5.0312727272727642</v>
      </c>
      <c r="CX38" s="46">
        <f t="shared" ca="1" si="81"/>
        <v>17.656977272727236</v>
      </c>
      <c r="CY38" s="47">
        <f t="shared" ca="1" si="169"/>
        <v>-5.0743083003965239E-2</v>
      </c>
      <c r="CZ38" s="46">
        <f t="shared" ca="1" si="170"/>
        <v>-17.574210474308302</v>
      </c>
      <c r="DA38" s="109">
        <f t="shared" ca="1" si="82"/>
        <v>42.557367297132373</v>
      </c>
      <c r="DB38" s="46">
        <f t="shared" ca="1" si="83"/>
        <v>0.19434716290419624</v>
      </c>
      <c r="DC38" s="47">
        <f t="shared" ca="1" si="171"/>
        <v>0.94316656497865381</v>
      </c>
      <c r="DD38" s="46">
        <f t="shared" ca="1" si="233"/>
        <v>-0.35757169005490785</v>
      </c>
      <c r="DE38" s="110">
        <f t="shared" ca="1" si="84"/>
        <v>54.415481818181746</v>
      </c>
      <c r="DF38" s="46">
        <f t="shared" ca="1" si="85"/>
        <v>-0.61031818181824637</v>
      </c>
      <c r="DG38" s="47">
        <f t="shared" ca="1" si="172"/>
        <v>1.944554545454551</v>
      </c>
      <c r="DH38" s="46">
        <f t="shared" ca="1" si="173"/>
        <v>3.2754545454577677E-2</v>
      </c>
      <c r="DI38" s="110">
        <f t="shared" ca="1" si="86"/>
        <v>28.543481818181746</v>
      </c>
      <c r="DJ38" s="46">
        <f t="shared" ca="1" si="87"/>
        <v>0.38508181818175558</v>
      </c>
      <c r="DK38" s="47">
        <f t="shared" ca="1" si="174"/>
        <v>-8.0745454545454436</v>
      </c>
      <c r="DL38" s="46">
        <f t="shared" ca="1" si="175"/>
        <v>-0.21294545454543767</v>
      </c>
      <c r="DM38" s="110">
        <f t="shared" ca="1" si="88"/>
        <v>59.721845454545416</v>
      </c>
      <c r="DN38" s="46">
        <f t="shared" ca="1" si="89"/>
        <v>-0.69395454545457658</v>
      </c>
      <c r="DO38" s="47">
        <f t="shared" ca="1" si="176"/>
        <v>1.9804636363636376</v>
      </c>
      <c r="DP38" s="47">
        <f t="shared" ca="1" si="177"/>
        <v>-59.350136363636345</v>
      </c>
      <c r="DQ38" s="110">
        <f t="shared" ca="1" si="90"/>
        <v>33.849845454545417</v>
      </c>
      <c r="DR38" s="46">
        <f t="shared" ca="1" si="91"/>
        <v>0.30144545454542537</v>
      </c>
      <c r="DS38" s="47">
        <f t="shared" ca="1" si="178"/>
        <v>-8.0386363636363569</v>
      </c>
      <c r="DT38" s="47">
        <f t="shared" ca="1" si="179"/>
        <v>-59.595836363636352</v>
      </c>
      <c r="DU38" s="109">
        <f t="shared" ca="1" si="92"/>
        <v>42.370672666259892</v>
      </c>
      <c r="DV38" s="46">
        <f t="shared" ca="1" si="93"/>
        <v>0.30794783404512671</v>
      </c>
      <c r="DW38" s="47">
        <f t="shared" ca="1" si="180"/>
        <v>0.88421963286202754</v>
      </c>
      <c r="DX38" s="47">
        <f t="shared" ca="1" si="181"/>
        <v>-0.21847426850942755</v>
      </c>
      <c r="DY38" s="110">
        <f t="shared" ca="1" si="94"/>
        <v>53.296799999999919</v>
      </c>
      <c r="DZ38" s="46">
        <f t="shared" ca="1" si="95"/>
        <v>-0.67240000000006472</v>
      </c>
      <c r="EA38" s="47">
        <f t="shared" ca="1" si="182"/>
        <v>1.4364683794466373</v>
      </c>
      <c r="EB38" s="47">
        <f t="shared" ca="1" si="183"/>
        <v>6.7694466403157794E-2</v>
      </c>
      <c r="EC38" s="110">
        <f t="shared" ca="1" si="96"/>
        <v>28.938899999999919</v>
      </c>
      <c r="ED38" s="46">
        <f t="shared" ca="1" si="97"/>
        <v>0.32509999999993522</v>
      </c>
      <c r="EE38" s="47">
        <f t="shared" ca="1" si="184"/>
        <v>-7.7631620553361813E-2</v>
      </c>
      <c r="EF38" s="47">
        <f t="shared" ca="1" si="185"/>
        <v>6.5594466403159746E-2</v>
      </c>
      <c r="EG38" s="110">
        <f t="shared" ca="1" si="98"/>
        <v>58.328072727272684</v>
      </c>
      <c r="EH38" s="46">
        <f t="shared" ca="1" si="99"/>
        <v>-18.329377272727299</v>
      </c>
      <c r="EI38" s="47">
        <f t="shared" ca="1" si="186"/>
        <v>1.4872114624506025</v>
      </c>
      <c r="EJ38" s="47">
        <f t="shared" ca="1" si="187"/>
        <v>17.641904940711456</v>
      </c>
      <c r="EK38" s="110">
        <f t="shared" ca="1" si="100"/>
        <v>33.970172727272683</v>
      </c>
      <c r="EL38" s="46">
        <f t="shared" ca="1" si="101"/>
        <v>-17.331877272727301</v>
      </c>
      <c r="EM38" s="47">
        <f t="shared" ca="1" si="188"/>
        <v>-2.6888537549396574E-2</v>
      </c>
      <c r="EN38" s="47">
        <f t="shared" ca="1" si="189"/>
        <v>17.639804940711461</v>
      </c>
      <c r="EO38" s="109">
        <f t="shared" ca="1" si="102"/>
        <v>28.233606002498504</v>
      </c>
      <c r="EP38" s="46">
        <f t="shared" ca="1" si="103"/>
        <v>-1.9158698683867681</v>
      </c>
      <c r="EQ38" s="47">
        <f t="shared" ca="1" si="190"/>
        <v>2.3842570963712433</v>
      </c>
      <c r="ER38" s="47">
        <f t="shared" ca="1" si="191"/>
        <v>0.92934817978448936</v>
      </c>
      <c r="ES38" s="110">
        <f t="shared" ca="1" si="104"/>
        <v>26.014588889857237</v>
      </c>
      <c r="ET38" s="46">
        <f t="shared" ca="1" si="105"/>
        <v>-2.3341615096314081</v>
      </c>
      <c r="EU38" s="47">
        <f t="shared" ca="1" si="192"/>
        <v>1.3148779680585676</v>
      </c>
      <c r="EV38" s="47">
        <f t="shared" ca="1" si="193"/>
        <v>0.68135413074425077</v>
      </c>
      <c r="EW38" s="109">
        <f t="shared" ca="1" si="106"/>
        <v>-61.599999999999994</v>
      </c>
      <c r="EX38" s="46">
        <f t="shared" ca="1" si="107"/>
        <v>2.3700000000000045</v>
      </c>
      <c r="EY38" s="47">
        <f t="shared" ca="1" si="194"/>
        <v>-23.855000000000018</v>
      </c>
      <c r="EZ38" s="47">
        <f t="shared" ca="1" si="195"/>
        <v>-0.58500000000003638</v>
      </c>
      <c r="FA38" s="110">
        <f t="shared" ca="1" si="108"/>
        <v>-57.995000000000005</v>
      </c>
      <c r="FB38" s="46">
        <f t="shared" ca="1" si="109"/>
        <v>2.375</v>
      </c>
      <c r="FC38" s="47">
        <f t="shared" ca="1" si="196"/>
        <v>-3.6049999999999898</v>
      </c>
      <c r="FD38" s="47">
        <f t="shared" ca="1" si="197"/>
        <v>-4.9999999999954525E-3</v>
      </c>
      <c r="FE38" s="109">
        <f t="shared" ca="1" si="110"/>
        <v>46.785845454545417</v>
      </c>
      <c r="FF38" s="46">
        <f t="shared" ca="1" si="111"/>
        <v>-0.1962545454545756</v>
      </c>
      <c r="FG38" s="110">
        <f t="shared" ca="1" si="112"/>
        <v>42.473845454545412</v>
      </c>
      <c r="FH38" s="46">
        <f t="shared" ca="1" si="113"/>
        <v>-3.0354545454575277E-2</v>
      </c>
      <c r="FI38" s="110">
        <f t="shared" ca="1" si="114"/>
        <v>41.479481818181746</v>
      </c>
      <c r="FJ38" s="46">
        <f t="shared" ca="1" si="115"/>
        <v>-0.1126181818182454</v>
      </c>
      <c r="FK38" s="110">
        <f t="shared" ca="1" si="116"/>
        <v>37.167481818181741</v>
      </c>
      <c r="FL38" s="46">
        <f t="shared" ca="1" si="117"/>
        <v>5.3281818181754925E-2</v>
      </c>
      <c r="FM38" s="110">
        <f t="shared" ca="1" si="118"/>
        <v>46.149122727272683</v>
      </c>
      <c r="FN38" s="46">
        <f t="shared" ca="1" si="119"/>
        <v>-17.830627272727298</v>
      </c>
      <c r="FO38" s="110">
        <f t="shared" ca="1" si="120"/>
        <v>42.089472727272685</v>
      </c>
      <c r="FP38" s="46">
        <f t="shared" ca="1" si="121"/>
        <v>-17.6643772727273</v>
      </c>
      <c r="FQ38" s="110">
        <f t="shared" ca="1" si="122"/>
        <v>41.117849999999919</v>
      </c>
      <c r="FR38" s="46">
        <f t="shared" ca="1" si="123"/>
        <v>-0.17365000000006475</v>
      </c>
      <c r="FS38" s="110">
        <f t="shared" ca="1" si="124"/>
        <v>37.058199999999921</v>
      </c>
      <c r="FT38" s="111">
        <f t="shared" ca="1" si="125"/>
        <v>-7.4000000000647714E-3</v>
      </c>
      <c r="FU38" s="109" t="str">
        <f t="shared" ca="1" si="232"/>
        <v/>
      </c>
      <c r="FV38" s="46" t="str">
        <f t="shared" ca="1" si="213"/>
        <v/>
      </c>
      <c r="FW38" s="48" t="str">
        <f t="shared" ca="1" si="227"/>
        <v/>
      </c>
      <c r="FX38" s="114" t="str">
        <f t="shared" ca="1" si="228"/>
        <v/>
      </c>
      <c r="FY38" s="110" t="str">
        <f t="shared" ca="1" si="214"/>
        <v/>
      </c>
      <c r="FZ38" s="46" t="str">
        <f t="shared" ca="1" si="215"/>
        <v/>
      </c>
      <c r="GA38" s="47" t="str">
        <f t="shared" ca="1" si="216"/>
        <v/>
      </c>
      <c r="GB38" s="46" t="str">
        <f t="shared" ca="1" si="229"/>
        <v/>
      </c>
      <c r="GC38" s="110" t="str">
        <f ca="1">IFERROR(IF(AND(ISNUMBER($FU38), ISNUMBER(Crd!$X38)), $FU38 - Crd!$X38, ""), "")</f>
        <v/>
      </c>
      <c r="GD38" s="46" t="str">
        <f ca="1">IFERROR(IF(AND(ISNUMBER($FV38), ISNUMBER(Crd!$Y38)), $FV38 - Crd!$Y38, ""), "")</f>
        <v/>
      </c>
      <c r="GE38" s="47" t="str">
        <f t="shared" ca="1" si="217"/>
        <v/>
      </c>
      <c r="GF38" s="46" t="str">
        <f t="shared" ca="1" si="218"/>
        <v/>
      </c>
      <c r="GG38" s="141" t="str">
        <f t="shared" ca="1" si="198"/>
        <v/>
      </c>
      <c r="GH38" s="50" t="str">
        <f t="shared" ca="1" si="199"/>
        <v/>
      </c>
      <c r="GI38" s="47" t="str">
        <f t="shared" ca="1" si="144"/>
        <v/>
      </c>
      <c r="GJ38" s="46" t="str">
        <f t="shared" ca="1" si="145"/>
        <v/>
      </c>
      <c r="GK38" s="110" t="str">
        <f t="shared" ca="1" si="127"/>
        <v/>
      </c>
      <c r="GL38" s="46" t="str">
        <f t="shared" ca="1" si="128"/>
        <v/>
      </c>
      <c r="GM38" s="47" t="str">
        <f t="shared" ca="1" si="200"/>
        <v/>
      </c>
      <c r="GN38" s="46" t="str">
        <f t="shared" ca="1" si="201"/>
        <v/>
      </c>
      <c r="GO38" s="110" t="str">
        <f ca="1">IFERROR(IF(AND(ISNUMBER($GG38), ISNUMBER(Crd!$X38)), $GG38 - Crd!$X38, ""), "")</f>
        <v/>
      </c>
      <c r="GP38" s="46" t="str">
        <f ca="1">IFERROR(IF(AND(ISNUMBER($GH38), ISNUMBER(Crd!$Y38)), $GH38 - Crd!$Y38, ""), "")</f>
        <v/>
      </c>
      <c r="GQ38" s="47" t="str">
        <f t="shared" ca="1" si="202"/>
        <v/>
      </c>
      <c r="GR38" s="46" t="str">
        <f t="shared" ca="1" si="203"/>
        <v/>
      </c>
      <c r="GS38" s="436" t="str">
        <f t="shared" ca="1" si="219"/>
        <v/>
      </c>
      <c r="GT38" s="46" t="str">
        <f t="shared" ca="1" si="220"/>
        <v/>
      </c>
      <c r="GU38" s="48" t="str">
        <f t="shared" ca="1" si="230"/>
        <v/>
      </c>
      <c r="GV38" s="46" t="str">
        <f t="shared" ca="1" si="231"/>
        <v/>
      </c>
      <c r="GW38" s="427" t="str">
        <f t="shared" ca="1" si="204"/>
        <v/>
      </c>
      <c r="GX38" s="50" t="str">
        <f t="shared" ca="1" si="146"/>
        <v/>
      </c>
      <c r="GY38" s="47" t="str">
        <f t="shared" ca="1" si="205"/>
        <v/>
      </c>
      <c r="GZ38" s="432" t="str">
        <f t="shared" ca="1" si="206"/>
        <v/>
      </c>
      <c r="HA38" s="436"/>
      <c r="HB38" s="46"/>
      <c r="HC38" s="48"/>
      <c r="HD38" s="46"/>
      <c r="HE38" s="269"/>
      <c r="HF38" s="46"/>
      <c r="HG38" s="48"/>
      <c r="HH38" s="432"/>
    </row>
    <row r="39" spans="1:216" x14ac:dyDescent="0.25">
      <c r="A39" s="58">
        <f t="shared" ca="1" si="131"/>
        <v>46874</v>
      </c>
      <c r="B39" s="6" t="str">
        <f ca="1">INDEX(MthRef[], MATCH(MONTH(Futs!$A39), MthRef[Mth], 0), 2)</f>
        <v>K</v>
      </c>
      <c r="C39" s="6">
        <f t="shared" ca="1" si="65"/>
        <v>2028</v>
      </c>
      <c r="D39" s="6" t="str">
        <f t="shared" ca="1" si="66"/>
        <v>Q228</v>
      </c>
      <c r="E39" s="6" t="str">
        <f t="shared" ca="1" si="132"/>
        <v>K8</v>
      </c>
      <c r="F39" s="10" t="e">
        <f ca="1">IFERROR(AVERAGE(_xll.BDP(F$18 &amp; $B39 &amp; RIGHT($C39, 1) &amp; " " &amp; "Comdty", "BID", "Fill=#N/A"), _xll.BDP(F$18 &amp; $B39 &amp; RIGHT($C39, 1) &amp; " " &amp; "Comdty", "ASK", "Fill=#N/A")), NA())</f>
        <v>#N/A</v>
      </c>
      <c r="G39" s="10">
        <f ca="1">IFERROR(AVERAGE(_xll.BDP(G$18 &amp; $B39 &amp; RIGHT($C39, 1) &amp; " " &amp; "Comdty", "BID", "Fill=#N/A"), _xll.BDP(G$18 &amp; $B39 &amp; RIGHT($C39, 1) &amp; " " &amp; "Comdty", "ASK", "Fill=#N/A")), NA())</f>
        <v>75.305000000000007</v>
      </c>
      <c r="H39" s="10">
        <f ca="1">IFERROR(AVERAGE(_xll.BDP(H$18 &amp; $B39 &amp; RIGHT($C39, 1) &amp; " " &amp; "Comdty", "BID", "Fill=#N/A"), _xll.BDP(H$18 &amp; $B39 &amp; RIGHT($C39, 1) &amp; " " &amp; "Comdty", "ASK", "Fill=#N/A")), NA())</f>
        <v>863.5</v>
      </c>
      <c r="I39" s="10">
        <f ca="1">IFERROR(AVERAGE(_xll.BDP(I$18 &amp; $B39 &amp; RIGHT($C39, 1) &amp; " " &amp; "Comdty", "BID", "Fill=#N/A"), _xll.BDP(I$18 &amp; $B39 &amp; RIGHT($C39, 1) &amp; " " &amp; "Comdty", "ASK", "Fill=#N/A")), NA())</f>
        <v>305.14999999999998</v>
      </c>
      <c r="J39" s="10">
        <f ca="1">IFERROR(AVERAGE(_xll.BDP(J$18 &amp; $B39 &amp; RIGHT($C39, 1) &amp; " " &amp; "Comdty", "BID", "Fill=#N/A"), _xll.BDP(J$18 &amp; $B39 &amp; RIGHT($C39, 1) &amp; " " &amp; "Comdty", "ASK", "Fill=#N/A")), NA())</f>
        <v>247.215</v>
      </c>
      <c r="K39" s="10" t="e">
        <f ca="1">IFERROR(AVERAGE(_xll.BDP(K$18 &amp; $B39 &amp; RIGHT($C39, 2) &amp; " " &amp; "Comdty", "BID", "Fill=#N/A"), _xll.BDP(K$18 &amp; $B39 &amp; RIGHT($C39, 2) &amp; " " &amp; "Comdty", "ASK", "Fill=#N/A")), NA())</f>
        <v>#N/A</v>
      </c>
      <c r="L39" s="10" t="e">
        <f ca="1">IFERROR(AVERAGE(_xll.BDP(L$18 &amp; $B39 &amp; RIGHT($C39, 2) &amp; " " &amp; "Comdty", "BID", "Fill=#N/A"), _xll.BDP(L$18 &amp; $B39 &amp; RIGHT($C39, 2) &amp; " " &amp; "Comdty", "ASK", "Fill=#N/A")), NA())</f>
        <v>#N/A</v>
      </c>
      <c r="M39" s="10" t="e">
        <f ca="1">IFERROR(AVERAGE(_xll.BDP(M$18 &amp; $B39 &amp; RIGHT($C39, 2) &amp; " " &amp; "Comdty", "BID", "Fill=#N/A"), _xll.BDP(M$18 &amp; $B39 &amp; RIGHT($C39, 2) &amp; " " &amp; "Comdty", "ASK", "Fill=#N/A")), NA())</f>
        <v>#N/A</v>
      </c>
      <c r="N39" s="10">
        <f ca="1">IFERROR(AVERAGE(_xll.BDP(N$18 &amp; $B38 &amp; RIGHT($C38, 1) &amp; N$18 &amp; $B39 &amp; RIGHT($C39, 1) &amp; " " &amp; "Comdty", "BID", "Fill=#N/A"), _xll.BDP(N$18 &amp; $B38 &amp; RIGHT($C38, 1) &amp; N$18 &amp; $B39 &amp; RIGHT($C39, 1) &amp; " " &amp; "Comdty", "ASK", "Fill=#N/A")), NA())</f>
        <v>0.23499999999999999</v>
      </c>
      <c r="O39" s="10">
        <f ca="1">IFERROR(AVERAGE(_xll.BDP(O$18 &amp; $B38 &amp; RIGHT($C38, 1) &amp; O$18 &amp; $B39 &amp; RIGHT($C39, 1) &amp; " " &amp; "Comdty", "BID", "Fill=#N/A"), _xll.BDP(O$18 &amp; $B38 &amp; RIGHT($C38, 1) &amp; O$18 &amp; $B39 &amp; RIGHT($C39, 1) &amp; " " &amp; "Comdty", "ASK", "Fill=#N/A")), NA())</f>
        <v>0.27</v>
      </c>
      <c r="P39" s="10">
        <f ca="1">IFERROR(AVERAGE(_xll.BDP(P$18 &amp; $B38 &amp; RIGHT($C38, 1) &amp; P$18 &amp; $B39 &amp; RIGHT($C39, 1) &amp; " " &amp; "Comdty", "BID", "Fill=#N/A"), _xll.BDP(P$18 &amp; $B38 &amp; RIGHT($C38, 1) &amp; P$18 &amp; $B39 &amp; RIGHT($C39, 1) &amp; " " &amp; "Comdty", "ASK", "Fill=#N/A")), NA())</f>
        <v>10.5</v>
      </c>
      <c r="Q39" s="10">
        <f ca="1">IFERROR(AVERAGE(_xll.BDP(Q$18 &amp; $B38 &amp; RIGHT($C38, 1) &amp; Q$18 &amp; $B39 &amp; RIGHT($C39, 1) &amp; " " &amp; "Comdty", "BID", "Fill=#N/A"), _xll.BDP(Q$18 &amp; $B38 &amp; RIGHT($C38, 1) &amp; Q$18 &amp; $B39 &amp; RIGHT($C39, 1) &amp; " " &amp; "Comdty", "ASK", "Fill=#N/A")), NA())</f>
        <v>4.1500000000000004</v>
      </c>
      <c r="R39" s="10">
        <f ca="1">IFERROR(AVERAGE(_xll.BDP(R$18 &amp; $B38 &amp; RIGHT($C38, 1) &amp; R$18 &amp; $B39 &amp; RIGHT($C39, 1) &amp; " " &amp; "Comdty", "BID", "Fill=#N/A"), _xll.BDP(R$18 &amp; $B38 &amp; RIGHT($C38, 1) &amp; R$18 &amp; $B39 &amp; RIGHT($C39, 1) &amp; " " &amp; "Comdty", "ASK", "Fill=#N/A")), NA())</f>
        <v>0.54500000000000004</v>
      </c>
      <c r="S39" s="10" t="e">
        <f ca="1">IFERROR(AVERAGE(_xll.BDP(S$18 &amp; $B38 &amp; RIGHT($C38, 1) &amp; $B39 &amp; RIGHT($C39, 1) &amp; " " &amp; "Comdty", "BID", "Fill=#N/A"), _xll.BDP(S$18 &amp; $B38 &amp; RIGHT($C38, 1) &amp; $B39 &amp; RIGHT($C39, 1) &amp; " " &amp; "Comdty", "ASK", "Fill=#N/A")), NA())</f>
        <v>#N/A</v>
      </c>
      <c r="T39" s="10" t="e">
        <f ca="1">IFERROR(AVERAGE(_xll.BDP(T$18 &amp; $B38 &amp; RIGHT($C38, 1) &amp; $B39 &amp; RIGHT($C39, 1) &amp; " " &amp; "Comdty", "BID", "Fill=#N/A"), _xll.BDP(T$18 &amp; $B38 &amp; RIGHT($C38, 1) &amp; $B39 &amp; RIGHT($C39, 1) &amp; " " &amp; "Comdty", "ASK", "Fill=#N/A")), NA())</f>
        <v>#N/A</v>
      </c>
      <c r="U39" s="10">
        <f ca="1">IF($A39 &lt; Diagnostics!$B$3, N39, INDEX(ImpSprd[], MATCH(Futs!$C39, ImpSprd[Yr], 0), MATCH(U$18, ImpSprd[#Headers], 0)))</f>
        <v>0.26863636363636362</v>
      </c>
      <c r="V39" s="10">
        <f ca="1">IF($A39 &lt; Diagnostics!$B$3, O39, INDEX(ImpSprd[], MATCH(Futs!$C39, ImpSprd[Yr], 0), MATCH(V$18, ImpSprd[#Headers], 0)))</f>
        <v>0.30454545454545451</v>
      </c>
      <c r="W39" s="10">
        <f ca="1">IF($A39 &lt; Diagnostics!$B$3, P39, INDEX(ImpSprd[], MATCH(Futs!$C39, ImpSprd[Yr], 0), MATCH(W$18, ImpSprd[#Headers], 0)))</f>
        <v>9.295454545454545</v>
      </c>
      <c r="X39" s="31">
        <f ca="1">INDEX(Expi[], MATCH($A39, Expi[Date], 0), MATCH(X$18, Expi[#Headers], 0))</f>
        <v>46895</v>
      </c>
      <c r="Y39" s="31">
        <f ca="1">INDEX(Expi[], MATCH($A39, Expi[Date], 0), MATCH(Y$18, Expi[#Headers], 0))</f>
        <v>46904</v>
      </c>
      <c r="Z39" s="31">
        <f ca="1">INDEX(Expi[], MATCH($A39, Expi[Date], 0), MATCH(Z$18, Expi[#Headers], 0))</f>
        <v>46884</v>
      </c>
      <c r="AA39" s="31">
        <f ca="1">INDEX(Expi[], MATCH($A39, Expi[Date], 0), MATCH(AA$18, Expi[#Headers], 0))</f>
        <v>46904</v>
      </c>
      <c r="AB39" s="31">
        <f ca="1">INDEX(Expi[], MATCH($A39, Expi[Date], 0), MATCH(AB$18, Expi[#Headers], 0))</f>
        <v>46904</v>
      </c>
      <c r="AC39" s="31">
        <f ca="1">INDEX(Expi[], MATCH($A39, Expi[Date], 0), MATCH(AC$18, Expi[#Headers], 0))</f>
        <v>46904</v>
      </c>
      <c r="AD39" s="7">
        <f ca="1">NETWORKDAYS($A39, EOMONTH($A39, 0), Hols[CME])</f>
        <v>23</v>
      </c>
      <c r="AE39" s="7">
        <f ca="1">NETWORKDAYS($A39, EOMONTH($A39, 0), Hols[ICE])</f>
        <v>23</v>
      </c>
      <c r="AF39" s="7">
        <f ca="1">NETWORKDAYS($A39, EOMONTH($A39, 0), Hols[ICE])</f>
        <v>23</v>
      </c>
      <c r="AG39" s="7">
        <f ca="1">NETWORKDAYS($A39, EOMONTH($A39, 0), Hols[CME])</f>
        <v>23</v>
      </c>
      <c r="AH39" s="7">
        <f ca="1">NETWORKDAYS($A39, EOMONTH($A39, 0), Hols[CME])</f>
        <v>23</v>
      </c>
      <c r="AI39" s="7">
        <f ca="1">NETWORKDAYS($A39, EOMONTH($A39, 0), Hols[ICE])</f>
        <v>23</v>
      </c>
      <c r="AJ39" s="7">
        <f ca="1">NETWORKDAYS($A39, X39, Hols[CME])</f>
        <v>16</v>
      </c>
      <c r="AK39" s="7">
        <f ca="1">NETWORKDAYS($A39, Y39, Hols[ICE]) - 1</f>
        <v>22</v>
      </c>
      <c r="AL39" s="7">
        <f ca="1">NETWORKDAYS($A39, Z39, Hols[ICE]) - 1</f>
        <v>8</v>
      </c>
      <c r="AM39" s="7">
        <f ca="1">NETWORKDAYS($A39, AA39, Hols[CME])</f>
        <v>23</v>
      </c>
      <c r="AN39" s="7">
        <f ca="1">NETWORKDAYS($A39, AB39, Hols[CME])</f>
        <v>23</v>
      </c>
      <c r="AO39" s="7">
        <f ca="1">NETWORKDAYS($A39, AC39, Hols[ICE]) - 1</f>
        <v>22</v>
      </c>
      <c r="AP39" s="10">
        <f t="shared" ca="1" si="67"/>
        <v>0.69565217391304346</v>
      </c>
      <c r="AQ39" s="10">
        <f t="shared" ca="1" si="68"/>
        <v>0.95652173913043481</v>
      </c>
      <c r="AR39" s="10">
        <f t="shared" ca="1" si="69"/>
        <v>0.34782608695652173</v>
      </c>
      <c r="AS39" s="10">
        <f t="shared" ca="1" si="70"/>
        <v>1</v>
      </c>
      <c r="AT39" s="10">
        <f t="shared" ca="1" si="71"/>
        <v>1</v>
      </c>
      <c r="AU39" s="10">
        <f t="shared" ca="1" si="71"/>
        <v>0.95652173913043481</v>
      </c>
      <c r="AV39" s="28">
        <f ca="1">IFERROR(AVERAGE(_xll.BDH(AV$18 &amp; $B39 &amp; RIGHT($C39, 1) &amp; " " &amp; "Comdty", "PX_SETTLE", AV$16, AV$16, "Fill=#N/A")), IFERROR(AVERAGE(_xll.BDH(AV$18 &amp; $B39 &amp; RIGHT($C39, 2) &amp; " " &amp; "Comdty", "PX_SETTLE", AV$16, AV$16, "Fill=#N/A")), NA()))</f>
        <v>69.95</v>
      </c>
      <c r="AW39" s="28">
        <f ca="1">IFERROR(AVERAGE(_xll.BDH(AW$18 &amp; $B39 &amp; RIGHT($C39, 1) &amp; " " &amp; "Comdty", "PX_SETTLE", AW$16, AW$16, "Fill=#N/A")), IFERROR(AVERAGE(_xll.BDH(AW$18 &amp; $B39 &amp; RIGHT($C39, 2) &amp; " " &amp; "Comdty", "PX_SETTLE", AW$16, AW$16, "Fill=#N/A")), NA()))</f>
        <v>75.290000000000006</v>
      </c>
      <c r="AX39" s="29">
        <f ca="1">IFERROR(AVERAGE(_xll.BDH(AX$18 &amp; $B39 &amp; RIGHT($C39, 2) &amp; " " &amp; "Comdty", "FAIR_VALUE_SNAPSHOT_AT_1430", AX$16, AX$16, "TIME_ZONE_OVERRIDE=13", "Fill=#N/A")), NA())</f>
        <v>868.5</v>
      </c>
      <c r="AY39" s="28">
        <f ca="1">IFERROR(AVERAGE(_xll.BDH(AY$18 &amp; $B39 &amp; RIGHT($C39, 1) &amp; " " &amp; "Comdty", "PX_SETTLE", AY$16, AY$16, "Fill=#N/A")), NA())</f>
        <v>307.06</v>
      </c>
      <c r="AZ39" s="28">
        <f ca="1">IFERROR(AVERAGE(_xll.BDH(AZ$18 &amp; $B39 &amp; RIGHT($C39, 1) &amp; " " &amp; "Comdty", "PX_SETTLE", AZ$16, AZ$16, "Fill=#N/A")), NA())</f>
        <v>246.69</v>
      </c>
      <c r="BA39" s="29" t="e">
        <f ca="1">IFERROR(AVERAGE(_xll.BDH(BA$18 &amp; $B39 &amp; RIGHT($C39, 2) &amp; " " &amp; "Comdty", "PX_SETTLE", BA$16, BA$16, "Fill=#N/A")), IFERROR(AVERAGE(_xll.BDH(BA$18 &amp; $B39 &amp; RIGHT($C39, 2) &amp; " " &amp; "Comdty", "PX_SETTLE", BA$16, BA$16, "Fill=#N/A")), NA()))</f>
        <v>#N/A</v>
      </c>
      <c r="BB39" s="29">
        <f ca="1">IFERROR(AVERAGE(_xll.BDH(BB$18 &amp; $B39 &amp; RIGHT($C39, 2) &amp; " " &amp; "Comdty", "PX_SETTLE", BB$16, BB$16, "Fill=#N/A")), IFERROR(AVERAGE(_xll.BDH(BB$18 &amp; $B39 &amp; RIGHT($C39, 2) &amp; " " &amp; "Comdty", "PX_SETTLE", BB$16, BB$16, "Fill=#N/A")), NA()))</f>
        <v>75.989999999999995</v>
      </c>
      <c r="BC39" s="29" t="e">
        <f ca="1">IFERROR(AVERAGE(_xll.BDH(BC$18 &amp; $B39 &amp; RIGHT($C39, 2) &amp; " " &amp; "Comdty", "PX_SETTLE", BC$16, BC$16, "Fill=#N/A")), IFERROR(AVERAGE(_xll.BDH(BC$18 &amp; $B39 &amp; RIGHT($C39, 2) &amp; " " &amp; "Comdty", "PX_SETTLE", BC$16, BC$16, "Fill=#N/A")), NA()))</f>
        <v>#N/A</v>
      </c>
      <c r="BD39" s="29" cm="1">
        <f t="array" ref="BD39">_xll.BFXFORWARD("USDCNY", "19M", "MidOutright")</f>
        <v>6.4776594999999997</v>
      </c>
      <c r="BE39" s="109">
        <f t="shared" ca="1" si="209"/>
        <v>70.13181818181819</v>
      </c>
      <c r="BF39" s="46">
        <f t="shared" ca="1" si="72"/>
        <v>0.18181818181818699</v>
      </c>
      <c r="BG39" s="47">
        <f t="shared" ca="1" si="151"/>
        <v>0.2686363636363609</v>
      </c>
      <c r="BH39" s="114">
        <f t="shared" ca="1" si="223"/>
        <v>1.8636363636360898E-2</v>
      </c>
      <c r="BI39" s="110">
        <f t="shared" ca="1" si="224"/>
        <v>75.402272727272774</v>
      </c>
      <c r="BJ39" s="46">
        <f t="shared" ca="1" si="73"/>
        <v>0.11227272727276727</v>
      </c>
      <c r="BK39" s="48">
        <f t="shared" ca="1" si="225"/>
        <v>0.30454545454544757</v>
      </c>
      <c r="BL39" s="114">
        <f t="shared" ca="1" si="226"/>
        <v>4.5454545454504114E-3</v>
      </c>
      <c r="BM39" s="48">
        <f t="shared" ca="1" si="152"/>
        <v>871.77272727272748</v>
      </c>
      <c r="BN39" s="46">
        <f t="shared" ca="1" si="74"/>
        <v>3.2727272727274794</v>
      </c>
      <c r="BO39" s="47">
        <f t="shared" ca="1" si="210"/>
        <v>9.2954545454545041</v>
      </c>
      <c r="BP39" s="46">
        <f t="shared" ca="1" si="133"/>
        <v>-0.95454545454549589</v>
      </c>
      <c r="BQ39" s="110">
        <f t="shared" ca="1" si="211"/>
        <v>305.66499999999996</v>
      </c>
      <c r="BR39" s="46">
        <f t="shared" ca="1" si="75"/>
        <v>-1.3950000000000387</v>
      </c>
      <c r="BS39" s="47">
        <f t="shared" ca="1" si="153"/>
        <v>4.1499999999999773</v>
      </c>
      <c r="BT39" s="114">
        <f t="shared" ca="1" si="154"/>
        <v>0.21999999999997044</v>
      </c>
      <c r="BU39" s="48">
        <f t="shared" ca="1" si="212"/>
        <v>247.66999999999996</v>
      </c>
      <c r="BV39" s="46">
        <f t="shared" ca="1" si="76"/>
        <v>0.97999999999996135</v>
      </c>
      <c r="BW39" s="47">
        <f t="shared" ca="1" si="155"/>
        <v>0.54499999999998749</v>
      </c>
      <c r="BX39" s="46">
        <f t="shared" ca="1" si="156"/>
        <v>0.21499999999997499</v>
      </c>
      <c r="BY39" s="140">
        <f t="shared" ca="1" si="134"/>
        <v>69.781422924901193</v>
      </c>
      <c r="BZ39" s="46">
        <f t="shared" ca="1" si="135"/>
        <v>40.887075098814236</v>
      </c>
      <c r="CA39" s="47">
        <f t="shared" ca="1" si="157"/>
        <v>0.26980434782609564</v>
      </c>
      <c r="CB39" s="46">
        <f t="shared" ca="1" si="158"/>
        <v>-23.143597826086953</v>
      </c>
      <c r="CC39" s="141">
        <f t="shared" ca="1" si="136"/>
        <v>74.779940711462501</v>
      </c>
      <c r="CD39" s="50">
        <f t="shared" ca="1" si="137"/>
        <v>6.1245059288594299E-2</v>
      </c>
      <c r="CE39" s="47">
        <f t="shared" ca="1" si="159"/>
        <v>0.30255928853755165</v>
      </c>
      <c r="CF39" s="46">
        <f t="shared" ca="1" si="160"/>
        <v>2.5254940711454212E-2</v>
      </c>
      <c r="CG39" s="141">
        <f t="shared" ca="1" si="138"/>
        <v>865.71047430830072</v>
      </c>
      <c r="CH39" s="50">
        <f t="shared" ca="1" si="139"/>
        <v>3.2430830039528029</v>
      </c>
      <c r="CI39" s="47">
        <f t="shared" ca="1" si="161"/>
        <v>9.3156620553359062</v>
      </c>
      <c r="CJ39" s="46">
        <f t="shared" ca="1" si="162"/>
        <v>-0.30444664031624713</v>
      </c>
      <c r="CK39" s="141">
        <f t="shared" ca="1" si="140"/>
        <v>302.77</v>
      </c>
      <c r="CL39" s="50">
        <f t="shared" ca="1" si="77"/>
        <v>-1.2300000000000182</v>
      </c>
      <c r="CM39" s="47">
        <f t="shared" ca="1" si="163"/>
        <v>2.8949999999999818</v>
      </c>
      <c r="CN39" s="46">
        <f t="shared" ca="1" si="164"/>
        <v>-0.16500000000002046</v>
      </c>
      <c r="CO39" s="141">
        <f t="shared" ca="1" si="141"/>
        <v>245.95499999999996</v>
      </c>
      <c r="CP39" s="50">
        <f t="shared" ca="1" si="78"/>
        <v>0.58499999999995111</v>
      </c>
      <c r="CQ39" s="47">
        <f t="shared" ca="1" si="165"/>
        <v>1.7150000000000034</v>
      </c>
      <c r="CR39" s="46">
        <f t="shared" ca="1" si="166"/>
        <v>0.39500000000001023</v>
      </c>
      <c r="CS39" s="109">
        <f t="shared" ca="1" si="79"/>
        <v>-5.2704545454545837</v>
      </c>
      <c r="CT39" s="46">
        <f t="shared" ca="1" si="80"/>
        <v>6.9545454545419716E-2</v>
      </c>
      <c r="CU39" s="47">
        <f t="shared" ca="1" si="167"/>
        <v>-3.5909090909086672E-2</v>
      </c>
      <c r="CV39" s="46">
        <f t="shared" ca="1" si="168"/>
        <v>0</v>
      </c>
      <c r="CW39" s="110">
        <f t="shared" ca="1" si="142"/>
        <v>-4.9985177865613082</v>
      </c>
      <c r="CX39" s="46">
        <f t="shared" ca="1" si="81"/>
        <v>40.825830039525641</v>
      </c>
      <c r="CY39" s="47">
        <f t="shared" ca="1" si="169"/>
        <v>-3.2754940711456015E-2</v>
      </c>
      <c r="CZ39" s="46">
        <f t="shared" ca="1" si="170"/>
        <v>-23.168852766798405</v>
      </c>
      <c r="DA39" s="109">
        <f t="shared" ca="1" si="82"/>
        <v>41.614200732153733</v>
      </c>
      <c r="DB39" s="46">
        <f t="shared" ca="1" si="83"/>
        <v>0.32701952410004875</v>
      </c>
      <c r="DC39" s="47">
        <f t="shared" ca="1" si="171"/>
        <v>0.9431665649786396</v>
      </c>
      <c r="DD39" s="46">
        <f t="shared" ca="1" si="233"/>
        <v>-0.13267236119585252</v>
      </c>
      <c r="DE39" s="110">
        <f t="shared" ca="1" si="84"/>
        <v>52.977027272727199</v>
      </c>
      <c r="DF39" s="46">
        <f t="shared" ca="1" si="85"/>
        <v>-0.69817272727278346</v>
      </c>
      <c r="DG39" s="47">
        <f t="shared" ca="1" si="172"/>
        <v>1.4384545454545474</v>
      </c>
      <c r="DH39" s="46">
        <f t="shared" ca="1" si="173"/>
        <v>8.7854545454537081E-2</v>
      </c>
      <c r="DI39" s="110">
        <f t="shared" ca="1" si="86"/>
        <v>28.619127272727198</v>
      </c>
      <c r="DJ39" s="46">
        <f t="shared" ca="1" si="87"/>
        <v>0.29932727272721649</v>
      </c>
      <c r="DK39" s="47">
        <f t="shared" ca="1" si="174"/>
        <v>-7.5645454545451685E-2</v>
      </c>
      <c r="DL39" s="46">
        <f t="shared" ca="1" si="175"/>
        <v>8.5754545454539088E-2</v>
      </c>
      <c r="DM39" s="110">
        <f t="shared" ca="1" si="88"/>
        <v>58.247481818181782</v>
      </c>
      <c r="DN39" s="46">
        <f t="shared" ca="1" si="89"/>
        <v>-0.76771818181820317</v>
      </c>
      <c r="DO39" s="47">
        <f t="shared" ca="1" si="176"/>
        <v>1.4743636363636341</v>
      </c>
      <c r="DP39" s="47">
        <f t="shared" ca="1" si="177"/>
        <v>7.3763636363626595E-2</v>
      </c>
      <c r="DQ39" s="110">
        <f t="shared" ca="1" si="90"/>
        <v>33.889581818181782</v>
      </c>
      <c r="DR39" s="46">
        <f t="shared" ca="1" si="91"/>
        <v>0.22978181818179677</v>
      </c>
      <c r="DS39" s="47">
        <f t="shared" ca="1" si="178"/>
        <v>-3.9736363636365013E-2</v>
      </c>
      <c r="DT39" s="47">
        <f t="shared" ca="1" si="179"/>
        <v>7.1663636363628602E-2</v>
      </c>
      <c r="DU39" s="109">
        <f t="shared" ca="1" si="92"/>
        <v>41.422807517839601</v>
      </c>
      <c r="DV39" s="46">
        <f t="shared" ca="1" si="93"/>
        <v>0.37406809560439935</v>
      </c>
      <c r="DW39" s="47">
        <f t="shared" ca="1" si="180"/>
        <v>0.94786514842029135</v>
      </c>
      <c r="DX39" s="47">
        <f t="shared" ca="1" si="181"/>
        <v>-6.6120261559272642E-2</v>
      </c>
      <c r="DY39" s="110">
        <f t="shared" ca="1" si="94"/>
        <v>52.383459288537495</v>
      </c>
      <c r="DZ39" s="46">
        <f t="shared" ca="1" si="95"/>
        <v>-0.57784505928860186</v>
      </c>
      <c r="EA39" s="47">
        <f t="shared" ca="1" si="182"/>
        <v>0.91334071146242479</v>
      </c>
      <c r="EB39" s="47">
        <f t="shared" ca="1" si="183"/>
        <v>-9.4554940711462865E-2</v>
      </c>
      <c r="EC39" s="110">
        <f t="shared" ca="1" si="96"/>
        <v>28.52115928853749</v>
      </c>
      <c r="ED39" s="46">
        <f t="shared" ca="1" si="97"/>
        <v>0.18445494071138516</v>
      </c>
      <c r="EE39" s="47">
        <f t="shared" ca="1" si="184"/>
        <v>0.41774071146242875</v>
      </c>
      <c r="EF39" s="47">
        <f t="shared" ca="1" si="185"/>
        <v>0.14064505928855006</v>
      </c>
      <c r="EG39" s="110">
        <f t="shared" ca="1" si="98"/>
        <v>57.381977075098803</v>
      </c>
      <c r="EH39" s="46">
        <f t="shared" ca="1" si="99"/>
        <v>-41.403675098814247</v>
      </c>
      <c r="EI39" s="47">
        <f t="shared" ca="1" si="186"/>
        <v>0.94609565217388081</v>
      </c>
      <c r="EJ39" s="47">
        <f t="shared" ca="1" si="187"/>
        <v>23.074297826086948</v>
      </c>
      <c r="EK39" s="110">
        <f t="shared" ca="1" si="100"/>
        <v>33.519677075098798</v>
      </c>
      <c r="EL39" s="46">
        <f t="shared" ca="1" si="101"/>
        <v>-40.641375098814258</v>
      </c>
      <c r="EM39" s="47">
        <f t="shared" ca="1" si="188"/>
        <v>0.45049565217388476</v>
      </c>
      <c r="EN39" s="47">
        <f t="shared" ca="1" si="189"/>
        <v>23.309497826086957</v>
      </c>
      <c r="EO39" s="109">
        <f t="shared" ca="1" si="102"/>
        <v>27.054348906127302</v>
      </c>
      <c r="EP39" s="46">
        <f t="shared" ca="1" si="103"/>
        <v>-2.4409339318400769</v>
      </c>
      <c r="EQ39" s="47">
        <f t="shared" ca="1" si="190"/>
        <v>1.1792570963712024</v>
      </c>
      <c r="ER39" s="47">
        <f t="shared" ca="1" si="191"/>
        <v>0.5250640634533088</v>
      </c>
      <c r="ES39" s="110">
        <f t="shared" ca="1" si="104"/>
        <v>26.096789930233058</v>
      </c>
      <c r="ET39" s="46">
        <f t="shared" ca="1" si="105"/>
        <v>-2.2664598926023842</v>
      </c>
      <c r="EU39" s="47">
        <f t="shared" ca="1" si="192"/>
        <v>-8.2201040375821322E-2</v>
      </c>
      <c r="EV39" s="47">
        <f t="shared" ca="1" si="193"/>
        <v>-6.7701617029023886E-2</v>
      </c>
      <c r="EW39" s="109">
        <f t="shared" ca="1" si="106"/>
        <v>-57.995000000000005</v>
      </c>
      <c r="EX39" s="46">
        <f t="shared" ca="1" si="107"/>
        <v>2.375</v>
      </c>
      <c r="EY39" s="47">
        <f t="shared" ca="1" si="194"/>
        <v>-3.6049999999999898</v>
      </c>
      <c r="EZ39" s="47">
        <f t="shared" ca="1" si="195"/>
        <v>-4.9999999999954525E-3</v>
      </c>
      <c r="FA39" s="110">
        <f t="shared" ca="1" si="108"/>
        <v>-56.815000000000026</v>
      </c>
      <c r="FB39" s="46">
        <f t="shared" ca="1" si="109"/>
        <v>1.8149999999999693</v>
      </c>
      <c r="FC39" s="47">
        <f t="shared" ca="1" si="196"/>
        <v>-1.1799999999999784</v>
      </c>
      <c r="FD39" s="47">
        <f t="shared" ca="1" si="197"/>
        <v>0.5600000000000307</v>
      </c>
      <c r="FE39" s="109">
        <f t="shared" ca="1" si="110"/>
        <v>46.068531818181782</v>
      </c>
      <c r="FF39" s="46">
        <f t="shared" ca="1" si="111"/>
        <v>-0.2689681818182032</v>
      </c>
      <c r="FG39" s="110">
        <f t="shared" ca="1" si="112"/>
        <v>42.008881818181777</v>
      </c>
      <c r="FH39" s="46">
        <f t="shared" ca="1" si="113"/>
        <v>-0.10271818181820322</v>
      </c>
      <c r="FI39" s="110">
        <f t="shared" ca="1" si="114"/>
        <v>40.798077272727198</v>
      </c>
      <c r="FJ39" s="46">
        <f t="shared" ca="1" si="115"/>
        <v>-0.19942272727278348</v>
      </c>
      <c r="FK39" s="110">
        <f t="shared" ca="1" si="116"/>
        <v>36.738427272727193</v>
      </c>
      <c r="FL39" s="46">
        <f t="shared" ca="1" si="117"/>
        <v>-3.3172727272783503E-2</v>
      </c>
      <c r="FM39" s="110">
        <f t="shared" ca="1" si="118"/>
        <v>45.4508270750988</v>
      </c>
      <c r="FN39" s="46">
        <f t="shared" ca="1" si="119"/>
        <v>-41.022525098814256</v>
      </c>
      <c r="FO39" s="110">
        <f t="shared" ca="1" si="120"/>
        <v>41.473777075098795</v>
      </c>
      <c r="FP39" s="46">
        <f t="shared" ca="1" si="121"/>
        <v>-40.895475098814252</v>
      </c>
      <c r="FQ39" s="110">
        <f t="shared" ca="1" si="122"/>
        <v>40.452309288537492</v>
      </c>
      <c r="FR39" s="46">
        <f t="shared" ca="1" si="123"/>
        <v>-0.19669505928860836</v>
      </c>
      <c r="FS39" s="110">
        <f t="shared" ca="1" si="124"/>
        <v>36.475259288537487</v>
      </c>
      <c r="FT39" s="111">
        <f t="shared" ca="1" si="125"/>
        <v>-6.964505928861052E-2</v>
      </c>
      <c r="FU39" s="109" t="str">
        <f t="shared" ca="1" si="232"/>
        <v/>
      </c>
      <c r="FV39" s="46" t="str">
        <f t="shared" ca="1" si="213"/>
        <v/>
      </c>
      <c r="FW39" s="48" t="str">
        <f t="shared" ca="1" si="227"/>
        <v/>
      </c>
      <c r="FX39" s="114" t="str">
        <f t="shared" ca="1" si="228"/>
        <v/>
      </c>
      <c r="FY39" s="110" t="str">
        <f t="shared" ca="1" si="214"/>
        <v/>
      </c>
      <c r="FZ39" s="46" t="str">
        <f t="shared" ca="1" si="215"/>
        <v/>
      </c>
      <c r="GA39" s="47" t="str">
        <f t="shared" ca="1" si="216"/>
        <v/>
      </c>
      <c r="GB39" s="46" t="str">
        <f t="shared" ca="1" si="229"/>
        <v/>
      </c>
      <c r="GC39" s="110" t="str">
        <f ca="1">IFERROR(IF(AND(ISNUMBER($FU39), ISNUMBER(Crd!$X39)), $FU39 - Crd!$X39, ""), "")</f>
        <v/>
      </c>
      <c r="GD39" s="46" t="str">
        <f ca="1">IFERROR(IF(AND(ISNUMBER($FV39), ISNUMBER(Crd!$Y39)), $FV39 - Crd!$Y39, ""), "")</f>
        <v/>
      </c>
      <c r="GE39" s="47" t="str">
        <f t="shared" ca="1" si="217"/>
        <v/>
      </c>
      <c r="GF39" s="46" t="str">
        <f t="shared" ca="1" si="218"/>
        <v/>
      </c>
      <c r="GG39" s="141" t="str">
        <f t="shared" ca="1" si="198"/>
        <v/>
      </c>
      <c r="GH39" s="50" t="str">
        <f t="shared" ca="1" si="199"/>
        <v/>
      </c>
      <c r="GI39" s="47" t="str">
        <f t="shared" ca="1" si="144"/>
        <v/>
      </c>
      <c r="GJ39" s="46" t="str">
        <f t="shared" ca="1" si="145"/>
        <v/>
      </c>
      <c r="GK39" s="110" t="str">
        <f t="shared" ca="1" si="127"/>
        <v/>
      </c>
      <c r="GL39" s="46" t="str">
        <f t="shared" ca="1" si="128"/>
        <v/>
      </c>
      <c r="GM39" s="47" t="str">
        <f t="shared" ca="1" si="200"/>
        <v/>
      </c>
      <c r="GN39" s="46" t="str">
        <f t="shared" ca="1" si="201"/>
        <v/>
      </c>
      <c r="GO39" s="110" t="str">
        <f ca="1">IFERROR(IF(AND(ISNUMBER($GG39), ISNUMBER(Crd!$X39)), $GG39 - Crd!$X39, ""), "")</f>
        <v/>
      </c>
      <c r="GP39" s="46" t="str">
        <f ca="1">IFERROR(IF(AND(ISNUMBER($GH39), ISNUMBER(Crd!$Y39)), $GH39 - Crd!$Y39, ""), "")</f>
        <v/>
      </c>
      <c r="GQ39" s="47" t="str">
        <f t="shared" ca="1" si="202"/>
        <v/>
      </c>
      <c r="GR39" s="46" t="str">
        <f t="shared" ca="1" si="203"/>
        <v/>
      </c>
      <c r="GS39" s="436" t="str">
        <f t="shared" ca="1" si="219"/>
        <v/>
      </c>
      <c r="GT39" s="46" t="str">
        <f t="shared" ca="1" si="220"/>
        <v/>
      </c>
      <c r="GU39" s="48" t="str">
        <f t="shared" ca="1" si="230"/>
        <v/>
      </c>
      <c r="GV39" s="46" t="str">
        <f t="shared" ca="1" si="231"/>
        <v/>
      </c>
      <c r="GW39" s="427" t="str">
        <f t="shared" ca="1" si="204"/>
        <v/>
      </c>
      <c r="GX39" s="50" t="str">
        <f t="shared" ca="1" si="146"/>
        <v/>
      </c>
      <c r="GY39" s="47" t="str">
        <f t="shared" ca="1" si="205"/>
        <v/>
      </c>
      <c r="GZ39" s="432" t="str">
        <f t="shared" ca="1" si="206"/>
        <v/>
      </c>
      <c r="HA39" s="436"/>
      <c r="HB39" s="46"/>
      <c r="HC39" s="48"/>
      <c r="HD39" s="46"/>
      <c r="HE39" s="269"/>
      <c r="HF39" s="46"/>
      <c r="HG39" s="48"/>
      <c r="HH39" s="432"/>
    </row>
    <row r="40" spans="1:216" x14ac:dyDescent="0.25">
      <c r="A40" s="58">
        <f t="shared" ca="1" si="131"/>
        <v>46905</v>
      </c>
      <c r="B40" s="6" t="str">
        <f ca="1">INDEX(MthRef[], MATCH(MONTH(Futs!$A40), MthRef[Mth], 0), 2)</f>
        <v>M</v>
      </c>
      <c r="C40" s="6">
        <f t="shared" ca="1" si="65"/>
        <v>2028</v>
      </c>
      <c r="D40" s="6" t="str">
        <f t="shared" ca="1" si="66"/>
        <v>Q228</v>
      </c>
      <c r="E40" s="6" t="str">
        <f t="shared" ca="1" si="132"/>
        <v>M8</v>
      </c>
      <c r="F40" s="10" t="e">
        <f ca="1">IFERROR(AVERAGE(_xll.BDP(F$18 &amp; $B40 &amp; RIGHT($C40, 1) &amp; " " &amp; "Comdty", "BID", "Fill=#N/A"), _xll.BDP(F$18 &amp; $B40 &amp; RIGHT($C40, 1) &amp; " " &amp; "Comdty", "ASK", "Fill=#N/A")), NA())</f>
        <v>#N/A</v>
      </c>
      <c r="G40" s="10">
        <f ca="1">IFERROR(AVERAGE(_xll.BDP(G$18 &amp; $B40 &amp; RIGHT($C40, 1) &amp; " " &amp; "Comdty", "BID", "Fill=#N/A"), _xll.BDP(G$18 &amp; $B40 &amp; RIGHT($C40, 1) &amp; " " &amp; "Comdty", "ASK", "Fill=#N/A")), NA())</f>
        <v>75.039999999999992</v>
      </c>
      <c r="H40" s="10">
        <f ca="1">IFERROR(AVERAGE(_xll.BDP(H$18 &amp; $B40 &amp; RIGHT($C40, 1) &amp; " " &amp; "Comdty", "BID", "Fill=#N/A"), _xll.BDP(H$18 &amp; $B40 &amp; RIGHT($C40, 1) &amp; " " &amp; "Comdty", "ASK", "Fill=#N/A")), NA())</f>
        <v>853.625</v>
      </c>
      <c r="I40" s="10">
        <f ca="1">IFERROR(AVERAGE(_xll.BDP(I$18 &amp; $B40 &amp; RIGHT($C40, 1) &amp; " " &amp; "Comdty", "BID", "Fill=#N/A"), _xll.BDP(I$18 &amp; $B40 &amp; RIGHT($C40, 1) &amp; " " &amp; "Comdty", "ASK", "Fill=#N/A")), NA())</f>
        <v>282.21500000000003</v>
      </c>
      <c r="J40" s="10" t="e">
        <f ca="1">IFERROR(AVERAGE(_xll.BDP(J$18 &amp; $B40 &amp; RIGHT($C40, 1) &amp; " " &amp; "Comdty", "BID", "Fill=#N/A"), _xll.BDP(J$18 &amp; $B40 &amp; RIGHT($C40, 1) &amp; " " &amp; "Comdty", "ASK", "Fill=#N/A")), NA())</f>
        <v>#N/A</v>
      </c>
      <c r="K40" s="10" t="e">
        <f ca="1">IFERROR(AVERAGE(_xll.BDP(K$18 &amp; $B40 &amp; RIGHT($C40, 2) &amp; " " &amp; "Comdty", "BID", "Fill=#N/A"), _xll.BDP(K$18 &amp; $B40 &amp; RIGHT($C40, 2) &amp; " " &amp; "Comdty", "ASK", "Fill=#N/A")), NA())</f>
        <v>#N/A</v>
      </c>
      <c r="L40" s="10" t="e">
        <f ca="1">IFERROR(AVERAGE(_xll.BDP(L$18 &amp; $B40 &amp; RIGHT($C40, 2) &amp; " " &amp; "Comdty", "BID", "Fill=#N/A"), _xll.BDP(L$18 &amp; $B40 &amp; RIGHT($C40, 2) &amp; " " &amp; "Comdty", "ASK", "Fill=#N/A")), NA())</f>
        <v>#N/A</v>
      </c>
      <c r="M40" s="10">
        <f ca="1">IFERROR(AVERAGE(_xll.BDP(M$18 &amp; $B40 &amp; RIGHT($C40, 2) &amp; " " &amp; "Comdty", "BID", "Fill=#N/A"), _xll.BDP(M$18 &amp; $B40 &amp; RIGHT($C40, 2) &amp; " " &amp; "Comdty", "ASK", "Fill=#N/A")), NA())</f>
        <v>508.6</v>
      </c>
      <c r="N40" s="10">
        <f ca="1">IFERROR(AVERAGE(_xll.BDP(N$18 &amp; $B39 &amp; RIGHT($C39, 1) &amp; N$18 &amp; $B40 &amp; RIGHT($C40, 1) &amp; " " &amp; "Comdty", "BID", "Fill=#N/A"), _xll.BDP(N$18 &amp; $B39 &amp; RIGHT($C39, 1) &amp; N$18 &amp; $B40 &amp; RIGHT($C40, 1) &amp; " " &amp; "Comdty", "ASK", "Fill=#N/A")), NA())</f>
        <v>0.215</v>
      </c>
      <c r="O40" s="10">
        <f ca="1">IFERROR(AVERAGE(_xll.BDP(O$18 &amp; $B39 &amp; RIGHT($C39, 1) &amp; O$18 &amp; $B40 &amp; RIGHT($C40, 1) &amp; " " &amp; "Comdty", "BID", "Fill=#N/A"), _xll.BDP(O$18 &amp; $B39 &amp; RIGHT($C39, 1) &amp; O$18 &amp; $B40 &amp; RIGHT($C40, 1) &amp; " " &amp; "Comdty", "ASK", "Fill=#N/A")), NA())</f>
        <v>0.26500000000000001</v>
      </c>
      <c r="P40" s="10">
        <f ca="1">IFERROR(AVERAGE(_xll.BDP(P$18 &amp; $B39 &amp; RIGHT($C39, 1) &amp; P$18 &amp; $B40 &amp; RIGHT($C40, 1) &amp; " " &amp; "Comdty", "BID", "Fill=#N/A"), _xll.BDP(P$18 &amp; $B39 &amp; RIGHT($C39, 1) &amp; P$18 &amp; $B40 &amp; RIGHT($C40, 1) &amp; " " &amp; "Comdty", "ASK", "Fill=#N/A")), NA())</f>
        <v>9.75</v>
      </c>
      <c r="Q40" s="10">
        <f ca="1">IFERROR(AVERAGE(_xll.BDP(Q$18 &amp; $B39 &amp; RIGHT($C39, 1) &amp; Q$18 &amp; $B40 &amp; RIGHT($C40, 1) &amp; " " &amp; "Comdty", "BID", "Fill=#N/A"), _xll.BDP(Q$18 &amp; $B39 &amp; RIGHT($C39, 1) &amp; Q$18 &amp; $B40 &amp; RIGHT($C40, 1) &amp; " " &amp; "Comdty", "ASK", "Fill=#N/A")), NA())</f>
        <v>2.895</v>
      </c>
      <c r="R40" s="10">
        <f ca="1">IFERROR(AVERAGE(_xll.BDP(R$18 &amp; $B39 &amp; RIGHT($C39, 1) &amp; R$18 &amp; $B40 &amp; RIGHT($C40, 1) &amp; " " &amp; "Comdty", "BID", "Fill=#N/A"), _xll.BDP(R$18 &amp; $B39 &amp; RIGHT($C39, 1) &amp; R$18 &amp; $B40 &amp; RIGHT($C40, 1) &amp; " " &amp; "Comdty", "ASK", "Fill=#N/A")), NA())</f>
        <v>1.7150000000000001</v>
      </c>
      <c r="S40" s="10" t="e">
        <f ca="1">IFERROR(AVERAGE(_xll.BDP(S$18 &amp; $B39 &amp; RIGHT($C39, 1) &amp; $B40 &amp; RIGHT($C40, 1) &amp; " " &amp; "Comdty", "BID", "Fill=#N/A"), _xll.BDP(S$18 &amp; $B39 &amp; RIGHT($C39, 1) &amp; $B40 &amp; RIGHT($C40, 1) &amp; " " &amp; "Comdty", "ASK", "Fill=#N/A")), NA())</f>
        <v>#N/A</v>
      </c>
      <c r="T40" s="10" t="e">
        <f ca="1">IFERROR(AVERAGE(_xll.BDP(T$18 &amp; $B39 &amp; RIGHT($C39, 1) &amp; $B40 &amp; RIGHT($C40, 1) &amp; " " &amp; "Comdty", "BID", "Fill=#N/A"), _xll.BDP(T$18 &amp; $B39 &amp; RIGHT($C39, 1) &amp; $B40 &amp; RIGHT($C40, 1) &amp; " " &amp; "Comdty", "ASK", "Fill=#N/A")), NA())</f>
        <v>#N/A</v>
      </c>
      <c r="U40" s="10">
        <f ca="1">IF($A40 &lt; Diagnostics!$B$3, N40, INDEX(ImpSprd[], MATCH(Futs!$C40, ImpSprd[Yr], 0), MATCH(U$18, ImpSprd[#Headers], 0)))</f>
        <v>0.26863636363636362</v>
      </c>
      <c r="V40" s="10">
        <f ca="1">IF($A40 &lt; Diagnostics!$B$3, O40, INDEX(ImpSprd[], MATCH(Futs!$C40, ImpSprd[Yr], 0), MATCH(V$18, ImpSprd[#Headers], 0)))</f>
        <v>0.30454545454545451</v>
      </c>
      <c r="W40" s="10">
        <f ca="1">IF($A40 &lt; Diagnostics!$B$3, P40, INDEX(ImpSprd[], MATCH(Futs!$C40, ImpSprd[Yr], 0), MATCH(W$18, ImpSprd[#Headers], 0)))</f>
        <v>9.295454545454545</v>
      </c>
      <c r="X40" s="31">
        <f ca="1">INDEX(Expi[], MATCH($A40, Expi[Date], 0), MATCH(X$18, Expi[#Headers], 0))</f>
        <v>46924</v>
      </c>
      <c r="Y40" s="31">
        <f ca="1">INDEX(Expi[], MATCH($A40, Expi[Date], 0), MATCH(Y$18, Expi[#Headers], 0))</f>
        <v>46934</v>
      </c>
      <c r="Z40" s="31">
        <f ca="1">INDEX(Expi[], MATCH($A40, Expi[Date], 0), MATCH(Z$18, Expi[#Headers], 0))</f>
        <v>46916</v>
      </c>
      <c r="AA40" s="31">
        <f ca="1">INDEX(Expi[], MATCH($A40, Expi[Date], 0), MATCH(AA$18, Expi[#Headers], 0))</f>
        <v>46934</v>
      </c>
      <c r="AB40" s="31">
        <f ca="1">INDEX(Expi[], MATCH($A40, Expi[Date], 0), MATCH(AB$18, Expi[#Headers], 0))</f>
        <v>46934</v>
      </c>
      <c r="AC40" s="31">
        <f ca="1">INDEX(Expi[], MATCH($A40, Expi[Date], 0), MATCH(AC$18, Expi[#Headers], 0))</f>
        <v>46934</v>
      </c>
      <c r="AD40" s="7">
        <f ca="1">NETWORKDAYS($A40, EOMONTH($A40, 0), Hols[CME])</f>
        <v>22</v>
      </c>
      <c r="AE40" s="7">
        <f ca="1">NETWORKDAYS($A40, EOMONTH($A40, 0), Hols[ICE])</f>
        <v>22</v>
      </c>
      <c r="AF40" s="7">
        <f ca="1">NETWORKDAYS($A40, EOMONTH($A40, 0), Hols[ICE])</f>
        <v>22</v>
      </c>
      <c r="AG40" s="7">
        <f ca="1">NETWORKDAYS($A40, EOMONTH($A40, 0), Hols[CME])</f>
        <v>22</v>
      </c>
      <c r="AH40" s="7">
        <f ca="1">NETWORKDAYS($A40, EOMONTH($A40, 0), Hols[CME])</f>
        <v>22</v>
      </c>
      <c r="AI40" s="7">
        <f ca="1">NETWORKDAYS($A40, EOMONTH($A40, 0), Hols[ICE])</f>
        <v>22</v>
      </c>
      <c r="AJ40" s="7">
        <f ca="1">NETWORKDAYS($A40, X40, Hols[CME])</f>
        <v>14</v>
      </c>
      <c r="AK40" s="7">
        <f ca="1">NETWORKDAYS($A40, Y40, Hols[ICE]) - 1</f>
        <v>21</v>
      </c>
      <c r="AL40" s="7">
        <f ca="1">NETWORKDAYS($A40, Z40, Hols[ICE]) - 1</f>
        <v>7</v>
      </c>
      <c r="AM40" s="7">
        <f ca="1">NETWORKDAYS($A40, AA40, Hols[CME])</f>
        <v>22</v>
      </c>
      <c r="AN40" s="7">
        <f ca="1">NETWORKDAYS($A40, AB40, Hols[CME])</f>
        <v>22</v>
      </c>
      <c r="AO40" s="7">
        <f ca="1">NETWORKDAYS($A40, AC40, Hols[ICE]) - 1</f>
        <v>21</v>
      </c>
      <c r="AP40" s="10">
        <f t="shared" ca="1" si="67"/>
        <v>0.63636363636363635</v>
      </c>
      <c r="AQ40" s="10">
        <f t="shared" ca="1" si="68"/>
        <v>0.95454545454545459</v>
      </c>
      <c r="AR40" s="10">
        <f t="shared" ca="1" si="69"/>
        <v>0.31818181818181818</v>
      </c>
      <c r="AS40" s="10">
        <f t="shared" ca="1" si="70"/>
        <v>1</v>
      </c>
      <c r="AT40" s="10">
        <f t="shared" ca="1" si="71"/>
        <v>1</v>
      </c>
      <c r="AU40" s="10">
        <f t="shared" ca="1" si="71"/>
        <v>0.95454545454545459</v>
      </c>
      <c r="AV40" s="28">
        <f ca="1">IFERROR(AVERAGE(_xll.BDH(AV$18 &amp; $B40 &amp; RIGHT($C40, 1) &amp; " " &amp; "Comdty", "PX_SETTLE", AV$16, AV$16, "Fill=#N/A")), IFERROR(AVERAGE(_xll.BDH(AV$18 &amp; $B40 &amp; RIGHT($C40, 2) &amp; " " &amp; "Comdty", "PX_SETTLE", AV$16, AV$16, "Fill=#N/A")), NA()))</f>
        <v>11.1425</v>
      </c>
      <c r="AW40" s="28">
        <f ca="1">IFERROR(AVERAGE(_xll.BDH(AW$18 &amp; $B40 &amp; RIGHT($C40, 1) &amp; " " &amp; "Comdty", "PX_SETTLE", AW$16, AW$16, "Fill=#N/A")), IFERROR(AVERAGE(_xll.BDH(AW$18 &amp; $B40 &amp; RIGHT($C40, 2) &amp; " " &amp; "Comdty", "PX_SETTLE", AW$16, AW$16, "Fill=#N/A")), NA()))</f>
        <v>75.010000000000005</v>
      </c>
      <c r="AX40" s="29">
        <f ca="1">IFERROR(AVERAGE(_xll.BDH(AX$18 &amp; $B40 &amp; RIGHT($C40, 2) &amp; " " &amp; "Comdty", "FAIR_VALUE_SNAPSHOT_AT_1430", AX$16, AX$16, "TIME_ZONE_OVERRIDE=13", "Fill=#N/A")), NA())</f>
        <v>859.25</v>
      </c>
      <c r="AY40" s="28">
        <f ca="1">IFERROR(AVERAGE(_xll.BDH(AY$18 &amp; $B40 &amp; RIGHT($C40, 1) &amp; " " &amp; "Comdty", "PX_SETTLE", AY$16, AY$16, "Fill=#N/A")), NA())</f>
        <v>304</v>
      </c>
      <c r="AZ40" s="28">
        <f ca="1">IFERROR(AVERAGE(_xll.BDH(AZ$18 &amp; $B40 &amp; RIGHT($C40, 1) &amp; " " &amp; "Comdty", "PX_SETTLE", AZ$16, AZ$16, "Fill=#N/A")), NA())</f>
        <v>245.37</v>
      </c>
      <c r="BA40" s="29" t="e">
        <f ca="1">IFERROR(AVERAGE(_xll.BDH(BA$18 &amp; $B40 &amp; RIGHT($C40, 2) &amp; " " &amp; "Comdty", "PX_SETTLE", BA$16, BA$16, "Fill=#N/A")), IFERROR(AVERAGE(_xll.BDH(BA$18 &amp; $B40 &amp; RIGHT($C40, 2) &amp; " " &amp; "Comdty", "PX_SETTLE", BA$16, BA$16, "Fill=#N/A")), NA()))</f>
        <v>#N/A</v>
      </c>
      <c r="BB40" s="29">
        <f ca="1">IFERROR(AVERAGE(_xll.BDH(BB$18 &amp; $B40 &amp; RIGHT($C40, 2) &amp; " " &amp; "Comdty", "PX_SETTLE", BB$16, BB$16, "Fill=#N/A")), IFERROR(AVERAGE(_xll.BDH(BB$18 &amp; $B40 &amp; RIGHT($C40, 2) &amp; " " &amp; "Comdty", "PX_SETTLE", BB$16, BB$16, "Fill=#N/A")), NA()))</f>
        <v>75.709999999999994</v>
      </c>
      <c r="BC40" s="29">
        <f ca="1">IFERROR(AVERAGE(_xll.BDH(BC$18 &amp; $B40 &amp; RIGHT($C40, 2) &amp; " " &amp; "Comdty", "PX_SETTLE", BC$16, BC$16, "Fill=#N/A")), IFERROR(AVERAGE(_xll.BDH(BC$18 &amp; $B40 &amp; RIGHT($C40, 2) &amp; " " &amp; "Comdty", "PX_SETTLE", BC$16, BC$16, "Fill=#N/A")), NA()))</f>
        <v>508.5</v>
      </c>
      <c r="BD40" s="29" cm="1">
        <f t="array" ref="BD40">_xll.BFXFORWARD("USDCNY", "20M", "MidOutright")</f>
        <v>6.4599609999999998</v>
      </c>
      <c r="BE40" s="109">
        <f t="shared" ca="1" si="209"/>
        <v>69.863181818181829</v>
      </c>
      <c r="BF40" s="46">
        <f t="shared" ca="1" si="72"/>
        <v>58.720681818181831</v>
      </c>
      <c r="BG40" s="47">
        <f t="shared" ca="1" si="151"/>
        <v>0.2686363636363609</v>
      </c>
      <c r="BH40" s="114">
        <f t="shared" ca="1" si="223"/>
        <v>-58.538863636363644</v>
      </c>
      <c r="BI40" s="110">
        <f t="shared" ca="1" si="224"/>
        <v>75.097727272727326</v>
      </c>
      <c r="BJ40" s="46">
        <f t="shared" ca="1" si="73"/>
        <v>8.7727272727320837E-2</v>
      </c>
      <c r="BK40" s="48">
        <f t="shared" ca="1" si="225"/>
        <v>0.30454545454544757</v>
      </c>
      <c r="BL40" s="114">
        <f t="shared" ca="1" si="226"/>
        <v>2.4545454545446432E-2</v>
      </c>
      <c r="BM40" s="48">
        <f t="shared" ca="1" si="152"/>
        <v>862.47727272727298</v>
      </c>
      <c r="BN40" s="46">
        <f t="shared" ca="1" si="74"/>
        <v>3.2272727272729753</v>
      </c>
      <c r="BO40" s="47">
        <f t="shared" ca="1" si="210"/>
        <v>9.2954545454545041</v>
      </c>
      <c r="BP40" s="46">
        <f t="shared" ca="1" si="133"/>
        <v>4.5454545454504114E-2</v>
      </c>
      <c r="BQ40" s="110">
        <f t="shared" ca="1" si="211"/>
        <v>302.77</v>
      </c>
      <c r="BR40" s="46">
        <f t="shared" ca="1" si="75"/>
        <v>-1.2300000000000182</v>
      </c>
      <c r="BS40" s="47">
        <f t="shared" ca="1" si="153"/>
        <v>2.8949999999999818</v>
      </c>
      <c r="BT40" s="114">
        <f t="shared" ca="1" si="154"/>
        <v>-0.16500000000002046</v>
      </c>
      <c r="BU40" s="48">
        <f t="shared" ca="1" si="212"/>
        <v>245.95499999999996</v>
      </c>
      <c r="BV40" s="46">
        <f t="shared" ca="1" si="76"/>
        <v>0.58499999999995111</v>
      </c>
      <c r="BW40" s="47">
        <f t="shared" ca="1" si="155"/>
        <v>1.7150000000000034</v>
      </c>
      <c r="BX40" s="46">
        <f t="shared" ca="1" si="156"/>
        <v>0.39500000000001023</v>
      </c>
      <c r="BY40" s="140">
        <f t="shared" ca="1" si="134"/>
        <v>69.496859504132246</v>
      </c>
      <c r="BZ40" s="46">
        <f t="shared" ca="1" si="135"/>
        <v>0.11776859504133794</v>
      </c>
      <c r="CA40" s="47">
        <f t="shared" ca="1" si="157"/>
        <v>0.28456342076894714</v>
      </c>
      <c r="CB40" s="46">
        <f t="shared" ca="1" si="158"/>
        <v>40.769306503772896</v>
      </c>
      <c r="CC40" s="141">
        <f t="shared" ca="1" si="136"/>
        <v>74.474793388429831</v>
      </c>
      <c r="CD40" s="50">
        <f t="shared" ca="1" si="137"/>
        <v>1.6157024793457063E-2</v>
      </c>
      <c r="CE40" s="47">
        <f t="shared" ca="1" si="159"/>
        <v>0.30514732303267067</v>
      </c>
      <c r="CF40" s="46">
        <f t="shared" ca="1" si="160"/>
        <v>4.5088034495137236E-2</v>
      </c>
      <c r="CG40" s="141">
        <f t="shared" ca="1" si="138"/>
        <v>856.13946280991763</v>
      </c>
      <c r="CH40" s="50">
        <f t="shared" ca="1" si="139"/>
        <v>2.1735537190085408</v>
      </c>
      <c r="CI40" s="47">
        <f t="shared" ca="1" si="161"/>
        <v>9.5710114983830863</v>
      </c>
      <c r="CJ40" s="46">
        <f t="shared" ca="1" si="162"/>
        <v>1.0695292849442621</v>
      </c>
      <c r="CK40" s="141">
        <f t="shared" ca="1" si="140"/>
        <v>300.77499999999998</v>
      </c>
      <c r="CL40" s="50">
        <f t="shared" ca="1" si="77"/>
        <v>-1.0649999999999977</v>
      </c>
      <c r="CM40" s="47">
        <f t="shared" ca="1" si="163"/>
        <v>1.9950000000000045</v>
      </c>
      <c r="CN40" s="46">
        <f t="shared" ca="1" si="164"/>
        <v>-0.16500000000002046</v>
      </c>
      <c r="CO40" s="141">
        <f t="shared" ca="1" si="141"/>
        <v>243.65999999999997</v>
      </c>
      <c r="CP40" s="50">
        <f t="shared" ca="1" si="78"/>
        <v>0.31999999999996476</v>
      </c>
      <c r="CQ40" s="47">
        <f t="shared" ca="1" si="165"/>
        <v>2.2949999999999875</v>
      </c>
      <c r="CR40" s="46">
        <f t="shared" ca="1" si="166"/>
        <v>0.26499999999998636</v>
      </c>
      <c r="CS40" s="109">
        <f t="shared" ca="1" si="79"/>
        <v>-5.234545454545497</v>
      </c>
      <c r="CT40" s="46">
        <f t="shared" ca="1" si="80"/>
        <v>58.63295454545451</v>
      </c>
      <c r="CU40" s="47">
        <f t="shared" ca="1" si="167"/>
        <v>-3.5909090909086672E-2</v>
      </c>
      <c r="CV40" s="46">
        <f t="shared" ca="1" si="168"/>
        <v>0</v>
      </c>
      <c r="CW40" s="110">
        <f t="shared" ca="1" si="142"/>
        <v>-4.9779338842975847</v>
      </c>
      <c r="CX40" s="46">
        <f t="shared" ca="1" si="81"/>
        <v>0.10161157024788087</v>
      </c>
      <c r="CY40" s="47">
        <f t="shared" ca="1" si="169"/>
        <v>-2.058390226372353E-2</v>
      </c>
      <c r="CZ40" s="46">
        <f t="shared" ca="1" si="170"/>
        <v>40.724218469277758</v>
      </c>
      <c r="DA40" s="109">
        <f t="shared" ca="1" si="82"/>
        <v>40.67103416717508</v>
      </c>
      <c r="DB40" s="46">
        <f t="shared" ca="1" si="83"/>
        <v>0.34546369737643423</v>
      </c>
      <c r="DC40" s="47">
        <f t="shared" ca="1" si="171"/>
        <v>0.94316656497865381</v>
      </c>
      <c r="DD40" s="46">
        <f t="shared" ca="1" si="233"/>
        <v>-1.8444173276385478E-2</v>
      </c>
      <c r="DE40" s="110">
        <f t="shared" ca="1" si="84"/>
        <v>52.06567272727267</v>
      </c>
      <c r="DF40" s="46">
        <f t="shared" ca="1" si="85"/>
        <v>-0.60432727272732845</v>
      </c>
      <c r="DG40" s="47">
        <f t="shared" ca="1" si="172"/>
        <v>0.91135454545452887</v>
      </c>
      <c r="DH40" s="46">
        <f t="shared" ca="1" si="173"/>
        <v>-9.3845454545455009E-2</v>
      </c>
      <c r="DI40" s="110">
        <f t="shared" ca="1" si="86"/>
        <v>28.203372727272665</v>
      </c>
      <c r="DJ40" s="46">
        <f t="shared" ca="1" si="87"/>
        <v>0.15797272727265863</v>
      </c>
      <c r="DK40" s="47">
        <f t="shared" ca="1" si="174"/>
        <v>0.41575454545453283</v>
      </c>
      <c r="DL40" s="46">
        <f t="shared" ca="1" si="175"/>
        <v>0.14135454545455786</v>
      </c>
      <c r="DM40" s="110">
        <f t="shared" ca="1" si="88"/>
        <v>57.300218181818167</v>
      </c>
      <c r="DN40" s="46">
        <f t="shared" ca="1" si="89"/>
        <v>-59.237281818181842</v>
      </c>
      <c r="DO40" s="47">
        <f t="shared" ca="1" si="176"/>
        <v>0.94726363636361555</v>
      </c>
      <c r="DP40" s="47">
        <f t="shared" ca="1" si="177"/>
        <v>58.469563636363638</v>
      </c>
      <c r="DQ40" s="110">
        <f t="shared" ca="1" si="90"/>
        <v>33.437918181818162</v>
      </c>
      <c r="DR40" s="46">
        <f t="shared" ca="1" si="91"/>
        <v>-58.474981818181853</v>
      </c>
      <c r="DS40" s="47">
        <f t="shared" ca="1" si="178"/>
        <v>0.4516636363636195</v>
      </c>
      <c r="DT40" s="47">
        <f t="shared" ca="1" si="179"/>
        <v>58.704763636363651</v>
      </c>
      <c r="DU40" s="109">
        <f t="shared" ca="1" si="92"/>
        <v>40.443255310887963</v>
      </c>
      <c r="DV40" s="46">
        <f t="shared" ca="1" si="93"/>
        <v>0.27559515225466924</v>
      </c>
      <c r="DW40" s="47">
        <f t="shared" ca="1" si="180"/>
        <v>0.97955220695163803</v>
      </c>
      <c r="DX40" s="47">
        <f t="shared" ca="1" si="181"/>
        <v>9.8472943349730113E-2</v>
      </c>
      <c r="DY40" s="110">
        <f t="shared" ca="1" si="94"/>
        <v>51.85070661157016</v>
      </c>
      <c r="DZ40" s="46">
        <f t="shared" ca="1" si="95"/>
        <v>-0.46345702479345607</v>
      </c>
      <c r="EA40" s="47">
        <f t="shared" ca="1" si="182"/>
        <v>0.53275267696733408</v>
      </c>
      <c r="EB40" s="47">
        <f t="shared" ca="1" si="183"/>
        <v>-0.11438803449514579</v>
      </c>
      <c r="EC40" s="110">
        <f t="shared" ca="1" si="96"/>
        <v>27.862406611570165</v>
      </c>
      <c r="ED40" s="46">
        <f t="shared" ca="1" si="97"/>
        <v>0.11824297520652813</v>
      </c>
      <c r="EE40" s="47">
        <f t="shared" ca="1" si="184"/>
        <v>0.65875267696732465</v>
      </c>
      <c r="EF40" s="47">
        <f t="shared" ca="1" si="185"/>
        <v>6.6211965504857029E-2</v>
      </c>
      <c r="EG40" s="110">
        <f t="shared" ca="1" si="98"/>
        <v>56.828640495867745</v>
      </c>
      <c r="EH40" s="46">
        <f t="shared" ca="1" si="99"/>
        <v>-0.565068595041337</v>
      </c>
      <c r="EI40" s="47">
        <f t="shared" ca="1" si="186"/>
        <v>0.55333657923105761</v>
      </c>
      <c r="EJ40" s="47">
        <f t="shared" ca="1" si="187"/>
        <v>-40.838606503772908</v>
      </c>
      <c r="EK40" s="110">
        <f t="shared" ca="1" si="100"/>
        <v>32.84034049586775</v>
      </c>
      <c r="EL40" s="46">
        <f t="shared" ca="1" si="101"/>
        <v>1.6631404958647261E-2</v>
      </c>
      <c r="EM40" s="47">
        <f t="shared" ca="1" si="188"/>
        <v>0.67933657923104818</v>
      </c>
      <c r="EN40" s="47">
        <f t="shared" ca="1" si="189"/>
        <v>-40.658006503772903</v>
      </c>
      <c r="EO40" s="109">
        <f t="shared" ca="1" si="102"/>
        <v>27.130091809756152</v>
      </c>
      <c r="EP40" s="46">
        <f t="shared" ca="1" si="103"/>
        <v>-2.2614070716756256</v>
      </c>
      <c r="EQ40" s="47">
        <f t="shared" ca="1" si="190"/>
        <v>-7.5742903628849945E-2</v>
      </c>
      <c r="ER40" s="47">
        <f t="shared" ca="1" si="191"/>
        <v>-0.1795268601644513</v>
      </c>
      <c r="ES40" s="110">
        <f t="shared" ca="1" si="104"/>
        <v>27.160598334957569</v>
      </c>
      <c r="ET40" s="46">
        <f t="shared" ca="1" si="105"/>
        <v>-1.7596480405907746</v>
      </c>
      <c r="EU40" s="47">
        <f t="shared" ca="1" si="192"/>
        <v>-1.0638084047245115</v>
      </c>
      <c r="EV40" s="47">
        <f t="shared" ca="1" si="193"/>
        <v>-0.50681185201160961</v>
      </c>
      <c r="EW40" s="109">
        <f t="shared" ca="1" si="106"/>
        <v>-56.815000000000026</v>
      </c>
      <c r="EX40" s="46">
        <f t="shared" ca="1" si="107"/>
        <v>1.8149999999999693</v>
      </c>
      <c r="EY40" s="47">
        <f t="shared" ca="1" si="194"/>
        <v>-1.1799999999999784</v>
      </c>
      <c r="EZ40" s="47">
        <f t="shared" ca="1" si="195"/>
        <v>0.5600000000000307</v>
      </c>
      <c r="FA40" s="110">
        <f t="shared" ca="1" si="108"/>
        <v>-57.115000000000009</v>
      </c>
      <c r="FB40" s="46">
        <f t="shared" ca="1" si="109"/>
        <v>1.3849999999999625</v>
      </c>
      <c r="FC40" s="47">
        <f t="shared" ca="1" si="196"/>
        <v>0.29999999999998295</v>
      </c>
      <c r="FD40" s="47">
        <f t="shared" ca="1" si="197"/>
        <v>0.43000000000000682</v>
      </c>
      <c r="FE40" s="109">
        <f t="shared" ca="1" si="110"/>
        <v>45.369068181818164</v>
      </c>
      <c r="FF40" s="46">
        <f t="shared" ca="1" si="111"/>
        <v>-58.856131818181851</v>
      </c>
      <c r="FG40" s="110">
        <f t="shared" ca="1" si="112"/>
        <v>41.392018181818159</v>
      </c>
      <c r="FH40" s="46">
        <f t="shared" ca="1" si="113"/>
        <v>-58.729081818181847</v>
      </c>
      <c r="FI40" s="110">
        <f t="shared" ca="1" si="114"/>
        <v>40.134522727272667</v>
      </c>
      <c r="FJ40" s="46">
        <f t="shared" ca="1" si="115"/>
        <v>-0.2231772727273349</v>
      </c>
      <c r="FK40" s="110">
        <f t="shared" ca="1" si="116"/>
        <v>36.157472727272669</v>
      </c>
      <c r="FL40" s="46">
        <f t="shared" ca="1" si="117"/>
        <v>-9.6127272727337079E-2</v>
      </c>
      <c r="FM40" s="110">
        <f t="shared" ca="1" si="118"/>
        <v>44.834490495867747</v>
      </c>
      <c r="FN40" s="46">
        <f t="shared" ca="1" si="119"/>
        <v>-0.27421859504134488</v>
      </c>
      <c r="FO40" s="110">
        <f t="shared" ca="1" si="120"/>
        <v>40.836440495867748</v>
      </c>
      <c r="FP40" s="46">
        <f t="shared" ca="1" si="121"/>
        <v>-0.17726859504134751</v>
      </c>
      <c r="FQ40" s="110">
        <f t="shared" ca="1" si="122"/>
        <v>39.856556611570163</v>
      </c>
      <c r="FR40" s="46">
        <f t="shared" ca="1" si="123"/>
        <v>-0.17260702479346396</v>
      </c>
      <c r="FS40" s="110">
        <f t="shared" ca="1" si="124"/>
        <v>35.858506611570164</v>
      </c>
      <c r="FT40" s="111">
        <f t="shared" ca="1" si="125"/>
        <v>-7.5657024793466615E-2</v>
      </c>
      <c r="FU40" s="109" t="str">
        <f t="shared" ca="1" si="232"/>
        <v/>
      </c>
      <c r="FV40" s="46" t="str">
        <f t="shared" ca="1" si="213"/>
        <v/>
      </c>
      <c r="FW40" s="48" t="str">
        <f t="shared" ca="1" si="227"/>
        <v/>
      </c>
      <c r="FX40" s="114" t="str">
        <f t="shared" ca="1" si="228"/>
        <v/>
      </c>
      <c r="FY40" s="110" t="str">
        <f t="shared" ca="1" si="214"/>
        <v/>
      </c>
      <c r="FZ40" s="46" t="str">
        <f t="shared" ca="1" si="215"/>
        <v/>
      </c>
      <c r="GA40" s="47" t="str">
        <f t="shared" ca="1" si="216"/>
        <v/>
      </c>
      <c r="GB40" s="46" t="str">
        <f t="shared" ca="1" si="229"/>
        <v/>
      </c>
      <c r="GC40" s="110" t="str">
        <f ca="1">IFERROR(IF(AND(ISNUMBER($FU40), ISNUMBER(Crd!$X40)), $FU40 - Crd!$X40, ""), "")</f>
        <v/>
      </c>
      <c r="GD40" s="46" t="str">
        <f ca="1">IFERROR(IF(AND(ISNUMBER($FV40), ISNUMBER(Crd!$Y40)), $FV40 - Crd!$Y40, ""), "")</f>
        <v/>
      </c>
      <c r="GE40" s="47" t="str">
        <f t="shared" ca="1" si="217"/>
        <v/>
      </c>
      <c r="GF40" s="46" t="str">
        <f t="shared" ca="1" si="218"/>
        <v/>
      </c>
      <c r="GG40" s="141" t="str">
        <f t="shared" ca="1" si="198"/>
        <v/>
      </c>
      <c r="GH40" s="50" t="str">
        <f t="shared" ca="1" si="199"/>
        <v/>
      </c>
      <c r="GI40" s="47" t="str">
        <f t="shared" ca="1" si="144"/>
        <v/>
      </c>
      <c r="GJ40" s="46" t="str">
        <f t="shared" ca="1" si="145"/>
        <v/>
      </c>
      <c r="GK40" s="110" t="str">
        <f t="shared" ca="1" si="127"/>
        <v/>
      </c>
      <c r="GL40" s="46" t="str">
        <f t="shared" ca="1" si="128"/>
        <v/>
      </c>
      <c r="GM40" s="47" t="str">
        <f t="shared" ca="1" si="200"/>
        <v/>
      </c>
      <c r="GN40" s="46" t="str">
        <f t="shared" ca="1" si="201"/>
        <v/>
      </c>
      <c r="GO40" s="110" t="str">
        <f ca="1">IFERROR(IF(AND(ISNUMBER($GG40), ISNUMBER(Crd!$X40)), $GG40 - Crd!$X40, ""), "")</f>
        <v/>
      </c>
      <c r="GP40" s="46" t="str">
        <f ca="1">IFERROR(IF(AND(ISNUMBER($GH40), ISNUMBER(Crd!$Y40)), $GH40 - Crd!$Y40, ""), "")</f>
        <v/>
      </c>
      <c r="GQ40" s="47" t="str">
        <f t="shared" ca="1" si="202"/>
        <v/>
      </c>
      <c r="GR40" s="46" t="str">
        <f t="shared" ca="1" si="203"/>
        <v/>
      </c>
      <c r="GS40" s="436" t="str">
        <f t="shared" ca="1" si="219"/>
        <v/>
      </c>
      <c r="GT40" s="46" t="str">
        <f t="shared" ca="1" si="220"/>
        <v/>
      </c>
      <c r="GU40" s="48" t="str">
        <f t="shared" ca="1" si="230"/>
        <v/>
      </c>
      <c r="GV40" s="46" t="str">
        <f t="shared" ca="1" si="231"/>
        <v/>
      </c>
      <c r="GW40" s="427" t="str">
        <f t="shared" ca="1" si="204"/>
        <v/>
      </c>
      <c r="GX40" s="50" t="str">
        <f t="shared" ca="1" si="146"/>
        <v/>
      </c>
      <c r="GY40" s="47" t="str">
        <f t="shared" ca="1" si="205"/>
        <v/>
      </c>
      <c r="GZ40" s="432" t="str">
        <f t="shared" ca="1" si="206"/>
        <v/>
      </c>
      <c r="HA40" s="436"/>
      <c r="HB40" s="46"/>
      <c r="HC40" s="48"/>
      <c r="HD40" s="46"/>
      <c r="HE40" s="269"/>
      <c r="HF40" s="46"/>
      <c r="HG40" s="48"/>
      <c r="HH40" s="432"/>
    </row>
    <row r="41" spans="1:216" x14ac:dyDescent="0.25">
      <c r="A41" s="58">
        <f t="shared" ca="1" si="131"/>
        <v>46935</v>
      </c>
      <c r="B41" s="6" t="str">
        <f ca="1">INDEX(MthRef[], MATCH(MONTH(Futs!$A41), MthRef[Mth], 0), 2)</f>
        <v>N</v>
      </c>
      <c r="C41" s="6">
        <f t="shared" ca="1" si="65"/>
        <v>2028</v>
      </c>
      <c r="D41" s="6" t="str">
        <f t="shared" ca="1" si="66"/>
        <v>Q328</v>
      </c>
      <c r="E41" s="6" t="str">
        <f t="shared" ca="1" si="132"/>
        <v>N8</v>
      </c>
      <c r="F41" s="10" t="e">
        <f ca="1">IFERROR(AVERAGE(_xll.BDP(F$18 &amp; $B41 &amp; RIGHT($C41, 1) &amp; " " &amp; "Comdty", "BID", "Fill=#N/A"), _xll.BDP(F$18 &amp; $B41 &amp; RIGHT($C41, 1) &amp; " " &amp; "Comdty", "ASK", "Fill=#N/A")), NA())</f>
        <v>#N/A</v>
      </c>
      <c r="G41" s="10">
        <f ca="1">IFERROR(AVERAGE(_xll.BDP(G$18 &amp; $B41 &amp; RIGHT($C41, 1) &amp; " " &amp; "Comdty", "BID", "Fill=#N/A"), _xll.BDP(G$18 &amp; $B41 &amp; RIGHT($C41, 1) &amp; " " &amp; "Comdty", "ASK", "Fill=#N/A")), NA())</f>
        <v>74.775000000000006</v>
      </c>
      <c r="H41" s="10">
        <f ca="1">IFERROR(AVERAGE(_xll.BDP(H$18 &amp; $B41 &amp; RIGHT($C41, 1) &amp; " " &amp; "Comdty", "BID", "Fill=#N/A"), _xll.BDP(H$18 &amp; $B41 &amp; RIGHT($C41, 1) &amp; " " &amp; "Comdty", "ASK", "Fill=#N/A")), NA())</f>
        <v>844.875</v>
      </c>
      <c r="I41" s="10" t="e">
        <f ca="1">IFERROR(AVERAGE(_xll.BDP(I$18 &amp; $B41 &amp; RIGHT($C41, 1) &amp; " " &amp; "Comdty", "BID", "Fill=#N/A"), _xll.BDP(I$18 &amp; $B41 &amp; RIGHT($C41, 1) &amp; " " &amp; "Comdty", "ASK", "Fill=#N/A")), NA())</f>
        <v>#N/A</v>
      </c>
      <c r="J41" s="10" t="e">
        <f ca="1">IFERROR(AVERAGE(_xll.BDP(J$18 &amp; $B41 &amp; RIGHT($C41, 1) &amp; " " &amp; "Comdty", "BID", "Fill=#N/A"), _xll.BDP(J$18 &amp; $B41 &amp; RIGHT($C41, 1) &amp; " " &amp; "Comdty", "ASK", "Fill=#N/A")), NA())</f>
        <v>#N/A</v>
      </c>
      <c r="K41" s="10" t="e">
        <f ca="1">IFERROR(AVERAGE(_xll.BDP(K$18 &amp; $B41 &amp; RIGHT($C41, 2) &amp; " " &amp; "Comdty", "BID", "Fill=#N/A"), _xll.BDP(K$18 &amp; $B41 &amp; RIGHT($C41, 2) &amp; " " &amp; "Comdty", "ASK", "Fill=#N/A")), NA())</f>
        <v>#N/A</v>
      </c>
      <c r="L41" s="10" t="e">
        <f ca="1">IFERROR(AVERAGE(_xll.BDP(L$18 &amp; $B41 &amp; RIGHT($C41, 2) &amp; " " &amp; "Comdty", "BID", "Fill=#N/A"), _xll.BDP(L$18 &amp; $B41 &amp; RIGHT($C41, 2) &amp; " " &amp; "Comdty", "ASK", "Fill=#N/A")), NA())</f>
        <v>#N/A</v>
      </c>
      <c r="M41" s="10" t="e">
        <f ca="1">IFERROR(AVERAGE(_xll.BDP(M$18 &amp; $B41 &amp; RIGHT($C41, 2) &amp; " " &amp; "Comdty", "BID", "Fill=#N/A"), _xll.BDP(M$18 &amp; $B41 &amp; RIGHT($C41, 2) &amp; " " &amp; "Comdty", "ASK", "Fill=#N/A")), NA())</f>
        <v>#N/A</v>
      </c>
      <c r="N41" s="10">
        <f ca="1">IFERROR(AVERAGE(_xll.BDP(N$18 &amp; $B40 &amp; RIGHT($C40, 1) &amp; N$18 &amp; $B41 &amp; RIGHT($C41, 1) &amp; " " &amp; "Comdty", "BID", "Fill=#N/A"), _xll.BDP(N$18 &amp; $B40 &amp; RIGHT($C40, 1) &amp; N$18 &amp; $B41 &amp; RIGHT($C41, 1) &amp; " " &amp; "Comdty", "ASK", "Fill=#N/A")), NA())</f>
        <v>0.23499999999999999</v>
      </c>
      <c r="O41" s="10">
        <f ca="1">IFERROR(AVERAGE(_xll.BDP(O$18 &amp; $B40 &amp; RIGHT($C40, 1) &amp; O$18 &amp; $B41 &amp; RIGHT($C41, 1) &amp; " " &amp; "Comdty", "BID", "Fill=#N/A"), _xll.BDP(O$18 &amp; $B40 &amp; RIGHT($C40, 1) &amp; O$18 &amp; $B41 &amp; RIGHT($C41, 1) &amp; " " &amp; "Comdty", "ASK", "Fill=#N/A")), NA())</f>
        <v>0.26500000000000001</v>
      </c>
      <c r="P41" s="10">
        <f ca="1">IFERROR(AVERAGE(_xll.BDP(P$18 &amp; $B40 &amp; RIGHT($C40, 1) &amp; P$18 &amp; $B41 &amp; RIGHT($C41, 1) &amp; " " &amp; "Comdty", "BID", "Fill=#N/A"), _xll.BDP(P$18 &amp; $B40 &amp; RIGHT($C40, 1) &amp; P$18 &amp; $B41 &amp; RIGHT($C41, 1) &amp; " " &amp; "Comdty", "ASK", "Fill=#N/A")), NA())</f>
        <v>8.125</v>
      </c>
      <c r="Q41" s="10">
        <f ca="1">IFERROR(AVERAGE(_xll.BDP(Q$18 &amp; $B40 &amp; RIGHT($C40, 1) &amp; Q$18 &amp; $B41 &amp; RIGHT($C41, 1) &amp; " " &amp; "Comdty", "BID", "Fill=#N/A"), _xll.BDP(Q$18 &amp; $B40 &amp; RIGHT($C40, 1) &amp; Q$18 &amp; $B41 &amp; RIGHT($C41, 1) &amp; " " &amp; "Comdty", "ASK", "Fill=#N/A")), NA())</f>
        <v>1.9950000000000001</v>
      </c>
      <c r="R41" s="10">
        <f ca="1">IFERROR(AVERAGE(_xll.BDP(R$18 &amp; $B40 &amp; RIGHT($C40, 1) &amp; R$18 &amp; $B41 &amp; RIGHT($C41, 1) &amp; " " &amp; "Comdty", "BID", "Fill=#N/A"), _xll.BDP(R$18 &amp; $B40 &amp; RIGHT($C40, 1) &amp; R$18 &amp; $B41 &amp; RIGHT($C41, 1) &amp; " " &amp; "Comdty", "ASK", "Fill=#N/A")), NA())</f>
        <v>2.2949999999999999</v>
      </c>
      <c r="S41" s="10" t="e">
        <f ca="1">IFERROR(AVERAGE(_xll.BDP(S$18 &amp; $B40 &amp; RIGHT($C40, 1) &amp; $B41 &amp; RIGHT($C41, 1) &amp; " " &amp; "Comdty", "BID", "Fill=#N/A"), _xll.BDP(S$18 &amp; $B40 &amp; RIGHT($C40, 1) &amp; $B41 &amp; RIGHT($C41, 1) &amp; " " &amp; "Comdty", "ASK", "Fill=#N/A")), NA())</f>
        <v>#N/A</v>
      </c>
      <c r="T41" s="10" t="e">
        <f ca="1">IFERROR(AVERAGE(_xll.BDP(T$18 &amp; $B40 &amp; RIGHT($C40, 1) &amp; $B41 &amp; RIGHT($C41, 1) &amp; " " &amp; "Comdty", "BID", "Fill=#N/A"), _xll.BDP(T$18 &amp; $B40 &amp; RIGHT($C40, 1) &amp; $B41 &amp; RIGHT($C41, 1) &amp; " " &amp; "Comdty", "ASK", "Fill=#N/A")), NA())</f>
        <v>#N/A</v>
      </c>
      <c r="U41" s="10">
        <f ca="1">IF($A41 &lt; Diagnostics!$B$3, N41, INDEX(ImpSprd[], MATCH(Futs!$C41, ImpSprd[Yr], 0), MATCH(U$18, ImpSprd[#Headers], 0)))</f>
        <v>0.26863636363636362</v>
      </c>
      <c r="V41" s="10">
        <f ca="1">IF($A41 &lt; Diagnostics!$B$3, O41, INDEX(ImpSprd[], MATCH(Futs!$C41, ImpSprd[Yr], 0), MATCH(V$18, ImpSprd[#Headers], 0)))</f>
        <v>0.30454545454545451</v>
      </c>
      <c r="W41" s="10">
        <f ca="1">IF($A41 &lt; Diagnostics!$B$3, P41, INDEX(ImpSprd[], MATCH(Futs!$C41, ImpSprd[Yr], 0), MATCH(W$18, ImpSprd[#Headers], 0)))</f>
        <v>9.295454545454545</v>
      </c>
      <c r="X41" s="31">
        <f ca="1">INDEX(Expi[], MATCH($A41, Expi[Date], 0), MATCH(X$18, Expi[#Headers], 0))</f>
        <v>46954</v>
      </c>
      <c r="Y41" s="31">
        <f ca="1">INDEX(Expi[], MATCH($A41, Expi[Date], 0), MATCH(Y$18, Expi[#Headers], 0))</f>
        <v>46965</v>
      </c>
      <c r="Z41" s="31">
        <f ca="1">INDEX(Expi[], MATCH($A41, Expi[Date], 0), MATCH(Z$18, Expi[#Headers], 0))</f>
        <v>46946</v>
      </c>
      <c r="AA41" s="31">
        <f ca="1">INDEX(Expi[], MATCH($A41, Expi[Date], 0), MATCH(AA$18, Expi[#Headers], 0))</f>
        <v>46965</v>
      </c>
      <c r="AB41" s="31">
        <f ca="1">INDEX(Expi[], MATCH($A41, Expi[Date], 0), MATCH(AB$18, Expi[#Headers], 0))</f>
        <v>46965</v>
      </c>
      <c r="AC41" s="31">
        <f ca="1">INDEX(Expi[], MATCH($A41, Expi[Date], 0), MATCH(AC$18, Expi[#Headers], 0))</f>
        <v>46965</v>
      </c>
      <c r="AD41" s="7">
        <f ca="1">NETWORKDAYS($A41, EOMONTH($A41, 0), Hols[CME])</f>
        <v>21</v>
      </c>
      <c r="AE41" s="7">
        <f ca="1">NETWORKDAYS($A41, EOMONTH($A41, 0), Hols[ICE])</f>
        <v>21</v>
      </c>
      <c r="AF41" s="7">
        <f ca="1">NETWORKDAYS($A41, EOMONTH($A41, 0), Hols[ICE])</f>
        <v>21</v>
      </c>
      <c r="AG41" s="7">
        <f ca="1">NETWORKDAYS($A41, EOMONTH($A41, 0), Hols[CME])</f>
        <v>21</v>
      </c>
      <c r="AH41" s="7">
        <f ca="1">NETWORKDAYS($A41, EOMONTH($A41, 0), Hols[CME])</f>
        <v>21</v>
      </c>
      <c r="AI41" s="7">
        <f ca="1">NETWORKDAYS($A41, EOMONTH($A41, 0), Hols[ICE])</f>
        <v>21</v>
      </c>
      <c r="AJ41" s="7">
        <f ca="1">NETWORKDAYS($A41, X41, Hols[CME])</f>
        <v>14</v>
      </c>
      <c r="AK41" s="7">
        <f ca="1">NETWORKDAYS($A41, Y41, Hols[ICE]) - 1</f>
        <v>20</v>
      </c>
      <c r="AL41" s="7">
        <f ca="1">NETWORKDAYS($A41, Z41, Hols[ICE]) - 1</f>
        <v>7</v>
      </c>
      <c r="AM41" s="7">
        <f ca="1">NETWORKDAYS($A41, AA41, Hols[CME])</f>
        <v>21</v>
      </c>
      <c r="AN41" s="7">
        <f ca="1">NETWORKDAYS($A41, AB41, Hols[CME])</f>
        <v>21</v>
      </c>
      <c r="AO41" s="7">
        <f ca="1">NETWORKDAYS($A41, AC41, Hols[ICE]) - 1</f>
        <v>20</v>
      </c>
      <c r="AP41" s="10">
        <f t="shared" ca="1" si="67"/>
        <v>0.66666666666666663</v>
      </c>
      <c r="AQ41" s="10">
        <f t="shared" ca="1" si="68"/>
        <v>0.95238095238095233</v>
      </c>
      <c r="AR41" s="10">
        <f t="shared" ca="1" si="69"/>
        <v>0.33333333333333331</v>
      </c>
      <c r="AS41" s="10">
        <f t="shared" ca="1" si="70"/>
        <v>1</v>
      </c>
      <c r="AT41" s="10">
        <f t="shared" ca="1" si="71"/>
        <v>1</v>
      </c>
      <c r="AU41" s="10">
        <f t="shared" ca="1" si="71"/>
        <v>0.95238095238095233</v>
      </c>
      <c r="AV41" s="28">
        <f ca="1">IFERROR(AVERAGE(_xll.BDH(AV$18 &amp; $B41 &amp; RIGHT($C41, 1) &amp; " " &amp; "Comdty", "PX_SETTLE", AV$16, AV$16, "Fill=#N/A")), IFERROR(AVERAGE(_xll.BDH(AV$18 &amp; $B41 &amp; RIGHT($C41, 2) &amp; " " &amp; "Comdty", "PX_SETTLE", AV$16, AV$16, "Fill=#N/A")), NA()))</f>
        <v>69.47</v>
      </c>
      <c r="AW41" s="28">
        <f ca="1">IFERROR(AVERAGE(_xll.BDH(AW$18 &amp; $B41 &amp; RIGHT($C41, 1) &amp; " " &amp; "Comdty", "PX_SETTLE", AW$16, AW$16, "Fill=#N/A")), IFERROR(AVERAGE(_xll.BDH(AW$18 &amp; $B41 &amp; RIGHT($C41, 2) &amp; " " &amp; "Comdty", "PX_SETTLE", AW$16, AW$16, "Fill=#N/A")), NA()))</f>
        <v>74.73</v>
      </c>
      <c r="AX41" s="29">
        <f ca="1">IFERROR(AVERAGE(_xll.BDH(AX$18 &amp; $B41 &amp; RIGHT($C41, 2) &amp; " " &amp; "Comdty", "FAIR_VALUE_SNAPSHOT_AT_1430", AX$16, AX$16, "TIME_ZONE_OVERRIDE=13", "Fill=#N/A")), NA())</f>
        <v>851.5</v>
      </c>
      <c r="AY41" s="28">
        <f ca="1">IFERROR(AVERAGE(_xll.BDH(AY$18 &amp; $B41 &amp; RIGHT($C41, 1) &amp; " " &amp; "Comdty", "PX_SETTLE", AY$16, AY$16, "Fill=#N/A")), NA())</f>
        <v>301.83999999999997</v>
      </c>
      <c r="AZ41" s="28">
        <f ca="1">IFERROR(AVERAGE(_xll.BDH(AZ$18 &amp; $B41 &amp; RIGHT($C41, 1) &amp; " " &amp; "Comdty", "PX_SETTLE", AZ$16, AZ$16, "Fill=#N/A")), NA())</f>
        <v>243.34</v>
      </c>
      <c r="BA41" s="29" t="e">
        <f ca="1">IFERROR(AVERAGE(_xll.BDH(BA$18 &amp; $B41 &amp; RIGHT($C41, 2) &amp; " " &amp; "Comdty", "PX_SETTLE", BA$16, BA$16, "Fill=#N/A")), IFERROR(AVERAGE(_xll.BDH(BA$18 &amp; $B41 &amp; RIGHT($C41, 2) &amp; " " &amp; "Comdty", "PX_SETTLE", BA$16, BA$16, "Fill=#N/A")), NA()))</f>
        <v>#N/A</v>
      </c>
      <c r="BB41" s="29">
        <f ca="1">IFERROR(AVERAGE(_xll.BDH(BB$18 &amp; $B41 &amp; RIGHT($C41, 2) &amp; " " &amp; "Comdty", "PX_SETTLE", BB$16, BB$16, "Fill=#N/A")), IFERROR(AVERAGE(_xll.BDH(BB$18 &amp; $B41 &amp; RIGHT($C41, 2) &amp; " " &amp; "Comdty", "PX_SETTLE", BB$16, BB$16, "Fill=#N/A")), NA()))</f>
        <v>75.430000000000007</v>
      </c>
      <c r="BC41" s="29" t="e">
        <f ca="1">IFERROR(AVERAGE(_xll.BDH(BC$18 &amp; $B41 &amp; RIGHT($C41, 2) &amp; " " &amp; "Comdty", "PX_SETTLE", BC$16, BC$16, "Fill=#N/A")), IFERROR(AVERAGE(_xll.BDH(BC$18 &amp; $B41 &amp; RIGHT($C41, 2) &amp; " " &amp; "Comdty", "PX_SETTLE", BC$16, BC$16, "Fill=#N/A")), NA()))</f>
        <v>#N/A</v>
      </c>
      <c r="BD41" s="29" t="e">
        <f>NA()</f>
        <v>#N/A</v>
      </c>
      <c r="BE41" s="109">
        <f t="shared" ca="1" si="209"/>
        <v>69.594545454545468</v>
      </c>
      <c r="BF41" s="46">
        <f t="shared" ca="1" si="72"/>
        <v>0.12454545454546917</v>
      </c>
      <c r="BG41" s="47">
        <f t="shared" ca="1" si="151"/>
        <v>0.2686363636363609</v>
      </c>
      <c r="BH41" s="114">
        <f t="shared" ca="1" si="223"/>
        <v>58.596136363636361</v>
      </c>
      <c r="BI41" s="110">
        <f t="shared" ca="1" si="224"/>
        <v>74.793181818181878</v>
      </c>
      <c r="BJ41" s="46">
        <f t="shared" ca="1" si="73"/>
        <v>6.3181818181874405E-2</v>
      </c>
      <c r="BK41" s="48">
        <f t="shared" ca="1" si="225"/>
        <v>0.30454545454544757</v>
      </c>
      <c r="BL41" s="114">
        <f t="shared" ca="1" si="226"/>
        <v>2.4545454545446432E-2</v>
      </c>
      <c r="BM41" s="48">
        <f t="shared" ca="1" si="152"/>
        <v>853.18181818181847</v>
      </c>
      <c r="BN41" s="46">
        <f t="shared" ca="1" si="74"/>
        <v>1.6818181818184712</v>
      </c>
      <c r="BO41" s="47">
        <f t="shared" ca="1" si="210"/>
        <v>9.2954545454545041</v>
      </c>
      <c r="BP41" s="46">
        <f t="shared" ca="1" si="133"/>
        <v>1.5454545454545041</v>
      </c>
      <c r="BQ41" s="110">
        <f t="shared" ca="1" si="211"/>
        <v>300.77499999999998</v>
      </c>
      <c r="BR41" s="46">
        <f t="shared" ca="1" si="75"/>
        <v>-1.0649999999999977</v>
      </c>
      <c r="BS41" s="47">
        <f t="shared" ca="1" si="153"/>
        <v>1.9950000000000045</v>
      </c>
      <c r="BT41" s="114">
        <f t="shared" ca="1" si="154"/>
        <v>-0.16500000000002046</v>
      </c>
      <c r="BU41" s="48">
        <f t="shared" ca="1" si="212"/>
        <v>243.65999999999997</v>
      </c>
      <c r="BV41" s="46">
        <f t="shared" ca="1" si="76"/>
        <v>0.31999999999996476</v>
      </c>
      <c r="BW41" s="47">
        <f t="shared" ca="1" si="155"/>
        <v>2.2949999999999875</v>
      </c>
      <c r="BX41" s="46">
        <f t="shared" ca="1" si="156"/>
        <v>0.26499999999998636</v>
      </c>
      <c r="BY41" s="140">
        <f t="shared" ca="1" si="134"/>
        <v>69.236363636363649</v>
      </c>
      <c r="BZ41" s="46">
        <f t="shared" ca="1" si="135"/>
        <v>9.3030303030322628E-2</v>
      </c>
      <c r="CA41" s="47">
        <f t="shared" ca="1" si="157"/>
        <v>0.26049586776859712</v>
      </c>
      <c r="CB41" s="46">
        <f t="shared" ca="1" si="158"/>
        <v>2.4738292011015309E-2</v>
      </c>
      <c r="CC41" s="141">
        <f t="shared" ca="1" si="136"/>
        <v>74.169588744588808</v>
      </c>
      <c r="CD41" s="50">
        <f t="shared" ca="1" si="137"/>
        <v>-3.8982683982608603E-2</v>
      </c>
      <c r="CE41" s="47">
        <f t="shared" ca="1" si="159"/>
        <v>0.30520464384102297</v>
      </c>
      <c r="CF41" s="46">
        <f t="shared" ca="1" si="160"/>
        <v>5.5139708776065666E-2</v>
      </c>
      <c r="CG41" s="141">
        <f t="shared" ca="1" si="138"/>
        <v>846.98484848484884</v>
      </c>
      <c r="CH41" s="50">
        <f t="shared" ca="1" si="139"/>
        <v>-0.18181818181786502</v>
      </c>
      <c r="CI41" s="47">
        <f t="shared" ca="1" si="161"/>
        <v>9.1546143250687919</v>
      </c>
      <c r="CJ41" s="46">
        <f t="shared" ca="1" si="162"/>
        <v>2.3553719008264058</v>
      </c>
      <c r="CK41" s="141">
        <f t="shared" ca="1" si="140"/>
        <v>299.46499999999997</v>
      </c>
      <c r="CL41" s="50">
        <f t="shared" ca="1" si="77"/>
        <v>-1.0150000000000432</v>
      </c>
      <c r="CM41" s="47">
        <f t="shared" ca="1" si="163"/>
        <v>1.3100000000000023</v>
      </c>
      <c r="CN41" s="46">
        <f t="shared" ca="1" si="164"/>
        <v>-4.9999999999954525E-2</v>
      </c>
      <c r="CO41" s="141">
        <f t="shared" ca="1" si="141"/>
        <v>241.64999999999998</v>
      </c>
      <c r="CP41" s="50">
        <f t="shared" ca="1" si="78"/>
        <v>0.56999999999996476</v>
      </c>
      <c r="CQ41" s="47">
        <f t="shared" ca="1" si="165"/>
        <v>2.0099999999999909</v>
      </c>
      <c r="CR41" s="46">
        <f t="shared" ca="1" si="166"/>
        <v>-0.25</v>
      </c>
      <c r="CS41" s="109">
        <f t="shared" ca="1" si="79"/>
        <v>-5.1986363636364104</v>
      </c>
      <c r="CT41" s="46">
        <f t="shared" ca="1" si="80"/>
        <v>6.1363636363594765E-2</v>
      </c>
      <c r="CU41" s="47">
        <f t="shared" ca="1" si="167"/>
        <v>-3.5909090909086672E-2</v>
      </c>
      <c r="CV41" s="46">
        <f t="shared" ca="1" si="168"/>
        <v>0</v>
      </c>
      <c r="CW41" s="110">
        <f t="shared" ca="1" si="142"/>
        <v>-4.9332251082251588</v>
      </c>
      <c r="CX41" s="46">
        <f t="shared" ca="1" si="81"/>
        <v>0.13201298701293124</v>
      </c>
      <c r="CY41" s="47">
        <f t="shared" ca="1" si="169"/>
        <v>-4.4708776072425849E-2</v>
      </c>
      <c r="CZ41" s="46">
        <f t="shared" ca="1" si="170"/>
        <v>-3.0401416765050371E-2</v>
      </c>
      <c r="DA41" s="109">
        <f t="shared" ca="1" si="82"/>
        <v>39.72786760219644</v>
      </c>
      <c r="DB41" s="46">
        <f t="shared" ca="1" si="83"/>
        <v>0.16256558877362509</v>
      </c>
      <c r="DC41" s="47">
        <f t="shared" ca="1" si="171"/>
        <v>0.9431665649786396</v>
      </c>
      <c r="DD41" s="46">
        <f t="shared" ca="1" si="233"/>
        <v>0.18289810860280914</v>
      </c>
      <c r="DE41" s="110">
        <f t="shared" ca="1" si="84"/>
        <v>51.532318181818113</v>
      </c>
      <c r="DF41" s="46">
        <f t="shared" ca="1" si="85"/>
        <v>-0.51048181818187344</v>
      </c>
      <c r="DG41" s="47">
        <f t="shared" ca="1" si="172"/>
        <v>0.53335454545455718</v>
      </c>
      <c r="DH41" s="46">
        <f t="shared" ca="1" si="173"/>
        <v>-9.3845454545455009E-2</v>
      </c>
      <c r="DI41" s="110">
        <f t="shared" ca="1" si="86"/>
        <v>27.544018181818117</v>
      </c>
      <c r="DJ41" s="46">
        <f t="shared" ca="1" si="87"/>
        <v>7.1218181818110793E-2</v>
      </c>
      <c r="DK41" s="47">
        <f t="shared" ca="1" si="174"/>
        <v>0.65935454545454775</v>
      </c>
      <c r="DL41" s="46">
        <f t="shared" ca="1" si="175"/>
        <v>8.6754545454547832E-2</v>
      </c>
      <c r="DM41" s="110">
        <f t="shared" ca="1" si="88"/>
        <v>56.730954545454523</v>
      </c>
      <c r="DN41" s="46">
        <f t="shared" ca="1" si="89"/>
        <v>-0.5718454545454682</v>
      </c>
      <c r="DO41" s="47">
        <f t="shared" ca="1" si="176"/>
        <v>0.56926363636364385</v>
      </c>
      <c r="DP41" s="47">
        <f t="shared" ca="1" si="177"/>
        <v>-58.665436363636374</v>
      </c>
      <c r="DQ41" s="110">
        <f t="shared" ca="1" si="90"/>
        <v>32.742654545454528</v>
      </c>
      <c r="DR41" s="46">
        <f t="shared" ca="1" si="91"/>
        <v>9.8545454545160283E-3</v>
      </c>
      <c r="DS41" s="47">
        <f t="shared" ca="1" si="178"/>
        <v>0.69526363636363442</v>
      </c>
      <c r="DT41" s="47">
        <f t="shared" ca="1" si="179"/>
        <v>-58.484836363636369</v>
      </c>
      <c r="DU41" s="109">
        <f t="shared" ca="1" si="92"/>
        <v>39.519652662773453</v>
      </c>
      <c r="DV41" s="46">
        <f t="shared" ca="1" si="93"/>
        <v>1.457755890638511E-2</v>
      </c>
      <c r="DW41" s="47">
        <f t="shared" ca="1" si="180"/>
        <v>0.92360264811451032</v>
      </c>
      <c r="DX41" s="47">
        <f t="shared" ca="1" si="181"/>
        <v>0.26101759334828412</v>
      </c>
      <c r="DY41" s="110">
        <f t="shared" ca="1" si="94"/>
        <v>51.60571125541118</v>
      </c>
      <c r="DZ41" s="46">
        <f t="shared" ca="1" si="95"/>
        <v>-0.38731731601740954</v>
      </c>
      <c r="EA41" s="47">
        <f t="shared" ca="1" si="182"/>
        <v>0.24499535615898083</v>
      </c>
      <c r="EB41" s="47">
        <f t="shared" ca="1" si="183"/>
        <v>-7.6139708776046533E-2</v>
      </c>
      <c r="EC41" s="110">
        <f t="shared" ca="1" si="96"/>
        <v>27.323411255411187</v>
      </c>
      <c r="ED41" s="46">
        <f t="shared" ca="1" si="97"/>
        <v>0.2783826839825938</v>
      </c>
      <c r="EE41" s="47">
        <f t="shared" ca="1" si="184"/>
        <v>0.53899535615897776</v>
      </c>
      <c r="EF41" s="47">
        <f t="shared" ca="1" si="185"/>
        <v>-0.16013970877606568</v>
      </c>
      <c r="EG41" s="110">
        <f t="shared" ca="1" si="98"/>
        <v>56.538936363636338</v>
      </c>
      <c r="EH41" s="46">
        <f t="shared" ca="1" si="99"/>
        <v>-0.51933030303034078</v>
      </c>
      <c r="EI41" s="47">
        <f t="shared" ca="1" si="186"/>
        <v>0.28970413223140667</v>
      </c>
      <c r="EJ41" s="47">
        <f t="shared" ca="1" si="187"/>
        <v>-4.5738292010996218E-2</v>
      </c>
      <c r="EK41" s="110">
        <f t="shared" ca="1" si="100"/>
        <v>32.256636363636346</v>
      </c>
      <c r="EL41" s="46">
        <f t="shared" ca="1" si="101"/>
        <v>0.14636969696966257</v>
      </c>
      <c r="EM41" s="47">
        <f t="shared" ca="1" si="188"/>
        <v>0.58370413223140361</v>
      </c>
      <c r="EN41" s="47">
        <f t="shared" ca="1" si="189"/>
        <v>-0.1297382920110153</v>
      </c>
      <c r="EO41" s="109">
        <f t="shared" ca="1" si="102"/>
        <v>28.105834713384922</v>
      </c>
      <c r="EP41" s="46">
        <f t="shared" ca="1" si="103"/>
        <v>-1.6024938260845203</v>
      </c>
      <c r="EQ41" s="47">
        <f t="shared" ca="1" si="190"/>
        <v>-0.97574290362877036</v>
      </c>
      <c r="ER41" s="47">
        <f t="shared" ca="1" si="191"/>
        <v>-0.65891324559110531</v>
      </c>
      <c r="ES41" s="110">
        <f t="shared" ca="1" si="104"/>
        <v>28.77632998247077</v>
      </c>
      <c r="ET41" s="46">
        <f t="shared" ca="1" si="105"/>
        <v>-0.95689255934236828</v>
      </c>
      <c r="EU41" s="47">
        <f t="shared" ca="1" si="192"/>
        <v>-1.6157316475132006</v>
      </c>
      <c r="EV41" s="47">
        <f t="shared" ca="1" si="193"/>
        <v>-0.80275548124840634</v>
      </c>
      <c r="EW41" s="109">
        <f t="shared" ca="1" si="106"/>
        <v>-57.115000000000009</v>
      </c>
      <c r="EX41" s="46">
        <f t="shared" ca="1" si="107"/>
        <v>1.3849999999999625</v>
      </c>
      <c r="EY41" s="47">
        <f t="shared" ca="1" si="194"/>
        <v>0.29999999999998295</v>
      </c>
      <c r="EZ41" s="47">
        <f t="shared" ca="1" si="195"/>
        <v>0.43000000000000682</v>
      </c>
      <c r="FA41" s="110">
        <f t="shared" ca="1" si="108"/>
        <v>-57.814999999999998</v>
      </c>
      <c r="FB41" s="46">
        <f t="shared" ca="1" si="109"/>
        <v>1.585000000000008</v>
      </c>
      <c r="FC41" s="47">
        <f t="shared" ca="1" si="196"/>
        <v>0.69999999999998863</v>
      </c>
      <c r="FD41" s="47">
        <f t="shared" ca="1" si="197"/>
        <v>-0.20000000000004547</v>
      </c>
      <c r="FE41" s="109">
        <f t="shared" ca="1" si="110"/>
        <v>44.736804545454525</v>
      </c>
      <c r="FF41" s="46">
        <f t="shared" ca="1" si="111"/>
        <v>-0.28099545454547609</v>
      </c>
      <c r="FG41" s="110">
        <f t="shared" ca="1" si="112"/>
        <v>40.738754545454526</v>
      </c>
      <c r="FH41" s="46">
        <f t="shared" ca="1" si="113"/>
        <v>-0.18404545454547871</v>
      </c>
      <c r="FI41" s="110">
        <f t="shared" ca="1" si="114"/>
        <v>39.538168181818115</v>
      </c>
      <c r="FJ41" s="46">
        <f t="shared" ca="1" si="115"/>
        <v>-0.21963181818188132</v>
      </c>
      <c r="FK41" s="110">
        <f t="shared" ca="1" si="116"/>
        <v>35.540118181818116</v>
      </c>
      <c r="FL41" s="46">
        <f t="shared" ca="1" si="117"/>
        <v>-0.12268181818188395</v>
      </c>
      <c r="FM41" s="110">
        <f t="shared" ca="1" si="118"/>
        <v>44.397786363636342</v>
      </c>
      <c r="FN41" s="46">
        <f t="shared" ca="1" si="119"/>
        <v>-0.18648030303033911</v>
      </c>
      <c r="FO41" s="110">
        <f t="shared" ca="1" si="120"/>
        <v>40.350736363636344</v>
      </c>
      <c r="FP41" s="46">
        <f t="shared" ca="1" si="121"/>
        <v>-7.5530303030338544E-2</v>
      </c>
      <c r="FQ41" s="110">
        <f t="shared" ca="1" si="122"/>
        <v>39.464561255411184</v>
      </c>
      <c r="FR41" s="46">
        <f t="shared" ca="1" si="123"/>
        <v>-5.4467316017407869E-2</v>
      </c>
      <c r="FS41" s="110">
        <f t="shared" ca="1" si="124"/>
        <v>35.417511255411185</v>
      </c>
      <c r="FT41" s="111">
        <f t="shared" ca="1" si="125"/>
        <v>5.6482683982592707E-2</v>
      </c>
      <c r="FU41" s="109" t="str">
        <f t="shared" ca="1" si="232"/>
        <v/>
      </c>
      <c r="FV41" s="46" t="str">
        <f t="shared" ca="1" si="213"/>
        <v/>
      </c>
      <c r="FW41" s="48" t="str">
        <f t="shared" ca="1" si="227"/>
        <v/>
      </c>
      <c r="FX41" s="114" t="str">
        <f t="shared" ca="1" si="228"/>
        <v/>
      </c>
      <c r="FY41" s="110" t="str">
        <f t="shared" ca="1" si="214"/>
        <v/>
      </c>
      <c r="FZ41" s="46" t="str">
        <f t="shared" ca="1" si="215"/>
        <v/>
      </c>
      <c r="GA41" s="47" t="str">
        <f t="shared" ca="1" si="216"/>
        <v/>
      </c>
      <c r="GB41" s="46" t="str">
        <f t="shared" ca="1" si="229"/>
        <v/>
      </c>
      <c r="GC41" s="110" t="str">
        <f ca="1">IFERROR(IF(AND(ISNUMBER($FU41), ISNUMBER(Crd!$X41)), $FU41 - Crd!$X41, ""), "")</f>
        <v/>
      </c>
      <c r="GD41" s="46" t="str">
        <f ca="1">IFERROR(IF(AND(ISNUMBER($FV41), ISNUMBER(Crd!$Y41)), $FV41 - Crd!$Y41, ""), "")</f>
        <v/>
      </c>
      <c r="GE41" s="47" t="str">
        <f t="shared" ca="1" si="217"/>
        <v/>
      </c>
      <c r="GF41" s="46" t="str">
        <f t="shared" ca="1" si="218"/>
        <v/>
      </c>
      <c r="GG41" s="141" t="str">
        <f t="shared" ca="1" si="198"/>
        <v/>
      </c>
      <c r="GH41" s="50" t="str">
        <f t="shared" ca="1" si="199"/>
        <v/>
      </c>
      <c r="GI41" s="47" t="str">
        <f t="shared" ca="1" si="144"/>
        <v/>
      </c>
      <c r="GJ41" s="46" t="str">
        <f t="shared" ca="1" si="145"/>
        <v/>
      </c>
      <c r="GK41" s="110" t="str">
        <f t="shared" ca="1" si="127"/>
        <v/>
      </c>
      <c r="GL41" s="46" t="str">
        <f t="shared" ca="1" si="128"/>
        <v/>
      </c>
      <c r="GM41" s="47" t="str">
        <f t="shared" ca="1" si="200"/>
        <v/>
      </c>
      <c r="GN41" s="46" t="str">
        <f t="shared" ca="1" si="201"/>
        <v/>
      </c>
      <c r="GO41" s="110" t="str">
        <f ca="1">IFERROR(IF(AND(ISNUMBER($GG41), ISNUMBER(Crd!$X41)), $GG41 - Crd!$X41, ""), "")</f>
        <v/>
      </c>
      <c r="GP41" s="46" t="str">
        <f ca="1">IFERROR(IF(AND(ISNUMBER($GH41), ISNUMBER(Crd!$Y41)), $GH41 - Crd!$Y41, ""), "")</f>
        <v/>
      </c>
      <c r="GQ41" s="47" t="str">
        <f t="shared" ca="1" si="202"/>
        <v/>
      </c>
      <c r="GR41" s="46" t="str">
        <f t="shared" ca="1" si="203"/>
        <v/>
      </c>
      <c r="GS41" s="436" t="str">
        <f t="shared" ca="1" si="219"/>
        <v/>
      </c>
      <c r="GT41" s="46" t="str">
        <f t="shared" ca="1" si="220"/>
        <v/>
      </c>
      <c r="GU41" s="48" t="str">
        <f t="shared" ca="1" si="230"/>
        <v/>
      </c>
      <c r="GV41" s="46" t="str">
        <f t="shared" ca="1" si="231"/>
        <v/>
      </c>
      <c r="GW41" s="427" t="str">
        <f t="shared" ca="1" si="204"/>
        <v/>
      </c>
      <c r="GX41" s="50" t="str">
        <f t="shared" ca="1" si="146"/>
        <v/>
      </c>
      <c r="GY41" s="47" t="str">
        <f t="shared" ca="1" si="205"/>
        <v/>
      </c>
      <c r="GZ41" s="432" t="str">
        <f t="shared" ca="1" si="206"/>
        <v/>
      </c>
      <c r="HA41" s="436"/>
      <c r="HB41" s="46"/>
      <c r="HC41" s="48"/>
      <c r="HD41" s="46"/>
      <c r="HE41" s="269"/>
      <c r="HF41" s="46"/>
      <c r="HG41" s="48"/>
      <c r="HH41" s="432"/>
    </row>
    <row r="42" spans="1:216" x14ac:dyDescent="0.25">
      <c r="A42" s="58">
        <f t="shared" ca="1" si="131"/>
        <v>46966</v>
      </c>
      <c r="B42" s="6" t="str">
        <f ca="1">INDEX(MthRef[], MATCH(MONTH(Futs!$A42), MthRef[Mth], 0), 2)</f>
        <v>Q</v>
      </c>
      <c r="C42" s="6">
        <f t="shared" ca="1" si="65"/>
        <v>2028</v>
      </c>
      <c r="D42" s="6" t="str">
        <f t="shared" ca="1" si="66"/>
        <v>Q328</v>
      </c>
      <c r="E42" s="6" t="str">
        <f t="shared" ca="1" si="132"/>
        <v>Q8</v>
      </c>
      <c r="F42" s="10" t="e">
        <f ca="1">IFERROR(AVERAGE(_xll.BDP(F$18 &amp; $B42 &amp; RIGHT($C42, 1) &amp; " " &amp; "Comdty", "BID", "Fill=#N/A"), _xll.BDP(F$18 &amp; $B42 &amp; RIGHT($C42, 1) &amp; " " &amp; "Comdty", "ASK", "Fill=#N/A")), NA())</f>
        <v>#N/A</v>
      </c>
      <c r="G42" s="10">
        <f ca="1">IFERROR(AVERAGE(_xll.BDP(G$18 &amp; $B42 &amp; RIGHT($C42, 1) &amp; " " &amp; "Comdty", "BID", "Fill=#N/A"), _xll.BDP(G$18 &amp; $B42 &amp; RIGHT($C42, 1) &amp; " " &amp; "Comdty", "ASK", "Fill=#N/A")), NA())</f>
        <v>74.53</v>
      </c>
      <c r="H42" s="10">
        <f ca="1">IFERROR(AVERAGE(_xll.BDP(H$18 &amp; $B42 &amp; RIGHT($C42, 1) &amp; " " &amp; "Comdty", "BID", "Fill=#N/A"), _xll.BDP(H$18 &amp; $B42 &amp; RIGHT($C42, 1) &amp; " " &amp; "Comdty", "ASK", "Fill=#N/A")), NA())</f>
        <v>838.5</v>
      </c>
      <c r="I42" s="10" t="e">
        <f ca="1">IFERROR(AVERAGE(_xll.BDP(I$18 &amp; $B42 &amp; RIGHT($C42, 1) &amp; " " &amp; "Comdty", "BID", "Fill=#N/A"), _xll.BDP(I$18 &amp; $B42 &amp; RIGHT($C42, 1) &amp; " " &amp; "Comdty", "ASK", "Fill=#N/A")), NA())</f>
        <v>#N/A</v>
      </c>
      <c r="J42" s="10" t="e">
        <f ca="1">IFERROR(AVERAGE(_xll.BDP(J$18 &amp; $B42 &amp; RIGHT($C42, 1) &amp; " " &amp; "Comdty", "BID", "Fill=#N/A"), _xll.BDP(J$18 &amp; $B42 &amp; RIGHT($C42, 1) &amp; " " &amp; "Comdty", "ASK", "Fill=#N/A")), NA())</f>
        <v>#N/A</v>
      </c>
      <c r="K42" s="10" t="e">
        <f ca="1">IFERROR(AVERAGE(_xll.BDP(K$18 &amp; $B42 &amp; RIGHT($C42, 2) &amp; " " &amp; "Comdty", "BID", "Fill=#N/A"), _xll.BDP(K$18 &amp; $B42 &amp; RIGHT($C42, 2) &amp; " " &amp; "Comdty", "ASK", "Fill=#N/A")), NA())</f>
        <v>#N/A</v>
      </c>
      <c r="L42" s="10" t="e">
        <f ca="1">IFERROR(AVERAGE(_xll.BDP(L$18 &amp; $B42 &amp; RIGHT($C42, 2) &amp; " " &amp; "Comdty", "BID", "Fill=#N/A"), _xll.BDP(L$18 &amp; $B42 &amp; RIGHT($C42, 2) &amp; " " &amp; "Comdty", "ASK", "Fill=#N/A")), NA())</f>
        <v>#N/A</v>
      </c>
      <c r="M42" s="10" t="e">
        <f ca="1">IFERROR(AVERAGE(_xll.BDP(M$18 &amp; $B42 &amp; RIGHT($C42, 2) &amp; " " &amp; "Comdty", "BID", "Fill=#N/A"), _xll.BDP(M$18 &amp; $B42 &amp; RIGHT($C42, 2) &amp; " " &amp; "Comdty", "ASK", "Fill=#N/A")), NA())</f>
        <v>#N/A</v>
      </c>
      <c r="N42" s="10">
        <f ca="1">IFERROR(AVERAGE(_xll.BDP(N$18 &amp; $B41 &amp; RIGHT($C41, 1) &amp; N$18 &amp; $B42 &amp; RIGHT($C42, 1) &amp; " " &amp; "Comdty", "BID", "Fill=#N/A"), _xll.BDP(N$18 &amp; $B41 &amp; RIGHT($C41, 1) &amp; N$18 &amp; $B42 &amp; RIGHT($C42, 1) &amp; " " &amp; "Comdty", "ASK", "Fill=#N/A")), NA())</f>
        <v>0.23499999999999999</v>
      </c>
      <c r="O42" s="10">
        <f ca="1">IFERROR(AVERAGE(_xll.BDP(O$18 &amp; $B41 &amp; RIGHT($C41, 1) &amp; O$18 &amp; $B42 &amp; RIGHT($C42, 1) &amp; " " &amp; "Comdty", "BID", "Fill=#N/A"), _xll.BDP(O$18 &amp; $B41 &amp; RIGHT($C41, 1) &amp; O$18 &amp; $B42 &amp; RIGHT($C42, 1) &amp; " " &amp; "Comdty", "ASK", "Fill=#N/A")), NA())</f>
        <v>0.25</v>
      </c>
      <c r="P42" s="10">
        <f ca="1">IFERROR(AVERAGE(_xll.BDP(P$18 &amp; $B41 &amp; RIGHT($C41, 1) &amp; P$18 &amp; $B42 &amp; RIGHT($C42, 1) &amp; " " &amp; "Comdty", "BID", "Fill=#N/A"), _xll.BDP(P$18 &amp; $B41 &amp; RIGHT($C41, 1) &amp; P$18 &amp; $B42 &amp; RIGHT($C42, 1) &amp; " " &amp; "Comdty", "ASK", "Fill=#N/A")), NA())</f>
        <v>7.125</v>
      </c>
      <c r="Q42" s="10">
        <f ca="1">IFERROR(AVERAGE(_xll.BDP(Q$18 &amp; $B41 &amp; RIGHT($C41, 1) &amp; Q$18 &amp; $B42 &amp; RIGHT($C42, 1) &amp; " " &amp; "Comdty", "BID", "Fill=#N/A"), _xll.BDP(Q$18 &amp; $B41 &amp; RIGHT($C41, 1) &amp; Q$18 &amp; $B42 &amp; RIGHT($C42, 1) &amp; " " &amp; "Comdty", "ASK", "Fill=#N/A")), NA())</f>
        <v>1.31</v>
      </c>
      <c r="R42" s="10">
        <f ca="1">IFERROR(AVERAGE(_xll.BDP(R$18 &amp; $B41 &amp; RIGHT($C41, 1) &amp; R$18 &amp; $B42 &amp; RIGHT($C42, 1) &amp; " " &amp; "Comdty", "BID", "Fill=#N/A"), _xll.BDP(R$18 &amp; $B41 &amp; RIGHT($C41, 1) &amp; R$18 &amp; $B42 &amp; RIGHT($C42, 1) &amp; " " &amp; "Comdty", "ASK", "Fill=#N/A")), NA())</f>
        <v>2.0099999999999998</v>
      </c>
      <c r="S42" s="10" t="e">
        <f ca="1">IFERROR(AVERAGE(_xll.BDP(S$18 &amp; $B41 &amp; RIGHT($C41, 1) &amp; $B42 &amp; RIGHT($C42, 1) &amp; " " &amp; "Comdty", "BID", "Fill=#N/A"), _xll.BDP(S$18 &amp; $B41 &amp; RIGHT($C41, 1) &amp; $B42 &amp; RIGHT($C42, 1) &amp; " " &amp; "Comdty", "ASK", "Fill=#N/A")), NA())</f>
        <v>#N/A</v>
      </c>
      <c r="T42" s="10" t="e">
        <f ca="1">IFERROR(AVERAGE(_xll.BDP(T$18 &amp; $B41 &amp; RIGHT($C41, 1) &amp; $B42 &amp; RIGHT($C42, 1) &amp; " " &amp; "Comdty", "BID", "Fill=#N/A"), _xll.BDP(T$18 &amp; $B41 &amp; RIGHT($C41, 1) &amp; $B42 &amp; RIGHT($C42, 1) &amp; " " &amp; "Comdty", "ASK", "Fill=#N/A")), NA())</f>
        <v>#N/A</v>
      </c>
      <c r="U42" s="10">
        <f ca="1">IF($A42 &lt; Diagnostics!$B$3, N42, INDEX(ImpSprd[], MATCH(Futs!$C42, ImpSprd[Yr], 0), MATCH(U$18, ImpSprd[#Headers], 0)))</f>
        <v>0.26863636363636362</v>
      </c>
      <c r="V42" s="10">
        <f ca="1">IF($A42 &lt; Diagnostics!$B$3, O42, INDEX(ImpSprd[], MATCH(Futs!$C42, ImpSprd[Yr], 0), MATCH(V$18, ImpSprd[#Headers], 0)))</f>
        <v>0.30454545454545451</v>
      </c>
      <c r="W42" s="10">
        <f ca="1">IF($A42 &lt; Diagnostics!$B$3, P42, INDEX(ImpSprd[], MATCH(Futs!$C42, ImpSprd[Yr], 0), MATCH(W$18, ImpSprd[#Headers], 0)))</f>
        <v>9.295454545454545</v>
      </c>
      <c r="X42" s="31">
        <f ca="1">INDEX(Expi[], MATCH($A42, Expi[Date], 0), MATCH(X$18, Expi[#Headers], 0))</f>
        <v>46987</v>
      </c>
      <c r="Y42" s="31">
        <f ca="1">INDEX(Expi[], MATCH($A42, Expi[Date], 0), MATCH(Y$18, Expi[#Headers], 0))</f>
        <v>46996</v>
      </c>
      <c r="Z42" s="31">
        <f ca="1">INDEX(Expi[], MATCH($A42, Expi[Date], 0), MATCH(Z$18, Expi[#Headers], 0))</f>
        <v>46975</v>
      </c>
      <c r="AA42" s="31">
        <f ca="1">INDEX(Expi[], MATCH($A42, Expi[Date], 0), MATCH(AA$18, Expi[#Headers], 0))</f>
        <v>46996</v>
      </c>
      <c r="AB42" s="31">
        <f ca="1">INDEX(Expi[], MATCH($A42, Expi[Date], 0), MATCH(AB$18, Expi[#Headers], 0))</f>
        <v>46996</v>
      </c>
      <c r="AC42" s="31">
        <f ca="1">INDEX(Expi[], MATCH($A42, Expi[Date], 0), MATCH(AC$18, Expi[#Headers], 0))</f>
        <v>46996</v>
      </c>
      <c r="AD42" s="7">
        <f ca="1">NETWORKDAYS($A42, EOMONTH($A42, 0), Hols[CME])</f>
        <v>23</v>
      </c>
      <c r="AE42" s="7">
        <f ca="1">NETWORKDAYS($A42, EOMONTH($A42, 0), Hols[ICE])</f>
        <v>23</v>
      </c>
      <c r="AF42" s="7">
        <f ca="1">NETWORKDAYS($A42, EOMONTH($A42, 0), Hols[ICE])</f>
        <v>23</v>
      </c>
      <c r="AG42" s="7">
        <f ca="1">NETWORKDAYS($A42, EOMONTH($A42, 0), Hols[CME])</f>
        <v>23</v>
      </c>
      <c r="AH42" s="7">
        <f ca="1">NETWORKDAYS($A42, EOMONTH($A42, 0), Hols[CME])</f>
        <v>23</v>
      </c>
      <c r="AI42" s="7">
        <f ca="1">NETWORKDAYS($A42, EOMONTH($A42, 0), Hols[ICE])</f>
        <v>23</v>
      </c>
      <c r="AJ42" s="7">
        <f ca="1">NETWORKDAYS($A42, X42, Hols[CME])</f>
        <v>16</v>
      </c>
      <c r="AK42" s="7">
        <f ca="1">NETWORKDAYS($A42, Y42, Hols[ICE]) - 1</f>
        <v>22</v>
      </c>
      <c r="AL42" s="7">
        <f ca="1">NETWORKDAYS($A42, Z42, Hols[ICE]) - 1</f>
        <v>7</v>
      </c>
      <c r="AM42" s="7">
        <f ca="1">NETWORKDAYS($A42, AA42, Hols[CME])</f>
        <v>23</v>
      </c>
      <c r="AN42" s="7">
        <f ca="1">NETWORKDAYS($A42, AB42, Hols[CME])</f>
        <v>23</v>
      </c>
      <c r="AO42" s="7">
        <f ca="1">NETWORKDAYS($A42, AC42, Hols[ICE]) - 1</f>
        <v>22</v>
      </c>
      <c r="AP42" s="10">
        <f t="shared" ca="1" si="67"/>
        <v>0.69565217391304346</v>
      </c>
      <c r="AQ42" s="10">
        <f t="shared" ca="1" si="68"/>
        <v>0.95652173913043481</v>
      </c>
      <c r="AR42" s="10">
        <f t="shared" ca="1" si="69"/>
        <v>0.30434782608695654</v>
      </c>
      <c r="AS42" s="10">
        <f t="shared" ca="1" si="70"/>
        <v>1</v>
      </c>
      <c r="AT42" s="10">
        <f t="shared" ca="1" si="71"/>
        <v>1</v>
      </c>
      <c r="AU42" s="10">
        <f t="shared" ca="1" si="71"/>
        <v>0.95652173913043481</v>
      </c>
      <c r="AV42" s="28">
        <f ca="1">IFERROR(AVERAGE(_xll.BDH(AV$18 &amp; $B42 &amp; RIGHT($C42, 1) &amp; " " &amp; "Comdty", "PX_SETTLE", AV$16, AV$16, "Fill=#N/A")), IFERROR(AVERAGE(_xll.BDH(AV$18 &amp; $B42 &amp; RIGHT($C42, 2) &amp; " " &amp; "Comdty", "PX_SETTLE", AV$16, AV$16, "Fill=#N/A")), NA()))</f>
        <v>69.22</v>
      </c>
      <c r="AW42" s="28">
        <f ca="1">IFERROR(AVERAGE(_xll.BDH(AW$18 &amp; $B42 &amp; RIGHT($C42, 1) &amp; " " &amp; "Comdty", "PX_SETTLE", AW$16, AW$16, "Fill=#N/A")), IFERROR(AVERAGE(_xll.BDH(AW$18 &amp; $B42 &amp; RIGHT($C42, 2) &amp; " " &amp; "Comdty", "PX_SETTLE", AW$16, AW$16, "Fill=#N/A")), NA()))</f>
        <v>74.47</v>
      </c>
      <c r="AX42" s="29">
        <f ca="1">IFERROR(AVERAGE(_xll.BDH(AX$18 &amp; $B42 &amp; RIGHT($C42, 2) &amp; " " &amp; "Comdty", "FAIR_VALUE_SNAPSHOT_AT_1430", AX$16, AX$16, "TIME_ZONE_OVERRIDE=13", "Fill=#N/A")), NA())</f>
        <v>845</v>
      </c>
      <c r="AY42" s="28">
        <f ca="1">IFERROR(AVERAGE(_xll.BDH(AY$18 &amp; $B42 &amp; RIGHT($C42, 1) &amp; " " &amp; "Comdty", "PX_SETTLE", AY$16, AY$16, "Fill=#N/A")), NA())</f>
        <v>300.48</v>
      </c>
      <c r="AZ42" s="28">
        <f ca="1">IFERROR(AVERAGE(_xll.BDH(AZ$18 &amp; $B42 &amp; RIGHT($C42, 1) &amp; " " &amp; "Comdty", "PX_SETTLE", AZ$16, AZ$16, "Fill=#N/A")), NA())</f>
        <v>241.08</v>
      </c>
      <c r="BA42" s="29" t="e">
        <f ca="1">IFERROR(AVERAGE(_xll.BDH(BA$18 &amp; $B42 &amp; RIGHT($C42, 2) &amp; " " &amp; "Comdty", "PX_SETTLE", BA$16, BA$16, "Fill=#N/A")), IFERROR(AVERAGE(_xll.BDH(BA$18 &amp; $B42 &amp; RIGHT($C42, 2) &amp; " " &amp; "Comdty", "PX_SETTLE", BA$16, BA$16, "Fill=#N/A")), NA()))</f>
        <v>#N/A</v>
      </c>
      <c r="BB42" s="29">
        <f ca="1">IFERROR(AVERAGE(_xll.BDH(BB$18 &amp; $B42 &amp; RIGHT($C42, 2) &amp; " " &amp; "Comdty", "PX_SETTLE", BB$16, BB$16, "Fill=#N/A")), IFERROR(AVERAGE(_xll.BDH(BB$18 &amp; $B42 &amp; RIGHT($C42, 2) &amp; " " &amp; "Comdty", "PX_SETTLE", BB$16, BB$16, "Fill=#N/A")), NA()))</f>
        <v>75.17</v>
      </c>
      <c r="BC42" s="29" t="e">
        <f ca="1">IFERROR(AVERAGE(_xll.BDH(BC$18 &amp; $B42 &amp; RIGHT($C42, 2) &amp; " " &amp; "Comdty", "PX_SETTLE", BC$16, BC$16, "Fill=#N/A")), IFERROR(AVERAGE(_xll.BDH(BC$18 &amp; $B42 &amp; RIGHT($C42, 2) &amp; " " &amp; "Comdty", "PX_SETTLE", BC$16, BC$16, "Fill=#N/A")), NA()))</f>
        <v>#N/A</v>
      </c>
      <c r="BD42" s="29" t="e">
        <f>NA()</f>
        <v>#N/A</v>
      </c>
      <c r="BE42" s="109">
        <f t="shared" ca="1" si="209"/>
        <v>69.325909090909107</v>
      </c>
      <c r="BF42" s="46">
        <f t="shared" ca="1" si="72"/>
        <v>0.10590909090910827</v>
      </c>
      <c r="BG42" s="47">
        <f t="shared" ca="1" si="151"/>
        <v>0.2686363636363609</v>
      </c>
      <c r="BH42" s="114">
        <f t="shared" ca="1" si="223"/>
        <v>1.8636363636360898E-2</v>
      </c>
      <c r="BI42" s="110">
        <f t="shared" ca="1" si="224"/>
        <v>74.488636363636431</v>
      </c>
      <c r="BJ42" s="46">
        <f t="shared" ca="1" si="73"/>
        <v>1.8636363636431952E-2</v>
      </c>
      <c r="BK42" s="48">
        <f t="shared" ca="1" si="225"/>
        <v>0.30454545454544757</v>
      </c>
      <c r="BL42" s="114">
        <f t="shared" ca="1" si="226"/>
        <v>4.4545454545442453E-2</v>
      </c>
      <c r="BM42" s="48">
        <f t="shared" ca="1" si="152"/>
        <v>843.88636363636397</v>
      </c>
      <c r="BN42" s="46">
        <f t="shared" ca="1" si="74"/>
        <v>-1.1136363636360329</v>
      </c>
      <c r="BO42" s="47">
        <f t="shared" ca="1" si="210"/>
        <v>9.2954545454545041</v>
      </c>
      <c r="BP42" s="46">
        <f t="shared" ca="1" si="133"/>
        <v>2.7954545454545041</v>
      </c>
      <c r="BQ42" s="110">
        <f t="shared" ca="1" si="211"/>
        <v>299.46499999999997</v>
      </c>
      <c r="BR42" s="46">
        <f t="shared" ca="1" si="75"/>
        <v>-1.0150000000000432</v>
      </c>
      <c r="BS42" s="47">
        <f t="shared" ca="1" si="153"/>
        <v>1.3100000000000023</v>
      </c>
      <c r="BT42" s="114">
        <f t="shared" ca="1" si="154"/>
        <v>-4.9999999999954525E-2</v>
      </c>
      <c r="BU42" s="48">
        <f t="shared" ca="1" si="212"/>
        <v>241.64999999999998</v>
      </c>
      <c r="BV42" s="46">
        <f t="shared" ca="1" si="76"/>
        <v>0.56999999999996476</v>
      </c>
      <c r="BW42" s="47">
        <f t="shared" ca="1" si="155"/>
        <v>2.0099999999999909</v>
      </c>
      <c r="BX42" s="46">
        <f t="shared" ca="1" si="156"/>
        <v>-0.25</v>
      </c>
      <c r="BY42" s="140">
        <f t="shared" ca="1" si="134"/>
        <v>68.975513833992125</v>
      </c>
      <c r="BZ42" s="46">
        <f t="shared" ca="1" si="135"/>
        <v>4.9426877470378744E-2</v>
      </c>
      <c r="CA42" s="47">
        <f t="shared" ca="1" si="157"/>
        <v>0.26084980237152422</v>
      </c>
      <c r="CB42" s="46">
        <f t="shared" ca="1" si="158"/>
        <v>4.3603425559943884E-2</v>
      </c>
      <c r="CC42" s="141">
        <f t="shared" ca="1" si="136"/>
        <v>73.866304347826159</v>
      </c>
      <c r="CD42" s="50">
        <f t="shared" ca="1" si="137"/>
        <v>-0.10326086956513954</v>
      </c>
      <c r="CE42" s="47">
        <f t="shared" ca="1" si="159"/>
        <v>0.30328439676264907</v>
      </c>
      <c r="CF42" s="46">
        <f t="shared" ca="1" si="160"/>
        <v>6.4278185582530928E-2</v>
      </c>
      <c r="CG42" s="141">
        <f t="shared" ca="1" si="138"/>
        <v>837.4199604743086</v>
      </c>
      <c r="CH42" s="50">
        <f t="shared" ca="1" si="139"/>
        <v>-3.9278656126478619</v>
      </c>
      <c r="CI42" s="47">
        <f t="shared" ca="1" si="161"/>
        <v>9.5648880105402441</v>
      </c>
      <c r="CJ42" s="46">
        <f t="shared" ca="1" si="162"/>
        <v>3.7460474308299969</v>
      </c>
      <c r="CK42" s="141">
        <f t="shared" ca="1" si="140"/>
        <v>298.76499999999999</v>
      </c>
      <c r="CL42" s="50">
        <f t="shared" ca="1" si="77"/>
        <v>-1.2150000000000318</v>
      </c>
      <c r="CM42" s="47">
        <f t="shared" ca="1" si="163"/>
        <v>0.69999999999998863</v>
      </c>
      <c r="CN42" s="46">
        <f t="shared" ca="1" si="164"/>
        <v>0.19999999999998863</v>
      </c>
      <c r="CO42" s="141">
        <f t="shared" ca="1" si="141"/>
        <v>237.88499999999999</v>
      </c>
      <c r="CP42" s="50">
        <f t="shared" ca="1" si="78"/>
        <v>0.20499999999998408</v>
      </c>
      <c r="CQ42" s="47">
        <f t="shared" ca="1" si="165"/>
        <v>3.7649999999999864</v>
      </c>
      <c r="CR42" s="46">
        <f t="shared" ca="1" si="166"/>
        <v>0.36499999999998067</v>
      </c>
      <c r="CS42" s="109">
        <f t="shared" ca="1" si="79"/>
        <v>-5.1627272727273237</v>
      </c>
      <c r="CT42" s="46">
        <f t="shared" ca="1" si="80"/>
        <v>8.727272727267632E-2</v>
      </c>
      <c r="CU42" s="47">
        <f t="shared" ca="1" si="167"/>
        <v>-3.5909090909086672E-2</v>
      </c>
      <c r="CV42" s="46">
        <f t="shared" ca="1" si="168"/>
        <v>0</v>
      </c>
      <c r="CW42" s="110">
        <f t="shared" ca="1" si="142"/>
        <v>-4.890790513834034</v>
      </c>
      <c r="CX42" s="46">
        <f t="shared" ca="1" si="81"/>
        <v>0.1526877470355183</v>
      </c>
      <c r="CY42" s="47">
        <f t="shared" ca="1" si="169"/>
        <v>-4.2434594391124847E-2</v>
      </c>
      <c r="CZ42" s="46">
        <f t="shared" ca="1" si="170"/>
        <v>-2.0674760022587058E-2</v>
      </c>
      <c r="DA42" s="109">
        <f t="shared" ca="1" si="82"/>
        <v>38.784701037217786</v>
      </c>
      <c r="DB42" s="46">
        <f t="shared" ca="1" si="83"/>
        <v>-0.16811775472851689</v>
      </c>
      <c r="DC42" s="47">
        <f t="shared" ca="1" si="171"/>
        <v>0.94316656497865381</v>
      </c>
      <c r="DD42" s="46">
        <f t="shared" ca="1" si="233"/>
        <v>0.33068334350214201</v>
      </c>
      <c r="DE42" s="110">
        <f t="shared" ca="1" si="84"/>
        <v>51.286663636363556</v>
      </c>
      <c r="DF42" s="46">
        <f t="shared" ca="1" si="85"/>
        <v>-0.44493636363645012</v>
      </c>
      <c r="DG42" s="47">
        <f t="shared" ca="1" si="172"/>
        <v>0.24565454545455623</v>
      </c>
      <c r="DH42" s="46">
        <f t="shared" ca="1" si="173"/>
        <v>-6.5545454545423321E-2</v>
      </c>
      <c r="DI42" s="110">
        <f t="shared" ca="1" si="86"/>
        <v>27.004363636363564</v>
      </c>
      <c r="DJ42" s="46">
        <f t="shared" ca="1" si="87"/>
        <v>0.22076363636355326</v>
      </c>
      <c r="DK42" s="47">
        <f t="shared" ca="1" si="174"/>
        <v>0.53965454545455316</v>
      </c>
      <c r="DL42" s="46">
        <f t="shared" ca="1" si="175"/>
        <v>-0.14954545454544246</v>
      </c>
      <c r="DM42" s="110">
        <f t="shared" ca="1" si="88"/>
        <v>56.44939090909088</v>
      </c>
      <c r="DN42" s="46">
        <f t="shared" ca="1" si="89"/>
        <v>-0.53220909090912638</v>
      </c>
      <c r="DO42" s="47">
        <f t="shared" ca="1" si="176"/>
        <v>0.2815636363636429</v>
      </c>
      <c r="DP42" s="47">
        <f t="shared" ca="1" si="177"/>
        <v>-3.963636363634182E-2</v>
      </c>
      <c r="DQ42" s="110">
        <f t="shared" ca="1" si="90"/>
        <v>32.167090909090888</v>
      </c>
      <c r="DR42" s="46">
        <f t="shared" ca="1" si="91"/>
        <v>0.13349090909087694</v>
      </c>
      <c r="DS42" s="47">
        <f t="shared" ca="1" si="178"/>
        <v>0.57556363636363983</v>
      </c>
      <c r="DT42" s="47">
        <f t="shared" ca="1" si="179"/>
        <v>-0.12363636363636091</v>
      </c>
      <c r="DU42" s="109">
        <f t="shared" ca="1" si="92"/>
        <v>38.539059474228679</v>
      </c>
      <c r="DV42" s="46">
        <f t="shared" ca="1" si="93"/>
        <v>-0.42396941401175464</v>
      </c>
      <c r="DW42" s="47">
        <f t="shared" ca="1" si="180"/>
        <v>0.9805931885447734</v>
      </c>
      <c r="DX42" s="47">
        <f t="shared" ca="1" si="181"/>
        <v>0.43854697291813977</v>
      </c>
      <c r="DY42" s="110">
        <f t="shared" ca="1" si="94"/>
        <v>51.614995652173832</v>
      </c>
      <c r="DZ42" s="46">
        <f t="shared" ca="1" si="95"/>
        <v>-0.40703913043487389</v>
      </c>
      <c r="EA42" s="47">
        <f t="shared" ca="1" si="182"/>
        <v>-9.2843967626521362E-3</v>
      </c>
      <c r="EB42" s="47">
        <f t="shared" ca="1" si="183"/>
        <v>1.9721814417464345E-2</v>
      </c>
      <c r="EC42" s="110">
        <f t="shared" ca="1" si="96"/>
        <v>26.045395652173838</v>
      </c>
      <c r="ED42" s="46">
        <f t="shared" ca="1" si="97"/>
        <v>0.18936086956513287</v>
      </c>
      <c r="EE42" s="47">
        <f t="shared" ca="1" si="184"/>
        <v>1.2780156032373498</v>
      </c>
      <c r="EF42" s="47">
        <f t="shared" ca="1" si="185"/>
        <v>8.9021814417460932E-2</v>
      </c>
      <c r="EG42" s="110">
        <f t="shared" ca="1" si="98"/>
        <v>56.505786166007866</v>
      </c>
      <c r="EH42" s="46">
        <f t="shared" ca="1" si="99"/>
        <v>-0.55972687747039218</v>
      </c>
      <c r="EI42" s="47">
        <f t="shared" ca="1" si="186"/>
        <v>3.3150197628472711E-2</v>
      </c>
      <c r="EJ42" s="47">
        <f t="shared" ca="1" si="187"/>
        <v>4.0396574440051403E-2</v>
      </c>
      <c r="EK42" s="110">
        <f t="shared" ca="1" si="100"/>
        <v>30.936186166007872</v>
      </c>
      <c r="EL42" s="46">
        <f t="shared" ca="1" si="101"/>
        <v>3.6673122529614577E-2</v>
      </c>
      <c r="EM42" s="47">
        <f t="shared" ca="1" si="188"/>
        <v>1.3204501976284746</v>
      </c>
      <c r="EN42" s="47">
        <f t="shared" ca="1" si="189"/>
        <v>0.10969657444004799</v>
      </c>
      <c r="EO42" s="109">
        <f t="shared" ca="1" si="102"/>
        <v>29.766577617013752</v>
      </c>
      <c r="EP42" s="46">
        <f t="shared" ca="1" si="103"/>
        <v>-0.65909192597126953</v>
      </c>
      <c r="EQ42" s="47">
        <f t="shared" ca="1" si="190"/>
        <v>-1.6607429036288295</v>
      </c>
      <c r="ER42" s="47">
        <f t="shared" ca="1" si="191"/>
        <v>-0.94340190011325076</v>
      </c>
      <c r="ES42" s="110">
        <f t="shared" ca="1" si="104"/>
        <v>31.133181376059895</v>
      </c>
      <c r="ET42" s="46">
        <f t="shared" ca="1" si="105"/>
        <v>4.0310198992573376E-2</v>
      </c>
      <c r="EU42" s="47">
        <f t="shared" ca="1" si="192"/>
        <v>-2.3568513935891247</v>
      </c>
      <c r="EV42" s="47">
        <f t="shared" ca="1" si="193"/>
        <v>-0.99720275833494165</v>
      </c>
      <c r="EW42" s="109">
        <f t="shared" ca="1" si="106"/>
        <v>-57.814999999999998</v>
      </c>
      <c r="EX42" s="46">
        <f t="shared" ca="1" si="107"/>
        <v>1.585000000000008</v>
      </c>
      <c r="EY42" s="47">
        <f t="shared" ca="1" si="194"/>
        <v>0.69999999999998863</v>
      </c>
      <c r="EZ42" s="47">
        <f t="shared" ca="1" si="195"/>
        <v>-0.20000000000004547</v>
      </c>
      <c r="FA42" s="110">
        <f t="shared" ca="1" si="108"/>
        <v>-60.879999999999995</v>
      </c>
      <c r="FB42" s="46">
        <f t="shared" ca="1" si="109"/>
        <v>1.4200000000000159</v>
      </c>
      <c r="FC42" s="47">
        <f t="shared" ca="1" si="196"/>
        <v>3.0649999999999977</v>
      </c>
      <c r="FD42" s="47">
        <f t="shared" ca="1" si="197"/>
        <v>0.16499999999999204</v>
      </c>
      <c r="FE42" s="109">
        <f t="shared" ca="1" si="110"/>
        <v>44.308240909090884</v>
      </c>
      <c r="FF42" s="46">
        <f t="shared" ca="1" si="111"/>
        <v>-0.19935909090912474</v>
      </c>
      <c r="FG42" s="110">
        <f t="shared" ca="1" si="112"/>
        <v>40.261190909090885</v>
      </c>
      <c r="FH42" s="46">
        <f t="shared" ca="1" si="113"/>
        <v>-8.8409090909124174E-2</v>
      </c>
      <c r="FI42" s="110">
        <f t="shared" ca="1" si="114"/>
        <v>39.14551363636356</v>
      </c>
      <c r="FJ42" s="46">
        <f t="shared" ca="1" si="115"/>
        <v>-0.11208636363644843</v>
      </c>
      <c r="FK42" s="110">
        <f t="shared" ca="1" si="116"/>
        <v>35.098463636363562</v>
      </c>
      <c r="FL42" s="46">
        <f t="shared" ca="1" si="117"/>
        <v>-1.136363636447868E-3</v>
      </c>
      <c r="FM42" s="110">
        <f t="shared" ca="1" si="118"/>
        <v>43.720986166007869</v>
      </c>
      <c r="FN42" s="46">
        <f t="shared" ca="1" si="119"/>
        <v>-0.26152687747038883</v>
      </c>
      <c r="FO42" s="110">
        <f t="shared" ca="1" si="120"/>
        <v>39.459386166007874</v>
      </c>
      <c r="FP42" s="46">
        <f t="shared" ca="1" si="121"/>
        <v>-0.16212687747038768</v>
      </c>
      <c r="FQ42" s="110">
        <f t="shared" ca="1" si="122"/>
        <v>38.830195652173835</v>
      </c>
      <c r="FR42" s="46">
        <f t="shared" ca="1" si="123"/>
        <v>-0.10883913043487051</v>
      </c>
      <c r="FS42" s="110">
        <f t="shared" ca="1" si="124"/>
        <v>34.56859565217384</v>
      </c>
      <c r="FT42" s="111">
        <f t="shared" ca="1" si="125"/>
        <v>-9.4391304348693805E-3</v>
      </c>
      <c r="FU42" s="109" t="str">
        <f t="shared" ca="1" si="232"/>
        <v/>
      </c>
      <c r="FV42" s="46" t="str">
        <f t="shared" ca="1" si="213"/>
        <v/>
      </c>
      <c r="FW42" s="48" t="str">
        <f t="shared" ca="1" si="227"/>
        <v/>
      </c>
      <c r="FX42" s="114" t="str">
        <f t="shared" ca="1" si="228"/>
        <v/>
      </c>
      <c r="FY42" s="110" t="str">
        <f t="shared" ca="1" si="214"/>
        <v/>
      </c>
      <c r="FZ42" s="46" t="str">
        <f t="shared" ca="1" si="215"/>
        <v/>
      </c>
      <c r="GA42" s="47" t="str">
        <f t="shared" ca="1" si="216"/>
        <v/>
      </c>
      <c r="GB42" s="46" t="str">
        <f t="shared" ca="1" si="229"/>
        <v/>
      </c>
      <c r="GC42" s="110" t="str">
        <f ca="1">IFERROR(IF(AND(ISNUMBER($FU42), ISNUMBER(Crd!$X42)), $FU42 - Crd!$X42, ""), "")</f>
        <v/>
      </c>
      <c r="GD42" s="46" t="str">
        <f ca="1">IFERROR(IF(AND(ISNUMBER($FV42), ISNUMBER(Crd!$Y42)), $FV42 - Crd!$Y42, ""), "")</f>
        <v/>
      </c>
      <c r="GE42" s="47" t="str">
        <f t="shared" ca="1" si="217"/>
        <v/>
      </c>
      <c r="GF42" s="46" t="str">
        <f t="shared" ca="1" si="218"/>
        <v/>
      </c>
      <c r="GG42" s="141" t="str">
        <f t="shared" ca="1" si="198"/>
        <v/>
      </c>
      <c r="GH42" s="50" t="str">
        <f t="shared" ca="1" si="199"/>
        <v/>
      </c>
      <c r="GI42" s="47" t="str">
        <f t="shared" ca="1" si="144"/>
        <v/>
      </c>
      <c r="GJ42" s="46" t="str">
        <f t="shared" ca="1" si="145"/>
        <v/>
      </c>
      <c r="GK42" s="110" t="str">
        <f t="shared" ca="1" si="127"/>
        <v/>
      </c>
      <c r="GL42" s="46" t="str">
        <f t="shared" ca="1" si="128"/>
        <v/>
      </c>
      <c r="GM42" s="47" t="str">
        <f t="shared" ca="1" si="200"/>
        <v/>
      </c>
      <c r="GN42" s="46" t="str">
        <f t="shared" ca="1" si="201"/>
        <v/>
      </c>
      <c r="GO42" s="110" t="str">
        <f ca="1">IFERROR(IF(AND(ISNUMBER($GG42), ISNUMBER(Crd!$X42)), $GG42 - Crd!$X42, ""), "")</f>
        <v/>
      </c>
      <c r="GP42" s="46" t="str">
        <f ca="1">IFERROR(IF(AND(ISNUMBER($GH42), ISNUMBER(Crd!$Y42)), $GH42 - Crd!$Y42, ""), "")</f>
        <v/>
      </c>
      <c r="GQ42" s="47" t="str">
        <f t="shared" ca="1" si="202"/>
        <v/>
      </c>
      <c r="GR42" s="46" t="str">
        <f t="shared" ca="1" si="203"/>
        <v/>
      </c>
      <c r="GS42" s="436" t="str">
        <f t="shared" ca="1" si="219"/>
        <v/>
      </c>
      <c r="GT42" s="46" t="str">
        <f t="shared" ca="1" si="220"/>
        <v/>
      </c>
      <c r="GU42" s="48" t="str">
        <f t="shared" ca="1" si="230"/>
        <v/>
      </c>
      <c r="GV42" s="46" t="str">
        <f t="shared" ca="1" si="231"/>
        <v/>
      </c>
      <c r="GW42" s="427" t="str">
        <f t="shared" ca="1" si="204"/>
        <v/>
      </c>
      <c r="GX42" s="50" t="str">
        <f t="shared" ca="1" si="146"/>
        <v/>
      </c>
      <c r="GY42" s="47" t="str">
        <f t="shared" ca="1" si="205"/>
        <v/>
      </c>
      <c r="GZ42" s="432" t="str">
        <f t="shared" ca="1" si="206"/>
        <v/>
      </c>
      <c r="HA42" s="436"/>
      <c r="HB42" s="46"/>
      <c r="HC42" s="48"/>
      <c r="HD42" s="46"/>
      <c r="HE42" s="269"/>
      <c r="HF42" s="46"/>
      <c r="HG42" s="48"/>
      <c r="HH42" s="432"/>
    </row>
    <row r="43" spans="1:216" x14ac:dyDescent="0.25">
      <c r="A43" s="58">
        <f t="shared" ca="1" si="131"/>
        <v>46997</v>
      </c>
      <c r="B43" s="6" t="str">
        <f ca="1">INDEX(MthRef[], MATCH(MONTH(Futs!$A43), MthRef[Mth], 0), 2)</f>
        <v>U</v>
      </c>
      <c r="C43" s="6">
        <f t="shared" ca="1" si="65"/>
        <v>2028</v>
      </c>
      <c r="D43" s="6" t="str">
        <f t="shared" ca="1" si="66"/>
        <v>Q328</v>
      </c>
      <c r="E43" s="6" t="str">
        <f t="shared" ca="1" si="132"/>
        <v>U8</v>
      </c>
      <c r="F43" s="10" t="e">
        <f ca="1">IFERROR(AVERAGE(_xll.BDP(F$18 &amp; $B43 &amp; RIGHT($C43, 1) &amp; " " &amp; "Comdty", "BID", "Fill=#N/A"), _xll.BDP(F$18 &amp; $B43 &amp; RIGHT($C43, 1) &amp; " " &amp; "Comdty", "ASK", "Fill=#N/A")), NA())</f>
        <v>#N/A</v>
      </c>
      <c r="G43" s="10">
        <f ca="1">IFERROR(AVERAGE(_xll.BDP(G$18 &amp; $B43 &amp; RIGHT($C43, 1) &amp; " " &amp; "Comdty", "BID", "Fill=#N/A"), _xll.BDP(G$18 &amp; $B43 &amp; RIGHT($C43, 1) &amp; " " &amp; "Comdty", "ASK", "Fill=#N/A")), NA())</f>
        <v>74.254999999999995</v>
      </c>
      <c r="H43" s="10">
        <f ca="1">IFERROR(AVERAGE(_xll.BDP(H$18 &amp; $B43 &amp; RIGHT($C43, 1) &amp; " " &amp; "Comdty", "BID", "Fill=#N/A"), _xll.BDP(H$18 &amp; $B43 &amp; RIGHT($C43, 1) &amp; " " &amp; "Comdty", "ASK", "Fill=#N/A")), NA())</f>
        <v>833.125</v>
      </c>
      <c r="I43" s="10" t="e">
        <f ca="1">IFERROR(AVERAGE(_xll.BDP(I$18 &amp; $B43 &amp; RIGHT($C43, 1) &amp; " " &amp; "Comdty", "BID", "Fill=#N/A"), _xll.BDP(I$18 &amp; $B43 &amp; RIGHT($C43, 1) &amp; " " &amp; "Comdty", "ASK", "Fill=#N/A")), NA())</f>
        <v>#N/A</v>
      </c>
      <c r="J43" s="10" t="e">
        <f ca="1">IFERROR(AVERAGE(_xll.BDP(J$18 &amp; $B43 &amp; RIGHT($C43, 1) &amp; " " &amp; "Comdty", "BID", "Fill=#N/A"), _xll.BDP(J$18 &amp; $B43 &amp; RIGHT($C43, 1) &amp; " " &amp; "Comdty", "ASK", "Fill=#N/A")), NA())</f>
        <v>#N/A</v>
      </c>
      <c r="K43" s="10" t="e">
        <f ca="1">IFERROR(AVERAGE(_xll.BDP(K$18 &amp; $B43 &amp; RIGHT($C43, 2) &amp; " " &amp; "Comdty", "BID", "Fill=#N/A"), _xll.BDP(K$18 &amp; $B43 &amp; RIGHT($C43, 2) &amp; " " &amp; "Comdty", "ASK", "Fill=#N/A")), NA())</f>
        <v>#N/A</v>
      </c>
      <c r="L43" s="10" t="e">
        <f ca="1">IFERROR(AVERAGE(_xll.BDP(L$18 &amp; $B43 &amp; RIGHT($C43, 2) &amp; " " &amp; "Comdty", "BID", "Fill=#N/A"), _xll.BDP(L$18 &amp; $B43 &amp; RIGHT($C43, 2) &amp; " " &amp; "Comdty", "ASK", "Fill=#N/A")), NA())</f>
        <v>#N/A</v>
      </c>
      <c r="M43" s="10">
        <f ca="1">IFERROR(AVERAGE(_xll.BDP(M$18 &amp; $B43 &amp; RIGHT($C43, 2) &amp; " " &amp; "Comdty", "BID", "Fill=#N/A"), _xll.BDP(M$18 &amp; $B43 &amp; RIGHT($C43, 2) &amp; " " &amp; "Comdty", "ASK", "Fill=#N/A")), NA())</f>
        <v>508.1</v>
      </c>
      <c r="N43" s="10">
        <f ca="1">IFERROR(AVERAGE(_xll.BDP(N$18 &amp; $B42 &amp; RIGHT($C42, 1) &amp; N$18 &amp; $B43 &amp; RIGHT($C43, 1) &amp; " " &amp; "Comdty", "BID", "Fill=#N/A"), _xll.BDP(N$18 &amp; $B42 &amp; RIGHT($C42, 1) &amp; N$18 &amp; $B43 &amp; RIGHT($C43, 1) &amp; " " &amp; "Comdty", "ASK", "Fill=#N/A")), NA())</f>
        <v>0.21000000000000002</v>
      </c>
      <c r="O43" s="10">
        <f ca="1">IFERROR(AVERAGE(_xll.BDP(O$18 &amp; $B42 &amp; RIGHT($C42, 1) &amp; O$18 &amp; $B43 &amp; RIGHT($C43, 1) &amp; " " &amp; "Comdty", "BID", "Fill=#N/A"), _xll.BDP(O$18 &amp; $B42 &amp; RIGHT($C42, 1) &amp; O$18 &amp; $B43 &amp; RIGHT($C43, 1) &amp; " " &amp; "Comdty", "ASK", "Fill=#N/A")), NA())</f>
        <v>0.25</v>
      </c>
      <c r="P43" s="10">
        <f ca="1">IFERROR(AVERAGE(_xll.BDP(P$18 &amp; $B42 &amp; RIGHT($C42, 1) &amp; P$18 &amp; $B43 &amp; RIGHT($C43, 1) &amp; " " &amp; "Comdty", "BID", "Fill=#N/A"), _xll.BDP(P$18 &amp; $B42 &amp; RIGHT($C42, 1) &amp; P$18 &amp; $B43 &amp; RIGHT($C43, 1) &amp; " " &amp; "Comdty", "ASK", "Fill=#N/A")), NA())</f>
        <v>5.5</v>
      </c>
      <c r="Q43" s="10">
        <f ca="1">IFERROR(AVERAGE(_xll.BDP(Q$18 &amp; $B42 &amp; RIGHT($C42, 1) &amp; Q$18 &amp; $B43 &amp; RIGHT($C43, 1) &amp; " " &amp; "Comdty", "BID", "Fill=#N/A"), _xll.BDP(Q$18 &amp; $B42 &amp; RIGHT($C42, 1) &amp; Q$18 &amp; $B43 &amp; RIGHT($C43, 1) &amp; " " &amp; "Comdty", "ASK", "Fill=#N/A")), NA())</f>
        <v>0.7</v>
      </c>
      <c r="R43" s="10">
        <f ca="1">IFERROR(AVERAGE(_xll.BDP(R$18 &amp; $B42 &amp; RIGHT($C42, 1) &amp; R$18 &amp; $B43 &amp; RIGHT($C43, 1) &amp; " " &amp; "Comdty", "BID", "Fill=#N/A"), _xll.BDP(R$18 &amp; $B42 &amp; RIGHT($C42, 1) &amp; R$18 &amp; $B43 &amp; RIGHT($C43, 1) &amp; " " &amp; "Comdty", "ASK", "Fill=#N/A")), NA())</f>
        <v>3.7650000000000001</v>
      </c>
      <c r="S43" s="10" t="e">
        <f ca="1">IFERROR(AVERAGE(_xll.BDP(S$18 &amp; $B42 &amp; RIGHT($C42, 1) &amp; $B43 &amp; RIGHT($C43, 1) &amp; " " &amp; "Comdty", "BID", "Fill=#N/A"), _xll.BDP(S$18 &amp; $B42 &amp; RIGHT($C42, 1) &amp; $B43 &amp; RIGHT($C43, 1) &amp; " " &amp; "Comdty", "ASK", "Fill=#N/A")), NA())</f>
        <v>#N/A</v>
      </c>
      <c r="T43" s="10" t="e">
        <f ca="1">IFERROR(AVERAGE(_xll.BDP(T$18 &amp; $B42 &amp; RIGHT($C42, 1) &amp; $B43 &amp; RIGHT($C43, 1) &amp; " " &amp; "Comdty", "BID", "Fill=#N/A"), _xll.BDP(T$18 &amp; $B42 &amp; RIGHT($C42, 1) &amp; $B43 &amp; RIGHT($C43, 1) &amp; " " &amp; "Comdty", "ASK", "Fill=#N/A")), NA())</f>
        <v>#N/A</v>
      </c>
      <c r="U43" s="10">
        <f ca="1">IF($A43 &lt; Diagnostics!$B$3, N43, INDEX(ImpSprd[], MATCH(Futs!$C43, ImpSprd[Yr], 0), MATCH(U$18, ImpSprd[#Headers], 0)))</f>
        <v>0.26863636363636362</v>
      </c>
      <c r="V43" s="10">
        <f ca="1">IF($A43 &lt; Diagnostics!$B$3, O43, INDEX(ImpSprd[], MATCH(Futs!$C43, ImpSprd[Yr], 0), MATCH(V$18, ImpSprd[#Headers], 0)))</f>
        <v>0.30454545454545451</v>
      </c>
      <c r="W43" s="10">
        <f ca="1">IF($A43 &lt; Diagnostics!$B$3, P43, INDEX(ImpSprd[], MATCH(Futs!$C43, ImpSprd[Yr], 0), MATCH(W$18, ImpSprd[#Headers], 0)))</f>
        <v>9.295454545454545</v>
      </c>
      <c r="X43" s="31">
        <f ca="1">INDEX(Expi[], MATCH($A43, Expi[Date], 0), MATCH(X$18, Expi[#Headers], 0))</f>
        <v>47016</v>
      </c>
      <c r="Y43" s="31">
        <f ca="1">INDEX(Expi[], MATCH($A43, Expi[Date], 0), MATCH(Y$18, Expi[#Headers], 0))</f>
        <v>47025</v>
      </c>
      <c r="Z43" s="31">
        <f ca="1">INDEX(Expi[], MATCH($A43, Expi[Date], 0), MATCH(Z$18, Expi[#Headers], 0))</f>
        <v>47008</v>
      </c>
      <c r="AA43" s="31">
        <f ca="1">INDEX(Expi[], MATCH($A43, Expi[Date], 0), MATCH(AA$18, Expi[#Headers], 0))</f>
        <v>47025</v>
      </c>
      <c r="AB43" s="31">
        <f ca="1">INDEX(Expi[], MATCH($A43, Expi[Date], 0), MATCH(AB$18, Expi[#Headers], 0))</f>
        <v>47025</v>
      </c>
      <c r="AC43" s="31">
        <f ca="1">INDEX(Expi[], MATCH($A43, Expi[Date], 0), MATCH(AC$18, Expi[#Headers], 0))</f>
        <v>47025</v>
      </c>
      <c r="AD43" s="7">
        <f ca="1">NETWORKDAYS($A43, EOMONTH($A43, 0), Hols[CME])</f>
        <v>21</v>
      </c>
      <c r="AE43" s="7">
        <f ca="1">NETWORKDAYS($A43, EOMONTH($A43, 0), Hols[ICE])</f>
        <v>21</v>
      </c>
      <c r="AF43" s="7">
        <f ca="1">NETWORKDAYS($A43, EOMONTH($A43, 0), Hols[ICE])</f>
        <v>21</v>
      </c>
      <c r="AG43" s="7">
        <f ca="1">NETWORKDAYS($A43, EOMONTH($A43, 0), Hols[CME])</f>
        <v>21</v>
      </c>
      <c r="AH43" s="7">
        <f ca="1">NETWORKDAYS($A43, EOMONTH($A43, 0), Hols[CME])</f>
        <v>21</v>
      </c>
      <c r="AI43" s="7">
        <f ca="1">NETWORKDAYS($A43, EOMONTH($A43, 0), Hols[ICE])</f>
        <v>21</v>
      </c>
      <c r="AJ43" s="7">
        <f ca="1">NETWORKDAYS($A43, X43, Hols[CME])</f>
        <v>14</v>
      </c>
      <c r="AK43" s="7">
        <f ca="1">NETWORKDAYS($A43, Y43, Hols[ICE]) - 1</f>
        <v>20</v>
      </c>
      <c r="AL43" s="7">
        <f ca="1">NETWORKDAYS($A43, Z43, Hols[ICE]) - 1</f>
        <v>7</v>
      </c>
      <c r="AM43" s="7">
        <f ca="1">NETWORKDAYS($A43, AA43, Hols[CME])</f>
        <v>21</v>
      </c>
      <c r="AN43" s="7">
        <f ca="1">NETWORKDAYS($A43, AB43, Hols[CME])</f>
        <v>21</v>
      </c>
      <c r="AO43" s="7">
        <f ca="1">NETWORKDAYS($A43, AC43, Hols[ICE]) - 1</f>
        <v>20</v>
      </c>
      <c r="AP43" s="10">
        <f t="shared" ca="1" si="67"/>
        <v>0.66666666666666663</v>
      </c>
      <c r="AQ43" s="10">
        <f t="shared" ca="1" si="68"/>
        <v>0.95238095238095233</v>
      </c>
      <c r="AR43" s="10">
        <f t="shared" ca="1" si="69"/>
        <v>0.33333333333333331</v>
      </c>
      <c r="AS43" s="10">
        <f t="shared" ca="1" si="70"/>
        <v>1</v>
      </c>
      <c r="AT43" s="10">
        <f t="shared" ca="1" si="71"/>
        <v>1</v>
      </c>
      <c r="AU43" s="10">
        <f t="shared" ca="1" si="71"/>
        <v>0.95238095238095233</v>
      </c>
      <c r="AV43" s="28">
        <f ca="1">IFERROR(AVERAGE(_xll.BDH(AV$18 &amp; $B43 &amp; RIGHT($C43, 1) &amp; " " &amp; "Comdty", "PX_SETTLE", AV$16, AV$16, "Fill=#N/A")), IFERROR(AVERAGE(_xll.BDH(AV$18 &amp; $B43 &amp; RIGHT($C43, 2) &amp; " " &amp; "Comdty", "PX_SETTLE", AV$16, AV$16, "Fill=#N/A")), NA()))</f>
        <v>68.989999999999995</v>
      </c>
      <c r="AW43" s="28">
        <f ca="1">IFERROR(AVERAGE(_xll.BDH(AW$18 &amp; $B43 &amp; RIGHT($C43, 1) &amp; " " &amp; "Comdty", "PX_SETTLE", AW$16, AW$16, "Fill=#N/A")), IFERROR(AVERAGE(_xll.BDH(AW$18 &amp; $B43 &amp; RIGHT($C43, 2) &amp; " " &amp; "Comdty", "PX_SETTLE", AW$16, AW$16, "Fill=#N/A")), NA()))</f>
        <v>74.22</v>
      </c>
      <c r="AX43" s="29">
        <f ca="1">IFERROR(AVERAGE(_xll.BDH(AX$18 &amp; $B43 &amp; RIGHT($C43, 2) &amp; " " &amp; "Comdty", "FAIR_VALUE_SNAPSHOT_AT_1430", AX$16, AX$16, "TIME_ZONE_OVERRIDE=13", "Fill=#N/A")), NA())</f>
        <v>839.75</v>
      </c>
      <c r="AY43" s="28">
        <f ca="1">IFERROR(AVERAGE(_xll.BDH(AY$18 &amp; $B43 &amp; RIGHT($C43, 1) &amp; " " &amp; "Comdty", "PX_SETTLE", AY$16, AY$16, "Fill=#N/A")), NA())</f>
        <v>299.98</v>
      </c>
      <c r="AZ43" s="28">
        <f ca="1">IFERROR(AVERAGE(_xll.BDH(AZ$18 &amp; $B43 &amp; RIGHT($C43, 1) &amp; " " &amp; "Comdty", "PX_SETTLE", AZ$16, AZ$16, "Fill=#N/A")), NA())</f>
        <v>237.68</v>
      </c>
      <c r="BA43" s="29" t="e">
        <f ca="1">IFERROR(AVERAGE(_xll.BDH(BA$18 &amp; $B43 &amp; RIGHT($C43, 2) &amp; " " &amp; "Comdty", "PX_SETTLE", BA$16, BA$16, "Fill=#N/A")), IFERROR(AVERAGE(_xll.BDH(BA$18 &amp; $B43 &amp; RIGHT($C43, 2) &amp; " " &amp; "Comdty", "PX_SETTLE", BA$16, BA$16, "Fill=#N/A")), NA()))</f>
        <v>#N/A</v>
      </c>
      <c r="BB43" s="29">
        <f ca="1">IFERROR(AVERAGE(_xll.BDH(BB$18 &amp; $B43 &amp; RIGHT($C43, 2) &amp; " " &amp; "Comdty", "PX_SETTLE", BB$16, BB$16, "Fill=#N/A")), IFERROR(AVERAGE(_xll.BDH(BB$18 &amp; $B43 &amp; RIGHT($C43, 2) &amp; " " &amp; "Comdty", "PX_SETTLE", BB$16, BB$16, "Fill=#N/A")), NA()))</f>
        <v>74.92</v>
      </c>
      <c r="BC43" s="29">
        <f ca="1">IFERROR(AVERAGE(_xll.BDH(BC$18 &amp; $B43 &amp; RIGHT($C43, 2) &amp; " " &amp; "Comdty", "PX_SETTLE", BC$16, BC$16, "Fill=#N/A")), IFERROR(AVERAGE(_xll.BDH(BC$18 &amp; $B43 &amp; RIGHT($C43, 2) &amp; " " &amp; "Comdty", "PX_SETTLE", BC$16, BC$16, "Fill=#N/A")), NA()))</f>
        <v>495.5</v>
      </c>
      <c r="BD43" s="29" t="e">
        <f>NA()</f>
        <v>#N/A</v>
      </c>
      <c r="BE43" s="109">
        <f t="shared" ca="1" si="209"/>
        <v>69.057272727272746</v>
      </c>
      <c r="BF43" s="46">
        <f t="shared" ca="1" si="72"/>
        <v>6.7272727272751354E-2</v>
      </c>
      <c r="BG43" s="47">
        <f t="shared" ca="1" si="151"/>
        <v>0.2686363636363609</v>
      </c>
      <c r="BH43" s="114">
        <f t="shared" ca="1" si="223"/>
        <v>3.8636363636356919E-2</v>
      </c>
      <c r="BI43" s="110">
        <f t="shared" ca="1" si="224"/>
        <v>74.184090909090983</v>
      </c>
      <c r="BJ43" s="46">
        <f t="shared" ca="1" si="73"/>
        <v>-3.5909090909015617E-2</v>
      </c>
      <c r="BK43" s="48">
        <f t="shared" ca="1" si="225"/>
        <v>0.30454545454544757</v>
      </c>
      <c r="BL43" s="114">
        <f t="shared" ca="1" si="226"/>
        <v>5.4545454545447569E-2</v>
      </c>
      <c r="BM43" s="48">
        <f t="shared" ca="1" si="152"/>
        <v>834.59090909090946</v>
      </c>
      <c r="BN43" s="46">
        <f t="shared" ca="1" si="74"/>
        <v>-5.159090909090537</v>
      </c>
      <c r="BO43" s="47">
        <f t="shared" ca="1" si="210"/>
        <v>9.2954545454545041</v>
      </c>
      <c r="BP43" s="46">
        <f t="shared" ca="1" si="133"/>
        <v>4.0454545454545041</v>
      </c>
      <c r="BQ43" s="110">
        <f t="shared" ca="1" si="211"/>
        <v>298.76499999999999</v>
      </c>
      <c r="BR43" s="46">
        <f t="shared" ca="1" si="75"/>
        <v>-1.2150000000000318</v>
      </c>
      <c r="BS43" s="47">
        <f t="shared" ca="1" si="153"/>
        <v>0.69999999999998863</v>
      </c>
      <c r="BT43" s="114">
        <f t="shared" ca="1" si="154"/>
        <v>0.19999999999998863</v>
      </c>
      <c r="BU43" s="48">
        <f t="shared" ca="1" si="212"/>
        <v>237.88499999999999</v>
      </c>
      <c r="BV43" s="46">
        <f t="shared" ca="1" si="76"/>
        <v>0.20499999999998408</v>
      </c>
      <c r="BW43" s="47">
        <f t="shared" ca="1" si="155"/>
        <v>3.7649999999999864</v>
      </c>
      <c r="BX43" s="46">
        <f t="shared" ca="1" si="156"/>
        <v>0.36499999999998067</v>
      </c>
      <c r="BY43" s="140">
        <f t="shared" ca="1" si="134"/>
        <v>68.699090909090927</v>
      </c>
      <c r="BZ43" s="46">
        <f t="shared" ca="1" si="135"/>
        <v>-2.090909090906716E-2</v>
      </c>
      <c r="CA43" s="47">
        <f t="shared" ca="1" si="157"/>
        <v>0.27642292490119758</v>
      </c>
      <c r="CB43" s="46">
        <f t="shared" ca="1" si="158"/>
        <v>7.0335968379445904E-2</v>
      </c>
      <c r="CC43" s="141">
        <f t="shared" ca="1" si="136"/>
        <v>73.560497835497927</v>
      </c>
      <c r="CD43" s="50">
        <f t="shared" ca="1" si="137"/>
        <v>-0.1685497835496905</v>
      </c>
      <c r="CE43" s="47">
        <f t="shared" ca="1" si="159"/>
        <v>0.30580651232823186</v>
      </c>
      <c r="CF43" s="46">
        <f t="shared" ca="1" si="160"/>
        <v>6.5288913984550959E-2</v>
      </c>
      <c r="CG43" s="141">
        <f t="shared" ca="1" si="138"/>
        <v>828.39393939393995</v>
      </c>
      <c r="CH43" s="50">
        <f t="shared" ca="1" si="139"/>
        <v>-8.6893939393935415</v>
      </c>
      <c r="CI43" s="47">
        <f t="shared" ca="1" si="161"/>
        <v>9.0260210803686505</v>
      </c>
      <c r="CJ43" s="46">
        <f t="shared" ca="1" si="162"/>
        <v>4.7615283267456796</v>
      </c>
      <c r="CK43" s="141">
        <f t="shared" ca="1" si="140"/>
        <v>298.30500000000001</v>
      </c>
      <c r="CL43" s="50">
        <f t="shared" ca="1" si="77"/>
        <v>-1.1949999999999932</v>
      </c>
      <c r="CM43" s="47">
        <f t="shared" ca="1" si="163"/>
        <v>0.45999999999997954</v>
      </c>
      <c r="CN43" s="46">
        <f t="shared" ca="1" si="164"/>
        <v>-2.0000000000038654E-2</v>
      </c>
      <c r="CO43" s="141">
        <f t="shared" ca="1" si="141"/>
        <v>222.89</v>
      </c>
      <c r="CP43" s="50">
        <f t="shared" ca="1" si="78"/>
        <v>-1.2800000000000011</v>
      </c>
      <c r="CQ43" s="47">
        <f t="shared" ca="1" si="165"/>
        <v>14.995000000000005</v>
      </c>
      <c r="CR43" s="46">
        <f t="shared" ca="1" si="166"/>
        <v>1.4849999999999852</v>
      </c>
      <c r="CS43" s="109">
        <f t="shared" ca="1" si="79"/>
        <v>-5.126818181818237</v>
      </c>
      <c r="CT43" s="46">
        <f t="shared" ca="1" si="80"/>
        <v>0.10318181818176697</v>
      </c>
      <c r="CU43" s="47">
        <f t="shared" ca="1" si="167"/>
        <v>-3.5909090909086672E-2</v>
      </c>
      <c r="CV43" s="46">
        <f t="shared" ca="1" si="168"/>
        <v>0</v>
      </c>
      <c r="CW43" s="110">
        <f t="shared" ca="1" si="142"/>
        <v>-4.8614069264069997</v>
      </c>
      <c r="CX43" s="46">
        <f t="shared" ca="1" si="81"/>
        <v>0.14764069264062335</v>
      </c>
      <c r="CY43" s="47">
        <f t="shared" ca="1" si="169"/>
        <v>-2.9383587427034286E-2</v>
      </c>
      <c r="CZ43" s="46">
        <f t="shared" ca="1" si="170"/>
        <v>5.0470543948949453E-3</v>
      </c>
      <c r="DA43" s="109">
        <f t="shared" ca="1" si="82"/>
        <v>37.841534472239147</v>
      </c>
      <c r="DB43" s="46">
        <f t="shared" ca="1" si="83"/>
        <v>-0.6565863331299826</v>
      </c>
      <c r="DC43" s="47">
        <f t="shared" ca="1" si="171"/>
        <v>0.9431665649786396</v>
      </c>
      <c r="DD43" s="46">
        <f t="shared" ca="1" si="233"/>
        <v>0.48846857840146574</v>
      </c>
      <c r="DE43" s="110">
        <f t="shared" ca="1" si="84"/>
        <v>51.297209090909007</v>
      </c>
      <c r="DF43" s="46">
        <f t="shared" ca="1" si="85"/>
        <v>-0.47439090909099779</v>
      </c>
      <c r="DG43" s="47">
        <f t="shared" ca="1" si="172"/>
        <v>-1.0545454545450639E-2</v>
      </c>
      <c r="DH43" s="46">
        <f t="shared" ca="1" si="173"/>
        <v>2.9454545454547676E-2</v>
      </c>
      <c r="DI43" s="110">
        <f t="shared" ca="1" si="86"/>
        <v>25.727609090909013</v>
      </c>
      <c r="DJ43" s="46">
        <f t="shared" ca="1" si="87"/>
        <v>0.12200909090900894</v>
      </c>
      <c r="DK43" s="47">
        <f t="shared" ca="1" si="174"/>
        <v>1.2767545454545512</v>
      </c>
      <c r="DL43" s="46">
        <f t="shared" ca="1" si="175"/>
        <v>9.8754545454544318E-2</v>
      </c>
      <c r="DM43" s="110">
        <f t="shared" ca="1" si="88"/>
        <v>56.424027272727244</v>
      </c>
      <c r="DN43" s="46">
        <f t="shared" ca="1" si="89"/>
        <v>-0.57757272727276476</v>
      </c>
      <c r="DO43" s="47">
        <f t="shared" ca="1" si="176"/>
        <v>2.5363636363636033E-2</v>
      </c>
      <c r="DP43" s="47">
        <f t="shared" ca="1" si="177"/>
        <v>4.5363636363638382E-2</v>
      </c>
      <c r="DQ43" s="110">
        <f t="shared" ca="1" si="90"/>
        <v>30.85442727272725</v>
      </c>
      <c r="DR43" s="46">
        <f t="shared" ca="1" si="91"/>
        <v>1.8827272727241967E-2</v>
      </c>
      <c r="DS43" s="47">
        <f t="shared" ca="1" si="178"/>
        <v>1.3126636363636379</v>
      </c>
      <c r="DT43" s="47">
        <f t="shared" ca="1" si="179"/>
        <v>0.11466363636363497</v>
      </c>
      <c r="DU43" s="109">
        <f t="shared" ca="1" si="92"/>
        <v>37.633319532816159</v>
      </c>
      <c r="DV43" s="46">
        <f t="shared" ca="1" si="93"/>
        <v>-0.9978118190534695</v>
      </c>
      <c r="DW43" s="47">
        <f t="shared" ca="1" si="180"/>
        <v>0.90573994141252001</v>
      </c>
      <c r="DX43" s="47">
        <f t="shared" ca="1" si="181"/>
        <v>0.5738424050417148</v>
      </c>
      <c r="DY43" s="110">
        <f t="shared" ca="1" si="94"/>
        <v>51.727602164502073</v>
      </c>
      <c r="DZ43" s="46">
        <f t="shared" ca="1" si="95"/>
        <v>-0.3333502164503066</v>
      </c>
      <c r="EA43" s="47">
        <f t="shared" ca="1" si="182"/>
        <v>-0.11260651232824159</v>
      </c>
      <c r="EB43" s="47">
        <f t="shared" ca="1" si="183"/>
        <v>-7.3688913984567284E-2</v>
      </c>
      <c r="EC43" s="110">
        <f t="shared" ca="1" si="96"/>
        <v>20.053302164502071</v>
      </c>
      <c r="ED43" s="46">
        <f t="shared" ca="1" si="97"/>
        <v>-0.36905021645031</v>
      </c>
      <c r="EE43" s="47">
        <f t="shared" ca="1" si="184"/>
        <v>5.9920934876717666</v>
      </c>
      <c r="EF43" s="47">
        <f t="shared" ca="1" si="185"/>
        <v>0.55841108601544287</v>
      </c>
      <c r="EG43" s="110">
        <f t="shared" ca="1" si="98"/>
        <v>56.589009090909073</v>
      </c>
      <c r="EH43" s="46">
        <f t="shared" ca="1" si="99"/>
        <v>-0.48099090909092995</v>
      </c>
      <c r="EI43" s="47">
        <f t="shared" ca="1" si="186"/>
        <v>-8.3222924901207307E-2</v>
      </c>
      <c r="EJ43" s="47">
        <f t="shared" ca="1" si="187"/>
        <v>-7.8735968379462229E-2</v>
      </c>
      <c r="EK43" s="110">
        <f t="shared" ca="1" si="100"/>
        <v>24.914709090909071</v>
      </c>
      <c r="EL43" s="46">
        <f t="shared" ca="1" si="101"/>
        <v>-0.5166909090909334</v>
      </c>
      <c r="EM43" s="47">
        <f t="shared" ca="1" si="188"/>
        <v>6.0214770750988009</v>
      </c>
      <c r="EN43" s="47">
        <f t="shared" ca="1" si="189"/>
        <v>0.55336403162054792</v>
      </c>
      <c r="EO43" s="109">
        <f t="shared" ca="1" si="102"/>
        <v>32.037320520642538</v>
      </c>
      <c r="EP43" s="46">
        <f t="shared" ca="1" si="103"/>
        <v>0.43379862866424967</v>
      </c>
      <c r="EQ43" s="47">
        <f t="shared" ca="1" si="190"/>
        <v>-2.2707429036287863</v>
      </c>
      <c r="ER43" s="47">
        <f t="shared" ca="1" si="191"/>
        <v>-1.0928905546355192</v>
      </c>
      <c r="ES43" s="110">
        <f t="shared" ca="1" si="104"/>
        <v>33.557815789728352</v>
      </c>
      <c r="ET43" s="46">
        <f t="shared" ca="1" si="105"/>
        <v>1.5820514347694354</v>
      </c>
      <c r="EU43" s="47">
        <f t="shared" ca="1" si="192"/>
        <v>-2.424634413668457</v>
      </c>
      <c r="EV43" s="47">
        <f t="shared" ca="1" si="193"/>
        <v>-1.5417412357768621</v>
      </c>
      <c r="EW43" s="109">
        <f t="shared" ca="1" si="106"/>
        <v>-60.879999999999995</v>
      </c>
      <c r="EX43" s="46">
        <f t="shared" ca="1" si="107"/>
        <v>1.4200000000000159</v>
      </c>
      <c r="EY43" s="47">
        <f t="shared" ca="1" si="194"/>
        <v>3.0649999999999977</v>
      </c>
      <c r="EZ43" s="47">
        <f t="shared" ca="1" si="195"/>
        <v>0.16499999999999204</v>
      </c>
      <c r="FA43" s="110">
        <f t="shared" ca="1" si="108"/>
        <v>-75.41500000000002</v>
      </c>
      <c r="FB43" s="46">
        <f t="shared" ca="1" si="109"/>
        <v>-8.5000000000007958E-2</v>
      </c>
      <c r="FC43" s="47">
        <f t="shared" ca="1" si="196"/>
        <v>14.535000000000025</v>
      </c>
      <c r="FD43" s="47">
        <f t="shared" ca="1" si="197"/>
        <v>1.5050000000000239</v>
      </c>
      <c r="FE43" s="109">
        <f t="shared" ca="1" si="110"/>
        <v>43.639227272727247</v>
      </c>
      <c r="FF43" s="46">
        <f t="shared" ca="1" si="111"/>
        <v>-0.27937272727276141</v>
      </c>
      <c r="FG43" s="110">
        <f t="shared" ca="1" si="112"/>
        <v>39.377627272727253</v>
      </c>
      <c r="FH43" s="46">
        <f t="shared" ca="1" si="113"/>
        <v>-0.17997272727276029</v>
      </c>
      <c r="FI43" s="110">
        <f t="shared" ca="1" si="114"/>
        <v>38.51240909090901</v>
      </c>
      <c r="FJ43" s="46">
        <f t="shared" ca="1" si="115"/>
        <v>-0.17619090909099444</v>
      </c>
      <c r="FK43" s="110">
        <f t="shared" ca="1" si="116"/>
        <v>34.250809090909009</v>
      </c>
      <c r="FL43" s="46">
        <f t="shared" ca="1" si="117"/>
        <v>-7.6790909090993301E-2</v>
      </c>
      <c r="FM43" s="110">
        <f t="shared" ca="1" si="118"/>
        <v>40.751859090909072</v>
      </c>
      <c r="FN43" s="46">
        <f t="shared" ca="1" si="119"/>
        <v>-0.49884090909093171</v>
      </c>
      <c r="FO43" s="110">
        <f t="shared" ca="1" si="120"/>
        <v>35.472809090909067</v>
      </c>
      <c r="FP43" s="46">
        <f t="shared" ca="1" si="121"/>
        <v>-0.50479090909093227</v>
      </c>
      <c r="FQ43" s="110">
        <f t="shared" ca="1" si="122"/>
        <v>35.890452164502072</v>
      </c>
      <c r="FR43" s="46">
        <f t="shared" ca="1" si="123"/>
        <v>-0.3512002164503083</v>
      </c>
      <c r="FS43" s="110">
        <f t="shared" ca="1" si="124"/>
        <v>30.611402164502074</v>
      </c>
      <c r="FT43" s="111">
        <f t="shared" ca="1" si="125"/>
        <v>-0.35715021645030887</v>
      </c>
      <c r="FU43" s="109" t="str">
        <f t="shared" ca="1" si="232"/>
        <v/>
      </c>
      <c r="FV43" s="46" t="str">
        <f t="shared" ca="1" si="213"/>
        <v/>
      </c>
      <c r="FW43" s="48" t="str">
        <f t="shared" ca="1" si="227"/>
        <v/>
      </c>
      <c r="FX43" s="114" t="str">
        <f t="shared" ca="1" si="228"/>
        <v/>
      </c>
      <c r="FY43" s="110" t="str">
        <f t="shared" ca="1" si="214"/>
        <v/>
      </c>
      <c r="FZ43" s="46" t="str">
        <f t="shared" ca="1" si="215"/>
        <v/>
      </c>
      <c r="GA43" s="47" t="str">
        <f t="shared" ca="1" si="216"/>
        <v/>
      </c>
      <c r="GB43" s="46" t="str">
        <f t="shared" ca="1" si="229"/>
        <v/>
      </c>
      <c r="GC43" s="110" t="str">
        <f ca="1">IFERROR(IF(AND(ISNUMBER($FU43), ISNUMBER(Crd!$X43)), $FU43 - Crd!$X43, ""), "")</f>
        <v/>
      </c>
      <c r="GD43" s="46" t="str">
        <f ca="1">IFERROR(IF(AND(ISNUMBER($FV43), ISNUMBER(Crd!$Y43)), $FV43 - Crd!$Y43, ""), "")</f>
        <v/>
      </c>
      <c r="GE43" s="47" t="str">
        <f t="shared" ca="1" si="217"/>
        <v/>
      </c>
      <c r="GF43" s="46" t="str">
        <f t="shared" ca="1" si="218"/>
        <v/>
      </c>
      <c r="GG43" s="141" t="str">
        <f t="shared" ca="1" si="198"/>
        <v/>
      </c>
      <c r="GH43" s="50" t="str">
        <f t="shared" ca="1" si="199"/>
        <v/>
      </c>
      <c r="GI43" s="47" t="str">
        <f t="shared" ca="1" si="144"/>
        <v/>
      </c>
      <c r="GJ43" s="46" t="str">
        <f t="shared" ca="1" si="145"/>
        <v/>
      </c>
      <c r="GK43" s="110" t="str">
        <f t="shared" ca="1" si="127"/>
        <v/>
      </c>
      <c r="GL43" s="46" t="str">
        <f t="shared" ca="1" si="128"/>
        <v/>
      </c>
      <c r="GM43" s="47" t="str">
        <f t="shared" ca="1" si="200"/>
        <v/>
      </c>
      <c r="GN43" s="46" t="str">
        <f t="shared" ca="1" si="201"/>
        <v/>
      </c>
      <c r="GO43" s="110" t="str">
        <f ca="1">IFERROR(IF(AND(ISNUMBER($GG43), ISNUMBER(Crd!$X43)), $GG43 - Crd!$X43, ""), "")</f>
        <v/>
      </c>
      <c r="GP43" s="46" t="str">
        <f ca="1">IFERROR(IF(AND(ISNUMBER($GH43), ISNUMBER(Crd!$Y43)), $GH43 - Crd!$Y43, ""), "")</f>
        <v/>
      </c>
      <c r="GQ43" s="47" t="str">
        <f t="shared" ca="1" si="202"/>
        <v/>
      </c>
      <c r="GR43" s="46" t="str">
        <f t="shared" ca="1" si="203"/>
        <v/>
      </c>
      <c r="GS43" s="436" t="str">
        <f t="shared" ca="1" si="219"/>
        <v/>
      </c>
      <c r="GT43" s="46" t="str">
        <f t="shared" ca="1" si="220"/>
        <v/>
      </c>
      <c r="GU43" s="48" t="str">
        <f t="shared" ca="1" si="230"/>
        <v/>
      </c>
      <c r="GV43" s="46" t="str">
        <f t="shared" ca="1" si="231"/>
        <v/>
      </c>
      <c r="GW43" s="427" t="str">
        <f t="shared" ca="1" si="204"/>
        <v/>
      </c>
      <c r="GX43" s="50" t="str">
        <f t="shared" ca="1" si="146"/>
        <v/>
      </c>
      <c r="GY43" s="47" t="str">
        <f t="shared" ca="1" si="205"/>
        <v/>
      </c>
      <c r="GZ43" s="432" t="str">
        <f t="shared" ca="1" si="206"/>
        <v/>
      </c>
      <c r="HA43" s="436"/>
      <c r="HB43" s="46"/>
      <c r="HC43" s="48"/>
      <c r="HD43" s="46"/>
      <c r="HE43" s="269"/>
      <c r="HF43" s="46"/>
      <c r="HG43" s="48"/>
      <c r="HH43" s="432"/>
    </row>
    <row r="44" spans="1:216" x14ac:dyDescent="0.25">
      <c r="A44" s="58">
        <f t="shared" ca="1" si="131"/>
        <v>47027</v>
      </c>
      <c r="B44" s="6" t="str">
        <f ca="1">INDEX(MthRef[], MATCH(MONTH(Futs!$A44), MthRef[Mth], 0), 2)</f>
        <v>V</v>
      </c>
      <c r="C44" s="6">
        <f t="shared" ca="1" si="65"/>
        <v>2028</v>
      </c>
      <c r="D44" s="6" t="str">
        <f t="shared" ca="1" si="66"/>
        <v>Q428</v>
      </c>
      <c r="E44" s="6" t="str">
        <f t="shared" ca="1" si="132"/>
        <v>V8</v>
      </c>
      <c r="F44" s="10" t="e">
        <f ca="1">IFERROR(AVERAGE(_xll.BDP(F$18 &amp; $B44 &amp; RIGHT($C44, 1) &amp; " " &amp; "Comdty", "BID", "Fill=#N/A"), _xll.BDP(F$18 &amp; $B44 &amp; RIGHT($C44, 1) &amp; " " &amp; "Comdty", "ASK", "Fill=#N/A")), NA())</f>
        <v>#N/A</v>
      </c>
      <c r="G44" s="10">
        <f ca="1">IFERROR(AVERAGE(_xll.BDP(G$18 &amp; $B44 &amp; RIGHT($C44, 1) &amp; " " &amp; "Comdty", "BID", "Fill=#N/A"), _xll.BDP(G$18 &amp; $B44 &amp; RIGHT($C44, 1) &amp; " " &amp; "Comdty", "ASK", "Fill=#N/A")), NA())</f>
        <v>74.010000000000005</v>
      </c>
      <c r="H44" s="10">
        <f ca="1">IFERROR(AVERAGE(_xll.BDP(H$18 &amp; $B44 &amp; RIGHT($C44, 1) &amp; " " &amp; "Comdty", "BID", "Fill=#N/A"), _xll.BDP(H$18 &amp; $B44 &amp; RIGHT($C44, 1) &amp; " " &amp; "Comdty", "ASK", "Fill=#N/A")), NA())</f>
        <v>829.125</v>
      </c>
      <c r="I44" s="10" t="e">
        <f ca="1">IFERROR(AVERAGE(_xll.BDP(I$18 &amp; $B44 &amp; RIGHT($C44, 1) &amp; " " &amp; "Comdty", "BID", "Fill=#N/A"), _xll.BDP(I$18 &amp; $B44 &amp; RIGHT($C44, 1) &amp; " " &amp; "Comdty", "ASK", "Fill=#N/A")), NA())</f>
        <v>#N/A</v>
      </c>
      <c r="J44" s="10" t="e">
        <f ca="1">IFERROR(AVERAGE(_xll.BDP(J$18 &amp; $B44 &amp; RIGHT($C44, 1) &amp; " " &amp; "Comdty", "BID", "Fill=#N/A"), _xll.BDP(J$18 &amp; $B44 &amp; RIGHT($C44, 1) &amp; " " &amp; "Comdty", "ASK", "Fill=#N/A")), NA())</f>
        <v>#N/A</v>
      </c>
      <c r="K44" s="10" t="e">
        <f ca="1">IFERROR(AVERAGE(_xll.BDP(K$18 &amp; $B44 &amp; RIGHT($C44, 2) &amp; " " &amp; "Comdty", "BID", "Fill=#N/A"), _xll.BDP(K$18 &amp; $B44 &amp; RIGHT($C44, 2) &amp; " " &amp; "Comdty", "ASK", "Fill=#N/A")), NA())</f>
        <v>#N/A</v>
      </c>
      <c r="L44" s="10" t="e">
        <f ca="1">IFERROR(AVERAGE(_xll.BDP(L$18 &amp; $B44 &amp; RIGHT($C44, 2) &amp; " " &amp; "Comdty", "BID", "Fill=#N/A"), _xll.BDP(L$18 &amp; $B44 &amp; RIGHT($C44, 2) &amp; " " &amp; "Comdty", "ASK", "Fill=#N/A")), NA())</f>
        <v>#N/A</v>
      </c>
      <c r="M44" s="10" t="e">
        <f ca="1">IFERROR(AVERAGE(_xll.BDP(M$18 &amp; $B44 &amp; RIGHT($C44, 2) &amp; " " &amp; "Comdty", "BID", "Fill=#N/A"), _xll.BDP(M$18 &amp; $B44 &amp; RIGHT($C44, 2) &amp; " " &amp; "Comdty", "ASK", "Fill=#N/A")), NA())</f>
        <v>#N/A</v>
      </c>
      <c r="N44" s="10">
        <f ca="1">IFERROR(AVERAGE(_xll.BDP(N$18 &amp; $B43 &amp; RIGHT($C43, 1) &amp; N$18 &amp; $B44 &amp; RIGHT($C44, 1) &amp; " " &amp; "Comdty", "BID", "Fill=#N/A"), _xll.BDP(N$18 &amp; $B43 &amp; RIGHT($C43, 1) &amp; N$18 &amp; $B44 &amp; RIGHT($C44, 1) &amp; " " &amp; "Comdty", "ASK", "Fill=#N/A")), NA())</f>
        <v>0.2</v>
      </c>
      <c r="O44" s="10">
        <f ca="1">IFERROR(AVERAGE(_xll.BDP(O$18 &amp; $B43 &amp; RIGHT($C43, 1) &amp; O$18 &amp; $B44 &amp; RIGHT($C44, 1) &amp; " " &amp; "Comdty", "BID", "Fill=#N/A"), _xll.BDP(O$18 &amp; $B43 &amp; RIGHT($C43, 1) &amp; O$18 &amp; $B44 &amp; RIGHT($C44, 1) &amp; " " &amp; "Comdty", "ASK", "Fill=#N/A")), NA())</f>
        <v>0.24</v>
      </c>
      <c r="P44" s="10">
        <f ca="1">IFERROR(AVERAGE(_xll.BDP(P$18 &amp; $B43 &amp; RIGHT($C43, 1) &amp; P$18 &amp; $B44 &amp; RIGHT($C44, 1) &amp; " " &amp; "Comdty", "BID", "Fill=#N/A"), _xll.BDP(P$18 &amp; $B43 &amp; RIGHT($C43, 1) &amp; P$18 &amp; $B44 &amp; RIGHT($C44, 1) &amp; " " &amp; "Comdty", "ASK", "Fill=#N/A")), NA())</f>
        <v>3.75</v>
      </c>
      <c r="Q44" s="10">
        <f ca="1">IFERROR(AVERAGE(_xll.BDP(Q$18 &amp; $B43 &amp; RIGHT($C43, 1) &amp; Q$18 &amp; $B44 &amp; RIGHT($C44, 1) &amp; " " &amp; "Comdty", "BID", "Fill=#N/A"), _xll.BDP(Q$18 &amp; $B43 &amp; RIGHT($C43, 1) &amp; Q$18 &amp; $B44 &amp; RIGHT($C44, 1) &amp; " " &amp; "Comdty", "ASK", "Fill=#N/A")), NA())</f>
        <v>0.46</v>
      </c>
      <c r="R44" s="10">
        <f ca="1">IFERROR(AVERAGE(_xll.BDP(R$18 &amp; $B43 &amp; RIGHT($C43, 1) &amp; R$18 &amp; $B44 &amp; RIGHT($C44, 1) &amp; " " &amp; "Comdty", "BID", "Fill=#N/A"), _xll.BDP(R$18 &amp; $B43 &amp; RIGHT($C43, 1) &amp; R$18 &amp; $B44 &amp; RIGHT($C44, 1) &amp; " " &amp; "Comdty", "ASK", "Fill=#N/A")), NA())</f>
        <v>14.995000000000001</v>
      </c>
      <c r="S44" s="10" t="e">
        <f ca="1">IFERROR(AVERAGE(_xll.BDP(S$18 &amp; $B43 &amp; RIGHT($C43, 1) &amp; $B44 &amp; RIGHT($C44, 1) &amp; " " &amp; "Comdty", "BID", "Fill=#N/A"), _xll.BDP(S$18 &amp; $B43 &amp; RIGHT($C43, 1) &amp; $B44 &amp; RIGHT($C44, 1) &amp; " " &amp; "Comdty", "ASK", "Fill=#N/A")), NA())</f>
        <v>#N/A</v>
      </c>
      <c r="T44" s="10" t="e">
        <f ca="1">IFERROR(AVERAGE(_xll.BDP(T$18 &amp; $B43 &amp; RIGHT($C43, 1) &amp; $B44 &amp; RIGHT($C44, 1) &amp; " " &amp; "Comdty", "BID", "Fill=#N/A"), _xll.BDP(T$18 &amp; $B43 &amp; RIGHT($C43, 1) &amp; $B44 &amp; RIGHT($C44, 1) &amp; " " &amp; "Comdty", "ASK", "Fill=#N/A")), NA())</f>
        <v>#N/A</v>
      </c>
      <c r="U44" s="10">
        <f ca="1">IF($A44 &lt; Diagnostics!$B$3, N44, INDEX(ImpSprd[], MATCH(Futs!$C44, ImpSprd[Yr], 0), MATCH(U$18, ImpSprd[#Headers], 0)))</f>
        <v>0.26863636363636362</v>
      </c>
      <c r="V44" s="10">
        <f ca="1">IF($A44 &lt; Diagnostics!$B$3, O44, INDEX(ImpSprd[], MATCH(Futs!$C44, ImpSprd[Yr], 0), MATCH(V$18, ImpSprd[#Headers], 0)))</f>
        <v>0.30454545454545451</v>
      </c>
      <c r="W44" s="10">
        <f ca="1">IF($A44 &lt; Diagnostics!$B$3, P44, INDEX(ImpSprd[], MATCH(Futs!$C44, ImpSprd[Yr], 0), MATCH(W$18, ImpSprd[#Headers], 0)))</f>
        <v>9.295454545454545</v>
      </c>
      <c r="X44" s="31">
        <f ca="1">INDEX(Expi[], MATCH($A44, Expi[Date], 0), MATCH(X$18, Expi[#Headers], 0))</f>
        <v>47046</v>
      </c>
      <c r="Y44" s="31">
        <f ca="1">INDEX(Expi[], MATCH($A44, Expi[Date], 0), MATCH(Y$18, Expi[#Headers], 0))</f>
        <v>47057</v>
      </c>
      <c r="Z44" s="31">
        <f ca="1">INDEX(Expi[], MATCH($A44, Expi[Date], 0), MATCH(Z$18, Expi[#Headers], 0))</f>
        <v>47038</v>
      </c>
      <c r="AA44" s="31">
        <f ca="1">INDEX(Expi[], MATCH($A44, Expi[Date], 0), MATCH(AA$18, Expi[#Headers], 0))</f>
        <v>47057</v>
      </c>
      <c r="AB44" s="31">
        <f ca="1">INDEX(Expi[], MATCH($A44, Expi[Date], 0), MATCH(AB$18, Expi[#Headers], 0))</f>
        <v>47057</v>
      </c>
      <c r="AC44" s="31">
        <f ca="1">INDEX(Expi[], MATCH($A44, Expi[Date], 0), MATCH(AC$18, Expi[#Headers], 0))</f>
        <v>47057</v>
      </c>
      <c r="AD44" s="7">
        <f ca="1">NETWORKDAYS($A44, EOMONTH($A44, 0), Hols[CME])</f>
        <v>22</v>
      </c>
      <c r="AE44" s="7">
        <f ca="1">NETWORKDAYS($A44, EOMONTH($A44, 0), Hols[ICE])</f>
        <v>22</v>
      </c>
      <c r="AF44" s="7">
        <f ca="1">NETWORKDAYS($A44, EOMONTH($A44, 0), Hols[ICE])</f>
        <v>22</v>
      </c>
      <c r="AG44" s="7">
        <f ca="1">NETWORKDAYS($A44, EOMONTH($A44, 0), Hols[CME])</f>
        <v>22</v>
      </c>
      <c r="AH44" s="7">
        <f ca="1">NETWORKDAYS($A44, EOMONTH($A44, 0), Hols[CME])</f>
        <v>22</v>
      </c>
      <c r="AI44" s="7">
        <f ca="1">NETWORKDAYS($A44, EOMONTH($A44, 0), Hols[ICE])</f>
        <v>22</v>
      </c>
      <c r="AJ44" s="7">
        <f ca="1">NETWORKDAYS($A44, X44, Hols[CME])</f>
        <v>15</v>
      </c>
      <c r="AK44" s="7">
        <f ca="1">NETWORKDAYS($A44, Y44, Hols[ICE]) - 1</f>
        <v>21</v>
      </c>
      <c r="AL44" s="7">
        <f ca="1">NETWORKDAYS($A44, Z44, Hols[ICE]) - 1</f>
        <v>8</v>
      </c>
      <c r="AM44" s="7">
        <f ca="1">NETWORKDAYS($A44, AA44, Hols[CME])</f>
        <v>22</v>
      </c>
      <c r="AN44" s="7">
        <f ca="1">NETWORKDAYS($A44, AB44, Hols[CME])</f>
        <v>22</v>
      </c>
      <c r="AO44" s="7">
        <f ca="1">NETWORKDAYS($A44, AC44, Hols[ICE]) - 1</f>
        <v>21</v>
      </c>
      <c r="AP44" s="10">
        <f t="shared" ca="1" si="67"/>
        <v>0.68181818181818177</v>
      </c>
      <c r="AQ44" s="10">
        <f t="shared" ca="1" si="68"/>
        <v>0.95454545454545459</v>
      </c>
      <c r="AR44" s="10">
        <f t="shared" ca="1" si="69"/>
        <v>0.36363636363636365</v>
      </c>
      <c r="AS44" s="10">
        <f t="shared" ca="1" si="70"/>
        <v>1</v>
      </c>
      <c r="AT44" s="10">
        <f t="shared" ca="1" si="71"/>
        <v>1</v>
      </c>
      <c r="AU44" s="10">
        <f t="shared" ca="1" si="71"/>
        <v>0.95454545454545459</v>
      </c>
      <c r="AV44" s="28">
        <f ca="1">IFERROR(AVERAGE(_xll.BDH(AV$18 &amp; $B44 &amp; RIGHT($C44, 1) &amp; " " &amp; "Comdty", "PX_SETTLE", AV$16, AV$16, "Fill=#N/A")), IFERROR(AVERAGE(_xll.BDH(AV$18 &amp; $B44 &amp; RIGHT($C44, 2) &amp; " " &amp; "Comdty", "PX_SETTLE", AV$16, AV$16, "Fill=#N/A")), NA()))</f>
        <v>68.78</v>
      </c>
      <c r="AW44" s="28">
        <f ca="1">IFERROR(AVERAGE(_xll.BDH(AW$18 &amp; $B44 &amp; RIGHT($C44, 1) &amp; " " &amp; "Comdty", "PX_SETTLE", AW$16, AW$16, "Fill=#N/A")), IFERROR(AVERAGE(_xll.BDH(AW$18 &amp; $B44 &amp; RIGHT($C44, 2) &amp; " " &amp; "Comdty", "PX_SETTLE", AW$16, AW$16, "Fill=#N/A")), NA()))</f>
        <v>73.98</v>
      </c>
      <c r="AX44" s="29">
        <f ca="1">IFERROR(AVERAGE(_xll.BDH(AX$18 &amp; $B44 &amp; RIGHT($C44, 2) &amp; " " &amp; "Comdty", "FAIR_VALUE_SNAPSHOT_AT_1430", AX$16, AX$16, "TIME_ZONE_OVERRIDE=13", "Fill=#N/A")), NA())</f>
        <v>835.75</v>
      </c>
      <c r="AY44" s="28">
        <f ca="1">IFERROR(AVERAGE(_xll.BDH(AY$18 &amp; $B44 &amp; RIGHT($C44, 1) &amp; " " &amp; "Comdty", "PX_SETTLE", AY$16, AY$16, "Fill=#N/A")), NA())</f>
        <v>299.5</v>
      </c>
      <c r="AZ44" s="28">
        <f ca="1">IFERROR(AVERAGE(_xll.BDH(AZ$18 &amp; $B44 &amp; RIGHT($C44, 1) &amp; " " &amp; "Comdty", "PX_SETTLE", AZ$16, AZ$16, "Fill=#N/A")), NA())</f>
        <v>224.17</v>
      </c>
      <c r="BA44" s="29" t="e">
        <f ca="1">IFERROR(AVERAGE(_xll.BDH(BA$18 &amp; $B44 &amp; RIGHT($C44, 2) &amp; " " &amp; "Comdty", "PX_SETTLE", BA$16, BA$16, "Fill=#N/A")), IFERROR(AVERAGE(_xll.BDH(BA$18 &amp; $B44 &amp; RIGHT($C44, 2) &amp; " " &amp; "Comdty", "PX_SETTLE", BA$16, BA$16, "Fill=#N/A")), NA()))</f>
        <v>#N/A</v>
      </c>
      <c r="BB44" s="29">
        <f ca="1">IFERROR(AVERAGE(_xll.BDH(BB$18 &amp; $B44 &amp; RIGHT($C44, 2) &amp; " " &amp; "Comdty", "PX_SETTLE", BB$16, BB$16, "Fill=#N/A")), IFERROR(AVERAGE(_xll.BDH(BB$18 &amp; $B44 &amp; RIGHT($C44, 2) &amp; " " &amp; "Comdty", "PX_SETTLE", BB$16, BB$16, "Fill=#N/A")), NA()))</f>
        <v>74.680000000000007</v>
      </c>
      <c r="BC44" s="29" t="e">
        <f ca="1">IFERROR(AVERAGE(_xll.BDH(BC$18 &amp; $B44 &amp; RIGHT($C44, 2) &amp; " " &amp; "Comdty", "PX_SETTLE", BC$16, BC$16, "Fill=#N/A")), IFERROR(AVERAGE(_xll.BDH(BC$18 &amp; $B44 &amp; RIGHT($C44, 2) &amp; " " &amp; "Comdty", "PX_SETTLE", BC$16, BC$16, "Fill=#N/A")), NA()))</f>
        <v>#N/A</v>
      </c>
      <c r="BD44" s="29" t="e">
        <f>NA()</f>
        <v>#N/A</v>
      </c>
      <c r="BE44" s="109">
        <f t="shared" ca="1" si="209"/>
        <v>68.788636363636385</v>
      </c>
      <c r="BF44" s="46">
        <f t="shared" ca="1" si="72"/>
        <v>8.6363636363842033E-3</v>
      </c>
      <c r="BG44" s="47">
        <f t="shared" ca="1" si="151"/>
        <v>0.2686363636363609</v>
      </c>
      <c r="BH44" s="114">
        <f t="shared" ca="1" si="223"/>
        <v>5.863636363636715E-2</v>
      </c>
      <c r="BI44" s="110">
        <f t="shared" ca="1" si="224"/>
        <v>73.879545454545536</v>
      </c>
      <c r="BJ44" s="46">
        <f t="shared" ca="1" si="73"/>
        <v>-0.1004545454544683</v>
      </c>
      <c r="BK44" s="48">
        <f t="shared" ca="1" si="225"/>
        <v>0.30454545454544757</v>
      </c>
      <c r="BL44" s="114">
        <f t="shared" ca="1" si="226"/>
        <v>6.4545454545452685E-2</v>
      </c>
      <c r="BM44" s="48">
        <f t="shared" ca="1" si="152"/>
        <v>825.29545454545496</v>
      </c>
      <c r="BN44" s="46">
        <f t="shared" ca="1" si="74"/>
        <v>-10.454545454545041</v>
      </c>
      <c r="BO44" s="47">
        <f t="shared" ca="1" si="210"/>
        <v>9.2954545454545041</v>
      </c>
      <c r="BP44" s="46">
        <f t="shared" ca="1" si="133"/>
        <v>5.2954545454545041</v>
      </c>
      <c r="BQ44" s="110">
        <f t="shared" ca="1" si="211"/>
        <v>298.30500000000001</v>
      </c>
      <c r="BR44" s="46">
        <f t="shared" ca="1" si="75"/>
        <v>-1.1949999999999932</v>
      </c>
      <c r="BS44" s="47">
        <f t="shared" ca="1" si="153"/>
        <v>0.45999999999997954</v>
      </c>
      <c r="BT44" s="114">
        <f t="shared" ca="1" si="154"/>
        <v>-2.0000000000038654E-2</v>
      </c>
      <c r="BU44" s="48">
        <f t="shared" ca="1" si="212"/>
        <v>222.89</v>
      </c>
      <c r="BV44" s="46">
        <f t="shared" ca="1" si="76"/>
        <v>-1.2800000000000011</v>
      </c>
      <c r="BW44" s="47">
        <f t="shared" ca="1" si="155"/>
        <v>14.995000000000005</v>
      </c>
      <c r="BX44" s="46">
        <f t="shared" ca="1" si="156"/>
        <v>1.4849999999999852</v>
      </c>
      <c r="BY44" s="140">
        <f t="shared" ca="1" si="134"/>
        <v>68.434524793388448</v>
      </c>
      <c r="BZ44" s="46">
        <f t="shared" ca="1" si="135"/>
        <v>-0.10820247933881433</v>
      </c>
      <c r="CA44" s="47">
        <f t="shared" ca="1" si="157"/>
        <v>0.26456611570247901</v>
      </c>
      <c r="CB44" s="46">
        <f t="shared" ca="1" si="158"/>
        <v>8.7293388429747168E-2</v>
      </c>
      <c r="CC44" s="141">
        <f t="shared" ca="1" si="136"/>
        <v>73.262417355371994</v>
      </c>
      <c r="CD44" s="50">
        <f t="shared" ca="1" si="137"/>
        <v>-0.23667355371891768</v>
      </c>
      <c r="CE44" s="47">
        <f t="shared" ca="1" si="159"/>
        <v>0.29808048012593247</v>
      </c>
      <c r="CF44" s="46">
        <f t="shared" ca="1" si="160"/>
        <v>6.8123770169227188E-2</v>
      </c>
      <c r="CG44" s="141">
        <f t="shared" ca="1" si="138"/>
        <v>819.38016528925664</v>
      </c>
      <c r="CH44" s="50">
        <f t="shared" ca="1" si="139"/>
        <v>-11.915289256197907</v>
      </c>
      <c r="CI44" s="47">
        <f t="shared" ca="1" si="161"/>
        <v>9.0137741046833071</v>
      </c>
      <c r="CJ44" s="46">
        <f t="shared" ca="1" si="162"/>
        <v>3.2258953168043654</v>
      </c>
      <c r="CK44" s="141">
        <f t="shared" ca="1" si="140"/>
        <v>298.77</v>
      </c>
      <c r="CL44" s="50">
        <f t="shared" ca="1" si="77"/>
        <v>0.33999999999997499</v>
      </c>
      <c r="CM44" s="47">
        <f t="shared" ca="1" si="163"/>
        <v>-0.46499999999997499</v>
      </c>
      <c r="CN44" s="46">
        <f t="shared" ca="1" si="164"/>
        <v>-1.5349999999999682</v>
      </c>
      <c r="CO44" s="141">
        <f t="shared" ca="1" si="141"/>
        <v>218.98999999999998</v>
      </c>
      <c r="CP44" s="50">
        <f t="shared" ca="1" si="78"/>
        <v>-2.0600000000000307</v>
      </c>
      <c r="CQ44" s="47">
        <f t="shared" ca="1" si="165"/>
        <v>3.9000000000000057</v>
      </c>
      <c r="CR44" s="46">
        <f t="shared" ca="1" si="166"/>
        <v>0.78000000000002956</v>
      </c>
      <c r="CS44" s="109">
        <f t="shared" ca="1" si="79"/>
        <v>-5.0909090909091503</v>
      </c>
      <c r="CT44" s="46">
        <f t="shared" ca="1" si="80"/>
        <v>0.10909090909085251</v>
      </c>
      <c r="CU44" s="47">
        <f t="shared" ca="1" si="167"/>
        <v>-3.5909090909086672E-2</v>
      </c>
      <c r="CV44" s="46">
        <f t="shared" ca="1" si="168"/>
        <v>0</v>
      </c>
      <c r="CW44" s="110">
        <f t="shared" ca="1" si="142"/>
        <v>-4.8278925619835462</v>
      </c>
      <c r="CX44" s="46">
        <f t="shared" ca="1" si="81"/>
        <v>0.12847107438010336</v>
      </c>
      <c r="CY44" s="47">
        <f t="shared" ca="1" si="169"/>
        <v>-3.3514364423453458E-2</v>
      </c>
      <c r="CZ44" s="46">
        <f t="shared" ca="1" si="170"/>
        <v>1.9169618260519994E-2</v>
      </c>
      <c r="DA44" s="109">
        <f t="shared" ca="1" si="82"/>
        <v>36.898367907260493</v>
      </c>
      <c r="DB44" s="46">
        <f t="shared" ca="1" si="83"/>
        <v>-1.3028401464307722</v>
      </c>
      <c r="DC44" s="47">
        <f t="shared" ca="1" si="171"/>
        <v>0.94316656497865381</v>
      </c>
      <c r="DD44" s="46">
        <f t="shared" ca="1" si="233"/>
        <v>0.64625381330078957</v>
      </c>
      <c r="DE44" s="110">
        <f t="shared" ca="1" si="84"/>
        <v>51.408554545454464</v>
      </c>
      <c r="DF44" s="46">
        <f t="shared" ca="1" si="85"/>
        <v>-0.40144545454552882</v>
      </c>
      <c r="DG44" s="47">
        <f t="shared" ca="1" si="172"/>
        <v>-0.1113454545454573</v>
      </c>
      <c r="DH44" s="46">
        <f t="shared" ca="1" si="173"/>
        <v>-7.2945454545468968E-2</v>
      </c>
      <c r="DI44" s="110">
        <f t="shared" ca="1" si="86"/>
        <v>19.734254545454462</v>
      </c>
      <c r="DJ44" s="46">
        <f t="shared" ca="1" si="87"/>
        <v>-0.43714545454553222</v>
      </c>
      <c r="DK44" s="47">
        <f t="shared" ca="1" si="174"/>
        <v>5.9933545454545509</v>
      </c>
      <c r="DL44" s="46">
        <f t="shared" ca="1" si="175"/>
        <v>0.55915454545454113</v>
      </c>
      <c r="DM44" s="110">
        <f t="shared" ca="1" si="88"/>
        <v>56.499463636363615</v>
      </c>
      <c r="DN44" s="46">
        <f t="shared" ca="1" si="89"/>
        <v>-0.51053636363638133</v>
      </c>
      <c r="DO44" s="47">
        <f t="shared" ca="1" si="176"/>
        <v>-7.5436363636370629E-2</v>
      </c>
      <c r="DP44" s="47">
        <f t="shared" ca="1" si="177"/>
        <v>-6.7036363636383434E-2</v>
      </c>
      <c r="DQ44" s="110">
        <f t="shared" ca="1" si="90"/>
        <v>24.825163636363612</v>
      </c>
      <c r="DR44" s="46">
        <f t="shared" ca="1" si="91"/>
        <v>-0.54623636363638473</v>
      </c>
      <c r="DS44" s="47">
        <f t="shared" ca="1" si="178"/>
        <v>6.0292636363636376</v>
      </c>
      <c r="DT44" s="47">
        <f t="shared" ca="1" si="179"/>
        <v>0.56506363636362666</v>
      </c>
      <c r="DU44" s="109">
        <f t="shared" ca="1" si="92"/>
        <v>36.72149744855507</v>
      </c>
      <c r="DV44" s="46">
        <f t="shared" ca="1" si="93"/>
        <v>-1.3626941316767744</v>
      </c>
      <c r="DW44" s="47">
        <f t="shared" ca="1" si="180"/>
        <v>0.91182208426108957</v>
      </c>
      <c r="DX44" s="47">
        <f t="shared" ca="1" si="181"/>
        <v>0.36488231262330495</v>
      </c>
      <c r="DY44" s="110">
        <f t="shared" ca="1" si="94"/>
        <v>52.220982644628009</v>
      </c>
      <c r="DZ44" s="46">
        <f t="shared" ca="1" si="95"/>
        <v>0.37947355371890718</v>
      </c>
      <c r="EA44" s="47">
        <f t="shared" ca="1" si="182"/>
        <v>-0.49338048012593561</v>
      </c>
      <c r="EB44" s="47">
        <f t="shared" ca="1" si="183"/>
        <v>-0.71282377016921372</v>
      </c>
      <c r="EC44" s="110">
        <f t="shared" ca="1" si="96"/>
        <v>18.713382644627998</v>
      </c>
      <c r="ED44" s="46">
        <f t="shared" ca="1" si="97"/>
        <v>-0.62852644628109511</v>
      </c>
      <c r="EE44" s="47">
        <f t="shared" ca="1" si="184"/>
        <v>1.3399195198740728</v>
      </c>
      <c r="EF44" s="47">
        <f t="shared" ca="1" si="185"/>
        <v>0.25947622983078511</v>
      </c>
      <c r="EG44" s="110">
        <f t="shared" ca="1" si="98"/>
        <v>57.048875206611555</v>
      </c>
      <c r="EH44" s="46">
        <f t="shared" ca="1" si="99"/>
        <v>0.25100247933880382</v>
      </c>
      <c r="EI44" s="47">
        <f t="shared" ca="1" si="186"/>
        <v>-0.45986611570248215</v>
      </c>
      <c r="EJ44" s="47">
        <f t="shared" ca="1" si="187"/>
        <v>-0.73199338842973383</v>
      </c>
      <c r="EK44" s="110">
        <f t="shared" ca="1" si="100"/>
        <v>23.541275206611544</v>
      </c>
      <c r="EL44" s="46">
        <f t="shared" ca="1" si="101"/>
        <v>-0.75699752066119852</v>
      </c>
      <c r="EM44" s="47">
        <f t="shared" ca="1" si="188"/>
        <v>1.3734338842975262</v>
      </c>
      <c r="EN44" s="47">
        <f t="shared" ca="1" si="189"/>
        <v>0.24030661157026512</v>
      </c>
      <c r="EO44" s="109">
        <f t="shared" ca="1" si="102"/>
        <v>34.548063424271334</v>
      </c>
      <c r="EP44" s="46">
        <f t="shared" ca="1" si="103"/>
        <v>2.146177837822008</v>
      </c>
      <c r="EQ44" s="47">
        <f t="shared" ca="1" si="190"/>
        <v>-2.5107429036287954</v>
      </c>
      <c r="ER44" s="47">
        <f t="shared" ca="1" si="191"/>
        <v>-1.7123792091577583</v>
      </c>
      <c r="ES44" s="110">
        <f t="shared" ca="1" si="104"/>
        <v>36.903536181126015</v>
      </c>
      <c r="ET44" s="46">
        <f t="shared" ca="1" si="105"/>
        <v>4.1480182985611469</v>
      </c>
      <c r="EU44" s="47">
        <f t="shared" ca="1" si="192"/>
        <v>-3.3457203913976628</v>
      </c>
      <c r="EV44" s="47">
        <f t="shared" ca="1" si="193"/>
        <v>-2.5659668637917115</v>
      </c>
      <c r="EW44" s="109">
        <f t="shared" ca="1" si="106"/>
        <v>-75.41500000000002</v>
      </c>
      <c r="EX44" s="46">
        <f t="shared" ca="1" si="107"/>
        <v>-8.5000000000007958E-2</v>
      </c>
      <c r="EY44" s="47">
        <f t="shared" ca="1" si="194"/>
        <v>14.535000000000025</v>
      </c>
      <c r="EZ44" s="47">
        <f t="shared" ca="1" si="195"/>
        <v>1.5050000000000239</v>
      </c>
      <c r="FA44" s="110">
        <f t="shared" ca="1" si="108"/>
        <v>-79.78</v>
      </c>
      <c r="FB44" s="46">
        <f t="shared" ca="1" si="109"/>
        <v>-2.4000000000000057</v>
      </c>
      <c r="FC44" s="47">
        <f t="shared" ca="1" si="196"/>
        <v>4.3649999999999807</v>
      </c>
      <c r="FD44" s="47">
        <f t="shared" ca="1" si="197"/>
        <v>2.3149999999999977</v>
      </c>
      <c r="FE44" s="109">
        <f t="shared" ca="1" si="110"/>
        <v>40.662313636363614</v>
      </c>
      <c r="FF44" s="46">
        <f t="shared" ca="1" si="111"/>
        <v>-0.52838636363638303</v>
      </c>
      <c r="FG44" s="110">
        <f t="shared" ca="1" si="112"/>
        <v>35.383263636363608</v>
      </c>
      <c r="FH44" s="46">
        <f t="shared" ca="1" si="113"/>
        <v>-0.53433636363638359</v>
      </c>
      <c r="FI44" s="110">
        <f t="shared" ca="1" si="114"/>
        <v>35.571404545454463</v>
      </c>
      <c r="FJ44" s="46">
        <f t="shared" ca="1" si="115"/>
        <v>-0.41929545454553052</v>
      </c>
      <c r="FK44" s="110">
        <f t="shared" ca="1" si="116"/>
        <v>30.292354545454462</v>
      </c>
      <c r="FL44" s="46">
        <f t="shared" ca="1" si="117"/>
        <v>-0.42524545454553109</v>
      </c>
      <c r="FM44" s="110">
        <f t="shared" ca="1" si="118"/>
        <v>40.29507520661155</v>
      </c>
      <c r="FN44" s="46">
        <f t="shared" ca="1" si="119"/>
        <v>-0.25299752066119735</v>
      </c>
      <c r="FO44" s="110">
        <f t="shared" ca="1" si="120"/>
        <v>34.710475206611548</v>
      </c>
      <c r="FP44" s="46">
        <f t="shared" ca="1" si="121"/>
        <v>-0.42099752066119772</v>
      </c>
      <c r="FQ44" s="110">
        <f t="shared" ca="1" si="122"/>
        <v>35.467182644628004</v>
      </c>
      <c r="FR44" s="46">
        <f t="shared" ca="1" si="123"/>
        <v>-0.12452644628109397</v>
      </c>
      <c r="FS44" s="110">
        <f t="shared" ca="1" si="124"/>
        <v>29.882582644628002</v>
      </c>
      <c r="FT44" s="111">
        <f t="shared" ca="1" si="125"/>
        <v>-0.29252644628109437</v>
      </c>
      <c r="FU44" s="109" t="str">
        <f t="shared" ca="1" si="232"/>
        <v/>
      </c>
      <c r="FV44" s="46" t="str">
        <f t="shared" ca="1" si="213"/>
        <v/>
      </c>
      <c r="FW44" s="48" t="str">
        <f t="shared" ca="1" si="227"/>
        <v/>
      </c>
      <c r="FX44" s="114" t="str">
        <f t="shared" ca="1" si="228"/>
        <v/>
      </c>
      <c r="FY44" s="110" t="str">
        <f t="shared" ca="1" si="214"/>
        <v/>
      </c>
      <c r="FZ44" s="46" t="str">
        <f t="shared" ca="1" si="215"/>
        <v/>
      </c>
      <c r="GA44" s="47" t="str">
        <f t="shared" ca="1" si="216"/>
        <v/>
      </c>
      <c r="GB44" s="46" t="str">
        <f t="shared" ca="1" si="229"/>
        <v/>
      </c>
      <c r="GC44" s="110" t="str">
        <f ca="1">IFERROR(IF(AND(ISNUMBER($FU44), ISNUMBER(Crd!$X44)), $FU44 - Crd!$X44, ""), "")</f>
        <v/>
      </c>
      <c r="GD44" s="46" t="str">
        <f ca="1">IFERROR(IF(AND(ISNUMBER($FV44), ISNUMBER(Crd!$Y44)), $FV44 - Crd!$Y44, ""), "")</f>
        <v/>
      </c>
      <c r="GE44" s="47" t="str">
        <f t="shared" ca="1" si="217"/>
        <v/>
      </c>
      <c r="GF44" s="46" t="str">
        <f t="shared" ca="1" si="218"/>
        <v/>
      </c>
      <c r="GG44" s="141" t="str">
        <f t="shared" ca="1" si="198"/>
        <v/>
      </c>
      <c r="GH44" s="50" t="str">
        <f t="shared" ca="1" si="199"/>
        <v/>
      </c>
      <c r="GI44" s="47" t="str">
        <f t="shared" ca="1" si="144"/>
        <v/>
      </c>
      <c r="GJ44" s="46" t="str">
        <f t="shared" ca="1" si="145"/>
        <v/>
      </c>
      <c r="GK44" s="110" t="str">
        <f t="shared" ca="1" si="127"/>
        <v/>
      </c>
      <c r="GL44" s="46" t="str">
        <f t="shared" ca="1" si="128"/>
        <v/>
      </c>
      <c r="GM44" s="47" t="str">
        <f t="shared" ca="1" si="200"/>
        <v/>
      </c>
      <c r="GN44" s="46" t="str">
        <f t="shared" ca="1" si="201"/>
        <v/>
      </c>
      <c r="GO44" s="110" t="str">
        <f ca="1">IFERROR(IF(AND(ISNUMBER($GG44), ISNUMBER(Crd!$X44)), $GG44 - Crd!$X44, ""), "")</f>
        <v/>
      </c>
      <c r="GP44" s="46" t="str">
        <f ca="1">IFERROR(IF(AND(ISNUMBER($GH44), ISNUMBER(Crd!$Y44)), $GH44 - Crd!$Y44, ""), "")</f>
        <v/>
      </c>
      <c r="GQ44" s="47" t="str">
        <f t="shared" ca="1" si="202"/>
        <v/>
      </c>
      <c r="GR44" s="46" t="str">
        <f t="shared" ca="1" si="203"/>
        <v/>
      </c>
      <c r="GS44" s="436" t="str">
        <f t="shared" ca="1" si="219"/>
        <v/>
      </c>
      <c r="GT44" s="46" t="str">
        <f t="shared" ca="1" si="220"/>
        <v/>
      </c>
      <c r="GU44" s="48" t="str">
        <f t="shared" ca="1" si="230"/>
        <v/>
      </c>
      <c r="GV44" s="46" t="str">
        <f t="shared" ca="1" si="231"/>
        <v/>
      </c>
      <c r="GW44" s="427" t="str">
        <f t="shared" ca="1" si="204"/>
        <v/>
      </c>
      <c r="GX44" s="50" t="str">
        <f t="shared" ca="1" si="146"/>
        <v/>
      </c>
      <c r="GY44" s="47" t="str">
        <f t="shared" ca="1" si="205"/>
        <v/>
      </c>
      <c r="GZ44" s="432" t="str">
        <f t="shared" ca="1" si="206"/>
        <v/>
      </c>
      <c r="HA44" s="436"/>
      <c r="HB44" s="46"/>
      <c r="HC44" s="48"/>
      <c r="HD44" s="46"/>
      <c r="HE44" s="269"/>
      <c r="HF44" s="46"/>
      <c r="HG44" s="48"/>
      <c r="HH44" s="432"/>
    </row>
    <row r="45" spans="1:216" x14ac:dyDescent="0.25">
      <c r="A45" s="58">
        <f t="shared" ca="1" si="131"/>
        <v>47058</v>
      </c>
      <c r="B45" s="6" t="str">
        <f ca="1">INDEX(MthRef[], MATCH(MONTH(Futs!$A45), MthRef[Mth], 0), 2)</f>
        <v>X</v>
      </c>
      <c r="C45" s="6">
        <f t="shared" ca="1" si="65"/>
        <v>2028</v>
      </c>
      <c r="D45" s="6" t="str">
        <f t="shared" ca="1" si="66"/>
        <v>Q428</v>
      </c>
      <c r="E45" s="6" t="str">
        <f t="shared" ca="1" si="132"/>
        <v>X8</v>
      </c>
      <c r="F45" s="10" t="e">
        <f ca="1">IFERROR(AVERAGE(_xll.BDP(F$18 &amp; $B45 &amp; RIGHT($C45, 1) &amp; " " &amp; "Comdty", "BID", "Fill=#N/A"), _xll.BDP(F$18 &amp; $B45 &amp; RIGHT($C45, 1) &amp; " " &amp; "Comdty", "ASK", "Fill=#N/A")), NA())</f>
        <v>#N/A</v>
      </c>
      <c r="G45" s="10">
        <f ca="1">IFERROR(AVERAGE(_xll.BDP(G$18 &amp; $B45 &amp; RIGHT($C45, 1) &amp; " " &amp; "Comdty", "BID", "Fill=#N/A"), _xll.BDP(G$18 &amp; $B45 &amp; RIGHT($C45, 1) &amp; " " &amp; "Comdty", "ASK", "Fill=#N/A")), NA())</f>
        <v>73.78</v>
      </c>
      <c r="H45" s="10">
        <f ca="1">IFERROR(AVERAGE(_xll.BDP(H$18 &amp; $B45 &amp; RIGHT($C45, 1) &amp; " " &amp; "Comdty", "BID", "Fill=#N/A"), _xll.BDP(H$18 &amp; $B45 &amp; RIGHT($C45, 1) &amp; " " &amp; "Comdty", "ASK", "Fill=#N/A")), NA())</f>
        <v>822.5</v>
      </c>
      <c r="I45" s="10" t="e">
        <f ca="1">IFERROR(AVERAGE(_xll.BDP(I$18 &amp; $B45 &amp; RIGHT($C45, 1) &amp; " " &amp; "Comdty", "BID", "Fill=#N/A"), _xll.BDP(I$18 &amp; $B45 &amp; RIGHT($C45, 1) &amp; " " &amp; "Comdty", "ASK", "Fill=#N/A")), NA())</f>
        <v>#N/A</v>
      </c>
      <c r="J45" s="10" t="e">
        <f ca="1">IFERROR(AVERAGE(_xll.BDP(J$18 &amp; $B45 &amp; RIGHT($C45, 1) &amp; " " &amp; "Comdty", "BID", "Fill=#N/A"), _xll.BDP(J$18 &amp; $B45 &amp; RIGHT($C45, 1) &amp; " " &amp; "Comdty", "ASK", "Fill=#N/A")), NA())</f>
        <v>#N/A</v>
      </c>
      <c r="K45" s="10" t="e">
        <f ca="1">IFERROR(AVERAGE(_xll.BDP(K$18 &amp; $B45 &amp; RIGHT($C45, 2) &amp; " " &amp; "Comdty", "BID", "Fill=#N/A"), _xll.BDP(K$18 &amp; $B45 &amp; RIGHT($C45, 2) &amp; " " &amp; "Comdty", "ASK", "Fill=#N/A")), NA())</f>
        <v>#N/A</v>
      </c>
      <c r="L45" s="10" t="e">
        <f ca="1">IFERROR(AVERAGE(_xll.BDP(L$18 &amp; $B45 &amp; RIGHT($C45, 2) &amp; " " &amp; "Comdty", "BID", "Fill=#N/A"), _xll.BDP(L$18 &amp; $B45 &amp; RIGHT($C45, 2) &amp; " " &amp; "Comdty", "ASK", "Fill=#N/A")), NA())</f>
        <v>#N/A</v>
      </c>
      <c r="M45" s="10" t="e">
        <f ca="1">IFERROR(AVERAGE(_xll.BDP(M$18 &amp; $B45 &amp; RIGHT($C45, 2) &amp; " " &amp; "Comdty", "BID", "Fill=#N/A"), _xll.BDP(M$18 &amp; $B45 &amp; RIGHT($C45, 2) &amp; " " &amp; "Comdty", "ASK", "Fill=#N/A")), NA())</f>
        <v>#N/A</v>
      </c>
      <c r="N45" s="10">
        <f ca="1">IFERROR(AVERAGE(_xll.BDP(N$18 &amp; $B44 &amp; RIGHT($C44, 1) &amp; N$18 &amp; $B45 &amp; RIGHT($C45, 1) &amp; " " &amp; "Comdty", "BID", "Fill=#N/A"), _xll.BDP(N$18 &amp; $B44 &amp; RIGHT($C44, 1) &amp; N$18 &amp; $B45 &amp; RIGHT($C45, 1) &amp; " " &amp; "Comdty", "ASK", "Fill=#N/A")), NA())</f>
        <v>0.17499999999999999</v>
      </c>
      <c r="O45" s="10">
        <f ca="1">IFERROR(AVERAGE(_xll.BDP(O$18 &amp; $B44 &amp; RIGHT($C44, 1) &amp; O$18 &amp; $B45 &amp; RIGHT($C45, 1) &amp; " " &amp; "Comdty", "BID", "Fill=#N/A"), _xll.BDP(O$18 &amp; $B44 &amp; RIGHT($C44, 1) &amp; O$18 &amp; $B45 &amp; RIGHT($C45, 1) &amp; " " &amp; "Comdty", "ASK", "Fill=#N/A")), NA())</f>
        <v>0.22500000000000001</v>
      </c>
      <c r="P45" s="10">
        <f ca="1">IFERROR(AVERAGE(_xll.BDP(P$18 &amp; $B44 &amp; RIGHT($C44, 1) &amp; P$18 &amp; $B45 &amp; RIGHT($C45, 1) &amp; " " &amp; "Comdty", "BID", "Fill=#N/A"), _xll.BDP(P$18 &amp; $B44 &amp; RIGHT($C44, 1) &amp; P$18 &amp; $B45 &amp; RIGHT($C45, 1) &amp; " " &amp; "Comdty", "ASK", "Fill=#N/A")), NA())</f>
        <v>6.625</v>
      </c>
      <c r="Q45" s="10">
        <f ca="1">IFERROR(AVERAGE(_xll.BDP(Q$18 &amp; $B44 &amp; RIGHT($C44, 1) &amp; Q$18 &amp; $B45 &amp; RIGHT($C45, 1) &amp; " " &amp; "Comdty", "BID", "Fill=#N/A"), _xll.BDP(Q$18 &amp; $B44 &amp; RIGHT($C44, 1) &amp; Q$18 &amp; $B45 &amp; RIGHT($C45, 1) &amp; " " &amp; "Comdty", "ASK", "Fill=#N/A")), NA())</f>
        <v>-0.46500000000000008</v>
      </c>
      <c r="R45" s="10">
        <f ca="1">IFERROR(AVERAGE(_xll.BDP(R$18 &amp; $B44 &amp; RIGHT($C44, 1) &amp; R$18 &amp; $B45 &amp; RIGHT($C45, 1) &amp; " " &amp; "Comdty", "BID", "Fill=#N/A"), _xll.BDP(R$18 &amp; $B44 &amp; RIGHT($C44, 1) &amp; R$18 &amp; $B45 &amp; RIGHT($C45, 1) &amp; " " &amp; "Comdty", "ASK", "Fill=#N/A")), NA())</f>
        <v>3.9000000000000004</v>
      </c>
      <c r="S45" s="10" t="e">
        <f ca="1">IFERROR(AVERAGE(_xll.BDP(S$18 &amp; $B44 &amp; RIGHT($C44, 1) &amp; $B45 &amp; RIGHT($C45, 1) &amp; " " &amp; "Comdty", "BID", "Fill=#N/A"), _xll.BDP(S$18 &amp; $B44 &amp; RIGHT($C44, 1) &amp; $B45 &amp; RIGHT($C45, 1) &amp; " " &amp; "Comdty", "ASK", "Fill=#N/A")), NA())</f>
        <v>#N/A</v>
      </c>
      <c r="T45" s="10" t="e">
        <f ca="1">IFERROR(AVERAGE(_xll.BDP(T$18 &amp; $B44 &amp; RIGHT($C44, 1) &amp; $B45 &amp; RIGHT($C45, 1) &amp; " " &amp; "Comdty", "BID", "Fill=#N/A"), _xll.BDP(T$18 &amp; $B44 &amp; RIGHT($C44, 1) &amp; $B45 &amp; RIGHT($C45, 1) &amp; " " &amp; "Comdty", "ASK", "Fill=#N/A")), NA())</f>
        <v>#N/A</v>
      </c>
      <c r="U45" s="10">
        <f ca="1">IF($A45 &lt; Diagnostics!$B$3, N45, INDEX(ImpSprd[], MATCH(Futs!$C45, ImpSprd[Yr], 0), MATCH(U$18, ImpSprd[#Headers], 0)))</f>
        <v>0.26863636363636362</v>
      </c>
      <c r="V45" s="10">
        <f ca="1">IF($A45 &lt; Diagnostics!$B$3, O45, INDEX(ImpSprd[], MATCH(Futs!$C45, ImpSprd[Yr], 0), MATCH(V$18, ImpSprd[#Headers], 0)))</f>
        <v>0.30454545454545451</v>
      </c>
      <c r="W45" s="10">
        <f ca="1">IF($A45 &lt; Diagnostics!$B$3, P45, INDEX(ImpSprd[], MATCH(Futs!$C45, ImpSprd[Yr], 0), MATCH(W$18, ImpSprd[#Headers], 0)))</f>
        <v>9.295454545454545</v>
      </c>
      <c r="X45" s="31">
        <f ca="1">INDEX(Expi[], MATCH($A45, Expi[Date], 0), MATCH(X$18, Expi[#Headers], 0))</f>
        <v>47077</v>
      </c>
      <c r="Y45" s="31">
        <f ca="1">INDEX(Expi[], MATCH($A45, Expi[Date], 0), MATCH(Y$18, Expi[#Headers], 0))</f>
        <v>47087</v>
      </c>
      <c r="Z45" s="31">
        <f ca="1">INDEX(Expi[], MATCH($A45, Expi[Date], 0), MATCH(Z$18, Expi[#Headers], 0))</f>
        <v>47067</v>
      </c>
      <c r="AA45" s="31">
        <f ca="1">INDEX(Expi[], MATCH($A45, Expi[Date], 0), MATCH(AA$18, Expi[#Headers], 0))</f>
        <v>47087</v>
      </c>
      <c r="AB45" s="31">
        <f ca="1">INDEX(Expi[], MATCH($A45, Expi[Date], 0), MATCH(AB$18, Expi[#Headers], 0))</f>
        <v>47087</v>
      </c>
      <c r="AC45" s="31">
        <f ca="1">INDEX(Expi[], MATCH($A45, Expi[Date], 0), MATCH(AC$18, Expi[#Headers], 0))</f>
        <v>47087</v>
      </c>
      <c r="AD45" s="7">
        <f ca="1">NETWORKDAYS($A45, EOMONTH($A45, 0), Hols[CME])</f>
        <v>22</v>
      </c>
      <c r="AE45" s="7">
        <f ca="1">NETWORKDAYS($A45, EOMONTH($A45, 0), Hols[ICE])</f>
        <v>22</v>
      </c>
      <c r="AF45" s="7">
        <f ca="1">NETWORKDAYS($A45, EOMONTH($A45, 0), Hols[ICE])</f>
        <v>22</v>
      </c>
      <c r="AG45" s="7">
        <f ca="1">NETWORKDAYS($A45, EOMONTH($A45, 0), Hols[CME])</f>
        <v>22</v>
      </c>
      <c r="AH45" s="7">
        <f ca="1">NETWORKDAYS($A45, EOMONTH($A45, 0), Hols[CME])</f>
        <v>22</v>
      </c>
      <c r="AI45" s="7">
        <f ca="1">NETWORKDAYS($A45, EOMONTH($A45, 0), Hols[ICE])</f>
        <v>22</v>
      </c>
      <c r="AJ45" s="7">
        <f ca="1">NETWORKDAYS($A45, X45, Hols[CME])</f>
        <v>14</v>
      </c>
      <c r="AK45" s="7">
        <f ca="1">NETWORKDAYS($A45, Y45, Hols[ICE]) - 1</f>
        <v>21</v>
      </c>
      <c r="AL45" s="7">
        <f ca="1">NETWORKDAYS($A45, Z45, Hols[ICE]) - 1</f>
        <v>7</v>
      </c>
      <c r="AM45" s="7">
        <f ca="1">NETWORKDAYS($A45, AA45, Hols[CME])</f>
        <v>22</v>
      </c>
      <c r="AN45" s="7">
        <f ca="1">NETWORKDAYS($A45, AB45, Hols[CME])</f>
        <v>22</v>
      </c>
      <c r="AO45" s="7">
        <f ca="1">NETWORKDAYS($A45, AC45, Hols[ICE]) - 1</f>
        <v>21</v>
      </c>
      <c r="AP45" s="10">
        <f t="shared" ca="1" si="67"/>
        <v>0.63636363636363635</v>
      </c>
      <c r="AQ45" s="10">
        <f t="shared" ca="1" si="68"/>
        <v>0.95454545454545459</v>
      </c>
      <c r="AR45" s="10">
        <f t="shared" ca="1" si="69"/>
        <v>0.31818181818181818</v>
      </c>
      <c r="AS45" s="10">
        <f t="shared" ca="1" si="70"/>
        <v>1</v>
      </c>
      <c r="AT45" s="10">
        <f t="shared" ca="1" si="71"/>
        <v>1</v>
      </c>
      <c r="AU45" s="10">
        <f t="shared" ca="1" si="71"/>
        <v>0.95454545454545459</v>
      </c>
      <c r="AV45" s="28">
        <f ca="1">IFERROR(AVERAGE(_xll.BDH(AV$18 &amp; $B45 &amp; RIGHT($C45, 1) &amp; " " &amp; "Comdty", "PX_SETTLE", AV$16, AV$16, "Fill=#N/A")), IFERROR(AVERAGE(_xll.BDH(AV$18 &amp; $B45 &amp; RIGHT($C45, 2) &amp; " " &amp; "Comdty", "PX_SETTLE", AV$16, AV$16, "Fill=#N/A")), NA()))</f>
        <v>68.599999999999994</v>
      </c>
      <c r="AW45" s="28">
        <f ca="1">IFERROR(AVERAGE(_xll.BDH(AW$18 &amp; $B45 &amp; RIGHT($C45, 1) &amp; " " &amp; "Comdty", "PX_SETTLE", AW$16, AW$16, "Fill=#N/A")), IFERROR(AVERAGE(_xll.BDH(AW$18 &amp; $B45 &amp; RIGHT($C45, 2) &amp; " " &amp; "Comdty", "PX_SETTLE", AW$16, AW$16, "Fill=#N/A")), NA()))</f>
        <v>73.739999999999995</v>
      </c>
      <c r="AX45" s="29">
        <f ca="1">IFERROR(AVERAGE(_xll.BDH(AX$18 &amp; $B45 &amp; RIGHT($C45, 2) &amp; " " &amp; "Comdty", "FAIR_VALUE_SNAPSHOT_AT_1430", AX$16, AX$16, "TIME_ZONE_OVERRIDE=13", "Fill=#N/A")), NA())</f>
        <v>828.75</v>
      </c>
      <c r="AY45" s="28">
        <f ca="1">IFERROR(AVERAGE(_xll.BDH(AY$18 &amp; $B45 &amp; RIGHT($C45, 1) &amp; " " &amp; "Comdty", "PX_SETTLE", AY$16, AY$16, "Fill=#N/A")), NA())</f>
        <v>298.43</v>
      </c>
      <c r="AZ45" s="28">
        <f ca="1">IFERROR(AVERAGE(_xll.BDH(AZ$18 &amp; $B45 &amp; RIGHT($C45, 1) &amp; " " &amp; "Comdty", "PX_SETTLE", AZ$16, AZ$16, "Fill=#N/A")), NA())</f>
        <v>221.05</v>
      </c>
      <c r="BA45" s="29" t="e">
        <f ca="1">IFERROR(AVERAGE(_xll.BDH(BA$18 &amp; $B45 &amp; RIGHT($C45, 2) &amp; " " &amp; "Comdty", "PX_SETTLE", BA$16, BA$16, "Fill=#N/A")), IFERROR(AVERAGE(_xll.BDH(BA$18 &amp; $B45 &amp; RIGHT($C45, 2) &amp; " " &amp; "Comdty", "PX_SETTLE", BA$16, BA$16, "Fill=#N/A")), NA()))</f>
        <v>#N/A</v>
      </c>
      <c r="BB45" s="29">
        <f ca="1">IFERROR(AVERAGE(_xll.BDH(BB$18 &amp; $B45 &amp; RIGHT($C45, 2) &amp; " " &amp; "Comdty", "PX_SETTLE", BB$16, BB$16, "Fill=#N/A")), IFERROR(AVERAGE(_xll.BDH(BB$18 &amp; $B45 &amp; RIGHT($C45, 2) &amp; " " &amp; "Comdty", "PX_SETTLE", BB$16, BB$16, "Fill=#N/A")), NA()))</f>
        <v>74.44</v>
      </c>
      <c r="BC45" s="29" t="e">
        <f ca="1">IFERROR(AVERAGE(_xll.BDH(BC$18 &amp; $B45 &amp; RIGHT($C45, 2) &amp; " " &amp; "Comdty", "PX_SETTLE", BC$16, BC$16, "Fill=#N/A")), IFERROR(AVERAGE(_xll.BDH(BC$18 &amp; $B45 &amp; RIGHT($C45, 2) &amp; " " &amp; "Comdty", "PX_SETTLE", BC$16, BC$16, "Fill=#N/A")), NA()))</f>
        <v>#N/A</v>
      </c>
      <c r="BD45" s="29" t="e">
        <f>NA()</f>
        <v>#N/A</v>
      </c>
      <c r="BE45" s="109">
        <f t="shared" ca="1" si="209"/>
        <v>68.520000000000024</v>
      </c>
      <c r="BF45" s="46">
        <f t="shared" ca="1" si="72"/>
        <v>-7.9999999999969873E-2</v>
      </c>
      <c r="BG45" s="47">
        <f t="shared" ca="1" si="151"/>
        <v>0.2686363636363609</v>
      </c>
      <c r="BH45" s="114">
        <f t="shared" ca="1" si="223"/>
        <v>8.8636363636354076E-2</v>
      </c>
      <c r="BI45" s="110">
        <f t="shared" ca="1" si="224"/>
        <v>73.575000000000088</v>
      </c>
      <c r="BJ45" s="46">
        <f t="shared" ca="1" si="73"/>
        <v>-0.16499999999990678</v>
      </c>
      <c r="BK45" s="48">
        <f t="shared" ca="1" si="225"/>
        <v>0.30454545454544757</v>
      </c>
      <c r="BL45" s="114">
        <f t="shared" ca="1" si="226"/>
        <v>6.4545454545438474E-2</v>
      </c>
      <c r="BM45" s="48">
        <f t="shared" ca="1" si="152"/>
        <v>816.00000000000045</v>
      </c>
      <c r="BN45" s="46">
        <f t="shared" ca="1" si="74"/>
        <v>-12.749999999999545</v>
      </c>
      <c r="BO45" s="47">
        <f t="shared" ca="1" si="210"/>
        <v>9.2954545454545041</v>
      </c>
      <c r="BP45" s="46">
        <f t="shared" ca="1" si="133"/>
        <v>2.2954545454545041</v>
      </c>
      <c r="BQ45" s="110">
        <f t="shared" ca="1" si="211"/>
        <v>298.77</v>
      </c>
      <c r="BR45" s="46">
        <f t="shared" ca="1" si="75"/>
        <v>0.33999999999997499</v>
      </c>
      <c r="BS45" s="47">
        <f t="shared" ca="1" si="153"/>
        <v>-0.46499999999997499</v>
      </c>
      <c r="BT45" s="114">
        <f t="shared" ca="1" si="154"/>
        <v>-1.5349999999999682</v>
      </c>
      <c r="BU45" s="48">
        <f t="shared" ca="1" si="212"/>
        <v>218.98999999999998</v>
      </c>
      <c r="BV45" s="46">
        <f t="shared" ca="1" si="76"/>
        <v>-2.0600000000000307</v>
      </c>
      <c r="BW45" s="47">
        <f t="shared" ca="1" si="155"/>
        <v>3.9000000000000057</v>
      </c>
      <c r="BX45" s="46">
        <f t="shared" ca="1" si="156"/>
        <v>0.78000000000002956</v>
      </c>
      <c r="BY45" s="140">
        <f t="shared" ca="1" si="134"/>
        <v>68.181776859504154</v>
      </c>
      <c r="BZ45" s="46">
        <f t="shared" ca="1" si="135"/>
        <v>-0.15822314049584144</v>
      </c>
      <c r="CA45" s="47">
        <f t="shared" ca="1" si="157"/>
        <v>0.25274793388429373</v>
      </c>
      <c r="CB45" s="46">
        <f t="shared" ca="1" si="158"/>
        <v>5.0020661157027108E-2</v>
      </c>
      <c r="CC45" s="141">
        <f t="shared" ca="1" si="136"/>
        <v>73.085599173553831</v>
      </c>
      <c r="CD45" s="50">
        <f t="shared" ca="1" si="137"/>
        <v>-0.17530991735526802</v>
      </c>
      <c r="CE45" s="47">
        <f t="shared" ca="1" si="159"/>
        <v>0.17681818181816311</v>
      </c>
      <c r="CF45" s="46">
        <f t="shared" ca="1" si="160"/>
        <v>-6.1363636363649665E-2</v>
      </c>
      <c r="CG45" s="141">
        <f t="shared" ca="1" si="138"/>
        <v>809.66219008264511</v>
      </c>
      <c r="CH45" s="50">
        <f t="shared" ca="1" si="139"/>
        <v>-14.315082644627616</v>
      </c>
      <c r="CI45" s="47">
        <f t="shared" ca="1" si="161"/>
        <v>9.717975206611527</v>
      </c>
      <c r="CJ45" s="46">
        <f t="shared" ca="1" si="162"/>
        <v>2.3997933884297087</v>
      </c>
      <c r="CK45" s="141">
        <f t="shared" ca="1" si="140"/>
        <v>297.94499999999999</v>
      </c>
      <c r="CL45" s="50">
        <f t="shared" ca="1" si="77"/>
        <v>0.74500000000000455</v>
      </c>
      <c r="CM45" s="47">
        <f t="shared" ca="1" si="163"/>
        <v>0.82499999999998863</v>
      </c>
      <c r="CN45" s="46">
        <f t="shared" ca="1" si="164"/>
        <v>-0.40500000000002956</v>
      </c>
      <c r="CO45" s="141">
        <f t="shared" ca="1" si="141"/>
        <v>216.29999999999998</v>
      </c>
      <c r="CP45" s="50">
        <f t="shared" ca="1" si="78"/>
        <v>-3.0700000000000216</v>
      </c>
      <c r="CQ45" s="47">
        <f t="shared" ca="1" si="165"/>
        <v>2.6899999999999977</v>
      </c>
      <c r="CR45" s="46">
        <f t="shared" ca="1" si="166"/>
        <v>1.0099999999999909</v>
      </c>
      <c r="CS45" s="109">
        <f t="shared" ca="1" si="79"/>
        <v>-5.0550000000000637</v>
      </c>
      <c r="CT45" s="46">
        <f t="shared" ca="1" si="80"/>
        <v>8.4999999999936904E-2</v>
      </c>
      <c r="CU45" s="47">
        <f t="shared" ca="1" si="167"/>
        <v>-3.5909090909086672E-2</v>
      </c>
      <c r="CV45" s="46">
        <f t="shared" ca="1" si="168"/>
        <v>0</v>
      </c>
      <c r="CW45" s="110">
        <f t="shared" ca="1" si="142"/>
        <v>-4.9038223140496768</v>
      </c>
      <c r="CX45" s="46">
        <f t="shared" ca="1" si="81"/>
        <v>1.7086776859426583E-2</v>
      </c>
      <c r="CY45" s="47">
        <f t="shared" ca="1" si="169"/>
        <v>7.5929752066130618E-2</v>
      </c>
      <c r="CZ45" s="46">
        <f t="shared" ca="1" si="170"/>
        <v>0.11138429752067677</v>
      </c>
      <c r="DA45" s="109">
        <f t="shared" ca="1" si="82"/>
        <v>35.955201342281853</v>
      </c>
      <c r="DB45" s="46">
        <f t="shared" ca="1" si="83"/>
        <v>-1.5464093959731866</v>
      </c>
      <c r="DC45" s="47">
        <f t="shared" ca="1" si="171"/>
        <v>0.9431665649786396</v>
      </c>
      <c r="DD45" s="46">
        <f t="shared" ca="1" si="233"/>
        <v>0.24356924954241443</v>
      </c>
      <c r="DE45" s="110">
        <f t="shared" ca="1" si="84"/>
        <v>51.908399999999915</v>
      </c>
      <c r="DF45" s="46">
        <f t="shared" ca="1" si="85"/>
        <v>0.30779999999989627</v>
      </c>
      <c r="DG45" s="47">
        <f t="shared" ca="1" si="172"/>
        <v>-0.49984545454545071</v>
      </c>
      <c r="DH45" s="46">
        <f t="shared" ca="1" si="173"/>
        <v>-0.70924545454542509</v>
      </c>
      <c r="DI45" s="110">
        <f t="shared" ca="1" si="86"/>
        <v>18.400799999999904</v>
      </c>
      <c r="DJ45" s="46">
        <f t="shared" ca="1" si="87"/>
        <v>-0.70020000000010607</v>
      </c>
      <c r="DK45" s="47">
        <f t="shared" ca="1" si="174"/>
        <v>1.3334545454545577</v>
      </c>
      <c r="DL45" s="46">
        <f t="shared" ca="1" si="175"/>
        <v>0.26305454545457385</v>
      </c>
      <c r="DM45" s="110">
        <f t="shared" ca="1" si="88"/>
        <v>56.963399999999979</v>
      </c>
      <c r="DN45" s="46">
        <f t="shared" ca="1" si="89"/>
        <v>0.22279999999995936</v>
      </c>
      <c r="DO45" s="47">
        <f t="shared" ca="1" si="176"/>
        <v>-0.46393636363636404</v>
      </c>
      <c r="DP45" s="47">
        <f t="shared" ca="1" si="177"/>
        <v>-0.73333636363634069</v>
      </c>
      <c r="DQ45" s="110">
        <f t="shared" ca="1" si="90"/>
        <v>23.455799999999968</v>
      </c>
      <c r="DR45" s="46">
        <f t="shared" ca="1" si="91"/>
        <v>-0.78520000000004297</v>
      </c>
      <c r="DS45" s="47">
        <f t="shared" ca="1" si="178"/>
        <v>1.3693636363636443</v>
      </c>
      <c r="DT45" s="47">
        <f t="shared" ca="1" si="179"/>
        <v>0.23896363636365825</v>
      </c>
      <c r="DU45" s="109">
        <f t="shared" ca="1" si="92"/>
        <v>35.593889428143498</v>
      </c>
      <c r="DV45" s="46">
        <f t="shared" ca="1" si="93"/>
        <v>-1.7461776859504523</v>
      </c>
      <c r="DW45" s="47">
        <f t="shared" ca="1" si="180"/>
        <v>1.1276080204115715</v>
      </c>
      <c r="DX45" s="47">
        <f t="shared" ca="1" si="181"/>
        <v>0.38348355427367786</v>
      </c>
      <c r="DY45" s="110">
        <f t="shared" ca="1" si="94"/>
        <v>52.05130082644618</v>
      </c>
      <c r="DZ45" s="46">
        <f t="shared" ca="1" si="95"/>
        <v>0.48820991735526992</v>
      </c>
      <c r="EA45" s="47">
        <f t="shared" ca="1" si="182"/>
        <v>0.1696818181818287</v>
      </c>
      <c r="EB45" s="47">
        <f t="shared" ca="1" si="183"/>
        <v>-0.10873636363636274</v>
      </c>
      <c r="EC45" s="110">
        <f t="shared" ca="1" si="96"/>
        <v>17.760400826446158</v>
      </c>
      <c r="ED45" s="46">
        <f t="shared" ca="1" si="97"/>
        <v>-1.1140900826447409</v>
      </c>
      <c r="EE45" s="47">
        <f t="shared" ca="1" si="184"/>
        <v>0.95298181818183991</v>
      </c>
      <c r="EF45" s="47">
        <f t="shared" ca="1" si="185"/>
        <v>0.48556363636364575</v>
      </c>
      <c r="EG45" s="110">
        <f t="shared" ca="1" si="98"/>
        <v>56.955123140495857</v>
      </c>
      <c r="EH45" s="46">
        <f t="shared" ca="1" si="99"/>
        <v>0.47112314049584336</v>
      </c>
      <c r="EI45" s="47">
        <f t="shared" ca="1" si="186"/>
        <v>9.3752066115698085E-2</v>
      </c>
      <c r="EJ45" s="47">
        <f t="shared" ca="1" si="187"/>
        <v>-0.22012066115703954</v>
      </c>
      <c r="EK45" s="110">
        <f t="shared" ca="1" si="100"/>
        <v>22.664223140495835</v>
      </c>
      <c r="EL45" s="46">
        <f t="shared" ca="1" si="101"/>
        <v>-1.1311768595041676</v>
      </c>
      <c r="EM45" s="47">
        <f t="shared" ca="1" si="188"/>
        <v>0.87705206611570929</v>
      </c>
      <c r="EN45" s="47">
        <f t="shared" ca="1" si="189"/>
        <v>0.37417933884296906</v>
      </c>
      <c r="EO45" s="109">
        <f t="shared" ca="1" si="102"/>
        <v>37.98380632790014</v>
      </c>
      <c r="EP45" s="46">
        <f t="shared" ca="1" si="103"/>
        <v>4.4147842761263876</v>
      </c>
      <c r="EQ45" s="47">
        <f t="shared" ca="1" si="190"/>
        <v>-3.4357429036288067</v>
      </c>
      <c r="ER45" s="47">
        <f t="shared" ca="1" si="191"/>
        <v>-2.2686064383043796</v>
      </c>
      <c r="ES45" s="110">
        <f t="shared" ca="1" si="104"/>
        <v>39.184312853101574</v>
      </c>
      <c r="ET45" s="46">
        <f t="shared" ca="1" si="105"/>
        <v>5.3199704840612432</v>
      </c>
      <c r="EU45" s="47">
        <f t="shared" ca="1" si="192"/>
        <v>-2.2807766719755591</v>
      </c>
      <c r="EV45" s="47">
        <f t="shared" ca="1" si="193"/>
        <v>-1.1719521855000963</v>
      </c>
      <c r="EW45" s="109">
        <f t="shared" ca="1" si="106"/>
        <v>-79.78</v>
      </c>
      <c r="EX45" s="46">
        <f t="shared" ca="1" si="107"/>
        <v>-2.4000000000000057</v>
      </c>
      <c r="EY45" s="47">
        <f t="shared" ca="1" si="194"/>
        <v>4.3649999999999807</v>
      </c>
      <c r="EZ45" s="47">
        <f t="shared" ca="1" si="195"/>
        <v>2.3149999999999977</v>
      </c>
      <c r="FA45" s="110">
        <f t="shared" ca="1" si="108"/>
        <v>-81.64500000000001</v>
      </c>
      <c r="FB45" s="46">
        <f t="shared" ca="1" si="109"/>
        <v>-3.8150000000000261</v>
      </c>
      <c r="FC45" s="47">
        <f t="shared" ca="1" si="196"/>
        <v>1.8650000000000091</v>
      </c>
      <c r="FD45" s="47">
        <f t="shared" ca="1" si="197"/>
        <v>1.4150000000000205</v>
      </c>
      <c r="FE45" s="109">
        <f t="shared" ca="1" si="110"/>
        <v>40.209599999999973</v>
      </c>
      <c r="FF45" s="46">
        <f t="shared" ca="1" si="111"/>
        <v>-0.28120000000004181</v>
      </c>
      <c r="FG45" s="110">
        <f t="shared" ca="1" si="112"/>
        <v>34.624999999999972</v>
      </c>
      <c r="FH45" s="46">
        <f t="shared" ca="1" si="113"/>
        <v>-0.44920000000004218</v>
      </c>
      <c r="FI45" s="110">
        <f t="shared" ca="1" si="114"/>
        <v>35.15459999999991</v>
      </c>
      <c r="FJ45" s="46">
        <f t="shared" ca="1" si="115"/>
        <v>-0.1962000000001049</v>
      </c>
      <c r="FK45" s="110">
        <f t="shared" ca="1" si="116"/>
        <v>29.569999999999908</v>
      </c>
      <c r="FL45" s="46">
        <f t="shared" ca="1" si="117"/>
        <v>-0.36420000000010527</v>
      </c>
      <c r="FM45" s="110">
        <f t="shared" ca="1" si="118"/>
        <v>39.809673140495846</v>
      </c>
      <c r="FN45" s="46">
        <f t="shared" ca="1" si="119"/>
        <v>-0.33002685950416211</v>
      </c>
      <c r="FO45" s="110">
        <f t="shared" ca="1" si="120"/>
        <v>34.094523140495845</v>
      </c>
      <c r="FP45" s="46">
        <f t="shared" ca="1" si="121"/>
        <v>-0.597076859504164</v>
      </c>
      <c r="FQ45" s="110">
        <f t="shared" ca="1" si="122"/>
        <v>34.905850826446169</v>
      </c>
      <c r="FR45" s="46">
        <f t="shared" ca="1" si="123"/>
        <v>-0.3129400826447355</v>
      </c>
      <c r="FS45" s="110">
        <f t="shared" ca="1" si="124"/>
        <v>29.190700826446168</v>
      </c>
      <c r="FT45" s="111">
        <f t="shared" ca="1" si="125"/>
        <v>-0.57999008264473728</v>
      </c>
      <c r="FU45" s="109" t="str">
        <f t="shared" ca="1" si="232"/>
        <v/>
      </c>
      <c r="FV45" s="46" t="str">
        <f t="shared" ca="1" si="213"/>
        <v/>
      </c>
      <c r="FW45" s="48" t="str">
        <f t="shared" ca="1" si="227"/>
        <v/>
      </c>
      <c r="FX45" s="114" t="str">
        <f t="shared" ca="1" si="228"/>
        <v/>
      </c>
      <c r="FY45" s="110" t="str">
        <f t="shared" ca="1" si="214"/>
        <v/>
      </c>
      <c r="FZ45" s="46" t="str">
        <f t="shared" ca="1" si="215"/>
        <v/>
      </c>
      <c r="GA45" s="47" t="str">
        <f t="shared" ca="1" si="216"/>
        <v/>
      </c>
      <c r="GB45" s="46" t="str">
        <f t="shared" ca="1" si="229"/>
        <v/>
      </c>
      <c r="GC45" s="110" t="str">
        <f ca="1">IFERROR(IF(AND(ISNUMBER($FU45), ISNUMBER(Crd!$X45)), $FU45 - Crd!$X45, ""), "")</f>
        <v/>
      </c>
      <c r="GD45" s="46" t="str">
        <f ca="1">IFERROR(IF(AND(ISNUMBER($FV45), ISNUMBER(Crd!$Y45)), $FV45 - Crd!$Y45, ""), "")</f>
        <v/>
      </c>
      <c r="GE45" s="47" t="str">
        <f t="shared" ca="1" si="217"/>
        <v/>
      </c>
      <c r="GF45" s="46" t="str">
        <f t="shared" ca="1" si="218"/>
        <v/>
      </c>
      <c r="GG45" s="141" t="str">
        <f t="shared" ca="1" si="198"/>
        <v/>
      </c>
      <c r="GH45" s="50" t="str">
        <f t="shared" ca="1" si="199"/>
        <v/>
      </c>
      <c r="GI45" s="47" t="str">
        <f t="shared" ca="1" si="144"/>
        <v/>
      </c>
      <c r="GJ45" s="46" t="str">
        <f t="shared" ca="1" si="145"/>
        <v/>
      </c>
      <c r="GK45" s="110" t="str">
        <f t="shared" ca="1" si="127"/>
        <v/>
      </c>
      <c r="GL45" s="46" t="str">
        <f t="shared" ca="1" si="128"/>
        <v/>
      </c>
      <c r="GM45" s="47" t="str">
        <f t="shared" ca="1" si="200"/>
        <v/>
      </c>
      <c r="GN45" s="46" t="str">
        <f t="shared" ca="1" si="201"/>
        <v/>
      </c>
      <c r="GO45" s="110" t="str">
        <f ca="1">IFERROR(IF(AND(ISNUMBER($GG45), ISNUMBER(Crd!$X45)), $GG45 - Crd!$X45, ""), "")</f>
        <v/>
      </c>
      <c r="GP45" s="46" t="str">
        <f ca="1">IFERROR(IF(AND(ISNUMBER($GH45), ISNUMBER(Crd!$Y45)), $GH45 - Crd!$Y45, ""), "")</f>
        <v/>
      </c>
      <c r="GQ45" s="47" t="str">
        <f t="shared" ca="1" si="202"/>
        <v/>
      </c>
      <c r="GR45" s="46" t="str">
        <f t="shared" ca="1" si="203"/>
        <v/>
      </c>
      <c r="GS45" s="436" t="str">
        <f t="shared" ca="1" si="219"/>
        <v/>
      </c>
      <c r="GT45" s="46" t="str">
        <f t="shared" ca="1" si="220"/>
        <v/>
      </c>
      <c r="GU45" s="48" t="str">
        <f t="shared" ca="1" si="230"/>
        <v/>
      </c>
      <c r="GV45" s="46" t="str">
        <f t="shared" ca="1" si="231"/>
        <v/>
      </c>
      <c r="GW45" s="427" t="str">
        <f t="shared" ca="1" si="204"/>
        <v/>
      </c>
      <c r="GX45" s="50" t="str">
        <f t="shared" ca="1" si="146"/>
        <v/>
      </c>
      <c r="GY45" s="47" t="str">
        <f t="shared" ca="1" si="205"/>
        <v/>
      </c>
      <c r="GZ45" s="432" t="str">
        <f t="shared" ca="1" si="206"/>
        <v/>
      </c>
      <c r="HA45" s="436"/>
      <c r="HB45" s="46"/>
      <c r="HC45" s="48"/>
      <c r="HD45" s="46"/>
      <c r="HE45" s="269"/>
      <c r="HF45" s="46"/>
      <c r="HG45" s="48"/>
      <c r="HH45" s="432"/>
    </row>
    <row r="46" spans="1:216" x14ac:dyDescent="0.25">
      <c r="A46" s="58">
        <f t="shared" ca="1" si="131"/>
        <v>47088</v>
      </c>
      <c r="B46" s="6" t="str">
        <f ca="1">INDEX(MthRef[], MATCH(MONTH(Futs!$A46), MthRef[Mth], 0), 2)</f>
        <v>Z</v>
      </c>
      <c r="C46" s="6">
        <f t="shared" ca="1" si="65"/>
        <v>2028</v>
      </c>
      <c r="D46" s="6" t="str">
        <f t="shared" ca="1" si="66"/>
        <v>Q428</v>
      </c>
      <c r="E46" s="6" t="str">
        <f t="shared" ca="1" si="132"/>
        <v>Z8</v>
      </c>
      <c r="F46" s="10" t="e">
        <f ca="1">IFERROR(AVERAGE(_xll.BDP(F$18 &amp; $B46 &amp; RIGHT($C46, 1) &amp; " " &amp; "Comdty", "BID", "Fill=#N/A"), _xll.BDP(F$18 &amp; $B46 &amp; RIGHT($C46, 1) &amp; " " &amp; "Comdty", "ASK", "Fill=#N/A")), NA())</f>
        <v>#N/A</v>
      </c>
      <c r="G46" s="10">
        <f ca="1">IFERROR(AVERAGE(_xll.BDP(G$18 &amp; $B46 &amp; RIGHT($C46, 1) &amp; " " &amp; "Comdty", "BID", "Fill=#N/A"), _xll.BDP(G$18 &amp; $B46 &amp; RIGHT($C46, 1) &amp; " " &amp; "Comdty", "ASK", "Fill=#N/A")), NA())</f>
        <v>73.584999999999994</v>
      </c>
      <c r="H46" s="10">
        <f ca="1">IFERROR(AVERAGE(_xll.BDP(H$18 &amp; $B46 &amp; RIGHT($C46, 1) &amp; " " &amp; "Comdty", "BID", "Fill=#N/A"), _xll.BDP(H$18 &amp; $B46 &amp; RIGHT($C46, 1) &amp; " " &amp; "Comdty", "ASK", "Fill=#N/A")), NA())</f>
        <v>816</v>
      </c>
      <c r="I46" s="10">
        <f ca="1">IFERROR(AVERAGE(_xll.BDP(I$18 &amp; $B46 &amp; RIGHT($C46, 1) &amp; " " &amp; "Comdty", "BID", "Fill=#N/A"), _xll.BDP(I$18 &amp; $B46 &amp; RIGHT($C46, 1) &amp; " " &amp; "Comdty", "ASK", "Fill=#N/A")), NA())</f>
        <v>294.03999999999996</v>
      </c>
      <c r="J46" s="10" t="e">
        <f ca="1">IFERROR(AVERAGE(_xll.BDP(J$18 &amp; $B46 &amp; RIGHT($C46, 1) &amp; " " &amp; "Comdty", "BID", "Fill=#N/A"), _xll.BDP(J$18 &amp; $B46 &amp; RIGHT($C46, 1) &amp; " " &amp; "Comdty", "ASK", "Fill=#N/A")), NA())</f>
        <v>#N/A</v>
      </c>
      <c r="K46" s="10" t="e">
        <f ca="1">IFERROR(AVERAGE(_xll.BDP(K$18 &amp; $B46 &amp; RIGHT($C46, 2) &amp; " " &amp; "Comdty", "BID", "Fill=#N/A"), _xll.BDP(K$18 &amp; $B46 &amp; RIGHT($C46, 2) &amp; " " &amp; "Comdty", "ASK", "Fill=#N/A")), NA())</f>
        <v>#N/A</v>
      </c>
      <c r="L46" s="10" t="e">
        <f ca="1">IFERROR(AVERAGE(_xll.BDP(L$18 &amp; $B46 &amp; RIGHT($C46, 2) &amp; " " &amp; "Comdty", "BID", "Fill=#N/A"), _xll.BDP(L$18 &amp; $B46 &amp; RIGHT($C46, 2) &amp; " " &amp; "Comdty", "ASK", "Fill=#N/A")), NA())</f>
        <v>#N/A</v>
      </c>
      <c r="M46" s="10">
        <f ca="1">IFERROR(AVERAGE(_xll.BDP(M$18 &amp; $B46 &amp; RIGHT($C46, 2) &amp; " " &amp; "Comdty", "BID", "Fill=#N/A"), _xll.BDP(M$18 &amp; $B46 &amp; RIGHT($C46, 2) &amp; " " &amp; "Comdty", "ASK", "Fill=#N/A")), NA())</f>
        <v>501.25</v>
      </c>
      <c r="N46" s="10">
        <f ca="1">IFERROR(AVERAGE(_xll.BDP(N$18 &amp; $B45 &amp; RIGHT($C45, 1) &amp; N$18 &amp; $B46 &amp; RIGHT($C46, 1) &amp; " " &amp; "Comdty", "BID", "Fill=#N/A"), _xll.BDP(N$18 &amp; $B45 &amp; RIGHT($C45, 1) &amp; N$18 &amp; $B46 &amp; RIGHT($C46, 1) &amp; " " &amp; "Comdty", "ASK", "Fill=#N/A")), NA())</f>
        <v>0.16</v>
      </c>
      <c r="O46" s="10">
        <f ca="1">IFERROR(AVERAGE(_xll.BDP(O$18 &amp; $B45 &amp; RIGHT($C45, 1) &amp; O$18 &amp; $B46 &amp; RIGHT($C46, 1) &amp; " " &amp; "Comdty", "BID", "Fill=#N/A"), _xll.BDP(O$18 &amp; $B45 &amp; RIGHT($C45, 1) &amp; O$18 &amp; $B46 &amp; RIGHT($C46, 1) &amp; " " &amp; "Comdty", "ASK", "Fill=#N/A")), NA())</f>
        <v>0.21500000000000002</v>
      </c>
      <c r="P46" s="10">
        <f ca="1">IFERROR(AVERAGE(_xll.BDP(P$18 &amp; $B45 &amp; RIGHT($C45, 1) &amp; P$18 &amp; $B46 &amp; RIGHT($C46, 1) &amp; " " &amp; "Comdty", "BID", "Fill=#N/A"), _xll.BDP(P$18 &amp; $B45 &amp; RIGHT($C45, 1) &amp; P$18 &amp; $B46 &amp; RIGHT($C46, 1) &amp; " " &amp; "Comdty", "ASK", "Fill=#N/A")), NA())</f>
        <v>7.25</v>
      </c>
      <c r="Q46" s="10">
        <f ca="1">IFERROR(AVERAGE(_xll.BDP(Q$18 &amp; $B45 &amp; RIGHT($C45, 1) &amp; Q$18 &amp; $B46 &amp; RIGHT($C46, 1) &amp; " " &amp; "Comdty", "BID", "Fill=#N/A"), _xll.BDP(Q$18 &amp; $B45 &amp; RIGHT($C45, 1) &amp; Q$18 &amp; $B46 &amp; RIGHT($C46, 1) &amp; " " &amp; "Comdty", "ASK", "Fill=#N/A")), NA())</f>
        <v>0.82500000000000007</v>
      </c>
      <c r="R46" s="10">
        <f ca="1">IFERROR(AVERAGE(_xll.BDP(R$18 &amp; $B45 &amp; RIGHT($C45, 1) &amp; R$18 &amp; $B46 &amp; RIGHT($C46, 1) &amp; " " &amp; "Comdty", "BID", "Fill=#N/A"), _xll.BDP(R$18 &amp; $B45 &amp; RIGHT($C45, 1) &amp; R$18 &amp; $B46 &amp; RIGHT($C46, 1) &amp; " " &amp; "Comdty", "ASK", "Fill=#N/A")), NA())</f>
        <v>2.69</v>
      </c>
      <c r="S46" s="10" t="e">
        <f ca="1">IFERROR(AVERAGE(_xll.BDP(S$18 &amp; $B45 &amp; RIGHT($C45, 1) &amp; $B46 &amp; RIGHT($C46, 1) &amp; " " &amp; "Comdty", "BID", "Fill=#N/A"), _xll.BDP(S$18 &amp; $B45 &amp; RIGHT($C45, 1) &amp; $B46 &amp; RIGHT($C46, 1) &amp; " " &amp; "Comdty", "ASK", "Fill=#N/A")), NA())</f>
        <v>#N/A</v>
      </c>
      <c r="T46" s="10" t="e">
        <f ca="1">IFERROR(AVERAGE(_xll.BDP(T$18 &amp; $B45 &amp; RIGHT($C45, 1) &amp; $B46 &amp; RIGHT($C46, 1) &amp; " " &amp; "Comdty", "BID", "Fill=#N/A"), _xll.BDP(T$18 &amp; $B45 &amp; RIGHT($C45, 1) &amp; $B46 &amp; RIGHT($C46, 1) &amp; " " &amp; "Comdty", "ASK", "Fill=#N/A")), NA())</f>
        <v>#N/A</v>
      </c>
      <c r="U46" s="10">
        <f ca="1">IF($A46 &lt; Diagnostics!$B$3, N46, INDEX(ImpSprd[], MATCH(Futs!$C46, ImpSprd[Yr], 0), MATCH(U$18, ImpSprd[#Headers], 0)))</f>
        <v>0.26863636363636362</v>
      </c>
      <c r="V46" s="10">
        <f ca="1">IF($A46 &lt; Diagnostics!$B$3, O46, INDEX(ImpSprd[], MATCH(Futs!$C46, ImpSprd[Yr], 0), MATCH(V$18, ImpSprd[#Headers], 0)))</f>
        <v>0.30454545454545451</v>
      </c>
      <c r="W46" s="10">
        <f ca="1">IF($A46 &lt; Diagnostics!$B$3, P46, INDEX(ImpSprd[], MATCH(Futs!$C46, ImpSprd[Yr], 0), MATCH(W$18, ImpSprd[#Headers], 0)))</f>
        <v>9.295454545454545</v>
      </c>
      <c r="X46" s="31">
        <f ca="1">INDEX(Expi[], MATCH($A46, Expi[Date], 0), MATCH(X$18, Expi[#Headers], 0))</f>
        <v>47106</v>
      </c>
      <c r="Y46" s="31" t="e">
        <f ca="1">INDEX(Expi[], MATCH($A46, Expi[Date], 0), MATCH(Y$18, Expi[#Headers], 0))</f>
        <v>#N/A</v>
      </c>
      <c r="Z46" s="31">
        <f ca="1">INDEX(Expi[], MATCH($A46, Expi[Date], 0), MATCH(Z$18, Expi[#Headers], 0))</f>
        <v>47099</v>
      </c>
      <c r="AA46" s="31">
        <f ca="1">INDEX(Expi[], MATCH($A46, Expi[Date], 0), MATCH(AA$18, Expi[#Headers], 0))</f>
        <v>47116</v>
      </c>
      <c r="AB46" s="31">
        <f ca="1">INDEX(Expi[], MATCH($A46, Expi[Date], 0), MATCH(AB$18, Expi[#Headers], 0))</f>
        <v>47116</v>
      </c>
      <c r="AC46" s="31" t="e">
        <f ca="1">INDEX(Expi[], MATCH($A46, Expi[Date], 0), MATCH(AC$18, Expi[#Headers], 0))</f>
        <v>#N/A</v>
      </c>
      <c r="AD46" s="7">
        <f ca="1">NETWORKDAYS($A46, EOMONTH($A46, 0), Hols[CME])</f>
        <v>21</v>
      </c>
      <c r="AE46" s="7">
        <f ca="1">NETWORKDAYS($A46, EOMONTH($A46, 0), Hols[ICE])</f>
        <v>21</v>
      </c>
      <c r="AF46" s="7">
        <f ca="1">NETWORKDAYS($A46, EOMONTH($A46, 0), Hols[ICE])</f>
        <v>21</v>
      </c>
      <c r="AG46" s="7">
        <f ca="1">NETWORKDAYS($A46, EOMONTH($A46, 0), Hols[CME])</f>
        <v>21</v>
      </c>
      <c r="AH46" s="7">
        <f ca="1">NETWORKDAYS($A46, EOMONTH($A46, 0), Hols[CME])</f>
        <v>21</v>
      </c>
      <c r="AI46" s="7">
        <f ca="1">NETWORKDAYS($A46, EOMONTH($A46, 0), Hols[ICE])</f>
        <v>21</v>
      </c>
      <c r="AJ46" s="7">
        <f ca="1">NETWORKDAYS($A46, X46, Hols[CME])</f>
        <v>13</v>
      </c>
      <c r="AK46" s="7" t="e">
        <f ca="1">NETWORKDAYS($A46, Y46, Hols[ICE]) - 1</f>
        <v>#N/A</v>
      </c>
      <c r="AL46" s="7">
        <f ca="1">NETWORKDAYS($A46, Z46, Hols[ICE]) - 1</f>
        <v>7</v>
      </c>
      <c r="AM46" s="7">
        <f ca="1">NETWORKDAYS($A46, AA46, Hols[CME])</f>
        <v>21</v>
      </c>
      <c r="AN46" s="7">
        <f ca="1">NETWORKDAYS($A46, AB46, Hols[CME])</f>
        <v>21</v>
      </c>
      <c r="AO46" s="7" t="e">
        <f ca="1">NETWORKDAYS($A46, AC46, Hols[ICE]) - 1</f>
        <v>#N/A</v>
      </c>
      <c r="AP46" s="10">
        <f t="shared" ca="1" si="67"/>
        <v>0.61904761904761907</v>
      </c>
      <c r="AQ46" s="10" t="e">
        <f t="shared" ca="1" si="68"/>
        <v>#N/A</v>
      </c>
      <c r="AR46" s="10">
        <f t="shared" ca="1" si="69"/>
        <v>0.33333333333333331</v>
      </c>
      <c r="AS46" s="10">
        <f t="shared" ca="1" si="70"/>
        <v>1</v>
      </c>
      <c r="AT46" s="10">
        <f t="shared" ca="1" si="71"/>
        <v>1</v>
      </c>
      <c r="AU46" s="10" t="e">
        <f t="shared" ca="1" si="71"/>
        <v>#N/A</v>
      </c>
      <c r="AV46" s="28">
        <f ca="1">IFERROR(AVERAGE(_xll.BDH(AV$18 &amp; $B46 &amp; RIGHT($C46, 1) &amp; " " &amp; "Comdty", "PX_SETTLE", AV$16, AV$16, "Fill=#N/A")), IFERROR(AVERAGE(_xll.BDH(AV$18 &amp; $B46 &amp; RIGHT($C46, 2) &amp; " " &amp; "Comdty", "PX_SETTLE", AV$16, AV$16, "Fill=#N/A")), NA()))</f>
        <v>68.42</v>
      </c>
      <c r="AW46" s="28">
        <f ca="1">IFERROR(AVERAGE(_xll.BDH(AW$18 &amp; $B46 &amp; RIGHT($C46, 1) &amp; " " &amp; "Comdty", "PX_SETTLE", AW$16, AW$16, "Fill=#N/A")), IFERROR(AVERAGE(_xll.BDH(AW$18 &amp; $B46 &amp; RIGHT($C46, 2) &amp; " " &amp; "Comdty", "PX_SETTLE", AW$16, AW$16, "Fill=#N/A")), NA()))</f>
        <v>73.510000000000005</v>
      </c>
      <c r="AX46" s="29">
        <f ca="1">IFERROR(AVERAGE(_xll.BDH(AX$18 &amp; $B46 &amp; RIGHT($C46, 2) &amp; " " &amp; "Comdty", "FAIR_VALUE_SNAPSHOT_AT_1430", AX$16, AX$16, "TIME_ZONE_OVERRIDE=13", "Fill=#N/A")), NA())</f>
        <v>821.75</v>
      </c>
      <c r="AY46" s="28">
        <f ca="1">IFERROR(AVERAGE(_xll.BDH(AY$18 &amp; $B46 &amp; RIGHT($C46, 1) &amp; " " &amp; "Comdty", "PX_SETTLE", AY$16, AY$16, "Fill=#N/A")), NA())</f>
        <v>297.2</v>
      </c>
      <c r="AZ46" s="28">
        <f ca="1">IFERROR(AVERAGE(_xll.BDH(AZ$18 &amp; $B46 &amp; RIGHT($C46, 1) &amp; " " &amp; "Comdty", "PX_SETTLE", AZ$16, AZ$16, "Fill=#N/A")), NA())</f>
        <v>219.37</v>
      </c>
      <c r="BA46" s="29" t="e">
        <f ca="1">IFERROR(AVERAGE(_xll.BDH(BA$18 &amp; $B46 &amp; RIGHT($C46, 2) &amp; " " &amp; "Comdty", "PX_SETTLE", BA$16, BA$16, "Fill=#N/A")), IFERROR(AVERAGE(_xll.BDH(BA$18 &amp; $B46 &amp; RIGHT($C46, 2) &amp; " " &amp; "Comdty", "PX_SETTLE", BA$16, BA$16, "Fill=#N/A")), NA()))</f>
        <v>#N/A</v>
      </c>
      <c r="BB46" s="29">
        <f ca="1">IFERROR(AVERAGE(_xll.BDH(BB$18 &amp; $B46 &amp; RIGHT($C46, 2) &amp; " " &amp; "Comdty", "PX_SETTLE", BB$16, BB$16, "Fill=#N/A")), IFERROR(AVERAGE(_xll.BDH(BB$18 &amp; $B46 &amp; RIGHT($C46, 2) &amp; " " &amp; "Comdty", "PX_SETTLE", BB$16, BB$16, "Fill=#N/A")), NA()))</f>
        <v>74.209999999999994</v>
      </c>
      <c r="BC46" s="29">
        <f ca="1">IFERROR(AVERAGE(_xll.BDH(BC$18 &amp; $B46 &amp; RIGHT($C46, 2) &amp; " " &amp; "Comdty", "PX_SETTLE", BC$16, BC$16, "Fill=#N/A")), IFERROR(AVERAGE(_xll.BDH(BC$18 &amp; $B46 &amp; RIGHT($C46, 2) &amp; " " &amp; "Comdty", "PX_SETTLE", BC$16, BC$16, "Fill=#N/A")), NA()))</f>
        <v>498.6</v>
      </c>
      <c r="BD46" s="29" t="e">
        <f>NA()</f>
        <v>#N/A</v>
      </c>
      <c r="BE46" s="109">
        <f t="shared" ca="1" si="209"/>
        <v>68.251363636363664</v>
      </c>
      <c r="BF46" s="46">
        <f t="shared" ca="1" si="72"/>
        <v>-0.16863636363633816</v>
      </c>
      <c r="BG46" s="47">
        <f t="shared" ca="1" si="151"/>
        <v>0.2686363636363609</v>
      </c>
      <c r="BH46" s="114">
        <f t="shared" ca="1" si="223"/>
        <v>8.8636363636368287E-2</v>
      </c>
      <c r="BI46" s="110">
        <f t="shared" ca="1" si="224"/>
        <v>73.270454545454641</v>
      </c>
      <c r="BJ46" s="46">
        <f t="shared" ca="1" si="73"/>
        <v>-0.23954545454536458</v>
      </c>
      <c r="BK46" s="48">
        <f t="shared" ca="1" si="225"/>
        <v>0.30454545454544757</v>
      </c>
      <c r="BL46" s="114">
        <f t="shared" ca="1" si="226"/>
        <v>7.4545454545457801E-2</v>
      </c>
      <c r="BM46" s="48">
        <f t="shared" ca="1" si="152"/>
        <v>806.70454545454595</v>
      </c>
      <c r="BN46" s="46">
        <f t="shared" ca="1" si="74"/>
        <v>-15.045454545454049</v>
      </c>
      <c r="BO46" s="47">
        <f t="shared" ca="1" si="210"/>
        <v>9.2954545454545041</v>
      </c>
      <c r="BP46" s="46">
        <f t="shared" ca="1" si="133"/>
        <v>2.2954545454545041</v>
      </c>
      <c r="BQ46" s="110">
        <f t="shared" ca="1" si="211"/>
        <v>297.94499999999999</v>
      </c>
      <c r="BR46" s="46">
        <f t="shared" ca="1" si="75"/>
        <v>0.74500000000000455</v>
      </c>
      <c r="BS46" s="47">
        <f t="shared" ca="1" si="153"/>
        <v>0.82499999999998863</v>
      </c>
      <c r="BT46" s="114">
        <f t="shared" ca="1" si="154"/>
        <v>-0.40500000000002956</v>
      </c>
      <c r="BU46" s="48">
        <f t="shared" ca="1" si="212"/>
        <v>216.29999999999998</v>
      </c>
      <c r="BV46" s="46">
        <f t="shared" ca="1" si="76"/>
        <v>-3.0700000000000216</v>
      </c>
      <c r="BW46" s="47">
        <f t="shared" ca="1" si="155"/>
        <v>2.6899999999999977</v>
      </c>
      <c r="BX46" s="46">
        <f t="shared" ca="1" si="156"/>
        <v>1.0099999999999909</v>
      </c>
      <c r="BY46" s="140">
        <f t="shared" ca="1" si="134"/>
        <v>67.987099567099591</v>
      </c>
      <c r="BZ46" s="46">
        <f t="shared" ca="1" si="135"/>
        <v>-0.12909090909088033</v>
      </c>
      <c r="CA46" s="47">
        <f t="shared" ca="1" si="157"/>
        <v>0.19467729240456322</v>
      </c>
      <c r="CB46" s="46">
        <f t="shared" ca="1" si="158"/>
        <v>-2.9132231404961101E-2</v>
      </c>
      <c r="CC46" s="141" t="str">
        <f t="shared" ca="1" si="136"/>
        <v/>
      </c>
      <c r="CD46" s="50" t="str">
        <f t="shared" ca="1" si="137"/>
        <v/>
      </c>
      <c r="CE46" s="47" t="str">
        <f t="shared" ca="1" si="159"/>
        <v/>
      </c>
      <c r="CF46" s="46" t="str">
        <f t="shared" ca="1" si="160"/>
        <v/>
      </c>
      <c r="CG46" s="141">
        <f t="shared" ca="1" si="138"/>
        <v>804.10606060606119</v>
      </c>
      <c r="CH46" s="50">
        <f t="shared" ca="1" si="139"/>
        <v>-14.477272727272219</v>
      </c>
      <c r="CI46" s="47">
        <f t="shared" ca="1" si="161"/>
        <v>5.5561294765839193</v>
      </c>
      <c r="CJ46" s="46">
        <f t="shared" ca="1" si="162"/>
        <v>0.162190082644603</v>
      </c>
      <c r="CK46" s="141" t="str">
        <f t="shared" ca="1" si="140"/>
        <v/>
      </c>
      <c r="CL46" s="50" t="str">
        <f t="shared" ca="1" si="77"/>
        <v/>
      </c>
      <c r="CM46" s="47" t="str">
        <f t="shared" ca="1" si="163"/>
        <v/>
      </c>
      <c r="CN46" s="46" t="str">
        <f t="shared" ca="1" si="164"/>
        <v/>
      </c>
      <c r="CO46" s="141" t="str">
        <f t="shared" ca="1" si="141"/>
        <v/>
      </c>
      <c r="CP46" s="50" t="str">
        <f t="shared" ca="1" si="78"/>
        <v/>
      </c>
      <c r="CQ46" s="47" t="str">
        <f t="shared" ca="1" si="165"/>
        <v/>
      </c>
      <c r="CR46" s="46" t="str">
        <f t="shared" ca="1" si="166"/>
        <v/>
      </c>
      <c r="CS46" s="109">
        <f t="shared" ca="1" si="79"/>
        <v>-5.019090909090977</v>
      </c>
      <c r="CT46" s="46">
        <f t="shared" ca="1" si="80"/>
        <v>7.0909090909026418E-2</v>
      </c>
      <c r="CU46" s="47">
        <f t="shared" ca="1" si="167"/>
        <v>-3.5909090909086672E-2</v>
      </c>
      <c r="CV46" s="46">
        <f t="shared" ca="1" si="168"/>
        <v>0</v>
      </c>
      <c r="CW46" s="110" t="str">
        <f t="shared" ca="1" si="142"/>
        <v/>
      </c>
      <c r="CX46" s="46" t="str">
        <f t="shared" ca="1" si="81"/>
        <v/>
      </c>
      <c r="CY46" s="47" t="str">
        <f t="shared" ca="1" si="169"/>
        <v/>
      </c>
      <c r="CZ46" s="46" t="str">
        <f t="shared" ca="1" si="170"/>
        <v/>
      </c>
      <c r="DA46" s="109">
        <f t="shared" ca="1" si="82"/>
        <v>35.012034777303199</v>
      </c>
      <c r="DB46" s="46">
        <f t="shared" ca="1" si="83"/>
        <v>-1.7799786455155817</v>
      </c>
      <c r="DC46" s="47">
        <f t="shared" ca="1" si="171"/>
        <v>0.94316656497865381</v>
      </c>
      <c r="DD46" s="46">
        <f t="shared" ca="1" si="233"/>
        <v>0.23356924954239511</v>
      </c>
      <c r="DE46" s="110">
        <f t="shared" ca="1" si="84"/>
        <v>51.866445454545371</v>
      </c>
      <c r="DF46" s="46">
        <f t="shared" ca="1" si="85"/>
        <v>0.55244545454536653</v>
      </c>
      <c r="DG46" s="47">
        <f t="shared" ca="1" si="172"/>
        <v>4.1954545454544245E-2</v>
      </c>
      <c r="DH46" s="46">
        <f t="shared" ca="1" si="173"/>
        <v>-0.24464545454547026</v>
      </c>
      <c r="DI46" s="110">
        <f t="shared" ca="1" si="86"/>
        <v>17.575545454545349</v>
      </c>
      <c r="DJ46" s="46">
        <f t="shared" ca="1" si="87"/>
        <v>-1.0498545454546444</v>
      </c>
      <c r="DK46" s="47">
        <f t="shared" ca="1" si="174"/>
        <v>0.82525454545455545</v>
      </c>
      <c r="DL46" s="46">
        <f t="shared" ca="1" si="175"/>
        <v>0.34965454545453833</v>
      </c>
      <c r="DM46" s="110">
        <f t="shared" ca="1" si="88"/>
        <v>56.885536363636348</v>
      </c>
      <c r="DN46" s="46">
        <f t="shared" ca="1" si="89"/>
        <v>0.48153636363634006</v>
      </c>
      <c r="DO46" s="47">
        <f t="shared" ca="1" si="176"/>
        <v>7.7863636363630917E-2</v>
      </c>
      <c r="DP46" s="47">
        <f t="shared" ca="1" si="177"/>
        <v>-0.2587363636363807</v>
      </c>
      <c r="DQ46" s="110">
        <f t="shared" ca="1" si="90"/>
        <v>22.594636363636326</v>
      </c>
      <c r="DR46" s="46">
        <f t="shared" ca="1" si="91"/>
        <v>-1.1207636363636708</v>
      </c>
      <c r="DS46" s="47">
        <f t="shared" ca="1" si="178"/>
        <v>0.86116363636364213</v>
      </c>
      <c r="DT46" s="47">
        <f t="shared" ca="1" si="179"/>
        <v>0.33556363636362785</v>
      </c>
      <c r="DU46" s="109" t="str">
        <f t="shared" ca="1" si="92"/>
        <v/>
      </c>
      <c r="DV46" s="46" t="str">
        <f t="shared" ca="1" si="93"/>
        <v/>
      </c>
      <c r="DW46" s="47" t="str">
        <f t="shared" ca="1" si="180"/>
        <v/>
      </c>
      <c r="DX46" s="47" t="str">
        <f t="shared" ca="1" si="181"/>
        <v/>
      </c>
      <c r="DY46" s="110" t="str">
        <f t="shared" ca="1" si="94"/>
        <v/>
      </c>
      <c r="DZ46" s="46" t="str">
        <f t="shared" ca="1" si="95"/>
        <v/>
      </c>
      <c r="EA46" s="47" t="str">
        <f t="shared" ca="1" si="182"/>
        <v/>
      </c>
      <c r="EB46" s="47" t="str">
        <f t="shared" ca="1" si="183"/>
        <v/>
      </c>
      <c r="EC46" s="110" t="str">
        <f t="shared" ca="1" si="96"/>
        <v/>
      </c>
      <c r="ED46" s="46" t="str">
        <f t="shared" ca="1" si="97"/>
        <v/>
      </c>
      <c r="EE46" s="47" t="str">
        <f t="shared" ca="1" si="184"/>
        <v/>
      </c>
      <c r="EF46" s="47" t="str">
        <f t="shared" ca="1" si="185"/>
        <v/>
      </c>
      <c r="EG46" s="110" t="str">
        <f t="shared" ca="1" si="98"/>
        <v/>
      </c>
      <c r="EH46" s="46" t="str">
        <f t="shared" ca="1" si="99"/>
        <v/>
      </c>
      <c r="EI46" s="47" t="str">
        <f t="shared" ca="1" si="186"/>
        <v/>
      </c>
      <c r="EJ46" s="47" t="str">
        <f t="shared" ca="1" si="187"/>
        <v/>
      </c>
      <c r="EK46" s="110" t="str">
        <f t="shared" ca="1" si="100"/>
        <v/>
      </c>
      <c r="EL46" s="46" t="str">
        <f t="shared" ca="1" si="101"/>
        <v/>
      </c>
      <c r="EM46" s="47" t="str">
        <f t="shared" ca="1" si="188"/>
        <v/>
      </c>
      <c r="EN46" s="47" t="str">
        <f t="shared" ca="1" si="189"/>
        <v/>
      </c>
      <c r="EO46" s="109">
        <f t="shared" ca="1" si="102"/>
        <v>40.129549231528927</v>
      </c>
      <c r="EP46" s="46">
        <f t="shared" ca="1" si="103"/>
        <v>5.5533907144308285</v>
      </c>
      <c r="EQ46" s="47">
        <f t="shared" ca="1" si="190"/>
        <v>-2.1457429036287863</v>
      </c>
      <c r="ER46" s="47">
        <f t="shared" ca="1" si="191"/>
        <v>-1.138606438304441</v>
      </c>
      <c r="ES46" s="110" t="str">
        <f t="shared" ca="1" si="104"/>
        <v/>
      </c>
      <c r="ET46" s="46" t="str">
        <f t="shared" ca="1" si="105"/>
        <v/>
      </c>
      <c r="EU46" s="47" t="str">
        <f t="shared" ca="1" si="192"/>
        <v/>
      </c>
      <c r="EV46" s="47" t="str">
        <f t="shared" ca="1" si="193"/>
        <v/>
      </c>
      <c r="EW46" s="109">
        <f t="shared" ca="1" si="106"/>
        <v>-81.64500000000001</v>
      </c>
      <c r="EX46" s="46">
        <f t="shared" ca="1" si="107"/>
        <v>-3.8150000000000261</v>
      </c>
      <c r="EY46" s="47">
        <f t="shared" ca="1" si="194"/>
        <v>1.8650000000000091</v>
      </c>
      <c r="EZ46" s="47">
        <f t="shared" ca="1" si="195"/>
        <v>1.4150000000000205</v>
      </c>
      <c r="FA46" s="110" t="str">
        <f t="shared" ca="1" si="108"/>
        <v/>
      </c>
      <c r="FB46" s="46" t="str">
        <f t="shared" ca="1" si="109"/>
        <v/>
      </c>
      <c r="FC46" s="47" t="str">
        <f t="shared" ca="1" si="196"/>
        <v/>
      </c>
      <c r="FD46" s="47" t="str">
        <f t="shared" ca="1" si="197"/>
        <v/>
      </c>
      <c r="FE46" s="109">
        <f t="shared" ca="1" si="110"/>
        <v>39.740086363636337</v>
      </c>
      <c r="FF46" s="46">
        <f t="shared" ca="1" si="111"/>
        <v>-0.31961363636366535</v>
      </c>
      <c r="FG46" s="110">
        <f t="shared" ca="1" si="112"/>
        <v>34.024936363636336</v>
      </c>
      <c r="FH46" s="46">
        <f t="shared" ca="1" si="113"/>
        <v>-0.58666363636366725</v>
      </c>
      <c r="FI46" s="110">
        <f t="shared" ca="1" si="114"/>
        <v>34.72099545454536</v>
      </c>
      <c r="FJ46" s="46">
        <f t="shared" ca="1" si="115"/>
        <v>-0.24870454545463894</v>
      </c>
      <c r="FK46" s="110">
        <f t="shared" ca="1" si="116"/>
        <v>29.005845454545359</v>
      </c>
      <c r="FL46" s="46">
        <f t="shared" ca="1" si="117"/>
        <v>-0.51575454545464083</v>
      </c>
      <c r="FM46" s="110" t="str">
        <f t="shared" ca="1" si="118"/>
        <v/>
      </c>
      <c r="FN46" s="46" t="str">
        <f t="shared" ca="1" si="119"/>
        <v/>
      </c>
      <c r="FO46" s="110" t="str">
        <f t="shared" ca="1" si="120"/>
        <v/>
      </c>
      <c r="FP46" s="46" t="str">
        <f t="shared" ca="1" si="121"/>
        <v/>
      </c>
      <c r="FQ46" s="110" t="str">
        <f t="shared" ca="1" si="122"/>
        <v/>
      </c>
      <c r="FR46" s="46" t="str">
        <f t="shared" ca="1" si="123"/>
        <v/>
      </c>
      <c r="FS46" s="110" t="str">
        <f t="shared" ca="1" si="124"/>
        <v/>
      </c>
      <c r="FT46" s="111" t="str">
        <f t="shared" ca="1" si="125"/>
        <v/>
      </c>
      <c r="FU46" s="109" t="str">
        <f t="shared" ca="1" si="232"/>
        <v/>
      </c>
      <c r="FV46" s="46" t="str">
        <f t="shared" ca="1" si="213"/>
        <v/>
      </c>
      <c r="FW46" s="48" t="str">
        <f t="shared" ca="1" si="227"/>
        <v/>
      </c>
      <c r="FX46" s="114" t="str">
        <f t="shared" ca="1" si="228"/>
        <v/>
      </c>
      <c r="FY46" s="110" t="str">
        <f t="shared" ca="1" si="214"/>
        <v/>
      </c>
      <c r="FZ46" s="46" t="str">
        <f t="shared" ca="1" si="215"/>
        <v/>
      </c>
      <c r="GA46" s="47" t="str">
        <f t="shared" ca="1" si="216"/>
        <v/>
      </c>
      <c r="GB46" s="46" t="str">
        <f t="shared" ca="1" si="229"/>
        <v/>
      </c>
      <c r="GC46" s="110" t="str">
        <f ca="1">IFERROR(IF(AND(ISNUMBER($FU46), ISNUMBER(Crd!$X46)), $FU46 - Crd!$X46, ""), "")</f>
        <v/>
      </c>
      <c r="GD46" s="46" t="str">
        <f ca="1">IFERROR(IF(AND(ISNUMBER($FV46), ISNUMBER(Crd!$Y46)), $FV46 - Crd!$Y46, ""), "")</f>
        <v/>
      </c>
      <c r="GE46" s="47" t="str">
        <f t="shared" ca="1" si="217"/>
        <v/>
      </c>
      <c r="GF46" s="46" t="str">
        <f t="shared" ca="1" si="218"/>
        <v/>
      </c>
      <c r="GG46" s="141" t="str">
        <f t="shared" ca="1" si="198"/>
        <v/>
      </c>
      <c r="GH46" s="50" t="str">
        <f t="shared" ca="1" si="199"/>
        <v/>
      </c>
      <c r="GI46" s="47" t="str">
        <f t="shared" ca="1" si="144"/>
        <v/>
      </c>
      <c r="GJ46" s="46" t="str">
        <f t="shared" ca="1" si="145"/>
        <v/>
      </c>
      <c r="GK46" s="110" t="str">
        <f t="shared" ca="1" si="127"/>
        <v/>
      </c>
      <c r="GL46" s="46" t="str">
        <f t="shared" ca="1" si="128"/>
        <v/>
      </c>
      <c r="GM46" s="47" t="str">
        <f t="shared" ca="1" si="200"/>
        <v/>
      </c>
      <c r="GN46" s="46" t="str">
        <f t="shared" ca="1" si="201"/>
        <v/>
      </c>
      <c r="GO46" s="110" t="str">
        <f ca="1">IFERROR(IF(AND(ISNUMBER($GG46), ISNUMBER(Crd!$X46)), $GG46 - Crd!$X46, ""), "")</f>
        <v/>
      </c>
      <c r="GP46" s="46" t="str">
        <f ca="1">IFERROR(IF(AND(ISNUMBER($GH46), ISNUMBER(Crd!$Y46)), $GH46 - Crd!$Y46, ""), "")</f>
        <v/>
      </c>
      <c r="GQ46" s="47" t="str">
        <f t="shared" ca="1" si="202"/>
        <v/>
      </c>
      <c r="GR46" s="46" t="str">
        <f t="shared" ca="1" si="203"/>
        <v/>
      </c>
      <c r="GS46" s="436" t="str">
        <f t="shared" ca="1" si="219"/>
        <v/>
      </c>
      <c r="GT46" s="46" t="str">
        <f t="shared" ca="1" si="220"/>
        <v/>
      </c>
      <c r="GU46" s="48" t="str">
        <f t="shared" ca="1" si="230"/>
        <v/>
      </c>
      <c r="GV46" s="46" t="str">
        <f t="shared" ca="1" si="231"/>
        <v/>
      </c>
      <c r="GW46" s="427" t="str">
        <f t="shared" ca="1" si="204"/>
        <v/>
      </c>
      <c r="GX46" s="50" t="str">
        <f t="shared" ca="1" si="146"/>
        <v/>
      </c>
      <c r="GY46" s="47" t="str">
        <f t="shared" ca="1" si="205"/>
        <v/>
      </c>
      <c r="GZ46" s="432" t="str">
        <f t="shared" ca="1" si="206"/>
        <v/>
      </c>
      <c r="HA46" s="436"/>
      <c r="HB46" s="46"/>
      <c r="HC46" s="48"/>
      <c r="HD46" s="46"/>
      <c r="HE46" s="269"/>
      <c r="HF46" s="46"/>
      <c r="HG46" s="48"/>
      <c r="HH46" s="432"/>
    </row>
    <row r="47" spans="1:216" x14ac:dyDescent="0.25">
      <c r="A47" s="58">
        <f t="shared" ca="1" si="131"/>
        <v>47119</v>
      </c>
      <c r="B47" s="6" t="str">
        <f ca="1">INDEX(MthRef[], MATCH(MONTH(Futs!$A47), MthRef[Mth], 0), 2)</f>
        <v>F</v>
      </c>
      <c r="C47" s="6">
        <f t="shared" ca="1" si="65"/>
        <v>2029</v>
      </c>
      <c r="D47" s="6" t="str">
        <f t="shared" ca="1" si="66"/>
        <v>Q129</v>
      </c>
      <c r="E47" s="6" t="str">
        <f t="shared" ca="1" si="132"/>
        <v>F9</v>
      </c>
      <c r="F47" s="10" t="e">
        <f ca="1">IFERROR(AVERAGE(_xll.BDP(F$18 &amp; $B47 &amp; RIGHT($C47, 1) &amp; " " &amp; "Comdty", "BID", "Fill=#N/A"), _xll.BDP(F$18 &amp; $B47 &amp; RIGHT($C47, 1) &amp; " " &amp; "Comdty", "ASK", "Fill=#N/A")), NA())</f>
        <v>#N/A</v>
      </c>
      <c r="G47" s="10">
        <f ca="1">IFERROR(AVERAGE(_xll.BDP(G$18 &amp; $B47 &amp; RIGHT($C47, 1) &amp; " " &amp; "Comdty", "BID", "Fill=#N/A"), _xll.BDP(G$18 &amp; $B47 &amp; RIGHT($C47, 1) &amp; " " &amp; "Comdty", "ASK", "Fill=#N/A")), NA())</f>
        <v>73.35499999999999</v>
      </c>
      <c r="H47" s="10">
        <f ca="1">IFERROR(AVERAGE(_xll.BDP(H$18 &amp; $B47 &amp; RIGHT($C47, 1) &amp; " " &amp; "Comdty", "BID", "Fill=#N/A"), _xll.BDP(H$18 &amp; $B47 &amp; RIGHT($C47, 1) &amp; " " &amp; "Comdty", "ASK", "Fill=#N/A")), NA())</f>
        <v>812.625</v>
      </c>
      <c r="I47" s="10" t="e">
        <f ca="1">IFERROR(AVERAGE(_xll.BDP(I$18 &amp; $B47 &amp; RIGHT($C47, 1) &amp; " " &amp; "Comdty", "BID", "Fill=#N/A"), _xll.BDP(I$18 &amp; $B47 &amp; RIGHT($C47, 1) &amp; " " &amp; "Comdty", "ASK", "Fill=#N/A")), NA())</f>
        <v>#N/A</v>
      </c>
      <c r="J47" s="10" t="e">
        <f ca="1">IFERROR(AVERAGE(_xll.BDP(J$18 &amp; $B47 &amp; RIGHT($C47, 1) &amp; " " &amp; "Comdty", "BID", "Fill=#N/A"), _xll.BDP(J$18 &amp; $B47 &amp; RIGHT($C47, 1) &amp; " " &amp; "Comdty", "ASK", "Fill=#N/A")), NA())</f>
        <v>#N/A</v>
      </c>
      <c r="K47" s="10" t="e">
        <f ca="1">IFERROR(AVERAGE(_xll.BDP(K$18 &amp; $B47 &amp; RIGHT($C47, 2) &amp; " " &amp; "Comdty", "BID", "Fill=#N/A"), _xll.BDP(K$18 &amp; $B47 &amp; RIGHT($C47, 2) &amp; " " &amp; "Comdty", "ASK", "Fill=#N/A")), NA())</f>
        <v>#N/A</v>
      </c>
      <c r="L47" s="10" t="e">
        <f ca="1">IFERROR(AVERAGE(_xll.BDP(L$18 &amp; $B47 &amp; RIGHT($C47, 2) &amp; " " &amp; "Comdty", "BID", "Fill=#N/A"), _xll.BDP(L$18 &amp; $B47 &amp; RIGHT($C47, 2) &amp; " " &amp; "Comdty", "ASK", "Fill=#N/A")), NA())</f>
        <v>#N/A</v>
      </c>
      <c r="M47" s="10" t="e">
        <f ca="1">IFERROR(AVERAGE(_xll.BDP(M$18 &amp; $B47 &amp; RIGHT($C47, 2) &amp; " " &amp; "Comdty", "BID", "Fill=#N/A"), _xll.BDP(M$18 &amp; $B47 &amp; RIGHT($C47, 2) &amp; " " &amp; "Comdty", "ASK", "Fill=#N/A")), NA())</f>
        <v>#N/A</v>
      </c>
      <c r="N47" s="10">
        <f ca="1">IFERROR(AVERAGE(_xll.BDP(N$18 &amp; $B46 &amp; RIGHT($C46, 1) &amp; N$18 &amp; $B47 &amp; RIGHT($C47, 1) &amp; " " &amp; "Comdty", "BID", "Fill=#N/A"), _xll.BDP(N$18 &amp; $B46 &amp; RIGHT($C46, 1) &amp; N$18 &amp; $B47 &amp; RIGHT($C47, 1) &amp; " " &amp; "Comdty", "ASK", "Fill=#N/A")), NA())</f>
        <v>0.215</v>
      </c>
      <c r="O47" s="10">
        <f ca="1">IFERROR(AVERAGE(_xll.BDP(O$18 &amp; $B46 &amp; RIGHT($C46, 1) &amp; O$18 &amp; $B47 &amp; RIGHT($C47, 1) &amp; " " &amp; "Comdty", "BID", "Fill=#N/A"), _xll.BDP(O$18 &amp; $B46 &amp; RIGHT($C46, 1) &amp; O$18 &amp; $B47 &amp; RIGHT($C47, 1) &amp; " " &amp; "Comdty", "ASK", "Fill=#N/A")), NA())</f>
        <v>0.22499999999999998</v>
      </c>
      <c r="P47" s="10">
        <f ca="1">IFERROR(AVERAGE(_xll.BDP(P$18 &amp; $B46 &amp; RIGHT($C46, 1) &amp; P$18 &amp; $B47 &amp; RIGHT($C47, 1) &amp; " " &amp; "Comdty", "BID", "Fill=#N/A"), _xll.BDP(P$18 &amp; $B46 &amp; RIGHT($C46, 1) &amp; P$18 &amp; $B47 &amp; RIGHT($C47, 1) &amp; " " &amp; "Comdty", "ASK", "Fill=#N/A")), NA())</f>
        <v>3.875</v>
      </c>
      <c r="Q47" s="10">
        <f ca="1">IFERROR(AVERAGE(_xll.BDP(Q$18 &amp; $B46 &amp; RIGHT($C46, 1) &amp; Q$18 &amp; $B47 &amp; RIGHT($C47, 1) &amp; " " &amp; "Comdty", "BID", "Fill=#N/A"), _xll.BDP(Q$18 &amp; $B46 &amp; RIGHT($C46, 1) &amp; Q$18 &amp; $B47 &amp; RIGHT($C47, 1) &amp; " " &amp; "Comdty", "ASK", "Fill=#N/A")), NA())</f>
        <v>0.74</v>
      </c>
      <c r="R47" s="10">
        <f ca="1">IFERROR(AVERAGE(_xll.BDP(R$18 &amp; $B46 &amp; RIGHT($C46, 1) &amp; R$18 &amp; $B47 &amp; RIGHT($C47, 1) &amp; " " &amp; "Comdty", "BID", "Fill=#N/A"), _xll.BDP(R$18 &amp; $B46 &amp; RIGHT($C46, 1) &amp; R$18 &amp; $B47 &amp; RIGHT($C47, 1) &amp; " " &amp; "Comdty", "ASK", "Fill=#N/A")), NA())</f>
        <v>0.74</v>
      </c>
      <c r="S47" s="10" t="e">
        <f ca="1">IFERROR(AVERAGE(_xll.BDP(S$18 &amp; $B46 &amp; RIGHT($C46, 1) &amp; $B47 &amp; RIGHT($C47, 1) &amp; " " &amp; "Comdty", "BID", "Fill=#N/A"), _xll.BDP(S$18 &amp; $B46 &amp; RIGHT($C46, 1) &amp; $B47 &amp; RIGHT($C47, 1) &amp; " " &amp; "Comdty", "ASK", "Fill=#N/A")), NA())</f>
        <v>#N/A</v>
      </c>
      <c r="T47" s="10" t="e">
        <f ca="1">IFERROR(AVERAGE(_xll.BDP(T$18 &amp; $B46 &amp; RIGHT($C46, 1) &amp; $B47 &amp; RIGHT($C47, 1) &amp; " " &amp; "Comdty", "BID", "Fill=#N/A"), _xll.BDP(T$18 &amp; $B46 &amp; RIGHT($C46, 1) &amp; $B47 &amp; RIGHT($C47, 1) &amp; " " &amp; "Comdty", "ASK", "Fill=#N/A")), NA())</f>
        <v>#N/A</v>
      </c>
      <c r="U47" s="10">
        <f ca="1">IF($A47 &lt; Diagnostics!$B$3, N47, INDEX(ImpSprd[], MATCH(Futs!$C47, ImpSprd[Yr], 0), MATCH(U$18, ImpSprd[#Headers], 0)))</f>
        <v>0.19136363636363637</v>
      </c>
      <c r="V47" s="10">
        <f ca="1">IF($A47 &lt; Diagnostics!$B$3, O47, INDEX(ImpSprd[], MATCH(Futs!$C47, ImpSprd[Yr], 0), MATCH(V$18, ImpSprd[#Headers], 0)))</f>
        <v>0.17681818181818179</v>
      </c>
      <c r="W47" s="10">
        <f ca="1">IF($A47 &lt; Diagnostics!$B$3, P47, INDEX(ImpSprd[], MATCH(Futs!$C47, ImpSprd[Yr], 0), MATCH(W$18, ImpSprd[#Headers], 0)))</f>
        <v>3.8977272727272729</v>
      </c>
      <c r="X47" s="31">
        <f ca="1">INDEX(Expi[], MATCH($A47, Expi[Date], 0), MATCH(X$18, Expi[#Headers], 0))</f>
        <v>47140</v>
      </c>
      <c r="Y47" s="31" t="e">
        <f ca="1">INDEX(Expi[], MATCH($A47, Expi[Date], 0), MATCH(Y$18, Expi[#Headers], 0))</f>
        <v>#N/A</v>
      </c>
      <c r="Z47" s="31">
        <f ca="1">INDEX(Expi[], MATCH($A47, Expi[Date], 0), MATCH(Z$18, Expi[#Headers], 0))</f>
        <v>47129</v>
      </c>
      <c r="AA47" s="31" t="e">
        <f ca="1">INDEX(Expi[], MATCH($A47, Expi[Date], 0), MATCH(AA$18, Expi[#Headers], 0))</f>
        <v>#N/A</v>
      </c>
      <c r="AB47" s="31" t="e">
        <f ca="1">INDEX(Expi[], MATCH($A47, Expi[Date], 0), MATCH(AB$18, Expi[#Headers], 0))</f>
        <v>#N/A</v>
      </c>
      <c r="AC47" s="31" t="e">
        <f ca="1">INDEX(Expi[], MATCH($A47, Expi[Date], 0), MATCH(AC$18, Expi[#Headers], 0))</f>
        <v>#N/A</v>
      </c>
      <c r="AD47" s="7">
        <f ca="1">NETWORKDAYS($A47, EOMONTH($A47, 0), Hols[CME])</f>
        <v>23</v>
      </c>
      <c r="AE47" s="7">
        <f ca="1">NETWORKDAYS($A47, EOMONTH($A47, 0), Hols[ICE])</f>
        <v>23</v>
      </c>
      <c r="AF47" s="7">
        <f ca="1">NETWORKDAYS($A47, EOMONTH($A47, 0), Hols[ICE])</f>
        <v>23</v>
      </c>
      <c r="AG47" s="7">
        <f ca="1">NETWORKDAYS($A47, EOMONTH($A47, 0), Hols[CME])</f>
        <v>23</v>
      </c>
      <c r="AH47" s="7">
        <f ca="1">NETWORKDAYS($A47, EOMONTH($A47, 0), Hols[CME])</f>
        <v>23</v>
      </c>
      <c r="AI47" s="7">
        <f ca="1">NETWORKDAYS($A47, EOMONTH($A47, 0), Hols[ICE])</f>
        <v>23</v>
      </c>
      <c r="AJ47" s="7">
        <f ca="1">NETWORKDAYS($A47, X47, Hols[CME])</f>
        <v>16</v>
      </c>
      <c r="AK47" s="7" t="e">
        <f ca="1">NETWORKDAYS($A47, Y47, Hols[ICE]) - 1</f>
        <v>#N/A</v>
      </c>
      <c r="AL47" s="7">
        <f ca="1">NETWORKDAYS($A47, Z47, Hols[ICE]) - 1</f>
        <v>8</v>
      </c>
      <c r="AM47" s="7" t="e">
        <f ca="1">NETWORKDAYS($A47, AA47, Hols[CME])</f>
        <v>#N/A</v>
      </c>
      <c r="AN47" s="7" t="e">
        <f ca="1">NETWORKDAYS($A47, AB47, Hols[CME])</f>
        <v>#N/A</v>
      </c>
      <c r="AO47" s="7" t="e">
        <f ca="1">NETWORKDAYS($A47, AC47, Hols[ICE]) - 1</f>
        <v>#N/A</v>
      </c>
      <c r="AP47" s="10">
        <f t="shared" ca="1" si="67"/>
        <v>0.69565217391304346</v>
      </c>
      <c r="AQ47" s="10" t="e">
        <f t="shared" ca="1" si="68"/>
        <v>#N/A</v>
      </c>
      <c r="AR47" s="10">
        <f t="shared" ca="1" si="69"/>
        <v>0.34782608695652173</v>
      </c>
      <c r="AS47" s="10" t="e">
        <f t="shared" ca="1" si="70"/>
        <v>#N/A</v>
      </c>
      <c r="AT47" s="10" t="e">
        <f t="shared" ca="1" si="71"/>
        <v>#N/A</v>
      </c>
      <c r="AU47" s="10" t="e">
        <f t="shared" ca="1" si="71"/>
        <v>#N/A</v>
      </c>
      <c r="AV47" s="28">
        <f ca="1">IFERROR(AVERAGE(_xll.BDH(AV$18 &amp; $B47 &amp; RIGHT($C47, 1) &amp; " " &amp; "Comdty", "PX_SETTLE", AV$16, AV$16, "Fill=#N/A")), IFERROR(AVERAGE(_xll.BDH(AV$18 &amp; $B47 &amp; RIGHT($C47, 2) &amp; " " &amp; "Comdty", "PX_SETTLE", AV$16, AV$16, "Fill=#N/A")), NA()))</f>
        <v>68.2</v>
      </c>
      <c r="AW47" s="28">
        <f ca="1">IFERROR(AVERAGE(_xll.BDH(AW$18 &amp; $B47 &amp; RIGHT($C47, 1) &amp; " " &amp; "Comdty", "PX_SETTLE", AW$16, AW$16, "Fill=#N/A")), IFERROR(AVERAGE(_xll.BDH(AW$18 &amp; $B47 &amp; RIGHT($C47, 2) &amp; " " &amp; "Comdty", "PX_SETTLE", AW$16, AW$16, "Fill=#N/A")), NA()))</f>
        <v>73.27</v>
      </c>
      <c r="AX47" s="29">
        <f ca="1">IFERROR(AVERAGE(_xll.BDH(AX$18 &amp; $B47 &amp; RIGHT($C47, 2) &amp; " " &amp; "Comdty", "FAIR_VALUE_SNAPSHOT_AT_1430", AX$16, AX$16, "TIME_ZONE_OVERRIDE=13", "Fill=#N/A")), NA())</f>
        <v>817</v>
      </c>
      <c r="AY47" s="28">
        <f ca="1">IFERROR(AVERAGE(_xll.BDH(AY$18 &amp; $B47 &amp; RIGHT($C47, 1) &amp; " " &amp; "Comdty", "PX_SETTLE", AY$16, AY$16, "Fill=#N/A")), NA())</f>
        <v>296.52999999999997</v>
      </c>
      <c r="AZ47" s="28">
        <f ca="1">IFERROR(AVERAGE(_xll.BDH(AZ$18 &amp; $B47 &amp; RIGHT($C47, 1) &amp; " " &amp; "Comdty", "PX_SETTLE", AZ$16, AZ$16, "Fill=#N/A")), NA())</f>
        <v>219.08</v>
      </c>
      <c r="BA47" s="29" t="e">
        <f ca="1">IFERROR(AVERAGE(_xll.BDH(BA$18 &amp; $B47 &amp; RIGHT($C47, 2) &amp; " " &amp; "Comdty", "PX_SETTLE", BA$16, BA$16, "Fill=#N/A")), IFERROR(AVERAGE(_xll.BDH(BA$18 &amp; $B47 &amp; RIGHT($C47, 2) &amp; " " &amp; "Comdty", "PX_SETTLE", BA$16, BA$16, "Fill=#N/A")), NA()))</f>
        <v>#N/A</v>
      </c>
      <c r="BB47" s="29">
        <f ca="1">IFERROR(AVERAGE(_xll.BDH(BB$18 &amp; $B47 &amp; RIGHT($C47, 2) &amp; " " &amp; "Comdty", "PX_SETTLE", BB$16, BB$16, "Fill=#N/A")), IFERROR(AVERAGE(_xll.BDH(BB$18 &amp; $B47 &amp; RIGHT($C47, 2) &amp; " " &amp; "Comdty", "PX_SETTLE", BB$16, BB$16, "Fill=#N/A")), NA()))</f>
        <v>73.97</v>
      </c>
      <c r="BC47" s="29" t="e">
        <f ca="1">IFERROR(AVERAGE(_xll.BDH(BC$18 &amp; $B47 &amp; RIGHT($C47, 2) &amp; " " &amp; "Comdty", "PX_SETTLE", BC$16, BC$16, "Fill=#N/A")), IFERROR(AVERAGE(_xll.BDH(BC$18 &amp; $B47 &amp; RIGHT($C47, 2) &amp; " " &amp; "Comdty", "PX_SETTLE", BC$16, BC$16, "Fill=#N/A")), NA()))</f>
        <v>#N/A</v>
      </c>
      <c r="BD47" s="29" t="e">
        <f>NA()</f>
        <v>#N/A</v>
      </c>
      <c r="BE47" s="109">
        <f t="shared" ca="1" si="209"/>
        <v>68.060000000000031</v>
      </c>
      <c r="BF47" s="46">
        <f t="shared" ca="1" si="72"/>
        <v>-0.13999999999997215</v>
      </c>
      <c r="BG47" s="47">
        <f t="shared" ca="1" si="151"/>
        <v>0.19136363636363285</v>
      </c>
      <c r="BH47" s="114">
        <f t="shared" ca="1" si="223"/>
        <v>-2.8636363636366013E-2</v>
      </c>
      <c r="BI47" s="110">
        <f t="shared" ca="1" si="224"/>
        <v>73.093636363636463</v>
      </c>
      <c r="BJ47" s="46">
        <f t="shared" ca="1" si="73"/>
        <v>-0.17636363636353281</v>
      </c>
      <c r="BK47" s="48">
        <f t="shared" ca="1" si="225"/>
        <v>0.17681818181817732</v>
      </c>
      <c r="BL47" s="114">
        <f t="shared" ca="1" si="226"/>
        <v>-6.3181818181831773E-2</v>
      </c>
      <c r="BM47" s="48">
        <f t="shared" ca="1" si="152"/>
        <v>802.8068181818187</v>
      </c>
      <c r="BN47" s="46">
        <f t="shared" ca="1" si="74"/>
        <v>-14.193181818181301</v>
      </c>
      <c r="BO47" s="47">
        <f t="shared" ca="1" si="210"/>
        <v>3.8977272727272521</v>
      </c>
      <c r="BP47" s="46">
        <f t="shared" ca="1" si="133"/>
        <v>-0.85227272727274794</v>
      </c>
      <c r="BQ47" s="110">
        <f t="shared" ca="1" si="211"/>
        <v>297.20499999999998</v>
      </c>
      <c r="BR47" s="46">
        <f t="shared" ca="1" si="75"/>
        <v>0.67500000000001137</v>
      </c>
      <c r="BS47" s="47">
        <f t="shared" ca="1" si="153"/>
        <v>0.74000000000000909</v>
      </c>
      <c r="BT47" s="114">
        <f t="shared" ca="1" si="154"/>
        <v>6.9999999999993179E-2</v>
      </c>
      <c r="BU47" s="48">
        <f t="shared" ca="1" si="212"/>
        <v>215.55999999999997</v>
      </c>
      <c r="BV47" s="46">
        <f t="shared" ca="1" si="76"/>
        <v>-3.5200000000000387</v>
      </c>
      <c r="BW47" s="47">
        <f t="shared" ca="1" si="155"/>
        <v>0.74000000000000909</v>
      </c>
      <c r="BX47" s="46">
        <f t="shared" ca="1" si="156"/>
        <v>0.45000000000001705</v>
      </c>
      <c r="BY47" s="140">
        <f t="shared" ca="1" si="134"/>
        <v>67.810395256917033</v>
      </c>
      <c r="BZ47" s="46">
        <f t="shared" ca="1" si="135"/>
        <v>-0.1117786561264516</v>
      </c>
      <c r="CA47" s="47">
        <f t="shared" ca="1" si="157"/>
        <v>0.17670431018255783</v>
      </c>
      <c r="CB47" s="46">
        <f t="shared" ca="1" si="158"/>
        <v>-1.7312252964428732E-2</v>
      </c>
      <c r="CC47" s="141" t="str">
        <f t="shared" ca="1" si="136"/>
        <v/>
      </c>
      <c r="CD47" s="50" t="str">
        <f t="shared" ca="1" si="137"/>
        <v/>
      </c>
      <c r="CE47" s="47" t="str">
        <f t="shared" ca="1" si="159"/>
        <v/>
      </c>
      <c r="CF47" s="46" t="str">
        <f t="shared" ca="1" si="160"/>
        <v/>
      </c>
      <c r="CG47" s="141">
        <f t="shared" ca="1" si="138"/>
        <v>800.26482213438794</v>
      </c>
      <c r="CH47" s="50">
        <f t="shared" ca="1" si="139"/>
        <v>-15.104743083003424</v>
      </c>
      <c r="CI47" s="47">
        <f t="shared" ca="1" si="161"/>
        <v>3.8412384716732504</v>
      </c>
      <c r="CJ47" s="46">
        <f t="shared" ca="1" si="162"/>
        <v>0.62747035573120513</v>
      </c>
      <c r="CK47" s="141" t="str">
        <f t="shared" ca="1" si="140"/>
        <v/>
      </c>
      <c r="CL47" s="50" t="str">
        <f t="shared" ca="1" si="77"/>
        <v/>
      </c>
      <c r="CM47" s="47" t="str">
        <f t="shared" ca="1" si="163"/>
        <v/>
      </c>
      <c r="CN47" s="46" t="str">
        <f t="shared" ca="1" si="164"/>
        <v/>
      </c>
      <c r="CO47" s="141" t="str">
        <f t="shared" ca="1" si="141"/>
        <v/>
      </c>
      <c r="CP47" s="50" t="str">
        <f t="shared" ca="1" si="78"/>
        <v/>
      </c>
      <c r="CQ47" s="47" t="str">
        <f t="shared" ca="1" si="165"/>
        <v/>
      </c>
      <c r="CR47" s="46" t="str">
        <f t="shared" ca="1" si="166"/>
        <v/>
      </c>
      <c r="CS47" s="109">
        <f t="shared" ca="1" si="79"/>
        <v>-5.0336363636364325</v>
      </c>
      <c r="CT47" s="46">
        <f t="shared" ca="1" si="80"/>
        <v>3.6363636363560659E-2</v>
      </c>
      <c r="CU47" s="47">
        <f t="shared" ca="1" si="167"/>
        <v>1.4545454545455527E-2</v>
      </c>
      <c r="CV47" s="46">
        <f t="shared" ca="1" si="168"/>
        <v>-5.0454545454542199E-2</v>
      </c>
      <c r="CW47" s="110" t="str">
        <f t="shared" ca="1" si="142"/>
        <v/>
      </c>
      <c r="CX47" s="46" t="str">
        <f t="shared" ca="1" si="81"/>
        <v/>
      </c>
      <c r="CY47" s="47" t="str">
        <f t="shared" ca="1" si="169"/>
        <v/>
      </c>
      <c r="CZ47" s="46" t="str">
        <f t="shared" ca="1" si="170"/>
        <v/>
      </c>
      <c r="DA47" s="109">
        <f t="shared" ca="1" si="82"/>
        <v>34.665668090298936</v>
      </c>
      <c r="DB47" s="46">
        <f t="shared" ca="1" si="83"/>
        <v>-1.7287614399024136</v>
      </c>
      <c r="DC47" s="47">
        <f t="shared" ca="1" si="171"/>
        <v>0.34636668700426299</v>
      </c>
      <c r="DD47" s="46">
        <f t="shared" ca="1" si="233"/>
        <v>-5.1217205613168115E-2</v>
      </c>
      <c r="DE47" s="110">
        <f t="shared" ca="1" si="84"/>
        <v>51.732463636363519</v>
      </c>
      <c r="DF47" s="46">
        <f t="shared" ca="1" si="85"/>
        <v>0.45986363636353755</v>
      </c>
      <c r="DG47" s="47">
        <f t="shared" ca="1" si="172"/>
        <v>0.13398181818185151</v>
      </c>
      <c r="DH47" s="46">
        <f t="shared" ca="1" si="173"/>
        <v>9.2581818181828979E-2</v>
      </c>
      <c r="DI47" s="110">
        <f t="shared" ca="1" si="86"/>
        <v>17.441563636363526</v>
      </c>
      <c r="DJ47" s="46">
        <f t="shared" ca="1" si="87"/>
        <v>-1.3020363636364833</v>
      </c>
      <c r="DK47" s="47">
        <f t="shared" ca="1" si="174"/>
        <v>0.13398181818182309</v>
      </c>
      <c r="DL47" s="46">
        <f t="shared" ca="1" si="175"/>
        <v>0.25218181818183893</v>
      </c>
      <c r="DM47" s="110">
        <f t="shared" ca="1" si="88"/>
        <v>56.766099999999952</v>
      </c>
      <c r="DN47" s="46">
        <f t="shared" ca="1" si="89"/>
        <v>0.42349999999997689</v>
      </c>
      <c r="DO47" s="47">
        <f t="shared" ca="1" si="176"/>
        <v>0.11943636363639598</v>
      </c>
      <c r="DP47" s="47">
        <f t="shared" ca="1" si="177"/>
        <v>5.8036363636363164E-2</v>
      </c>
      <c r="DQ47" s="110">
        <f t="shared" ca="1" si="90"/>
        <v>22.475199999999958</v>
      </c>
      <c r="DR47" s="46">
        <f t="shared" ca="1" si="91"/>
        <v>-1.338400000000044</v>
      </c>
      <c r="DS47" s="47">
        <f t="shared" ca="1" si="178"/>
        <v>0.11943636363636756</v>
      </c>
      <c r="DT47" s="47">
        <f t="shared" ca="1" si="179"/>
        <v>0.21763636363637318</v>
      </c>
      <c r="DU47" s="109" t="str">
        <f t="shared" ca="1" si="92"/>
        <v/>
      </c>
      <c r="DV47" s="46" t="str">
        <f t="shared" ca="1" si="93"/>
        <v/>
      </c>
      <c r="DW47" s="47" t="str">
        <f t="shared" ca="1" si="180"/>
        <v/>
      </c>
      <c r="DX47" s="47" t="str">
        <f t="shared" ca="1" si="181"/>
        <v/>
      </c>
      <c r="DY47" s="110" t="str">
        <f t="shared" ca="1" si="94"/>
        <v/>
      </c>
      <c r="DZ47" s="46" t="str">
        <f t="shared" ca="1" si="95"/>
        <v/>
      </c>
      <c r="EA47" s="47" t="str">
        <f t="shared" ca="1" si="182"/>
        <v/>
      </c>
      <c r="EB47" s="47" t="str">
        <f t="shared" ca="1" si="183"/>
        <v/>
      </c>
      <c r="EC47" s="110" t="str">
        <f t="shared" ca="1" si="96"/>
        <v/>
      </c>
      <c r="ED47" s="46" t="str">
        <f t="shared" ca="1" si="97"/>
        <v/>
      </c>
      <c r="EE47" s="47" t="str">
        <f t="shared" ca="1" si="184"/>
        <v/>
      </c>
      <c r="EF47" s="47" t="str">
        <f t="shared" ca="1" si="185"/>
        <v/>
      </c>
      <c r="EG47" s="110" t="str">
        <f t="shared" ca="1" si="98"/>
        <v/>
      </c>
      <c r="EH47" s="46" t="str">
        <f t="shared" ca="1" si="99"/>
        <v/>
      </c>
      <c r="EI47" s="47" t="str">
        <f t="shared" ca="1" si="186"/>
        <v/>
      </c>
      <c r="EJ47" s="47" t="str">
        <f t="shared" ca="1" si="187"/>
        <v/>
      </c>
      <c r="EK47" s="110" t="str">
        <f t="shared" ca="1" si="100"/>
        <v/>
      </c>
      <c r="EL47" s="46" t="str">
        <f t="shared" ca="1" si="101"/>
        <v/>
      </c>
      <c r="EM47" s="47" t="str">
        <f t="shared" ca="1" si="188"/>
        <v/>
      </c>
      <c r="EN47" s="47" t="str">
        <f t="shared" ca="1" si="189"/>
        <v/>
      </c>
      <c r="EO47" s="109">
        <f t="shared" ca="1" si="102"/>
        <v>40.635227490629973</v>
      </c>
      <c r="EP47" s="46">
        <f t="shared" ca="1" si="103"/>
        <v>5.2110120863475027</v>
      </c>
      <c r="EQ47" s="47">
        <f t="shared" ca="1" si="190"/>
        <v>-0.50567825910104602</v>
      </c>
      <c r="ER47" s="47">
        <f t="shared" ca="1" si="191"/>
        <v>0.34237862808332586</v>
      </c>
      <c r="ES47" s="110" t="str">
        <f t="shared" ca="1" si="104"/>
        <v/>
      </c>
      <c r="ET47" s="46" t="str">
        <f t="shared" ca="1" si="105"/>
        <v/>
      </c>
      <c r="EU47" s="47" t="str">
        <f t="shared" ca="1" si="192"/>
        <v/>
      </c>
      <c r="EV47" s="47" t="str">
        <f t="shared" ca="1" si="193"/>
        <v/>
      </c>
      <c r="EW47" s="109">
        <f t="shared" ca="1" si="106"/>
        <v>-81.64500000000001</v>
      </c>
      <c r="EX47" s="46">
        <f t="shared" ca="1" si="107"/>
        <v>-4.19500000000005</v>
      </c>
      <c r="EY47" s="47">
        <f t="shared" ca="1" si="194"/>
        <v>0</v>
      </c>
      <c r="EZ47" s="47">
        <f t="shared" ca="1" si="195"/>
        <v>0.38000000000002387</v>
      </c>
      <c r="FA47" s="110" t="str">
        <f t="shared" ca="1" si="108"/>
        <v/>
      </c>
      <c r="FB47" s="46" t="str">
        <f t="shared" ca="1" si="109"/>
        <v/>
      </c>
      <c r="FC47" s="47" t="str">
        <f t="shared" ca="1" si="196"/>
        <v/>
      </c>
      <c r="FD47" s="47" t="str">
        <f t="shared" ca="1" si="197"/>
        <v/>
      </c>
      <c r="FE47" s="109">
        <f t="shared" ca="1" si="110"/>
        <v>39.620649999999955</v>
      </c>
      <c r="FF47" s="46">
        <f t="shared" ca="1" si="111"/>
        <v>-0.45745000000003355</v>
      </c>
      <c r="FG47" s="110">
        <f t="shared" ca="1" si="112"/>
        <v>33.905499999999954</v>
      </c>
      <c r="FH47" s="46">
        <f t="shared" ca="1" si="113"/>
        <v>-0.75110000000003696</v>
      </c>
      <c r="FI47" s="110">
        <f t="shared" ca="1" si="114"/>
        <v>34.587013636363523</v>
      </c>
      <c r="FJ47" s="46">
        <f t="shared" ca="1" si="115"/>
        <v>-0.42108636363647289</v>
      </c>
      <c r="FK47" s="110">
        <f t="shared" ca="1" si="116"/>
        <v>28.871863636363521</v>
      </c>
      <c r="FL47" s="46">
        <f t="shared" ca="1" si="117"/>
        <v>-0.7147363636364763</v>
      </c>
      <c r="FM47" s="110" t="str">
        <f t="shared" ca="1" si="118"/>
        <v/>
      </c>
      <c r="FN47" s="46" t="str">
        <f t="shared" ca="1" si="119"/>
        <v/>
      </c>
      <c r="FO47" s="110" t="str">
        <f t="shared" ca="1" si="120"/>
        <v/>
      </c>
      <c r="FP47" s="46" t="str">
        <f t="shared" ca="1" si="121"/>
        <v/>
      </c>
      <c r="FQ47" s="110" t="str">
        <f t="shared" ca="1" si="122"/>
        <v/>
      </c>
      <c r="FR47" s="46" t="str">
        <f t="shared" ca="1" si="123"/>
        <v/>
      </c>
      <c r="FS47" s="110" t="str">
        <f t="shared" ca="1" si="124"/>
        <v/>
      </c>
      <c r="FT47" s="111" t="str">
        <f t="shared" ca="1" si="125"/>
        <v/>
      </c>
      <c r="FU47" s="109" t="str">
        <f t="shared" ca="1" si="232"/>
        <v/>
      </c>
      <c r="FV47" s="46" t="str">
        <f t="shared" ca="1" si="213"/>
        <v/>
      </c>
      <c r="FW47" s="48" t="str">
        <f t="shared" ca="1" si="227"/>
        <v/>
      </c>
      <c r="FX47" s="114" t="str">
        <f t="shared" ca="1" si="228"/>
        <v/>
      </c>
      <c r="FY47" s="110" t="str">
        <f t="shared" ca="1" si="214"/>
        <v/>
      </c>
      <c r="FZ47" s="46" t="str">
        <f t="shared" ca="1" si="215"/>
        <v/>
      </c>
      <c r="GA47" s="47" t="str">
        <f t="shared" ca="1" si="216"/>
        <v/>
      </c>
      <c r="GB47" s="46" t="str">
        <f t="shared" ca="1" si="229"/>
        <v/>
      </c>
      <c r="GC47" s="110" t="str">
        <f ca="1">IFERROR(IF(AND(ISNUMBER($FU47), ISNUMBER(Crd!$X47)), $FU47 - Crd!$X47, ""), "")</f>
        <v/>
      </c>
      <c r="GD47" s="46" t="str">
        <f ca="1">IFERROR(IF(AND(ISNUMBER($FV47), ISNUMBER(Crd!$Y47)), $FV47 - Crd!$Y47, ""), "")</f>
        <v/>
      </c>
      <c r="GE47" s="47" t="str">
        <f t="shared" ca="1" si="217"/>
        <v/>
      </c>
      <c r="GF47" s="46" t="str">
        <f t="shared" ca="1" si="218"/>
        <v/>
      </c>
      <c r="GG47" s="141" t="str">
        <f t="shared" ca="1" si="198"/>
        <v/>
      </c>
      <c r="GH47" s="50" t="str">
        <f t="shared" ca="1" si="199"/>
        <v/>
      </c>
      <c r="GI47" s="47" t="str">
        <f t="shared" ca="1" si="144"/>
        <v/>
      </c>
      <c r="GJ47" s="46" t="str">
        <f t="shared" ca="1" si="145"/>
        <v/>
      </c>
      <c r="GK47" s="110" t="str">
        <f t="shared" ca="1" si="127"/>
        <v/>
      </c>
      <c r="GL47" s="46" t="str">
        <f t="shared" ca="1" si="128"/>
        <v/>
      </c>
      <c r="GM47" s="47" t="str">
        <f t="shared" ca="1" si="200"/>
        <v/>
      </c>
      <c r="GN47" s="46" t="str">
        <f t="shared" ca="1" si="201"/>
        <v/>
      </c>
      <c r="GO47" s="110" t="str">
        <f ca="1">IFERROR(IF(AND(ISNUMBER($GG47), ISNUMBER(Crd!$X47)), $GG47 - Crd!$X47, ""), "")</f>
        <v/>
      </c>
      <c r="GP47" s="46" t="str">
        <f ca="1">IFERROR(IF(AND(ISNUMBER($GH47), ISNUMBER(Crd!$Y47)), $GH47 - Crd!$Y47, ""), "")</f>
        <v/>
      </c>
      <c r="GQ47" s="47" t="str">
        <f t="shared" ca="1" si="202"/>
        <v/>
      </c>
      <c r="GR47" s="46" t="str">
        <f t="shared" ca="1" si="203"/>
        <v/>
      </c>
      <c r="GS47" s="436" t="str">
        <f t="shared" ca="1" si="219"/>
        <v/>
      </c>
      <c r="GT47" s="46" t="str">
        <f t="shared" ca="1" si="220"/>
        <v/>
      </c>
      <c r="GU47" s="48" t="str">
        <f t="shared" ca="1" si="230"/>
        <v/>
      </c>
      <c r="GV47" s="46" t="str">
        <f t="shared" ca="1" si="231"/>
        <v/>
      </c>
      <c r="GW47" s="427" t="str">
        <f t="shared" ca="1" si="204"/>
        <v/>
      </c>
      <c r="GX47" s="50" t="str">
        <f t="shared" ca="1" si="146"/>
        <v/>
      </c>
      <c r="GY47" s="47" t="str">
        <f t="shared" ca="1" si="205"/>
        <v/>
      </c>
      <c r="GZ47" s="432" t="str">
        <f t="shared" ca="1" si="206"/>
        <v/>
      </c>
      <c r="HA47" s="436"/>
      <c r="HB47" s="46"/>
      <c r="HC47" s="48"/>
      <c r="HD47" s="46"/>
      <c r="HE47" s="269"/>
      <c r="HF47" s="46"/>
      <c r="HG47" s="48"/>
      <c r="HH47" s="432"/>
    </row>
    <row r="48" spans="1:216" x14ac:dyDescent="0.25">
      <c r="A48" s="58">
        <f t="shared" ca="1" si="131"/>
        <v>47150</v>
      </c>
      <c r="B48" s="6" t="str">
        <f ca="1">INDEX(MthRef[], MATCH(MONTH(Futs!$A48), MthRef[Mth], 0), 2)</f>
        <v>G</v>
      </c>
      <c r="C48" s="6">
        <f t="shared" ca="1" si="65"/>
        <v>2029</v>
      </c>
      <c r="D48" s="6" t="str">
        <f t="shared" ca="1" si="66"/>
        <v>Q129</v>
      </c>
      <c r="E48" s="6" t="str">
        <f t="shared" ca="1" si="132"/>
        <v>G9</v>
      </c>
      <c r="F48" s="10" t="e">
        <f ca="1">IFERROR(AVERAGE(_xll.BDP(F$18 &amp; $B48 &amp; RIGHT($C48, 1) &amp; " " &amp; "Comdty", "BID", "Fill=#N/A"), _xll.BDP(F$18 &amp; $B48 &amp; RIGHT($C48, 1) &amp; " " &amp; "Comdty", "ASK", "Fill=#N/A")), NA())</f>
        <v>#N/A</v>
      </c>
      <c r="G48" s="10" t="e">
        <f ca="1">IFERROR(AVERAGE(_xll.BDP(G$18 &amp; $B48 &amp; RIGHT($C48, 1) &amp; " " &amp; "Comdty", "BID", "Fill=#N/A"), _xll.BDP(G$18 &amp; $B48 &amp; RIGHT($C48, 1) &amp; " " &amp; "Comdty", "ASK", "Fill=#N/A")), NA())</f>
        <v>#N/A</v>
      </c>
      <c r="H48" s="10">
        <f ca="1">IFERROR(AVERAGE(_xll.BDP(H$18 &amp; $B48 &amp; RIGHT($C48, 1) &amp; " " &amp; "Comdty", "BID", "Fill=#N/A"), _xll.BDP(H$18 &amp; $B48 &amp; RIGHT($C48, 1) &amp; " " &amp; "Comdty", "ASK", "Fill=#N/A")), NA())</f>
        <v>810.75</v>
      </c>
      <c r="I48" s="10" t="e">
        <f ca="1">IFERROR(AVERAGE(_xll.BDP(I$18 &amp; $B48 &amp; RIGHT($C48, 1) &amp; " " &amp; "Comdty", "BID", "Fill=#N/A"), _xll.BDP(I$18 &amp; $B48 &amp; RIGHT($C48, 1) &amp; " " &amp; "Comdty", "ASK", "Fill=#N/A")), NA())</f>
        <v>#N/A</v>
      </c>
      <c r="J48" s="10" t="e">
        <f ca="1">IFERROR(AVERAGE(_xll.BDP(J$18 &amp; $B48 &amp; RIGHT($C48, 1) &amp; " " &amp; "Comdty", "BID", "Fill=#N/A"), _xll.BDP(J$18 &amp; $B48 &amp; RIGHT($C48, 1) &amp; " " &amp; "Comdty", "ASK", "Fill=#N/A")), NA())</f>
        <v>#N/A</v>
      </c>
      <c r="K48" s="10" t="e">
        <f ca="1">IFERROR(AVERAGE(_xll.BDP(K$18 &amp; $B48 &amp; RIGHT($C48, 2) &amp; " " &amp; "Comdty", "BID", "Fill=#N/A"), _xll.BDP(K$18 &amp; $B48 &amp; RIGHT($C48, 2) &amp; " " &amp; "Comdty", "ASK", "Fill=#N/A")), NA())</f>
        <v>#N/A</v>
      </c>
      <c r="L48" s="10" t="e">
        <f ca="1">IFERROR(AVERAGE(_xll.BDP(L$18 &amp; $B48 &amp; RIGHT($C48, 2) &amp; " " &amp; "Comdty", "BID", "Fill=#N/A"), _xll.BDP(L$18 &amp; $B48 &amp; RIGHT($C48, 2) &amp; " " &amp; "Comdty", "ASK", "Fill=#N/A")), NA())</f>
        <v>#N/A</v>
      </c>
      <c r="M48" s="10" t="e">
        <f ca="1">IFERROR(AVERAGE(_xll.BDP(M$18 &amp; $B48 &amp; RIGHT($C48, 2) &amp; " " &amp; "Comdty", "BID", "Fill=#N/A"), _xll.BDP(M$18 &amp; $B48 &amp; RIGHT($C48, 2) &amp; " " &amp; "Comdty", "ASK", "Fill=#N/A")), NA())</f>
        <v>#N/A</v>
      </c>
      <c r="N48" s="10">
        <f ca="1">IFERROR(AVERAGE(_xll.BDP(N$18 &amp; $B47 &amp; RIGHT($C47, 1) &amp; N$18 &amp; $B48 &amp; RIGHT($C48, 1) &amp; " " &amp; "Comdty", "BID", "Fill=#N/A"), _xll.BDP(N$18 &amp; $B47 &amp; RIGHT($C47, 1) &amp; N$18 &amp; $B48 &amp; RIGHT($C48, 1) &amp; " " &amp; "Comdty", "ASK", "Fill=#N/A")), NA())</f>
        <v>0.21000000000000002</v>
      </c>
      <c r="O48" s="10">
        <f ca="1">IFERROR(AVERAGE(_xll.BDP(O$18 &amp; $B47 &amp; RIGHT($C47, 1) &amp; O$18 &amp; $B48 &amp; RIGHT($C48, 1) &amp; " " &amp; "Comdty", "BID", "Fill=#N/A"), _xll.BDP(O$18 &amp; $B47 &amp; RIGHT($C47, 1) &amp; O$18 &amp; $B48 &amp; RIGHT($C48, 1) &amp; " " &amp; "Comdty", "ASK", "Fill=#N/A")), NA())</f>
        <v>0.2</v>
      </c>
      <c r="P48" s="10">
        <f ca="1">IFERROR(AVERAGE(_xll.BDP(P$18 &amp; $B47 &amp; RIGHT($C47, 1) &amp; P$18 &amp; $B48 &amp; RIGHT($C48, 1) &amp; " " &amp; "Comdty", "BID", "Fill=#N/A"), _xll.BDP(P$18 &amp; $B47 &amp; RIGHT($C47, 1) &amp; P$18 &amp; $B48 &amp; RIGHT($C48, 1) &amp; " " &amp; "Comdty", "ASK", "Fill=#N/A")), NA())</f>
        <v>1.375</v>
      </c>
      <c r="Q48" s="10" t="e">
        <f ca="1">IFERROR(AVERAGE(_xll.BDP(Q$18 &amp; $B47 &amp; RIGHT($C47, 1) &amp; Q$18 &amp; $B48 &amp; RIGHT($C48, 1) &amp; " " &amp; "Comdty", "BID", "Fill=#N/A"), _xll.BDP(Q$18 &amp; $B47 &amp; RIGHT($C47, 1) &amp; Q$18 &amp; $B48 &amp; RIGHT($C48, 1) &amp; " " &amp; "Comdty", "ASK", "Fill=#N/A")), NA())</f>
        <v>#N/A</v>
      </c>
      <c r="R48" s="10" t="e">
        <f ca="1">IFERROR(AVERAGE(_xll.BDP(R$18 &amp; $B47 &amp; RIGHT($C47, 1) &amp; R$18 &amp; $B48 &amp; RIGHT($C48, 1) &amp; " " &amp; "Comdty", "BID", "Fill=#N/A"), _xll.BDP(R$18 &amp; $B47 &amp; RIGHT($C47, 1) &amp; R$18 &amp; $B48 &amp; RIGHT($C48, 1) &amp; " " &amp; "Comdty", "ASK", "Fill=#N/A")), NA())</f>
        <v>#N/A</v>
      </c>
      <c r="S48" s="10" t="e">
        <f ca="1">IFERROR(AVERAGE(_xll.BDP(S$18 &amp; $B47 &amp; RIGHT($C47, 1) &amp; $B48 &amp; RIGHT($C48, 1) &amp; " " &amp; "Comdty", "BID", "Fill=#N/A"), _xll.BDP(S$18 &amp; $B47 &amp; RIGHT($C47, 1) &amp; $B48 &amp; RIGHT($C48, 1) &amp; " " &amp; "Comdty", "ASK", "Fill=#N/A")), NA())</f>
        <v>#N/A</v>
      </c>
      <c r="T48" s="10" t="e">
        <f ca="1">IFERROR(AVERAGE(_xll.BDP(T$18 &amp; $B47 &amp; RIGHT($C47, 1) &amp; $B48 &amp; RIGHT($C48, 1) &amp; " " &amp; "Comdty", "BID", "Fill=#N/A"), _xll.BDP(T$18 &amp; $B47 &amp; RIGHT($C47, 1) &amp; $B48 &amp; RIGHT($C48, 1) &amp; " " &amp; "Comdty", "ASK", "Fill=#N/A")), NA())</f>
        <v>#N/A</v>
      </c>
      <c r="U48" s="10">
        <f ca="1">IF($A48 &lt; Diagnostics!$B$3, N48, INDEX(ImpSprd[], MATCH(Futs!$C48, ImpSprd[Yr], 0), MATCH(U$18, ImpSprd[#Headers], 0)))</f>
        <v>0.19136363636363637</v>
      </c>
      <c r="V48" s="10">
        <f ca="1">IF($A48 &lt; Diagnostics!$B$3, O48, INDEX(ImpSprd[], MATCH(Futs!$C48, ImpSprd[Yr], 0), MATCH(V$18, ImpSprd[#Headers], 0)))</f>
        <v>0.17681818181818179</v>
      </c>
      <c r="W48" s="10">
        <f ca="1">IF($A48 &lt; Diagnostics!$B$3, P48, INDEX(ImpSprd[], MATCH(Futs!$C48, ImpSprd[Yr], 0), MATCH(W$18, ImpSprd[#Headers], 0)))</f>
        <v>3.8977272727272729</v>
      </c>
      <c r="X48" s="31">
        <f ca="1">INDEX(Expi[], MATCH($A48, Expi[Date], 0), MATCH(X$18, Expi[#Headers], 0))</f>
        <v>47169</v>
      </c>
      <c r="Y48" s="31" t="e">
        <f ca="1">INDEX(Expi[], MATCH($A48, Expi[Date], 0), MATCH(Y$18, Expi[#Headers], 0))</f>
        <v>#N/A</v>
      </c>
      <c r="Z48" s="31">
        <f ca="1">INDEX(Expi[], MATCH($A48, Expi[Date], 0), MATCH(Z$18, Expi[#Headers], 0))</f>
        <v>47161</v>
      </c>
      <c r="AA48" s="31" t="e">
        <f ca="1">INDEX(Expi[], MATCH($A48, Expi[Date], 0), MATCH(AA$18, Expi[#Headers], 0))</f>
        <v>#N/A</v>
      </c>
      <c r="AB48" s="31" t="e">
        <f ca="1">INDEX(Expi[], MATCH($A48, Expi[Date], 0), MATCH(AB$18, Expi[#Headers], 0))</f>
        <v>#N/A</v>
      </c>
      <c r="AC48" s="31" t="e">
        <f ca="1">INDEX(Expi[], MATCH($A48, Expi[Date], 0), MATCH(AC$18, Expi[#Headers], 0))</f>
        <v>#N/A</v>
      </c>
      <c r="AD48" s="7">
        <f ca="1">NETWORKDAYS($A48, EOMONTH($A48, 0), Hols[CME])</f>
        <v>20</v>
      </c>
      <c r="AE48" s="7">
        <f ca="1">NETWORKDAYS($A48, EOMONTH($A48, 0), Hols[ICE])</f>
        <v>20</v>
      </c>
      <c r="AF48" s="7">
        <f ca="1">NETWORKDAYS($A48, EOMONTH($A48, 0), Hols[ICE])</f>
        <v>20</v>
      </c>
      <c r="AG48" s="7">
        <f ca="1">NETWORKDAYS($A48, EOMONTH($A48, 0), Hols[CME])</f>
        <v>20</v>
      </c>
      <c r="AH48" s="7">
        <f ca="1">NETWORKDAYS($A48, EOMONTH($A48, 0), Hols[CME])</f>
        <v>20</v>
      </c>
      <c r="AI48" s="7">
        <f ca="1">NETWORKDAYS($A48, EOMONTH($A48, 0), Hols[ICE])</f>
        <v>20</v>
      </c>
      <c r="AJ48" s="7">
        <f ca="1">NETWORKDAYS($A48, X48, Hols[CME])</f>
        <v>14</v>
      </c>
      <c r="AK48" s="7" t="e">
        <f ca="1">NETWORKDAYS($A48, Y48, Hols[ICE]) - 1</f>
        <v>#N/A</v>
      </c>
      <c r="AL48" s="7">
        <f ca="1">NETWORKDAYS($A48, Z48, Hols[ICE]) - 1</f>
        <v>7</v>
      </c>
      <c r="AM48" s="7" t="e">
        <f ca="1">NETWORKDAYS($A48, AA48, Hols[CME])</f>
        <v>#N/A</v>
      </c>
      <c r="AN48" s="7" t="e">
        <f ca="1">NETWORKDAYS($A48, AB48, Hols[CME])</f>
        <v>#N/A</v>
      </c>
      <c r="AO48" s="7" t="e">
        <f ca="1">NETWORKDAYS($A48, AC48, Hols[ICE]) - 1</f>
        <v>#N/A</v>
      </c>
      <c r="AP48" s="10">
        <f t="shared" ca="1" si="67"/>
        <v>0.7</v>
      </c>
      <c r="AQ48" s="10" t="e">
        <f t="shared" ca="1" si="68"/>
        <v>#N/A</v>
      </c>
      <c r="AR48" s="10">
        <f t="shared" ca="1" si="69"/>
        <v>0.35</v>
      </c>
      <c r="AS48" s="10" t="e">
        <f t="shared" ca="1" si="70"/>
        <v>#N/A</v>
      </c>
      <c r="AT48" s="10" t="e">
        <f t="shared" ca="1" si="71"/>
        <v>#N/A</v>
      </c>
      <c r="AU48" s="10" t="e">
        <f t="shared" ca="1" si="71"/>
        <v>#N/A</v>
      </c>
      <c r="AV48" s="28">
        <f ca="1">IFERROR(AVERAGE(_xll.BDH(AV$18 &amp; $B48 &amp; RIGHT($C48, 1) &amp; " " &amp; "Comdty", "PX_SETTLE", AV$16, AV$16, "Fill=#N/A")), IFERROR(AVERAGE(_xll.BDH(AV$18 &amp; $B48 &amp; RIGHT($C48, 2) &amp; " " &amp; "Comdty", "PX_SETTLE", AV$16, AV$16, "Fill=#N/A")), NA()))</f>
        <v>67.98</v>
      </c>
      <c r="AW48" s="28">
        <f ca="1">IFERROR(AVERAGE(_xll.BDH(AW$18 &amp; $B48 &amp; RIGHT($C48, 1) &amp; " " &amp; "Comdty", "PX_SETTLE", AW$16, AW$16, "Fill=#N/A")), IFERROR(AVERAGE(_xll.BDH(AW$18 &amp; $B48 &amp; RIGHT($C48, 2) &amp; " " &amp; "Comdty", "PX_SETTLE", AW$16, AW$16, "Fill=#N/A")), NA()))</f>
        <v>73.069999999999993</v>
      </c>
      <c r="AX48" s="29">
        <f ca="1">IFERROR(AVERAGE(_xll.BDH(AX$18 &amp; $B48 &amp; RIGHT($C48, 2) &amp; " " &amp; "Comdty", "FAIR_VALUE_SNAPSHOT_AT_1430", AX$16, AX$16, "TIME_ZONE_OVERRIDE=13", "Fill=#N/A")), NA())</f>
        <v>814.5</v>
      </c>
      <c r="AY48" s="28">
        <f ca="1">IFERROR(AVERAGE(_xll.BDH(AY$18 &amp; $B48 &amp; RIGHT($C48, 1) &amp; " " &amp; "Comdty", "PX_SETTLE", AY$16, AY$16, "Fill=#N/A")), NA())</f>
        <v>296.20999999999998</v>
      </c>
      <c r="AZ48" s="28">
        <f ca="1">IFERROR(AVERAGE(_xll.BDH(AZ$18 &amp; $B48 &amp; RIGHT($C48, 1) &amp; " " &amp; "Comdty", "PX_SETTLE", AZ$16, AZ$16, "Fill=#N/A")), NA())</f>
        <v>220.31</v>
      </c>
      <c r="BA48" s="29" t="e">
        <f ca="1">IFERROR(AVERAGE(_xll.BDH(BA$18 &amp; $B48 &amp; RIGHT($C48, 2) &amp; " " &amp; "Comdty", "PX_SETTLE", BA$16, BA$16, "Fill=#N/A")), IFERROR(AVERAGE(_xll.BDH(BA$18 &amp; $B48 &amp; RIGHT($C48, 2) &amp; " " &amp; "Comdty", "PX_SETTLE", BA$16, BA$16, "Fill=#N/A")), NA()))</f>
        <v>#N/A</v>
      </c>
      <c r="BB48" s="29">
        <f ca="1">IFERROR(AVERAGE(_xll.BDH(BB$18 &amp; $B48 &amp; RIGHT($C48, 2) &amp; " " &amp; "Comdty", "PX_SETTLE", BB$16, BB$16, "Fill=#N/A")), IFERROR(AVERAGE(_xll.BDH(BB$18 &amp; $B48 &amp; RIGHT($C48, 2) &amp; " " &amp; "Comdty", "PX_SETTLE", BB$16, BB$16, "Fill=#N/A")), NA()))</f>
        <v>73.77</v>
      </c>
      <c r="BC48" s="29" t="e">
        <f ca="1">IFERROR(AVERAGE(_xll.BDH(BC$18 &amp; $B48 &amp; RIGHT($C48, 2) &amp; " " &amp; "Comdty", "PX_SETTLE", BC$16, BC$16, "Fill=#N/A")), IFERROR(AVERAGE(_xll.BDH(BC$18 &amp; $B48 &amp; RIGHT($C48, 2) &amp; " " &amp; "Comdty", "PX_SETTLE", BC$16, BC$16, "Fill=#N/A")), NA()))</f>
        <v>#N/A</v>
      </c>
      <c r="BD48" s="29" t="e">
        <f>NA()</f>
        <v>#N/A</v>
      </c>
      <c r="BE48" s="109">
        <f t="shared" ca="1" si="209"/>
        <v>67.868636363636398</v>
      </c>
      <c r="BF48" s="46">
        <f t="shared" ca="1" si="72"/>
        <v>-0.11136363636360613</v>
      </c>
      <c r="BG48" s="47">
        <f t="shared" ca="1" si="151"/>
        <v>0.19136363636363285</v>
      </c>
      <c r="BH48" s="114">
        <f t="shared" ca="1" si="223"/>
        <v>-2.8636363636366013E-2</v>
      </c>
      <c r="BI48" s="110">
        <f t="shared" ca="1" si="224"/>
        <v>72.916818181818286</v>
      </c>
      <c r="BJ48" s="46">
        <f t="shared" ca="1" si="73"/>
        <v>-0.15318181818170729</v>
      </c>
      <c r="BK48" s="48">
        <f t="shared" ca="1" si="225"/>
        <v>0.17681818181817732</v>
      </c>
      <c r="BL48" s="114">
        <f t="shared" ca="1" si="226"/>
        <v>-2.318181818182552E-2</v>
      </c>
      <c r="BM48" s="48">
        <f t="shared" ca="1" si="152"/>
        <v>798.90909090909145</v>
      </c>
      <c r="BN48" s="46">
        <f t="shared" ca="1" si="74"/>
        <v>-15.590909090908553</v>
      </c>
      <c r="BO48" s="47">
        <f t="shared" ca="1" si="210"/>
        <v>3.8977272727272521</v>
      </c>
      <c r="BP48" s="46">
        <f t="shared" ca="1" si="133"/>
        <v>1.3977272727272521</v>
      </c>
      <c r="BQ48" s="110" t="str">
        <f t="shared" ca="1" si="211"/>
        <v/>
      </c>
      <c r="BR48" s="46" t="str">
        <f t="shared" ca="1" si="75"/>
        <v/>
      </c>
      <c r="BS48" s="47" t="str">
        <f t="shared" ca="1" si="153"/>
        <v/>
      </c>
      <c r="BT48" s="114" t="str">
        <f t="shared" ca="1" si="154"/>
        <v/>
      </c>
      <c r="BU48" s="48" t="str">
        <f t="shared" ca="1" si="212"/>
        <v/>
      </c>
      <c r="BV48" s="46" t="str">
        <f t="shared" ca="1" si="76"/>
        <v/>
      </c>
      <c r="BW48" s="47" t="str">
        <f t="shared" ca="1" si="155"/>
        <v/>
      </c>
      <c r="BX48" s="46" t="str">
        <f t="shared" ca="1" si="156"/>
        <v/>
      </c>
      <c r="BY48" s="140">
        <f t="shared" ca="1" si="134"/>
        <v>67.619863636363675</v>
      </c>
      <c r="BZ48" s="46">
        <f t="shared" ca="1" si="135"/>
        <v>-0.11613636363632907</v>
      </c>
      <c r="CA48" s="47">
        <f t="shared" ca="1" si="157"/>
        <v>0.19053162055335804</v>
      </c>
      <c r="CB48" s="46">
        <f t="shared" ca="1" si="158"/>
        <v>4.357707509877462E-3</v>
      </c>
      <c r="CC48" s="141" t="str">
        <f t="shared" ca="1" si="136"/>
        <v/>
      </c>
      <c r="CD48" s="50" t="str">
        <f t="shared" ca="1" si="137"/>
        <v/>
      </c>
      <c r="CE48" s="47" t="str">
        <f t="shared" ca="1" si="159"/>
        <v/>
      </c>
      <c r="CF48" s="46" t="str">
        <f t="shared" ca="1" si="160"/>
        <v/>
      </c>
      <c r="CG48" s="141">
        <f t="shared" ca="1" si="138"/>
        <v>796.37556818181884</v>
      </c>
      <c r="CH48" s="50">
        <f t="shared" ca="1" si="139"/>
        <v>-15.686931818181268</v>
      </c>
      <c r="CI48" s="47">
        <f t="shared" ca="1" si="161"/>
        <v>3.8892539525691063</v>
      </c>
      <c r="CJ48" s="46">
        <f t="shared" ca="1" si="162"/>
        <v>0.58218873517784431</v>
      </c>
      <c r="CK48" s="141" t="str">
        <f t="shared" ca="1" si="140"/>
        <v/>
      </c>
      <c r="CL48" s="50" t="str">
        <f t="shared" ca="1" si="77"/>
        <v/>
      </c>
      <c r="CM48" s="47" t="str">
        <f t="shared" ca="1" si="163"/>
        <v/>
      </c>
      <c r="CN48" s="46" t="str">
        <f t="shared" ca="1" si="164"/>
        <v/>
      </c>
      <c r="CO48" s="141" t="str">
        <f t="shared" ca="1" si="141"/>
        <v/>
      </c>
      <c r="CP48" s="50" t="str">
        <f t="shared" ca="1" si="78"/>
        <v/>
      </c>
      <c r="CQ48" s="47" t="str">
        <f t="shared" ca="1" si="165"/>
        <v/>
      </c>
      <c r="CR48" s="46" t="str">
        <f t="shared" ca="1" si="166"/>
        <v/>
      </c>
      <c r="CS48" s="109">
        <f t="shared" ca="1" si="79"/>
        <v>-5.048181818181888</v>
      </c>
      <c r="CT48" s="46">
        <f t="shared" ca="1" si="80"/>
        <v>4.1818181818101152E-2</v>
      </c>
      <c r="CU48" s="47">
        <f t="shared" ca="1" si="167"/>
        <v>1.4545454545455527E-2</v>
      </c>
      <c r="CV48" s="46">
        <f t="shared" ca="1" si="168"/>
        <v>0</v>
      </c>
      <c r="CW48" s="110" t="str">
        <f t="shared" ca="1" si="142"/>
        <v/>
      </c>
      <c r="CX48" s="46" t="str">
        <f t="shared" ca="1" si="81"/>
        <v/>
      </c>
      <c r="CY48" s="47" t="str">
        <f t="shared" ca="1" si="169"/>
        <v/>
      </c>
      <c r="CZ48" s="46" t="str">
        <f t="shared" ca="1" si="170"/>
        <v/>
      </c>
      <c r="DA48" s="109">
        <f t="shared" ca="1" si="82"/>
        <v>34.319301403294659</v>
      </c>
      <c r="DB48" s="46">
        <f t="shared" ca="1" si="83"/>
        <v>-1.9395576571080313</v>
      </c>
      <c r="DC48" s="47">
        <f t="shared" ca="1" si="171"/>
        <v>0.3463666870042772</v>
      </c>
      <c r="DD48" s="46">
        <f t="shared" ca="1" si="233"/>
        <v>0.2107962172056177</v>
      </c>
      <c r="DE48" s="110" t="str">
        <f t="shared" ca="1" si="84"/>
        <v/>
      </c>
      <c r="DF48" s="46" t="str">
        <f t="shared" ca="1" si="85"/>
        <v/>
      </c>
      <c r="DG48" s="47" t="str">
        <f t="shared" ca="1" si="172"/>
        <v/>
      </c>
      <c r="DH48" s="46" t="str">
        <f t="shared" ca="1" si="173"/>
        <v/>
      </c>
      <c r="DI48" s="110" t="str">
        <f t="shared" ca="1" si="86"/>
        <v/>
      </c>
      <c r="DJ48" s="46" t="str">
        <f t="shared" ca="1" si="87"/>
        <v/>
      </c>
      <c r="DK48" s="47" t="str">
        <f t="shared" ca="1" si="174"/>
        <v/>
      </c>
      <c r="DL48" s="46" t="str">
        <f t="shared" ca="1" si="175"/>
        <v/>
      </c>
      <c r="DM48" s="110" t="str">
        <f t="shared" ca="1" si="88"/>
        <v/>
      </c>
      <c r="DN48" s="46" t="str">
        <f t="shared" ca="1" si="89"/>
        <v/>
      </c>
      <c r="DO48" s="47" t="str">
        <f t="shared" ca="1" si="176"/>
        <v/>
      </c>
      <c r="DP48" s="47" t="str">
        <f t="shared" ca="1" si="177"/>
        <v/>
      </c>
      <c r="DQ48" s="110" t="str">
        <f t="shared" ca="1" si="90"/>
        <v/>
      </c>
      <c r="DR48" s="46" t="str">
        <f t="shared" ca="1" si="91"/>
        <v/>
      </c>
      <c r="DS48" s="47" t="str">
        <f t="shared" ca="1" si="178"/>
        <v/>
      </c>
      <c r="DT48" s="47" t="str">
        <f t="shared" ca="1" si="179"/>
        <v/>
      </c>
      <c r="DU48" s="109" t="str">
        <f t="shared" ca="1" si="92"/>
        <v/>
      </c>
      <c r="DV48" s="46" t="str">
        <f t="shared" ca="1" si="93"/>
        <v/>
      </c>
      <c r="DW48" s="47" t="str">
        <f t="shared" ca="1" si="180"/>
        <v/>
      </c>
      <c r="DX48" s="47" t="str">
        <f t="shared" ca="1" si="181"/>
        <v/>
      </c>
      <c r="DY48" s="110" t="str">
        <f t="shared" ca="1" si="94"/>
        <v/>
      </c>
      <c r="DZ48" s="46" t="str">
        <f t="shared" ca="1" si="95"/>
        <v/>
      </c>
      <c r="EA48" s="47" t="str">
        <f t="shared" ca="1" si="182"/>
        <v/>
      </c>
      <c r="EB48" s="47" t="str">
        <f t="shared" ca="1" si="183"/>
        <v/>
      </c>
      <c r="EC48" s="110" t="str">
        <f t="shared" ca="1" si="96"/>
        <v/>
      </c>
      <c r="ED48" s="46" t="str">
        <f t="shared" ca="1" si="97"/>
        <v/>
      </c>
      <c r="EE48" s="47" t="str">
        <f t="shared" ca="1" si="184"/>
        <v/>
      </c>
      <c r="EF48" s="47" t="str">
        <f t="shared" ca="1" si="185"/>
        <v/>
      </c>
      <c r="EG48" s="110" t="str">
        <f t="shared" ca="1" si="98"/>
        <v/>
      </c>
      <c r="EH48" s="46" t="str">
        <f t="shared" ca="1" si="99"/>
        <v/>
      </c>
      <c r="EI48" s="47" t="str">
        <f t="shared" ca="1" si="186"/>
        <v/>
      </c>
      <c r="EJ48" s="47" t="str">
        <f t="shared" ca="1" si="187"/>
        <v/>
      </c>
      <c r="EK48" s="110" t="str">
        <f t="shared" ca="1" si="100"/>
        <v/>
      </c>
      <c r="EL48" s="46" t="str">
        <f t="shared" ca="1" si="101"/>
        <v/>
      </c>
      <c r="EM48" s="47" t="str">
        <f t="shared" ca="1" si="188"/>
        <v/>
      </c>
      <c r="EN48" s="47" t="str">
        <f t="shared" ca="1" si="189"/>
        <v/>
      </c>
      <c r="EO48" s="109" t="str">
        <f t="shared" ca="1" si="102"/>
        <v/>
      </c>
      <c r="EP48" s="46" t="str">
        <f t="shared" ca="1" si="103"/>
        <v/>
      </c>
      <c r="EQ48" s="47" t="str">
        <f t="shared" ca="1" si="190"/>
        <v/>
      </c>
      <c r="ER48" s="47" t="str">
        <f t="shared" ca="1" si="191"/>
        <v/>
      </c>
      <c r="ES48" s="110" t="str">
        <f t="shared" ca="1" si="104"/>
        <v/>
      </c>
      <c r="ET48" s="46" t="str">
        <f t="shared" ca="1" si="105"/>
        <v/>
      </c>
      <c r="EU48" s="47" t="str">
        <f t="shared" ca="1" si="192"/>
        <v/>
      </c>
      <c r="EV48" s="47" t="str">
        <f t="shared" ca="1" si="193"/>
        <v/>
      </c>
      <c r="EW48" s="109" t="str">
        <f t="shared" ca="1" si="106"/>
        <v/>
      </c>
      <c r="EX48" s="46" t="str">
        <f t="shared" ca="1" si="107"/>
        <v/>
      </c>
      <c r="EY48" s="47" t="str">
        <f t="shared" ca="1" si="194"/>
        <v/>
      </c>
      <c r="EZ48" s="47" t="str">
        <f t="shared" ca="1" si="195"/>
        <v/>
      </c>
      <c r="FA48" s="110" t="str">
        <f t="shared" ca="1" si="108"/>
        <v/>
      </c>
      <c r="FB48" s="46" t="str">
        <f t="shared" ca="1" si="109"/>
        <v/>
      </c>
      <c r="FC48" s="47" t="str">
        <f t="shared" ca="1" si="196"/>
        <v/>
      </c>
      <c r="FD48" s="47" t="str">
        <f t="shared" ca="1" si="197"/>
        <v/>
      </c>
      <c r="FE48" s="109" t="str">
        <f t="shared" ca="1" si="110"/>
        <v/>
      </c>
      <c r="FF48" s="46" t="str">
        <f t="shared" ca="1" si="111"/>
        <v/>
      </c>
      <c r="FG48" s="110" t="str">
        <f t="shared" ca="1" si="112"/>
        <v/>
      </c>
      <c r="FH48" s="46" t="str">
        <f t="shared" ca="1" si="113"/>
        <v/>
      </c>
      <c r="FI48" s="110" t="str">
        <f t="shared" ca="1" si="114"/>
        <v/>
      </c>
      <c r="FJ48" s="46" t="str">
        <f t="shared" ca="1" si="115"/>
        <v/>
      </c>
      <c r="FK48" s="110" t="str">
        <f t="shared" ca="1" si="116"/>
        <v/>
      </c>
      <c r="FL48" s="46" t="str">
        <f t="shared" ca="1" si="117"/>
        <v/>
      </c>
      <c r="FM48" s="110" t="str">
        <f t="shared" ca="1" si="118"/>
        <v/>
      </c>
      <c r="FN48" s="46" t="str">
        <f t="shared" ca="1" si="119"/>
        <v/>
      </c>
      <c r="FO48" s="110" t="str">
        <f t="shared" ca="1" si="120"/>
        <v/>
      </c>
      <c r="FP48" s="46" t="str">
        <f t="shared" ca="1" si="121"/>
        <v/>
      </c>
      <c r="FQ48" s="110" t="str">
        <f t="shared" ca="1" si="122"/>
        <v/>
      </c>
      <c r="FR48" s="46" t="str">
        <f t="shared" ca="1" si="123"/>
        <v/>
      </c>
      <c r="FS48" s="110" t="str">
        <f t="shared" ca="1" si="124"/>
        <v/>
      </c>
      <c r="FT48" s="111" t="str">
        <f t="shared" ca="1" si="125"/>
        <v/>
      </c>
      <c r="FU48" s="109" t="str">
        <f t="shared" ca="1" si="232"/>
        <v/>
      </c>
      <c r="FV48" s="46" t="str">
        <f t="shared" ca="1" si="213"/>
        <v/>
      </c>
      <c r="FW48" s="48" t="str">
        <f t="shared" ca="1" si="227"/>
        <v/>
      </c>
      <c r="FX48" s="114" t="str">
        <f t="shared" ca="1" si="228"/>
        <v/>
      </c>
      <c r="FY48" s="110" t="str">
        <f t="shared" ca="1" si="214"/>
        <v/>
      </c>
      <c r="FZ48" s="46" t="str">
        <f t="shared" ca="1" si="215"/>
        <v/>
      </c>
      <c r="GA48" s="47" t="str">
        <f t="shared" ca="1" si="216"/>
        <v/>
      </c>
      <c r="GB48" s="46" t="str">
        <f t="shared" ca="1" si="229"/>
        <v/>
      </c>
      <c r="GC48" s="110" t="str">
        <f ca="1">IFERROR(IF(AND(ISNUMBER($FU48), ISNUMBER(Crd!$X48)), $FU48 - Crd!$X48, ""), "")</f>
        <v/>
      </c>
      <c r="GD48" s="46" t="str">
        <f ca="1">IFERROR(IF(AND(ISNUMBER($FV48), ISNUMBER(Crd!$Y48)), $FV48 - Crd!$Y48, ""), "")</f>
        <v/>
      </c>
      <c r="GE48" s="47" t="str">
        <f t="shared" ca="1" si="217"/>
        <v/>
      </c>
      <c r="GF48" s="46" t="str">
        <f t="shared" ca="1" si="218"/>
        <v/>
      </c>
      <c r="GG48" s="141" t="str">
        <f t="shared" ca="1" si="198"/>
        <v/>
      </c>
      <c r="GH48" s="50" t="str">
        <f t="shared" ca="1" si="199"/>
        <v/>
      </c>
      <c r="GI48" s="47" t="str">
        <f t="shared" ca="1" si="144"/>
        <v/>
      </c>
      <c r="GJ48" s="46" t="str">
        <f t="shared" ca="1" si="145"/>
        <v/>
      </c>
      <c r="GK48" s="110" t="str">
        <f t="shared" ca="1" si="127"/>
        <v/>
      </c>
      <c r="GL48" s="46" t="str">
        <f t="shared" ca="1" si="128"/>
        <v/>
      </c>
      <c r="GM48" s="47" t="str">
        <f t="shared" ca="1" si="200"/>
        <v/>
      </c>
      <c r="GN48" s="46" t="str">
        <f t="shared" ca="1" si="201"/>
        <v/>
      </c>
      <c r="GO48" s="110" t="str">
        <f ca="1">IFERROR(IF(AND(ISNUMBER($GG48), ISNUMBER(Crd!$X48)), $GG48 - Crd!$X48, ""), "")</f>
        <v/>
      </c>
      <c r="GP48" s="46" t="str">
        <f ca="1">IFERROR(IF(AND(ISNUMBER($GH48), ISNUMBER(Crd!$Y48)), $GH48 - Crd!$Y48, ""), "")</f>
        <v/>
      </c>
      <c r="GQ48" s="47" t="str">
        <f t="shared" ca="1" si="202"/>
        <v/>
      </c>
      <c r="GR48" s="46" t="str">
        <f t="shared" ca="1" si="203"/>
        <v/>
      </c>
      <c r="GS48" s="436" t="str">
        <f t="shared" ca="1" si="219"/>
        <v/>
      </c>
      <c r="GT48" s="46" t="str">
        <f t="shared" ca="1" si="220"/>
        <v/>
      </c>
      <c r="GU48" s="48" t="str">
        <f t="shared" ca="1" si="230"/>
        <v/>
      </c>
      <c r="GV48" s="46" t="str">
        <f t="shared" ca="1" si="231"/>
        <v/>
      </c>
      <c r="GW48" s="427" t="str">
        <f t="shared" ca="1" si="204"/>
        <v/>
      </c>
      <c r="GX48" s="50" t="str">
        <f t="shared" ca="1" si="146"/>
        <v/>
      </c>
      <c r="GY48" s="47" t="str">
        <f t="shared" ca="1" si="205"/>
        <v/>
      </c>
      <c r="GZ48" s="432" t="str">
        <f t="shared" ca="1" si="206"/>
        <v/>
      </c>
      <c r="HA48" s="436"/>
      <c r="HB48" s="46"/>
      <c r="HC48" s="48"/>
      <c r="HD48" s="46"/>
      <c r="HE48" s="269"/>
      <c r="HF48" s="46"/>
      <c r="HG48" s="48"/>
      <c r="HH48" s="432"/>
    </row>
    <row r="49" spans="1:216" x14ac:dyDescent="0.25">
      <c r="A49" s="58">
        <f t="shared" ca="1" si="131"/>
        <v>47178</v>
      </c>
      <c r="B49" s="6" t="str">
        <f ca="1">INDEX(MthRef[], MATCH(MONTH(Futs!$A49), MthRef[Mth], 0), 2)</f>
        <v>H</v>
      </c>
      <c r="C49" s="6">
        <f t="shared" ca="1" si="65"/>
        <v>2029</v>
      </c>
      <c r="D49" s="6" t="str">
        <f t="shared" ca="1" si="66"/>
        <v>Q129</v>
      </c>
      <c r="E49" s="6" t="str">
        <f t="shared" ca="1" si="132"/>
        <v>H9</v>
      </c>
      <c r="F49" s="10" t="e">
        <f ca="1">IFERROR(AVERAGE(_xll.BDP(F$18 &amp; $B49 &amp; RIGHT($C49, 1) &amp; " " &amp; "Comdty", "BID", "Fill=#N/A"), _xll.BDP(F$18 &amp; $B49 &amp; RIGHT($C49, 1) &amp; " " &amp; "Comdty", "ASK", "Fill=#N/A")), NA())</f>
        <v>#N/A</v>
      </c>
      <c r="G49" s="10" t="e">
        <f ca="1">IFERROR(AVERAGE(_xll.BDP(G$18 &amp; $B49 &amp; RIGHT($C49, 1) &amp; " " &amp; "Comdty", "BID", "Fill=#N/A"), _xll.BDP(G$18 &amp; $B49 &amp; RIGHT($C49, 1) &amp; " " &amp; "Comdty", "ASK", "Fill=#N/A")), NA())</f>
        <v>#N/A</v>
      </c>
      <c r="H49" s="10">
        <f ca="1">IFERROR(AVERAGE(_xll.BDP(H$18 &amp; $B49 &amp; RIGHT($C49, 1) &amp; " " &amp; "Comdty", "BID", "Fill=#N/A"), _xll.BDP(H$18 &amp; $B49 &amp; RIGHT($C49, 1) &amp; " " &amp; "Comdty", "ASK", "Fill=#N/A")), NA())</f>
        <v>817.875</v>
      </c>
      <c r="I49" s="10" t="e">
        <f ca="1">IFERROR(AVERAGE(_xll.BDP(I$18 &amp; $B49 &amp; RIGHT($C49, 1) &amp; " " &amp; "Comdty", "BID", "Fill=#N/A"), _xll.BDP(I$18 &amp; $B49 &amp; RIGHT($C49, 1) &amp; " " &amp; "Comdty", "ASK", "Fill=#N/A")), NA())</f>
        <v>#N/A</v>
      </c>
      <c r="J49" s="10" t="e">
        <f ca="1">IFERROR(AVERAGE(_xll.BDP(J$18 &amp; $B49 &amp; RIGHT($C49, 1) &amp; " " &amp; "Comdty", "BID", "Fill=#N/A"), _xll.BDP(J$18 &amp; $B49 &amp; RIGHT($C49, 1) &amp; " " &amp; "Comdty", "ASK", "Fill=#N/A")), NA())</f>
        <v>#N/A</v>
      </c>
      <c r="K49" s="10" t="e">
        <f ca="1">IFERROR(AVERAGE(_xll.BDP(K$18 &amp; $B49 &amp; RIGHT($C49, 2) &amp; " " &amp; "Comdty", "BID", "Fill=#N/A"), _xll.BDP(K$18 &amp; $B49 &amp; RIGHT($C49, 2) &amp; " " &amp; "Comdty", "ASK", "Fill=#N/A")), NA())</f>
        <v>#N/A</v>
      </c>
      <c r="L49" s="10" t="e">
        <f ca="1">IFERROR(AVERAGE(_xll.BDP(L$18 &amp; $B49 &amp; RIGHT($C49, 2) &amp; " " &amp; "Comdty", "BID", "Fill=#N/A"), _xll.BDP(L$18 &amp; $B49 &amp; RIGHT($C49, 2) &amp; " " &amp; "Comdty", "ASK", "Fill=#N/A")), NA())</f>
        <v>#N/A</v>
      </c>
      <c r="M49" s="10">
        <f ca="1">IFERROR(AVERAGE(_xll.BDP(M$18 &amp; $B49 &amp; RIGHT($C49, 2) &amp; " " &amp; "Comdty", "BID", "Fill=#N/A"), _xll.BDP(M$18 &amp; $B49 &amp; RIGHT($C49, 2) &amp; " " &amp; "Comdty", "ASK", "Fill=#N/A")), NA())</f>
        <v>497.2</v>
      </c>
      <c r="N49" s="10">
        <f ca="1">IFERROR(AVERAGE(_xll.BDP(N$18 &amp; $B48 &amp; RIGHT($C48, 1) &amp; N$18 &amp; $B49 &amp; RIGHT($C49, 1) &amp; " " &amp; "Comdty", "BID", "Fill=#N/A"), _xll.BDP(N$18 &amp; $B48 &amp; RIGHT($C48, 1) &amp; N$18 &amp; $B49 &amp; RIGHT($C49, 1) &amp; " " &amp; "Comdty", "ASK", "Fill=#N/A")), NA())</f>
        <v>0.185</v>
      </c>
      <c r="O49" s="10">
        <f ca="1">IFERROR(AVERAGE(_xll.BDP(O$18 &amp; $B48 &amp; RIGHT($C48, 1) &amp; O$18 &amp; $B49 &amp; RIGHT($C49, 1) &amp; " " &amp; "Comdty", "BID", "Fill=#N/A"), _xll.BDP(O$18 &amp; $B48 &amp; RIGHT($C48, 1) &amp; O$18 &amp; $B49 &amp; RIGHT($C49, 1) &amp; " " &amp; "Comdty", "ASK", "Fill=#N/A")), NA())</f>
        <v>0.15000000000000002</v>
      </c>
      <c r="P49" s="10">
        <f ca="1">IFERROR(AVERAGE(_xll.BDP(P$18 &amp; $B48 &amp; RIGHT($C48, 1) &amp; P$18 &amp; $B49 &amp; RIGHT($C49, 1) &amp; " " &amp; "Comdty", "BID", "Fill=#N/A"), _xll.BDP(P$18 &amp; $B48 &amp; RIGHT($C48, 1) &amp; P$18 &amp; $B49 &amp; RIGHT($C49, 1) &amp; " " &amp; "Comdty", "ASK", "Fill=#N/A")), NA())</f>
        <v>2</v>
      </c>
      <c r="Q49" s="10" t="e">
        <f ca="1">IFERROR(AVERAGE(_xll.BDP(Q$18 &amp; $B48 &amp; RIGHT($C48, 1) &amp; Q$18 &amp; $B49 &amp; RIGHT($C49, 1) &amp; " " &amp; "Comdty", "BID", "Fill=#N/A"), _xll.BDP(Q$18 &amp; $B48 &amp; RIGHT($C48, 1) &amp; Q$18 &amp; $B49 &amp; RIGHT($C49, 1) &amp; " " &amp; "Comdty", "ASK", "Fill=#N/A")), NA())</f>
        <v>#N/A</v>
      </c>
      <c r="R49" s="10" t="e">
        <f ca="1">IFERROR(AVERAGE(_xll.BDP(R$18 &amp; $B48 &amp; RIGHT($C48, 1) &amp; R$18 &amp; $B49 &amp; RIGHT($C49, 1) &amp; " " &amp; "Comdty", "BID", "Fill=#N/A"), _xll.BDP(R$18 &amp; $B48 &amp; RIGHT($C48, 1) &amp; R$18 &amp; $B49 &amp; RIGHT($C49, 1) &amp; " " &amp; "Comdty", "ASK", "Fill=#N/A")), NA())</f>
        <v>#N/A</v>
      </c>
      <c r="S49" s="10" t="e">
        <f ca="1">IFERROR(AVERAGE(_xll.BDP(S$18 &amp; $B48 &amp; RIGHT($C48, 1) &amp; $B49 &amp; RIGHT($C49, 1) &amp; " " &amp; "Comdty", "BID", "Fill=#N/A"), _xll.BDP(S$18 &amp; $B48 &amp; RIGHT($C48, 1) &amp; $B49 &amp; RIGHT($C49, 1) &amp; " " &amp; "Comdty", "ASK", "Fill=#N/A")), NA())</f>
        <v>#N/A</v>
      </c>
      <c r="T49" s="10" t="e">
        <f ca="1">IFERROR(AVERAGE(_xll.BDP(T$18 &amp; $B48 &amp; RIGHT($C48, 1) &amp; $B49 &amp; RIGHT($C49, 1) &amp; " " &amp; "Comdty", "BID", "Fill=#N/A"), _xll.BDP(T$18 &amp; $B48 &amp; RIGHT($C48, 1) &amp; $B49 &amp; RIGHT($C49, 1) &amp; " " &amp; "Comdty", "ASK", "Fill=#N/A")), NA())</f>
        <v>#N/A</v>
      </c>
      <c r="U49" s="10">
        <f ca="1">IF($A49 &lt; Diagnostics!$B$3, N49, INDEX(ImpSprd[], MATCH(Futs!$C49, ImpSprd[Yr], 0), MATCH(U$18, ImpSprd[#Headers], 0)))</f>
        <v>0.19136363636363637</v>
      </c>
      <c r="V49" s="10">
        <f ca="1">IF($A49 &lt; Diagnostics!$B$3, O49, INDEX(ImpSprd[], MATCH(Futs!$C49, ImpSprd[Yr], 0), MATCH(V$18, ImpSprd[#Headers], 0)))</f>
        <v>0.17681818181818179</v>
      </c>
      <c r="W49" s="10">
        <f ca="1">IF($A49 &lt; Diagnostics!$B$3, P49, INDEX(ImpSprd[], MATCH(Futs!$C49, ImpSprd[Yr], 0), MATCH(W$18, ImpSprd[#Headers], 0)))</f>
        <v>3.8977272727272729</v>
      </c>
      <c r="X49" s="31">
        <f ca="1">INDEX(Expi[], MATCH($A49, Expi[Date], 0), MATCH(X$18, Expi[#Headers], 0))</f>
        <v>47197</v>
      </c>
      <c r="Y49" s="31" t="e">
        <f ca="1">INDEX(Expi[], MATCH($A49, Expi[Date], 0), MATCH(Y$18, Expi[#Headers], 0))</f>
        <v>#N/A</v>
      </c>
      <c r="Z49" s="31">
        <f ca="1">INDEX(Expi[], MATCH($A49, Expi[Date], 0), MATCH(Z$18, Expi[#Headers], 0))</f>
        <v>47189</v>
      </c>
      <c r="AA49" s="31" t="e">
        <f ca="1">INDEX(Expi[], MATCH($A49, Expi[Date], 0), MATCH(AA$18, Expi[#Headers], 0))</f>
        <v>#N/A</v>
      </c>
      <c r="AB49" s="31" t="e">
        <f ca="1">INDEX(Expi[], MATCH($A49, Expi[Date], 0), MATCH(AB$18, Expi[#Headers], 0))</f>
        <v>#N/A</v>
      </c>
      <c r="AC49" s="31" t="e">
        <f ca="1">INDEX(Expi[], MATCH($A49, Expi[Date], 0), MATCH(AC$18, Expi[#Headers], 0))</f>
        <v>#N/A</v>
      </c>
      <c r="AD49" s="7">
        <f ca="1">NETWORKDAYS($A49, EOMONTH($A49, 0), Hols[CME])</f>
        <v>22</v>
      </c>
      <c r="AE49" s="7">
        <f ca="1">NETWORKDAYS($A49, EOMONTH($A49, 0), Hols[ICE])</f>
        <v>22</v>
      </c>
      <c r="AF49" s="7">
        <f ca="1">NETWORKDAYS($A49, EOMONTH($A49, 0), Hols[ICE])</f>
        <v>22</v>
      </c>
      <c r="AG49" s="7">
        <f ca="1">NETWORKDAYS($A49, EOMONTH($A49, 0), Hols[CME])</f>
        <v>22</v>
      </c>
      <c r="AH49" s="7">
        <f ca="1">NETWORKDAYS($A49, EOMONTH($A49, 0), Hols[CME])</f>
        <v>22</v>
      </c>
      <c r="AI49" s="7">
        <f ca="1">NETWORKDAYS($A49, EOMONTH($A49, 0), Hols[ICE])</f>
        <v>22</v>
      </c>
      <c r="AJ49" s="7">
        <f ca="1">NETWORKDAYS($A49, X49, Hols[CME])</f>
        <v>14</v>
      </c>
      <c r="AK49" s="7" t="e">
        <f ca="1">NETWORKDAYS($A49, Y49, Hols[ICE]) - 1</f>
        <v>#N/A</v>
      </c>
      <c r="AL49" s="7">
        <f ca="1">NETWORKDAYS($A49, Z49, Hols[ICE]) - 1</f>
        <v>7</v>
      </c>
      <c r="AM49" s="7" t="e">
        <f ca="1">NETWORKDAYS($A49, AA49, Hols[CME])</f>
        <v>#N/A</v>
      </c>
      <c r="AN49" s="7" t="e">
        <f ca="1">NETWORKDAYS($A49, AB49, Hols[CME])</f>
        <v>#N/A</v>
      </c>
      <c r="AO49" s="7" t="e">
        <f ca="1">NETWORKDAYS($A49, AC49, Hols[ICE]) - 1</f>
        <v>#N/A</v>
      </c>
      <c r="AP49" s="10">
        <f t="shared" ca="1" si="67"/>
        <v>0.63636363636363635</v>
      </c>
      <c r="AQ49" s="10" t="e">
        <f t="shared" ca="1" si="68"/>
        <v>#N/A</v>
      </c>
      <c r="AR49" s="10">
        <f t="shared" ca="1" si="69"/>
        <v>0.31818181818181818</v>
      </c>
      <c r="AS49" s="10" t="e">
        <f t="shared" ca="1" si="70"/>
        <v>#N/A</v>
      </c>
      <c r="AT49" s="10" t="e">
        <f t="shared" ca="1" si="71"/>
        <v>#N/A</v>
      </c>
      <c r="AU49" s="10" t="e">
        <f t="shared" ca="1" si="71"/>
        <v>#N/A</v>
      </c>
      <c r="AV49" s="28">
        <f ca="1">IFERROR(AVERAGE(_xll.BDH(AV$18 &amp; $B49 &amp; RIGHT($C49, 1) &amp; " " &amp; "Comdty", "PX_SETTLE", AV$16, AV$16, "Fill=#N/A")), IFERROR(AVERAGE(_xll.BDH(AV$18 &amp; $B49 &amp; RIGHT($C49, 2) &amp; " " &amp; "Comdty", "PX_SETTLE", AV$16, AV$16, "Fill=#N/A")), NA()))</f>
        <v>67.790000000000006</v>
      </c>
      <c r="AW49" s="28">
        <f ca="1">IFERROR(AVERAGE(_xll.BDH(AW$18 &amp; $B49 &amp; RIGHT($C49, 1) &amp; " " &amp; "Comdty", "PX_SETTLE", AW$16, AW$16, "Fill=#N/A")), IFERROR(AVERAGE(_xll.BDH(AW$18 &amp; $B49 &amp; RIGHT($C49, 2) &amp; " " &amp; "Comdty", "PX_SETTLE", AW$16, AW$16, "Fill=#N/A")), NA()))</f>
        <v>72.92</v>
      </c>
      <c r="AX49" s="29">
        <f ca="1">IFERROR(AVERAGE(_xll.BDH(AX$18 &amp; $B49 &amp; RIGHT($C49, 2) &amp; " " &amp; "Comdty", "FAIR_VALUE_SNAPSHOT_AT_1430", AX$16, AX$16, "TIME_ZONE_OVERRIDE=13", "Fill=#N/A")), NA())</f>
        <v>810.75</v>
      </c>
      <c r="AY49" s="28">
        <f ca="1">IFERROR(AVERAGE(_xll.BDH(AY$18 &amp; $B49 &amp; RIGHT($C49, 1) &amp; " " &amp; "Comdty", "PX_SETTLE", AY$16, AY$16, "Fill=#N/A")), NA())</f>
        <v>295.33999999999997</v>
      </c>
      <c r="AZ49" s="28">
        <f ca="1">IFERROR(AVERAGE(_xll.BDH(AZ$18 &amp; $B49 &amp; RIGHT($C49, 1) &amp; " " &amp; "Comdty", "PX_SETTLE", AZ$16, AZ$16, "Fill=#N/A")), NA())</f>
        <v>222.12</v>
      </c>
      <c r="BA49" s="29" t="e">
        <f ca="1">IFERROR(AVERAGE(_xll.BDH(BA$18 &amp; $B49 &amp; RIGHT($C49, 2) &amp; " " &amp; "Comdty", "PX_SETTLE", BA$16, BA$16, "Fill=#N/A")), IFERROR(AVERAGE(_xll.BDH(BA$18 &amp; $B49 &amp; RIGHT($C49, 2) &amp; " " &amp; "Comdty", "PX_SETTLE", BA$16, BA$16, "Fill=#N/A")), NA()))</f>
        <v>#N/A</v>
      </c>
      <c r="BB49" s="29">
        <f ca="1">IFERROR(AVERAGE(_xll.BDH(BB$18 &amp; $B49 &amp; RIGHT($C49, 2) &amp; " " &amp; "Comdty", "PX_SETTLE", BB$16, BB$16, "Fill=#N/A")), IFERROR(AVERAGE(_xll.BDH(BB$18 &amp; $B49 &amp; RIGHT($C49, 2) &amp; " " &amp; "Comdty", "PX_SETTLE", BB$16, BB$16, "Fill=#N/A")), NA()))</f>
        <v>73.62</v>
      </c>
      <c r="BC49" s="29">
        <f ca="1">IFERROR(AVERAGE(_xll.BDH(BC$18 &amp; $B49 &amp; RIGHT($C49, 2) &amp; " " &amp; "Comdty", "PX_SETTLE", BC$16, BC$16, "Fill=#N/A")), IFERROR(AVERAGE(_xll.BDH(BC$18 &amp; $B49 &amp; RIGHT($C49, 2) &amp; " " &amp; "Comdty", "PX_SETTLE", BC$16, BC$16, "Fill=#N/A")), NA()))</f>
        <v>495.9</v>
      </c>
      <c r="BD49" s="29" t="e">
        <f>NA()</f>
        <v>#N/A</v>
      </c>
      <c r="BE49" s="109">
        <f t="shared" ca="1" si="209"/>
        <v>67.677272727272765</v>
      </c>
      <c r="BF49" s="46">
        <f t="shared" ca="1" si="72"/>
        <v>-0.11272727272724126</v>
      </c>
      <c r="BG49" s="47">
        <f t="shared" ca="1" si="151"/>
        <v>0.19136363636363285</v>
      </c>
      <c r="BH49" s="114">
        <f t="shared" ca="1" si="223"/>
        <v>1.3636363636351234E-3</v>
      </c>
      <c r="BI49" s="110">
        <f t="shared" ca="1" si="224"/>
        <v>72.740000000000109</v>
      </c>
      <c r="BJ49" s="46">
        <f t="shared" ca="1" si="73"/>
        <v>-0.17999999999989313</v>
      </c>
      <c r="BK49" s="48">
        <f t="shared" ca="1" si="225"/>
        <v>0.17681818181817732</v>
      </c>
      <c r="BL49" s="114">
        <f t="shared" ca="1" si="226"/>
        <v>2.6818181818185849E-2</v>
      </c>
      <c r="BM49" s="48">
        <f t="shared" ca="1" si="152"/>
        <v>795.01136363636419</v>
      </c>
      <c r="BN49" s="46">
        <f t="shared" ca="1" si="74"/>
        <v>-15.738636363635806</v>
      </c>
      <c r="BO49" s="47">
        <f t="shared" ca="1" si="210"/>
        <v>3.8977272727272521</v>
      </c>
      <c r="BP49" s="46">
        <f t="shared" ca="1" si="133"/>
        <v>0.14772727272725206</v>
      </c>
      <c r="BQ49" s="110" t="str">
        <f t="shared" ca="1" si="211"/>
        <v/>
      </c>
      <c r="BR49" s="46" t="str">
        <f t="shared" ca="1" si="75"/>
        <v/>
      </c>
      <c r="BS49" s="47" t="str">
        <f t="shared" ca="1" si="153"/>
        <v/>
      </c>
      <c r="BT49" s="114" t="str">
        <f t="shared" ca="1" si="154"/>
        <v/>
      </c>
      <c r="BU49" s="48" t="str">
        <f t="shared" ca="1" si="212"/>
        <v/>
      </c>
      <c r="BV49" s="46" t="str">
        <f t="shared" ca="1" si="76"/>
        <v/>
      </c>
      <c r="BW49" s="47" t="str">
        <f t="shared" ca="1" si="155"/>
        <v/>
      </c>
      <c r="BX49" s="46" t="str">
        <f t="shared" ca="1" si="156"/>
        <v/>
      </c>
      <c r="BY49" s="140">
        <f t="shared" ca="1" si="134"/>
        <v>67.416322314049637</v>
      </c>
      <c r="BZ49" s="46">
        <f t="shared" ca="1" si="135"/>
        <v>-0.13185950413218772</v>
      </c>
      <c r="CA49" s="47">
        <f t="shared" ca="1" si="157"/>
        <v>0.2035413223140381</v>
      </c>
      <c r="CB49" s="46">
        <f t="shared" ca="1" si="158"/>
        <v>1.5723140495858656E-2</v>
      </c>
      <c r="CC49" s="141" t="str">
        <f t="shared" ca="1" si="136"/>
        <v/>
      </c>
      <c r="CD49" s="50" t="str">
        <f t="shared" ca="1" si="137"/>
        <v/>
      </c>
      <c r="CE49" s="47" t="str">
        <f t="shared" ca="1" si="159"/>
        <v/>
      </c>
      <c r="CF49" s="46" t="str">
        <f t="shared" ca="1" si="160"/>
        <v/>
      </c>
      <c r="CG49" s="141">
        <f t="shared" ca="1" si="138"/>
        <v>792.35382231405015</v>
      </c>
      <c r="CH49" s="50">
        <f t="shared" ca="1" si="139"/>
        <v>-16.009814049586204</v>
      </c>
      <c r="CI49" s="47">
        <f t="shared" ca="1" si="161"/>
        <v>4.0217458677686864</v>
      </c>
      <c r="CJ49" s="46">
        <f t="shared" ca="1" si="162"/>
        <v>0.32288223140493599</v>
      </c>
      <c r="CK49" s="141" t="str">
        <f t="shared" ca="1" si="140"/>
        <v/>
      </c>
      <c r="CL49" s="50" t="str">
        <f t="shared" ca="1" si="77"/>
        <v/>
      </c>
      <c r="CM49" s="47" t="str">
        <f t="shared" ca="1" si="163"/>
        <v/>
      </c>
      <c r="CN49" s="46" t="str">
        <f t="shared" ca="1" si="164"/>
        <v/>
      </c>
      <c r="CO49" s="141" t="str">
        <f t="shared" ca="1" si="141"/>
        <v/>
      </c>
      <c r="CP49" s="50" t="str">
        <f t="shared" ca="1" si="78"/>
        <v/>
      </c>
      <c r="CQ49" s="47" t="str">
        <f t="shared" ca="1" si="165"/>
        <v/>
      </c>
      <c r="CR49" s="46" t="str">
        <f t="shared" ca="1" si="166"/>
        <v/>
      </c>
      <c r="CS49" s="109">
        <f t="shared" ca="1" si="79"/>
        <v>-5.0627272727273436</v>
      </c>
      <c r="CT49" s="46">
        <f t="shared" ca="1" si="80"/>
        <v>6.7272727272651878E-2</v>
      </c>
      <c r="CU49" s="47">
        <f t="shared" ca="1" si="167"/>
        <v>1.4545454545455527E-2</v>
      </c>
      <c r="CV49" s="46">
        <f t="shared" ca="1" si="168"/>
        <v>0</v>
      </c>
      <c r="CW49" s="110" t="str">
        <f t="shared" ca="1" si="142"/>
        <v/>
      </c>
      <c r="CX49" s="46" t="str">
        <f t="shared" ca="1" si="81"/>
        <v/>
      </c>
      <c r="CY49" s="47" t="str">
        <f t="shared" ca="1" si="169"/>
        <v/>
      </c>
      <c r="CZ49" s="46" t="str">
        <f t="shared" ca="1" si="170"/>
        <v/>
      </c>
      <c r="DA49" s="109">
        <f t="shared" ca="1" si="82"/>
        <v>33.972934716290382</v>
      </c>
      <c r="DB49" s="46">
        <f t="shared" ca="1" si="83"/>
        <v>-1.9325686394143089</v>
      </c>
      <c r="DC49" s="47">
        <f t="shared" ca="1" si="171"/>
        <v>0.3463666870042772</v>
      </c>
      <c r="DD49" s="46">
        <f t="shared" ca="1" si="233"/>
        <v>-6.9890176937223991E-3</v>
      </c>
      <c r="DE49" s="110" t="str">
        <f t="shared" ca="1" si="84"/>
        <v/>
      </c>
      <c r="DF49" s="46" t="str">
        <f t="shared" ca="1" si="85"/>
        <v/>
      </c>
      <c r="DG49" s="47" t="str">
        <f t="shared" ca="1" si="172"/>
        <v/>
      </c>
      <c r="DH49" s="46" t="str">
        <f t="shared" ca="1" si="173"/>
        <v/>
      </c>
      <c r="DI49" s="110" t="str">
        <f t="shared" ca="1" si="86"/>
        <v/>
      </c>
      <c r="DJ49" s="46" t="str">
        <f t="shared" ca="1" si="87"/>
        <v/>
      </c>
      <c r="DK49" s="47" t="str">
        <f t="shared" ca="1" si="174"/>
        <v/>
      </c>
      <c r="DL49" s="46" t="str">
        <f t="shared" ca="1" si="175"/>
        <v/>
      </c>
      <c r="DM49" s="110" t="str">
        <f t="shared" ca="1" si="88"/>
        <v/>
      </c>
      <c r="DN49" s="46" t="str">
        <f t="shared" ca="1" si="89"/>
        <v/>
      </c>
      <c r="DO49" s="47" t="str">
        <f t="shared" ca="1" si="176"/>
        <v/>
      </c>
      <c r="DP49" s="47" t="str">
        <f t="shared" ca="1" si="177"/>
        <v/>
      </c>
      <c r="DQ49" s="110" t="str">
        <f t="shared" ca="1" si="90"/>
        <v/>
      </c>
      <c r="DR49" s="46" t="str">
        <f t="shared" ca="1" si="91"/>
        <v/>
      </c>
      <c r="DS49" s="47" t="str">
        <f t="shared" ca="1" si="178"/>
        <v/>
      </c>
      <c r="DT49" s="47" t="str">
        <f t="shared" ca="1" si="179"/>
        <v/>
      </c>
      <c r="DU49" s="109" t="str">
        <f t="shared" ca="1" si="92"/>
        <v/>
      </c>
      <c r="DV49" s="46" t="str">
        <f t="shared" ca="1" si="93"/>
        <v/>
      </c>
      <c r="DW49" s="47" t="str">
        <f t="shared" ca="1" si="180"/>
        <v/>
      </c>
      <c r="DX49" s="47" t="str">
        <f t="shared" ca="1" si="181"/>
        <v/>
      </c>
      <c r="DY49" s="110" t="str">
        <f t="shared" ca="1" si="94"/>
        <v/>
      </c>
      <c r="DZ49" s="46" t="str">
        <f t="shared" ca="1" si="95"/>
        <v/>
      </c>
      <c r="EA49" s="47" t="str">
        <f t="shared" ca="1" si="182"/>
        <v/>
      </c>
      <c r="EB49" s="47" t="str">
        <f t="shared" ca="1" si="183"/>
        <v/>
      </c>
      <c r="EC49" s="110" t="str">
        <f t="shared" ca="1" si="96"/>
        <v/>
      </c>
      <c r="ED49" s="46" t="str">
        <f t="shared" ca="1" si="97"/>
        <v/>
      </c>
      <c r="EE49" s="47" t="str">
        <f t="shared" ca="1" si="184"/>
        <v/>
      </c>
      <c r="EF49" s="47" t="str">
        <f t="shared" ca="1" si="185"/>
        <v/>
      </c>
      <c r="EG49" s="110" t="str">
        <f t="shared" ca="1" si="98"/>
        <v/>
      </c>
      <c r="EH49" s="46" t="str">
        <f t="shared" ca="1" si="99"/>
        <v/>
      </c>
      <c r="EI49" s="47" t="str">
        <f t="shared" ca="1" si="186"/>
        <v/>
      </c>
      <c r="EJ49" s="47" t="str">
        <f t="shared" ca="1" si="187"/>
        <v/>
      </c>
      <c r="EK49" s="110" t="str">
        <f t="shared" ca="1" si="100"/>
        <v/>
      </c>
      <c r="EL49" s="46" t="str">
        <f t="shared" ca="1" si="101"/>
        <v/>
      </c>
      <c r="EM49" s="47" t="str">
        <f t="shared" ca="1" si="188"/>
        <v/>
      </c>
      <c r="EN49" s="47" t="str">
        <f t="shared" ca="1" si="189"/>
        <v/>
      </c>
      <c r="EO49" s="109" t="str">
        <f t="shared" ca="1" si="102"/>
        <v/>
      </c>
      <c r="EP49" s="46" t="str">
        <f t="shared" ca="1" si="103"/>
        <v/>
      </c>
      <c r="EQ49" s="47" t="str">
        <f t="shared" ca="1" si="190"/>
        <v/>
      </c>
      <c r="ER49" s="47" t="str">
        <f t="shared" ca="1" si="191"/>
        <v/>
      </c>
      <c r="ES49" s="110" t="str">
        <f t="shared" ca="1" si="104"/>
        <v/>
      </c>
      <c r="ET49" s="46" t="str">
        <f t="shared" ca="1" si="105"/>
        <v/>
      </c>
      <c r="EU49" s="47" t="str">
        <f t="shared" ca="1" si="192"/>
        <v/>
      </c>
      <c r="EV49" s="47" t="str">
        <f t="shared" ca="1" si="193"/>
        <v/>
      </c>
      <c r="EW49" s="109" t="str">
        <f t="shared" ca="1" si="106"/>
        <v/>
      </c>
      <c r="EX49" s="46" t="str">
        <f t="shared" ca="1" si="107"/>
        <v/>
      </c>
      <c r="EY49" s="47" t="str">
        <f t="shared" ca="1" si="194"/>
        <v/>
      </c>
      <c r="EZ49" s="47" t="str">
        <f t="shared" ca="1" si="195"/>
        <v/>
      </c>
      <c r="FA49" s="110" t="str">
        <f t="shared" ca="1" si="108"/>
        <v/>
      </c>
      <c r="FB49" s="46" t="str">
        <f t="shared" ca="1" si="109"/>
        <v/>
      </c>
      <c r="FC49" s="47" t="str">
        <f t="shared" ca="1" si="196"/>
        <v/>
      </c>
      <c r="FD49" s="47" t="str">
        <f t="shared" ca="1" si="197"/>
        <v/>
      </c>
      <c r="FE49" s="109" t="str">
        <f t="shared" ca="1" si="110"/>
        <v/>
      </c>
      <c r="FF49" s="46" t="str">
        <f t="shared" ca="1" si="111"/>
        <v/>
      </c>
      <c r="FG49" s="110" t="str">
        <f t="shared" ca="1" si="112"/>
        <v/>
      </c>
      <c r="FH49" s="46" t="str">
        <f t="shared" ca="1" si="113"/>
        <v/>
      </c>
      <c r="FI49" s="110" t="str">
        <f t="shared" ca="1" si="114"/>
        <v/>
      </c>
      <c r="FJ49" s="46" t="str">
        <f t="shared" ca="1" si="115"/>
        <v/>
      </c>
      <c r="FK49" s="110" t="str">
        <f t="shared" ca="1" si="116"/>
        <v/>
      </c>
      <c r="FL49" s="46" t="str">
        <f t="shared" ca="1" si="117"/>
        <v/>
      </c>
      <c r="FM49" s="110" t="str">
        <f t="shared" ca="1" si="118"/>
        <v/>
      </c>
      <c r="FN49" s="46" t="str">
        <f t="shared" ca="1" si="119"/>
        <v/>
      </c>
      <c r="FO49" s="110" t="str">
        <f t="shared" ca="1" si="120"/>
        <v/>
      </c>
      <c r="FP49" s="46" t="str">
        <f t="shared" ca="1" si="121"/>
        <v/>
      </c>
      <c r="FQ49" s="110" t="str">
        <f t="shared" ca="1" si="122"/>
        <v/>
      </c>
      <c r="FR49" s="46" t="str">
        <f t="shared" ca="1" si="123"/>
        <v/>
      </c>
      <c r="FS49" s="110" t="str">
        <f t="shared" ca="1" si="124"/>
        <v/>
      </c>
      <c r="FT49" s="111" t="str">
        <f t="shared" ca="1" si="125"/>
        <v/>
      </c>
      <c r="FU49" s="109" t="str">
        <f t="shared" ca="1" si="232"/>
        <v/>
      </c>
      <c r="FV49" s="46" t="str">
        <f t="shared" ca="1" si="213"/>
        <v/>
      </c>
      <c r="FW49" s="48" t="str">
        <f t="shared" ca="1" si="227"/>
        <v/>
      </c>
      <c r="FX49" s="114" t="str">
        <f t="shared" ca="1" si="228"/>
        <v/>
      </c>
      <c r="FY49" s="110" t="str">
        <f t="shared" ca="1" si="214"/>
        <v/>
      </c>
      <c r="FZ49" s="46" t="str">
        <f t="shared" ca="1" si="215"/>
        <v/>
      </c>
      <c r="GA49" s="47" t="str">
        <f t="shared" ca="1" si="216"/>
        <v/>
      </c>
      <c r="GB49" s="46" t="str">
        <f t="shared" ca="1" si="229"/>
        <v/>
      </c>
      <c r="GC49" s="110" t="str">
        <f ca="1">IFERROR(IF(AND(ISNUMBER($FU49), ISNUMBER(Crd!$X49)), $FU49 - Crd!$X49, ""), "")</f>
        <v/>
      </c>
      <c r="GD49" s="46" t="str">
        <f ca="1">IFERROR(IF(AND(ISNUMBER($FV49), ISNUMBER(Crd!$Y49)), $FV49 - Crd!$Y49, ""), "")</f>
        <v/>
      </c>
      <c r="GE49" s="47" t="str">
        <f t="shared" ca="1" si="217"/>
        <v/>
      </c>
      <c r="GF49" s="46" t="str">
        <f t="shared" ca="1" si="218"/>
        <v/>
      </c>
      <c r="GG49" s="141" t="str">
        <f t="shared" ca="1" si="198"/>
        <v/>
      </c>
      <c r="GH49" s="50" t="str">
        <f t="shared" ca="1" si="199"/>
        <v/>
      </c>
      <c r="GI49" s="47" t="str">
        <f t="shared" ca="1" si="144"/>
        <v/>
      </c>
      <c r="GJ49" s="46" t="str">
        <f t="shared" ca="1" si="145"/>
        <v/>
      </c>
      <c r="GK49" s="110" t="str">
        <f t="shared" ca="1" si="127"/>
        <v/>
      </c>
      <c r="GL49" s="46" t="str">
        <f t="shared" ca="1" si="128"/>
        <v/>
      </c>
      <c r="GM49" s="47" t="str">
        <f t="shared" ca="1" si="200"/>
        <v/>
      </c>
      <c r="GN49" s="46" t="str">
        <f t="shared" ca="1" si="201"/>
        <v/>
      </c>
      <c r="GO49" s="110" t="str">
        <f ca="1">IFERROR(IF(AND(ISNUMBER($GG49), ISNUMBER(Crd!$X49)), $GG49 - Crd!$X49, ""), "")</f>
        <v/>
      </c>
      <c r="GP49" s="46" t="str">
        <f ca="1">IFERROR(IF(AND(ISNUMBER($GH49), ISNUMBER(Crd!$Y49)), $GH49 - Crd!$Y49, ""), "")</f>
        <v/>
      </c>
      <c r="GQ49" s="47" t="str">
        <f t="shared" ca="1" si="202"/>
        <v/>
      </c>
      <c r="GR49" s="46" t="str">
        <f t="shared" ca="1" si="203"/>
        <v/>
      </c>
      <c r="GS49" s="436" t="str">
        <f t="shared" ca="1" si="219"/>
        <v/>
      </c>
      <c r="GT49" s="46" t="str">
        <f t="shared" ca="1" si="220"/>
        <v/>
      </c>
      <c r="GU49" s="48" t="str">
        <f t="shared" ca="1" si="230"/>
        <v/>
      </c>
      <c r="GV49" s="46" t="str">
        <f t="shared" ca="1" si="231"/>
        <v/>
      </c>
      <c r="GW49" s="427" t="str">
        <f t="shared" ca="1" si="204"/>
        <v/>
      </c>
      <c r="GX49" s="50" t="str">
        <f t="shared" ca="1" si="146"/>
        <v/>
      </c>
      <c r="GY49" s="47" t="str">
        <f t="shared" ca="1" si="205"/>
        <v/>
      </c>
      <c r="GZ49" s="432" t="str">
        <f t="shared" ca="1" si="206"/>
        <v/>
      </c>
      <c r="HA49" s="436"/>
      <c r="HB49" s="46"/>
      <c r="HC49" s="48"/>
      <c r="HD49" s="46"/>
      <c r="HE49" s="269"/>
      <c r="HF49" s="46"/>
      <c r="HG49" s="48"/>
      <c r="HH49" s="432"/>
    </row>
    <row r="50" spans="1:216" x14ac:dyDescent="0.25">
      <c r="A50" s="58">
        <f t="shared" ca="1" si="131"/>
        <v>47209</v>
      </c>
      <c r="B50" s="6" t="str">
        <f ca="1">INDEX(MthRef[], MATCH(MONTH(Futs!$A50), MthRef[Mth], 0), 2)</f>
        <v>J</v>
      </c>
      <c r="C50" s="6">
        <f t="shared" ca="1" si="65"/>
        <v>2029</v>
      </c>
      <c r="D50" s="6" t="str">
        <f t="shared" ca="1" si="66"/>
        <v>Q229</v>
      </c>
      <c r="E50" s="6" t="str">
        <f t="shared" ca="1" si="132"/>
        <v>J9</v>
      </c>
      <c r="F50" s="10" t="e">
        <f ca="1">IFERROR(AVERAGE(_xll.BDP(F$18 &amp; $B50 &amp; RIGHT($C50, 1) &amp; " " &amp; "Comdty", "BID", "Fill=#N/A"), _xll.BDP(F$18 &amp; $B50 &amp; RIGHT($C50, 1) &amp; " " &amp; "Comdty", "ASK", "Fill=#N/A")), NA())</f>
        <v>#N/A</v>
      </c>
      <c r="G50" s="10" t="e">
        <f ca="1">IFERROR(AVERAGE(_xll.BDP(G$18 &amp; $B50 &amp; RIGHT($C50, 1) &amp; " " &amp; "Comdty", "BID", "Fill=#N/A"), _xll.BDP(G$18 &amp; $B50 &amp; RIGHT($C50, 1) &amp; " " &amp; "Comdty", "ASK", "Fill=#N/A")), NA())</f>
        <v>#N/A</v>
      </c>
      <c r="H50" s="10">
        <f ca="1">IFERROR(AVERAGE(_xll.BDP(H$18 &amp; $B50 &amp; RIGHT($C50, 1) &amp; " " &amp; "Comdty", "BID", "Fill=#N/A"), _xll.BDP(H$18 &amp; $B50 &amp; RIGHT($C50, 1) &amp; " " &amp; "Comdty", "ASK", "Fill=#N/A")), NA())</f>
        <v>817.125</v>
      </c>
      <c r="I50" s="10" t="e">
        <f ca="1">IFERROR(AVERAGE(_xll.BDP(I$18 &amp; $B50 &amp; RIGHT($C50, 1) &amp; " " &amp; "Comdty", "BID", "Fill=#N/A"), _xll.BDP(I$18 &amp; $B50 &amp; RIGHT($C50, 1) &amp; " " &amp; "Comdty", "ASK", "Fill=#N/A")), NA())</f>
        <v>#N/A</v>
      </c>
      <c r="J50" s="10" t="e">
        <f ca="1">IFERROR(AVERAGE(_xll.BDP(J$18 &amp; $B50 &amp; RIGHT($C50, 1) &amp; " " &amp; "Comdty", "BID", "Fill=#N/A"), _xll.BDP(J$18 &amp; $B50 &amp; RIGHT($C50, 1) &amp; " " &amp; "Comdty", "ASK", "Fill=#N/A")), NA())</f>
        <v>#N/A</v>
      </c>
      <c r="K50" s="10" t="e">
        <f ca="1">IFERROR(AVERAGE(_xll.BDP(K$18 &amp; $B50 &amp; RIGHT($C50, 2) &amp; " " &amp; "Comdty", "BID", "Fill=#N/A"), _xll.BDP(K$18 &amp; $B50 &amp; RIGHT($C50, 2) &amp; " " &amp; "Comdty", "ASK", "Fill=#N/A")), NA())</f>
        <v>#N/A</v>
      </c>
      <c r="L50" s="10" t="e">
        <f ca="1">IFERROR(AVERAGE(_xll.BDP(L$18 &amp; $B50 &amp; RIGHT($C50, 2) &amp; " " &amp; "Comdty", "BID", "Fill=#N/A"), _xll.BDP(L$18 &amp; $B50 &amp; RIGHT($C50, 2) &amp; " " &amp; "Comdty", "ASK", "Fill=#N/A")), NA())</f>
        <v>#N/A</v>
      </c>
      <c r="M50" s="10" t="e">
        <f ca="1">IFERROR(AVERAGE(_xll.BDP(M$18 &amp; $B50 &amp; RIGHT($C50, 2) &amp; " " &amp; "Comdty", "BID", "Fill=#N/A"), _xll.BDP(M$18 &amp; $B50 &amp; RIGHT($C50, 2) &amp; " " &amp; "Comdty", "ASK", "Fill=#N/A")), NA())</f>
        <v>#N/A</v>
      </c>
      <c r="N50" s="10">
        <f ca="1">IFERROR(AVERAGE(_xll.BDP(N$18 &amp; $B49 &amp; RIGHT($C49, 1) &amp; N$18 &amp; $B50 &amp; RIGHT($C50, 1) &amp; " " &amp; "Comdty", "BID", "Fill=#N/A"), _xll.BDP(N$18 &amp; $B49 &amp; RIGHT($C49, 1) &amp; N$18 &amp; $B50 &amp; RIGHT($C50, 1) &amp; " " &amp; "Comdty", "ASK", "Fill=#N/A")), NA())</f>
        <v>0.18</v>
      </c>
      <c r="O50" s="10">
        <f ca="1">IFERROR(AVERAGE(_xll.BDP(O$18 &amp; $B49 &amp; RIGHT($C49, 1) &amp; O$18 &amp; $B50 &amp; RIGHT($C50, 1) &amp; " " &amp; "Comdty", "BID", "Fill=#N/A"), _xll.BDP(O$18 &amp; $B49 &amp; RIGHT($C49, 1) &amp; O$18 &amp; $B50 &amp; RIGHT($C50, 1) &amp; " " &amp; "Comdty", "ASK", "Fill=#N/A")), NA())</f>
        <v>0.15500000000000003</v>
      </c>
      <c r="P50" s="10">
        <f ca="1">IFERROR(AVERAGE(_xll.BDP(P$18 &amp; $B49 &amp; RIGHT($C49, 1) &amp; P$18 &amp; $B50 &amp; RIGHT($C50, 1) &amp; " " &amp; "Comdty", "BID", "Fill=#N/A"), _xll.BDP(P$18 &amp; $B49 &amp; RIGHT($C49, 1) &amp; P$18 &amp; $B50 &amp; RIGHT($C50, 1) &amp; " " &amp; "Comdty", "ASK", "Fill=#N/A")), NA())</f>
        <v>1.875</v>
      </c>
      <c r="Q50" s="10" t="e">
        <f ca="1">IFERROR(AVERAGE(_xll.BDP(Q$18 &amp; $B49 &amp; RIGHT($C49, 1) &amp; Q$18 &amp; $B50 &amp; RIGHT($C50, 1) &amp; " " &amp; "Comdty", "BID", "Fill=#N/A"), _xll.BDP(Q$18 &amp; $B49 &amp; RIGHT($C49, 1) &amp; Q$18 &amp; $B50 &amp; RIGHT($C50, 1) &amp; " " &amp; "Comdty", "ASK", "Fill=#N/A")), NA())</f>
        <v>#N/A</v>
      </c>
      <c r="R50" s="10" t="e">
        <f ca="1">IFERROR(AVERAGE(_xll.BDP(R$18 &amp; $B49 &amp; RIGHT($C49, 1) &amp; R$18 &amp; $B50 &amp; RIGHT($C50, 1) &amp; " " &amp; "Comdty", "BID", "Fill=#N/A"), _xll.BDP(R$18 &amp; $B49 &amp; RIGHT($C49, 1) &amp; R$18 &amp; $B50 &amp; RIGHT($C50, 1) &amp; " " &amp; "Comdty", "ASK", "Fill=#N/A")), NA())</f>
        <v>#N/A</v>
      </c>
      <c r="S50" s="10" t="e">
        <f ca="1">IFERROR(AVERAGE(_xll.BDP(S$18 &amp; $B49 &amp; RIGHT($C49, 1) &amp; $B50 &amp; RIGHT($C50, 1) &amp; " " &amp; "Comdty", "BID", "Fill=#N/A"), _xll.BDP(S$18 &amp; $B49 &amp; RIGHT($C49, 1) &amp; $B50 &amp; RIGHT($C50, 1) &amp; " " &amp; "Comdty", "ASK", "Fill=#N/A")), NA())</f>
        <v>#N/A</v>
      </c>
      <c r="T50" s="10" t="e">
        <f ca="1">IFERROR(AVERAGE(_xll.BDP(T$18 &amp; $B49 &amp; RIGHT($C49, 1) &amp; $B50 &amp; RIGHT($C50, 1) &amp; " " &amp; "Comdty", "BID", "Fill=#N/A"), _xll.BDP(T$18 &amp; $B49 &amp; RIGHT($C49, 1) &amp; $B50 &amp; RIGHT($C50, 1) &amp; " " &amp; "Comdty", "ASK", "Fill=#N/A")), NA())</f>
        <v>#N/A</v>
      </c>
      <c r="U50" s="10">
        <f ca="1">IF($A50 &lt; Diagnostics!$B$3, N50, INDEX(ImpSprd[], MATCH(Futs!$C50, ImpSprd[Yr], 0), MATCH(U$18, ImpSprd[#Headers], 0)))</f>
        <v>0.19136363636363637</v>
      </c>
      <c r="V50" s="10">
        <f ca="1">IF($A50 &lt; Diagnostics!$B$3, O50, INDEX(ImpSprd[], MATCH(Futs!$C50, ImpSprd[Yr], 0), MATCH(V$18, ImpSprd[#Headers], 0)))</f>
        <v>0.17681818181818179</v>
      </c>
      <c r="W50" s="10">
        <f ca="1">IF($A50 &lt; Diagnostics!$B$3, P50, INDEX(ImpSprd[], MATCH(Futs!$C50, ImpSprd[Yr], 0), MATCH(W$18, ImpSprd[#Headers], 0)))</f>
        <v>3.8977272727272729</v>
      </c>
      <c r="X50" s="31">
        <f ca="1">INDEX(Expi[], MATCH($A50, Expi[Date], 0), MATCH(X$18, Expi[#Headers], 0))</f>
        <v>47228</v>
      </c>
      <c r="Y50" s="31" t="e">
        <f ca="1">INDEX(Expi[], MATCH($A50, Expi[Date], 0), MATCH(Y$18, Expi[#Headers], 0))</f>
        <v>#N/A</v>
      </c>
      <c r="Z50" s="31">
        <f ca="1">INDEX(Expi[], MATCH($A50, Expi[Date], 0), MATCH(Z$18, Expi[#Headers], 0))</f>
        <v>47220</v>
      </c>
      <c r="AA50" s="31" t="e">
        <f ca="1">INDEX(Expi[], MATCH($A50, Expi[Date], 0), MATCH(AA$18, Expi[#Headers], 0))</f>
        <v>#N/A</v>
      </c>
      <c r="AB50" s="31" t="e">
        <f ca="1">INDEX(Expi[], MATCH($A50, Expi[Date], 0), MATCH(AB$18, Expi[#Headers], 0))</f>
        <v>#N/A</v>
      </c>
      <c r="AC50" s="31" t="e">
        <f ca="1">INDEX(Expi[], MATCH($A50, Expi[Date], 0), MATCH(AC$18, Expi[#Headers], 0))</f>
        <v>#N/A</v>
      </c>
      <c r="AD50" s="7">
        <f ca="1">NETWORKDAYS($A50, EOMONTH($A50, 0), Hols[CME])</f>
        <v>21</v>
      </c>
      <c r="AE50" s="7">
        <f ca="1">NETWORKDAYS($A50, EOMONTH($A50, 0), Hols[ICE])</f>
        <v>21</v>
      </c>
      <c r="AF50" s="7">
        <f ca="1">NETWORKDAYS($A50, EOMONTH($A50, 0), Hols[ICE])</f>
        <v>21</v>
      </c>
      <c r="AG50" s="7">
        <f ca="1">NETWORKDAYS($A50, EOMONTH($A50, 0), Hols[CME])</f>
        <v>21</v>
      </c>
      <c r="AH50" s="7">
        <f ca="1">NETWORKDAYS($A50, EOMONTH($A50, 0), Hols[CME])</f>
        <v>21</v>
      </c>
      <c r="AI50" s="7">
        <f ca="1">NETWORKDAYS($A50, EOMONTH($A50, 0), Hols[ICE])</f>
        <v>21</v>
      </c>
      <c r="AJ50" s="7">
        <f ca="1">NETWORKDAYS($A50, X50, Hols[CME])</f>
        <v>15</v>
      </c>
      <c r="AK50" s="7" t="e">
        <f ca="1">NETWORKDAYS($A50, Y50, Hols[ICE]) - 1</f>
        <v>#N/A</v>
      </c>
      <c r="AL50" s="7">
        <f ca="1">NETWORKDAYS($A50, Z50, Hols[ICE]) - 1</f>
        <v>8</v>
      </c>
      <c r="AM50" s="7" t="e">
        <f ca="1">NETWORKDAYS($A50, AA50, Hols[CME])</f>
        <v>#N/A</v>
      </c>
      <c r="AN50" s="7" t="e">
        <f ca="1">NETWORKDAYS($A50, AB50, Hols[CME])</f>
        <v>#N/A</v>
      </c>
      <c r="AO50" s="7" t="e">
        <f ca="1">NETWORKDAYS($A50, AC50, Hols[ICE]) - 1</f>
        <v>#N/A</v>
      </c>
      <c r="AP50" s="10">
        <f t="shared" ca="1" si="67"/>
        <v>0.7142857142857143</v>
      </c>
      <c r="AQ50" s="10" t="e">
        <f t="shared" ca="1" si="68"/>
        <v>#N/A</v>
      </c>
      <c r="AR50" s="10">
        <f t="shared" ca="1" si="69"/>
        <v>0.38095238095238093</v>
      </c>
      <c r="AS50" s="10" t="e">
        <f t="shared" ca="1" si="70"/>
        <v>#N/A</v>
      </c>
      <c r="AT50" s="10" t="e">
        <f t="shared" ca="1" si="71"/>
        <v>#N/A</v>
      </c>
      <c r="AU50" s="10" t="e">
        <f t="shared" ca="1" si="71"/>
        <v>#N/A</v>
      </c>
      <c r="AV50" s="28">
        <f ca="1">IFERROR(AVERAGE(_xll.BDH(AV$18 &amp; $B50 &amp; RIGHT($C50, 1) &amp; " " &amp; "Comdty", "PX_SETTLE", AV$16, AV$16, "Fill=#N/A")), IFERROR(AVERAGE(_xll.BDH(AV$18 &amp; $B50 &amp; RIGHT($C50, 2) &amp; " " &amp; "Comdty", "PX_SETTLE", AV$16, AV$16, "Fill=#N/A")), NA()))</f>
        <v>67.61</v>
      </c>
      <c r="AW50" s="28">
        <f ca="1">IFERROR(AVERAGE(_xll.BDH(AW$18 &amp; $B50 &amp; RIGHT($C50, 1) &amp; " " &amp; "Comdty", "PX_SETTLE", AW$16, AW$16, "Fill=#N/A")), IFERROR(AVERAGE(_xll.BDH(AW$18 &amp; $B50 &amp; RIGHT($C50, 2) &amp; " " &amp; "Comdty", "PX_SETTLE", AW$16, AW$16, "Fill=#N/A")), NA()))</f>
        <v>72.77</v>
      </c>
      <c r="AX50" s="29">
        <f ca="1">IFERROR(AVERAGE(_xll.BDH(AX$18 &amp; $B50 &amp; RIGHT($C50, 2) &amp; " " &amp; "Comdty", "FAIR_VALUE_SNAPSHOT_AT_1430", AX$16, AX$16, "TIME_ZONE_OVERRIDE=13", "Fill=#N/A")), NA())</f>
        <v>807.25</v>
      </c>
      <c r="AY50" s="28">
        <f ca="1">IFERROR(AVERAGE(_xll.BDH(AY$18 &amp; $B50 &amp; RIGHT($C50, 1) &amp; " " &amp; "Comdty", "PX_SETTLE", AY$16, AY$16, "Fill=#N/A")), NA())</f>
        <v>293.58</v>
      </c>
      <c r="AZ50" s="28">
        <f ca="1">IFERROR(AVERAGE(_xll.BDH(AZ$18 &amp; $B50 &amp; RIGHT($C50, 1) &amp; " " &amp; "Comdty", "PX_SETTLE", AZ$16, AZ$16, "Fill=#N/A")), NA())</f>
        <v>240.9</v>
      </c>
      <c r="BA50" s="29" t="e">
        <f ca="1">IFERROR(AVERAGE(_xll.BDH(BA$18 &amp; $B50 &amp; RIGHT($C50, 2) &amp; " " &amp; "Comdty", "PX_SETTLE", BA$16, BA$16, "Fill=#N/A")), IFERROR(AVERAGE(_xll.BDH(BA$18 &amp; $B50 &amp; RIGHT($C50, 2) &amp; " " &amp; "Comdty", "PX_SETTLE", BA$16, BA$16, "Fill=#N/A")), NA()))</f>
        <v>#N/A</v>
      </c>
      <c r="BB50" s="29">
        <f ca="1">IFERROR(AVERAGE(_xll.BDH(BB$18 &amp; $B50 &amp; RIGHT($C50, 2) &amp; " " &amp; "Comdty", "PX_SETTLE", BB$16, BB$16, "Fill=#N/A")), IFERROR(AVERAGE(_xll.BDH(BB$18 &amp; $B50 &amp; RIGHT($C50, 2) &amp; " " &amp; "Comdty", "PX_SETTLE", BB$16, BB$16, "Fill=#N/A")), NA()))</f>
        <v>73.47</v>
      </c>
      <c r="BC50" s="29" t="e">
        <f ca="1">IFERROR(AVERAGE(_xll.BDH(BC$18 &amp; $B50 &amp; RIGHT($C50, 2) &amp; " " &amp; "Comdty", "PX_SETTLE", BC$16, BC$16, "Fill=#N/A")), IFERROR(AVERAGE(_xll.BDH(BC$18 &amp; $B50 &amp; RIGHT($C50, 2) &amp; " " &amp; "Comdty", "PX_SETTLE", BC$16, BC$16, "Fill=#N/A")), NA()))</f>
        <v>#N/A</v>
      </c>
      <c r="BD50" s="29" t="e">
        <f>NA()</f>
        <v>#N/A</v>
      </c>
      <c r="BE50" s="109">
        <f t="shared" ca="1" si="209"/>
        <v>67.485909090909132</v>
      </c>
      <c r="BF50" s="46">
        <f t="shared" ca="1" si="72"/>
        <v>-0.12409090909086729</v>
      </c>
      <c r="BG50" s="47">
        <f t="shared" ca="1" si="151"/>
        <v>0.19136363636363285</v>
      </c>
      <c r="BH50" s="114">
        <f t="shared" ca="1" si="223"/>
        <v>1.1363636363626028E-2</v>
      </c>
      <c r="BI50" s="110">
        <f t="shared" ca="1" si="224"/>
        <v>72.563181818181931</v>
      </c>
      <c r="BJ50" s="46">
        <f t="shared" ca="1" si="73"/>
        <v>-0.20681818181806477</v>
      </c>
      <c r="BK50" s="48">
        <f t="shared" ca="1" si="225"/>
        <v>0.17681818181817732</v>
      </c>
      <c r="BL50" s="114">
        <f t="shared" ca="1" si="226"/>
        <v>2.6818181818171638E-2</v>
      </c>
      <c r="BM50" s="48">
        <f t="shared" ca="1" si="152"/>
        <v>791.11363636363694</v>
      </c>
      <c r="BN50" s="46">
        <f t="shared" ca="1" si="74"/>
        <v>-16.136363636363058</v>
      </c>
      <c r="BO50" s="47">
        <f t="shared" ca="1" si="210"/>
        <v>3.8977272727272521</v>
      </c>
      <c r="BP50" s="46">
        <f t="shared" ca="1" si="133"/>
        <v>0.39772727272725206</v>
      </c>
      <c r="BQ50" s="110" t="str">
        <f t="shared" ca="1" si="211"/>
        <v/>
      </c>
      <c r="BR50" s="46" t="str">
        <f t="shared" ca="1" si="75"/>
        <v/>
      </c>
      <c r="BS50" s="47" t="str">
        <f t="shared" ca="1" si="153"/>
        <v/>
      </c>
      <c r="BT50" s="114" t="str">
        <f t="shared" ca="1" si="154"/>
        <v/>
      </c>
      <c r="BU50" s="48" t="str">
        <f t="shared" ca="1" si="212"/>
        <v/>
      </c>
      <c r="BV50" s="46" t="str">
        <f t="shared" ca="1" si="76"/>
        <v/>
      </c>
      <c r="BW50" s="47" t="str">
        <f t="shared" ca="1" si="155"/>
        <v/>
      </c>
      <c r="BX50" s="46" t="str">
        <f t="shared" ca="1" si="156"/>
        <v/>
      </c>
      <c r="BY50" s="140">
        <f t="shared" ca="1" si="134"/>
        <v>67.239870129870184</v>
      </c>
      <c r="BZ50" s="46">
        <f t="shared" ca="1" si="135"/>
        <v>-0.15441558441553735</v>
      </c>
      <c r="CA50" s="47">
        <f t="shared" ca="1" si="157"/>
        <v>0.1764521841794533</v>
      </c>
      <c r="CB50" s="46">
        <f t="shared" ca="1" si="158"/>
        <v>2.2556080283349628E-2</v>
      </c>
      <c r="CC50" s="141" t="str">
        <f t="shared" ca="1" si="136"/>
        <v/>
      </c>
      <c r="CD50" s="50" t="str">
        <f t="shared" ca="1" si="137"/>
        <v/>
      </c>
      <c r="CE50" s="47" t="str">
        <f t="shared" ca="1" si="159"/>
        <v/>
      </c>
      <c r="CF50" s="46" t="str">
        <f t="shared" ca="1" si="160"/>
        <v/>
      </c>
      <c r="CG50" s="141">
        <f t="shared" ca="1" si="138"/>
        <v>788.70075757575819</v>
      </c>
      <c r="CH50" s="50">
        <f t="shared" ca="1" si="139"/>
        <v>-16.073051948051358</v>
      </c>
      <c r="CI50" s="47">
        <f t="shared" ca="1" si="161"/>
        <v>3.6530647382919597</v>
      </c>
      <c r="CJ50" s="46">
        <f t="shared" ca="1" si="162"/>
        <v>6.3237898465153819E-2</v>
      </c>
      <c r="CK50" s="141" t="str">
        <f t="shared" ca="1" si="140"/>
        <v/>
      </c>
      <c r="CL50" s="50" t="str">
        <f t="shared" ca="1" si="77"/>
        <v/>
      </c>
      <c r="CM50" s="47" t="str">
        <f t="shared" ca="1" si="163"/>
        <v/>
      </c>
      <c r="CN50" s="46" t="str">
        <f t="shared" ca="1" si="164"/>
        <v/>
      </c>
      <c r="CO50" s="141" t="str">
        <f t="shared" ca="1" si="141"/>
        <v/>
      </c>
      <c r="CP50" s="50" t="str">
        <f t="shared" ca="1" si="78"/>
        <v/>
      </c>
      <c r="CQ50" s="47" t="str">
        <f t="shared" ca="1" si="165"/>
        <v/>
      </c>
      <c r="CR50" s="46" t="str">
        <f t="shared" ca="1" si="166"/>
        <v/>
      </c>
      <c r="CS50" s="109">
        <f t="shared" ca="1" si="79"/>
        <v>-5.0772727272727991</v>
      </c>
      <c r="CT50" s="46">
        <f t="shared" ca="1" si="80"/>
        <v>8.2727272727197487E-2</v>
      </c>
      <c r="CU50" s="47">
        <f t="shared" ca="1" si="167"/>
        <v>1.4545454545455527E-2</v>
      </c>
      <c r="CV50" s="46">
        <f t="shared" ca="1" si="168"/>
        <v>0</v>
      </c>
      <c r="CW50" s="110" t="str">
        <f t="shared" ca="1" si="142"/>
        <v/>
      </c>
      <c r="CX50" s="46" t="str">
        <f t="shared" ca="1" si="81"/>
        <v/>
      </c>
      <c r="CY50" s="47" t="str">
        <f t="shared" ca="1" si="169"/>
        <v/>
      </c>
      <c r="CZ50" s="46" t="str">
        <f t="shared" ca="1" si="170"/>
        <v/>
      </c>
      <c r="DA50" s="109">
        <f t="shared" ca="1" si="82"/>
        <v>33.626568029286119</v>
      </c>
      <c r="DB50" s="46">
        <f t="shared" ca="1" si="83"/>
        <v>-1.9591366687004665</v>
      </c>
      <c r="DC50" s="47">
        <f t="shared" ca="1" si="171"/>
        <v>0.34636668700426299</v>
      </c>
      <c r="DD50" s="46">
        <f t="shared" ca="1" si="233"/>
        <v>2.6568029286157646E-2</v>
      </c>
      <c r="DE50" s="110" t="str">
        <f t="shared" ca="1" si="84"/>
        <v/>
      </c>
      <c r="DF50" s="46" t="str">
        <f t="shared" ca="1" si="85"/>
        <v/>
      </c>
      <c r="DG50" s="47" t="str">
        <f t="shared" ca="1" si="172"/>
        <v/>
      </c>
      <c r="DH50" s="46" t="str">
        <f t="shared" ca="1" si="173"/>
        <v/>
      </c>
      <c r="DI50" s="110" t="str">
        <f t="shared" ca="1" si="86"/>
        <v/>
      </c>
      <c r="DJ50" s="46" t="str">
        <f t="shared" ca="1" si="87"/>
        <v/>
      </c>
      <c r="DK50" s="47" t="str">
        <f t="shared" ca="1" si="174"/>
        <v/>
      </c>
      <c r="DL50" s="46" t="str">
        <f t="shared" ca="1" si="175"/>
        <v/>
      </c>
      <c r="DM50" s="110" t="str">
        <f t="shared" ca="1" si="88"/>
        <v/>
      </c>
      <c r="DN50" s="46" t="str">
        <f t="shared" ca="1" si="89"/>
        <v/>
      </c>
      <c r="DO50" s="47" t="str">
        <f t="shared" ca="1" si="176"/>
        <v/>
      </c>
      <c r="DP50" s="47" t="str">
        <f t="shared" ca="1" si="177"/>
        <v/>
      </c>
      <c r="DQ50" s="110" t="str">
        <f t="shared" ca="1" si="90"/>
        <v/>
      </c>
      <c r="DR50" s="46" t="str">
        <f t="shared" ca="1" si="91"/>
        <v/>
      </c>
      <c r="DS50" s="47" t="str">
        <f t="shared" ca="1" si="178"/>
        <v/>
      </c>
      <c r="DT50" s="47" t="str">
        <f t="shared" ca="1" si="179"/>
        <v/>
      </c>
      <c r="DU50" s="109" t="str">
        <f t="shared" ca="1" si="92"/>
        <v/>
      </c>
      <c r="DV50" s="46" t="str">
        <f t="shared" ca="1" si="93"/>
        <v/>
      </c>
      <c r="DW50" s="47" t="str">
        <f t="shared" ca="1" si="180"/>
        <v/>
      </c>
      <c r="DX50" s="47" t="str">
        <f t="shared" ca="1" si="181"/>
        <v/>
      </c>
      <c r="DY50" s="110" t="str">
        <f t="shared" ca="1" si="94"/>
        <v/>
      </c>
      <c r="DZ50" s="46" t="str">
        <f t="shared" ca="1" si="95"/>
        <v/>
      </c>
      <c r="EA50" s="47" t="str">
        <f t="shared" ca="1" si="182"/>
        <v/>
      </c>
      <c r="EB50" s="47" t="str">
        <f t="shared" ca="1" si="183"/>
        <v/>
      </c>
      <c r="EC50" s="110" t="str">
        <f t="shared" ca="1" si="96"/>
        <v/>
      </c>
      <c r="ED50" s="46" t="str">
        <f t="shared" ca="1" si="97"/>
        <v/>
      </c>
      <c r="EE50" s="47" t="str">
        <f t="shared" ca="1" si="184"/>
        <v/>
      </c>
      <c r="EF50" s="47" t="str">
        <f t="shared" ca="1" si="185"/>
        <v/>
      </c>
      <c r="EG50" s="110" t="str">
        <f t="shared" ca="1" si="98"/>
        <v/>
      </c>
      <c r="EH50" s="46" t="str">
        <f t="shared" ca="1" si="99"/>
        <v/>
      </c>
      <c r="EI50" s="47" t="str">
        <f t="shared" ca="1" si="186"/>
        <v/>
      </c>
      <c r="EJ50" s="47" t="str">
        <f t="shared" ca="1" si="187"/>
        <v/>
      </c>
      <c r="EK50" s="110" t="str">
        <f t="shared" ca="1" si="100"/>
        <v/>
      </c>
      <c r="EL50" s="46" t="str">
        <f t="shared" ca="1" si="101"/>
        <v/>
      </c>
      <c r="EM50" s="47" t="str">
        <f t="shared" ca="1" si="188"/>
        <v/>
      </c>
      <c r="EN50" s="47" t="str">
        <f t="shared" ca="1" si="189"/>
        <v/>
      </c>
      <c r="EO50" s="109" t="str">
        <f t="shared" ca="1" si="102"/>
        <v/>
      </c>
      <c r="EP50" s="46" t="str">
        <f t="shared" ca="1" si="103"/>
        <v/>
      </c>
      <c r="EQ50" s="47" t="str">
        <f t="shared" ca="1" si="190"/>
        <v/>
      </c>
      <c r="ER50" s="47" t="str">
        <f t="shared" ca="1" si="191"/>
        <v/>
      </c>
      <c r="ES50" s="110" t="str">
        <f t="shared" ca="1" si="104"/>
        <v/>
      </c>
      <c r="ET50" s="46" t="str">
        <f t="shared" ca="1" si="105"/>
        <v/>
      </c>
      <c r="EU50" s="47" t="str">
        <f t="shared" ca="1" si="192"/>
        <v/>
      </c>
      <c r="EV50" s="47" t="str">
        <f t="shared" ca="1" si="193"/>
        <v/>
      </c>
      <c r="EW50" s="109" t="str">
        <f t="shared" ca="1" si="106"/>
        <v/>
      </c>
      <c r="EX50" s="46" t="str">
        <f t="shared" ca="1" si="107"/>
        <v/>
      </c>
      <c r="EY50" s="47" t="str">
        <f t="shared" ca="1" si="194"/>
        <v/>
      </c>
      <c r="EZ50" s="47" t="str">
        <f t="shared" ca="1" si="195"/>
        <v/>
      </c>
      <c r="FA50" s="110" t="str">
        <f t="shared" ca="1" si="108"/>
        <v/>
      </c>
      <c r="FB50" s="46" t="str">
        <f t="shared" ca="1" si="109"/>
        <v/>
      </c>
      <c r="FC50" s="47" t="str">
        <f t="shared" ca="1" si="196"/>
        <v/>
      </c>
      <c r="FD50" s="47" t="str">
        <f t="shared" ca="1" si="197"/>
        <v/>
      </c>
      <c r="FE50" s="109" t="str">
        <f t="shared" ca="1" si="110"/>
        <v/>
      </c>
      <c r="FF50" s="46" t="str">
        <f t="shared" ca="1" si="111"/>
        <v/>
      </c>
      <c r="FG50" s="110" t="str">
        <f t="shared" ca="1" si="112"/>
        <v/>
      </c>
      <c r="FH50" s="46" t="str">
        <f t="shared" ca="1" si="113"/>
        <v/>
      </c>
      <c r="FI50" s="110" t="str">
        <f t="shared" ca="1" si="114"/>
        <v/>
      </c>
      <c r="FJ50" s="46" t="str">
        <f t="shared" ca="1" si="115"/>
        <v/>
      </c>
      <c r="FK50" s="110" t="str">
        <f t="shared" ca="1" si="116"/>
        <v/>
      </c>
      <c r="FL50" s="46" t="str">
        <f t="shared" ca="1" si="117"/>
        <v/>
      </c>
      <c r="FM50" s="110" t="str">
        <f t="shared" ca="1" si="118"/>
        <v/>
      </c>
      <c r="FN50" s="46" t="str">
        <f t="shared" ca="1" si="119"/>
        <v/>
      </c>
      <c r="FO50" s="110" t="str">
        <f t="shared" ca="1" si="120"/>
        <v/>
      </c>
      <c r="FP50" s="46" t="str">
        <f t="shared" ca="1" si="121"/>
        <v/>
      </c>
      <c r="FQ50" s="110" t="str">
        <f t="shared" ca="1" si="122"/>
        <v/>
      </c>
      <c r="FR50" s="46" t="str">
        <f t="shared" ca="1" si="123"/>
        <v/>
      </c>
      <c r="FS50" s="110" t="str">
        <f t="shared" ca="1" si="124"/>
        <v/>
      </c>
      <c r="FT50" s="111" t="str">
        <f t="shared" ca="1" si="125"/>
        <v/>
      </c>
      <c r="FU50" s="109" t="str">
        <f t="shared" ca="1" si="232"/>
        <v/>
      </c>
      <c r="FV50" s="46" t="str">
        <f t="shared" ca="1" si="213"/>
        <v/>
      </c>
      <c r="FW50" s="48" t="str">
        <f t="shared" ca="1" si="227"/>
        <v/>
      </c>
      <c r="FX50" s="114" t="str">
        <f t="shared" ca="1" si="228"/>
        <v/>
      </c>
      <c r="FY50" s="110" t="str">
        <f t="shared" ca="1" si="214"/>
        <v/>
      </c>
      <c r="FZ50" s="46" t="str">
        <f t="shared" ca="1" si="215"/>
        <v/>
      </c>
      <c r="GA50" s="47" t="str">
        <f t="shared" ca="1" si="216"/>
        <v/>
      </c>
      <c r="GB50" s="46" t="str">
        <f t="shared" ca="1" si="229"/>
        <v/>
      </c>
      <c r="GC50" s="110" t="str">
        <f ca="1">IFERROR(IF(AND(ISNUMBER($FU50), ISNUMBER(Crd!$X50)), $FU50 - Crd!$X50, ""), "")</f>
        <v/>
      </c>
      <c r="GD50" s="46" t="str">
        <f ca="1">IFERROR(IF(AND(ISNUMBER($FV50), ISNUMBER(Crd!$Y50)), $FV50 - Crd!$Y50, ""), "")</f>
        <v/>
      </c>
      <c r="GE50" s="47" t="str">
        <f t="shared" ca="1" si="217"/>
        <v/>
      </c>
      <c r="GF50" s="46" t="str">
        <f t="shared" ca="1" si="218"/>
        <v/>
      </c>
      <c r="GG50" s="141" t="str">
        <f t="shared" ca="1" si="198"/>
        <v/>
      </c>
      <c r="GH50" s="50" t="str">
        <f t="shared" ca="1" si="199"/>
        <v/>
      </c>
      <c r="GI50" s="47" t="str">
        <f t="shared" ca="1" si="144"/>
        <v/>
      </c>
      <c r="GJ50" s="46" t="str">
        <f t="shared" ca="1" si="145"/>
        <v/>
      </c>
      <c r="GK50" s="110" t="str">
        <f t="shared" ca="1" si="127"/>
        <v/>
      </c>
      <c r="GL50" s="46" t="str">
        <f t="shared" ca="1" si="128"/>
        <v/>
      </c>
      <c r="GM50" s="47" t="str">
        <f t="shared" ca="1" si="200"/>
        <v/>
      </c>
      <c r="GN50" s="46" t="str">
        <f t="shared" ca="1" si="201"/>
        <v/>
      </c>
      <c r="GO50" s="110" t="str">
        <f ca="1">IFERROR(IF(AND(ISNUMBER($GG50), ISNUMBER(Crd!$X50)), $GG50 - Crd!$X50, ""), "")</f>
        <v/>
      </c>
      <c r="GP50" s="46" t="str">
        <f ca="1">IFERROR(IF(AND(ISNUMBER($GH50), ISNUMBER(Crd!$Y50)), $GH50 - Crd!$Y50, ""), "")</f>
        <v/>
      </c>
      <c r="GQ50" s="47" t="str">
        <f t="shared" ca="1" si="202"/>
        <v/>
      </c>
      <c r="GR50" s="46" t="str">
        <f t="shared" ca="1" si="203"/>
        <v/>
      </c>
      <c r="GS50" s="436" t="str">
        <f t="shared" ca="1" si="219"/>
        <v/>
      </c>
      <c r="GT50" s="46" t="str">
        <f t="shared" ca="1" si="220"/>
        <v/>
      </c>
      <c r="GU50" s="48" t="str">
        <f t="shared" ca="1" si="230"/>
        <v/>
      </c>
      <c r="GV50" s="46" t="str">
        <f t="shared" ca="1" si="231"/>
        <v/>
      </c>
      <c r="GW50" s="427" t="str">
        <f t="shared" ca="1" si="204"/>
        <v/>
      </c>
      <c r="GX50" s="50" t="str">
        <f t="shared" ca="1" si="146"/>
        <v/>
      </c>
      <c r="GY50" s="47" t="str">
        <f t="shared" ca="1" si="205"/>
        <v/>
      </c>
      <c r="GZ50" s="432" t="str">
        <f t="shared" ca="1" si="206"/>
        <v/>
      </c>
      <c r="HA50" s="436"/>
      <c r="HB50" s="46"/>
      <c r="HC50" s="48"/>
      <c r="HD50" s="46"/>
      <c r="HE50" s="269"/>
      <c r="HF50" s="46"/>
      <c r="HG50" s="48"/>
      <c r="HH50" s="432"/>
    </row>
    <row r="51" spans="1:216" x14ac:dyDescent="0.25">
      <c r="A51" s="58">
        <f t="shared" ca="1" si="131"/>
        <v>47239</v>
      </c>
      <c r="B51" s="6" t="str">
        <f ca="1">INDEX(MthRef[], MATCH(MONTH(Futs!$A51), MthRef[Mth], 0), 2)</f>
        <v>K</v>
      </c>
      <c r="C51" s="6">
        <f t="shared" ca="1" si="65"/>
        <v>2029</v>
      </c>
      <c r="D51" s="6" t="str">
        <f t="shared" ca="1" si="66"/>
        <v>Q229</v>
      </c>
      <c r="E51" s="6" t="str">
        <f t="shared" ca="1" si="132"/>
        <v>K9</v>
      </c>
      <c r="F51" s="10" t="e">
        <f ca="1">IFERROR(AVERAGE(_xll.BDP(F$18 &amp; $B51 &amp; RIGHT($C51, 1) &amp; " " &amp; "Comdty", "BID", "Fill=#N/A"), _xll.BDP(F$18 &amp; $B51 &amp; RIGHT($C51, 1) &amp; " " &amp; "Comdty", "ASK", "Fill=#N/A")), NA())</f>
        <v>#N/A</v>
      </c>
      <c r="G51" s="10" t="e">
        <f ca="1">IFERROR(AVERAGE(_xll.BDP(G$18 &amp; $B51 &amp; RIGHT($C51, 1) &amp; " " &amp; "Comdty", "BID", "Fill=#N/A"), _xll.BDP(G$18 &amp; $B51 &amp; RIGHT($C51, 1) &amp; " " &amp; "Comdty", "ASK", "Fill=#N/A")), NA())</f>
        <v>#N/A</v>
      </c>
      <c r="H51" s="10" t="e">
        <f ca="1">IFERROR(AVERAGE(_xll.BDP(H$18 &amp; $B51 &amp; RIGHT($C51, 1) &amp; " " &amp; "Comdty", "BID", "Fill=#N/A"), _xll.BDP(H$18 &amp; $B51 &amp; RIGHT($C51, 1) &amp; " " &amp; "Comdty", "ASK", "Fill=#N/A")), NA())</f>
        <v>#N/A</v>
      </c>
      <c r="I51" s="10" t="e">
        <f ca="1">IFERROR(AVERAGE(_xll.BDP(I$18 &amp; $B51 &amp; RIGHT($C51, 1) &amp; " " &amp; "Comdty", "BID", "Fill=#N/A"), _xll.BDP(I$18 &amp; $B51 &amp; RIGHT($C51, 1) &amp; " " &amp; "Comdty", "ASK", "Fill=#N/A")), NA())</f>
        <v>#N/A</v>
      </c>
      <c r="J51" s="10" t="e">
        <f ca="1">IFERROR(AVERAGE(_xll.BDP(J$18 &amp; $B51 &amp; RIGHT($C51, 1) &amp; " " &amp; "Comdty", "BID", "Fill=#N/A"), _xll.BDP(J$18 &amp; $B51 &amp; RIGHT($C51, 1) &amp; " " &amp; "Comdty", "ASK", "Fill=#N/A")), NA())</f>
        <v>#N/A</v>
      </c>
      <c r="K51" s="10" t="e">
        <f ca="1">IFERROR(AVERAGE(_xll.BDP(K$18 &amp; $B51 &amp; RIGHT($C51, 2) &amp; " " &amp; "Comdty", "BID", "Fill=#N/A"), _xll.BDP(K$18 &amp; $B51 &amp; RIGHT($C51, 2) &amp; " " &amp; "Comdty", "ASK", "Fill=#N/A")), NA())</f>
        <v>#N/A</v>
      </c>
      <c r="L51" s="10" t="e">
        <f ca="1">IFERROR(AVERAGE(_xll.BDP(L$18 &amp; $B51 &amp; RIGHT($C51, 2) &amp; " " &amp; "Comdty", "BID", "Fill=#N/A"), _xll.BDP(L$18 &amp; $B51 &amp; RIGHT($C51, 2) &amp; " " &amp; "Comdty", "ASK", "Fill=#N/A")), NA())</f>
        <v>#N/A</v>
      </c>
      <c r="M51" s="10" t="e">
        <f ca="1">IFERROR(AVERAGE(_xll.BDP(M$18 &amp; $B51 &amp; RIGHT($C51, 2) &amp; " " &amp; "Comdty", "BID", "Fill=#N/A"), _xll.BDP(M$18 &amp; $B51 &amp; RIGHT($C51, 2) &amp; " " &amp; "Comdty", "ASK", "Fill=#N/A")), NA())</f>
        <v>#N/A</v>
      </c>
      <c r="N51" s="10">
        <f ca="1">IFERROR(AVERAGE(_xll.BDP(N$18 &amp; $B50 &amp; RIGHT($C50, 1) &amp; N$18 &amp; $B51 &amp; RIGHT($C51, 1) &amp; " " &amp; "Comdty", "BID", "Fill=#N/A"), _xll.BDP(N$18 &amp; $B50 &amp; RIGHT($C50, 1) &amp; N$18 &amp; $B51 &amp; RIGHT($C51, 1) &amp; " " &amp; "Comdty", "ASK", "Fill=#N/A")), NA())</f>
        <v>0.16500000000000001</v>
      </c>
      <c r="O51" s="10">
        <f ca="1">IFERROR(AVERAGE(_xll.BDP(O$18 &amp; $B50 &amp; RIGHT($C50, 1) &amp; O$18 &amp; $B51 &amp; RIGHT($C51, 1) &amp; " " &amp; "Comdty", "BID", "Fill=#N/A"), _xll.BDP(O$18 &amp; $B50 &amp; RIGHT($C50, 1) &amp; O$18 &amp; $B51 &amp; RIGHT($C51, 1) &amp; " " &amp; "Comdty", "ASK", "Fill=#N/A")), NA())</f>
        <v>0.15000000000000002</v>
      </c>
      <c r="P51" s="10">
        <f ca="1">IFERROR(AVERAGE(_xll.BDP(P$18 &amp; $B50 &amp; RIGHT($C50, 1) &amp; P$18 &amp; $B51 &amp; RIGHT($C51, 1) &amp; " " &amp; "Comdty", "BID", "Fill=#N/A"), _xll.BDP(P$18 &amp; $B50 &amp; RIGHT($C50, 1) &amp; P$18 &amp; $B51 &amp; RIGHT($C51, 1) &amp; " " &amp; "Comdty", "ASK", "Fill=#N/A")), NA())</f>
        <v>2.25</v>
      </c>
      <c r="Q51" s="10" t="e">
        <f ca="1">IFERROR(AVERAGE(_xll.BDP(Q$18 &amp; $B50 &amp; RIGHT($C50, 1) &amp; Q$18 &amp; $B51 &amp; RIGHT($C51, 1) &amp; " " &amp; "Comdty", "BID", "Fill=#N/A"), _xll.BDP(Q$18 &amp; $B50 &amp; RIGHT($C50, 1) &amp; Q$18 &amp; $B51 &amp; RIGHT($C51, 1) &amp; " " &amp; "Comdty", "ASK", "Fill=#N/A")), NA())</f>
        <v>#N/A</v>
      </c>
      <c r="R51" s="10" t="e">
        <f ca="1">IFERROR(AVERAGE(_xll.BDP(R$18 &amp; $B50 &amp; RIGHT($C50, 1) &amp; R$18 &amp; $B51 &amp; RIGHT($C51, 1) &amp; " " &amp; "Comdty", "BID", "Fill=#N/A"), _xll.BDP(R$18 &amp; $B50 &amp; RIGHT($C50, 1) &amp; R$18 &amp; $B51 &amp; RIGHT($C51, 1) &amp; " " &amp; "Comdty", "ASK", "Fill=#N/A")), NA())</f>
        <v>#N/A</v>
      </c>
      <c r="S51" s="10" t="e">
        <f ca="1">IFERROR(AVERAGE(_xll.BDP(S$18 &amp; $B50 &amp; RIGHT($C50, 1) &amp; $B51 &amp; RIGHT($C51, 1) &amp; " " &amp; "Comdty", "BID", "Fill=#N/A"), _xll.BDP(S$18 &amp; $B50 &amp; RIGHT($C50, 1) &amp; $B51 &amp; RIGHT($C51, 1) &amp; " " &amp; "Comdty", "ASK", "Fill=#N/A")), NA())</f>
        <v>#N/A</v>
      </c>
      <c r="T51" s="10" t="e">
        <f ca="1">IFERROR(AVERAGE(_xll.BDP(T$18 &amp; $B50 &amp; RIGHT($C50, 1) &amp; $B51 &amp; RIGHT($C51, 1) &amp; " " &amp; "Comdty", "BID", "Fill=#N/A"), _xll.BDP(T$18 &amp; $B50 &amp; RIGHT($C50, 1) &amp; $B51 &amp; RIGHT($C51, 1) &amp; " " &amp; "Comdty", "ASK", "Fill=#N/A")), NA())</f>
        <v>#N/A</v>
      </c>
      <c r="U51" s="10">
        <f ca="1">IF($A51 &lt; Diagnostics!$B$3, N51, INDEX(ImpSprd[], MATCH(Futs!$C51, ImpSprd[Yr], 0), MATCH(U$18, ImpSprd[#Headers], 0)))</f>
        <v>0.19136363636363637</v>
      </c>
      <c r="V51" s="10">
        <f ca="1">IF($A51 &lt; Diagnostics!$B$3, O51, INDEX(ImpSprd[], MATCH(Futs!$C51, ImpSprd[Yr], 0), MATCH(V$18, ImpSprd[#Headers], 0)))</f>
        <v>0.17681818181818179</v>
      </c>
      <c r="W51" s="10">
        <f ca="1">IF($A51 &lt; Diagnostics!$B$3, P51, INDEX(ImpSprd[], MATCH(Futs!$C51, ImpSprd[Yr], 0), MATCH(W$18, ImpSprd[#Headers], 0)))</f>
        <v>3.8977272727272729</v>
      </c>
      <c r="X51" s="31">
        <f ca="1">INDEX(Expi[], MATCH($A51, Expi[Date], 0), MATCH(X$18, Expi[#Headers], 0))</f>
        <v>47260</v>
      </c>
      <c r="Y51" s="31" t="e">
        <f ca="1">INDEX(Expi[], MATCH($A51, Expi[Date], 0), MATCH(Y$18, Expi[#Headers], 0))</f>
        <v>#N/A</v>
      </c>
      <c r="Z51" s="31">
        <f ca="1">INDEX(Expi[], MATCH($A51, Expi[Date], 0), MATCH(Z$18, Expi[#Headers], 0))</f>
        <v>47248</v>
      </c>
      <c r="AA51" s="31" t="e">
        <f ca="1">INDEX(Expi[], MATCH($A51, Expi[Date], 0), MATCH(AA$18, Expi[#Headers], 0))</f>
        <v>#N/A</v>
      </c>
      <c r="AB51" s="31" t="e">
        <f ca="1">INDEX(Expi[], MATCH($A51, Expi[Date], 0), MATCH(AB$18, Expi[#Headers], 0))</f>
        <v>#N/A</v>
      </c>
      <c r="AC51" s="31" t="e">
        <f ca="1">INDEX(Expi[], MATCH($A51, Expi[Date], 0), MATCH(AC$18, Expi[#Headers], 0))</f>
        <v>#N/A</v>
      </c>
      <c r="AD51" s="7">
        <f ca="1">NETWORKDAYS($A51, EOMONTH($A51, 0), Hols[CME])</f>
        <v>23</v>
      </c>
      <c r="AE51" s="7">
        <f ca="1">NETWORKDAYS($A51, EOMONTH($A51, 0), Hols[ICE])</f>
        <v>23</v>
      </c>
      <c r="AF51" s="7">
        <f ca="1">NETWORKDAYS($A51, EOMONTH($A51, 0), Hols[ICE])</f>
        <v>23</v>
      </c>
      <c r="AG51" s="7">
        <f ca="1">NETWORKDAYS($A51, EOMONTH($A51, 0), Hols[CME])</f>
        <v>23</v>
      </c>
      <c r="AH51" s="7">
        <f ca="1">NETWORKDAYS($A51, EOMONTH($A51, 0), Hols[CME])</f>
        <v>23</v>
      </c>
      <c r="AI51" s="7">
        <f ca="1">NETWORKDAYS($A51, EOMONTH($A51, 0), Hols[ICE])</f>
        <v>23</v>
      </c>
      <c r="AJ51" s="7">
        <f ca="1">NETWORKDAYS($A51, X51, Hols[CME])</f>
        <v>16</v>
      </c>
      <c r="AK51" s="7" t="e">
        <f ca="1">NETWORKDAYS($A51, Y51, Hols[ICE]) - 1</f>
        <v>#N/A</v>
      </c>
      <c r="AL51" s="7">
        <f ca="1">NETWORKDAYS($A51, Z51, Hols[ICE]) - 1</f>
        <v>7</v>
      </c>
      <c r="AM51" s="7" t="e">
        <f ca="1">NETWORKDAYS($A51, AA51, Hols[CME])</f>
        <v>#N/A</v>
      </c>
      <c r="AN51" s="7" t="e">
        <f ca="1">NETWORKDAYS($A51, AB51, Hols[CME])</f>
        <v>#N/A</v>
      </c>
      <c r="AO51" s="7" t="e">
        <f ca="1">NETWORKDAYS($A51, AC51, Hols[ICE]) - 1</f>
        <v>#N/A</v>
      </c>
      <c r="AP51" s="10">
        <f t="shared" ca="1" si="67"/>
        <v>0.69565217391304346</v>
      </c>
      <c r="AQ51" s="10" t="e">
        <f t="shared" ca="1" si="68"/>
        <v>#N/A</v>
      </c>
      <c r="AR51" s="10">
        <f t="shared" ca="1" si="69"/>
        <v>0.30434782608695654</v>
      </c>
      <c r="AS51" s="10" t="e">
        <f t="shared" ca="1" si="70"/>
        <v>#N/A</v>
      </c>
      <c r="AT51" s="10" t="e">
        <f t="shared" ca="1" si="71"/>
        <v>#N/A</v>
      </c>
      <c r="AU51" s="10" t="e">
        <f t="shared" ca="1" si="71"/>
        <v>#N/A</v>
      </c>
      <c r="AV51" s="28">
        <f ca="1">IFERROR(AVERAGE(_xll.BDH(AV$18 &amp; $B51 &amp; RIGHT($C51, 1) &amp; " " &amp; "Comdty", "PX_SETTLE", AV$16, AV$16, "Fill=#N/A")), IFERROR(AVERAGE(_xll.BDH(AV$18 &amp; $B51 &amp; RIGHT($C51, 2) &amp; " " &amp; "Comdty", "PX_SETTLE", AV$16, AV$16, "Fill=#N/A")), NA()))</f>
        <v>67.44</v>
      </c>
      <c r="AW51" s="28">
        <f ca="1">IFERROR(AVERAGE(_xll.BDH(AW$18 &amp; $B51 &amp; RIGHT($C51, 1) &amp; " " &amp; "Comdty", "PX_SETTLE", AW$16, AW$16, "Fill=#N/A")), IFERROR(AVERAGE(_xll.BDH(AW$18 &amp; $B51 &amp; RIGHT($C51, 2) &amp; " " &amp; "Comdty", "PX_SETTLE", AW$16, AW$16, "Fill=#N/A")), NA()))</f>
        <v>72.62</v>
      </c>
      <c r="AX51" s="29">
        <f ca="1">IFERROR(AVERAGE(_xll.BDH(AX$18 &amp; $B51 &amp; RIGHT($C51, 2) &amp; " " &amp; "Comdty", "FAIR_VALUE_SNAPSHOT_AT_1430", AX$16, AX$16, "TIME_ZONE_OVERRIDE=13", "Fill=#N/A")), NA())</f>
        <v>803.25</v>
      </c>
      <c r="AY51" s="28">
        <f ca="1">IFERROR(AVERAGE(_xll.BDH(AY$18 &amp; $B51 &amp; RIGHT($C51, 1) &amp; " " &amp; "Comdty", "PX_SETTLE", AY$16, AY$16, "Fill=#N/A")), NA())</f>
        <v>292.38</v>
      </c>
      <c r="AZ51" s="28">
        <f ca="1">IFERROR(AVERAGE(_xll.BDH(AZ$18 &amp; $B51 &amp; RIGHT($C51, 1) &amp; " " &amp; "Comdty", "PX_SETTLE", AZ$16, AZ$16, "Fill=#N/A")), NA())</f>
        <v>242.1</v>
      </c>
      <c r="BA51" s="29" t="e">
        <f ca="1">IFERROR(AVERAGE(_xll.BDH(BA$18 &amp; $B51 &amp; RIGHT($C51, 2) &amp; " " &amp; "Comdty", "PX_SETTLE", BA$16, BA$16, "Fill=#N/A")), IFERROR(AVERAGE(_xll.BDH(BA$18 &amp; $B51 &amp; RIGHT($C51, 2) &amp; " " &amp; "Comdty", "PX_SETTLE", BA$16, BA$16, "Fill=#N/A")), NA()))</f>
        <v>#N/A</v>
      </c>
      <c r="BB51" s="29">
        <f ca="1">IFERROR(AVERAGE(_xll.BDH(BB$18 &amp; $B51 &amp; RIGHT($C51, 2) &amp; " " &amp; "Comdty", "PX_SETTLE", BB$16, BB$16, "Fill=#N/A")), IFERROR(AVERAGE(_xll.BDH(BB$18 &amp; $B51 &amp; RIGHT($C51, 2) &amp; " " &amp; "Comdty", "PX_SETTLE", BB$16, BB$16, "Fill=#N/A")), NA()))</f>
        <v>73.319999999999993</v>
      </c>
      <c r="BC51" s="29" t="e">
        <f ca="1">IFERROR(AVERAGE(_xll.BDH(BC$18 &amp; $B51 &amp; RIGHT($C51, 2) &amp; " " &amp; "Comdty", "PX_SETTLE", BC$16, BC$16, "Fill=#N/A")), IFERROR(AVERAGE(_xll.BDH(BC$18 &amp; $B51 &amp; RIGHT($C51, 2) &amp; " " &amp; "Comdty", "PX_SETTLE", BC$16, BC$16, "Fill=#N/A")), NA()))</f>
        <v>#N/A</v>
      </c>
      <c r="BD51" s="29" t="e">
        <f>NA()</f>
        <v>#N/A</v>
      </c>
      <c r="BE51" s="109">
        <f t="shared" ca="1" si="209"/>
        <v>67.294545454545499</v>
      </c>
      <c r="BF51" s="46">
        <f t="shared" ca="1" si="72"/>
        <v>-0.14545454545449843</v>
      </c>
      <c r="BG51" s="47">
        <f t="shared" ca="1" si="151"/>
        <v>0.19136363636363285</v>
      </c>
      <c r="BH51" s="114">
        <f t="shared" ca="1" si="223"/>
        <v>2.1363636363631144E-2</v>
      </c>
      <c r="BI51" s="110">
        <f t="shared" ca="1" si="224"/>
        <v>72.386363636363754</v>
      </c>
      <c r="BJ51" s="46">
        <f t="shared" ca="1" si="73"/>
        <v>-0.23363636363625062</v>
      </c>
      <c r="BK51" s="48">
        <f t="shared" ca="1" si="225"/>
        <v>0.17681818181817732</v>
      </c>
      <c r="BL51" s="114">
        <f t="shared" ca="1" si="226"/>
        <v>2.6818181818185849E-2</v>
      </c>
      <c r="BM51" s="48">
        <f t="shared" ca="1" si="152"/>
        <v>787.21590909090969</v>
      </c>
      <c r="BN51" s="46">
        <f t="shared" ca="1" si="74"/>
        <v>-16.03409090909031</v>
      </c>
      <c r="BO51" s="47">
        <f t="shared" ca="1" si="210"/>
        <v>3.8977272727272521</v>
      </c>
      <c r="BP51" s="46">
        <f t="shared" ca="1" si="133"/>
        <v>-0.10227272727274794</v>
      </c>
      <c r="BQ51" s="110" t="str">
        <f t="shared" ca="1" si="211"/>
        <v/>
      </c>
      <c r="BR51" s="46" t="str">
        <f t="shared" ca="1" si="75"/>
        <v/>
      </c>
      <c r="BS51" s="47" t="str">
        <f t="shared" ca="1" si="153"/>
        <v/>
      </c>
      <c r="BT51" s="114" t="str">
        <f t="shared" ca="1" si="154"/>
        <v/>
      </c>
      <c r="BU51" s="48" t="str">
        <f t="shared" ca="1" si="212"/>
        <v/>
      </c>
      <c r="BV51" s="46" t="str">
        <f t="shared" ca="1" si="76"/>
        <v/>
      </c>
      <c r="BW51" s="47" t="str">
        <f t="shared" ca="1" si="155"/>
        <v/>
      </c>
      <c r="BX51" s="46" t="str">
        <f t="shared" ca="1" si="156"/>
        <v/>
      </c>
      <c r="BY51" s="140">
        <f t="shared" ca="1" si="134"/>
        <v>67.044940711462502</v>
      </c>
      <c r="BZ51" s="46">
        <f t="shared" ca="1" si="135"/>
        <v>-0.17418972332010904</v>
      </c>
      <c r="CA51" s="47">
        <f t="shared" ca="1" si="157"/>
        <v>0.19492941840768196</v>
      </c>
      <c r="CB51" s="46">
        <f t="shared" ca="1" si="158"/>
        <v>1.9774138904571692E-2</v>
      </c>
      <c r="CC51" s="141" t="str">
        <f t="shared" ca="1" si="136"/>
        <v/>
      </c>
      <c r="CD51" s="50" t="str">
        <f t="shared" ca="1" si="137"/>
        <v/>
      </c>
      <c r="CE51" s="47" t="str">
        <f t="shared" ca="1" si="159"/>
        <v/>
      </c>
      <c r="CF51" s="46" t="str">
        <f t="shared" ca="1" si="160"/>
        <v/>
      </c>
      <c r="CG51" s="141">
        <f t="shared" ca="1" si="138"/>
        <v>784.50444664031681</v>
      </c>
      <c r="CH51" s="50">
        <f t="shared" ca="1" si="139"/>
        <v>-16.484683794465788</v>
      </c>
      <c r="CI51" s="47">
        <f t="shared" ca="1" si="161"/>
        <v>4.1963109354413746</v>
      </c>
      <c r="CJ51" s="46">
        <f t="shared" ca="1" si="162"/>
        <v>0.41163184641442996</v>
      </c>
      <c r="CK51" s="141" t="str">
        <f t="shared" ca="1" si="140"/>
        <v/>
      </c>
      <c r="CL51" s="50" t="str">
        <f t="shared" ca="1" si="77"/>
        <v/>
      </c>
      <c r="CM51" s="47" t="str">
        <f t="shared" ca="1" si="163"/>
        <v/>
      </c>
      <c r="CN51" s="46" t="str">
        <f t="shared" ca="1" si="164"/>
        <v/>
      </c>
      <c r="CO51" s="141" t="str">
        <f t="shared" ca="1" si="141"/>
        <v/>
      </c>
      <c r="CP51" s="50" t="str">
        <f t="shared" ca="1" si="78"/>
        <v/>
      </c>
      <c r="CQ51" s="47" t="str">
        <f t="shared" ca="1" si="165"/>
        <v/>
      </c>
      <c r="CR51" s="46" t="str">
        <f t="shared" ca="1" si="166"/>
        <v/>
      </c>
      <c r="CS51" s="109">
        <f t="shared" ca="1" si="79"/>
        <v>-5.0918181818182546</v>
      </c>
      <c r="CT51" s="46">
        <f t="shared" ca="1" si="80"/>
        <v>8.8181818181752192E-2</v>
      </c>
      <c r="CU51" s="47">
        <f t="shared" ca="1" si="167"/>
        <v>1.4545454545455527E-2</v>
      </c>
      <c r="CV51" s="46">
        <f t="shared" ca="1" si="168"/>
        <v>0</v>
      </c>
      <c r="CW51" s="110" t="str">
        <f t="shared" ca="1" si="142"/>
        <v/>
      </c>
      <c r="CX51" s="46" t="str">
        <f t="shared" ca="1" si="81"/>
        <v/>
      </c>
      <c r="CY51" s="47" t="str">
        <f t="shared" ca="1" si="169"/>
        <v/>
      </c>
      <c r="CZ51" s="46" t="str">
        <f t="shared" ca="1" si="170"/>
        <v/>
      </c>
      <c r="DA51" s="109">
        <f t="shared" ca="1" si="82"/>
        <v>33.280201342281842</v>
      </c>
      <c r="DB51" s="46">
        <f t="shared" ca="1" si="83"/>
        <v>-1.9185906040268783</v>
      </c>
      <c r="DC51" s="47">
        <f t="shared" ca="1" si="171"/>
        <v>0.3463666870042772</v>
      </c>
      <c r="DD51" s="46">
        <f t="shared" ca="1" si="233"/>
        <v>-4.0546064673588234E-2</v>
      </c>
      <c r="DE51" s="110" t="str">
        <f t="shared" ca="1" si="84"/>
        <v/>
      </c>
      <c r="DF51" s="46" t="str">
        <f t="shared" ca="1" si="85"/>
        <v/>
      </c>
      <c r="DG51" s="47" t="str">
        <f t="shared" ca="1" si="172"/>
        <v/>
      </c>
      <c r="DH51" s="46" t="str">
        <f t="shared" ca="1" si="173"/>
        <v/>
      </c>
      <c r="DI51" s="110" t="str">
        <f t="shared" ca="1" si="86"/>
        <v/>
      </c>
      <c r="DJ51" s="46" t="str">
        <f t="shared" ca="1" si="87"/>
        <v/>
      </c>
      <c r="DK51" s="47" t="str">
        <f t="shared" ca="1" si="174"/>
        <v/>
      </c>
      <c r="DL51" s="46" t="str">
        <f t="shared" ca="1" si="175"/>
        <v/>
      </c>
      <c r="DM51" s="110" t="str">
        <f t="shared" ca="1" si="88"/>
        <v/>
      </c>
      <c r="DN51" s="46" t="str">
        <f t="shared" ca="1" si="89"/>
        <v/>
      </c>
      <c r="DO51" s="47" t="str">
        <f t="shared" ca="1" si="176"/>
        <v/>
      </c>
      <c r="DP51" s="47" t="str">
        <f t="shared" ca="1" si="177"/>
        <v/>
      </c>
      <c r="DQ51" s="110" t="str">
        <f t="shared" ca="1" si="90"/>
        <v/>
      </c>
      <c r="DR51" s="46" t="str">
        <f t="shared" ca="1" si="91"/>
        <v/>
      </c>
      <c r="DS51" s="47" t="str">
        <f t="shared" ca="1" si="178"/>
        <v/>
      </c>
      <c r="DT51" s="47" t="str">
        <f t="shared" ca="1" si="179"/>
        <v/>
      </c>
      <c r="DU51" s="109" t="str">
        <f t="shared" ca="1" si="92"/>
        <v/>
      </c>
      <c r="DV51" s="46" t="str">
        <f t="shared" ca="1" si="93"/>
        <v/>
      </c>
      <c r="DW51" s="47" t="str">
        <f t="shared" ca="1" si="180"/>
        <v/>
      </c>
      <c r="DX51" s="47" t="str">
        <f t="shared" ca="1" si="181"/>
        <v/>
      </c>
      <c r="DY51" s="110" t="str">
        <f t="shared" ca="1" si="94"/>
        <v/>
      </c>
      <c r="DZ51" s="46" t="str">
        <f t="shared" ca="1" si="95"/>
        <v/>
      </c>
      <c r="EA51" s="47" t="str">
        <f t="shared" ca="1" si="182"/>
        <v/>
      </c>
      <c r="EB51" s="47" t="str">
        <f t="shared" ca="1" si="183"/>
        <v/>
      </c>
      <c r="EC51" s="110" t="str">
        <f t="shared" ca="1" si="96"/>
        <v/>
      </c>
      <c r="ED51" s="46" t="str">
        <f t="shared" ca="1" si="97"/>
        <v/>
      </c>
      <c r="EE51" s="47" t="str">
        <f t="shared" ca="1" si="184"/>
        <v/>
      </c>
      <c r="EF51" s="47" t="str">
        <f t="shared" ca="1" si="185"/>
        <v/>
      </c>
      <c r="EG51" s="110" t="str">
        <f t="shared" ca="1" si="98"/>
        <v/>
      </c>
      <c r="EH51" s="46" t="str">
        <f t="shared" ca="1" si="99"/>
        <v/>
      </c>
      <c r="EI51" s="47" t="str">
        <f t="shared" ca="1" si="186"/>
        <v/>
      </c>
      <c r="EJ51" s="47" t="str">
        <f t="shared" ca="1" si="187"/>
        <v/>
      </c>
      <c r="EK51" s="110" t="str">
        <f t="shared" ca="1" si="100"/>
        <v/>
      </c>
      <c r="EL51" s="46" t="str">
        <f t="shared" ca="1" si="101"/>
        <v/>
      </c>
      <c r="EM51" s="47" t="str">
        <f t="shared" ca="1" si="188"/>
        <v/>
      </c>
      <c r="EN51" s="47" t="str">
        <f t="shared" ca="1" si="189"/>
        <v/>
      </c>
      <c r="EO51" s="109" t="str">
        <f t="shared" ca="1" si="102"/>
        <v/>
      </c>
      <c r="EP51" s="46" t="str">
        <f t="shared" ca="1" si="103"/>
        <v/>
      </c>
      <c r="EQ51" s="47" t="str">
        <f t="shared" ca="1" si="190"/>
        <v/>
      </c>
      <c r="ER51" s="47" t="str">
        <f t="shared" ca="1" si="191"/>
        <v/>
      </c>
      <c r="ES51" s="110" t="str">
        <f t="shared" ca="1" si="104"/>
        <v/>
      </c>
      <c r="ET51" s="46" t="str">
        <f t="shared" ca="1" si="105"/>
        <v/>
      </c>
      <c r="EU51" s="47" t="str">
        <f t="shared" ca="1" si="192"/>
        <v/>
      </c>
      <c r="EV51" s="47" t="str">
        <f t="shared" ca="1" si="193"/>
        <v/>
      </c>
      <c r="EW51" s="109" t="str">
        <f t="shared" ca="1" si="106"/>
        <v/>
      </c>
      <c r="EX51" s="46" t="str">
        <f t="shared" ca="1" si="107"/>
        <v/>
      </c>
      <c r="EY51" s="47" t="str">
        <f t="shared" ca="1" si="194"/>
        <v/>
      </c>
      <c r="EZ51" s="47" t="str">
        <f t="shared" ca="1" si="195"/>
        <v/>
      </c>
      <c r="FA51" s="110" t="str">
        <f t="shared" ca="1" si="108"/>
        <v/>
      </c>
      <c r="FB51" s="46" t="str">
        <f t="shared" ca="1" si="109"/>
        <v/>
      </c>
      <c r="FC51" s="47" t="str">
        <f t="shared" ca="1" si="196"/>
        <v/>
      </c>
      <c r="FD51" s="47" t="str">
        <f t="shared" ca="1" si="197"/>
        <v/>
      </c>
      <c r="FE51" s="109" t="str">
        <f t="shared" ca="1" si="110"/>
        <v/>
      </c>
      <c r="FF51" s="46" t="str">
        <f t="shared" ca="1" si="111"/>
        <v/>
      </c>
      <c r="FG51" s="110" t="str">
        <f t="shared" ca="1" si="112"/>
        <v/>
      </c>
      <c r="FH51" s="46" t="str">
        <f t="shared" ca="1" si="113"/>
        <v/>
      </c>
      <c r="FI51" s="110" t="str">
        <f t="shared" ca="1" si="114"/>
        <v/>
      </c>
      <c r="FJ51" s="46" t="str">
        <f t="shared" ca="1" si="115"/>
        <v/>
      </c>
      <c r="FK51" s="110" t="str">
        <f t="shared" ca="1" si="116"/>
        <v/>
      </c>
      <c r="FL51" s="46" t="str">
        <f t="shared" ca="1" si="117"/>
        <v/>
      </c>
      <c r="FM51" s="110" t="str">
        <f t="shared" ca="1" si="118"/>
        <v/>
      </c>
      <c r="FN51" s="46" t="str">
        <f t="shared" ca="1" si="119"/>
        <v/>
      </c>
      <c r="FO51" s="110" t="str">
        <f t="shared" ca="1" si="120"/>
        <v/>
      </c>
      <c r="FP51" s="46" t="str">
        <f t="shared" ca="1" si="121"/>
        <v/>
      </c>
      <c r="FQ51" s="110" t="str">
        <f t="shared" ca="1" si="122"/>
        <v/>
      </c>
      <c r="FR51" s="46" t="str">
        <f t="shared" ca="1" si="123"/>
        <v/>
      </c>
      <c r="FS51" s="110" t="str">
        <f t="shared" ca="1" si="124"/>
        <v/>
      </c>
      <c r="FT51" s="111" t="str">
        <f t="shared" ca="1" si="125"/>
        <v/>
      </c>
      <c r="FU51" s="109" t="str">
        <f t="shared" ca="1" si="232"/>
        <v/>
      </c>
      <c r="FV51" s="46" t="str">
        <f t="shared" ca="1" si="213"/>
        <v/>
      </c>
      <c r="FW51" s="48" t="str">
        <f t="shared" ca="1" si="227"/>
        <v/>
      </c>
      <c r="FX51" s="114" t="str">
        <f t="shared" ca="1" si="228"/>
        <v/>
      </c>
      <c r="FY51" s="110" t="str">
        <f t="shared" ca="1" si="214"/>
        <v/>
      </c>
      <c r="FZ51" s="46" t="str">
        <f t="shared" ca="1" si="215"/>
        <v/>
      </c>
      <c r="GA51" s="47" t="str">
        <f t="shared" ca="1" si="216"/>
        <v/>
      </c>
      <c r="GB51" s="46" t="str">
        <f t="shared" ca="1" si="229"/>
        <v/>
      </c>
      <c r="GC51" s="110" t="str">
        <f ca="1">IFERROR(IF(AND(ISNUMBER($FU51), ISNUMBER(Crd!$X51)), $FU51 - Crd!$X51, ""), "")</f>
        <v/>
      </c>
      <c r="GD51" s="46" t="str">
        <f ca="1">IFERROR(IF(AND(ISNUMBER($FV51), ISNUMBER(Crd!$Y51)), $FV51 - Crd!$Y51, ""), "")</f>
        <v/>
      </c>
      <c r="GE51" s="47" t="str">
        <f t="shared" ca="1" si="217"/>
        <v/>
      </c>
      <c r="GF51" s="46" t="str">
        <f t="shared" ca="1" si="218"/>
        <v/>
      </c>
      <c r="GG51" s="141" t="str">
        <f t="shared" ca="1" si="198"/>
        <v/>
      </c>
      <c r="GH51" s="50" t="str">
        <f t="shared" ca="1" si="199"/>
        <v/>
      </c>
      <c r="GI51" s="47" t="str">
        <f t="shared" ca="1" si="144"/>
        <v/>
      </c>
      <c r="GJ51" s="46" t="str">
        <f t="shared" ca="1" si="145"/>
        <v/>
      </c>
      <c r="GK51" s="110" t="str">
        <f t="shared" ca="1" si="127"/>
        <v/>
      </c>
      <c r="GL51" s="46" t="str">
        <f t="shared" ca="1" si="128"/>
        <v/>
      </c>
      <c r="GM51" s="47" t="str">
        <f t="shared" ca="1" si="200"/>
        <v/>
      </c>
      <c r="GN51" s="46" t="str">
        <f t="shared" ca="1" si="201"/>
        <v/>
      </c>
      <c r="GO51" s="110" t="str">
        <f ca="1">IFERROR(IF(AND(ISNUMBER($GG51), ISNUMBER(Crd!$X51)), $GG51 - Crd!$X51, ""), "")</f>
        <v/>
      </c>
      <c r="GP51" s="46" t="str">
        <f ca="1">IFERROR(IF(AND(ISNUMBER($GH51), ISNUMBER(Crd!$Y51)), $GH51 - Crd!$Y51, ""), "")</f>
        <v/>
      </c>
      <c r="GQ51" s="47" t="str">
        <f t="shared" ca="1" si="202"/>
        <v/>
      </c>
      <c r="GR51" s="46" t="str">
        <f t="shared" ca="1" si="203"/>
        <v/>
      </c>
      <c r="GS51" s="436" t="str">
        <f t="shared" ca="1" si="219"/>
        <v/>
      </c>
      <c r="GT51" s="46" t="str">
        <f t="shared" ca="1" si="220"/>
        <v/>
      </c>
      <c r="GU51" s="48" t="str">
        <f t="shared" ca="1" si="230"/>
        <v/>
      </c>
      <c r="GV51" s="46" t="str">
        <f t="shared" ca="1" si="231"/>
        <v/>
      </c>
      <c r="GW51" s="427" t="str">
        <f t="shared" ca="1" si="204"/>
        <v/>
      </c>
      <c r="GX51" s="50" t="str">
        <f t="shared" ca="1" si="146"/>
        <v/>
      </c>
      <c r="GY51" s="47" t="str">
        <f t="shared" ca="1" si="205"/>
        <v/>
      </c>
      <c r="GZ51" s="432" t="str">
        <f t="shared" ca="1" si="206"/>
        <v/>
      </c>
      <c r="HA51" s="436"/>
      <c r="HB51" s="46"/>
      <c r="HC51" s="48"/>
      <c r="HD51" s="46"/>
      <c r="HE51" s="269"/>
      <c r="HF51" s="46"/>
      <c r="HG51" s="48"/>
      <c r="HH51" s="432"/>
    </row>
    <row r="52" spans="1:216" x14ac:dyDescent="0.25">
      <c r="A52" s="58">
        <f t="shared" ca="1" si="131"/>
        <v>47270</v>
      </c>
      <c r="B52" s="6" t="str">
        <f ca="1">INDEX(MthRef[], MATCH(MONTH(Futs!$A52), MthRef[Mth], 0), 2)</f>
        <v>M</v>
      </c>
      <c r="C52" s="6">
        <f t="shared" ca="1" si="65"/>
        <v>2029</v>
      </c>
      <c r="D52" s="6" t="str">
        <f t="shared" ca="1" si="66"/>
        <v>Q229</v>
      </c>
      <c r="E52" s="6" t="str">
        <f t="shared" ca="1" si="132"/>
        <v>M9</v>
      </c>
      <c r="F52" s="10" t="e">
        <f ca="1">IFERROR(AVERAGE(_xll.BDP(F$18 &amp; $B52 &amp; RIGHT($C52, 1) &amp; " " &amp; "Comdty", "BID", "Fill=#N/A"), _xll.BDP(F$18 &amp; $B52 &amp; RIGHT($C52, 1) &amp; " " &amp; "Comdty", "ASK", "Fill=#N/A")), NA())</f>
        <v>#N/A</v>
      </c>
      <c r="G52" s="10" t="e">
        <f ca="1">IFERROR(AVERAGE(_xll.BDP(G$18 &amp; $B52 &amp; RIGHT($C52, 1) &amp; " " &amp; "Comdty", "BID", "Fill=#N/A"), _xll.BDP(G$18 &amp; $B52 &amp; RIGHT($C52, 1) &amp; " " &amp; "Comdty", "ASK", "Fill=#N/A")), NA())</f>
        <v>#N/A</v>
      </c>
      <c r="H52" s="10">
        <f ca="1">IFERROR(AVERAGE(_xll.BDP(H$18 &amp; $B52 &amp; RIGHT($C52, 1) &amp; " " &amp; "Comdty", "BID", "Fill=#N/A"), _xll.BDP(H$18 &amp; $B52 &amp; RIGHT($C52, 1) &amp; " " &amp; "Comdty", "ASK", "Fill=#N/A")), NA())</f>
        <v>793.125</v>
      </c>
      <c r="I52" s="10" t="e">
        <f ca="1">IFERROR(AVERAGE(_xll.BDP(I$18 &amp; $B52 &amp; RIGHT($C52, 1) &amp; " " &amp; "Comdty", "BID", "Fill=#N/A"), _xll.BDP(I$18 &amp; $B52 &amp; RIGHT($C52, 1) &amp; " " &amp; "Comdty", "ASK", "Fill=#N/A")), NA())</f>
        <v>#N/A</v>
      </c>
      <c r="J52" s="10" t="e">
        <f ca="1">IFERROR(AVERAGE(_xll.BDP(J$18 &amp; $B52 &amp; RIGHT($C52, 1) &amp; " " &amp; "Comdty", "BID", "Fill=#N/A"), _xll.BDP(J$18 &amp; $B52 &amp; RIGHT($C52, 1) &amp; " " &amp; "Comdty", "ASK", "Fill=#N/A")), NA())</f>
        <v>#N/A</v>
      </c>
      <c r="K52" s="10" t="e">
        <f ca="1">IFERROR(AVERAGE(_xll.BDP(K$18 &amp; $B52 &amp; RIGHT($C52, 2) &amp; " " &amp; "Comdty", "BID", "Fill=#N/A"), _xll.BDP(K$18 &amp; $B52 &amp; RIGHT($C52, 2) &amp; " " &amp; "Comdty", "ASK", "Fill=#N/A")), NA())</f>
        <v>#N/A</v>
      </c>
      <c r="L52" s="10" t="e">
        <f ca="1">IFERROR(AVERAGE(_xll.BDP(L$18 &amp; $B52 &amp; RIGHT($C52, 2) &amp; " " &amp; "Comdty", "BID", "Fill=#N/A"), _xll.BDP(L$18 &amp; $B52 &amp; RIGHT($C52, 2) &amp; " " &amp; "Comdty", "ASK", "Fill=#N/A")), NA())</f>
        <v>#N/A</v>
      </c>
      <c r="M52" s="10">
        <f ca="1">IFERROR(AVERAGE(_xll.BDP(M$18 &amp; $B52 &amp; RIGHT($C52, 2) &amp; " " &amp; "Comdty", "BID", "Fill=#N/A"), _xll.BDP(M$18 &amp; $B52 &amp; RIGHT($C52, 2) &amp; " " &amp; "Comdty", "ASK", "Fill=#N/A")), NA())</f>
        <v>495</v>
      </c>
      <c r="N52" s="10">
        <f ca="1">IFERROR(AVERAGE(_xll.BDP(N$18 &amp; $B51 &amp; RIGHT($C51, 1) &amp; N$18 &amp; $B52 &amp; RIGHT($C52, 1) &amp; " " &amp; "Comdty", "BID", "Fill=#N/A"), _xll.BDP(N$18 &amp; $B51 &amp; RIGHT($C51, 1) &amp; N$18 &amp; $B52 &amp; RIGHT($C52, 1) &amp; " " &amp; "Comdty", "ASK", "Fill=#N/A")), NA())</f>
        <v>0.15000000000000002</v>
      </c>
      <c r="O52" s="10">
        <f ca="1">IFERROR(AVERAGE(_xll.BDP(O$18 &amp; $B51 &amp; RIGHT($C51, 1) &amp; O$18 &amp; $B52 &amp; RIGHT($C52, 1) &amp; " " &amp; "Comdty", "BID", "Fill=#N/A"), _xll.BDP(O$18 &amp; $B51 &amp; RIGHT($C51, 1) &amp; O$18 &amp; $B52 &amp; RIGHT($C52, 1) &amp; " " &amp; "Comdty", "ASK", "Fill=#N/A")), NA())</f>
        <v>0.14000000000000001</v>
      </c>
      <c r="P52" s="10">
        <f ca="1">IFERROR(AVERAGE(_xll.BDP(P$18 &amp; $B51 &amp; RIGHT($C51, 1) &amp; P$18 &amp; $B52 &amp; RIGHT($C52, 1) &amp; " " &amp; "Comdty", "BID", "Fill=#N/A"), _xll.BDP(P$18 &amp; $B51 &amp; RIGHT($C51, 1) &amp; P$18 &amp; $B52 &amp; RIGHT($C52, 1) &amp; " " &amp; "Comdty", "ASK", "Fill=#N/A")), NA())</f>
        <v>2.125</v>
      </c>
      <c r="Q52" s="10" t="e">
        <f ca="1">IFERROR(AVERAGE(_xll.BDP(Q$18 &amp; $B51 &amp; RIGHT($C51, 1) &amp; Q$18 &amp; $B52 &amp; RIGHT($C52, 1) &amp; " " &amp; "Comdty", "BID", "Fill=#N/A"), _xll.BDP(Q$18 &amp; $B51 &amp; RIGHT($C51, 1) &amp; Q$18 &amp; $B52 &amp; RIGHT($C52, 1) &amp; " " &amp; "Comdty", "ASK", "Fill=#N/A")), NA())</f>
        <v>#N/A</v>
      </c>
      <c r="R52" s="10" t="e">
        <f ca="1">IFERROR(AVERAGE(_xll.BDP(R$18 &amp; $B51 &amp; RIGHT($C51, 1) &amp; R$18 &amp; $B52 &amp; RIGHT($C52, 1) &amp; " " &amp; "Comdty", "BID", "Fill=#N/A"), _xll.BDP(R$18 &amp; $B51 &amp; RIGHT($C51, 1) &amp; R$18 &amp; $B52 &amp; RIGHT($C52, 1) &amp; " " &amp; "Comdty", "ASK", "Fill=#N/A")), NA())</f>
        <v>#N/A</v>
      </c>
      <c r="S52" s="10" t="e">
        <f ca="1">IFERROR(AVERAGE(_xll.BDP(S$18 &amp; $B51 &amp; RIGHT($C51, 1) &amp; $B52 &amp; RIGHT($C52, 1) &amp; " " &amp; "Comdty", "BID", "Fill=#N/A"), _xll.BDP(S$18 &amp; $B51 &amp; RIGHT($C51, 1) &amp; $B52 &amp; RIGHT($C52, 1) &amp; " " &amp; "Comdty", "ASK", "Fill=#N/A")), NA())</f>
        <v>#N/A</v>
      </c>
      <c r="T52" s="10" t="e">
        <f ca="1">IFERROR(AVERAGE(_xll.BDP(T$18 &amp; $B51 &amp; RIGHT($C51, 1) &amp; $B52 &amp; RIGHT($C52, 1) &amp; " " &amp; "Comdty", "BID", "Fill=#N/A"), _xll.BDP(T$18 &amp; $B51 &amp; RIGHT($C51, 1) &amp; $B52 &amp; RIGHT($C52, 1) &amp; " " &amp; "Comdty", "ASK", "Fill=#N/A")), NA())</f>
        <v>#N/A</v>
      </c>
      <c r="U52" s="10">
        <f ca="1">IF($A52 &lt; Diagnostics!$B$3, N52, INDEX(ImpSprd[], MATCH(Futs!$C52, ImpSprd[Yr], 0), MATCH(U$18, ImpSprd[#Headers], 0)))</f>
        <v>0.19136363636363637</v>
      </c>
      <c r="V52" s="10">
        <f ca="1">IF($A52 &lt; Diagnostics!$B$3, O52, INDEX(ImpSprd[], MATCH(Futs!$C52, ImpSprd[Yr], 0), MATCH(V$18, ImpSprd[#Headers], 0)))</f>
        <v>0.17681818181818179</v>
      </c>
      <c r="W52" s="10">
        <f ca="1">IF($A52 &lt; Diagnostics!$B$3, P52, INDEX(ImpSprd[], MATCH(Futs!$C52, ImpSprd[Yr], 0), MATCH(W$18, ImpSprd[#Headers], 0)))</f>
        <v>3.8977272727272729</v>
      </c>
      <c r="X52" s="31" t="e">
        <f ca="1">INDEX(Expi[], MATCH($A52, Expi[Date], 0), MATCH(X$18, Expi[#Headers], 0))</f>
        <v>#N/A</v>
      </c>
      <c r="Y52" s="31" t="e">
        <f ca="1">INDEX(Expi[], MATCH($A52, Expi[Date], 0), MATCH(Y$18, Expi[#Headers], 0))</f>
        <v>#N/A</v>
      </c>
      <c r="Z52" s="31" t="e">
        <f ca="1">INDEX(Expi[], MATCH($A52, Expi[Date], 0), MATCH(Z$18, Expi[#Headers], 0))</f>
        <v>#N/A</v>
      </c>
      <c r="AA52" s="31" t="e">
        <f ca="1">INDEX(Expi[], MATCH($A52, Expi[Date], 0), MATCH(AA$18, Expi[#Headers], 0))</f>
        <v>#N/A</v>
      </c>
      <c r="AB52" s="31" t="e">
        <f ca="1">INDEX(Expi[], MATCH($A52, Expi[Date], 0), MATCH(AB$18, Expi[#Headers], 0))</f>
        <v>#N/A</v>
      </c>
      <c r="AC52" s="31" t="e">
        <f ca="1">INDEX(Expi[], MATCH($A52, Expi[Date], 0), MATCH(AC$18, Expi[#Headers], 0))</f>
        <v>#N/A</v>
      </c>
      <c r="AD52" s="7">
        <f ca="1">NETWORKDAYS($A52, EOMONTH($A52, 0), Hols[CME])</f>
        <v>21</v>
      </c>
      <c r="AE52" s="7">
        <f ca="1">NETWORKDAYS($A52, EOMONTH($A52, 0), Hols[ICE])</f>
        <v>21</v>
      </c>
      <c r="AF52" s="7">
        <f ca="1">NETWORKDAYS($A52, EOMONTH($A52, 0), Hols[ICE])</f>
        <v>21</v>
      </c>
      <c r="AG52" s="7">
        <f ca="1">NETWORKDAYS($A52, EOMONTH($A52, 0), Hols[CME])</f>
        <v>21</v>
      </c>
      <c r="AH52" s="7">
        <f ca="1">NETWORKDAYS($A52, EOMONTH($A52, 0), Hols[CME])</f>
        <v>21</v>
      </c>
      <c r="AI52" s="7">
        <f ca="1">NETWORKDAYS($A52, EOMONTH($A52, 0), Hols[ICE])</f>
        <v>21</v>
      </c>
      <c r="AJ52" s="7" t="e">
        <f ca="1">NETWORKDAYS($A52, X52, Hols[CME])</f>
        <v>#N/A</v>
      </c>
      <c r="AK52" s="7" t="e">
        <f ca="1">NETWORKDAYS($A52, Y52, Hols[ICE]) - 1</f>
        <v>#N/A</v>
      </c>
      <c r="AL52" s="7" t="e">
        <f ca="1">NETWORKDAYS($A52, Z52, Hols[ICE]) - 1</f>
        <v>#N/A</v>
      </c>
      <c r="AM52" s="7" t="e">
        <f ca="1">NETWORKDAYS($A52, AA52, Hols[CME])</f>
        <v>#N/A</v>
      </c>
      <c r="AN52" s="7" t="e">
        <f ca="1">NETWORKDAYS($A52, AB52, Hols[CME])</f>
        <v>#N/A</v>
      </c>
      <c r="AO52" s="7" t="e">
        <f ca="1">NETWORKDAYS($A52, AC52, Hols[ICE]) - 1</f>
        <v>#N/A</v>
      </c>
      <c r="AP52" s="10" t="e">
        <f t="shared" ca="1" si="67"/>
        <v>#N/A</v>
      </c>
      <c r="AQ52" s="10" t="e">
        <f t="shared" ca="1" si="68"/>
        <v>#N/A</v>
      </c>
      <c r="AR52" s="10" t="e">
        <f t="shared" ca="1" si="69"/>
        <v>#N/A</v>
      </c>
      <c r="AS52" s="10" t="e">
        <f t="shared" ca="1" si="70"/>
        <v>#N/A</v>
      </c>
      <c r="AT52" s="10" t="e">
        <f t="shared" ca="1" si="71"/>
        <v>#N/A</v>
      </c>
      <c r="AU52" s="10" t="e">
        <f t="shared" ca="1" si="71"/>
        <v>#N/A</v>
      </c>
      <c r="AV52" s="28">
        <f ca="1">IFERROR(AVERAGE(_xll.BDH(AV$18 &amp; $B52 &amp; RIGHT($C52, 1) &amp; " " &amp; "Comdty", "PX_SETTLE", AV$16, AV$16, "Fill=#N/A")), IFERROR(AVERAGE(_xll.BDH(AV$18 &amp; $B52 &amp; RIGHT($C52, 2) &amp; " " &amp; "Comdty", "PX_SETTLE", AV$16, AV$16, "Fill=#N/A")), NA()))</f>
        <v>67.28</v>
      </c>
      <c r="AW52" s="28">
        <f ca="1">IFERROR(AVERAGE(_xll.BDH(AW$18 &amp; $B52 &amp; RIGHT($C52, 1) &amp; " " &amp; "Comdty", "PX_SETTLE", AW$16, AW$16, "Fill=#N/A")), IFERROR(AVERAGE(_xll.BDH(AW$18 &amp; $B52 &amp; RIGHT($C52, 2) &amp; " " &amp; "Comdty", "PX_SETTLE", AW$16, AW$16, "Fill=#N/A")), NA()))</f>
        <v>72.47</v>
      </c>
      <c r="AX52" s="29">
        <f ca="1">IFERROR(AVERAGE(_xll.BDH(AX$18 &amp; $B52 &amp; RIGHT($C52, 2) &amp; " " &amp; "Comdty", "FAIR_VALUE_SNAPSHOT_AT_1430", AX$16, AX$16, "TIME_ZONE_OVERRIDE=13", "Fill=#N/A")), NA())</f>
        <v>800</v>
      </c>
      <c r="AY52" s="28">
        <f ca="1">IFERROR(AVERAGE(_xll.BDH(AY$18 &amp; $B52 &amp; RIGHT($C52, 1) &amp; " " &amp; "Comdty", "PX_SETTLE", AY$16, AY$16, "Fill=#N/A")), NA())</f>
        <v>291.52</v>
      </c>
      <c r="AZ52" s="28">
        <f ca="1">IFERROR(AVERAGE(_xll.BDH(AZ$18 &amp; $B52 &amp; RIGHT($C52, 1) &amp; " " &amp; "Comdty", "PX_SETTLE", AZ$16, AZ$16, "Fill=#N/A")), NA())</f>
        <v>241.63</v>
      </c>
      <c r="BA52" s="29" t="e">
        <f ca="1">IFERROR(AVERAGE(_xll.BDH(BA$18 &amp; $B52 &amp; RIGHT($C52, 2) &amp; " " &amp; "Comdty", "PX_SETTLE", BA$16, BA$16, "Fill=#N/A")), IFERROR(AVERAGE(_xll.BDH(BA$18 &amp; $B52 &amp; RIGHT($C52, 2) &amp; " " &amp; "Comdty", "PX_SETTLE", BA$16, BA$16, "Fill=#N/A")), NA()))</f>
        <v>#N/A</v>
      </c>
      <c r="BB52" s="29">
        <f ca="1">IFERROR(AVERAGE(_xll.BDH(BB$18 &amp; $B52 &amp; RIGHT($C52, 2) &amp; " " &amp; "Comdty", "PX_SETTLE", BB$16, BB$16, "Fill=#N/A")), IFERROR(AVERAGE(_xll.BDH(BB$18 &amp; $B52 &amp; RIGHT($C52, 2) &amp; " " &amp; "Comdty", "PX_SETTLE", BB$16, BB$16, "Fill=#N/A")), NA()))</f>
        <v>73.17</v>
      </c>
      <c r="BC52" s="29">
        <f ca="1">IFERROR(AVERAGE(_xll.BDH(BC$18 &amp; $B52 &amp; RIGHT($C52, 2) &amp; " " &amp; "Comdty", "PX_SETTLE", BC$16, BC$16, "Fill=#N/A")), IFERROR(AVERAGE(_xll.BDH(BC$18 &amp; $B52 &amp; RIGHT($C52, 2) &amp; " " &amp; "Comdty", "PX_SETTLE", BC$16, BC$16, "Fill=#N/A")), NA()))</f>
        <v>495.2</v>
      </c>
      <c r="BD52" s="29" t="e">
        <f>NA()</f>
        <v>#N/A</v>
      </c>
      <c r="BE52" s="109">
        <f t="shared" ca="1" si="209"/>
        <v>67.103181818181866</v>
      </c>
      <c r="BF52" s="46">
        <f t="shared" ca="1" si="72"/>
        <v>-0.17681818181813469</v>
      </c>
      <c r="BG52" s="47">
        <f t="shared" ca="1" si="151"/>
        <v>0.19136363636363285</v>
      </c>
      <c r="BH52" s="114">
        <f t="shared" ca="1" si="223"/>
        <v>3.136363636363626E-2</v>
      </c>
      <c r="BI52" s="110">
        <f t="shared" ca="1" si="224"/>
        <v>72.209545454545577</v>
      </c>
      <c r="BJ52" s="46">
        <f t="shared" ca="1" si="73"/>
        <v>-0.26045454545442226</v>
      </c>
      <c r="BK52" s="48">
        <f t="shared" ca="1" si="225"/>
        <v>0.17681818181817732</v>
      </c>
      <c r="BL52" s="114">
        <f t="shared" ca="1" si="226"/>
        <v>2.6818181818171638E-2</v>
      </c>
      <c r="BM52" s="48">
        <f t="shared" ca="1" si="152"/>
        <v>783.31818181818244</v>
      </c>
      <c r="BN52" s="46">
        <f t="shared" ca="1" si="74"/>
        <v>-16.681818181817562</v>
      </c>
      <c r="BO52" s="47">
        <f t="shared" ca="1" si="210"/>
        <v>3.8977272727272521</v>
      </c>
      <c r="BP52" s="46">
        <f t="shared" ca="1" si="133"/>
        <v>0.64772727272725206</v>
      </c>
      <c r="BQ52" s="110" t="str">
        <f t="shared" ca="1" si="211"/>
        <v/>
      </c>
      <c r="BR52" s="46" t="str">
        <f t="shared" ca="1" si="75"/>
        <v/>
      </c>
      <c r="BS52" s="47" t="str">
        <f t="shared" ca="1" si="153"/>
        <v/>
      </c>
      <c r="BT52" s="114" t="str">
        <f t="shared" ca="1" si="154"/>
        <v/>
      </c>
      <c r="BU52" s="48" t="str">
        <f t="shared" ca="1" si="212"/>
        <v/>
      </c>
      <c r="BV52" s="46" t="str">
        <f t="shared" ca="1" si="76"/>
        <v/>
      </c>
      <c r="BW52" s="47" t="str">
        <f t="shared" ca="1" si="155"/>
        <v/>
      </c>
      <c r="BX52" s="46" t="str">
        <f t="shared" ca="1" si="156"/>
        <v/>
      </c>
      <c r="BY52" s="140" t="str">
        <f t="shared" ca="1" si="134"/>
        <v/>
      </c>
      <c r="BZ52" s="46" t="str">
        <f t="shared" ca="1" si="135"/>
        <v/>
      </c>
      <c r="CA52" s="47" t="str">
        <f t="shared" ca="1" si="157"/>
        <v/>
      </c>
      <c r="CB52" s="46" t="str">
        <f t="shared" ca="1" si="158"/>
        <v/>
      </c>
      <c r="CC52" s="141" t="str">
        <f t="shared" ca="1" si="136"/>
        <v/>
      </c>
      <c r="CD52" s="50" t="str">
        <f t="shared" ca="1" si="137"/>
        <v/>
      </c>
      <c r="CE52" s="47" t="str">
        <f t="shared" ca="1" si="159"/>
        <v/>
      </c>
      <c r="CF52" s="46" t="str">
        <f t="shared" ca="1" si="160"/>
        <v/>
      </c>
      <c r="CG52" s="141" t="str">
        <f t="shared" ca="1" si="138"/>
        <v/>
      </c>
      <c r="CH52" s="50" t="str">
        <f t="shared" ca="1" si="139"/>
        <v/>
      </c>
      <c r="CI52" s="47" t="str">
        <f t="shared" ca="1" si="161"/>
        <v/>
      </c>
      <c r="CJ52" s="46" t="str">
        <f t="shared" ca="1" si="162"/>
        <v/>
      </c>
      <c r="CK52" s="141" t="str">
        <f t="shared" ca="1" si="140"/>
        <v/>
      </c>
      <c r="CL52" s="50" t="str">
        <f t="shared" ca="1" si="77"/>
        <v/>
      </c>
      <c r="CM52" s="47" t="str">
        <f t="shared" ca="1" si="163"/>
        <v/>
      </c>
      <c r="CN52" s="46" t="str">
        <f t="shared" ca="1" si="164"/>
        <v/>
      </c>
      <c r="CO52" s="141" t="str">
        <f t="shared" ca="1" si="141"/>
        <v/>
      </c>
      <c r="CP52" s="50" t="str">
        <f t="shared" ca="1" si="78"/>
        <v/>
      </c>
      <c r="CQ52" s="47" t="str">
        <f t="shared" ca="1" si="165"/>
        <v/>
      </c>
      <c r="CR52" s="46" t="str">
        <f t="shared" ca="1" si="166"/>
        <v/>
      </c>
      <c r="CS52" s="109">
        <f t="shared" ca="1" si="79"/>
        <v>-5.1063636363637102</v>
      </c>
      <c r="CT52" s="46">
        <f t="shared" ca="1" si="80"/>
        <v>8.363636363628757E-2</v>
      </c>
      <c r="CU52" s="47">
        <f t="shared" ca="1" si="167"/>
        <v>1.4545454545455527E-2</v>
      </c>
      <c r="CV52" s="46">
        <f t="shared" ca="1" si="168"/>
        <v>0</v>
      </c>
      <c r="CW52" s="110" t="str">
        <f t="shared" ca="1" si="142"/>
        <v/>
      </c>
      <c r="CX52" s="46" t="str">
        <f t="shared" ca="1" si="81"/>
        <v/>
      </c>
      <c r="CY52" s="47" t="str">
        <f t="shared" ca="1" si="169"/>
        <v/>
      </c>
      <c r="CZ52" s="46" t="str">
        <f t="shared" ca="1" si="170"/>
        <v/>
      </c>
      <c r="DA52" s="109">
        <f t="shared" ca="1" si="82"/>
        <v>32.933834655277565</v>
      </c>
      <c r="DB52" s="46">
        <f t="shared" ca="1" si="83"/>
        <v>-1.9787156802929013</v>
      </c>
      <c r="DC52" s="47">
        <f t="shared" ca="1" si="171"/>
        <v>0.3463666870042772</v>
      </c>
      <c r="DD52" s="46">
        <f t="shared" ca="1" si="233"/>
        <v>6.0125076266023036E-2</v>
      </c>
      <c r="DE52" s="110" t="str">
        <f t="shared" ca="1" si="84"/>
        <v/>
      </c>
      <c r="DF52" s="46" t="str">
        <f t="shared" ca="1" si="85"/>
        <v/>
      </c>
      <c r="DG52" s="47" t="str">
        <f t="shared" ca="1" si="172"/>
        <v/>
      </c>
      <c r="DH52" s="46" t="str">
        <f t="shared" ca="1" si="173"/>
        <v/>
      </c>
      <c r="DI52" s="110" t="str">
        <f t="shared" ca="1" si="86"/>
        <v/>
      </c>
      <c r="DJ52" s="46" t="str">
        <f t="shared" ca="1" si="87"/>
        <v/>
      </c>
      <c r="DK52" s="47" t="str">
        <f t="shared" ca="1" si="174"/>
        <v/>
      </c>
      <c r="DL52" s="46" t="str">
        <f t="shared" ca="1" si="175"/>
        <v/>
      </c>
      <c r="DM52" s="110" t="str">
        <f t="shared" ca="1" si="88"/>
        <v/>
      </c>
      <c r="DN52" s="46" t="str">
        <f t="shared" ca="1" si="89"/>
        <v/>
      </c>
      <c r="DO52" s="47" t="str">
        <f t="shared" ca="1" si="176"/>
        <v/>
      </c>
      <c r="DP52" s="47" t="str">
        <f t="shared" ca="1" si="177"/>
        <v/>
      </c>
      <c r="DQ52" s="110" t="str">
        <f t="shared" ca="1" si="90"/>
        <v/>
      </c>
      <c r="DR52" s="46" t="str">
        <f t="shared" ca="1" si="91"/>
        <v/>
      </c>
      <c r="DS52" s="47" t="str">
        <f t="shared" ca="1" si="178"/>
        <v/>
      </c>
      <c r="DT52" s="47" t="str">
        <f t="shared" ca="1" si="179"/>
        <v/>
      </c>
      <c r="DU52" s="109" t="str">
        <f t="shared" ca="1" si="92"/>
        <v/>
      </c>
      <c r="DV52" s="46" t="str">
        <f t="shared" ca="1" si="93"/>
        <v/>
      </c>
      <c r="DW52" s="47" t="str">
        <f t="shared" ca="1" si="180"/>
        <v/>
      </c>
      <c r="DX52" s="47" t="str">
        <f t="shared" ca="1" si="181"/>
        <v/>
      </c>
      <c r="DY52" s="110" t="str">
        <f t="shared" ca="1" si="94"/>
        <v/>
      </c>
      <c r="DZ52" s="46" t="str">
        <f t="shared" ca="1" si="95"/>
        <v/>
      </c>
      <c r="EA52" s="47" t="str">
        <f t="shared" ca="1" si="182"/>
        <v/>
      </c>
      <c r="EB52" s="47" t="str">
        <f t="shared" ca="1" si="183"/>
        <v/>
      </c>
      <c r="EC52" s="110" t="str">
        <f t="shared" ca="1" si="96"/>
        <v/>
      </c>
      <c r="ED52" s="46" t="str">
        <f t="shared" ca="1" si="97"/>
        <v/>
      </c>
      <c r="EE52" s="47" t="str">
        <f t="shared" ca="1" si="184"/>
        <v/>
      </c>
      <c r="EF52" s="47" t="str">
        <f t="shared" ca="1" si="185"/>
        <v/>
      </c>
      <c r="EG52" s="110" t="str">
        <f t="shared" ca="1" si="98"/>
        <v/>
      </c>
      <c r="EH52" s="46" t="str">
        <f t="shared" ca="1" si="99"/>
        <v/>
      </c>
      <c r="EI52" s="47" t="str">
        <f t="shared" ca="1" si="186"/>
        <v/>
      </c>
      <c r="EJ52" s="47" t="str">
        <f t="shared" ca="1" si="187"/>
        <v/>
      </c>
      <c r="EK52" s="110" t="str">
        <f t="shared" ca="1" si="100"/>
        <v/>
      </c>
      <c r="EL52" s="46" t="str">
        <f t="shared" ca="1" si="101"/>
        <v/>
      </c>
      <c r="EM52" s="47" t="str">
        <f t="shared" ca="1" si="188"/>
        <v/>
      </c>
      <c r="EN52" s="47" t="str">
        <f t="shared" ca="1" si="189"/>
        <v/>
      </c>
      <c r="EO52" s="109" t="str">
        <f t="shared" ca="1" si="102"/>
        <v/>
      </c>
      <c r="EP52" s="46" t="str">
        <f t="shared" ca="1" si="103"/>
        <v/>
      </c>
      <c r="EQ52" s="47" t="str">
        <f t="shared" ca="1" si="190"/>
        <v/>
      </c>
      <c r="ER52" s="47" t="str">
        <f t="shared" ca="1" si="191"/>
        <v/>
      </c>
      <c r="ES52" s="110" t="str">
        <f t="shared" ca="1" si="104"/>
        <v/>
      </c>
      <c r="ET52" s="46" t="str">
        <f t="shared" ca="1" si="105"/>
        <v/>
      </c>
      <c r="EU52" s="47" t="str">
        <f t="shared" ca="1" si="192"/>
        <v/>
      </c>
      <c r="EV52" s="47" t="str">
        <f t="shared" ca="1" si="193"/>
        <v/>
      </c>
      <c r="EW52" s="109" t="str">
        <f t="shared" ca="1" si="106"/>
        <v/>
      </c>
      <c r="EX52" s="46" t="str">
        <f t="shared" ca="1" si="107"/>
        <v/>
      </c>
      <c r="EY52" s="47" t="str">
        <f t="shared" ca="1" si="194"/>
        <v/>
      </c>
      <c r="EZ52" s="47" t="str">
        <f t="shared" ca="1" si="195"/>
        <v/>
      </c>
      <c r="FA52" s="110" t="str">
        <f t="shared" ca="1" si="108"/>
        <v/>
      </c>
      <c r="FB52" s="46" t="str">
        <f t="shared" ca="1" si="109"/>
        <v/>
      </c>
      <c r="FC52" s="47" t="str">
        <f t="shared" ca="1" si="196"/>
        <v/>
      </c>
      <c r="FD52" s="47" t="str">
        <f t="shared" ca="1" si="197"/>
        <v/>
      </c>
      <c r="FE52" s="109" t="str">
        <f t="shared" ca="1" si="110"/>
        <v/>
      </c>
      <c r="FF52" s="46" t="str">
        <f t="shared" ca="1" si="111"/>
        <v/>
      </c>
      <c r="FG52" s="110" t="str">
        <f t="shared" ca="1" si="112"/>
        <v/>
      </c>
      <c r="FH52" s="46" t="str">
        <f t="shared" ca="1" si="113"/>
        <v/>
      </c>
      <c r="FI52" s="110" t="str">
        <f t="shared" ca="1" si="114"/>
        <v/>
      </c>
      <c r="FJ52" s="46" t="str">
        <f t="shared" ca="1" si="115"/>
        <v/>
      </c>
      <c r="FK52" s="110" t="str">
        <f t="shared" ca="1" si="116"/>
        <v/>
      </c>
      <c r="FL52" s="46" t="str">
        <f t="shared" ca="1" si="117"/>
        <v/>
      </c>
      <c r="FM52" s="110" t="str">
        <f t="shared" ca="1" si="118"/>
        <v/>
      </c>
      <c r="FN52" s="46" t="str">
        <f t="shared" ca="1" si="119"/>
        <v/>
      </c>
      <c r="FO52" s="110" t="str">
        <f t="shared" ca="1" si="120"/>
        <v/>
      </c>
      <c r="FP52" s="46" t="str">
        <f t="shared" ca="1" si="121"/>
        <v/>
      </c>
      <c r="FQ52" s="110" t="str">
        <f t="shared" ca="1" si="122"/>
        <v/>
      </c>
      <c r="FR52" s="46" t="str">
        <f t="shared" ca="1" si="123"/>
        <v/>
      </c>
      <c r="FS52" s="110" t="str">
        <f t="shared" ca="1" si="124"/>
        <v/>
      </c>
      <c r="FT52" s="111" t="str">
        <f t="shared" ca="1" si="125"/>
        <v/>
      </c>
      <c r="FU52" s="109" t="str">
        <f t="shared" ca="1" si="232"/>
        <v/>
      </c>
      <c r="FV52" s="46" t="str">
        <f t="shared" ca="1" si="213"/>
        <v/>
      </c>
      <c r="FW52" s="48" t="str">
        <f t="shared" ca="1" si="227"/>
        <v/>
      </c>
      <c r="FX52" s="114" t="str">
        <f t="shared" ca="1" si="228"/>
        <v/>
      </c>
      <c r="FY52" s="110" t="str">
        <f t="shared" ca="1" si="214"/>
        <v/>
      </c>
      <c r="FZ52" s="46" t="str">
        <f t="shared" ca="1" si="215"/>
        <v/>
      </c>
      <c r="GA52" s="47" t="str">
        <f t="shared" ca="1" si="216"/>
        <v/>
      </c>
      <c r="GB52" s="46" t="str">
        <f t="shared" ca="1" si="229"/>
        <v/>
      </c>
      <c r="GC52" s="110" t="str">
        <f ca="1">IFERROR(IF(AND(ISNUMBER($FU52), ISNUMBER(Crd!$X52)), $FU52 - Crd!$X52, ""), "")</f>
        <v/>
      </c>
      <c r="GD52" s="46" t="str">
        <f ca="1">IFERROR(IF(AND(ISNUMBER($FV52), ISNUMBER(Crd!$Y52)), $FV52 - Crd!$Y52, ""), "")</f>
        <v/>
      </c>
      <c r="GE52" s="47" t="str">
        <f t="shared" ca="1" si="217"/>
        <v/>
      </c>
      <c r="GF52" s="46" t="str">
        <f t="shared" ca="1" si="218"/>
        <v/>
      </c>
      <c r="GG52" s="141" t="str">
        <f t="shared" ca="1" si="198"/>
        <v/>
      </c>
      <c r="GH52" s="50" t="str">
        <f t="shared" ca="1" si="199"/>
        <v/>
      </c>
      <c r="GI52" s="47" t="str">
        <f t="shared" ca="1" si="144"/>
        <v/>
      </c>
      <c r="GJ52" s="46" t="str">
        <f t="shared" ca="1" si="145"/>
        <v/>
      </c>
      <c r="GK52" s="110" t="str">
        <f t="shared" ca="1" si="127"/>
        <v/>
      </c>
      <c r="GL52" s="46" t="str">
        <f t="shared" ca="1" si="128"/>
        <v/>
      </c>
      <c r="GM52" s="47" t="str">
        <f t="shared" ca="1" si="200"/>
        <v/>
      </c>
      <c r="GN52" s="46" t="str">
        <f t="shared" ca="1" si="201"/>
        <v/>
      </c>
      <c r="GO52" s="110" t="str">
        <f ca="1">IFERROR(IF(AND(ISNUMBER($GG52), ISNUMBER(Crd!$X52)), $GG52 - Crd!$X52, ""), "")</f>
        <v/>
      </c>
      <c r="GP52" s="46" t="str">
        <f ca="1">IFERROR(IF(AND(ISNUMBER($GH52), ISNUMBER(Crd!$Y52)), $GH52 - Crd!$Y52, ""), "")</f>
        <v/>
      </c>
      <c r="GQ52" s="47" t="str">
        <f t="shared" ca="1" si="202"/>
        <v/>
      </c>
      <c r="GR52" s="46" t="str">
        <f t="shared" ca="1" si="203"/>
        <v/>
      </c>
      <c r="GS52" s="436" t="str">
        <f t="shared" ca="1" si="219"/>
        <v/>
      </c>
      <c r="GT52" s="46" t="str">
        <f t="shared" ca="1" si="220"/>
        <v/>
      </c>
      <c r="GU52" s="48" t="str">
        <f t="shared" ca="1" si="230"/>
        <v/>
      </c>
      <c r="GV52" s="46" t="str">
        <f t="shared" ca="1" si="231"/>
        <v/>
      </c>
      <c r="GW52" s="427" t="str">
        <f t="shared" ca="1" si="204"/>
        <v/>
      </c>
      <c r="GX52" s="50" t="str">
        <f t="shared" ca="1" si="146"/>
        <v/>
      </c>
      <c r="GY52" s="47" t="str">
        <f t="shared" ca="1" si="205"/>
        <v/>
      </c>
      <c r="GZ52" s="432" t="str">
        <f t="shared" ca="1" si="206"/>
        <v/>
      </c>
      <c r="HA52" s="436"/>
      <c r="HB52" s="46"/>
      <c r="HC52" s="48"/>
      <c r="HD52" s="46"/>
      <c r="HE52" s="269"/>
      <c r="HF52" s="46"/>
      <c r="HG52" s="48"/>
      <c r="HH52" s="432"/>
    </row>
    <row r="53" spans="1:216" x14ac:dyDescent="0.25">
      <c r="A53" s="58">
        <f t="shared" ca="1" si="131"/>
        <v>47300</v>
      </c>
      <c r="B53" s="6" t="str">
        <f ca="1">INDEX(MthRef[], MATCH(MONTH(Futs!$A53), MthRef[Mth], 0), 2)</f>
        <v>N</v>
      </c>
      <c r="C53" s="6">
        <f t="shared" ca="1" si="65"/>
        <v>2029</v>
      </c>
      <c r="D53" s="6" t="str">
        <f t="shared" ca="1" si="66"/>
        <v>Q329</v>
      </c>
      <c r="E53" s="6" t="str">
        <f t="shared" ca="1" si="132"/>
        <v>N9</v>
      </c>
      <c r="F53" s="10" t="e">
        <f ca="1">IFERROR(AVERAGE(_xll.BDP(F$18 &amp; $B53 &amp; RIGHT($C53, 1) &amp; " " &amp; "Comdty", "BID", "Fill=#N/A"), _xll.BDP(F$18 &amp; $B53 &amp; RIGHT($C53, 1) &amp; " " &amp; "Comdty", "ASK", "Fill=#N/A")), NA())</f>
        <v>#N/A</v>
      </c>
      <c r="G53" s="10" t="e">
        <f ca="1">IFERROR(AVERAGE(_xll.BDP(G$18 &amp; $B53 &amp; RIGHT($C53, 1) &amp; " " &amp; "Comdty", "BID", "Fill=#N/A"), _xll.BDP(G$18 &amp; $B53 &amp; RIGHT($C53, 1) &amp; " " &amp; "Comdty", "ASK", "Fill=#N/A")), NA())</f>
        <v>#N/A</v>
      </c>
      <c r="H53" s="10" t="e">
        <f ca="1">IFERROR(AVERAGE(_xll.BDP(H$18 &amp; $B53 &amp; RIGHT($C53, 1) &amp; " " &amp; "Comdty", "BID", "Fill=#N/A"), _xll.BDP(H$18 &amp; $B53 &amp; RIGHT($C53, 1) &amp; " " &amp; "Comdty", "ASK", "Fill=#N/A")), NA())</f>
        <v>#N/A</v>
      </c>
      <c r="I53" s="10" t="e">
        <f ca="1">IFERROR(AVERAGE(_xll.BDP(I$18 &amp; $B53 &amp; RIGHT($C53, 1) &amp; " " &amp; "Comdty", "BID", "Fill=#N/A"), _xll.BDP(I$18 &amp; $B53 &amp; RIGHT($C53, 1) &amp; " " &amp; "Comdty", "ASK", "Fill=#N/A")), NA())</f>
        <v>#N/A</v>
      </c>
      <c r="J53" s="10" t="e">
        <f ca="1">IFERROR(AVERAGE(_xll.BDP(J$18 &amp; $B53 &amp; RIGHT($C53, 1) &amp; " " &amp; "Comdty", "BID", "Fill=#N/A"), _xll.BDP(J$18 &amp; $B53 &amp; RIGHT($C53, 1) &amp; " " &amp; "Comdty", "ASK", "Fill=#N/A")), NA())</f>
        <v>#N/A</v>
      </c>
      <c r="K53" s="10" t="e">
        <f ca="1">IFERROR(AVERAGE(_xll.BDP(K$18 &amp; $B53 &amp; RIGHT($C53, 2) &amp; " " &amp; "Comdty", "BID", "Fill=#N/A"), _xll.BDP(K$18 &amp; $B53 &amp; RIGHT($C53, 2) &amp; " " &amp; "Comdty", "ASK", "Fill=#N/A")), NA())</f>
        <v>#N/A</v>
      </c>
      <c r="L53" s="10" t="e">
        <f ca="1">IFERROR(AVERAGE(_xll.BDP(L$18 &amp; $B53 &amp; RIGHT($C53, 2) &amp; " " &amp; "Comdty", "BID", "Fill=#N/A"), _xll.BDP(L$18 &amp; $B53 &amp; RIGHT($C53, 2) &amp; " " &amp; "Comdty", "ASK", "Fill=#N/A")), NA())</f>
        <v>#N/A</v>
      </c>
      <c r="M53" s="10" t="e">
        <f ca="1">IFERROR(AVERAGE(_xll.BDP(M$18 &amp; $B53 &amp; RIGHT($C53, 2) &amp; " " &amp; "Comdty", "BID", "Fill=#N/A"), _xll.BDP(M$18 &amp; $B53 &amp; RIGHT($C53, 2) &amp; " " &amp; "Comdty", "ASK", "Fill=#N/A")), NA())</f>
        <v>#N/A</v>
      </c>
      <c r="N53" s="10" t="e">
        <f ca="1">IFERROR(AVERAGE(_xll.BDP(N$18 &amp; $B52 &amp; RIGHT($C52, 1) &amp; N$18 &amp; $B53 &amp; RIGHT($C53, 1) &amp; " " &amp; "Comdty", "BID", "Fill=#N/A"), _xll.BDP(N$18 &amp; $B52 &amp; RIGHT($C52, 1) &amp; N$18 &amp; $B53 &amp; RIGHT($C53, 1) &amp; " " &amp; "Comdty", "ASK", "Fill=#N/A")), NA())</f>
        <v>#N/A</v>
      </c>
      <c r="O53" s="10">
        <f ca="1">IFERROR(AVERAGE(_xll.BDP(O$18 &amp; $B52 &amp; RIGHT($C52, 1) &amp; O$18 &amp; $B53 &amp; RIGHT($C53, 1) &amp; " " &amp; "Comdty", "BID", "Fill=#N/A"), _xll.BDP(O$18 &amp; $B52 &amp; RIGHT($C52, 1) &amp; O$18 &amp; $B53 &amp; RIGHT($C53, 1) &amp; " " &amp; "Comdty", "ASK", "Fill=#N/A")), NA())</f>
        <v>0.28999999999999998</v>
      </c>
      <c r="P53" s="10">
        <f ca="1">IFERROR(AVERAGE(_xll.BDP(P$18 &amp; $B52 &amp; RIGHT($C52, 1) &amp; P$18 &amp; $B53 &amp; RIGHT($C53, 1) &amp; " " &amp; "Comdty", "BID", "Fill=#N/A"), _xll.BDP(P$18 &amp; $B52 &amp; RIGHT($C52, 1) &amp; P$18 &amp; $B53 &amp; RIGHT($C53, 1) &amp; " " &amp; "Comdty", "ASK", "Fill=#N/A")), NA())</f>
        <v>2.25</v>
      </c>
      <c r="Q53" s="10" t="e">
        <f ca="1">IFERROR(AVERAGE(_xll.BDP(Q$18 &amp; $B52 &amp; RIGHT($C52, 1) &amp; Q$18 &amp; $B53 &amp; RIGHT($C53, 1) &amp; " " &amp; "Comdty", "BID", "Fill=#N/A"), _xll.BDP(Q$18 &amp; $B52 &amp; RIGHT($C52, 1) &amp; Q$18 &amp; $B53 &amp; RIGHT($C53, 1) &amp; " " &amp; "Comdty", "ASK", "Fill=#N/A")), NA())</f>
        <v>#N/A</v>
      </c>
      <c r="R53" s="10" t="e">
        <f ca="1">IFERROR(AVERAGE(_xll.BDP(R$18 &amp; $B52 &amp; RIGHT($C52, 1) &amp; R$18 &amp; $B53 &amp; RIGHT($C53, 1) &amp; " " &amp; "Comdty", "BID", "Fill=#N/A"), _xll.BDP(R$18 &amp; $B52 &amp; RIGHT($C52, 1) &amp; R$18 &amp; $B53 &amp; RIGHT($C53, 1) &amp; " " &amp; "Comdty", "ASK", "Fill=#N/A")), NA())</f>
        <v>#N/A</v>
      </c>
      <c r="S53" s="10" t="e">
        <f ca="1">IFERROR(AVERAGE(_xll.BDP(S$18 &amp; $B52 &amp; RIGHT($C52, 1) &amp; $B53 &amp; RIGHT($C53, 1) &amp; " " &amp; "Comdty", "BID", "Fill=#N/A"), _xll.BDP(S$18 &amp; $B52 &amp; RIGHT($C52, 1) &amp; $B53 &amp; RIGHT($C53, 1) &amp; " " &amp; "Comdty", "ASK", "Fill=#N/A")), NA())</f>
        <v>#N/A</v>
      </c>
      <c r="T53" s="10" t="e">
        <f ca="1">IFERROR(AVERAGE(_xll.BDP(T$18 &amp; $B52 &amp; RIGHT($C52, 1) &amp; $B53 &amp; RIGHT($C53, 1) &amp; " " &amp; "Comdty", "BID", "Fill=#N/A"), _xll.BDP(T$18 &amp; $B52 &amp; RIGHT($C52, 1) &amp; $B53 &amp; RIGHT($C53, 1) &amp; " " &amp; "Comdty", "ASK", "Fill=#N/A")), NA())</f>
        <v>#N/A</v>
      </c>
      <c r="U53" s="10">
        <f ca="1">IF($A53 &lt; Diagnostics!$B$3, N53, INDEX(ImpSprd[], MATCH(Futs!$C53, ImpSprd[Yr], 0), MATCH(U$18, ImpSprd[#Headers], 0)))</f>
        <v>0.19136363636363637</v>
      </c>
      <c r="V53" s="10">
        <f ca="1">IF($A53 &lt; Diagnostics!$B$3, O53, INDEX(ImpSprd[], MATCH(Futs!$C53, ImpSprd[Yr], 0), MATCH(V$18, ImpSprd[#Headers], 0)))</f>
        <v>0.17681818181818179</v>
      </c>
      <c r="W53" s="10">
        <f ca="1">IF($A53 &lt; Diagnostics!$B$3, P53, INDEX(ImpSprd[], MATCH(Futs!$C53, ImpSprd[Yr], 0), MATCH(W$18, ImpSprd[#Headers], 0)))</f>
        <v>3.8977272727272729</v>
      </c>
      <c r="X53" s="31" t="e">
        <f ca="1">INDEX(Expi[], MATCH($A53, Expi[Date], 0), MATCH(X$18, Expi[#Headers], 0))</f>
        <v>#N/A</v>
      </c>
      <c r="Y53" s="31" t="e">
        <f ca="1">INDEX(Expi[], MATCH($A53, Expi[Date], 0), MATCH(Y$18, Expi[#Headers], 0))</f>
        <v>#N/A</v>
      </c>
      <c r="Z53" s="31" t="e">
        <f ca="1">INDEX(Expi[], MATCH($A53, Expi[Date], 0), MATCH(Z$18, Expi[#Headers], 0))</f>
        <v>#N/A</v>
      </c>
      <c r="AA53" s="31" t="e">
        <f ca="1">INDEX(Expi[], MATCH($A53, Expi[Date], 0), MATCH(AA$18, Expi[#Headers], 0))</f>
        <v>#N/A</v>
      </c>
      <c r="AB53" s="31" t="e">
        <f ca="1">INDEX(Expi[], MATCH($A53, Expi[Date], 0), MATCH(AB$18, Expi[#Headers], 0))</f>
        <v>#N/A</v>
      </c>
      <c r="AC53" s="31" t="e">
        <f ca="1">INDEX(Expi[], MATCH($A53, Expi[Date], 0), MATCH(AC$18, Expi[#Headers], 0))</f>
        <v>#N/A</v>
      </c>
      <c r="AD53" s="7">
        <f ca="1">NETWORKDAYS($A53, EOMONTH($A53, 0), Hols[CME])</f>
        <v>22</v>
      </c>
      <c r="AE53" s="7">
        <f ca="1">NETWORKDAYS($A53, EOMONTH($A53, 0), Hols[ICE])</f>
        <v>22</v>
      </c>
      <c r="AF53" s="7">
        <f ca="1">NETWORKDAYS($A53, EOMONTH($A53, 0), Hols[ICE])</f>
        <v>22</v>
      </c>
      <c r="AG53" s="7">
        <f ca="1">NETWORKDAYS($A53, EOMONTH($A53, 0), Hols[CME])</f>
        <v>22</v>
      </c>
      <c r="AH53" s="7">
        <f ca="1">NETWORKDAYS($A53, EOMONTH($A53, 0), Hols[CME])</f>
        <v>22</v>
      </c>
      <c r="AI53" s="7">
        <f ca="1">NETWORKDAYS($A53, EOMONTH($A53, 0), Hols[ICE])</f>
        <v>22</v>
      </c>
      <c r="AJ53" s="7" t="e">
        <f ca="1">NETWORKDAYS($A53, X53, Hols[CME])</f>
        <v>#N/A</v>
      </c>
      <c r="AK53" s="7" t="e">
        <f ca="1">NETWORKDAYS($A53, Y53, Hols[ICE]) - 1</f>
        <v>#N/A</v>
      </c>
      <c r="AL53" s="7" t="e">
        <f ca="1">NETWORKDAYS($A53, Z53, Hols[ICE]) - 1</f>
        <v>#N/A</v>
      </c>
      <c r="AM53" s="7" t="e">
        <f ca="1">NETWORKDAYS($A53, AA53, Hols[CME])</f>
        <v>#N/A</v>
      </c>
      <c r="AN53" s="7" t="e">
        <f ca="1">NETWORKDAYS($A53, AB53, Hols[CME])</f>
        <v>#N/A</v>
      </c>
      <c r="AO53" s="7" t="e">
        <f ca="1">NETWORKDAYS($A53, AC53, Hols[ICE]) - 1</f>
        <v>#N/A</v>
      </c>
      <c r="AP53" s="10" t="e">
        <f t="shared" ca="1" si="67"/>
        <v>#N/A</v>
      </c>
      <c r="AQ53" s="10" t="e">
        <f t="shared" ca="1" si="68"/>
        <v>#N/A</v>
      </c>
      <c r="AR53" s="10" t="e">
        <f t="shared" ca="1" si="69"/>
        <v>#N/A</v>
      </c>
      <c r="AS53" s="10" t="e">
        <f t="shared" ca="1" si="70"/>
        <v>#N/A</v>
      </c>
      <c r="AT53" s="10" t="e">
        <f t="shared" ca="1" si="71"/>
        <v>#N/A</v>
      </c>
      <c r="AU53" s="10" t="e">
        <f t="shared" ca="1" si="71"/>
        <v>#N/A</v>
      </c>
      <c r="AV53" s="28">
        <f ca="1">IFERROR(AVERAGE(_xll.BDH(AV$18 &amp; $B53 &amp; RIGHT($C53, 1) &amp; " " &amp; "Comdty", "PX_SETTLE", AV$16, AV$16, "Fill=#N/A")), IFERROR(AVERAGE(_xll.BDH(AV$18 &amp; $B53 &amp; RIGHT($C53, 2) &amp; " " &amp; "Comdty", "PX_SETTLE", AV$16, AV$16, "Fill=#N/A")), NA()))</f>
        <v>67.08</v>
      </c>
      <c r="AW53" s="28">
        <f ca="1">IFERROR(AVERAGE(_xll.BDH(AW$18 &amp; $B53 &amp; RIGHT($C53, 1) &amp; " " &amp; "Comdty", "PX_SETTLE", AW$16, AW$16, "Fill=#N/A")), IFERROR(AVERAGE(_xll.BDH(AW$18 &amp; $B53 &amp; RIGHT($C53, 2) &amp; " " &amp; "Comdty", "PX_SETTLE", AW$16, AW$16, "Fill=#N/A")), NA()))</f>
        <v>72.3</v>
      </c>
      <c r="AX53" s="29">
        <f ca="1">IFERROR(AVERAGE(_xll.BDH(AX$18 &amp; $B53 &amp; RIGHT($C53, 2) &amp; " " &amp; "Comdty", "FAIR_VALUE_SNAPSHOT_AT_1430", AX$16, AX$16, "TIME_ZONE_OVERRIDE=13", "Fill=#N/A")), NA())</f>
        <v>797.25</v>
      </c>
      <c r="AY53" s="28">
        <f ca="1">IFERROR(AVERAGE(_xll.BDH(AY$18 &amp; $B53 &amp; RIGHT($C53, 1) &amp; " " &amp; "Comdty", "PX_SETTLE", AY$16, AY$16, "Fill=#N/A")), NA())</f>
        <v>291.92</v>
      </c>
      <c r="AZ53" s="28">
        <f ca="1">IFERROR(AVERAGE(_xll.BDH(AZ$18 &amp; $B53 &amp; RIGHT($C53, 1) &amp; " " &amp; "Comdty", "PX_SETTLE", AZ$16, AZ$16, "Fill=#N/A")), NA())</f>
        <v>240.6</v>
      </c>
      <c r="BA53" s="29" t="e">
        <f ca="1">IFERROR(AVERAGE(_xll.BDH(BA$18 &amp; $B53 &amp; RIGHT($C53, 2) &amp; " " &amp; "Comdty", "PX_SETTLE", BA$16, BA$16, "Fill=#N/A")), IFERROR(AVERAGE(_xll.BDH(BA$18 &amp; $B53 &amp; RIGHT($C53, 2) &amp; " " &amp; "Comdty", "PX_SETTLE", BA$16, BA$16, "Fill=#N/A")), NA()))</f>
        <v>#N/A</v>
      </c>
      <c r="BB53" s="29">
        <f ca="1">IFERROR(AVERAGE(_xll.BDH(BB$18 &amp; $B53 &amp; RIGHT($C53, 2) &amp; " " &amp; "Comdty", "PX_SETTLE", BB$16, BB$16, "Fill=#N/A")), IFERROR(AVERAGE(_xll.BDH(BB$18 &amp; $B53 &amp; RIGHT($C53, 2) &amp; " " &amp; "Comdty", "PX_SETTLE", BB$16, BB$16, "Fill=#N/A")), NA()))</f>
        <v>73</v>
      </c>
      <c r="BC53" s="29" t="e">
        <f ca="1">IFERROR(AVERAGE(_xll.BDH(BC$18 &amp; $B53 &amp; RIGHT($C53, 2) &amp; " " &amp; "Comdty", "PX_SETTLE", BC$16, BC$16, "Fill=#N/A")), IFERROR(AVERAGE(_xll.BDH(BC$18 &amp; $B53 &amp; RIGHT($C53, 2) &amp; " " &amp; "Comdty", "PX_SETTLE", BC$16, BC$16, "Fill=#N/A")), NA()))</f>
        <v>#N/A</v>
      </c>
      <c r="BD53" s="29" t="e">
        <f>NA()</f>
        <v>#N/A</v>
      </c>
      <c r="BE53" s="109">
        <f t="shared" ca="1" si="209"/>
        <v>66.911818181818234</v>
      </c>
      <c r="BF53" s="46">
        <f t="shared" ca="1" si="72"/>
        <v>-0.1681818181817647</v>
      </c>
      <c r="BG53" s="47">
        <f t="shared" ca="1" si="151"/>
        <v>0.19136363636363285</v>
      </c>
      <c r="BH53" s="114">
        <f t="shared" ca="1" si="223"/>
        <v>-8.6363636363699925E-3</v>
      </c>
      <c r="BI53" s="110">
        <f t="shared" ca="1" si="224"/>
        <v>72.032727272727399</v>
      </c>
      <c r="BJ53" s="46">
        <f t="shared" ca="1" si="73"/>
        <v>-0.26727272727259788</v>
      </c>
      <c r="BK53" s="48">
        <f t="shared" ca="1" si="225"/>
        <v>0.17681818181817732</v>
      </c>
      <c r="BL53" s="114">
        <f t="shared" ca="1" si="226"/>
        <v>6.8181818181756171E-3</v>
      </c>
      <c r="BM53" s="48">
        <f t="shared" ca="1" si="152"/>
        <v>779.42045454545519</v>
      </c>
      <c r="BN53" s="46">
        <f t="shared" ca="1" si="74"/>
        <v>-17.829545454544814</v>
      </c>
      <c r="BO53" s="47">
        <f t="shared" ca="1" si="210"/>
        <v>3.8977272727272521</v>
      </c>
      <c r="BP53" s="46">
        <f t="shared" ca="1" si="133"/>
        <v>1.1477272727272521</v>
      </c>
      <c r="BQ53" s="110" t="str">
        <f t="shared" ca="1" si="211"/>
        <v/>
      </c>
      <c r="BR53" s="46" t="str">
        <f t="shared" ca="1" si="75"/>
        <v/>
      </c>
      <c r="BS53" s="47" t="str">
        <f t="shared" ca="1" si="153"/>
        <v/>
      </c>
      <c r="BT53" s="114" t="str">
        <f t="shared" ca="1" si="154"/>
        <v/>
      </c>
      <c r="BU53" s="48" t="str">
        <f t="shared" ca="1" si="212"/>
        <v/>
      </c>
      <c r="BV53" s="46" t="str">
        <f t="shared" ca="1" si="76"/>
        <v/>
      </c>
      <c r="BW53" s="47" t="str">
        <f t="shared" ca="1" si="155"/>
        <v/>
      </c>
      <c r="BX53" s="46" t="str">
        <f t="shared" ca="1" si="156"/>
        <v/>
      </c>
      <c r="BY53" s="140" t="str">
        <f t="shared" ca="1" si="134"/>
        <v/>
      </c>
      <c r="BZ53" s="46" t="str">
        <f t="shared" ca="1" si="135"/>
        <v/>
      </c>
      <c r="CA53" s="47" t="str">
        <f t="shared" ca="1" si="157"/>
        <v/>
      </c>
      <c r="CB53" s="46" t="str">
        <f t="shared" ca="1" si="158"/>
        <v/>
      </c>
      <c r="CC53" s="141" t="str">
        <f t="shared" ca="1" si="136"/>
        <v/>
      </c>
      <c r="CD53" s="50" t="str">
        <f t="shared" ca="1" si="137"/>
        <v/>
      </c>
      <c r="CE53" s="47" t="str">
        <f t="shared" ca="1" si="159"/>
        <v/>
      </c>
      <c r="CF53" s="46" t="str">
        <f t="shared" ca="1" si="160"/>
        <v/>
      </c>
      <c r="CG53" s="141" t="str">
        <f t="shared" ca="1" si="138"/>
        <v/>
      </c>
      <c r="CH53" s="50" t="str">
        <f t="shared" ca="1" si="139"/>
        <v/>
      </c>
      <c r="CI53" s="47" t="str">
        <f t="shared" ca="1" si="161"/>
        <v/>
      </c>
      <c r="CJ53" s="46" t="str">
        <f t="shared" ca="1" si="162"/>
        <v/>
      </c>
      <c r="CK53" s="141" t="str">
        <f t="shared" ca="1" si="140"/>
        <v/>
      </c>
      <c r="CL53" s="50" t="str">
        <f t="shared" ca="1" si="77"/>
        <v/>
      </c>
      <c r="CM53" s="47" t="str">
        <f t="shared" ca="1" si="163"/>
        <v/>
      </c>
      <c r="CN53" s="46" t="str">
        <f t="shared" ca="1" si="164"/>
        <v/>
      </c>
      <c r="CO53" s="141" t="str">
        <f t="shared" ca="1" si="141"/>
        <v/>
      </c>
      <c r="CP53" s="50" t="str">
        <f t="shared" ca="1" si="78"/>
        <v/>
      </c>
      <c r="CQ53" s="47" t="str">
        <f t="shared" ca="1" si="165"/>
        <v/>
      </c>
      <c r="CR53" s="46" t="str">
        <f t="shared" ca="1" si="166"/>
        <v/>
      </c>
      <c r="CS53" s="109">
        <f t="shared" ca="1" si="79"/>
        <v>-5.1209090909091657</v>
      </c>
      <c r="CT53" s="46">
        <f t="shared" ca="1" si="80"/>
        <v>9.9090909090833179E-2</v>
      </c>
      <c r="CU53" s="47">
        <f t="shared" ca="1" si="167"/>
        <v>1.4545454545455527E-2</v>
      </c>
      <c r="CV53" s="46">
        <f t="shared" ca="1" si="168"/>
        <v>0</v>
      </c>
      <c r="CW53" s="110" t="str">
        <f t="shared" ca="1" si="142"/>
        <v/>
      </c>
      <c r="CX53" s="46" t="str">
        <f t="shared" ca="1" si="81"/>
        <v/>
      </c>
      <c r="CY53" s="47" t="str">
        <f t="shared" ca="1" si="169"/>
        <v/>
      </c>
      <c r="CZ53" s="46" t="str">
        <f t="shared" ca="1" si="170"/>
        <v/>
      </c>
      <c r="DA53" s="109">
        <f t="shared" ca="1" si="82"/>
        <v>32.587467968273288</v>
      </c>
      <c r="DB53" s="46">
        <f t="shared" ca="1" si="83"/>
        <v>-2.1259548505186521</v>
      </c>
      <c r="DC53" s="47">
        <f t="shared" ca="1" si="171"/>
        <v>0.3463666870042772</v>
      </c>
      <c r="DD53" s="46">
        <f t="shared" ca="1" si="233"/>
        <v>0.14723917022575073</v>
      </c>
      <c r="DE53" s="110" t="str">
        <f t="shared" ca="1" si="84"/>
        <v/>
      </c>
      <c r="DF53" s="46" t="str">
        <f t="shared" ca="1" si="85"/>
        <v/>
      </c>
      <c r="DG53" s="47" t="str">
        <f t="shared" ca="1" si="172"/>
        <v/>
      </c>
      <c r="DH53" s="46" t="str">
        <f t="shared" ca="1" si="173"/>
        <v/>
      </c>
      <c r="DI53" s="110" t="str">
        <f t="shared" ca="1" si="86"/>
        <v/>
      </c>
      <c r="DJ53" s="46" t="str">
        <f t="shared" ca="1" si="87"/>
        <v/>
      </c>
      <c r="DK53" s="47" t="str">
        <f t="shared" ca="1" si="174"/>
        <v/>
      </c>
      <c r="DL53" s="46" t="str">
        <f t="shared" ca="1" si="175"/>
        <v/>
      </c>
      <c r="DM53" s="110" t="str">
        <f t="shared" ca="1" si="88"/>
        <v/>
      </c>
      <c r="DN53" s="46" t="str">
        <f t="shared" ca="1" si="89"/>
        <v/>
      </c>
      <c r="DO53" s="47" t="str">
        <f t="shared" ca="1" si="176"/>
        <v/>
      </c>
      <c r="DP53" s="47" t="str">
        <f t="shared" ca="1" si="177"/>
        <v/>
      </c>
      <c r="DQ53" s="110" t="str">
        <f t="shared" ca="1" si="90"/>
        <v/>
      </c>
      <c r="DR53" s="46" t="str">
        <f t="shared" ca="1" si="91"/>
        <v/>
      </c>
      <c r="DS53" s="47" t="str">
        <f t="shared" ca="1" si="178"/>
        <v/>
      </c>
      <c r="DT53" s="47" t="str">
        <f t="shared" ca="1" si="179"/>
        <v/>
      </c>
      <c r="DU53" s="109" t="str">
        <f t="shared" ca="1" si="92"/>
        <v/>
      </c>
      <c r="DV53" s="46" t="str">
        <f t="shared" ca="1" si="93"/>
        <v/>
      </c>
      <c r="DW53" s="47" t="str">
        <f t="shared" ca="1" si="180"/>
        <v/>
      </c>
      <c r="DX53" s="47" t="str">
        <f t="shared" ca="1" si="181"/>
        <v/>
      </c>
      <c r="DY53" s="110" t="str">
        <f t="shared" ca="1" si="94"/>
        <v/>
      </c>
      <c r="DZ53" s="46" t="str">
        <f t="shared" ca="1" si="95"/>
        <v/>
      </c>
      <c r="EA53" s="47" t="str">
        <f t="shared" ca="1" si="182"/>
        <v/>
      </c>
      <c r="EB53" s="47" t="str">
        <f t="shared" ca="1" si="183"/>
        <v/>
      </c>
      <c r="EC53" s="110" t="str">
        <f t="shared" ca="1" si="96"/>
        <v/>
      </c>
      <c r="ED53" s="46" t="str">
        <f t="shared" ca="1" si="97"/>
        <v/>
      </c>
      <c r="EE53" s="47" t="str">
        <f t="shared" ca="1" si="184"/>
        <v/>
      </c>
      <c r="EF53" s="47" t="str">
        <f t="shared" ca="1" si="185"/>
        <v/>
      </c>
      <c r="EG53" s="110" t="str">
        <f t="shared" ca="1" si="98"/>
        <v/>
      </c>
      <c r="EH53" s="46" t="str">
        <f t="shared" ca="1" si="99"/>
        <v/>
      </c>
      <c r="EI53" s="47" t="str">
        <f t="shared" ca="1" si="186"/>
        <v/>
      </c>
      <c r="EJ53" s="47" t="str">
        <f t="shared" ca="1" si="187"/>
        <v/>
      </c>
      <c r="EK53" s="110" t="str">
        <f t="shared" ca="1" si="100"/>
        <v/>
      </c>
      <c r="EL53" s="46" t="str">
        <f t="shared" ca="1" si="101"/>
        <v/>
      </c>
      <c r="EM53" s="47" t="str">
        <f t="shared" ca="1" si="188"/>
        <v/>
      </c>
      <c r="EN53" s="47" t="str">
        <f t="shared" ca="1" si="189"/>
        <v/>
      </c>
      <c r="EO53" s="109" t="str">
        <f t="shared" ca="1" si="102"/>
        <v/>
      </c>
      <c r="EP53" s="46" t="str">
        <f t="shared" ca="1" si="103"/>
        <v/>
      </c>
      <c r="EQ53" s="47" t="str">
        <f t="shared" ca="1" si="190"/>
        <v/>
      </c>
      <c r="ER53" s="47" t="str">
        <f t="shared" ca="1" si="191"/>
        <v/>
      </c>
      <c r="ES53" s="110" t="str">
        <f t="shared" ca="1" si="104"/>
        <v/>
      </c>
      <c r="ET53" s="46" t="str">
        <f t="shared" ca="1" si="105"/>
        <v/>
      </c>
      <c r="EU53" s="47" t="str">
        <f t="shared" ca="1" si="192"/>
        <v/>
      </c>
      <c r="EV53" s="47" t="str">
        <f t="shared" ca="1" si="193"/>
        <v/>
      </c>
      <c r="EW53" s="109" t="str">
        <f t="shared" ca="1" si="106"/>
        <v/>
      </c>
      <c r="EX53" s="46" t="str">
        <f t="shared" ca="1" si="107"/>
        <v/>
      </c>
      <c r="EY53" s="47" t="str">
        <f t="shared" ca="1" si="194"/>
        <v/>
      </c>
      <c r="EZ53" s="47" t="str">
        <f t="shared" ca="1" si="195"/>
        <v/>
      </c>
      <c r="FA53" s="110" t="str">
        <f t="shared" ca="1" si="108"/>
        <v/>
      </c>
      <c r="FB53" s="46" t="str">
        <f t="shared" ca="1" si="109"/>
        <v/>
      </c>
      <c r="FC53" s="47" t="str">
        <f t="shared" ca="1" si="196"/>
        <v/>
      </c>
      <c r="FD53" s="47" t="str">
        <f t="shared" ca="1" si="197"/>
        <v/>
      </c>
      <c r="FE53" s="109" t="str">
        <f t="shared" ca="1" si="110"/>
        <v/>
      </c>
      <c r="FF53" s="46" t="str">
        <f t="shared" ca="1" si="111"/>
        <v/>
      </c>
      <c r="FG53" s="110" t="str">
        <f t="shared" ca="1" si="112"/>
        <v/>
      </c>
      <c r="FH53" s="46" t="str">
        <f t="shared" ca="1" si="113"/>
        <v/>
      </c>
      <c r="FI53" s="110" t="str">
        <f t="shared" ca="1" si="114"/>
        <v/>
      </c>
      <c r="FJ53" s="46" t="str">
        <f t="shared" ca="1" si="115"/>
        <v/>
      </c>
      <c r="FK53" s="110" t="str">
        <f t="shared" ca="1" si="116"/>
        <v/>
      </c>
      <c r="FL53" s="46" t="str">
        <f t="shared" ca="1" si="117"/>
        <v/>
      </c>
      <c r="FM53" s="110" t="str">
        <f t="shared" ca="1" si="118"/>
        <v/>
      </c>
      <c r="FN53" s="46" t="str">
        <f t="shared" ca="1" si="119"/>
        <v/>
      </c>
      <c r="FO53" s="110" t="str">
        <f t="shared" ca="1" si="120"/>
        <v/>
      </c>
      <c r="FP53" s="46" t="str">
        <f t="shared" ca="1" si="121"/>
        <v/>
      </c>
      <c r="FQ53" s="110" t="str">
        <f t="shared" ca="1" si="122"/>
        <v/>
      </c>
      <c r="FR53" s="46" t="str">
        <f t="shared" ca="1" si="123"/>
        <v/>
      </c>
      <c r="FS53" s="110" t="str">
        <f t="shared" ca="1" si="124"/>
        <v/>
      </c>
      <c r="FT53" s="111" t="str">
        <f t="shared" ca="1" si="125"/>
        <v/>
      </c>
      <c r="FU53" s="109" t="str">
        <f t="shared" ca="1" si="232"/>
        <v/>
      </c>
      <c r="FV53" s="46" t="str">
        <f t="shared" ca="1" si="213"/>
        <v/>
      </c>
      <c r="FW53" s="48" t="str">
        <f t="shared" ca="1" si="227"/>
        <v/>
      </c>
      <c r="FX53" s="114" t="str">
        <f t="shared" ca="1" si="228"/>
        <v/>
      </c>
      <c r="FY53" s="110" t="str">
        <f t="shared" ca="1" si="214"/>
        <v/>
      </c>
      <c r="FZ53" s="46" t="str">
        <f t="shared" ca="1" si="215"/>
        <v/>
      </c>
      <c r="GA53" s="47" t="str">
        <f t="shared" ca="1" si="216"/>
        <v/>
      </c>
      <c r="GB53" s="46" t="str">
        <f t="shared" ca="1" si="229"/>
        <v/>
      </c>
      <c r="GC53" s="110" t="str">
        <f ca="1">IFERROR(IF(AND(ISNUMBER($FU53), ISNUMBER(Crd!$X53)), $FU53 - Crd!$X53, ""), "")</f>
        <v/>
      </c>
      <c r="GD53" s="46" t="str">
        <f ca="1">IFERROR(IF(AND(ISNUMBER($FV53), ISNUMBER(Crd!$Y53)), $FV53 - Crd!$Y53, ""), "")</f>
        <v/>
      </c>
      <c r="GE53" s="47" t="str">
        <f t="shared" ca="1" si="217"/>
        <v/>
      </c>
      <c r="GF53" s="46" t="str">
        <f t="shared" ca="1" si="218"/>
        <v/>
      </c>
      <c r="GG53" s="141" t="str">
        <f t="shared" ca="1" si="198"/>
        <v/>
      </c>
      <c r="GH53" s="50" t="str">
        <f t="shared" ca="1" si="199"/>
        <v/>
      </c>
      <c r="GI53" s="47" t="str">
        <f t="shared" ca="1" si="144"/>
        <v/>
      </c>
      <c r="GJ53" s="46" t="str">
        <f t="shared" ca="1" si="145"/>
        <v/>
      </c>
      <c r="GK53" s="110" t="str">
        <f t="shared" ca="1" si="127"/>
        <v/>
      </c>
      <c r="GL53" s="46" t="str">
        <f t="shared" ca="1" si="128"/>
        <v/>
      </c>
      <c r="GM53" s="47" t="str">
        <f t="shared" ca="1" si="200"/>
        <v/>
      </c>
      <c r="GN53" s="46" t="str">
        <f t="shared" ca="1" si="201"/>
        <v/>
      </c>
      <c r="GO53" s="110" t="str">
        <f ca="1">IFERROR(IF(AND(ISNUMBER($GG53), ISNUMBER(Crd!$X53)), $GG53 - Crd!$X53, ""), "")</f>
        <v/>
      </c>
      <c r="GP53" s="46" t="str">
        <f ca="1">IFERROR(IF(AND(ISNUMBER($GH53), ISNUMBER(Crd!$Y53)), $GH53 - Crd!$Y53, ""), "")</f>
        <v/>
      </c>
      <c r="GQ53" s="47" t="str">
        <f t="shared" ca="1" si="202"/>
        <v/>
      </c>
      <c r="GR53" s="46" t="str">
        <f t="shared" ca="1" si="203"/>
        <v/>
      </c>
      <c r="GS53" s="436" t="str">
        <f t="shared" ca="1" si="219"/>
        <v/>
      </c>
      <c r="GT53" s="46" t="str">
        <f t="shared" ca="1" si="220"/>
        <v/>
      </c>
      <c r="GU53" s="48" t="str">
        <f t="shared" ca="1" si="230"/>
        <v/>
      </c>
      <c r="GV53" s="46" t="str">
        <f t="shared" ca="1" si="231"/>
        <v/>
      </c>
      <c r="GW53" s="427" t="str">
        <f t="shared" ca="1" si="204"/>
        <v/>
      </c>
      <c r="GX53" s="50" t="str">
        <f t="shared" ca="1" si="146"/>
        <v/>
      </c>
      <c r="GY53" s="47" t="str">
        <f t="shared" ca="1" si="205"/>
        <v/>
      </c>
      <c r="GZ53" s="432" t="str">
        <f t="shared" ca="1" si="206"/>
        <v/>
      </c>
      <c r="HA53" s="436"/>
      <c r="HB53" s="46"/>
      <c r="HC53" s="48"/>
      <c r="HD53" s="46"/>
      <c r="HE53" s="269"/>
      <c r="HF53" s="46"/>
      <c r="HG53" s="48"/>
      <c r="HH53" s="432"/>
    </row>
    <row r="54" spans="1:216" x14ac:dyDescent="0.25">
      <c r="A54" s="58">
        <f t="shared" ca="1" si="131"/>
        <v>47331</v>
      </c>
      <c r="B54" s="6" t="str">
        <f ca="1">INDEX(MthRef[], MATCH(MONTH(Futs!$A54), MthRef[Mth], 0), 2)</f>
        <v>Q</v>
      </c>
      <c r="C54" s="6">
        <f t="shared" ca="1" si="65"/>
        <v>2029</v>
      </c>
      <c r="D54" s="6" t="str">
        <f t="shared" ca="1" si="66"/>
        <v>Q329</v>
      </c>
      <c r="E54" s="6" t="str">
        <f t="shared" ca="1" si="132"/>
        <v>Q9</v>
      </c>
      <c r="F54" s="10" t="e">
        <f ca="1">IFERROR(AVERAGE(_xll.BDP(F$18 &amp; $B54 &amp; RIGHT($C54, 1) &amp; " " &amp; "Comdty", "BID", "Fill=#N/A"), _xll.BDP(F$18 &amp; $B54 &amp; RIGHT($C54, 1) &amp; " " &amp; "Comdty", "ASK", "Fill=#N/A")), NA())</f>
        <v>#N/A</v>
      </c>
      <c r="G54" s="10" t="e">
        <f ca="1">IFERROR(AVERAGE(_xll.BDP(G$18 &amp; $B54 &amp; RIGHT($C54, 1) &amp; " " &amp; "Comdty", "BID", "Fill=#N/A"), _xll.BDP(G$18 &amp; $B54 &amp; RIGHT($C54, 1) &amp; " " &amp; "Comdty", "ASK", "Fill=#N/A")), NA())</f>
        <v>#N/A</v>
      </c>
      <c r="H54" s="10" t="e">
        <f ca="1">IFERROR(AVERAGE(_xll.BDP(H$18 &amp; $B54 &amp; RIGHT($C54, 1) &amp; " " &amp; "Comdty", "BID", "Fill=#N/A"), _xll.BDP(H$18 &amp; $B54 &amp; RIGHT($C54, 1) &amp; " " &amp; "Comdty", "ASK", "Fill=#N/A")), NA())</f>
        <v>#N/A</v>
      </c>
      <c r="I54" s="10" t="e">
        <f ca="1">IFERROR(AVERAGE(_xll.BDP(I$18 &amp; $B54 &amp; RIGHT($C54, 1) &amp; " " &amp; "Comdty", "BID", "Fill=#N/A"), _xll.BDP(I$18 &amp; $B54 &amp; RIGHT($C54, 1) &amp; " " &amp; "Comdty", "ASK", "Fill=#N/A")), NA())</f>
        <v>#N/A</v>
      </c>
      <c r="J54" s="10" t="e">
        <f ca="1">IFERROR(AVERAGE(_xll.BDP(J$18 &amp; $B54 &amp; RIGHT($C54, 1) &amp; " " &amp; "Comdty", "BID", "Fill=#N/A"), _xll.BDP(J$18 &amp; $B54 &amp; RIGHT($C54, 1) &amp; " " &amp; "Comdty", "ASK", "Fill=#N/A")), NA())</f>
        <v>#N/A</v>
      </c>
      <c r="K54" s="10" t="e">
        <f ca="1">IFERROR(AVERAGE(_xll.BDP(K$18 &amp; $B54 &amp; RIGHT($C54, 2) &amp; " " &amp; "Comdty", "BID", "Fill=#N/A"), _xll.BDP(K$18 &amp; $B54 &amp; RIGHT($C54, 2) &amp; " " &amp; "Comdty", "ASK", "Fill=#N/A")), NA())</f>
        <v>#N/A</v>
      </c>
      <c r="L54" s="10" t="e">
        <f ca="1">IFERROR(AVERAGE(_xll.BDP(L$18 &amp; $B54 &amp; RIGHT($C54, 2) &amp; " " &amp; "Comdty", "BID", "Fill=#N/A"), _xll.BDP(L$18 &amp; $B54 &amp; RIGHT($C54, 2) &amp; " " &amp; "Comdty", "ASK", "Fill=#N/A")), NA())</f>
        <v>#N/A</v>
      </c>
      <c r="M54" s="10" t="e">
        <f ca="1">IFERROR(AVERAGE(_xll.BDP(M$18 &amp; $B54 &amp; RIGHT($C54, 2) &amp; " " &amp; "Comdty", "BID", "Fill=#N/A"), _xll.BDP(M$18 &amp; $B54 &amp; RIGHT($C54, 2) &amp; " " &amp; "Comdty", "ASK", "Fill=#N/A")), NA())</f>
        <v>#N/A</v>
      </c>
      <c r="N54" s="10" t="e">
        <f ca="1">IFERROR(AVERAGE(_xll.BDP(N$18 &amp; $B53 &amp; RIGHT($C53, 1) &amp; N$18 &amp; $B54 &amp; RIGHT($C54, 1) &amp; " " &amp; "Comdty", "BID", "Fill=#N/A"), _xll.BDP(N$18 &amp; $B53 &amp; RIGHT($C53, 1) &amp; N$18 &amp; $B54 &amp; RIGHT($C54, 1) &amp; " " &amp; "Comdty", "ASK", "Fill=#N/A")), NA())</f>
        <v>#N/A</v>
      </c>
      <c r="O54" s="10">
        <f ca="1">IFERROR(AVERAGE(_xll.BDP(O$18 &amp; $B53 &amp; RIGHT($C53, 1) &amp; O$18 &amp; $B54 &amp; RIGHT($C54, 1) &amp; " " &amp; "Comdty", "BID", "Fill=#N/A"), _xll.BDP(O$18 &amp; $B53 &amp; RIGHT($C53, 1) &amp; O$18 &amp; $B54 &amp; RIGHT($C54, 1) &amp; " " &amp; "Comdty", "ASK", "Fill=#N/A")), NA())</f>
        <v>0.12000000000000001</v>
      </c>
      <c r="P54" s="10">
        <f ca="1">IFERROR(AVERAGE(_xll.BDP(P$18 &amp; $B53 &amp; RIGHT($C53, 1) &amp; P$18 &amp; $B54 &amp; RIGHT($C54, 1) &amp; " " &amp; "Comdty", "BID", "Fill=#N/A"), _xll.BDP(P$18 &amp; $B53 &amp; RIGHT($C53, 1) &amp; P$18 &amp; $B54 &amp; RIGHT($C54, 1) &amp; " " &amp; "Comdty", "ASK", "Fill=#N/A")), NA())</f>
        <v>2.5</v>
      </c>
      <c r="Q54" s="10" t="e">
        <f ca="1">IFERROR(AVERAGE(_xll.BDP(Q$18 &amp; $B53 &amp; RIGHT($C53, 1) &amp; Q$18 &amp; $B54 &amp; RIGHT($C54, 1) &amp; " " &amp; "Comdty", "BID", "Fill=#N/A"), _xll.BDP(Q$18 &amp; $B53 &amp; RIGHT($C53, 1) &amp; Q$18 &amp; $B54 &amp; RIGHT($C54, 1) &amp; " " &amp; "Comdty", "ASK", "Fill=#N/A")), NA())</f>
        <v>#N/A</v>
      </c>
      <c r="R54" s="10" t="e">
        <f ca="1">IFERROR(AVERAGE(_xll.BDP(R$18 &amp; $B53 &amp; RIGHT($C53, 1) &amp; R$18 &amp; $B54 &amp; RIGHT($C54, 1) &amp; " " &amp; "Comdty", "BID", "Fill=#N/A"), _xll.BDP(R$18 &amp; $B53 &amp; RIGHT($C53, 1) &amp; R$18 &amp; $B54 &amp; RIGHT($C54, 1) &amp; " " &amp; "Comdty", "ASK", "Fill=#N/A")), NA())</f>
        <v>#N/A</v>
      </c>
      <c r="S54" s="10" t="e">
        <f ca="1">IFERROR(AVERAGE(_xll.BDP(S$18 &amp; $B53 &amp; RIGHT($C53, 1) &amp; $B54 &amp; RIGHT($C54, 1) &amp; " " &amp; "Comdty", "BID", "Fill=#N/A"), _xll.BDP(S$18 &amp; $B53 &amp; RIGHT($C53, 1) &amp; $B54 &amp; RIGHT($C54, 1) &amp; " " &amp; "Comdty", "ASK", "Fill=#N/A")), NA())</f>
        <v>#N/A</v>
      </c>
      <c r="T54" s="10" t="e">
        <f ca="1">IFERROR(AVERAGE(_xll.BDP(T$18 &amp; $B53 &amp; RIGHT($C53, 1) &amp; $B54 &amp; RIGHT($C54, 1) &amp; " " &amp; "Comdty", "BID", "Fill=#N/A"), _xll.BDP(T$18 &amp; $B53 &amp; RIGHT($C53, 1) &amp; $B54 &amp; RIGHT($C54, 1) &amp; " " &amp; "Comdty", "ASK", "Fill=#N/A")), NA())</f>
        <v>#N/A</v>
      </c>
      <c r="U54" s="10">
        <f ca="1">IF($A54 &lt; Diagnostics!$B$3, N54, INDEX(ImpSprd[], MATCH(Futs!$C54, ImpSprd[Yr], 0), MATCH(U$18, ImpSprd[#Headers], 0)))</f>
        <v>0.19136363636363637</v>
      </c>
      <c r="V54" s="10">
        <f ca="1">IF($A54 &lt; Diagnostics!$B$3, O54, INDEX(ImpSprd[], MATCH(Futs!$C54, ImpSprd[Yr], 0), MATCH(V$18, ImpSprd[#Headers], 0)))</f>
        <v>0.17681818181818179</v>
      </c>
      <c r="W54" s="10">
        <f ca="1">IF($A54 &lt; Diagnostics!$B$3, P54, INDEX(ImpSprd[], MATCH(Futs!$C54, ImpSprd[Yr], 0), MATCH(W$18, ImpSprd[#Headers], 0)))</f>
        <v>3.8977272727272729</v>
      </c>
      <c r="X54" s="31" t="e">
        <f ca="1">INDEX(Expi[], MATCH($A54, Expi[Date], 0), MATCH(X$18, Expi[#Headers], 0))</f>
        <v>#N/A</v>
      </c>
      <c r="Y54" s="31" t="e">
        <f ca="1">INDEX(Expi[], MATCH($A54, Expi[Date], 0), MATCH(Y$18, Expi[#Headers], 0))</f>
        <v>#N/A</v>
      </c>
      <c r="Z54" s="31" t="e">
        <f ca="1">INDEX(Expi[], MATCH($A54, Expi[Date], 0), MATCH(Z$18, Expi[#Headers], 0))</f>
        <v>#N/A</v>
      </c>
      <c r="AA54" s="31" t="e">
        <f ca="1">INDEX(Expi[], MATCH($A54, Expi[Date], 0), MATCH(AA$18, Expi[#Headers], 0))</f>
        <v>#N/A</v>
      </c>
      <c r="AB54" s="31" t="e">
        <f ca="1">INDEX(Expi[], MATCH($A54, Expi[Date], 0), MATCH(AB$18, Expi[#Headers], 0))</f>
        <v>#N/A</v>
      </c>
      <c r="AC54" s="31" t="e">
        <f ca="1">INDEX(Expi[], MATCH($A54, Expi[Date], 0), MATCH(AC$18, Expi[#Headers], 0))</f>
        <v>#N/A</v>
      </c>
      <c r="AD54" s="7">
        <f ca="1">NETWORKDAYS($A54, EOMONTH($A54, 0), Hols[CME])</f>
        <v>23</v>
      </c>
      <c r="AE54" s="7">
        <f ca="1">NETWORKDAYS($A54, EOMONTH($A54, 0), Hols[ICE])</f>
        <v>23</v>
      </c>
      <c r="AF54" s="7">
        <f ca="1">NETWORKDAYS($A54, EOMONTH($A54, 0), Hols[ICE])</f>
        <v>23</v>
      </c>
      <c r="AG54" s="7">
        <f ca="1">NETWORKDAYS($A54, EOMONTH($A54, 0), Hols[CME])</f>
        <v>23</v>
      </c>
      <c r="AH54" s="7">
        <f ca="1">NETWORKDAYS($A54, EOMONTH($A54, 0), Hols[CME])</f>
        <v>23</v>
      </c>
      <c r="AI54" s="7">
        <f ca="1">NETWORKDAYS($A54, EOMONTH($A54, 0), Hols[ICE])</f>
        <v>23</v>
      </c>
      <c r="AJ54" s="7" t="e">
        <f ca="1">NETWORKDAYS($A54, X54, Hols[CME])</f>
        <v>#N/A</v>
      </c>
      <c r="AK54" s="7" t="e">
        <f ca="1">NETWORKDAYS($A54, Y54, Hols[ICE]) - 1</f>
        <v>#N/A</v>
      </c>
      <c r="AL54" s="7" t="e">
        <f ca="1">NETWORKDAYS($A54, Z54, Hols[ICE]) - 1</f>
        <v>#N/A</v>
      </c>
      <c r="AM54" s="7" t="e">
        <f ca="1">NETWORKDAYS($A54, AA54, Hols[CME])</f>
        <v>#N/A</v>
      </c>
      <c r="AN54" s="7" t="e">
        <f ca="1">NETWORKDAYS($A54, AB54, Hols[CME])</f>
        <v>#N/A</v>
      </c>
      <c r="AO54" s="7" t="e">
        <f ca="1">NETWORKDAYS($A54, AC54, Hols[ICE]) - 1</f>
        <v>#N/A</v>
      </c>
      <c r="AP54" s="10" t="e">
        <f t="shared" ca="1" si="67"/>
        <v>#N/A</v>
      </c>
      <c r="AQ54" s="10" t="e">
        <f t="shared" ca="1" si="68"/>
        <v>#N/A</v>
      </c>
      <c r="AR54" s="10" t="e">
        <f t="shared" ca="1" si="69"/>
        <v>#N/A</v>
      </c>
      <c r="AS54" s="10" t="e">
        <f t="shared" ca="1" si="70"/>
        <v>#N/A</v>
      </c>
      <c r="AT54" s="10" t="e">
        <f t="shared" ca="1" si="71"/>
        <v>#N/A</v>
      </c>
      <c r="AU54" s="10" t="e">
        <f t="shared" ca="1" si="71"/>
        <v>#N/A</v>
      </c>
      <c r="AV54" s="28">
        <f ca="1">IFERROR(AVERAGE(_xll.BDH(AV$18 &amp; $B54 &amp; RIGHT($C54, 1) &amp; " " &amp; "Comdty", "PX_SETTLE", AV$16, AV$16, "Fill=#N/A")), IFERROR(AVERAGE(_xll.BDH(AV$18 &amp; $B54 &amp; RIGHT($C54, 2) &amp; " " &amp; "Comdty", "PX_SETTLE", AV$16, AV$16, "Fill=#N/A")), NA()))</f>
        <v>66.89</v>
      </c>
      <c r="AW54" s="28">
        <f ca="1">IFERROR(AVERAGE(_xll.BDH(AW$18 &amp; $B54 &amp; RIGHT($C54, 1) &amp; " " &amp; "Comdty", "PX_SETTLE", AW$16, AW$16, "Fill=#N/A")), IFERROR(AVERAGE(_xll.BDH(AW$18 &amp; $B54 &amp; RIGHT($C54, 2) &amp; " " &amp; "Comdty", "PX_SETTLE", AW$16, AW$16, "Fill=#N/A")), NA()))</f>
        <v>72.14</v>
      </c>
      <c r="AX54" s="29">
        <f ca="1">IFERROR(AVERAGE(_xll.BDH(AX$18 &amp; $B54 &amp; RIGHT($C54, 2) &amp; " " &amp; "Comdty", "FAIR_VALUE_SNAPSHOT_AT_1430", AX$16, AX$16, "TIME_ZONE_OVERRIDE=13", "Fill=#N/A")), NA())</f>
        <v>794.5</v>
      </c>
      <c r="AY54" s="28">
        <f ca="1">IFERROR(AVERAGE(_xll.BDH(AY$18 &amp; $B54 &amp; RIGHT($C54, 1) &amp; " " &amp; "Comdty", "PX_SETTLE", AY$16, AY$16, "Fill=#N/A")), NA())</f>
        <v>292.17</v>
      </c>
      <c r="AZ54" s="28">
        <f ca="1">IFERROR(AVERAGE(_xll.BDH(AZ$18 &amp; $B54 &amp; RIGHT($C54, 1) &amp; " " &amp; "Comdty", "PX_SETTLE", AZ$16, AZ$16, "Fill=#N/A")), NA())</f>
        <v>238.99</v>
      </c>
      <c r="BA54" s="29" t="e">
        <f ca="1">IFERROR(AVERAGE(_xll.BDH(BA$18 &amp; $B54 &amp; RIGHT($C54, 2) &amp; " " &amp; "Comdty", "PX_SETTLE", BA$16, BA$16, "Fill=#N/A")), IFERROR(AVERAGE(_xll.BDH(BA$18 &amp; $B54 &amp; RIGHT($C54, 2) &amp; " " &amp; "Comdty", "PX_SETTLE", BA$16, BA$16, "Fill=#N/A")), NA()))</f>
        <v>#N/A</v>
      </c>
      <c r="BB54" s="29">
        <f ca="1">IFERROR(AVERAGE(_xll.BDH(BB$18 &amp; $B54 &amp; RIGHT($C54, 2) &amp; " " &amp; "Comdty", "PX_SETTLE", BB$16, BB$16, "Fill=#N/A")), IFERROR(AVERAGE(_xll.BDH(BB$18 &amp; $B54 &amp; RIGHT($C54, 2) &amp; " " &amp; "Comdty", "PX_SETTLE", BB$16, BB$16, "Fill=#N/A")), NA()))</f>
        <v>72.84</v>
      </c>
      <c r="BC54" s="29" t="e">
        <f ca="1">IFERROR(AVERAGE(_xll.BDH(BC$18 &amp; $B54 &amp; RIGHT($C54, 2) &amp; " " &amp; "Comdty", "PX_SETTLE", BC$16, BC$16, "Fill=#N/A")), IFERROR(AVERAGE(_xll.BDH(BC$18 &amp; $B54 &amp; RIGHT($C54, 2) &amp; " " &amp; "Comdty", "PX_SETTLE", BC$16, BC$16, "Fill=#N/A")), NA()))</f>
        <v>#N/A</v>
      </c>
      <c r="BD54" s="29" t="e">
        <f>NA()</f>
        <v>#N/A</v>
      </c>
      <c r="BE54" s="109">
        <f t="shared" ca="1" si="209"/>
        <v>66.720454545454601</v>
      </c>
      <c r="BF54" s="46">
        <f t="shared" ca="1" si="72"/>
        <v>-0.16954545454539982</v>
      </c>
      <c r="BG54" s="47">
        <f t="shared" ca="1" si="151"/>
        <v>0.19136363636363285</v>
      </c>
      <c r="BH54" s="114">
        <f t="shared" ca="1" si="223"/>
        <v>1.3636363636351234E-3</v>
      </c>
      <c r="BI54" s="110">
        <f t="shared" ca="1" si="224"/>
        <v>71.855909090909222</v>
      </c>
      <c r="BJ54" s="46">
        <f t="shared" ca="1" si="73"/>
        <v>-0.28409090909077861</v>
      </c>
      <c r="BK54" s="48">
        <f t="shared" ca="1" si="225"/>
        <v>0.17681818181817732</v>
      </c>
      <c r="BL54" s="114">
        <f t="shared" ca="1" si="226"/>
        <v>1.6818181818180733E-2</v>
      </c>
      <c r="BM54" s="48">
        <f t="shared" ca="1" si="152"/>
        <v>775.52272727272793</v>
      </c>
      <c r="BN54" s="46">
        <f t="shared" ca="1" si="74"/>
        <v>-18.977272727272066</v>
      </c>
      <c r="BO54" s="47">
        <f t="shared" ca="1" si="210"/>
        <v>3.8977272727272521</v>
      </c>
      <c r="BP54" s="46">
        <f t="shared" ca="1" si="133"/>
        <v>1.1477272727272521</v>
      </c>
      <c r="BQ54" s="110" t="str">
        <f t="shared" ca="1" si="211"/>
        <v/>
      </c>
      <c r="BR54" s="46" t="str">
        <f t="shared" ca="1" si="75"/>
        <v/>
      </c>
      <c r="BS54" s="47" t="str">
        <f t="shared" ca="1" si="153"/>
        <v/>
      </c>
      <c r="BT54" s="114" t="str">
        <f t="shared" ca="1" si="154"/>
        <v/>
      </c>
      <c r="BU54" s="48" t="str">
        <f t="shared" ca="1" si="212"/>
        <v/>
      </c>
      <c r="BV54" s="46" t="str">
        <f t="shared" ca="1" si="76"/>
        <v/>
      </c>
      <c r="BW54" s="47" t="str">
        <f t="shared" ca="1" si="155"/>
        <v/>
      </c>
      <c r="BX54" s="46" t="str">
        <f t="shared" ca="1" si="156"/>
        <v/>
      </c>
      <c r="BY54" s="140" t="str">
        <f t="shared" ca="1" si="134"/>
        <v/>
      </c>
      <c r="BZ54" s="46" t="str">
        <f t="shared" ca="1" si="135"/>
        <v/>
      </c>
      <c r="CA54" s="47" t="str">
        <f t="shared" ca="1" si="157"/>
        <v/>
      </c>
      <c r="CB54" s="46" t="str">
        <f t="shared" ca="1" si="158"/>
        <v/>
      </c>
      <c r="CC54" s="141" t="str">
        <f t="shared" ca="1" si="136"/>
        <v/>
      </c>
      <c r="CD54" s="50" t="str">
        <f t="shared" ca="1" si="137"/>
        <v/>
      </c>
      <c r="CE54" s="47" t="str">
        <f t="shared" ca="1" si="159"/>
        <v/>
      </c>
      <c r="CF54" s="46" t="str">
        <f t="shared" ca="1" si="160"/>
        <v/>
      </c>
      <c r="CG54" s="141" t="str">
        <f t="shared" ca="1" si="138"/>
        <v/>
      </c>
      <c r="CH54" s="50" t="str">
        <f t="shared" ca="1" si="139"/>
        <v/>
      </c>
      <c r="CI54" s="47" t="str">
        <f t="shared" ca="1" si="161"/>
        <v/>
      </c>
      <c r="CJ54" s="46" t="str">
        <f t="shared" ca="1" si="162"/>
        <v/>
      </c>
      <c r="CK54" s="141" t="str">
        <f t="shared" ca="1" si="140"/>
        <v/>
      </c>
      <c r="CL54" s="50" t="str">
        <f t="shared" ca="1" si="77"/>
        <v/>
      </c>
      <c r="CM54" s="47" t="str">
        <f t="shared" ca="1" si="163"/>
        <v/>
      </c>
      <c r="CN54" s="46" t="str">
        <f t="shared" ca="1" si="164"/>
        <v/>
      </c>
      <c r="CO54" s="141" t="str">
        <f t="shared" ca="1" si="141"/>
        <v/>
      </c>
      <c r="CP54" s="50" t="str">
        <f t="shared" ca="1" si="78"/>
        <v/>
      </c>
      <c r="CQ54" s="47" t="str">
        <f t="shared" ca="1" si="165"/>
        <v/>
      </c>
      <c r="CR54" s="46" t="str">
        <f t="shared" ca="1" si="166"/>
        <v/>
      </c>
      <c r="CS54" s="109">
        <f t="shared" ca="1" si="79"/>
        <v>-5.1354545454546212</v>
      </c>
      <c r="CT54" s="46">
        <f t="shared" ca="1" si="80"/>
        <v>0.11454545454537879</v>
      </c>
      <c r="CU54" s="47">
        <f t="shared" ca="1" si="167"/>
        <v>1.4545454545455527E-2</v>
      </c>
      <c r="CV54" s="46">
        <f t="shared" ca="1" si="168"/>
        <v>0</v>
      </c>
      <c r="CW54" s="110" t="str">
        <f t="shared" ca="1" si="142"/>
        <v/>
      </c>
      <c r="CX54" s="46" t="str">
        <f t="shared" ca="1" si="81"/>
        <v/>
      </c>
      <c r="CY54" s="47" t="str">
        <f t="shared" ca="1" si="169"/>
        <v/>
      </c>
      <c r="CZ54" s="46" t="str">
        <f t="shared" ca="1" si="170"/>
        <v/>
      </c>
      <c r="DA54" s="109">
        <f t="shared" ca="1" si="82"/>
        <v>32.241101281269025</v>
      </c>
      <c r="DB54" s="46">
        <f t="shared" ca="1" si="83"/>
        <v>-2.2631940207443981</v>
      </c>
      <c r="DC54" s="47">
        <f t="shared" ca="1" si="171"/>
        <v>0.34636668700426299</v>
      </c>
      <c r="DD54" s="46">
        <f t="shared" ca="1" si="233"/>
        <v>0.13723917022574605</v>
      </c>
      <c r="DE54" s="110" t="str">
        <f t="shared" ca="1" si="84"/>
        <v/>
      </c>
      <c r="DF54" s="46" t="str">
        <f t="shared" ca="1" si="85"/>
        <v/>
      </c>
      <c r="DG54" s="47" t="str">
        <f t="shared" ca="1" si="172"/>
        <v/>
      </c>
      <c r="DH54" s="46" t="str">
        <f t="shared" ca="1" si="173"/>
        <v/>
      </c>
      <c r="DI54" s="110" t="str">
        <f t="shared" ca="1" si="86"/>
        <v/>
      </c>
      <c r="DJ54" s="46" t="str">
        <f t="shared" ca="1" si="87"/>
        <v/>
      </c>
      <c r="DK54" s="47" t="str">
        <f t="shared" ca="1" si="174"/>
        <v/>
      </c>
      <c r="DL54" s="46" t="str">
        <f t="shared" ca="1" si="175"/>
        <v/>
      </c>
      <c r="DM54" s="110" t="str">
        <f t="shared" ca="1" si="88"/>
        <v/>
      </c>
      <c r="DN54" s="46" t="str">
        <f t="shared" ca="1" si="89"/>
        <v/>
      </c>
      <c r="DO54" s="47" t="str">
        <f t="shared" ca="1" si="176"/>
        <v/>
      </c>
      <c r="DP54" s="47" t="str">
        <f t="shared" ca="1" si="177"/>
        <v/>
      </c>
      <c r="DQ54" s="110" t="str">
        <f t="shared" ca="1" si="90"/>
        <v/>
      </c>
      <c r="DR54" s="46" t="str">
        <f t="shared" ca="1" si="91"/>
        <v/>
      </c>
      <c r="DS54" s="47" t="str">
        <f t="shared" ca="1" si="178"/>
        <v/>
      </c>
      <c r="DT54" s="47" t="str">
        <f t="shared" ca="1" si="179"/>
        <v/>
      </c>
      <c r="DU54" s="109" t="str">
        <f t="shared" ca="1" si="92"/>
        <v/>
      </c>
      <c r="DV54" s="46" t="str">
        <f t="shared" ca="1" si="93"/>
        <v/>
      </c>
      <c r="DW54" s="47" t="str">
        <f t="shared" ca="1" si="180"/>
        <v/>
      </c>
      <c r="DX54" s="47" t="str">
        <f t="shared" ca="1" si="181"/>
        <v/>
      </c>
      <c r="DY54" s="110" t="str">
        <f t="shared" ca="1" si="94"/>
        <v/>
      </c>
      <c r="DZ54" s="46" t="str">
        <f t="shared" ca="1" si="95"/>
        <v/>
      </c>
      <c r="EA54" s="47" t="str">
        <f t="shared" ca="1" si="182"/>
        <v/>
      </c>
      <c r="EB54" s="47" t="str">
        <f t="shared" ca="1" si="183"/>
        <v/>
      </c>
      <c r="EC54" s="110" t="str">
        <f t="shared" ca="1" si="96"/>
        <v/>
      </c>
      <c r="ED54" s="46" t="str">
        <f t="shared" ca="1" si="97"/>
        <v/>
      </c>
      <c r="EE54" s="47" t="str">
        <f t="shared" ca="1" si="184"/>
        <v/>
      </c>
      <c r="EF54" s="47" t="str">
        <f t="shared" ca="1" si="185"/>
        <v/>
      </c>
      <c r="EG54" s="110" t="str">
        <f t="shared" ca="1" si="98"/>
        <v/>
      </c>
      <c r="EH54" s="46" t="str">
        <f t="shared" ca="1" si="99"/>
        <v/>
      </c>
      <c r="EI54" s="47" t="str">
        <f t="shared" ca="1" si="186"/>
        <v/>
      </c>
      <c r="EJ54" s="47" t="str">
        <f t="shared" ca="1" si="187"/>
        <v/>
      </c>
      <c r="EK54" s="110" t="str">
        <f t="shared" ca="1" si="100"/>
        <v/>
      </c>
      <c r="EL54" s="46" t="str">
        <f t="shared" ca="1" si="101"/>
        <v/>
      </c>
      <c r="EM54" s="47" t="str">
        <f t="shared" ca="1" si="188"/>
        <v/>
      </c>
      <c r="EN54" s="47" t="str">
        <f t="shared" ca="1" si="189"/>
        <v/>
      </c>
      <c r="EO54" s="109" t="str">
        <f t="shared" ca="1" si="102"/>
        <v/>
      </c>
      <c r="EP54" s="46" t="str">
        <f t="shared" ca="1" si="103"/>
        <v/>
      </c>
      <c r="EQ54" s="47" t="str">
        <f t="shared" ca="1" si="190"/>
        <v/>
      </c>
      <c r="ER54" s="47" t="str">
        <f t="shared" ca="1" si="191"/>
        <v/>
      </c>
      <c r="ES54" s="110" t="str">
        <f t="shared" ca="1" si="104"/>
        <v/>
      </c>
      <c r="ET54" s="46" t="str">
        <f t="shared" ca="1" si="105"/>
        <v/>
      </c>
      <c r="EU54" s="47" t="str">
        <f t="shared" ca="1" si="192"/>
        <v/>
      </c>
      <c r="EV54" s="47" t="str">
        <f t="shared" ca="1" si="193"/>
        <v/>
      </c>
      <c r="EW54" s="109" t="str">
        <f t="shared" ca="1" si="106"/>
        <v/>
      </c>
      <c r="EX54" s="46" t="str">
        <f t="shared" ca="1" si="107"/>
        <v/>
      </c>
      <c r="EY54" s="47" t="str">
        <f t="shared" ca="1" si="194"/>
        <v/>
      </c>
      <c r="EZ54" s="47" t="str">
        <f t="shared" ca="1" si="195"/>
        <v/>
      </c>
      <c r="FA54" s="110" t="str">
        <f t="shared" ca="1" si="108"/>
        <v/>
      </c>
      <c r="FB54" s="46" t="str">
        <f t="shared" ca="1" si="109"/>
        <v/>
      </c>
      <c r="FC54" s="47" t="str">
        <f t="shared" ca="1" si="196"/>
        <v/>
      </c>
      <c r="FD54" s="47" t="str">
        <f t="shared" ca="1" si="197"/>
        <v/>
      </c>
      <c r="FE54" s="109" t="str">
        <f t="shared" ca="1" si="110"/>
        <v/>
      </c>
      <c r="FF54" s="46" t="str">
        <f t="shared" ca="1" si="111"/>
        <v/>
      </c>
      <c r="FG54" s="110" t="str">
        <f t="shared" ca="1" si="112"/>
        <v/>
      </c>
      <c r="FH54" s="46" t="str">
        <f t="shared" ca="1" si="113"/>
        <v/>
      </c>
      <c r="FI54" s="110" t="str">
        <f t="shared" ca="1" si="114"/>
        <v/>
      </c>
      <c r="FJ54" s="46" t="str">
        <f t="shared" ca="1" si="115"/>
        <v/>
      </c>
      <c r="FK54" s="110" t="str">
        <f t="shared" ca="1" si="116"/>
        <v/>
      </c>
      <c r="FL54" s="46" t="str">
        <f t="shared" ca="1" si="117"/>
        <v/>
      </c>
      <c r="FM54" s="110" t="str">
        <f t="shared" ca="1" si="118"/>
        <v/>
      </c>
      <c r="FN54" s="46" t="str">
        <f t="shared" ca="1" si="119"/>
        <v/>
      </c>
      <c r="FO54" s="110" t="str">
        <f t="shared" ca="1" si="120"/>
        <v/>
      </c>
      <c r="FP54" s="46" t="str">
        <f t="shared" ca="1" si="121"/>
        <v/>
      </c>
      <c r="FQ54" s="110" t="str">
        <f t="shared" ca="1" si="122"/>
        <v/>
      </c>
      <c r="FR54" s="46" t="str">
        <f t="shared" ca="1" si="123"/>
        <v/>
      </c>
      <c r="FS54" s="110" t="str">
        <f t="shared" ca="1" si="124"/>
        <v/>
      </c>
      <c r="FT54" s="111" t="str">
        <f t="shared" ca="1" si="125"/>
        <v/>
      </c>
      <c r="FU54" s="109" t="str">
        <f t="shared" ca="1" si="232"/>
        <v/>
      </c>
      <c r="FV54" s="46" t="str">
        <f t="shared" ca="1" si="213"/>
        <v/>
      </c>
      <c r="FW54" s="48" t="str">
        <f t="shared" ca="1" si="227"/>
        <v/>
      </c>
      <c r="FX54" s="114" t="str">
        <f t="shared" ca="1" si="228"/>
        <v/>
      </c>
      <c r="FY54" s="110" t="str">
        <f t="shared" ca="1" si="214"/>
        <v/>
      </c>
      <c r="FZ54" s="46" t="str">
        <f t="shared" ca="1" si="215"/>
        <v/>
      </c>
      <c r="GA54" s="47" t="str">
        <f t="shared" ca="1" si="216"/>
        <v/>
      </c>
      <c r="GB54" s="46" t="str">
        <f t="shared" ca="1" si="229"/>
        <v/>
      </c>
      <c r="GC54" s="110" t="str">
        <f ca="1">IFERROR(IF(AND(ISNUMBER($FU54), ISNUMBER(Crd!$X54)), $FU54 - Crd!$X54, ""), "")</f>
        <v/>
      </c>
      <c r="GD54" s="46" t="str">
        <f ca="1">IFERROR(IF(AND(ISNUMBER($FV54), ISNUMBER(Crd!$Y54)), $FV54 - Crd!$Y54, ""), "")</f>
        <v/>
      </c>
      <c r="GE54" s="47" t="str">
        <f t="shared" ca="1" si="217"/>
        <v/>
      </c>
      <c r="GF54" s="46" t="str">
        <f t="shared" ca="1" si="218"/>
        <v/>
      </c>
      <c r="GG54" s="141" t="str">
        <f t="shared" ca="1" si="198"/>
        <v/>
      </c>
      <c r="GH54" s="50" t="str">
        <f t="shared" ca="1" si="199"/>
        <v/>
      </c>
      <c r="GI54" s="47" t="str">
        <f t="shared" ca="1" si="144"/>
        <v/>
      </c>
      <c r="GJ54" s="46" t="str">
        <f t="shared" ca="1" si="145"/>
        <v/>
      </c>
      <c r="GK54" s="110" t="str">
        <f t="shared" ca="1" si="127"/>
        <v/>
      </c>
      <c r="GL54" s="46" t="str">
        <f t="shared" ca="1" si="128"/>
        <v/>
      </c>
      <c r="GM54" s="47" t="str">
        <f t="shared" ca="1" si="200"/>
        <v/>
      </c>
      <c r="GN54" s="46" t="str">
        <f t="shared" ca="1" si="201"/>
        <v/>
      </c>
      <c r="GO54" s="110" t="str">
        <f ca="1">IFERROR(IF(AND(ISNUMBER($GG54), ISNUMBER(Crd!$X54)), $GG54 - Crd!$X54, ""), "")</f>
        <v/>
      </c>
      <c r="GP54" s="46" t="str">
        <f ca="1">IFERROR(IF(AND(ISNUMBER($GH54), ISNUMBER(Crd!$Y54)), $GH54 - Crd!$Y54, ""), "")</f>
        <v/>
      </c>
      <c r="GQ54" s="47" t="str">
        <f t="shared" ca="1" si="202"/>
        <v/>
      </c>
      <c r="GR54" s="46" t="str">
        <f t="shared" ca="1" si="203"/>
        <v/>
      </c>
      <c r="GS54" s="436" t="str">
        <f t="shared" ca="1" si="219"/>
        <v/>
      </c>
      <c r="GT54" s="46" t="str">
        <f t="shared" ca="1" si="220"/>
        <v/>
      </c>
      <c r="GU54" s="48" t="str">
        <f t="shared" ca="1" si="230"/>
        <v/>
      </c>
      <c r="GV54" s="46" t="str">
        <f t="shared" ca="1" si="231"/>
        <v/>
      </c>
      <c r="GW54" s="427" t="str">
        <f t="shared" ca="1" si="204"/>
        <v/>
      </c>
      <c r="GX54" s="50" t="str">
        <f t="shared" ca="1" si="146"/>
        <v/>
      </c>
      <c r="GY54" s="47" t="str">
        <f t="shared" ca="1" si="205"/>
        <v/>
      </c>
      <c r="GZ54" s="432" t="str">
        <f t="shared" ca="1" si="206"/>
        <v/>
      </c>
      <c r="HA54" s="436"/>
      <c r="HB54" s="46"/>
      <c r="HC54" s="48"/>
      <c r="HD54" s="46"/>
      <c r="HE54" s="269"/>
      <c r="HF54" s="46"/>
      <c r="HG54" s="48"/>
      <c r="HH54" s="432"/>
    </row>
    <row r="55" spans="1:216" x14ac:dyDescent="0.25">
      <c r="A55" s="58">
        <f t="shared" ca="1" si="131"/>
        <v>47362</v>
      </c>
      <c r="B55" s="6" t="str">
        <f ca="1">INDEX(MthRef[], MATCH(MONTH(Futs!$A55), MthRef[Mth], 0), 2)</f>
        <v>U</v>
      </c>
      <c r="C55" s="6">
        <f t="shared" ca="1" si="65"/>
        <v>2029</v>
      </c>
      <c r="D55" s="6" t="str">
        <f t="shared" ca="1" si="66"/>
        <v>Q329</v>
      </c>
      <c r="E55" s="6" t="str">
        <f t="shared" ca="1" si="132"/>
        <v>U9</v>
      </c>
      <c r="F55" s="10" t="e">
        <f ca="1">IFERROR(AVERAGE(_xll.BDP(F$18 &amp; $B55 &amp; RIGHT($C55, 1) &amp; " " &amp; "Comdty", "BID", "Fill=#N/A"), _xll.BDP(F$18 &amp; $B55 &amp; RIGHT($C55, 1) &amp; " " &amp; "Comdty", "ASK", "Fill=#N/A")), NA())</f>
        <v>#N/A</v>
      </c>
      <c r="G55" s="10" t="e">
        <f ca="1">IFERROR(AVERAGE(_xll.BDP(G$18 &amp; $B55 &amp; RIGHT($C55, 1) &amp; " " &amp; "Comdty", "BID", "Fill=#N/A"), _xll.BDP(G$18 &amp; $B55 &amp; RIGHT($C55, 1) &amp; " " &amp; "Comdty", "ASK", "Fill=#N/A")), NA())</f>
        <v>#N/A</v>
      </c>
      <c r="H55" s="10" t="e">
        <f ca="1">IFERROR(AVERAGE(_xll.BDP(H$18 &amp; $B55 &amp; RIGHT($C55, 1) &amp; " " &amp; "Comdty", "BID", "Fill=#N/A"), _xll.BDP(H$18 &amp; $B55 &amp; RIGHT($C55, 1) &amp; " " &amp; "Comdty", "ASK", "Fill=#N/A")), NA())</f>
        <v>#N/A</v>
      </c>
      <c r="I55" s="10" t="e">
        <f ca="1">IFERROR(AVERAGE(_xll.BDP(I$18 &amp; $B55 &amp; RIGHT($C55, 1) &amp; " " &amp; "Comdty", "BID", "Fill=#N/A"), _xll.BDP(I$18 &amp; $B55 &amp; RIGHT($C55, 1) &amp; " " &amp; "Comdty", "ASK", "Fill=#N/A")), NA())</f>
        <v>#N/A</v>
      </c>
      <c r="J55" s="10" t="e">
        <f ca="1">IFERROR(AVERAGE(_xll.BDP(J$18 &amp; $B55 &amp; RIGHT($C55, 1) &amp; " " &amp; "Comdty", "BID", "Fill=#N/A"), _xll.BDP(J$18 &amp; $B55 &amp; RIGHT($C55, 1) &amp; " " &amp; "Comdty", "ASK", "Fill=#N/A")), NA())</f>
        <v>#N/A</v>
      </c>
      <c r="K55" s="10" t="e">
        <f ca="1">IFERROR(AVERAGE(_xll.BDP(K$18 &amp; $B55 &amp; RIGHT($C55, 2) &amp; " " &amp; "Comdty", "BID", "Fill=#N/A"), _xll.BDP(K$18 &amp; $B55 &amp; RIGHT($C55, 2) &amp; " " &amp; "Comdty", "ASK", "Fill=#N/A")), NA())</f>
        <v>#N/A</v>
      </c>
      <c r="L55" s="10" t="e">
        <f ca="1">IFERROR(AVERAGE(_xll.BDP(L$18 &amp; $B55 &amp; RIGHT($C55, 2) &amp; " " &amp; "Comdty", "BID", "Fill=#N/A"), _xll.BDP(L$18 &amp; $B55 &amp; RIGHT($C55, 2) &amp; " " &amp; "Comdty", "ASK", "Fill=#N/A")), NA())</f>
        <v>#N/A</v>
      </c>
      <c r="M55" s="10">
        <f ca="1">IFERROR(AVERAGE(_xll.BDP(M$18 &amp; $B55 &amp; RIGHT($C55, 2) &amp; " " &amp; "Comdty", "BID", "Fill=#N/A"), _xll.BDP(M$18 &amp; $B55 &amp; RIGHT($C55, 2) &amp; " " &amp; "Comdty", "ASK", "Fill=#N/A")), NA())</f>
        <v>492.70000000000005</v>
      </c>
      <c r="N55" s="10">
        <f ca="1">IFERROR(AVERAGE(_xll.BDP(N$18 &amp; $B54 &amp; RIGHT($C54, 1) &amp; N$18 &amp; $B55 &amp; RIGHT($C55, 1) &amp; " " &amp; "Comdty", "BID", "Fill=#N/A"), _xll.BDP(N$18 &amp; $B54 &amp; RIGHT($C54, 1) &amp; N$18 &amp; $B55 &amp; RIGHT($C55, 1) &amp; " " &amp; "Comdty", "ASK", "Fill=#N/A")), NA())</f>
        <v>0.18</v>
      </c>
      <c r="O55" s="10">
        <f ca="1">IFERROR(AVERAGE(_xll.BDP(O$18 &amp; $B54 &amp; RIGHT($C54, 1) &amp; O$18 &amp; $B55 &amp; RIGHT($C55, 1) &amp; " " &amp; "Comdty", "BID", "Fill=#N/A"), _xll.BDP(O$18 &amp; $B54 &amp; RIGHT($C54, 1) &amp; O$18 &amp; $B55 &amp; RIGHT($C55, 1) &amp; " " &amp; "Comdty", "ASK", "Fill=#N/A")), NA())</f>
        <v>0.15000000000000002</v>
      </c>
      <c r="P55" s="10">
        <f ca="1">IFERROR(AVERAGE(_xll.BDP(P$18 &amp; $B54 &amp; RIGHT($C54, 1) &amp; P$18 &amp; $B55 &amp; RIGHT($C55, 1) &amp; " " &amp; "Comdty", "BID", "Fill=#N/A"), _xll.BDP(P$18 &amp; $B54 &amp; RIGHT($C54, 1) &amp; P$18 &amp; $B55 &amp; RIGHT($C55, 1) &amp; " " &amp; "Comdty", "ASK", "Fill=#N/A")), NA())</f>
        <v>2.75</v>
      </c>
      <c r="Q55" s="10" t="e">
        <f ca="1">IFERROR(AVERAGE(_xll.BDP(Q$18 &amp; $B54 &amp; RIGHT($C54, 1) &amp; Q$18 &amp; $B55 &amp; RIGHT($C55, 1) &amp; " " &amp; "Comdty", "BID", "Fill=#N/A"), _xll.BDP(Q$18 &amp; $B54 &amp; RIGHT($C54, 1) &amp; Q$18 &amp; $B55 &amp; RIGHT($C55, 1) &amp; " " &amp; "Comdty", "ASK", "Fill=#N/A")), NA())</f>
        <v>#N/A</v>
      </c>
      <c r="R55" s="10" t="e">
        <f ca="1">IFERROR(AVERAGE(_xll.BDP(R$18 &amp; $B54 &amp; RIGHT($C54, 1) &amp; R$18 &amp; $B55 &amp; RIGHT($C55, 1) &amp; " " &amp; "Comdty", "BID", "Fill=#N/A"), _xll.BDP(R$18 &amp; $B54 &amp; RIGHT($C54, 1) &amp; R$18 &amp; $B55 &amp; RIGHT($C55, 1) &amp; " " &amp; "Comdty", "ASK", "Fill=#N/A")), NA())</f>
        <v>#N/A</v>
      </c>
      <c r="S55" s="10" t="e">
        <f ca="1">IFERROR(AVERAGE(_xll.BDP(S$18 &amp; $B54 &amp; RIGHT($C54, 1) &amp; $B55 &amp; RIGHT($C55, 1) &amp; " " &amp; "Comdty", "BID", "Fill=#N/A"), _xll.BDP(S$18 &amp; $B54 &amp; RIGHT($C54, 1) &amp; $B55 &amp; RIGHT($C55, 1) &amp; " " &amp; "Comdty", "ASK", "Fill=#N/A")), NA())</f>
        <v>#N/A</v>
      </c>
      <c r="T55" s="10" t="e">
        <f ca="1">IFERROR(AVERAGE(_xll.BDP(T$18 &amp; $B54 &amp; RIGHT($C54, 1) &amp; $B55 &amp; RIGHT($C55, 1) &amp; " " &amp; "Comdty", "BID", "Fill=#N/A"), _xll.BDP(T$18 &amp; $B54 &amp; RIGHT($C54, 1) &amp; $B55 &amp; RIGHT($C55, 1) &amp; " " &amp; "Comdty", "ASK", "Fill=#N/A")), NA())</f>
        <v>#N/A</v>
      </c>
      <c r="U55" s="10">
        <f ca="1">IF($A55 &lt; Diagnostics!$B$3, N55, INDEX(ImpSprd[], MATCH(Futs!$C55, ImpSprd[Yr], 0), MATCH(U$18, ImpSprd[#Headers], 0)))</f>
        <v>0.19136363636363637</v>
      </c>
      <c r="V55" s="10">
        <f ca="1">IF($A55 &lt; Diagnostics!$B$3, O55, INDEX(ImpSprd[], MATCH(Futs!$C55, ImpSprd[Yr], 0), MATCH(V$18, ImpSprd[#Headers], 0)))</f>
        <v>0.17681818181818179</v>
      </c>
      <c r="W55" s="10">
        <f ca="1">IF($A55 &lt; Diagnostics!$B$3, P55, INDEX(ImpSprd[], MATCH(Futs!$C55, ImpSprd[Yr], 0), MATCH(W$18, ImpSprd[#Headers], 0)))</f>
        <v>3.8977272727272729</v>
      </c>
      <c r="X55" s="31" t="e">
        <f ca="1">INDEX(Expi[], MATCH($A55, Expi[Date], 0), MATCH(X$18, Expi[#Headers], 0))</f>
        <v>#N/A</v>
      </c>
      <c r="Y55" s="31" t="e">
        <f ca="1">INDEX(Expi[], MATCH($A55, Expi[Date], 0), MATCH(Y$18, Expi[#Headers], 0))</f>
        <v>#N/A</v>
      </c>
      <c r="Z55" s="31" t="e">
        <f ca="1">INDEX(Expi[], MATCH($A55, Expi[Date], 0), MATCH(Z$18, Expi[#Headers], 0))</f>
        <v>#N/A</v>
      </c>
      <c r="AA55" s="31" t="e">
        <f ca="1">INDEX(Expi[], MATCH($A55, Expi[Date], 0), MATCH(AA$18, Expi[#Headers], 0))</f>
        <v>#N/A</v>
      </c>
      <c r="AB55" s="31" t="e">
        <f ca="1">INDEX(Expi[], MATCH($A55, Expi[Date], 0), MATCH(AB$18, Expi[#Headers], 0))</f>
        <v>#N/A</v>
      </c>
      <c r="AC55" s="31" t="e">
        <f ca="1">INDEX(Expi[], MATCH($A55, Expi[Date], 0), MATCH(AC$18, Expi[#Headers], 0))</f>
        <v>#N/A</v>
      </c>
      <c r="AD55" s="7">
        <f ca="1">NETWORKDAYS($A55, EOMONTH($A55, 0), Hols[CME])</f>
        <v>20</v>
      </c>
      <c r="AE55" s="7">
        <f ca="1">NETWORKDAYS($A55, EOMONTH($A55, 0), Hols[ICE])</f>
        <v>20</v>
      </c>
      <c r="AF55" s="7">
        <f ca="1">NETWORKDAYS($A55, EOMONTH($A55, 0), Hols[ICE])</f>
        <v>20</v>
      </c>
      <c r="AG55" s="7">
        <f ca="1">NETWORKDAYS($A55, EOMONTH($A55, 0), Hols[CME])</f>
        <v>20</v>
      </c>
      <c r="AH55" s="7">
        <f ca="1">NETWORKDAYS($A55, EOMONTH($A55, 0), Hols[CME])</f>
        <v>20</v>
      </c>
      <c r="AI55" s="7">
        <f ca="1">NETWORKDAYS($A55, EOMONTH($A55, 0), Hols[ICE])</f>
        <v>20</v>
      </c>
      <c r="AJ55" s="7" t="e">
        <f ca="1">NETWORKDAYS($A55, X55, Hols[CME])</f>
        <v>#N/A</v>
      </c>
      <c r="AK55" s="7" t="e">
        <f ca="1">NETWORKDAYS($A55, Y55, Hols[ICE]) - 1</f>
        <v>#N/A</v>
      </c>
      <c r="AL55" s="7" t="e">
        <f ca="1">NETWORKDAYS($A55, Z55, Hols[ICE]) - 1</f>
        <v>#N/A</v>
      </c>
      <c r="AM55" s="7" t="e">
        <f ca="1">NETWORKDAYS($A55, AA55, Hols[CME])</f>
        <v>#N/A</v>
      </c>
      <c r="AN55" s="7" t="e">
        <f ca="1">NETWORKDAYS($A55, AB55, Hols[CME])</f>
        <v>#N/A</v>
      </c>
      <c r="AO55" s="7" t="e">
        <f ca="1">NETWORKDAYS($A55, AC55, Hols[ICE]) - 1</f>
        <v>#N/A</v>
      </c>
      <c r="AP55" s="10" t="e">
        <f t="shared" ca="1" si="67"/>
        <v>#N/A</v>
      </c>
      <c r="AQ55" s="10" t="e">
        <f t="shared" ca="1" si="68"/>
        <v>#N/A</v>
      </c>
      <c r="AR55" s="10" t="e">
        <f t="shared" ca="1" si="69"/>
        <v>#N/A</v>
      </c>
      <c r="AS55" s="10" t="e">
        <f t="shared" ca="1" si="70"/>
        <v>#N/A</v>
      </c>
      <c r="AT55" s="10" t="e">
        <f t="shared" ca="1" si="71"/>
        <v>#N/A</v>
      </c>
      <c r="AU55" s="10" t="e">
        <f t="shared" ca="1" si="71"/>
        <v>#N/A</v>
      </c>
      <c r="AV55" s="28">
        <f ca="1">IFERROR(AVERAGE(_xll.BDH(AV$18 &amp; $B55 &amp; RIGHT($C55, 1) &amp; " " &amp; "Comdty", "PX_SETTLE", AV$16, AV$16, "Fill=#N/A")), IFERROR(AVERAGE(_xll.BDH(AV$18 &amp; $B55 &amp; RIGHT($C55, 2) &amp; " " &amp; "Comdty", "PX_SETTLE", AV$16, AV$16, "Fill=#N/A")), NA()))</f>
        <v>66.709999999999994</v>
      </c>
      <c r="AW55" s="28">
        <f ca="1">IFERROR(AVERAGE(_xll.BDH(AW$18 &amp; $B55 &amp; RIGHT($C55, 1) &amp; " " &amp; "Comdty", "PX_SETTLE", AW$16, AW$16, "Fill=#N/A")), IFERROR(AVERAGE(_xll.BDH(AW$18 &amp; $B55 &amp; RIGHT($C55, 2) &amp; " " &amp; "Comdty", "PX_SETTLE", AW$16, AW$16, "Fill=#N/A")), NA()))</f>
        <v>71.989999999999995</v>
      </c>
      <c r="AX55" s="29">
        <f ca="1">IFERROR(AVERAGE(_xll.BDH(AX$18 &amp; $B55 &amp; RIGHT($C55, 2) &amp; " " &amp; "Comdty", "FAIR_VALUE_SNAPSHOT_AT_1430", AX$16, AX$16, "TIME_ZONE_OVERRIDE=13", "Fill=#N/A")), NA())</f>
        <v>792</v>
      </c>
      <c r="AY55" s="28">
        <f ca="1">IFERROR(AVERAGE(_xll.BDH(AY$18 &amp; $B55 &amp; RIGHT($C55, 1) &amp; " " &amp; "Comdty", "PX_SETTLE", AY$16, AY$16, "Fill=#N/A")), NA())</f>
        <v>292.33999999999997</v>
      </c>
      <c r="AZ55" s="28">
        <f ca="1">IFERROR(AVERAGE(_xll.BDH(AZ$18 &amp; $B55 &amp; RIGHT($C55, 1) &amp; " " &amp; "Comdty", "PX_SETTLE", AZ$16, AZ$16, "Fill=#N/A")), NA())</f>
        <v>235.91</v>
      </c>
      <c r="BA55" s="29" t="e">
        <f ca="1">IFERROR(AVERAGE(_xll.BDH(BA$18 &amp; $B55 &amp; RIGHT($C55, 2) &amp; " " &amp; "Comdty", "PX_SETTLE", BA$16, BA$16, "Fill=#N/A")), IFERROR(AVERAGE(_xll.BDH(BA$18 &amp; $B55 &amp; RIGHT($C55, 2) &amp; " " &amp; "Comdty", "PX_SETTLE", BA$16, BA$16, "Fill=#N/A")), NA()))</f>
        <v>#N/A</v>
      </c>
      <c r="BB55" s="29">
        <f ca="1">IFERROR(AVERAGE(_xll.BDH(BB$18 &amp; $B55 &amp; RIGHT($C55, 2) &amp; " " &amp; "Comdty", "PX_SETTLE", BB$16, BB$16, "Fill=#N/A")), IFERROR(AVERAGE(_xll.BDH(BB$18 &amp; $B55 &amp; RIGHT($C55, 2) &amp; " " &amp; "Comdty", "PX_SETTLE", BB$16, BB$16, "Fill=#N/A")), NA()))</f>
        <v>72.69</v>
      </c>
      <c r="BC55" s="29">
        <f ca="1">IFERROR(AVERAGE(_xll.BDH(BC$18 &amp; $B55 &amp; RIGHT($C55, 2) &amp; " " &amp; "Comdty", "PX_SETTLE", BC$16, BC$16, "Fill=#N/A")), IFERROR(AVERAGE(_xll.BDH(BC$18 &amp; $B55 &amp; RIGHT($C55, 2) &amp; " " &amp; "Comdty", "PX_SETTLE", BC$16, BC$16, "Fill=#N/A")), NA()))</f>
        <v>494</v>
      </c>
      <c r="BD55" s="29" t="e">
        <f>NA()</f>
        <v>#N/A</v>
      </c>
      <c r="BE55" s="109">
        <f t="shared" ca="1" si="209"/>
        <v>66.529090909090968</v>
      </c>
      <c r="BF55" s="46">
        <f t="shared" ca="1" si="72"/>
        <v>-0.18090909090902585</v>
      </c>
      <c r="BG55" s="47">
        <f t="shared" ca="1" si="151"/>
        <v>0.19136363636363285</v>
      </c>
      <c r="BH55" s="114">
        <f t="shared" ca="1" si="223"/>
        <v>1.1363636363626028E-2</v>
      </c>
      <c r="BI55" s="110">
        <f t="shared" ca="1" si="224"/>
        <v>71.679090909091045</v>
      </c>
      <c r="BJ55" s="46">
        <f t="shared" ca="1" si="73"/>
        <v>-0.31090909090895025</v>
      </c>
      <c r="BK55" s="48">
        <f t="shared" ca="1" si="225"/>
        <v>0.17681818181817732</v>
      </c>
      <c r="BL55" s="114">
        <f t="shared" ca="1" si="226"/>
        <v>2.6818181818171638E-2</v>
      </c>
      <c r="BM55" s="48">
        <f t="shared" ca="1" si="152"/>
        <v>771.62500000000068</v>
      </c>
      <c r="BN55" s="46">
        <f t="shared" ca="1" si="74"/>
        <v>-20.374999999999318</v>
      </c>
      <c r="BO55" s="47">
        <f t="shared" ca="1" si="210"/>
        <v>3.8977272727272521</v>
      </c>
      <c r="BP55" s="46">
        <f t="shared" ca="1" si="133"/>
        <v>1.3977272727272521</v>
      </c>
      <c r="BQ55" s="110" t="str">
        <f t="shared" ca="1" si="211"/>
        <v/>
      </c>
      <c r="BR55" s="46" t="str">
        <f t="shared" ca="1" si="75"/>
        <v/>
      </c>
      <c r="BS55" s="47" t="str">
        <f t="shared" ca="1" si="153"/>
        <v/>
      </c>
      <c r="BT55" s="114" t="str">
        <f t="shared" ca="1" si="154"/>
        <v/>
      </c>
      <c r="BU55" s="48" t="str">
        <f t="shared" ca="1" si="212"/>
        <v/>
      </c>
      <c r="BV55" s="46" t="str">
        <f t="shared" ca="1" si="76"/>
        <v/>
      </c>
      <c r="BW55" s="47" t="str">
        <f t="shared" ca="1" si="155"/>
        <v/>
      </c>
      <c r="BX55" s="46" t="str">
        <f t="shared" ca="1" si="156"/>
        <v/>
      </c>
      <c r="BY55" s="140" t="str">
        <f t="shared" ca="1" si="134"/>
        <v/>
      </c>
      <c r="BZ55" s="46" t="str">
        <f t="shared" ca="1" si="135"/>
        <v/>
      </c>
      <c r="CA55" s="47" t="str">
        <f t="shared" ca="1" si="157"/>
        <v/>
      </c>
      <c r="CB55" s="46" t="str">
        <f t="shared" ca="1" si="158"/>
        <v/>
      </c>
      <c r="CC55" s="141" t="str">
        <f t="shared" ca="1" si="136"/>
        <v/>
      </c>
      <c r="CD55" s="50" t="str">
        <f t="shared" ca="1" si="137"/>
        <v/>
      </c>
      <c r="CE55" s="47" t="str">
        <f t="shared" ca="1" si="159"/>
        <v/>
      </c>
      <c r="CF55" s="46" t="str">
        <f t="shared" ca="1" si="160"/>
        <v/>
      </c>
      <c r="CG55" s="141" t="str">
        <f t="shared" ca="1" si="138"/>
        <v/>
      </c>
      <c r="CH55" s="50" t="str">
        <f t="shared" ca="1" si="139"/>
        <v/>
      </c>
      <c r="CI55" s="47" t="str">
        <f t="shared" ca="1" si="161"/>
        <v/>
      </c>
      <c r="CJ55" s="46" t="str">
        <f t="shared" ca="1" si="162"/>
        <v/>
      </c>
      <c r="CK55" s="141" t="str">
        <f t="shared" ca="1" si="140"/>
        <v/>
      </c>
      <c r="CL55" s="50" t="str">
        <f t="shared" ca="1" si="77"/>
        <v/>
      </c>
      <c r="CM55" s="47" t="str">
        <f t="shared" ca="1" si="163"/>
        <v/>
      </c>
      <c r="CN55" s="46" t="str">
        <f t="shared" ca="1" si="164"/>
        <v/>
      </c>
      <c r="CO55" s="141" t="str">
        <f t="shared" ca="1" si="141"/>
        <v/>
      </c>
      <c r="CP55" s="50" t="str">
        <f t="shared" ca="1" si="78"/>
        <v/>
      </c>
      <c r="CQ55" s="47" t="str">
        <f t="shared" ca="1" si="165"/>
        <v/>
      </c>
      <c r="CR55" s="46" t="str">
        <f t="shared" ca="1" si="166"/>
        <v/>
      </c>
      <c r="CS55" s="109">
        <f t="shared" ca="1" si="79"/>
        <v>-5.1500000000000767</v>
      </c>
      <c r="CT55" s="46">
        <f t="shared" ca="1" si="80"/>
        <v>0.1299999999999244</v>
      </c>
      <c r="CU55" s="47">
        <f t="shared" ca="1" si="167"/>
        <v>1.4545454545455527E-2</v>
      </c>
      <c r="CV55" s="46">
        <f t="shared" ca="1" si="168"/>
        <v>0</v>
      </c>
      <c r="CW55" s="110" t="str">
        <f t="shared" ca="1" si="142"/>
        <v/>
      </c>
      <c r="CX55" s="46" t="str">
        <f t="shared" ca="1" si="81"/>
        <v/>
      </c>
      <c r="CY55" s="47" t="str">
        <f t="shared" ca="1" si="169"/>
        <v/>
      </c>
      <c r="CZ55" s="46" t="str">
        <f t="shared" ca="1" si="170"/>
        <v/>
      </c>
      <c r="DA55" s="109">
        <f t="shared" ca="1" si="82"/>
        <v>31.894734594264747</v>
      </c>
      <c r="DB55" s="46">
        <f t="shared" ca="1" si="83"/>
        <v>-2.4239902379500187</v>
      </c>
      <c r="DC55" s="47">
        <f t="shared" ca="1" si="171"/>
        <v>0.3463666870042772</v>
      </c>
      <c r="DD55" s="46">
        <f t="shared" ca="1" si="233"/>
        <v>0.16079621720562054</v>
      </c>
      <c r="DE55" s="110" t="str">
        <f t="shared" ca="1" si="84"/>
        <v/>
      </c>
      <c r="DF55" s="46" t="str">
        <f t="shared" ca="1" si="85"/>
        <v/>
      </c>
      <c r="DG55" s="47" t="str">
        <f t="shared" ca="1" si="172"/>
        <v/>
      </c>
      <c r="DH55" s="46" t="str">
        <f t="shared" ca="1" si="173"/>
        <v/>
      </c>
      <c r="DI55" s="110" t="str">
        <f t="shared" ca="1" si="86"/>
        <v/>
      </c>
      <c r="DJ55" s="46" t="str">
        <f t="shared" ca="1" si="87"/>
        <v/>
      </c>
      <c r="DK55" s="47" t="str">
        <f t="shared" ca="1" si="174"/>
        <v/>
      </c>
      <c r="DL55" s="46" t="str">
        <f t="shared" ca="1" si="175"/>
        <v/>
      </c>
      <c r="DM55" s="110" t="str">
        <f t="shared" ca="1" si="88"/>
        <v/>
      </c>
      <c r="DN55" s="46" t="str">
        <f t="shared" ca="1" si="89"/>
        <v/>
      </c>
      <c r="DO55" s="47" t="str">
        <f t="shared" ca="1" si="176"/>
        <v/>
      </c>
      <c r="DP55" s="47" t="str">
        <f t="shared" ca="1" si="177"/>
        <v/>
      </c>
      <c r="DQ55" s="110" t="str">
        <f t="shared" ca="1" si="90"/>
        <v/>
      </c>
      <c r="DR55" s="46" t="str">
        <f t="shared" ca="1" si="91"/>
        <v/>
      </c>
      <c r="DS55" s="47" t="str">
        <f t="shared" ca="1" si="178"/>
        <v/>
      </c>
      <c r="DT55" s="47" t="str">
        <f t="shared" ca="1" si="179"/>
        <v/>
      </c>
      <c r="DU55" s="109" t="str">
        <f t="shared" ca="1" si="92"/>
        <v/>
      </c>
      <c r="DV55" s="46" t="str">
        <f t="shared" ca="1" si="93"/>
        <v/>
      </c>
      <c r="DW55" s="47" t="str">
        <f t="shared" ca="1" si="180"/>
        <v/>
      </c>
      <c r="DX55" s="47" t="str">
        <f t="shared" ca="1" si="181"/>
        <v/>
      </c>
      <c r="DY55" s="110" t="str">
        <f t="shared" ca="1" si="94"/>
        <v/>
      </c>
      <c r="DZ55" s="46" t="str">
        <f t="shared" ca="1" si="95"/>
        <v/>
      </c>
      <c r="EA55" s="47" t="str">
        <f t="shared" ca="1" si="182"/>
        <v/>
      </c>
      <c r="EB55" s="47" t="str">
        <f t="shared" ca="1" si="183"/>
        <v/>
      </c>
      <c r="EC55" s="110" t="str">
        <f t="shared" ca="1" si="96"/>
        <v/>
      </c>
      <c r="ED55" s="46" t="str">
        <f t="shared" ca="1" si="97"/>
        <v/>
      </c>
      <c r="EE55" s="47" t="str">
        <f t="shared" ca="1" si="184"/>
        <v/>
      </c>
      <c r="EF55" s="47" t="str">
        <f t="shared" ca="1" si="185"/>
        <v/>
      </c>
      <c r="EG55" s="110" t="str">
        <f t="shared" ca="1" si="98"/>
        <v/>
      </c>
      <c r="EH55" s="46" t="str">
        <f t="shared" ca="1" si="99"/>
        <v/>
      </c>
      <c r="EI55" s="47" t="str">
        <f t="shared" ca="1" si="186"/>
        <v/>
      </c>
      <c r="EJ55" s="47" t="str">
        <f t="shared" ca="1" si="187"/>
        <v/>
      </c>
      <c r="EK55" s="110" t="str">
        <f t="shared" ca="1" si="100"/>
        <v/>
      </c>
      <c r="EL55" s="46" t="str">
        <f t="shared" ca="1" si="101"/>
        <v/>
      </c>
      <c r="EM55" s="47" t="str">
        <f t="shared" ca="1" si="188"/>
        <v/>
      </c>
      <c r="EN55" s="47" t="str">
        <f t="shared" ca="1" si="189"/>
        <v/>
      </c>
      <c r="EO55" s="109" t="str">
        <f t="shared" ca="1" si="102"/>
        <v/>
      </c>
      <c r="EP55" s="46" t="str">
        <f t="shared" ca="1" si="103"/>
        <v/>
      </c>
      <c r="EQ55" s="47" t="str">
        <f t="shared" ca="1" si="190"/>
        <v/>
      </c>
      <c r="ER55" s="47" t="str">
        <f t="shared" ca="1" si="191"/>
        <v/>
      </c>
      <c r="ES55" s="110" t="str">
        <f t="shared" ca="1" si="104"/>
        <v/>
      </c>
      <c r="ET55" s="46" t="str">
        <f t="shared" ca="1" si="105"/>
        <v/>
      </c>
      <c r="EU55" s="47" t="str">
        <f t="shared" ca="1" si="192"/>
        <v/>
      </c>
      <c r="EV55" s="47" t="str">
        <f t="shared" ca="1" si="193"/>
        <v/>
      </c>
      <c r="EW55" s="109" t="str">
        <f t="shared" ca="1" si="106"/>
        <v/>
      </c>
      <c r="EX55" s="46" t="str">
        <f t="shared" ca="1" si="107"/>
        <v/>
      </c>
      <c r="EY55" s="47" t="str">
        <f t="shared" ca="1" si="194"/>
        <v/>
      </c>
      <c r="EZ55" s="47" t="str">
        <f t="shared" ca="1" si="195"/>
        <v/>
      </c>
      <c r="FA55" s="110" t="str">
        <f t="shared" ca="1" si="108"/>
        <v/>
      </c>
      <c r="FB55" s="46" t="str">
        <f t="shared" ca="1" si="109"/>
        <v/>
      </c>
      <c r="FC55" s="47" t="str">
        <f t="shared" ca="1" si="196"/>
        <v/>
      </c>
      <c r="FD55" s="47" t="str">
        <f t="shared" ca="1" si="197"/>
        <v/>
      </c>
      <c r="FE55" s="109" t="str">
        <f t="shared" ca="1" si="110"/>
        <v/>
      </c>
      <c r="FF55" s="46" t="str">
        <f t="shared" ca="1" si="111"/>
        <v/>
      </c>
      <c r="FG55" s="110" t="str">
        <f t="shared" ca="1" si="112"/>
        <v/>
      </c>
      <c r="FH55" s="46" t="str">
        <f t="shared" ca="1" si="113"/>
        <v/>
      </c>
      <c r="FI55" s="110" t="str">
        <f t="shared" ca="1" si="114"/>
        <v/>
      </c>
      <c r="FJ55" s="46" t="str">
        <f t="shared" ca="1" si="115"/>
        <v/>
      </c>
      <c r="FK55" s="110" t="str">
        <f t="shared" ca="1" si="116"/>
        <v/>
      </c>
      <c r="FL55" s="46" t="str">
        <f t="shared" ca="1" si="117"/>
        <v/>
      </c>
      <c r="FM55" s="110" t="str">
        <f t="shared" ca="1" si="118"/>
        <v/>
      </c>
      <c r="FN55" s="46" t="str">
        <f t="shared" ca="1" si="119"/>
        <v/>
      </c>
      <c r="FO55" s="110" t="str">
        <f t="shared" ca="1" si="120"/>
        <v/>
      </c>
      <c r="FP55" s="46" t="str">
        <f t="shared" ca="1" si="121"/>
        <v/>
      </c>
      <c r="FQ55" s="110" t="str">
        <f t="shared" ca="1" si="122"/>
        <v/>
      </c>
      <c r="FR55" s="46" t="str">
        <f t="shared" ca="1" si="123"/>
        <v/>
      </c>
      <c r="FS55" s="110" t="str">
        <f t="shared" ca="1" si="124"/>
        <v/>
      </c>
      <c r="FT55" s="111" t="str">
        <f t="shared" ca="1" si="125"/>
        <v/>
      </c>
      <c r="FU55" s="109" t="str">
        <f t="shared" ca="1" si="232"/>
        <v/>
      </c>
      <c r="FV55" s="46" t="str">
        <f t="shared" ca="1" si="213"/>
        <v/>
      </c>
      <c r="FW55" s="48" t="str">
        <f t="shared" ca="1" si="227"/>
        <v/>
      </c>
      <c r="FX55" s="114" t="str">
        <f t="shared" ca="1" si="228"/>
        <v/>
      </c>
      <c r="FY55" s="110" t="str">
        <f t="shared" ca="1" si="214"/>
        <v/>
      </c>
      <c r="FZ55" s="46" t="str">
        <f t="shared" ca="1" si="215"/>
        <v/>
      </c>
      <c r="GA55" s="47" t="str">
        <f t="shared" ca="1" si="216"/>
        <v/>
      </c>
      <c r="GB55" s="46" t="str">
        <f t="shared" ca="1" si="229"/>
        <v/>
      </c>
      <c r="GC55" s="110" t="str">
        <f ca="1">IFERROR(IF(AND(ISNUMBER($FU55), ISNUMBER(Crd!$X55)), $FU55 - Crd!$X55, ""), "")</f>
        <v/>
      </c>
      <c r="GD55" s="46" t="str">
        <f ca="1">IFERROR(IF(AND(ISNUMBER($FV55), ISNUMBER(Crd!$Y55)), $FV55 - Crd!$Y55, ""), "")</f>
        <v/>
      </c>
      <c r="GE55" s="47" t="str">
        <f t="shared" ca="1" si="217"/>
        <v/>
      </c>
      <c r="GF55" s="46" t="str">
        <f t="shared" ca="1" si="218"/>
        <v/>
      </c>
      <c r="GG55" s="141" t="str">
        <f t="shared" ca="1" si="198"/>
        <v/>
      </c>
      <c r="GH55" s="50" t="str">
        <f t="shared" ca="1" si="199"/>
        <v/>
      </c>
      <c r="GI55" s="47" t="str">
        <f t="shared" ca="1" si="144"/>
        <v/>
      </c>
      <c r="GJ55" s="46" t="str">
        <f t="shared" ca="1" si="145"/>
        <v/>
      </c>
      <c r="GK55" s="110" t="str">
        <f t="shared" ca="1" si="127"/>
        <v/>
      </c>
      <c r="GL55" s="46" t="str">
        <f t="shared" ca="1" si="128"/>
        <v/>
      </c>
      <c r="GM55" s="47" t="str">
        <f t="shared" ca="1" si="200"/>
        <v/>
      </c>
      <c r="GN55" s="46" t="str">
        <f t="shared" ca="1" si="201"/>
        <v/>
      </c>
      <c r="GO55" s="110" t="str">
        <f ca="1">IFERROR(IF(AND(ISNUMBER($GG55), ISNUMBER(Crd!$X55)), $GG55 - Crd!$X55, ""), "")</f>
        <v/>
      </c>
      <c r="GP55" s="46" t="str">
        <f ca="1">IFERROR(IF(AND(ISNUMBER($GH55), ISNUMBER(Crd!$Y55)), $GH55 - Crd!$Y55, ""), "")</f>
        <v/>
      </c>
      <c r="GQ55" s="47" t="str">
        <f t="shared" ca="1" si="202"/>
        <v/>
      </c>
      <c r="GR55" s="46" t="str">
        <f t="shared" ca="1" si="203"/>
        <v/>
      </c>
      <c r="GS55" s="436" t="str">
        <f t="shared" ca="1" si="219"/>
        <v/>
      </c>
      <c r="GT55" s="46" t="str">
        <f t="shared" ca="1" si="220"/>
        <v/>
      </c>
      <c r="GU55" s="48" t="str">
        <f t="shared" ca="1" si="230"/>
        <v/>
      </c>
      <c r="GV55" s="46" t="str">
        <f t="shared" ca="1" si="231"/>
        <v/>
      </c>
      <c r="GW55" s="427" t="str">
        <f t="shared" ca="1" si="204"/>
        <v/>
      </c>
      <c r="GX55" s="50" t="str">
        <f t="shared" ca="1" si="146"/>
        <v/>
      </c>
      <c r="GY55" s="47" t="str">
        <f t="shared" ca="1" si="205"/>
        <v/>
      </c>
      <c r="GZ55" s="432" t="str">
        <f t="shared" ca="1" si="206"/>
        <v/>
      </c>
      <c r="HA55" s="436"/>
      <c r="HB55" s="46"/>
      <c r="HC55" s="48"/>
      <c r="HD55" s="46"/>
      <c r="HE55" s="269"/>
      <c r="HF55" s="46"/>
      <c r="HG55" s="48"/>
      <c r="HH55" s="432"/>
    </row>
    <row r="56" spans="1:216" x14ac:dyDescent="0.25">
      <c r="A56" s="58">
        <f t="shared" ca="1" si="131"/>
        <v>47392</v>
      </c>
      <c r="B56" s="6" t="str">
        <f ca="1">INDEX(MthRef[], MATCH(MONTH(Futs!$A56), MthRef[Mth], 0), 2)</f>
        <v>V</v>
      </c>
      <c r="C56" s="6">
        <f t="shared" ca="1" si="65"/>
        <v>2029</v>
      </c>
      <c r="D56" s="6" t="str">
        <f t="shared" ca="1" si="66"/>
        <v>Q429</v>
      </c>
      <c r="E56" s="6" t="str">
        <f t="shared" ca="1" si="132"/>
        <v>V9</v>
      </c>
      <c r="F56" s="10" t="e">
        <f ca="1">IFERROR(AVERAGE(_xll.BDP(F$18 &amp; $B56 &amp; RIGHT($C56, 1) &amp; " " &amp; "Comdty", "BID", "Fill=#N/A"), _xll.BDP(F$18 &amp; $B56 &amp; RIGHT($C56, 1) &amp; " " &amp; "Comdty", "ASK", "Fill=#N/A")), NA())</f>
        <v>#N/A</v>
      </c>
      <c r="G56" s="10" t="e">
        <f ca="1">IFERROR(AVERAGE(_xll.BDP(G$18 &amp; $B56 &amp; RIGHT($C56, 1) &amp; " " &amp; "Comdty", "BID", "Fill=#N/A"), _xll.BDP(G$18 &amp; $B56 &amp; RIGHT($C56, 1) &amp; " " &amp; "Comdty", "ASK", "Fill=#N/A")), NA())</f>
        <v>#N/A</v>
      </c>
      <c r="H56" s="10" t="e">
        <f ca="1">IFERROR(AVERAGE(_xll.BDP(H$18 &amp; $B56 &amp; RIGHT($C56, 1) &amp; " " &amp; "Comdty", "BID", "Fill=#N/A"), _xll.BDP(H$18 &amp; $B56 &amp; RIGHT($C56, 1) &amp; " " &amp; "Comdty", "ASK", "Fill=#N/A")), NA())</f>
        <v>#N/A</v>
      </c>
      <c r="I56" s="10" t="e">
        <f ca="1">IFERROR(AVERAGE(_xll.BDP(I$18 &amp; $B56 &amp; RIGHT($C56, 1) &amp; " " &amp; "Comdty", "BID", "Fill=#N/A"), _xll.BDP(I$18 &amp; $B56 &amp; RIGHT($C56, 1) &amp; " " &amp; "Comdty", "ASK", "Fill=#N/A")), NA())</f>
        <v>#N/A</v>
      </c>
      <c r="J56" s="10" t="e">
        <f ca="1">IFERROR(AVERAGE(_xll.BDP(J$18 &amp; $B56 &amp; RIGHT($C56, 1) &amp; " " &amp; "Comdty", "BID", "Fill=#N/A"), _xll.BDP(J$18 &amp; $B56 &amp; RIGHT($C56, 1) &amp; " " &amp; "Comdty", "ASK", "Fill=#N/A")), NA())</f>
        <v>#N/A</v>
      </c>
      <c r="K56" s="10" t="e">
        <f ca="1">IFERROR(AVERAGE(_xll.BDP(K$18 &amp; $B56 &amp; RIGHT($C56, 2) &amp; " " &amp; "Comdty", "BID", "Fill=#N/A"), _xll.BDP(K$18 &amp; $B56 &amp; RIGHT($C56, 2) &amp; " " &amp; "Comdty", "ASK", "Fill=#N/A")), NA())</f>
        <v>#N/A</v>
      </c>
      <c r="L56" s="10" t="e">
        <f ca="1">IFERROR(AVERAGE(_xll.BDP(L$18 &amp; $B56 &amp; RIGHT($C56, 2) &amp; " " &amp; "Comdty", "BID", "Fill=#N/A"), _xll.BDP(L$18 &amp; $B56 &amp; RIGHT($C56, 2) &amp; " " &amp; "Comdty", "ASK", "Fill=#N/A")), NA())</f>
        <v>#N/A</v>
      </c>
      <c r="M56" s="10" t="e">
        <f ca="1">IFERROR(AVERAGE(_xll.BDP(M$18 &amp; $B56 &amp; RIGHT($C56, 2) &amp; " " &amp; "Comdty", "BID", "Fill=#N/A"), _xll.BDP(M$18 &amp; $B56 &amp; RIGHT($C56, 2) &amp; " " &amp; "Comdty", "ASK", "Fill=#N/A")), NA())</f>
        <v>#N/A</v>
      </c>
      <c r="N56" s="10" t="e">
        <f ca="1">IFERROR(AVERAGE(_xll.BDP(N$18 &amp; $B55 &amp; RIGHT($C55, 1) &amp; N$18 &amp; $B56 &amp; RIGHT($C56, 1) &amp; " " &amp; "Comdty", "BID", "Fill=#N/A"), _xll.BDP(N$18 &amp; $B55 &amp; RIGHT($C55, 1) &amp; N$18 &amp; $B56 &amp; RIGHT($C56, 1) &amp; " " &amp; "Comdty", "ASK", "Fill=#N/A")), NA())</f>
        <v>#N/A</v>
      </c>
      <c r="O56" s="10">
        <f ca="1">IFERROR(AVERAGE(_xll.BDP(O$18 &amp; $B55 &amp; RIGHT($C55, 1) &amp; O$18 &amp; $B56 &amp; RIGHT($C56, 1) &amp; " " &amp; "Comdty", "BID", "Fill=#N/A"), _xll.BDP(O$18 &amp; $B55 &amp; RIGHT($C55, 1) &amp; O$18 &amp; $B56 &amp; RIGHT($C56, 1) &amp; " " &amp; "Comdty", "ASK", "Fill=#N/A")), NA())</f>
        <v>3.9999999999999994E-2</v>
      </c>
      <c r="P56" s="10">
        <f ca="1">IFERROR(AVERAGE(_xll.BDP(P$18 &amp; $B55 &amp; RIGHT($C55, 1) &amp; P$18 &amp; $B56 &amp; RIGHT($C56, 1) &amp; " " &amp; "Comdty", "BID", "Fill=#N/A"), _xll.BDP(P$18 &amp; $B55 &amp; RIGHT($C55, 1) &amp; P$18 &amp; $B56 &amp; RIGHT($C56, 1) &amp; " " &amp; "Comdty", "ASK", "Fill=#N/A")), NA())</f>
        <v>1.25</v>
      </c>
      <c r="Q56" s="10" t="e">
        <f ca="1">IFERROR(AVERAGE(_xll.BDP(Q$18 &amp; $B55 &amp; RIGHT($C55, 1) &amp; Q$18 &amp; $B56 &amp; RIGHT($C56, 1) &amp; " " &amp; "Comdty", "BID", "Fill=#N/A"), _xll.BDP(Q$18 &amp; $B55 &amp; RIGHT($C55, 1) &amp; Q$18 &amp; $B56 &amp; RIGHT($C56, 1) &amp; " " &amp; "Comdty", "ASK", "Fill=#N/A")), NA())</f>
        <v>#N/A</v>
      </c>
      <c r="R56" s="10" t="e">
        <f ca="1">IFERROR(AVERAGE(_xll.BDP(R$18 &amp; $B55 &amp; RIGHT($C55, 1) &amp; R$18 &amp; $B56 &amp; RIGHT($C56, 1) &amp; " " &amp; "Comdty", "BID", "Fill=#N/A"), _xll.BDP(R$18 &amp; $B55 &amp; RIGHT($C55, 1) &amp; R$18 &amp; $B56 &amp; RIGHT($C56, 1) &amp; " " &amp; "Comdty", "ASK", "Fill=#N/A")), NA())</f>
        <v>#N/A</v>
      </c>
      <c r="S56" s="10" t="e">
        <f ca="1">IFERROR(AVERAGE(_xll.BDP(S$18 &amp; $B55 &amp; RIGHT($C55, 1) &amp; $B56 &amp; RIGHT($C56, 1) &amp; " " &amp; "Comdty", "BID", "Fill=#N/A"), _xll.BDP(S$18 &amp; $B55 &amp; RIGHT($C55, 1) &amp; $B56 &amp; RIGHT($C56, 1) &amp; " " &amp; "Comdty", "ASK", "Fill=#N/A")), NA())</f>
        <v>#N/A</v>
      </c>
      <c r="T56" s="10" t="e">
        <f ca="1">IFERROR(AVERAGE(_xll.BDP(T$18 &amp; $B55 &amp; RIGHT($C55, 1) &amp; $B56 &amp; RIGHT($C56, 1) &amp; " " &amp; "Comdty", "BID", "Fill=#N/A"), _xll.BDP(T$18 &amp; $B55 &amp; RIGHT($C55, 1) &amp; $B56 &amp; RIGHT($C56, 1) &amp; " " &amp; "Comdty", "ASK", "Fill=#N/A")), NA())</f>
        <v>#N/A</v>
      </c>
      <c r="U56" s="10">
        <f ca="1">IF($A56 &lt; Diagnostics!$B$3, N56, INDEX(ImpSprd[], MATCH(Futs!$C56, ImpSprd[Yr], 0), MATCH(U$18, ImpSprd[#Headers], 0)))</f>
        <v>0.19136363636363637</v>
      </c>
      <c r="V56" s="10">
        <f ca="1">IF($A56 &lt; Diagnostics!$B$3, O56, INDEX(ImpSprd[], MATCH(Futs!$C56, ImpSprd[Yr], 0), MATCH(V$18, ImpSprd[#Headers], 0)))</f>
        <v>0.17681818181818179</v>
      </c>
      <c r="W56" s="10">
        <f ca="1">IF($A56 &lt; Diagnostics!$B$3, P56, INDEX(ImpSprd[], MATCH(Futs!$C56, ImpSprd[Yr], 0), MATCH(W$18, ImpSprd[#Headers], 0)))</f>
        <v>3.8977272727272729</v>
      </c>
      <c r="X56" s="31" t="e">
        <f ca="1">INDEX(Expi[], MATCH($A56, Expi[Date], 0), MATCH(X$18, Expi[#Headers], 0))</f>
        <v>#N/A</v>
      </c>
      <c r="Y56" s="31" t="e">
        <f ca="1">INDEX(Expi[], MATCH($A56, Expi[Date], 0), MATCH(Y$18, Expi[#Headers], 0))</f>
        <v>#N/A</v>
      </c>
      <c r="Z56" s="31" t="e">
        <f ca="1">INDEX(Expi[], MATCH($A56, Expi[Date], 0), MATCH(Z$18, Expi[#Headers], 0))</f>
        <v>#N/A</v>
      </c>
      <c r="AA56" s="31" t="e">
        <f ca="1">INDEX(Expi[], MATCH($A56, Expi[Date], 0), MATCH(AA$18, Expi[#Headers], 0))</f>
        <v>#N/A</v>
      </c>
      <c r="AB56" s="31" t="e">
        <f ca="1">INDEX(Expi[], MATCH($A56, Expi[Date], 0), MATCH(AB$18, Expi[#Headers], 0))</f>
        <v>#N/A</v>
      </c>
      <c r="AC56" s="31" t="e">
        <f ca="1">INDEX(Expi[], MATCH($A56, Expi[Date], 0), MATCH(AC$18, Expi[#Headers], 0))</f>
        <v>#N/A</v>
      </c>
      <c r="AD56" s="7">
        <f ca="1">NETWORKDAYS($A56, EOMONTH($A56, 0), Hols[CME])</f>
        <v>23</v>
      </c>
      <c r="AE56" s="7">
        <f ca="1">NETWORKDAYS($A56, EOMONTH($A56, 0), Hols[ICE])</f>
        <v>23</v>
      </c>
      <c r="AF56" s="7">
        <f ca="1">NETWORKDAYS($A56, EOMONTH($A56, 0), Hols[ICE])</f>
        <v>23</v>
      </c>
      <c r="AG56" s="7">
        <f ca="1">NETWORKDAYS($A56, EOMONTH($A56, 0), Hols[CME])</f>
        <v>23</v>
      </c>
      <c r="AH56" s="7">
        <f ca="1">NETWORKDAYS($A56, EOMONTH($A56, 0), Hols[CME])</f>
        <v>23</v>
      </c>
      <c r="AI56" s="7">
        <f ca="1">NETWORKDAYS($A56, EOMONTH($A56, 0), Hols[ICE])</f>
        <v>23</v>
      </c>
      <c r="AJ56" s="7" t="e">
        <f ca="1">NETWORKDAYS($A56, X56, Hols[CME])</f>
        <v>#N/A</v>
      </c>
      <c r="AK56" s="7" t="e">
        <f ca="1">NETWORKDAYS($A56, Y56, Hols[ICE]) - 1</f>
        <v>#N/A</v>
      </c>
      <c r="AL56" s="7" t="e">
        <f ca="1">NETWORKDAYS($A56, Z56, Hols[ICE]) - 1</f>
        <v>#N/A</v>
      </c>
      <c r="AM56" s="7" t="e">
        <f ca="1">NETWORKDAYS($A56, AA56, Hols[CME])</f>
        <v>#N/A</v>
      </c>
      <c r="AN56" s="7" t="e">
        <f ca="1">NETWORKDAYS($A56, AB56, Hols[CME])</f>
        <v>#N/A</v>
      </c>
      <c r="AO56" s="7" t="e">
        <f ca="1">NETWORKDAYS($A56, AC56, Hols[ICE]) - 1</f>
        <v>#N/A</v>
      </c>
      <c r="AP56" s="10" t="e">
        <f t="shared" ca="1" si="67"/>
        <v>#N/A</v>
      </c>
      <c r="AQ56" s="10" t="e">
        <f t="shared" ca="1" si="68"/>
        <v>#N/A</v>
      </c>
      <c r="AR56" s="10" t="e">
        <f t="shared" ca="1" si="69"/>
        <v>#N/A</v>
      </c>
      <c r="AS56" s="10" t="e">
        <f t="shared" ca="1" si="70"/>
        <v>#N/A</v>
      </c>
      <c r="AT56" s="10" t="e">
        <f t="shared" ca="1" si="71"/>
        <v>#N/A</v>
      </c>
      <c r="AU56" s="10" t="e">
        <f t="shared" ca="1" si="71"/>
        <v>#N/A</v>
      </c>
      <c r="AV56" s="28">
        <f ca="1">IFERROR(AVERAGE(_xll.BDH(AV$18 &amp; $B56 &amp; RIGHT($C56, 1) &amp; " " &amp; "Comdty", "PX_SETTLE", AV$16, AV$16, "Fill=#N/A")), IFERROR(AVERAGE(_xll.BDH(AV$18 &amp; $B56 &amp; RIGHT($C56, 2) &amp; " " &amp; "Comdty", "PX_SETTLE", AV$16, AV$16, "Fill=#N/A")), NA()))</f>
        <v>66.55</v>
      </c>
      <c r="AW56" s="28">
        <f ca="1">IFERROR(AVERAGE(_xll.BDH(AW$18 &amp; $B56 &amp; RIGHT($C56, 1) &amp; " " &amp; "Comdty", "PX_SETTLE", AW$16, AW$16, "Fill=#N/A")), IFERROR(AVERAGE(_xll.BDH(AW$18 &amp; $B56 &amp; RIGHT($C56, 2) &amp; " " &amp; "Comdty", "PX_SETTLE", AW$16, AW$16, "Fill=#N/A")), NA()))</f>
        <v>71.86</v>
      </c>
      <c r="AX56" s="29">
        <f ca="1">IFERROR(AVERAGE(_xll.BDH(AX$18 &amp; $B56 &amp; RIGHT($C56, 2) &amp; " " &amp; "Comdty", "FAIR_VALUE_SNAPSHOT_AT_1430", AX$16, AX$16, "TIME_ZONE_OVERRIDE=13", "Fill=#N/A")), NA())</f>
        <v>789.25</v>
      </c>
      <c r="AY56" s="28">
        <f ca="1">IFERROR(AVERAGE(_xll.BDH(AY$18 &amp; $B56 &amp; RIGHT($C56, 1) &amp; " " &amp; "Comdty", "PX_SETTLE", AY$16, AY$16, "Fill=#N/A")), NA())</f>
        <v>292.45999999999998</v>
      </c>
      <c r="AZ56" s="28">
        <f ca="1">IFERROR(AVERAGE(_xll.BDH(AZ$18 &amp; $B56 &amp; RIGHT($C56, 1) &amp; " " &amp; "Comdty", "PX_SETTLE", AZ$16, AZ$16, "Fill=#N/A")), NA())</f>
        <v>223.17</v>
      </c>
      <c r="BA56" s="29" t="e">
        <f ca="1">IFERROR(AVERAGE(_xll.BDH(BA$18 &amp; $B56 &amp; RIGHT($C56, 2) &amp; " " &amp; "Comdty", "PX_SETTLE", BA$16, BA$16, "Fill=#N/A")), IFERROR(AVERAGE(_xll.BDH(BA$18 &amp; $B56 &amp; RIGHT($C56, 2) &amp; " " &amp; "Comdty", "PX_SETTLE", BA$16, BA$16, "Fill=#N/A")), NA()))</f>
        <v>#N/A</v>
      </c>
      <c r="BB56" s="29">
        <f ca="1">IFERROR(AVERAGE(_xll.BDH(BB$18 &amp; $B56 &amp; RIGHT($C56, 2) &amp; " " &amp; "Comdty", "PX_SETTLE", BB$16, BB$16, "Fill=#N/A")), IFERROR(AVERAGE(_xll.BDH(BB$18 &amp; $B56 &amp; RIGHT($C56, 2) &amp; " " &amp; "Comdty", "PX_SETTLE", BB$16, BB$16, "Fill=#N/A")), NA()))</f>
        <v>72.56</v>
      </c>
      <c r="BC56" s="29" t="e">
        <f ca="1">IFERROR(AVERAGE(_xll.BDH(BC$18 &amp; $B56 &amp; RIGHT($C56, 2) &amp; " " &amp; "Comdty", "PX_SETTLE", BC$16, BC$16, "Fill=#N/A")), IFERROR(AVERAGE(_xll.BDH(BC$18 &amp; $B56 &amp; RIGHT($C56, 2) &amp; " " &amp; "Comdty", "PX_SETTLE", BC$16, BC$16, "Fill=#N/A")), NA()))</f>
        <v>#N/A</v>
      </c>
      <c r="BD56" s="29" t="e">
        <f>NA()</f>
        <v>#N/A</v>
      </c>
      <c r="BE56" s="109">
        <f t="shared" ca="1" si="209"/>
        <v>66.337727272727335</v>
      </c>
      <c r="BF56" s="46">
        <f t="shared" ca="1" si="72"/>
        <v>-0.21227272727266211</v>
      </c>
      <c r="BG56" s="47">
        <f t="shared" ca="1" si="151"/>
        <v>0.19136363636363285</v>
      </c>
      <c r="BH56" s="114">
        <f t="shared" ca="1" si="223"/>
        <v>3.136363636363626E-2</v>
      </c>
      <c r="BI56" s="110">
        <f t="shared" ca="1" si="224"/>
        <v>71.502272727272867</v>
      </c>
      <c r="BJ56" s="46">
        <f t="shared" ca="1" si="73"/>
        <v>-0.35772727272713212</v>
      </c>
      <c r="BK56" s="48">
        <f t="shared" ca="1" si="225"/>
        <v>0.17681818181817732</v>
      </c>
      <c r="BL56" s="114">
        <f t="shared" ca="1" si="226"/>
        <v>4.681818181818187E-2</v>
      </c>
      <c r="BM56" s="48">
        <f t="shared" ca="1" si="152"/>
        <v>767.72727272727343</v>
      </c>
      <c r="BN56" s="46">
        <f t="shared" ca="1" si="74"/>
        <v>-21.52272727272657</v>
      </c>
      <c r="BO56" s="47">
        <f t="shared" ca="1" si="210"/>
        <v>3.8977272727272521</v>
      </c>
      <c r="BP56" s="46">
        <f t="shared" ca="1" si="133"/>
        <v>1.1477272727272521</v>
      </c>
      <c r="BQ56" s="110" t="str">
        <f t="shared" ca="1" si="211"/>
        <v/>
      </c>
      <c r="BR56" s="46" t="str">
        <f t="shared" ca="1" si="75"/>
        <v/>
      </c>
      <c r="BS56" s="47" t="str">
        <f t="shared" ca="1" si="153"/>
        <v/>
      </c>
      <c r="BT56" s="114" t="str">
        <f t="shared" ca="1" si="154"/>
        <v/>
      </c>
      <c r="BU56" s="48" t="str">
        <f t="shared" ca="1" si="212"/>
        <v/>
      </c>
      <c r="BV56" s="46" t="str">
        <f t="shared" ca="1" si="76"/>
        <v/>
      </c>
      <c r="BW56" s="47" t="str">
        <f t="shared" ca="1" si="155"/>
        <v/>
      </c>
      <c r="BX56" s="46" t="str">
        <f t="shared" ca="1" si="156"/>
        <v/>
      </c>
      <c r="BY56" s="140" t="str">
        <f t="shared" ca="1" si="134"/>
        <v/>
      </c>
      <c r="BZ56" s="46" t="str">
        <f t="shared" ca="1" si="135"/>
        <v/>
      </c>
      <c r="CA56" s="47" t="str">
        <f t="shared" ca="1" si="157"/>
        <v/>
      </c>
      <c r="CB56" s="46" t="str">
        <f t="shared" ca="1" si="158"/>
        <v/>
      </c>
      <c r="CC56" s="141" t="str">
        <f t="shared" ca="1" si="136"/>
        <v/>
      </c>
      <c r="CD56" s="50" t="str">
        <f t="shared" ca="1" si="137"/>
        <v/>
      </c>
      <c r="CE56" s="47" t="str">
        <f t="shared" ca="1" si="159"/>
        <v/>
      </c>
      <c r="CF56" s="46" t="str">
        <f t="shared" ca="1" si="160"/>
        <v/>
      </c>
      <c r="CG56" s="141" t="str">
        <f t="shared" ca="1" si="138"/>
        <v/>
      </c>
      <c r="CH56" s="50" t="str">
        <f t="shared" ca="1" si="139"/>
        <v/>
      </c>
      <c r="CI56" s="47" t="str">
        <f t="shared" ca="1" si="161"/>
        <v/>
      </c>
      <c r="CJ56" s="46" t="str">
        <f t="shared" ca="1" si="162"/>
        <v/>
      </c>
      <c r="CK56" s="141" t="str">
        <f t="shared" ca="1" si="140"/>
        <v/>
      </c>
      <c r="CL56" s="50" t="str">
        <f t="shared" ca="1" si="77"/>
        <v/>
      </c>
      <c r="CM56" s="47" t="str">
        <f t="shared" ca="1" si="163"/>
        <v/>
      </c>
      <c r="CN56" s="46" t="str">
        <f t="shared" ca="1" si="164"/>
        <v/>
      </c>
      <c r="CO56" s="141" t="str">
        <f t="shared" ca="1" si="141"/>
        <v/>
      </c>
      <c r="CP56" s="50" t="str">
        <f t="shared" ca="1" si="78"/>
        <v/>
      </c>
      <c r="CQ56" s="47" t="str">
        <f t="shared" ca="1" si="165"/>
        <v/>
      </c>
      <c r="CR56" s="46" t="str">
        <f t="shared" ca="1" si="166"/>
        <v/>
      </c>
      <c r="CS56" s="109">
        <f t="shared" ca="1" si="79"/>
        <v>-5.1645454545455323</v>
      </c>
      <c r="CT56" s="46">
        <f t="shared" ca="1" si="80"/>
        <v>0.14545454545447001</v>
      </c>
      <c r="CU56" s="47">
        <f t="shared" ca="1" si="167"/>
        <v>1.4545454545455527E-2</v>
      </c>
      <c r="CV56" s="46">
        <f t="shared" ca="1" si="168"/>
        <v>0</v>
      </c>
      <c r="CW56" s="110" t="str">
        <f t="shared" ca="1" si="142"/>
        <v/>
      </c>
      <c r="CX56" s="46" t="str">
        <f t="shared" ca="1" si="81"/>
        <v/>
      </c>
      <c r="CY56" s="47" t="str">
        <f t="shared" ca="1" si="169"/>
        <v/>
      </c>
      <c r="CZ56" s="46" t="str">
        <f t="shared" ca="1" si="170"/>
        <v/>
      </c>
      <c r="DA56" s="109">
        <f t="shared" ca="1" si="82"/>
        <v>31.54836790726047</v>
      </c>
      <c r="DB56" s="46">
        <f t="shared" ca="1" si="83"/>
        <v>-2.5312294081757631</v>
      </c>
      <c r="DC56" s="47">
        <f t="shared" ca="1" si="171"/>
        <v>0.3463666870042772</v>
      </c>
      <c r="DD56" s="46">
        <f t="shared" ca="1" si="233"/>
        <v>0.10723917022574447</v>
      </c>
      <c r="DE56" s="110" t="str">
        <f t="shared" ca="1" si="84"/>
        <v/>
      </c>
      <c r="DF56" s="46" t="str">
        <f t="shared" ca="1" si="85"/>
        <v/>
      </c>
      <c r="DG56" s="47" t="str">
        <f t="shared" ca="1" si="172"/>
        <v/>
      </c>
      <c r="DH56" s="46" t="str">
        <f t="shared" ca="1" si="173"/>
        <v/>
      </c>
      <c r="DI56" s="110" t="str">
        <f t="shared" ca="1" si="86"/>
        <v/>
      </c>
      <c r="DJ56" s="46" t="str">
        <f t="shared" ca="1" si="87"/>
        <v/>
      </c>
      <c r="DK56" s="47" t="str">
        <f t="shared" ca="1" si="174"/>
        <v/>
      </c>
      <c r="DL56" s="46" t="str">
        <f t="shared" ca="1" si="175"/>
        <v/>
      </c>
      <c r="DM56" s="110" t="str">
        <f t="shared" ca="1" si="88"/>
        <v/>
      </c>
      <c r="DN56" s="46" t="str">
        <f t="shared" ca="1" si="89"/>
        <v/>
      </c>
      <c r="DO56" s="47" t="str">
        <f t="shared" ca="1" si="176"/>
        <v/>
      </c>
      <c r="DP56" s="47" t="str">
        <f t="shared" ca="1" si="177"/>
        <v/>
      </c>
      <c r="DQ56" s="110" t="str">
        <f t="shared" ca="1" si="90"/>
        <v/>
      </c>
      <c r="DR56" s="46" t="str">
        <f t="shared" ca="1" si="91"/>
        <v/>
      </c>
      <c r="DS56" s="47" t="str">
        <f t="shared" ca="1" si="178"/>
        <v/>
      </c>
      <c r="DT56" s="47" t="str">
        <f t="shared" ca="1" si="179"/>
        <v/>
      </c>
      <c r="DU56" s="109" t="str">
        <f t="shared" ca="1" si="92"/>
        <v/>
      </c>
      <c r="DV56" s="46" t="str">
        <f t="shared" ca="1" si="93"/>
        <v/>
      </c>
      <c r="DW56" s="47" t="str">
        <f t="shared" ca="1" si="180"/>
        <v/>
      </c>
      <c r="DX56" s="47" t="str">
        <f t="shared" ca="1" si="181"/>
        <v/>
      </c>
      <c r="DY56" s="110" t="str">
        <f t="shared" ca="1" si="94"/>
        <v/>
      </c>
      <c r="DZ56" s="46" t="str">
        <f t="shared" ca="1" si="95"/>
        <v/>
      </c>
      <c r="EA56" s="47" t="str">
        <f t="shared" ca="1" si="182"/>
        <v/>
      </c>
      <c r="EB56" s="47" t="str">
        <f t="shared" ca="1" si="183"/>
        <v/>
      </c>
      <c r="EC56" s="110" t="str">
        <f t="shared" ca="1" si="96"/>
        <v/>
      </c>
      <c r="ED56" s="46" t="str">
        <f t="shared" ca="1" si="97"/>
        <v/>
      </c>
      <c r="EE56" s="47" t="str">
        <f t="shared" ca="1" si="184"/>
        <v/>
      </c>
      <c r="EF56" s="47" t="str">
        <f t="shared" ca="1" si="185"/>
        <v/>
      </c>
      <c r="EG56" s="110" t="str">
        <f t="shared" ca="1" si="98"/>
        <v/>
      </c>
      <c r="EH56" s="46" t="str">
        <f t="shared" ca="1" si="99"/>
        <v/>
      </c>
      <c r="EI56" s="47" t="str">
        <f t="shared" ca="1" si="186"/>
        <v/>
      </c>
      <c r="EJ56" s="47" t="str">
        <f t="shared" ca="1" si="187"/>
        <v/>
      </c>
      <c r="EK56" s="110" t="str">
        <f t="shared" ca="1" si="100"/>
        <v/>
      </c>
      <c r="EL56" s="46" t="str">
        <f t="shared" ca="1" si="101"/>
        <v/>
      </c>
      <c r="EM56" s="47" t="str">
        <f t="shared" ca="1" si="188"/>
        <v/>
      </c>
      <c r="EN56" s="47" t="str">
        <f t="shared" ca="1" si="189"/>
        <v/>
      </c>
      <c r="EO56" s="109" t="str">
        <f t="shared" ca="1" si="102"/>
        <v/>
      </c>
      <c r="EP56" s="46" t="str">
        <f t="shared" ca="1" si="103"/>
        <v/>
      </c>
      <c r="EQ56" s="47" t="str">
        <f t="shared" ca="1" si="190"/>
        <v/>
      </c>
      <c r="ER56" s="47" t="str">
        <f t="shared" ca="1" si="191"/>
        <v/>
      </c>
      <c r="ES56" s="110" t="str">
        <f t="shared" ca="1" si="104"/>
        <v/>
      </c>
      <c r="ET56" s="46" t="str">
        <f t="shared" ca="1" si="105"/>
        <v/>
      </c>
      <c r="EU56" s="47" t="str">
        <f t="shared" ca="1" si="192"/>
        <v/>
      </c>
      <c r="EV56" s="47" t="str">
        <f t="shared" ca="1" si="193"/>
        <v/>
      </c>
      <c r="EW56" s="109" t="str">
        <f t="shared" ca="1" si="106"/>
        <v/>
      </c>
      <c r="EX56" s="46" t="str">
        <f t="shared" ca="1" si="107"/>
        <v/>
      </c>
      <c r="EY56" s="47" t="str">
        <f t="shared" ca="1" si="194"/>
        <v/>
      </c>
      <c r="EZ56" s="47" t="str">
        <f t="shared" ca="1" si="195"/>
        <v/>
      </c>
      <c r="FA56" s="110" t="str">
        <f t="shared" ca="1" si="108"/>
        <v/>
      </c>
      <c r="FB56" s="46" t="str">
        <f t="shared" ca="1" si="109"/>
        <v/>
      </c>
      <c r="FC56" s="47" t="str">
        <f t="shared" ca="1" si="196"/>
        <v/>
      </c>
      <c r="FD56" s="47" t="str">
        <f t="shared" ca="1" si="197"/>
        <v/>
      </c>
      <c r="FE56" s="109" t="str">
        <f t="shared" ca="1" si="110"/>
        <v/>
      </c>
      <c r="FF56" s="46" t="str">
        <f t="shared" ca="1" si="111"/>
        <v/>
      </c>
      <c r="FG56" s="110" t="str">
        <f t="shared" ca="1" si="112"/>
        <v/>
      </c>
      <c r="FH56" s="46" t="str">
        <f t="shared" ca="1" si="113"/>
        <v/>
      </c>
      <c r="FI56" s="110" t="str">
        <f t="shared" ca="1" si="114"/>
        <v/>
      </c>
      <c r="FJ56" s="46" t="str">
        <f t="shared" ca="1" si="115"/>
        <v/>
      </c>
      <c r="FK56" s="110" t="str">
        <f t="shared" ca="1" si="116"/>
        <v/>
      </c>
      <c r="FL56" s="46" t="str">
        <f t="shared" ca="1" si="117"/>
        <v/>
      </c>
      <c r="FM56" s="110" t="str">
        <f t="shared" ca="1" si="118"/>
        <v/>
      </c>
      <c r="FN56" s="46" t="str">
        <f t="shared" ca="1" si="119"/>
        <v/>
      </c>
      <c r="FO56" s="110" t="str">
        <f t="shared" ca="1" si="120"/>
        <v/>
      </c>
      <c r="FP56" s="46" t="str">
        <f t="shared" ca="1" si="121"/>
        <v/>
      </c>
      <c r="FQ56" s="110" t="str">
        <f t="shared" ca="1" si="122"/>
        <v/>
      </c>
      <c r="FR56" s="46" t="str">
        <f t="shared" ca="1" si="123"/>
        <v/>
      </c>
      <c r="FS56" s="110" t="str">
        <f t="shared" ca="1" si="124"/>
        <v/>
      </c>
      <c r="FT56" s="111" t="str">
        <f t="shared" ca="1" si="125"/>
        <v/>
      </c>
      <c r="FU56" s="109" t="str">
        <f t="shared" ca="1" si="232"/>
        <v/>
      </c>
      <c r="FV56" s="46" t="str">
        <f t="shared" ca="1" si="213"/>
        <v/>
      </c>
      <c r="FW56" s="48" t="str">
        <f t="shared" ca="1" si="227"/>
        <v/>
      </c>
      <c r="FX56" s="114" t="str">
        <f t="shared" ca="1" si="228"/>
        <v/>
      </c>
      <c r="FY56" s="110" t="str">
        <f t="shared" ca="1" si="214"/>
        <v/>
      </c>
      <c r="FZ56" s="46" t="str">
        <f t="shared" ca="1" si="215"/>
        <v/>
      </c>
      <c r="GA56" s="47" t="str">
        <f t="shared" ca="1" si="216"/>
        <v/>
      </c>
      <c r="GB56" s="46" t="str">
        <f t="shared" ca="1" si="229"/>
        <v/>
      </c>
      <c r="GC56" s="110" t="str">
        <f ca="1">IFERROR(IF(AND(ISNUMBER($FU56), ISNUMBER(Crd!$X56)), $FU56 - Crd!$X56, ""), "")</f>
        <v/>
      </c>
      <c r="GD56" s="46" t="str">
        <f ca="1">IFERROR(IF(AND(ISNUMBER($FV56), ISNUMBER(Crd!$Y56)), $FV56 - Crd!$Y56, ""), "")</f>
        <v/>
      </c>
      <c r="GE56" s="47" t="str">
        <f t="shared" ca="1" si="217"/>
        <v/>
      </c>
      <c r="GF56" s="46" t="str">
        <f t="shared" ca="1" si="218"/>
        <v/>
      </c>
      <c r="GG56" s="141" t="str">
        <f t="shared" ca="1" si="198"/>
        <v/>
      </c>
      <c r="GH56" s="50" t="str">
        <f t="shared" ca="1" si="199"/>
        <v/>
      </c>
      <c r="GI56" s="47" t="str">
        <f t="shared" ca="1" si="144"/>
        <v/>
      </c>
      <c r="GJ56" s="46" t="str">
        <f t="shared" ca="1" si="145"/>
        <v/>
      </c>
      <c r="GK56" s="110" t="str">
        <f t="shared" ca="1" si="127"/>
        <v/>
      </c>
      <c r="GL56" s="46" t="str">
        <f t="shared" ca="1" si="128"/>
        <v/>
      </c>
      <c r="GM56" s="47" t="str">
        <f t="shared" ca="1" si="200"/>
        <v/>
      </c>
      <c r="GN56" s="46" t="str">
        <f t="shared" ca="1" si="201"/>
        <v/>
      </c>
      <c r="GO56" s="110" t="str">
        <f ca="1">IFERROR(IF(AND(ISNUMBER($GG56), ISNUMBER(Crd!$X56)), $GG56 - Crd!$X56, ""), "")</f>
        <v/>
      </c>
      <c r="GP56" s="46" t="str">
        <f ca="1">IFERROR(IF(AND(ISNUMBER($GH56), ISNUMBER(Crd!$Y56)), $GH56 - Crd!$Y56, ""), "")</f>
        <v/>
      </c>
      <c r="GQ56" s="47" t="str">
        <f t="shared" ca="1" si="202"/>
        <v/>
      </c>
      <c r="GR56" s="46" t="str">
        <f t="shared" ca="1" si="203"/>
        <v/>
      </c>
      <c r="GS56" s="436" t="str">
        <f t="shared" ca="1" si="219"/>
        <v/>
      </c>
      <c r="GT56" s="46" t="str">
        <f t="shared" ca="1" si="220"/>
        <v/>
      </c>
      <c r="GU56" s="48" t="str">
        <f t="shared" ca="1" si="230"/>
        <v/>
      </c>
      <c r="GV56" s="46" t="str">
        <f t="shared" ca="1" si="231"/>
        <v/>
      </c>
      <c r="GW56" s="427" t="str">
        <f t="shared" ca="1" si="204"/>
        <v/>
      </c>
      <c r="GX56" s="50" t="str">
        <f t="shared" ca="1" si="146"/>
        <v/>
      </c>
      <c r="GY56" s="47" t="str">
        <f t="shared" ca="1" si="205"/>
        <v/>
      </c>
      <c r="GZ56" s="432" t="str">
        <f t="shared" ca="1" si="206"/>
        <v/>
      </c>
      <c r="HA56" s="436"/>
      <c r="HB56" s="46"/>
      <c r="HC56" s="48"/>
      <c r="HD56" s="46"/>
      <c r="HE56" s="269"/>
      <c r="HF56" s="46"/>
      <c r="HG56" s="48"/>
      <c r="HH56" s="432"/>
    </row>
    <row r="57" spans="1:216" x14ac:dyDescent="0.25">
      <c r="A57" s="58">
        <f t="shared" ca="1" si="131"/>
        <v>47423</v>
      </c>
      <c r="B57" s="6" t="str">
        <f ca="1">INDEX(MthRef[], MATCH(MONTH(Futs!$A57), MthRef[Mth], 0), 2)</f>
        <v>X</v>
      </c>
      <c r="C57" s="6">
        <f t="shared" ca="1" si="65"/>
        <v>2029</v>
      </c>
      <c r="D57" s="6" t="str">
        <f t="shared" ca="1" si="66"/>
        <v>Q429</v>
      </c>
      <c r="E57" s="6" t="str">
        <f t="shared" ca="1" si="132"/>
        <v>X9</v>
      </c>
      <c r="F57" s="10" t="e">
        <f ca="1">IFERROR(AVERAGE(_xll.BDP(F$18 &amp; $B57 &amp; RIGHT($C57, 1) &amp; " " &amp; "Comdty", "BID", "Fill=#N/A"), _xll.BDP(F$18 &amp; $B57 &amp; RIGHT($C57, 1) &amp; " " &amp; "Comdty", "ASK", "Fill=#N/A")), NA())</f>
        <v>#N/A</v>
      </c>
      <c r="G57" s="10" t="e">
        <f ca="1">IFERROR(AVERAGE(_xll.BDP(G$18 &amp; $B57 &amp; RIGHT($C57, 1) &amp; " " &amp; "Comdty", "BID", "Fill=#N/A"), _xll.BDP(G$18 &amp; $B57 &amp; RIGHT($C57, 1) &amp; " " &amp; "Comdty", "ASK", "Fill=#N/A")), NA())</f>
        <v>#N/A</v>
      </c>
      <c r="H57" s="10" t="e">
        <f ca="1">IFERROR(AVERAGE(_xll.BDP(H$18 &amp; $B57 &amp; RIGHT($C57, 1) &amp; " " &amp; "Comdty", "BID", "Fill=#N/A"), _xll.BDP(H$18 &amp; $B57 &amp; RIGHT($C57, 1) &amp; " " &amp; "Comdty", "ASK", "Fill=#N/A")), NA())</f>
        <v>#N/A</v>
      </c>
      <c r="I57" s="10" t="e">
        <f ca="1">IFERROR(AVERAGE(_xll.BDP(I$18 &amp; $B57 &amp; RIGHT($C57, 1) &amp; " " &amp; "Comdty", "BID", "Fill=#N/A"), _xll.BDP(I$18 &amp; $B57 &amp; RIGHT($C57, 1) &amp; " " &amp; "Comdty", "ASK", "Fill=#N/A")), NA())</f>
        <v>#N/A</v>
      </c>
      <c r="J57" s="10" t="e">
        <f ca="1">IFERROR(AVERAGE(_xll.BDP(J$18 &amp; $B57 &amp; RIGHT($C57, 1) &amp; " " &amp; "Comdty", "BID", "Fill=#N/A"), _xll.BDP(J$18 &amp; $B57 &amp; RIGHT($C57, 1) &amp; " " &amp; "Comdty", "ASK", "Fill=#N/A")), NA())</f>
        <v>#N/A</v>
      </c>
      <c r="K57" s="10" t="e">
        <f ca="1">IFERROR(AVERAGE(_xll.BDP(K$18 &amp; $B57 &amp; RIGHT($C57, 2) &amp; " " &amp; "Comdty", "BID", "Fill=#N/A"), _xll.BDP(K$18 &amp; $B57 &amp; RIGHT($C57, 2) &amp; " " &amp; "Comdty", "ASK", "Fill=#N/A")), NA())</f>
        <v>#N/A</v>
      </c>
      <c r="L57" s="10" t="e">
        <f ca="1">IFERROR(AVERAGE(_xll.BDP(L$18 &amp; $B57 &amp; RIGHT($C57, 2) &amp; " " &amp; "Comdty", "BID", "Fill=#N/A"), _xll.BDP(L$18 &amp; $B57 &amp; RIGHT($C57, 2) &amp; " " &amp; "Comdty", "ASK", "Fill=#N/A")), NA())</f>
        <v>#N/A</v>
      </c>
      <c r="M57" s="10" t="e">
        <f ca="1">IFERROR(AVERAGE(_xll.BDP(M$18 &amp; $B57 &amp; RIGHT($C57, 2) &amp; " " &amp; "Comdty", "BID", "Fill=#N/A"), _xll.BDP(M$18 &amp; $B57 &amp; RIGHT($C57, 2) &amp; " " &amp; "Comdty", "ASK", "Fill=#N/A")), NA())</f>
        <v>#N/A</v>
      </c>
      <c r="N57" s="10" t="e">
        <f ca="1">IFERROR(AVERAGE(_xll.BDP(N$18 &amp; $B56 &amp; RIGHT($C56, 1) &amp; N$18 &amp; $B57 &amp; RIGHT($C57, 1) &amp; " " &amp; "Comdty", "BID", "Fill=#N/A"), _xll.BDP(N$18 &amp; $B56 &amp; RIGHT($C56, 1) &amp; N$18 &amp; $B57 &amp; RIGHT($C57, 1) &amp; " " &amp; "Comdty", "ASK", "Fill=#N/A")), NA())</f>
        <v>#N/A</v>
      </c>
      <c r="O57" s="10">
        <f ca="1">IFERROR(AVERAGE(_xll.BDP(O$18 &amp; $B56 &amp; RIGHT($C56, 1) &amp; O$18 &amp; $B57 &amp; RIGHT($C57, 1) &amp; " " &amp; "Comdty", "BID", "Fill=#N/A"), _xll.BDP(O$18 &amp; $B56 &amp; RIGHT($C56, 1) &amp; O$18 &amp; $B57 &amp; RIGHT($C57, 1) &amp; " " &amp; "Comdty", "ASK", "Fill=#N/A")), NA())</f>
        <v>0.17</v>
      </c>
      <c r="P57" s="10">
        <f ca="1">IFERROR(AVERAGE(_xll.BDP(P$18 &amp; $B56 &amp; RIGHT($C56, 1) &amp; P$18 &amp; $B57 &amp; RIGHT($C57, 1) &amp; " " &amp; "Comdty", "BID", "Fill=#N/A"), _xll.BDP(P$18 &amp; $B56 &amp; RIGHT($C56, 1) &amp; P$18 &amp; $B57 &amp; RIGHT($C57, 1) &amp; " " &amp; "Comdty", "ASK", "Fill=#N/A")), NA())</f>
        <v>3.25</v>
      </c>
      <c r="Q57" s="10" t="e">
        <f ca="1">IFERROR(AVERAGE(_xll.BDP(Q$18 &amp; $B56 &amp; RIGHT($C56, 1) &amp; Q$18 &amp; $B57 &amp; RIGHT($C57, 1) &amp; " " &amp; "Comdty", "BID", "Fill=#N/A"), _xll.BDP(Q$18 &amp; $B56 &amp; RIGHT($C56, 1) &amp; Q$18 &amp; $B57 &amp; RIGHT($C57, 1) &amp; " " &amp; "Comdty", "ASK", "Fill=#N/A")), NA())</f>
        <v>#N/A</v>
      </c>
      <c r="R57" s="10" t="e">
        <f ca="1">IFERROR(AVERAGE(_xll.BDP(R$18 &amp; $B56 &amp; RIGHT($C56, 1) &amp; R$18 &amp; $B57 &amp; RIGHT($C57, 1) &amp; " " &amp; "Comdty", "BID", "Fill=#N/A"), _xll.BDP(R$18 &amp; $B56 &amp; RIGHT($C56, 1) &amp; R$18 &amp; $B57 &amp; RIGHT($C57, 1) &amp; " " &amp; "Comdty", "ASK", "Fill=#N/A")), NA())</f>
        <v>#N/A</v>
      </c>
      <c r="S57" s="10" t="e">
        <f ca="1">IFERROR(AVERAGE(_xll.BDP(S$18 &amp; $B56 &amp; RIGHT($C56, 1) &amp; $B57 &amp; RIGHT($C57, 1) &amp; " " &amp; "Comdty", "BID", "Fill=#N/A"), _xll.BDP(S$18 &amp; $B56 &amp; RIGHT($C56, 1) &amp; $B57 &amp; RIGHT($C57, 1) &amp; " " &amp; "Comdty", "ASK", "Fill=#N/A")), NA())</f>
        <v>#N/A</v>
      </c>
      <c r="T57" s="10" t="e">
        <f ca="1">IFERROR(AVERAGE(_xll.BDP(T$18 &amp; $B56 &amp; RIGHT($C56, 1) &amp; $B57 &amp; RIGHT($C57, 1) &amp; " " &amp; "Comdty", "BID", "Fill=#N/A"), _xll.BDP(T$18 &amp; $B56 &amp; RIGHT($C56, 1) &amp; $B57 &amp; RIGHT($C57, 1) &amp; " " &amp; "Comdty", "ASK", "Fill=#N/A")), NA())</f>
        <v>#N/A</v>
      </c>
      <c r="U57" s="10">
        <f ca="1">IF($A57 &lt; Diagnostics!$B$3, N57, INDEX(ImpSprd[], MATCH(Futs!$C57, ImpSprd[Yr], 0), MATCH(U$18, ImpSprd[#Headers], 0)))</f>
        <v>0.19136363636363637</v>
      </c>
      <c r="V57" s="10">
        <f ca="1">IF($A57 &lt; Diagnostics!$B$3, O57, INDEX(ImpSprd[], MATCH(Futs!$C57, ImpSprd[Yr], 0), MATCH(V$18, ImpSprd[#Headers], 0)))</f>
        <v>0.17681818181818179</v>
      </c>
      <c r="W57" s="10">
        <f ca="1">IF($A57 &lt; Diagnostics!$B$3, P57, INDEX(ImpSprd[], MATCH(Futs!$C57, ImpSprd[Yr], 0), MATCH(W$18, ImpSprd[#Headers], 0)))</f>
        <v>3.8977272727272729</v>
      </c>
      <c r="X57" s="31" t="e">
        <f ca="1">INDEX(Expi[], MATCH($A57, Expi[Date], 0), MATCH(X$18, Expi[#Headers], 0))</f>
        <v>#N/A</v>
      </c>
      <c r="Y57" s="31" t="e">
        <f ca="1">INDEX(Expi[], MATCH($A57, Expi[Date], 0), MATCH(Y$18, Expi[#Headers], 0))</f>
        <v>#N/A</v>
      </c>
      <c r="Z57" s="31" t="e">
        <f ca="1">INDEX(Expi[], MATCH($A57, Expi[Date], 0), MATCH(Z$18, Expi[#Headers], 0))</f>
        <v>#N/A</v>
      </c>
      <c r="AA57" s="31" t="e">
        <f ca="1">INDEX(Expi[], MATCH($A57, Expi[Date], 0), MATCH(AA$18, Expi[#Headers], 0))</f>
        <v>#N/A</v>
      </c>
      <c r="AB57" s="31" t="e">
        <f ca="1">INDEX(Expi[], MATCH($A57, Expi[Date], 0), MATCH(AB$18, Expi[#Headers], 0))</f>
        <v>#N/A</v>
      </c>
      <c r="AC57" s="31" t="e">
        <f ca="1">INDEX(Expi[], MATCH($A57, Expi[Date], 0), MATCH(AC$18, Expi[#Headers], 0))</f>
        <v>#N/A</v>
      </c>
      <c r="AD57" s="7">
        <f ca="1">NETWORKDAYS($A57, EOMONTH($A57, 0), Hols[CME])</f>
        <v>22</v>
      </c>
      <c r="AE57" s="7">
        <f ca="1">NETWORKDAYS($A57, EOMONTH($A57, 0), Hols[ICE])</f>
        <v>22</v>
      </c>
      <c r="AF57" s="7">
        <f ca="1">NETWORKDAYS($A57, EOMONTH($A57, 0), Hols[ICE])</f>
        <v>22</v>
      </c>
      <c r="AG57" s="7">
        <f ca="1">NETWORKDAYS($A57, EOMONTH($A57, 0), Hols[CME])</f>
        <v>22</v>
      </c>
      <c r="AH57" s="7">
        <f ca="1">NETWORKDAYS($A57, EOMONTH($A57, 0), Hols[CME])</f>
        <v>22</v>
      </c>
      <c r="AI57" s="7">
        <f ca="1">NETWORKDAYS($A57, EOMONTH($A57, 0), Hols[ICE])</f>
        <v>22</v>
      </c>
      <c r="AJ57" s="7" t="e">
        <f ca="1">NETWORKDAYS($A57, X57, Hols[CME])</f>
        <v>#N/A</v>
      </c>
      <c r="AK57" s="7" t="e">
        <f ca="1">NETWORKDAYS($A57, Y57, Hols[ICE]) - 1</f>
        <v>#N/A</v>
      </c>
      <c r="AL57" s="7" t="e">
        <f ca="1">NETWORKDAYS($A57, Z57, Hols[ICE]) - 1</f>
        <v>#N/A</v>
      </c>
      <c r="AM57" s="7" t="e">
        <f ca="1">NETWORKDAYS($A57, AA57, Hols[CME])</f>
        <v>#N/A</v>
      </c>
      <c r="AN57" s="7" t="e">
        <f ca="1">NETWORKDAYS($A57, AB57, Hols[CME])</f>
        <v>#N/A</v>
      </c>
      <c r="AO57" s="7" t="e">
        <f ca="1">NETWORKDAYS($A57, AC57, Hols[ICE]) - 1</f>
        <v>#N/A</v>
      </c>
      <c r="AP57" s="10" t="e">
        <f t="shared" ca="1" si="67"/>
        <v>#N/A</v>
      </c>
      <c r="AQ57" s="10" t="e">
        <f t="shared" ca="1" si="68"/>
        <v>#N/A</v>
      </c>
      <c r="AR57" s="10" t="e">
        <f t="shared" ca="1" si="69"/>
        <v>#N/A</v>
      </c>
      <c r="AS57" s="10" t="e">
        <f t="shared" ca="1" si="70"/>
        <v>#N/A</v>
      </c>
      <c r="AT57" s="10" t="e">
        <f t="shared" ca="1" si="71"/>
        <v>#N/A</v>
      </c>
      <c r="AU57" s="10" t="e">
        <f t="shared" ca="1" si="71"/>
        <v>#N/A</v>
      </c>
      <c r="AV57" s="28">
        <f ca="1">IFERROR(AVERAGE(_xll.BDH(AV$18 &amp; $B57 &amp; RIGHT($C57, 1) &amp; " " &amp; "Comdty", "PX_SETTLE", AV$16, AV$16, "Fill=#N/A")), IFERROR(AVERAGE(_xll.BDH(AV$18 &amp; $B57 &amp; RIGHT($C57, 2) &amp; " " &amp; "Comdty", "PX_SETTLE", AV$16, AV$16, "Fill=#N/A")), NA()))</f>
        <v>66.400000000000006</v>
      </c>
      <c r="AW57" s="28">
        <f ca="1">IFERROR(AVERAGE(_xll.BDH(AW$18 &amp; $B57 &amp; RIGHT($C57, 1) &amp; " " &amp; "Comdty", "PX_SETTLE", AW$16, AW$16, "Fill=#N/A")), IFERROR(AVERAGE(_xll.BDH(AW$18 &amp; $B57 &amp; RIGHT($C57, 2) &amp; " " &amp; "Comdty", "PX_SETTLE", AW$16, AW$16, "Fill=#N/A")), NA()))</f>
        <v>71.680000000000007</v>
      </c>
      <c r="AX57" s="29">
        <f ca="1">IFERROR(AVERAGE(_xll.BDH(AX$18 &amp; $B57 &amp; RIGHT($C57, 2) &amp; " " &amp; "Comdty", "FAIR_VALUE_SNAPSHOT_AT_1430", AX$16, AX$16, "TIME_ZONE_OVERRIDE=13", "Fill=#N/A")), NA())</f>
        <v>785.25</v>
      </c>
      <c r="AY57" s="28">
        <f ca="1">IFERROR(AVERAGE(_xll.BDH(AY$18 &amp; $B57 &amp; RIGHT($C57, 1) &amp; " " &amp; "Comdty", "PX_SETTLE", AY$16, AY$16, "Fill=#N/A")), NA())</f>
        <v>292.24</v>
      </c>
      <c r="AZ57" s="28">
        <f ca="1">IFERROR(AVERAGE(_xll.BDH(AZ$18 &amp; $B57 &amp; RIGHT($C57, 1) &amp; " " &amp; "Comdty", "PX_SETTLE", AZ$16, AZ$16, "Fill=#N/A")), NA())</f>
        <v>220.17</v>
      </c>
      <c r="BA57" s="29" t="e">
        <f ca="1">IFERROR(AVERAGE(_xll.BDH(BA$18 &amp; $B57 &amp; RIGHT($C57, 2) &amp; " " &amp; "Comdty", "PX_SETTLE", BA$16, BA$16, "Fill=#N/A")), IFERROR(AVERAGE(_xll.BDH(BA$18 &amp; $B57 &amp; RIGHT($C57, 2) &amp; " " &amp; "Comdty", "PX_SETTLE", BA$16, BA$16, "Fill=#N/A")), NA()))</f>
        <v>#N/A</v>
      </c>
      <c r="BB57" s="29">
        <f ca="1">IFERROR(AVERAGE(_xll.BDH(BB$18 &amp; $B57 &amp; RIGHT($C57, 2) &amp; " " &amp; "Comdty", "PX_SETTLE", BB$16, BB$16, "Fill=#N/A")), IFERROR(AVERAGE(_xll.BDH(BB$18 &amp; $B57 &amp; RIGHT($C57, 2) &amp; " " &amp; "Comdty", "PX_SETTLE", BB$16, BB$16, "Fill=#N/A")), NA()))</f>
        <v>72.38</v>
      </c>
      <c r="BC57" s="29" t="e">
        <f ca="1">IFERROR(AVERAGE(_xll.BDH(BC$18 &amp; $B57 &amp; RIGHT($C57, 2) &amp; " " &amp; "Comdty", "PX_SETTLE", BC$16, BC$16, "Fill=#N/A")), IFERROR(AVERAGE(_xll.BDH(BC$18 &amp; $B57 &amp; RIGHT($C57, 2) &amp; " " &amp; "Comdty", "PX_SETTLE", BC$16, BC$16, "Fill=#N/A")), NA()))</f>
        <v>#N/A</v>
      </c>
      <c r="BD57" s="29" t="e">
        <f>NA()</f>
        <v>#N/A</v>
      </c>
      <c r="BE57" s="109">
        <f t="shared" ca="1" si="209"/>
        <v>66.146363636363702</v>
      </c>
      <c r="BF57" s="46">
        <f t="shared" ca="1" si="72"/>
        <v>-0.25363636363630349</v>
      </c>
      <c r="BG57" s="47">
        <f t="shared" ca="1" si="151"/>
        <v>0.19136363636363285</v>
      </c>
      <c r="BH57" s="114">
        <f t="shared" ca="1" si="223"/>
        <v>4.1363636363641376E-2</v>
      </c>
      <c r="BI57" s="110">
        <f t="shared" ca="1" si="224"/>
        <v>71.32545454545469</v>
      </c>
      <c r="BJ57" s="46">
        <f t="shared" ca="1" si="73"/>
        <v>-0.35454545454531683</v>
      </c>
      <c r="BK57" s="48">
        <f t="shared" ca="1" si="225"/>
        <v>0.17681818181817732</v>
      </c>
      <c r="BL57" s="114">
        <f t="shared" ca="1" si="226"/>
        <v>-3.181818181815288E-3</v>
      </c>
      <c r="BM57" s="48">
        <f t="shared" ca="1" si="152"/>
        <v>763.82954545454618</v>
      </c>
      <c r="BN57" s="46">
        <f t="shared" ca="1" si="74"/>
        <v>-21.420454545453822</v>
      </c>
      <c r="BO57" s="47">
        <f t="shared" ca="1" si="210"/>
        <v>3.8977272727272521</v>
      </c>
      <c r="BP57" s="46">
        <f t="shared" ca="1" si="133"/>
        <v>-0.10227272727274794</v>
      </c>
      <c r="BQ57" s="110" t="str">
        <f t="shared" ca="1" si="211"/>
        <v/>
      </c>
      <c r="BR57" s="46" t="str">
        <f t="shared" ca="1" si="75"/>
        <v/>
      </c>
      <c r="BS57" s="47" t="str">
        <f t="shared" ca="1" si="153"/>
        <v/>
      </c>
      <c r="BT57" s="114" t="str">
        <f t="shared" ca="1" si="154"/>
        <v/>
      </c>
      <c r="BU57" s="48" t="str">
        <f t="shared" ca="1" si="212"/>
        <v/>
      </c>
      <c r="BV57" s="46" t="str">
        <f t="shared" ca="1" si="76"/>
        <v/>
      </c>
      <c r="BW57" s="47" t="str">
        <f t="shared" ca="1" si="155"/>
        <v/>
      </c>
      <c r="BX57" s="46" t="str">
        <f t="shared" ca="1" si="156"/>
        <v/>
      </c>
      <c r="BY57" s="140" t="str">
        <f t="shared" ca="1" si="134"/>
        <v/>
      </c>
      <c r="BZ57" s="46" t="str">
        <f t="shared" ca="1" si="135"/>
        <v/>
      </c>
      <c r="CA57" s="47" t="str">
        <f t="shared" ca="1" si="157"/>
        <v/>
      </c>
      <c r="CB57" s="46" t="str">
        <f t="shared" ca="1" si="158"/>
        <v/>
      </c>
      <c r="CC57" s="141" t="str">
        <f t="shared" ca="1" si="136"/>
        <v/>
      </c>
      <c r="CD57" s="50" t="str">
        <f t="shared" ca="1" si="137"/>
        <v/>
      </c>
      <c r="CE57" s="47" t="str">
        <f t="shared" ca="1" si="159"/>
        <v/>
      </c>
      <c r="CF57" s="46" t="str">
        <f t="shared" ca="1" si="160"/>
        <v/>
      </c>
      <c r="CG57" s="141" t="str">
        <f t="shared" ca="1" si="138"/>
        <v/>
      </c>
      <c r="CH57" s="50" t="str">
        <f t="shared" ca="1" si="139"/>
        <v/>
      </c>
      <c r="CI57" s="47" t="str">
        <f t="shared" ca="1" si="161"/>
        <v/>
      </c>
      <c r="CJ57" s="46" t="str">
        <f t="shared" ca="1" si="162"/>
        <v/>
      </c>
      <c r="CK57" s="141" t="str">
        <f t="shared" ca="1" si="140"/>
        <v/>
      </c>
      <c r="CL57" s="50" t="str">
        <f t="shared" ca="1" si="77"/>
        <v/>
      </c>
      <c r="CM57" s="47" t="str">
        <f t="shared" ca="1" si="163"/>
        <v/>
      </c>
      <c r="CN57" s="46" t="str">
        <f t="shared" ca="1" si="164"/>
        <v/>
      </c>
      <c r="CO57" s="141" t="str">
        <f t="shared" ca="1" si="141"/>
        <v/>
      </c>
      <c r="CP57" s="50" t="str">
        <f t="shared" ca="1" si="78"/>
        <v/>
      </c>
      <c r="CQ57" s="47" t="str">
        <f t="shared" ca="1" si="165"/>
        <v/>
      </c>
      <c r="CR57" s="46" t="str">
        <f t="shared" ca="1" si="166"/>
        <v/>
      </c>
      <c r="CS57" s="109">
        <f t="shared" ca="1" si="79"/>
        <v>-5.1790909090909878</v>
      </c>
      <c r="CT57" s="46">
        <f t="shared" ca="1" si="80"/>
        <v>0.10090909090901334</v>
      </c>
      <c r="CU57" s="47">
        <f t="shared" ca="1" si="167"/>
        <v>1.4545454545455527E-2</v>
      </c>
      <c r="CV57" s="46">
        <f t="shared" ca="1" si="168"/>
        <v>0</v>
      </c>
      <c r="CW57" s="110" t="str">
        <f t="shared" ca="1" si="142"/>
        <v/>
      </c>
      <c r="CX57" s="46" t="str">
        <f t="shared" ca="1" si="81"/>
        <v/>
      </c>
      <c r="CY57" s="47" t="str">
        <f t="shared" ca="1" si="169"/>
        <v/>
      </c>
      <c r="CZ57" s="46" t="str">
        <f t="shared" ca="1" si="170"/>
        <v/>
      </c>
      <c r="DA57" s="109">
        <f t="shared" ca="1" si="82"/>
        <v>31.202001220256207</v>
      </c>
      <c r="DB57" s="46">
        <f t="shared" ca="1" si="83"/>
        <v>-2.520683343502176</v>
      </c>
      <c r="DC57" s="47">
        <f t="shared" ca="1" si="171"/>
        <v>0.34636668700426299</v>
      </c>
      <c r="DD57" s="46">
        <f t="shared" ca="1" si="233"/>
        <v>-1.0546064673587097E-2</v>
      </c>
      <c r="DE57" s="110" t="str">
        <f t="shared" ca="1" si="84"/>
        <v/>
      </c>
      <c r="DF57" s="46" t="str">
        <f t="shared" ca="1" si="85"/>
        <v/>
      </c>
      <c r="DG57" s="47" t="str">
        <f t="shared" ca="1" si="172"/>
        <v/>
      </c>
      <c r="DH57" s="46" t="str">
        <f t="shared" ca="1" si="173"/>
        <v/>
      </c>
      <c r="DI57" s="110" t="str">
        <f t="shared" ca="1" si="86"/>
        <v/>
      </c>
      <c r="DJ57" s="46" t="str">
        <f t="shared" ca="1" si="87"/>
        <v/>
      </c>
      <c r="DK57" s="47" t="str">
        <f t="shared" ca="1" si="174"/>
        <v/>
      </c>
      <c r="DL57" s="46" t="str">
        <f t="shared" ca="1" si="175"/>
        <v/>
      </c>
      <c r="DM57" s="110" t="str">
        <f t="shared" ca="1" si="88"/>
        <v/>
      </c>
      <c r="DN57" s="46" t="str">
        <f t="shared" ca="1" si="89"/>
        <v/>
      </c>
      <c r="DO57" s="47" t="str">
        <f t="shared" ca="1" si="176"/>
        <v/>
      </c>
      <c r="DP57" s="47" t="str">
        <f t="shared" ca="1" si="177"/>
        <v/>
      </c>
      <c r="DQ57" s="110" t="str">
        <f t="shared" ca="1" si="90"/>
        <v/>
      </c>
      <c r="DR57" s="46" t="str">
        <f t="shared" ca="1" si="91"/>
        <v/>
      </c>
      <c r="DS57" s="47" t="str">
        <f t="shared" ca="1" si="178"/>
        <v/>
      </c>
      <c r="DT57" s="47" t="str">
        <f t="shared" ca="1" si="179"/>
        <v/>
      </c>
      <c r="DU57" s="109" t="str">
        <f t="shared" ca="1" si="92"/>
        <v/>
      </c>
      <c r="DV57" s="46" t="str">
        <f t="shared" ca="1" si="93"/>
        <v/>
      </c>
      <c r="DW57" s="47" t="str">
        <f t="shared" ca="1" si="180"/>
        <v/>
      </c>
      <c r="DX57" s="47" t="str">
        <f t="shared" ca="1" si="181"/>
        <v/>
      </c>
      <c r="DY57" s="110" t="str">
        <f t="shared" ca="1" si="94"/>
        <v/>
      </c>
      <c r="DZ57" s="46" t="str">
        <f t="shared" ca="1" si="95"/>
        <v/>
      </c>
      <c r="EA57" s="47" t="str">
        <f t="shared" ca="1" si="182"/>
        <v/>
      </c>
      <c r="EB57" s="47" t="str">
        <f t="shared" ca="1" si="183"/>
        <v/>
      </c>
      <c r="EC57" s="110" t="str">
        <f t="shared" ca="1" si="96"/>
        <v/>
      </c>
      <c r="ED57" s="46" t="str">
        <f t="shared" ca="1" si="97"/>
        <v/>
      </c>
      <c r="EE57" s="47" t="str">
        <f t="shared" ca="1" si="184"/>
        <v/>
      </c>
      <c r="EF57" s="47" t="str">
        <f t="shared" ca="1" si="185"/>
        <v/>
      </c>
      <c r="EG57" s="110" t="str">
        <f t="shared" ca="1" si="98"/>
        <v/>
      </c>
      <c r="EH57" s="46" t="str">
        <f t="shared" ca="1" si="99"/>
        <v/>
      </c>
      <c r="EI57" s="47" t="str">
        <f t="shared" ca="1" si="186"/>
        <v/>
      </c>
      <c r="EJ57" s="47" t="str">
        <f t="shared" ca="1" si="187"/>
        <v/>
      </c>
      <c r="EK57" s="110" t="str">
        <f t="shared" ca="1" si="100"/>
        <v/>
      </c>
      <c r="EL57" s="46" t="str">
        <f t="shared" ca="1" si="101"/>
        <v/>
      </c>
      <c r="EM57" s="47" t="str">
        <f t="shared" ca="1" si="188"/>
        <v/>
      </c>
      <c r="EN57" s="47" t="str">
        <f t="shared" ca="1" si="189"/>
        <v/>
      </c>
      <c r="EO57" s="109" t="str">
        <f t="shared" ca="1" si="102"/>
        <v/>
      </c>
      <c r="EP57" s="46" t="str">
        <f t="shared" ca="1" si="103"/>
        <v/>
      </c>
      <c r="EQ57" s="47" t="str">
        <f t="shared" ca="1" si="190"/>
        <v/>
      </c>
      <c r="ER57" s="47" t="str">
        <f t="shared" ca="1" si="191"/>
        <v/>
      </c>
      <c r="ES57" s="110" t="str">
        <f t="shared" ca="1" si="104"/>
        <v/>
      </c>
      <c r="ET57" s="46" t="str">
        <f t="shared" ca="1" si="105"/>
        <v/>
      </c>
      <c r="EU57" s="47" t="str">
        <f t="shared" ca="1" si="192"/>
        <v/>
      </c>
      <c r="EV57" s="47" t="str">
        <f t="shared" ca="1" si="193"/>
        <v/>
      </c>
      <c r="EW57" s="109" t="str">
        <f t="shared" ca="1" si="106"/>
        <v/>
      </c>
      <c r="EX57" s="46" t="str">
        <f t="shared" ca="1" si="107"/>
        <v/>
      </c>
      <c r="EY57" s="47" t="str">
        <f t="shared" ca="1" si="194"/>
        <v/>
      </c>
      <c r="EZ57" s="47" t="str">
        <f t="shared" ca="1" si="195"/>
        <v/>
      </c>
      <c r="FA57" s="110" t="str">
        <f t="shared" ca="1" si="108"/>
        <v/>
      </c>
      <c r="FB57" s="46" t="str">
        <f t="shared" ca="1" si="109"/>
        <v/>
      </c>
      <c r="FC57" s="47" t="str">
        <f t="shared" ca="1" si="196"/>
        <v/>
      </c>
      <c r="FD57" s="47" t="str">
        <f t="shared" ca="1" si="197"/>
        <v/>
      </c>
      <c r="FE57" s="109" t="str">
        <f t="shared" ca="1" si="110"/>
        <v/>
      </c>
      <c r="FF57" s="46" t="str">
        <f t="shared" ca="1" si="111"/>
        <v/>
      </c>
      <c r="FG57" s="110" t="str">
        <f t="shared" ca="1" si="112"/>
        <v/>
      </c>
      <c r="FH57" s="46" t="str">
        <f t="shared" ca="1" si="113"/>
        <v/>
      </c>
      <c r="FI57" s="110" t="str">
        <f t="shared" ca="1" si="114"/>
        <v/>
      </c>
      <c r="FJ57" s="46" t="str">
        <f t="shared" ca="1" si="115"/>
        <v/>
      </c>
      <c r="FK57" s="110" t="str">
        <f t="shared" ca="1" si="116"/>
        <v/>
      </c>
      <c r="FL57" s="46" t="str">
        <f t="shared" ca="1" si="117"/>
        <v/>
      </c>
      <c r="FM57" s="110" t="str">
        <f t="shared" ca="1" si="118"/>
        <v/>
      </c>
      <c r="FN57" s="46" t="str">
        <f t="shared" ca="1" si="119"/>
        <v/>
      </c>
      <c r="FO57" s="110" t="str">
        <f t="shared" ca="1" si="120"/>
        <v/>
      </c>
      <c r="FP57" s="46" t="str">
        <f t="shared" ca="1" si="121"/>
        <v/>
      </c>
      <c r="FQ57" s="110" t="str">
        <f t="shared" ca="1" si="122"/>
        <v/>
      </c>
      <c r="FR57" s="46" t="str">
        <f t="shared" ca="1" si="123"/>
        <v/>
      </c>
      <c r="FS57" s="110" t="str">
        <f t="shared" ca="1" si="124"/>
        <v/>
      </c>
      <c r="FT57" s="111" t="str">
        <f t="shared" ca="1" si="125"/>
        <v/>
      </c>
      <c r="FU57" s="109" t="str">
        <f t="shared" ca="1" si="232"/>
        <v/>
      </c>
      <c r="FV57" s="46" t="str">
        <f t="shared" ca="1" si="213"/>
        <v/>
      </c>
      <c r="FW57" s="48" t="str">
        <f t="shared" ca="1" si="227"/>
        <v/>
      </c>
      <c r="FX57" s="114" t="str">
        <f t="shared" ca="1" si="228"/>
        <v/>
      </c>
      <c r="FY57" s="110" t="str">
        <f t="shared" ca="1" si="214"/>
        <v/>
      </c>
      <c r="FZ57" s="46" t="str">
        <f t="shared" ca="1" si="215"/>
        <v/>
      </c>
      <c r="GA57" s="47" t="str">
        <f t="shared" ca="1" si="216"/>
        <v/>
      </c>
      <c r="GB57" s="46" t="str">
        <f t="shared" ca="1" si="229"/>
        <v/>
      </c>
      <c r="GC57" s="110" t="str">
        <f ca="1">IFERROR(IF(AND(ISNUMBER($FU57), ISNUMBER(Crd!$X57)), $FU57 - Crd!$X57, ""), "")</f>
        <v/>
      </c>
      <c r="GD57" s="46" t="str">
        <f ca="1">IFERROR(IF(AND(ISNUMBER($FV57), ISNUMBER(Crd!$Y57)), $FV57 - Crd!$Y57, ""), "")</f>
        <v/>
      </c>
      <c r="GE57" s="47" t="str">
        <f t="shared" ca="1" si="217"/>
        <v/>
      </c>
      <c r="GF57" s="46" t="str">
        <f t="shared" ca="1" si="218"/>
        <v/>
      </c>
      <c r="GG57" s="141" t="str">
        <f t="shared" ca="1" si="198"/>
        <v/>
      </c>
      <c r="GH57" s="50" t="str">
        <f t="shared" ca="1" si="199"/>
        <v/>
      </c>
      <c r="GI57" s="47" t="str">
        <f t="shared" ca="1" si="144"/>
        <v/>
      </c>
      <c r="GJ57" s="46" t="str">
        <f t="shared" ca="1" si="145"/>
        <v/>
      </c>
      <c r="GK57" s="110" t="str">
        <f t="shared" ca="1" si="127"/>
        <v/>
      </c>
      <c r="GL57" s="46" t="str">
        <f t="shared" ca="1" si="128"/>
        <v/>
      </c>
      <c r="GM57" s="47" t="str">
        <f t="shared" ca="1" si="200"/>
        <v/>
      </c>
      <c r="GN57" s="46" t="str">
        <f t="shared" ca="1" si="201"/>
        <v/>
      </c>
      <c r="GO57" s="110" t="str">
        <f ca="1">IFERROR(IF(AND(ISNUMBER($GG57), ISNUMBER(Crd!$X57)), $GG57 - Crd!$X57, ""), "")</f>
        <v/>
      </c>
      <c r="GP57" s="46" t="str">
        <f ca="1">IFERROR(IF(AND(ISNUMBER($GH57), ISNUMBER(Crd!$Y57)), $GH57 - Crd!$Y57, ""), "")</f>
        <v/>
      </c>
      <c r="GQ57" s="47" t="str">
        <f t="shared" ca="1" si="202"/>
        <v/>
      </c>
      <c r="GR57" s="46" t="str">
        <f t="shared" ca="1" si="203"/>
        <v/>
      </c>
      <c r="GS57" s="436" t="str">
        <f t="shared" ca="1" si="219"/>
        <v/>
      </c>
      <c r="GT57" s="46" t="str">
        <f t="shared" ca="1" si="220"/>
        <v/>
      </c>
      <c r="GU57" s="48" t="str">
        <f t="shared" ca="1" si="230"/>
        <v/>
      </c>
      <c r="GV57" s="46" t="str">
        <f t="shared" ca="1" si="231"/>
        <v/>
      </c>
      <c r="GW57" s="427" t="str">
        <f t="shared" ca="1" si="204"/>
        <v/>
      </c>
      <c r="GX57" s="50" t="str">
        <f t="shared" ca="1" si="146"/>
        <v/>
      </c>
      <c r="GY57" s="47" t="str">
        <f t="shared" ca="1" si="205"/>
        <v/>
      </c>
      <c r="GZ57" s="432" t="str">
        <f t="shared" ca="1" si="206"/>
        <v/>
      </c>
      <c r="HA57" s="436"/>
      <c r="HB57" s="46"/>
      <c r="HC57" s="48"/>
      <c r="HD57" s="46"/>
      <c r="HE57" s="269"/>
      <c r="HF57" s="46"/>
      <c r="HG57" s="48"/>
      <c r="HH57" s="432"/>
    </row>
    <row r="58" spans="1:216" x14ac:dyDescent="0.25">
      <c r="A58" s="58">
        <f t="shared" ca="1" si="131"/>
        <v>47453</v>
      </c>
      <c r="B58" s="6" t="str">
        <f ca="1">INDEX(MthRef[], MATCH(MONTH(Futs!$A58), MthRef[Mth], 0), 2)</f>
        <v>Z</v>
      </c>
      <c r="C58" s="6">
        <f t="shared" ca="1" si="65"/>
        <v>2029</v>
      </c>
      <c r="D58" s="6" t="str">
        <f t="shared" ca="1" si="66"/>
        <v>Q429</v>
      </c>
      <c r="E58" s="6" t="str">
        <f t="shared" ca="1" si="132"/>
        <v>Z9</v>
      </c>
      <c r="F58" s="10" t="e">
        <f ca="1">IFERROR(AVERAGE(_xll.BDP(F$18 &amp; $B58 &amp; RIGHT($C58, 1) &amp; " " &amp; "Comdty", "BID", "Fill=#N/A"), _xll.BDP(F$18 &amp; $B58 &amp; RIGHT($C58, 1) &amp; " " &amp; "Comdty", "ASK", "Fill=#N/A")), NA())</f>
        <v>#N/A</v>
      </c>
      <c r="G58" s="10" t="e">
        <f ca="1">IFERROR(AVERAGE(_xll.BDP(G$18 &amp; $B58 &amp; RIGHT($C58, 1) &amp; " " &amp; "Comdty", "BID", "Fill=#N/A"), _xll.BDP(G$18 &amp; $B58 &amp; RIGHT($C58, 1) &amp; " " &amp; "Comdty", "ASK", "Fill=#N/A")), NA())</f>
        <v>#N/A</v>
      </c>
      <c r="H58" s="10">
        <f ca="1">IFERROR(AVERAGE(_xll.BDP(H$18 &amp; $B58 &amp; RIGHT($C58, 1) &amp; " " &amp; "Comdty", "BID", "Fill=#N/A"), _xll.BDP(H$18 &amp; $B58 &amp; RIGHT($C58, 1) &amp; " " &amp; "Comdty", "ASK", "Fill=#N/A")), NA())</f>
        <v>773.125</v>
      </c>
      <c r="I58" s="10" t="e">
        <f ca="1">IFERROR(AVERAGE(_xll.BDP(I$18 &amp; $B58 &amp; RIGHT($C58, 1) &amp; " " &amp; "Comdty", "BID", "Fill=#N/A"), _xll.BDP(I$18 &amp; $B58 &amp; RIGHT($C58, 1) &amp; " " &amp; "Comdty", "ASK", "Fill=#N/A")), NA())</f>
        <v>#N/A</v>
      </c>
      <c r="J58" s="10" t="e">
        <f ca="1">IFERROR(AVERAGE(_xll.BDP(J$18 &amp; $B58 &amp; RIGHT($C58, 1) &amp; " " &amp; "Comdty", "BID", "Fill=#N/A"), _xll.BDP(J$18 &amp; $B58 &amp; RIGHT($C58, 1) &amp; " " &amp; "Comdty", "ASK", "Fill=#N/A")), NA())</f>
        <v>#N/A</v>
      </c>
      <c r="K58" s="10" t="e">
        <f ca="1">IFERROR(AVERAGE(_xll.BDP(K$18 &amp; $B58 &amp; RIGHT($C58, 2) &amp; " " &amp; "Comdty", "BID", "Fill=#N/A"), _xll.BDP(K$18 &amp; $B58 &amp; RIGHT($C58, 2) &amp; " " &amp; "Comdty", "ASK", "Fill=#N/A")), NA())</f>
        <v>#N/A</v>
      </c>
      <c r="L58" s="10" t="e">
        <f ca="1">IFERROR(AVERAGE(_xll.BDP(L$18 &amp; $B58 &amp; RIGHT($C58, 2) &amp; " " &amp; "Comdty", "BID", "Fill=#N/A"), _xll.BDP(L$18 &amp; $B58 &amp; RIGHT($C58, 2) &amp; " " &amp; "Comdty", "ASK", "Fill=#N/A")), NA())</f>
        <v>#N/A</v>
      </c>
      <c r="M58" s="10" t="e">
        <f ca="1">IFERROR(AVERAGE(_xll.BDP(M$18 &amp; $B58 &amp; RIGHT($C58, 2) &amp; " " &amp; "Comdty", "BID", "Fill=#N/A"), _xll.BDP(M$18 &amp; $B58 &amp; RIGHT($C58, 2) &amp; " " &amp; "Comdty", "ASK", "Fill=#N/A")), NA())</f>
        <v>#N/A</v>
      </c>
      <c r="N58" s="10" t="e">
        <f ca="1">IFERROR(AVERAGE(_xll.BDP(N$18 &amp; $B57 &amp; RIGHT($C57, 1) &amp; N$18 &amp; $B58 &amp; RIGHT($C58, 1) &amp; " " &amp; "Comdty", "BID", "Fill=#N/A"), _xll.BDP(N$18 &amp; $B57 &amp; RIGHT($C57, 1) &amp; N$18 &amp; $B58 &amp; RIGHT($C58, 1) &amp; " " &amp; "Comdty", "ASK", "Fill=#N/A")), NA())</f>
        <v>#N/A</v>
      </c>
      <c r="O58" s="10">
        <f ca="1">IFERROR(AVERAGE(_xll.BDP(O$18 &amp; $B57 &amp; RIGHT($C57, 1) &amp; O$18 &amp; $B58 &amp; RIGHT($C58, 1) &amp; " " &amp; "Comdty", "BID", "Fill=#N/A"), _xll.BDP(O$18 &amp; $B57 &amp; RIGHT($C57, 1) &amp; O$18 &amp; $B58 &amp; RIGHT($C58, 1) &amp; " " &amp; "Comdty", "ASK", "Fill=#N/A")), NA())</f>
        <v>3.9999999999999994E-2</v>
      </c>
      <c r="P58" s="10">
        <f ca="1">IFERROR(AVERAGE(_xll.BDP(P$18 &amp; $B57 &amp; RIGHT($C57, 1) &amp; P$18 &amp; $B58 &amp; RIGHT($C58, 1) &amp; " " &amp; "Comdty", "BID", "Fill=#N/A"), _xll.BDP(P$18 &amp; $B57 &amp; RIGHT($C57, 1) &amp; P$18 &amp; $B58 &amp; RIGHT($C58, 1) &amp; " " &amp; "Comdty", "ASK", "Fill=#N/A")), NA())</f>
        <v>4</v>
      </c>
      <c r="Q58" s="10" t="e">
        <f ca="1">IFERROR(AVERAGE(_xll.BDP(Q$18 &amp; $B57 &amp; RIGHT($C57, 1) &amp; Q$18 &amp; $B58 &amp; RIGHT($C58, 1) &amp; " " &amp; "Comdty", "BID", "Fill=#N/A"), _xll.BDP(Q$18 &amp; $B57 &amp; RIGHT($C57, 1) &amp; Q$18 &amp; $B58 &amp; RIGHT($C58, 1) &amp; " " &amp; "Comdty", "ASK", "Fill=#N/A")), NA())</f>
        <v>#N/A</v>
      </c>
      <c r="R58" s="10" t="e">
        <f ca="1">IFERROR(AVERAGE(_xll.BDP(R$18 &amp; $B57 &amp; RIGHT($C57, 1) &amp; R$18 &amp; $B58 &amp; RIGHT($C58, 1) &amp; " " &amp; "Comdty", "BID", "Fill=#N/A"), _xll.BDP(R$18 &amp; $B57 &amp; RIGHT($C57, 1) &amp; R$18 &amp; $B58 &amp; RIGHT($C58, 1) &amp; " " &amp; "Comdty", "ASK", "Fill=#N/A")), NA())</f>
        <v>#N/A</v>
      </c>
      <c r="S58" s="10" t="e">
        <f ca="1">IFERROR(AVERAGE(_xll.BDP(S$18 &amp; $B57 &amp; RIGHT($C57, 1) &amp; $B58 &amp; RIGHT($C58, 1) &amp; " " &amp; "Comdty", "BID", "Fill=#N/A"), _xll.BDP(S$18 &amp; $B57 &amp; RIGHT($C57, 1) &amp; $B58 &amp; RIGHT($C58, 1) &amp; " " &amp; "Comdty", "ASK", "Fill=#N/A")), NA())</f>
        <v>#N/A</v>
      </c>
      <c r="T58" s="10" t="e">
        <f ca="1">IFERROR(AVERAGE(_xll.BDP(T$18 &amp; $B57 &amp; RIGHT($C57, 1) &amp; $B58 &amp; RIGHT($C58, 1) &amp; " " &amp; "Comdty", "BID", "Fill=#N/A"), _xll.BDP(T$18 &amp; $B57 &amp; RIGHT($C57, 1) &amp; $B58 &amp; RIGHT($C58, 1) &amp; " " &amp; "Comdty", "ASK", "Fill=#N/A")), NA())</f>
        <v>#N/A</v>
      </c>
      <c r="U58" s="10">
        <f ca="1">IF($A58 &lt; Diagnostics!$B$3, N58, INDEX(ImpSprd[], MATCH(Futs!$C58, ImpSprd[Yr], 0), MATCH(U$18, ImpSprd[#Headers], 0)))</f>
        <v>0.19136363636363637</v>
      </c>
      <c r="V58" s="10">
        <f ca="1">IF($A58 &lt; Diagnostics!$B$3, O58, INDEX(ImpSprd[], MATCH(Futs!$C58, ImpSprd[Yr], 0), MATCH(V$18, ImpSprd[#Headers], 0)))</f>
        <v>0.17681818181818179</v>
      </c>
      <c r="W58" s="10">
        <f ca="1">IF($A58 &lt; Diagnostics!$B$3, P58, INDEX(ImpSprd[], MATCH(Futs!$C58, ImpSprd[Yr], 0), MATCH(W$18, ImpSprd[#Headers], 0)))</f>
        <v>3.8977272727272729</v>
      </c>
      <c r="X58" s="31" t="e">
        <f ca="1">INDEX(Expi[], MATCH($A58, Expi[Date], 0), MATCH(X$18, Expi[#Headers], 0))</f>
        <v>#N/A</v>
      </c>
      <c r="Y58" s="31" t="e">
        <f ca="1">INDEX(Expi[], MATCH($A58, Expi[Date], 0), MATCH(Y$18, Expi[#Headers], 0))</f>
        <v>#N/A</v>
      </c>
      <c r="Z58" s="31" t="e">
        <f ca="1">INDEX(Expi[], MATCH($A58, Expi[Date], 0), MATCH(Z$18, Expi[#Headers], 0))</f>
        <v>#N/A</v>
      </c>
      <c r="AA58" s="31" t="e">
        <f ca="1">INDEX(Expi[], MATCH($A58, Expi[Date], 0), MATCH(AA$18, Expi[#Headers], 0))</f>
        <v>#N/A</v>
      </c>
      <c r="AB58" s="31" t="e">
        <f ca="1">INDEX(Expi[], MATCH($A58, Expi[Date], 0), MATCH(AB$18, Expi[#Headers], 0))</f>
        <v>#N/A</v>
      </c>
      <c r="AC58" s="31" t="e">
        <f ca="1">INDEX(Expi[], MATCH($A58, Expi[Date], 0), MATCH(AC$18, Expi[#Headers], 0))</f>
        <v>#N/A</v>
      </c>
      <c r="AD58" s="7">
        <f ca="1">NETWORKDAYS($A58, EOMONTH($A58, 0), Hols[CME])</f>
        <v>21</v>
      </c>
      <c r="AE58" s="7">
        <f ca="1">NETWORKDAYS($A58, EOMONTH($A58, 0), Hols[ICE])</f>
        <v>21</v>
      </c>
      <c r="AF58" s="7">
        <f ca="1">NETWORKDAYS($A58, EOMONTH($A58, 0), Hols[ICE])</f>
        <v>21</v>
      </c>
      <c r="AG58" s="7">
        <f ca="1">NETWORKDAYS($A58, EOMONTH($A58, 0), Hols[CME])</f>
        <v>21</v>
      </c>
      <c r="AH58" s="7">
        <f ca="1">NETWORKDAYS($A58, EOMONTH($A58, 0), Hols[CME])</f>
        <v>21</v>
      </c>
      <c r="AI58" s="7">
        <f ca="1">NETWORKDAYS($A58, EOMONTH($A58, 0), Hols[ICE])</f>
        <v>21</v>
      </c>
      <c r="AJ58" s="7" t="e">
        <f ca="1">NETWORKDAYS($A58, X58, Hols[CME])</f>
        <v>#N/A</v>
      </c>
      <c r="AK58" s="7" t="e">
        <f ca="1">NETWORKDAYS($A58, Y58, Hols[ICE]) - 1</f>
        <v>#N/A</v>
      </c>
      <c r="AL58" s="7" t="e">
        <f ca="1">NETWORKDAYS($A58, Z58, Hols[ICE]) - 1</f>
        <v>#N/A</v>
      </c>
      <c r="AM58" s="7" t="e">
        <f ca="1">NETWORKDAYS($A58, AA58, Hols[CME])</f>
        <v>#N/A</v>
      </c>
      <c r="AN58" s="7" t="e">
        <f ca="1">NETWORKDAYS($A58, AB58, Hols[CME])</f>
        <v>#N/A</v>
      </c>
      <c r="AO58" s="7" t="e">
        <f ca="1">NETWORKDAYS($A58, AC58, Hols[ICE]) - 1</f>
        <v>#N/A</v>
      </c>
      <c r="AP58" s="10" t="e">
        <f t="shared" ca="1" si="67"/>
        <v>#N/A</v>
      </c>
      <c r="AQ58" s="10" t="e">
        <f t="shared" ca="1" si="68"/>
        <v>#N/A</v>
      </c>
      <c r="AR58" s="10" t="e">
        <f t="shared" ca="1" si="69"/>
        <v>#N/A</v>
      </c>
      <c r="AS58" s="10" t="e">
        <f t="shared" ca="1" si="70"/>
        <v>#N/A</v>
      </c>
      <c r="AT58" s="10" t="e">
        <f t="shared" ca="1" si="71"/>
        <v>#N/A</v>
      </c>
      <c r="AU58" s="10" t="e">
        <f t="shared" ca="1" si="71"/>
        <v>#N/A</v>
      </c>
      <c r="AV58" s="28">
        <f ca="1">IFERROR(AVERAGE(_xll.BDH(AV$18 &amp; $B58 &amp; RIGHT($C58, 1) &amp; " " &amp; "Comdty", "PX_SETTLE", AV$16, AV$16, "Fill=#N/A")), IFERROR(AVERAGE(_xll.BDH(AV$18 &amp; $B58 &amp; RIGHT($C58, 2) &amp; " " &amp; "Comdty", "PX_SETTLE", AV$16, AV$16, "Fill=#N/A")), NA()))</f>
        <v>66.25</v>
      </c>
      <c r="AW58" s="28">
        <f ca="1">IFERROR(AVERAGE(_xll.BDH(AW$18 &amp; $B58 &amp; RIGHT($C58, 1) &amp; " " &amp; "Comdty", "PX_SETTLE", AW$16, AW$16, "Fill=#N/A")), IFERROR(AVERAGE(_xll.BDH(AW$18 &amp; $B58 &amp; RIGHT($C58, 2) &amp; " " &amp; "Comdty", "PX_SETTLE", AW$16, AW$16, "Fill=#N/A")), NA()))</f>
        <v>71.540000000000006</v>
      </c>
      <c r="AX58" s="29">
        <f ca="1">IFERROR(AVERAGE(_xll.BDH(AX$18 &amp; $B58 &amp; RIGHT($C58, 2) &amp; " " &amp; "Comdty", "FAIR_VALUE_SNAPSHOT_AT_1430", AX$16, AX$16, "TIME_ZONE_OVERRIDE=13", "Fill=#N/A")), NA())</f>
        <v>781.25</v>
      </c>
      <c r="AY58" s="28">
        <f ca="1">IFERROR(AVERAGE(_xll.BDH(AY$18 &amp; $B58 &amp; RIGHT($C58, 1) &amp; " " &amp; "Comdty", "PX_SETTLE", AY$16, AY$16, "Fill=#N/A")), NA())</f>
        <v>290.58</v>
      </c>
      <c r="AZ58" s="28">
        <f ca="1">IFERROR(AVERAGE(_xll.BDH(AZ$18 &amp; $B58 &amp; RIGHT($C58, 1) &amp; " " &amp; "Comdty", "PX_SETTLE", AZ$16, AZ$16, "Fill=#N/A")), NA())</f>
        <v>218.45</v>
      </c>
      <c r="BA58" s="29" t="e">
        <f ca="1">IFERROR(AVERAGE(_xll.BDH(BA$18 &amp; $B58 &amp; RIGHT($C58, 2) &amp; " " &amp; "Comdty", "PX_SETTLE", BA$16, BA$16, "Fill=#N/A")), IFERROR(AVERAGE(_xll.BDH(BA$18 &amp; $B58 &amp; RIGHT($C58, 2) &amp; " " &amp; "Comdty", "PX_SETTLE", BA$16, BA$16, "Fill=#N/A")), NA()))</f>
        <v>#N/A</v>
      </c>
      <c r="BB58" s="29">
        <f ca="1">IFERROR(AVERAGE(_xll.BDH(BB$18 &amp; $B58 &amp; RIGHT($C58, 2) &amp; " " &amp; "Comdty", "PX_SETTLE", BB$16, BB$16, "Fill=#N/A")), IFERROR(AVERAGE(_xll.BDH(BB$18 &amp; $B58 &amp; RIGHT($C58, 2) &amp; " " &amp; "Comdty", "PX_SETTLE", BB$16, BB$16, "Fill=#N/A")), NA()))</f>
        <v>72.239999999999995</v>
      </c>
      <c r="BC58" s="29" t="e">
        <f ca="1">IFERROR(AVERAGE(_xll.BDH(BC$18 &amp; $B58 &amp; RIGHT($C58, 2) &amp; " " &amp; "Comdty", "PX_SETTLE", BC$16, BC$16, "Fill=#N/A")), IFERROR(AVERAGE(_xll.BDH(BC$18 &amp; $B58 &amp; RIGHT($C58, 2) &amp; " " &amp; "Comdty", "PX_SETTLE", BC$16, BC$16, "Fill=#N/A")), NA()))</f>
        <v>#N/A</v>
      </c>
      <c r="BD58" s="29" t="e">
        <f>NA()</f>
        <v>#N/A</v>
      </c>
      <c r="BE58" s="109">
        <f t="shared" ca="1" si="209"/>
        <v>65.955000000000069</v>
      </c>
      <c r="BF58" s="46">
        <f t="shared" ca="1" si="72"/>
        <v>-0.29499999999993065</v>
      </c>
      <c r="BG58" s="47">
        <f t="shared" ca="1" si="151"/>
        <v>0.19136363636363285</v>
      </c>
      <c r="BH58" s="114">
        <f t="shared" ca="1" si="223"/>
        <v>4.1363636363627165E-2</v>
      </c>
      <c r="BI58" s="110">
        <f t="shared" ca="1" si="224"/>
        <v>71.148636363636513</v>
      </c>
      <c r="BJ58" s="46">
        <f t="shared" ca="1" si="73"/>
        <v>-0.39136363636349358</v>
      </c>
      <c r="BK58" s="48">
        <f t="shared" ca="1" si="225"/>
        <v>0.17681818181817732</v>
      </c>
      <c r="BL58" s="114">
        <f t="shared" ca="1" si="226"/>
        <v>3.6818181818176754E-2</v>
      </c>
      <c r="BM58" s="48">
        <f t="shared" ca="1" si="152"/>
        <v>759.93181818181893</v>
      </c>
      <c r="BN58" s="46">
        <f t="shared" ca="1" si="74"/>
        <v>-21.318181818181074</v>
      </c>
      <c r="BO58" s="47">
        <f t="shared" ca="1" si="210"/>
        <v>3.8977272727272521</v>
      </c>
      <c r="BP58" s="46">
        <f t="shared" ca="1" si="133"/>
        <v>-0.10227272727274794</v>
      </c>
      <c r="BQ58" s="110" t="str">
        <f t="shared" ca="1" si="211"/>
        <v/>
      </c>
      <c r="BR58" s="46" t="str">
        <f t="shared" ca="1" si="75"/>
        <v/>
      </c>
      <c r="BS58" s="47" t="str">
        <f t="shared" ca="1" si="153"/>
        <v/>
      </c>
      <c r="BT58" s="114" t="str">
        <f t="shared" ca="1" si="154"/>
        <v/>
      </c>
      <c r="BU58" s="48" t="str">
        <f t="shared" ca="1" si="212"/>
        <v/>
      </c>
      <c r="BV58" s="46" t="str">
        <f t="shared" ca="1" si="76"/>
        <v/>
      </c>
      <c r="BW58" s="47" t="str">
        <f t="shared" ca="1" si="155"/>
        <v/>
      </c>
      <c r="BX58" s="46" t="str">
        <f t="shared" ca="1" si="156"/>
        <v/>
      </c>
      <c r="BY58" s="140" t="str">
        <f t="shared" ca="1" si="134"/>
        <v/>
      </c>
      <c r="BZ58" s="46" t="str">
        <f t="shared" ca="1" si="135"/>
        <v/>
      </c>
      <c r="CA58" s="47" t="str">
        <f t="shared" ca="1" si="157"/>
        <v/>
      </c>
      <c r="CB58" s="46" t="str">
        <f t="shared" ca="1" si="158"/>
        <v/>
      </c>
      <c r="CC58" s="141" t="str">
        <f t="shared" ca="1" si="136"/>
        <v/>
      </c>
      <c r="CD58" s="50" t="str">
        <f t="shared" ca="1" si="137"/>
        <v/>
      </c>
      <c r="CE58" s="47" t="str">
        <f t="shared" ca="1" si="159"/>
        <v/>
      </c>
      <c r="CF58" s="46" t="str">
        <f t="shared" ca="1" si="160"/>
        <v/>
      </c>
      <c r="CG58" s="141" t="str">
        <f t="shared" ca="1" si="138"/>
        <v/>
      </c>
      <c r="CH58" s="50" t="str">
        <f t="shared" ca="1" si="139"/>
        <v/>
      </c>
      <c r="CI58" s="47" t="str">
        <f t="shared" ca="1" si="161"/>
        <v/>
      </c>
      <c r="CJ58" s="46" t="str">
        <f t="shared" ca="1" si="162"/>
        <v/>
      </c>
      <c r="CK58" s="141" t="str">
        <f t="shared" ca="1" si="140"/>
        <v/>
      </c>
      <c r="CL58" s="50" t="str">
        <f t="shared" ca="1" si="77"/>
        <v/>
      </c>
      <c r="CM58" s="47" t="str">
        <f t="shared" ca="1" si="163"/>
        <v/>
      </c>
      <c r="CN58" s="46" t="str">
        <f t="shared" ca="1" si="164"/>
        <v/>
      </c>
      <c r="CO58" s="141" t="str">
        <f t="shared" ca="1" si="141"/>
        <v/>
      </c>
      <c r="CP58" s="50" t="str">
        <f t="shared" ca="1" si="78"/>
        <v/>
      </c>
      <c r="CQ58" s="47" t="str">
        <f t="shared" ca="1" si="165"/>
        <v/>
      </c>
      <c r="CR58" s="46" t="str">
        <f t="shared" ca="1" si="166"/>
        <v/>
      </c>
      <c r="CS58" s="109">
        <f t="shared" ca="1" si="79"/>
        <v>-5.1936363636364433</v>
      </c>
      <c r="CT58" s="46">
        <f t="shared" ca="1" si="80"/>
        <v>9.6363636363562932E-2</v>
      </c>
      <c r="CU58" s="47">
        <f t="shared" ca="1" si="167"/>
        <v>1.4545454545455527E-2</v>
      </c>
      <c r="CV58" s="46">
        <f t="shared" ca="1" si="168"/>
        <v>0</v>
      </c>
      <c r="CW58" s="110" t="str">
        <f t="shared" ca="1" si="142"/>
        <v/>
      </c>
      <c r="CX58" s="46" t="str">
        <f t="shared" ca="1" si="81"/>
        <v/>
      </c>
      <c r="CY58" s="47" t="str">
        <f t="shared" ca="1" si="169"/>
        <v/>
      </c>
      <c r="CZ58" s="46" t="str">
        <f t="shared" ca="1" si="170"/>
        <v/>
      </c>
      <c r="DA58" s="109">
        <f t="shared" ca="1" si="82"/>
        <v>30.85563453325193</v>
      </c>
      <c r="DB58" s="46">
        <f t="shared" ca="1" si="83"/>
        <v>-2.4701372788285969</v>
      </c>
      <c r="DC58" s="47">
        <f t="shared" ca="1" si="171"/>
        <v>0.3463666870042772</v>
      </c>
      <c r="DD58" s="46">
        <f t="shared" ca="1" si="233"/>
        <v>-5.0546064673579139E-2</v>
      </c>
      <c r="DE58" s="110" t="str">
        <f t="shared" ca="1" si="84"/>
        <v/>
      </c>
      <c r="DF58" s="46" t="str">
        <f t="shared" ca="1" si="85"/>
        <v/>
      </c>
      <c r="DG58" s="47" t="str">
        <f t="shared" ca="1" si="172"/>
        <v/>
      </c>
      <c r="DH58" s="46" t="str">
        <f t="shared" ca="1" si="173"/>
        <v/>
      </c>
      <c r="DI58" s="110" t="str">
        <f t="shared" ca="1" si="86"/>
        <v/>
      </c>
      <c r="DJ58" s="46" t="str">
        <f t="shared" ca="1" si="87"/>
        <v/>
      </c>
      <c r="DK58" s="47" t="str">
        <f t="shared" ca="1" si="174"/>
        <v/>
      </c>
      <c r="DL58" s="46" t="str">
        <f t="shared" ca="1" si="175"/>
        <v/>
      </c>
      <c r="DM58" s="110" t="str">
        <f t="shared" ca="1" si="88"/>
        <v/>
      </c>
      <c r="DN58" s="46" t="str">
        <f t="shared" ca="1" si="89"/>
        <v/>
      </c>
      <c r="DO58" s="47" t="str">
        <f t="shared" ca="1" si="176"/>
        <v/>
      </c>
      <c r="DP58" s="47" t="str">
        <f t="shared" ca="1" si="177"/>
        <v/>
      </c>
      <c r="DQ58" s="110" t="str">
        <f t="shared" ca="1" si="90"/>
        <v/>
      </c>
      <c r="DR58" s="46" t="str">
        <f t="shared" ca="1" si="91"/>
        <v/>
      </c>
      <c r="DS58" s="47" t="str">
        <f t="shared" ca="1" si="178"/>
        <v/>
      </c>
      <c r="DT58" s="47" t="str">
        <f t="shared" ca="1" si="179"/>
        <v/>
      </c>
      <c r="DU58" s="109" t="str">
        <f t="shared" ca="1" si="92"/>
        <v/>
      </c>
      <c r="DV58" s="46" t="str">
        <f t="shared" ca="1" si="93"/>
        <v/>
      </c>
      <c r="DW58" s="47" t="str">
        <f t="shared" ca="1" si="180"/>
        <v/>
      </c>
      <c r="DX58" s="47" t="str">
        <f t="shared" ca="1" si="181"/>
        <v/>
      </c>
      <c r="DY58" s="110" t="str">
        <f t="shared" ca="1" si="94"/>
        <v/>
      </c>
      <c r="DZ58" s="46" t="str">
        <f t="shared" ca="1" si="95"/>
        <v/>
      </c>
      <c r="EA58" s="47" t="str">
        <f t="shared" ca="1" si="182"/>
        <v/>
      </c>
      <c r="EB58" s="47" t="str">
        <f t="shared" ca="1" si="183"/>
        <v/>
      </c>
      <c r="EC58" s="110" t="str">
        <f t="shared" ca="1" si="96"/>
        <v/>
      </c>
      <c r="ED58" s="46" t="str">
        <f t="shared" ca="1" si="97"/>
        <v/>
      </c>
      <c r="EE58" s="47" t="str">
        <f t="shared" ca="1" si="184"/>
        <v/>
      </c>
      <c r="EF58" s="47" t="str">
        <f t="shared" ca="1" si="185"/>
        <v/>
      </c>
      <c r="EG58" s="110" t="str">
        <f t="shared" ca="1" si="98"/>
        <v/>
      </c>
      <c r="EH58" s="46" t="str">
        <f t="shared" ca="1" si="99"/>
        <v/>
      </c>
      <c r="EI58" s="47" t="str">
        <f t="shared" ca="1" si="186"/>
        <v/>
      </c>
      <c r="EJ58" s="47" t="str">
        <f t="shared" ca="1" si="187"/>
        <v/>
      </c>
      <c r="EK58" s="110" t="str">
        <f t="shared" ca="1" si="100"/>
        <v/>
      </c>
      <c r="EL58" s="46" t="str">
        <f t="shared" ca="1" si="101"/>
        <v/>
      </c>
      <c r="EM58" s="47" t="str">
        <f t="shared" ca="1" si="188"/>
        <v/>
      </c>
      <c r="EN58" s="47" t="str">
        <f t="shared" ca="1" si="189"/>
        <v/>
      </c>
      <c r="EO58" s="109" t="str">
        <f t="shared" ca="1" si="102"/>
        <v/>
      </c>
      <c r="EP58" s="46" t="str">
        <f t="shared" ca="1" si="103"/>
        <v/>
      </c>
      <c r="EQ58" s="47" t="str">
        <f t="shared" ca="1" si="190"/>
        <v/>
      </c>
      <c r="ER58" s="47" t="str">
        <f t="shared" ca="1" si="191"/>
        <v/>
      </c>
      <c r="ES58" s="110" t="str">
        <f t="shared" ca="1" si="104"/>
        <v/>
      </c>
      <c r="ET58" s="46" t="str">
        <f t="shared" ca="1" si="105"/>
        <v/>
      </c>
      <c r="EU58" s="47" t="str">
        <f t="shared" ca="1" si="192"/>
        <v/>
      </c>
      <c r="EV58" s="47" t="str">
        <f t="shared" ca="1" si="193"/>
        <v/>
      </c>
      <c r="EW58" s="109" t="str">
        <f t="shared" ca="1" si="106"/>
        <v/>
      </c>
      <c r="EX58" s="46" t="str">
        <f t="shared" ca="1" si="107"/>
        <v/>
      </c>
      <c r="EY58" s="47" t="str">
        <f t="shared" ca="1" si="194"/>
        <v/>
      </c>
      <c r="EZ58" s="47" t="str">
        <f t="shared" ca="1" si="195"/>
        <v/>
      </c>
      <c r="FA58" s="110" t="str">
        <f t="shared" ca="1" si="108"/>
        <v/>
      </c>
      <c r="FB58" s="46" t="str">
        <f t="shared" ca="1" si="109"/>
        <v/>
      </c>
      <c r="FC58" s="47" t="str">
        <f t="shared" ca="1" si="196"/>
        <v/>
      </c>
      <c r="FD58" s="47" t="str">
        <f t="shared" ca="1" si="197"/>
        <v/>
      </c>
      <c r="FE58" s="109" t="str">
        <f t="shared" ca="1" si="110"/>
        <v/>
      </c>
      <c r="FF58" s="46" t="str">
        <f t="shared" ca="1" si="111"/>
        <v/>
      </c>
      <c r="FG58" s="110" t="str">
        <f t="shared" ca="1" si="112"/>
        <v/>
      </c>
      <c r="FH58" s="46" t="str">
        <f t="shared" ca="1" si="113"/>
        <v/>
      </c>
      <c r="FI58" s="110" t="str">
        <f t="shared" ca="1" si="114"/>
        <v/>
      </c>
      <c r="FJ58" s="46" t="str">
        <f t="shared" ca="1" si="115"/>
        <v/>
      </c>
      <c r="FK58" s="110" t="str">
        <f t="shared" ca="1" si="116"/>
        <v/>
      </c>
      <c r="FL58" s="46" t="str">
        <f t="shared" ca="1" si="117"/>
        <v/>
      </c>
      <c r="FM58" s="110" t="str">
        <f t="shared" ca="1" si="118"/>
        <v/>
      </c>
      <c r="FN58" s="46" t="str">
        <f t="shared" ca="1" si="119"/>
        <v/>
      </c>
      <c r="FO58" s="110" t="str">
        <f t="shared" ca="1" si="120"/>
        <v/>
      </c>
      <c r="FP58" s="46" t="str">
        <f t="shared" ca="1" si="121"/>
        <v/>
      </c>
      <c r="FQ58" s="110" t="str">
        <f t="shared" ca="1" si="122"/>
        <v/>
      </c>
      <c r="FR58" s="46" t="str">
        <f t="shared" ca="1" si="123"/>
        <v/>
      </c>
      <c r="FS58" s="110" t="str">
        <f t="shared" ca="1" si="124"/>
        <v/>
      </c>
      <c r="FT58" s="111" t="str">
        <f t="shared" ca="1" si="125"/>
        <v/>
      </c>
      <c r="FU58" s="109" t="str">
        <f t="shared" ca="1" si="232"/>
        <v/>
      </c>
      <c r="FV58" s="46" t="str">
        <f t="shared" ca="1" si="213"/>
        <v/>
      </c>
      <c r="FW58" s="48" t="str">
        <f t="shared" ca="1" si="227"/>
        <v/>
      </c>
      <c r="FX58" s="114" t="str">
        <f t="shared" ca="1" si="228"/>
        <v/>
      </c>
      <c r="FY58" s="110" t="str">
        <f t="shared" ca="1" si="214"/>
        <v/>
      </c>
      <c r="FZ58" s="46" t="str">
        <f t="shared" ca="1" si="215"/>
        <v/>
      </c>
      <c r="GA58" s="47" t="str">
        <f t="shared" ca="1" si="216"/>
        <v/>
      </c>
      <c r="GB58" s="46" t="str">
        <f t="shared" ca="1" si="229"/>
        <v/>
      </c>
      <c r="GC58" s="110" t="str">
        <f ca="1">IFERROR(IF(AND(ISNUMBER($FU58), ISNUMBER(Crd!$X58)), $FU58 - Crd!$X58, ""), "")</f>
        <v/>
      </c>
      <c r="GD58" s="46" t="str">
        <f ca="1">IFERROR(IF(AND(ISNUMBER($FV58), ISNUMBER(Crd!$Y58)), $FV58 - Crd!$Y58, ""), "")</f>
        <v/>
      </c>
      <c r="GE58" s="47" t="str">
        <f t="shared" ca="1" si="217"/>
        <v/>
      </c>
      <c r="GF58" s="46" t="str">
        <f t="shared" ca="1" si="218"/>
        <v/>
      </c>
      <c r="GG58" s="141" t="str">
        <f t="shared" ca="1" si="198"/>
        <v/>
      </c>
      <c r="GH58" s="50" t="str">
        <f t="shared" ca="1" si="199"/>
        <v/>
      </c>
      <c r="GI58" s="47" t="str">
        <f t="shared" ca="1" si="144"/>
        <v/>
      </c>
      <c r="GJ58" s="46" t="str">
        <f t="shared" ca="1" si="145"/>
        <v/>
      </c>
      <c r="GK58" s="110" t="str">
        <f t="shared" ca="1" si="127"/>
        <v/>
      </c>
      <c r="GL58" s="46" t="str">
        <f t="shared" ca="1" si="128"/>
        <v/>
      </c>
      <c r="GM58" s="47" t="str">
        <f t="shared" ca="1" si="200"/>
        <v/>
      </c>
      <c r="GN58" s="46" t="str">
        <f t="shared" ca="1" si="201"/>
        <v/>
      </c>
      <c r="GO58" s="110" t="str">
        <f ca="1">IFERROR(IF(AND(ISNUMBER($GG58), ISNUMBER(Crd!$X58)), $GG58 - Crd!$X58, ""), "")</f>
        <v/>
      </c>
      <c r="GP58" s="46" t="str">
        <f ca="1">IFERROR(IF(AND(ISNUMBER($GH58), ISNUMBER(Crd!$Y58)), $GH58 - Crd!$Y58, ""), "")</f>
        <v/>
      </c>
      <c r="GQ58" s="47" t="str">
        <f t="shared" ca="1" si="202"/>
        <v/>
      </c>
      <c r="GR58" s="46" t="str">
        <f t="shared" ca="1" si="203"/>
        <v/>
      </c>
      <c r="GS58" s="436" t="str">
        <f t="shared" ca="1" si="219"/>
        <v/>
      </c>
      <c r="GT58" s="46" t="str">
        <f t="shared" ca="1" si="220"/>
        <v/>
      </c>
      <c r="GU58" s="48" t="str">
        <f t="shared" ca="1" si="230"/>
        <v/>
      </c>
      <c r="GV58" s="46" t="str">
        <f t="shared" ca="1" si="231"/>
        <v/>
      </c>
      <c r="GW58" s="427" t="str">
        <f t="shared" ca="1" si="204"/>
        <v/>
      </c>
      <c r="GX58" s="50" t="str">
        <f t="shared" ca="1" si="146"/>
        <v/>
      </c>
      <c r="GY58" s="47" t="str">
        <f t="shared" ca="1" si="205"/>
        <v/>
      </c>
      <c r="GZ58" s="432" t="str">
        <f t="shared" ca="1" si="206"/>
        <v/>
      </c>
      <c r="HA58" s="436"/>
      <c r="HB58" s="46"/>
      <c r="HC58" s="48"/>
      <c r="HD58" s="46"/>
      <c r="HE58" s="269"/>
      <c r="HF58" s="46"/>
      <c r="HG58" s="48"/>
      <c r="HH58" s="432"/>
    </row>
    <row r="59" spans="1:216" x14ac:dyDescent="0.25">
      <c r="A59" s="58">
        <f t="shared" ca="1" si="131"/>
        <v>47484</v>
      </c>
      <c r="B59" s="6" t="str">
        <f ca="1">INDEX(MthRef[], MATCH(MONTH(Futs!$A59), MthRef[Mth], 0), 2)</f>
        <v>F</v>
      </c>
      <c r="C59" s="6">
        <f t="shared" ca="1" si="65"/>
        <v>2030</v>
      </c>
      <c r="D59" s="6" t="str">
        <f t="shared" ca="1" si="66"/>
        <v>Q130</v>
      </c>
      <c r="E59" s="6" t="str">
        <f t="shared" ca="1" si="132"/>
        <v>F0</v>
      </c>
      <c r="F59" s="10" t="e">
        <f ca="1">IFERROR(AVERAGE(_xll.BDP(F$18 &amp; $B59 &amp; RIGHT($C59, 1) &amp; " " &amp; "Comdty", "BID", "Fill=#N/A"), _xll.BDP(F$18 &amp; $B59 &amp; RIGHT($C59, 1) &amp; " " &amp; "Comdty", "ASK", "Fill=#N/A")), NA())</f>
        <v>#N/A</v>
      </c>
      <c r="G59" s="10" t="e">
        <f ca="1">IFERROR(AVERAGE(_xll.BDP(G$18 &amp; $B59 &amp; RIGHT($C59, 1) &amp; " " &amp; "Comdty", "BID", "Fill=#N/A"), _xll.BDP(G$18 &amp; $B59 &amp; RIGHT($C59, 1) &amp; " " &amp; "Comdty", "ASK", "Fill=#N/A")), NA())</f>
        <v>#N/A</v>
      </c>
      <c r="H59" s="10" t="e">
        <f ca="1">IFERROR(AVERAGE(_xll.BDP(H$18 &amp; $B59 &amp; RIGHT($C59, 1) &amp; " " &amp; "Comdty", "BID", "Fill=#N/A"), _xll.BDP(H$18 &amp; $B59 &amp; RIGHT($C59, 1) &amp; " " &amp; "Comdty", "ASK", "Fill=#N/A")), NA())</f>
        <v>#N/A</v>
      </c>
      <c r="I59" s="10" t="e">
        <f ca="1">IFERROR(AVERAGE(_xll.BDP(I$18 &amp; $B59 &amp; RIGHT($C59, 1) &amp; " " &amp; "Comdty", "BID", "Fill=#N/A"), _xll.BDP(I$18 &amp; $B59 &amp; RIGHT($C59, 1) &amp; " " &amp; "Comdty", "ASK", "Fill=#N/A")), NA())</f>
        <v>#N/A</v>
      </c>
      <c r="J59" s="10" t="e">
        <f ca="1">IFERROR(AVERAGE(_xll.BDP(J$18 &amp; $B59 &amp; RIGHT($C59, 1) &amp; " " &amp; "Comdty", "BID", "Fill=#N/A"), _xll.BDP(J$18 &amp; $B59 &amp; RIGHT($C59, 1) &amp; " " &amp; "Comdty", "ASK", "Fill=#N/A")), NA())</f>
        <v>#N/A</v>
      </c>
      <c r="K59" s="10" t="e">
        <f ca="1">IFERROR(AVERAGE(_xll.BDP(K$18 &amp; $B59 &amp; RIGHT($C59, 2) &amp; " " &amp; "Comdty", "BID", "Fill=#N/A"), _xll.BDP(K$18 &amp; $B59 &amp; RIGHT($C59, 2) &amp; " " &amp; "Comdty", "ASK", "Fill=#N/A")), NA())</f>
        <v>#N/A</v>
      </c>
      <c r="L59" s="10" t="e">
        <f ca="1">IFERROR(AVERAGE(_xll.BDP(L$18 &amp; $B59 &amp; RIGHT($C59, 2) &amp; " " &amp; "Comdty", "BID", "Fill=#N/A"), _xll.BDP(L$18 &amp; $B59 &amp; RIGHT($C59, 2) &amp; " " &amp; "Comdty", "ASK", "Fill=#N/A")), NA())</f>
        <v>#N/A</v>
      </c>
      <c r="M59" s="10" t="e">
        <f ca="1">IFERROR(AVERAGE(_xll.BDP(M$18 &amp; $B59 &amp; RIGHT($C59, 2) &amp; " " &amp; "Comdty", "BID", "Fill=#N/A"), _xll.BDP(M$18 &amp; $B59 &amp; RIGHT($C59, 2) &amp; " " &amp; "Comdty", "ASK", "Fill=#N/A")), NA())</f>
        <v>#N/A</v>
      </c>
      <c r="N59" s="10" t="e">
        <f ca="1">IFERROR(AVERAGE(_xll.BDP(N$18 &amp; $B58 &amp; RIGHT($C58, 1) &amp; N$18 &amp; $B59 &amp; RIGHT($C59, 1) &amp; " " &amp; "Comdty", "BID", "Fill=#N/A"), _xll.BDP(N$18 &amp; $B58 &amp; RIGHT($C58, 1) &amp; N$18 &amp; $B59 &amp; RIGHT($C59, 1) &amp; " " &amp; "Comdty", "ASK", "Fill=#N/A")), NA())</f>
        <v>#N/A</v>
      </c>
      <c r="O59" s="10">
        <f ca="1">IFERROR(AVERAGE(_xll.BDP(O$18 &amp; $B58 &amp; RIGHT($C58, 1) &amp; O$18 &amp; $B59 &amp; RIGHT($C59, 1) &amp; " " &amp; "Comdty", "BID", "Fill=#N/A"), _xll.BDP(O$18 &amp; $B58 &amp; RIGHT($C58, 1) &amp; O$18 &amp; $B59 &amp; RIGHT($C59, 1) &amp; " " &amp; "Comdty", "ASK", "Fill=#N/A")), NA())</f>
        <v>0.03</v>
      </c>
      <c r="P59" s="10">
        <f ca="1">IFERROR(AVERAGE(_xll.BDP(P$18 &amp; $B58 &amp; RIGHT($C58, 1) &amp; P$18 &amp; $B59 &amp; RIGHT($C59, 1) &amp; " " &amp; "Comdty", "BID", "Fill=#N/A"), _xll.BDP(P$18 &amp; $B58 &amp; RIGHT($C58, 1) &amp; P$18 &amp; $B59 &amp; RIGHT($C59, 1) &amp; " " &amp; "Comdty", "ASK", "Fill=#N/A")), NA())</f>
        <v>0.25</v>
      </c>
      <c r="Q59" s="10" t="e">
        <f ca="1">IFERROR(AVERAGE(_xll.BDP(Q$18 &amp; $B58 &amp; RIGHT($C58, 1) &amp; Q$18 &amp; $B59 &amp; RIGHT($C59, 1) &amp; " " &amp; "Comdty", "BID", "Fill=#N/A"), _xll.BDP(Q$18 &amp; $B58 &amp; RIGHT($C58, 1) &amp; Q$18 &amp; $B59 &amp; RIGHT($C59, 1) &amp; " " &amp; "Comdty", "ASK", "Fill=#N/A")), NA())</f>
        <v>#N/A</v>
      </c>
      <c r="R59" s="10" t="e">
        <f ca="1">IFERROR(AVERAGE(_xll.BDP(R$18 &amp; $B58 &amp; RIGHT($C58, 1) &amp; R$18 &amp; $B59 &amp; RIGHT($C59, 1) &amp; " " &amp; "Comdty", "BID", "Fill=#N/A"), _xll.BDP(R$18 &amp; $B58 &amp; RIGHT($C58, 1) &amp; R$18 &amp; $B59 &amp; RIGHT($C59, 1) &amp; " " &amp; "Comdty", "ASK", "Fill=#N/A")), NA())</f>
        <v>#N/A</v>
      </c>
      <c r="S59" s="10" t="e">
        <f ca="1">IFERROR(AVERAGE(_xll.BDP(S$18 &amp; $B58 &amp; RIGHT($C58, 1) &amp; $B59 &amp; RIGHT($C59, 1) &amp; " " &amp; "Comdty", "BID", "Fill=#N/A"), _xll.BDP(S$18 &amp; $B58 &amp; RIGHT($C58, 1) &amp; $B59 &amp; RIGHT($C59, 1) &amp; " " &amp; "Comdty", "ASK", "Fill=#N/A")), NA())</f>
        <v>#N/A</v>
      </c>
      <c r="T59" s="10" t="e">
        <f ca="1">IFERROR(AVERAGE(_xll.BDP(T$18 &amp; $B58 &amp; RIGHT($C58, 1) &amp; $B59 &amp; RIGHT($C59, 1) &amp; " " &amp; "Comdty", "BID", "Fill=#N/A"), _xll.BDP(T$18 &amp; $B58 &amp; RIGHT($C58, 1) &amp; $B59 &amp; RIGHT($C59, 1) &amp; " " &amp; "Comdty", "ASK", "Fill=#N/A")), NA())</f>
        <v>#N/A</v>
      </c>
      <c r="U59" s="10">
        <f ca="1">IF($A59 &lt; Diagnostics!$B$3, N59, INDEX(ImpSprd[], MATCH(Futs!$C59, ImpSprd[Yr], 0), MATCH(U$18, ImpSprd[#Headers], 0)))</f>
        <v>0.17863636363636362</v>
      </c>
      <c r="V59" s="10">
        <f ca="1">IF($A59 &lt; Diagnostics!$B$3, O59, INDEX(ImpSprd[], MATCH(Futs!$C59, ImpSprd[Yr], 0), MATCH(V$18, ImpSprd[#Headers], 0)))</f>
        <v>0.11636363636363636</v>
      </c>
      <c r="W59" s="10">
        <f ca="1">IF($A59 &lt; Diagnostics!$B$3, P59, INDEX(ImpSprd[], MATCH(Futs!$C59, ImpSprd[Yr], 0), MATCH(W$18, ImpSprd[#Headers], 0)))</f>
        <v>1.0681818181818181</v>
      </c>
      <c r="X59" s="31" t="e">
        <f ca="1">INDEX(Expi[], MATCH($A59, Expi[Date], 0), MATCH(X$18, Expi[#Headers], 0))</f>
        <v>#N/A</v>
      </c>
      <c r="Y59" s="31" t="e">
        <f ca="1">INDEX(Expi[], MATCH($A59, Expi[Date], 0), MATCH(Y$18, Expi[#Headers], 0))</f>
        <v>#N/A</v>
      </c>
      <c r="Z59" s="31" t="e">
        <f ca="1">INDEX(Expi[], MATCH($A59, Expi[Date], 0), MATCH(Z$18, Expi[#Headers], 0))</f>
        <v>#N/A</v>
      </c>
      <c r="AA59" s="31" t="e">
        <f ca="1">INDEX(Expi[], MATCH($A59, Expi[Date], 0), MATCH(AA$18, Expi[#Headers], 0))</f>
        <v>#N/A</v>
      </c>
      <c r="AB59" s="31" t="e">
        <f ca="1">INDEX(Expi[], MATCH($A59, Expi[Date], 0), MATCH(AB$18, Expi[#Headers], 0))</f>
        <v>#N/A</v>
      </c>
      <c r="AC59" s="31" t="e">
        <f ca="1">INDEX(Expi[], MATCH($A59, Expi[Date], 0), MATCH(AC$18, Expi[#Headers], 0))</f>
        <v>#N/A</v>
      </c>
      <c r="AD59" s="7">
        <f ca="1">NETWORKDAYS($A59, EOMONTH($A59, 0), Hols[CME])</f>
        <v>23</v>
      </c>
      <c r="AE59" s="7">
        <f ca="1">NETWORKDAYS($A59, EOMONTH($A59, 0), Hols[ICE])</f>
        <v>23</v>
      </c>
      <c r="AF59" s="7">
        <f ca="1">NETWORKDAYS($A59, EOMONTH($A59, 0), Hols[ICE])</f>
        <v>23</v>
      </c>
      <c r="AG59" s="7">
        <f ca="1">NETWORKDAYS($A59, EOMONTH($A59, 0), Hols[CME])</f>
        <v>23</v>
      </c>
      <c r="AH59" s="7">
        <f ca="1">NETWORKDAYS($A59, EOMONTH($A59, 0), Hols[CME])</f>
        <v>23</v>
      </c>
      <c r="AI59" s="7">
        <f ca="1">NETWORKDAYS($A59, EOMONTH($A59, 0), Hols[ICE])</f>
        <v>23</v>
      </c>
      <c r="AJ59" s="7" t="e">
        <f ca="1">NETWORKDAYS($A59, X59, Hols[CME])</f>
        <v>#N/A</v>
      </c>
      <c r="AK59" s="7" t="e">
        <f ca="1">NETWORKDAYS($A59, Y59, Hols[ICE]) - 1</f>
        <v>#N/A</v>
      </c>
      <c r="AL59" s="7" t="e">
        <f ca="1">NETWORKDAYS($A59, Z59, Hols[ICE]) - 1</f>
        <v>#N/A</v>
      </c>
      <c r="AM59" s="7" t="e">
        <f ca="1">NETWORKDAYS($A59, AA59, Hols[CME])</f>
        <v>#N/A</v>
      </c>
      <c r="AN59" s="7" t="e">
        <f ca="1">NETWORKDAYS($A59, AB59, Hols[CME])</f>
        <v>#N/A</v>
      </c>
      <c r="AO59" s="7" t="e">
        <f ca="1">NETWORKDAYS($A59, AC59, Hols[ICE]) - 1</f>
        <v>#N/A</v>
      </c>
      <c r="AP59" s="10" t="e">
        <f t="shared" ca="1" si="67"/>
        <v>#N/A</v>
      </c>
      <c r="AQ59" s="10" t="e">
        <f t="shared" ca="1" si="68"/>
        <v>#N/A</v>
      </c>
      <c r="AR59" s="10" t="e">
        <f t="shared" ca="1" si="69"/>
        <v>#N/A</v>
      </c>
      <c r="AS59" s="10" t="e">
        <f t="shared" ca="1" si="70"/>
        <v>#N/A</v>
      </c>
      <c r="AT59" s="10" t="e">
        <f t="shared" ca="1" si="71"/>
        <v>#N/A</v>
      </c>
      <c r="AU59" s="10" t="e">
        <f t="shared" ca="1" si="71"/>
        <v>#N/A</v>
      </c>
      <c r="AV59" s="28">
        <f ca="1">IFERROR(AVERAGE(_xll.BDH(AV$18 &amp; $B59 &amp; RIGHT($C59, 1) &amp; " " &amp; "Comdty", "PX_SETTLE", AV$16, AV$16, "Fill=#N/A")), IFERROR(AVERAGE(_xll.BDH(AV$18 &amp; $B59 &amp; RIGHT($C59, 2) &amp; " " &amp; "Comdty", "PX_SETTLE", AV$16, AV$16, "Fill=#N/A")), NA()))</f>
        <v>66.05</v>
      </c>
      <c r="AW59" s="28">
        <f ca="1">IFERROR(AVERAGE(_xll.BDH(AW$18 &amp; $B59 &amp; RIGHT($C59, 1) &amp; " " &amp; "Comdty", "PX_SETTLE", AW$16, AW$16, "Fill=#N/A")), IFERROR(AVERAGE(_xll.BDH(AW$18 &amp; $B59 &amp; RIGHT($C59, 2) &amp; " " &amp; "Comdty", "PX_SETTLE", AW$16, AW$16, "Fill=#N/A")), NA()))</f>
        <v>71.38</v>
      </c>
      <c r="AX59" s="29">
        <f ca="1">IFERROR(AVERAGE(_xll.BDH(AX$18 &amp; $B59 &amp; RIGHT($C59, 2) &amp; " " &amp; "Comdty", "FAIR_VALUE_SNAPSHOT_AT_1430", AX$16, AX$16, "TIME_ZONE_OVERRIDE=13", "Fill=#N/A")), NA())</f>
        <v>780.25</v>
      </c>
      <c r="AY59" s="28">
        <f ca="1">IFERROR(AVERAGE(_xll.BDH(AY$18 &amp; $B59 &amp; RIGHT($C59, 1) &amp; " " &amp; "Comdty", "PX_SETTLE", AY$16, AY$16, "Fill=#N/A")), NA())</f>
        <v>291.27</v>
      </c>
      <c r="AZ59" s="28">
        <f ca="1">IFERROR(AVERAGE(_xll.BDH(AZ$18 &amp; $B59 &amp; RIGHT($C59, 1) &amp; " " &amp; "Comdty", "PX_SETTLE", AZ$16, AZ$16, "Fill=#N/A")), NA())</f>
        <v>218.2</v>
      </c>
      <c r="BA59" s="29" t="e">
        <f ca="1">IFERROR(AVERAGE(_xll.BDH(BA$18 &amp; $B59 &amp; RIGHT($C59, 2) &amp; " " &amp; "Comdty", "PX_SETTLE", BA$16, BA$16, "Fill=#N/A")), IFERROR(AVERAGE(_xll.BDH(BA$18 &amp; $B59 &amp; RIGHT($C59, 2) &amp; " " &amp; "Comdty", "PX_SETTLE", BA$16, BA$16, "Fill=#N/A")), NA()))</f>
        <v>#N/A</v>
      </c>
      <c r="BB59" s="29">
        <f ca="1">IFERROR(AVERAGE(_xll.BDH(BB$18 &amp; $B59 &amp; RIGHT($C59, 2) &amp; " " &amp; "Comdty", "PX_SETTLE", BB$16, BB$16, "Fill=#N/A")), IFERROR(AVERAGE(_xll.BDH(BB$18 &amp; $B59 &amp; RIGHT($C59, 2) &amp; " " &amp; "Comdty", "PX_SETTLE", BB$16, BB$16, "Fill=#N/A")), NA()))</f>
        <v>72.08</v>
      </c>
      <c r="BC59" s="29" t="e">
        <f ca="1">IFERROR(AVERAGE(_xll.BDH(BC$18 &amp; $B59 &amp; RIGHT($C59, 2) &amp; " " &amp; "Comdty", "PX_SETTLE", BC$16, BC$16, "Fill=#N/A")), IFERROR(AVERAGE(_xll.BDH(BC$18 &amp; $B59 &amp; RIGHT($C59, 2) &amp; " " &amp; "Comdty", "PX_SETTLE", BC$16, BC$16, "Fill=#N/A")), NA()))</f>
        <v>#N/A</v>
      </c>
      <c r="BD59" s="29" t="e">
        <f>NA()</f>
        <v>#N/A</v>
      </c>
      <c r="BE59" s="109">
        <f t="shared" ca="1" si="209"/>
        <v>65.776363636363712</v>
      </c>
      <c r="BF59" s="46">
        <f t="shared" ca="1" si="72"/>
        <v>-0.2736363636362853</v>
      </c>
      <c r="BG59" s="47">
        <f t="shared" ca="1" si="151"/>
        <v>0.17863636363635749</v>
      </c>
      <c r="BH59" s="114">
        <f t="shared" ca="1" si="223"/>
        <v>-2.1363636363645355E-2</v>
      </c>
      <c r="BI59" s="110">
        <f t="shared" ca="1" si="224"/>
        <v>71.032272727272883</v>
      </c>
      <c r="BJ59" s="46">
        <f t="shared" ca="1" si="73"/>
        <v>-0.34772727272711279</v>
      </c>
      <c r="BK59" s="48">
        <f t="shared" ca="1" si="225"/>
        <v>0.11636363636363001</v>
      </c>
      <c r="BL59" s="114">
        <f t="shared" ca="1" si="226"/>
        <v>-4.3636363636380793E-2</v>
      </c>
      <c r="BM59" s="48">
        <f t="shared" ca="1" si="152"/>
        <v>758.86363636363706</v>
      </c>
      <c r="BN59" s="46">
        <f t="shared" ca="1" si="74"/>
        <v>-21.386363636362944</v>
      </c>
      <c r="BO59" s="47">
        <f t="shared" ca="1" si="210"/>
        <v>1.0681818181818699</v>
      </c>
      <c r="BP59" s="46">
        <f t="shared" ca="1" si="133"/>
        <v>6.8181818181869858E-2</v>
      </c>
      <c r="BQ59" s="110" t="str">
        <f t="shared" ca="1" si="211"/>
        <v/>
      </c>
      <c r="BR59" s="46" t="str">
        <f t="shared" ca="1" si="75"/>
        <v/>
      </c>
      <c r="BS59" s="47" t="str">
        <f t="shared" ca="1" si="153"/>
        <v/>
      </c>
      <c r="BT59" s="114" t="str">
        <f t="shared" ca="1" si="154"/>
        <v/>
      </c>
      <c r="BU59" s="48" t="str">
        <f t="shared" ca="1" si="212"/>
        <v/>
      </c>
      <c r="BV59" s="46" t="str">
        <f t="shared" ca="1" si="76"/>
        <v/>
      </c>
      <c r="BW59" s="47" t="str">
        <f t="shared" ca="1" si="155"/>
        <v/>
      </c>
      <c r="BX59" s="46" t="str">
        <f t="shared" ca="1" si="156"/>
        <v/>
      </c>
      <c r="BY59" s="140" t="str">
        <f t="shared" ca="1" si="134"/>
        <v/>
      </c>
      <c r="BZ59" s="46" t="str">
        <f t="shared" ca="1" si="135"/>
        <v/>
      </c>
      <c r="CA59" s="47" t="str">
        <f t="shared" ca="1" si="157"/>
        <v/>
      </c>
      <c r="CB59" s="46" t="str">
        <f t="shared" ca="1" si="158"/>
        <v/>
      </c>
      <c r="CC59" s="141" t="str">
        <f t="shared" ca="1" si="136"/>
        <v/>
      </c>
      <c r="CD59" s="50" t="str">
        <f t="shared" ca="1" si="137"/>
        <v/>
      </c>
      <c r="CE59" s="47" t="str">
        <f t="shared" ca="1" si="159"/>
        <v/>
      </c>
      <c r="CF59" s="46" t="str">
        <f t="shared" ca="1" si="160"/>
        <v/>
      </c>
      <c r="CG59" s="141" t="str">
        <f t="shared" ca="1" si="138"/>
        <v/>
      </c>
      <c r="CH59" s="50" t="str">
        <f t="shared" ca="1" si="139"/>
        <v/>
      </c>
      <c r="CI59" s="47" t="str">
        <f t="shared" ca="1" si="161"/>
        <v/>
      </c>
      <c r="CJ59" s="46" t="str">
        <f t="shared" ca="1" si="162"/>
        <v/>
      </c>
      <c r="CK59" s="141" t="str">
        <f t="shared" ca="1" si="140"/>
        <v/>
      </c>
      <c r="CL59" s="50" t="str">
        <f t="shared" ca="1" si="77"/>
        <v/>
      </c>
      <c r="CM59" s="47" t="str">
        <f t="shared" ca="1" si="163"/>
        <v/>
      </c>
      <c r="CN59" s="46" t="str">
        <f t="shared" ca="1" si="164"/>
        <v/>
      </c>
      <c r="CO59" s="141" t="str">
        <f t="shared" ca="1" si="141"/>
        <v/>
      </c>
      <c r="CP59" s="50" t="str">
        <f t="shared" ca="1" si="78"/>
        <v/>
      </c>
      <c r="CQ59" s="47" t="str">
        <f t="shared" ca="1" si="165"/>
        <v/>
      </c>
      <c r="CR59" s="46" t="str">
        <f t="shared" ca="1" si="166"/>
        <v/>
      </c>
      <c r="CS59" s="109">
        <f t="shared" ca="1" si="79"/>
        <v>-5.2559090909091708</v>
      </c>
      <c r="CT59" s="46">
        <f t="shared" ca="1" si="80"/>
        <v>7.4090909090827495E-2</v>
      </c>
      <c r="CU59" s="47">
        <f t="shared" ca="1" si="167"/>
        <v>6.2272727272727479E-2</v>
      </c>
      <c r="CV59" s="46">
        <f t="shared" ca="1" si="168"/>
        <v>-4.7727272727271952E-2</v>
      </c>
      <c r="CW59" s="110" t="str">
        <f t="shared" ca="1" si="142"/>
        <v/>
      </c>
      <c r="CX59" s="46" t="str">
        <f t="shared" ca="1" si="81"/>
        <v/>
      </c>
      <c r="CY59" s="47" t="str">
        <f t="shared" ca="1" si="169"/>
        <v/>
      </c>
      <c r="CZ59" s="46" t="str">
        <f t="shared" ca="1" si="170"/>
        <v/>
      </c>
      <c r="DA59" s="109">
        <f t="shared" ca="1" si="82"/>
        <v>30.82861805979249</v>
      </c>
      <c r="DB59" s="46">
        <f t="shared" ca="1" si="83"/>
        <v>-2.5229255643685842</v>
      </c>
      <c r="DC59" s="47">
        <f t="shared" ca="1" si="171"/>
        <v>2.7016473459440249E-2</v>
      </c>
      <c r="DD59" s="46">
        <f t="shared" ca="1" si="233"/>
        <v>5.2788285539987267E-2</v>
      </c>
      <c r="DE59" s="110" t="str">
        <f t="shared" ca="1" si="84"/>
        <v/>
      </c>
      <c r="DF59" s="46" t="str">
        <f t="shared" ca="1" si="85"/>
        <v/>
      </c>
      <c r="DG59" s="47" t="str">
        <f t="shared" ca="1" si="172"/>
        <v/>
      </c>
      <c r="DH59" s="46" t="str">
        <f t="shared" ca="1" si="173"/>
        <v/>
      </c>
      <c r="DI59" s="110" t="str">
        <f t="shared" ca="1" si="86"/>
        <v/>
      </c>
      <c r="DJ59" s="46" t="str">
        <f t="shared" ca="1" si="87"/>
        <v/>
      </c>
      <c r="DK59" s="47" t="str">
        <f t="shared" ca="1" si="174"/>
        <v/>
      </c>
      <c r="DL59" s="46" t="str">
        <f t="shared" ca="1" si="175"/>
        <v/>
      </c>
      <c r="DM59" s="110" t="str">
        <f t="shared" ca="1" si="88"/>
        <v/>
      </c>
      <c r="DN59" s="46" t="str">
        <f t="shared" ca="1" si="89"/>
        <v/>
      </c>
      <c r="DO59" s="47" t="str">
        <f t="shared" ca="1" si="176"/>
        <v/>
      </c>
      <c r="DP59" s="47" t="str">
        <f t="shared" ca="1" si="177"/>
        <v/>
      </c>
      <c r="DQ59" s="110" t="str">
        <f t="shared" ca="1" si="90"/>
        <v/>
      </c>
      <c r="DR59" s="46" t="str">
        <f t="shared" ca="1" si="91"/>
        <v/>
      </c>
      <c r="DS59" s="47" t="str">
        <f t="shared" ca="1" si="178"/>
        <v/>
      </c>
      <c r="DT59" s="47" t="str">
        <f t="shared" ca="1" si="179"/>
        <v/>
      </c>
      <c r="DU59" s="109" t="str">
        <f t="shared" ca="1" si="92"/>
        <v/>
      </c>
      <c r="DV59" s="46" t="str">
        <f t="shared" ca="1" si="93"/>
        <v/>
      </c>
      <c r="DW59" s="47" t="str">
        <f t="shared" ca="1" si="180"/>
        <v/>
      </c>
      <c r="DX59" s="47" t="str">
        <f t="shared" ca="1" si="181"/>
        <v/>
      </c>
      <c r="DY59" s="110" t="str">
        <f t="shared" ca="1" si="94"/>
        <v/>
      </c>
      <c r="DZ59" s="46" t="str">
        <f t="shared" ca="1" si="95"/>
        <v/>
      </c>
      <c r="EA59" s="47" t="str">
        <f t="shared" ca="1" si="182"/>
        <v/>
      </c>
      <c r="EB59" s="47" t="str">
        <f t="shared" ca="1" si="183"/>
        <v/>
      </c>
      <c r="EC59" s="110" t="str">
        <f t="shared" ca="1" si="96"/>
        <v/>
      </c>
      <c r="ED59" s="46" t="str">
        <f t="shared" ca="1" si="97"/>
        <v/>
      </c>
      <c r="EE59" s="47" t="str">
        <f t="shared" ca="1" si="184"/>
        <v/>
      </c>
      <c r="EF59" s="47" t="str">
        <f t="shared" ca="1" si="185"/>
        <v/>
      </c>
      <c r="EG59" s="110" t="str">
        <f t="shared" ca="1" si="98"/>
        <v/>
      </c>
      <c r="EH59" s="46" t="str">
        <f t="shared" ca="1" si="99"/>
        <v/>
      </c>
      <c r="EI59" s="47" t="str">
        <f t="shared" ca="1" si="186"/>
        <v/>
      </c>
      <c r="EJ59" s="47" t="str">
        <f t="shared" ca="1" si="187"/>
        <v/>
      </c>
      <c r="EK59" s="110" t="str">
        <f t="shared" ca="1" si="100"/>
        <v/>
      </c>
      <c r="EL59" s="46" t="str">
        <f t="shared" ca="1" si="101"/>
        <v/>
      </c>
      <c r="EM59" s="47" t="str">
        <f t="shared" ca="1" si="188"/>
        <v/>
      </c>
      <c r="EN59" s="47" t="str">
        <f t="shared" ca="1" si="189"/>
        <v/>
      </c>
      <c r="EO59" s="109" t="str">
        <f t="shared" ca="1" si="102"/>
        <v/>
      </c>
      <c r="EP59" s="46" t="str">
        <f t="shared" ca="1" si="103"/>
        <v/>
      </c>
      <c r="EQ59" s="47" t="str">
        <f t="shared" ca="1" si="190"/>
        <v/>
      </c>
      <c r="ER59" s="47" t="str">
        <f t="shared" ca="1" si="191"/>
        <v/>
      </c>
      <c r="ES59" s="110" t="str">
        <f t="shared" ca="1" si="104"/>
        <v/>
      </c>
      <c r="ET59" s="46" t="str">
        <f t="shared" ca="1" si="105"/>
        <v/>
      </c>
      <c r="EU59" s="47" t="str">
        <f t="shared" ca="1" si="192"/>
        <v/>
      </c>
      <c r="EV59" s="47" t="str">
        <f t="shared" ca="1" si="193"/>
        <v/>
      </c>
      <c r="EW59" s="109" t="str">
        <f t="shared" ca="1" si="106"/>
        <v/>
      </c>
      <c r="EX59" s="46" t="str">
        <f t="shared" ca="1" si="107"/>
        <v/>
      </c>
      <c r="EY59" s="47" t="str">
        <f t="shared" ca="1" si="194"/>
        <v/>
      </c>
      <c r="EZ59" s="47" t="str">
        <f t="shared" ca="1" si="195"/>
        <v/>
      </c>
      <c r="FA59" s="110" t="str">
        <f t="shared" ca="1" si="108"/>
        <v/>
      </c>
      <c r="FB59" s="46" t="str">
        <f t="shared" ca="1" si="109"/>
        <v/>
      </c>
      <c r="FC59" s="47" t="str">
        <f t="shared" ca="1" si="196"/>
        <v/>
      </c>
      <c r="FD59" s="47" t="str">
        <f t="shared" ca="1" si="197"/>
        <v/>
      </c>
      <c r="FE59" s="109" t="str">
        <f t="shared" ca="1" si="110"/>
        <v/>
      </c>
      <c r="FF59" s="46" t="str">
        <f t="shared" ca="1" si="111"/>
        <v/>
      </c>
      <c r="FG59" s="110" t="str">
        <f t="shared" ca="1" si="112"/>
        <v/>
      </c>
      <c r="FH59" s="46" t="str">
        <f t="shared" ca="1" si="113"/>
        <v/>
      </c>
      <c r="FI59" s="110" t="str">
        <f t="shared" ca="1" si="114"/>
        <v/>
      </c>
      <c r="FJ59" s="46" t="str">
        <f t="shared" ca="1" si="115"/>
        <v/>
      </c>
      <c r="FK59" s="110" t="str">
        <f t="shared" ca="1" si="116"/>
        <v/>
      </c>
      <c r="FL59" s="46" t="str">
        <f t="shared" ca="1" si="117"/>
        <v/>
      </c>
      <c r="FM59" s="110" t="str">
        <f t="shared" ca="1" si="118"/>
        <v/>
      </c>
      <c r="FN59" s="46" t="str">
        <f t="shared" ca="1" si="119"/>
        <v/>
      </c>
      <c r="FO59" s="110" t="str">
        <f t="shared" ca="1" si="120"/>
        <v/>
      </c>
      <c r="FP59" s="46" t="str">
        <f t="shared" ca="1" si="121"/>
        <v/>
      </c>
      <c r="FQ59" s="110" t="str">
        <f t="shared" ca="1" si="122"/>
        <v/>
      </c>
      <c r="FR59" s="46" t="str">
        <f t="shared" ca="1" si="123"/>
        <v/>
      </c>
      <c r="FS59" s="110" t="str">
        <f t="shared" ca="1" si="124"/>
        <v/>
      </c>
      <c r="FT59" s="111" t="str">
        <f t="shared" ca="1" si="125"/>
        <v/>
      </c>
      <c r="FU59" s="109" t="str">
        <f t="shared" ca="1" si="232"/>
        <v/>
      </c>
      <c r="FV59" s="46" t="str">
        <f t="shared" ca="1" si="213"/>
        <v/>
      </c>
      <c r="FW59" s="48" t="str">
        <f t="shared" ca="1" si="227"/>
        <v/>
      </c>
      <c r="FX59" s="114" t="str">
        <f t="shared" ca="1" si="228"/>
        <v/>
      </c>
      <c r="FY59" s="110" t="str">
        <f t="shared" ca="1" si="214"/>
        <v/>
      </c>
      <c r="FZ59" s="46" t="str">
        <f t="shared" ca="1" si="215"/>
        <v/>
      </c>
      <c r="GA59" s="47" t="str">
        <f t="shared" ca="1" si="216"/>
        <v/>
      </c>
      <c r="GB59" s="46" t="str">
        <f t="shared" ca="1" si="229"/>
        <v/>
      </c>
      <c r="GC59" s="110" t="str">
        <f ca="1">IFERROR(IF(AND(ISNUMBER($FU59), ISNUMBER(Crd!$X59)), $FU59 - Crd!$X59, ""), "")</f>
        <v/>
      </c>
      <c r="GD59" s="46" t="str">
        <f ca="1">IFERROR(IF(AND(ISNUMBER($FV59), ISNUMBER(Crd!$Y59)), $FV59 - Crd!$Y59, ""), "")</f>
        <v/>
      </c>
      <c r="GE59" s="47" t="str">
        <f t="shared" ca="1" si="217"/>
        <v/>
      </c>
      <c r="GF59" s="46" t="str">
        <f t="shared" ca="1" si="218"/>
        <v/>
      </c>
      <c r="GG59" s="141" t="str">
        <f t="shared" ca="1" si="198"/>
        <v/>
      </c>
      <c r="GH59" s="50" t="str">
        <f t="shared" ca="1" si="199"/>
        <v/>
      </c>
      <c r="GI59" s="47" t="str">
        <f t="shared" ca="1" si="144"/>
        <v/>
      </c>
      <c r="GJ59" s="46" t="str">
        <f t="shared" ca="1" si="145"/>
        <v/>
      </c>
      <c r="GK59" s="110" t="str">
        <f t="shared" ca="1" si="127"/>
        <v/>
      </c>
      <c r="GL59" s="46" t="str">
        <f t="shared" ca="1" si="128"/>
        <v/>
      </c>
      <c r="GM59" s="47" t="str">
        <f t="shared" ca="1" si="200"/>
        <v/>
      </c>
      <c r="GN59" s="46" t="str">
        <f t="shared" ca="1" si="201"/>
        <v/>
      </c>
      <c r="GO59" s="110" t="str">
        <f ca="1">IFERROR(IF(AND(ISNUMBER($GG59), ISNUMBER(Crd!$X59)), $GG59 - Crd!$X59, ""), "")</f>
        <v/>
      </c>
      <c r="GP59" s="46" t="str">
        <f ca="1">IFERROR(IF(AND(ISNUMBER($GH59), ISNUMBER(Crd!$Y59)), $GH59 - Crd!$Y59, ""), "")</f>
        <v/>
      </c>
      <c r="GQ59" s="47" t="str">
        <f t="shared" ca="1" si="202"/>
        <v/>
      </c>
      <c r="GR59" s="46" t="str">
        <f t="shared" ca="1" si="203"/>
        <v/>
      </c>
      <c r="GS59" s="436" t="str">
        <f t="shared" ca="1" si="219"/>
        <v/>
      </c>
      <c r="GT59" s="46" t="str">
        <f t="shared" ca="1" si="220"/>
        <v/>
      </c>
      <c r="GU59" s="48" t="str">
        <f t="shared" ca="1" si="230"/>
        <v/>
      </c>
      <c r="GV59" s="46" t="str">
        <f t="shared" ca="1" si="231"/>
        <v/>
      </c>
      <c r="GW59" s="427" t="str">
        <f t="shared" ca="1" si="204"/>
        <v/>
      </c>
      <c r="GX59" s="50" t="str">
        <f t="shared" ca="1" si="146"/>
        <v/>
      </c>
      <c r="GY59" s="47" t="str">
        <f t="shared" ca="1" si="205"/>
        <v/>
      </c>
      <c r="GZ59" s="432" t="str">
        <f t="shared" ca="1" si="206"/>
        <v/>
      </c>
      <c r="HA59" s="436"/>
      <c r="HB59" s="46"/>
      <c r="HC59" s="48"/>
      <c r="HD59" s="46"/>
      <c r="HE59" s="269"/>
      <c r="HF59" s="46"/>
      <c r="HG59" s="48"/>
      <c r="HH59" s="432"/>
    </row>
    <row r="60" spans="1:216" x14ac:dyDescent="0.25">
      <c r="A60" s="58">
        <f t="shared" ca="1" si="131"/>
        <v>47515</v>
      </c>
      <c r="B60" s="6" t="str">
        <f ca="1">INDEX(MthRef[], MATCH(MONTH(Futs!$A60), MthRef[Mth], 0), 2)</f>
        <v>G</v>
      </c>
      <c r="C60" s="6">
        <f t="shared" ca="1" si="65"/>
        <v>2030</v>
      </c>
      <c r="D60" s="6" t="str">
        <f t="shared" ca="1" si="66"/>
        <v>Q130</v>
      </c>
      <c r="E60" s="6" t="str">
        <f t="shared" ca="1" si="132"/>
        <v>G0</v>
      </c>
      <c r="F60" s="10" t="e">
        <f ca="1">IFERROR(AVERAGE(_xll.BDP(F$18 &amp; $B60 &amp; RIGHT($C60, 1) &amp; " " &amp; "Comdty", "BID", "Fill=#N/A"), _xll.BDP(F$18 &amp; $B60 &amp; RIGHT($C60, 1) &amp; " " &amp; "Comdty", "ASK", "Fill=#N/A")), NA())</f>
        <v>#N/A</v>
      </c>
      <c r="G60" s="10" t="e">
        <f ca="1">IFERROR(AVERAGE(_xll.BDP(G$18 &amp; $B60 &amp; RIGHT($C60, 1) &amp; " " &amp; "Comdty", "BID", "Fill=#N/A"), _xll.BDP(G$18 &amp; $B60 &amp; RIGHT($C60, 1) &amp; " " &amp; "Comdty", "ASK", "Fill=#N/A")), NA())</f>
        <v>#N/A</v>
      </c>
      <c r="H60" s="10" t="e">
        <f ca="1">IFERROR(AVERAGE(_xll.BDP(H$18 &amp; $B60 &amp; RIGHT($C60, 1) &amp; " " &amp; "Comdty", "BID", "Fill=#N/A"), _xll.BDP(H$18 &amp; $B60 &amp; RIGHT($C60, 1) &amp; " " &amp; "Comdty", "ASK", "Fill=#N/A")), NA())</f>
        <v>#N/A</v>
      </c>
      <c r="I60" s="10" t="e">
        <f ca="1">IFERROR(AVERAGE(_xll.BDP(I$18 &amp; $B60 &amp; RIGHT($C60, 1) &amp; " " &amp; "Comdty", "BID", "Fill=#N/A"), _xll.BDP(I$18 &amp; $B60 &amp; RIGHT($C60, 1) &amp; " " &amp; "Comdty", "ASK", "Fill=#N/A")), NA())</f>
        <v>#N/A</v>
      </c>
      <c r="J60" s="10" t="e">
        <f ca="1">IFERROR(AVERAGE(_xll.BDP(J$18 &amp; $B60 &amp; RIGHT($C60, 1) &amp; " " &amp; "Comdty", "BID", "Fill=#N/A"), _xll.BDP(J$18 &amp; $B60 &amp; RIGHT($C60, 1) &amp; " " &amp; "Comdty", "ASK", "Fill=#N/A")), NA())</f>
        <v>#N/A</v>
      </c>
      <c r="K60" s="10" t="e">
        <f ca="1">IFERROR(AVERAGE(_xll.BDP(K$18 &amp; $B60 &amp; RIGHT($C60, 2) &amp; " " &amp; "Comdty", "BID", "Fill=#N/A"), _xll.BDP(K$18 &amp; $B60 &amp; RIGHT($C60, 2) &amp; " " &amp; "Comdty", "ASK", "Fill=#N/A")), NA())</f>
        <v>#N/A</v>
      </c>
      <c r="L60" s="10" t="e">
        <f ca="1">IFERROR(AVERAGE(_xll.BDP(L$18 &amp; $B60 &amp; RIGHT($C60, 2) &amp; " " &amp; "Comdty", "BID", "Fill=#N/A"), _xll.BDP(L$18 &amp; $B60 &amp; RIGHT($C60, 2) &amp; " " &amp; "Comdty", "ASK", "Fill=#N/A")), NA())</f>
        <v>#N/A</v>
      </c>
      <c r="M60" s="10" t="e">
        <f ca="1">IFERROR(AVERAGE(_xll.BDP(M$18 &amp; $B60 &amp; RIGHT($C60, 2) &amp; " " &amp; "Comdty", "BID", "Fill=#N/A"), _xll.BDP(M$18 &amp; $B60 &amp; RIGHT($C60, 2) &amp; " " &amp; "Comdty", "ASK", "Fill=#N/A")), NA())</f>
        <v>#N/A</v>
      </c>
      <c r="N60" s="10" t="e">
        <f ca="1">IFERROR(AVERAGE(_xll.BDP(N$18 &amp; $B59 &amp; RIGHT($C59, 1) &amp; N$18 &amp; $B60 &amp; RIGHT($C60, 1) &amp; " " &amp; "Comdty", "BID", "Fill=#N/A"), _xll.BDP(N$18 &amp; $B59 &amp; RIGHT($C59, 1) &amp; N$18 &amp; $B60 &amp; RIGHT($C60, 1) &amp; " " &amp; "Comdty", "ASK", "Fill=#N/A")), NA())</f>
        <v>#N/A</v>
      </c>
      <c r="O60" s="10">
        <f ca="1">IFERROR(AVERAGE(_xll.BDP(O$18 &amp; $B59 &amp; RIGHT($C59, 1) &amp; O$18 &amp; $B60 &amp; RIGHT($C60, 1) &amp; " " &amp; "Comdty", "BID", "Fill=#N/A"), _xll.BDP(O$18 &amp; $B59 &amp; RIGHT($C59, 1) &amp; O$18 &amp; $B60 &amp; RIGHT($C60, 1) &amp; " " &amp; "Comdty", "ASK", "Fill=#N/A")), NA())</f>
        <v>-2.4999999999999994E-2</v>
      </c>
      <c r="P60" s="10" t="e">
        <f ca="1">IFERROR(AVERAGE(_xll.BDP(P$18 &amp; $B59 &amp; RIGHT($C59, 1) &amp; P$18 &amp; $B60 &amp; RIGHT($C60, 1) &amp; " " &amp; "Comdty", "BID", "Fill=#N/A"), _xll.BDP(P$18 &amp; $B59 &amp; RIGHT($C59, 1) &amp; P$18 &amp; $B60 &amp; RIGHT($C60, 1) &amp; " " &amp; "Comdty", "ASK", "Fill=#N/A")), NA())</f>
        <v>#N/A</v>
      </c>
      <c r="Q60" s="10" t="e">
        <f ca="1">IFERROR(AVERAGE(_xll.BDP(Q$18 &amp; $B59 &amp; RIGHT($C59, 1) &amp; Q$18 &amp; $B60 &amp; RIGHT($C60, 1) &amp; " " &amp; "Comdty", "BID", "Fill=#N/A"), _xll.BDP(Q$18 &amp; $B59 &amp; RIGHT($C59, 1) &amp; Q$18 &amp; $B60 &amp; RIGHT($C60, 1) &amp; " " &amp; "Comdty", "ASK", "Fill=#N/A")), NA())</f>
        <v>#N/A</v>
      </c>
      <c r="R60" s="10" t="e">
        <f ca="1">IFERROR(AVERAGE(_xll.BDP(R$18 &amp; $B59 &amp; RIGHT($C59, 1) &amp; R$18 &amp; $B60 &amp; RIGHT($C60, 1) &amp; " " &amp; "Comdty", "BID", "Fill=#N/A"), _xll.BDP(R$18 &amp; $B59 &amp; RIGHT($C59, 1) &amp; R$18 &amp; $B60 &amp; RIGHT($C60, 1) &amp; " " &amp; "Comdty", "ASK", "Fill=#N/A")), NA())</f>
        <v>#N/A</v>
      </c>
      <c r="S60" s="10" t="e">
        <f ca="1">IFERROR(AVERAGE(_xll.BDP(S$18 &amp; $B59 &amp; RIGHT($C59, 1) &amp; $B60 &amp; RIGHT($C60, 1) &amp; " " &amp; "Comdty", "BID", "Fill=#N/A"), _xll.BDP(S$18 &amp; $B59 &amp; RIGHT($C59, 1) &amp; $B60 &amp; RIGHT($C60, 1) &amp; " " &amp; "Comdty", "ASK", "Fill=#N/A")), NA())</f>
        <v>#N/A</v>
      </c>
      <c r="T60" s="10" t="e">
        <f ca="1">IFERROR(AVERAGE(_xll.BDP(T$18 &amp; $B59 &amp; RIGHT($C59, 1) &amp; $B60 &amp; RIGHT($C60, 1) &amp; " " &amp; "Comdty", "BID", "Fill=#N/A"), _xll.BDP(T$18 &amp; $B59 &amp; RIGHT($C59, 1) &amp; $B60 &amp; RIGHT($C60, 1) &amp; " " &amp; "Comdty", "ASK", "Fill=#N/A")), NA())</f>
        <v>#N/A</v>
      </c>
      <c r="U60" s="10">
        <f ca="1">IF($A60 &lt; Diagnostics!$B$3, N60, INDEX(ImpSprd[], MATCH(Futs!$C60, ImpSprd[Yr], 0), MATCH(U$18, ImpSprd[#Headers], 0)))</f>
        <v>0.17863636363636362</v>
      </c>
      <c r="V60" s="10">
        <f ca="1">IF($A60 &lt; Diagnostics!$B$3, O60, INDEX(ImpSprd[], MATCH(Futs!$C60, ImpSprd[Yr], 0), MATCH(V$18, ImpSprd[#Headers], 0)))</f>
        <v>0.11636363636363636</v>
      </c>
      <c r="W60" s="10">
        <f ca="1">IF($A60 &lt; Diagnostics!$B$3, P60, INDEX(ImpSprd[], MATCH(Futs!$C60, ImpSprd[Yr], 0), MATCH(W$18, ImpSprd[#Headers], 0)))</f>
        <v>1.0681818181818181</v>
      </c>
      <c r="X60" s="31" t="e">
        <f ca="1">INDEX(Expi[], MATCH($A60, Expi[Date], 0), MATCH(X$18, Expi[#Headers], 0))</f>
        <v>#N/A</v>
      </c>
      <c r="Y60" s="31" t="e">
        <f ca="1">INDEX(Expi[], MATCH($A60, Expi[Date], 0), MATCH(Y$18, Expi[#Headers], 0))</f>
        <v>#N/A</v>
      </c>
      <c r="Z60" s="31" t="e">
        <f ca="1">INDEX(Expi[], MATCH($A60, Expi[Date], 0), MATCH(Z$18, Expi[#Headers], 0))</f>
        <v>#N/A</v>
      </c>
      <c r="AA60" s="31" t="e">
        <f ca="1">INDEX(Expi[], MATCH($A60, Expi[Date], 0), MATCH(AA$18, Expi[#Headers], 0))</f>
        <v>#N/A</v>
      </c>
      <c r="AB60" s="31" t="e">
        <f ca="1">INDEX(Expi[], MATCH($A60, Expi[Date], 0), MATCH(AB$18, Expi[#Headers], 0))</f>
        <v>#N/A</v>
      </c>
      <c r="AC60" s="31" t="e">
        <f ca="1">INDEX(Expi[], MATCH($A60, Expi[Date], 0), MATCH(AC$18, Expi[#Headers], 0))</f>
        <v>#N/A</v>
      </c>
      <c r="AD60" s="7">
        <f ca="1">NETWORKDAYS($A60, EOMONTH($A60, 0), Hols[CME])</f>
        <v>20</v>
      </c>
      <c r="AE60" s="7">
        <f ca="1">NETWORKDAYS($A60, EOMONTH($A60, 0), Hols[ICE])</f>
        <v>20</v>
      </c>
      <c r="AF60" s="7">
        <f ca="1">NETWORKDAYS($A60, EOMONTH($A60, 0), Hols[ICE])</f>
        <v>20</v>
      </c>
      <c r="AG60" s="7">
        <f ca="1">NETWORKDAYS($A60, EOMONTH($A60, 0), Hols[CME])</f>
        <v>20</v>
      </c>
      <c r="AH60" s="7">
        <f ca="1">NETWORKDAYS($A60, EOMONTH($A60, 0), Hols[CME])</f>
        <v>20</v>
      </c>
      <c r="AI60" s="7">
        <f ca="1">NETWORKDAYS($A60, EOMONTH($A60, 0), Hols[ICE])</f>
        <v>20</v>
      </c>
      <c r="AJ60" s="7" t="e">
        <f ca="1">NETWORKDAYS($A60, X60, Hols[CME])</f>
        <v>#N/A</v>
      </c>
      <c r="AK60" s="7" t="e">
        <f ca="1">NETWORKDAYS($A60, Y60, Hols[ICE]) - 1</f>
        <v>#N/A</v>
      </c>
      <c r="AL60" s="7" t="e">
        <f ca="1">NETWORKDAYS($A60, Z60, Hols[ICE]) - 1</f>
        <v>#N/A</v>
      </c>
      <c r="AM60" s="7" t="e">
        <f ca="1">NETWORKDAYS($A60, AA60, Hols[CME])</f>
        <v>#N/A</v>
      </c>
      <c r="AN60" s="7" t="e">
        <f ca="1">NETWORKDAYS($A60, AB60, Hols[CME])</f>
        <v>#N/A</v>
      </c>
      <c r="AO60" s="7" t="e">
        <f ca="1">NETWORKDAYS($A60, AC60, Hols[ICE]) - 1</f>
        <v>#N/A</v>
      </c>
      <c r="AP60" s="10" t="e">
        <f t="shared" ca="1" si="67"/>
        <v>#N/A</v>
      </c>
      <c r="AQ60" s="10" t="e">
        <f t="shared" ca="1" si="68"/>
        <v>#N/A</v>
      </c>
      <c r="AR60" s="10" t="e">
        <f t="shared" ca="1" si="69"/>
        <v>#N/A</v>
      </c>
      <c r="AS60" s="10" t="e">
        <f t="shared" ca="1" si="70"/>
        <v>#N/A</v>
      </c>
      <c r="AT60" s="10" t="e">
        <f t="shared" ca="1" si="71"/>
        <v>#N/A</v>
      </c>
      <c r="AU60" s="10" t="e">
        <f t="shared" ca="1" si="71"/>
        <v>#N/A</v>
      </c>
      <c r="AV60" s="28">
        <f ca="1">IFERROR(AVERAGE(_xll.BDH(AV$18 &amp; $B60 &amp; RIGHT($C60, 1) &amp; " " &amp; "Comdty", "PX_SETTLE", AV$16, AV$16, "Fill=#N/A")), IFERROR(AVERAGE(_xll.BDH(AV$18 &amp; $B60 &amp; RIGHT($C60, 2) &amp; " " &amp; "Comdty", "PX_SETTLE", AV$16, AV$16, "Fill=#N/A")), NA()))</f>
        <v>65.84</v>
      </c>
      <c r="AW60" s="28">
        <f ca="1">IFERROR(AVERAGE(_xll.BDH(AW$18 &amp; $B60 &amp; RIGHT($C60, 1) &amp; " " &amp; "Comdty", "PX_SETTLE", AW$16, AW$16, "Fill=#N/A")), IFERROR(AVERAGE(_xll.BDH(AW$18 &amp; $B60 &amp; RIGHT($C60, 2) &amp; " " &amp; "Comdty", "PX_SETTLE", AW$16, AW$16, "Fill=#N/A")), NA()))</f>
        <v>71.290000000000006</v>
      </c>
      <c r="AX60" s="29">
        <f ca="1">IFERROR(AVERAGE(_xll.BDH(AX$18 &amp; $B60 &amp; RIGHT($C60, 2) &amp; " " &amp; "Comdty", "FAIR_VALUE_SNAPSHOT_AT_1430", AX$16, AX$16, "TIME_ZONE_OVERRIDE=13", "Fill=#N/A")), NA())</f>
        <v>779.25</v>
      </c>
      <c r="AY60" s="28" t="e">
        <f ca="1">IFERROR(AVERAGE(_xll.BDH(AY$18 &amp; $B60 &amp; RIGHT($C60, 1) &amp; " " &amp; "Comdty", "PX_SETTLE", AY$16, AY$16, "Fill=#N/A")), NA())</f>
        <v>#N/A</v>
      </c>
      <c r="AZ60" s="28" t="e">
        <f ca="1">IFERROR(AVERAGE(_xll.BDH(AZ$18 &amp; $B60 &amp; RIGHT($C60, 1) &amp; " " &amp; "Comdty", "PX_SETTLE", AZ$16, AZ$16, "Fill=#N/A")), NA())</f>
        <v>#N/A</v>
      </c>
      <c r="BA60" s="29" t="e">
        <f ca="1">IFERROR(AVERAGE(_xll.BDH(BA$18 &amp; $B60 &amp; RIGHT($C60, 2) &amp; " " &amp; "Comdty", "PX_SETTLE", BA$16, BA$16, "Fill=#N/A")), IFERROR(AVERAGE(_xll.BDH(BA$18 &amp; $B60 &amp; RIGHT($C60, 2) &amp; " " &amp; "Comdty", "PX_SETTLE", BA$16, BA$16, "Fill=#N/A")), NA()))</f>
        <v>#N/A</v>
      </c>
      <c r="BB60" s="29">
        <f ca="1">IFERROR(AVERAGE(_xll.BDH(BB$18 &amp; $B60 &amp; RIGHT($C60, 2) &amp; " " &amp; "Comdty", "PX_SETTLE", BB$16, BB$16, "Fill=#N/A")), IFERROR(AVERAGE(_xll.BDH(BB$18 &amp; $B60 &amp; RIGHT($C60, 2) &amp; " " &amp; "Comdty", "PX_SETTLE", BB$16, BB$16, "Fill=#N/A")), NA()))</f>
        <v>71.989999999999995</v>
      </c>
      <c r="BC60" s="29" t="e">
        <f ca="1">IFERROR(AVERAGE(_xll.BDH(BC$18 &amp; $B60 &amp; RIGHT($C60, 2) &amp; " " &amp; "Comdty", "PX_SETTLE", BC$16, BC$16, "Fill=#N/A")), IFERROR(AVERAGE(_xll.BDH(BC$18 &amp; $B60 &amp; RIGHT($C60, 2) &amp; " " &amp; "Comdty", "PX_SETTLE", BC$16, BC$16, "Fill=#N/A")), NA()))</f>
        <v>#N/A</v>
      </c>
      <c r="BD60" s="29" t="e">
        <f>NA()</f>
        <v>#N/A</v>
      </c>
      <c r="BE60" s="109">
        <f t="shared" ca="1" si="209"/>
        <v>65.597727272727354</v>
      </c>
      <c r="BF60" s="46">
        <f t="shared" ca="1" si="72"/>
        <v>-0.24227272727264904</v>
      </c>
      <c r="BG60" s="47">
        <f t="shared" ca="1" si="151"/>
        <v>0.17863636363635749</v>
      </c>
      <c r="BH60" s="114">
        <f t="shared" ca="1" si="223"/>
        <v>-3.136363636363626E-2</v>
      </c>
      <c r="BI60" s="110">
        <f t="shared" ca="1" si="224"/>
        <v>70.915909090909253</v>
      </c>
      <c r="BJ60" s="46">
        <f t="shared" ca="1" si="73"/>
        <v>-0.3740909090907536</v>
      </c>
      <c r="BK60" s="48">
        <f t="shared" ca="1" si="225"/>
        <v>0.11636363636363001</v>
      </c>
      <c r="BL60" s="114">
        <f t="shared" ca="1" si="226"/>
        <v>2.6363636363640808E-2</v>
      </c>
      <c r="BM60" s="48">
        <f t="shared" ca="1" si="152"/>
        <v>757.79545454545519</v>
      </c>
      <c r="BN60" s="46">
        <f t="shared" ca="1" si="74"/>
        <v>-21.454545454544814</v>
      </c>
      <c r="BO60" s="47">
        <f t="shared" ca="1" si="210"/>
        <v>1.0681818181818699</v>
      </c>
      <c r="BP60" s="46">
        <f t="shared" ca="1" si="133"/>
        <v>6.8181818181869858E-2</v>
      </c>
      <c r="BQ60" s="110" t="str">
        <f t="shared" ca="1" si="211"/>
        <v/>
      </c>
      <c r="BR60" s="46" t="str">
        <f t="shared" ca="1" si="75"/>
        <v/>
      </c>
      <c r="BS60" s="47" t="str">
        <f t="shared" ca="1" si="153"/>
        <v/>
      </c>
      <c r="BT60" s="114" t="str">
        <f t="shared" ca="1" si="154"/>
        <v/>
      </c>
      <c r="BU60" s="48" t="str">
        <f t="shared" ca="1" si="212"/>
        <v/>
      </c>
      <c r="BV60" s="46" t="str">
        <f t="shared" ca="1" si="76"/>
        <v/>
      </c>
      <c r="BW60" s="47" t="str">
        <f t="shared" ca="1" si="155"/>
        <v/>
      </c>
      <c r="BX60" s="46" t="str">
        <f t="shared" ca="1" si="156"/>
        <v/>
      </c>
      <c r="BY60" s="140" t="str">
        <f t="shared" ca="1" si="134"/>
        <v/>
      </c>
      <c r="BZ60" s="46" t="str">
        <f t="shared" ca="1" si="135"/>
        <v/>
      </c>
      <c r="CA60" s="47" t="str">
        <f t="shared" ca="1" si="157"/>
        <v/>
      </c>
      <c r="CB60" s="46" t="str">
        <f t="shared" ca="1" si="158"/>
        <v/>
      </c>
      <c r="CC60" s="141" t="str">
        <f t="shared" ca="1" si="136"/>
        <v/>
      </c>
      <c r="CD60" s="50" t="str">
        <f t="shared" ca="1" si="137"/>
        <v/>
      </c>
      <c r="CE60" s="47" t="str">
        <f t="shared" ca="1" si="159"/>
        <v/>
      </c>
      <c r="CF60" s="46" t="str">
        <f t="shared" ca="1" si="160"/>
        <v/>
      </c>
      <c r="CG60" s="141" t="str">
        <f t="shared" ca="1" si="138"/>
        <v/>
      </c>
      <c r="CH60" s="50" t="str">
        <f t="shared" ca="1" si="139"/>
        <v/>
      </c>
      <c r="CI60" s="47" t="str">
        <f t="shared" ca="1" si="161"/>
        <v/>
      </c>
      <c r="CJ60" s="46" t="str">
        <f t="shared" ca="1" si="162"/>
        <v/>
      </c>
      <c r="CK60" s="141" t="str">
        <f t="shared" ca="1" si="140"/>
        <v/>
      </c>
      <c r="CL60" s="50" t="str">
        <f t="shared" ca="1" si="77"/>
        <v/>
      </c>
      <c r="CM60" s="47" t="str">
        <f t="shared" ca="1" si="163"/>
        <v/>
      </c>
      <c r="CN60" s="46" t="str">
        <f t="shared" ca="1" si="164"/>
        <v/>
      </c>
      <c r="CO60" s="141" t="str">
        <f t="shared" ca="1" si="141"/>
        <v/>
      </c>
      <c r="CP60" s="50" t="str">
        <f t="shared" ca="1" si="78"/>
        <v/>
      </c>
      <c r="CQ60" s="47" t="str">
        <f t="shared" ca="1" si="165"/>
        <v/>
      </c>
      <c r="CR60" s="46" t="str">
        <f t="shared" ca="1" si="166"/>
        <v/>
      </c>
      <c r="CS60" s="109">
        <f t="shared" ca="1" si="79"/>
        <v>-5.3181818181818983</v>
      </c>
      <c r="CT60" s="46">
        <f t="shared" ca="1" si="80"/>
        <v>0.13181818181810456</v>
      </c>
      <c r="CU60" s="47">
        <f t="shared" ca="1" si="167"/>
        <v>6.2272727272727479E-2</v>
      </c>
      <c r="CV60" s="46">
        <f t="shared" ca="1" si="168"/>
        <v>0</v>
      </c>
      <c r="CW60" s="110" t="str">
        <f t="shared" ca="1" si="142"/>
        <v/>
      </c>
      <c r="CX60" s="46" t="str">
        <f t="shared" ca="1" si="81"/>
        <v/>
      </c>
      <c r="CY60" s="47" t="str">
        <f t="shared" ca="1" si="169"/>
        <v/>
      </c>
      <c r="CZ60" s="46" t="str">
        <f t="shared" ca="1" si="170"/>
        <v/>
      </c>
      <c r="DA60" s="109">
        <f t="shared" ca="1" si="82"/>
        <v>30.801601586333049</v>
      </c>
      <c r="DB60" s="46">
        <f t="shared" ca="1" si="83"/>
        <v>-2.5057138499085503</v>
      </c>
      <c r="DC60" s="47">
        <f t="shared" ca="1" si="171"/>
        <v>2.7016473459440249E-2</v>
      </c>
      <c r="DD60" s="46">
        <f t="shared" ca="1" si="233"/>
        <v>-1.7211714460033889E-2</v>
      </c>
      <c r="DE60" s="110" t="str">
        <f t="shared" ca="1" si="84"/>
        <v/>
      </c>
      <c r="DF60" s="46" t="str">
        <f t="shared" ca="1" si="85"/>
        <v/>
      </c>
      <c r="DG60" s="47" t="str">
        <f t="shared" ca="1" si="172"/>
        <v/>
      </c>
      <c r="DH60" s="46" t="str">
        <f t="shared" ca="1" si="173"/>
        <v/>
      </c>
      <c r="DI60" s="110" t="str">
        <f t="shared" ca="1" si="86"/>
        <v/>
      </c>
      <c r="DJ60" s="46" t="str">
        <f t="shared" ca="1" si="87"/>
        <v/>
      </c>
      <c r="DK60" s="47" t="str">
        <f t="shared" ca="1" si="174"/>
        <v/>
      </c>
      <c r="DL60" s="46" t="str">
        <f t="shared" ca="1" si="175"/>
        <v/>
      </c>
      <c r="DM60" s="110" t="str">
        <f t="shared" ca="1" si="88"/>
        <v/>
      </c>
      <c r="DN60" s="46" t="str">
        <f t="shared" ca="1" si="89"/>
        <v/>
      </c>
      <c r="DO60" s="47" t="str">
        <f t="shared" ca="1" si="176"/>
        <v/>
      </c>
      <c r="DP60" s="47" t="str">
        <f t="shared" ca="1" si="177"/>
        <v/>
      </c>
      <c r="DQ60" s="110" t="str">
        <f t="shared" ca="1" si="90"/>
        <v/>
      </c>
      <c r="DR60" s="46" t="str">
        <f t="shared" ca="1" si="91"/>
        <v/>
      </c>
      <c r="DS60" s="47" t="str">
        <f t="shared" ca="1" si="178"/>
        <v/>
      </c>
      <c r="DT60" s="47" t="str">
        <f t="shared" ca="1" si="179"/>
        <v/>
      </c>
      <c r="DU60" s="109" t="str">
        <f t="shared" ca="1" si="92"/>
        <v/>
      </c>
      <c r="DV60" s="46" t="str">
        <f t="shared" ca="1" si="93"/>
        <v/>
      </c>
      <c r="DW60" s="47" t="str">
        <f t="shared" ca="1" si="180"/>
        <v/>
      </c>
      <c r="DX60" s="47" t="str">
        <f t="shared" ca="1" si="181"/>
        <v/>
      </c>
      <c r="DY60" s="110" t="str">
        <f t="shared" ca="1" si="94"/>
        <v/>
      </c>
      <c r="DZ60" s="46" t="str">
        <f t="shared" ca="1" si="95"/>
        <v/>
      </c>
      <c r="EA60" s="47" t="str">
        <f t="shared" ca="1" si="182"/>
        <v/>
      </c>
      <c r="EB60" s="47" t="str">
        <f t="shared" ca="1" si="183"/>
        <v/>
      </c>
      <c r="EC60" s="110" t="str">
        <f t="shared" ca="1" si="96"/>
        <v/>
      </c>
      <c r="ED60" s="46" t="str">
        <f t="shared" ca="1" si="97"/>
        <v/>
      </c>
      <c r="EE60" s="47" t="str">
        <f t="shared" ca="1" si="184"/>
        <v/>
      </c>
      <c r="EF60" s="47" t="str">
        <f t="shared" ca="1" si="185"/>
        <v/>
      </c>
      <c r="EG60" s="110" t="str">
        <f t="shared" ca="1" si="98"/>
        <v/>
      </c>
      <c r="EH60" s="46" t="str">
        <f t="shared" ca="1" si="99"/>
        <v/>
      </c>
      <c r="EI60" s="47" t="str">
        <f t="shared" ca="1" si="186"/>
        <v/>
      </c>
      <c r="EJ60" s="47" t="str">
        <f t="shared" ca="1" si="187"/>
        <v/>
      </c>
      <c r="EK60" s="110" t="str">
        <f t="shared" ca="1" si="100"/>
        <v/>
      </c>
      <c r="EL60" s="46" t="str">
        <f t="shared" ca="1" si="101"/>
        <v/>
      </c>
      <c r="EM60" s="47" t="str">
        <f t="shared" ca="1" si="188"/>
        <v/>
      </c>
      <c r="EN60" s="47" t="str">
        <f t="shared" ca="1" si="189"/>
        <v/>
      </c>
      <c r="EO60" s="109" t="str">
        <f t="shared" ca="1" si="102"/>
        <v/>
      </c>
      <c r="EP60" s="46" t="str">
        <f t="shared" ca="1" si="103"/>
        <v/>
      </c>
      <c r="EQ60" s="47" t="str">
        <f t="shared" ca="1" si="190"/>
        <v/>
      </c>
      <c r="ER60" s="47" t="str">
        <f t="shared" ca="1" si="191"/>
        <v/>
      </c>
      <c r="ES60" s="110" t="str">
        <f t="shared" ca="1" si="104"/>
        <v/>
      </c>
      <c r="ET60" s="46" t="str">
        <f t="shared" ca="1" si="105"/>
        <v/>
      </c>
      <c r="EU60" s="47" t="str">
        <f t="shared" ca="1" si="192"/>
        <v/>
      </c>
      <c r="EV60" s="47" t="str">
        <f t="shared" ca="1" si="193"/>
        <v/>
      </c>
      <c r="EW60" s="109" t="str">
        <f t="shared" ca="1" si="106"/>
        <v/>
      </c>
      <c r="EX60" s="46" t="str">
        <f t="shared" ca="1" si="107"/>
        <v/>
      </c>
      <c r="EY60" s="47" t="str">
        <f t="shared" ca="1" si="194"/>
        <v/>
      </c>
      <c r="EZ60" s="47" t="str">
        <f t="shared" ca="1" si="195"/>
        <v/>
      </c>
      <c r="FA60" s="110" t="str">
        <f t="shared" ca="1" si="108"/>
        <v/>
      </c>
      <c r="FB60" s="46" t="str">
        <f t="shared" ca="1" si="109"/>
        <v/>
      </c>
      <c r="FC60" s="47" t="str">
        <f t="shared" ca="1" si="196"/>
        <v/>
      </c>
      <c r="FD60" s="47" t="str">
        <f t="shared" ca="1" si="197"/>
        <v/>
      </c>
      <c r="FE60" s="109" t="str">
        <f t="shared" ca="1" si="110"/>
        <v/>
      </c>
      <c r="FF60" s="46" t="str">
        <f t="shared" ca="1" si="111"/>
        <v/>
      </c>
      <c r="FG60" s="110" t="str">
        <f t="shared" ca="1" si="112"/>
        <v/>
      </c>
      <c r="FH60" s="46" t="str">
        <f t="shared" ca="1" si="113"/>
        <v/>
      </c>
      <c r="FI60" s="110" t="str">
        <f t="shared" ca="1" si="114"/>
        <v/>
      </c>
      <c r="FJ60" s="46" t="str">
        <f t="shared" ca="1" si="115"/>
        <v/>
      </c>
      <c r="FK60" s="110" t="str">
        <f t="shared" ca="1" si="116"/>
        <v/>
      </c>
      <c r="FL60" s="46" t="str">
        <f t="shared" ca="1" si="117"/>
        <v/>
      </c>
      <c r="FM60" s="110" t="str">
        <f t="shared" ca="1" si="118"/>
        <v/>
      </c>
      <c r="FN60" s="46" t="str">
        <f t="shared" ca="1" si="119"/>
        <v/>
      </c>
      <c r="FO60" s="110" t="str">
        <f t="shared" ca="1" si="120"/>
        <v/>
      </c>
      <c r="FP60" s="46" t="str">
        <f t="shared" ca="1" si="121"/>
        <v/>
      </c>
      <c r="FQ60" s="110" t="str">
        <f t="shared" ca="1" si="122"/>
        <v/>
      </c>
      <c r="FR60" s="46" t="str">
        <f t="shared" ca="1" si="123"/>
        <v/>
      </c>
      <c r="FS60" s="110" t="str">
        <f t="shared" ca="1" si="124"/>
        <v/>
      </c>
      <c r="FT60" s="111" t="str">
        <f t="shared" ca="1" si="125"/>
        <v/>
      </c>
      <c r="FU60" s="109" t="str">
        <f t="shared" ca="1" si="232"/>
        <v/>
      </c>
      <c r="FV60" s="46" t="str">
        <f t="shared" ca="1" si="213"/>
        <v/>
      </c>
      <c r="FW60" s="48" t="str">
        <f t="shared" ca="1" si="227"/>
        <v/>
      </c>
      <c r="FX60" s="114" t="str">
        <f t="shared" ca="1" si="228"/>
        <v/>
      </c>
      <c r="FY60" s="110" t="str">
        <f t="shared" ca="1" si="214"/>
        <v/>
      </c>
      <c r="FZ60" s="46" t="str">
        <f t="shared" ca="1" si="215"/>
        <v/>
      </c>
      <c r="GA60" s="47" t="str">
        <f t="shared" ca="1" si="216"/>
        <v/>
      </c>
      <c r="GB60" s="46" t="str">
        <f t="shared" ca="1" si="229"/>
        <v/>
      </c>
      <c r="GC60" s="110" t="str">
        <f ca="1">IFERROR(IF(AND(ISNUMBER($FU60), ISNUMBER(Crd!$X60)), $FU60 - Crd!$X60, ""), "")</f>
        <v/>
      </c>
      <c r="GD60" s="46" t="str">
        <f ca="1">IFERROR(IF(AND(ISNUMBER($FV60), ISNUMBER(Crd!$Y60)), $FV60 - Crd!$Y60, ""), "")</f>
        <v/>
      </c>
      <c r="GE60" s="47" t="str">
        <f t="shared" ca="1" si="217"/>
        <v/>
      </c>
      <c r="GF60" s="46" t="str">
        <f t="shared" ca="1" si="218"/>
        <v/>
      </c>
      <c r="GG60" s="141" t="str">
        <f t="shared" ca="1" si="198"/>
        <v/>
      </c>
      <c r="GH60" s="50" t="str">
        <f t="shared" ca="1" si="199"/>
        <v/>
      </c>
      <c r="GI60" s="47" t="str">
        <f t="shared" ca="1" si="144"/>
        <v/>
      </c>
      <c r="GJ60" s="46" t="str">
        <f t="shared" ca="1" si="145"/>
        <v/>
      </c>
      <c r="GK60" s="110" t="str">
        <f t="shared" ca="1" si="127"/>
        <v/>
      </c>
      <c r="GL60" s="46" t="str">
        <f t="shared" ca="1" si="128"/>
        <v/>
      </c>
      <c r="GM60" s="47" t="str">
        <f t="shared" ca="1" si="200"/>
        <v/>
      </c>
      <c r="GN60" s="46" t="str">
        <f t="shared" ca="1" si="201"/>
        <v/>
      </c>
      <c r="GO60" s="110" t="str">
        <f ca="1">IFERROR(IF(AND(ISNUMBER($GG60), ISNUMBER(Crd!$X60)), $GG60 - Crd!$X60, ""), "")</f>
        <v/>
      </c>
      <c r="GP60" s="46" t="str">
        <f ca="1">IFERROR(IF(AND(ISNUMBER($GH60), ISNUMBER(Crd!$Y60)), $GH60 - Crd!$Y60, ""), "")</f>
        <v/>
      </c>
      <c r="GQ60" s="47" t="str">
        <f t="shared" ca="1" si="202"/>
        <v/>
      </c>
      <c r="GR60" s="46" t="str">
        <f t="shared" ca="1" si="203"/>
        <v/>
      </c>
      <c r="GS60" s="436" t="str">
        <f t="shared" ca="1" si="219"/>
        <v/>
      </c>
      <c r="GT60" s="46" t="str">
        <f t="shared" ca="1" si="220"/>
        <v/>
      </c>
      <c r="GU60" s="48" t="str">
        <f t="shared" ca="1" si="230"/>
        <v/>
      </c>
      <c r="GV60" s="46" t="str">
        <f t="shared" ca="1" si="231"/>
        <v/>
      </c>
      <c r="GW60" s="427" t="str">
        <f t="shared" ca="1" si="204"/>
        <v/>
      </c>
      <c r="GX60" s="50" t="str">
        <f t="shared" ca="1" si="146"/>
        <v/>
      </c>
      <c r="GY60" s="47" t="str">
        <f t="shared" ca="1" si="205"/>
        <v/>
      </c>
      <c r="GZ60" s="432" t="str">
        <f t="shared" ca="1" si="206"/>
        <v/>
      </c>
      <c r="HA60" s="436"/>
      <c r="HB60" s="46"/>
      <c r="HC60" s="48"/>
      <c r="HD60" s="46"/>
      <c r="HE60" s="269"/>
      <c r="HF60" s="46"/>
      <c r="HG60" s="48"/>
      <c r="HH60" s="432"/>
    </row>
    <row r="61" spans="1:216" x14ac:dyDescent="0.25">
      <c r="A61" s="58">
        <f t="shared" ca="1" si="131"/>
        <v>47543</v>
      </c>
      <c r="B61" s="6" t="str">
        <f ca="1">INDEX(MthRef[], MATCH(MONTH(Futs!$A61), MthRef[Mth], 0), 2)</f>
        <v>H</v>
      </c>
      <c r="C61" s="6">
        <f t="shared" ca="1" si="65"/>
        <v>2030</v>
      </c>
      <c r="D61" s="6" t="str">
        <f t="shared" ca="1" si="66"/>
        <v>Q130</v>
      </c>
      <c r="E61" s="6" t="str">
        <f t="shared" ca="1" si="132"/>
        <v>H0</v>
      </c>
      <c r="F61" s="10" t="e">
        <f ca="1">IFERROR(AVERAGE(_xll.BDP(F$18 &amp; $B61 &amp; RIGHT($C61, 1) &amp; " " &amp; "Comdty", "BID", "Fill=#N/A"), _xll.BDP(F$18 &amp; $B61 &amp; RIGHT($C61, 1) &amp; " " &amp; "Comdty", "ASK", "Fill=#N/A")), NA())</f>
        <v>#N/A</v>
      </c>
      <c r="G61" s="10" t="e">
        <f ca="1">IFERROR(AVERAGE(_xll.BDP(G$18 &amp; $B61 &amp; RIGHT($C61, 1) &amp; " " &amp; "Comdty", "BID", "Fill=#N/A"), _xll.BDP(G$18 &amp; $B61 &amp; RIGHT($C61, 1) &amp; " " &amp; "Comdty", "ASK", "Fill=#N/A")), NA())</f>
        <v>#N/A</v>
      </c>
      <c r="H61" s="10" t="e">
        <f ca="1">IFERROR(AVERAGE(_xll.BDP(H$18 &amp; $B61 &amp; RIGHT($C61, 1) &amp; " " &amp; "Comdty", "BID", "Fill=#N/A"), _xll.BDP(H$18 &amp; $B61 &amp; RIGHT($C61, 1) &amp; " " &amp; "Comdty", "ASK", "Fill=#N/A")), NA())</f>
        <v>#N/A</v>
      </c>
      <c r="I61" s="10" t="e">
        <f ca="1">IFERROR(AVERAGE(_xll.BDP(I$18 &amp; $B61 &amp; RIGHT($C61, 1) &amp; " " &amp; "Comdty", "BID", "Fill=#N/A"), _xll.BDP(I$18 &amp; $B61 &amp; RIGHT($C61, 1) &amp; " " &amp; "Comdty", "ASK", "Fill=#N/A")), NA())</f>
        <v>#N/A</v>
      </c>
      <c r="J61" s="10" t="e">
        <f ca="1">IFERROR(AVERAGE(_xll.BDP(J$18 &amp; $B61 &amp; RIGHT($C61, 1) &amp; " " &amp; "Comdty", "BID", "Fill=#N/A"), _xll.BDP(J$18 &amp; $B61 &amp; RIGHT($C61, 1) &amp; " " &amp; "Comdty", "ASK", "Fill=#N/A")), NA())</f>
        <v>#N/A</v>
      </c>
      <c r="K61" s="10" t="e">
        <f ca="1">IFERROR(AVERAGE(_xll.BDP(K$18 &amp; $B61 &amp; RIGHT($C61, 2) &amp; " " &amp; "Comdty", "BID", "Fill=#N/A"), _xll.BDP(K$18 &amp; $B61 &amp; RIGHT($C61, 2) &amp; " " &amp; "Comdty", "ASK", "Fill=#N/A")), NA())</f>
        <v>#N/A</v>
      </c>
      <c r="L61" s="10" t="e">
        <f ca="1">IFERROR(AVERAGE(_xll.BDP(L$18 &amp; $B61 &amp; RIGHT($C61, 2) &amp; " " &amp; "Comdty", "BID", "Fill=#N/A"), _xll.BDP(L$18 &amp; $B61 &amp; RIGHT($C61, 2) &amp; " " &amp; "Comdty", "ASK", "Fill=#N/A")), NA())</f>
        <v>#N/A</v>
      </c>
      <c r="M61" s="10" t="e">
        <f ca="1">IFERROR(AVERAGE(_xll.BDP(M$18 &amp; $B61 &amp; RIGHT($C61, 2) &amp; " " &amp; "Comdty", "BID", "Fill=#N/A"), _xll.BDP(M$18 &amp; $B61 &amp; RIGHT($C61, 2) &amp; " " &amp; "Comdty", "ASK", "Fill=#N/A")), NA())</f>
        <v>#N/A</v>
      </c>
      <c r="N61" s="10" t="e">
        <f ca="1">IFERROR(AVERAGE(_xll.BDP(N$18 &amp; $B60 &amp; RIGHT($C60, 1) &amp; N$18 &amp; $B61 &amp; RIGHT($C61, 1) &amp; " " &amp; "Comdty", "BID", "Fill=#N/A"), _xll.BDP(N$18 &amp; $B60 &amp; RIGHT($C60, 1) &amp; N$18 &amp; $B61 &amp; RIGHT($C61, 1) &amp; " " &amp; "Comdty", "ASK", "Fill=#N/A")), NA())</f>
        <v>#N/A</v>
      </c>
      <c r="O61" s="10">
        <f ca="1">IFERROR(AVERAGE(_xll.BDP(O$18 &amp; $B60 &amp; RIGHT($C60, 1) &amp; O$18 &amp; $B61 &amp; RIGHT($C61, 1) &amp; " " &amp; "Comdty", "BID", "Fill=#N/A"), _xll.BDP(O$18 &amp; $B60 &amp; RIGHT($C60, 1) &amp; O$18 &amp; $B61 &amp; RIGHT($C61, 1) &amp; " " &amp; "Comdty", "ASK", "Fill=#N/A")), NA())</f>
        <v>0.09</v>
      </c>
      <c r="P61" s="10" t="e">
        <f ca="1">IFERROR(AVERAGE(_xll.BDP(P$18 &amp; $B60 &amp; RIGHT($C60, 1) &amp; P$18 &amp; $B61 &amp; RIGHT($C61, 1) &amp; " " &amp; "Comdty", "BID", "Fill=#N/A"), _xll.BDP(P$18 &amp; $B60 &amp; RIGHT($C60, 1) &amp; P$18 &amp; $B61 &amp; RIGHT($C61, 1) &amp; " " &amp; "Comdty", "ASK", "Fill=#N/A")), NA())</f>
        <v>#N/A</v>
      </c>
      <c r="Q61" s="10" t="e">
        <f ca="1">IFERROR(AVERAGE(_xll.BDP(Q$18 &amp; $B60 &amp; RIGHT($C60, 1) &amp; Q$18 &amp; $B61 &amp; RIGHT($C61, 1) &amp; " " &amp; "Comdty", "BID", "Fill=#N/A"), _xll.BDP(Q$18 &amp; $B60 &amp; RIGHT($C60, 1) &amp; Q$18 &amp; $B61 &amp; RIGHT($C61, 1) &amp; " " &amp; "Comdty", "ASK", "Fill=#N/A")), NA())</f>
        <v>#N/A</v>
      </c>
      <c r="R61" s="10" t="e">
        <f ca="1">IFERROR(AVERAGE(_xll.BDP(R$18 &amp; $B60 &amp; RIGHT($C60, 1) &amp; R$18 &amp; $B61 &amp; RIGHT($C61, 1) &amp; " " &amp; "Comdty", "BID", "Fill=#N/A"), _xll.BDP(R$18 &amp; $B60 &amp; RIGHT($C60, 1) &amp; R$18 &amp; $B61 &amp; RIGHT($C61, 1) &amp; " " &amp; "Comdty", "ASK", "Fill=#N/A")), NA())</f>
        <v>#N/A</v>
      </c>
      <c r="S61" s="10" t="e">
        <f ca="1">IFERROR(AVERAGE(_xll.BDP(S$18 &amp; $B60 &amp; RIGHT($C60, 1) &amp; $B61 &amp; RIGHT($C61, 1) &amp; " " &amp; "Comdty", "BID", "Fill=#N/A"), _xll.BDP(S$18 &amp; $B60 &amp; RIGHT($C60, 1) &amp; $B61 &amp; RIGHT($C61, 1) &amp; " " &amp; "Comdty", "ASK", "Fill=#N/A")), NA())</f>
        <v>#N/A</v>
      </c>
      <c r="T61" s="10" t="e">
        <f ca="1">IFERROR(AVERAGE(_xll.BDP(T$18 &amp; $B60 &amp; RIGHT($C60, 1) &amp; $B61 &amp; RIGHT($C61, 1) &amp; " " &amp; "Comdty", "BID", "Fill=#N/A"), _xll.BDP(T$18 &amp; $B60 &amp; RIGHT($C60, 1) &amp; $B61 &amp; RIGHT($C61, 1) &amp; " " &amp; "Comdty", "ASK", "Fill=#N/A")), NA())</f>
        <v>#N/A</v>
      </c>
      <c r="U61" s="10">
        <f ca="1">IF($A61 &lt; Diagnostics!$B$3, N61, INDEX(ImpSprd[], MATCH(Futs!$C61, ImpSprd[Yr], 0), MATCH(U$18, ImpSprd[#Headers], 0)))</f>
        <v>0.17863636363636362</v>
      </c>
      <c r="V61" s="10">
        <f ca="1">IF($A61 &lt; Diagnostics!$B$3, O61, INDEX(ImpSprd[], MATCH(Futs!$C61, ImpSprd[Yr], 0), MATCH(V$18, ImpSprd[#Headers], 0)))</f>
        <v>0.11636363636363636</v>
      </c>
      <c r="W61" s="10">
        <f ca="1">IF($A61 &lt; Diagnostics!$B$3, P61, INDEX(ImpSprd[], MATCH(Futs!$C61, ImpSprd[Yr], 0), MATCH(W$18, ImpSprd[#Headers], 0)))</f>
        <v>1.0681818181818181</v>
      </c>
      <c r="X61" s="31" t="e">
        <f ca="1">INDEX(Expi[], MATCH($A61, Expi[Date], 0), MATCH(X$18, Expi[#Headers], 0))</f>
        <v>#N/A</v>
      </c>
      <c r="Y61" s="31" t="e">
        <f ca="1">INDEX(Expi[], MATCH($A61, Expi[Date], 0), MATCH(Y$18, Expi[#Headers], 0))</f>
        <v>#N/A</v>
      </c>
      <c r="Z61" s="31" t="e">
        <f ca="1">INDEX(Expi[], MATCH($A61, Expi[Date], 0), MATCH(Z$18, Expi[#Headers], 0))</f>
        <v>#N/A</v>
      </c>
      <c r="AA61" s="31" t="e">
        <f ca="1">INDEX(Expi[], MATCH($A61, Expi[Date], 0), MATCH(AA$18, Expi[#Headers], 0))</f>
        <v>#N/A</v>
      </c>
      <c r="AB61" s="31" t="e">
        <f ca="1">INDEX(Expi[], MATCH($A61, Expi[Date], 0), MATCH(AB$18, Expi[#Headers], 0))</f>
        <v>#N/A</v>
      </c>
      <c r="AC61" s="31" t="e">
        <f ca="1">INDEX(Expi[], MATCH($A61, Expi[Date], 0), MATCH(AC$18, Expi[#Headers], 0))</f>
        <v>#N/A</v>
      </c>
      <c r="AD61" s="7">
        <f ca="1">NETWORKDAYS($A61, EOMONTH($A61, 0), Hols[CME])</f>
        <v>21</v>
      </c>
      <c r="AE61" s="7">
        <f ca="1">NETWORKDAYS($A61, EOMONTH($A61, 0), Hols[ICE])</f>
        <v>21</v>
      </c>
      <c r="AF61" s="7">
        <f ca="1">NETWORKDAYS($A61, EOMONTH($A61, 0), Hols[ICE])</f>
        <v>21</v>
      </c>
      <c r="AG61" s="7">
        <f ca="1">NETWORKDAYS($A61, EOMONTH($A61, 0), Hols[CME])</f>
        <v>21</v>
      </c>
      <c r="AH61" s="7">
        <f ca="1">NETWORKDAYS($A61, EOMONTH($A61, 0), Hols[CME])</f>
        <v>21</v>
      </c>
      <c r="AI61" s="7">
        <f ca="1">NETWORKDAYS($A61, EOMONTH($A61, 0), Hols[ICE])</f>
        <v>21</v>
      </c>
      <c r="AJ61" s="7" t="e">
        <f ca="1">NETWORKDAYS($A61, X61, Hols[CME])</f>
        <v>#N/A</v>
      </c>
      <c r="AK61" s="7" t="e">
        <f ca="1">NETWORKDAYS($A61, Y61, Hols[ICE]) - 1</f>
        <v>#N/A</v>
      </c>
      <c r="AL61" s="7" t="e">
        <f ca="1">NETWORKDAYS($A61, Z61, Hols[ICE]) - 1</f>
        <v>#N/A</v>
      </c>
      <c r="AM61" s="7" t="e">
        <f ca="1">NETWORKDAYS($A61, AA61, Hols[CME])</f>
        <v>#N/A</v>
      </c>
      <c r="AN61" s="7" t="e">
        <f ca="1">NETWORKDAYS($A61, AB61, Hols[CME])</f>
        <v>#N/A</v>
      </c>
      <c r="AO61" s="7" t="e">
        <f ca="1">NETWORKDAYS($A61, AC61, Hols[ICE]) - 1</f>
        <v>#N/A</v>
      </c>
      <c r="AP61" s="10" t="e">
        <f t="shared" ca="1" si="67"/>
        <v>#N/A</v>
      </c>
      <c r="AQ61" s="10" t="e">
        <f t="shared" ca="1" si="68"/>
        <v>#N/A</v>
      </c>
      <c r="AR61" s="10" t="e">
        <f t="shared" ca="1" si="69"/>
        <v>#N/A</v>
      </c>
      <c r="AS61" s="10" t="e">
        <f t="shared" ca="1" si="70"/>
        <v>#N/A</v>
      </c>
      <c r="AT61" s="10" t="e">
        <f t="shared" ca="1" si="71"/>
        <v>#N/A</v>
      </c>
      <c r="AU61" s="10" t="e">
        <f t="shared" ca="1" si="71"/>
        <v>#N/A</v>
      </c>
      <c r="AV61" s="28">
        <f ca="1">IFERROR(AVERAGE(_xll.BDH(AV$18 &amp; $B61 &amp; RIGHT($C61, 1) &amp; " " &amp; "Comdty", "PX_SETTLE", AV$16, AV$16, "Fill=#N/A")), IFERROR(AVERAGE(_xll.BDH(AV$18 &amp; $B61 &amp; RIGHT($C61, 2) &amp; " " &amp; "Comdty", "PX_SETTLE", AV$16, AV$16, "Fill=#N/A")), NA()))</f>
        <v>65.680000000000007</v>
      </c>
      <c r="AW61" s="28">
        <f ca="1">IFERROR(AVERAGE(_xll.BDH(AW$18 &amp; $B61 &amp; RIGHT($C61, 1) &amp; " " &amp; "Comdty", "PX_SETTLE", AW$16, AW$16, "Fill=#N/A")), IFERROR(AVERAGE(_xll.BDH(AW$18 &amp; $B61 &amp; RIGHT($C61, 2) &amp; " " &amp; "Comdty", "PX_SETTLE", AW$16, AW$16, "Fill=#N/A")), NA()))</f>
        <v>71.209999999999994</v>
      </c>
      <c r="AX61" s="29">
        <f ca="1">IFERROR(AVERAGE(_xll.BDH(AX$18 &amp; $B61 &amp; RIGHT($C61, 2) &amp; " " &amp; "Comdty", "FAIR_VALUE_SNAPSHOT_AT_1430", AX$16, AX$16, "TIME_ZONE_OVERRIDE=13", "Fill=#N/A")), NA())</f>
        <v>778.25</v>
      </c>
      <c r="AY61" s="28" t="e">
        <f ca="1">IFERROR(AVERAGE(_xll.BDH(AY$18 &amp; $B61 &amp; RIGHT($C61, 1) &amp; " " &amp; "Comdty", "PX_SETTLE", AY$16, AY$16, "Fill=#N/A")), NA())</f>
        <v>#N/A</v>
      </c>
      <c r="AZ61" s="28" t="e">
        <f ca="1">IFERROR(AVERAGE(_xll.BDH(AZ$18 &amp; $B61 &amp; RIGHT($C61, 1) &amp; " " &amp; "Comdty", "PX_SETTLE", AZ$16, AZ$16, "Fill=#N/A")), NA())</f>
        <v>#N/A</v>
      </c>
      <c r="BA61" s="29" t="e">
        <f ca="1">IFERROR(AVERAGE(_xll.BDH(BA$18 &amp; $B61 &amp; RIGHT($C61, 2) &amp; " " &amp; "Comdty", "PX_SETTLE", BA$16, BA$16, "Fill=#N/A")), IFERROR(AVERAGE(_xll.BDH(BA$18 &amp; $B61 &amp; RIGHT($C61, 2) &amp; " " &amp; "Comdty", "PX_SETTLE", BA$16, BA$16, "Fill=#N/A")), NA()))</f>
        <v>#N/A</v>
      </c>
      <c r="BB61" s="29">
        <f ca="1">IFERROR(AVERAGE(_xll.BDH(BB$18 &amp; $B61 &amp; RIGHT($C61, 2) &amp; " " &amp; "Comdty", "PX_SETTLE", BB$16, BB$16, "Fill=#N/A")), IFERROR(AVERAGE(_xll.BDH(BB$18 &amp; $B61 &amp; RIGHT($C61, 2) &amp; " " &amp; "Comdty", "PX_SETTLE", BB$16, BB$16, "Fill=#N/A")), NA()))</f>
        <v>71.91</v>
      </c>
      <c r="BC61" s="29" t="e">
        <f ca="1">IFERROR(AVERAGE(_xll.BDH(BC$18 &amp; $B61 &amp; RIGHT($C61, 2) &amp; " " &amp; "Comdty", "PX_SETTLE", BC$16, BC$16, "Fill=#N/A")), IFERROR(AVERAGE(_xll.BDH(BC$18 &amp; $B61 &amp; RIGHT($C61, 2) &amp; " " &amp; "Comdty", "PX_SETTLE", BC$16, BC$16, "Fill=#N/A")), NA()))</f>
        <v>#N/A</v>
      </c>
      <c r="BD61" s="29" t="e">
        <f>NA()</f>
        <v>#N/A</v>
      </c>
      <c r="BE61" s="109">
        <f t="shared" ca="1" si="209"/>
        <v>65.419090909090997</v>
      </c>
      <c r="BF61" s="46">
        <f t="shared" ca="1" si="72"/>
        <v>-0.26090909090900993</v>
      </c>
      <c r="BG61" s="47">
        <f t="shared" ca="1" si="151"/>
        <v>0.17863636363635749</v>
      </c>
      <c r="BH61" s="114">
        <f t="shared" ca="1" si="223"/>
        <v>1.8636363636360898E-2</v>
      </c>
      <c r="BI61" s="110">
        <f t="shared" ca="1" si="224"/>
        <v>70.799545454545623</v>
      </c>
      <c r="BJ61" s="46">
        <f t="shared" ca="1" si="73"/>
        <v>-0.4104545454543711</v>
      </c>
      <c r="BK61" s="48">
        <f t="shared" ca="1" si="225"/>
        <v>0.11636363636363001</v>
      </c>
      <c r="BL61" s="114">
        <f t="shared" ca="1" si="226"/>
        <v>3.6363636363617502E-2</v>
      </c>
      <c r="BM61" s="48">
        <f t="shared" ca="1" si="152"/>
        <v>756.72727272727332</v>
      </c>
      <c r="BN61" s="46">
        <f t="shared" ca="1" si="74"/>
        <v>-21.522727272726684</v>
      </c>
      <c r="BO61" s="47">
        <f t="shared" ca="1" si="210"/>
        <v>1.0681818181818699</v>
      </c>
      <c r="BP61" s="46">
        <f t="shared" ca="1" si="133"/>
        <v>6.8181818181869858E-2</v>
      </c>
      <c r="BQ61" s="110" t="str">
        <f t="shared" ca="1" si="211"/>
        <v/>
      </c>
      <c r="BR61" s="46" t="str">
        <f t="shared" ca="1" si="75"/>
        <v/>
      </c>
      <c r="BS61" s="47" t="str">
        <f t="shared" ca="1" si="153"/>
        <v/>
      </c>
      <c r="BT61" s="114" t="str">
        <f t="shared" ca="1" si="154"/>
        <v/>
      </c>
      <c r="BU61" s="48" t="str">
        <f t="shared" ca="1" si="212"/>
        <v/>
      </c>
      <c r="BV61" s="46" t="str">
        <f t="shared" ca="1" si="76"/>
        <v/>
      </c>
      <c r="BW61" s="47" t="str">
        <f t="shared" ca="1" si="155"/>
        <v/>
      </c>
      <c r="BX61" s="46" t="str">
        <f t="shared" ca="1" si="156"/>
        <v/>
      </c>
      <c r="BY61" s="140" t="str">
        <f t="shared" ca="1" si="134"/>
        <v/>
      </c>
      <c r="BZ61" s="46" t="str">
        <f t="shared" ca="1" si="135"/>
        <v/>
      </c>
      <c r="CA61" s="47" t="str">
        <f t="shared" ca="1" si="157"/>
        <v/>
      </c>
      <c r="CB61" s="46" t="str">
        <f t="shared" ca="1" si="158"/>
        <v/>
      </c>
      <c r="CC61" s="141" t="str">
        <f t="shared" ca="1" si="136"/>
        <v/>
      </c>
      <c r="CD61" s="50" t="str">
        <f t="shared" ca="1" si="137"/>
        <v/>
      </c>
      <c r="CE61" s="47" t="str">
        <f t="shared" ca="1" si="159"/>
        <v/>
      </c>
      <c r="CF61" s="46" t="str">
        <f t="shared" ca="1" si="160"/>
        <v/>
      </c>
      <c r="CG61" s="141" t="str">
        <f t="shared" ca="1" si="138"/>
        <v/>
      </c>
      <c r="CH61" s="50" t="str">
        <f t="shared" ca="1" si="139"/>
        <v/>
      </c>
      <c r="CI61" s="47" t="str">
        <f t="shared" ca="1" si="161"/>
        <v/>
      </c>
      <c r="CJ61" s="46" t="str">
        <f t="shared" ca="1" si="162"/>
        <v/>
      </c>
      <c r="CK61" s="141" t="str">
        <f t="shared" ca="1" si="140"/>
        <v/>
      </c>
      <c r="CL61" s="50" t="str">
        <f t="shared" ca="1" si="77"/>
        <v/>
      </c>
      <c r="CM61" s="47" t="str">
        <f t="shared" ca="1" si="163"/>
        <v/>
      </c>
      <c r="CN61" s="46" t="str">
        <f t="shared" ca="1" si="164"/>
        <v/>
      </c>
      <c r="CO61" s="141" t="str">
        <f t="shared" ca="1" si="141"/>
        <v/>
      </c>
      <c r="CP61" s="50" t="str">
        <f t="shared" ca="1" si="78"/>
        <v/>
      </c>
      <c r="CQ61" s="47" t="str">
        <f t="shared" ca="1" si="165"/>
        <v/>
      </c>
      <c r="CR61" s="46" t="str">
        <f t="shared" ca="1" si="166"/>
        <v/>
      </c>
      <c r="CS61" s="109">
        <f t="shared" ca="1" si="79"/>
        <v>-5.3804545454546258</v>
      </c>
      <c r="CT61" s="46">
        <f t="shared" ca="1" si="80"/>
        <v>0.14954545454536117</v>
      </c>
      <c r="CU61" s="47">
        <f t="shared" ca="1" si="167"/>
        <v>6.2272727272727479E-2</v>
      </c>
      <c r="CV61" s="46">
        <f t="shared" ca="1" si="168"/>
        <v>0</v>
      </c>
      <c r="CW61" s="110" t="str">
        <f t="shared" ca="1" si="142"/>
        <v/>
      </c>
      <c r="CX61" s="46" t="str">
        <f t="shared" ca="1" si="81"/>
        <v/>
      </c>
      <c r="CY61" s="47" t="str">
        <f t="shared" ca="1" si="169"/>
        <v/>
      </c>
      <c r="CZ61" s="46" t="str">
        <f t="shared" ca="1" si="170"/>
        <v/>
      </c>
      <c r="DA61" s="109">
        <f t="shared" ca="1" si="82"/>
        <v>30.774585112873609</v>
      </c>
      <c r="DB61" s="46">
        <f t="shared" ca="1" si="83"/>
        <v>-2.4785021354485393</v>
      </c>
      <c r="DC61" s="47">
        <f t="shared" ca="1" si="171"/>
        <v>2.7016473459440249E-2</v>
      </c>
      <c r="DD61" s="46">
        <f t="shared" ca="1" si="233"/>
        <v>-2.7211714460011027E-2</v>
      </c>
      <c r="DE61" s="110" t="str">
        <f t="shared" ca="1" si="84"/>
        <v/>
      </c>
      <c r="DF61" s="46" t="str">
        <f t="shared" ca="1" si="85"/>
        <v/>
      </c>
      <c r="DG61" s="47" t="str">
        <f t="shared" ca="1" si="172"/>
        <v/>
      </c>
      <c r="DH61" s="46" t="str">
        <f t="shared" ca="1" si="173"/>
        <v/>
      </c>
      <c r="DI61" s="110" t="str">
        <f t="shared" ca="1" si="86"/>
        <v/>
      </c>
      <c r="DJ61" s="46" t="str">
        <f t="shared" ca="1" si="87"/>
        <v/>
      </c>
      <c r="DK61" s="47" t="str">
        <f t="shared" ca="1" si="174"/>
        <v/>
      </c>
      <c r="DL61" s="46" t="str">
        <f t="shared" ca="1" si="175"/>
        <v/>
      </c>
      <c r="DM61" s="110" t="str">
        <f t="shared" ca="1" si="88"/>
        <v/>
      </c>
      <c r="DN61" s="46" t="str">
        <f t="shared" ca="1" si="89"/>
        <v/>
      </c>
      <c r="DO61" s="47" t="str">
        <f t="shared" ca="1" si="176"/>
        <v/>
      </c>
      <c r="DP61" s="47" t="str">
        <f t="shared" ca="1" si="177"/>
        <v/>
      </c>
      <c r="DQ61" s="110" t="str">
        <f t="shared" ca="1" si="90"/>
        <v/>
      </c>
      <c r="DR61" s="46" t="str">
        <f t="shared" ca="1" si="91"/>
        <v/>
      </c>
      <c r="DS61" s="47" t="str">
        <f t="shared" ca="1" si="178"/>
        <v/>
      </c>
      <c r="DT61" s="47" t="str">
        <f t="shared" ca="1" si="179"/>
        <v/>
      </c>
      <c r="DU61" s="109" t="str">
        <f t="shared" ca="1" si="92"/>
        <v/>
      </c>
      <c r="DV61" s="46" t="str">
        <f t="shared" ca="1" si="93"/>
        <v/>
      </c>
      <c r="DW61" s="47" t="str">
        <f t="shared" ca="1" si="180"/>
        <v/>
      </c>
      <c r="DX61" s="47" t="str">
        <f t="shared" ca="1" si="181"/>
        <v/>
      </c>
      <c r="DY61" s="110" t="str">
        <f t="shared" ca="1" si="94"/>
        <v/>
      </c>
      <c r="DZ61" s="46" t="str">
        <f t="shared" ca="1" si="95"/>
        <v/>
      </c>
      <c r="EA61" s="47" t="str">
        <f t="shared" ca="1" si="182"/>
        <v/>
      </c>
      <c r="EB61" s="47" t="str">
        <f t="shared" ca="1" si="183"/>
        <v/>
      </c>
      <c r="EC61" s="110" t="str">
        <f t="shared" ca="1" si="96"/>
        <v/>
      </c>
      <c r="ED61" s="46" t="str">
        <f t="shared" ca="1" si="97"/>
        <v/>
      </c>
      <c r="EE61" s="47" t="str">
        <f t="shared" ca="1" si="184"/>
        <v/>
      </c>
      <c r="EF61" s="47" t="str">
        <f t="shared" ca="1" si="185"/>
        <v/>
      </c>
      <c r="EG61" s="110" t="str">
        <f t="shared" ca="1" si="98"/>
        <v/>
      </c>
      <c r="EH61" s="46" t="str">
        <f t="shared" ca="1" si="99"/>
        <v/>
      </c>
      <c r="EI61" s="47" t="str">
        <f t="shared" ca="1" si="186"/>
        <v/>
      </c>
      <c r="EJ61" s="47" t="str">
        <f t="shared" ca="1" si="187"/>
        <v/>
      </c>
      <c r="EK61" s="110" t="str">
        <f t="shared" ca="1" si="100"/>
        <v/>
      </c>
      <c r="EL61" s="46" t="str">
        <f t="shared" ca="1" si="101"/>
        <v/>
      </c>
      <c r="EM61" s="47" t="str">
        <f t="shared" ca="1" si="188"/>
        <v/>
      </c>
      <c r="EN61" s="47" t="str">
        <f t="shared" ca="1" si="189"/>
        <v/>
      </c>
      <c r="EO61" s="109" t="str">
        <f t="shared" ca="1" si="102"/>
        <v/>
      </c>
      <c r="EP61" s="46" t="str">
        <f t="shared" ca="1" si="103"/>
        <v/>
      </c>
      <c r="EQ61" s="47" t="str">
        <f t="shared" ca="1" si="190"/>
        <v/>
      </c>
      <c r="ER61" s="47" t="str">
        <f t="shared" ca="1" si="191"/>
        <v/>
      </c>
      <c r="ES61" s="110" t="str">
        <f t="shared" ca="1" si="104"/>
        <v/>
      </c>
      <c r="ET61" s="46" t="str">
        <f t="shared" ca="1" si="105"/>
        <v/>
      </c>
      <c r="EU61" s="47" t="str">
        <f t="shared" ca="1" si="192"/>
        <v/>
      </c>
      <c r="EV61" s="47" t="str">
        <f t="shared" ca="1" si="193"/>
        <v/>
      </c>
      <c r="EW61" s="109" t="str">
        <f t="shared" ca="1" si="106"/>
        <v/>
      </c>
      <c r="EX61" s="46" t="str">
        <f t="shared" ca="1" si="107"/>
        <v/>
      </c>
      <c r="EY61" s="47" t="str">
        <f t="shared" ca="1" si="194"/>
        <v/>
      </c>
      <c r="EZ61" s="47" t="str">
        <f t="shared" ca="1" si="195"/>
        <v/>
      </c>
      <c r="FA61" s="110" t="str">
        <f t="shared" ca="1" si="108"/>
        <v/>
      </c>
      <c r="FB61" s="46" t="str">
        <f t="shared" ca="1" si="109"/>
        <v/>
      </c>
      <c r="FC61" s="47" t="str">
        <f t="shared" ca="1" si="196"/>
        <v/>
      </c>
      <c r="FD61" s="47" t="str">
        <f t="shared" ca="1" si="197"/>
        <v/>
      </c>
      <c r="FE61" s="109" t="str">
        <f t="shared" ca="1" si="110"/>
        <v/>
      </c>
      <c r="FF61" s="46" t="str">
        <f t="shared" ca="1" si="111"/>
        <v/>
      </c>
      <c r="FG61" s="110" t="str">
        <f t="shared" ca="1" si="112"/>
        <v/>
      </c>
      <c r="FH61" s="46" t="str">
        <f t="shared" ca="1" si="113"/>
        <v/>
      </c>
      <c r="FI61" s="110" t="str">
        <f t="shared" ca="1" si="114"/>
        <v/>
      </c>
      <c r="FJ61" s="46" t="str">
        <f t="shared" ca="1" si="115"/>
        <v/>
      </c>
      <c r="FK61" s="110" t="str">
        <f t="shared" ca="1" si="116"/>
        <v/>
      </c>
      <c r="FL61" s="46" t="str">
        <f t="shared" ca="1" si="117"/>
        <v/>
      </c>
      <c r="FM61" s="110" t="str">
        <f t="shared" ca="1" si="118"/>
        <v/>
      </c>
      <c r="FN61" s="46" t="str">
        <f t="shared" ca="1" si="119"/>
        <v/>
      </c>
      <c r="FO61" s="110" t="str">
        <f t="shared" ca="1" si="120"/>
        <v/>
      </c>
      <c r="FP61" s="46" t="str">
        <f t="shared" ca="1" si="121"/>
        <v/>
      </c>
      <c r="FQ61" s="110" t="str">
        <f t="shared" ca="1" si="122"/>
        <v/>
      </c>
      <c r="FR61" s="46" t="str">
        <f t="shared" ca="1" si="123"/>
        <v/>
      </c>
      <c r="FS61" s="110" t="str">
        <f t="shared" ca="1" si="124"/>
        <v/>
      </c>
      <c r="FT61" s="111" t="str">
        <f t="shared" ca="1" si="125"/>
        <v/>
      </c>
      <c r="FU61" s="109" t="str">
        <f t="shared" ca="1" si="232"/>
        <v/>
      </c>
      <c r="FV61" s="46" t="str">
        <f t="shared" ca="1" si="213"/>
        <v/>
      </c>
      <c r="FW61" s="48" t="str">
        <f t="shared" ca="1" si="227"/>
        <v/>
      </c>
      <c r="FX61" s="114" t="str">
        <f t="shared" ca="1" si="228"/>
        <v/>
      </c>
      <c r="FY61" s="110" t="str">
        <f t="shared" ca="1" si="214"/>
        <v/>
      </c>
      <c r="FZ61" s="46" t="str">
        <f t="shared" ca="1" si="215"/>
        <v/>
      </c>
      <c r="GA61" s="47" t="str">
        <f t="shared" ca="1" si="216"/>
        <v/>
      </c>
      <c r="GB61" s="46" t="str">
        <f t="shared" ca="1" si="229"/>
        <v/>
      </c>
      <c r="GC61" s="110" t="str">
        <f ca="1">IFERROR(IF(AND(ISNUMBER($FU61), ISNUMBER(Crd!$X61)), $FU61 - Crd!$X61, ""), "")</f>
        <v/>
      </c>
      <c r="GD61" s="46" t="str">
        <f ca="1">IFERROR(IF(AND(ISNUMBER($FV61), ISNUMBER(Crd!$Y61)), $FV61 - Crd!$Y61, ""), "")</f>
        <v/>
      </c>
      <c r="GE61" s="47" t="str">
        <f t="shared" ca="1" si="217"/>
        <v/>
      </c>
      <c r="GF61" s="46" t="str">
        <f t="shared" ca="1" si="218"/>
        <v/>
      </c>
      <c r="GG61" s="141" t="str">
        <f t="shared" ca="1" si="198"/>
        <v/>
      </c>
      <c r="GH61" s="50" t="str">
        <f t="shared" ca="1" si="199"/>
        <v/>
      </c>
      <c r="GI61" s="47" t="str">
        <f t="shared" ca="1" si="144"/>
        <v/>
      </c>
      <c r="GJ61" s="46" t="str">
        <f t="shared" ca="1" si="145"/>
        <v/>
      </c>
      <c r="GK61" s="110" t="str">
        <f t="shared" ca="1" si="127"/>
        <v/>
      </c>
      <c r="GL61" s="46" t="str">
        <f t="shared" ca="1" si="128"/>
        <v/>
      </c>
      <c r="GM61" s="47" t="str">
        <f t="shared" ca="1" si="200"/>
        <v/>
      </c>
      <c r="GN61" s="46" t="str">
        <f t="shared" ca="1" si="201"/>
        <v/>
      </c>
      <c r="GO61" s="110" t="str">
        <f ca="1">IFERROR(IF(AND(ISNUMBER($GG61), ISNUMBER(Crd!$X61)), $GG61 - Crd!$X61, ""), "")</f>
        <v/>
      </c>
      <c r="GP61" s="46" t="str">
        <f ca="1">IFERROR(IF(AND(ISNUMBER($GH61), ISNUMBER(Crd!$Y61)), $GH61 - Crd!$Y61, ""), "")</f>
        <v/>
      </c>
      <c r="GQ61" s="47" t="str">
        <f t="shared" ca="1" si="202"/>
        <v/>
      </c>
      <c r="GR61" s="46" t="str">
        <f t="shared" ca="1" si="203"/>
        <v/>
      </c>
      <c r="GS61" s="436" t="str">
        <f t="shared" ca="1" si="219"/>
        <v/>
      </c>
      <c r="GT61" s="46" t="str">
        <f t="shared" ca="1" si="220"/>
        <v/>
      </c>
      <c r="GU61" s="48" t="str">
        <f t="shared" ca="1" si="230"/>
        <v/>
      </c>
      <c r="GV61" s="46" t="str">
        <f t="shared" ca="1" si="231"/>
        <v/>
      </c>
      <c r="GW61" s="427" t="str">
        <f t="shared" ca="1" si="204"/>
        <v/>
      </c>
      <c r="GX61" s="50" t="str">
        <f t="shared" ca="1" si="146"/>
        <v/>
      </c>
      <c r="GY61" s="47" t="str">
        <f t="shared" ca="1" si="205"/>
        <v/>
      </c>
      <c r="GZ61" s="432" t="str">
        <f t="shared" ca="1" si="206"/>
        <v/>
      </c>
      <c r="HA61" s="436"/>
      <c r="HB61" s="46"/>
      <c r="HC61" s="48"/>
      <c r="HD61" s="46"/>
      <c r="HE61" s="269"/>
      <c r="HF61" s="46"/>
      <c r="HG61" s="48"/>
      <c r="HH61" s="432"/>
    </row>
    <row r="62" spans="1:216" x14ac:dyDescent="0.25">
      <c r="A62" s="58">
        <f t="shared" ca="1" si="131"/>
        <v>47574</v>
      </c>
      <c r="B62" s="6" t="str">
        <f ca="1">INDEX(MthRef[], MATCH(MONTH(Futs!$A62), MthRef[Mth], 0), 2)</f>
        <v>J</v>
      </c>
      <c r="C62" s="6">
        <f t="shared" ca="1" si="65"/>
        <v>2030</v>
      </c>
      <c r="D62" s="6" t="str">
        <f t="shared" ca="1" si="66"/>
        <v>Q230</v>
      </c>
      <c r="E62" s="6" t="str">
        <f t="shared" ca="1" si="132"/>
        <v>J0</v>
      </c>
      <c r="F62" s="10" t="e">
        <f ca="1">IFERROR(AVERAGE(_xll.BDP(F$18 &amp; $B62 &amp; RIGHT($C62, 1) &amp; " " &amp; "Comdty", "BID", "Fill=#N/A"), _xll.BDP(F$18 &amp; $B62 &amp; RIGHT($C62, 1) &amp; " " &amp; "Comdty", "ASK", "Fill=#N/A")), NA())</f>
        <v>#N/A</v>
      </c>
      <c r="G62" s="10">
        <f ca="1">IFERROR(AVERAGE(_xll.BDP(G$18 &amp; $B62 &amp; RIGHT($C62, 1) &amp; " " &amp; "Comdty", "BID", "Fill=#N/A"), _xll.BDP(G$18 &amp; $B62 &amp; RIGHT($C62, 1) &amp; " " &amp; "Comdty", "ASK", "Fill=#N/A")), NA())</f>
        <v>0.20499999999999999</v>
      </c>
      <c r="H62" s="10" t="e">
        <f ca="1">IFERROR(AVERAGE(_xll.BDP(H$18 &amp; $B62 &amp; RIGHT($C62, 1) &amp; " " &amp; "Comdty", "BID", "Fill=#N/A"), _xll.BDP(H$18 &amp; $B62 &amp; RIGHT($C62, 1) &amp; " " &amp; "Comdty", "ASK", "Fill=#N/A")), NA())</f>
        <v>#N/A</v>
      </c>
      <c r="I62" s="10" t="e">
        <f ca="1">IFERROR(AVERAGE(_xll.BDP(I$18 &amp; $B62 &amp; RIGHT($C62, 1) &amp; " " &amp; "Comdty", "BID", "Fill=#N/A"), _xll.BDP(I$18 &amp; $B62 &amp; RIGHT($C62, 1) &amp; " " &amp; "Comdty", "ASK", "Fill=#N/A")), NA())</f>
        <v>#N/A</v>
      </c>
      <c r="J62" s="10" t="e">
        <f ca="1">IFERROR(AVERAGE(_xll.BDP(J$18 &amp; $B62 &amp; RIGHT($C62, 1) &amp; " " &amp; "Comdty", "BID", "Fill=#N/A"), _xll.BDP(J$18 &amp; $B62 &amp; RIGHT($C62, 1) &amp; " " &amp; "Comdty", "ASK", "Fill=#N/A")), NA())</f>
        <v>#N/A</v>
      </c>
      <c r="K62" s="10" t="e">
        <f ca="1">IFERROR(AVERAGE(_xll.BDP(K$18 &amp; $B62 &amp; RIGHT($C62, 2) &amp; " " &amp; "Comdty", "BID", "Fill=#N/A"), _xll.BDP(K$18 &amp; $B62 &amp; RIGHT($C62, 2) &amp; " " &amp; "Comdty", "ASK", "Fill=#N/A")), NA())</f>
        <v>#N/A</v>
      </c>
      <c r="L62" s="10" t="e">
        <f ca="1">IFERROR(AVERAGE(_xll.BDP(L$18 &amp; $B62 &amp; RIGHT($C62, 2) &amp; " " &amp; "Comdty", "BID", "Fill=#N/A"), _xll.BDP(L$18 &amp; $B62 &amp; RIGHT($C62, 2) &amp; " " &amp; "Comdty", "ASK", "Fill=#N/A")), NA())</f>
        <v>#N/A</v>
      </c>
      <c r="M62" s="10" t="e">
        <f ca="1">IFERROR(AVERAGE(_xll.BDP(M$18 &amp; $B62 &amp; RIGHT($C62, 2) &amp; " " &amp; "Comdty", "BID", "Fill=#N/A"), _xll.BDP(M$18 &amp; $B62 &amp; RIGHT($C62, 2) &amp; " " &amp; "Comdty", "ASK", "Fill=#N/A")), NA())</f>
        <v>#N/A</v>
      </c>
      <c r="N62" s="10" t="e">
        <f ca="1">IFERROR(AVERAGE(_xll.BDP(N$18 &amp; $B61 &amp; RIGHT($C61, 1) &amp; N$18 &amp; $B62 &amp; RIGHT($C62, 1) &amp; " " &amp; "Comdty", "BID", "Fill=#N/A"), _xll.BDP(N$18 &amp; $B61 &amp; RIGHT($C61, 1) &amp; N$18 &amp; $B62 &amp; RIGHT($C62, 1) &amp; " " &amp; "Comdty", "ASK", "Fill=#N/A")), NA())</f>
        <v>#N/A</v>
      </c>
      <c r="O62" s="10" t="e">
        <f ca="1">IFERROR(AVERAGE(_xll.BDP(O$18 &amp; $B61 &amp; RIGHT($C61, 1) &amp; O$18 &amp; $B62 &amp; RIGHT($C62, 1) &amp; " " &amp; "Comdty", "BID", "Fill=#N/A"), _xll.BDP(O$18 &amp; $B61 &amp; RIGHT($C61, 1) &amp; O$18 &amp; $B62 &amp; RIGHT($C62, 1) &amp; " " &amp; "Comdty", "ASK", "Fill=#N/A")), NA())</f>
        <v>#N/A</v>
      </c>
      <c r="P62" s="10" t="e">
        <f ca="1">IFERROR(AVERAGE(_xll.BDP(P$18 &amp; $B61 &amp; RIGHT($C61, 1) &amp; P$18 &amp; $B62 &amp; RIGHT($C62, 1) &amp; " " &amp; "Comdty", "BID", "Fill=#N/A"), _xll.BDP(P$18 &amp; $B61 &amp; RIGHT($C61, 1) &amp; P$18 &amp; $B62 &amp; RIGHT($C62, 1) &amp; " " &amp; "Comdty", "ASK", "Fill=#N/A")), NA())</f>
        <v>#N/A</v>
      </c>
      <c r="Q62" s="10" t="e">
        <f ca="1">IFERROR(AVERAGE(_xll.BDP(Q$18 &amp; $B61 &amp; RIGHT($C61, 1) &amp; Q$18 &amp; $B62 &amp; RIGHT($C62, 1) &amp; " " &amp; "Comdty", "BID", "Fill=#N/A"), _xll.BDP(Q$18 &amp; $B61 &amp; RIGHT($C61, 1) &amp; Q$18 &amp; $B62 &amp; RIGHT($C62, 1) &amp; " " &amp; "Comdty", "ASK", "Fill=#N/A")), NA())</f>
        <v>#N/A</v>
      </c>
      <c r="R62" s="10" t="e">
        <f ca="1">IFERROR(AVERAGE(_xll.BDP(R$18 &amp; $B61 &amp; RIGHT($C61, 1) &amp; R$18 &amp; $B62 &amp; RIGHT($C62, 1) &amp; " " &amp; "Comdty", "BID", "Fill=#N/A"), _xll.BDP(R$18 &amp; $B61 &amp; RIGHT($C61, 1) &amp; R$18 &amp; $B62 &amp; RIGHT($C62, 1) &amp; " " &amp; "Comdty", "ASK", "Fill=#N/A")), NA())</f>
        <v>#N/A</v>
      </c>
      <c r="S62" s="10" t="e">
        <f ca="1">IFERROR(AVERAGE(_xll.BDP(S$18 &amp; $B61 &amp; RIGHT($C61, 1) &amp; $B62 &amp; RIGHT($C62, 1) &amp; " " &amp; "Comdty", "BID", "Fill=#N/A"), _xll.BDP(S$18 &amp; $B61 &amp; RIGHT($C61, 1) &amp; $B62 &amp; RIGHT($C62, 1) &amp; " " &amp; "Comdty", "ASK", "Fill=#N/A")), NA())</f>
        <v>#N/A</v>
      </c>
      <c r="T62" s="10" t="e">
        <f ca="1">IFERROR(AVERAGE(_xll.BDP(T$18 &amp; $B61 &amp; RIGHT($C61, 1) &amp; $B62 &amp; RIGHT($C62, 1) &amp; " " &amp; "Comdty", "BID", "Fill=#N/A"), _xll.BDP(T$18 &amp; $B61 &amp; RIGHT($C61, 1) &amp; $B62 &amp; RIGHT($C62, 1) &amp; " " &amp; "Comdty", "ASK", "Fill=#N/A")), NA())</f>
        <v>#N/A</v>
      </c>
      <c r="U62" s="10">
        <f ca="1">IF($A62 &lt; Diagnostics!$B$3, N62, INDEX(ImpSprd[], MATCH(Futs!$C62, ImpSprd[Yr], 0), MATCH(U$18, ImpSprd[#Headers], 0)))</f>
        <v>0.17863636363636362</v>
      </c>
      <c r="V62" s="10">
        <f ca="1">IF($A62 &lt; Diagnostics!$B$3, O62, INDEX(ImpSprd[], MATCH(Futs!$C62, ImpSprd[Yr], 0), MATCH(V$18, ImpSprd[#Headers], 0)))</f>
        <v>0.11636363636363636</v>
      </c>
      <c r="W62" s="10">
        <f ca="1">IF($A62 &lt; Diagnostics!$B$3, P62, INDEX(ImpSprd[], MATCH(Futs!$C62, ImpSprd[Yr], 0), MATCH(W$18, ImpSprd[#Headers], 0)))</f>
        <v>1.0681818181818181</v>
      </c>
      <c r="X62" s="31" t="e">
        <f ca="1">INDEX(Expi[], MATCH($A62, Expi[Date], 0), MATCH(X$18, Expi[#Headers], 0))</f>
        <v>#N/A</v>
      </c>
      <c r="Y62" s="31" t="e">
        <f ca="1">INDEX(Expi[], MATCH($A62, Expi[Date], 0), MATCH(Y$18, Expi[#Headers], 0))</f>
        <v>#N/A</v>
      </c>
      <c r="Z62" s="31" t="e">
        <f ca="1">INDEX(Expi[], MATCH($A62, Expi[Date], 0), MATCH(Z$18, Expi[#Headers], 0))</f>
        <v>#N/A</v>
      </c>
      <c r="AA62" s="31" t="e">
        <f ca="1">INDEX(Expi[], MATCH($A62, Expi[Date], 0), MATCH(AA$18, Expi[#Headers], 0))</f>
        <v>#N/A</v>
      </c>
      <c r="AB62" s="31" t="e">
        <f ca="1">INDEX(Expi[], MATCH($A62, Expi[Date], 0), MATCH(AB$18, Expi[#Headers], 0))</f>
        <v>#N/A</v>
      </c>
      <c r="AC62" s="31" t="e">
        <f ca="1">INDEX(Expi[], MATCH($A62, Expi[Date], 0), MATCH(AC$18, Expi[#Headers], 0))</f>
        <v>#N/A</v>
      </c>
      <c r="AD62" s="7">
        <f ca="1">NETWORKDAYS($A62, EOMONTH($A62, 0), Hols[CME])</f>
        <v>22</v>
      </c>
      <c r="AE62" s="7">
        <f ca="1">NETWORKDAYS($A62, EOMONTH($A62, 0), Hols[ICE])</f>
        <v>22</v>
      </c>
      <c r="AF62" s="7">
        <f ca="1">NETWORKDAYS($A62, EOMONTH($A62, 0), Hols[ICE])</f>
        <v>22</v>
      </c>
      <c r="AG62" s="7">
        <f ca="1">NETWORKDAYS($A62, EOMONTH($A62, 0), Hols[CME])</f>
        <v>22</v>
      </c>
      <c r="AH62" s="7">
        <f ca="1">NETWORKDAYS($A62, EOMONTH($A62, 0), Hols[CME])</f>
        <v>22</v>
      </c>
      <c r="AI62" s="7">
        <f ca="1">NETWORKDAYS($A62, EOMONTH($A62, 0), Hols[ICE])</f>
        <v>22</v>
      </c>
      <c r="AJ62" s="7" t="e">
        <f ca="1">NETWORKDAYS($A62, X62, Hols[CME])</f>
        <v>#N/A</v>
      </c>
      <c r="AK62" s="7" t="e">
        <f ca="1">NETWORKDAYS($A62, Y62, Hols[ICE]) - 1</f>
        <v>#N/A</v>
      </c>
      <c r="AL62" s="7" t="e">
        <f ca="1">NETWORKDAYS($A62, Z62, Hols[ICE]) - 1</f>
        <v>#N/A</v>
      </c>
      <c r="AM62" s="7" t="e">
        <f ca="1">NETWORKDAYS($A62, AA62, Hols[CME])</f>
        <v>#N/A</v>
      </c>
      <c r="AN62" s="7" t="e">
        <f ca="1">NETWORKDAYS($A62, AB62, Hols[CME])</f>
        <v>#N/A</v>
      </c>
      <c r="AO62" s="7" t="e">
        <f ca="1">NETWORKDAYS($A62, AC62, Hols[ICE]) - 1</f>
        <v>#N/A</v>
      </c>
      <c r="AP62" s="10" t="e">
        <f t="shared" ca="1" si="67"/>
        <v>#N/A</v>
      </c>
      <c r="AQ62" s="10" t="e">
        <f t="shared" ca="1" si="68"/>
        <v>#N/A</v>
      </c>
      <c r="AR62" s="10" t="e">
        <f t="shared" ca="1" si="69"/>
        <v>#N/A</v>
      </c>
      <c r="AS62" s="10" t="e">
        <f t="shared" ca="1" si="70"/>
        <v>#N/A</v>
      </c>
      <c r="AT62" s="10" t="e">
        <f t="shared" ca="1" si="71"/>
        <v>#N/A</v>
      </c>
      <c r="AU62" s="10" t="e">
        <f t="shared" ca="1" si="71"/>
        <v>#N/A</v>
      </c>
      <c r="AV62" s="28">
        <f ca="1">IFERROR(AVERAGE(_xll.BDH(AV$18 &amp; $B62 &amp; RIGHT($C62, 1) &amp; " " &amp; "Comdty", "PX_SETTLE", AV$16, AV$16, "Fill=#N/A")), IFERROR(AVERAGE(_xll.BDH(AV$18 &amp; $B62 &amp; RIGHT($C62, 2) &amp; " " &amp; "Comdty", "PX_SETTLE", AV$16, AV$16, "Fill=#N/A")), NA()))</f>
        <v>65.540000000000006</v>
      </c>
      <c r="AW62" s="28">
        <f ca="1">IFERROR(AVERAGE(_xll.BDH(AW$18 &amp; $B62 &amp; RIGHT($C62, 1) &amp; " " &amp; "Comdty", "PX_SETTLE", AW$16, AW$16, "Fill=#N/A")), IFERROR(AVERAGE(_xll.BDH(AW$18 &amp; $B62 &amp; RIGHT($C62, 2) &amp; " " &amp; "Comdty", "PX_SETTLE", AW$16, AW$16, "Fill=#N/A")), NA()))</f>
        <v>71.13</v>
      </c>
      <c r="AX62" s="29">
        <f ca="1">IFERROR(AVERAGE(_xll.BDH(AX$18 &amp; $B62 &amp; RIGHT($C62, 2) &amp; " " &amp; "Comdty", "FAIR_VALUE_SNAPSHOT_AT_1430", AX$16, AX$16, "TIME_ZONE_OVERRIDE=13", "Fill=#N/A")), NA())</f>
        <v>777</v>
      </c>
      <c r="AY62" s="28" t="e">
        <f ca="1">IFERROR(AVERAGE(_xll.BDH(AY$18 &amp; $B62 &amp; RIGHT($C62, 1) &amp; " " &amp; "Comdty", "PX_SETTLE", AY$16, AY$16, "Fill=#N/A")), NA())</f>
        <v>#N/A</v>
      </c>
      <c r="AZ62" s="28" t="e">
        <f ca="1">IFERROR(AVERAGE(_xll.BDH(AZ$18 &amp; $B62 &amp; RIGHT($C62, 1) &amp; " " &amp; "Comdty", "PX_SETTLE", AZ$16, AZ$16, "Fill=#N/A")), NA())</f>
        <v>#N/A</v>
      </c>
      <c r="BA62" s="29" t="e">
        <f ca="1">IFERROR(AVERAGE(_xll.BDH(BA$18 &amp; $B62 &amp; RIGHT($C62, 2) &amp; " " &amp; "Comdty", "PX_SETTLE", BA$16, BA$16, "Fill=#N/A")), IFERROR(AVERAGE(_xll.BDH(BA$18 &amp; $B62 &amp; RIGHT($C62, 2) &amp; " " &amp; "Comdty", "PX_SETTLE", BA$16, BA$16, "Fill=#N/A")), NA()))</f>
        <v>#N/A</v>
      </c>
      <c r="BB62" s="29">
        <f ca="1">IFERROR(AVERAGE(_xll.BDH(BB$18 &amp; $B62 &amp; RIGHT($C62, 2) &amp; " " &amp; "Comdty", "PX_SETTLE", BB$16, BB$16, "Fill=#N/A")), IFERROR(AVERAGE(_xll.BDH(BB$18 &amp; $B62 &amp; RIGHT($C62, 2) &amp; " " &amp; "Comdty", "PX_SETTLE", BB$16, BB$16, "Fill=#N/A")), NA()))</f>
        <v>71.83</v>
      </c>
      <c r="BC62" s="29" t="e">
        <f ca="1">IFERROR(AVERAGE(_xll.BDH(BC$18 &amp; $B62 &amp; RIGHT($C62, 2) &amp; " " &amp; "Comdty", "PX_SETTLE", BC$16, BC$16, "Fill=#N/A")), IFERROR(AVERAGE(_xll.BDH(BC$18 &amp; $B62 &amp; RIGHT($C62, 2) &amp; " " &amp; "Comdty", "PX_SETTLE", BC$16, BC$16, "Fill=#N/A")), NA()))</f>
        <v>#N/A</v>
      </c>
      <c r="BD62" s="29" t="e">
        <f>NA()</f>
        <v>#N/A</v>
      </c>
      <c r="BE62" s="109">
        <f t="shared" ca="1" si="209"/>
        <v>65.240454545454639</v>
      </c>
      <c r="BF62" s="46">
        <f t="shared" ca="1" si="72"/>
        <v>-0.29954545454536685</v>
      </c>
      <c r="BG62" s="47">
        <f t="shared" ca="1" si="151"/>
        <v>0.17863636363635749</v>
      </c>
      <c r="BH62" s="114">
        <f t="shared" ca="1" si="223"/>
        <v>3.8636363636356919E-2</v>
      </c>
      <c r="BI62" s="110">
        <f t="shared" ca="1" si="224"/>
        <v>70.683181818181993</v>
      </c>
      <c r="BJ62" s="46">
        <f t="shared" ca="1" si="73"/>
        <v>-0.44681818181800281</v>
      </c>
      <c r="BK62" s="48">
        <f t="shared" ca="1" si="225"/>
        <v>0.11636363636363001</v>
      </c>
      <c r="BL62" s="114">
        <f t="shared" ca="1" si="226"/>
        <v>3.6363636363631713E-2</v>
      </c>
      <c r="BM62" s="48">
        <f t="shared" ca="1" si="152"/>
        <v>755.65909090909145</v>
      </c>
      <c r="BN62" s="46">
        <f t="shared" ca="1" si="74"/>
        <v>-21.340909090908553</v>
      </c>
      <c r="BO62" s="47">
        <f t="shared" ca="1" si="210"/>
        <v>1.0681818181818699</v>
      </c>
      <c r="BP62" s="46">
        <f t="shared" ca="1" si="133"/>
        <v>-0.18181818181813014</v>
      </c>
      <c r="BQ62" s="110" t="str">
        <f t="shared" ca="1" si="211"/>
        <v/>
      </c>
      <c r="BR62" s="46" t="str">
        <f t="shared" ca="1" si="75"/>
        <v/>
      </c>
      <c r="BS62" s="47" t="str">
        <f t="shared" ca="1" si="153"/>
        <v/>
      </c>
      <c r="BT62" s="114" t="str">
        <f t="shared" ca="1" si="154"/>
        <v/>
      </c>
      <c r="BU62" s="48" t="str">
        <f t="shared" ca="1" si="212"/>
        <v/>
      </c>
      <c r="BV62" s="46" t="str">
        <f t="shared" ca="1" si="76"/>
        <v/>
      </c>
      <c r="BW62" s="47" t="str">
        <f t="shared" ca="1" si="155"/>
        <v/>
      </c>
      <c r="BX62" s="46" t="str">
        <f t="shared" ca="1" si="156"/>
        <v/>
      </c>
      <c r="BY62" s="140" t="str">
        <f t="shared" ca="1" si="134"/>
        <v/>
      </c>
      <c r="BZ62" s="46" t="str">
        <f t="shared" ca="1" si="135"/>
        <v/>
      </c>
      <c r="CA62" s="47" t="str">
        <f t="shared" ca="1" si="157"/>
        <v/>
      </c>
      <c r="CB62" s="46" t="str">
        <f t="shared" ca="1" si="158"/>
        <v/>
      </c>
      <c r="CC62" s="141" t="str">
        <f t="shared" ca="1" si="136"/>
        <v/>
      </c>
      <c r="CD62" s="50" t="str">
        <f t="shared" ca="1" si="137"/>
        <v/>
      </c>
      <c r="CE62" s="47" t="str">
        <f t="shared" ca="1" si="159"/>
        <v/>
      </c>
      <c r="CF62" s="46" t="str">
        <f t="shared" ca="1" si="160"/>
        <v/>
      </c>
      <c r="CG62" s="141" t="str">
        <f t="shared" ca="1" si="138"/>
        <v/>
      </c>
      <c r="CH62" s="50" t="str">
        <f t="shared" ca="1" si="139"/>
        <v/>
      </c>
      <c r="CI62" s="47" t="str">
        <f t="shared" ca="1" si="161"/>
        <v/>
      </c>
      <c r="CJ62" s="46" t="str">
        <f t="shared" ca="1" si="162"/>
        <v/>
      </c>
      <c r="CK62" s="141" t="str">
        <f t="shared" ca="1" si="140"/>
        <v/>
      </c>
      <c r="CL62" s="50" t="str">
        <f t="shared" ca="1" si="77"/>
        <v/>
      </c>
      <c r="CM62" s="47" t="str">
        <f t="shared" ca="1" si="163"/>
        <v/>
      </c>
      <c r="CN62" s="46" t="str">
        <f t="shared" ca="1" si="164"/>
        <v/>
      </c>
      <c r="CO62" s="141" t="str">
        <f t="shared" ca="1" si="141"/>
        <v/>
      </c>
      <c r="CP62" s="50" t="str">
        <f t="shared" ca="1" si="78"/>
        <v/>
      </c>
      <c r="CQ62" s="47" t="str">
        <f t="shared" ca="1" si="165"/>
        <v/>
      </c>
      <c r="CR62" s="46" t="str">
        <f t="shared" ca="1" si="166"/>
        <v/>
      </c>
      <c r="CS62" s="109">
        <f t="shared" ca="1" si="79"/>
        <v>-5.4427272727273532</v>
      </c>
      <c r="CT62" s="46">
        <f t="shared" ca="1" si="80"/>
        <v>0.14727272727263596</v>
      </c>
      <c r="CU62" s="47">
        <f t="shared" ca="1" si="167"/>
        <v>6.2272727272727479E-2</v>
      </c>
      <c r="CV62" s="46">
        <f t="shared" ca="1" si="168"/>
        <v>0</v>
      </c>
      <c r="CW62" s="110" t="str">
        <f t="shared" ca="1" si="142"/>
        <v/>
      </c>
      <c r="CX62" s="46" t="str">
        <f t="shared" ca="1" si="81"/>
        <v/>
      </c>
      <c r="CY62" s="47" t="str">
        <f t="shared" ca="1" si="169"/>
        <v/>
      </c>
      <c r="CZ62" s="46" t="str">
        <f t="shared" ca="1" si="170"/>
        <v/>
      </c>
      <c r="DA62" s="109">
        <f t="shared" ca="1" si="82"/>
        <v>30.747568639414169</v>
      </c>
      <c r="DB62" s="46">
        <f t="shared" ca="1" si="83"/>
        <v>-2.4177333740086486</v>
      </c>
      <c r="DC62" s="47">
        <f t="shared" ca="1" si="171"/>
        <v>2.7016473459440249E-2</v>
      </c>
      <c r="DD62" s="46">
        <f t="shared" ca="1" si="233"/>
        <v>-6.0768761439890628E-2</v>
      </c>
      <c r="DE62" s="110" t="str">
        <f t="shared" ca="1" si="84"/>
        <v/>
      </c>
      <c r="DF62" s="46" t="str">
        <f t="shared" ca="1" si="85"/>
        <v/>
      </c>
      <c r="DG62" s="47" t="str">
        <f t="shared" ca="1" si="172"/>
        <v/>
      </c>
      <c r="DH62" s="46" t="str">
        <f t="shared" ca="1" si="173"/>
        <v/>
      </c>
      <c r="DI62" s="110" t="str">
        <f t="shared" ca="1" si="86"/>
        <v/>
      </c>
      <c r="DJ62" s="46" t="str">
        <f t="shared" ca="1" si="87"/>
        <v/>
      </c>
      <c r="DK62" s="47" t="str">
        <f t="shared" ca="1" si="174"/>
        <v/>
      </c>
      <c r="DL62" s="46" t="str">
        <f t="shared" ca="1" si="175"/>
        <v/>
      </c>
      <c r="DM62" s="110" t="str">
        <f t="shared" ca="1" si="88"/>
        <v/>
      </c>
      <c r="DN62" s="46" t="str">
        <f t="shared" ca="1" si="89"/>
        <v/>
      </c>
      <c r="DO62" s="47" t="str">
        <f t="shared" ca="1" si="176"/>
        <v/>
      </c>
      <c r="DP62" s="47" t="str">
        <f t="shared" ca="1" si="177"/>
        <v/>
      </c>
      <c r="DQ62" s="110" t="str">
        <f t="shared" ca="1" si="90"/>
        <v/>
      </c>
      <c r="DR62" s="46" t="str">
        <f t="shared" ca="1" si="91"/>
        <v/>
      </c>
      <c r="DS62" s="47" t="str">
        <f t="shared" ca="1" si="178"/>
        <v/>
      </c>
      <c r="DT62" s="47" t="str">
        <f t="shared" ca="1" si="179"/>
        <v/>
      </c>
      <c r="DU62" s="109" t="str">
        <f t="shared" ca="1" si="92"/>
        <v/>
      </c>
      <c r="DV62" s="46" t="str">
        <f t="shared" ca="1" si="93"/>
        <v/>
      </c>
      <c r="DW62" s="47" t="str">
        <f t="shared" ca="1" si="180"/>
        <v/>
      </c>
      <c r="DX62" s="47" t="str">
        <f t="shared" ca="1" si="181"/>
        <v/>
      </c>
      <c r="DY62" s="110" t="str">
        <f t="shared" ca="1" si="94"/>
        <v/>
      </c>
      <c r="DZ62" s="46" t="str">
        <f t="shared" ca="1" si="95"/>
        <v/>
      </c>
      <c r="EA62" s="47" t="str">
        <f t="shared" ca="1" si="182"/>
        <v/>
      </c>
      <c r="EB62" s="47" t="str">
        <f t="shared" ca="1" si="183"/>
        <v/>
      </c>
      <c r="EC62" s="110" t="str">
        <f t="shared" ca="1" si="96"/>
        <v/>
      </c>
      <c r="ED62" s="46" t="str">
        <f t="shared" ca="1" si="97"/>
        <v/>
      </c>
      <c r="EE62" s="47" t="str">
        <f t="shared" ca="1" si="184"/>
        <v/>
      </c>
      <c r="EF62" s="47" t="str">
        <f t="shared" ca="1" si="185"/>
        <v/>
      </c>
      <c r="EG62" s="110" t="str">
        <f t="shared" ca="1" si="98"/>
        <v/>
      </c>
      <c r="EH62" s="46" t="str">
        <f t="shared" ca="1" si="99"/>
        <v/>
      </c>
      <c r="EI62" s="47" t="str">
        <f t="shared" ca="1" si="186"/>
        <v/>
      </c>
      <c r="EJ62" s="47" t="str">
        <f t="shared" ca="1" si="187"/>
        <v/>
      </c>
      <c r="EK62" s="110" t="str">
        <f t="shared" ca="1" si="100"/>
        <v/>
      </c>
      <c r="EL62" s="46" t="str">
        <f t="shared" ca="1" si="101"/>
        <v/>
      </c>
      <c r="EM62" s="47" t="str">
        <f t="shared" ca="1" si="188"/>
        <v/>
      </c>
      <c r="EN62" s="47" t="str">
        <f t="shared" ca="1" si="189"/>
        <v/>
      </c>
      <c r="EO62" s="109" t="str">
        <f t="shared" ca="1" si="102"/>
        <v/>
      </c>
      <c r="EP62" s="46" t="str">
        <f t="shared" ca="1" si="103"/>
        <v/>
      </c>
      <c r="EQ62" s="47" t="str">
        <f t="shared" ca="1" si="190"/>
        <v/>
      </c>
      <c r="ER62" s="47" t="str">
        <f t="shared" ca="1" si="191"/>
        <v/>
      </c>
      <c r="ES62" s="110" t="str">
        <f t="shared" ca="1" si="104"/>
        <v/>
      </c>
      <c r="ET62" s="46" t="str">
        <f t="shared" ca="1" si="105"/>
        <v/>
      </c>
      <c r="EU62" s="47" t="str">
        <f t="shared" ca="1" si="192"/>
        <v/>
      </c>
      <c r="EV62" s="47" t="str">
        <f t="shared" ca="1" si="193"/>
        <v/>
      </c>
      <c r="EW62" s="109" t="str">
        <f t="shared" ca="1" si="106"/>
        <v/>
      </c>
      <c r="EX62" s="46" t="str">
        <f t="shared" ca="1" si="107"/>
        <v/>
      </c>
      <c r="EY62" s="47" t="str">
        <f t="shared" ca="1" si="194"/>
        <v/>
      </c>
      <c r="EZ62" s="47" t="str">
        <f t="shared" ca="1" si="195"/>
        <v/>
      </c>
      <c r="FA62" s="110" t="str">
        <f t="shared" ca="1" si="108"/>
        <v/>
      </c>
      <c r="FB62" s="46" t="str">
        <f t="shared" ca="1" si="109"/>
        <v/>
      </c>
      <c r="FC62" s="47" t="str">
        <f t="shared" ca="1" si="196"/>
        <v/>
      </c>
      <c r="FD62" s="47" t="str">
        <f t="shared" ca="1" si="197"/>
        <v/>
      </c>
      <c r="FE62" s="109" t="str">
        <f t="shared" ca="1" si="110"/>
        <v/>
      </c>
      <c r="FF62" s="46" t="str">
        <f t="shared" ca="1" si="111"/>
        <v/>
      </c>
      <c r="FG62" s="110" t="str">
        <f t="shared" ca="1" si="112"/>
        <v/>
      </c>
      <c r="FH62" s="46" t="str">
        <f t="shared" ca="1" si="113"/>
        <v/>
      </c>
      <c r="FI62" s="110" t="str">
        <f t="shared" ca="1" si="114"/>
        <v/>
      </c>
      <c r="FJ62" s="46" t="str">
        <f t="shared" ca="1" si="115"/>
        <v/>
      </c>
      <c r="FK62" s="110" t="str">
        <f t="shared" ca="1" si="116"/>
        <v/>
      </c>
      <c r="FL62" s="46" t="str">
        <f t="shared" ca="1" si="117"/>
        <v/>
      </c>
      <c r="FM62" s="110" t="str">
        <f t="shared" ca="1" si="118"/>
        <v/>
      </c>
      <c r="FN62" s="46" t="str">
        <f t="shared" ca="1" si="119"/>
        <v/>
      </c>
      <c r="FO62" s="110" t="str">
        <f t="shared" ca="1" si="120"/>
        <v/>
      </c>
      <c r="FP62" s="46" t="str">
        <f t="shared" ca="1" si="121"/>
        <v/>
      </c>
      <c r="FQ62" s="110" t="str">
        <f t="shared" ca="1" si="122"/>
        <v/>
      </c>
      <c r="FR62" s="46" t="str">
        <f t="shared" ca="1" si="123"/>
        <v/>
      </c>
      <c r="FS62" s="110" t="str">
        <f t="shared" ca="1" si="124"/>
        <v/>
      </c>
      <c r="FT62" s="111" t="str">
        <f t="shared" ca="1" si="125"/>
        <v/>
      </c>
      <c r="FU62" s="109" t="str">
        <f t="shared" ca="1" si="232"/>
        <v/>
      </c>
      <c r="FV62" s="46" t="str">
        <f t="shared" ca="1" si="213"/>
        <v/>
      </c>
      <c r="FW62" s="48" t="str">
        <f t="shared" ca="1" si="227"/>
        <v/>
      </c>
      <c r="FX62" s="114" t="str">
        <f t="shared" ca="1" si="228"/>
        <v/>
      </c>
      <c r="FY62" s="110" t="str">
        <f t="shared" ca="1" si="214"/>
        <v/>
      </c>
      <c r="FZ62" s="46" t="str">
        <f t="shared" ca="1" si="215"/>
        <v/>
      </c>
      <c r="GA62" s="47" t="str">
        <f t="shared" ca="1" si="216"/>
        <v/>
      </c>
      <c r="GB62" s="46" t="str">
        <f t="shared" ca="1" si="229"/>
        <v/>
      </c>
      <c r="GC62" s="110" t="str">
        <f ca="1">IFERROR(IF(AND(ISNUMBER($FU62), ISNUMBER(Crd!$X62)), $FU62 - Crd!$X62, ""), "")</f>
        <v/>
      </c>
      <c r="GD62" s="46" t="str">
        <f ca="1">IFERROR(IF(AND(ISNUMBER($FV62), ISNUMBER(Crd!$Y62)), $FV62 - Crd!$Y62, ""), "")</f>
        <v/>
      </c>
      <c r="GE62" s="47" t="str">
        <f t="shared" ca="1" si="217"/>
        <v/>
      </c>
      <c r="GF62" s="46" t="str">
        <f t="shared" ca="1" si="218"/>
        <v/>
      </c>
      <c r="GG62" s="141" t="str">
        <f t="shared" ca="1" si="198"/>
        <v/>
      </c>
      <c r="GH62" s="50" t="str">
        <f t="shared" ca="1" si="199"/>
        <v/>
      </c>
      <c r="GI62" s="47" t="str">
        <f t="shared" ca="1" si="144"/>
        <v/>
      </c>
      <c r="GJ62" s="46" t="str">
        <f t="shared" ca="1" si="145"/>
        <v/>
      </c>
      <c r="GK62" s="110" t="str">
        <f t="shared" ca="1" si="127"/>
        <v/>
      </c>
      <c r="GL62" s="46" t="str">
        <f t="shared" ca="1" si="128"/>
        <v/>
      </c>
      <c r="GM62" s="47" t="str">
        <f t="shared" ca="1" si="200"/>
        <v/>
      </c>
      <c r="GN62" s="46" t="str">
        <f t="shared" ca="1" si="201"/>
        <v/>
      </c>
      <c r="GO62" s="110" t="str">
        <f ca="1">IFERROR(IF(AND(ISNUMBER($GG62), ISNUMBER(Crd!$X62)), $GG62 - Crd!$X62, ""), "")</f>
        <v/>
      </c>
      <c r="GP62" s="46" t="str">
        <f ca="1">IFERROR(IF(AND(ISNUMBER($GH62), ISNUMBER(Crd!$Y62)), $GH62 - Crd!$Y62, ""), "")</f>
        <v/>
      </c>
      <c r="GQ62" s="47" t="str">
        <f t="shared" ca="1" si="202"/>
        <v/>
      </c>
      <c r="GR62" s="46" t="str">
        <f t="shared" ca="1" si="203"/>
        <v/>
      </c>
      <c r="GS62" s="436" t="str">
        <f t="shared" ca="1" si="219"/>
        <v/>
      </c>
      <c r="GT62" s="46" t="str">
        <f t="shared" ca="1" si="220"/>
        <v/>
      </c>
      <c r="GU62" s="48" t="str">
        <f t="shared" ca="1" si="230"/>
        <v/>
      </c>
      <c r="GV62" s="46" t="str">
        <f t="shared" ca="1" si="231"/>
        <v/>
      </c>
      <c r="GW62" s="427" t="str">
        <f t="shared" ca="1" si="204"/>
        <v/>
      </c>
      <c r="GX62" s="50" t="str">
        <f t="shared" ca="1" si="146"/>
        <v/>
      </c>
      <c r="GY62" s="47" t="str">
        <f t="shared" ca="1" si="205"/>
        <v/>
      </c>
      <c r="GZ62" s="432" t="str">
        <f t="shared" ca="1" si="206"/>
        <v/>
      </c>
      <c r="HA62" s="436"/>
      <c r="HB62" s="46"/>
      <c r="HC62" s="48"/>
      <c r="HD62" s="46"/>
      <c r="HE62" s="269"/>
      <c r="HF62" s="46"/>
      <c r="HG62" s="48"/>
      <c r="HH62" s="432"/>
    </row>
    <row r="63" spans="1:216" x14ac:dyDescent="0.25">
      <c r="A63" s="58">
        <f t="shared" ca="1" si="131"/>
        <v>47604</v>
      </c>
      <c r="B63" s="6" t="str">
        <f ca="1">INDEX(MthRef[], MATCH(MONTH(Futs!$A63), MthRef[Mth], 0), 2)</f>
        <v>K</v>
      </c>
      <c r="C63" s="6">
        <f t="shared" ca="1" si="65"/>
        <v>2030</v>
      </c>
      <c r="D63" s="6" t="str">
        <f t="shared" ca="1" si="66"/>
        <v>Q230</v>
      </c>
      <c r="E63" s="6" t="str">
        <f t="shared" ca="1" si="132"/>
        <v>K0</v>
      </c>
      <c r="F63" s="10" t="e">
        <f ca="1">IFERROR(AVERAGE(_xll.BDP(F$18 &amp; $B63 &amp; RIGHT($C63, 1) &amp; " " &amp; "Comdty", "BID", "Fill=#N/A"), _xll.BDP(F$18 &amp; $B63 &amp; RIGHT($C63, 1) &amp; " " &amp; "Comdty", "ASK", "Fill=#N/A")), NA())</f>
        <v>#N/A</v>
      </c>
      <c r="G63" s="10" t="e">
        <f ca="1">IFERROR(AVERAGE(_xll.BDP(G$18 &amp; $B63 &amp; RIGHT($C63, 1) &amp; " " &amp; "Comdty", "BID", "Fill=#N/A"), _xll.BDP(G$18 &amp; $B63 &amp; RIGHT($C63, 1) &amp; " " &amp; "Comdty", "ASK", "Fill=#N/A")), NA())</f>
        <v>#N/A</v>
      </c>
      <c r="H63" s="10" t="e">
        <f ca="1">IFERROR(AVERAGE(_xll.BDP(H$18 &amp; $B63 &amp; RIGHT($C63, 1) &amp; " " &amp; "Comdty", "BID", "Fill=#N/A"), _xll.BDP(H$18 &amp; $B63 &amp; RIGHT($C63, 1) &amp; " " &amp; "Comdty", "ASK", "Fill=#N/A")), NA())</f>
        <v>#N/A</v>
      </c>
      <c r="I63" s="10" t="e">
        <f ca="1">IFERROR(AVERAGE(_xll.BDP(I$18 &amp; $B63 &amp; RIGHT($C63, 1) &amp; " " &amp; "Comdty", "BID", "Fill=#N/A"), _xll.BDP(I$18 &amp; $B63 &amp; RIGHT($C63, 1) &amp; " " &amp; "Comdty", "ASK", "Fill=#N/A")), NA())</f>
        <v>#N/A</v>
      </c>
      <c r="J63" s="10" t="e">
        <f ca="1">IFERROR(AVERAGE(_xll.BDP(J$18 &amp; $B63 &amp; RIGHT($C63, 1) &amp; " " &amp; "Comdty", "BID", "Fill=#N/A"), _xll.BDP(J$18 &amp; $B63 &amp; RIGHT($C63, 1) &amp; " " &amp; "Comdty", "ASK", "Fill=#N/A")), NA())</f>
        <v>#N/A</v>
      </c>
      <c r="K63" s="10" t="e">
        <f ca="1">IFERROR(AVERAGE(_xll.BDP(K$18 &amp; $B63 &amp; RIGHT($C63, 2) &amp; " " &amp; "Comdty", "BID", "Fill=#N/A"), _xll.BDP(K$18 &amp; $B63 &amp; RIGHT($C63, 2) &amp; " " &amp; "Comdty", "ASK", "Fill=#N/A")), NA())</f>
        <v>#N/A</v>
      </c>
      <c r="L63" s="10" t="e">
        <f ca="1">IFERROR(AVERAGE(_xll.BDP(L$18 &amp; $B63 &amp; RIGHT($C63, 2) &amp; " " &amp; "Comdty", "BID", "Fill=#N/A"), _xll.BDP(L$18 &amp; $B63 &amp; RIGHT($C63, 2) &amp; " " &amp; "Comdty", "ASK", "Fill=#N/A")), NA())</f>
        <v>#N/A</v>
      </c>
      <c r="M63" s="10" t="e">
        <f ca="1">IFERROR(AVERAGE(_xll.BDP(M$18 &amp; $B63 &amp; RIGHT($C63, 2) &amp; " " &amp; "Comdty", "BID", "Fill=#N/A"), _xll.BDP(M$18 &amp; $B63 &amp; RIGHT($C63, 2) &amp; " " &amp; "Comdty", "ASK", "Fill=#N/A")), NA())</f>
        <v>#N/A</v>
      </c>
      <c r="N63" s="10" t="e">
        <f ca="1">IFERROR(AVERAGE(_xll.BDP(N$18 &amp; $B62 &amp; RIGHT($C62, 1) &amp; N$18 &amp; $B63 &amp; RIGHT($C63, 1) &amp; " " &amp; "Comdty", "BID", "Fill=#N/A"), _xll.BDP(N$18 &amp; $B62 &amp; RIGHT($C62, 1) &amp; N$18 &amp; $B63 &amp; RIGHT($C63, 1) &amp; " " &amp; "Comdty", "ASK", "Fill=#N/A")), NA())</f>
        <v>#N/A</v>
      </c>
      <c r="O63" s="10" t="e">
        <f ca="1">IFERROR(AVERAGE(_xll.BDP(O$18 &amp; $B62 &amp; RIGHT($C62, 1) &amp; O$18 &amp; $B63 &amp; RIGHT($C63, 1) &amp; " " &amp; "Comdty", "BID", "Fill=#N/A"), _xll.BDP(O$18 &amp; $B62 &amp; RIGHT($C62, 1) &amp; O$18 &amp; $B63 &amp; RIGHT($C63, 1) &amp; " " &amp; "Comdty", "ASK", "Fill=#N/A")), NA())</f>
        <v>#N/A</v>
      </c>
      <c r="P63" s="10" t="e">
        <f ca="1">IFERROR(AVERAGE(_xll.BDP(P$18 &amp; $B62 &amp; RIGHT($C62, 1) &amp; P$18 &amp; $B63 &amp; RIGHT($C63, 1) &amp; " " &amp; "Comdty", "BID", "Fill=#N/A"), _xll.BDP(P$18 &amp; $B62 &amp; RIGHT($C62, 1) &amp; P$18 &amp; $B63 &amp; RIGHT($C63, 1) &amp; " " &amp; "Comdty", "ASK", "Fill=#N/A")), NA())</f>
        <v>#N/A</v>
      </c>
      <c r="Q63" s="10" t="e">
        <f ca="1">IFERROR(AVERAGE(_xll.BDP(Q$18 &amp; $B62 &amp; RIGHT($C62, 1) &amp; Q$18 &amp; $B63 &amp; RIGHT($C63, 1) &amp; " " &amp; "Comdty", "BID", "Fill=#N/A"), _xll.BDP(Q$18 &amp; $B62 &amp; RIGHT($C62, 1) &amp; Q$18 &amp; $B63 &amp; RIGHT($C63, 1) &amp; " " &amp; "Comdty", "ASK", "Fill=#N/A")), NA())</f>
        <v>#N/A</v>
      </c>
      <c r="R63" s="10" t="e">
        <f ca="1">IFERROR(AVERAGE(_xll.BDP(R$18 &amp; $B62 &amp; RIGHT($C62, 1) &amp; R$18 &amp; $B63 &amp; RIGHT($C63, 1) &amp; " " &amp; "Comdty", "BID", "Fill=#N/A"), _xll.BDP(R$18 &amp; $B62 &amp; RIGHT($C62, 1) &amp; R$18 &amp; $B63 &amp; RIGHT($C63, 1) &amp; " " &amp; "Comdty", "ASK", "Fill=#N/A")), NA())</f>
        <v>#N/A</v>
      </c>
      <c r="S63" s="10" t="e">
        <f ca="1">IFERROR(AVERAGE(_xll.BDP(S$18 &amp; $B62 &amp; RIGHT($C62, 1) &amp; $B63 &amp; RIGHT($C63, 1) &amp; " " &amp; "Comdty", "BID", "Fill=#N/A"), _xll.BDP(S$18 &amp; $B62 &amp; RIGHT($C62, 1) &amp; $B63 &amp; RIGHT($C63, 1) &amp; " " &amp; "Comdty", "ASK", "Fill=#N/A")), NA())</f>
        <v>#N/A</v>
      </c>
      <c r="T63" s="10" t="e">
        <f ca="1">IFERROR(AVERAGE(_xll.BDP(T$18 &amp; $B62 &amp; RIGHT($C62, 1) &amp; $B63 &amp; RIGHT($C63, 1) &amp; " " &amp; "Comdty", "BID", "Fill=#N/A"), _xll.BDP(T$18 &amp; $B62 &amp; RIGHT($C62, 1) &amp; $B63 &amp; RIGHT($C63, 1) &amp; " " &amp; "Comdty", "ASK", "Fill=#N/A")), NA())</f>
        <v>#N/A</v>
      </c>
      <c r="U63" s="10">
        <f ca="1">IF($A63 &lt; Diagnostics!$B$3, N63, INDEX(ImpSprd[], MATCH(Futs!$C63, ImpSprd[Yr], 0), MATCH(U$18, ImpSprd[#Headers], 0)))</f>
        <v>0.17863636363636362</v>
      </c>
      <c r="V63" s="10">
        <f ca="1">IF($A63 &lt; Diagnostics!$B$3, O63, INDEX(ImpSprd[], MATCH(Futs!$C63, ImpSprd[Yr], 0), MATCH(V$18, ImpSprd[#Headers], 0)))</f>
        <v>0.11636363636363636</v>
      </c>
      <c r="W63" s="10">
        <f ca="1">IF($A63 &lt; Diagnostics!$B$3, P63, INDEX(ImpSprd[], MATCH(Futs!$C63, ImpSprd[Yr], 0), MATCH(W$18, ImpSprd[#Headers], 0)))</f>
        <v>1.0681818181818181</v>
      </c>
      <c r="X63" s="31" t="e">
        <f ca="1">INDEX(Expi[], MATCH($A63, Expi[Date], 0), MATCH(X$18, Expi[#Headers], 0))</f>
        <v>#N/A</v>
      </c>
      <c r="Y63" s="31" t="e">
        <f ca="1">INDEX(Expi[], MATCH($A63, Expi[Date], 0), MATCH(Y$18, Expi[#Headers], 0))</f>
        <v>#N/A</v>
      </c>
      <c r="Z63" s="31" t="e">
        <f ca="1">INDEX(Expi[], MATCH($A63, Expi[Date], 0), MATCH(Z$18, Expi[#Headers], 0))</f>
        <v>#N/A</v>
      </c>
      <c r="AA63" s="31" t="e">
        <f ca="1">INDEX(Expi[], MATCH($A63, Expi[Date], 0), MATCH(AA$18, Expi[#Headers], 0))</f>
        <v>#N/A</v>
      </c>
      <c r="AB63" s="31" t="e">
        <f ca="1">INDEX(Expi[], MATCH($A63, Expi[Date], 0), MATCH(AB$18, Expi[#Headers], 0))</f>
        <v>#N/A</v>
      </c>
      <c r="AC63" s="31" t="e">
        <f ca="1">INDEX(Expi[], MATCH($A63, Expi[Date], 0), MATCH(AC$18, Expi[#Headers], 0))</f>
        <v>#N/A</v>
      </c>
      <c r="AD63" s="7">
        <f ca="1">NETWORKDAYS($A63, EOMONTH($A63, 0), Hols[CME])</f>
        <v>23</v>
      </c>
      <c r="AE63" s="7">
        <f ca="1">NETWORKDAYS($A63, EOMONTH($A63, 0), Hols[ICE])</f>
        <v>23</v>
      </c>
      <c r="AF63" s="7">
        <f ca="1">NETWORKDAYS($A63, EOMONTH($A63, 0), Hols[ICE])</f>
        <v>23</v>
      </c>
      <c r="AG63" s="7">
        <f ca="1">NETWORKDAYS($A63, EOMONTH($A63, 0), Hols[CME])</f>
        <v>23</v>
      </c>
      <c r="AH63" s="7">
        <f ca="1">NETWORKDAYS($A63, EOMONTH($A63, 0), Hols[CME])</f>
        <v>23</v>
      </c>
      <c r="AI63" s="7">
        <f ca="1">NETWORKDAYS($A63, EOMONTH($A63, 0), Hols[ICE])</f>
        <v>23</v>
      </c>
      <c r="AJ63" s="7" t="e">
        <f ca="1">NETWORKDAYS($A63, X63, Hols[CME])</f>
        <v>#N/A</v>
      </c>
      <c r="AK63" s="7" t="e">
        <f ca="1">NETWORKDAYS($A63, Y63, Hols[ICE]) - 1</f>
        <v>#N/A</v>
      </c>
      <c r="AL63" s="7" t="e">
        <f ca="1">NETWORKDAYS($A63, Z63, Hols[ICE]) - 1</f>
        <v>#N/A</v>
      </c>
      <c r="AM63" s="7" t="e">
        <f ca="1">NETWORKDAYS($A63, AA63, Hols[CME])</f>
        <v>#N/A</v>
      </c>
      <c r="AN63" s="7" t="e">
        <f ca="1">NETWORKDAYS($A63, AB63, Hols[CME])</f>
        <v>#N/A</v>
      </c>
      <c r="AO63" s="7" t="e">
        <f ca="1">NETWORKDAYS($A63, AC63, Hols[ICE]) - 1</f>
        <v>#N/A</v>
      </c>
      <c r="AP63" s="10" t="e">
        <f t="shared" ca="1" si="67"/>
        <v>#N/A</v>
      </c>
      <c r="AQ63" s="10" t="e">
        <f t="shared" ca="1" si="68"/>
        <v>#N/A</v>
      </c>
      <c r="AR63" s="10" t="e">
        <f t="shared" ca="1" si="69"/>
        <v>#N/A</v>
      </c>
      <c r="AS63" s="10" t="e">
        <f t="shared" ca="1" si="70"/>
        <v>#N/A</v>
      </c>
      <c r="AT63" s="10" t="e">
        <f t="shared" ca="1" si="71"/>
        <v>#N/A</v>
      </c>
      <c r="AU63" s="10" t="e">
        <f t="shared" ca="1" si="71"/>
        <v>#N/A</v>
      </c>
      <c r="AV63" s="28">
        <f ca="1">IFERROR(AVERAGE(_xll.BDH(AV$18 &amp; $B63 &amp; RIGHT($C63, 1) &amp; " " &amp; "Comdty", "PX_SETTLE", AV$16, AV$16, "Fill=#N/A")), IFERROR(AVERAGE(_xll.BDH(AV$18 &amp; $B63 &amp; RIGHT($C63, 2) &amp; " " &amp; "Comdty", "PX_SETTLE", AV$16, AV$16, "Fill=#N/A")), NA()))</f>
        <v>65.400000000000006</v>
      </c>
      <c r="AW63" s="28">
        <f ca="1">IFERROR(AVERAGE(_xll.BDH(AW$18 &amp; $B63 &amp; RIGHT($C63, 1) &amp; " " &amp; "Comdty", "PX_SETTLE", AW$16, AW$16, "Fill=#N/A")), IFERROR(AVERAGE(_xll.BDH(AW$18 &amp; $B63 &amp; RIGHT($C63, 2) &amp; " " &amp; "Comdty", "PX_SETTLE", AW$16, AW$16, "Fill=#N/A")), NA()))</f>
        <v>71.040000000000006</v>
      </c>
      <c r="AX63" s="29">
        <f ca="1">IFERROR(AVERAGE(_xll.BDH(AX$18 &amp; $B63 &amp; RIGHT($C63, 2) &amp; " " &amp; "Comdty", "FAIR_VALUE_SNAPSHOT_AT_1430", AX$16, AX$16, "TIME_ZONE_OVERRIDE=13", "Fill=#N/A")), NA())</f>
        <v>775.5</v>
      </c>
      <c r="AY63" s="28" t="e">
        <f ca="1">IFERROR(AVERAGE(_xll.BDH(AY$18 &amp; $B63 &amp; RIGHT($C63, 1) &amp; " " &amp; "Comdty", "PX_SETTLE", AY$16, AY$16, "Fill=#N/A")), NA())</f>
        <v>#N/A</v>
      </c>
      <c r="AZ63" s="28" t="e">
        <f ca="1">IFERROR(AVERAGE(_xll.BDH(AZ$18 &amp; $B63 &amp; RIGHT($C63, 1) &amp; " " &amp; "Comdty", "PX_SETTLE", AZ$16, AZ$16, "Fill=#N/A")), NA())</f>
        <v>#N/A</v>
      </c>
      <c r="BA63" s="29" t="e">
        <f ca="1">IFERROR(AVERAGE(_xll.BDH(BA$18 &amp; $B63 &amp; RIGHT($C63, 2) &amp; " " &amp; "Comdty", "PX_SETTLE", BA$16, BA$16, "Fill=#N/A")), IFERROR(AVERAGE(_xll.BDH(BA$18 &amp; $B63 &amp; RIGHT($C63, 2) &amp; " " &amp; "Comdty", "PX_SETTLE", BA$16, BA$16, "Fill=#N/A")), NA()))</f>
        <v>#N/A</v>
      </c>
      <c r="BB63" s="29">
        <f ca="1">IFERROR(AVERAGE(_xll.BDH(BB$18 &amp; $B63 &amp; RIGHT($C63, 2) &amp; " " &amp; "Comdty", "PX_SETTLE", BB$16, BB$16, "Fill=#N/A")), IFERROR(AVERAGE(_xll.BDH(BB$18 &amp; $B63 &amp; RIGHT($C63, 2) &amp; " " &amp; "Comdty", "PX_SETTLE", BB$16, BB$16, "Fill=#N/A")), NA()))</f>
        <v>71.739999999999995</v>
      </c>
      <c r="BC63" s="29" t="e">
        <f ca="1">IFERROR(AVERAGE(_xll.BDH(BC$18 &amp; $B63 &amp; RIGHT($C63, 2) &amp; " " &amp; "Comdty", "PX_SETTLE", BC$16, BC$16, "Fill=#N/A")), IFERROR(AVERAGE(_xll.BDH(BC$18 &amp; $B63 &amp; RIGHT($C63, 2) &amp; " " &amp; "Comdty", "PX_SETTLE", BC$16, BC$16, "Fill=#N/A")), NA()))</f>
        <v>#N/A</v>
      </c>
      <c r="BD63" s="29" t="e">
        <f>NA()</f>
        <v>#N/A</v>
      </c>
      <c r="BE63" s="109">
        <f t="shared" ca="1" si="209"/>
        <v>65.061818181818282</v>
      </c>
      <c r="BF63" s="46">
        <f t="shared" ca="1" si="72"/>
        <v>-0.33818181818172377</v>
      </c>
      <c r="BG63" s="47">
        <f t="shared" ca="1" si="151"/>
        <v>0.17863636363635749</v>
      </c>
      <c r="BH63" s="114">
        <f t="shared" ca="1" si="223"/>
        <v>3.8636363636356919E-2</v>
      </c>
      <c r="BI63" s="110">
        <f t="shared" ca="1" si="224"/>
        <v>70.566818181818363</v>
      </c>
      <c r="BJ63" s="46">
        <f t="shared" ca="1" si="73"/>
        <v>-0.47318181818164362</v>
      </c>
      <c r="BK63" s="48">
        <f t="shared" ca="1" si="225"/>
        <v>0.11636363636363001</v>
      </c>
      <c r="BL63" s="114">
        <f t="shared" ca="1" si="226"/>
        <v>2.6363636363640808E-2</v>
      </c>
      <c r="BM63" s="48">
        <f t="shared" ca="1" si="152"/>
        <v>754.59090909090958</v>
      </c>
      <c r="BN63" s="46">
        <f t="shared" ca="1" si="74"/>
        <v>-20.909090909090423</v>
      </c>
      <c r="BO63" s="47">
        <f t="shared" ca="1" si="210"/>
        <v>1.0681818181818699</v>
      </c>
      <c r="BP63" s="46">
        <f t="shared" ca="1" si="133"/>
        <v>-0.43181818181813014</v>
      </c>
      <c r="BQ63" s="110" t="str">
        <f t="shared" ca="1" si="211"/>
        <v/>
      </c>
      <c r="BR63" s="46" t="str">
        <f t="shared" ca="1" si="75"/>
        <v/>
      </c>
      <c r="BS63" s="47" t="str">
        <f t="shared" ca="1" si="153"/>
        <v/>
      </c>
      <c r="BT63" s="114" t="str">
        <f t="shared" ca="1" si="154"/>
        <v/>
      </c>
      <c r="BU63" s="48" t="str">
        <f t="shared" ca="1" si="212"/>
        <v/>
      </c>
      <c r="BV63" s="46" t="str">
        <f t="shared" ca="1" si="76"/>
        <v/>
      </c>
      <c r="BW63" s="47" t="str">
        <f t="shared" ca="1" si="155"/>
        <v/>
      </c>
      <c r="BX63" s="46" t="str">
        <f t="shared" ca="1" si="156"/>
        <v/>
      </c>
      <c r="BY63" s="140" t="str">
        <f t="shared" ca="1" si="134"/>
        <v/>
      </c>
      <c r="BZ63" s="46" t="str">
        <f t="shared" ca="1" si="135"/>
        <v/>
      </c>
      <c r="CA63" s="47" t="str">
        <f t="shared" ca="1" si="157"/>
        <v/>
      </c>
      <c r="CB63" s="46" t="str">
        <f t="shared" ca="1" si="158"/>
        <v/>
      </c>
      <c r="CC63" s="141" t="str">
        <f t="shared" ca="1" si="136"/>
        <v/>
      </c>
      <c r="CD63" s="50" t="str">
        <f t="shared" ca="1" si="137"/>
        <v/>
      </c>
      <c r="CE63" s="47" t="str">
        <f t="shared" ca="1" si="159"/>
        <v/>
      </c>
      <c r="CF63" s="46" t="str">
        <f t="shared" ca="1" si="160"/>
        <v/>
      </c>
      <c r="CG63" s="141" t="str">
        <f t="shared" ca="1" si="138"/>
        <v/>
      </c>
      <c r="CH63" s="50" t="str">
        <f t="shared" ca="1" si="139"/>
        <v/>
      </c>
      <c r="CI63" s="47" t="str">
        <f t="shared" ca="1" si="161"/>
        <v/>
      </c>
      <c r="CJ63" s="46" t="str">
        <f t="shared" ca="1" si="162"/>
        <v/>
      </c>
      <c r="CK63" s="141" t="str">
        <f t="shared" ca="1" si="140"/>
        <v/>
      </c>
      <c r="CL63" s="50" t="str">
        <f t="shared" ca="1" si="77"/>
        <v/>
      </c>
      <c r="CM63" s="47" t="str">
        <f t="shared" ca="1" si="163"/>
        <v/>
      </c>
      <c r="CN63" s="46" t="str">
        <f t="shared" ca="1" si="164"/>
        <v/>
      </c>
      <c r="CO63" s="141" t="str">
        <f t="shared" ca="1" si="141"/>
        <v/>
      </c>
      <c r="CP63" s="50" t="str">
        <f t="shared" ca="1" si="78"/>
        <v/>
      </c>
      <c r="CQ63" s="47" t="str">
        <f t="shared" ca="1" si="165"/>
        <v/>
      </c>
      <c r="CR63" s="46" t="str">
        <f t="shared" ca="1" si="166"/>
        <v/>
      </c>
      <c r="CS63" s="109">
        <f t="shared" ca="1" si="79"/>
        <v>-5.5050000000000807</v>
      </c>
      <c r="CT63" s="46">
        <f t="shared" ca="1" si="80"/>
        <v>0.13499999999991985</v>
      </c>
      <c r="CU63" s="47">
        <f t="shared" ca="1" si="167"/>
        <v>6.2272727272727479E-2</v>
      </c>
      <c r="CV63" s="46">
        <f t="shared" ca="1" si="168"/>
        <v>0</v>
      </c>
      <c r="CW63" s="110" t="str">
        <f t="shared" ca="1" si="142"/>
        <v/>
      </c>
      <c r="CX63" s="46" t="str">
        <f t="shared" ca="1" si="81"/>
        <v/>
      </c>
      <c r="CY63" s="47" t="str">
        <f t="shared" ca="1" si="169"/>
        <v/>
      </c>
      <c r="CZ63" s="46" t="str">
        <f t="shared" ca="1" si="170"/>
        <v/>
      </c>
      <c r="DA63" s="109">
        <f t="shared" ca="1" si="82"/>
        <v>30.720552165954729</v>
      </c>
      <c r="DB63" s="46">
        <f t="shared" ca="1" si="83"/>
        <v>-2.3334075655888831</v>
      </c>
      <c r="DC63" s="47">
        <f t="shared" ca="1" si="171"/>
        <v>2.7016473459440249E-2</v>
      </c>
      <c r="DD63" s="46">
        <f t="shared" ca="1" si="233"/>
        <v>-8.4325808419765558E-2</v>
      </c>
      <c r="DE63" s="110" t="str">
        <f t="shared" ca="1" si="84"/>
        <v/>
      </c>
      <c r="DF63" s="46" t="str">
        <f t="shared" ca="1" si="85"/>
        <v/>
      </c>
      <c r="DG63" s="47" t="str">
        <f t="shared" ca="1" si="172"/>
        <v/>
      </c>
      <c r="DH63" s="46" t="str">
        <f t="shared" ca="1" si="173"/>
        <v/>
      </c>
      <c r="DI63" s="110" t="str">
        <f t="shared" ca="1" si="86"/>
        <v/>
      </c>
      <c r="DJ63" s="46" t="str">
        <f t="shared" ca="1" si="87"/>
        <v/>
      </c>
      <c r="DK63" s="47" t="str">
        <f t="shared" ca="1" si="174"/>
        <v/>
      </c>
      <c r="DL63" s="46" t="str">
        <f t="shared" ca="1" si="175"/>
        <v/>
      </c>
      <c r="DM63" s="110" t="str">
        <f t="shared" ca="1" si="88"/>
        <v/>
      </c>
      <c r="DN63" s="46" t="str">
        <f t="shared" ca="1" si="89"/>
        <v/>
      </c>
      <c r="DO63" s="47" t="str">
        <f t="shared" ca="1" si="176"/>
        <v/>
      </c>
      <c r="DP63" s="47" t="str">
        <f t="shared" ca="1" si="177"/>
        <v/>
      </c>
      <c r="DQ63" s="110" t="str">
        <f t="shared" ca="1" si="90"/>
        <v/>
      </c>
      <c r="DR63" s="46" t="str">
        <f t="shared" ca="1" si="91"/>
        <v/>
      </c>
      <c r="DS63" s="47" t="str">
        <f t="shared" ca="1" si="178"/>
        <v/>
      </c>
      <c r="DT63" s="47" t="str">
        <f t="shared" ca="1" si="179"/>
        <v/>
      </c>
      <c r="DU63" s="109" t="str">
        <f t="shared" ca="1" si="92"/>
        <v/>
      </c>
      <c r="DV63" s="46" t="str">
        <f t="shared" ca="1" si="93"/>
        <v/>
      </c>
      <c r="DW63" s="47" t="str">
        <f t="shared" ca="1" si="180"/>
        <v/>
      </c>
      <c r="DX63" s="47" t="str">
        <f t="shared" ca="1" si="181"/>
        <v/>
      </c>
      <c r="DY63" s="110" t="str">
        <f t="shared" ca="1" si="94"/>
        <v/>
      </c>
      <c r="DZ63" s="46" t="str">
        <f t="shared" ca="1" si="95"/>
        <v/>
      </c>
      <c r="EA63" s="47" t="str">
        <f t="shared" ca="1" si="182"/>
        <v/>
      </c>
      <c r="EB63" s="47" t="str">
        <f t="shared" ca="1" si="183"/>
        <v/>
      </c>
      <c r="EC63" s="110" t="str">
        <f t="shared" ca="1" si="96"/>
        <v/>
      </c>
      <c r="ED63" s="46" t="str">
        <f t="shared" ca="1" si="97"/>
        <v/>
      </c>
      <c r="EE63" s="47" t="str">
        <f t="shared" ca="1" si="184"/>
        <v/>
      </c>
      <c r="EF63" s="47" t="str">
        <f t="shared" ca="1" si="185"/>
        <v/>
      </c>
      <c r="EG63" s="110" t="str">
        <f t="shared" ca="1" si="98"/>
        <v/>
      </c>
      <c r="EH63" s="46" t="str">
        <f t="shared" ca="1" si="99"/>
        <v/>
      </c>
      <c r="EI63" s="47" t="str">
        <f t="shared" ca="1" si="186"/>
        <v/>
      </c>
      <c r="EJ63" s="47" t="str">
        <f t="shared" ca="1" si="187"/>
        <v/>
      </c>
      <c r="EK63" s="110" t="str">
        <f t="shared" ca="1" si="100"/>
        <v/>
      </c>
      <c r="EL63" s="46" t="str">
        <f t="shared" ca="1" si="101"/>
        <v/>
      </c>
      <c r="EM63" s="47" t="str">
        <f t="shared" ca="1" si="188"/>
        <v/>
      </c>
      <c r="EN63" s="47" t="str">
        <f t="shared" ca="1" si="189"/>
        <v/>
      </c>
      <c r="EO63" s="109" t="str">
        <f t="shared" ca="1" si="102"/>
        <v/>
      </c>
      <c r="EP63" s="46" t="str">
        <f t="shared" ca="1" si="103"/>
        <v/>
      </c>
      <c r="EQ63" s="47" t="str">
        <f t="shared" ca="1" si="190"/>
        <v/>
      </c>
      <c r="ER63" s="47" t="str">
        <f t="shared" ca="1" si="191"/>
        <v/>
      </c>
      <c r="ES63" s="110" t="str">
        <f t="shared" ca="1" si="104"/>
        <v/>
      </c>
      <c r="ET63" s="46" t="str">
        <f t="shared" ca="1" si="105"/>
        <v/>
      </c>
      <c r="EU63" s="47" t="str">
        <f t="shared" ca="1" si="192"/>
        <v/>
      </c>
      <c r="EV63" s="47" t="str">
        <f t="shared" ca="1" si="193"/>
        <v/>
      </c>
      <c r="EW63" s="109" t="str">
        <f t="shared" ca="1" si="106"/>
        <v/>
      </c>
      <c r="EX63" s="46" t="str">
        <f t="shared" ca="1" si="107"/>
        <v/>
      </c>
      <c r="EY63" s="47" t="str">
        <f t="shared" ca="1" si="194"/>
        <v/>
      </c>
      <c r="EZ63" s="47" t="str">
        <f t="shared" ca="1" si="195"/>
        <v/>
      </c>
      <c r="FA63" s="110" t="str">
        <f t="shared" ca="1" si="108"/>
        <v/>
      </c>
      <c r="FB63" s="46" t="str">
        <f t="shared" ca="1" si="109"/>
        <v/>
      </c>
      <c r="FC63" s="47" t="str">
        <f t="shared" ca="1" si="196"/>
        <v/>
      </c>
      <c r="FD63" s="47" t="str">
        <f t="shared" ca="1" si="197"/>
        <v/>
      </c>
      <c r="FE63" s="109" t="str">
        <f t="shared" ca="1" si="110"/>
        <v/>
      </c>
      <c r="FF63" s="46" t="str">
        <f t="shared" ca="1" si="111"/>
        <v/>
      </c>
      <c r="FG63" s="110" t="str">
        <f t="shared" ca="1" si="112"/>
        <v/>
      </c>
      <c r="FH63" s="46" t="str">
        <f t="shared" ca="1" si="113"/>
        <v/>
      </c>
      <c r="FI63" s="110" t="str">
        <f t="shared" ca="1" si="114"/>
        <v/>
      </c>
      <c r="FJ63" s="46" t="str">
        <f t="shared" ca="1" si="115"/>
        <v/>
      </c>
      <c r="FK63" s="110" t="str">
        <f t="shared" ca="1" si="116"/>
        <v/>
      </c>
      <c r="FL63" s="46" t="str">
        <f t="shared" ca="1" si="117"/>
        <v/>
      </c>
      <c r="FM63" s="110" t="str">
        <f t="shared" ca="1" si="118"/>
        <v/>
      </c>
      <c r="FN63" s="46" t="str">
        <f t="shared" ca="1" si="119"/>
        <v/>
      </c>
      <c r="FO63" s="110" t="str">
        <f t="shared" ca="1" si="120"/>
        <v/>
      </c>
      <c r="FP63" s="46" t="str">
        <f t="shared" ca="1" si="121"/>
        <v/>
      </c>
      <c r="FQ63" s="110" t="str">
        <f t="shared" ca="1" si="122"/>
        <v/>
      </c>
      <c r="FR63" s="46" t="str">
        <f t="shared" ca="1" si="123"/>
        <v/>
      </c>
      <c r="FS63" s="110" t="str">
        <f t="shared" ca="1" si="124"/>
        <v/>
      </c>
      <c r="FT63" s="111" t="str">
        <f t="shared" ca="1" si="125"/>
        <v/>
      </c>
      <c r="FU63" s="109" t="str">
        <f t="shared" ca="1" si="232"/>
        <v/>
      </c>
      <c r="FV63" s="46" t="str">
        <f t="shared" ca="1" si="213"/>
        <v/>
      </c>
      <c r="FW63" s="48" t="str">
        <f t="shared" ca="1" si="227"/>
        <v/>
      </c>
      <c r="FX63" s="114" t="str">
        <f t="shared" ca="1" si="228"/>
        <v/>
      </c>
      <c r="FY63" s="110" t="str">
        <f t="shared" ca="1" si="214"/>
        <v/>
      </c>
      <c r="FZ63" s="46" t="str">
        <f t="shared" ca="1" si="215"/>
        <v/>
      </c>
      <c r="GA63" s="47" t="str">
        <f t="shared" ca="1" si="216"/>
        <v/>
      </c>
      <c r="GB63" s="46" t="str">
        <f t="shared" ca="1" si="229"/>
        <v/>
      </c>
      <c r="GC63" s="110" t="str">
        <f ca="1">IFERROR(IF(AND(ISNUMBER($FU63), ISNUMBER(Crd!$X63)), $FU63 - Crd!$X63, ""), "")</f>
        <v/>
      </c>
      <c r="GD63" s="46" t="str">
        <f ca="1">IFERROR(IF(AND(ISNUMBER($FV63), ISNUMBER(Crd!$Y63)), $FV63 - Crd!$Y63, ""), "")</f>
        <v/>
      </c>
      <c r="GE63" s="47" t="str">
        <f t="shared" ca="1" si="217"/>
        <v/>
      </c>
      <c r="GF63" s="46" t="str">
        <f t="shared" ca="1" si="218"/>
        <v/>
      </c>
      <c r="GG63" s="141" t="str">
        <f t="shared" ca="1" si="198"/>
        <v/>
      </c>
      <c r="GH63" s="50" t="str">
        <f t="shared" ca="1" si="199"/>
        <v/>
      </c>
      <c r="GI63" s="47" t="str">
        <f t="shared" ca="1" si="144"/>
        <v/>
      </c>
      <c r="GJ63" s="46" t="str">
        <f t="shared" ca="1" si="145"/>
        <v/>
      </c>
      <c r="GK63" s="110" t="str">
        <f t="shared" ca="1" si="127"/>
        <v/>
      </c>
      <c r="GL63" s="46" t="str">
        <f t="shared" ca="1" si="128"/>
        <v/>
      </c>
      <c r="GM63" s="47" t="str">
        <f t="shared" ca="1" si="200"/>
        <v/>
      </c>
      <c r="GN63" s="46" t="str">
        <f t="shared" ca="1" si="201"/>
        <v/>
      </c>
      <c r="GO63" s="110" t="str">
        <f ca="1">IFERROR(IF(AND(ISNUMBER($GG63), ISNUMBER(Crd!$X63)), $GG63 - Crd!$X63, ""), "")</f>
        <v/>
      </c>
      <c r="GP63" s="46" t="str">
        <f ca="1">IFERROR(IF(AND(ISNUMBER($GH63), ISNUMBER(Crd!$Y63)), $GH63 - Crd!$Y63, ""), "")</f>
        <v/>
      </c>
      <c r="GQ63" s="47" t="str">
        <f t="shared" ca="1" si="202"/>
        <v/>
      </c>
      <c r="GR63" s="46" t="str">
        <f t="shared" ca="1" si="203"/>
        <v/>
      </c>
      <c r="GS63" s="436" t="str">
        <f t="shared" ca="1" si="219"/>
        <v/>
      </c>
      <c r="GT63" s="46" t="str">
        <f t="shared" ca="1" si="220"/>
        <v/>
      </c>
      <c r="GU63" s="48" t="str">
        <f t="shared" ca="1" si="230"/>
        <v/>
      </c>
      <c r="GV63" s="46" t="str">
        <f t="shared" ca="1" si="231"/>
        <v/>
      </c>
      <c r="GW63" s="427" t="str">
        <f t="shared" ca="1" si="204"/>
        <v/>
      </c>
      <c r="GX63" s="50" t="str">
        <f t="shared" ca="1" si="146"/>
        <v/>
      </c>
      <c r="GY63" s="47" t="str">
        <f t="shared" ca="1" si="205"/>
        <v/>
      </c>
      <c r="GZ63" s="432" t="str">
        <f t="shared" ca="1" si="206"/>
        <v/>
      </c>
      <c r="HA63" s="436"/>
      <c r="HB63" s="46"/>
      <c r="HC63" s="48"/>
      <c r="HD63" s="46"/>
      <c r="HE63" s="269"/>
      <c r="HF63" s="46"/>
      <c r="HG63" s="48"/>
      <c r="HH63" s="432"/>
    </row>
    <row r="64" spans="1:216" x14ac:dyDescent="0.25">
      <c r="A64" s="58">
        <f t="shared" ca="1" si="131"/>
        <v>47635</v>
      </c>
      <c r="B64" s="6" t="str">
        <f ca="1">INDEX(MthRef[], MATCH(MONTH(Futs!$A64), MthRef[Mth], 0), 2)</f>
        <v>M</v>
      </c>
      <c r="C64" s="6">
        <f t="shared" ca="1" si="65"/>
        <v>2030</v>
      </c>
      <c r="D64" s="6" t="str">
        <f t="shared" ca="1" si="66"/>
        <v>Q230</v>
      </c>
      <c r="E64" s="6" t="str">
        <f t="shared" ca="1" si="132"/>
        <v>M0</v>
      </c>
      <c r="F64" s="10" t="e">
        <f ca="1">IFERROR(AVERAGE(_xll.BDP(F$18 &amp; $B64 &amp; RIGHT($C64, 1) &amp; " " &amp; "Comdty", "BID", "Fill=#N/A"), _xll.BDP(F$18 &amp; $B64 &amp; RIGHT($C64, 1) &amp; " " &amp; "Comdty", "ASK", "Fill=#N/A")), NA())</f>
        <v>#N/A</v>
      </c>
      <c r="G64" s="10" t="e">
        <f ca="1">IFERROR(AVERAGE(_xll.BDP(G$18 &amp; $B64 &amp; RIGHT($C64, 1) &amp; " " &amp; "Comdty", "BID", "Fill=#N/A"), _xll.BDP(G$18 &amp; $B64 &amp; RIGHT($C64, 1) &amp; " " &amp; "Comdty", "ASK", "Fill=#N/A")), NA())</f>
        <v>#N/A</v>
      </c>
      <c r="H64" s="10">
        <f ca="1">IFERROR(AVERAGE(_xll.BDP(H$18 &amp; $B64 &amp; RIGHT($C64, 1) &amp; " " &amp; "Comdty", "BID", "Fill=#N/A"), _xll.BDP(H$18 &amp; $B64 &amp; RIGHT($C64, 1) &amp; " " &amp; "Comdty", "ASK", "Fill=#N/A")), NA())</f>
        <v>769.375</v>
      </c>
      <c r="I64" s="10" t="e">
        <f ca="1">IFERROR(AVERAGE(_xll.BDP(I$18 &amp; $B64 &amp; RIGHT($C64, 1) &amp; " " &amp; "Comdty", "BID", "Fill=#N/A"), _xll.BDP(I$18 &amp; $B64 &amp; RIGHT($C64, 1) &amp; " " &amp; "Comdty", "ASK", "Fill=#N/A")), NA())</f>
        <v>#N/A</v>
      </c>
      <c r="J64" s="10" t="e">
        <f ca="1">IFERROR(AVERAGE(_xll.BDP(J$18 &amp; $B64 &amp; RIGHT($C64, 1) &amp; " " &amp; "Comdty", "BID", "Fill=#N/A"), _xll.BDP(J$18 &amp; $B64 &amp; RIGHT($C64, 1) &amp; " " &amp; "Comdty", "ASK", "Fill=#N/A")), NA())</f>
        <v>#N/A</v>
      </c>
      <c r="K64" s="10" t="e">
        <f ca="1">IFERROR(AVERAGE(_xll.BDP(K$18 &amp; $B64 &amp; RIGHT($C64, 2) &amp; " " &amp; "Comdty", "BID", "Fill=#N/A"), _xll.BDP(K$18 &amp; $B64 &amp; RIGHT($C64, 2) &amp; " " &amp; "Comdty", "ASK", "Fill=#N/A")), NA())</f>
        <v>#N/A</v>
      </c>
      <c r="L64" s="10" t="e">
        <f ca="1">IFERROR(AVERAGE(_xll.BDP(L$18 &amp; $B64 &amp; RIGHT($C64, 2) &amp; " " &amp; "Comdty", "BID", "Fill=#N/A"), _xll.BDP(L$18 &amp; $B64 &amp; RIGHT($C64, 2) &amp; " " &amp; "Comdty", "ASK", "Fill=#N/A")), NA())</f>
        <v>#N/A</v>
      </c>
      <c r="M64" s="10" t="e">
        <f ca="1">IFERROR(AVERAGE(_xll.BDP(M$18 &amp; $B64 &amp; RIGHT($C64, 2) &amp; " " &amp; "Comdty", "BID", "Fill=#N/A"), _xll.BDP(M$18 &amp; $B64 &amp; RIGHT($C64, 2) &amp; " " &amp; "Comdty", "ASK", "Fill=#N/A")), NA())</f>
        <v>#N/A</v>
      </c>
      <c r="N64" s="10" t="e">
        <f ca="1">IFERROR(AVERAGE(_xll.BDP(N$18 &amp; $B63 &amp; RIGHT($C63, 1) &amp; N$18 &amp; $B64 &amp; RIGHT($C64, 1) &amp; " " &amp; "Comdty", "BID", "Fill=#N/A"), _xll.BDP(N$18 &amp; $B63 &amp; RIGHT($C63, 1) &amp; N$18 &amp; $B64 &amp; RIGHT($C64, 1) &amp; " " &amp; "Comdty", "ASK", "Fill=#N/A")), NA())</f>
        <v>#N/A</v>
      </c>
      <c r="O64" s="10" t="e">
        <f ca="1">IFERROR(AVERAGE(_xll.BDP(O$18 &amp; $B63 &amp; RIGHT($C63, 1) &amp; O$18 &amp; $B64 &amp; RIGHT($C64, 1) &amp; " " &amp; "Comdty", "BID", "Fill=#N/A"), _xll.BDP(O$18 &amp; $B63 &amp; RIGHT($C63, 1) &amp; O$18 &amp; $B64 &amp; RIGHT($C64, 1) &amp; " " &amp; "Comdty", "ASK", "Fill=#N/A")), NA())</f>
        <v>#N/A</v>
      </c>
      <c r="P64" s="10" t="e">
        <f ca="1">IFERROR(AVERAGE(_xll.BDP(P$18 &amp; $B63 &amp; RIGHT($C63, 1) &amp; P$18 &amp; $B64 &amp; RIGHT($C64, 1) &amp; " " &amp; "Comdty", "BID", "Fill=#N/A"), _xll.BDP(P$18 &amp; $B63 &amp; RIGHT($C63, 1) &amp; P$18 &amp; $B64 &amp; RIGHT($C64, 1) &amp; " " &amp; "Comdty", "ASK", "Fill=#N/A")), NA())</f>
        <v>#N/A</v>
      </c>
      <c r="Q64" s="10" t="e">
        <f ca="1">IFERROR(AVERAGE(_xll.BDP(Q$18 &amp; $B63 &amp; RIGHT($C63, 1) &amp; Q$18 &amp; $B64 &amp; RIGHT($C64, 1) &amp; " " &amp; "Comdty", "BID", "Fill=#N/A"), _xll.BDP(Q$18 &amp; $B63 &amp; RIGHT($C63, 1) &amp; Q$18 &amp; $B64 &amp; RIGHT($C64, 1) &amp; " " &amp; "Comdty", "ASK", "Fill=#N/A")), NA())</f>
        <v>#N/A</v>
      </c>
      <c r="R64" s="10" t="e">
        <f ca="1">IFERROR(AVERAGE(_xll.BDP(R$18 &amp; $B63 &amp; RIGHT($C63, 1) &amp; R$18 &amp; $B64 &amp; RIGHT($C64, 1) &amp; " " &amp; "Comdty", "BID", "Fill=#N/A"), _xll.BDP(R$18 &amp; $B63 &amp; RIGHT($C63, 1) &amp; R$18 &amp; $B64 &amp; RIGHT($C64, 1) &amp; " " &amp; "Comdty", "ASK", "Fill=#N/A")), NA())</f>
        <v>#N/A</v>
      </c>
      <c r="S64" s="10" t="e">
        <f ca="1">IFERROR(AVERAGE(_xll.BDP(S$18 &amp; $B63 &amp; RIGHT($C63, 1) &amp; $B64 &amp; RIGHT($C64, 1) &amp; " " &amp; "Comdty", "BID", "Fill=#N/A"), _xll.BDP(S$18 &amp; $B63 &amp; RIGHT($C63, 1) &amp; $B64 &amp; RIGHT($C64, 1) &amp; " " &amp; "Comdty", "ASK", "Fill=#N/A")), NA())</f>
        <v>#N/A</v>
      </c>
      <c r="T64" s="10" t="e">
        <f ca="1">IFERROR(AVERAGE(_xll.BDP(T$18 &amp; $B63 &amp; RIGHT($C63, 1) &amp; $B64 &amp; RIGHT($C64, 1) &amp; " " &amp; "Comdty", "BID", "Fill=#N/A"), _xll.BDP(T$18 &amp; $B63 &amp; RIGHT($C63, 1) &amp; $B64 &amp; RIGHT($C64, 1) &amp; " " &amp; "Comdty", "ASK", "Fill=#N/A")), NA())</f>
        <v>#N/A</v>
      </c>
      <c r="U64" s="10">
        <f ca="1">IF($A64 &lt; Diagnostics!$B$3, N64, INDEX(ImpSprd[], MATCH(Futs!$C64, ImpSprd[Yr], 0), MATCH(U$18, ImpSprd[#Headers], 0)))</f>
        <v>0.17863636363636362</v>
      </c>
      <c r="V64" s="10">
        <f ca="1">IF($A64 &lt; Diagnostics!$B$3, O64, INDEX(ImpSprd[], MATCH(Futs!$C64, ImpSprd[Yr], 0), MATCH(V$18, ImpSprd[#Headers], 0)))</f>
        <v>0.11636363636363636</v>
      </c>
      <c r="W64" s="10">
        <f ca="1">IF($A64 &lt; Diagnostics!$B$3, P64, INDEX(ImpSprd[], MATCH(Futs!$C64, ImpSprd[Yr], 0), MATCH(W$18, ImpSprd[#Headers], 0)))</f>
        <v>1.0681818181818181</v>
      </c>
      <c r="X64" s="31" t="e">
        <f ca="1">INDEX(Expi[], MATCH($A64, Expi[Date], 0), MATCH(X$18, Expi[#Headers], 0))</f>
        <v>#N/A</v>
      </c>
      <c r="Y64" s="31" t="e">
        <f ca="1">INDEX(Expi[], MATCH($A64, Expi[Date], 0), MATCH(Y$18, Expi[#Headers], 0))</f>
        <v>#N/A</v>
      </c>
      <c r="Z64" s="31" t="e">
        <f ca="1">INDEX(Expi[], MATCH($A64, Expi[Date], 0), MATCH(Z$18, Expi[#Headers], 0))</f>
        <v>#N/A</v>
      </c>
      <c r="AA64" s="31" t="e">
        <f ca="1">INDEX(Expi[], MATCH($A64, Expi[Date], 0), MATCH(AA$18, Expi[#Headers], 0))</f>
        <v>#N/A</v>
      </c>
      <c r="AB64" s="31" t="e">
        <f ca="1">INDEX(Expi[], MATCH($A64, Expi[Date], 0), MATCH(AB$18, Expi[#Headers], 0))</f>
        <v>#N/A</v>
      </c>
      <c r="AC64" s="31" t="e">
        <f ca="1">INDEX(Expi[], MATCH($A64, Expi[Date], 0), MATCH(AC$18, Expi[#Headers], 0))</f>
        <v>#N/A</v>
      </c>
      <c r="AD64" s="7">
        <f ca="1">NETWORKDAYS($A64, EOMONTH($A64, 0), Hols[CME])</f>
        <v>20</v>
      </c>
      <c r="AE64" s="7">
        <f ca="1">NETWORKDAYS($A64, EOMONTH($A64, 0), Hols[ICE])</f>
        <v>20</v>
      </c>
      <c r="AF64" s="7">
        <f ca="1">NETWORKDAYS($A64, EOMONTH($A64, 0), Hols[ICE])</f>
        <v>20</v>
      </c>
      <c r="AG64" s="7">
        <f ca="1">NETWORKDAYS($A64, EOMONTH($A64, 0), Hols[CME])</f>
        <v>20</v>
      </c>
      <c r="AH64" s="7">
        <f ca="1">NETWORKDAYS($A64, EOMONTH($A64, 0), Hols[CME])</f>
        <v>20</v>
      </c>
      <c r="AI64" s="7">
        <f ca="1">NETWORKDAYS($A64, EOMONTH($A64, 0), Hols[ICE])</f>
        <v>20</v>
      </c>
      <c r="AJ64" s="7" t="e">
        <f ca="1">NETWORKDAYS($A64, X64, Hols[CME])</f>
        <v>#N/A</v>
      </c>
      <c r="AK64" s="7" t="e">
        <f ca="1">NETWORKDAYS($A64, Y64, Hols[ICE]) - 1</f>
        <v>#N/A</v>
      </c>
      <c r="AL64" s="7" t="e">
        <f ca="1">NETWORKDAYS($A64, Z64, Hols[ICE]) - 1</f>
        <v>#N/A</v>
      </c>
      <c r="AM64" s="7" t="e">
        <f ca="1">NETWORKDAYS($A64, AA64, Hols[CME])</f>
        <v>#N/A</v>
      </c>
      <c r="AN64" s="7" t="e">
        <f ca="1">NETWORKDAYS($A64, AB64, Hols[CME])</f>
        <v>#N/A</v>
      </c>
      <c r="AO64" s="7" t="e">
        <f ca="1">NETWORKDAYS($A64, AC64, Hols[ICE]) - 1</f>
        <v>#N/A</v>
      </c>
      <c r="AP64" s="10" t="e">
        <f t="shared" ca="1" si="67"/>
        <v>#N/A</v>
      </c>
      <c r="AQ64" s="10" t="e">
        <f t="shared" ca="1" si="68"/>
        <v>#N/A</v>
      </c>
      <c r="AR64" s="10" t="e">
        <f t="shared" ca="1" si="69"/>
        <v>#N/A</v>
      </c>
      <c r="AS64" s="10" t="e">
        <f t="shared" ca="1" si="70"/>
        <v>#N/A</v>
      </c>
      <c r="AT64" s="10" t="e">
        <f t="shared" ca="1" si="71"/>
        <v>#N/A</v>
      </c>
      <c r="AU64" s="10" t="e">
        <f t="shared" ca="1" si="71"/>
        <v>#N/A</v>
      </c>
      <c r="AV64" s="28">
        <f ca="1">IFERROR(AVERAGE(_xll.BDH(AV$18 &amp; $B64 &amp; RIGHT($C64, 1) &amp; " " &amp; "Comdty", "PX_SETTLE", AV$16, AV$16, "Fill=#N/A")), IFERROR(AVERAGE(_xll.BDH(AV$18 &amp; $B64 &amp; RIGHT($C64, 2) &amp; " " &amp; "Comdty", "PX_SETTLE", AV$16, AV$16, "Fill=#N/A")), NA()))</f>
        <v>65.22</v>
      </c>
      <c r="AW64" s="28">
        <f ca="1">IFERROR(AVERAGE(_xll.BDH(AW$18 &amp; $B64 &amp; RIGHT($C64, 1) &amp; " " &amp; "Comdty", "PX_SETTLE", AW$16, AW$16, "Fill=#N/A")), IFERROR(AVERAGE(_xll.BDH(AW$18 &amp; $B64 &amp; RIGHT($C64, 2) &amp; " " &amp; "Comdty", "PX_SETTLE", AW$16, AW$16, "Fill=#N/A")), NA()))</f>
        <v>70.94</v>
      </c>
      <c r="AX64" s="29">
        <f ca="1">IFERROR(AVERAGE(_xll.BDH(AX$18 &amp; $B64 &amp; RIGHT($C64, 2) &amp; " " &amp; "Comdty", "FAIR_VALUE_SNAPSHOT_AT_1430", AX$16, AX$16, "TIME_ZONE_OVERRIDE=13", "Fill=#N/A")), NA())</f>
        <v>774</v>
      </c>
      <c r="AY64" s="28" t="e">
        <f ca="1">IFERROR(AVERAGE(_xll.BDH(AY$18 &amp; $B64 &amp; RIGHT($C64, 1) &amp; " " &amp; "Comdty", "PX_SETTLE", AY$16, AY$16, "Fill=#N/A")), NA())</f>
        <v>#N/A</v>
      </c>
      <c r="AZ64" s="28" t="e">
        <f ca="1">IFERROR(AVERAGE(_xll.BDH(AZ$18 &amp; $B64 &amp; RIGHT($C64, 1) &amp; " " &amp; "Comdty", "PX_SETTLE", AZ$16, AZ$16, "Fill=#N/A")), NA())</f>
        <v>#N/A</v>
      </c>
      <c r="BA64" s="29" t="e">
        <f ca="1">IFERROR(AVERAGE(_xll.BDH(BA$18 &amp; $B64 &amp; RIGHT($C64, 2) &amp; " " &amp; "Comdty", "PX_SETTLE", BA$16, BA$16, "Fill=#N/A")), IFERROR(AVERAGE(_xll.BDH(BA$18 &amp; $B64 &amp; RIGHT($C64, 2) &amp; " " &amp; "Comdty", "PX_SETTLE", BA$16, BA$16, "Fill=#N/A")), NA()))</f>
        <v>#N/A</v>
      </c>
      <c r="BB64" s="29">
        <f ca="1">IFERROR(AVERAGE(_xll.BDH(BB$18 &amp; $B64 &amp; RIGHT($C64, 2) &amp; " " &amp; "Comdty", "PX_SETTLE", BB$16, BB$16, "Fill=#N/A")), IFERROR(AVERAGE(_xll.BDH(BB$18 &amp; $B64 &amp; RIGHT($C64, 2) &amp; " " &amp; "Comdty", "PX_SETTLE", BB$16, BB$16, "Fill=#N/A")), NA()))</f>
        <v>71.64</v>
      </c>
      <c r="BC64" s="29" t="e">
        <f ca="1">IFERROR(AVERAGE(_xll.BDH(BC$18 &amp; $B64 &amp; RIGHT($C64, 2) &amp; " " &amp; "Comdty", "PX_SETTLE", BC$16, BC$16, "Fill=#N/A")), IFERROR(AVERAGE(_xll.BDH(BC$18 &amp; $B64 &amp; RIGHT($C64, 2) &amp; " " &amp; "Comdty", "PX_SETTLE", BC$16, BC$16, "Fill=#N/A")), NA()))</f>
        <v>#N/A</v>
      </c>
      <c r="BD64" s="29" t="e">
        <f>NA()</f>
        <v>#N/A</v>
      </c>
      <c r="BE64" s="109">
        <f t="shared" ca="1" si="209"/>
        <v>64.883181818181924</v>
      </c>
      <c r="BF64" s="46">
        <f t="shared" ca="1" si="72"/>
        <v>-0.33681818181807444</v>
      </c>
      <c r="BG64" s="47">
        <f t="shared" ca="1" si="151"/>
        <v>0.17863636363635749</v>
      </c>
      <c r="BH64" s="114">
        <f t="shared" ca="1" si="223"/>
        <v>-1.3636363636493343E-3</v>
      </c>
      <c r="BI64" s="110">
        <f t="shared" ca="1" si="224"/>
        <v>70.450454545454733</v>
      </c>
      <c r="BJ64" s="46">
        <f t="shared" ca="1" si="73"/>
        <v>-0.4895454545452651</v>
      </c>
      <c r="BK64" s="48">
        <f t="shared" ca="1" si="225"/>
        <v>0.11636363636363001</v>
      </c>
      <c r="BL64" s="114">
        <f t="shared" ca="1" si="226"/>
        <v>1.6363636363621481E-2</v>
      </c>
      <c r="BM64" s="48">
        <f t="shared" ca="1" si="152"/>
        <v>753.52272727272771</v>
      </c>
      <c r="BN64" s="46">
        <f t="shared" ca="1" si="74"/>
        <v>-20.477272727272293</v>
      </c>
      <c r="BO64" s="47">
        <f t="shared" ca="1" si="210"/>
        <v>1.0681818181818699</v>
      </c>
      <c r="BP64" s="46">
        <f t="shared" ca="1" si="133"/>
        <v>-0.43181818181813014</v>
      </c>
      <c r="BQ64" s="110" t="str">
        <f t="shared" ca="1" si="211"/>
        <v/>
      </c>
      <c r="BR64" s="46" t="str">
        <f t="shared" ca="1" si="75"/>
        <v/>
      </c>
      <c r="BS64" s="47" t="str">
        <f t="shared" ca="1" si="153"/>
        <v/>
      </c>
      <c r="BT64" s="114" t="str">
        <f t="shared" ca="1" si="154"/>
        <v/>
      </c>
      <c r="BU64" s="48" t="str">
        <f t="shared" ca="1" si="212"/>
        <v/>
      </c>
      <c r="BV64" s="46" t="str">
        <f t="shared" ca="1" si="76"/>
        <v/>
      </c>
      <c r="BW64" s="47" t="str">
        <f t="shared" ca="1" si="155"/>
        <v/>
      </c>
      <c r="BX64" s="46" t="str">
        <f t="shared" ca="1" si="156"/>
        <v/>
      </c>
      <c r="BY64" s="140" t="str">
        <f t="shared" ca="1" si="134"/>
        <v/>
      </c>
      <c r="BZ64" s="46" t="str">
        <f t="shared" ca="1" si="135"/>
        <v/>
      </c>
      <c r="CA64" s="47" t="str">
        <f t="shared" ca="1" si="157"/>
        <v/>
      </c>
      <c r="CB64" s="46" t="str">
        <f t="shared" ca="1" si="158"/>
        <v/>
      </c>
      <c r="CC64" s="141" t="str">
        <f t="shared" ca="1" si="136"/>
        <v/>
      </c>
      <c r="CD64" s="50" t="str">
        <f t="shared" ca="1" si="137"/>
        <v/>
      </c>
      <c r="CE64" s="47" t="str">
        <f t="shared" ca="1" si="159"/>
        <v/>
      </c>
      <c r="CF64" s="46" t="str">
        <f t="shared" ca="1" si="160"/>
        <v/>
      </c>
      <c r="CG64" s="141" t="str">
        <f t="shared" ca="1" si="138"/>
        <v/>
      </c>
      <c r="CH64" s="50" t="str">
        <f t="shared" ca="1" si="139"/>
        <v/>
      </c>
      <c r="CI64" s="47" t="str">
        <f t="shared" ca="1" si="161"/>
        <v/>
      </c>
      <c r="CJ64" s="46" t="str">
        <f t="shared" ca="1" si="162"/>
        <v/>
      </c>
      <c r="CK64" s="141" t="str">
        <f t="shared" ca="1" si="140"/>
        <v/>
      </c>
      <c r="CL64" s="50" t="str">
        <f t="shared" ca="1" si="77"/>
        <v/>
      </c>
      <c r="CM64" s="47" t="str">
        <f t="shared" ca="1" si="163"/>
        <v/>
      </c>
      <c r="CN64" s="46" t="str">
        <f t="shared" ca="1" si="164"/>
        <v/>
      </c>
      <c r="CO64" s="141" t="str">
        <f t="shared" ca="1" si="141"/>
        <v/>
      </c>
      <c r="CP64" s="50" t="str">
        <f t="shared" ca="1" si="78"/>
        <v/>
      </c>
      <c r="CQ64" s="47" t="str">
        <f t="shared" ca="1" si="165"/>
        <v/>
      </c>
      <c r="CR64" s="46" t="str">
        <f t="shared" ca="1" si="166"/>
        <v/>
      </c>
      <c r="CS64" s="109">
        <f t="shared" ca="1" si="79"/>
        <v>-5.5672727272728082</v>
      </c>
      <c r="CT64" s="46">
        <f t="shared" ca="1" si="80"/>
        <v>0.15272727272719067</v>
      </c>
      <c r="CU64" s="47">
        <f t="shared" ca="1" si="167"/>
        <v>6.2272727272727479E-2</v>
      </c>
      <c r="CV64" s="46">
        <f t="shared" ca="1" si="168"/>
        <v>0</v>
      </c>
      <c r="CW64" s="110" t="str">
        <f t="shared" ca="1" si="142"/>
        <v/>
      </c>
      <c r="CX64" s="46" t="str">
        <f t="shared" ca="1" si="81"/>
        <v/>
      </c>
      <c r="CY64" s="47" t="str">
        <f t="shared" ca="1" si="169"/>
        <v/>
      </c>
      <c r="CZ64" s="46" t="str">
        <f t="shared" ca="1" si="170"/>
        <v/>
      </c>
      <c r="DA64" s="109">
        <f t="shared" ca="1" si="82"/>
        <v>30.693535692495288</v>
      </c>
      <c r="DB64" s="46">
        <f t="shared" ca="1" si="83"/>
        <v>-2.2590817571691364</v>
      </c>
      <c r="DC64" s="47">
        <f t="shared" ca="1" si="171"/>
        <v>2.7016473459440249E-2</v>
      </c>
      <c r="DD64" s="46">
        <f t="shared" ca="1" si="233"/>
        <v>-7.4325808419746675E-2</v>
      </c>
      <c r="DE64" s="110" t="str">
        <f t="shared" ca="1" si="84"/>
        <v/>
      </c>
      <c r="DF64" s="46" t="str">
        <f t="shared" ca="1" si="85"/>
        <v/>
      </c>
      <c r="DG64" s="47" t="str">
        <f t="shared" ca="1" si="172"/>
        <v/>
      </c>
      <c r="DH64" s="46" t="str">
        <f t="shared" ca="1" si="173"/>
        <v/>
      </c>
      <c r="DI64" s="110" t="str">
        <f t="shared" ca="1" si="86"/>
        <v/>
      </c>
      <c r="DJ64" s="46" t="str">
        <f t="shared" ca="1" si="87"/>
        <v/>
      </c>
      <c r="DK64" s="47" t="str">
        <f t="shared" ca="1" si="174"/>
        <v/>
      </c>
      <c r="DL64" s="46" t="str">
        <f t="shared" ca="1" si="175"/>
        <v/>
      </c>
      <c r="DM64" s="110" t="str">
        <f t="shared" ca="1" si="88"/>
        <v/>
      </c>
      <c r="DN64" s="46" t="str">
        <f t="shared" ca="1" si="89"/>
        <v/>
      </c>
      <c r="DO64" s="47" t="str">
        <f t="shared" ca="1" si="176"/>
        <v/>
      </c>
      <c r="DP64" s="47" t="str">
        <f t="shared" ca="1" si="177"/>
        <v/>
      </c>
      <c r="DQ64" s="110" t="str">
        <f t="shared" ca="1" si="90"/>
        <v/>
      </c>
      <c r="DR64" s="46" t="str">
        <f t="shared" ca="1" si="91"/>
        <v/>
      </c>
      <c r="DS64" s="47" t="str">
        <f t="shared" ca="1" si="178"/>
        <v/>
      </c>
      <c r="DT64" s="47" t="str">
        <f t="shared" ca="1" si="179"/>
        <v/>
      </c>
      <c r="DU64" s="109" t="str">
        <f t="shared" ca="1" si="92"/>
        <v/>
      </c>
      <c r="DV64" s="46" t="str">
        <f t="shared" ca="1" si="93"/>
        <v/>
      </c>
      <c r="DW64" s="47" t="str">
        <f t="shared" ca="1" si="180"/>
        <v/>
      </c>
      <c r="DX64" s="47" t="str">
        <f t="shared" ca="1" si="181"/>
        <v/>
      </c>
      <c r="DY64" s="110" t="str">
        <f t="shared" ca="1" si="94"/>
        <v/>
      </c>
      <c r="DZ64" s="46" t="str">
        <f t="shared" ca="1" si="95"/>
        <v/>
      </c>
      <c r="EA64" s="47" t="str">
        <f t="shared" ca="1" si="182"/>
        <v/>
      </c>
      <c r="EB64" s="47" t="str">
        <f t="shared" ca="1" si="183"/>
        <v/>
      </c>
      <c r="EC64" s="110" t="str">
        <f t="shared" ca="1" si="96"/>
        <v/>
      </c>
      <c r="ED64" s="46" t="str">
        <f t="shared" ca="1" si="97"/>
        <v/>
      </c>
      <c r="EE64" s="47" t="str">
        <f t="shared" ca="1" si="184"/>
        <v/>
      </c>
      <c r="EF64" s="47" t="str">
        <f t="shared" ca="1" si="185"/>
        <v/>
      </c>
      <c r="EG64" s="110" t="str">
        <f t="shared" ca="1" si="98"/>
        <v/>
      </c>
      <c r="EH64" s="46" t="str">
        <f t="shared" ca="1" si="99"/>
        <v/>
      </c>
      <c r="EI64" s="47" t="str">
        <f t="shared" ca="1" si="186"/>
        <v/>
      </c>
      <c r="EJ64" s="47" t="str">
        <f t="shared" ca="1" si="187"/>
        <v/>
      </c>
      <c r="EK64" s="110" t="str">
        <f t="shared" ca="1" si="100"/>
        <v/>
      </c>
      <c r="EL64" s="46" t="str">
        <f t="shared" ca="1" si="101"/>
        <v/>
      </c>
      <c r="EM64" s="47" t="str">
        <f t="shared" ca="1" si="188"/>
        <v/>
      </c>
      <c r="EN64" s="47" t="str">
        <f t="shared" ca="1" si="189"/>
        <v/>
      </c>
      <c r="EO64" s="109" t="str">
        <f t="shared" ca="1" si="102"/>
        <v/>
      </c>
      <c r="EP64" s="46" t="str">
        <f t="shared" ca="1" si="103"/>
        <v/>
      </c>
      <c r="EQ64" s="47" t="str">
        <f t="shared" ca="1" si="190"/>
        <v/>
      </c>
      <c r="ER64" s="47" t="str">
        <f t="shared" ca="1" si="191"/>
        <v/>
      </c>
      <c r="ES64" s="110" t="str">
        <f t="shared" ca="1" si="104"/>
        <v/>
      </c>
      <c r="ET64" s="46" t="str">
        <f t="shared" ca="1" si="105"/>
        <v/>
      </c>
      <c r="EU64" s="47" t="str">
        <f t="shared" ca="1" si="192"/>
        <v/>
      </c>
      <c r="EV64" s="47" t="str">
        <f t="shared" ca="1" si="193"/>
        <v/>
      </c>
      <c r="EW64" s="109" t="str">
        <f t="shared" ca="1" si="106"/>
        <v/>
      </c>
      <c r="EX64" s="46" t="str">
        <f t="shared" ca="1" si="107"/>
        <v/>
      </c>
      <c r="EY64" s="47" t="str">
        <f t="shared" ca="1" si="194"/>
        <v/>
      </c>
      <c r="EZ64" s="47" t="str">
        <f t="shared" ca="1" si="195"/>
        <v/>
      </c>
      <c r="FA64" s="110" t="str">
        <f t="shared" ca="1" si="108"/>
        <v/>
      </c>
      <c r="FB64" s="46" t="str">
        <f t="shared" ca="1" si="109"/>
        <v/>
      </c>
      <c r="FC64" s="47" t="str">
        <f t="shared" ca="1" si="196"/>
        <v/>
      </c>
      <c r="FD64" s="47" t="str">
        <f t="shared" ca="1" si="197"/>
        <v/>
      </c>
      <c r="FE64" s="109" t="str">
        <f t="shared" ca="1" si="110"/>
        <v/>
      </c>
      <c r="FF64" s="46" t="str">
        <f t="shared" ca="1" si="111"/>
        <v/>
      </c>
      <c r="FG64" s="110" t="str">
        <f t="shared" ca="1" si="112"/>
        <v/>
      </c>
      <c r="FH64" s="46" t="str">
        <f t="shared" ca="1" si="113"/>
        <v/>
      </c>
      <c r="FI64" s="110" t="str">
        <f t="shared" ca="1" si="114"/>
        <v/>
      </c>
      <c r="FJ64" s="46" t="str">
        <f t="shared" ca="1" si="115"/>
        <v/>
      </c>
      <c r="FK64" s="110" t="str">
        <f t="shared" ca="1" si="116"/>
        <v/>
      </c>
      <c r="FL64" s="46" t="str">
        <f t="shared" ca="1" si="117"/>
        <v/>
      </c>
      <c r="FM64" s="110" t="str">
        <f t="shared" ca="1" si="118"/>
        <v/>
      </c>
      <c r="FN64" s="46" t="str">
        <f t="shared" ca="1" si="119"/>
        <v/>
      </c>
      <c r="FO64" s="110" t="str">
        <f t="shared" ca="1" si="120"/>
        <v/>
      </c>
      <c r="FP64" s="46" t="str">
        <f t="shared" ca="1" si="121"/>
        <v/>
      </c>
      <c r="FQ64" s="110" t="str">
        <f t="shared" ca="1" si="122"/>
        <v/>
      </c>
      <c r="FR64" s="46" t="str">
        <f t="shared" ca="1" si="123"/>
        <v/>
      </c>
      <c r="FS64" s="110" t="str">
        <f t="shared" ca="1" si="124"/>
        <v/>
      </c>
      <c r="FT64" s="111" t="str">
        <f t="shared" ca="1" si="125"/>
        <v/>
      </c>
      <c r="FU64" s="109" t="str">
        <f t="shared" ca="1" si="232"/>
        <v/>
      </c>
      <c r="FV64" s="46" t="str">
        <f t="shared" ca="1" si="213"/>
        <v/>
      </c>
      <c r="FW64" s="48" t="str">
        <f t="shared" ca="1" si="227"/>
        <v/>
      </c>
      <c r="FX64" s="114" t="str">
        <f t="shared" ca="1" si="228"/>
        <v/>
      </c>
      <c r="FY64" s="110" t="str">
        <f t="shared" ca="1" si="214"/>
        <v/>
      </c>
      <c r="FZ64" s="46" t="str">
        <f t="shared" ca="1" si="215"/>
        <v/>
      </c>
      <c r="GA64" s="47" t="str">
        <f t="shared" ca="1" si="216"/>
        <v/>
      </c>
      <c r="GB64" s="46" t="str">
        <f t="shared" ca="1" si="229"/>
        <v/>
      </c>
      <c r="GC64" s="110" t="str">
        <f ca="1">IFERROR(IF(AND(ISNUMBER($FU64), ISNUMBER(Crd!$X64)), $FU64 - Crd!$X64, ""), "")</f>
        <v/>
      </c>
      <c r="GD64" s="46" t="str">
        <f ca="1">IFERROR(IF(AND(ISNUMBER($FV64), ISNUMBER(Crd!$Y64)), $FV64 - Crd!$Y64, ""), "")</f>
        <v/>
      </c>
      <c r="GE64" s="47" t="str">
        <f t="shared" ca="1" si="217"/>
        <v/>
      </c>
      <c r="GF64" s="46" t="str">
        <f t="shared" ca="1" si="218"/>
        <v/>
      </c>
      <c r="GG64" s="141" t="str">
        <f t="shared" ca="1" si="198"/>
        <v/>
      </c>
      <c r="GH64" s="50" t="str">
        <f t="shared" ca="1" si="199"/>
        <v/>
      </c>
      <c r="GI64" s="47" t="str">
        <f t="shared" ca="1" si="144"/>
        <v/>
      </c>
      <c r="GJ64" s="46" t="str">
        <f t="shared" ca="1" si="145"/>
        <v/>
      </c>
      <c r="GK64" s="110" t="str">
        <f t="shared" ca="1" si="127"/>
        <v/>
      </c>
      <c r="GL64" s="46" t="str">
        <f t="shared" ca="1" si="128"/>
        <v/>
      </c>
      <c r="GM64" s="47" t="str">
        <f t="shared" ca="1" si="200"/>
        <v/>
      </c>
      <c r="GN64" s="46" t="str">
        <f t="shared" ca="1" si="201"/>
        <v/>
      </c>
      <c r="GO64" s="110" t="str">
        <f ca="1">IFERROR(IF(AND(ISNUMBER($GG64), ISNUMBER(Crd!$X64)), $GG64 - Crd!$X64, ""), "")</f>
        <v/>
      </c>
      <c r="GP64" s="46" t="str">
        <f ca="1">IFERROR(IF(AND(ISNUMBER($GH64), ISNUMBER(Crd!$Y64)), $GH64 - Crd!$Y64, ""), "")</f>
        <v/>
      </c>
      <c r="GQ64" s="47" t="str">
        <f t="shared" ca="1" si="202"/>
        <v/>
      </c>
      <c r="GR64" s="46" t="str">
        <f t="shared" ca="1" si="203"/>
        <v/>
      </c>
      <c r="GS64" s="436" t="str">
        <f t="shared" ca="1" si="219"/>
        <v/>
      </c>
      <c r="GT64" s="46" t="str">
        <f t="shared" ca="1" si="220"/>
        <v/>
      </c>
      <c r="GU64" s="48" t="str">
        <f t="shared" ca="1" si="230"/>
        <v/>
      </c>
      <c r="GV64" s="46" t="str">
        <f t="shared" ca="1" si="231"/>
        <v/>
      </c>
      <c r="GW64" s="427" t="str">
        <f t="shared" ca="1" si="204"/>
        <v/>
      </c>
      <c r="GX64" s="50" t="str">
        <f t="shared" ca="1" si="146"/>
        <v/>
      </c>
      <c r="GY64" s="47" t="str">
        <f t="shared" ca="1" si="205"/>
        <v/>
      </c>
      <c r="GZ64" s="432" t="str">
        <f t="shared" ca="1" si="206"/>
        <v/>
      </c>
      <c r="HA64" s="436"/>
      <c r="HB64" s="46"/>
      <c r="HC64" s="48"/>
      <c r="HD64" s="46"/>
      <c r="HE64" s="269"/>
      <c r="HF64" s="46"/>
      <c r="HG64" s="48"/>
      <c r="HH64" s="432"/>
    </row>
    <row r="65" spans="1:216" x14ac:dyDescent="0.25">
      <c r="A65" s="58">
        <f t="shared" ca="1" si="131"/>
        <v>47665</v>
      </c>
      <c r="B65" s="6" t="str">
        <f ca="1">INDEX(MthRef[], MATCH(MONTH(Futs!$A65), MthRef[Mth], 0), 2)</f>
        <v>N</v>
      </c>
      <c r="C65" s="6">
        <f t="shared" ca="1" si="65"/>
        <v>2030</v>
      </c>
      <c r="D65" s="6" t="str">
        <f t="shared" ca="1" si="66"/>
        <v>Q330</v>
      </c>
      <c r="E65" s="6" t="str">
        <f t="shared" ca="1" si="132"/>
        <v>N0</v>
      </c>
      <c r="F65" s="10" t="e">
        <f ca="1">IFERROR(AVERAGE(_xll.BDP(F$18 &amp; $B65 &amp; RIGHT($C65, 1) &amp; " " &amp; "Comdty", "BID", "Fill=#N/A"), _xll.BDP(F$18 &amp; $B65 &amp; RIGHT($C65, 1) &amp; " " &amp; "Comdty", "ASK", "Fill=#N/A")), NA())</f>
        <v>#N/A</v>
      </c>
      <c r="G65" s="10" t="e">
        <f ca="1">IFERROR(AVERAGE(_xll.BDP(G$18 &amp; $B65 &amp; RIGHT($C65, 1) &amp; " " &amp; "Comdty", "BID", "Fill=#N/A"), _xll.BDP(G$18 &amp; $B65 &amp; RIGHT($C65, 1) &amp; " " &amp; "Comdty", "ASK", "Fill=#N/A")), NA())</f>
        <v>#N/A</v>
      </c>
      <c r="H65" s="10" t="e">
        <f ca="1">IFERROR(AVERAGE(_xll.BDP(H$18 &amp; $B65 &amp; RIGHT($C65, 1) &amp; " " &amp; "Comdty", "BID", "Fill=#N/A"), _xll.BDP(H$18 &amp; $B65 &amp; RIGHT($C65, 1) &amp; " " &amp; "Comdty", "ASK", "Fill=#N/A")), NA())</f>
        <v>#N/A</v>
      </c>
      <c r="I65" s="10" t="e">
        <f ca="1">IFERROR(AVERAGE(_xll.BDP(I$18 &amp; $B65 &amp; RIGHT($C65, 1) &amp; " " &amp; "Comdty", "BID", "Fill=#N/A"), _xll.BDP(I$18 &amp; $B65 &amp; RIGHT($C65, 1) &amp; " " &amp; "Comdty", "ASK", "Fill=#N/A")), NA())</f>
        <v>#N/A</v>
      </c>
      <c r="J65" s="10" t="e">
        <f ca="1">IFERROR(AVERAGE(_xll.BDP(J$18 &amp; $B65 &amp; RIGHT($C65, 1) &amp; " " &amp; "Comdty", "BID", "Fill=#N/A"), _xll.BDP(J$18 &amp; $B65 &amp; RIGHT($C65, 1) &amp; " " &amp; "Comdty", "ASK", "Fill=#N/A")), NA())</f>
        <v>#N/A</v>
      </c>
      <c r="K65" s="10" t="e">
        <f ca="1">IFERROR(AVERAGE(_xll.BDP(K$18 &amp; $B65 &amp; RIGHT($C65, 2) &amp; " " &amp; "Comdty", "BID", "Fill=#N/A"), _xll.BDP(K$18 &amp; $B65 &amp; RIGHT($C65, 2) &amp; " " &amp; "Comdty", "ASK", "Fill=#N/A")), NA())</f>
        <v>#N/A</v>
      </c>
      <c r="L65" s="10" t="e">
        <f ca="1">IFERROR(AVERAGE(_xll.BDP(L$18 &amp; $B65 &amp; RIGHT($C65, 2) &amp; " " &amp; "Comdty", "BID", "Fill=#N/A"), _xll.BDP(L$18 &amp; $B65 &amp; RIGHT($C65, 2) &amp; " " &amp; "Comdty", "ASK", "Fill=#N/A")), NA())</f>
        <v>#N/A</v>
      </c>
      <c r="M65" s="10" t="e">
        <f ca="1">IFERROR(AVERAGE(_xll.BDP(M$18 &amp; $B65 &amp; RIGHT($C65, 2) &amp; " " &amp; "Comdty", "BID", "Fill=#N/A"), _xll.BDP(M$18 &amp; $B65 &amp; RIGHT($C65, 2) &amp; " " &amp; "Comdty", "ASK", "Fill=#N/A")), NA())</f>
        <v>#N/A</v>
      </c>
      <c r="N65" s="10" t="e">
        <f ca="1">IFERROR(AVERAGE(_xll.BDP(N$18 &amp; $B64 &amp; RIGHT($C64, 1) &amp; N$18 &amp; $B65 &amp; RIGHT($C65, 1) &amp; " " &amp; "Comdty", "BID", "Fill=#N/A"), _xll.BDP(N$18 &amp; $B64 &amp; RIGHT($C64, 1) &amp; N$18 &amp; $B65 &amp; RIGHT($C65, 1) &amp; " " &amp; "Comdty", "ASK", "Fill=#N/A")), NA())</f>
        <v>#N/A</v>
      </c>
      <c r="O65" s="10" t="e">
        <f ca="1">IFERROR(AVERAGE(_xll.BDP(O$18 &amp; $B64 &amp; RIGHT($C64, 1) &amp; O$18 &amp; $B65 &amp; RIGHT($C65, 1) &amp; " " &amp; "Comdty", "BID", "Fill=#N/A"), _xll.BDP(O$18 &amp; $B64 &amp; RIGHT($C64, 1) &amp; O$18 &amp; $B65 &amp; RIGHT($C65, 1) &amp; " " &amp; "Comdty", "ASK", "Fill=#N/A")), NA())</f>
        <v>#N/A</v>
      </c>
      <c r="P65" s="10" t="e">
        <f ca="1">IFERROR(AVERAGE(_xll.BDP(P$18 &amp; $B64 &amp; RIGHT($C64, 1) &amp; P$18 &amp; $B65 &amp; RIGHT($C65, 1) &amp; " " &amp; "Comdty", "BID", "Fill=#N/A"), _xll.BDP(P$18 &amp; $B64 &amp; RIGHT($C64, 1) &amp; P$18 &amp; $B65 &amp; RIGHT($C65, 1) &amp; " " &amp; "Comdty", "ASK", "Fill=#N/A")), NA())</f>
        <v>#N/A</v>
      </c>
      <c r="Q65" s="10" t="e">
        <f ca="1">IFERROR(AVERAGE(_xll.BDP(Q$18 &amp; $B64 &amp; RIGHT($C64, 1) &amp; Q$18 &amp; $B65 &amp; RIGHT($C65, 1) &amp; " " &amp; "Comdty", "BID", "Fill=#N/A"), _xll.BDP(Q$18 &amp; $B64 &amp; RIGHT($C64, 1) &amp; Q$18 &amp; $B65 &amp; RIGHT($C65, 1) &amp; " " &amp; "Comdty", "ASK", "Fill=#N/A")), NA())</f>
        <v>#N/A</v>
      </c>
      <c r="R65" s="10" t="e">
        <f ca="1">IFERROR(AVERAGE(_xll.BDP(R$18 &amp; $B64 &amp; RIGHT($C64, 1) &amp; R$18 &amp; $B65 &amp; RIGHT($C65, 1) &amp; " " &amp; "Comdty", "BID", "Fill=#N/A"), _xll.BDP(R$18 &amp; $B64 &amp; RIGHT($C64, 1) &amp; R$18 &amp; $B65 &amp; RIGHT($C65, 1) &amp; " " &amp; "Comdty", "ASK", "Fill=#N/A")), NA())</f>
        <v>#N/A</v>
      </c>
      <c r="S65" s="10" t="e">
        <f ca="1">IFERROR(AVERAGE(_xll.BDP(S$18 &amp; $B64 &amp; RIGHT($C64, 1) &amp; $B65 &amp; RIGHT($C65, 1) &amp; " " &amp; "Comdty", "BID", "Fill=#N/A"), _xll.BDP(S$18 &amp; $B64 &amp; RIGHT($C64, 1) &amp; $B65 &amp; RIGHT($C65, 1) &amp; " " &amp; "Comdty", "ASK", "Fill=#N/A")), NA())</f>
        <v>#N/A</v>
      </c>
      <c r="T65" s="10" t="e">
        <f ca="1">IFERROR(AVERAGE(_xll.BDP(T$18 &amp; $B64 &amp; RIGHT($C64, 1) &amp; $B65 &amp; RIGHT($C65, 1) &amp; " " &amp; "Comdty", "BID", "Fill=#N/A"), _xll.BDP(T$18 &amp; $B64 &amp; RIGHT($C64, 1) &amp; $B65 &amp; RIGHT($C65, 1) &amp; " " &amp; "Comdty", "ASK", "Fill=#N/A")), NA())</f>
        <v>#N/A</v>
      </c>
      <c r="U65" s="10">
        <f ca="1">IF($A65 &lt; Diagnostics!$B$3, N65, INDEX(ImpSprd[], MATCH(Futs!$C65, ImpSprd[Yr], 0), MATCH(U$18, ImpSprd[#Headers], 0)))</f>
        <v>0.17863636363636362</v>
      </c>
      <c r="V65" s="10">
        <f ca="1">IF($A65 &lt; Diagnostics!$B$3, O65, INDEX(ImpSprd[], MATCH(Futs!$C65, ImpSprd[Yr], 0), MATCH(V$18, ImpSprd[#Headers], 0)))</f>
        <v>0.11636363636363636</v>
      </c>
      <c r="W65" s="10">
        <f ca="1">IF($A65 &lt; Diagnostics!$B$3, P65, INDEX(ImpSprd[], MATCH(Futs!$C65, ImpSprd[Yr], 0), MATCH(W$18, ImpSprd[#Headers], 0)))</f>
        <v>1.0681818181818181</v>
      </c>
      <c r="X65" s="31" t="e">
        <f ca="1">INDEX(Expi[], MATCH($A65, Expi[Date], 0), MATCH(X$18, Expi[#Headers], 0))</f>
        <v>#N/A</v>
      </c>
      <c r="Y65" s="31" t="e">
        <f ca="1">INDEX(Expi[], MATCH($A65, Expi[Date], 0), MATCH(Y$18, Expi[#Headers], 0))</f>
        <v>#N/A</v>
      </c>
      <c r="Z65" s="31" t="e">
        <f ca="1">INDEX(Expi[], MATCH($A65, Expi[Date], 0), MATCH(Z$18, Expi[#Headers], 0))</f>
        <v>#N/A</v>
      </c>
      <c r="AA65" s="31" t="e">
        <f ca="1">INDEX(Expi[], MATCH($A65, Expi[Date], 0), MATCH(AA$18, Expi[#Headers], 0))</f>
        <v>#N/A</v>
      </c>
      <c r="AB65" s="31" t="e">
        <f ca="1">INDEX(Expi[], MATCH($A65, Expi[Date], 0), MATCH(AB$18, Expi[#Headers], 0))</f>
        <v>#N/A</v>
      </c>
      <c r="AC65" s="31" t="e">
        <f ca="1">INDEX(Expi[], MATCH($A65, Expi[Date], 0), MATCH(AC$18, Expi[#Headers], 0))</f>
        <v>#N/A</v>
      </c>
      <c r="AD65" s="7">
        <f ca="1">NETWORKDAYS($A65, EOMONTH($A65, 0), Hols[CME])</f>
        <v>23</v>
      </c>
      <c r="AE65" s="7">
        <f ca="1">NETWORKDAYS($A65, EOMONTH($A65, 0), Hols[ICE])</f>
        <v>23</v>
      </c>
      <c r="AF65" s="7">
        <f ca="1">NETWORKDAYS($A65, EOMONTH($A65, 0), Hols[ICE])</f>
        <v>23</v>
      </c>
      <c r="AG65" s="7">
        <f ca="1">NETWORKDAYS($A65, EOMONTH($A65, 0), Hols[CME])</f>
        <v>23</v>
      </c>
      <c r="AH65" s="7">
        <f ca="1">NETWORKDAYS($A65, EOMONTH($A65, 0), Hols[CME])</f>
        <v>23</v>
      </c>
      <c r="AI65" s="7">
        <f ca="1">NETWORKDAYS($A65, EOMONTH($A65, 0), Hols[ICE])</f>
        <v>23</v>
      </c>
      <c r="AJ65" s="7" t="e">
        <f ca="1">NETWORKDAYS($A65, X65, Hols[CME])</f>
        <v>#N/A</v>
      </c>
      <c r="AK65" s="7" t="e">
        <f ca="1">NETWORKDAYS($A65, Y65, Hols[ICE]) - 1</f>
        <v>#N/A</v>
      </c>
      <c r="AL65" s="7" t="e">
        <f ca="1">NETWORKDAYS($A65, Z65, Hols[ICE]) - 1</f>
        <v>#N/A</v>
      </c>
      <c r="AM65" s="7" t="e">
        <f ca="1">NETWORKDAYS($A65, AA65, Hols[CME])</f>
        <v>#N/A</v>
      </c>
      <c r="AN65" s="7" t="e">
        <f ca="1">NETWORKDAYS($A65, AB65, Hols[CME])</f>
        <v>#N/A</v>
      </c>
      <c r="AO65" s="7" t="e">
        <f ca="1">NETWORKDAYS($A65, AC65, Hols[ICE]) - 1</f>
        <v>#N/A</v>
      </c>
      <c r="AP65" s="10" t="e">
        <f t="shared" ca="1" si="67"/>
        <v>#N/A</v>
      </c>
      <c r="AQ65" s="10" t="e">
        <f t="shared" ca="1" si="68"/>
        <v>#N/A</v>
      </c>
      <c r="AR65" s="10" t="e">
        <f t="shared" ca="1" si="69"/>
        <v>#N/A</v>
      </c>
      <c r="AS65" s="10" t="e">
        <f t="shared" ca="1" si="70"/>
        <v>#N/A</v>
      </c>
      <c r="AT65" s="10" t="e">
        <f t="shared" ca="1" si="71"/>
        <v>#N/A</v>
      </c>
      <c r="AU65" s="10" t="e">
        <f t="shared" ca="1" si="71"/>
        <v>#N/A</v>
      </c>
      <c r="AV65" s="28">
        <f ca="1">IFERROR(AVERAGE(_xll.BDH(AV$18 &amp; $B65 &amp; RIGHT($C65, 1) &amp; " " &amp; "Comdty", "PX_SETTLE", AV$16, AV$16, "Fill=#N/A")), IFERROR(AVERAGE(_xll.BDH(AV$18 &amp; $B65 &amp; RIGHT($C65, 2) &amp; " " &amp; "Comdty", "PX_SETTLE", AV$16, AV$16, "Fill=#N/A")), NA()))</f>
        <v>65.02</v>
      </c>
      <c r="AW65" s="28">
        <f ca="1">IFERROR(AVERAGE(_xll.BDH(AW$18 &amp; $B65 &amp; RIGHT($C65, 1) &amp; " " &amp; "Comdty", "PX_SETTLE", AW$16, AW$16, "Fill=#N/A")), IFERROR(AVERAGE(_xll.BDH(AW$18 &amp; $B65 &amp; RIGHT($C65, 2) &amp; " " &amp; "Comdty", "PX_SETTLE", AW$16, AW$16, "Fill=#N/A")), NA()))</f>
        <v>70.819999999999993</v>
      </c>
      <c r="AX65" s="29">
        <f ca="1">IFERROR(AVERAGE(_xll.BDH(AX$18 &amp; $B65 &amp; RIGHT($C65, 2) &amp; " " &amp; "Comdty", "FAIR_VALUE_SNAPSHOT_AT_1430", AX$16, AX$16, "TIME_ZONE_OVERRIDE=13", "Fill=#N/A")), NA())</f>
        <v>773.25</v>
      </c>
      <c r="AY65" s="28" t="e">
        <f ca="1">IFERROR(AVERAGE(_xll.BDH(AY$18 &amp; $B65 &amp; RIGHT($C65, 1) &amp; " " &amp; "Comdty", "PX_SETTLE", AY$16, AY$16, "Fill=#N/A")), NA())</f>
        <v>#N/A</v>
      </c>
      <c r="AZ65" s="28" t="e">
        <f ca="1">IFERROR(AVERAGE(_xll.BDH(AZ$18 &amp; $B65 &amp; RIGHT($C65, 1) &amp; " " &amp; "Comdty", "PX_SETTLE", AZ$16, AZ$16, "Fill=#N/A")), NA())</f>
        <v>#N/A</v>
      </c>
      <c r="BA65" s="29" t="e">
        <f ca="1">IFERROR(AVERAGE(_xll.BDH(BA$18 &amp; $B65 &amp; RIGHT($C65, 2) &amp; " " &amp; "Comdty", "PX_SETTLE", BA$16, BA$16, "Fill=#N/A")), IFERROR(AVERAGE(_xll.BDH(BA$18 &amp; $B65 &amp; RIGHT($C65, 2) &amp; " " &amp; "Comdty", "PX_SETTLE", BA$16, BA$16, "Fill=#N/A")), NA()))</f>
        <v>#N/A</v>
      </c>
      <c r="BB65" s="29">
        <f ca="1">IFERROR(AVERAGE(_xll.BDH(BB$18 &amp; $B65 &amp; RIGHT($C65, 2) &amp; " " &amp; "Comdty", "PX_SETTLE", BB$16, BB$16, "Fill=#N/A")), IFERROR(AVERAGE(_xll.BDH(BB$18 &amp; $B65 &amp; RIGHT($C65, 2) &amp; " " &amp; "Comdty", "PX_SETTLE", BB$16, BB$16, "Fill=#N/A")), NA()))</f>
        <v>71.52</v>
      </c>
      <c r="BC65" s="29" t="e">
        <f ca="1">IFERROR(AVERAGE(_xll.BDH(BC$18 &amp; $B65 &amp; RIGHT($C65, 2) &amp; " " &amp; "Comdty", "PX_SETTLE", BC$16, BC$16, "Fill=#N/A")), IFERROR(AVERAGE(_xll.BDH(BC$18 &amp; $B65 &amp; RIGHT($C65, 2) &amp; " " &amp; "Comdty", "PX_SETTLE", BC$16, BC$16, "Fill=#N/A")), NA()))</f>
        <v>#N/A</v>
      </c>
      <c r="BD65" s="29" t="e">
        <f>NA()</f>
        <v>#N/A</v>
      </c>
      <c r="BE65" s="109">
        <f t="shared" ca="1" si="209"/>
        <v>64.704545454545567</v>
      </c>
      <c r="BF65" s="46">
        <f t="shared" ca="1" si="72"/>
        <v>-0.31545454545442908</v>
      </c>
      <c r="BG65" s="47">
        <f t="shared" ca="1" si="151"/>
        <v>0.17863636363635749</v>
      </c>
      <c r="BH65" s="114">
        <f t="shared" ca="1" si="223"/>
        <v>-2.1363636363645355E-2</v>
      </c>
      <c r="BI65" s="110">
        <f t="shared" ca="1" si="224"/>
        <v>70.334090909091103</v>
      </c>
      <c r="BJ65" s="46">
        <f t="shared" ca="1" si="73"/>
        <v>-0.48590909090889056</v>
      </c>
      <c r="BK65" s="48">
        <f t="shared" ca="1" si="225"/>
        <v>0.11636363636363001</v>
      </c>
      <c r="BL65" s="114">
        <f t="shared" ca="1" si="226"/>
        <v>-3.63636363637454E-3</v>
      </c>
      <c r="BM65" s="48">
        <f t="shared" ca="1" si="152"/>
        <v>752.45454545454584</v>
      </c>
      <c r="BN65" s="46">
        <f t="shared" ca="1" si="74"/>
        <v>-20.795454545454163</v>
      </c>
      <c r="BO65" s="47">
        <f t="shared" ca="1" si="210"/>
        <v>1.0681818181818699</v>
      </c>
      <c r="BP65" s="46">
        <f t="shared" ca="1" si="133"/>
        <v>0.31818181818186986</v>
      </c>
      <c r="BQ65" s="110" t="str">
        <f t="shared" ca="1" si="211"/>
        <v/>
      </c>
      <c r="BR65" s="46" t="str">
        <f t="shared" ca="1" si="75"/>
        <v/>
      </c>
      <c r="BS65" s="47" t="str">
        <f t="shared" ca="1" si="153"/>
        <v/>
      </c>
      <c r="BT65" s="114" t="str">
        <f t="shared" ca="1" si="154"/>
        <v/>
      </c>
      <c r="BU65" s="48" t="str">
        <f t="shared" ca="1" si="212"/>
        <v/>
      </c>
      <c r="BV65" s="46" t="str">
        <f t="shared" ca="1" si="76"/>
        <v/>
      </c>
      <c r="BW65" s="47" t="str">
        <f t="shared" ca="1" si="155"/>
        <v/>
      </c>
      <c r="BX65" s="46" t="str">
        <f t="shared" ca="1" si="156"/>
        <v/>
      </c>
      <c r="BY65" s="140" t="str">
        <f t="shared" ca="1" si="134"/>
        <v/>
      </c>
      <c r="BZ65" s="46" t="str">
        <f t="shared" ca="1" si="135"/>
        <v/>
      </c>
      <c r="CA65" s="47" t="str">
        <f t="shared" ca="1" si="157"/>
        <v/>
      </c>
      <c r="CB65" s="46" t="str">
        <f t="shared" ca="1" si="158"/>
        <v/>
      </c>
      <c r="CC65" s="141" t="str">
        <f t="shared" ca="1" si="136"/>
        <v/>
      </c>
      <c r="CD65" s="50" t="str">
        <f t="shared" ca="1" si="137"/>
        <v/>
      </c>
      <c r="CE65" s="47" t="str">
        <f t="shared" ca="1" si="159"/>
        <v/>
      </c>
      <c r="CF65" s="46" t="str">
        <f t="shared" ca="1" si="160"/>
        <v/>
      </c>
      <c r="CG65" s="141" t="str">
        <f t="shared" ca="1" si="138"/>
        <v/>
      </c>
      <c r="CH65" s="50" t="str">
        <f t="shared" ca="1" si="139"/>
        <v/>
      </c>
      <c r="CI65" s="47" t="str">
        <f t="shared" ca="1" si="161"/>
        <v/>
      </c>
      <c r="CJ65" s="46" t="str">
        <f t="shared" ca="1" si="162"/>
        <v/>
      </c>
      <c r="CK65" s="141" t="str">
        <f t="shared" ca="1" si="140"/>
        <v/>
      </c>
      <c r="CL65" s="50" t="str">
        <f t="shared" ca="1" si="77"/>
        <v/>
      </c>
      <c r="CM65" s="47" t="str">
        <f t="shared" ca="1" si="163"/>
        <v/>
      </c>
      <c r="CN65" s="46" t="str">
        <f t="shared" ca="1" si="164"/>
        <v/>
      </c>
      <c r="CO65" s="141" t="str">
        <f t="shared" ca="1" si="141"/>
        <v/>
      </c>
      <c r="CP65" s="50" t="str">
        <f t="shared" ca="1" si="78"/>
        <v/>
      </c>
      <c r="CQ65" s="47" t="str">
        <f t="shared" ca="1" si="165"/>
        <v/>
      </c>
      <c r="CR65" s="46" t="str">
        <f t="shared" ca="1" si="166"/>
        <v/>
      </c>
      <c r="CS65" s="109">
        <f t="shared" ca="1" si="79"/>
        <v>-5.6295454545455357</v>
      </c>
      <c r="CT65" s="46">
        <f t="shared" ca="1" si="80"/>
        <v>0.17045454545446148</v>
      </c>
      <c r="CU65" s="47">
        <f t="shared" ca="1" si="167"/>
        <v>6.2272727272727479E-2</v>
      </c>
      <c r="CV65" s="46">
        <f t="shared" ca="1" si="168"/>
        <v>0</v>
      </c>
      <c r="CW65" s="110" t="str">
        <f t="shared" ca="1" si="142"/>
        <v/>
      </c>
      <c r="CX65" s="46" t="str">
        <f t="shared" ca="1" si="81"/>
        <v/>
      </c>
      <c r="CY65" s="47" t="str">
        <f t="shared" ca="1" si="169"/>
        <v/>
      </c>
      <c r="CZ65" s="46" t="str">
        <f t="shared" ca="1" si="170"/>
        <v/>
      </c>
      <c r="DA65" s="109">
        <f t="shared" ca="1" si="82"/>
        <v>30.666519219035848</v>
      </c>
      <c r="DB65" s="46">
        <f t="shared" ca="1" si="83"/>
        <v>-2.3054270896889837</v>
      </c>
      <c r="DC65" s="47">
        <f t="shared" ca="1" si="171"/>
        <v>2.7016473459440249E-2</v>
      </c>
      <c r="DD65" s="46">
        <f t="shared" ca="1" si="233"/>
        <v>4.6345332519847293E-2</v>
      </c>
      <c r="DE65" s="110" t="str">
        <f t="shared" ca="1" si="84"/>
        <v/>
      </c>
      <c r="DF65" s="46" t="str">
        <f t="shared" ca="1" si="85"/>
        <v/>
      </c>
      <c r="DG65" s="47" t="str">
        <f t="shared" ca="1" si="172"/>
        <v/>
      </c>
      <c r="DH65" s="46" t="str">
        <f t="shared" ca="1" si="173"/>
        <v/>
      </c>
      <c r="DI65" s="110" t="str">
        <f t="shared" ca="1" si="86"/>
        <v/>
      </c>
      <c r="DJ65" s="46" t="str">
        <f t="shared" ca="1" si="87"/>
        <v/>
      </c>
      <c r="DK65" s="47" t="str">
        <f t="shared" ca="1" si="174"/>
        <v/>
      </c>
      <c r="DL65" s="46" t="str">
        <f t="shared" ca="1" si="175"/>
        <v/>
      </c>
      <c r="DM65" s="110" t="str">
        <f t="shared" ca="1" si="88"/>
        <v/>
      </c>
      <c r="DN65" s="46" t="str">
        <f t="shared" ca="1" si="89"/>
        <v/>
      </c>
      <c r="DO65" s="47" t="str">
        <f t="shared" ca="1" si="176"/>
        <v/>
      </c>
      <c r="DP65" s="47" t="str">
        <f t="shared" ca="1" si="177"/>
        <v/>
      </c>
      <c r="DQ65" s="110" t="str">
        <f t="shared" ca="1" si="90"/>
        <v/>
      </c>
      <c r="DR65" s="46" t="str">
        <f t="shared" ca="1" si="91"/>
        <v/>
      </c>
      <c r="DS65" s="47" t="str">
        <f t="shared" ca="1" si="178"/>
        <v/>
      </c>
      <c r="DT65" s="47" t="str">
        <f t="shared" ca="1" si="179"/>
        <v/>
      </c>
      <c r="DU65" s="109" t="str">
        <f t="shared" ca="1" si="92"/>
        <v/>
      </c>
      <c r="DV65" s="46" t="str">
        <f t="shared" ca="1" si="93"/>
        <v/>
      </c>
      <c r="DW65" s="47" t="str">
        <f t="shared" ca="1" si="180"/>
        <v/>
      </c>
      <c r="DX65" s="47" t="str">
        <f t="shared" ca="1" si="181"/>
        <v/>
      </c>
      <c r="DY65" s="110" t="str">
        <f t="shared" ca="1" si="94"/>
        <v/>
      </c>
      <c r="DZ65" s="46" t="str">
        <f t="shared" ca="1" si="95"/>
        <v/>
      </c>
      <c r="EA65" s="47" t="str">
        <f t="shared" ca="1" si="182"/>
        <v/>
      </c>
      <c r="EB65" s="47" t="str">
        <f t="shared" ca="1" si="183"/>
        <v/>
      </c>
      <c r="EC65" s="110" t="str">
        <f t="shared" ca="1" si="96"/>
        <v/>
      </c>
      <c r="ED65" s="46" t="str">
        <f t="shared" ca="1" si="97"/>
        <v/>
      </c>
      <c r="EE65" s="47" t="str">
        <f t="shared" ca="1" si="184"/>
        <v/>
      </c>
      <c r="EF65" s="47" t="str">
        <f t="shared" ca="1" si="185"/>
        <v/>
      </c>
      <c r="EG65" s="110" t="str">
        <f t="shared" ca="1" si="98"/>
        <v/>
      </c>
      <c r="EH65" s="46" t="str">
        <f t="shared" ca="1" si="99"/>
        <v/>
      </c>
      <c r="EI65" s="47" t="str">
        <f t="shared" ca="1" si="186"/>
        <v/>
      </c>
      <c r="EJ65" s="47" t="str">
        <f t="shared" ca="1" si="187"/>
        <v/>
      </c>
      <c r="EK65" s="110" t="str">
        <f t="shared" ca="1" si="100"/>
        <v/>
      </c>
      <c r="EL65" s="46" t="str">
        <f t="shared" ca="1" si="101"/>
        <v/>
      </c>
      <c r="EM65" s="47" t="str">
        <f t="shared" ca="1" si="188"/>
        <v/>
      </c>
      <c r="EN65" s="47" t="str">
        <f t="shared" ca="1" si="189"/>
        <v/>
      </c>
      <c r="EO65" s="109" t="str">
        <f t="shared" ca="1" si="102"/>
        <v/>
      </c>
      <c r="EP65" s="46" t="str">
        <f t="shared" ca="1" si="103"/>
        <v/>
      </c>
      <c r="EQ65" s="47" t="str">
        <f t="shared" ca="1" si="190"/>
        <v/>
      </c>
      <c r="ER65" s="47" t="str">
        <f t="shared" ca="1" si="191"/>
        <v/>
      </c>
      <c r="ES65" s="110" t="str">
        <f t="shared" ca="1" si="104"/>
        <v/>
      </c>
      <c r="ET65" s="46" t="str">
        <f t="shared" ca="1" si="105"/>
        <v/>
      </c>
      <c r="EU65" s="47" t="str">
        <f t="shared" ca="1" si="192"/>
        <v/>
      </c>
      <c r="EV65" s="47" t="str">
        <f t="shared" ca="1" si="193"/>
        <v/>
      </c>
      <c r="EW65" s="109" t="str">
        <f t="shared" ca="1" si="106"/>
        <v/>
      </c>
      <c r="EX65" s="46" t="str">
        <f t="shared" ca="1" si="107"/>
        <v/>
      </c>
      <c r="EY65" s="47" t="str">
        <f t="shared" ca="1" si="194"/>
        <v/>
      </c>
      <c r="EZ65" s="47" t="str">
        <f t="shared" ca="1" si="195"/>
        <v/>
      </c>
      <c r="FA65" s="110" t="str">
        <f t="shared" ca="1" si="108"/>
        <v/>
      </c>
      <c r="FB65" s="46" t="str">
        <f t="shared" ca="1" si="109"/>
        <v/>
      </c>
      <c r="FC65" s="47" t="str">
        <f t="shared" ca="1" si="196"/>
        <v/>
      </c>
      <c r="FD65" s="47" t="str">
        <f t="shared" ca="1" si="197"/>
        <v/>
      </c>
      <c r="FE65" s="109" t="str">
        <f t="shared" ca="1" si="110"/>
        <v/>
      </c>
      <c r="FF65" s="46" t="str">
        <f t="shared" ca="1" si="111"/>
        <v/>
      </c>
      <c r="FG65" s="110" t="str">
        <f t="shared" ca="1" si="112"/>
        <v/>
      </c>
      <c r="FH65" s="46" t="str">
        <f t="shared" ca="1" si="113"/>
        <v/>
      </c>
      <c r="FI65" s="110" t="str">
        <f t="shared" ca="1" si="114"/>
        <v/>
      </c>
      <c r="FJ65" s="46" t="str">
        <f t="shared" ca="1" si="115"/>
        <v/>
      </c>
      <c r="FK65" s="110" t="str">
        <f t="shared" ca="1" si="116"/>
        <v/>
      </c>
      <c r="FL65" s="46" t="str">
        <f t="shared" ca="1" si="117"/>
        <v/>
      </c>
      <c r="FM65" s="110" t="str">
        <f t="shared" ca="1" si="118"/>
        <v/>
      </c>
      <c r="FN65" s="46" t="str">
        <f t="shared" ca="1" si="119"/>
        <v/>
      </c>
      <c r="FO65" s="110" t="str">
        <f t="shared" ca="1" si="120"/>
        <v/>
      </c>
      <c r="FP65" s="46" t="str">
        <f t="shared" ca="1" si="121"/>
        <v/>
      </c>
      <c r="FQ65" s="110" t="str">
        <f t="shared" ca="1" si="122"/>
        <v/>
      </c>
      <c r="FR65" s="46" t="str">
        <f t="shared" ca="1" si="123"/>
        <v/>
      </c>
      <c r="FS65" s="110" t="str">
        <f t="shared" ca="1" si="124"/>
        <v/>
      </c>
      <c r="FT65" s="111" t="str">
        <f t="shared" ca="1" si="125"/>
        <v/>
      </c>
      <c r="FU65" s="109" t="str">
        <f t="shared" ca="1" si="232"/>
        <v/>
      </c>
      <c r="FV65" s="46" t="str">
        <f t="shared" ca="1" si="213"/>
        <v/>
      </c>
      <c r="FW65" s="48" t="str">
        <f t="shared" ca="1" si="227"/>
        <v/>
      </c>
      <c r="FX65" s="114" t="str">
        <f t="shared" ca="1" si="228"/>
        <v/>
      </c>
      <c r="FY65" s="110" t="str">
        <f t="shared" ca="1" si="214"/>
        <v/>
      </c>
      <c r="FZ65" s="46" t="str">
        <f t="shared" ca="1" si="215"/>
        <v/>
      </c>
      <c r="GA65" s="47" t="str">
        <f t="shared" ca="1" si="216"/>
        <v/>
      </c>
      <c r="GB65" s="46" t="str">
        <f t="shared" ca="1" si="229"/>
        <v/>
      </c>
      <c r="GC65" s="110" t="str">
        <f ca="1">IFERROR(IF(AND(ISNUMBER($FU65), ISNUMBER(Crd!$X65)), $FU65 - Crd!$X65, ""), "")</f>
        <v/>
      </c>
      <c r="GD65" s="46" t="str">
        <f ca="1">IFERROR(IF(AND(ISNUMBER($FV65), ISNUMBER(Crd!$Y65)), $FV65 - Crd!$Y65, ""), "")</f>
        <v/>
      </c>
      <c r="GE65" s="47" t="str">
        <f t="shared" ca="1" si="217"/>
        <v/>
      </c>
      <c r="GF65" s="46" t="str">
        <f t="shared" ca="1" si="218"/>
        <v/>
      </c>
      <c r="GG65" s="141" t="str">
        <f t="shared" ca="1" si="198"/>
        <v/>
      </c>
      <c r="GH65" s="50" t="str">
        <f t="shared" ca="1" si="199"/>
        <v/>
      </c>
      <c r="GI65" s="47" t="str">
        <f t="shared" ca="1" si="144"/>
        <v/>
      </c>
      <c r="GJ65" s="46" t="str">
        <f t="shared" ca="1" si="145"/>
        <v/>
      </c>
      <c r="GK65" s="110" t="str">
        <f t="shared" ca="1" si="127"/>
        <v/>
      </c>
      <c r="GL65" s="46" t="str">
        <f t="shared" ca="1" si="128"/>
        <v/>
      </c>
      <c r="GM65" s="47" t="str">
        <f t="shared" ca="1" si="200"/>
        <v/>
      </c>
      <c r="GN65" s="46" t="str">
        <f t="shared" ca="1" si="201"/>
        <v/>
      </c>
      <c r="GO65" s="110" t="str">
        <f ca="1">IFERROR(IF(AND(ISNUMBER($GG65), ISNUMBER(Crd!$X65)), $GG65 - Crd!$X65, ""), "")</f>
        <v/>
      </c>
      <c r="GP65" s="46" t="str">
        <f ca="1">IFERROR(IF(AND(ISNUMBER($GH65), ISNUMBER(Crd!$Y65)), $GH65 - Crd!$Y65, ""), "")</f>
        <v/>
      </c>
      <c r="GQ65" s="47" t="str">
        <f t="shared" ca="1" si="202"/>
        <v/>
      </c>
      <c r="GR65" s="46" t="str">
        <f t="shared" ca="1" si="203"/>
        <v/>
      </c>
      <c r="GS65" s="436" t="str">
        <f t="shared" ca="1" si="219"/>
        <v/>
      </c>
      <c r="GT65" s="46" t="str">
        <f t="shared" ca="1" si="220"/>
        <v/>
      </c>
      <c r="GU65" s="48" t="str">
        <f t="shared" ca="1" si="230"/>
        <v/>
      </c>
      <c r="GV65" s="46" t="str">
        <f t="shared" ca="1" si="231"/>
        <v/>
      </c>
      <c r="GW65" s="427" t="str">
        <f t="shared" ca="1" si="204"/>
        <v/>
      </c>
      <c r="GX65" s="50" t="str">
        <f t="shared" ca="1" si="146"/>
        <v/>
      </c>
      <c r="GY65" s="47" t="str">
        <f t="shared" ca="1" si="205"/>
        <v/>
      </c>
      <c r="GZ65" s="432" t="str">
        <f t="shared" ca="1" si="206"/>
        <v/>
      </c>
      <c r="HA65" s="436"/>
      <c r="HB65" s="46"/>
      <c r="HC65" s="48"/>
      <c r="HD65" s="46"/>
      <c r="HE65" s="269"/>
      <c r="HF65" s="46"/>
      <c r="HG65" s="48"/>
      <c r="HH65" s="432"/>
    </row>
    <row r="66" spans="1:216" ht="15.75" thickBot="1" x14ac:dyDescent="0.3">
      <c r="A66" s="58">
        <f t="shared" ca="1" si="131"/>
        <v>47696</v>
      </c>
      <c r="B66" s="6" t="str">
        <f ca="1">INDEX(MthRef[], MATCH(MONTH(Futs!$A66), MthRef[Mth], 0), 2)</f>
        <v>Q</v>
      </c>
      <c r="C66" s="6">
        <f t="shared" ca="1" si="65"/>
        <v>2030</v>
      </c>
      <c r="D66" s="6" t="str">
        <f t="shared" ca="1" si="66"/>
        <v>Q330</v>
      </c>
      <c r="E66" s="6" t="str">
        <f t="shared" ca="1" si="132"/>
        <v>Q0</v>
      </c>
      <c r="F66" s="10" t="e">
        <f ca="1">IFERROR(AVERAGE(_xll.BDP(F$18 &amp; $B66 &amp; RIGHT($C66, 1) &amp; " " &amp; "Comdty", "BID", "Fill=#N/A"), _xll.BDP(F$18 &amp; $B66 &amp; RIGHT($C66, 1) &amp; " " &amp; "Comdty", "ASK", "Fill=#N/A")), NA())</f>
        <v>#N/A</v>
      </c>
      <c r="G66" s="10" t="e">
        <f ca="1">IFERROR(AVERAGE(_xll.BDP(G$18 &amp; $B66 &amp; RIGHT($C66, 1) &amp; " " &amp; "Comdty", "BID", "Fill=#N/A"), _xll.BDP(G$18 &amp; $B66 &amp; RIGHT($C66, 1) &amp; " " &amp; "Comdty", "ASK", "Fill=#N/A")), NA())</f>
        <v>#N/A</v>
      </c>
      <c r="H66" s="10" t="e">
        <f ca="1">IFERROR(AVERAGE(_xll.BDP(H$18 &amp; $B66 &amp; RIGHT($C66, 1) &amp; " " &amp; "Comdty", "BID", "Fill=#N/A"), _xll.BDP(H$18 &amp; $B66 &amp; RIGHT($C66, 1) &amp; " " &amp; "Comdty", "ASK", "Fill=#N/A")), NA())</f>
        <v>#N/A</v>
      </c>
      <c r="I66" s="10" t="e">
        <f ca="1">IFERROR(AVERAGE(_xll.BDP(I$18 &amp; $B66 &amp; RIGHT($C66, 1) &amp; " " &amp; "Comdty", "BID", "Fill=#N/A"), _xll.BDP(I$18 &amp; $B66 &amp; RIGHT($C66, 1) &amp; " " &amp; "Comdty", "ASK", "Fill=#N/A")), NA())</f>
        <v>#N/A</v>
      </c>
      <c r="J66" s="10" t="e">
        <f ca="1">IFERROR(AVERAGE(_xll.BDP(J$18 &amp; $B66 &amp; RIGHT($C66, 1) &amp; " " &amp; "Comdty", "BID", "Fill=#N/A"), _xll.BDP(J$18 &amp; $B66 &amp; RIGHT($C66, 1) &amp; " " &amp; "Comdty", "ASK", "Fill=#N/A")), NA())</f>
        <v>#N/A</v>
      </c>
      <c r="K66" s="10" t="e">
        <f ca="1">IFERROR(AVERAGE(_xll.BDP(K$18 &amp; $B66 &amp; RIGHT($C66, 2) &amp; " " &amp; "Comdty", "BID", "Fill=#N/A"), _xll.BDP(K$18 &amp; $B66 &amp; RIGHT($C66, 2) &amp; " " &amp; "Comdty", "ASK", "Fill=#N/A")), NA())</f>
        <v>#N/A</v>
      </c>
      <c r="L66" s="10" t="e">
        <f ca="1">IFERROR(AVERAGE(_xll.BDP(L$18 &amp; $B66 &amp; RIGHT($C66, 2) &amp; " " &amp; "Comdty", "BID", "Fill=#N/A"), _xll.BDP(L$18 &amp; $B66 &amp; RIGHT($C66, 2) &amp; " " &amp; "Comdty", "ASK", "Fill=#N/A")), NA())</f>
        <v>#N/A</v>
      </c>
      <c r="M66" s="10" t="e">
        <f ca="1">IFERROR(AVERAGE(_xll.BDP(M$18 &amp; $B66 &amp; RIGHT($C66, 2) &amp; " " &amp; "Comdty", "BID", "Fill=#N/A"), _xll.BDP(M$18 &amp; $B66 &amp; RIGHT($C66, 2) &amp; " " &amp; "Comdty", "ASK", "Fill=#N/A")), NA())</f>
        <v>#N/A</v>
      </c>
      <c r="N66" s="10" t="e">
        <f ca="1">IFERROR(AVERAGE(_xll.BDP(N$18 &amp; $B65 &amp; RIGHT($C65, 1) &amp; N$18 &amp; $B66 &amp; RIGHT($C66, 1) &amp; " " &amp; "Comdty", "BID", "Fill=#N/A"), _xll.BDP(N$18 &amp; $B65 &amp; RIGHT($C65, 1) &amp; N$18 &amp; $B66 &amp; RIGHT($C66, 1) &amp; " " &amp; "Comdty", "ASK", "Fill=#N/A")), NA())</f>
        <v>#N/A</v>
      </c>
      <c r="O66" s="10" t="e">
        <f ca="1">IFERROR(AVERAGE(_xll.BDP(O$18 &amp; $B65 &amp; RIGHT($C65, 1) &amp; O$18 &amp; $B66 &amp; RIGHT($C66, 1) &amp; " " &amp; "Comdty", "BID", "Fill=#N/A"), _xll.BDP(O$18 &amp; $B65 &amp; RIGHT($C65, 1) &amp; O$18 &amp; $B66 &amp; RIGHT($C66, 1) &amp; " " &amp; "Comdty", "ASK", "Fill=#N/A")), NA())</f>
        <v>#N/A</v>
      </c>
      <c r="P66" s="10" t="e">
        <f ca="1">IFERROR(AVERAGE(_xll.BDP(P$18 &amp; $B65 &amp; RIGHT($C65, 1) &amp; P$18 &amp; $B66 &amp; RIGHT($C66, 1) &amp; " " &amp; "Comdty", "BID", "Fill=#N/A"), _xll.BDP(P$18 &amp; $B65 &amp; RIGHT($C65, 1) &amp; P$18 &amp; $B66 &amp; RIGHT($C66, 1) &amp; " " &amp; "Comdty", "ASK", "Fill=#N/A")), NA())</f>
        <v>#N/A</v>
      </c>
      <c r="Q66" s="10" t="e">
        <f ca="1">IFERROR(AVERAGE(_xll.BDP(Q$18 &amp; $B65 &amp; RIGHT($C65, 1) &amp; Q$18 &amp; $B66 &amp; RIGHT($C66, 1) &amp; " " &amp; "Comdty", "BID", "Fill=#N/A"), _xll.BDP(Q$18 &amp; $B65 &amp; RIGHT($C65, 1) &amp; Q$18 &amp; $B66 &amp; RIGHT($C66, 1) &amp; " " &amp; "Comdty", "ASK", "Fill=#N/A")), NA())</f>
        <v>#N/A</v>
      </c>
      <c r="R66" s="10" t="e">
        <f ca="1">IFERROR(AVERAGE(_xll.BDP(R$18 &amp; $B65 &amp; RIGHT($C65, 1) &amp; R$18 &amp; $B66 &amp; RIGHT($C66, 1) &amp; " " &amp; "Comdty", "BID", "Fill=#N/A"), _xll.BDP(R$18 &amp; $B65 &amp; RIGHT($C65, 1) &amp; R$18 &amp; $B66 &amp; RIGHT($C66, 1) &amp; " " &amp; "Comdty", "ASK", "Fill=#N/A")), NA())</f>
        <v>#N/A</v>
      </c>
      <c r="S66" s="10" t="e">
        <f ca="1">IFERROR(AVERAGE(_xll.BDP(S$18 &amp; $B65 &amp; RIGHT($C65, 1) &amp; $B66 &amp; RIGHT($C66, 1) &amp; " " &amp; "Comdty", "BID", "Fill=#N/A"), _xll.BDP(S$18 &amp; $B65 &amp; RIGHT($C65, 1) &amp; $B66 &amp; RIGHT($C66, 1) &amp; " " &amp; "Comdty", "ASK", "Fill=#N/A")), NA())</f>
        <v>#N/A</v>
      </c>
      <c r="T66" s="10" t="e">
        <f ca="1">IFERROR(AVERAGE(_xll.BDP(T$18 &amp; $B65 &amp; RIGHT($C65, 1) &amp; $B66 &amp; RIGHT($C66, 1) &amp; " " &amp; "Comdty", "BID", "Fill=#N/A"), _xll.BDP(T$18 &amp; $B65 &amp; RIGHT($C65, 1) &amp; $B66 &amp; RIGHT($C66, 1) &amp; " " &amp; "Comdty", "ASK", "Fill=#N/A")), NA())</f>
        <v>#N/A</v>
      </c>
      <c r="U66" s="10">
        <f ca="1">IF($A66 &lt; Diagnostics!$B$3, N66, INDEX(ImpSprd[], MATCH(Futs!$C66, ImpSprd[Yr], 0), MATCH(U$18, ImpSprd[#Headers], 0)))</f>
        <v>0.17863636363636362</v>
      </c>
      <c r="V66" s="10">
        <f ca="1">IF($A66 &lt; Diagnostics!$B$3, O66, INDEX(ImpSprd[], MATCH(Futs!$C66, ImpSprd[Yr], 0), MATCH(V$18, ImpSprd[#Headers], 0)))</f>
        <v>0.11636363636363636</v>
      </c>
      <c r="W66" s="10">
        <f ca="1">IF($A66 &lt; Diagnostics!$B$3, P66, INDEX(ImpSprd[], MATCH(Futs!$C66, ImpSprd[Yr], 0), MATCH(W$18, ImpSprd[#Headers], 0)))</f>
        <v>1.0681818181818181</v>
      </c>
      <c r="X66" s="31" t="e">
        <f ca="1">INDEX(Expi[], MATCH($A66, Expi[Date], 0), MATCH(X$18, Expi[#Headers], 0))</f>
        <v>#N/A</v>
      </c>
      <c r="Y66" s="31" t="e">
        <f ca="1">INDEX(Expi[], MATCH($A66, Expi[Date], 0), MATCH(Y$18, Expi[#Headers], 0))</f>
        <v>#N/A</v>
      </c>
      <c r="Z66" s="31" t="e">
        <f ca="1">INDEX(Expi[], MATCH($A66, Expi[Date], 0), MATCH(Z$18, Expi[#Headers], 0))</f>
        <v>#N/A</v>
      </c>
      <c r="AA66" s="31" t="e">
        <f ca="1">INDEX(Expi[], MATCH($A66, Expi[Date], 0), MATCH(AA$18, Expi[#Headers], 0))</f>
        <v>#N/A</v>
      </c>
      <c r="AB66" s="31" t="e">
        <f ca="1">INDEX(Expi[], MATCH($A66, Expi[Date], 0), MATCH(AB$18, Expi[#Headers], 0))</f>
        <v>#N/A</v>
      </c>
      <c r="AC66" s="31" t="e">
        <f ca="1">INDEX(Expi[], MATCH($A66, Expi[Date], 0), MATCH(AC$18, Expi[#Headers], 0))</f>
        <v>#N/A</v>
      </c>
      <c r="AD66" s="7">
        <f ca="1">NETWORKDAYS($A66, EOMONTH($A66, 0), Hols[CME])</f>
        <v>22</v>
      </c>
      <c r="AE66" s="7">
        <f ca="1">NETWORKDAYS($A66, EOMONTH($A66, 0), Hols[ICE])</f>
        <v>22</v>
      </c>
      <c r="AF66" s="7">
        <f ca="1">NETWORKDAYS($A66, EOMONTH($A66, 0), Hols[ICE])</f>
        <v>22</v>
      </c>
      <c r="AG66" s="7">
        <f ca="1">NETWORKDAYS($A66, EOMONTH($A66, 0), Hols[CME])</f>
        <v>22</v>
      </c>
      <c r="AH66" s="7">
        <f ca="1">NETWORKDAYS($A66, EOMONTH($A66, 0), Hols[CME])</f>
        <v>22</v>
      </c>
      <c r="AI66" s="7">
        <f ca="1">NETWORKDAYS($A66, EOMONTH($A66, 0), Hols[ICE])</f>
        <v>22</v>
      </c>
      <c r="AJ66" s="7" t="e">
        <f ca="1">NETWORKDAYS($A66, X66, Hols[CME])</f>
        <v>#N/A</v>
      </c>
      <c r="AK66" s="7" t="e">
        <f ca="1">NETWORKDAYS($A66, Y66, Hols[ICE]) - 1</f>
        <v>#N/A</v>
      </c>
      <c r="AL66" s="7" t="e">
        <f ca="1">NETWORKDAYS($A66, Z66, Hols[ICE]) - 1</f>
        <v>#N/A</v>
      </c>
      <c r="AM66" s="7" t="e">
        <f ca="1">NETWORKDAYS($A66, AA66, Hols[CME])</f>
        <v>#N/A</v>
      </c>
      <c r="AN66" s="7" t="e">
        <f ca="1">NETWORKDAYS($A66, AB66, Hols[CME])</f>
        <v>#N/A</v>
      </c>
      <c r="AO66" s="7" t="e">
        <f ca="1">NETWORKDAYS($A66, AC66, Hols[ICE]) - 1</f>
        <v>#N/A</v>
      </c>
      <c r="AP66" s="10" t="e">
        <f t="shared" ca="1" si="67"/>
        <v>#N/A</v>
      </c>
      <c r="AQ66" s="10" t="e">
        <f t="shared" ca="1" si="68"/>
        <v>#N/A</v>
      </c>
      <c r="AR66" s="10" t="e">
        <f t="shared" ca="1" si="69"/>
        <v>#N/A</v>
      </c>
      <c r="AS66" s="10" t="e">
        <f t="shared" ca="1" si="70"/>
        <v>#N/A</v>
      </c>
      <c r="AT66" s="10" t="e">
        <f t="shared" ca="1" si="71"/>
        <v>#N/A</v>
      </c>
      <c r="AU66" s="10" t="e">
        <f t="shared" ca="1" si="71"/>
        <v>#N/A</v>
      </c>
      <c r="AV66" s="28">
        <f ca="1">IFERROR(AVERAGE(_xll.BDH(AV$18 &amp; $B66 &amp; RIGHT($C66, 1) &amp; " " &amp; "Comdty", "PX_SETTLE", AV$16, AV$16, "Fill=#N/A")), IFERROR(AVERAGE(_xll.BDH(AV$18 &amp; $B66 &amp; RIGHT($C66, 2) &amp; " " &amp; "Comdty", "PX_SETTLE", AV$16, AV$16, "Fill=#N/A")), NA()))</f>
        <v>64.86</v>
      </c>
      <c r="AW66" s="28">
        <f ca="1">IFERROR(AVERAGE(_xll.BDH(AW$18 &amp; $B66 &amp; RIGHT($C66, 1) &amp; " " &amp; "Comdty", "PX_SETTLE", AW$16, AW$16, "Fill=#N/A")), IFERROR(AVERAGE(_xll.BDH(AW$18 &amp; $B66 &amp; RIGHT($C66, 2) &amp; " " &amp; "Comdty", "PX_SETTLE", AW$16, AW$16, "Fill=#N/A")), NA()))</f>
        <v>70.7</v>
      </c>
      <c r="AX66" s="29">
        <f ca="1">IFERROR(AVERAGE(_xll.BDH(AX$18 &amp; $B66 &amp; RIGHT($C66, 2) &amp; " " &amp; "Comdty", "FAIR_VALUE_SNAPSHOT_AT_1430", AX$16, AX$16, "TIME_ZONE_OVERRIDE=13", "Fill=#N/A")), NA())</f>
        <v>772.75</v>
      </c>
      <c r="AY66" s="28" t="e">
        <f ca="1">IFERROR(AVERAGE(_xll.BDH(AY$18 &amp; $B66 &amp; RIGHT($C66, 1) &amp; " " &amp; "Comdty", "PX_SETTLE", AY$16, AY$16, "Fill=#N/A")), NA())</f>
        <v>#N/A</v>
      </c>
      <c r="AZ66" s="28" t="e">
        <f ca="1">IFERROR(AVERAGE(_xll.BDH(AZ$18 &amp; $B66 &amp; RIGHT($C66, 1) &amp; " " &amp; "Comdty", "PX_SETTLE", AZ$16, AZ$16, "Fill=#N/A")), NA())</f>
        <v>#N/A</v>
      </c>
      <c r="BA66" s="29" t="e">
        <f ca="1">IFERROR(AVERAGE(_xll.BDH(BA$18 &amp; $B66 &amp; RIGHT($C66, 2) &amp; " " &amp; "Comdty", "PX_SETTLE", BA$16, BA$16, "Fill=#N/A")), IFERROR(AVERAGE(_xll.BDH(BA$18 &amp; $B66 &amp; RIGHT($C66, 2) &amp; " " &amp; "Comdty", "PX_SETTLE", BA$16, BA$16, "Fill=#N/A")), NA()))</f>
        <v>#N/A</v>
      </c>
      <c r="BB66" s="29">
        <f ca="1">IFERROR(AVERAGE(_xll.BDH(BB$18 &amp; $B66 &amp; RIGHT($C66, 2) &amp; " " &amp; "Comdty", "PX_SETTLE", BB$16, BB$16, "Fill=#N/A")), IFERROR(AVERAGE(_xll.BDH(BB$18 &amp; $B66 &amp; RIGHT($C66, 2) &amp; " " &amp; "Comdty", "PX_SETTLE", BB$16, BB$16, "Fill=#N/A")), NA()))</f>
        <v>71.400000000000006</v>
      </c>
      <c r="BC66" s="29" t="e">
        <f ca="1">IFERROR(AVERAGE(_xll.BDH(BC$18 &amp; $B66 &amp; RIGHT($C66, 2) &amp; " " &amp; "Comdty", "PX_SETTLE", BC$16, BC$16, "Fill=#N/A")), IFERROR(AVERAGE(_xll.BDH(BC$18 &amp; $B66 &amp; RIGHT($C66, 2) &amp; " " &amp; "Comdty", "PX_SETTLE", BC$16, BC$16, "Fill=#N/A")), NA()))</f>
        <v>#N/A</v>
      </c>
      <c r="BD66" s="29" t="e">
        <f>NA()</f>
        <v>#N/A</v>
      </c>
      <c r="BE66" s="130">
        <f t="shared" ca="1" si="209"/>
        <v>64.525909090909209</v>
      </c>
      <c r="BF66" s="133">
        <f t="shared" ca="1" si="72"/>
        <v>-0.33409090909078998</v>
      </c>
      <c r="BG66" s="142">
        <f t="shared" ca="1" si="151"/>
        <v>0.17863636363635749</v>
      </c>
      <c r="BH66" s="137">
        <f t="shared" ca="1" si="223"/>
        <v>1.8636363636360898E-2</v>
      </c>
      <c r="BI66" s="134">
        <f t="shared" ca="1" si="224"/>
        <v>70.217727272727473</v>
      </c>
      <c r="BJ66" s="133">
        <f t="shared" ca="1" si="73"/>
        <v>-0.48227272727253023</v>
      </c>
      <c r="BK66" s="132">
        <f t="shared" ca="1" si="225"/>
        <v>0.11636363636363001</v>
      </c>
      <c r="BL66" s="137">
        <f t="shared" ca="1" si="226"/>
        <v>-3.6363636363603291E-3</v>
      </c>
      <c r="BM66" s="132">
        <f t="shared" ca="1" si="152"/>
        <v>751.38636363636397</v>
      </c>
      <c r="BN66" s="133">
        <f t="shared" ca="1" si="74"/>
        <v>-21.363636363636033</v>
      </c>
      <c r="BO66" s="142">
        <f t="shared" ca="1" si="210"/>
        <v>1.0681818181818699</v>
      </c>
      <c r="BP66" s="133">
        <f t="shared" ca="1" si="133"/>
        <v>0.56818181818186986</v>
      </c>
      <c r="BQ66" s="134" t="str">
        <f t="shared" ca="1" si="211"/>
        <v/>
      </c>
      <c r="BR66" s="133" t="str">
        <f t="shared" ca="1" si="75"/>
        <v/>
      </c>
      <c r="BS66" s="142" t="str">
        <f t="shared" ca="1" si="153"/>
        <v/>
      </c>
      <c r="BT66" s="137" t="str">
        <f t="shared" ca="1" si="154"/>
        <v/>
      </c>
      <c r="BU66" s="132" t="str">
        <f t="shared" ca="1" si="212"/>
        <v/>
      </c>
      <c r="BV66" s="133" t="str">
        <f t="shared" ca="1" si="76"/>
        <v/>
      </c>
      <c r="BW66" s="142" t="str">
        <f t="shared" ca="1" si="155"/>
        <v/>
      </c>
      <c r="BX66" s="133" t="str">
        <f t="shared" ca="1" si="156"/>
        <v/>
      </c>
      <c r="BY66" s="143" t="str">
        <f t="shared" ca="1" si="134"/>
        <v/>
      </c>
      <c r="BZ66" s="133" t="str">
        <f t="shared" ca="1" si="135"/>
        <v/>
      </c>
      <c r="CA66" s="142" t="str">
        <f t="shared" ca="1" si="157"/>
        <v/>
      </c>
      <c r="CB66" s="133" t="str">
        <f t="shared" ca="1" si="158"/>
        <v/>
      </c>
      <c r="CC66" s="144" t="str">
        <f t="shared" ca="1" si="136"/>
        <v/>
      </c>
      <c r="CD66" s="131" t="str">
        <f t="shared" ca="1" si="137"/>
        <v/>
      </c>
      <c r="CE66" s="142" t="str">
        <f t="shared" ca="1" si="159"/>
        <v/>
      </c>
      <c r="CF66" s="133" t="str">
        <f t="shared" ca="1" si="160"/>
        <v/>
      </c>
      <c r="CG66" s="144" t="str">
        <f t="shared" ca="1" si="138"/>
        <v/>
      </c>
      <c r="CH66" s="131" t="str">
        <f t="shared" ca="1" si="139"/>
        <v/>
      </c>
      <c r="CI66" s="142" t="str">
        <f t="shared" ca="1" si="161"/>
        <v/>
      </c>
      <c r="CJ66" s="133" t="str">
        <f t="shared" ca="1" si="162"/>
        <v/>
      </c>
      <c r="CK66" s="144" t="str">
        <f t="shared" ca="1" si="140"/>
        <v/>
      </c>
      <c r="CL66" s="131" t="str">
        <f t="shared" ca="1" si="77"/>
        <v/>
      </c>
      <c r="CM66" s="142" t="str">
        <f t="shared" ca="1" si="163"/>
        <v/>
      </c>
      <c r="CN66" s="133" t="str">
        <f t="shared" ca="1" si="164"/>
        <v/>
      </c>
      <c r="CO66" s="144" t="str">
        <f t="shared" ca="1" si="141"/>
        <v/>
      </c>
      <c r="CP66" s="131" t="str">
        <f t="shared" ca="1" si="78"/>
        <v/>
      </c>
      <c r="CQ66" s="142" t="str">
        <f t="shared" ca="1" si="165"/>
        <v/>
      </c>
      <c r="CR66" s="133" t="str">
        <f t="shared" ca="1" si="166"/>
        <v/>
      </c>
      <c r="CS66" s="130">
        <f t="shared" ca="1" si="79"/>
        <v>-5.6918181818182632</v>
      </c>
      <c r="CT66" s="133">
        <f t="shared" ca="1" si="80"/>
        <v>0.14818181818174025</v>
      </c>
      <c r="CU66" s="142">
        <f t="shared" ca="1" si="167"/>
        <v>6.2272727272727479E-2</v>
      </c>
      <c r="CV66" s="133">
        <f t="shared" ca="1" si="168"/>
        <v>0</v>
      </c>
      <c r="CW66" s="134" t="str">
        <f t="shared" ca="1" si="142"/>
        <v/>
      </c>
      <c r="CX66" s="133" t="str">
        <f t="shared" ca="1" si="81"/>
        <v/>
      </c>
      <c r="CY66" s="142" t="str">
        <f t="shared" ca="1" si="169"/>
        <v/>
      </c>
      <c r="CZ66" s="133" t="str">
        <f t="shared" ca="1" si="170"/>
        <v/>
      </c>
      <c r="DA66" s="130">
        <f t="shared" ca="1" si="82"/>
        <v>30.639502745576408</v>
      </c>
      <c r="DB66" s="133">
        <f t="shared" ca="1" si="83"/>
        <v>-2.3853294691886822</v>
      </c>
      <c r="DC66" s="142">
        <f t="shared" ca="1" si="171"/>
        <v>2.7016473459440249E-2</v>
      </c>
      <c r="DD66" s="133">
        <f t="shared" ca="1" si="233"/>
        <v>7.9902379499698473E-2</v>
      </c>
      <c r="DE66" s="134" t="str">
        <f t="shared" ca="1" si="84"/>
        <v/>
      </c>
      <c r="DF66" s="133" t="str">
        <f t="shared" ca="1" si="85"/>
        <v/>
      </c>
      <c r="DG66" s="142" t="str">
        <f t="shared" ca="1" si="172"/>
        <v/>
      </c>
      <c r="DH66" s="133" t="str">
        <f t="shared" ca="1" si="173"/>
        <v/>
      </c>
      <c r="DI66" s="134" t="str">
        <f t="shared" ca="1" si="86"/>
        <v/>
      </c>
      <c r="DJ66" s="133" t="str">
        <f t="shared" ca="1" si="87"/>
        <v/>
      </c>
      <c r="DK66" s="142" t="str">
        <f t="shared" ca="1" si="174"/>
        <v/>
      </c>
      <c r="DL66" s="133" t="str">
        <f t="shared" ca="1" si="175"/>
        <v/>
      </c>
      <c r="DM66" s="134" t="str">
        <f t="shared" ca="1" si="88"/>
        <v/>
      </c>
      <c r="DN66" s="133" t="str">
        <f t="shared" ca="1" si="89"/>
        <v/>
      </c>
      <c r="DO66" s="142" t="str">
        <f t="shared" ca="1" si="176"/>
        <v/>
      </c>
      <c r="DP66" s="142" t="str">
        <f t="shared" ca="1" si="177"/>
        <v/>
      </c>
      <c r="DQ66" s="134" t="str">
        <f t="shared" ca="1" si="90"/>
        <v/>
      </c>
      <c r="DR66" s="133" t="str">
        <f t="shared" ca="1" si="91"/>
        <v/>
      </c>
      <c r="DS66" s="142" t="str">
        <f t="shared" ca="1" si="178"/>
        <v/>
      </c>
      <c r="DT66" s="142" t="str">
        <f t="shared" ca="1" si="179"/>
        <v/>
      </c>
      <c r="DU66" s="130" t="str">
        <f t="shared" ca="1" si="92"/>
        <v/>
      </c>
      <c r="DV66" s="133" t="str">
        <f t="shared" ca="1" si="93"/>
        <v/>
      </c>
      <c r="DW66" s="142" t="str">
        <f t="shared" ca="1" si="180"/>
        <v/>
      </c>
      <c r="DX66" s="142" t="str">
        <f t="shared" ca="1" si="181"/>
        <v/>
      </c>
      <c r="DY66" s="134" t="str">
        <f t="shared" ca="1" si="94"/>
        <v/>
      </c>
      <c r="DZ66" s="133" t="str">
        <f t="shared" ca="1" si="95"/>
        <v/>
      </c>
      <c r="EA66" s="142" t="str">
        <f t="shared" ca="1" si="182"/>
        <v/>
      </c>
      <c r="EB66" s="142" t="str">
        <f t="shared" ca="1" si="183"/>
        <v/>
      </c>
      <c r="EC66" s="134" t="str">
        <f t="shared" ca="1" si="96"/>
        <v/>
      </c>
      <c r="ED66" s="133" t="str">
        <f t="shared" ca="1" si="97"/>
        <v/>
      </c>
      <c r="EE66" s="142" t="str">
        <f t="shared" ca="1" si="184"/>
        <v/>
      </c>
      <c r="EF66" s="142" t="str">
        <f t="shared" ca="1" si="185"/>
        <v/>
      </c>
      <c r="EG66" s="134" t="str">
        <f t="shared" ca="1" si="98"/>
        <v/>
      </c>
      <c r="EH66" s="133" t="str">
        <f t="shared" ca="1" si="99"/>
        <v/>
      </c>
      <c r="EI66" s="142" t="str">
        <f t="shared" ca="1" si="186"/>
        <v/>
      </c>
      <c r="EJ66" s="142" t="str">
        <f t="shared" ca="1" si="187"/>
        <v/>
      </c>
      <c r="EK66" s="134" t="str">
        <f t="shared" ca="1" si="100"/>
        <v/>
      </c>
      <c r="EL66" s="133" t="str">
        <f t="shared" ca="1" si="101"/>
        <v/>
      </c>
      <c r="EM66" s="142" t="str">
        <f t="shared" ca="1" si="188"/>
        <v/>
      </c>
      <c r="EN66" s="142" t="str">
        <f t="shared" ca="1" si="189"/>
        <v/>
      </c>
      <c r="EO66" s="130" t="str">
        <f t="shared" ca="1" si="102"/>
        <v/>
      </c>
      <c r="EP66" s="133" t="str">
        <f t="shared" ca="1" si="103"/>
        <v/>
      </c>
      <c r="EQ66" s="142" t="str">
        <f t="shared" ca="1" si="190"/>
        <v/>
      </c>
      <c r="ER66" s="142" t="str">
        <f t="shared" ca="1" si="191"/>
        <v/>
      </c>
      <c r="ES66" s="134" t="str">
        <f t="shared" ca="1" si="104"/>
        <v/>
      </c>
      <c r="ET66" s="133" t="str">
        <f t="shared" ca="1" si="105"/>
        <v/>
      </c>
      <c r="EU66" s="142" t="str">
        <f t="shared" ca="1" si="192"/>
        <v/>
      </c>
      <c r="EV66" s="142" t="str">
        <f t="shared" ca="1" si="193"/>
        <v/>
      </c>
      <c r="EW66" s="130" t="str">
        <f t="shared" ca="1" si="106"/>
        <v/>
      </c>
      <c r="EX66" s="133" t="str">
        <f t="shared" ca="1" si="107"/>
        <v/>
      </c>
      <c r="EY66" s="142" t="str">
        <f t="shared" ca="1" si="194"/>
        <v/>
      </c>
      <c r="EZ66" s="142" t="str">
        <f t="shared" ca="1" si="195"/>
        <v/>
      </c>
      <c r="FA66" s="134" t="str">
        <f t="shared" ca="1" si="108"/>
        <v/>
      </c>
      <c r="FB66" s="133" t="str">
        <f t="shared" ca="1" si="109"/>
        <v/>
      </c>
      <c r="FC66" s="142" t="str">
        <f t="shared" ca="1" si="196"/>
        <v/>
      </c>
      <c r="FD66" s="142" t="str">
        <f t="shared" ca="1" si="197"/>
        <v/>
      </c>
      <c r="FE66" s="130" t="str">
        <f t="shared" ca="1" si="110"/>
        <v/>
      </c>
      <c r="FF66" s="133" t="str">
        <f t="shared" ca="1" si="111"/>
        <v/>
      </c>
      <c r="FG66" s="134" t="str">
        <f t="shared" ca="1" si="112"/>
        <v/>
      </c>
      <c r="FH66" s="133" t="str">
        <f t="shared" ca="1" si="113"/>
        <v/>
      </c>
      <c r="FI66" s="134" t="str">
        <f t="shared" ca="1" si="114"/>
        <v/>
      </c>
      <c r="FJ66" s="133" t="str">
        <f t="shared" ca="1" si="115"/>
        <v/>
      </c>
      <c r="FK66" s="134" t="str">
        <f t="shared" ca="1" si="116"/>
        <v/>
      </c>
      <c r="FL66" s="133" t="str">
        <f t="shared" ca="1" si="117"/>
        <v/>
      </c>
      <c r="FM66" s="134" t="str">
        <f t="shared" ca="1" si="118"/>
        <v/>
      </c>
      <c r="FN66" s="133" t="str">
        <f t="shared" ca="1" si="119"/>
        <v/>
      </c>
      <c r="FO66" s="134" t="str">
        <f t="shared" ca="1" si="120"/>
        <v/>
      </c>
      <c r="FP66" s="133" t="str">
        <f t="shared" ca="1" si="121"/>
        <v/>
      </c>
      <c r="FQ66" s="134" t="str">
        <f t="shared" ca="1" si="122"/>
        <v/>
      </c>
      <c r="FR66" s="133" t="str">
        <f t="shared" ca="1" si="123"/>
        <v/>
      </c>
      <c r="FS66" s="134" t="str">
        <f t="shared" ca="1" si="124"/>
        <v/>
      </c>
      <c r="FT66" s="135" t="str">
        <f t="shared" ca="1" si="125"/>
        <v/>
      </c>
      <c r="FU66" s="130" t="str">
        <f t="shared" ca="1" si="232"/>
        <v/>
      </c>
      <c r="FV66" s="133" t="str">
        <f t="shared" ca="1" si="213"/>
        <v/>
      </c>
      <c r="FW66" s="132" t="str">
        <f t="shared" ca="1" si="227"/>
        <v/>
      </c>
      <c r="FX66" s="137" t="str">
        <f t="shared" ca="1" si="228"/>
        <v/>
      </c>
      <c r="FY66" s="134" t="str">
        <f t="shared" ca="1" si="214"/>
        <v/>
      </c>
      <c r="FZ66" s="133" t="str">
        <f t="shared" ca="1" si="215"/>
        <v/>
      </c>
      <c r="GA66" s="142" t="str">
        <f t="shared" ca="1" si="216"/>
        <v/>
      </c>
      <c r="GB66" s="133" t="str">
        <f t="shared" ca="1" si="229"/>
        <v/>
      </c>
      <c r="GC66" s="134" t="str">
        <f ca="1">IFERROR(IF(AND(ISNUMBER($FU66), ISNUMBER(Crd!$X66)), $FU66 - Crd!$X66, ""), "")</f>
        <v/>
      </c>
      <c r="GD66" s="133" t="str">
        <f ca="1">IFERROR(IF(AND(ISNUMBER($FV66), ISNUMBER(Crd!$Y66)), $FV66 - Crd!$Y66, ""), "")</f>
        <v/>
      </c>
      <c r="GE66" s="142" t="str">
        <f t="shared" ca="1" si="217"/>
        <v/>
      </c>
      <c r="GF66" s="133" t="str">
        <f t="shared" ca="1" si="218"/>
        <v/>
      </c>
      <c r="GG66" s="144" t="str">
        <f t="shared" ca="1" si="198"/>
        <v/>
      </c>
      <c r="GH66" s="131" t="str">
        <f t="shared" ca="1" si="199"/>
        <v/>
      </c>
      <c r="GI66" s="142" t="str">
        <f t="shared" ca="1" si="144"/>
        <v/>
      </c>
      <c r="GJ66" s="133" t="str">
        <f t="shared" ca="1" si="145"/>
        <v/>
      </c>
      <c r="GK66" s="134" t="str">
        <f t="shared" ca="1" si="127"/>
        <v/>
      </c>
      <c r="GL66" s="133" t="str">
        <f t="shared" ca="1" si="128"/>
        <v/>
      </c>
      <c r="GM66" s="142" t="str">
        <f t="shared" ca="1" si="200"/>
        <v/>
      </c>
      <c r="GN66" s="133" t="str">
        <f t="shared" ca="1" si="201"/>
        <v/>
      </c>
      <c r="GO66" s="134" t="str">
        <f ca="1">IFERROR(IF(AND(ISNUMBER($GG66), ISNUMBER(Crd!$X66)), $GG66 - Crd!$X66, ""), "")</f>
        <v/>
      </c>
      <c r="GP66" s="133" t="str">
        <f ca="1">IFERROR(IF(AND(ISNUMBER($GH66), ISNUMBER(Crd!$Y66)), $GH66 - Crd!$Y66, ""), "")</f>
        <v/>
      </c>
      <c r="GQ66" s="142" t="str">
        <f t="shared" ca="1" si="202"/>
        <v/>
      </c>
      <c r="GR66" s="133" t="str">
        <f t="shared" ca="1" si="203"/>
        <v/>
      </c>
      <c r="GS66" s="439" t="str">
        <f t="shared" ca="1" si="219"/>
        <v/>
      </c>
      <c r="GT66" s="464" t="str">
        <f t="shared" ca="1" si="220"/>
        <v/>
      </c>
      <c r="GU66" s="465" t="str">
        <f t="shared" ca="1" si="230"/>
        <v/>
      </c>
      <c r="GV66" s="464" t="str">
        <f t="shared" ca="1" si="231"/>
        <v/>
      </c>
      <c r="GW66" s="474" t="str">
        <f t="shared" ca="1" si="204"/>
        <v/>
      </c>
      <c r="GX66" s="471" t="str">
        <f t="shared" ca="1" si="146"/>
        <v/>
      </c>
      <c r="GY66" s="472" t="str">
        <f t="shared" ca="1" si="205"/>
        <v/>
      </c>
      <c r="GZ66" s="434" t="str">
        <f t="shared" ca="1" si="206"/>
        <v/>
      </c>
      <c r="HA66" s="439"/>
      <c r="HB66" s="464"/>
      <c r="HC66" s="465"/>
      <c r="HD66" s="464"/>
      <c r="HE66" s="481"/>
      <c r="HF66" s="464"/>
      <c r="HG66" s="465"/>
      <c r="HH66" s="434"/>
    </row>
    <row r="67" spans="1:216" x14ac:dyDescent="0.25">
      <c r="A67" s="60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10" t="e">
        <f ca="1">IFERROR(AVERAGE(_xll.BDP(S$18 &amp; $B66 &amp; RIGHT($C66, 1) &amp; $B67 &amp; RIGHT($C67, 1) &amp; " " &amp; "Comdty", "BID", "Fill=#N/A"), _xll.BDP(S$18 &amp; $B66 &amp; RIGHT($C66, 1) &amp; $B67 &amp; RIGHT($C67, 1) &amp; " " &amp; "Comdty", "ASK", "Fill=#N/A")), NA())</f>
        <v>#N/A</v>
      </c>
      <c r="T67" s="10" t="e">
        <f ca="1">IFERROR(AVERAGE(_xll.BDP(T$18 &amp; $B66 &amp; RIGHT($C66, 1) &amp; $B67 &amp; RIGHT($C67, 1) &amp; " " &amp; "Comdty", "BID", "Fill=#N/A"), _xll.BDP(T$18 &amp; $B66 &amp; RIGHT($C66, 1) &amp; $B67 &amp; RIGHT($C67, 1) &amp; " " &amp; "Comdty", "ASK", "Fill=#N/A")), NA())</f>
        <v>#N/A</v>
      </c>
      <c r="U67" s="48"/>
      <c r="V67" s="48"/>
      <c r="W67" s="48"/>
      <c r="AI67" s="49"/>
      <c r="AO67" s="49"/>
      <c r="AP67" s="48"/>
      <c r="AQ67" s="48"/>
      <c r="AR67" s="48"/>
      <c r="AS67" s="48"/>
      <c r="AT67" s="48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8"/>
      <c r="BF67" s="48" t="str">
        <f>""</f>
        <v/>
      </c>
      <c r="BG67" s="62"/>
      <c r="BH67" s="53"/>
      <c r="BI67" s="48"/>
      <c r="BJ67" s="53"/>
      <c r="BK67" s="63"/>
      <c r="BL67" s="53"/>
      <c r="BM67" s="48"/>
      <c r="BN67" s="48"/>
      <c r="BO67" s="62"/>
      <c r="BP67" s="62" t="str">
        <f t="shared" ca="1" si="133"/>
        <v/>
      </c>
      <c r="BQ67" s="48"/>
      <c r="BR67" s="48"/>
      <c r="BS67" s="62"/>
      <c r="BT67" s="62" t="str">
        <f t="shared" ca="1" si="154"/>
        <v/>
      </c>
      <c r="BU67" s="48"/>
      <c r="BV67" s="48"/>
      <c r="BW67" s="62"/>
      <c r="BX67" s="62" t="str">
        <f t="shared" ca="1" si="156"/>
        <v/>
      </c>
      <c r="BY67" s="49"/>
      <c r="BZ67" s="48"/>
      <c r="CA67" s="62"/>
      <c r="CB67" s="62" t="str">
        <f t="shared" ca="1" si="158"/>
        <v/>
      </c>
      <c r="CC67" s="49"/>
      <c r="CD67" s="49"/>
      <c r="CE67" s="62"/>
      <c r="CF67" s="62" t="str">
        <f t="shared" ca="1" si="160"/>
        <v/>
      </c>
      <c r="CG67" s="49"/>
      <c r="CH67" s="64"/>
      <c r="CI67" s="62"/>
      <c r="CJ67" s="62" t="str">
        <f t="shared" ca="1" si="162"/>
        <v/>
      </c>
      <c r="CK67" s="49"/>
      <c r="CL67" s="64"/>
      <c r="CM67" s="62"/>
      <c r="CN67" s="62" t="str">
        <f t="shared" ca="1" si="164"/>
        <v/>
      </c>
      <c r="CO67" s="49"/>
      <c r="CP67" s="64"/>
      <c r="CQ67" s="62"/>
      <c r="CR67" s="62" t="str">
        <f t="shared" ca="1" si="166"/>
        <v/>
      </c>
      <c r="CS67" s="48"/>
      <c r="CT67" s="48"/>
      <c r="CU67" s="62"/>
      <c r="CV67" s="62" t="str">
        <f t="shared" ca="1" si="168"/>
        <v/>
      </c>
      <c r="CW67" s="48"/>
      <c r="CX67" s="48"/>
      <c r="CY67" s="62"/>
      <c r="CZ67" s="62" t="str">
        <f t="shared" ca="1" si="170"/>
        <v/>
      </c>
      <c r="DA67" s="48"/>
      <c r="DB67" s="53"/>
      <c r="DC67" s="62"/>
      <c r="DD67" s="62" t="str">
        <f t="shared" ca="1" si="233"/>
        <v/>
      </c>
      <c r="DE67" s="48"/>
      <c r="DG67" s="62"/>
      <c r="DH67" s="62" t="str">
        <f t="shared" ca="1" si="173"/>
        <v/>
      </c>
      <c r="DI67" s="48"/>
      <c r="DJ67" s="48"/>
      <c r="DK67" s="62"/>
      <c r="DL67" s="62" t="str">
        <f t="shared" ca="1" si="175"/>
        <v/>
      </c>
      <c r="DM67" s="48"/>
      <c r="DN67" s="53"/>
      <c r="DO67" s="62"/>
      <c r="DP67" s="62" t="str">
        <f t="shared" ca="1" si="177"/>
        <v/>
      </c>
      <c r="DQ67" s="48"/>
      <c r="DR67" s="48"/>
      <c r="DS67" s="62"/>
      <c r="DT67" s="62" t="str">
        <f t="shared" ca="1" si="179"/>
        <v/>
      </c>
      <c r="DU67" s="48"/>
      <c r="DV67" s="48"/>
      <c r="DW67" s="62"/>
      <c r="DX67" s="62" t="str">
        <f t="shared" ca="1" si="181"/>
        <v/>
      </c>
      <c r="DY67" s="48"/>
      <c r="DZ67" s="48"/>
      <c r="EA67" s="62"/>
      <c r="EB67" s="62" t="str">
        <f t="shared" ca="1" si="183"/>
        <v/>
      </c>
      <c r="EC67" s="48"/>
      <c r="ED67" s="48"/>
      <c r="EE67" s="62"/>
      <c r="EF67" s="62" t="str">
        <f t="shared" ca="1" si="185"/>
        <v/>
      </c>
      <c r="EG67" s="48"/>
      <c r="EH67" s="48"/>
      <c r="EI67" s="62"/>
      <c r="EJ67" s="62" t="str">
        <f t="shared" ca="1" si="187"/>
        <v/>
      </c>
      <c r="EK67" s="48"/>
      <c r="EL67" s="48"/>
      <c r="EM67" s="62"/>
      <c r="EN67" s="62" t="str">
        <f t="shared" ca="1" si="189"/>
        <v/>
      </c>
      <c r="EO67" s="48"/>
      <c r="EP67" s="48"/>
      <c r="EQ67" s="62"/>
      <c r="ER67" s="62" t="str">
        <f t="shared" ca="1" si="191"/>
        <v/>
      </c>
      <c r="ES67" s="48"/>
      <c r="ET67" s="53"/>
      <c r="EU67" s="62"/>
      <c r="EV67" s="62" t="str">
        <f t="shared" ca="1" si="193"/>
        <v/>
      </c>
      <c r="EW67" s="48"/>
      <c r="EX67" s="48"/>
      <c r="EY67" s="62"/>
      <c r="EZ67" s="62" t="str">
        <f t="shared" ca="1" si="195"/>
        <v/>
      </c>
      <c r="FA67" s="48"/>
      <c r="FB67" s="48"/>
      <c r="FC67" s="62"/>
      <c r="FD67" s="62" t="str">
        <f t="shared" ca="1" si="197"/>
        <v/>
      </c>
      <c r="FU67" s="48"/>
      <c r="FV67" s="53"/>
      <c r="FW67" s="63"/>
      <c r="FX67" s="53"/>
      <c r="FY67" s="48"/>
      <c r="FZ67" s="53"/>
      <c r="GA67" s="62"/>
      <c r="GB67" s="62" t="str">
        <f t="shared" ca="1" si="229"/>
        <v/>
      </c>
      <c r="GC67" s="48"/>
      <c r="GD67" s="53"/>
      <c r="GE67" s="62"/>
      <c r="GF67" s="62"/>
      <c r="GG67" s="49"/>
      <c r="GH67" s="49"/>
      <c r="GI67" s="62"/>
      <c r="GJ67" s="62" t="str">
        <f t="shared" ca="1" si="145"/>
        <v/>
      </c>
      <c r="GK67" s="48"/>
      <c r="GL67" s="53"/>
      <c r="GM67" s="62"/>
      <c r="GN67" s="62" t="str">
        <f t="shared" ca="1" si="201"/>
        <v/>
      </c>
      <c r="GO67" s="48"/>
      <c r="GP67" s="53"/>
      <c r="GQ67" s="62"/>
      <c r="GR67" s="62" t="str">
        <f t="shared" ca="1" si="203"/>
        <v/>
      </c>
      <c r="GS67" s="48"/>
      <c r="GT67" s="53"/>
      <c r="GU67" s="63"/>
      <c r="GV67" s="53"/>
      <c r="GW67" s="49"/>
      <c r="GX67" s="49"/>
      <c r="GY67" s="62"/>
      <c r="GZ67" s="62" t="str">
        <f t="shared" ca="1" si="206"/>
        <v/>
      </c>
      <c r="HA67" s="48"/>
      <c r="HB67" s="53"/>
      <c r="HC67" s="63"/>
      <c r="HD67" s="53"/>
      <c r="HE67" s="48"/>
      <c r="HF67" s="53"/>
      <c r="HG67" s="63"/>
      <c r="HH67" s="53"/>
    </row>
    <row r="68" spans="1:216" x14ac:dyDescent="0.25">
      <c r="A68" s="60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9"/>
      <c r="AW68" s="49"/>
      <c r="AX68" s="49"/>
      <c r="AY68" s="49"/>
      <c r="AZ68" s="49"/>
      <c r="BA68" s="49"/>
      <c r="BB68" s="49"/>
      <c r="BC68" s="49"/>
      <c r="BD68" s="49"/>
      <c r="BE68" s="48"/>
      <c r="BF68" s="48"/>
      <c r="BG68" s="47"/>
      <c r="BH68" s="53"/>
      <c r="BI68" s="48"/>
      <c r="BJ68" s="53"/>
      <c r="BK68" s="48"/>
      <c r="BL68" s="53"/>
      <c r="BM68" s="48"/>
      <c r="BN68" s="48"/>
      <c r="BO68" s="47"/>
      <c r="BP68" s="47"/>
      <c r="BQ68" s="48"/>
      <c r="BR68" s="48"/>
      <c r="BS68" s="47"/>
      <c r="BT68" s="47"/>
      <c r="BU68" s="48"/>
      <c r="BV68" s="48"/>
      <c r="BW68" s="47"/>
      <c r="BX68" s="47"/>
      <c r="BZ68" s="48"/>
      <c r="CA68" s="47"/>
      <c r="CB68" s="47"/>
      <c r="CE68" s="47"/>
      <c r="CF68" s="47"/>
      <c r="CI68" s="47"/>
      <c r="CJ68" s="47"/>
      <c r="CM68" s="47"/>
      <c r="CN68" s="47"/>
      <c r="CQ68" s="47"/>
      <c r="CR68" s="47"/>
      <c r="CU68" s="47"/>
      <c r="CV68" s="47"/>
      <c r="CY68" s="47"/>
      <c r="CZ68" s="47"/>
      <c r="DC68" s="47"/>
      <c r="DD68" s="47"/>
      <c r="DG68" s="47"/>
      <c r="DH68" s="47"/>
      <c r="DK68" s="47"/>
      <c r="DL68" s="47"/>
      <c r="DO68" s="47"/>
      <c r="DP68" s="47"/>
      <c r="DS68" s="47"/>
      <c r="DT68" s="47"/>
      <c r="DW68" s="47"/>
      <c r="DX68" s="47"/>
      <c r="EA68" s="47"/>
      <c r="EB68" s="47"/>
      <c r="EE68" s="47"/>
      <c r="EF68" s="47"/>
      <c r="EI68" s="47"/>
      <c r="EJ68" s="47"/>
      <c r="EM68" s="47"/>
      <c r="EN68" s="47"/>
      <c r="EQ68" s="47"/>
      <c r="ER68" s="47"/>
      <c r="EU68" s="47"/>
      <c r="EV68" s="47"/>
      <c r="EY68" s="47"/>
      <c r="EZ68" s="47"/>
      <c r="FC68" s="47"/>
      <c r="FD68" s="47"/>
      <c r="FU68" s="48"/>
      <c r="FV68" s="53"/>
      <c r="FW68" s="48"/>
      <c r="FX68" s="53"/>
      <c r="GA68" s="47"/>
      <c r="GB68" s="47"/>
      <c r="GE68" s="47"/>
      <c r="GF68" s="47"/>
      <c r="GI68" s="47"/>
      <c r="GJ68" s="47"/>
      <c r="GM68" s="47"/>
      <c r="GN68" s="47"/>
      <c r="GQ68" s="47"/>
      <c r="GR68" s="47"/>
      <c r="GS68" s="48"/>
      <c r="GT68" s="53"/>
      <c r="GU68" s="48"/>
      <c r="GV68" s="53"/>
      <c r="GY68" s="47"/>
      <c r="GZ68" s="47"/>
      <c r="HA68" s="48"/>
      <c r="HB68" s="53"/>
      <c r="HC68" s="48"/>
      <c r="HD68" s="53"/>
      <c r="HE68" s="48"/>
      <c r="HF68" s="53"/>
      <c r="HG68" s="48"/>
      <c r="HH68" s="53"/>
    </row>
    <row r="69" spans="1:216" x14ac:dyDescent="0.25">
      <c r="A69" s="60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9"/>
      <c r="AW69" s="49"/>
      <c r="AX69" s="49"/>
      <c r="AY69" s="49"/>
      <c r="AZ69" s="49"/>
      <c r="BA69" s="49"/>
      <c r="BB69" s="49"/>
      <c r="BC69" s="49"/>
      <c r="BD69" s="49"/>
      <c r="BE69" s="48"/>
      <c r="BF69" s="48"/>
      <c r="BG69" s="47"/>
      <c r="BH69" s="53"/>
      <c r="BI69" s="48"/>
      <c r="BJ69" s="53"/>
      <c r="BK69" s="48"/>
      <c r="BL69" s="53"/>
      <c r="BM69" s="48"/>
      <c r="BN69" s="48"/>
      <c r="BO69" s="47"/>
      <c r="BP69" s="47"/>
      <c r="BQ69" s="48"/>
      <c r="BR69" s="48"/>
      <c r="BS69" s="47"/>
      <c r="BT69" s="47"/>
      <c r="BU69" s="48"/>
      <c r="BV69" s="48"/>
      <c r="BW69" s="47"/>
      <c r="BX69" s="47"/>
      <c r="BZ69" s="48"/>
      <c r="CA69" s="47"/>
      <c r="CB69" s="47"/>
      <c r="CE69" s="47"/>
      <c r="CF69" s="47"/>
      <c r="CI69" s="47"/>
      <c r="CJ69" s="47"/>
      <c r="CM69" s="47"/>
      <c r="CN69" s="47"/>
      <c r="CQ69" s="47"/>
      <c r="CR69" s="47"/>
      <c r="CU69" s="47"/>
      <c r="CV69" s="47"/>
      <c r="CY69" s="47"/>
      <c r="CZ69" s="47"/>
      <c r="DC69" s="47"/>
      <c r="DD69" s="47"/>
      <c r="DG69" s="47"/>
      <c r="DH69" s="47"/>
      <c r="DK69" s="47"/>
      <c r="DL69" s="47"/>
      <c r="DO69" s="47"/>
      <c r="DP69" s="47"/>
      <c r="DS69" s="47"/>
      <c r="DT69" s="47"/>
      <c r="DW69" s="47"/>
      <c r="DX69" s="47"/>
      <c r="EA69" s="47"/>
      <c r="EB69" s="47"/>
      <c r="EE69" s="47"/>
      <c r="EF69" s="47"/>
      <c r="EI69" s="47"/>
      <c r="EJ69" s="47"/>
      <c r="EM69" s="47"/>
      <c r="EN69" s="47"/>
      <c r="EQ69" s="47"/>
      <c r="ER69" s="47"/>
      <c r="EU69" s="47"/>
      <c r="EV69" s="47"/>
      <c r="EY69" s="47"/>
      <c r="EZ69" s="47"/>
      <c r="FC69" s="47"/>
      <c r="FD69" s="47"/>
      <c r="FU69" s="48"/>
      <c r="FV69" s="53"/>
      <c r="FW69" s="48"/>
      <c r="FX69" s="53"/>
      <c r="GA69" s="47"/>
      <c r="GB69" s="47"/>
      <c r="GE69" s="47"/>
      <c r="GF69" s="47"/>
      <c r="GI69" s="47"/>
      <c r="GJ69" s="47"/>
      <c r="GM69" s="47"/>
      <c r="GN69" s="47"/>
      <c r="GQ69" s="47"/>
      <c r="GR69" s="47"/>
      <c r="GS69" s="48"/>
      <c r="GT69" s="53"/>
      <c r="GU69" s="48"/>
      <c r="GV69" s="53"/>
      <c r="GY69" s="47"/>
      <c r="GZ69" s="47"/>
      <c r="HA69" s="48"/>
      <c r="HB69" s="53"/>
      <c r="HC69" s="48"/>
      <c r="HD69" s="53"/>
      <c r="HE69" s="48"/>
      <c r="HF69" s="53"/>
      <c r="HG69" s="48"/>
      <c r="HH69" s="53"/>
    </row>
    <row r="70" spans="1:216" x14ac:dyDescent="0.25">
      <c r="A70" s="60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9"/>
      <c r="AW70" s="49"/>
      <c r="AX70" s="49"/>
      <c r="AY70" s="49"/>
      <c r="AZ70" s="49"/>
      <c r="BA70" s="49"/>
      <c r="BB70" s="49"/>
      <c r="BC70" s="49"/>
      <c r="BD70" s="49"/>
      <c r="BE70" s="48"/>
      <c r="BF70" s="48"/>
      <c r="BG70" s="47"/>
      <c r="BH70" s="53"/>
      <c r="BI70" s="48"/>
      <c r="BJ70" s="53"/>
      <c r="BK70" s="48"/>
      <c r="BL70" s="53"/>
      <c r="BM70" s="48"/>
      <c r="BN70" s="48"/>
      <c r="BO70" s="47"/>
      <c r="BP70" s="47"/>
      <c r="BQ70" s="48"/>
      <c r="BR70" s="48"/>
      <c r="BS70" s="47"/>
      <c r="BT70" s="47"/>
      <c r="BU70" s="48"/>
      <c r="BV70" s="48"/>
      <c r="BW70" s="47"/>
      <c r="BX70" s="47"/>
      <c r="BZ70" s="48"/>
      <c r="CA70" s="47"/>
      <c r="CB70" s="47"/>
      <c r="CE70" s="47"/>
      <c r="CF70" s="47"/>
      <c r="CI70" s="47"/>
      <c r="CJ70" s="47"/>
      <c r="CM70" s="47"/>
      <c r="CN70" s="47"/>
      <c r="CQ70" s="47"/>
      <c r="CR70" s="47"/>
      <c r="CU70" s="47"/>
      <c r="CV70" s="47"/>
      <c r="CY70" s="47"/>
      <c r="CZ70" s="47"/>
      <c r="DC70" s="47"/>
      <c r="DD70" s="47"/>
      <c r="DG70" s="47"/>
      <c r="DH70" s="47"/>
      <c r="DK70" s="47"/>
      <c r="DL70" s="47"/>
      <c r="DO70" s="47"/>
      <c r="DP70" s="47"/>
      <c r="DS70" s="47"/>
      <c r="DT70" s="47"/>
      <c r="DW70" s="47"/>
      <c r="DX70" s="47"/>
      <c r="EA70" s="47"/>
      <c r="EB70" s="47"/>
      <c r="EE70" s="47"/>
      <c r="EF70" s="47"/>
      <c r="EI70" s="47"/>
      <c r="EJ70" s="47"/>
      <c r="EM70" s="47"/>
      <c r="EN70" s="47"/>
      <c r="EQ70" s="47"/>
      <c r="ER70" s="47"/>
      <c r="EU70" s="47"/>
      <c r="EV70" s="47"/>
      <c r="EY70" s="47"/>
      <c r="EZ70" s="47"/>
      <c r="FC70" s="47"/>
      <c r="FD70" s="47"/>
      <c r="FU70" s="48"/>
      <c r="FV70" s="53"/>
      <c r="FW70" s="48"/>
      <c r="FX70" s="53"/>
      <c r="GA70" s="47"/>
      <c r="GB70" s="47"/>
      <c r="GE70" s="47"/>
      <c r="GF70" s="47"/>
      <c r="GI70" s="47"/>
      <c r="GJ70" s="47"/>
      <c r="GM70" s="47"/>
      <c r="GN70" s="47"/>
      <c r="GQ70" s="47"/>
      <c r="GR70" s="47"/>
      <c r="GS70" s="48"/>
      <c r="GT70" s="53"/>
      <c r="GU70" s="48"/>
      <c r="GV70" s="53"/>
      <c r="GY70" s="47"/>
      <c r="GZ70" s="47"/>
      <c r="HA70" s="48"/>
      <c r="HB70" s="53"/>
      <c r="HC70" s="48"/>
      <c r="HD70" s="53"/>
      <c r="HE70" s="48"/>
      <c r="HF70" s="53"/>
      <c r="HG70" s="48"/>
      <c r="HH70" s="53"/>
    </row>
    <row r="71" spans="1:216" x14ac:dyDescent="0.25">
      <c r="A71" s="60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  <c r="AW71" s="49"/>
      <c r="AX71" s="49"/>
      <c r="AY71" s="49"/>
      <c r="AZ71" s="49"/>
      <c r="BA71" s="49"/>
      <c r="BB71" s="49"/>
      <c r="BC71" s="49"/>
      <c r="BD71" s="49"/>
      <c r="BE71" s="48"/>
      <c r="BF71" s="48"/>
      <c r="BG71" s="47"/>
      <c r="BH71" s="53"/>
      <c r="BI71" s="48"/>
      <c r="BJ71" s="53"/>
      <c r="BK71" s="48"/>
      <c r="BL71" s="53"/>
      <c r="BM71" s="48"/>
      <c r="BN71" s="48"/>
      <c r="BO71" s="47"/>
      <c r="BP71" s="47"/>
      <c r="BQ71" s="48"/>
      <c r="BR71" s="48"/>
      <c r="BS71" s="47"/>
      <c r="BT71" s="47"/>
      <c r="BU71" s="48"/>
      <c r="BV71" s="48"/>
      <c r="BW71" s="47"/>
      <c r="BX71" s="47"/>
      <c r="BZ71" s="48"/>
      <c r="CA71" s="47"/>
      <c r="CB71" s="47"/>
      <c r="CE71" s="47"/>
      <c r="CF71" s="47"/>
      <c r="CI71" s="47"/>
      <c r="CJ71" s="47"/>
      <c r="CM71" s="47"/>
      <c r="CN71" s="47"/>
      <c r="CQ71" s="47"/>
      <c r="CR71" s="47"/>
      <c r="CU71" s="47"/>
      <c r="CV71" s="47"/>
      <c r="CY71" s="47"/>
      <c r="CZ71" s="47"/>
      <c r="DC71" s="47"/>
      <c r="DD71" s="47"/>
      <c r="DG71" s="47"/>
      <c r="DH71" s="47"/>
      <c r="DK71" s="47"/>
      <c r="DL71" s="47"/>
      <c r="DO71" s="47"/>
      <c r="DP71" s="47"/>
      <c r="DS71" s="47"/>
      <c r="DT71" s="47"/>
      <c r="DW71" s="47"/>
      <c r="DX71" s="47"/>
      <c r="EA71" s="47"/>
      <c r="EB71" s="47"/>
      <c r="EE71" s="47"/>
      <c r="EF71" s="47"/>
      <c r="EI71" s="47"/>
      <c r="EJ71" s="47"/>
      <c r="EM71" s="47"/>
      <c r="EN71" s="47"/>
      <c r="EQ71" s="47"/>
      <c r="ER71" s="47"/>
      <c r="EU71" s="47"/>
      <c r="EV71" s="47"/>
      <c r="EY71" s="47"/>
      <c r="EZ71" s="47"/>
      <c r="FC71" s="47"/>
      <c r="FD71" s="47"/>
      <c r="FU71" s="48"/>
      <c r="FV71" s="53"/>
      <c r="FW71" s="48"/>
      <c r="FX71" s="53"/>
      <c r="GA71" s="47"/>
      <c r="GB71" s="47"/>
      <c r="GE71" s="47"/>
      <c r="GF71" s="47"/>
      <c r="GI71" s="47"/>
      <c r="GJ71" s="47"/>
      <c r="GM71" s="47"/>
      <c r="GN71" s="47"/>
      <c r="GQ71" s="47"/>
      <c r="GR71" s="47"/>
      <c r="GS71" s="48"/>
      <c r="GT71" s="53"/>
      <c r="GU71" s="48"/>
      <c r="GV71" s="53"/>
      <c r="GY71" s="47"/>
      <c r="GZ71" s="47"/>
      <c r="HA71" s="48"/>
      <c r="HB71" s="53"/>
      <c r="HC71" s="48"/>
      <c r="HD71" s="53"/>
      <c r="HE71" s="48"/>
      <c r="HF71" s="53"/>
      <c r="HG71" s="48"/>
      <c r="HH71" s="53"/>
    </row>
    <row r="72" spans="1:216" x14ac:dyDescent="0.25">
      <c r="A72" s="60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  <c r="AW72" s="49"/>
      <c r="AX72" s="49"/>
      <c r="AY72" s="49"/>
      <c r="AZ72" s="49"/>
      <c r="BA72" s="49"/>
      <c r="BB72" s="49"/>
      <c r="BC72" s="49"/>
      <c r="BD72" s="49"/>
      <c r="BE72" s="48"/>
      <c r="BF72" s="48"/>
      <c r="BG72" s="47"/>
      <c r="BH72" s="53"/>
      <c r="BI72" s="48"/>
      <c r="BJ72" s="53"/>
      <c r="BK72" s="48"/>
      <c r="BL72" s="53"/>
      <c r="BM72" s="48"/>
      <c r="BN72" s="48"/>
      <c r="BO72" s="47"/>
      <c r="BP72" s="47"/>
      <c r="BQ72" s="48"/>
      <c r="BR72" s="48"/>
      <c r="BS72" s="47"/>
      <c r="BT72" s="47"/>
      <c r="BU72" s="48"/>
      <c r="BV72" s="48"/>
      <c r="BW72" s="47"/>
      <c r="BX72" s="47"/>
      <c r="BZ72" s="48"/>
      <c r="CA72" s="47"/>
      <c r="CB72" s="47"/>
      <c r="CE72" s="47"/>
      <c r="CF72" s="47"/>
      <c r="CI72" s="47"/>
      <c r="CJ72" s="47"/>
      <c r="CM72" s="47"/>
      <c r="CN72" s="47"/>
      <c r="CQ72" s="47"/>
      <c r="CR72" s="47"/>
      <c r="CU72" s="47"/>
      <c r="CV72" s="47"/>
      <c r="CY72" s="47"/>
      <c r="CZ72" s="47"/>
      <c r="DC72" s="47"/>
      <c r="DD72" s="47"/>
      <c r="DG72" s="47"/>
      <c r="DH72" s="47"/>
      <c r="DK72" s="47"/>
      <c r="DL72" s="47"/>
      <c r="DO72" s="47"/>
      <c r="DP72" s="47"/>
      <c r="DS72" s="47"/>
      <c r="DT72" s="47"/>
      <c r="DW72" s="47"/>
      <c r="DX72" s="47"/>
      <c r="EA72" s="47"/>
      <c r="EB72" s="47"/>
      <c r="EE72" s="47"/>
      <c r="EF72" s="47"/>
      <c r="EI72" s="47"/>
      <c r="EJ72" s="47"/>
      <c r="EM72" s="47"/>
      <c r="EN72" s="47"/>
      <c r="EQ72" s="47"/>
      <c r="ER72" s="47"/>
      <c r="EU72" s="47"/>
      <c r="EV72" s="47"/>
      <c r="EY72" s="47"/>
      <c r="EZ72" s="47"/>
      <c r="FC72" s="47"/>
      <c r="FD72" s="47"/>
      <c r="FU72" s="48"/>
      <c r="FV72" s="53"/>
      <c r="FW72" s="48"/>
      <c r="FX72" s="53"/>
      <c r="GA72" s="47"/>
      <c r="GB72" s="47"/>
      <c r="GE72" s="47"/>
      <c r="GF72" s="47"/>
      <c r="GI72" s="47"/>
      <c r="GJ72" s="47"/>
      <c r="GM72" s="47"/>
      <c r="GN72" s="47"/>
      <c r="GQ72" s="47"/>
      <c r="GR72" s="47"/>
      <c r="GS72" s="48"/>
      <c r="GT72" s="53"/>
      <c r="GU72" s="48"/>
      <c r="GV72" s="53"/>
      <c r="GY72" s="47"/>
      <c r="GZ72" s="47"/>
      <c r="HA72" s="48"/>
      <c r="HB72" s="53"/>
      <c r="HC72" s="48"/>
      <c r="HD72" s="53"/>
      <c r="HE72" s="48"/>
      <c r="HF72" s="53"/>
      <c r="HG72" s="48"/>
      <c r="HH72" s="53"/>
    </row>
    <row r="73" spans="1:216" x14ac:dyDescent="0.25">
      <c r="A73" s="60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  <c r="AW73" s="49"/>
      <c r="AX73" s="49"/>
      <c r="AY73" s="49"/>
      <c r="AZ73" s="49"/>
      <c r="BA73" s="49"/>
      <c r="BB73" s="49"/>
      <c r="BC73" s="49"/>
      <c r="BD73" s="49"/>
      <c r="BE73" s="48"/>
      <c r="BF73" s="48"/>
      <c r="BG73" s="47"/>
      <c r="BH73" s="53"/>
      <c r="BI73" s="48"/>
      <c r="BJ73" s="53"/>
      <c r="BK73" s="48"/>
      <c r="BL73" s="53"/>
      <c r="BM73" s="48"/>
      <c r="BN73" s="48"/>
      <c r="BO73" s="47"/>
      <c r="BP73" s="47"/>
      <c r="BQ73" s="48"/>
      <c r="BR73" s="48"/>
      <c r="BS73" s="47"/>
      <c r="BT73" s="47"/>
      <c r="BU73" s="48"/>
      <c r="BV73" s="48"/>
      <c r="BW73" s="47"/>
      <c r="BX73" s="47"/>
      <c r="BZ73" s="48"/>
      <c r="CA73" s="47"/>
      <c r="CB73" s="47"/>
      <c r="CE73" s="47"/>
      <c r="CF73" s="47"/>
      <c r="CI73" s="47"/>
      <c r="CJ73" s="47"/>
      <c r="CM73" s="47"/>
      <c r="CN73" s="47"/>
      <c r="CQ73" s="47"/>
      <c r="CR73" s="47"/>
      <c r="CU73" s="47"/>
      <c r="CV73" s="47"/>
      <c r="CY73" s="47"/>
      <c r="CZ73" s="47"/>
      <c r="DC73" s="47"/>
      <c r="DD73" s="47"/>
      <c r="DG73" s="47"/>
      <c r="DH73" s="47"/>
      <c r="DK73" s="47"/>
      <c r="DL73" s="47"/>
      <c r="DO73" s="47"/>
      <c r="DP73" s="47"/>
      <c r="DS73" s="47"/>
      <c r="DT73" s="47"/>
      <c r="DW73" s="47"/>
      <c r="DX73" s="47"/>
      <c r="EA73" s="47"/>
      <c r="EB73" s="47"/>
      <c r="EE73" s="47"/>
      <c r="EF73" s="47"/>
      <c r="EI73" s="47"/>
      <c r="EJ73" s="47"/>
      <c r="EM73" s="47"/>
      <c r="EN73" s="47"/>
      <c r="EQ73" s="47"/>
      <c r="ER73" s="47"/>
      <c r="EU73" s="47"/>
      <c r="EV73" s="47"/>
      <c r="EY73" s="47"/>
      <c r="EZ73" s="47"/>
      <c r="FC73" s="47"/>
      <c r="FD73" s="47"/>
      <c r="FU73" s="48"/>
      <c r="FV73" s="53"/>
      <c r="FW73" s="48"/>
      <c r="FX73" s="53"/>
      <c r="GA73" s="47"/>
      <c r="GB73" s="47"/>
      <c r="GE73" s="47"/>
      <c r="GF73" s="47"/>
      <c r="GI73" s="47"/>
      <c r="GJ73" s="47"/>
      <c r="GM73" s="47"/>
      <c r="GN73" s="47"/>
      <c r="GQ73" s="47"/>
      <c r="GR73" s="47"/>
      <c r="GS73" s="48"/>
      <c r="GT73" s="53"/>
      <c r="GU73" s="48"/>
      <c r="GV73" s="53"/>
      <c r="GY73" s="47"/>
      <c r="GZ73" s="47"/>
      <c r="HA73" s="48"/>
      <c r="HB73" s="53"/>
      <c r="HC73" s="48"/>
      <c r="HD73" s="53"/>
      <c r="HE73" s="48"/>
      <c r="HF73" s="53"/>
      <c r="HG73" s="48"/>
      <c r="HH73" s="53"/>
    </row>
  </sheetData>
  <conditionalFormatting sqref="FT5:FT14 FT19:FT66 FR20:FR66 FR5:FR14 FP5:FP13 FP19:FP66 FN19:FN66 FN5:FN14 FL19:FL66 FJ19:FJ66 FH19:FH66 FF19:FF66 FB19:FB66 EX19:EX66 FB5:FB13 ET5:ET14 ET19:ET66 EP19:EP66 EL19:EL66 EH19:EH66 EL5:EL14 EH5:EH14 ED5:ED14 ED19:ED66 DZ19:DZ66 DZ5:DZ14 DV5:DV14 DV19:DV66 DR19:DR66 DN19:DN66 DJ19:DJ66 DF19:DF66 DB19:DB66 CX19:CX66 CT19:CT66 CP19:CP66 CL19:CL66 CL5:CL14 CP5:CP14 CX5:CX14 CH5:CH14 CH19:CH66 CD19:CD66 CD5:CD14 BZ5:BZ14 BZ19:BZ66 BV19:BV66 BR19:BR66 BN19:BN66 BJ19:BJ66 BF19:BF66 BH19:BH66 BL19:BL66 DP19:DP66 DT19:DT66 DX19:DX66 EB19:EB66 EF19:EF66 EJ19:EJ66 EN19:EN66 ER19:ER66 EV19:EV66 EZ19:EZ66 FD19:FD66 FD5:FD14 EV5:EV14 EN5:EN14 EJ5:EJ14 EF5:EF14 EB5:EB14 DX5:DX14 CZ5:CZ14 CR5:CR14 CN5:CN14 CJ5:CJ14 CF5:CF14 CB5:CB14 BP19:BP66 BT19:BT66 BX19:BX66 CB19:CB66 CF19:CF66 CJ19:CJ66 CN19:CN66 CR19:CR66 CV19:CV66 CZ19:CZ66 DD19:DD66 DH19:DH66 DL19:DL66 FV19:FV66 FX19:FX66 FZ19:FZ66 GB19:GB66 GD19:GD66 GF19:GF66 GH19:GH66 GJ19:GJ66 GL19:GL66 GN19:GN66 GP19:GP66 GR19:GR66 GR5:GR14 GP5:GP14 GN5:GN14 GL5:GL14 GJ5:GJ14 GH5:GH14 BH5:BH8 BJ5:BJ8">
    <cfRule type="cellIs" dxfId="137" priority="48" operator="lessThan">
      <formula>0</formula>
    </cfRule>
    <cfRule type="cellIs" dxfId="136" priority="49" operator="greaterThan">
      <formula>0</formula>
    </cfRule>
  </conditionalFormatting>
  <conditionalFormatting sqref="GT19:GT66 GV19:GV66">
    <cfRule type="cellIs" dxfId="135" priority="23" operator="lessThan">
      <formula>0</formula>
    </cfRule>
    <cfRule type="cellIs" dxfId="134" priority="24" operator="greaterThan">
      <formula>0</formula>
    </cfRule>
  </conditionalFormatting>
  <conditionalFormatting sqref="GX19:GX66 GZ19:GZ66 GZ5:GZ14 GX5:GX14">
    <cfRule type="cellIs" dxfId="133" priority="21" operator="lessThan">
      <formula>0</formula>
    </cfRule>
    <cfRule type="cellIs" dxfId="132" priority="22" operator="greaterThan">
      <formula>0</formula>
    </cfRule>
  </conditionalFormatting>
  <conditionalFormatting sqref="HB19:HB66 HD19:HD66">
    <cfRule type="cellIs" dxfId="131" priority="19" operator="lessThan">
      <formula>0</formula>
    </cfRule>
    <cfRule type="cellIs" dxfId="130" priority="20" operator="greaterThan">
      <formula>0</formula>
    </cfRule>
  </conditionalFormatting>
  <conditionalFormatting sqref="HF19:HF66 HH19:HH66">
    <cfRule type="cellIs" dxfId="129" priority="17" operator="lessThan">
      <formula>0</formula>
    </cfRule>
    <cfRule type="cellIs" dxfId="128" priority="18" operator="greaterThan">
      <formula>0</formula>
    </cfRule>
  </conditionalFormatting>
  <conditionalFormatting sqref="BL5:BL8">
    <cfRule type="cellIs" dxfId="127" priority="13" operator="lessThan">
      <formula>0</formula>
    </cfRule>
    <cfRule type="cellIs" dxfId="126" priority="14" operator="greaterThan">
      <formula>0</formula>
    </cfRule>
  </conditionalFormatting>
  <conditionalFormatting sqref="BN5:BN8">
    <cfRule type="cellIs" dxfId="125" priority="11" operator="lessThan">
      <formula>0</formula>
    </cfRule>
    <cfRule type="cellIs" dxfId="124" priority="12" operator="greaterThan">
      <formula>0</formula>
    </cfRule>
  </conditionalFormatting>
  <conditionalFormatting sqref="BP5:BP8">
    <cfRule type="cellIs" dxfId="123" priority="9" operator="lessThan">
      <formula>0</formula>
    </cfRule>
    <cfRule type="cellIs" dxfId="122" priority="10" operator="greaterThan">
      <formula>0</formula>
    </cfRule>
  </conditionalFormatting>
  <conditionalFormatting sqref="BH12:BH14 BJ12:BJ14">
    <cfRule type="cellIs" dxfId="121" priority="7" operator="lessThan">
      <formula>0</formula>
    </cfRule>
    <cfRule type="cellIs" dxfId="120" priority="8" operator="greaterThan">
      <formula>0</formula>
    </cfRule>
  </conditionalFormatting>
  <conditionalFormatting sqref="BL12:BL14">
    <cfRule type="cellIs" dxfId="119" priority="5" operator="lessThan">
      <formula>0</formula>
    </cfRule>
    <cfRule type="cellIs" dxfId="118" priority="6" operator="greaterThan">
      <formula>0</formula>
    </cfRule>
  </conditionalFormatting>
  <conditionalFormatting sqref="BN12:BN14">
    <cfRule type="cellIs" dxfId="117" priority="3" operator="lessThan">
      <formula>0</formula>
    </cfRule>
    <cfRule type="cellIs" dxfId="116" priority="4" operator="greaterThan">
      <formula>0</formula>
    </cfRule>
  </conditionalFormatting>
  <conditionalFormatting sqref="BP12:BP14">
    <cfRule type="cellIs" dxfId="115" priority="1" operator="lessThan">
      <formula>0</formula>
    </cfRule>
    <cfRule type="cellIs" dxfId="11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D0DBE-EE40-4F61-B21A-BEDD8D7BEC33}">
  <sheetPr>
    <tabColor theme="4" tint="-0.499984740745262"/>
  </sheetPr>
  <dimension ref="A1:AC65"/>
  <sheetViews>
    <sheetView workbookViewId="0">
      <selection activeCell="G35" sqref="G35"/>
    </sheetView>
  </sheetViews>
  <sheetFormatPr defaultColWidth="9" defaultRowHeight="15" x14ac:dyDescent="0.25"/>
  <cols>
    <col min="1" max="1" width="9" style="802"/>
    <col min="2" max="16384" width="9" style="51"/>
  </cols>
  <sheetData>
    <row r="1" spans="1:29" ht="15.75" thickBot="1" x14ac:dyDescent="0.3">
      <c r="B1" s="83" t="s">
        <v>328</v>
      </c>
      <c r="C1" s="83" t="s">
        <v>334</v>
      </c>
      <c r="O1" s="145" t="s">
        <v>324</v>
      </c>
      <c r="P1" s="98"/>
      <c r="Q1" s="98"/>
      <c r="R1" s="145" t="s">
        <v>325</v>
      </c>
      <c r="S1" s="98"/>
      <c r="T1" s="98"/>
      <c r="U1" s="145" t="s">
        <v>326</v>
      </c>
      <c r="V1" s="99"/>
      <c r="W1" s="99"/>
      <c r="X1" s="146" t="s">
        <v>327</v>
      </c>
      <c r="Y1" s="147"/>
      <c r="Z1" s="145" t="s">
        <v>328</v>
      </c>
      <c r="AA1" s="148"/>
      <c r="AB1" s="145" t="s">
        <v>329</v>
      </c>
      <c r="AC1" s="148"/>
    </row>
    <row r="2" spans="1:29" ht="15.75" thickBot="1" x14ac:dyDescent="0.3">
      <c r="A2" s="802">
        <f ca="1">TODAY()</f>
        <v>46267</v>
      </c>
      <c r="L2" s="149" t="s">
        <v>330</v>
      </c>
      <c r="M2" s="150" t="s">
        <v>331</v>
      </c>
      <c r="N2" s="151" t="s">
        <v>332</v>
      </c>
      <c r="O2" s="152" t="str">
        <f ca="1">TEXT(Crd!$A$21, "mmm")</f>
        <v>Nov</v>
      </c>
      <c r="P2" s="153"/>
      <c r="Q2" s="153"/>
      <c r="R2" s="152" t="str">
        <f ca="1">TEXT(Crd!$A$22, "mmm")</f>
        <v>Dec</v>
      </c>
      <c r="S2" s="153"/>
      <c r="T2" s="153"/>
      <c r="U2" s="152" t="str">
        <f ca="1">TEXT(Crd!$A$23, "mmm")</f>
        <v>Jan</v>
      </c>
      <c r="V2" s="153"/>
      <c r="W2" s="153"/>
      <c r="X2" s="149" t="s">
        <v>11</v>
      </c>
      <c r="Y2" s="150" t="s">
        <v>118</v>
      </c>
      <c r="Z2" s="149" t="s">
        <v>11</v>
      </c>
      <c r="AA2" s="151" t="s">
        <v>118</v>
      </c>
      <c r="AB2" s="149" t="s">
        <v>11</v>
      </c>
      <c r="AC2" s="151" t="s">
        <v>118</v>
      </c>
    </row>
    <row r="3" spans="1:29" x14ac:dyDescent="0.25">
      <c r="A3" s="802">
        <f t="shared" ref="A3:A15" ca="1" si="0">$A2+1</f>
        <v>46268</v>
      </c>
      <c r="B3" s="51" t="e">
        <f ca="1">INDEX($Z$3:$Z$10, MATCH($A3, $M$3:$M$10, 0))</f>
        <v>#N/A</v>
      </c>
      <c r="K3" s="154" t="s">
        <v>337</v>
      </c>
      <c r="L3" s="155">
        <f ca="1">TODAY() - WEEKDAY(TODAY(), 2) + 1</f>
        <v>46265</v>
      </c>
      <c r="M3" s="90">
        <f t="shared" ref="M3:M10" ca="1" si="1">AVERAGE(L3,N3)</f>
        <v>46267</v>
      </c>
      <c r="N3" s="156">
        <f ca="1">L3+4</f>
        <v>46269</v>
      </c>
      <c r="O3" s="390"/>
      <c r="P3" s="300" t="str">
        <f ca="1">IFERROR(INDEX(ICE[], MATCH("cfdm1" &amp; TEXT($L3, "mmmd") &amp; "-" &amp; TEXT($N3, "mmmd") &amp; " " &amp; "(" &amp; O$2 &amp; ")", ICE[LongCode], 0), MATCH("Text", ICE[#Headers], 0)), IFERROR(INDEX(ICE[], MATCH("cfdm2" &amp; TEXT($L3, "mmmd") &amp; "-" &amp; TEXT($N3, "mmmd") &amp; " " &amp; "(" &amp; O$2 &amp; ")", ICE[LongCode], 0), MATCH("Text", ICE[#Headers], 0)), ""))</f>
        <v/>
      </c>
      <c r="Q3" s="48" t="str">
        <f ca="1">IFERROR(INDEX(ICE[], MATCH("cfdm1" &amp; TEXT($L3, "mmmd") &amp; "-" &amp; TEXT($N3, "mmmd") &amp; " " &amp; "(" &amp; O$2 &amp; ")", ICE[LongCode], 0), MATCH("Settle", ICE[#Headers], 0)), IFERROR(INDEX(ICE[], MATCH("cfdm2" &amp; TEXT($L3, "mmmd") &amp; "-" &amp; TEXT($N3, "mmmd") &amp; " " &amp; "(" &amp; O$2 &amp; ")", ICE[LongCode], 0), MATCH("Settle", ICE[#Headers], 0)), ""))</f>
        <v/>
      </c>
      <c r="R3" s="392"/>
      <c r="S3" s="300" t="str">
        <f ca="1">IFERROR(INDEX(ICE[], MATCH("cfdm1" &amp; TEXT($L3, "mmmd") &amp; "-" &amp; TEXT($N3, "mmmd") &amp; " " &amp; "(" &amp; R$2 &amp; ")", ICE[LongCode], 0), MATCH("Text", ICE[#Headers], 0)), IFERROR(INDEX(ICE[], MATCH("cfdm2" &amp; TEXT($L3, "mmmd") &amp; "-" &amp; TEXT($N3, "mmmd") &amp; " " &amp; "(" &amp; R$2 &amp; ")", ICE[LongCode], 0), MATCH("Text", ICE[#Headers], 0)), ""))</f>
        <v/>
      </c>
      <c r="T3" s="48" t="str">
        <f ca="1">IFERROR(INDEX(ICE[], MATCH("cfdm1" &amp; TEXT($L3, "mmmd") &amp; "-" &amp; TEXT($N3, "mmmd") &amp; " " &amp; "(" &amp; R$2 &amp; ")", ICE[LongCode], 0), MATCH("Settle", ICE[#Headers], 0)), IFERROR(INDEX(ICE[], MATCH("cfdm2" &amp; TEXT($L3, "mmmd") &amp; "-" &amp; TEXT($N3, "mmmd") &amp; " " &amp; "(" &amp; R$2 &amp; ")", ICE[LongCode], 0), MATCH("Settle", ICE[#Headers], 0)), ""))</f>
        <v/>
      </c>
      <c r="U3" s="392"/>
      <c r="V3" s="300" t="str">
        <f ca="1">IFERROR(INDEX(ICE[], MATCH("cfdm1" &amp; TEXT($L3, "mmmd") &amp; "-" &amp; TEXT($N3, "mmmd") &amp; " " &amp; "(" &amp; U$2 &amp; ")", ICE[LongCode], 0), MATCH("Text", ICE[#Headers], 0)), IFERROR(INDEX(ICE[], MATCH("cfdm2" &amp; TEXT($L3, "mmmd") &amp; "-" &amp; TEXT($N3, "mmmd") &amp; " " &amp; "(" &amp; U$2 &amp; ")", ICE[LongCode], 0), MATCH("Text", ICE[#Headers], 0)), ""))</f>
        <v/>
      </c>
      <c r="W3" s="48" t="str">
        <f ca="1">IFERROR(INDEX(ICE[], MATCH("cfdm1" &amp; TEXT($L3, "mmmd") &amp; "-" &amp; TEXT($N3, "mmmd") &amp; " " &amp; "(" &amp; U$2 &amp; ")", ICE[LongCode], 0), MATCH("Settle", ICE[#Headers], 0)), IFERROR(INDEX(ICE[], MATCH("cfdm2" &amp; TEXT($L3, "mmmd") &amp; "-" &amp; TEXT($N3, "mmmd") &amp; " " &amp; "(" &amp; U$2 &amp; ")", ICE[LongCode], 0), MATCH("Settle", ICE[#Headers], 0)), ""))</f>
        <v/>
      </c>
      <c r="X3" s="157" t="e">
        <f t="shared" ref="X3:X10" si="2">IF(ISNUMBER($O3), $O3, IF(ISNUMBER($R3), $R3 - $N$14, IF(ISNUMBER($U3), $U3 - $N$14 - $N$15, NA())))</f>
        <v>#N/A</v>
      </c>
      <c r="Y3" s="91" t="e">
        <f t="shared" ref="Y3:Y10" ca="1" si="3">IF(ISNUMBER($Q3), $Q3, IF(ISNUMBER($T3), $T3 - $P$14, IF(ISNUMBER($W3), $W3 - $P$14 - $P$15, NA())))</f>
        <v>#N/A</v>
      </c>
      <c r="Z3" s="140" t="e">
        <f t="shared" ref="Z3:Z10" si="4">IF(ISNUMBER($O3), $M$13 + $O3, IF(ISNUMBER($R3), $M$14 + $R3, IF(ISNUMBER($U3), $M$15 + $U3, NA())))</f>
        <v>#N/A</v>
      </c>
      <c r="AA3" s="158" t="e">
        <f t="shared" ref="AA3:AA10" ca="1" si="5">IF(ISNUMBER($Q3), $O$13 + $Q3, IF(ISNUMBER($T3), $O$14 + $T3, IF(ISNUMBER($W3), $O$15 + $W3, NA())))</f>
        <v>#N/A</v>
      </c>
      <c r="AB3" s="140"/>
      <c r="AC3" s="158"/>
    </row>
    <row r="4" spans="1:29" x14ac:dyDescent="0.25">
      <c r="A4" s="802">
        <f t="shared" ca="1" si="0"/>
        <v>46269</v>
      </c>
      <c r="B4" s="51" t="e">
        <f t="shared" ref="B4:B65" ca="1" si="6">INDEX($Z$3:$Z$10, MATCH($A4, $M$3:$M$10, 0))</f>
        <v>#N/A</v>
      </c>
      <c r="K4" s="159" t="s">
        <v>341</v>
      </c>
      <c r="L4" s="155">
        <f t="shared" ref="L4:L10" ca="1" si="7">L3+7</f>
        <v>46272</v>
      </c>
      <c r="M4" s="90">
        <f t="shared" ca="1" si="1"/>
        <v>46274</v>
      </c>
      <c r="N4" s="156">
        <f t="shared" ref="N4:N10" ca="1" si="8">N3+7</f>
        <v>46276</v>
      </c>
      <c r="O4" s="390"/>
      <c r="P4" s="300" t="str">
        <f ca="1">IFERROR(INDEX(ICE[], MATCH("cfdm1" &amp; TEXT($L4, "mmmd") &amp; "-" &amp; TEXT($N4, "mmmd") &amp; " " &amp; "(" &amp; O$2 &amp; ")", ICE[LongCode], 0), MATCH("Text", ICE[#Headers], 0)), IFERROR(INDEX(ICE[], MATCH("cfdm2" &amp; TEXT($L4, "mmmd") &amp; "-" &amp; TEXT($N4, "mmmd") &amp; " " &amp; "(" &amp; O$2 &amp; ")", ICE[LongCode], 0), MATCH("Text", ICE[#Headers], 0)), ""))</f>
        <v xml:space="preserve"> /  </v>
      </c>
      <c r="Q4" s="48">
        <f ca="1">IFERROR(INDEX(ICE[], MATCH("cfdm1" &amp; TEXT($L4, "mmmd") &amp; "-" &amp; TEXT($N4, "mmmd") &amp; " " &amp; "(" &amp; O$2 &amp; ")", ICE[LongCode], 0), MATCH("Settle", ICE[#Headers], 0)), IFERROR(INDEX(ICE[], MATCH("cfdm2" &amp; TEXT($L4, "mmmd") &amp; "-" &amp; TEXT($N4, "mmmd") &amp; " " &amp; "(" &amp; O$2 &amp; ")", ICE[LongCode], 0), MATCH("Settle", ICE[#Headers], 0)), ""))</f>
        <v>1.9370000000000001</v>
      </c>
      <c r="R4" s="390">
        <v>3.64</v>
      </c>
      <c r="S4" s="300" t="str">
        <f ca="1">IFERROR(INDEX(ICE[], MATCH("cfdm1" &amp; TEXT($L4, "mmmd") &amp; "-" &amp; TEXT($N4, "mmmd") &amp; " " &amp; "(" &amp; R$2 &amp; ")", ICE[LongCode], 0), MATCH("Text", ICE[#Headers], 0)), IFERROR(INDEX(ICE[], MATCH("cfdm2" &amp; TEXT($L4, "mmmd") &amp; "-" &amp; TEXT($N4, "mmmd") &amp; " " &amp; "(" &amp; R$2 &amp; ")", ICE[LongCode], 0), MATCH("Text", ICE[#Headers], 0)), ""))</f>
        <v xml:space="preserve"> /  </v>
      </c>
      <c r="T4" s="48">
        <f ca="1">IFERROR(INDEX(ICE[], MATCH("cfdm1" &amp; TEXT($L4, "mmmd") &amp; "-" &amp; TEXT($N4, "mmmd") &amp; " " &amp; "(" &amp; R$2 &amp; ")", ICE[LongCode], 0), MATCH("Settle", ICE[#Headers], 0)), IFERROR(INDEX(ICE[], MATCH("cfdm2" &amp; TEXT($L4, "mmmd") &amp; "-" &amp; TEXT($N4, "mmmd") &amp; " " &amp; "(" &amp; R$2 &amp; ")", ICE[LongCode], 0), MATCH("Settle", ICE[#Headers], 0)), ""))</f>
        <v>4.9670000000000005</v>
      </c>
      <c r="U4" s="392"/>
      <c r="V4" s="300" t="str">
        <f ca="1">IFERROR(INDEX(ICE[], MATCH("cfdm1" &amp; TEXT($L4, "mmmd") &amp; "-" &amp; TEXT($N4, "mmmd") &amp; " " &amp; "(" &amp; U$2 &amp; ")", ICE[LongCode], 0), MATCH("Text", ICE[#Headers], 0)), IFERROR(INDEX(ICE[], MATCH("cfdm2" &amp; TEXT($L4, "mmmd") &amp; "-" &amp; TEXT($N4, "mmmd") &amp; " " &amp; "(" &amp; U$2 &amp; ")", ICE[LongCode], 0), MATCH("Text", ICE[#Headers], 0)), ""))</f>
        <v/>
      </c>
      <c r="W4" s="48" t="str">
        <f ca="1">IFERROR(INDEX(ICE[], MATCH("cfdm1" &amp; TEXT($L4, "mmmd") &amp; "-" &amp; TEXT($N4, "mmmd") &amp; " " &amp; "(" &amp; U$2 &amp; ")", ICE[LongCode], 0), MATCH("Settle", ICE[#Headers], 0)), IFERROR(INDEX(ICE[], MATCH("cfdm2" &amp; TEXT($L4, "mmmd") &amp; "-" &amp; TEXT($N4, "mmmd") &amp; " " &amp; "(" &amp; U$2 &amp; ")", ICE[LongCode], 0), MATCH("Settle", ICE[#Headers], 0)), ""))</f>
        <v/>
      </c>
      <c r="X4" s="157">
        <f t="shared" ca="1" si="2"/>
        <v>0.19500000000000695</v>
      </c>
      <c r="Y4" s="91">
        <f t="shared" ca="1" si="3"/>
        <v>1.9370000000000001</v>
      </c>
      <c r="Z4" s="140">
        <f t="shared" ca="1" si="4"/>
        <v>95.375</v>
      </c>
      <c r="AA4" s="158">
        <f t="shared" ca="1" si="5"/>
        <v>94.436999999999998</v>
      </c>
      <c r="AB4" s="140" t="e">
        <f t="shared" ref="AB4:AC10" ca="1" si="9">Z3-Z4</f>
        <v>#N/A</v>
      </c>
      <c r="AC4" s="158" t="e">
        <f t="shared" ca="1" si="9"/>
        <v>#N/A</v>
      </c>
    </row>
    <row r="5" spans="1:29" x14ac:dyDescent="0.25">
      <c r="A5" s="802">
        <f t="shared" ca="1" si="0"/>
        <v>46270</v>
      </c>
      <c r="B5" s="51" t="e">
        <f t="shared" ca="1" si="6"/>
        <v>#N/A</v>
      </c>
      <c r="K5" s="159" t="s">
        <v>342</v>
      </c>
      <c r="L5" s="155">
        <f t="shared" ca="1" si="7"/>
        <v>46279</v>
      </c>
      <c r="M5" s="90">
        <f t="shared" ca="1" si="1"/>
        <v>46281</v>
      </c>
      <c r="N5" s="156">
        <f t="shared" ca="1" si="8"/>
        <v>46283</v>
      </c>
      <c r="O5" s="390"/>
      <c r="P5" s="300" t="str">
        <f ca="1">IFERROR(INDEX(ICE[], MATCH("cfdm1" &amp; TEXT($L5, "mmmd") &amp; "-" &amp; TEXT($N5, "mmmd") &amp; " " &amp; "(" &amp; O$2 &amp; ")", ICE[LongCode], 0), MATCH("Text", ICE[#Headers], 0)), IFERROR(INDEX(ICE[], MATCH("cfdm2" &amp; TEXT($L5, "mmmd") &amp; "-" &amp; TEXT($N5, "mmmd") &amp; " " &amp; "(" &amp; O$2 &amp; ")", ICE[LongCode], 0), MATCH("Text", ICE[#Headers], 0)), ""))</f>
        <v xml:space="preserve"> /  </v>
      </c>
      <c r="Q5" s="48">
        <f ca="1">IFERROR(INDEX(ICE[], MATCH("cfdm1" &amp; TEXT($L5, "mmmd") &amp; "-" &amp; TEXT($N5, "mmmd") &amp; " " &amp; "(" &amp; O$2 &amp; ")", ICE[LongCode], 0), MATCH("Settle", ICE[#Headers], 0)), IFERROR(INDEX(ICE[], MATCH("cfdm2" &amp; TEXT($L5, "mmmd") &amp; "-" &amp; TEXT($N5, "mmmd") &amp; " " &amp; "(" &amp; O$2 &amp; ")", ICE[LongCode], 0), MATCH("Settle", ICE[#Headers], 0)), ""))</f>
        <v>2.4170000000000003</v>
      </c>
      <c r="R5" s="390">
        <v>3.3</v>
      </c>
      <c r="S5" s="300" t="str">
        <f ca="1">IFERROR(INDEX(ICE[], MATCH("cfdm1" &amp; TEXT($L5, "mmmd") &amp; "-" &amp; TEXT($N5, "mmmd") &amp; " " &amp; "(" &amp; R$2 &amp; ")", ICE[LongCode], 0), MATCH("Text", ICE[#Headers], 0)), IFERROR(INDEX(ICE[], MATCH("cfdm2" &amp; TEXT($L5, "mmmd") &amp; "-" &amp; TEXT($N5, "mmmd") &amp; " " &amp; "(" &amp; R$2 &amp; ")", ICE[LongCode], 0), MATCH("Text", ICE[#Headers], 0)), ""))</f>
        <v xml:space="preserve"> /  </v>
      </c>
      <c r="T5" s="48">
        <f ca="1">IFERROR(INDEX(ICE[], MATCH("cfdm1" &amp; TEXT($L5, "mmmd") &amp; "-" &amp; TEXT($N5, "mmmd") &amp; " " &amp; "(" &amp; R$2 &amp; ")", ICE[LongCode], 0), MATCH("Settle", ICE[#Headers], 0)), IFERROR(INDEX(ICE[], MATCH("cfdm2" &amp; TEXT($L5, "mmmd") &amp; "-" &amp; TEXT($N5, "mmmd") &amp; " " &amp; "(" &amp; R$2 &amp; ")", ICE[LongCode], 0), MATCH("Settle", ICE[#Headers], 0)), ""))</f>
        <v>5.4470000000000001</v>
      </c>
      <c r="U5" s="392"/>
      <c r="V5" s="300" t="str">
        <f ca="1">IFERROR(INDEX(ICE[], MATCH("cfdm1" &amp; TEXT($L5, "mmmd") &amp; "-" &amp; TEXT($N5, "mmmd") &amp; " " &amp; "(" &amp; U$2 &amp; ")", ICE[LongCode], 0), MATCH("Text", ICE[#Headers], 0)), IFERROR(INDEX(ICE[], MATCH("cfdm2" &amp; TEXT($L5, "mmmd") &amp; "-" &amp; TEXT($N5, "mmmd") &amp; " " &amp; "(" &amp; U$2 &amp; ")", ICE[LongCode], 0), MATCH("Text", ICE[#Headers], 0)), ""))</f>
        <v/>
      </c>
      <c r="W5" s="48" t="str">
        <f ca="1">IFERROR(INDEX(ICE[], MATCH("cfdm1" &amp; TEXT($L5, "mmmd") &amp; "-" &amp; TEXT($N5, "mmmd") &amp; " " &amp; "(" &amp; U$2 &amp; ")", ICE[LongCode], 0), MATCH("Settle", ICE[#Headers], 0)), IFERROR(INDEX(ICE[], MATCH("cfdm2" &amp; TEXT($L5, "mmmd") &amp; "-" &amp; TEXT($N5, "mmmd") &amp; " " &amp; "(" &amp; U$2 &amp; ")", ICE[LongCode], 0), MATCH("Settle", ICE[#Headers], 0)), ""))</f>
        <v/>
      </c>
      <c r="X5" s="157">
        <f t="shared" ca="1" si="2"/>
        <v>-0.14499999999999336</v>
      </c>
      <c r="Y5" s="91">
        <f t="shared" ca="1" si="3"/>
        <v>2.4170000000000003</v>
      </c>
      <c r="Z5" s="140">
        <f t="shared" ca="1" si="4"/>
        <v>95.034999999999997</v>
      </c>
      <c r="AA5" s="158">
        <f t="shared" ca="1" si="5"/>
        <v>94.917000000000002</v>
      </c>
      <c r="AB5" s="140">
        <f t="shared" ca="1" si="9"/>
        <v>0.34000000000000341</v>
      </c>
      <c r="AC5" s="158">
        <f t="shared" ca="1" si="9"/>
        <v>-0.48000000000000398</v>
      </c>
    </row>
    <row r="6" spans="1:29" x14ac:dyDescent="0.25">
      <c r="A6" s="802">
        <f t="shared" ca="1" si="0"/>
        <v>46271</v>
      </c>
      <c r="B6" s="51" t="e">
        <f t="shared" ca="1" si="6"/>
        <v>#N/A</v>
      </c>
      <c r="K6" s="159" t="s">
        <v>343</v>
      </c>
      <c r="L6" s="155">
        <f t="shared" ca="1" si="7"/>
        <v>46286</v>
      </c>
      <c r="M6" s="90">
        <f t="shared" ca="1" si="1"/>
        <v>46288</v>
      </c>
      <c r="N6" s="156">
        <f t="shared" ca="1" si="8"/>
        <v>46290</v>
      </c>
      <c r="O6" s="390"/>
      <c r="P6" s="300" t="str">
        <f ca="1">IFERROR(INDEX(ICE[], MATCH("cfdm1" &amp; TEXT($L6, "mmmd") &amp; "-" &amp; TEXT($N6, "mmmd") &amp; " " &amp; "(" &amp; O$2 &amp; ")", ICE[LongCode], 0), MATCH("Text", ICE[#Headers], 0)), IFERROR(INDEX(ICE[], MATCH("cfdm2" &amp; TEXT($L6, "mmmd") &amp; "-" &amp; TEXT($N6, "mmmd") &amp; " " &amp; "(" &amp; O$2 &amp; ")", ICE[LongCode], 0), MATCH("Text", ICE[#Headers], 0)), ""))</f>
        <v xml:space="preserve"> /  </v>
      </c>
      <c r="Q6" s="48">
        <f ca="1">IFERROR(INDEX(ICE[], MATCH("cfdm1" &amp; TEXT($L6, "mmmd") &amp; "-" &amp; TEXT($N6, "mmmd") &amp; " " &amp; "(" &amp; O$2 &amp; ")", ICE[LongCode], 0), MATCH("Settle", ICE[#Headers], 0)), IFERROR(INDEX(ICE[], MATCH("cfdm2" &amp; TEXT($L6, "mmmd") &amp; "-" &amp; TEXT($N6, "mmmd") &amp; " " &amp; "(" &amp; O$2 &amp; ")", ICE[LongCode], 0), MATCH("Settle", ICE[#Headers], 0)), ""))</f>
        <v>2.1670000000000003</v>
      </c>
      <c r="R6" s="390">
        <v>2.91</v>
      </c>
      <c r="S6" s="300" t="str">
        <f ca="1">IFERROR(INDEX(ICE[], MATCH("cfdm1" &amp; TEXT($L6, "mmmd") &amp; "-" &amp; TEXT($N6, "mmmd") &amp; " " &amp; "(" &amp; R$2 &amp; ")", ICE[LongCode], 0), MATCH("Text", ICE[#Headers], 0)), IFERROR(INDEX(ICE[], MATCH("cfdm2" &amp; TEXT($L6, "mmmd") &amp; "-" &amp; TEXT($N6, "mmmd") &amp; " " &amp; "(" &amp; R$2 &amp; ")", ICE[LongCode], 0), MATCH("Text", ICE[#Headers], 0)), ""))</f>
        <v xml:space="preserve"> /  </v>
      </c>
      <c r="T6" s="48">
        <f ca="1">IFERROR(INDEX(ICE[], MATCH("cfdm1" &amp; TEXT($L6, "mmmd") &amp; "-" &amp; TEXT($N6, "mmmd") &amp; " " &amp; "(" &amp; R$2 &amp; ")", ICE[LongCode], 0), MATCH("Settle", ICE[#Headers], 0)), IFERROR(INDEX(ICE[], MATCH("cfdm2" &amp; TEXT($L6, "mmmd") &amp; "-" &amp; TEXT($N6, "mmmd") &amp; " " &amp; "(" &amp; R$2 &amp; ")", ICE[LongCode], 0), MATCH("Settle", ICE[#Headers], 0)), ""))</f>
        <v>5.1970000000000001</v>
      </c>
      <c r="U6" s="392"/>
      <c r="V6" s="300" t="str">
        <f ca="1">IFERROR(INDEX(ICE[], MATCH("cfdm1" &amp; TEXT($L6, "mmmd") &amp; "-" &amp; TEXT($N6, "mmmd") &amp; " " &amp; "(" &amp; U$2 &amp; ")", ICE[LongCode], 0), MATCH("Text", ICE[#Headers], 0)), IFERROR(INDEX(ICE[], MATCH("cfdm2" &amp; TEXT($L6, "mmmd") &amp; "-" &amp; TEXT($N6, "mmmd") &amp; " " &amp; "(" &amp; U$2 &amp; ")", ICE[LongCode], 0), MATCH("Text", ICE[#Headers], 0)), ""))</f>
        <v/>
      </c>
      <c r="W6" s="48" t="str">
        <f ca="1">IFERROR(INDEX(ICE[], MATCH("cfdm1" &amp; TEXT($L6, "mmmd") &amp; "-" &amp; TEXT($N6, "mmmd") &amp; " " &amp; "(" &amp; U$2 &amp; ")", ICE[LongCode], 0), MATCH("Settle", ICE[#Headers], 0)), IFERROR(INDEX(ICE[], MATCH("cfdm2" &amp; TEXT($L6, "mmmd") &amp; "-" &amp; TEXT($N6, "mmmd") &amp; " " &amp; "(" &amp; U$2 &amp; ")", ICE[LongCode], 0), MATCH("Settle", ICE[#Headers], 0)), ""))</f>
        <v/>
      </c>
      <c r="X6" s="157">
        <f t="shared" ca="1" si="2"/>
        <v>-0.53499999999999304</v>
      </c>
      <c r="Y6" s="91">
        <f t="shared" ca="1" si="3"/>
        <v>2.1670000000000003</v>
      </c>
      <c r="Z6" s="140">
        <f t="shared" ca="1" si="4"/>
        <v>94.644999999999996</v>
      </c>
      <c r="AA6" s="158">
        <f t="shared" ca="1" si="5"/>
        <v>94.667000000000002</v>
      </c>
      <c r="AB6" s="140">
        <f t="shared" ca="1" si="9"/>
        <v>0.39000000000000057</v>
      </c>
      <c r="AC6" s="158">
        <f t="shared" ca="1" si="9"/>
        <v>0.25</v>
      </c>
    </row>
    <row r="7" spans="1:29" x14ac:dyDescent="0.25">
      <c r="A7" s="802">
        <f t="shared" ca="1" si="0"/>
        <v>46272</v>
      </c>
      <c r="B7" s="51" t="e">
        <f t="shared" ca="1" si="6"/>
        <v>#N/A</v>
      </c>
      <c r="K7" s="159" t="s">
        <v>344</v>
      </c>
      <c r="L7" s="155">
        <f t="shared" ca="1" si="7"/>
        <v>46293</v>
      </c>
      <c r="M7" s="90">
        <f t="shared" ca="1" si="1"/>
        <v>46295</v>
      </c>
      <c r="N7" s="156">
        <f t="shared" ca="1" si="8"/>
        <v>46297</v>
      </c>
      <c r="O7" s="390"/>
      <c r="P7" s="300" t="str">
        <f ca="1">IFERROR(INDEX(ICE[], MATCH("cfdm1" &amp; TEXT($L7, "mmmd") &amp; "-" &amp; TEXT($N7, "mmmd") &amp; " " &amp; "(" &amp; O$2 &amp; ")", ICE[LongCode], 0), MATCH("Text", ICE[#Headers], 0)), IFERROR(INDEX(ICE[], MATCH("cfdm2" &amp; TEXT($L7, "mmmd") &amp; "-" &amp; TEXT($N7, "mmmd") &amp; " " &amp; "(" &amp; O$2 &amp; ")", ICE[LongCode], 0), MATCH("Text", ICE[#Headers], 0)), ""))</f>
        <v/>
      </c>
      <c r="Q7" s="48" t="str">
        <f ca="1">IFERROR(INDEX(ICE[], MATCH("cfdm1" &amp; TEXT($L7, "mmmd") &amp; "-" &amp; TEXT($N7, "mmmd") &amp; " " &amp; "(" &amp; O$2 &amp; ")", ICE[LongCode], 0), MATCH("Settle", ICE[#Headers], 0)), IFERROR(INDEX(ICE[], MATCH("cfdm2" &amp; TEXT($L7, "mmmd") &amp; "-" &amp; TEXT($N7, "mmmd") &amp; " " &amp; "(" &amp; O$2 &amp; ")", ICE[LongCode], 0), MATCH("Settle", ICE[#Headers], 0)), ""))</f>
        <v/>
      </c>
      <c r="R7" s="390">
        <v>2.6</v>
      </c>
      <c r="S7" s="300" t="str">
        <f ca="1">IFERROR(INDEX(ICE[], MATCH("cfdm1" &amp; TEXT($L7, "mmmd") &amp; "-" &amp; TEXT($N7, "mmmd") &amp; " " &amp; "(" &amp; R$2 &amp; ")", ICE[LongCode], 0), MATCH("Text", ICE[#Headers], 0)), IFERROR(INDEX(ICE[], MATCH("cfdm2" &amp; TEXT($L7, "mmmd") &amp; "-" &amp; TEXT($N7, "mmmd") &amp; " " &amp; "(" &amp; R$2 &amp; ")", ICE[LongCode], 0), MATCH("Text", ICE[#Headers], 0)), ""))</f>
        <v xml:space="preserve"> /  </v>
      </c>
      <c r="T7" s="48">
        <f ca="1">IFERROR(INDEX(ICE[], MATCH("cfdm1" &amp; TEXT($L7, "mmmd") &amp; "-" &amp; TEXT($N7, "mmmd") &amp; " " &amp; "(" &amp; R$2 &amp; ")", ICE[LongCode], 0), MATCH("Settle", ICE[#Headers], 0)), IFERROR(INDEX(ICE[], MATCH("cfdm2" &amp; TEXT($L7, "mmmd") &amp; "-" &amp; TEXT($N7, "mmmd") &amp; " " &amp; "(" &amp; R$2 &amp; ")", ICE[LongCode], 0), MATCH("Settle", ICE[#Headers], 0)), ""))</f>
        <v>4.5970000000000004</v>
      </c>
      <c r="U7" s="392"/>
      <c r="V7" s="300" t="str">
        <f ca="1">IFERROR(INDEX(ICE[], MATCH("cfdm1" &amp; TEXT($L7, "mmmd") &amp; "-" &amp; TEXT($N7, "mmmd") &amp; " " &amp; "(" &amp; U$2 &amp; ")", ICE[LongCode], 0), MATCH("Text", ICE[#Headers], 0)), IFERROR(INDEX(ICE[], MATCH("cfdm2" &amp; TEXT($L7, "mmmd") &amp; "-" &amp; TEXT($N7, "mmmd") &amp; " " &amp; "(" &amp; U$2 &amp; ")", ICE[LongCode], 0), MATCH("Text", ICE[#Headers], 0)), ""))</f>
        <v/>
      </c>
      <c r="W7" s="48" t="str">
        <f ca="1">IFERROR(INDEX(ICE[], MATCH("cfdm1" &amp; TEXT($L7, "mmmd") &amp; "-" &amp; TEXT($N7, "mmmd") &amp; " " &amp; "(" &amp; U$2 &amp; ")", ICE[LongCode], 0), MATCH("Settle", ICE[#Headers], 0)), IFERROR(INDEX(ICE[], MATCH("cfdm2" &amp; TEXT($L7, "mmmd") &amp; "-" &amp; TEXT($N7, "mmmd") &amp; " " &amp; "(" &amp; U$2 &amp; ")", ICE[LongCode], 0), MATCH("Settle", ICE[#Headers], 0)), ""))</f>
        <v/>
      </c>
      <c r="X7" s="157">
        <f t="shared" ca="1" si="2"/>
        <v>-0.84499999999999309</v>
      </c>
      <c r="Y7" s="91">
        <f t="shared" ca="1" si="3"/>
        <v>1.987000000000001</v>
      </c>
      <c r="Z7" s="140">
        <f t="shared" ca="1" si="4"/>
        <v>94.334999999999994</v>
      </c>
      <c r="AA7" s="158">
        <f t="shared" ca="1" si="5"/>
        <v>94.486999999999995</v>
      </c>
      <c r="AB7" s="140">
        <f t="shared" ca="1" si="9"/>
        <v>0.31000000000000227</v>
      </c>
      <c r="AC7" s="158">
        <f t="shared" ca="1" si="9"/>
        <v>0.18000000000000682</v>
      </c>
    </row>
    <row r="8" spans="1:29" x14ac:dyDescent="0.25">
      <c r="A8" s="802">
        <f t="shared" ca="1" si="0"/>
        <v>46273</v>
      </c>
      <c r="B8" s="51" t="e">
        <f t="shared" ca="1" si="6"/>
        <v>#N/A</v>
      </c>
      <c r="K8" s="159" t="s">
        <v>345</v>
      </c>
      <c r="L8" s="155">
        <f t="shared" ca="1" si="7"/>
        <v>46300</v>
      </c>
      <c r="M8" s="90">
        <f t="shared" ca="1" si="1"/>
        <v>46302</v>
      </c>
      <c r="N8" s="156">
        <f t="shared" ca="1" si="8"/>
        <v>46304</v>
      </c>
      <c r="O8" s="390"/>
      <c r="P8" s="300" t="str">
        <f ca="1">IFERROR(INDEX(ICE[], MATCH("cfdm1" &amp; TEXT($L8, "mmmd") &amp; "-" &amp; TEXT($N8, "mmmd") &amp; " " &amp; "(" &amp; O$2 &amp; ")", ICE[LongCode], 0), MATCH("Text", ICE[#Headers], 0)), IFERROR(INDEX(ICE[], MATCH("cfdm2" &amp; TEXT($L8, "mmmd") &amp; "-" &amp; TEXT($N8, "mmmd") &amp; " " &amp; "(" &amp; O$2 &amp; ")", ICE[LongCode], 0), MATCH("Text", ICE[#Headers], 0)), ""))</f>
        <v/>
      </c>
      <c r="Q8" s="48" t="str">
        <f ca="1">IFERROR(INDEX(ICE[], MATCH("cfdm1" &amp; TEXT($L8, "mmmd") &amp; "-" &amp; TEXT($N8, "mmmd") &amp; " " &amp; "(" &amp; O$2 &amp; ")", ICE[LongCode], 0), MATCH("Settle", ICE[#Headers], 0)), IFERROR(INDEX(ICE[], MATCH("cfdm2" &amp; TEXT($L8, "mmmd") &amp; "-" &amp; TEXT($N8, "mmmd") &amp; " " &amp; "(" &amp; O$2 &amp; ")", ICE[LongCode], 0), MATCH("Settle", ICE[#Headers], 0)), ""))</f>
        <v/>
      </c>
      <c r="R8" s="390">
        <v>2.15</v>
      </c>
      <c r="S8" s="300" t="str">
        <f ca="1">IFERROR(INDEX(ICE[], MATCH("cfdm1" &amp; TEXT($L8, "mmmd") &amp; "-" &amp; TEXT($N8, "mmmd") &amp; " " &amp; "(" &amp; R$2 &amp; ")", ICE[LongCode], 0), MATCH("Text", ICE[#Headers], 0)), IFERROR(INDEX(ICE[], MATCH("cfdm2" &amp; TEXT($L8, "mmmd") &amp; "-" &amp; TEXT($N8, "mmmd") &amp; " " &amp; "(" &amp; R$2 &amp; ")", ICE[LongCode], 0), MATCH("Text", ICE[#Headers], 0)), ""))</f>
        <v xml:space="preserve"> /  </v>
      </c>
      <c r="T8" s="48">
        <f ca="1">IFERROR(INDEX(ICE[], MATCH("cfdm1" &amp; TEXT($L8, "mmmd") &amp; "-" &amp; TEXT($N8, "mmmd") &amp; " " &amp; "(" &amp; R$2 &amp; ")", ICE[LongCode], 0), MATCH("Settle", ICE[#Headers], 0)), IFERROR(INDEX(ICE[], MATCH("cfdm2" &amp; TEXT($L8, "mmmd") &amp; "-" &amp; TEXT($N8, "mmmd") &amp; " " &amp; "(" &amp; R$2 &amp; ")", ICE[LongCode], 0), MATCH("Settle", ICE[#Headers], 0)), ""))</f>
        <v>3.8610000000000002</v>
      </c>
      <c r="U8" s="392"/>
      <c r="V8" s="300" t="str">
        <f ca="1">IFERROR(INDEX(ICE[], MATCH("cfdm1" &amp; TEXT($L8, "mmmd") &amp; "-" &amp; TEXT($N8, "mmmd") &amp; " " &amp; "(" &amp; U$2 &amp; ")", ICE[LongCode], 0), MATCH("Text", ICE[#Headers], 0)), IFERROR(INDEX(ICE[], MATCH("cfdm2" &amp; TEXT($L8, "mmmd") &amp; "-" &amp; TEXT($N8, "mmmd") &amp; " " &amp; "(" &amp; U$2 &amp; ")", ICE[LongCode], 0), MATCH("Text", ICE[#Headers], 0)), ""))</f>
        <v xml:space="preserve"> /  </v>
      </c>
      <c r="W8" s="48">
        <f ca="1">IFERROR(INDEX(ICE[], MATCH("cfdm1" &amp; TEXT($L8, "mmmd") &amp; "-" &amp; TEXT($N8, "mmmd") &amp; " " &amp; "(" &amp; U$2 &amp; ")", ICE[LongCode], 0), MATCH("Settle", ICE[#Headers], 0)), IFERROR(INDEX(ICE[], MATCH("cfdm2" &amp; TEXT($L8, "mmmd") &amp; "-" &amp; TEXT($N8, "mmmd") &amp; " " &amp; "(" &amp; U$2 &amp; ")", ICE[LongCode], 0), MATCH("Settle", ICE[#Headers], 0)), ""))</f>
        <v>6.7510000000000003</v>
      </c>
      <c r="X8" s="157">
        <f t="shared" ca="1" si="2"/>
        <v>-1.2949999999999933</v>
      </c>
      <c r="Y8" s="91">
        <f t="shared" ca="1" si="3"/>
        <v>1.2510000000000008</v>
      </c>
      <c r="Z8" s="140">
        <f t="shared" ca="1" si="4"/>
        <v>93.885000000000005</v>
      </c>
      <c r="AA8" s="158">
        <f t="shared" ca="1" si="5"/>
        <v>93.751000000000005</v>
      </c>
      <c r="AB8" s="140">
        <f t="shared" ca="1" si="9"/>
        <v>0.44999999999998863</v>
      </c>
      <c r="AC8" s="158">
        <f t="shared" ca="1" si="9"/>
        <v>0.73599999999999</v>
      </c>
    </row>
    <row r="9" spans="1:29" x14ac:dyDescent="0.25">
      <c r="A9" s="802">
        <f t="shared" ca="1" si="0"/>
        <v>46274</v>
      </c>
      <c r="B9" s="51">
        <f t="shared" ca="1" si="6"/>
        <v>95.375</v>
      </c>
      <c r="K9" s="159" t="s">
        <v>346</v>
      </c>
      <c r="L9" s="155">
        <f t="shared" ca="1" si="7"/>
        <v>46307</v>
      </c>
      <c r="M9" s="90">
        <f t="shared" ca="1" si="1"/>
        <v>46309</v>
      </c>
      <c r="N9" s="156">
        <f t="shared" ca="1" si="8"/>
        <v>46311</v>
      </c>
      <c r="O9" s="390"/>
      <c r="P9" s="300" t="str">
        <f ca="1">IFERROR(INDEX(ICE[], MATCH("cfdm1" &amp; TEXT($L9, "mmmd") &amp; "-" &amp; TEXT($N9, "mmmd") &amp; " " &amp; "(" &amp; O$2 &amp; ")", ICE[LongCode], 0), MATCH("Text", ICE[#Headers], 0)), IFERROR(INDEX(ICE[], MATCH("cfdm2" &amp; TEXT($L9, "mmmd") &amp; "-" &amp; TEXT($N9, "mmmd") &amp; " " &amp; "(" &amp; O$2 &amp; ")", ICE[LongCode], 0), MATCH("Text", ICE[#Headers], 0)), ""))</f>
        <v/>
      </c>
      <c r="Q9" s="48" t="str">
        <f ca="1">IFERROR(INDEX(ICE[], MATCH("cfdm1" &amp; TEXT($L9, "mmmd") &amp; "-" &amp; TEXT($N9, "mmmd") &amp; " " &amp; "(" &amp; O$2 &amp; ")", ICE[LongCode], 0), MATCH("Settle", ICE[#Headers], 0)), IFERROR(INDEX(ICE[], MATCH("cfdm2" &amp; TEXT($L9, "mmmd") &amp; "-" &amp; TEXT($N9, "mmmd") &amp; " " &amp; "(" &amp; O$2 &amp; ")", ICE[LongCode], 0), MATCH("Settle", ICE[#Headers], 0)), ""))</f>
        <v/>
      </c>
      <c r="R9" s="390">
        <v>1.71</v>
      </c>
      <c r="S9" s="300" t="str">
        <f ca="1">IFERROR(INDEX(ICE[], MATCH("cfdm1" &amp; TEXT($L9, "mmmd") &amp; "-" &amp; TEXT($N9, "mmmd") &amp; " " &amp; "(" &amp; R$2 &amp; ")", ICE[LongCode], 0), MATCH("Text", ICE[#Headers], 0)), IFERROR(INDEX(ICE[], MATCH("cfdm2" &amp; TEXT($L9, "mmmd") &amp; "-" &amp; TEXT($N9, "mmmd") &amp; " " &amp; "(" &amp; R$2 &amp; ")", ICE[LongCode], 0), MATCH("Text", ICE[#Headers], 0)), ""))</f>
        <v xml:space="preserve"> /  </v>
      </c>
      <c r="T9" s="48">
        <f ca="1">IFERROR(INDEX(ICE[], MATCH("cfdm1" &amp; TEXT($L9, "mmmd") &amp; "-" &amp; TEXT($N9, "mmmd") &amp; " " &amp; "(" &amp; R$2 &amp; ")", ICE[LongCode], 0), MATCH("Settle", ICE[#Headers], 0)), IFERROR(INDEX(ICE[], MATCH("cfdm2" &amp; TEXT($L9, "mmmd") &amp; "-" &amp; TEXT($N9, "mmmd") &amp; " " &amp; "(" &amp; R$2 &amp; ")", ICE[LongCode], 0), MATCH("Settle", ICE[#Headers], 0)), ""))</f>
        <v>3.161</v>
      </c>
      <c r="U9" s="392"/>
      <c r="V9" s="300" t="str">
        <f ca="1">IFERROR(INDEX(ICE[], MATCH("cfdm1" &amp; TEXT($L9, "mmmd") &amp; "-" &amp; TEXT($N9, "mmmd") &amp; " " &amp; "(" &amp; U$2 &amp; ")", ICE[LongCode], 0), MATCH("Text", ICE[#Headers], 0)), IFERROR(INDEX(ICE[], MATCH("cfdm2" &amp; TEXT($L9, "mmmd") &amp; "-" &amp; TEXT($N9, "mmmd") &amp; " " &amp; "(" &amp; U$2 &amp; ")", ICE[LongCode], 0), MATCH("Text", ICE[#Headers], 0)), ""))</f>
        <v xml:space="preserve"> /  </v>
      </c>
      <c r="W9" s="48">
        <f ca="1">IFERROR(INDEX(ICE[], MATCH("cfdm1" &amp; TEXT($L9, "mmmd") &amp; "-" &amp; TEXT($N9, "mmmd") &amp; " " &amp; "(" &amp; U$2 &amp; ")", ICE[LongCode], 0), MATCH("Settle", ICE[#Headers], 0)), IFERROR(INDEX(ICE[], MATCH("cfdm2" &amp; TEXT($L9, "mmmd") &amp; "-" &amp; TEXT($N9, "mmmd") &amp; " " &amp; "(" &amp; U$2 &amp; ")", ICE[LongCode], 0), MATCH("Settle", ICE[#Headers], 0)), ""))</f>
        <v>6.0510000000000002</v>
      </c>
      <c r="X9" s="157">
        <f t="shared" ca="1" si="2"/>
        <v>-1.7349999999999932</v>
      </c>
      <c r="Y9" s="91">
        <f t="shared" ca="1" si="3"/>
        <v>0.5510000000000006</v>
      </c>
      <c r="Z9" s="140">
        <f t="shared" ca="1" si="4"/>
        <v>93.444999999999993</v>
      </c>
      <c r="AA9" s="158">
        <f t="shared" ca="1" si="5"/>
        <v>93.051000000000002</v>
      </c>
      <c r="AB9" s="140">
        <f t="shared" ca="1" si="9"/>
        <v>0.44000000000001194</v>
      </c>
      <c r="AC9" s="158">
        <f t="shared" ca="1" si="9"/>
        <v>0.70000000000000284</v>
      </c>
    </row>
    <row r="10" spans="1:29" ht="15.75" thickBot="1" x14ac:dyDescent="0.3">
      <c r="A10" s="802">
        <f t="shared" ca="1" si="0"/>
        <v>46275</v>
      </c>
      <c r="B10" s="51" t="e">
        <f t="shared" ca="1" si="6"/>
        <v>#N/A</v>
      </c>
      <c r="K10" s="165" t="s">
        <v>347</v>
      </c>
      <c r="L10" s="166">
        <f t="shared" ca="1" si="7"/>
        <v>46314</v>
      </c>
      <c r="M10" s="167">
        <f t="shared" ca="1" si="1"/>
        <v>46316</v>
      </c>
      <c r="N10" s="168">
        <f t="shared" ca="1" si="8"/>
        <v>46318</v>
      </c>
      <c r="O10" s="391"/>
      <c r="P10" s="301" t="str">
        <f ca="1">IFERROR(INDEX(ICE[], MATCH("cfdm1" &amp; TEXT($L10, "mmmd") &amp; "-" &amp; TEXT($N10, "mmmd") &amp; " " &amp; "(" &amp; O$2 &amp; ")", ICE[LongCode], 0), MATCH("Text", ICE[#Headers], 0)), IFERROR(INDEX(ICE[], MATCH("cfdm2" &amp; TEXT($L10, "mmmd") &amp; "-" &amp; TEXT($N10, "mmmd") &amp; " " &amp; "(" &amp; O$2 &amp; ")", ICE[LongCode], 0), MATCH("Text", ICE[#Headers], 0)), ""))</f>
        <v/>
      </c>
      <c r="Q10" s="132" t="str">
        <f ca="1">IFERROR(INDEX(ICE[], MATCH("cfdm1" &amp; TEXT($L10, "mmmd") &amp; "-" &amp; TEXT($N10, "mmmd") &amp; " " &amp; "(" &amp; O$2 &amp; ")", ICE[LongCode], 0), MATCH("Settle", ICE[#Headers], 0)), IFERROR(INDEX(ICE[], MATCH("cfdm2" &amp; TEXT($L10, "mmmd") &amp; "-" &amp; TEXT($N10, "mmmd") &amp; " " &amp; "(" &amp; O$2 &amp; ")", ICE[LongCode], 0), MATCH("Settle", ICE[#Headers], 0)), ""))</f>
        <v/>
      </c>
      <c r="R10" s="393">
        <v>1.31</v>
      </c>
      <c r="S10" s="301" t="str">
        <f ca="1">IFERROR(INDEX(ICE[], MATCH("cfdm1" &amp; TEXT($L10, "mmmd") &amp; "-" &amp; TEXT($N10, "mmmd") &amp; " " &amp; "(" &amp; R$2 &amp; ")", ICE[LongCode], 0), MATCH("Text", ICE[#Headers], 0)), IFERROR(INDEX(ICE[], MATCH("cfdm2" &amp; TEXT($L10, "mmmd") &amp; "-" &amp; TEXT($N10, "mmmd") &amp; " " &amp; "(" &amp; R$2 &amp; ")", ICE[LongCode], 0), MATCH("Text", ICE[#Headers], 0)), ""))</f>
        <v xml:space="preserve"> /  </v>
      </c>
      <c r="T10" s="132">
        <f ca="1">IFERROR(INDEX(ICE[], MATCH("cfdm1" &amp; TEXT($L10, "mmmd") &amp; "-" &amp; TEXT($N10, "mmmd") &amp; " " &amp; "(" &amp; R$2 &amp; ")", ICE[LongCode], 0), MATCH("Settle", ICE[#Headers], 0)), IFERROR(INDEX(ICE[], MATCH("cfdm2" &amp; TEXT($L10, "mmmd") &amp; "-" &amp; TEXT($N10, "mmmd") &amp; " " &amp; "(" &amp; R$2 &amp; ")", ICE[LongCode], 0), MATCH("Settle", ICE[#Headers], 0)), ""))</f>
        <v>2.4910000000000001</v>
      </c>
      <c r="U10" s="393"/>
      <c r="V10" s="301" t="str">
        <f ca="1">IFERROR(INDEX(ICE[], MATCH("cfdm1" &amp; TEXT($L10, "mmmd") &amp; "-" &amp; TEXT($N10, "mmmd") &amp; " " &amp; "(" &amp; U$2 &amp; ")", ICE[LongCode], 0), MATCH("Text", ICE[#Headers], 0)), IFERROR(INDEX(ICE[], MATCH("cfdm2" &amp; TEXT($L10, "mmmd") &amp; "-" &amp; TEXT($N10, "mmmd") &amp; " " &amp; "(" &amp; U$2 &amp; ")", ICE[LongCode], 0), MATCH("Text", ICE[#Headers], 0)), ""))</f>
        <v xml:space="preserve"> /  </v>
      </c>
      <c r="W10" s="132">
        <f ca="1">IFERROR(INDEX(ICE[], MATCH("cfdm1" &amp; TEXT($L10, "mmmd") &amp; "-" &amp; TEXT($N10, "mmmd") &amp; " " &amp; "(" &amp; U$2 &amp; ")", ICE[LongCode], 0), MATCH("Settle", ICE[#Headers], 0)), IFERROR(INDEX(ICE[], MATCH("cfdm2" &amp; TEXT($L10, "mmmd") &amp; "-" &amp; TEXT($N10, "mmmd") &amp; " " &amp; "(" &amp; U$2 &amp; ")", ICE[LongCode], 0), MATCH("Settle", ICE[#Headers], 0)), ""))</f>
        <v>5.3810000000000002</v>
      </c>
      <c r="X10" s="169">
        <f t="shared" ca="1" si="2"/>
        <v>-2.1349999999999931</v>
      </c>
      <c r="Y10" s="170">
        <f t="shared" ca="1" si="3"/>
        <v>-0.11899999999999933</v>
      </c>
      <c r="Z10" s="143">
        <f t="shared" ca="1" si="4"/>
        <v>93.045000000000002</v>
      </c>
      <c r="AA10" s="171">
        <f t="shared" ca="1" si="5"/>
        <v>92.381</v>
      </c>
      <c r="AB10" s="143">
        <f t="shared" ca="1" si="9"/>
        <v>0.39999999999999147</v>
      </c>
      <c r="AC10" s="171">
        <f t="shared" ca="1" si="9"/>
        <v>0.67000000000000171</v>
      </c>
    </row>
    <row r="11" spans="1:29" ht="15.75" thickBot="1" x14ac:dyDescent="0.3">
      <c r="A11" s="802">
        <f t="shared" ca="1" si="0"/>
        <v>46276</v>
      </c>
      <c r="B11" s="51" t="e">
        <f t="shared" ca="1" si="6"/>
        <v>#N/A</v>
      </c>
      <c r="X11" s="65"/>
      <c r="Y11" s="65"/>
      <c r="Z11" s="65"/>
      <c r="AA11" s="65"/>
    </row>
    <row r="12" spans="1:29" ht="15.75" thickBot="1" x14ac:dyDescent="0.3">
      <c r="A12" s="802">
        <f t="shared" ca="1" si="0"/>
        <v>46277</v>
      </c>
      <c r="B12" s="51" t="e">
        <f t="shared" ca="1" si="6"/>
        <v>#N/A</v>
      </c>
      <c r="L12" s="152" t="s">
        <v>349</v>
      </c>
      <c r="M12" s="152" t="s">
        <v>11</v>
      </c>
      <c r="N12" s="174"/>
      <c r="O12" s="175" t="s">
        <v>118</v>
      </c>
      <c r="P12" s="174"/>
      <c r="X12" s="65"/>
      <c r="Y12" s="65"/>
      <c r="Z12" s="65"/>
      <c r="AA12" s="65"/>
    </row>
    <row r="13" spans="1:29" x14ac:dyDescent="0.25">
      <c r="A13" s="802">
        <f t="shared" ca="1" si="0"/>
        <v>46278</v>
      </c>
      <c r="B13" s="51" t="e">
        <f t="shared" ca="1" si="6"/>
        <v>#N/A</v>
      </c>
      <c r="K13" s="154" t="s">
        <v>324</v>
      </c>
      <c r="L13" s="176">
        <f ca="1">IFERROR(AVERAGE(_xll.BDH("AAGVX00 PL INDEX", "PX_LAST", Futs!AV$16, Futs!$AV$16, "Fill=#N/A")), IFERROR(AVERAGE(_xll.BDH("AAGVX00 PL INDEX", "PX_LAST", Futs!$AV$16, Futs!AV$16, "Fill=#N/A")), NA()))</f>
        <v>0.08</v>
      </c>
      <c r="M13" s="177">
        <f ca="1">Futs!$BI21 + $L13</f>
        <v>95.179999999999993</v>
      </c>
      <c r="N13" s="178"/>
      <c r="O13" s="179">
        <f ca="1">IFERROR(AVERAGE(_xll.BDH("PCAAQ00 PL INDEX", "PX_LAST", Futs!$AV$16, Futs!$AV$16, "Fill=#N/A")), IFERROR(AVERAGE(_xll.BDH("PCAAQ00 PL INDEX", "PX_LAST", Futs!$AV$16, Futs!$AV$16, "Fill=#N/A")), NA()))</f>
        <v>92.5</v>
      </c>
      <c r="P13" s="178"/>
      <c r="X13" s="65"/>
      <c r="Y13" s="65"/>
      <c r="Z13" s="65"/>
      <c r="AA13" s="65"/>
    </row>
    <row r="14" spans="1:29" x14ac:dyDescent="0.25">
      <c r="A14" s="802">
        <f t="shared" ca="1" si="0"/>
        <v>46279</v>
      </c>
      <c r="B14" s="51" t="e">
        <f t="shared" ca="1" si="6"/>
        <v>#N/A</v>
      </c>
      <c r="K14" s="159" t="s">
        <v>325</v>
      </c>
      <c r="L14" s="180">
        <f ca="1">IFERROR(AVERAGE(_xll.BDH("AAGVY00 PL INDEX", "PX_LAST", Futs!AV$16, Futs!$AV$16, "Fill=#N/A")), IFERROR(AVERAGE(_xll.BDH("AAGVY00 PL INDEX", "PX_LAST", Futs!$AV$16, Futs!AV$16, "Fill=#N/A")), NA()))</f>
        <v>0.11</v>
      </c>
      <c r="M14" s="109">
        <f ca="1">Futs!$BI22 + $L14</f>
        <v>91.734999999999999</v>
      </c>
      <c r="N14" s="181">
        <f ca="1">IF(AND(ISNUMBER($M13), ISNUMBER($M14)), $M13 - $M14, "")</f>
        <v>3.4449999999999932</v>
      </c>
      <c r="O14" s="51">
        <f ca="1">IFERROR(AVERAGE(_xll.BDH("PCAAR00 PL INDEX", "PX_LAST", Futs!$AV$16, Futs!$AV$16, "Fill=#N/A")), IFERROR(AVERAGE(_xll.BDH("PCAAR00 PL INDEX", "PX_LAST", Futs!$AV$16, Futs!$AV$16, "Fill=#N/A")), NA()))</f>
        <v>89.89</v>
      </c>
      <c r="P14" s="181">
        <f ca="1">IF(AND(ISNUMBER($O13), ISNUMBER($O14)), $O13 - $O14, "")</f>
        <v>2.6099999999999994</v>
      </c>
      <c r="X14" s="65"/>
      <c r="Y14" s="65"/>
      <c r="Z14" s="65"/>
      <c r="AA14" s="65"/>
    </row>
    <row r="15" spans="1:29" ht="15.75" thickBot="1" x14ac:dyDescent="0.3">
      <c r="A15" s="802">
        <f t="shared" ca="1" si="0"/>
        <v>46280</v>
      </c>
      <c r="B15" s="51" t="e">
        <f t="shared" ca="1" si="6"/>
        <v>#N/A</v>
      </c>
      <c r="K15" s="165" t="s">
        <v>326</v>
      </c>
      <c r="L15" s="182">
        <f ca="1">IFERROR(AVERAGE(_xll.BDH("AAMVY00 PL INDEX", "PX_LAST", Futs!AV$16, Futs!$AV$16, "Fill=#N/A")), IFERROR(AVERAGE(_xll.BDH("AAMVY00 PL INDEX", "PX_LAST", Futs!$AV$16, Futs!AV$16, "Fill=#N/A")), NA()))</f>
        <v>0.11</v>
      </c>
      <c r="M15" s="130">
        <f ca="1">Futs!$BI23 + $L15</f>
        <v>88.685000000000002</v>
      </c>
      <c r="N15" s="183">
        <f ca="1">IF(AND(ISNUMBER($M14), ISNUMBER($M15)), $M14 - $M15, "")</f>
        <v>3.0499999999999972</v>
      </c>
      <c r="O15" s="184">
        <f ca="1">IFERROR(AVERAGE(_xll.BDH("PCARR00 PL INDEX", "PX_LAST", Futs!$AV$16, Futs!$AV$16, "Fill=#N/A")), IFERROR(AVERAGE(_xll.BDH("PCARR00 PL INDEX", "PX_LAST", Futs!$AV$16, Futs!$AV$16, "Fill=#N/A")), NA()))</f>
        <v>87.34</v>
      </c>
      <c r="P15" s="183">
        <f ca="1">IF(AND(ISNUMBER($O14), ISNUMBER($O15)), $O14 - $O15, "")</f>
        <v>2.5499999999999972</v>
      </c>
      <c r="V15" s="48"/>
      <c r="X15" s="65"/>
      <c r="Y15" s="65"/>
      <c r="Z15" s="65"/>
      <c r="AA15" s="65"/>
    </row>
    <row r="16" spans="1:29" ht="15.75" thickBot="1" x14ac:dyDescent="0.3">
      <c r="A16" s="802">
        <f t="shared" ref="A16:A65" ca="1" si="10">$A15+1</f>
        <v>46281</v>
      </c>
      <c r="B16" s="51">
        <f t="shared" ca="1" si="6"/>
        <v>95.034999999999997</v>
      </c>
    </row>
    <row r="17" spans="1:18" ht="15.75" thickBot="1" x14ac:dyDescent="0.3">
      <c r="A17" s="802">
        <f t="shared" ca="1" si="10"/>
        <v>46282</v>
      </c>
      <c r="B17" s="51" t="e">
        <f t="shared" ca="1" si="6"/>
        <v>#N/A</v>
      </c>
      <c r="N17" s="803" t="s">
        <v>732</v>
      </c>
      <c r="O17" s="803" t="s">
        <v>1404</v>
      </c>
      <c r="P17" s="803" t="s">
        <v>1412</v>
      </c>
      <c r="Q17" s="803" t="s">
        <v>1413</v>
      </c>
      <c r="R17" s="803" t="s">
        <v>1414</v>
      </c>
    </row>
    <row r="18" spans="1:18" ht="15.75" thickBot="1" x14ac:dyDescent="0.3">
      <c r="A18" s="802">
        <f t="shared" ca="1" si="10"/>
        <v>46283</v>
      </c>
      <c r="B18" s="51" t="e">
        <f t="shared" ca="1" si="6"/>
        <v>#N/A</v>
      </c>
      <c r="L18" s="804">
        <f ca="1">WORKDAY(TODAY(), -1)</f>
        <v>46266</v>
      </c>
      <c r="M18" s="51" t="s">
        <v>43</v>
      </c>
      <c r="N18" s="807" cm="1">
        <f t="array" aca="1" ref="N18" ca="1">IF(LEFT(_xll.BDH("AAVJB00 PL Index", "PX_LAST", $L$18, $L$18), 1) &lt;&gt; "#", _xll.BDH("AAVJB00 PL Index", "PX_LAST", $L$18, $L$18), "")</f>
        <v>0.55000000000000004</v>
      </c>
      <c r="O18" s="806" cm="1">
        <f t="array" aca="1" ref="O18" ca="1">IF(LEFT(_xll.BDH("FSVRM00 PL Index", "PX_LAST", $L$18, $L$18), 1) &lt;&gt; "#", _xll.BDH("FSVRM00 PL Index", "PX_LAST", $L$18, $L$18), "")</f>
        <v>2.6364999999999998</v>
      </c>
      <c r="P18" s="807" cm="1">
        <f t="array" aca="1" ref="P18" ca="1">IF(LEFT(_xll.BDH("AAVJB00 PL Index", "PX_LAST", $L$18, $L$18), 1) &lt;&gt; "#", _xll.BDH("AAVJB00 PL Index", "PX_LAST", $L$18, $L$18), "")</f>
        <v>0.55000000000000004</v>
      </c>
      <c r="Q18" s="807"/>
      <c r="R18" s="807"/>
    </row>
    <row r="19" spans="1:18" ht="15.75" thickBot="1" x14ac:dyDescent="0.3">
      <c r="A19" s="802">
        <f t="shared" ca="1" si="10"/>
        <v>46284</v>
      </c>
      <c r="B19" s="51" t="e">
        <f t="shared" ca="1" si="6"/>
        <v>#N/A</v>
      </c>
      <c r="M19" s="51" t="s">
        <v>1405</v>
      </c>
      <c r="N19" s="807" cm="1">
        <f t="array" aca="1" ref="N19" ca="1">IF(LEFT(_xll.BDH("AAGWZ00 PL Index", "PX_LAST", $L$18, $L$18), 1) &lt;&gt; "#", _xll.BDH("AAGWZ00 PL Index", "PX_LAST", $L$18, $L$18), "")</f>
        <v>-0.30499999999999999</v>
      </c>
      <c r="O19" s="806" cm="1">
        <f t="array" aca="1" ref="O19" ca="1">IF(LEFT(_xll.BDH("FHPRM00 PL Index", "PX_LAST", $L$18, $L$18), 1) &lt;&gt; "#", _xll.BDH("FHPRM00 PL Index", "PX_LAST", $L$18, $L$18), "")</f>
        <v>1.9044000000000001</v>
      </c>
      <c r="P19" s="807" cm="1">
        <f t="array" aca="1" ref="P19" ca="1">IF(LEFT(_xll.BDH("AAHXC00 PL Index", "PX_LAST", $L$18, $L$18), 1) &lt;&gt; "#", _xll.BDH("AAHXC00 PL Index", "PX_LAST", $L$18, $L$18), "")</f>
        <v>1.2450000000000001</v>
      </c>
      <c r="Q19" s="807"/>
      <c r="R19" s="807"/>
    </row>
    <row r="20" spans="1:18" ht="15.75" thickBot="1" x14ac:dyDescent="0.3">
      <c r="A20" s="802">
        <f t="shared" ca="1" si="10"/>
        <v>46285</v>
      </c>
      <c r="B20" s="51" t="e">
        <f t="shared" ca="1" si="6"/>
        <v>#N/A</v>
      </c>
      <c r="M20" s="51" t="s">
        <v>1408</v>
      </c>
      <c r="N20" s="807" cm="1">
        <f t="array" aca="1" ref="N20" ca="1">IF(LEFT(_xll.BDH("AAGXF00 PL Index", "PX_LAST", $L$18, $L$18), 1) &lt;&gt; "#", _xll.BDH("AAGXF00 PL Index", "PX_LAST", $L$18, $L$18), "")</f>
        <v>4.7649999999999997</v>
      </c>
      <c r="O20" s="806" cm="1">
        <f t="array" aca="1" ref="O20" ca="1">IF(LEFT(_xll.BDH("FSTRM00 PL Index", "PX_LAST", $L$18, $L$18), 1) &lt;&gt; "#", _xll.BDH("FSTRM00 PL Index", "PX_LAST", $L$18, $L$18), "")</f>
        <v>1.6275999999999999</v>
      </c>
      <c r="P20" s="807" cm="1">
        <f t="array" aca="1" ref="P20" ca="1">IF(LEFT(_xll.BDH("AAHXD00 PL Index", "PX_LAST", $L$18, $L$18), 1) &lt;&gt; "#", _xll.BDH("AAHXD00 PL Index", "PX_LAST", $L$18, $L$18), "")</f>
        <v>6.81</v>
      </c>
      <c r="Q20" s="807" cm="1">
        <f t="array" aca="1" ref="Q20" ca="1">IF(LEFT(_xll.BDH("AAXDW00 PL Index", "PX_LAST", $L$18, $L$18), 1) &lt;&gt; "#", _xll.BDH("AAXDW00 PL Index", "PX_LAST", $L$18, $L$18), "")</f>
        <v>1.7325999999999999</v>
      </c>
      <c r="R20" s="807" cm="1">
        <f t="array" aca="1" ref="R20" ca="1">IF(LEFT(_xll.BDH("AAXDX00 PL Index", "PX_LAST", $L$18, $L$18), 1) &lt;&gt; "#", _xll.BDH("AAXDX00 PL Index", "PX_LAST", $L$18, $L$18), "")</f>
        <v>2.6034000000000002</v>
      </c>
    </row>
    <row r="21" spans="1:18" ht="15.75" thickBot="1" x14ac:dyDescent="0.3">
      <c r="A21" s="802">
        <f t="shared" ca="1" si="10"/>
        <v>46286</v>
      </c>
      <c r="B21" s="51" t="e">
        <f t="shared" ca="1" si="6"/>
        <v>#N/A</v>
      </c>
      <c r="M21" s="51" t="s">
        <v>1407</v>
      </c>
      <c r="N21" s="807" cm="1">
        <f t="array" aca="1" ref="N21" ca="1">IF(LEFT(_xll.BDH("AAGXB00 PL Index", "PX_LAST", $L$18, $L$18), 1) &lt;&gt; "#", _xll.BDH("AAGXB00 PL Index", "PX_LAST", $L$18, $L$18), "")</f>
        <v>2.5550000000000002</v>
      </c>
      <c r="O21" s="806" cm="1">
        <f t="array" aca="1" ref="O21" ca="1">IF(LEFT(_xll.BDH("FTSRM00 PL Index", "PX_LAST", $L$18, $L$18), 1) &lt;&gt; "#", _xll.BDH("FTSRM00 PL Index", "PX_LAST", $L$18, $L$18), "")</f>
        <v>1.4169</v>
      </c>
      <c r="P21" s="807" cm="1">
        <f t="array" aca="1" ref="P21" ca="1">IF(LEFT(_xll.BDH("AAHXB00 PL Index", "PX_LAST", $L$18, $L$18), 1) &lt;&gt; "#", _xll.BDH("AAHXB00 PL Index", "PX_LAST", $L$18, $L$18), "")</f>
        <v>4.34</v>
      </c>
      <c r="Q21" s="807" cm="1">
        <f t="array" aca="1" ref="Q21" ca="1">IF(LEFT(_xll.BDH("AAXDY00 PL Index", "PX_LAST", $L$18, $L$18), 1) &lt;&gt; "#", _xll.BDH("AAXDY00 PL Index", "PX_LAST", $L$18, $L$18), "")</f>
        <v>1.0968</v>
      </c>
      <c r="R21" s="807" cm="1">
        <f t="array" aca="1" ref="R21" ca="1">IF(LEFT(_xll.BDH("AAXDZ00 PL Index", "PX_LAST", $L$18, $L$18), 1) &lt;&gt; "#", _xll.BDH("AAXDZ00 PL Index", "PX_LAST", $L$18, $L$18), "")</f>
        <v>1.6233</v>
      </c>
    </row>
    <row r="22" spans="1:18" ht="15.75" thickBot="1" x14ac:dyDescent="0.3">
      <c r="A22" s="802">
        <f t="shared" ca="1" si="10"/>
        <v>46287</v>
      </c>
      <c r="B22" s="51" t="e">
        <f t="shared" ca="1" si="6"/>
        <v>#N/A</v>
      </c>
      <c r="M22" s="51" t="s">
        <v>1406</v>
      </c>
      <c r="N22" s="807" cm="1">
        <f t="array" aca="1" ref="N22" ca="1">IF(LEFT(_xll.BDH("AAWEY00 PL Index", "PX_LAST", $L$18, $L$18), 1) &lt;&gt; "#", _xll.BDH("AAWEY00 PL Index", "PX_LAST", $L$18, $L$18), "")</f>
        <v>4.7649999999999997</v>
      </c>
      <c r="O22" s="806" cm="1">
        <f t="array" aca="1" ref="O22" ca="1">IF(LEFT(_xll.BDH("FMGRM00 PL Index", "PX_LAST", $L$18, $L$18), 1) &lt;&gt; "#", _xll.BDH("FMGRM00 PL Index", "PX_LAST", $L$18, $L$18), "")</f>
        <v>1.6194999999999999</v>
      </c>
      <c r="P22" s="807" cm="1">
        <f t="array" aca="1" ref="P22" ca="1">IF(LEFT(_xll.BDH("AAXJN00 PL Index", "PX_LAST", $L$18, $L$18), 1) &lt;&gt; "#", _xll.BDH("AAXJN00 PL Index", "PX_LAST", $L$18, $L$18), "")</f>
        <v>6.7949999999999999</v>
      </c>
      <c r="Q22" s="807" cm="1">
        <f t="array" aca="1" ref="Q22" ca="1">IF(LEFT(_xll.BDH("ATFNB00 PL Index", "PX_LAST", $L$18, $L$18), 1) &lt;&gt; "#", _xll.BDH("ATFNB00 PL Index", "PX_LAST", $L$18, $L$18), "")</f>
        <v>1.7786</v>
      </c>
      <c r="R22" s="807" cm="1">
        <f t="array" aca="1" ref="R22" ca="1">IF(LEFT(_xll.BDH("ATFNA00 PL Index", "PX_LAST", $L$18, $L$18), 1) &lt;&gt; "#", _xll.BDH("ATFNA00 PL Index", "PX_LAST", $L$18, $L$18), "")</f>
        <v>2.6034000000000002</v>
      </c>
    </row>
    <row r="23" spans="1:18" ht="15.75" thickBot="1" x14ac:dyDescent="0.3">
      <c r="A23" s="802">
        <f t="shared" ca="1" si="10"/>
        <v>46288</v>
      </c>
      <c r="B23" s="51">
        <f t="shared" ca="1" si="6"/>
        <v>94.644999999999996</v>
      </c>
      <c r="M23" s="51" t="s">
        <v>334</v>
      </c>
      <c r="N23" s="807" cm="1">
        <f t="array" aca="1" ref="N23" ca="1">IF(LEFT(_xll.BDH("ALNDB00 PL Index", "PX_LAST", $L$18, $L$18), 1) &lt;&gt; "#", _xll.BDH("ALNDB00 PL Index", "PX_LAST", $L$18, $L$18), "")</f>
        <v>-0.46500000000000002</v>
      </c>
      <c r="O23" s="806" cm="1">
        <f t="array" aca="1" ref="O23" ca="1">IF(LEFT(_xll.BDH("FSFRM00 PL Index", "PX_LAST", $L$18, $L$18), 1) &lt;&gt; "#", _xll.BDH("FSFRM00 PL Index", "PX_LAST", $L$18, $L$18), "")</f>
        <v>1.6382000000000001</v>
      </c>
      <c r="P23" s="807" cm="1">
        <f t="array" aca="1" ref="P23" ca="1">IF(LEFT(_xll.BDH("WMCRB00 PL Index", "PX_LAST", $L$18, $L$18), 1) &lt;&gt; "#", _xll.BDH("WMCRB00 PL Index", "PX_LAST", $L$18, $L$18), "")</f>
        <v>1.17</v>
      </c>
      <c r="Q23" s="807"/>
      <c r="R23" s="807"/>
    </row>
    <row r="24" spans="1:18" x14ac:dyDescent="0.25">
      <c r="A24" s="802">
        <f t="shared" ca="1" si="10"/>
        <v>46289</v>
      </c>
      <c r="B24" s="51" t="e">
        <f t="shared" ca="1" si="6"/>
        <v>#N/A</v>
      </c>
    </row>
    <row r="25" spans="1:18" x14ac:dyDescent="0.25">
      <c r="A25" s="802">
        <f t="shared" ca="1" si="10"/>
        <v>46290</v>
      </c>
      <c r="B25" s="51" t="e">
        <f t="shared" ca="1" si="6"/>
        <v>#N/A</v>
      </c>
    </row>
    <row r="26" spans="1:18" x14ac:dyDescent="0.25">
      <c r="A26" s="802">
        <f t="shared" ca="1" si="10"/>
        <v>46291</v>
      </c>
      <c r="B26" s="51" t="e">
        <f t="shared" ca="1" si="6"/>
        <v>#N/A</v>
      </c>
    </row>
    <row r="27" spans="1:18" x14ac:dyDescent="0.25">
      <c r="A27" s="802">
        <f t="shared" ca="1" si="10"/>
        <v>46292</v>
      </c>
      <c r="B27" s="51" t="e">
        <f t="shared" ca="1" si="6"/>
        <v>#N/A</v>
      </c>
    </row>
    <row r="28" spans="1:18" x14ac:dyDescent="0.25">
      <c r="A28" s="802">
        <f t="shared" ca="1" si="10"/>
        <v>46293</v>
      </c>
      <c r="B28" s="51" t="e">
        <f t="shared" ca="1" si="6"/>
        <v>#N/A</v>
      </c>
    </row>
    <row r="29" spans="1:18" ht="15.75" thickBot="1" x14ac:dyDescent="0.3">
      <c r="A29" s="802">
        <f t="shared" ca="1" si="10"/>
        <v>46294</v>
      </c>
      <c r="B29" s="51" t="e">
        <f t="shared" ca="1" si="6"/>
        <v>#N/A</v>
      </c>
    </row>
    <row r="30" spans="1:18" ht="15.75" thickBot="1" x14ac:dyDescent="0.3">
      <c r="A30" s="802">
        <f t="shared" ca="1" si="10"/>
        <v>46295</v>
      </c>
      <c r="B30" s="51">
        <f t="shared" ca="1" si="6"/>
        <v>94.334999999999994</v>
      </c>
      <c r="L30" s="808" t="s">
        <v>334</v>
      </c>
    </row>
    <row r="31" spans="1:18" ht="15.75" thickBot="1" x14ac:dyDescent="0.3">
      <c r="A31" s="802">
        <f t="shared" ca="1" si="10"/>
        <v>46296</v>
      </c>
      <c r="B31" s="51" t="e">
        <f t="shared" ca="1" si="6"/>
        <v>#N/A</v>
      </c>
      <c r="K31" s="805" t="s">
        <v>1412</v>
      </c>
      <c r="L31" s="809">
        <v>2.2000000000000002</v>
      </c>
    </row>
    <row r="32" spans="1:18" ht="15.75" thickBot="1" x14ac:dyDescent="0.3">
      <c r="A32" s="802">
        <f t="shared" ca="1" si="10"/>
        <v>46297</v>
      </c>
      <c r="B32" s="51" t="e">
        <f t="shared" ca="1" si="6"/>
        <v>#N/A</v>
      </c>
      <c r="K32" s="805" t="s">
        <v>1404</v>
      </c>
      <c r="L32" s="807">
        <f ca="1">$O$23</f>
        <v>1.6382000000000001</v>
      </c>
    </row>
    <row r="33" spans="1:12" ht="15.75" thickBot="1" x14ac:dyDescent="0.3">
      <c r="A33" s="802">
        <f t="shared" ca="1" si="10"/>
        <v>46298</v>
      </c>
      <c r="B33" s="51" t="e">
        <f t="shared" ca="1" si="6"/>
        <v>#N/A</v>
      </c>
      <c r="K33" s="805" t="s">
        <v>732</v>
      </c>
      <c r="L33" s="807">
        <f ca="1">L31-$L$32</f>
        <v>0.56180000000000008</v>
      </c>
    </row>
    <row r="34" spans="1:12" ht="15.75" thickBot="1" x14ac:dyDescent="0.3">
      <c r="A34" s="802">
        <f t="shared" ca="1" si="10"/>
        <v>46299</v>
      </c>
      <c r="B34" s="51" t="e">
        <f t="shared" ca="1" si="6"/>
        <v>#N/A</v>
      </c>
      <c r="K34" s="805" t="s">
        <v>1409</v>
      </c>
      <c r="L34" s="807">
        <f ca="1">AVERAGE($X$5:$X$7)</f>
        <v>-0.50833333333332653</v>
      </c>
    </row>
    <row r="35" spans="1:12" ht="15.75" thickBot="1" x14ac:dyDescent="0.3">
      <c r="A35" s="802">
        <f t="shared" ca="1" si="10"/>
        <v>46300</v>
      </c>
      <c r="B35" s="51" t="e">
        <f t="shared" ca="1" si="6"/>
        <v>#N/A</v>
      </c>
      <c r="K35" s="805" t="s">
        <v>1410</v>
      </c>
      <c r="L35" s="807">
        <f ca="1">$L$13</f>
        <v>0.08</v>
      </c>
    </row>
    <row r="36" spans="1:12" ht="15.75" thickBot="1" x14ac:dyDescent="0.3">
      <c r="A36" s="802">
        <f t="shared" ca="1" si="10"/>
        <v>46301</v>
      </c>
      <c r="B36" s="51" t="e">
        <f t="shared" ca="1" si="6"/>
        <v>#N/A</v>
      </c>
    </row>
    <row r="37" spans="1:12" ht="15.75" thickBot="1" x14ac:dyDescent="0.3">
      <c r="A37" s="802">
        <f t="shared" ca="1" si="10"/>
        <v>46302</v>
      </c>
      <c r="B37" s="51">
        <f t="shared" ca="1" si="6"/>
        <v>93.885000000000005</v>
      </c>
      <c r="K37" s="805" t="s">
        <v>1411</v>
      </c>
      <c r="L37" s="807">
        <f ca="1">L33+L35+$L34</f>
        <v>0.13346666666667351</v>
      </c>
    </row>
    <row r="38" spans="1:12" x14ac:dyDescent="0.25">
      <c r="A38" s="802">
        <f t="shared" ca="1" si="10"/>
        <v>46303</v>
      </c>
      <c r="B38" s="51" t="e">
        <f t="shared" ca="1" si="6"/>
        <v>#N/A</v>
      </c>
    </row>
    <row r="39" spans="1:12" x14ac:dyDescent="0.25">
      <c r="A39" s="802">
        <f t="shared" ca="1" si="10"/>
        <v>46304</v>
      </c>
      <c r="B39" s="51" t="e">
        <f t="shared" ca="1" si="6"/>
        <v>#N/A</v>
      </c>
    </row>
    <row r="40" spans="1:12" x14ac:dyDescent="0.25">
      <c r="A40" s="802">
        <f t="shared" ca="1" si="10"/>
        <v>46305</v>
      </c>
      <c r="B40" s="51" t="e">
        <f t="shared" ca="1" si="6"/>
        <v>#N/A</v>
      </c>
    </row>
    <row r="41" spans="1:12" x14ac:dyDescent="0.25">
      <c r="A41" s="802">
        <f t="shared" ca="1" si="10"/>
        <v>46306</v>
      </c>
      <c r="B41" s="51" t="e">
        <f t="shared" ca="1" si="6"/>
        <v>#N/A</v>
      </c>
    </row>
    <row r="42" spans="1:12" x14ac:dyDescent="0.25">
      <c r="A42" s="802">
        <f t="shared" ca="1" si="10"/>
        <v>46307</v>
      </c>
      <c r="B42" s="51" t="e">
        <f t="shared" ca="1" si="6"/>
        <v>#N/A</v>
      </c>
    </row>
    <row r="43" spans="1:12" x14ac:dyDescent="0.25">
      <c r="A43" s="802">
        <f t="shared" ca="1" si="10"/>
        <v>46308</v>
      </c>
      <c r="B43" s="51" t="e">
        <f t="shared" ca="1" si="6"/>
        <v>#N/A</v>
      </c>
    </row>
    <row r="44" spans="1:12" x14ac:dyDescent="0.25">
      <c r="A44" s="802">
        <f t="shared" ca="1" si="10"/>
        <v>46309</v>
      </c>
      <c r="B44" s="51">
        <f t="shared" ca="1" si="6"/>
        <v>93.444999999999993</v>
      </c>
    </row>
    <row r="45" spans="1:12" x14ac:dyDescent="0.25">
      <c r="A45" s="802">
        <f t="shared" ca="1" si="10"/>
        <v>46310</v>
      </c>
      <c r="B45" s="51" t="e">
        <f t="shared" ca="1" si="6"/>
        <v>#N/A</v>
      </c>
    </row>
    <row r="46" spans="1:12" x14ac:dyDescent="0.25">
      <c r="A46" s="802">
        <f t="shared" ca="1" si="10"/>
        <v>46311</v>
      </c>
      <c r="B46" s="51" t="e">
        <f t="shared" ca="1" si="6"/>
        <v>#N/A</v>
      </c>
    </row>
    <row r="47" spans="1:12" x14ac:dyDescent="0.25">
      <c r="A47" s="802">
        <f t="shared" ca="1" si="10"/>
        <v>46312</v>
      </c>
      <c r="B47" s="51" t="e">
        <f t="shared" ca="1" si="6"/>
        <v>#N/A</v>
      </c>
    </row>
    <row r="48" spans="1:12" x14ac:dyDescent="0.25">
      <c r="A48" s="802">
        <f t="shared" ca="1" si="10"/>
        <v>46313</v>
      </c>
      <c r="B48" s="51" t="e">
        <f t="shared" ca="1" si="6"/>
        <v>#N/A</v>
      </c>
    </row>
    <row r="49" spans="1:3" x14ac:dyDescent="0.25">
      <c r="A49" s="802">
        <f t="shared" ca="1" si="10"/>
        <v>46314</v>
      </c>
      <c r="B49" s="51" t="e">
        <f t="shared" ca="1" si="6"/>
        <v>#N/A</v>
      </c>
    </row>
    <row r="50" spans="1:3" x14ac:dyDescent="0.25">
      <c r="A50" s="802">
        <f t="shared" ca="1" si="10"/>
        <v>46315</v>
      </c>
      <c r="B50" s="51" t="e">
        <f t="shared" ca="1" si="6"/>
        <v>#N/A</v>
      </c>
      <c r="C50" s="48">
        <v>2.4</v>
      </c>
    </row>
    <row r="51" spans="1:3" x14ac:dyDescent="0.25">
      <c r="A51" s="802">
        <f t="shared" ca="1" si="10"/>
        <v>46316</v>
      </c>
      <c r="B51" s="51">
        <f t="shared" ca="1" si="6"/>
        <v>93.045000000000002</v>
      </c>
      <c r="C51" s="48">
        <v>2.4</v>
      </c>
    </row>
    <row r="52" spans="1:3" x14ac:dyDescent="0.25">
      <c r="A52" s="802">
        <f t="shared" ca="1" si="10"/>
        <v>46317</v>
      </c>
      <c r="B52" s="51" t="e">
        <f t="shared" ca="1" si="6"/>
        <v>#N/A</v>
      </c>
      <c r="C52" s="48">
        <v>2.4</v>
      </c>
    </row>
    <row r="53" spans="1:3" x14ac:dyDescent="0.25">
      <c r="A53" s="802">
        <f t="shared" ca="1" si="10"/>
        <v>46318</v>
      </c>
      <c r="B53" s="51" t="e">
        <f t="shared" ca="1" si="6"/>
        <v>#N/A</v>
      </c>
      <c r="C53" s="48">
        <v>2.4</v>
      </c>
    </row>
    <row r="54" spans="1:3" x14ac:dyDescent="0.25">
      <c r="A54" s="802">
        <f t="shared" ca="1" si="10"/>
        <v>46319</v>
      </c>
      <c r="B54" s="51" t="e">
        <f t="shared" ca="1" si="6"/>
        <v>#N/A</v>
      </c>
      <c r="C54" s="48">
        <v>2.4</v>
      </c>
    </row>
    <row r="55" spans="1:3" x14ac:dyDescent="0.25">
      <c r="A55" s="802">
        <f t="shared" ca="1" si="10"/>
        <v>46320</v>
      </c>
      <c r="B55" s="51" t="e">
        <f t="shared" ca="1" si="6"/>
        <v>#N/A</v>
      </c>
      <c r="C55" s="48">
        <v>2.4</v>
      </c>
    </row>
    <row r="56" spans="1:3" x14ac:dyDescent="0.25">
      <c r="A56" s="802">
        <f t="shared" ca="1" si="10"/>
        <v>46321</v>
      </c>
      <c r="B56" s="51" t="e">
        <f t="shared" ca="1" si="6"/>
        <v>#N/A</v>
      </c>
    </row>
    <row r="57" spans="1:3" x14ac:dyDescent="0.25">
      <c r="A57" s="802">
        <f t="shared" ca="1" si="10"/>
        <v>46322</v>
      </c>
      <c r="B57" s="51" t="e">
        <f t="shared" ca="1" si="6"/>
        <v>#N/A</v>
      </c>
    </row>
    <row r="58" spans="1:3" x14ac:dyDescent="0.25">
      <c r="A58" s="802">
        <f t="shared" ca="1" si="10"/>
        <v>46323</v>
      </c>
      <c r="B58" s="51" t="e">
        <f t="shared" ca="1" si="6"/>
        <v>#N/A</v>
      </c>
    </row>
    <row r="59" spans="1:3" x14ac:dyDescent="0.25">
      <c r="A59" s="802">
        <f t="shared" ca="1" si="10"/>
        <v>46324</v>
      </c>
      <c r="B59" s="51" t="e">
        <f t="shared" ca="1" si="6"/>
        <v>#N/A</v>
      </c>
    </row>
    <row r="60" spans="1:3" x14ac:dyDescent="0.25">
      <c r="A60" s="802">
        <f t="shared" ca="1" si="10"/>
        <v>46325</v>
      </c>
      <c r="B60" s="51" t="e">
        <f t="shared" ca="1" si="6"/>
        <v>#N/A</v>
      </c>
    </row>
    <row r="61" spans="1:3" x14ac:dyDescent="0.25">
      <c r="A61" s="802">
        <f t="shared" ca="1" si="10"/>
        <v>46326</v>
      </c>
      <c r="B61" s="51" t="e">
        <f t="shared" ca="1" si="6"/>
        <v>#N/A</v>
      </c>
    </row>
    <row r="62" spans="1:3" x14ac:dyDescent="0.25">
      <c r="A62" s="802">
        <f t="shared" ca="1" si="10"/>
        <v>46327</v>
      </c>
      <c r="B62" s="51" t="e">
        <f t="shared" ca="1" si="6"/>
        <v>#N/A</v>
      </c>
    </row>
    <row r="63" spans="1:3" x14ac:dyDescent="0.25">
      <c r="A63" s="802">
        <f t="shared" ca="1" si="10"/>
        <v>46328</v>
      </c>
      <c r="B63" s="51" t="e">
        <f t="shared" ca="1" si="6"/>
        <v>#N/A</v>
      </c>
    </row>
    <row r="64" spans="1:3" x14ac:dyDescent="0.25">
      <c r="A64" s="802">
        <f t="shared" ca="1" si="10"/>
        <v>46329</v>
      </c>
      <c r="B64" s="51" t="e">
        <f t="shared" ca="1" si="6"/>
        <v>#N/A</v>
      </c>
    </row>
    <row r="65" spans="1:2" x14ac:dyDescent="0.25">
      <c r="A65" s="802">
        <f t="shared" ca="1" si="10"/>
        <v>46330</v>
      </c>
      <c r="B65" s="51" t="e">
        <f t="shared" ca="1" si="6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1394-72D4-4D57-A668-2842E463FCD4}">
  <sheetPr codeName="Sheet4">
    <tabColor theme="4" tint="-0.249977111117893"/>
    <pageSetUpPr autoPageBreaks="0"/>
  </sheetPr>
  <dimension ref="A1:CN73"/>
  <sheetViews>
    <sheetView zoomScaleNormal="100" workbookViewId="0">
      <pane xSplit="1" ySplit="18" topLeftCell="I19" activePane="bottomRight" state="frozen"/>
      <selection pane="topRight" activeCell="B1" sqref="B1"/>
      <selection pane="bottomLeft" activeCell="A19" sqref="A19"/>
      <selection pane="bottomRight" activeCell="J20" sqref="J20"/>
    </sheetView>
  </sheetViews>
  <sheetFormatPr defaultColWidth="9.140625" defaultRowHeight="15" x14ac:dyDescent="0.25"/>
  <cols>
    <col min="1" max="1" width="12.140625" style="57" customWidth="1"/>
    <col min="2" max="3" width="9.42578125" style="6" hidden="1" customWidth="1"/>
    <col min="4" max="8" width="9.42578125" style="28" hidden="1" customWidth="1"/>
    <col min="9" max="9" width="8.140625" style="51" customWidth="1"/>
    <col min="10" max="10" width="25.85546875" style="51" customWidth="1"/>
    <col min="11" max="11" width="5.7109375" style="51" customWidth="1"/>
    <col min="12" max="12" width="8.140625" style="66" customWidth="1"/>
    <col min="13" max="13" width="5.7109375" style="52" customWidth="1"/>
    <col min="14" max="14" width="8.140625" style="51" customWidth="1"/>
    <col min="15" max="15" width="5.7109375" style="67" customWidth="1"/>
    <col min="16" max="16" width="8.140625" style="66" customWidth="1"/>
    <col min="17" max="17" width="25.85546875" style="51" customWidth="1"/>
    <col min="18" max="18" width="5.7109375" style="52" customWidth="1"/>
    <col min="19" max="19" width="8.140625" style="68" customWidth="1"/>
    <col min="20" max="20" width="25.85546875" style="51" customWidth="1"/>
    <col min="21" max="21" width="5.7109375" style="67" customWidth="1"/>
    <col min="22" max="22" width="8.140625" style="68" customWidth="1"/>
    <col min="23" max="23" width="5.7109375" style="67" customWidth="1"/>
    <col min="24" max="24" width="8.140625" style="68" customWidth="1"/>
    <col min="25" max="25" width="5.7109375" style="67" customWidth="1"/>
    <col min="26" max="26" width="8.140625" style="68" customWidth="1"/>
    <col min="27" max="27" width="25.85546875" style="51" customWidth="1"/>
    <col min="28" max="28" width="5.7109375" style="67" customWidth="1"/>
    <col min="29" max="29" width="8.140625" style="68" customWidth="1"/>
    <col min="30" max="30" width="5.7109375" style="67" customWidth="1"/>
    <col min="31" max="31" width="8.140625" style="68" customWidth="1"/>
    <col min="32" max="32" width="5.7109375" style="67" customWidth="1"/>
    <col min="33" max="33" width="8.140625" style="51" customWidth="1"/>
    <col min="34" max="34" width="25.85546875" style="51" customWidth="1"/>
    <col min="35" max="35" width="5.7109375" style="51" customWidth="1"/>
    <col min="36" max="36" width="8.140625" style="66" customWidth="1"/>
    <col min="37" max="37" width="5.7109375" style="52" customWidth="1"/>
    <col min="38" max="38" width="8.140625" style="51" customWidth="1"/>
    <col min="39" max="39" width="5.7109375" style="67" customWidth="1"/>
    <col min="40" max="40" width="8.140625" style="66" customWidth="1"/>
    <col min="41" max="41" width="5.7109375" style="52" customWidth="1"/>
    <col min="42" max="42" width="8.140625" style="51" customWidth="1"/>
    <col min="43" max="43" width="25.85546875" style="51" customWidth="1"/>
    <col min="44" max="44" width="5.7109375" style="51" customWidth="1"/>
    <col min="45" max="45" width="8.140625" style="66" customWidth="1"/>
    <col min="46" max="46" width="5.7109375" style="52" customWidth="1"/>
    <col min="47" max="47" width="8.140625" style="51" customWidth="1"/>
    <col min="48" max="48" width="5.7109375" style="67" customWidth="1"/>
    <col min="49" max="49" width="8.140625" style="51" customWidth="1"/>
    <col min="50" max="50" width="5.7109375" style="67" customWidth="1"/>
    <col min="51" max="51" width="8.140625" style="66" customWidth="1"/>
    <col min="52" max="52" width="5.7109375" style="52" customWidth="1"/>
    <col min="53" max="53" width="8.140625" style="51" customWidth="1"/>
    <col min="54" max="54" width="25.85546875" style="51" customWidth="1"/>
    <col min="55" max="55" width="5.7109375" style="51" customWidth="1"/>
    <col min="56" max="56" width="8.140625" style="66" customWidth="1"/>
    <col min="57" max="57" width="5.7109375" style="52" customWidth="1"/>
    <col min="58" max="58" width="8.140625" style="51" customWidth="1"/>
    <col min="59" max="59" width="5.7109375" style="67" customWidth="1"/>
    <col min="60" max="60" width="8.140625" style="51" customWidth="1"/>
    <col min="61" max="61" width="5.7109375" style="67" customWidth="1"/>
    <col min="62" max="62" width="8.140625" style="66" customWidth="1"/>
    <col min="63" max="63" width="5.7109375" style="52" customWidth="1"/>
    <col min="64" max="64" width="8.140625" style="51" customWidth="1"/>
    <col min="65" max="65" width="25.85546875" style="51" customWidth="1"/>
    <col min="66" max="66" width="5.7109375" style="51" customWidth="1"/>
    <col min="67" max="67" width="8.140625" style="66" customWidth="1"/>
    <col min="68" max="68" width="5.7109375" style="52" customWidth="1"/>
    <col min="69" max="69" width="8.140625" style="51" customWidth="1"/>
    <col min="70" max="70" width="5.7109375" style="67" customWidth="1"/>
    <col min="71" max="71" width="8.140625" style="51" customWidth="1"/>
    <col min="72" max="72" width="5.7109375" style="67" customWidth="1"/>
    <col min="73" max="73" width="8.140625" style="66" customWidth="1"/>
    <col min="74" max="74" width="5.7109375" style="52" customWidth="1"/>
    <col min="75" max="75" width="9.140625" style="51"/>
    <col min="76" max="76" width="10.42578125" style="51" bestFit="1" customWidth="1"/>
    <col min="77" max="80" width="9.140625" style="51"/>
    <col min="81" max="81" width="15.85546875" style="51" customWidth="1"/>
    <col min="82" max="83" width="9.140625" style="51"/>
    <col min="84" max="84" width="13.5703125" style="51" customWidth="1"/>
    <col min="85" max="86" width="9.140625" style="51"/>
    <col min="87" max="87" width="13.28515625" style="51" customWidth="1"/>
    <col min="88" max="88" width="9.140625" style="51"/>
    <col min="89" max="92" width="9.140625" style="65"/>
    <col min="93" max="16384" width="9.140625" style="51"/>
  </cols>
  <sheetData>
    <row r="1" spans="1:87" x14ac:dyDescent="0.25">
      <c r="A1" s="106">
        <f ca="1">INT(TimeLDN)</f>
        <v>46267</v>
      </c>
      <c r="C1" s="25"/>
      <c r="L1" s="51"/>
      <c r="M1" s="51"/>
      <c r="P1" s="51"/>
      <c r="R1" s="51"/>
      <c r="AJ1" s="51"/>
      <c r="AK1" s="51"/>
      <c r="AN1" s="51"/>
      <c r="AO1" s="51"/>
      <c r="AS1" s="51"/>
      <c r="AT1" s="51"/>
      <c r="AY1" s="51"/>
      <c r="AZ1" s="51"/>
      <c r="BD1" s="51"/>
      <c r="BE1" s="51"/>
      <c r="BJ1" s="51"/>
      <c r="BK1" s="51"/>
      <c r="BO1" s="51"/>
      <c r="BP1" s="51"/>
      <c r="BU1" s="51"/>
      <c r="BV1" s="51"/>
    </row>
    <row r="2" spans="1:87" ht="15.75" thickBot="1" x14ac:dyDescent="0.3">
      <c r="A2" s="107">
        <f ca="1">TimeLDN</f>
        <v>46267.465217013887</v>
      </c>
      <c r="L2" s="51"/>
      <c r="M2" s="51"/>
      <c r="P2" s="51"/>
      <c r="R2" s="51"/>
      <c r="T2" s="68"/>
      <c r="AJ2" s="51"/>
      <c r="AK2" s="51"/>
      <c r="AN2" s="51"/>
      <c r="AO2" s="51"/>
      <c r="AS2" s="51"/>
      <c r="AT2" s="51"/>
      <c r="AY2" s="51"/>
      <c r="AZ2" s="51"/>
      <c r="BD2" s="51"/>
      <c r="BE2" s="51"/>
      <c r="BJ2" s="51"/>
      <c r="BK2" s="51"/>
      <c r="BO2" s="51"/>
      <c r="BP2" s="51"/>
      <c r="BU2" s="51"/>
      <c r="BV2" s="51"/>
    </row>
    <row r="3" spans="1:87" ht="15.75" thickBot="1" x14ac:dyDescent="0.3">
      <c r="A3" s="54"/>
      <c r="I3" s="310" t="s">
        <v>333</v>
      </c>
      <c r="J3" s="311"/>
      <c r="K3" s="311"/>
      <c r="L3" s="311"/>
      <c r="M3" s="311"/>
      <c r="N3" s="311"/>
      <c r="O3" s="311"/>
      <c r="P3" s="311"/>
      <c r="Q3" s="311"/>
      <c r="R3" s="311"/>
      <c r="S3" s="310" t="s">
        <v>266</v>
      </c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20"/>
      <c r="AG3" s="310" t="s">
        <v>334</v>
      </c>
      <c r="AH3" s="311"/>
      <c r="AI3" s="311"/>
      <c r="AJ3" s="311"/>
      <c r="AK3" s="311"/>
      <c r="AL3" s="311"/>
      <c r="AM3" s="311"/>
      <c r="AN3" s="311"/>
      <c r="AO3" s="320"/>
      <c r="AP3" s="310" t="s">
        <v>335</v>
      </c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11"/>
      <c r="BD3" s="311"/>
      <c r="BE3" s="311"/>
      <c r="BF3" s="311"/>
      <c r="BG3" s="311"/>
      <c r="BH3" s="311"/>
      <c r="BI3" s="311"/>
      <c r="BJ3" s="311"/>
      <c r="BK3" s="320"/>
      <c r="BL3" s="310" t="s">
        <v>336</v>
      </c>
      <c r="BM3" s="311"/>
      <c r="BN3" s="311"/>
      <c r="BO3" s="311"/>
      <c r="BP3" s="311"/>
      <c r="BQ3" s="311"/>
      <c r="BR3" s="311"/>
      <c r="BS3" s="311"/>
      <c r="BT3" s="311"/>
      <c r="BU3" s="311"/>
      <c r="BV3" s="320"/>
    </row>
    <row r="4" spans="1:87" x14ac:dyDescent="0.25">
      <c r="A4" s="54"/>
      <c r="I4" s="302" t="str">
        <f>I$18</f>
        <v>DFL</v>
      </c>
      <c r="J4" s="321"/>
      <c r="K4" s="321"/>
      <c r="L4" s="321"/>
      <c r="M4" s="321"/>
      <c r="N4" s="322" t="str">
        <f>N$18</f>
        <v>Dated</v>
      </c>
      <c r="O4" s="323"/>
      <c r="P4" s="321"/>
      <c r="Q4" s="307"/>
      <c r="R4" s="321"/>
      <c r="S4" s="324" t="s">
        <v>338</v>
      </c>
      <c r="T4" s="307"/>
      <c r="U4" s="325"/>
      <c r="V4" s="321"/>
      <c r="W4" s="321"/>
      <c r="X4" s="326" t="str">
        <f>X$18</f>
        <v>Dubai</v>
      </c>
      <c r="Y4" s="325"/>
      <c r="Z4" s="321"/>
      <c r="AA4" s="307"/>
      <c r="AB4" s="321"/>
      <c r="AC4" s="378" t="s">
        <v>339</v>
      </c>
      <c r="AD4" s="325"/>
      <c r="AE4" s="321"/>
      <c r="AF4" s="327"/>
      <c r="AG4" s="302" t="str">
        <f>AG$18</f>
        <v>Mid/WTI (CMA)</v>
      </c>
      <c r="AH4" s="321"/>
      <c r="AI4" s="321"/>
      <c r="AJ4" s="321"/>
      <c r="AK4" s="321"/>
      <c r="AL4" s="322" t="str">
        <f>AL$18</f>
        <v>Midland</v>
      </c>
      <c r="AM4" s="323"/>
      <c r="AN4" s="321"/>
      <c r="AO4" s="327"/>
      <c r="AP4" s="302" t="str">
        <f>AP$18</f>
        <v>MEH/WTI (CMA)</v>
      </c>
      <c r="AQ4" s="321"/>
      <c r="AR4" s="321"/>
      <c r="AS4" s="321"/>
      <c r="AT4" s="321"/>
      <c r="AU4" s="322" t="s">
        <v>340</v>
      </c>
      <c r="AV4" s="323"/>
      <c r="AW4" s="322" t="str">
        <f>AW$18</f>
        <v>MEH</v>
      </c>
      <c r="AX4" s="323"/>
      <c r="AY4" s="321"/>
      <c r="AZ4" s="321"/>
      <c r="BA4" s="425" t="str">
        <f>BA$18</f>
        <v>MEH/WTI (TMA)</v>
      </c>
      <c r="BB4" s="321"/>
      <c r="BC4" s="321"/>
      <c r="BD4" s="321"/>
      <c r="BE4" s="321"/>
      <c r="BF4" s="322" t="s">
        <v>340</v>
      </c>
      <c r="BG4" s="323"/>
      <c r="BH4" s="322" t="str">
        <f>BH$18</f>
        <v>MEH</v>
      </c>
      <c r="BI4" s="323"/>
      <c r="BJ4" s="321"/>
      <c r="BK4" s="327"/>
      <c r="BL4" s="302" t="str">
        <f>BL$18</f>
        <v>WCS/WTI (TMA)</v>
      </c>
      <c r="BM4" s="321"/>
      <c r="BN4" s="321"/>
      <c r="BO4" s="321"/>
      <c r="BP4" s="321"/>
      <c r="BQ4" s="322" t="s">
        <v>340</v>
      </c>
      <c r="BR4" s="323"/>
      <c r="BS4" s="322" t="str">
        <f>BS$18</f>
        <v>WCS</v>
      </c>
      <c r="BT4" s="323"/>
      <c r="BU4" s="321"/>
      <c r="BV4" s="327"/>
    </row>
    <row r="5" spans="1:87" x14ac:dyDescent="0.25">
      <c r="A5" s="54" t="str">
        <f ca="1">"Q" &amp; INT((MONTH($A$1) + 2) / 3) &amp; TEXT($A$1, "yy")</f>
        <v>Q326</v>
      </c>
      <c r="I5" s="160" t="str">
        <f t="shared" ref="I5:I11" ca="1" si="0">IFERROR(AVERAGEIF($C$19:$C$66, $A5, I$19:I$66), "")</f>
        <v/>
      </c>
      <c r="J5" s="363" t="str">
        <f ca="1">IFERROR(INDEX(ICE[], MATCH("dfl" &amp; LEFT(Crd!$A5, 2) &amp; " " &amp; RIGHT(Crd!$A5, 2), ICE[LongCode], 0), MATCH("Text", ICE[#Headers], 0)), "")</f>
        <v/>
      </c>
      <c r="K5" s="115" t="str">
        <f t="shared" ref="K5:K11" ca="1" si="1">IFERROR(AVERAGEIF($C$19:$C$66, $A5, K$19:K$66), "")</f>
        <v/>
      </c>
      <c r="L5" s="161"/>
      <c r="M5" s="162"/>
      <c r="N5" s="112" t="str">
        <f t="shared" ref="N5:O11" ca="1" si="2">IFERROR(AVERAGEIF($C$19:$C$66, $A5, N$19:N$66), "")</f>
        <v/>
      </c>
      <c r="O5" s="115" t="str">
        <f t="shared" ca="1" si="2"/>
        <v/>
      </c>
      <c r="P5" s="161"/>
      <c r="Q5" s="363" t="str">
        <f ca="1">IFERROR(INDEX(ICE[], MATCH("brdtd" &amp; LEFT(Crd!$A5, 2) &amp; " " &amp; RIGHT(Crd!$A5, 2), ICE[LongCode], 0), MATCH("Text", ICE[#Headers], 0)), "")</f>
        <v/>
      </c>
      <c r="R5" s="163"/>
      <c r="S5" s="160" t="str">
        <f t="shared" ref="S5:S11" ca="1" si="3">IFERROR(AVERAGEIF($C$19:$C$66, $A5, S$19:S$66), "")</f>
        <v/>
      </c>
      <c r="T5" s="363" t="str">
        <f ca="1">IFERROR(INDEX(ICE[], MATCH("brdub" &amp; LEFT(Crd!$A5, 2) &amp; " " &amp; RIGHT(Crd!$A5, 2), ICE[LongCode], 0), MATCH("Text", ICE[#Headers], 0)), "")</f>
        <v/>
      </c>
      <c r="U5" s="115" t="str">
        <f t="shared" ref="U5:U11" ca="1" si="4">IFERROR(AVERAGEIF($C$19:$C$66, $A5, U$19:U$66), "")</f>
        <v/>
      </c>
      <c r="V5" s="161"/>
      <c r="W5" s="162"/>
      <c r="X5" s="112" t="str">
        <f t="shared" ref="X5:Y11" ca="1" si="5">IFERROR(AVERAGEIF($C$19:$C$66, $A5, X$19:X$66), "")</f>
        <v/>
      </c>
      <c r="Y5" s="115" t="str">
        <f t="shared" ca="1" si="5"/>
        <v/>
      </c>
      <c r="Z5" s="161"/>
      <c r="AA5" s="363" t="str">
        <f ca="1">IFERROR(INDEX(ICE[], MATCH("brdub" &amp; LEFT(Crd!$A5, 2) &amp; " " &amp; RIGHT(Crd!$A5, 2), ICE[LongCode], 0), MATCH("Text", ICE[#Headers], 0)), "")</f>
        <v/>
      </c>
      <c r="AB5" s="163"/>
      <c r="AC5" s="268" t="str">
        <f t="shared" ref="AC5:AD11" ca="1" si="6">IFERROR(AVERAGEIF($C$19:$C$66, $A5, AC$19:AC$66), "")</f>
        <v/>
      </c>
      <c r="AD5" s="115" t="str">
        <f t="shared" ca="1" si="6"/>
        <v/>
      </c>
      <c r="AE5" s="161"/>
      <c r="AF5" s="164"/>
      <c r="AG5" s="160" t="str">
        <f t="shared" ref="AG5:AG11" ca="1" si="7">IFERROR(AVERAGEIF($C$19:$C$66, $A5, AG$19:AG$66), "")</f>
        <v/>
      </c>
      <c r="AH5" s="363" t="str">
        <f ca="1">IFERROR(INDEX(ICE[], MATCH("icemidticma" &amp; LEFT(Crd!$A5, 2) &amp; " " &amp; RIGHT(Crd!$A5, 2), ICE[LongCode], 0), MATCH("Text", ICE[#Headers], 0)), "")</f>
        <v/>
      </c>
      <c r="AI5" s="115" t="str">
        <f t="shared" ref="AI5:AI11" ca="1" si="8">IFERROR(AVERAGEIF($C$19:$C$66, $A5, AI$19:AI$66), "")</f>
        <v/>
      </c>
      <c r="AJ5" s="161"/>
      <c r="AK5" s="162"/>
      <c r="AL5" s="112" t="str">
        <f t="shared" ref="AL5:AM11" ca="1" si="9">IFERROR(AVERAGEIF($C$19:$C$66, $A5, AL$19:AL$66), "")</f>
        <v/>
      </c>
      <c r="AM5" s="115" t="str">
        <f t="shared" ca="1" si="9"/>
        <v/>
      </c>
      <c r="AN5" s="161"/>
      <c r="AO5" s="164"/>
      <c r="AP5" s="160" t="str">
        <f t="shared" ref="AP5:AP11" ca="1" si="10">IFERROR(AVERAGEIF($C$19:$C$66, $A5, AP$19:AP$66), "")</f>
        <v/>
      </c>
      <c r="AQ5" s="363" t="str">
        <f ca="1">IFERROR(INDEX(ICE[], MATCH("icemidticma" &amp; LEFT(Crd!$A5, 2) &amp; " " &amp; RIGHT(Crd!$A5, 2), ICE[LongCode], 0), MATCH("Text", ICE[#Headers], 0)), "")</f>
        <v/>
      </c>
      <c r="AR5" s="115" t="str">
        <f t="shared" ref="AR5:AR11" ca="1" si="11">IFERROR(AVERAGEIF($C$19:$C$66, $A5, AR$19:AR$66), "")</f>
        <v/>
      </c>
      <c r="AS5" s="161"/>
      <c r="AT5" s="162"/>
      <c r="AU5" s="112" t="str">
        <f t="shared" ref="AU5:AX11" ca="1" si="12">IFERROR(AVERAGEIF($C$19:$C$66, $A5, AU$19:AU$66), "")</f>
        <v/>
      </c>
      <c r="AV5" s="115" t="str">
        <f t="shared" ca="1" si="12"/>
        <v/>
      </c>
      <c r="AW5" s="112" t="str">
        <f t="shared" ca="1" si="12"/>
        <v/>
      </c>
      <c r="AX5" s="115" t="str">
        <f t="shared" ca="1" si="12"/>
        <v/>
      </c>
      <c r="AY5" s="161"/>
      <c r="AZ5" s="163"/>
      <c r="BA5" s="268" t="str">
        <f t="shared" ref="BA5:BA11" ca="1" si="13">IFERROR(AVERAGEIF($C$19:$C$66, $A5, BA$19:BA$66), "")</f>
        <v/>
      </c>
      <c r="BB5" s="363" t="str">
        <f ca="1">IFERROR(INDEX(ICE[], MATCH("icemidticma" &amp; LEFT(Crd!$A5, 2) &amp; " " &amp; RIGHT(Crd!$A5, 2), ICE[LongCode], 0), MATCH("Text", ICE[#Headers], 0)), "")</f>
        <v/>
      </c>
      <c r="BC5" s="115" t="str">
        <f t="shared" ref="BC5:BC11" ca="1" si="14">IFERROR(AVERAGEIF($C$19:$C$66, $A5, BC$19:BC$66), "")</f>
        <v/>
      </c>
      <c r="BD5" s="161"/>
      <c r="BE5" s="162"/>
      <c r="BF5" s="112" t="str">
        <f t="shared" ref="BF5:BI11" ca="1" si="15">IFERROR(AVERAGEIF($C$19:$C$66, $A5, BF$19:BF$66), "")</f>
        <v/>
      </c>
      <c r="BG5" s="115" t="str">
        <f t="shared" ca="1" si="15"/>
        <v/>
      </c>
      <c r="BH5" s="112" t="str">
        <f t="shared" ca="1" si="15"/>
        <v/>
      </c>
      <c r="BI5" s="115" t="str">
        <f t="shared" ca="1" si="15"/>
        <v/>
      </c>
      <c r="BJ5" s="161"/>
      <c r="BK5" s="164"/>
      <c r="BL5" s="160">
        <f t="shared" ref="BL5:BL11" ca="1" si="16">IFERROR(AVERAGEIF($C$19:$C$66, $A5, BL$19:BL$66), "")</f>
        <v>-7.8</v>
      </c>
      <c r="BM5" s="363" t="str">
        <f ca="1">IFERROR(INDEX(ICE[], MATCH("icewcstitma" &amp; LEFT(Crd!$A5, 2) &amp; " " &amp; RIGHT(Crd!$A5, 2), ICE[LongCode], 0), MATCH("Text", ICE[#Headers], 0)), "")</f>
        <v/>
      </c>
      <c r="BN5" s="115">
        <f t="shared" ref="BN5:BN11" ca="1" si="17">IFERROR(AVERAGEIF($C$19:$C$66, $A5, BN$19:BN$66), "")</f>
        <v>0</v>
      </c>
      <c r="BO5" s="161"/>
      <c r="BP5" s="162"/>
      <c r="BQ5" s="112">
        <f t="shared" ref="BQ5:BT11" ca="1" si="18">IFERROR(AVERAGEIF($C$19:$C$66, $A5, BQ$19:BQ$66), "")</f>
        <v>-12.993095238095236</v>
      </c>
      <c r="BR5" s="115">
        <f t="shared" ca="1" si="18"/>
        <v>-0.20404761904761617</v>
      </c>
      <c r="BS5" s="112">
        <f t="shared" ca="1" si="18"/>
        <v>81.94142857142856</v>
      </c>
      <c r="BT5" s="115">
        <f t="shared" ca="1" si="18"/>
        <v>0.22714285714284951</v>
      </c>
      <c r="BU5" s="161"/>
      <c r="BV5" s="164"/>
    </row>
    <row r="6" spans="1:87" x14ac:dyDescent="0.25">
      <c r="A6" s="54" t="str">
        <f t="shared" ref="A6:A11" ca="1" si="19">IF(LEFT($A5, 2) = "Q4", "Q1" &amp; TEXT(RIGHT($A5, 2) + 1, "00"), "Q" &amp; MID($A5, 2, 1) + 1 &amp; RIGHT($A5, 2))</f>
        <v>Q426</v>
      </c>
      <c r="I6" s="109" t="str">
        <f t="shared" ca="1" si="0"/>
        <v/>
      </c>
      <c r="J6" s="364" t="str">
        <f ca="1">IFERROR(INDEX(ICE[], MATCH("dfl" &amp; LEFT(Crd!$A6, 2) &amp; " " &amp; RIGHT(Crd!$A6, 2), ICE[LongCode], 0), MATCH("Text", ICE[#Headers], 0)), "")</f>
        <v xml:space="preserve"> /  {3.30} |125x</v>
      </c>
      <c r="K6" s="46" t="str">
        <f t="shared" ca="1" si="1"/>
        <v/>
      </c>
      <c r="L6" s="47" t="str">
        <f t="shared" ref="L6:L11" ca="1" si="20">IF(AND(ISNUMBER($I5), ISNUMBER($I6)), $I5 - $I6, "")</f>
        <v/>
      </c>
      <c r="M6" s="114" t="str">
        <f t="shared" ref="M6:M11" ca="1" si="21">IF(AND(ISNUMBER($K5), ISNUMBER($K6)), $K5 - $K6, "")</f>
        <v/>
      </c>
      <c r="N6" s="110" t="str">
        <f t="shared" ca="1" si="2"/>
        <v/>
      </c>
      <c r="O6" s="46" t="str">
        <f t="shared" ca="1" si="2"/>
        <v/>
      </c>
      <c r="P6" s="47" t="str">
        <f t="shared" ref="P6:P11" ca="1" si="22">IF(AND(ISNUMBER($N5), ISNUMBER($N6)), $N5 - $N6, "")</f>
        <v/>
      </c>
      <c r="Q6" s="364"/>
      <c r="R6" s="46" t="str">
        <f t="shared" ref="R6:R11" ca="1" si="23">IF(AND(ISNUMBER($O5), ISNUMBER($O6)), $O5 - $O6, "")</f>
        <v/>
      </c>
      <c r="S6" s="109" t="str">
        <f t="shared" ca="1" si="3"/>
        <v/>
      </c>
      <c r="T6" s="364" t="str">
        <f ca="1">IFERROR(INDEX(ICE[], MATCH("brdub" &amp; LEFT(Crd!$A6, 2) &amp; " " &amp; RIGHT(Crd!$A6, 2), ICE[LongCode], 0), MATCH("Text", ICE[#Headers], 0)), "")</f>
        <v>3.19 / 3.25 {3.24} |263x</v>
      </c>
      <c r="U6" s="46" t="str">
        <f t="shared" ca="1" si="4"/>
        <v/>
      </c>
      <c r="V6" s="47" t="str">
        <f t="shared" ref="V6:V11" ca="1" si="24">IF(AND(ISNUMBER($S5), ISNUMBER($S6)), $S5 - $S6, "")</f>
        <v/>
      </c>
      <c r="W6" s="114" t="str">
        <f t="shared" ref="W6:W11" ca="1" si="25">IF(AND(ISNUMBER($U5), ISNUMBER($U6)), $U5 - $U6, "")</f>
        <v/>
      </c>
      <c r="X6" s="110" t="str">
        <f t="shared" ca="1" si="5"/>
        <v/>
      </c>
      <c r="Y6" s="46" t="str">
        <f t="shared" ca="1" si="5"/>
        <v/>
      </c>
      <c r="Z6" s="47" t="str">
        <f t="shared" ref="Z6:Z11" ca="1" si="26">IF(AND(ISNUMBER($X5), ISNUMBER($X6)), $X5 - $X6, "")</f>
        <v/>
      </c>
      <c r="AA6" s="364"/>
      <c r="AB6" s="46" t="str">
        <f t="shared" ref="AB6:AB11" ca="1" si="27">IF(AND(ISNUMBER($Y5), ISNUMBER($Y6)), $Y5 - $Y6, "")</f>
        <v/>
      </c>
      <c r="AC6" s="269" t="str">
        <f t="shared" ca="1" si="6"/>
        <v/>
      </c>
      <c r="AD6" s="46" t="str">
        <f t="shared" ca="1" si="6"/>
        <v/>
      </c>
      <c r="AE6" s="47" t="str">
        <f t="shared" ref="AE6:AE11" ca="1" si="28">IF(AND(ISNUMBER($AC5), ISNUMBER($AC6)), $AC5 - $AC6, "")</f>
        <v/>
      </c>
      <c r="AF6" s="111" t="str">
        <f t="shared" ref="AF6:AF11" ca="1" si="29">IF(AND(ISNUMBER($AD5), ISNUMBER($AD6)), $AD5 - $AD6, "")</f>
        <v/>
      </c>
      <c r="AG6" s="109" t="str">
        <f t="shared" ca="1" si="7"/>
        <v/>
      </c>
      <c r="AH6" s="364" t="str">
        <f ca="1">IFERROR(INDEX(ICE[], MATCH("icemidticma" &amp; LEFT(Crd!$A6, 2) &amp; " " &amp; RIGHT(Crd!$A6, 2), ICE[LongCode], 0), MATCH("Text", ICE[#Headers], 0)), "")</f>
        <v xml:space="preserve"> /  </v>
      </c>
      <c r="AI6" s="46" t="str">
        <f t="shared" ca="1" si="8"/>
        <v/>
      </c>
      <c r="AJ6" s="47" t="str">
        <f t="shared" ref="AJ6:AJ11" ca="1" si="30">IF(AND(ISNUMBER($AG5), ISNUMBER($AG6)), $AG5 - $AG6, "")</f>
        <v/>
      </c>
      <c r="AK6" s="114" t="str">
        <f t="shared" ref="AK6:AK11" ca="1" si="31">IF(AND(ISNUMBER($AI5), ISNUMBER($AI6)), $AI5 - $AI6, "")</f>
        <v/>
      </c>
      <c r="AL6" s="110" t="str">
        <f t="shared" ca="1" si="9"/>
        <v/>
      </c>
      <c r="AM6" s="46" t="str">
        <f t="shared" ca="1" si="9"/>
        <v/>
      </c>
      <c r="AN6" s="47" t="str">
        <f t="shared" ref="AN6:AN11" ca="1" si="32">IF(AND(ISNUMBER($AL5), ISNUMBER($AL6)), $AL5 - $AL6, "")</f>
        <v/>
      </c>
      <c r="AO6" s="111" t="str">
        <f t="shared" ref="AO6:AO11" ca="1" si="33">IF(AND(ISNUMBER($AM5), ISNUMBER($AM6)), $AM5 - $AM6, "")</f>
        <v/>
      </c>
      <c r="AP6" s="109" t="str">
        <f t="shared" ca="1" si="10"/>
        <v/>
      </c>
      <c r="AQ6" s="364" t="str">
        <f ca="1">IFERROR(INDEX(ICE[], MATCH("icemidticma" &amp; LEFT(Crd!$A6, 2) &amp; " " &amp; RIGHT(Crd!$A6, 2), ICE[LongCode], 0), MATCH("Text", ICE[#Headers], 0)), "")</f>
        <v xml:space="preserve"> /  </v>
      </c>
      <c r="AR6" s="46" t="str">
        <f t="shared" ca="1" si="11"/>
        <v/>
      </c>
      <c r="AS6" s="47" t="str">
        <f t="shared" ref="AS6:AS11" ca="1" si="34">IF(AND(ISNUMBER($BA5), ISNUMBER($BA6)), $BA5 - $BA6, "")</f>
        <v/>
      </c>
      <c r="AT6" s="114" t="str">
        <f t="shared" ref="AT6:AT11" ca="1" si="35">IF(AND(ISNUMBER($BC5), ISNUMBER($BC6)), $BC5 - $BC6, "")</f>
        <v/>
      </c>
      <c r="AU6" s="110" t="str">
        <f t="shared" ca="1" si="12"/>
        <v/>
      </c>
      <c r="AV6" s="46" t="str">
        <f t="shared" ca="1" si="12"/>
        <v/>
      </c>
      <c r="AW6" s="110" t="str">
        <f t="shared" ca="1" si="12"/>
        <v/>
      </c>
      <c r="AX6" s="46" t="str">
        <f t="shared" ca="1" si="12"/>
        <v/>
      </c>
      <c r="AY6" s="47" t="str">
        <f t="shared" ref="AY6:AY11" ca="1" si="36">IF(AND(ISNUMBER($BH5), ISNUMBER($BH6)), $BH5 - $BH6, "")</f>
        <v/>
      </c>
      <c r="AZ6" s="46" t="str">
        <f t="shared" ref="AZ6:AZ11" ca="1" si="37">IF(AND(ISNUMBER($BI5), ISNUMBER($BI6)), $BI5 - $BI6, "")</f>
        <v/>
      </c>
      <c r="BA6" s="269" t="str">
        <f t="shared" ca="1" si="13"/>
        <v/>
      </c>
      <c r="BB6" s="364" t="str">
        <f ca="1">IFERROR(INDEX(ICE[], MATCH("icemidticma" &amp; LEFT(Crd!$A6, 2) &amp; " " &amp; RIGHT(Crd!$A6, 2), ICE[LongCode], 0), MATCH("Text", ICE[#Headers], 0)), "")</f>
        <v xml:space="preserve"> /  </v>
      </c>
      <c r="BC6" s="46" t="str">
        <f t="shared" ca="1" si="14"/>
        <v/>
      </c>
      <c r="BD6" s="47" t="str">
        <f t="shared" ref="BD6:BD11" ca="1" si="38">IF(AND(ISNUMBER($BA5), ISNUMBER($BA6)), $BA5 - $BA6, "")</f>
        <v/>
      </c>
      <c r="BE6" s="114" t="str">
        <f t="shared" ref="BE6:BE11" ca="1" si="39">IF(AND(ISNUMBER($BC5), ISNUMBER($BC6)), $BC5 - $BC6, "")</f>
        <v/>
      </c>
      <c r="BF6" s="110" t="str">
        <f t="shared" ca="1" si="15"/>
        <v/>
      </c>
      <c r="BG6" s="46" t="str">
        <f t="shared" ca="1" si="15"/>
        <v/>
      </c>
      <c r="BH6" s="110" t="str">
        <f t="shared" ca="1" si="15"/>
        <v/>
      </c>
      <c r="BI6" s="46" t="str">
        <f t="shared" ca="1" si="15"/>
        <v/>
      </c>
      <c r="BJ6" s="47" t="str">
        <f t="shared" ref="BJ6:BJ11" ca="1" si="40">IF(AND(ISNUMBER($BH5), ISNUMBER($BH6)), $BH5 - $BH6, "")</f>
        <v/>
      </c>
      <c r="BK6" s="111" t="str">
        <f t="shared" ref="BK6:BK11" ca="1" si="41">IF(AND(ISNUMBER($BI5), ISNUMBER($BI6)), $BI5 - $BI6, "")</f>
        <v/>
      </c>
      <c r="BL6" s="109" t="str">
        <f t="shared" ca="1" si="16"/>
        <v/>
      </c>
      <c r="BM6" s="364" t="str">
        <f ca="1">IFERROR(INDEX(ICE[], MATCH("icewcstitma" &amp; LEFT(Crd!$A6, 2) &amp; " " &amp; RIGHT(Crd!$A6, 2), ICE[LongCode], 0), MATCH("Text", ICE[#Headers], 0)), "")</f>
        <v xml:space="preserve"> /  </v>
      </c>
      <c r="BN6" s="46" t="str">
        <f t="shared" ca="1" si="17"/>
        <v/>
      </c>
      <c r="BO6" s="47" t="str">
        <f t="shared" ref="BO6:BO11" ca="1" si="42">IF(AND(ISNUMBER($BL5), ISNUMBER($BL6)), $BL5 - $BL6, "")</f>
        <v/>
      </c>
      <c r="BP6" s="114" t="str">
        <f t="shared" ref="BP6:BP11" ca="1" si="43">IF(AND(ISNUMBER($BN5), ISNUMBER($BN6)), $BN5 - $BN6, "")</f>
        <v/>
      </c>
      <c r="BQ6" s="110" t="str">
        <f t="shared" ca="1" si="18"/>
        <v/>
      </c>
      <c r="BR6" s="46" t="str">
        <f t="shared" ca="1" si="18"/>
        <v/>
      </c>
      <c r="BS6" s="110" t="str">
        <f t="shared" ca="1" si="18"/>
        <v/>
      </c>
      <c r="BT6" s="46" t="str">
        <f t="shared" ca="1" si="18"/>
        <v/>
      </c>
      <c r="BU6" s="47" t="str">
        <f t="shared" ref="BU6:BU11" ca="1" si="44">IF(AND(ISNUMBER($BS5), ISNUMBER($BS6)), $BS5 - $BS6, "")</f>
        <v/>
      </c>
      <c r="BV6" s="111" t="str">
        <f t="shared" ref="BV6:BV11" ca="1" si="45">IF(AND(ISNUMBER($BT5), ISNUMBER($BT6)), $BT5 - $BT6, "")</f>
        <v/>
      </c>
    </row>
    <row r="7" spans="1:87" x14ac:dyDescent="0.25">
      <c r="A7" s="54" t="str">
        <f t="shared" ca="1" si="19"/>
        <v>Q127</v>
      </c>
      <c r="I7" s="109" t="str">
        <f t="shared" ca="1" si="0"/>
        <v/>
      </c>
      <c r="J7" s="364" t="str">
        <f ca="1">IFERROR(INDEX(ICE[], MATCH("dfl" &amp; LEFT(Crd!$A7, 2) &amp; " " &amp; RIGHT(Crd!$A7, 2), ICE[LongCode], 0), MATCH("Text", ICE[#Headers], 0)), "")</f>
        <v>1.75 /  {1.79} |225x</v>
      </c>
      <c r="K7" s="46" t="str">
        <f t="shared" ca="1" si="1"/>
        <v/>
      </c>
      <c r="L7" s="47" t="str">
        <f t="shared" ca="1" si="20"/>
        <v/>
      </c>
      <c r="M7" s="114" t="str">
        <f t="shared" ca="1" si="21"/>
        <v/>
      </c>
      <c r="N7" s="110" t="str">
        <f t="shared" ca="1" si="2"/>
        <v/>
      </c>
      <c r="O7" s="46" t="str">
        <f t="shared" ca="1" si="2"/>
        <v/>
      </c>
      <c r="P7" s="47" t="str">
        <f t="shared" ca="1" si="22"/>
        <v/>
      </c>
      <c r="Q7" s="364" t="str">
        <f ca="1">IFERROR(INDEX(ICE[], MATCH("dtd" &amp; LEFT(Crd!$A6, 2) &amp; " " &amp; RIGHT(Crd!$A6, 2) &amp; "/" &amp; LEFT(Crd!$A7, 2) &amp; " " &amp; RIGHT(Crd!$A7, 2), ICE[LongCode], 0), MATCH("Text", ICE[#Headers], 0)), "")</f>
        <v xml:space="preserve"> /  </v>
      </c>
      <c r="R7" s="46" t="str">
        <f t="shared" ca="1" si="23"/>
        <v/>
      </c>
      <c r="S7" s="109" t="str">
        <f t="shared" ca="1" si="3"/>
        <v/>
      </c>
      <c r="T7" s="364" t="str">
        <f ca="1">IFERROR(INDEX(ICE[], MATCH("brdub" &amp; LEFT(Crd!$A7, 2) &amp; " " &amp; RIGHT(Crd!$A7, 2), ICE[LongCode], 0), MATCH("Text", ICE[#Headers], 0)), "")</f>
        <v>3.82 / 3.95 {3.90} |412x</v>
      </c>
      <c r="U7" s="46" t="str">
        <f t="shared" ca="1" si="4"/>
        <v/>
      </c>
      <c r="V7" s="47" t="str">
        <f t="shared" ca="1" si="24"/>
        <v/>
      </c>
      <c r="W7" s="114" t="str">
        <f t="shared" ca="1" si="25"/>
        <v/>
      </c>
      <c r="X7" s="110" t="str">
        <f t="shared" ca="1" si="5"/>
        <v/>
      </c>
      <c r="Y7" s="46" t="str">
        <f t="shared" ca="1" si="5"/>
        <v/>
      </c>
      <c r="Z7" s="47" t="str">
        <f t="shared" ca="1" si="26"/>
        <v/>
      </c>
      <c r="AA7" s="364" t="str">
        <f ca="1">IFERROR(INDEX(ICE[], MATCH("dub" &amp; LEFT(Crd!$A6, 2) &amp; " " &amp; RIGHT(Crd!$A6, 2) &amp; "/" &amp; LEFT(Crd!$A7, 2) &amp; " " &amp; RIGHT(Crd!$A7, 2), ICE[LongCode], 0), MATCH("Text", ICE[#Headers], 0)), "")</f>
        <v xml:space="preserve"> /  </v>
      </c>
      <c r="AB7" s="46" t="str">
        <f t="shared" ca="1" si="27"/>
        <v/>
      </c>
      <c r="AC7" s="269" t="str">
        <f t="shared" ca="1" si="6"/>
        <v/>
      </c>
      <c r="AD7" s="46" t="str">
        <f t="shared" ca="1" si="6"/>
        <v/>
      </c>
      <c r="AE7" s="47" t="str">
        <f t="shared" ca="1" si="28"/>
        <v/>
      </c>
      <c r="AF7" s="111" t="str">
        <f t="shared" ca="1" si="29"/>
        <v/>
      </c>
      <c r="AG7" s="109" t="str">
        <f t="shared" ca="1" si="7"/>
        <v/>
      </c>
      <c r="AH7" s="364" t="str">
        <f ca="1">IFERROR(INDEX(ICE[], MATCH("icemidticma" &amp; LEFT(Crd!$A7, 2) &amp; " " &amp; RIGHT(Crd!$A7, 2), ICE[LongCode], 0), MATCH("Text", ICE[#Headers], 0)), "")</f>
        <v xml:space="preserve"> /  </v>
      </c>
      <c r="AI7" s="46" t="str">
        <f t="shared" ca="1" si="8"/>
        <v/>
      </c>
      <c r="AJ7" s="47" t="str">
        <f t="shared" ca="1" si="30"/>
        <v/>
      </c>
      <c r="AK7" s="114" t="str">
        <f t="shared" ca="1" si="31"/>
        <v/>
      </c>
      <c r="AL7" s="110" t="str">
        <f t="shared" ca="1" si="9"/>
        <v/>
      </c>
      <c r="AM7" s="46" t="str">
        <f t="shared" ca="1" si="9"/>
        <v/>
      </c>
      <c r="AN7" s="47" t="str">
        <f t="shared" ca="1" si="32"/>
        <v/>
      </c>
      <c r="AO7" s="111" t="str">
        <f t="shared" ca="1" si="33"/>
        <v/>
      </c>
      <c r="AP7" s="109" t="str">
        <f t="shared" ca="1" si="10"/>
        <v/>
      </c>
      <c r="AQ7" s="364" t="str">
        <f ca="1">IFERROR(INDEX(ICE[], MATCH("icemidticma" &amp; LEFT(Crd!$A7, 2) &amp; " " &amp; RIGHT(Crd!$A7, 2), ICE[LongCode], 0), MATCH("Text", ICE[#Headers], 0)), "")</f>
        <v xml:space="preserve"> /  </v>
      </c>
      <c r="AR7" s="46" t="str">
        <f t="shared" ca="1" si="11"/>
        <v/>
      </c>
      <c r="AS7" s="47" t="str">
        <f t="shared" ca="1" si="34"/>
        <v/>
      </c>
      <c r="AT7" s="114" t="str">
        <f t="shared" ca="1" si="35"/>
        <v/>
      </c>
      <c r="AU7" s="110" t="str">
        <f t="shared" ca="1" si="12"/>
        <v/>
      </c>
      <c r="AV7" s="46" t="str">
        <f t="shared" ca="1" si="12"/>
        <v/>
      </c>
      <c r="AW7" s="110" t="str">
        <f t="shared" ca="1" si="12"/>
        <v/>
      </c>
      <c r="AX7" s="46" t="str">
        <f t="shared" ca="1" si="12"/>
        <v/>
      </c>
      <c r="AY7" s="47" t="str">
        <f t="shared" ca="1" si="36"/>
        <v/>
      </c>
      <c r="AZ7" s="46" t="str">
        <f t="shared" ca="1" si="37"/>
        <v/>
      </c>
      <c r="BA7" s="269" t="str">
        <f t="shared" ca="1" si="13"/>
        <v/>
      </c>
      <c r="BB7" s="364" t="str">
        <f ca="1">IFERROR(INDEX(ICE[], MATCH("icemidticma" &amp; LEFT(Crd!$A7, 2) &amp; " " &amp; RIGHT(Crd!$A7, 2), ICE[LongCode], 0), MATCH("Text", ICE[#Headers], 0)), "")</f>
        <v xml:space="preserve"> /  </v>
      </c>
      <c r="BC7" s="46" t="str">
        <f t="shared" ca="1" si="14"/>
        <v/>
      </c>
      <c r="BD7" s="47" t="str">
        <f t="shared" ca="1" si="38"/>
        <v/>
      </c>
      <c r="BE7" s="114" t="str">
        <f t="shared" ca="1" si="39"/>
        <v/>
      </c>
      <c r="BF7" s="110" t="str">
        <f t="shared" ca="1" si="15"/>
        <v/>
      </c>
      <c r="BG7" s="46" t="str">
        <f t="shared" ca="1" si="15"/>
        <v/>
      </c>
      <c r="BH7" s="110" t="str">
        <f t="shared" ca="1" si="15"/>
        <v/>
      </c>
      <c r="BI7" s="46" t="str">
        <f t="shared" ca="1" si="15"/>
        <v/>
      </c>
      <c r="BJ7" s="47" t="str">
        <f t="shared" ca="1" si="40"/>
        <v/>
      </c>
      <c r="BK7" s="111" t="str">
        <f t="shared" ca="1" si="41"/>
        <v/>
      </c>
      <c r="BL7" s="109" t="str">
        <f t="shared" ca="1" si="16"/>
        <v/>
      </c>
      <c r="BM7" s="364" t="str">
        <f ca="1">IFERROR(INDEX(ICE[], MATCH("icewcstitma" &amp; LEFT(Crd!$A7, 2) &amp; " " &amp; RIGHT(Crd!$A7, 2), ICE[LongCode], 0), MATCH("Text", ICE[#Headers], 0)), "")</f>
        <v xml:space="preserve"> /  </v>
      </c>
      <c r="BN7" s="46" t="str">
        <f t="shared" ca="1" si="17"/>
        <v/>
      </c>
      <c r="BO7" s="47" t="str">
        <f t="shared" ca="1" si="42"/>
        <v/>
      </c>
      <c r="BP7" s="114" t="str">
        <f t="shared" ca="1" si="43"/>
        <v/>
      </c>
      <c r="BQ7" s="110" t="str">
        <f t="shared" ca="1" si="18"/>
        <v/>
      </c>
      <c r="BR7" s="46" t="str">
        <f t="shared" ca="1" si="18"/>
        <v/>
      </c>
      <c r="BS7" s="110" t="str">
        <f t="shared" ca="1" si="18"/>
        <v/>
      </c>
      <c r="BT7" s="46" t="str">
        <f t="shared" ca="1" si="18"/>
        <v/>
      </c>
      <c r="BU7" s="47" t="str">
        <f t="shared" ca="1" si="44"/>
        <v/>
      </c>
      <c r="BV7" s="111" t="str">
        <f t="shared" ca="1" si="45"/>
        <v/>
      </c>
    </row>
    <row r="8" spans="1:87" x14ac:dyDescent="0.25">
      <c r="A8" s="54" t="str">
        <f t="shared" ca="1" si="19"/>
        <v>Q227</v>
      </c>
      <c r="I8" s="109" t="str">
        <f t="shared" ca="1" si="0"/>
        <v/>
      </c>
      <c r="J8" s="364" t="str">
        <f ca="1">IFERROR(INDEX(ICE[], MATCH("dfl" &amp; LEFT(Crd!$A8, 2) &amp; " " &amp; RIGHT(Crd!$A8, 2), ICE[LongCode], 0), MATCH("Text", ICE[#Headers], 0)), "")</f>
        <v>0.15 / 1.20 {0.95} |100x</v>
      </c>
      <c r="K8" s="46" t="str">
        <f t="shared" ca="1" si="1"/>
        <v/>
      </c>
      <c r="L8" s="47" t="str">
        <f t="shared" ca="1" si="20"/>
        <v/>
      </c>
      <c r="M8" s="114" t="str">
        <f t="shared" ca="1" si="21"/>
        <v/>
      </c>
      <c r="N8" s="110" t="str">
        <f t="shared" ca="1" si="2"/>
        <v/>
      </c>
      <c r="O8" s="46" t="str">
        <f t="shared" ca="1" si="2"/>
        <v/>
      </c>
      <c r="P8" s="47" t="str">
        <f t="shared" ca="1" si="22"/>
        <v/>
      </c>
      <c r="Q8" s="364" t="str">
        <f ca="1">IFERROR(INDEX(ICE[], MATCH("dtd" &amp; LEFT(Crd!$A7, 2) &amp; " " &amp; RIGHT(Crd!$A7, 2) &amp; "/" &amp; LEFT(Crd!$A8, 2) &amp; " " &amp; RIGHT(Crd!$A8, 2), ICE[LongCode], 0), MATCH("Text", ICE[#Headers], 0)), "")</f>
        <v xml:space="preserve"> /  </v>
      </c>
      <c r="R8" s="46" t="str">
        <f t="shared" ca="1" si="23"/>
        <v/>
      </c>
      <c r="S8" s="109" t="str">
        <f t="shared" ca="1" si="3"/>
        <v/>
      </c>
      <c r="T8" s="364" t="str">
        <f ca="1">IFERROR(INDEX(ICE[], MATCH("brdub" &amp; LEFT(Crd!$A8, 2) &amp; " " &amp; RIGHT(Crd!$A8, 2), ICE[LongCode], 0), MATCH("Text", ICE[#Headers], 0)), "")</f>
        <v>3.32 / 3.55 {3.50} |12x</v>
      </c>
      <c r="U8" s="46" t="str">
        <f t="shared" ca="1" si="4"/>
        <v/>
      </c>
      <c r="V8" s="47" t="str">
        <f t="shared" ca="1" si="24"/>
        <v/>
      </c>
      <c r="W8" s="114" t="str">
        <f t="shared" ca="1" si="25"/>
        <v/>
      </c>
      <c r="X8" s="110" t="str">
        <f t="shared" ca="1" si="5"/>
        <v/>
      </c>
      <c r="Y8" s="46" t="str">
        <f t="shared" ca="1" si="5"/>
        <v/>
      </c>
      <c r="Z8" s="47" t="str">
        <f t="shared" ca="1" si="26"/>
        <v/>
      </c>
      <c r="AA8" s="364" t="str">
        <f ca="1">IFERROR(INDEX(ICE[], MATCH("dub" &amp; LEFT(Crd!$A7, 2) &amp; " " &amp; RIGHT(Crd!$A7, 2) &amp; "/" &amp; LEFT(Crd!$A8, 2) &amp; " " &amp; RIGHT(Crd!$A8, 2), ICE[LongCode], 0), MATCH("Text", ICE[#Headers], 0)), "")</f>
        <v xml:space="preserve"> /  </v>
      </c>
      <c r="AB8" s="46" t="str">
        <f t="shared" ca="1" si="27"/>
        <v/>
      </c>
      <c r="AC8" s="269" t="str">
        <f t="shared" ca="1" si="6"/>
        <v/>
      </c>
      <c r="AD8" s="46" t="str">
        <f t="shared" ca="1" si="6"/>
        <v/>
      </c>
      <c r="AE8" s="47" t="str">
        <f t="shared" ca="1" si="28"/>
        <v/>
      </c>
      <c r="AF8" s="111" t="str">
        <f t="shared" ca="1" si="29"/>
        <v/>
      </c>
      <c r="AG8" s="109" t="str">
        <f t="shared" ca="1" si="7"/>
        <v/>
      </c>
      <c r="AH8" s="364" t="str">
        <f ca="1">IFERROR(INDEX(ICE[], MATCH("icemidticma" &amp; LEFT(Crd!$A8, 2) &amp; " " &amp; RIGHT(Crd!$A8, 2), ICE[LongCode], 0), MATCH("Text", ICE[#Headers], 0)), "")</f>
        <v xml:space="preserve"> /  </v>
      </c>
      <c r="AI8" s="46" t="str">
        <f t="shared" ca="1" si="8"/>
        <v/>
      </c>
      <c r="AJ8" s="47" t="str">
        <f t="shared" ca="1" si="30"/>
        <v/>
      </c>
      <c r="AK8" s="114" t="str">
        <f t="shared" ca="1" si="31"/>
        <v/>
      </c>
      <c r="AL8" s="110" t="str">
        <f t="shared" ca="1" si="9"/>
        <v/>
      </c>
      <c r="AM8" s="46" t="str">
        <f t="shared" ca="1" si="9"/>
        <v/>
      </c>
      <c r="AN8" s="47" t="str">
        <f t="shared" ca="1" si="32"/>
        <v/>
      </c>
      <c r="AO8" s="111" t="str">
        <f t="shared" ca="1" si="33"/>
        <v/>
      </c>
      <c r="AP8" s="109" t="str">
        <f t="shared" ca="1" si="10"/>
        <v/>
      </c>
      <c r="AQ8" s="364" t="str">
        <f ca="1">IFERROR(INDEX(ICE[], MATCH("icemidticma" &amp; LEFT(Crd!$A8, 2) &amp; " " &amp; RIGHT(Crd!$A8, 2), ICE[LongCode], 0), MATCH("Text", ICE[#Headers], 0)), "")</f>
        <v xml:space="preserve"> /  </v>
      </c>
      <c r="AR8" s="46" t="str">
        <f t="shared" ca="1" si="11"/>
        <v/>
      </c>
      <c r="AS8" s="47" t="str">
        <f t="shared" ca="1" si="34"/>
        <v/>
      </c>
      <c r="AT8" s="114" t="str">
        <f t="shared" ca="1" si="35"/>
        <v/>
      </c>
      <c r="AU8" s="110" t="str">
        <f t="shared" ca="1" si="12"/>
        <v/>
      </c>
      <c r="AV8" s="46" t="str">
        <f t="shared" ca="1" si="12"/>
        <v/>
      </c>
      <c r="AW8" s="110" t="str">
        <f t="shared" ca="1" si="12"/>
        <v/>
      </c>
      <c r="AX8" s="46" t="str">
        <f t="shared" ca="1" si="12"/>
        <v/>
      </c>
      <c r="AY8" s="47" t="str">
        <f t="shared" ca="1" si="36"/>
        <v/>
      </c>
      <c r="AZ8" s="46" t="str">
        <f t="shared" ca="1" si="37"/>
        <v/>
      </c>
      <c r="BA8" s="269" t="str">
        <f t="shared" ca="1" si="13"/>
        <v/>
      </c>
      <c r="BB8" s="364" t="str">
        <f ca="1">IFERROR(INDEX(ICE[], MATCH("icemidticma" &amp; LEFT(Crd!$A8, 2) &amp; " " &amp; RIGHT(Crd!$A8, 2), ICE[LongCode], 0), MATCH("Text", ICE[#Headers], 0)), "")</f>
        <v xml:space="preserve"> /  </v>
      </c>
      <c r="BC8" s="46" t="str">
        <f t="shared" ca="1" si="14"/>
        <v/>
      </c>
      <c r="BD8" s="47" t="str">
        <f t="shared" ca="1" si="38"/>
        <v/>
      </c>
      <c r="BE8" s="114" t="str">
        <f t="shared" ca="1" si="39"/>
        <v/>
      </c>
      <c r="BF8" s="110" t="str">
        <f t="shared" ca="1" si="15"/>
        <v/>
      </c>
      <c r="BG8" s="46" t="str">
        <f t="shared" ca="1" si="15"/>
        <v/>
      </c>
      <c r="BH8" s="110" t="str">
        <f t="shared" ca="1" si="15"/>
        <v/>
      </c>
      <c r="BI8" s="46" t="str">
        <f t="shared" ca="1" si="15"/>
        <v/>
      </c>
      <c r="BJ8" s="47" t="str">
        <f t="shared" ca="1" si="40"/>
        <v/>
      </c>
      <c r="BK8" s="111" t="str">
        <f t="shared" ca="1" si="41"/>
        <v/>
      </c>
      <c r="BL8" s="109" t="str">
        <f t="shared" ca="1" si="16"/>
        <v/>
      </c>
      <c r="BM8" s="364" t="str">
        <f ca="1">IFERROR(INDEX(ICE[], MATCH("icewcstitma" &amp; LEFT(Crd!$A8, 2) &amp; " " &amp; RIGHT(Crd!$A8, 2), ICE[LongCode], 0), MATCH("Text", ICE[#Headers], 0)), "")</f>
        <v xml:space="preserve"> /  </v>
      </c>
      <c r="BN8" s="46" t="str">
        <f t="shared" ca="1" si="17"/>
        <v/>
      </c>
      <c r="BO8" s="47" t="str">
        <f t="shared" ca="1" si="42"/>
        <v/>
      </c>
      <c r="BP8" s="114" t="str">
        <f t="shared" ca="1" si="43"/>
        <v/>
      </c>
      <c r="BQ8" s="110" t="str">
        <f t="shared" ca="1" si="18"/>
        <v/>
      </c>
      <c r="BR8" s="46" t="str">
        <f t="shared" ca="1" si="18"/>
        <v/>
      </c>
      <c r="BS8" s="110" t="str">
        <f t="shared" ca="1" si="18"/>
        <v/>
      </c>
      <c r="BT8" s="46" t="str">
        <f t="shared" ca="1" si="18"/>
        <v/>
      </c>
      <c r="BU8" s="47" t="str">
        <f t="shared" ca="1" si="44"/>
        <v/>
      </c>
      <c r="BV8" s="111" t="str">
        <f t="shared" ca="1" si="45"/>
        <v/>
      </c>
    </row>
    <row r="9" spans="1:87" x14ac:dyDescent="0.25">
      <c r="A9" s="54" t="str">
        <f t="shared" ca="1" si="19"/>
        <v>Q327</v>
      </c>
      <c r="I9" s="109" t="str">
        <f t="shared" ca="1" si="0"/>
        <v/>
      </c>
      <c r="J9" s="364" t="str">
        <f ca="1">IFERROR(INDEX(ICE[], MATCH("dfl" &amp; LEFT(Crd!$A9, 2) &amp; " " &amp; RIGHT(Crd!$A9, 2), ICE[LongCode], 0), MATCH("Text", ICE[#Headers], 0)), "")</f>
        <v xml:space="preserve">0.45 / 0.69 </v>
      </c>
      <c r="K9" s="46" t="str">
        <f t="shared" ca="1" si="1"/>
        <v/>
      </c>
      <c r="L9" s="47" t="str">
        <f t="shared" ca="1" si="20"/>
        <v/>
      </c>
      <c r="M9" s="114" t="str">
        <f t="shared" ca="1" si="21"/>
        <v/>
      </c>
      <c r="N9" s="110" t="str">
        <f t="shared" ca="1" si="2"/>
        <v/>
      </c>
      <c r="O9" s="46" t="str">
        <f t="shared" ca="1" si="2"/>
        <v/>
      </c>
      <c r="P9" s="47" t="str">
        <f t="shared" ca="1" si="22"/>
        <v/>
      </c>
      <c r="Q9" s="364"/>
      <c r="R9" s="46" t="str">
        <f t="shared" ca="1" si="23"/>
        <v/>
      </c>
      <c r="S9" s="109" t="str">
        <f t="shared" ca="1" si="3"/>
        <v/>
      </c>
      <c r="T9" s="364" t="str">
        <f ca="1">IFERROR(INDEX(ICE[], MATCH("brdub" &amp; LEFT(Crd!$A9, 2) &amp; " " &amp; RIGHT(Crd!$A9, 2), ICE[LongCode], 0), MATCH("Text", ICE[#Headers], 0)), "")</f>
        <v xml:space="preserve">3.10 / 3.40 </v>
      </c>
      <c r="U9" s="46" t="str">
        <f t="shared" ca="1" si="4"/>
        <v/>
      </c>
      <c r="V9" s="47" t="str">
        <f t="shared" ca="1" si="24"/>
        <v/>
      </c>
      <c r="W9" s="114" t="str">
        <f t="shared" ca="1" si="25"/>
        <v/>
      </c>
      <c r="X9" s="110" t="str">
        <f t="shared" ca="1" si="5"/>
        <v/>
      </c>
      <c r="Y9" s="46" t="str">
        <f t="shared" ca="1" si="5"/>
        <v/>
      </c>
      <c r="Z9" s="47" t="str">
        <f t="shared" ca="1" si="26"/>
        <v/>
      </c>
      <c r="AA9" s="364"/>
      <c r="AB9" s="46" t="str">
        <f t="shared" ca="1" si="27"/>
        <v/>
      </c>
      <c r="AC9" s="269" t="str">
        <f t="shared" ca="1" si="6"/>
        <v/>
      </c>
      <c r="AD9" s="46" t="str">
        <f t="shared" ca="1" si="6"/>
        <v/>
      </c>
      <c r="AE9" s="47" t="str">
        <f t="shared" ca="1" si="28"/>
        <v/>
      </c>
      <c r="AF9" s="111" t="str">
        <f t="shared" ca="1" si="29"/>
        <v/>
      </c>
      <c r="AG9" s="109" t="str">
        <f t="shared" ca="1" si="7"/>
        <v/>
      </c>
      <c r="AH9" s="364" t="str">
        <f ca="1">IFERROR(INDEX(ICE[], MATCH("icemidticma" &amp; LEFT(Crd!$A9, 2) &amp; " " &amp; RIGHT(Crd!$A9, 2), ICE[LongCode], 0), MATCH("Text", ICE[#Headers], 0)), "")</f>
        <v xml:space="preserve"> /  </v>
      </c>
      <c r="AI9" s="46" t="str">
        <f t="shared" ca="1" si="8"/>
        <v/>
      </c>
      <c r="AJ9" s="47" t="str">
        <f t="shared" ca="1" si="30"/>
        <v/>
      </c>
      <c r="AK9" s="114" t="str">
        <f t="shared" ca="1" si="31"/>
        <v/>
      </c>
      <c r="AL9" s="110" t="str">
        <f t="shared" ca="1" si="9"/>
        <v/>
      </c>
      <c r="AM9" s="46" t="str">
        <f t="shared" ca="1" si="9"/>
        <v/>
      </c>
      <c r="AN9" s="47" t="str">
        <f t="shared" ca="1" si="32"/>
        <v/>
      </c>
      <c r="AO9" s="111" t="str">
        <f t="shared" ca="1" si="33"/>
        <v/>
      </c>
      <c r="AP9" s="109" t="str">
        <f t="shared" ca="1" si="10"/>
        <v/>
      </c>
      <c r="AQ9" s="364" t="str">
        <f ca="1">IFERROR(INDEX(ICE[], MATCH("icemidticma" &amp; LEFT(Crd!$A9, 2) &amp; " " &amp; RIGHT(Crd!$A9, 2), ICE[LongCode], 0), MATCH("Text", ICE[#Headers], 0)), "")</f>
        <v xml:space="preserve"> /  </v>
      </c>
      <c r="AR9" s="46" t="str">
        <f t="shared" ca="1" si="11"/>
        <v/>
      </c>
      <c r="AS9" s="47" t="str">
        <f t="shared" ca="1" si="34"/>
        <v/>
      </c>
      <c r="AT9" s="114" t="str">
        <f t="shared" ca="1" si="35"/>
        <v/>
      </c>
      <c r="AU9" s="110" t="str">
        <f t="shared" ca="1" si="12"/>
        <v/>
      </c>
      <c r="AV9" s="46" t="str">
        <f t="shared" ca="1" si="12"/>
        <v/>
      </c>
      <c r="AW9" s="110" t="str">
        <f t="shared" ca="1" si="12"/>
        <v/>
      </c>
      <c r="AX9" s="46" t="str">
        <f t="shared" ca="1" si="12"/>
        <v/>
      </c>
      <c r="AY9" s="47" t="str">
        <f t="shared" ca="1" si="36"/>
        <v/>
      </c>
      <c r="AZ9" s="46" t="str">
        <f t="shared" ca="1" si="37"/>
        <v/>
      </c>
      <c r="BA9" s="269" t="str">
        <f t="shared" ca="1" si="13"/>
        <v/>
      </c>
      <c r="BB9" s="364" t="str">
        <f ca="1">IFERROR(INDEX(ICE[], MATCH("icemidticma" &amp; LEFT(Crd!$A9, 2) &amp; " " &amp; RIGHT(Crd!$A9, 2), ICE[LongCode], 0), MATCH("Text", ICE[#Headers], 0)), "")</f>
        <v xml:space="preserve"> /  </v>
      </c>
      <c r="BC9" s="46" t="str">
        <f t="shared" ca="1" si="14"/>
        <v/>
      </c>
      <c r="BD9" s="47" t="str">
        <f t="shared" ca="1" si="38"/>
        <v/>
      </c>
      <c r="BE9" s="114" t="str">
        <f t="shared" ca="1" si="39"/>
        <v/>
      </c>
      <c r="BF9" s="110" t="str">
        <f t="shared" ca="1" si="15"/>
        <v/>
      </c>
      <c r="BG9" s="46" t="str">
        <f t="shared" ca="1" si="15"/>
        <v/>
      </c>
      <c r="BH9" s="110" t="str">
        <f t="shared" ca="1" si="15"/>
        <v/>
      </c>
      <c r="BI9" s="46" t="str">
        <f t="shared" ca="1" si="15"/>
        <v/>
      </c>
      <c r="BJ9" s="47" t="str">
        <f t="shared" ca="1" si="40"/>
        <v/>
      </c>
      <c r="BK9" s="111" t="str">
        <f t="shared" ca="1" si="41"/>
        <v/>
      </c>
      <c r="BL9" s="109" t="str">
        <f t="shared" ca="1" si="16"/>
        <v/>
      </c>
      <c r="BM9" s="364" t="str">
        <f ca="1">IFERROR(INDEX(ICE[], MATCH("icewcstitma" &amp; LEFT(Crd!$A9, 2) &amp; " " &amp; RIGHT(Crd!$A9, 2), ICE[LongCode], 0), MATCH("Text", ICE[#Headers], 0)), "")</f>
        <v xml:space="preserve"> /  </v>
      </c>
      <c r="BN9" s="46" t="str">
        <f t="shared" ca="1" si="17"/>
        <v/>
      </c>
      <c r="BO9" s="47" t="str">
        <f t="shared" ca="1" si="42"/>
        <v/>
      </c>
      <c r="BP9" s="114" t="str">
        <f t="shared" ca="1" si="43"/>
        <v/>
      </c>
      <c r="BQ9" s="110" t="str">
        <f t="shared" ca="1" si="18"/>
        <v/>
      </c>
      <c r="BR9" s="46" t="str">
        <f t="shared" ca="1" si="18"/>
        <v/>
      </c>
      <c r="BS9" s="110" t="str">
        <f t="shared" ca="1" si="18"/>
        <v/>
      </c>
      <c r="BT9" s="46" t="str">
        <f t="shared" ca="1" si="18"/>
        <v/>
      </c>
      <c r="BU9" s="47" t="str">
        <f t="shared" ca="1" si="44"/>
        <v/>
      </c>
      <c r="BV9" s="111" t="str">
        <f t="shared" ca="1" si="45"/>
        <v/>
      </c>
    </row>
    <row r="10" spans="1:87" x14ac:dyDescent="0.25">
      <c r="A10" s="54" t="str">
        <f t="shared" ca="1" si="19"/>
        <v>Q427</v>
      </c>
      <c r="I10" s="109" t="str">
        <f t="shared" ca="1" si="0"/>
        <v/>
      </c>
      <c r="J10" s="364" t="str">
        <f ca="1">IFERROR(INDEX(ICE[], MATCH("dfl" &amp; LEFT(Crd!$A10, 2) &amp; " " &amp; RIGHT(Crd!$A10, 2), ICE[LongCode], 0), MATCH("Text", ICE[#Headers], 0)), "")</f>
        <v>0.40 / 0.50 {0.49} |20x</v>
      </c>
      <c r="K10" s="46" t="str">
        <f t="shared" ca="1" si="1"/>
        <v/>
      </c>
      <c r="L10" s="47" t="str">
        <f t="shared" ca="1" si="20"/>
        <v/>
      </c>
      <c r="M10" s="114" t="str">
        <f t="shared" ca="1" si="21"/>
        <v/>
      </c>
      <c r="N10" s="110" t="str">
        <f t="shared" ca="1" si="2"/>
        <v/>
      </c>
      <c r="O10" s="46" t="str">
        <f t="shared" ca="1" si="2"/>
        <v/>
      </c>
      <c r="P10" s="47" t="str">
        <f t="shared" ca="1" si="22"/>
        <v/>
      </c>
      <c r="Q10" s="364"/>
      <c r="R10" s="46" t="str">
        <f t="shared" ca="1" si="23"/>
        <v/>
      </c>
      <c r="S10" s="109" t="str">
        <f t="shared" ca="1" si="3"/>
        <v/>
      </c>
      <c r="T10" s="364" t="str">
        <f ca="1">IFERROR(INDEX(ICE[], MATCH("brdub" &amp; LEFT(Crd!$A10, 2) &amp; " " &amp; RIGHT(Crd!$A10, 2), ICE[LongCode], 0), MATCH("Text", ICE[#Headers], 0)), "")</f>
        <v xml:space="preserve">2.75 / 3.20 </v>
      </c>
      <c r="U10" s="46" t="str">
        <f t="shared" ca="1" si="4"/>
        <v/>
      </c>
      <c r="V10" s="47" t="str">
        <f t="shared" ca="1" si="24"/>
        <v/>
      </c>
      <c r="W10" s="114" t="str">
        <f t="shared" ca="1" si="25"/>
        <v/>
      </c>
      <c r="X10" s="110" t="str">
        <f t="shared" ca="1" si="5"/>
        <v/>
      </c>
      <c r="Y10" s="46" t="str">
        <f t="shared" ca="1" si="5"/>
        <v/>
      </c>
      <c r="Z10" s="47" t="str">
        <f t="shared" ca="1" si="26"/>
        <v/>
      </c>
      <c r="AA10" s="364"/>
      <c r="AB10" s="46" t="str">
        <f t="shared" ca="1" si="27"/>
        <v/>
      </c>
      <c r="AC10" s="269" t="str">
        <f t="shared" ca="1" si="6"/>
        <v/>
      </c>
      <c r="AD10" s="46" t="str">
        <f t="shared" ca="1" si="6"/>
        <v/>
      </c>
      <c r="AE10" s="47" t="str">
        <f t="shared" ca="1" si="28"/>
        <v/>
      </c>
      <c r="AF10" s="111" t="str">
        <f t="shared" ca="1" si="29"/>
        <v/>
      </c>
      <c r="AG10" s="109" t="str">
        <f t="shared" ca="1" si="7"/>
        <v/>
      </c>
      <c r="AH10" s="364" t="str">
        <f ca="1">IFERROR(INDEX(ICE[], MATCH("icemidticma" &amp; LEFT(Crd!$A10, 2) &amp; " " &amp; RIGHT(Crd!$A10, 2), ICE[LongCode], 0), MATCH("Text", ICE[#Headers], 0)), "")</f>
        <v xml:space="preserve"> /  </v>
      </c>
      <c r="AI10" s="46" t="str">
        <f t="shared" ca="1" si="8"/>
        <v/>
      </c>
      <c r="AJ10" s="47" t="str">
        <f t="shared" ca="1" si="30"/>
        <v/>
      </c>
      <c r="AK10" s="114" t="str">
        <f t="shared" ca="1" si="31"/>
        <v/>
      </c>
      <c r="AL10" s="110" t="str">
        <f t="shared" ca="1" si="9"/>
        <v/>
      </c>
      <c r="AM10" s="46" t="str">
        <f t="shared" ca="1" si="9"/>
        <v/>
      </c>
      <c r="AN10" s="47" t="str">
        <f t="shared" ca="1" si="32"/>
        <v/>
      </c>
      <c r="AO10" s="111" t="str">
        <f t="shared" ca="1" si="33"/>
        <v/>
      </c>
      <c r="AP10" s="109" t="str">
        <f t="shared" ca="1" si="10"/>
        <v/>
      </c>
      <c r="AQ10" s="364" t="str">
        <f ca="1">IFERROR(INDEX(ICE[], MATCH("icemidticma" &amp; LEFT(Crd!$A10, 2) &amp; " " &amp; RIGHT(Crd!$A10, 2), ICE[LongCode], 0), MATCH("Text", ICE[#Headers], 0)), "")</f>
        <v xml:space="preserve"> /  </v>
      </c>
      <c r="AR10" s="46" t="str">
        <f t="shared" ca="1" si="11"/>
        <v/>
      </c>
      <c r="AS10" s="47" t="str">
        <f t="shared" ca="1" si="34"/>
        <v/>
      </c>
      <c r="AT10" s="114" t="str">
        <f t="shared" ca="1" si="35"/>
        <v/>
      </c>
      <c r="AU10" s="110" t="str">
        <f t="shared" ca="1" si="12"/>
        <v/>
      </c>
      <c r="AV10" s="46" t="str">
        <f t="shared" ca="1" si="12"/>
        <v/>
      </c>
      <c r="AW10" s="110" t="str">
        <f t="shared" ca="1" si="12"/>
        <v/>
      </c>
      <c r="AX10" s="46" t="str">
        <f t="shared" ca="1" si="12"/>
        <v/>
      </c>
      <c r="AY10" s="47" t="str">
        <f t="shared" ca="1" si="36"/>
        <v/>
      </c>
      <c r="AZ10" s="46" t="str">
        <f t="shared" ca="1" si="37"/>
        <v/>
      </c>
      <c r="BA10" s="269" t="str">
        <f t="shared" ca="1" si="13"/>
        <v/>
      </c>
      <c r="BB10" s="364" t="str">
        <f ca="1">IFERROR(INDEX(ICE[], MATCH("icemidticma" &amp; LEFT(Crd!$A10, 2) &amp; " " &amp; RIGHT(Crd!$A10, 2), ICE[LongCode], 0), MATCH("Text", ICE[#Headers], 0)), "")</f>
        <v xml:space="preserve"> /  </v>
      </c>
      <c r="BC10" s="46" t="str">
        <f t="shared" ca="1" si="14"/>
        <v/>
      </c>
      <c r="BD10" s="47" t="str">
        <f t="shared" ca="1" si="38"/>
        <v/>
      </c>
      <c r="BE10" s="114" t="str">
        <f t="shared" ca="1" si="39"/>
        <v/>
      </c>
      <c r="BF10" s="110" t="str">
        <f t="shared" ca="1" si="15"/>
        <v/>
      </c>
      <c r="BG10" s="46" t="str">
        <f t="shared" ca="1" si="15"/>
        <v/>
      </c>
      <c r="BH10" s="110" t="str">
        <f t="shared" ca="1" si="15"/>
        <v/>
      </c>
      <c r="BI10" s="46" t="str">
        <f t="shared" ca="1" si="15"/>
        <v/>
      </c>
      <c r="BJ10" s="47" t="str">
        <f t="shared" ca="1" si="40"/>
        <v/>
      </c>
      <c r="BK10" s="111" t="str">
        <f t="shared" ca="1" si="41"/>
        <v/>
      </c>
      <c r="BL10" s="109" t="str">
        <f t="shared" ca="1" si="16"/>
        <v/>
      </c>
      <c r="BM10" s="364" t="str">
        <f ca="1">IFERROR(INDEX(ICE[], MATCH("icewcstitma" &amp; LEFT(Crd!$A10, 2) &amp; " " &amp; RIGHT(Crd!$A10, 2), ICE[LongCode], 0), MATCH("Text", ICE[#Headers], 0)), "")</f>
        <v xml:space="preserve"> /  </v>
      </c>
      <c r="BN10" s="46" t="str">
        <f t="shared" ca="1" si="17"/>
        <v/>
      </c>
      <c r="BO10" s="47" t="str">
        <f t="shared" ca="1" si="42"/>
        <v/>
      </c>
      <c r="BP10" s="114" t="str">
        <f t="shared" ca="1" si="43"/>
        <v/>
      </c>
      <c r="BQ10" s="110" t="str">
        <f t="shared" ca="1" si="18"/>
        <v/>
      </c>
      <c r="BR10" s="46" t="str">
        <f t="shared" ca="1" si="18"/>
        <v/>
      </c>
      <c r="BS10" s="110" t="str">
        <f t="shared" ca="1" si="18"/>
        <v/>
      </c>
      <c r="BT10" s="46" t="str">
        <f t="shared" ca="1" si="18"/>
        <v/>
      </c>
      <c r="BU10" s="47" t="str">
        <f t="shared" ca="1" si="44"/>
        <v/>
      </c>
      <c r="BV10" s="111" t="str">
        <f t="shared" ca="1" si="45"/>
        <v/>
      </c>
    </row>
    <row r="11" spans="1:87" x14ac:dyDescent="0.25">
      <c r="A11" s="54" t="str">
        <f t="shared" ca="1" si="19"/>
        <v>Q128</v>
      </c>
      <c r="I11" s="119" t="str">
        <f t="shared" ca="1" si="0"/>
        <v/>
      </c>
      <c r="J11" s="365" t="str">
        <f ca="1">IFERROR(INDEX(ICE[], MATCH("dfl" &amp; LEFT(Crd!$A11, 2) &amp; " " &amp; RIGHT(Crd!$A11, 2), ICE[LongCode], 0), MATCH("Text", ICE[#Headers], 0)), "")</f>
        <v xml:space="preserve"> /  </v>
      </c>
      <c r="K11" s="122" t="str">
        <f t="shared" ca="1" si="1"/>
        <v/>
      </c>
      <c r="L11" s="47" t="str">
        <f t="shared" ca="1" si="20"/>
        <v/>
      </c>
      <c r="M11" s="114" t="str">
        <f t="shared" ca="1" si="21"/>
        <v/>
      </c>
      <c r="N11" s="123" t="str">
        <f t="shared" ca="1" si="2"/>
        <v/>
      </c>
      <c r="O11" s="122" t="str">
        <f t="shared" ca="1" si="2"/>
        <v/>
      </c>
      <c r="P11" s="47" t="str">
        <f t="shared" ca="1" si="22"/>
        <v/>
      </c>
      <c r="Q11" s="365"/>
      <c r="R11" s="46" t="str">
        <f t="shared" ca="1" si="23"/>
        <v/>
      </c>
      <c r="S11" s="119" t="str">
        <f t="shared" ca="1" si="3"/>
        <v/>
      </c>
      <c r="T11" s="365" t="s">
        <v>348</v>
      </c>
      <c r="U11" s="122" t="str">
        <f t="shared" ca="1" si="4"/>
        <v/>
      </c>
      <c r="V11" s="47" t="str">
        <f t="shared" ca="1" si="24"/>
        <v/>
      </c>
      <c r="W11" s="114" t="str">
        <f t="shared" ca="1" si="25"/>
        <v/>
      </c>
      <c r="X11" s="123" t="str">
        <f t="shared" ca="1" si="5"/>
        <v/>
      </c>
      <c r="Y11" s="122" t="str">
        <f t="shared" ca="1" si="5"/>
        <v/>
      </c>
      <c r="Z11" s="47" t="str">
        <f t="shared" ca="1" si="26"/>
        <v/>
      </c>
      <c r="AA11" s="365"/>
      <c r="AB11" s="46" t="str">
        <f t="shared" ca="1" si="27"/>
        <v/>
      </c>
      <c r="AC11" s="402" t="str">
        <f t="shared" ca="1" si="6"/>
        <v/>
      </c>
      <c r="AD11" s="122" t="str">
        <f t="shared" ca="1" si="6"/>
        <v/>
      </c>
      <c r="AE11" s="47" t="str">
        <f t="shared" ca="1" si="28"/>
        <v/>
      </c>
      <c r="AF11" s="111" t="str">
        <f t="shared" ca="1" si="29"/>
        <v/>
      </c>
      <c r="AG11" s="119" t="str">
        <f t="shared" ca="1" si="7"/>
        <v/>
      </c>
      <c r="AH11" s="365" t="str">
        <f ca="1">IFERROR(INDEX(ICE[], MATCH("icemidticma" &amp; LEFT(Crd!$A11, 2) &amp; " " &amp; RIGHT(Crd!$A11, 2), ICE[LongCode], 0), MATCH("Text", ICE[#Headers], 0)), "")</f>
        <v/>
      </c>
      <c r="AI11" s="122" t="str">
        <f t="shared" ca="1" si="8"/>
        <v/>
      </c>
      <c r="AJ11" s="47" t="str">
        <f t="shared" ca="1" si="30"/>
        <v/>
      </c>
      <c r="AK11" s="114" t="str">
        <f t="shared" ca="1" si="31"/>
        <v/>
      </c>
      <c r="AL11" s="123" t="str">
        <f t="shared" ca="1" si="9"/>
        <v/>
      </c>
      <c r="AM11" s="122" t="str">
        <f t="shared" ca="1" si="9"/>
        <v/>
      </c>
      <c r="AN11" s="47" t="str">
        <f t="shared" ca="1" si="32"/>
        <v/>
      </c>
      <c r="AO11" s="111" t="str">
        <f t="shared" ca="1" si="33"/>
        <v/>
      </c>
      <c r="AP11" s="119" t="str">
        <f t="shared" ca="1" si="10"/>
        <v/>
      </c>
      <c r="AQ11" s="365" t="str">
        <f ca="1">IFERROR(INDEX(ICE[], MATCH("icemidticma" &amp; LEFT(Crd!$A11, 2) &amp; " " &amp; RIGHT(Crd!$A11, 2), ICE[LongCode], 0), MATCH("Text", ICE[#Headers], 0)), "")</f>
        <v/>
      </c>
      <c r="AR11" s="122" t="str">
        <f t="shared" ca="1" si="11"/>
        <v/>
      </c>
      <c r="AS11" s="47" t="str">
        <f t="shared" ca="1" si="34"/>
        <v/>
      </c>
      <c r="AT11" s="114" t="str">
        <f t="shared" ca="1" si="35"/>
        <v/>
      </c>
      <c r="AU11" s="123" t="str">
        <f t="shared" ca="1" si="12"/>
        <v/>
      </c>
      <c r="AV11" s="122" t="str">
        <f t="shared" ca="1" si="12"/>
        <v/>
      </c>
      <c r="AW11" s="123" t="str">
        <f t="shared" ca="1" si="12"/>
        <v/>
      </c>
      <c r="AX11" s="122" t="str">
        <f t="shared" ca="1" si="12"/>
        <v/>
      </c>
      <c r="AY11" s="47" t="str">
        <f t="shared" ca="1" si="36"/>
        <v/>
      </c>
      <c r="AZ11" s="46" t="str">
        <f t="shared" ca="1" si="37"/>
        <v/>
      </c>
      <c r="BA11" s="402" t="str">
        <f t="shared" ca="1" si="13"/>
        <v/>
      </c>
      <c r="BB11" s="365" t="str">
        <f ca="1">IFERROR(INDEX(ICE[], MATCH("icemidticma" &amp; LEFT(Crd!$A11, 2) &amp; " " &amp; RIGHT(Crd!$A11, 2), ICE[LongCode], 0), MATCH("Text", ICE[#Headers], 0)), "")</f>
        <v/>
      </c>
      <c r="BC11" s="122" t="str">
        <f t="shared" ca="1" si="14"/>
        <v/>
      </c>
      <c r="BD11" s="47" t="str">
        <f t="shared" ca="1" si="38"/>
        <v/>
      </c>
      <c r="BE11" s="114" t="str">
        <f t="shared" ca="1" si="39"/>
        <v/>
      </c>
      <c r="BF11" s="123" t="str">
        <f t="shared" ca="1" si="15"/>
        <v/>
      </c>
      <c r="BG11" s="122" t="str">
        <f t="shared" ca="1" si="15"/>
        <v/>
      </c>
      <c r="BH11" s="123" t="str">
        <f t="shared" ca="1" si="15"/>
        <v/>
      </c>
      <c r="BI11" s="122" t="str">
        <f t="shared" ca="1" si="15"/>
        <v/>
      </c>
      <c r="BJ11" s="47" t="str">
        <f t="shared" ca="1" si="40"/>
        <v/>
      </c>
      <c r="BK11" s="111" t="str">
        <f t="shared" ca="1" si="41"/>
        <v/>
      </c>
      <c r="BL11" s="119" t="str">
        <f t="shared" ca="1" si="16"/>
        <v/>
      </c>
      <c r="BM11" s="365" t="str">
        <f ca="1">IFERROR(INDEX(ICE[], MATCH("icewcstitma" &amp; LEFT(Crd!$A11, 2) &amp; " " &amp; RIGHT(Crd!$A11, 2), ICE[LongCode], 0), MATCH("Text", ICE[#Headers], 0)), "")</f>
        <v/>
      </c>
      <c r="BN11" s="122" t="str">
        <f t="shared" ca="1" si="17"/>
        <v/>
      </c>
      <c r="BO11" s="47" t="str">
        <f t="shared" ca="1" si="42"/>
        <v/>
      </c>
      <c r="BP11" s="114" t="str">
        <f t="shared" ca="1" si="43"/>
        <v/>
      </c>
      <c r="BQ11" s="123" t="str">
        <f t="shared" ca="1" si="18"/>
        <v/>
      </c>
      <c r="BR11" s="122" t="str">
        <f t="shared" ca="1" si="18"/>
        <v/>
      </c>
      <c r="BS11" s="123" t="str">
        <f t="shared" ca="1" si="18"/>
        <v/>
      </c>
      <c r="BT11" s="122" t="str">
        <f t="shared" ca="1" si="18"/>
        <v/>
      </c>
      <c r="BU11" s="47" t="str">
        <f t="shared" ca="1" si="44"/>
        <v/>
      </c>
      <c r="BV11" s="111" t="str">
        <f t="shared" ca="1" si="45"/>
        <v/>
      </c>
    </row>
    <row r="12" spans="1:87" x14ac:dyDescent="0.25">
      <c r="A12" s="55">
        <f ca="1">YEAR($A$1)</f>
        <v>2026</v>
      </c>
      <c r="I12" s="160" t="str">
        <f ca="1">IFERROR(AVERAGEIF($B$19:$B$66, $A12, I$19:I$66), "")</f>
        <v/>
      </c>
      <c r="J12" s="364" t="str">
        <f ca="1">IFERROR(INDEX(ICE[], MATCH("dfl" &amp; "Cal" &amp; " " &amp; RIGHT(Crd!$A12, 2), ICE[LongCode], 0), MATCH("Text", ICE[#Headers], 0)), "")</f>
        <v/>
      </c>
      <c r="K12" s="115" t="str">
        <f ca="1">IFERROR(AVERAGEIF($B$19:$B$66, $A12, K$19:K$66), "")</f>
        <v/>
      </c>
      <c r="L12" s="161"/>
      <c r="M12" s="172"/>
      <c r="N12" s="112" t="str">
        <f t="shared" ref="N12:O14" ca="1" si="46">IFERROR(AVERAGEIF($B$19:$B$66, $A12, N$19:N$66), "")</f>
        <v/>
      </c>
      <c r="O12" s="115" t="str">
        <f t="shared" ca="1" si="46"/>
        <v/>
      </c>
      <c r="P12" s="161"/>
      <c r="Q12" s="364"/>
      <c r="R12" s="115"/>
      <c r="S12" s="109" t="str">
        <f ca="1">IFERROR(AVERAGEIF($B$19:$B$66, $A12, S$19:S$66), "")</f>
        <v/>
      </c>
      <c r="T12" s="364" t="str">
        <f ca="1">IFERROR(INDEX(ICE[], MATCH("brdub" &amp; "Cal" &amp; " " &amp; RIGHT(Crd!$A12, 2), ICE[LongCode], 0), MATCH("Text", ICE[#Headers], 0)), "")</f>
        <v/>
      </c>
      <c r="U12" s="46" t="str">
        <f ca="1">IFERROR(AVERAGEIF($B$19:$B$66, $A12, U$19:U$66), "")</f>
        <v/>
      </c>
      <c r="V12" s="161"/>
      <c r="W12" s="172"/>
      <c r="X12" s="110" t="str">
        <f t="shared" ref="X12:Y14" ca="1" si="47">IFERROR(AVERAGEIF($B$19:$B$66, $A12, X$19:X$66), "")</f>
        <v/>
      </c>
      <c r="Y12" s="46" t="str">
        <f t="shared" ca="1" si="47"/>
        <v/>
      </c>
      <c r="Z12" s="161"/>
      <c r="AA12" s="364"/>
      <c r="AB12" s="115"/>
      <c r="AC12" s="269" t="str">
        <f t="shared" ref="AC12:AD14" ca="1" si="48">IFERROR(AVERAGEIF($B$19:$B$66, $A12, AC$19:AC$66), "")</f>
        <v/>
      </c>
      <c r="AD12" s="46" t="str">
        <f t="shared" ca="1" si="48"/>
        <v/>
      </c>
      <c r="AE12" s="161"/>
      <c r="AF12" s="173"/>
      <c r="AG12" s="160" t="str">
        <f ca="1">IFERROR(AVERAGEIF($B$19:$B$66, $A12, AG$19:AG$66), "")</f>
        <v/>
      </c>
      <c r="AH12" s="364" t="str">
        <f ca="1">IFERROR(INDEX(ICE[], MATCH("icemidticma" &amp; "Cal" &amp; " " &amp; RIGHT(Crd!$A12, 2), ICE[LongCode], 0), MATCH("Text", ICE[#Headers], 0)), "")</f>
        <v/>
      </c>
      <c r="AI12" s="115" t="str">
        <f ca="1">IFERROR(AVERAGEIF($B$19:$B$66, $A12, AI$19:AI$66), "")</f>
        <v/>
      </c>
      <c r="AJ12" s="161"/>
      <c r="AK12" s="172"/>
      <c r="AL12" s="112" t="str">
        <f t="shared" ref="AL12:AM14" ca="1" si="49">IFERROR(AVERAGEIF($B$19:$B$66, $A12, AL$19:AL$66), "")</f>
        <v/>
      </c>
      <c r="AM12" s="115" t="str">
        <f t="shared" ca="1" si="49"/>
        <v/>
      </c>
      <c r="AN12" s="161"/>
      <c r="AO12" s="173"/>
      <c r="AP12" s="160" t="str">
        <f ca="1">IFERROR(AVERAGEIF($B$19:$B$66, $A12, AP$19:AP$66), "")</f>
        <v/>
      </c>
      <c r="AQ12" s="364" t="str">
        <f ca="1">IFERROR(INDEX(ICE[], MATCH("icemidticma" &amp; "Cal" &amp; " " &amp; RIGHT(Crd!$A12, 2), ICE[LongCode], 0), MATCH("Text", ICE[#Headers], 0)), "")</f>
        <v/>
      </c>
      <c r="AR12" s="115" t="str">
        <f ca="1">IFERROR(AVERAGEIF($B$19:$B$66, $A12, AR$19:AR$66), "")</f>
        <v/>
      </c>
      <c r="AS12" s="161"/>
      <c r="AT12" s="172"/>
      <c r="AU12" s="112" t="str">
        <f t="shared" ref="AU12:AX14" ca="1" si="50">IFERROR(AVERAGEIF($B$19:$B$66, $A12, AU$19:AU$66), "")</f>
        <v/>
      </c>
      <c r="AV12" s="115" t="str">
        <f t="shared" ca="1" si="50"/>
        <v/>
      </c>
      <c r="AW12" s="112" t="str">
        <f t="shared" ca="1" si="50"/>
        <v/>
      </c>
      <c r="AX12" s="115" t="str">
        <f t="shared" ca="1" si="50"/>
        <v/>
      </c>
      <c r="AY12" s="161"/>
      <c r="AZ12" s="115"/>
      <c r="BA12" s="268" t="str">
        <f ca="1">IFERROR(AVERAGEIF($B$19:$B$66, $A12, BA$19:BA$66), "")</f>
        <v/>
      </c>
      <c r="BB12" s="364" t="str">
        <f ca="1">IFERROR(INDEX(ICE[], MATCH("icemidticma" &amp; "Cal" &amp; " " &amp; RIGHT(Crd!$A12, 2), ICE[LongCode], 0), MATCH("Text", ICE[#Headers], 0)), "")</f>
        <v/>
      </c>
      <c r="BC12" s="115" t="str">
        <f ca="1">IFERROR(AVERAGEIF($B$19:$B$66, $A12, BC$19:BC$66), "")</f>
        <v/>
      </c>
      <c r="BD12" s="161"/>
      <c r="BE12" s="172"/>
      <c r="BF12" s="112" t="str">
        <f t="shared" ref="BF12:BI14" ca="1" si="51">IFERROR(AVERAGEIF($B$19:$B$66, $A12, BF$19:BF$66), "")</f>
        <v/>
      </c>
      <c r="BG12" s="115" t="str">
        <f t="shared" ca="1" si="51"/>
        <v/>
      </c>
      <c r="BH12" s="112" t="str">
        <f t="shared" ca="1" si="51"/>
        <v/>
      </c>
      <c r="BI12" s="115" t="str">
        <f t="shared" ca="1" si="51"/>
        <v/>
      </c>
      <c r="BJ12" s="161"/>
      <c r="BK12" s="173"/>
      <c r="BL12" s="160">
        <f ca="1">IFERROR(AVERAGEIF($B$19:$B$66, $A12, BL$19:BL$66), "")</f>
        <v>-7.8</v>
      </c>
      <c r="BM12" s="364" t="str">
        <f ca="1">IFERROR(INDEX(ICE[], MATCH("icewcstitma" &amp; "Cal" &amp; " " &amp; RIGHT(Crd!$A12, 2), ICE[LongCode], 0), MATCH("Text", ICE[#Headers], 0)), "")</f>
        <v/>
      </c>
      <c r="BN12" s="115">
        <f ca="1">IFERROR(AVERAGEIF($B$19:$B$66, $A12, BN$19:BN$66), "")</f>
        <v>0</v>
      </c>
      <c r="BO12" s="161"/>
      <c r="BP12" s="172"/>
      <c r="BQ12" s="112">
        <f t="shared" ref="BQ12:BT14" ca="1" si="52">IFERROR(AVERAGEIF($B$19:$B$66, $A12, BQ$19:BQ$66), "")</f>
        <v>-12.993095238095236</v>
      </c>
      <c r="BR12" s="115">
        <f t="shared" ca="1" si="52"/>
        <v>-0.20404761904761617</v>
      </c>
      <c r="BS12" s="112">
        <f t="shared" ca="1" si="52"/>
        <v>81.94142857142856</v>
      </c>
      <c r="BT12" s="115">
        <f t="shared" ca="1" si="52"/>
        <v>0.22714285714284951</v>
      </c>
      <c r="BU12" s="161"/>
      <c r="BV12" s="173"/>
    </row>
    <row r="13" spans="1:87" x14ac:dyDescent="0.25">
      <c r="A13" s="55">
        <f ca="1">$A12 + 1</f>
        <v>2027</v>
      </c>
      <c r="I13" s="109" t="str">
        <f ca="1">IFERROR(AVERAGEIF($B$19:$B$66, $A13, I$19:I$66), "")</f>
        <v/>
      </c>
      <c r="J13" s="364" t="str">
        <f ca="1">IFERROR(INDEX(ICE[], MATCH("dfl" &amp; "Cal" &amp; " " &amp; RIGHT(Crd!$A13, 2), ICE[LongCode], 0), MATCH("Text", ICE[#Headers], 0)), "")</f>
        <v xml:space="preserve">0.85 /  </v>
      </c>
      <c r="K13" s="46" t="str">
        <f ca="1">IFERROR(AVERAGEIF($B$19:$B$66, $A13, K$19:K$66), "")</f>
        <v/>
      </c>
      <c r="L13" s="47" t="str">
        <f ca="1">IF(AND(ISNUMBER($I12), ISNUMBER($I13)), $I12 - $I13, "")</f>
        <v/>
      </c>
      <c r="M13" s="114" t="str">
        <f ca="1">IF(AND(ISNUMBER($K12), ISNUMBER($K13)), $K12 - $K13, "")</f>
        <v/>
      </c>
      <c r="N13" s="110" t="str">
        <f t="shared" ca="1" si="46"/>
        <v/>
      </c>
      <c r="O13" s="46" t="str">
        <f t="shared" ca="1" si="46"/>
        <v/>
      </c>
      <c r="P13" s="47" t="str">
        <f ca="1">IF(AND(ISNUMBER($N12), ISNUMBER($N13)), $N12 - $N13, "")</f>
        <v/>
      </c>
      <c r="Q13" s="364"/>
      <c r="R13" s="46" t="str">
        <f ca="1">IF(AND(ISNUMBER($O12), ISNUMBER($O13)), $O12 - $O13, "")</f>
        <v/>
      </c>
      <c r="S13" s="109" t="str">
        <f ca="1">IFERROR(AVERAGEIF($B$19:$B$66, $A13, S$19:S$66), "")</f>
        <v/>
      </c>
      <c r="T13" s="364" t="str">
        <f ca="1">IFERROR(INDEX(ICE[], MATCH("brdub" &amp; "Cal" &amp; " " &amp; RIGHT(Crd!$A13, 2), ICE[LongCode], 0), MATCH("Text", ICE[#Headers], 0)), "")</f>
        <v xml:space="preserve">3.10 / 3.70 </v>
      </c>
      <c r="U13" s="46" t="str">
        <f ca="1">IFERROR(AVERAGEIF($B$19:$B$66, $A13, U$19:U$66), "")</f>
        <v/>
      </c>
      <c r="V13" s="47" t="str">
        <f ca="1">IF(AND(ISNUMBER($S12), ISNUMBER($S13)), $S12 - $S13, "")</f>
        <v/>
      </c>
      <c r="W13" s="114" t="str">
        <f ca="1">IF(AND(ISNUMBER($U12), ISNUMBER($U13)), $U12 - $U13, "")</f>
        <v/>
      </c>
      <c r="X13" s="110" t="str">
        <f t="shared" ca="1" si="47"/>
        <v/>
      </c>
      <c r="Y13" s="46" t="str">
        <f t="shared" ca="1" si="47"/>
        <v/>
      </c>
      <c r="Z13" s="47" t="str">
        <f ca="1">IF(AND(ISNUMBER($X12), ISNUMBER($X13)), $X12 - $X13, "")</f>
        <v/>
      </c>
      <c r="AA13" s="364"/>
      <c r="AB13" s="46" t="str">
        <f ca="1">IF(AND(ISNUMBER($Y12), ISNUMBER($Y13)), $Y12 - $Y13, "")</f>
        <v/>
      </c>
      <c r="AC13" s="269" t="str">
        <f t="shared" ca="1" si="48"/>
        <v/>
      </c>
      <c r="AD13" s="46" t="str">
        <f t="shared" ca="1" si="48"/>
        <v/>
      </c>
      <c r="AE13" s="47" t="str">
        <f ca="1">IF(AND(ISNUMBER($AC12), ISNUMBER($AC13)), $AC12 - $AC13, "")</f>
        <v/>
      </c>
      <c r="AF13" s="111" t="str">
        <f ca="1">IF(AND(ISNUMBER($AD12), ISNUMBER($AD13)), $AD12 - $AD13, "")</f>
        <v/>
      </c>
      <c r="AG13" s="109" t="str">
        <f ca="1">IFERROR(AVERAGEIF($B$19:$B$66, $A13, AG$19:AG$66), "")</f>
        <v/>
      </c>
      <c r="AH13" s="364" t="str">
        <f ca="1">IFERROR(INDEX(ICE[], MATCH("icemidticma" &amp; "Cal" &amp; " " &amp; RIGHT(Crd!$A13, 2), ICE[LongCode], 0), MATCH("Text", ICE[#Headers], 0)), "")</f>
        <v xml:space="preserve"> /  </v>
      </c>
      <c r="AI13" s="46" t="str">
        <f ca="1">IFERROR(AVERAGEIF($B$19:$B$66, $A13, AI$19:AI$66), "")</f>
        <v/>
      </c>
      <c r="AJ13" s="47" t="str">
        <f ca="1">IF(AND(ISNUMBER($AG12), ISNUMBER($AG13)), $AG12 - $AG13, "")</f>
        <v/>
      </c>
      <c r="AK13" s="114" t="str">
        <f ca="1">IF(AND(ISNUMBER($AI12), ISNUMBER($AI13)), $AI12 - $AI13, "")</f>
        <v/>
      </c>
      <c r="AL13" s="110" t="str">
        <f t="shared" ca="1" si="49"/>
        <v/>
      </c>
      <c r="AM13" s="46" t="str">
        <f t="shared" ca="1" si="49"/>
        <v/>
      </c>
      <c r="AN13" s="47" t="str">
        <f ca="1">IF(AND(ISNUMBER($AL12), ISNUMBER($AL13)), $AL12 - $AL13, "")</f>
        <v/>
      </c>
      <c r="AO13" s="111" t="str">
        <f ca="1">IF(AND(ISNUMBER($AM12), ISNUMBER($AM13)), $AM12 - $AM13, "")</f>
        <v/>
      </c>
      <c r="AP13" s="109" t="str">
        <f ca="1">IFERROR(AVERAGEIF($B$19:$B$66, $A13, AP$19:AP$66), "")</f>
        <v/>
      </c>
      <c r="AQ13" s="364" t="str">
        <f ca="1">IFERROR(INDEX(ICE[], MATCH("icemidticma" &amp; "Cal" &amp; " " &amp; RIGHT(Crd!$A13, 2), ICE[LongCode], 0), MATCH("Text", ICE[#Headers], 0)), "")</f>
        <v xml:space="preserve"> /  </v>
      </c>
      <c r="AR13" s="46" t="str">
        <f ca="1">IFERROR(AVERAGEIF($B$19:$B$66, $A13, AR$19:AR$66), "")</f>
        <v/>
      </c>
      <c r="AS13" s="47" t="str">
        <f ca="1">IF(AND(ISNUMBER($BA12), ISNUMBER($BA13)), $BA12 - $BA13, "")</f>
        <v/>
      </c>
      <c r="AT13" s="114" t="str">
        <f ca="1">IF(AND(ISNUMBER($BC12), ISNUMBER($BC13)), $BC12 - $BC13, "")</f>
        <v/>
      </c>
      <c r="AU13" s="110" t="str">
        <f t="shared" ca="1" si="50"/>
        <v/>
      </c>
      <c r="AV13" s="46" t="str">
        <f t="shared" ca="1" si="50"/>
        <v/>
      </c>
      <c r="AW13" s="110" t="str">
        <f t="shared" ca="1" si="50"/>
        <v/>
      </c>
      <c r="AX13" s="46" t="str">
        <f t="shared" ca="1" si="50"/>
        <v/>
      </c>
      <c r="AY13" s="47" t="str">
        <f ca="1">IF(AND(ISNUMBER($BH12), ISNUMBER($BH13)), $BH12 - $BH13, "")</f>
        <v/>
      </c>
      <c r="AZ13" s="46" t="str">
        <f ca="1">IF(AND(ISNUMBER($BI12), ISNUMBER($BI13)), $BI12 - $BI13, "")</f>
        <v/>
      </c>
      <c r="BA13" s="269" t="str">
        <f ca="1">IFERROR(AVERAGEIF($B$19:$B$66, $A13, BA$19:BA$66), "")</f>
        <v/>
      </c>
      <c r="BB13" s="364" t="str">
        <f ca="1">IFERROR(INDEX(ICE[], MATCH("icemidticma" &amp; "Cal" &amp; " " &amp; RIGHT(Crd!$A13, 2), ICE[LongCode], 0), MATCH("Text", ICE[#Headers], 0)), "")</f>
        <v xml:space="preserve"> /  </v>
      </c>
      <c r="BC13" s="46" t="str">
        <f ca="1">IFERROR(AVERAGEIF($B$19:$B$66, $A13, BC$19:BC$66), "")</f>
        <v/>
      </c>
      <c r="BD13" s="47" t="str">
        <f ca="1">IF(AND(ISNUMBER($BA12), ISNUMBER($BA13)), $BA12 - $BA13, "")</f>
        <v/>
      </c>
      <c r="BE13" s="114" t="str">
        <f ca="1">IF(AND(ISNUMBER($BC12), ISNUMBER($BC13)), $BC12 - $BC13, "")</f>
        <v/>
      </c>
      <c r="BF13" s="110" t="str">
        <f t="shared" ca="1" si="51"/>
        <v/>
      </c>
      <c r="BG13" s="46" t="str">
        <f t="shared" ca="1" si="51"/>
        <v/>
      </c>
      <c r="BH13" s="110" t="str">
        <f t="shared" ca="1" si="51"/>
        <v/>
      </c>
      <c r="BI13" s="46" t="str">
        <f t="shared" ca="1" si="51"/>
        <v/>
      </c>
      <c r="BJ13" s="47" t="str">
        <f ca="1">IF(AND(ISNUMBER($BH12), ISNUMBER($BH13)), $BH12 - $BH13, "")</f>
        <v/>
      </c>
      <c r="BK13" s="111" t="str">
        <f ca="1">IF(AND(ISNUMBER($BI12), ISNUMBER($BI13)), $BI12 - $BI13, "")</f>
        <v/>
      </c>
      <c r="BL13" s="109" t="str">
        <f ca="1">IFERROR(AVERAGEIF($B$19:$B$66, $A13, BL$19:BL$66), "")</f>
        <v/>
      </c>
      <c r="BM13" s="364" t="str">
        <f ca="1">IFERROR(INDEX(ICE[], MATCH("icewcstitma" &amp; "Cal" &amp; " " &amp; RIGHT(Crd!$A13, 2), ICE[LongCode], 0), MATCH("Text", ICE[#Headers], 0)), "")</f>
        <v xml:space="preserve"> /  </v>
      </c>
      <c r="BN13" s="46" t="str">
        <f ca="1">IFERROR(AVERAGEIF($B$19:$B$66, $A13, BN$19:BN$66), "")</f>
        <v/>
      </c>
      <c r="BO13" s="47" t="str">
        <f ca="1">IF(AND(ISNUMBER($BL12), ISNUMBER($BL13)), $BL12 - $BL13, "")</f>
        <v/>
      </c>
      <c r="BP13" s="114" t="str">
        <f ca="1">IF(AND(ISNUMBER($BL12), ISNUMBER($BL13)), $BL12 - $BL13, "")</f>
        <v/>
      </c>
      <c r="BQ13" s="110" t="str">
        <f t="shared" ca="1" si="52"/>
        <v/>
      </c>
      <c r="BR13" s="46" t="str">
        <f t="shared" ca="1" si="52"/>
        <v/>
      </c>
      <c r="BS13" s="110" t="str">
        <f t="shared" ca="1" si="52"/>
        <v/>
      </c>
      <c r="BT13" s="46" t="str">
        <f t="shared" ca="1" si="52"/>
        <v/>
      </c>
      <c r="BU13" s="47" t="str">
        <f ca="1">IF(AND(ISNUMBER($BS12), ISNUMBER($BS13)), $BS12 - $BS13, "")</f>
        <v/>
      </c>
      <c r="BV13" s="111" t="str">
        <f ca="1">IF(AND(ISNUMBER($BT12), ISNUMBER($BT13)), $BT12 - $BT13, "")</f>
        <v/>
      </c>
    </row>
    <row r="14" spans="1:87" ht="15.75" thickBot="1" x14ac:dyDescent="0.3">
      <c r="A14" s="55">
        <f ca="1">$A13 + 1</f>
        <v>2028</v>
      </c>
      <c r="I14" s="130" t="str">
        <f ca="1">IFERROR(AVERAGEIF($B$19:$B$66, $A14, I$19:I$66), "")</f>
        <v/>
      </c>
      <c r="J14" s="366" t="str">
        <f ca="1">IFERROR(INDEX(ICE[], MATCH("dfl" &amp; "Cal" &amp; " " &amp; RIGHT(Crd!$A14, 2), ICE[LongCode], 0), MATCH("Text", ICE[#Headers], 0)), "")</f>
        <v xml:space="preserve">0.40 /  </v>
      </c>
      <c r="K14" s="133" t="str">
        <f ca="1">IFERROR(AVERAGEIF($B$19:$B$66, $A14, K$19:K$66), "")</f>
        <v/>
      </c>
      <c r="L14" s="142" t="str">
        <f ca="1">IF(AND(ISNUMBER($I13), ISNUMBER($I14)), $I13 - $I14, "")</f>
        <v/>
      </c>
      <c r="M14" s="137" t="str">
        <f ca="1">IF(AND(ISNUMBER($K13), ISNUMBER($K14)), $K13 - $K14, "")</f>
        <v/>
      </c>
      <c r="N14" s="134" t="str">
        <f t="shared" ca="1" si="46"/>
        <v/>
      </c>
      <c r="O14" s="133" t="str">
        <f t="shared" ca="1" si="46"/>
        <v/>
      </c>
      <c r="P14" s="142" t="str">
        <f ca="1">IF(AND(ISNUMBER($N13), ISNUMBER($N14)), $N13 - $N14, "")</f>
        <v/>
      </c>
      <c r="Q14" s="366" t="str">
        <f ca="1">IFERROR(INDEX(ICE[], MATCH("dtd" &amp; "Cal" &amp; " " &amp; RIGHT(Crd!$A13, 2) &amp; "/" &amp; "Cal" &amp; " " &amp; RIGHT(Crd!$A14, 2), ICE[LongCode], 0), MATCH("Text", ICE[#Headers], 0)), "")</f>
        <v xml:space="preserve"> /  </v>
      </c>
      <c r="R14" s="133" t="str">
        <f ca="1">IF(AND(ISNUMBER($O13), ISNUMBER($O14)), $O13 - $O14, "")</f>
        <v/>
      </c>
      <c r="S14" s="130" t="str">
        <f ca="1">IFERROR(AVERAGEIF($B$19:$B$66, $A14, S$19:S$66), "")</f>
        <v/>
      </c>
      <c r="T14" s="366" t="str">
        <f ca="1">IFERROR(INDEX(ICE[], MATCH("brdub" &amp; "Cal" &amp; " " &amp; RIGHT(Crd!$A14, 2), ICE[LongCode], 0), MATCH("Text", ICE[#Headers], 0)), "")</f>
        <v xml:space="preserve">1.90 / 2.50 </v>
      </c>
      <c r="U14" s="133" t="str">
        <f ca="1">IFERROR(AVERAGEIF($B$19:$B$66, $A14, U$19:U$66), "")</f>
        <v/>
      </c>
      <c r="V14" s="142" t="str">
        <f ca="1">IF(AND(ISNUMBER($S13), ISNUMBER($S14)), $S13 - $S14, "")</f>
        <v/>
      </c>
      <c r="W14" s="137" t="str">
        <f ca="1">IF(AND(ISNUMBER($U13), ISNUMBER($U14)), $U13 - $U14, "")</f>
        <v/>
      </c>
      <c r="X14" s="134" t="str">
        <f t="shared" ca="1" si="47"/>
        <v/>
      </c>
      <c r="Y14" s="133" t="str">
        <f t="shared" ca="1" si="47"/>
        <v/>
      </c>
      <c r="Z14" s="142" t="str">
        <f ca="1">IF(AND(ISNUMBER($X13), ISNUMBER($X14)), $X13 - $X14, "")</f>
        <v/>
      </c>
      <c r="AA14" s="366" t="str">
        <f ca="1">IFERROR(INDEX(ICE[], MATCH("dub" &amp; "Cal" &amp; " " &amp; RIGHT(Crd!$A13, 2) &amp; "/" &amp; "Cal" &amp; " " &amp; RIGHT(Crd!$A14, 2), ICE[LongCode], 0), MATCH("Text", ICE[#Headers], 0)), "")</f>
        <v xml:space="preserve"> /  </v>
      </c>
      <c r="AB14" s="133" t="str">
        <f ca="1">IF(AND(ISNUMBER($Y13), ISNUMBER($Y14)), $Y13 - $Y14, "")</f>
        <v/>
      </c>
      <c r="AC14" s="270" t="str">
        <f t="shared" ca="1" si="48"/>
        <v/>
      </c>
      <c r="AD14" s="133" t="str">
        <f t="shared" ca="1" si="48"/>
        <v/>
      </c>
      <c r="AE14" s="142" t="str">
        <f ca="1">IF(AND(ISNUMBER($AC13), ISNUMBER($AC14)), $AC13 - $AC14, "")</f>
        <v/>
      </c>
      <c r="AF14" s="135" t="str">
        <f ca="1">IF(AND(ISNUMBER($AD13), ISNUMBER($AD14)), $AD13 - $AD14, "")</f>
        <v/>
      </c>
      <c r="AG14" s="130" t="str">
        <f ca="1">IFERROR(AVERAGEIF($B$19:$B$66, $A14, AG$19:AG$66), "")</f>
        <v/>
      </c>
      <c r="AH14" s="366" t="str">
        <f ca="1">IFERROR(INDEX(ICE[], MATCH("icemidticma" &amp; "Cal" &amp; " " &amp; RIGHT(Crd!$A14, 2), ICE[LongCode], 0), MATCH("Text", ICE[#Headers], 0)), "")</f>
        <v/>
      </c>
      <c r="AI14" s="133" t="str">
        <f ca="1">IFERROR(AVERAGEIF($B$19:$B$66, $A14, AI$19:AI$66), "")</f>
        <v/>
      </c>
      <c r="AJ14" s="142" t="str">
        <f ca="1">IF(AND(ISNUMBER($AG13), ISNUMBER($AG14)), $AG13 - $AG14, "")</f>
        <v/>
      </c>
      <c r="AK14" s="137" t="str">
        <f ca="1">IF(AND(ISNUMBER($AI13), ISNUMBER($AI14)), $AI13 - $AI14, "")</f>
        <v/>
      </c>
      <c r="AL14" s="134" t="str">
        <f t="shared" ca="1" si="49"/>
        <v/>
      </c>
      <c r="AM14" s="133" t="str">
        <f t="shared" ca="1" si="49"/>
        <v/>
      </c>
      <c r="AN14" s="142" t="str">
        <f ca="1">IF(AND(ISNUMBER($AL13), ISNUMBER($AL14)), $AL13 - $AL14, "")</f>
        <v/>
      </c>
      <c r="AO14" s="135" t="str">
        <f ca="1">IF(AND(ISNUMBER($AM13), ISNUMBER($AM14)), $AM13 - $AM14, "")</f>
        <v/>
      </c>
      <c r="AP14" s="130" t="str">
        <f ca="1">IFERROR(AVERAGEIF($B$19:$B$66, $A14, AP$19:AP$66), "")</f>
        <v/>
      </c>
      <c r="AQ14" s="366" t="str">
        <f ca="1">IFERROR(INDEX(ICE[], MATCH("icemidticma" &amp; "Cal" &amp; " " &amp; RIGHT(Crd!$A14, 2), ICE[LongCode], 0), MATCH("Text", ICE[#Headers], 0)), "")</f>
        <v/>
      </c>
      <c r="AR14" s="133" t="str">
        <f ca="1">IFERROR(AVERAGEIF($B$19:$B$66, $A14, AR$19:AR$66), "")</f>
        <v/>
      </c>
      <c r="AS14" s="142" t="str">
        <f ca="1">IF(AND(ISNUMBER($BA13), ISNUMBER($BA14)), $BA13 - $BA14, "")</f>
        <v/>
      </c>
      <c r="AT14" s="137" t="str">
        <f ca="1">IF(AND(ISNUMBER($BC13), ISNUMBER($BC14)), $BC13 - $BC14, "")</f>
        <v/>
      </c>
      <c r="AU14" s="134" t="str">
        <f t="shared" ca="1" si="50"/>
        <v/>
      </c>
      <c r="AV14" s="133" t="str">
        <f t="shared" ca="1" si="50"/>
        <v/>
      </c>
      <c r="AW14" s="134" t="str">
        <f t="shared" ca="1" si="50"/>
        <v/>
      </c>
      <c r="AX14" s="133" t="str">
        <f t="shared" ca="1" si="50"/>
        <v/>
      </c>
      <c r="AY14" s="142" t="str">
        <f ca="1">IF(AND(ISNUMBER($BH13), ISNUMBER($BH14)), $BH13 - $BH14, "")</f>
        <v/>
      </c>
      <c r="AZ14" s="133" t="str">
        <f ca="1">IF(AND(ISNUMBER($BI13), ISNUMBER($BI14)), $BI13 - $BI14, "")</f>
        <v/>
      </c>
      <c r="BA14" s="270" t="str">
        <f ca="1">IFERROR(AVERAGEIF($B$19:$B$66, $A14, BA$19:BA$66), "")</f>
        <v/>
      </c>
      <c r="BB14" s="366" t="str">
        <f ca="1">IFERROR(INDEX(ICE[], MATCH("icemidticma" &amp; "Cal" &amp; " " &amp; RIGHT(Crd!$A14, 2), ICE[LongCode], 0), MATCH("Text", ICE[#Headers], 0)), "")</f>
        <v/>
      </c>
      <c r="BC14" s="133" t="str">
        <f ca="1">IFERROR(AVERAGEIF($B$19:$B$66, $A14, BC$19:BC$66), "")</f>
        <v/>
      </c>
      <c r="BD14" s="142" t="str">
        <f ca="1">IF(AND(ISNUMBER($BA13), ISNUMBER($BA14)), $BA13 - $BA14, "")</f>
        <v/>
      </c>
      <c r="BE14" s="137" t="str">
        <f ca="1">IF(AND(ISNUMBER($BC13), ISNUMBER($BC14)), $BC13 - $BC14, "")</f>
        <v/>
      </c>
      <c r="BF14" s="134" t="str">
        <f t="shared" ca="1" si="51"/>
        <v/>
      </c>
      <c r="BG14" s="133" t="str">
        <f t="shared" ca="1" si="51"/>
        <v/>
      </c>
      <c r="BH14" s="134" t="str">
        <f t="shared" ca="1" si="51"/>
        <v/>
      </c>
      <c r="BI14" s="133" t="str">
        <f t="shared" ca="1" si="51"/>
        <v/>
      </c>
      <c r="BJ14" s="142" t="str">
        <f ca="1">IF(AND(ISNUMBER($BH13), ISNUMBER($BH14)), $BH13 - $BH14, "")</f>
        <v/>
      </c>
      <c r="BK14" s="135" t="str">
        <f ca="1">IF(AND(ISNUMBER($BI13), ISNUMBER($BI14)), $BI13 - $BI14, "")</f>
        <v/>
      </c>
      <c r="BL14" s="130" t="str">
        <f ca="1">IFERROR(AVERAGEIF($B$19:$B$66, $A14, BL$19:BL$66), "")</f>
        <v/>
      </c>
      <c r="BM14" s="366" t="str">
        <f ca="1">IFERROR(INDEX(ICE[], MATCH("icewcstitma" &amp; "Cal" &amp; " " &amp; RIGHT(Crd!$A14, 2), ICE[LongCode], 0), MATCH("Text", ICE[#Headers], 0)), "")</f>
        <v/>
      </c>
      <c r="BN14" s="133" t="str">
        <f ca="1">IFERROR(AVERAGEIF($B$19:$B$66, $A14, BN$19:BN$66), "")</f>
        <v/>
      </c>
      <c r="BO14" s="142" t="str">
        <f ca="1">IF(AND(ISNUMBER($BL13), ISNUMBER($BL14)), $BL13 - $BL14, "")</f>
        <v/>
      </c>
      <c r="BP14" s="137" t="str">
        <f ca="1">IF(AND(ISNUMBER($BL13), ISNUMBER($BL14)), $BL13 - $BL14, "")</f>
        <v/>
      </c>
      <c r="BQ14" s="134" t="str">
        <f t="shared" ca="1" si="52"/>
        <v/>
      </c>
      <c r="BR14" s="133" t="str">
        <f t="shared" ca="1" si="52"/>
        <v/>
      </c>
      <c r="BS14" s="134" t="str">
        <f t="shared" ca="1" si="52"/>
        <v/>
      </c>
      <c r="BT14" s="133" t="str">
        <f t="shared" ca="1" si="52"/>
        <v/>
      </c>
      <c r="BU14" s="142" t="str">
        <f ca="1">IF(AND(ISNUMBER($BS13), ISNUMBER($BS14)), $BS13 - $BS14, "")</f>
        <v/>
      </c>
      <c r="BV14" s="135" t="str">
        <f ca="1">IF(AND(ISNUMBER($BT13), ISNUMBER($BT14)), $BT13 - $BT14, "")</f>
        <v/>
      </c>
    </row>
    <row r="15" spans="1:87" x14ac:dyDescent="0.25">
      <c r="A15" s="56"/>
      <c r="L15" s="51"/>
      <c r="M15" s="51"/>
      <c r="R15" s="51"/>
      <c r="S15" s="69" t="s">
        <v>350</v>
      </c>
      <c r="AJ15" s="51"/>
      <c r="AK15" s="51"/>
      <c r="AO15" s="51"/>
      <c r="AS15" s="51"/>
      <c r="AT15" s="51"/>
      <c r="AZ15" s="51"/>
      <c r="BD15" s="51"/>
      <c r="BE15" s="51"/>
      <c r="BK15" s="51"/>
      <c r="BO15" s="51"/>
      <c r="BP15" s="51"/>
      <c r="BV15" s="51"/>
    </row>
    <row r="16" spans="1:87" ht="15.75" thickBot="1" x14ac:dyDescent="0.3">
      <c r="L16" s="51"/>
      <c r="M16" s="51"/>
      <c r="P16" s="447"/>
      <c r="R16" s="85">
        <f ca="1">IF(ISNUMBER(Futs!$BI$21), Futs!$A$21, Futs!$A$22)</f>
        <v>46327</v>
      </c>
      <c r="S16" s="331" t="e">
        <f ca="1">IF(ISNUMBER(Futs!$BI$21), Futs!$BI$21 - Crd!$X$21, Futs!$BI$22 - Crd!$X$22)</f>
        <v>#VALUE!</v>
      </c>
      <c r="W16" s="68"/>
      <c r="X16" s="68" t="e">
        <f ca="1">X19-X21</f>
        <v>#VALUE!</v>
      </c>
      <c r="Y16" s="68" t="e">
        <f ca="1">Y21-Y23</f>
        <v>#VALUE!</v>
      </c>
      <c r="AA16" s="68"/>
      <c r="AJ16" s="51"/>
      <c r="AK16" s="51"/>
      <c r="AO16" s="85"/>
      <c r="AS16" s="48"/>
      <c r="AT16" s="51"/>
      <c r="AZ16" s="571"/>
      <c r="BD16" s="48"/>
      <c r="BE16" s="51"/>
      <c r="BK16" s="571"/>
      <c r="BO16" s="48"/>
      <c r="BP16" s="51"/>
      <c r="BV16" s="571"/>
      <c r="CI16" s="48"/>
    </row>
    <row r="17" spans="1:77" ht="15.75" thickBot="1" x14ac:dyDescent="0.3">
      <c r="D17" s="44" t="s">
        <v>279</v>
      </c>
      <c r="E17" s="44"/>
      <c r="F17" s="44"/>
      <c r="G17" s="44"/>
      <c r="H17" s="44"/>
      <c r="I17" s="310" t="s">
        <v>333</v>
      </c>
      <c r="J17" s="311"/>
      <c r="K17" s="311"/>
      <c r="L17" s="312"/>
      <c r="M17" s="313"/>
      <c r="N17" s="311"/>
      <c r="O17" s="311"/>
      <c r="P17" s="312"/>
      <c r="Q17" s="311"/>
      <c r="R17" s="314"/>
      <c r="S17" s="315" t="s">
        <v>266</v>
      </c>
      <c r="T17" s="311"/>
      <c r="U17" s="316"/>
      <c r="V17" s="317"/>
      <c r="W17" s="316"/>
      <c r="X17" s="318"/>
      <c r="Y17" s="316"/>
      <c r="Z17" s="317"/>
      <c r="AA17" s="311"/>
      <c r="AB17" s="316"/>
      <c r="AC17" s="318"/>
      <c r="AD17" s="316"/>
      <c r="AE17" s="317"/>
      <c r="AF17" s="319"/>
      <c r="AG17" s="310" t="s">
        <v>334</v>
      </c>
      <c r="AH17" s="311"/>
      <c r="AI17" s="311"/>
      <c r="AJ17" s="312"/>
      <c r="AK17" s="313"/>
      <c r="AL17" s="311"/>
      <c r="AM17" s="311"/>
      <c r="AN17" s="312"/>
      <c r="AO17" s="313"/>
      <c r="AP17" s="311" t="s">
        <v>335</v>
      </c>
      <c r="AQ17" s="311"/>
      <c r="AR17" s="311"/>
      <c r="AS17" s="312"/>
      <c r="AT17" s="313"/>
      <c r="AU17" s="311"/>
      <c r="AV17" s="311"/>
      <c r="AW17" s="311"/>
      <c r="AX17" s="311"/>
      <c r="AY17" s="312"/>
      <c r="AZ17" s="313"/>
      <c r="BA17" s="311"/>
      <c r="BB17" s="311"/>
      <c r="BC17" s="311"/>
      <c r="BD17" s="312"/>
      <c r="BE17" s="313"/>
      <c r="BF17" s="311"/>
      <c r="BG17" s="311"/>
      <c r="BH17" s="311"/>
      <c r="BI17" s="311"/>
      <c r="BJ17" s="312"/>
      <c r="BK17" s="314"/>
      <c r="BL17" s="310" t="s">
        <v>336</v>
      </c>
      <c r="BM17" s="311"/>
      <c r="BN17" s="311"/>
      <c r="BO17" s="312"/>
      <c r="BP17" s="313"/>
      <c r="BQ17" s="311"/>
      <c r="BR17" s="311"/>
      <c r="BS17" s="311"/>
      <c r="BT17" s="311"/>
      <c r="BU17" s="312"/>
      <c r="BV17" s="314"/>
      <c r="BY17" s="48"/>
    </row>
    <row r="18" spans="1:77" x14ac:dyDescent="0.25">
      <c r="A18" s="55"/>
      <c r="B18" s="8" t="s">
        <v>285</v>
      </c>
      <c r="C18" s="8" t="s">
        <v>286</v>
      </c>
      <c r="D18" s="45" t="s">
        <v>351</v>
      </c>
      <c r="E18" s="45" t="s">
        <v>352</v>
      </c>
      <c r="F18" s="45" t="s">
        <v>353</v>
      </c>
      <c r="G18" s="45" t="s">
        <v>354</v>
      </c>
      <c r="H18" s="45" t="s">
        <v>355</v>
      </c>
      <c r="I18" s="302" t="s">
        <v>18</v>
      </c>
      <c r="J18" s="303"/>
      <c r="K18" s="303"/>
      <c r="L18" s="303"/>
      <c r="M18" s="303"/>
      <c r="N18" s="304" t="s">
        <v>333</v>
      </c>
      <c r="O18" s="303"/>
      <c r="P18" s="303"/>
      <c r="Q18" s="303"/>
      <c r="R18" s="305"/>
      <c r="S18" s="306" t="s">
        <v>338</v>
      </c>
      <c r="T18" s="303"/>
      <c r="U18" s="307"/>
      <c r="V18" s="307"/>
      <c r="W18" s="307"/>
      <c r="X18" s="308" t="s">
        <v>266</v>
      </c>
      <c r="Y18" s="307"/>
      <c r="Z18" s="307"/>
      <c r="AA18" s="303"/>
      <c r="AB18" s="307"/>
      <c r="AC18" s="378" t="s">
        <v>339</v>
      </c>
      <c r="AD18" s="307"/>
      <c r="AE18" s="307"/>
      <c r="AF18" s="309"/>
      <c r="AG18" s="302" t="s">
        <v>356</v>
      </c>
      <c r="AH18" s="303"/>
      <c r="AI18" s="303"/>
      <c r="AJ18" s="303"/>
      <c r="AK18" s="303"/>
      <c r="AL18" s="304" t="s">
        <v>334</v>
      </c>
      <c r="AM18" s="303"/>
      <c r="AN18" s="303"/>
      <c r="AO18" s="305"/>
      <c r="AP18" s="302" t="s">
        <v>357</v>
      </c>
      <c r="AQ18" s="303"/>
      <c r="AR18" s="303"/>
      <c r="AS18" s="303"/>
      <c r="AT18" s="303"/>
      <c r="AU18" s="304" t="s">
        <v>340</v>
      </c>
      <c r="AV18" s="303"/>
      <c r="AW18" s="304" t="s">
        <v>335</v>
      </c>
      <c r="AX18" s="303"/>
      <c r="AY18" s="303"/>
      <c r="AZ18" s="303"/>
      <c r="BA18" s="425" t="s">
        <v>358</v>
      </c>
      <c r="BB18" s="303"/>
      <c r="BC18" s="303"/>
      <c r="BD18" s="303"/>
      <c r="BE18" s="303"/>
      <c r="BF18" s="304" t="s">
        <v>340</v>
      </c>
      <c r="BG18" s="303"/>
      <c r="BH18" s="304" t="s">
        <v>335</v>
      </c>
      <c r="BI18" s="303"/>
      <c r="BJ18" s="303"/>
      <c r="BK18" s="305"/>
      <c r="BL18" s="302" t="s">
        <v>359</v>
      </c>
      <c r="BM18" s="303"/>
      <c r="BN18" s="303"/>
      <c r="BO18" s="303"/>
      <c r="BP18" s="303"/>
      <c r="BQ18" s="304" t="s">
        <v>360</v>
      </c>
      <c r="BR18" s="303"/>
      <c r="BS18" s="304" t="s">
        <v>336</v>
      </c>
      <c r="BT18" s="303"/>
      <c r="BU18" s="303"/>
      <c r="BV18" s="305"/>
    </row>
    <row r="19" spans="1:77" x14ac:dyDescent="0.25">
      <c r="A19" s="58">
        <f ca="1">EOMONTH(TimeLDN, -1) + 1</f>
        <v>46266</v>
      </c>
      <c r="B19" s="6">
        <f t="shared" ref="B19:B66" ca="1" si="53">YEAR($A19)</f>
        <v>2026</v>
      </c>
      <c r="C19" s="6" t="str">
        <f t="shared" ref="C19:C66" ca="1" si="54">"Q" &amp; INT((MONTH($A19) + 2) / 3)  &amp; TEXT($A19, "yy")</f>
        <v>Q326</v>
      </c>
      <c r="D19" s="28">
        <f>INDEX(ICE[], MATCH(D$18 &amp; "Bal Month", ICE[LongCode], 0), MATCH("Settle", ICE[#Headers], 0))</f>
        <v>2.4500000000000002</v>
      </c>
      <c r="E19" s="28">
        <f>INDEX(ICE[], MATCH(E$18 &amp; "Bal Month", ICE[LongCode], 0), MATCH("Settle", ICE[#Headers], 0))</f>
        <v>-4.7</v>
      </c>
      <c r="F19" s="95">
        <f ca="1">INDEX(ICE[], MATCH(F$18 &amp; TEXT(Crd!$A19, "mmmyy"), ICE[LongCode], 0), MATCH("Settle", ICE[#Headers], 0))</f>
        <v>1.36</v>
      </c>
      <c r="G19" s="95">
        <f ca="1">INDEX(ICE[], MATCH(G$18 &amp; TEXT(Crd!$A19, "mmmyy"), ICE[LongCode], 0), MATCH("Settle", ICE[#Headers], 0))</f>
        <v>1.8160000000000001</v>
      </c>
      <c r="H19" s="95">
        <f>INDEX(ICE[], MATCH(H$18 &amp; "Bal Month Trade Month", ICE[LongCode], 0), MATCH("Settle", ICE[#Headers], 0))</f>
        <v>-7.8</v>
      </c>
      <c r="I19" s="396" t="str">
        <f>IFERROR(INDEX(ICE[], MATCH("dfl" &amp; "Bal Month", ICE[LongCode], 0), MATCH("ICE Theoretical Price", ICE[#Headers], 0)), "")</f>
        <v/>
      </c>
      <c r="J19" s="363" t="str">
        <f>IFERROR(INDEX(ICE[], MATCH("dfl" &amp; "Bal Month", ICE[LongCode], 0), MATCH("Text", ICE[#Headers], 0)), "")</f>
        <v>3.25 /  {3.20} |1,080x</v>
      </c>
      <c r="K19" s="115" t="str">
        <f t="shared" ref="K19:K66" si="55">IFERROR(IF(AND(ISNUMBER($I19), ISNUMBER($D19)), $I19 - $D19, ""), "")</f>
        <v/>
      </c>
      <c r="L19" s="185"/>
      <c r="M19" s="115"/>
      <c r="N19" s="186" t="str">
        <f ca="1">IFERROR(IF(AND(ISNUMBER(Futs!$CC19), ISNUMBER($I19)), Futs!$CC19 + $I19, ""), "")</f>
        <v/>
      </c>
      <c r="O19" s="115" t="str">
        <f ca="1">IFERROR(IF(AND(ISNUMBER(Futs!$CD19), ISNUMBER($K19)), Futs!$CD19 + $K19, ""), "")</f>
        <v/>
      </c>
      <c r="P19" s="185"/>
      <c r="Q19" s="363"/>
      <c r="R19" s="173"/>
      <c r="S19" s="400" t="str">
        <f>IFERROR(INDEX(ICE[], MATCH("brdub" &amp; "Bal Month", ICE[LongCode], 0), MATCH("ICE Theoretical Price", ICE[#Headers], 0)), "")</f>
        <v/>
      </c>
      <c r="T19" s="363" t="str">
        <f>IFERROR(INDEX(ICE[], MATCH("brdub" &amp; "Bal Month", ICE[LongCode], 0), MATCH("Text", ICE[#Headers], 0)), "")</f>
        <v xml:space="preserve"> /  </v>
      </c>
      <c r="U19" s="46" t="str">
        <f t="shared" ref="U19:U66" si="56">IFERROR(IF(AND(ISNUMBER($S19), ISNUMBER($E19)), $S19 - $E19, ""), "")</f>
        <v/>
      </c>
      <c r="W19" s="46"/>
      <c r="X19" s="187" t="str">
        <f ca="1">IFERROR(IF(AND(ISNUMBER(Futs!$CC19), ISNUMBER($S19)), Futs!$CC19 - $S19, ""), "")</f>
        <v/>
      </c>
      <c r="Y19" s="46" t="str">
        <f ca="1">IFERROR(IF(AND(ISNUMBER(Futs!$CD19), ISNUMBER($U19)), Futs!$CD19 - $U19, ""), "")</f>
        <v/>
      </c>
      <c r="AA19" s="363"/>
      <c r="AB19" s="46"/>
      <c r="AC19" s="271" t="str">
        <f t="shared" ref="AC19:AC46" si="57">IFERROR(IF(AND(ISNUMBER($I19), ISNUMBER($S19)), $S19 + $I19, ""), "")</f>
        <v/>
      </c>
      <c r="AD19" s="46" t="str">
        <f t="shared" ref="AD19:AD66" si="58">IFERROR(IF(AND(ISNUMBER($K19), ISNUMBER($U19)), $U19 + $K19, ""), "")</f>
        <v/>
      </c>
      <c r="AF19" s="111"/>
      <c r="AG19" s="396" t="str">
        <f ca="1">IFERROR(INDEX(ICE[], MATCH("icemidticma" &amp; TEXT(Crd!$A19, "mmmyy"), ICE[LongCode], 0), MATCH("ICE Theoretical Price", ICE[#Headers], 0)), "")</f>
        <v/>
      </c>
      <c r="AH19" s="363" t="str">
        <f ca="1">IFERROR(INDEX(ICE[], MATCH("icemidticma" &amp; TEXT(Crd!$A19, "mmmyy"), ICE[LongCode], 0), MATCH("Text", ICE[#Headers], 0)), "")</f>
        <v xml:space="preserve"> /  </v>
      </c>
      <c r="AI19" s="115" t="str">
        <f t="shared" ref="AI19:AI66" ca="1" si="59">IFERROR(IF(AND(ISNUMBER($AG19), ISNUMBER($F19)), $AG19 - $F19, ""), "")</f>
        <v/>
      </c>
      <c r="AJ19" s="185"/>
      <c r="AK19" s="115"/>
      <c r="AL19" s="186" t="str">
        <f ca="1">IFERROR(IF(AND(ISNUMBER(Futs!$BY19), ISNUMBER($AG19)), Futs!$BY19 + $AG19, ""), "")</f>
        <v/>
      </c>
      <c r="AM19" s="115" t="str">
        <f ca="1">IFERROR(IF(AND(ISNUMBER(Futs!$BZ19), ISNUMBER($AI19)), Futs!$BZ19 + $AI19, ""), "")</f>
        <v/>
      </c>
      <c r="AN19" s="185"/>
      <c r="AO19" s="173"/>
      <c r="AP19" s="396" t="str">
        <f ca="1">IFERROR(INDEX(ICE[], MATCH("icemehticma" &amp; TEXT(Crd!$A19, "mmmyy"), ICE[LongCode], 0), MATCH("ICE Theoretical Price", ICE[#Headers], 0)), "")</f>
        <v/>
      </c>
      <c r="AQ19" s="363" t="str">
        <f ca="1">IFERROR(INDEX(ICE[], MATCH("icemehticma" &amp; TEXT(Crd!$A19, "mmmyy"), ICE[LongCode], 0), MATCH("Text", ICE[#Headers], 0)), "")</f>
        <v xml:space="preserve"> /  </v>
      </c>
      <c r="AR19" s="115" t="str">
        <f t="shared" ref="AR19:AR66" ca="1" si="60">IFERROR(IF(AND(ISNUMBER($BA19), ISNUMBER($G19)), $BA19 - $G19, ""), "")</f>
        <v/>
      </c>
      <c r="AS19" s="185"/>
      <c r="AT19" s="115"/>
      <c r="AU19" s="186" t="str">
        <f ca="1">IFERROR(IF(AND(ISNUMBER($BH19), ISNUMBER(Futs!$CC19)), $BH19 - Futs!$CC19, ""), "")</f>
        <v/>
      </c>
      <c r="AV19" s="115" t="str">
        <f ca="1">IFERROR(IF(AND(ISNUMBER($BI19), ISNUMBER(Futs!$CD19)), $BI19 - Futs!$CD19, ""), "")</f>
        <v/>
      </c>
      <c r="AW19" s="186" t="str">
        <f ca="1">IFERROR(IF(AND(ISNUMBER(Futs!$BY19), ISNUMBER($BA19)), Futs!$BY19 + $BA19, ""), "")</f>
        <v/>
      </c>
      <c r="AX19" s="115" t="str">
        <f ca="1">IFERROR(IF(AND(ISNUMBER(Futs!$BZ19), ISNUMBER($BC19)), Futs!$BZ19 + $BC19, ""), "")</f>
        <v/>
      </c>
      <c r="AY19" s="185"/>
      <c r="AZ19" s="115"/>
      <c r="BA19" s="593" t="str">
        <f ca="1">IFERROR(INDEX(ICE[], MATCH("icemehticma" &amp; TEXT(Crd!$A19, "mmmyy"), ICE[LongCode], 0), MATCH("ICE Theoretical Price", ICE[#Headers], 0)), "")</f>
        <v/>
      </c>
      <c r="BB19" s="363" t="str">
        <f ca="1">IFERROR(INDEX(ICE[], MATCH("icemehticma" &amp; TEXT(Crd!$A19, "mmmyy"), ICE[LongCode], 0), MATCH("Text", ICE[#Headers], 0)), "")</f>
        <v xml:space="preserve"> /  </v>
      </c>
      <c r="BC19" s="115" t="str">
        <f t="shared" ref="BC19:BC66" ca="1" si="61">IFERROR(IF(AND(ISNUMBER($BA19), ISNUMBER($G19)), $BA19 - $G19, ""), "")</f>
        <v/>
      </c>
      <c r="BD19" s="185"/>
      <c r="BE19" s="115"/>
      <c r="BF19" s="186" t="str">
        <f ca="1">IFERROR(IF(AND(ISNUMBER($BH19), ISNUMBER(Futs!$CC19)), $BH19 - Futs!$CC19, ""), "")</f>
        <v/>
      </c>
      <c r="BG19" s="115" t="str">
        <f ca="1">IFERROR(IF(AND(ISNUMBER($BI19), ISNUMBER(Futs!$CD19)), $BI19 - Futs!$CD19, ""), "")</f>
        <v/>
      </c>
      <c r="BH19" s="186" t="str">
        <f ca="1">IFERROR(IF(AND(ISNUMBER(Futs!$BY19), ISNUMBER($BA19)), Futs!$BY19 + $BA19, ""), "")</f>
        <v/>
      </c>
      <c r="BI19" s="115" t="str">
        <f ca="1">IFERROR(IF(AND(ISNUMBER(Futs!$BZ19), ISNUMBER($BC19)), Futs!$BZ19 + $BC19, ""), "")</f>
        <v/>
      </c>
      <c r="BJ19" s="185"/>
      <c r="BK19" s="173"/>
      <c r="BL19" s="588">
        <f>$H$19</f>
        <v>-7.8</v>
      </c>
      <c r="BM19" s="363" t="str">
        <f>IFERROR(INDEX(ICE[], MATCH("icewcstitma" &amp; "Bal Month Trade Month", ICE[LongCode], 0), MATCH("Text", ICE[#Headers], 0)), "")</f>
        <v xml:space="preserve"> /  </v>
      </c>
      <c r="BN19" s="115">
        <f t="shared" ref="BN19:BN66" si="62">IFERROR(IF(AND(ISNUMBER($BL19), ISNUMBER($H19)), $BL19 - $H19, ""), "")</f>
        <v>0</v>
      </c>
      <c r="BO19" s="185"/>
      <c r="BP19" s="115"/>
      <c r="BQ19" s="186">
        <f ca="1">IFERROR(IF(AND(ISNUMBER($BS19), ISNUMBER(Futs!$CC19)), $BS19 - Futs!$CC19, ""), "")</f>
        <v>-12.993095238095236</v>
      </c>
      <c r="BR19" s="115">
        <f ca="1">IFERROR(IF(AND(ISNUMBER($BT19), ISNUMBER(Futs!$CD19)), $BT19 - Futs!$CD19, ""), "")</f>
        <v>-0.20404761904761617</v>
      </c>
      <c r="BS19" s="186">
        <f ca="1">IFERROR(IF(AND(ISNUMBER(Futs!$BY19), ISNUMBER($BL19)), Futs!$BY19 + $BL19, ""), "")</f>
        <v>81.94142857142856</v>
      </c>
      <c r="BT19" s="115">
        <f ca="1">IFERROR(IF(AND(ISNUMBER(Futs!$BZ19), ISNUMBER($BN19)), Futs!$BZ19 + $BN19, ""), "")</f>
        <v>0.22714285714284951</v>
      </c>
      <c r="BU19" s="185"/>
      <c r="BV19" s="173"/>
      <c r="BX19" s="92"/>
    </row>
    <row r="20" spans="1:77" x14ac:dyDescent="0.25">
      <c r="A20" s="58">
        <f t="shared" ref="A20:A66" ca="1" si="63">EOMONTH($A19, 0) + 1</f>
        <v>46296</v>
      </c>
      <c r="B20" s="6">
        <f t="shared" ca="1" si="53"/>
        <v>2026</v>
      </c>
      <c r="C20" s="6" t="str">
        <f t="shared" ca="1" si="54"/>
        <v>Q426</v>
      </c>
      <c r="D20" s="28">
        <f ca="1">INDEX(ICE[], MATCH(D$18 &amp; TEXT(Crd!$A20, "mmmyy"), ICE[LongCode], 0), MATCH("Settle", ICE[#Headers], 0))</f>
        <v>3.22</v>
      </c>
      <c r="E20" s="28">
        <f ca="1">INDEX(ICE[], MATCH(E$18 &amp; TEXT(Crd!$A20, "mmmyy"), ICE[LongCode], 0), MATCH("Settle", ICE[#Headers], 0))</f>
        <v>1.72</v>
      </c>
      <c r="F20" s="28">
        <f ca="1">INDEX(ICE[], MATCH(F$18 &amp; TEXT(Crd!$A20, "mmmyy"), ICE[LongCode], 0), MATCH("Settle", ICE[#Headers], 0))</f>
        <v>0.96900000000000008</v>
      </c>
      <c r="G20" s="28">
        <f ca="1">INDEX(ICE[], MATCH(G$18 &amp; TEXT(Crd!$A20, "mmmyy"), ICE[LongCode], 0), MATCH("Settle", ICE[#Headers], 0))</f>
        <v>1.496</v>
      </c>
      <c r="H20" s="28">
        <f ca="1">INDEX(ICE[], MATCH(H$18 &amp; TEXT(Crd!$A20, "mmmyy"), ICE[LongCode], 0), MATCH("Settle", ICE[#Headers], 0))</f>
        <v>-7.8520000000000003</v>
      </c>
      <c r="I20" s="397" t="str">
        <f ca="1">IFERROR(INDEX(ICE[], MATCH("dfl" &amp; TEXT(Crd!$A20, "mmmyy"), ICE[LongCode], 0), MATCH("ICE Theoretical Price", ICE[#Headers], 0)), "")</f>
        <v/>
      </c>
      <c r="J20" s="364" t="str">
        <f ca="1">IFERROR(INDEX(ICE[], MATCH("dfl" &amp; TEXT(Crd!$A20, "mmmyy"), ICE[LongCode], 0), MATCH("Text", ICE[#Headers], 0)), "")</f>
        <v>3.79 / 3.89 {3.88} |2,852x</v>
      </c>
      <c r="K20" s="46" t="str">
        <f t="shared" ca="1" si="55"/>
        <v/>
      </c>
      <c r="L20" s="47" t="str">
        <f t="shared" ref="L20:L47" ca="1" si="64">IF(AND(ISNUMBER($I19), ISNUMBER($I20)), $I19 - $I20, "")</f>
        <v/>
      </c>
      <c r="M20" s="46" t="str">
        <f t="shared" ref="M20:M66" ca="1" si="65">IF(AND(ISNUMBER($K19), ISNUMBER($K20)), $K19 - $K20, "")</f>
        <v/>
      </c>
      <c r="N20" s="141" t="str">
        <f ca="1">IFERROR(IF(AND(ISNUMBER(Futs!$CC20), ISNUMBER($I20)), Futs!$CC20 + $I20, ""), "")</f>
        <v/>
      </c>
      <c r="O20" s="46" t="str">
        <f ca="1">IFERROR(IF(AND(ISNUMBER(Futs!$CD20), ISNUMBER($K20)), Futs!$CD20 + $K20, ""), "")</f>
        <v/>
      </c>
      <c r="P20" s="47" t="str">
        <f t="shared" ref="P20:P66" ca="1" si="66">IF(AND(ISNUMBER($N19), ISNUMBER($N20)), $N19 - $N20, "")</f>
        <v/>
      </c>
      <c r="Q20" s="364" t="str">
        <f ca="1">IFERROR(INDEX(ICE[], MATCH("dtd" &amp; "Bal Month" &amp; "/" &amp; TEXT(Crd!$A20, "mmmyy"), ICE[LongCode], 0), MATCH("Text", ICE[#Headers], 0)), "")</f>
        <v/>
      </c>
      <c r="R20" s="111" t="str">
        <f t="shared" ref="R20:R66" ca="1" si="67">IF(AND(ISNUMBER($O19), ISNUMBER($O20)), $O19 - $O20, "")</f>
        <v/>
      </c>
      <c r="S20" s="400" t="str">
        <f ca="1">IFERROR(INDEX(ICE[], MATCH("brdub" &amp; TEXT(Crd!$A20, "mmmyy"), ICE[LongCode], 0), MATCH("ICE Theoretical Price", ICE[#Headers], 0)), "")</f>
        <v/>
      </c>
      <c r="T20" s="364" t="str">
        <f ca="1">IFERROR(INDEX(ICE[], MATCH("brdub" &amp; TEXT(Crd!$A20, "mmmyy"), ICE[LongCode], 0), MATCH("Text", ICE[#Headers], 0)), "")</f>
        <v>1.96 / 2.00 {1.97} |9,260x</v>
      </c>
      <c r="U20" s="46" t="str">
        <f t="shared" ca="1" si="56"/>
        <v/>
      </c>
      <c r="V20" s="68" t="str">
        <f t="shared" ref="V20:V47" ca="1" si="68">IF(AND(ISNUMBER($S19), ISNUMBER($S20)), $S19 - $S20, "")</f>
        <v/>
      </c>
      <c r="W20" s="46" t="str">
        <f t="shared" ref="W20:W66" ca="1" si="69">IF(AND(ISNUMBER($U19), ISNUMBER($U20)), $U19 - $U20, "")</f>
        <v/>
      </c>
      <c r="X20" s="187" t="str">
        <f ca="1">IFERROR(IF(AND(ISNUMBER(Futs!$CC20), ISNUMBER($S20)), Futs!$CC20 - $S20, ""), "")</f>
        <v/>
      </c>
      <c r="Y20" s="46" t="str">
        <f ca="1">IFERROR(IF(AND(ISNUMBER(Futs!$CD20), ISNUMBER($U20)), Futs!$CD20 - $U20, ""), "")</f>
        <v/>
      </c>
      <c r="Z20" s="68" t="str">
        <f t="shared" ref="Z20:Z66" ca="1" si="70">IF(AND(ISNUMBER($X19), ISNUMBER($X20)), $X19 - $X20, "")</f>
        <v/>
      </c>
      <c r="AA20" s="364" t="str">
        <f ca="1">IFERROR(INDEX(ICE[], MATCH("dub" &amp; "Bal Month" &amp; "/" &amp; TEXT(Crd!$A20, "mmmyy"), ICE[LongCode], 0), MATCH("Text", ICE[#Headers], 0)), "")</f>
        <v>10.00 / 11.98 {9.95} |2,258x</v>
      </c>
      <c r="AB20" s="46" t="str">
        <f t="shared" ref="AB20:AB66" ca="1" si="71">IF(AND(ISNUMBER($Y19), ISNUMBER($Y20)), $Y19 - $Y20, "")</f>
        <v/>
      </c>
      <c r="AC20" s="271" t="str">
        <f t="shared" ca="1" si="57"/>
        <v/>
      </c>
      <c r="AD20" s="46" t="str">
        <f t="shared" ca="1" si="58"/>
        <v/>
      </c>
      <c r="AE20" s="68" t="str">
        <f t="shared" ref="AE20:AE47" ca="1" si="72">IF(AND(ISNUMBER($AC19), ISNUMBER($AC20)), $AC19 - $AC20, "")</f>
        <v/>
      </c>
      <c r="AF20" s="111" t="str">
        <f t="shared" ref="AF20:AF66" ca="1" si="73">IF(AND(ISNUMBER($AD19), ISNUMBER($AD20)), $AD19 - $AD20, "")</f>
        <v/>
      </c>
      <c r="AG20" s="397" t="str">
        <f ca="1">IFERROR(INDEX(ICE[], MATCH("icemidticma" &amp; TEXT(Crd!$A20, "mmmyy"), ICE[LongCode], 0), MATCH("ICE Theoretical Price", ICE[#Headers], 0)), "")</f>
        <v/>
      </c>
      <c r="AH20" s="364" t="str">
        <f ca="1">IFERROR(INDEX(ICE[], MATCH("icemidticma" &amp; TEXT(Crd!$A20, "mmmyy"), ICE[LongCode], 0), MATCH("Text", ICE[#Headers], 0)), "")</f>
        <v xml:space="preserve"> /  </v>
      </c>
      <c r="AI20" s="46" t="str">
        <f t="shared" ca="1" si="59"/>
        <v/>
      </c>
      <c r="AJ20" s="47" t="str">
        <f t="shared" ref="AJ20:AJ47" ca="1" si="74">IF(AND(ISNUMBER($AG19), ISNUMBER($AG20)), $AG19 - $AG20, "")</f>
        <v/>
      </c>
      <c r="AK20" s="46" t="str">
        <f t="shared" ref="AK20:AK66" ca="1" si="75">IF(AND(ISNUMBER($AI19), ISNUMBER($AI20)), $AI19 - $AI20, "")</f>
        <v/>
      </c>
      <c r="AL20" s="141" t="str">
        <f ca="1">IFERROR(IF(AND(ISNUMBER(Futs!$BY20), ISNUMBER($AG20)), Futs!$BY20 + $AG20, ""), "")</f>
        <v/>
      </c>
      <c r="AM20" s="46" t="str">
        <f ca="1">IFERROR(IF(AND(ISNUMBER(Futs!$BZ20), ISNUMBER($AI20)), Futs!$BZ20 + $AI20, ""), "")</f>
        <v/>
      </c>
      <c r="AN20" s="47" t="str">
        <f t="shared" ref="AN20:AN66" ca="1" si="76">IF(AND(ISNUMBER($AL19), ISNUMBER($AL20)), $AL19 - $AL20, "")</f>
        <v/>
      </c>
      <c r="AO20" s="111" t="str">
        <f t="shared" ref="AO20:AO66" ca="1" si="77">IF(AND(ISNUMBER($AM19), ISNUMBER($AM20)), $AM19 - $AM20, "")</f>
        <v/>
      </c>
      <c r="AP20" s="397" t="str">
        <f ca="1">IFERROR(INDEX(ICE[], MATCH("icemehticma" &amp; TEXT(Crd!$A20, "mmmyy"), ICE[LongCode], 0), MATCH("ICE Theoretical Price", ICE[#Headers], 0)), "")</f>
        <v/>
      </c>
      <c r="AQ20" s="364" t="str">
        <f ca="1">IFERROR(INDEX(ICE[], MATCH("icemehticma" &amp; TEXT(Crd!$A20, "mmmyy"), ICE[LongCode], 0), MATCH("Text", ICE[#Headers], 0)), "")</f>
        <v xml:space="preserve"> /  </v>
      </c>
      <c r="AR20" s="46" t="str">
        <f t="shared" ca="1" si="60"/>
        <v/>
      </c>
      <c r="AS20" s="47" t="str">
        <f t="shared" ref="AS20:AS47" ca="1" si="78">IF(AND(ISNUMBER($BA19), ISNUMBER($BA20)), $BA19 - $BA20, "")</f>
        <v/>
      </c>
      <c r="AT20" s="46" t="str">
        <f t="shared" ref="AT20:AT66" ca="1" si="79">IF(AND(ISNUMBER($BC19), ISNUMBER($BC20)), $BC19 - $BC20, "")</f>
        <v/>
      </c>
      <c r="AU20" s="141" t="str">
        <f ca="1">IFERROR(IF(AND(ISNUMBER($BH20), ISNUMBER(Futs!$CC20)), $BH20 - Futs!$CC20, ""), "")</f>
        <v/>
      </c>
      <c r="AV20" s="46" t="str">
        <f ca="1">IFERROR(IF(AND(ISNUMBER($BI20), ISNUMBER(Futs!$CD20)), $BI20 - Futs!$CD20, ""), "")</f>
        <v/>
      </c>
      <c r="AW20" s="141" t="str">
        <f ca="1">IFERROR(IF(AND(ISNUMBER(Futs!$BY20), ISNUMBER($BA20)), Futs!$BY20 + $BA20, ""), "")</f>
        <v/>
      </c>
      <c r="AX20" s="46" t="str">
        <f ca="1">IFERROR(IF(AND(ISNUMBER(Futs!$BZ20), ISNUMBER($BC20)), Futs!$BZ20 + $BC20, ""), "")</f>
        <v/>
      </c>
      <c r="AY20" s="47" t="str">
        <f t="shared" ref="AY20:AY66" ca="1" si="80">IF(AND(ISNUMBER($BH19), ISNUMBER($BH20)), $BH19 - $BH20, "")</f>
        <v/>
      </c>
      <c r="AZ20" s="46" t="str">
        <f t="shared" ref="AZ20:AZ66" ca="1" si="81">IF(AND(ISNUMBER($BI19), ISNUMBER($BI20)), $BI19 - $BI20, "")</f>
        <v/>
      </c>
      <c r="BA20" s="594" t="str">
        <f ca="1">IFERROR(INDEX(ICE[], MATCH("icemehticma" &amp; TEXT(Crd!$A20, "mmmyy"), ICE[LongCode], 0), MATCH("ICE Theoretical Price", ICE[#Headers], 0)), "")</f>
        <v/>
      </c>
      <c r="BB20" s="364" t="str">
        <f ca="1">IFERROR(INDEX(ICE[], MATCH("icemehticma" &amp; TEXT(Crd!$A20, "mmmyy"), ICE[LongCode], 0), MATCH("Text", ICE[#Headers], 0)), "")</f>
        <v xml:space="preserve"> /  </v>
      </c>
      <c r="BC20" s="46" t="str">
        <f t="shared" ca="1" si="61"/>
        <v/>
      </c>
      <c r="BD20" s="47" t="str">
        <f t="shared" ref="BD20:BD47" ca="1" si="82">IF(AND(ISNUMBER($BA19), ISNUMBER($BA20)), $BA19 - $BA20, "")</f>
        <v/>
      </c>
      <c r="BE20" s="46" t="str">
        <f t="shared" ref="BE20:BE66" ca="1" si="83">IF(AND(ISNUMBER($BC19), ISNUMBER($BC20)), $BC19 - $BC20, "")</f>
        <v/>
      </c>
      <c r="BF20" s="141" t="str">
        <f ca="1">IFERROR(IF(AND(ISNUMBER($BH20), ISNUMBER(Futs!$CC20)), $BH20 - Futs!$CC20, ""), "")</f>
        <v/>
      </c>
      <c r="BG20" s="46" t="str">
        <f ca="1">IFERROR(IF(AND(ISNUMBER($BI20), ISNUMBER(Futs!$CD20)), $BI20 - Futs!$CD20, ""), "")</f>
        <v/>
      </c>
      <c r="BH20" s="141" t="str">
        <f ca="1">IFERROR(IF(AND(ISNUMBER(Futs!$BY20), ISNUMBER($BA20)), Futs!$BY20 + $BA20, ""), "")</f>
        <v/>
      </c>
      <c r="BI20" s="46" t="str">
        <f ca="1">IFERROR(IF(AND(ISNUMBER(Futs!$BZ20), ISNUMBER($BC20)), Futs!$BZ20 + $BC20, ""), "")</f>
        <v/>
      </c>
      <c r="BJ20" s="47" t="str">
        <f t="shared" ref="BJ20:BJ66" ca="1" si="84">IF(AND(ISNUMBER($BH19), ISNUMBER($BH20)), $BH19 - $BH20, "")</f>
        <v/>
      </c>
      <c r="BK20" s="111" t="str">
        <f t="shared" ref="BK20:BK66" ca="1" si="85">IF(AND(ISNUMBER($BI19), ISNUMBER($BI20)), $BI19 - $BI20, "")</f>
        <v/>
      </c>
      <c r="BL20" s="397" t="str">
        <f ca="1">IFERROR(INDEX(ICE[], MATCH("icewcstitma" &amp; TEXT(Crd!$A20, "mmmyy"), ICE[LongCode], 0), MATCH("ICE Theoretical Price", ICE[#Headers], 0)), "")</f>
        <v/>
      </c>
      <c r="BM20" s="364" t="str">
        <f ca="1">IFERROR(INDEX(ICE[], MATCH("icewcstitma" &amp; TEXT(Crd!$A20, "mmmyy"), ICE[LongCode], 0), MATCH("Text", ICE[#Headers], 0)), "")</f>
        <v xml:space="preserve"> /  </v>
      </c>
      <c r="BN20" s="46" t="str">
        <f t="shared" ca="1" si="62"/>
        <v/>
      </c>
      <c r="BO20" s="47" t="str">
        <f t="shared" ref="BO20:BO47" ca="1" si="86">IF(AND(ISNUMBER($BL19), ISNUMBER($BL20)), $BL19 - $BL20, "")</f>
        <v/>
      </c>
      <c r="BP20" s="46" t="str">
        <f t="shared" ref="BP20:BP66" ca="1" si="87">IF(AND(ISNUMBER($BN19), ISNUMBER($BN20)), $BN19 - $BN20, "")</f>
        <v/>
      </c>
      <c r="BQ20" s="141" t="str">
        <f ca="1">IFERROR(IF(AND(ISNUMBER($BS20), ISNUMBER(Futs!$CC20)), $BS20 - Futs!$CC20, ""), "")</f>
        <v/>
      </c>
      <c r="BR20" s="46" t="str">
        <f ca="1">IFERROR(IF(AND(ISNUMBER($BT20), ISNUMBER(Futs!$CD20)), $BT20 - Futs!$CD20, ""), "")</f>
        <v/>
      </c>
      <c r="BS20" s="141" t="str">
        <f ca="1">IFERROR(IF(AND(ISNUMBER(Futs!$BY20), ISNUMBER($BL20)), Futs!$BY20 + $BL20, ""), "")</f>
        <v/>
      </c>
      <c r="BT20" s="46" t="str">
        <f ca="1">IFERROR(IF(AND(ISNUMBER(Futs!$BZ20), ISNUMBER($BN20)), Futs!$BZ20 + $BN20, ""), "")</f>
        <v/>
      </c>
      <c r="BU20" s="47" t="str">
        <f t="shared" ref="BU20:BU66" ca="1" si="88">IF(AND(ISNUMBER($BS19), ISNUMBER($BS20)), $BS19 - $BS20, "")</f>
        <v/>
      </c>
      <c r="BV20" s="111" t="str">
        <f t="shared" ref="BV20:BV66" ca="1" si="89">IF(AND(ISNUMBER($BT19), ISNUMBER($BT20)), $BT19 - $BT20, "")</f>
        <v/>
      </c>
      <c r="BX20" s="92"/>
    </row>
    <row r="21" spans="1:77" x14ac:dyDescent="0.25">
      <c r="A21" s="58">
        <f t="shared" ca="1" si="63"/>
        <v>46327</v>
      </c>
      <c r="B21" s="6">
        <f t="shared" ca="1" si="53"/>
        <v>2026</v>
      </c>
      <c r="C21" s="6" t="str">
        <f t="shared" ca="1" si="54"/>
        <v>Q426</v>
      </c>
      <c r="D21" s="28">
        <f ca="1">INDEX(ICE[], MATCH(D$18 &amp; TEXT(Crd!$A21, "mmmyy"), ICE[LongCode], 0), MATCH("Settle", ICE[#Headers], 0))</f>
        <v>3</v>
      </c>
      <c r="E21" s="28">
        <f ca="1">INDEX(ICE[], MATCH(E$18 &amp; TEXT(Crd!$A21, "mmmyy"), ICE[LongCode], 0), MATCH("Settle", ICE[#Headers], 0))</f>
        <v>3.2010000000000001</v>
      </c>
      <c r="F21" s="28">
        <f ca="1">INDEX(ICE[], MATCH(F$18 &amp; TEXT(Crd!$A21, "mmmyy"), ICE[LongCode], 0), MATCH("Settle", ICE[#Headers], 0))</f>
        <v>1.02</v>
      </c>
      <c r="G21" s="28">
        <f ca="1">INDEX(ICE[], MATCH(G$18 &amp; TEXT(Crd!$A21, "mmmyy"), ICE[LongCode], 0), MATCH("Settle", ICE[#Headers], 0))</f>
        <v>1.5720000000000001</v>
      </c>
      <c r="H21" s="28">
        <f ca="1">INDEX(ICE[], MATCH(H$18 &amp; TEXT(Crd!$A21, "mmmyy"), ICE[LongCode], 0), MATCH("Settle", ICE[#Headers], 0))</f>
        <v>-7.6000000000000005</v>
      </c>
      <c r="I21" s="397" t="str">
        <f ca="1">IFERROR(INDEX(ICE[], MATCH("dfl" &amp; TEXT(Crd!$A21, "mmmyy"), ICE[LongCode], 0), MATCH("ICE Theoretical Price", ICE[#Headers], 0)), "")</f>
        <v/>
      </c>
      <c r="J21" s="364" t="str">
        <f ca="1">IFERROR(INDEX(ICE[], MATCH("dfl" &amp; TEXT(Crd!$A21, "mmmyy"), ICE[LongCode], 0), MATCH("Text", ICE[#Headers], 0)), "")</f>
        <v>3.28 / 3.36 {3.32} |1,829x</v>
      </c>
      <c r="K21" s="46" t="str">
        <f t="shared" ca="1" si="55"/>
        <v/>
      </c>
      <c r="L21" s="47" t="str">
        <f t="shared" ca="1" si="64"/>
        <v/>
      </c>
      <c r="M21" s="46" t="str">
        <f t="shared" ca="1" si="65"/>
        <v/>
      </c>
      <c r="N21" s="141" t="str">
        <f ca="1">IFERROR(IF(AND(ISNUMBER(Futs!$CC21), ISNUMBER($I21)), Futs!$CC21 + $I21, ""), "")</f>
        <v/>
      </c>
      <c r="O21" s="46" t="str">
        <f ca="1">IFERROR(IF(AND(ISNUMBER(Futs!$CD21), ISNUMBER($K21)), Futs!$CD21 + $K21, ""), "")</f>
        <v/>
      </c>
      <c r="P21" s="47" t="str">
        <f t="shared" ca="1" si="66"/>
        <v/>
      </c>
      <c r="Q21" s="364" t="str">
        <f ca="1">IFERROR(INDEX(ICE[], MATCH("dtd" &amp; TEXT(Crd!$A20, "mmmyy") &amp; "/" &amp; TEXT(Crd!$A21, "mmmyy"), ICE[LongCode], 0), MATCH("Text", ICE[#Headers], 0)), "")</f>
        <v>3.45 / 3.68 {3.43} |152x</v>
      </c>
      <c r="R21" s="111" t="str">
        <f t="shared" ca="1" si="67"/>
        <v/>
      </c>
      <c r="S21" s="400" t="str">
        <f ca="1">IFERROR(INDEX(ICE[], MATCH("brdub" &amp; TEXT(Crd!$A21, "mmmyy"), ICE[LongCode], 0), MATCH("ICE Theoretical Price", ICE[#Headers], 0)), "")</f>
        <v/>
      </c>
      <c r="T21" s="364" t="str">
        <f ca="1">IFERROR(INDEX(ICE[], MATCH("brdub" &amp; TEXT(Crd!$A21, "mmmyy"), ICE[LongCode], 0), MATCH("Text", ICE[#Headers], 0)), "")</f>
        <v>3.63 / 3.67 {3.64} |5,554x</v>
      </c>
      <c r="U21" s="46" t="str">
        <f t="shared" ca="1" si="56"/>
        <v/>
      </c>
      <c r="V21" s="68" t="str">
        <f t="shared" ca="1" si="68"/>
        <v/>
      </c>
      <c r="W21" s="46" t="str">
        <f t="shared" ca="1" si="69"/>
        <v/>
      </c>
      <c r="X21" s="187" t="str">
        <f ca="1">IFERROR(IF(AND(ISNUMBER(Futs!$CC21), ISNUMBER($S21)), Futs!$CC21 - $S21, ""), "")</f>
        <v/>
      </c>
      <c r="Y21" s="46" t="str">
        <f ca="1">IFERROR(IF(AND(ISNUMBER(Futs!$CD21), ISNUMBER($U21)), Futs!$CD21 - $U21, ""), "")</f>
        <v/>
      </c>
      <c r="Z21" s="68" t="str">
        <f t="shared" ca="1" si="70"/>
        <v/>
      </c>
      <c r="AA21" s="364" t="str">
        <f ca="1">IFERROR(INDEX(ICE[], MATCH("dub" &amp; TEXT(Crd!$A20, "mmmyy") &amp; "/" &amp; TEXT(Crd!$A21, "mmmyy"), ICE[LongCode], 0), MATCH("Text", ICE[#Headers], 0)), "")</f>
        <v>4.71 / 4.74 {4.73} |7,226x</v>
      </c>
      <c r="AB21" s="46" t="str">
        <f t="shared" ca="1" si="71"/>
        <v/>
      </c>
      <c r="AC21" s="271" t="str">
        <f t="shared" ca="1" si="57"/>
        <v/>
      </c>
      <c r="AD21" s="46" t="str">
        <f t="shared" ca="1" si="58"/>
        <v/>
      </c>
      <c r="AE21" s="68" t="str">
        <f t="shared" ca="1" si="72"/>
        <v/>
      </c>
      <c r="AF21" s="111" t="str">
        <f t="shared" ca="1" si="73"/>
        <v/>
      </c>
      <c r="AG21" s="397" t="str">
        <f ca="1">IFERROR(INDEX(ICE[], MATCH("icemidticma" &amp; TEXT(Crd!$A21, "mmmyy"), ICE[LongCode], 0), MATCH("ICE Theoretical Price", ICE[#Headers], 0)), "")</f>
        <v/>
      </c>
      <c r="AH21" s="364" t="str">
        <f ca="1">IFERROR(INDEX(ICE[], MATCH("icemidticma" &amp; TEXT(Crd!$A21, "mmmyy"), ICE[LongCode], 0), MATCH("Text", ICE[#Headers], 0)), "")</f>
        <v xml:space="preserve"> /  </v>
      </c>
      <c r="AI21" s="46" t="str">
        <f t="shared" ca="1" si="59"/>
        <v/>
      </c>
      <c r="AJ21" s="47" t="str">
        <f t="shared" ca="1" si="74"/>
        <v/>
      </c>
      <c r="AK21" s="46" t="str">
        <f t="shared" ca="1" si="75"/>
        <v/>
      </c>
      <c r="AL21" s="141" t="str">
        <f ca="1">IFERROR(IF(AND(ISNUMBER(Futs!$BY21), ISNUMBER($AG21)), Futs!$BY21 + $AG21, ""), "")</f>
        <v/>
      </c>
      <c r="AM21" s="46" t="str">
        <f ca="1">IFERROR(IF(AND(ISNUMBER(Futs!$BZ21), ISNUMBER($AI21)), Futs!$BZ21 + $AI21, ""), "")</f>
        <v/>
      </c>
      <c r="AN21" s="47" t="str">
        <f t="shared" ca="1" si="76"/>
        <v/>
      </c>
      <c r="AO21" s="111" t="str">
        <f t="shared" ca="1" si="77"/>
        <v/>
      </c>
      <c r="AP21" s="397" t="str">
        <f ca="1">IFERROR(INDEX(ICE[], MATCH("icemehticma" &amp; TEXT(Crd!$A21, "mmmyy"), ICE[LongCode], 0), MATCH("ICE Theoretical Price", ICE[#Headers], 0)), "")</f>
        <v/>
      </c>
      <c r="AQ21" s="364" t="str">
        <f ca="1">IFERROR(INDEX(ICE[], MATCH("icemehticma" &amp; TEXT(Crd!$A21, "mmmyy"), ICE[LongCode], 0), MATCH("Text", ICE[#Headers], 0)), "")</f>
        <v xml:space="preserve"> /  </v>
      </c>
      <c r="AR21" s="46" t="str">
        <f t="shared" ca="1" si="60"/>
        <v/>
      </c>
      <c r="AS21" s="47" t="str">
        <f t="shared" ca="1" si="78"/>
        <v/>
      </c>
      <c r="AT21" s="46" t="str">
        <f t="shared" ca="1" si="79"/>
        <v/>
      </c>
      <c r="AU21" s="141" t="str">
        <f ca="1">IFERROR(IF(AND(ISNUMBER($BH21), ISNUMBER(Futs!$CC21)), $BH21 - Futs!$CC21, ""), "")</f>
        <v/>
      </c>
      <c r="AV21" s="46" t="str">
        <f ca="1">IFERROR(IF(AND(ISNUMBER($BI21), ISNUMBER(Futs!$CD21)), $BI21 - Futs!$CD21, ""), "")</f>
        <v/>
      </c>
      <c r="AW21" s="141" t="str">
        <f ca="1">IFERROR(IF(AND(ISNUMBER(Futs!$BY21), ISNUMBER($BA21)), Futs!$BY21 + $BA21, ""), "")</f>
        <v/>
      </c>
      <c r="AX21" s="46" t="str">
        <f ca="1">IFERROR(IF(AND(ISNUMBER(Futs!$BZ21), ISNUMBER($BC21)), Futs!$BZ21 + $BC21, ""), "")</f>
        <v/>
      </c>
      <c r="AY21" s="47" t="str">
        <f t="shared" ca="1" si="80"/>
        <v/>
      </c>
      <c r="AZ21" s="46" t="str">
        <f t="shared" ca="1" si="81"/>
        <v/>
      </c>
      <c r="BA21" s="594" t="str">
        <f ca="1">IFERROR(INDEX(ICE[], MATCH("icemehticma" &amp; TEXT(Crd!$A21, "mmmyy"), ICE[LongCode], 0), MATCH("ICE Theoretical Price", ICE[#Headers], 0)), "")</f>
        <v/>
      </c>
      <c r="BB21" s="364" t="str">
        <f ca="1">IFERROR(INDEX(ICE[], MATCH("icemehticma" &amp; TEXT(Crd!$A21, "mmmyy"), ICE[LongCode], 0), MATCH("Text", ICE[#Headers], 0)), "")</f>
        <v xml:space="preserve"> /  </v>
      </c>
      <c r="BC21" s="46" t="str">
        <f t="shared" ca="1" si="61"/>
        <v/>
      </c>
      <c r="BD21" s="47" t="str">
        <f t="shared" ca="1" si="82"/>
        <v/>
      </c>
      <c r="BE21" s="46" t="str">
        <f t="shared" ca="1" si="83"/>
        <v/>
      </c>
      <c r="BF21" s="141" t="str">
        <f ca="1">IFERROR(IF(AND(ISNUMBER($BH21), ISNUMBER(Futs!$CC21)), $BH21 - Futs!$CC21, ""), "")</f>
        <v/>
      </c>
      <c r="BG21" s="46" t="str">
        <f ca="1">IFERROR(IF(AND(ISNUMBER($BI21), ISNUMBER(Futs!$CD21)), $BI21 - Futs!$CD21, ""), "")</f>
        <v/>
      </c>
      <c r="BH21" s="141" t="str">
        <f ca="1">IFERROR(IF(AND(ISNUMBER(Futs!$BY21), ISNUMBER($BA21)), Futs!$BY21 + $BA21, ""), "")</f>
        <v/>
      </c>
      <c r="BI21" s="46" t="str">
        <f ca="1">IFERROR(IF(AND(ISNUMBER(Futs!$BZ21), ISNUMBER($BC21)), Futs!$BZ21 + $BC21, ""), "")</f>
        <v/>
      </c>
      <c r="BJ21" s="47" t="str">
        <f t="shared" ca="1" si="84"/>
        <v/>
      </c>
      <c r="BK21" s="111" t="str">
        <f t="shared" ca="1" si="85"/>
        <v/>
      </c>
      <c r="BL21" s="397" t="str">
        <f ca="1">IFERROR(INDEX(ICE[], MATCH("icewcstitma" &amp; TEXT(Crd!$A21, "mmmyy"), ICE[LongCode], 0), MATCH("ICE Theoretical Price", ICE[#Headers], 0)), "")</f>
        <v/>
      </c>
      <c r="BM21" s="364" t="str">
        <f ca="1">IFERROR(INDEX(ICE[], MATCH("icewcstitma" &amp; TEXT(Crd!$A21, "mmmyy"), ICE[LongCode], 0), MATCH("Text", ICE[#Headers], 0)), "")</f>
        <v xml:space="preserve"> /  </v>
      </c>
      <c r="BN21" s="46" t="str">
        <f t="shared" ca="1" si="62"/>
        <v/>
      </c>
      <c r="BO21" s="47" t="str">
        <f t="shared" ca="1" si="86"/>
        <v/>
      </c>
      <c r="BP21" s="46" t="str">
        <f t="shared" ca="1" si="87"/>
        <v/>
      </c>
      <c r="BQ21" s="141" t="str">
        <f ca="1">IFERROR(IF(AND(ISNUMBER($BS21), ISNUMBER(Futs!$CC21)), $BS21 - Futs!$CC21, ""), "")</f>
        <v/>
      </c>
      <c r="BR21" s="46" t="str">
        <f ca="1">IFERROR(IF(AND(ISNUMBER($BT21), ISNUMBER(Futs!$CD21)), $BT21 - Futs!$CD21, ""), "")</f>
        <v/>
      </c>
      <c r="BS21" s="141" t="str">
        <f ca="1">IFERROR(IF(AND(ISNUMBER(Futs!$BY21), ISNUMBER($BL21)), Futs!$BY21 + $BL21, ""), "")</f>
        <v/>
      </c>
      <c r="BT21" s="46" t="str">
        <f ca="1">IFERROR(IF(AND(ISNUMBER(Futs!$BZ21), ISNUMBER($BN21)), Futs!$BZ21 + $BN21, ""), "")</f>
        <v/>
      </c>
      <c r="BU21" s="47" t="str">
        <f t="shared" ca="1" si="88"/>
        <v/>
      </c>
      <c r="BV21" s="111" t="str">
        <f t="shared" ca="1" si="89"/>
        <v/>
      </c>
      <c r="BX21" s="92"/>
    </row>
    <row r="22" spans="1:77" x14ac:dyDescent="0.25">
      <c r="A22" s="58">
        <f t="shared" ca="1" si="63"/>
        <v>46357</v>
      </c>
      <c r="B22" s="6">
        <f t="shared" ca="1" si="53"/>
        <v>2026</v>
      </c>
      <c r="C22" s="6" t="str">
        <f t="shared" ca="1" si="54"/>
        <v>Q426</v>
      </c>
      <c r="D22" s="28">
        <f ca="1">INDEX(ICE[], MATCH(D$18 &amp; TEXT(Crd!$A22, "mmmyy"), ICE[LongCode], 0), MATCH("Settle", ICE[#Headers], 0))</f>
        <v>2.64</v>
      </c>
      <c r="E22" s="28">
        <f ca="1">INDEX(ICE[], MATCH(E$18 &amp; TEXT(Crd!$A22, "mmmyy"), ICE[LongCode], 0), MATCH("Settle", ICE[#Headers], 0))</f>
        <v>3.5390000000000001</v>
      </c>
      <c r="F22" s="28">
        <f ca="1">INDEX(ICE[], MATCH(F$18 &amp; TEXT(Crd!$A22, "mmmyy"), ICE[LongCode], 0), MATCH("Settle", ICE[#Headers], 0))</f>
        <v>0.92300000000000004</v>
      </c>
      <c r="G22" s="28">
        <f ca="1">INDEX(ICE[], MATCH(G$18 &amp; TEXT(Crd!$A22, "mmmyy"), ICE[LongCode], 0), MATCH("Settle", ICE[#Headers], 0))</f>
        <v>1.5130000000000001</v>
      </c>
      <c r="H22" s="28">
        <f ca="1">INDEX(ICE[], MATCH(H$18 &amp; TEXT(Crd!$A22, "mmmyy"), ICE[LongCode], 0), MATCH("Settle", ICE[#Headers], 0))</f>
        <v>-7.7</v>
      </c>
      <c r="I22" s="397" t="str">
        <f ca="1">IFERROR(INDEX(ICE[], MATCH("dfl" &amp; TEXT(Crd!$A22, "mmmyy"), ICE[LongCode], 0), MATCH("ICE Theoretical Price", ICE[#Headers], 0)), "")</f>
        <v/>
      </c>
      <c r="J22" s="364" t="str">
        <f ca="1">IFERROR(INDEX(ICE[], MATCH("dfl" &amp; TEXT(Crd!$A22, "mmmyy"), ICE[LongCode], 0), MATCH("Text", ICE[#Headers], 0)), "")</f>
        <v>2.90 / 2.95 {2.90} |407x</v>
      </c>
      <c r="K22" s="46" t="str">
        <f t="shared" ca="1" si="55"/>
        <v/>
      </c>
      <c r="L22" s="47" t="str">
        <f t="shared" ca="1" si="64"/>
        <v/>
      </c>
      <c r="M22" s="46" t="str">
        <f t="shared" ca="1" si="65"/>
        <v/>
      </c>
      <c r="N22" s="141" t="str">
        <f ca="1">IFERROR(IF(AND(ISNUMBER(Futs!$CC22), ISNUMBER($I22)), Futs!$CC22 + $I22, ""), "")</f>
        <v/>
      </c>
      <c r="O22" s="46" t="str">
        <f ca="1">IFERROR(IF(AND(ISNUMBER(Futs!$CD22), ISNUMBER($K22)), Futs!$CD22 + $K22, ""), "")</f>
        <v/>
      </c>
      <c r="P22" s="47" t="str">
        <f t="shared" ca="1" si="66"/>
        <v/>
      </c>
      <c r="Q22" s="364" t="str">
        <f ca="1">IFERROR(INDEX(ICE[], MATCH("dtd" &amp; TEXT(Crd!$A21, "mmmyy") &amp; "/" &amp; TEXT(Crd!$A22, "mmmyy"), ICE[LongCode], 0), MATCH("Text", ICE[#Headers], 0)), "")</f>
        <v xml:space="preserve">2.88 / 3.12 </v>
      </c>
      <c r="R22" s="111" t="str">
        <f t="shared" ca="1" si="67"/>
        <v/>
      </c>
      <c r="S22" s="400" t="str">
        <f ca="1">IFERROR(INDEX(ICE[], MATCH("brdub" &amp; TEXT(Crd!$A22, "mmmyy"), ICE[LongCode], 0), MATCH("ICE Theoretical Price", ICE[#Headers], 0)), "")</f>
        <v/>
      </c>
      <c r="T22" s="364" t="str">
        <f ca="1">IFERROR(INDEX(ICE[], MATCH("brdub" &amp; TEXT(Crd!$A22, "mmmyy"), ICE[LongCode], 0), MATCH("Text", ICE[#Headers], 0)), "")</f>
        <v>4.01 / 4.05 {4.08} |3,315x</v>
      </c>
      <c r="U22" s="46" t="str">
        <f t="shared" ca="1" si="56"/>
        <v/>
      </c>
      <c r="V22" s="68" t="str">
        <f t="shared" ca="1" si="68"/>
        <v/>
      </c>
      <c r="W22" s="46" t="str">
        <f t="shared" ca="1" si="69"/>
        <v/>
      </c>
      <c r="X22" s="187" t="str">
        <f ca="1">IFERROR(IF(AND(ISNUMBER(Futs!$CC22), ISNUMBER($S22)), Futs!$CC22 - $S22, ""), "")</f>
        <v/>
      </c>
      <c r="Y22" s="46" t="str">
        <f ca="1">IFERROR(IF(AND(ISNUMBER(Futs!$CD22), ISNUMBER($U22)), Futs!$CD22 - $U22, ""), "")</f>
        <v/>
      </c>
      <c r="Z22" s="68" t="str">
        <f t="shared" ca="1" si="70"/>
        <v/>
      </c>
      <c r="AA22" s="364" t="str">
        <f ca="1">IFERROR(INDEX(ICE[], MATCH("dub" &amp; TEXT(Crd!$A21, "mmmyy") &amp; "/" &amp; TEXT(Crd!$A22, "mmmyy"), ICE[LongCode], 0), MATCH("Text", ICE[#Headers], 0)), "")</f>
        <v>2.92 / 2.94 {2.96} |4,674x</v>
      </c>
      <c r="AB22" s="46" t="str">
        <f t="shared" ca="1" si="71"/>
        <v/>
      </c>
      <c r="AC22" s="271" t="str">
        <f t="shared" ca="1" si="57"/>
        <v/>
      </c>
      <c r="AD22" s="46" t="str">
        <f t="shared" ca="1" si="58"/>
        <v/>
      </c>
      <c r="AE22" s="68" t="str">
        <f t="shared" ca="1" si="72"/>
        <v/>
      </c>
      <c r="AF22" s="111" t="str">
        <f t="shared" ca="1" si="73"/>
        <v/>
      </c>
      <c r="AG22" s="397" t="str">
        <f ca="1">IFERROR(INDEX(ICE[], MATCH("icemidticma" &amp; TEXT(Crd!$A22, "mmmyy"), ICE[LongCode], 0), MATCH("ICE Theoretical Price", ICE[#Headers], 0)), "")</f>
        <v/>
      </c>
      <c r="AH22" s="364" t="str">
        <f ca="1">IFERROR(INDEX(ICE[], MATCH("icemidticma" &amp; TEXT(Crd!$A22, "mmmyy"), ICE[LongCode], 0), MATCH("Text", ICE[#Headers], 0)), "")</f>
        <v xml:space="preserve"> /  </v>
      </c>
      <c r="AI22" s="46" t="str">
        <f t="shared" ca="1" si="59"/>
        <v/>
      </c>
      <c r="AJ22" s="47" t="str">
        <f t="shared" ca="1" si="74"/>
        <v/>
      </c>
      <c r="AK22" s="46" t="str">
        <f t="shared" ca="1" si="75"/>
        <v/>
      </c>
      <c r="AL22" s="141" t="str">
        <f ca="1">IFERROR(IF(AND(ISNUMBER(Futs!$BY22), ISNUMBER($AG22)), Futs!$BY22 + $AG22, ""), "")</f>
        <v/>
      </c>
      <c r="AM22" s="46" t="str">
        <f ca="1">IFERROR(IF(AND(ISNUMBER(Futs!$BZ22), ISNUMBER($AI22)), Futs!$BZ22 + $AI22, ""), "")</f>
        <v/>
      </c>
      <c r="AN22" s="47" t="str">
        <f t="shared" ca="1" si="76"/>
        <v/>
      </c>
      <c r="AO22" s="111" t="str">
        <f t="shared" ca="1" si="77"/>
        <v/>
      </c>
      <c r="AP22" s="397" t="str">
        <f ca="1">IFERROR(INDEX(ICE[], MATCH("icemehticma" &amp; TEXT(Crd!$A22, "mmmyy"), ICE[LongCode], 0), MATCH("ICE Theoretical Price", ICE[#Headers], 0)), "")</f>
        <v/>
      </c>
      <c r="AQ22" s="364" t="str">
        <f ca="1">IFERROR(INDEX(ICE[], MATCH("icemehticma" &amp; TEXT(Crd!$A22, "mmmyy"), ICE[LongCode], 0), MATCH("Text", ICE[#Headers], 0)), "")</f>
        <v xml:space="preserve"> /  </v>
      </c>
      <c r="AR22" s="46" t="str">
        <f t="shared" ca="1" si="60"/>
        <v/>
      </c>
      <c r="AS22" s="47" t="str">
        <f t="shared" ca="1" si="78"/>
        <v/>
      </c>
      <c r="AT22" s="46" t="str">
        <f t="shared" ca="1" si="79"/>
        <v/>
      </c>
      <c r="AU22" s="141" t="str">
        <f ca="1">IFERROR(IF(AND(ISNUMBER($BH22), ISNUMBER(Futs!$CC22)), $BH22 - Futs!$CC22, ""), "")</f>
        <v/>
      </c>
      <c r="AV22" s="46" t="str">
        <f ca="1">IFERROR(IF(AND(ISNUMBER($BI22), ISNUMBER(Futs!$CD22)), $BI22 - Futs!$CD22, ""), "")</f>
        <v/>
      </c>
      <c r="AW22" s="141" t="str">
        <f ca="1">IFERROR(IF(AND(ISNUMBER(Futs!$BY22), ISNUMBER($BA22)), Futs!$BY22 + $BA22, ""), "")</f>
        <v/>
      </c>
      <c r="AX22" s="46" t="str">
        <f ca="1">IFERROR(IF(AND(ISNUMBER(Futs!$BZ22), ISNUMBER($BC22)), Futs!$BZ22 + $BC22, ""), "")</f>
        <v/>
      </c>
      <c r="AY22" s="47" t="str">
        <f t="shared" ca="1" si="80"/>
        <v/>
      </c>
      <c r="AZ22" s="46" t="str">
        <f t="shared" ca="1" si="81"/>
        <v/>
      </c>
      <c r="BA22" s="594" t="str">
        <f ca="1">IFERROR(INDEX(ICE[], MATCH("icemehticma" &amp; TEXT(Crd!$A22, "mmmyy"), ICE[LongCode], 0), MATCH("ICE Theoretical Price", ICE[#Headers], 0)), "")</f>
        <v/>
      </c>
      <c r="BB22" s="364" t="str">
        <f ca="1">IFERROR(INDEX(ICE[], MATCH("icemehticma" &amp; TEXT(Crd!$A22, "mmmyy"), ICE[LongCode], 0), MATCH("Text", ICE[#Headers], 0)), "")</f>
        <v xml:space="preserve"> /  </v>
      </c>
      <c r="BC22" s="46" t="str">
        <f t="shared" ca="1" si="61"/>
        <v/>
      </c>
      <c r="BD22" s="47" t="str">
        <f t="shared" ca="1" si="82"/>
        <v/>
      </c>
      <c r="BE22" s="46" t="str">
        <f t="shared" ca="1" si="83"/>
        <v/>
      </c>
      <c r="BF22" s="141" t="str">
        <f ca="1">IFERROR(IF(AND(ISNUMBER($BH22), ISNUMBER(Futs!$CC22)), $BH22 - Futs!$CC22, ""), "")</f>
        <v/>
      </c>
      <c r="BG22" s="46" t="str">
        <f ca="1">IFERROR(IF(AND(ISNUMBER($BI22), ISNUMBER(Futs!$CD22)), $BI22 - Futs!$CD22, ""), "")</f>
        <v/>
      </c>
      <c r="BH22" s="141" t="str">
        <f ca="1">IFERROR(IF(AND(ISNUMBER(Futs!$BY22), ISNUMBER($BA22)), Futs!$BY22 + $BA22, ""), "")</f>
        <v/>
      </c>
      <c r="BI22" s="46" t="str">
        <f ca="1">IFERROR(IF(AND(ISNUMBER(Futs!$BZ22), ISNUMBER($BC22)), Futs!$BZ22 + $BC22, ""), "")</f>
        <v/>
      </c>
      <c r="BJ22" s="47" t="str">
        <f t="shared" ca="1" si="84"/>
        <v/>
      </c>
      <c r="BK22" s="111" t="str">
        <f t="shared" ca="1" si="85"/>
        <v/>
      </c>
      <c r="BL22" s="397" t="str">
        <f ca="1">IFERROR(INDEX(ICE[], MATCH("icewcstitma" &amp; TEXT(Crd!$A22, "mmmyy"), ICE[LongCode], 0), MATCH("ICE Theoretical Price", ICE[#Headers], 0)), "")</f>
        <v/>
      </c>
      <c r="BM22" s="364" t="str">
        <f ca="1">IFERROR(INDEX(ICE[], MATCH("icewcstitma" &amp; TEXT(Crd!$A22, "mmmyy"), ICE[LongCode], 0), MATCH("Text", ICE[#Headers], 0)), "")</f>
        <v xml:space="preserve"> /  </v>
      </c>
      <c r="BN22" s="46" t="str">
        <f t="shared" ca="1" si="62"/>
        <v/>
      </c>
      <c r="BO22" s="47" t="str">
        <f t="shared" ca="1" si="86"/>
        <v/>
      </c>
      <c r="BP22" s="46" t="str">
        <f t="shared" ca="1" si="87"/>
        <v/>
      </c>
      <c r="BQ22" s="141" t="str">
        <f ca="1">IFERROR(IF(AND(ISNUMBER($BS22), ISNUMBER(Futs!$CC22)), $BS22 - Futs!$CC22, ""), "")</f>
        <v/>
      </c>
      <c r="BR22" s="46" t="str">
        <f ca="1">IFERROR(IF(AND(ISNUMBER($BT22), ISNUMBER(Futs!$CD22)), $BT22 - Futs!$CD22, ""), "")</f>
        <v/>
      </c>
      <c r="BS22" s="141" t="str">
        <f ca="1">IFERROR(IF(AND(ISNUMBER(Futs!$BY22), ISNUMBER($BL22)), Futs!$BY22 + $BL22, ""), "")</f>
        <v/>
      </c>
      <c r="BT22" s="46" t="str">
        <f ca="1">IFERROR(IF(AND(ISNUMBER(Futs!$BZ22), ISNUMBER($BN22)), Futs!$BZ22 + $BN22, ""), "")</f>
        <v/>
      </c>
      <c r="BU22" s="47" t="str">
        <f t="shared" ca="1" si="88"/>
        <v/>
      </c>
      <c r="BV22" s="111" t="str">
        <f t="shared" ca="1" si="89"/>
        <v/>
      </c>
      <c r="BX22" s="92"/>
    </row>
    <row r="23" spans="1:77" x14ac:dyDescent="0.25">
      <c r="A23" s="58">
        <f t="shared" ca="1" si="63"/>
        <v>46388</v>
      </c>
      <c r="B23" s="6">
        <f t="shared" ca="1" si="53"/>
        <v>2027</v>
      </c>
      <c r="C23" s="6" t="str">
        <f t="shared" ca="1" si="54"/>
        <v>Q127</v>
      </c>
      <c r="D23" s="28">
        <f ca="1">INDEX(ICE[], MATCH(D$18 &amp; TEXT(Crd!$A23, "mmmyy"), ICE[LongCode], 0), MATCH("Settle", ICE[#Headers], 0))</f>
        <v>2.12</v>
      </c>
      <c r="E23" s="28">
        <f ca="1">INDEX(ICE[], MATCH(E$18 &amp; TEXT(Crd!$A23, "mmmyy"), ICE[LongCode], 0), MATCH("Settle", ICE[#Headers], 0))</f>
        <v>3.6840000000000002</v>
      </c>
      <c r="F23" s="28">
        <f ca="1">INDEX(ICE[], MATCH(F$18 &amp; TEXT(Crd!$A23, "mmmyy"), ICE[LongCode], 0), MATCH("Settle", ICE[#Headers], 0))</f>
        <v>1.03</v>
      </c>
      <c r="G23" s="28">
        <f ca="1">INDEX(ICE[], MATCH(G$18 &amp; TEXT(Crd!$A23, "mmmyy"), ICE[LongCode], 0), MATCH("Settle", ICE[#Headers], 0))</f>
        <v>1.6160000000000001</v>
      </c>
      <c r="H23" s="28">
        <f ca="1">INDEX(ICE[], MATCH(H$18 &amp; TEXT(Crd!$A23, "mmmyy"), ICE[LongCode], 0), MATCH("Settle", ICE[#Headers], 0))</f>
        <v>-7.8500000000000005</v>
      </c>
      <c r="I23" s="397" t="str">
        <f ca="1">IFERROR(INDEX(ICE[], MATCH("dfl" &amp; TEXT(Crd!$A23, "mmmyy"), ICE[LongCode], 0), MATCH("ICE Theoretical Price", ICE[#Headers], 0)), "")</f>
        <v/>
      </c>
      <c r="J23" s="364" t="str">
        <f ca="1">IFERROR(INDEX(ICE[], MATCH("dfl" &amp; TEXT(Crd!$A23, "mmmyy"), ICE[LongCode], 0), MATCH("Text", ICE[#Headers], 0)), "")</f>
        <v>2.05 / 2.30 {2.25} |305x</v>
      </c>
      <c r="K23" s="46" t="str">
        <f t="shared" ca="1" si="55"/>
        <v/>
      </c>
      <c r="L23" s="47" t="str">
        <f t="shared" ca="1" si="64"/>
        <v/>
      </c>
      <c r="M23" s="46" t="str">
        <f t="shared" ca="1" si="65"/>
        <v/>
      </c>
      <c r="N23" s="141" t="str">
        <f ca="1">IFERROR(IF(AND(ISNUMBER(Futs!$CC23), ISNUMBER($I23)), Futs!$CC23 + $I23, ""), "")</f>
        <v/>
      </c>
      <c r="O23" s="46" t="str">
        <f ca="1">IFERROR(IF(AND(ISNUMBER(Futs!$CD23), ISNUMBER($K23)), Futs!$CD23 + $K23, ""), "")</f>
        <v/>
      </c>
      <c r="P23" s="47" t="str">
        <f t="shared" ca="1" si="66"/>
        <v/>
      </c>
      <c r="Q23" s="364" t="str">
        <f ca="1">IFERROR(INDEX(ICE[], MATCH("dtd" &amp; TEXT(Crd!$A22, "mmmyy") &amp; "/" &amp; TEXT(Crd!$A23, "mmmyy"), ICE[LongCode], 0), MATCH("Text", ICE[#Headers], 0)), "")</f>
        <v>2.38 / 2.61 {2.40} |28x</v>
      </c>
      <c r="R23" s="111" t="str">
        <f t="shared" ca="1" si="67"/>
        <v/>
      </c>
      <c r="S23" s="400" t="str">
        <f ca="1">IFERROR(INDEX(ICE[], MATCH("brdub" &amp; TEXT(Crd!$A23, "mmmyy"), ICE[LongCode], 0), MATCH("ICE Theoretical Price", ICE[#Headers], 0)), "")</f>
        <v/>
      </c>
      <c r="T23" s="364" t="str">
        <f ca="1">IFERROR(INDEX(ICE[], MATCH("brdub" &amp; TEXT(Crd!$A23, "mmmyy"), ICE[LongCode], 0), MATCH("Text", ICE[#Headers], 0)), "")</f>
        <v>4.03 / 4.11 {4.09} |1,687x</v>
      </c>
      <c r="U23" s="46" t="str">
        <f t="shared" ca="1" si="56"/>
        <v/>
      </c>
      <c r="V23" s="68" t="str">
        <f t="shared" ca="1" si="68"/>
        <v/>
      </c>
      <c r="W23" s="46" t="str">
        <f t="shared" ca="1" si="69"/>
        <v/>
      </c>
      <c r="X23" s="187" t="str">
        <f ca="1">IFERROR(IF(AND(ISNUMBER(Futs!$CC23), ISNUMBER($S23)), Futs!$CC23 - $S23, ""), "")</f>
        <v/>
      </c>
      <c r="Y23" s="46" t="str">
        <f ca="1">IFERROR(IF(AND(ISNUMBER(Futs!$CD23), ISNUMBER($U23)), Futs!$CD23 - $U23, ""), "")</f>
        <v/>
      </c>
      <c r="Z23" s="68" t="str">
        <f t="shared" ca="1" si="70"/>
        <v/>
      </c>
      <c r="AA23" s="364" t="str">
        <f ca="1">IFERROR(INDEX(ICE[], MATCH("dub" &amp; TEXT(Crd!$A22, "mmmyy") &amp; "/" &amp; TEXT(Crd!$A23, "mmmyy"), ICE[LongCode], 0), MATCH("Text", ICE[#Headers], 0)), "")</f>
        <v>1.86 / 1.88 {1.88} |1,334x</v>
      </c>
      <c r="AB23" s="46" t="str">
        <f t="shared" ca="1" si="71"/>
        <v/>
      </c>
      <c r="AC23" s="271" t="str">
        <f t="shared" ca="1" si="57"/>
        <v/>
      </c>
      <c r="AD23" s="46" t="str">
        <f t="shared" ca="1" si="58"/>
        <v/>
      </c>
      <c r="AE23" s="68" t="str">
        <f t="shared" ca="1" si="72"/>
        <v/>
      </c>
      <c r="AF23" s="111" t="str">
        <f t="shared" ca="1" si="73"/>
        <v/>
      </c>
      <c r="AG23" s="397" t="str">
        <f ca="1">IFERROR(INDEX(ICE[], MATCH("icemidticma" &amp; TEXT(Crd!$A23, "mmmyy"), ICE[LongCode], 0), MATCH("ICE Theoretical Price", ICE[#Headers], 0)), "")</f>
        <v/>
      </c>
      <c r="AH23" s="364" t="str">
        <f ca="1">IFERROR(INDEX(ICE[], MATCH("icemidticma" &amp; TEXT(Crd!$A23, "mmmyy"), ICE[LongCode], 0), MATCH("Text", ICE[#Headers], 0)), "")</f>
        <v xml:space="preserve"> /  </v>
      </c>
      <c r="AI23" s="46" t="str">
        <f t="shared" ca="1" si="59"/>
        <v/>
      </c>
      <c r="AJ23" s="47" t="str">
        <f t="shared" ca="1" si="74"/>
        <v/>
      </c>
      <c r="AK23" s="46" t="str">
        <f t="shared" ca="1" si="75"/>
        <v/>
      </c>
      <c r="AL23" s="141" t="str">
        <f ca="1">IFERROR(IF(AND(ISNUMBER(Futs!$BY23), ISNUMBER($AG23)), Futs!$BY23 + $AG23, ""), "")</f>
        <v/>
      </c>
      <c r="AM23" s="46" t="str">
        <f ca="1">IFERROR(IF(AND(ISNUMBER(Futs!$BZ23), ISNUMBER($AI23)), Futs!$BZ23 + $AI23, ""), "")</f>
        <v/>
      </c>
      <c r="AN23" s="47" t="str">
        <f t="shared" ca="1" si="76"/>
        <v/>
      </c>
      <c r="AO23" s="111" t="str">
        <f t="shared" ca="1" si="77"/>
        <v/>
      </c>
      <c r="AP23" s="397" t="str">
        <f ca="1">IFERROR(INDEX(ICE[], MATCH("icemehticma" &amp; TEXT(Crd!$A23, "mmmyy"), ICE[LongCode], 0), MATCH("ICE Theoretical Price", ICE[#Headers], 0)), "")</f>
        <v/>
      </c>
      <c r="AQ23" s="364" t="str">
        <f ca="1">IFERROR(INDEX(ICE[], MATCH("icemehticma" &amp; TEXT(Crd!$A23, "mmmyy"), ICE[LongCode], 0), MATCH("Text", ICE[#Headers], 0)), "")</f>
        <v xml:space="preserve"> /  </v>
      </c>
      <c r="AR23" s="46" t="str">
        <f t="shared" ca="1" si="60"/>
        <v/>
      </c>
      <c r="AS23" s="47" t="str">
        <f t="shared" ca="1" si="78"/>
        <v/>
      </c>
      <c r="AT23" s="46" t="str">
        <f t="shared" ca="1" si="79"/>
        <v/>
      </c>
      <c r="AU23" s="141" t="str">
        <f ca="1">IFERROR(IF(AND(ISNUMBER($BH23), ISNUMBER(Futs!$CC23)), $BH23 - Futs!$CC23, ""), "")</f>
        <v/>
      </c>
      <c r="AV23" s="46" t="str">
        <f ca="1">IFERROR(IF(AND(ISNUMBER($BI23), ISNUMBER(Futs!$CD23)), $BI23 - Futs!$CD23, ""), "")</f>
        <v/>
      </c>
      <c r="AW23" s="141" t="str">
        <f ca="1">IFERROR(IF(AND(ISNUMBER(Futs!$BY23), ISNUMBER($BA23)), Futs!$BY23 + $BA23, ""), "")</f>
        <v/>
      </c>
      <c r="AX23" s="46" t="str">
        <f ca="1">IFERROR(IF(AND(ISNUMBER(Futs!$BZ23), ISNUMBER($BC23)), Futs!$BZ23 + $BC23, ""), "")</f>
        <v/>
      </c>
      <c r="AY23" s="47" t="str">
        <f t="shared" ca="1" si="80"/>
        <v/>
      </c>
      <c r="AZ23" s="46" t="str">
        <f t="shared" ca="1" si="81"/>
        <v/>
      </c>
      <c r="BA23" s="594" t="str">
        <f ca="1">IFERROR(INDEX(ICE[], MATCH("icemehticma" &amp; TEXT(Crd!$A23, "mmmyy"), ICE[LongCode], 0), MATCH("ICE Theoretical Price", ICE[#Headers], 0)), "")</f>
        <v/>
      </c>
      <c r="BB23" s="364" t="str">
        <f ca="1">IFERROR(INDEX(ICE[], MATCH("icemehticma" &amp; TEXT(Crd!$A23, "mmmyy"), ICE[LongCode], 0), MATCH("Text", ICE[#Headers], 0)), "")</f>
        <v xml:space="preserve"> /  </v>
      </c>
      <c r="BC23" s="46" t="str">
        <f t="shared" ca="1" si="61"/>
        <v/>
      </c>
      <c r="BD23" s="47" t="str">
        <f t="shared" ca="1" si="82"/>
        <v/>
      </c>
      <c r="BE23" s="46" t="str">
        <f t="shared" ca="1" si="83"/>
        <v/>
      </c>
      <c r="BF23" s="141" t="str">
        <f ca="1">IFERROR(IF(AND(ISNUMBER($BH23), ISNUMBER(Futs!$CC23)), $BH23 - Futs!$CC23, ""), "")</f>
        <v/>
      </c>
      <c r="BG23" s="46" t="str">
        <f ca="1">IFERROR(IF(AND(ISNUMBER($BI23), ISNUMBER(Futs!$CD23)), $BI23 - Futs!$CD23, ""), "")</f>
        <v/>
      </c>
      <c r="BH23" s="141" t="str">
        <f ca="1">IFERROR(IF(AND(ISNUMBER(Futs!$BY23), ISNUMBER($BA23)), Futs!$BY23 + $BA23, ""), "")</f>
        <v/>
      </c>
      <c r="BI23" s="46" t="str">
        <f ca="1">IFERROR(IF(AND(ISNUMBER(Futs!$BZ23), ISNUMBER($BC23)), Futs!$BZ23 + $BC23, ""), "")</f>
        <v/>
      </c>
      <c r="BJ23" s="47" t="str">
        <f t="shared" ca="1" si="84"/>
        <v/>
      </c>
      <c r="BK23" s="111" t="str">
        <f t="shared" ca="1" si="85"/>
        <v/>
      </c>
      <c r="BL23" s="397" t="str">
        <f ca="1">IFERROR(INDEX(ICE[], MATCH("icewcstitma" &amp; TEXT(Crd!$A23, "mmmyy"), ICE[LongCode], 0), MATCH("ICE Theoretical Price", ICE[#Headers], 0)), "")</f>
        <v/>
      </c>
      <c r="BM23" s="364" t="str">
        <f ca="1">IFERROR(INDEX(ICE[], MATCH("icewcstitma" &amp; TEXT(Crd!$A23, "mmmyy"), ICE[LongCode], 0), MATCH("Text", ICE[#Headers], 0)), "")</f>
        <v xml:space="preserve"> /  </v>
      </c>
      <c r="BN23" s="46" t="str">
        <f t="shared" ca="1" si="62"/>
        <v/>
      </c>
      <c r="BO23" s="47" t="str">
        <f t="shared" ca="1" si="86"/>
        <v/>
      </c>
      <c r="BP23" s="46" t="str">
        <f t="shared" ca="1" si="87"/>
        <v/>
      </c>
      <c r="BQ23" s="141" t="str">
        <f ca="1">IFERROR(IF(AND(ISNUMBER($BS23), ISNUMBER(Futs!$CC23)), $BS23 - Futs!$CC23, ""), "")</f>
        <v/>
      </c>
      <c r="BR23" s="46" t="str">
        <f ca="1">IFERROR(IF(AND(ISNUMBER($BT23), ISNUMBER(Futs!$CD23)), $BT23 - Futs!$CD23, ""), "")</f>
        <v/>
      </c>
      <c r="BS23" s="141" t="str">
        <f ca="1">IFERROR(IF(AND(ISNUMBER(Futs!$BY23), ISNUMBER($BL23)), Futs!$BY23 + $BL23, ""), "")</f>
        <v/>
      </c>
      <c r="BT23" s="46" t="str">
        <f ca="1">IFERROR(IF(AND(ISNUMBER(Futs!$BZ23), ISNUMBER($BN23)), Futs!$BZ23 + $BN23, ""), "")</f>
        <v/>
      </c>
      <c r="BU23" s="47" t="str">
        <f t="shared" ca="1" si="88"/>
        <v/>
      </c>
      <c r="BV23" s="111" t="str">
        <f t="shared" ca="1" si="89"/>
        <v/>
      </c>
      <c r="BX23" s="92"/>
    </row>
    <row r="24" spans="1:77" x14ac:dyDescent="0.25">
      <c r="A24" s="58">
        <f t="shared" ca="1" si="63"/>
        <v>46419</v>
      </c>
      <c r="B24" s="6">
        <f t="shared" ca="1" si="53"/>
        <v>2027</v>
      </c>
      <c r="C24" s="6" t="str">
        <f t="shared" ca="1" si="54"/>
        <v>Q127</v>
      </c>
      <c r="D24" s="28">
        <f ca="1">INDEX(ICE[], MATCH(D$18 &amp; TEXT(Crd!$A24, "mmmyy"), ICE[LongCode], 0), MATCH("Settle", ICE[#Headers], 0))</f>
        <v>1.58</v>
      </c>
      <c r="E24" s="28">
        <f ca="1">INDEX(ICE[], MATCH(E$18 &amp; TEXT(Crd!$A24, "mmmyy"), ICE[LongCode], 0), MATCH("Settle", ICE[#Headers], 0))</f>
        <v>3.589</v>
      </c>
      <c r="F24" s="28">
        <f ca="1">INDEX(ICE[], MATCH(F$18 &amp; TEXT(Crd!$A24, "mmmyy"), ICE[LongCode], 0), MATCH("Settle", ICE[#Headers], 0))</f>
        <v>1.0840000000000001</v>
      </c>
      <c r="G24" s="28">
        <f ca="1">INDEX(ICE[], MATCH(G$18 &amp; TEXT(Crd!$A24, "mmmyy"), ICE[LongCode], 0), MATCH("Settle", ICE[#Headers], 0))</f>
        <v>1.6540000000000001</v>
      </c>
      <c r="H24" s="28">
        <f ca="1">INDEX(ICE[], MATCH(H$18 &amp; TEXT(Crd!$A24, "mmmyy"), ICE[LongCode], 0), MATCH("Settle", ICE[#Headers], 0))</f>
        <v>-8.0500000000000007</v>
      </c>
      <c r="I24" s="397" t="str">
        <f ca="1">IFERROR(INDEX(ICE[], MATCH("dfl" &amp; TEXT(Crd!$A24, "mmmyy"), ICE[LongCode], 0), MATCH("ICE Theoretical Price", ICE[#Headers], 0)), "")</f>
        <v/>
      </c>
      <c r="J24" s="364" t="str">
        <f ca="1">IFERROR(INDEX(ICE[], MATCH("dfl" &amp; TEXT(Crd!$A24, "mmmyy"), ICE[LongCode], 0), MATCH("Text", ICE[#Headers], 0)), "")</f>
        <v xml:space="preserve"> /  {1.70} |275x</v>
      </c>
      <c r="K24" s="46" t="str">
        <f t="shared" ca="1" si="55"/>
        <v/>
      </c>
      <c r="L24" s="47" t="str">
        <f t="shared" ca="1" si="64"/>
        <v/>
      </c>
      <c r="M24" s="46" t="str">
        <f t="shared" ca="1" si="65"/>
        <v/>
      </c>
      <c r="N24" s="141" t="str">
        <f ca="1">IFERROR(IF(AND(ISNUMBER(Futs!$CC24), ISNUMBER($I24)), Futs!$CC24 + $I24, ""), "")</f>
        <v/>
      </c>
      <c r="O24" s="46" t="str">
        <f ca="1">IFERROR(IF(AND(ISNUMBER(Futs!$CD24), ISNUMBER($K24)), Futs!$CD24 + $K24, ""), "")</f>
        <v/>
      </c>
      <c r="P24" s="47" t="str">
        <f t="shared" ca="1" si="66"/>
        <v/>
      </c>
      <c r="Q24" s="364" t="str">
        <f ca="1">IFERROR(INDEX(ICE[], MATCH("dtd" &amp; TEXT(Crd!$A23, "mmmyy") &amp; "/" &amp; TEXT(Crd!$A24, "mmmyy"), ICE[LongCode], 0), MATCH("Text", ICE[#Headers], 0)), "")</f>
        <v/>
      </c>
      <c r="R24" s="111" t="str">
        <f t="shared" ca="1" si="67"/>
        <v/>
      </c>
      <c r="S24" s="400" t="str">
        <f ca="1">IFERROR(INDEX(ICE[], MATCH("brdub" &amp; TEXT(Crd!$A24, "mmmyy"), ICE[LongCode], 0), MATCH("ICE Theoretical Price", ICE[#Headers], 0)), "")</f>
        <v/>
      </c>
      <c r="T24" s="364" t="str">
        <f ca="1">IFERROR(INDEX(ICE[], MATCH("brdub" &amp; TEXT(Crd!$A24, "mmmyy"), ICE[LongCode], 0), MATCH("Text", ICE[#Headers], 0)), "")</f>
        <v>3.86 / 3.97 {3.98} |961x</v>
      </c>
      <c r="U24" s="46" t="str">
        <f t="shared" ca="1" si="56"/>
        <v/>
      </c>
      <c r="V24" s="68" t="str">
        <f t="shared" ca="1" si="68"/>
        <v/>
      </c>
      <c r="W24" s="46" t="str">
        <f t="shared" ca="1" si="69"/>
        <v/>
      </c>
      <c r="X24" s="187" t="str">
        <f ca="1">IFERROR(IF(AND(ISNUMBER(Futs!$CC24), ISNUMBER($S24)), Futs!$CC24 - $S24, ""), "")</f>
        <v/>
      </c>
      <c r="Y24" s="46" t="str">
        <f ca="1">IFERROR(IF(AND(ISNUMBER(Futs!$CD24), ISNUMBER($U24)), Futs!$CD24 - $U24, ""), "")</f>
        <v/>
      </c>
      <c r="Z24" s="68" t="str">
        <f t="shared" ca="1" si="70"/>
        <v/>
      </c>
      <c r="AA24" s="364" t="str">
        <f ca="1">IFERROR(INDEX(ICE[], MATCH("dub" &amp; TEXT(Crd!$A23, "mmmyy") &amp; "/" &amp; TEXT(Crd!$A24, "mmmyy"), ICE[LongCode], 0), MATCH("Text", ICE[#Headers], 0)), "")</f>
        <v/>
      </c>
      <c r="AB24" s="46" t="str">
        <f t="shared" ca="1" si="71"/>
        <v/>
      </c>
      <c r="AC24" s="271" t="str">
        <f t="shared" ca="1" si="57"/>
        <v/>
      </c>
      <c r="AD24" s="46" t="str">
        <f t="shared" ca="1" si="58"/>
        <v/>
      </c>
      <c r="AE24" s="68" t="str">
        <f t="shared" ca="1" si="72"/>
        <v/>
      </c>
      <c r="AF24" s="111" t="str">
        <f t="shared" ca="1" si="73"/>
        <v/>
      </c>
      <c r="AG24" s="397" t="str">
        <f ca="1">IFERROR(INDEX(ICE[], MATCH("icemidticma" &amp; TEXT(Crd!$A24, "mmmyy"), ICE[LongCode], 0), MATCH("ICE Theoretical Price", ICE[#Headers], 0)), "")</f>
        <v/>
      </c>
      <c r="AH24" s="364" t="str">
        <f ca="1">IFERROR(INDEX(ICE[], MATCH("icemidticma" &amp; TEXT(Crd!$A24, "mmmyy"), ICE[LongCode], 0), MATCH("Text", ICE[#Headers], 0)), "")</f>
        <v xml:space="preserve"> /  </v>
      </c>
      <c r="AI24" s="46" t="str">
        <f t="shared" ca="1" si="59"/>
        <v/>
      </c>
      <c r="AJ24" s="47" t="str">
        <f t="shared" ca="1" si="74"/>
        <v/>
      </c>
      <c r="AK24" s="46" t="str">
        <f t="shared" ca="1" si="75"/>
        <v/>
      </c>
      <c r="AL24" s="141" t="str">
        <f ca="1">IFERROR(IF(AND(ISNUMBER(Futs!$BY24), ISNUMBER($AG24)), Futs!$BY24 + $AG24, ""), "")</f>
        <v/>
      </c>
      <c r="AM24" s="46" t="str">
        <f ca="1">IFERROR(IF(AND(ISNUMBER(Futs!$BZ24), ISNUMBER($AI24)), Futs!$BZ24 + $AI24, ""), "")</f>
        <v/>
      </c>
      <c r="AN24" s="47" t="str">
        <f t="shared" ca="1" si="76"/>
        <v/>
      </c>
      <c r="AO24" s="111" t="str">
        <f t="shared" ca="1" si="77"/>
        <v/>
      </c>
      <c r="AP24" s="397" t="str">
        <f ca="1">IFERROR(INDEX(ICE[], MATCH("icemehticma" &amp; TEXT(Crd!$A24, "mmmyy"), ICE[LongCode], 0), MATCH("ICE Theoretical Price", ICE[#Headers], 0)), "")</f>
        <v/>
      </c>
      <c r="AQ24" s="364" t="str">
        <f ca="1">IFERROR(INDEX(ICE[], MATCH("icemehticma" &amp; TEXT(Crd!$A24, "mmmyy"), ICE[LongCode], 0), MATCH("Text", ICE[#Headers], 0)), "")</f>
        <v xml:space="preserve"> /  </v>
      </c>
      <c r="AR24" s="46" t="str">
        <f t="shared" ca="1" si="60"/>
        <v/>
      </c>
      <c r="AS24" s="47" t="str">
        <f t="shared" ca="1" si="78"/>
        <v/>
      </c>
      <c r="AT24" s="46" t="str">
        <f t="shared" ca="1" si="79"/>
        <v/>
      </c>
      <c r="AU24" s="141" t="str">
        <f ca="1">IFERROR(IF(AND(ISNUMBER($BH24), ISNUMBER(Futs!$CC24)), $BH24 - Futs!$CC24, ""), "")</f>
        <v/>
      </c>
      <c r="AV24" s="46" t="str">
        <f ca="1">IFERROR(IF(AND(ISNUMBER($BI24), ISNUMBER(Futs!$CD24)), $BI24 - Futs!$CD24, ""), "")</f>
        <v/>
      </c>
      <c r="AW24" s="141" t="str">
        <f ca="1">IFERROR(IF(AND(ISNUMBER(Futs!$BY24), ISNUMBER($BA24)), Futs!$BY24 + $BA24, ""), "")</f>
        <v/>
      </c>
      <c r="AX24" s="46" t="str">
        <f ca="1">IFERROR(IF(AND(ISNUMBER(Futs!$BZ24), ISNUMBER($BC24)), Futs!$BZ24 + $BC24, ""), "")</f>
        <v/>
      </c>
      <c r="AY24" s="47" t="str">
        <f t="shared" ca="1" si="80"/>
        <v/>
      </c>
      <c r="AZ24" s="46" t="str">
        <f t="shared" ca="1" si="81"/>
        <v/>
      </c>
      <c r="BA24" s="594" t="str">
        <f ca="1">IFERROR(INDEX(ICE[], MATCH("icemehticma" &amp; TEXT(Crd!$A24, "mmmyy"), ICE[LongCode], 0), MATCH("ICE Theoretical Price", ICE[#Headers], 0)), "")</f>
        <v/>
      </c>
      <c r="BB24" s="364" t="str">
        <f ca="1">IFERROR(INDEX(ICE[], MATCH("icemehticma" &amp; TEXT(Crd!$A24, "mmmyy"), ICE[LongCode], 0), MATCH("Text", ICE[#Headers], 0)), "")</f>
        <v xml:space="preserve"> /  </v>
      </c>
      <c r="BC24" s="46" t="str">
        <f t="shared" ca="1" si="61"/>
        <v/>
      </c>
      <c r="BD24" s="47" t="str">
        <f t="shared" ca="1" si="82"/>
        <v/>
      </c>
      <c r="BE24" s="46" t="str">
        <f t="shared" ca="1" si="83"/>
        <v/>
      </c>
      <c r="BF24" s="141" t="str">
        <f ca="1">IFERROR(IF(AND(ISNUMBER($BH24), ISNUMBER(Futs!$CC24)), $BH24 - Futs!$CC24, ""), "")</f>
        <v/>
      </c>
      <c r="BG24" s="46" t="str">
        <f ca="1">IFERROR(IF(AND(ISNUMBER($BI24), ISNUMBER(Futs!$CD24)), $BI24 - Futs!$CD24, ""), "")</f>
        <v/>
      </c>
      <c r="BH24" s="141" t="str">
        <f ca="1">IFERROR(IF(AND(ISNUMBER(Futs!$BY24), ISNUMBER($BA24)), Futs!$BY24 + $BA24, ""), "")</f>
        <v/>
      </c>
      <c r="BI24" s="46" t="str">
        <f ca="1">IFERROR(IF(AND(ISNUMBER(Futs!$BZ24), ISNUMBER($BC24)), Futs!$BZ24 + $BC24, ""), "")</f>
        <v/>
      </c>
      <c r="BJ24" s="47" t="str">
        <f t="shared" ca="1" si="84"/>
        <v/>
      </c>
      <c r="BK24" s="111" t="str">
        <f t="shared" ca="1" si="85"/>
        <v/>
      </c>
      <c r="BL24" s="397" t="str">
        <f ca="1">IFERROR(INDEX(ICE[], MATCH("icewcstitma" &amp; TEXT(Crd!$A24, "mmmyy"), ICE[LongCode], 0), MATCH("ICE Theoretical Price", ICE[#Headers], 0)), "")</f>
        <v/>
      </c>
      <c r="BM24" s="364" t="str">
        <f ca="1">IFERROR(INDEX(ICE[], MATCH("icewcstitma" &amp; TEXT(Crd!$A24, "mmmyy"), ICE[LongCode], 0), MATCH("Text", ICE[#Headers], 0)), "")</f>
        <v xml:space="preserve"> /  </v>
      </c>
      <c r="BN24" s="46" t="str">
        <f t="shared" ca="1" si="62"/>
        <v/>
      </c>
      <c r="BO24" s="47" t="str">
        <f t="shared" ca="1" si="86"/>
        <v/>
      </c>
      <c r="BP24" s="46" t="str">
        <f t="shared" ca="1" si="87"/>
        <v/>
      </c>
      <c r="BQ24" s="141" t="str">
        <f ca="1">IFERROR(IF(AND(ISNUMBER($BS24), ISNUMBER(Futs!$CC24)), $BS24 - Futs!$CC24, ""), "")</f>
        <v/>
      </c>
      <c r="BR24" s="46" t="str">
        <f ca="1">IFERROR(IF(AND(ISNUMBER($BT24), ISNUMBER(Futs!$CD24)), $BT24 - Futs!$CD24, ""), "")</f>
        <v/>
      </c>
      <c r="BS24" s="141" t="str">
        <f ca="1">IFERROR(IF(AND(ISNUMBER(Futs!$BY24), ISNUMBER($BL24)), Futs!$BY24 + $BL24, ""), "")</f>
        <v/>
      </c>
      <c r="BT24" s="46" t="str">
        <f ca="1">IFERROR(IF(AND(ISNUMBER(Futs!$BZ24), ISNUMBER($BN24)), Futs!$BZ24 + $BN24, ""), "")</f>
        <v/>
      </c>
      <c r="BU24" s="47" t="str">
        <f t="shared" ca="1" si="88"/>
        <v/>
      </c>
      <c r="BV24" s="111" t="str">
        <f t="shared" ca="1" si="89"/>
        <v/>
      </c>
      <c r="BX24" s="92"/>
    </row>
    <row r="25" spans="1:77" x14ac:dyDescent="0.25">
      <c r="A25" s="58">
        <f t="shared" ca="1" si="63"/>
        <v>46447</v>
      </c>
      <c r="B25" s="6">
        <f t="shared" ca="1" si="53"/>
        <v>2027</v>
      </c>
      <c r="C25" s="6" t="str">
        <f t="shared" ca="1" si="54"/>
        <v>Q127</v>
      </c>
      <c r="D25" s="28">
        <f ca="1">INDEX(ICE[], MATCH(D$18 &amp; TEXT(Crd!$A25, "mmmyy"), ICE[LongCode], 0), MATCH("Settle", ICE[#Headers], 0))</f>
        <v>1.3</v>
      </c>
      <c r="E25" s="28">
        <f ca="1">INDEX(ICE[], MATCH(E$18 &amp; TEXT(Crd!$A25, "mmmyy"), ICE[LongCode], 0), MATCH("Settle", ICE[#Headers], 0))</f>
        <v>3.4740000000000002</v>
      </c>
      <c r="F25" s="28">
        <f ca="1">INDEX(ICE[], MATCH(F$18 &amp; TEXT(Crd!$A25, "mmmyy"), ICE[LongCode], 0), MATCH("Settle", ICE[#Headers], 0))</f>
        <v>1.0760000000000001</v>
      </c>
      <c r="G25" s="28">
        <f ca="1">INDEX(ICE[], MATCH(G$18 &amp; TEXT(Crd!$A25, "mmmyy"), ICE[LongCode], 0), MATCH("Settle", ICE[#Headers], 0))</f>
        <v>1.6340000000000001</v>
      </c>
      <c r="H25" s="28">
        <f ca="1">INDEX(ICE[], MATCH(H$18 &amp; TEXT(Crd!$A25, "mmmyy"), ICE[LongCode], 0), MATCH("Settle", ICE[#Headers], 0))</f>
        <v>-8.3000000000000007</v>
      </c>
      <c r="I25" s="397" t="str">
        <f ca="1">IFERROR(INDEX(ICE[], MATCH("dfl" &amp; TEXT(Crd!$A25, "mmmyy"), ICE[LongCode], 0), MATCH("ICE Theoretical Price", ICE[#Headers], 0)), "")</f>
        <v/>
      </c>
      <c r="J25" s="364" t="str">
        <f ca="1">IFERROR(INDEX(ICE[], MATCH("dfl" &amp; TEXT(Crd!$A25, "mmmyy"), ICE[LongCode], 0), MATCH("Text", ICE[#Headers], 0)), "")</f>
        <v xml:space="preserve"> /  {1.39} |275x</v>
      </c>
      <c r="K25" s="46" t="str">
        <f t="shared" ca="1" si="55"/>
        <v/>
      </c>
      <c r="L25" s="47" t="str">
        <f t="shared" ca="1" si="64"/>
        <v/>
      </c>
      <c r="M25" s="46" t="str">
        <f t="shared" ca="1" si="65"/>
        <v/>
      </c>
      <c r="N25" s="141" t="str">
        <f ca="1">IFERROR(IF(AND(ISNUMBER(Futs!$CC25), ISNUMBER($I25)), Futs!$CC25 + $I25, ""), "")</f>
        <v/>
      </c>
      <c r="O25" s="46" t="str">
        <f ca="1">IFERROR(IF(AND(ISNUMBER(Futs!$CD25), ISNUMBER($K25)), Futs!$CD25 + $K25, ""), "")</f>
        <v/>
      </c>
      <c r="P25" s="47" t="str">
        <f t="shared" ca="1" si="66"/>
        <v/>
      </c>
      <c r="Q25" s="364" t="str">
        <f ca="1">IFERROR(INDEX(ICE[], MATCH("dtd" &amp; TEXT(Crd!$A24, "mmmyy") &amp; "/" &amp; TEXT(Crd!$A25, "mmmyy"), ICE[LongCode], 0), MATCH("Text", ICE[#Headers], 0)), "")</f>
        <v/>
      </c>
      <c r="R25" s="111" t="str">
        <f t="shared" ca="1" si="67"/>
        <v/>
      </c>
      <c r="S25" s="400" t="str">
        <f ca="1">IFERROR(INDEX(ICE[], MATCH("brdub" &amp; TEXT(Crd!$A25, "mmmyy"), ICE[LongCode], 0), MATCH("ICE Theoretical Price", ICE[#Headers], 0)), "")</f>
        <v/>
      </c>
      <c r="T25" s="364" t="str">
        <f ca="1">IFERROR(INDEX(ICE[], MATCH("brdub" &amp; TEXT(Crd!$A25, "mmmyy"), ICE[LongCode], 0), MATCH("Text", ICE[#Headers], 0)), "")</f>
        <v>3.65 / 3.84 {3.82} |636x</v>
      </c>
      <c r="U25" s="46" t="str">
        <f t="shared" ca="1" si="56"/>
        <v/>
      </c>
      <c r="V25" s="68" t="str">
        <f t="shared" ca="1" si="68"/>
        <v/>
      </c>
      <c r="W25" s="46" t="str">
        <f t="shared" ca="1" si="69"/>
        <v/>
      </c>
      <c r="X25" s="187" t="str">
        <f ca="1">IFERROR(IF(AND(ISNUMBER(Futs!$CC25), ISNUMBER($S25)), Futs!$CC25 - $S25, ""), "")</f>
        <v/>
      </c>
      <c r="Y25" s="46" t="str">
        <f ca="1">IFERROR(IF(AND(ISNUMBER(Futs!$CD25), ISNUMBER($U25)), Futs!$CD25 - $U25, ""), "")</f>
        <v/>
      </c>
      <c r="Z25" s="68" t="str">
        <f t="shared" ca="1" si="70"/>
        <v/>
      </c>
      <c r="AA25" s="364" t="str">
        <f ca="1">IFERROR(INDEX(ICE[], MATCH("dub" &amp; TEXT(Crd!$A24, "mmmyy") &amp; "/" &amp; TEXT(Crd!$A25, "mmmyy"), ICE[LongCode], 0), MATCH("Text", ICE[#Headers], 0)), "")</f>
        <v/>
      </c>
      <c r="AB25" s="46" t="str">
        <f t="shared" ca="1" si="71"/>
        <v/>
      </c>
      <c r="AC25" s="271" t="str">
        <f t="shared" ca="1" si="57"/>
        <v/>
      </c>
      <c r="AD25" s="46" t="str">
        <f t="shared" ca="1" si="58"/>
        <v/>
      </c>
      <c r="AE25" s="68" t="str">
        <f t="shared" ca="1" si="72"/>
        <v/>
      </c>
      <c r="AF25" s="111" t="str">
        <f t="shared" ca="1" si="73"/>
        <v/>
      </c>
      <c r="AG25" s="397" t="str">
        <f ca="1">IFERROR(INDEX(ICE[], MATCH("icemidticma" &amp; TEXT(Crd!$A25, "mmmyy"), ICE[LongCode], 0), MATCH("ICE Theoretical Price", ICE[#Headers], 0)), "")</f>
        <v/>
      </c>
      <c r="AH25" s="364" t="str">
        <f ca="1">IFERROR(INDEX(ICE[], MATCH("icemidticma" &amp; TEXT(Crd!$A25, "mmmyy"), ICE[LongCode], 0), MATCH("Text", ICE[#Headers], 0)), "")</f>
        <v xml:space="preserve"> /  </v>
      </c>
      <c r="AI25" s="46" t="str">
        <f t="shared" ca="1" si="59"/>
        <v/>
      </c>
      <c r="AJ25" s="47" t="str">
        <f t="shared" ca="1" si="74"/>
        <v/>
      </c>
      <c r="AK25" s="46" t="str">
        <f t="shared" ca="1" si="75"/>
        <v/>
      </c>
      <c r="AL25" s="141" t="str">
        <f ca="1">IFERROR(IF(AND(ISNUMBER(Futs!$BY25), ISNUMBER($AG25)), Futs!$BY25 + $AG25, ""), "")</f>
        <v/>
      </c>
      <c r="AM25" s="46" t="str">
        <f ca="1">IFERROR(IF(AND(ISNUMBER(Futs!$BZ25), ISNUMBER($AI25)), Futs!$BZ25 + $AI25, ""), "")</f>
        <v/>
      </c>
      <c r="AN25" s="47" t="str">
        <f t="shared" ca="1" si="76"/>
        <v/>
      </c>
      <c r="AO25" s="111" t="str">
        <f t="shared" ca="1" si="77"/>
        <v/>
      </c>
      <c r="AP25" s="397" t="str">
        <f ca="1">IFERROR(INDEX(ICE[], MATCH("icemehticma" &amp; TEXT(Crd!$A25, "mmmyy"), ICE[LongCode], 0), MATCH("ICE Theoretical Price", ICE[#Headers], 0)), "")</f>
        <v/>
      </c>
      <c r="AQ25" s="364" t="str">
        <f ca="1">IFERROR(INDEX(ICE[], MATCH("icemehticma" &amp; TEXT(Crd!$A25, "mmmyy"), ICE[LongCode], 0), MATCH("Text", ICE[#Headers], 0)), "")</f>
        <v xml:space="preserve"> /  </v>
      </c>
      <c r="AR25" s="46" t="str">
        <f t="shared" ca="1" si="60"/>
        <v/>
      </c>
      <c r="AS25" s="47" t="str">
        <f t="shared" ca="1" si="78"/>
        <v/>
      </c>
      <c r="AT25" s="46" t="str">
        <f t="shared" ca="1" si="79"/>
        <v/>
      </c>
      <c r="AU25" s="141" t="str">
        <f ca="1">IFERROR(IF(AND(ISNUMBER($BH25), ISNUMBER(Futs!$CC25)), $BH25 - Futs!$CC25, ""), "")</f>
        <v/>
      </c>
      <c r="AV25" s="46" t="str">
        <f ca="1">IFERROR(IF(AND(ISNUMBER($BI25), ISNUMBER(Futs!$CD25)), $BI25 - Futs!$CD25, ""), "")</f>
        <v/>
      </c>
      <c r="AW25" s="141" t="str">
        <f ca="1">IFERROR(IF(AND(ISNUMBER(Futs!$BY25), ISNUMBER($BA25)), Futs!$BY25 + $BA25, ""), "")</f>
        <v/>
      </c>
      <c r="AX25" s="46" t="str">
        <f ca="1">IFERROR(IF(AND(ISNUMBER(Futs!$BZ25), ISNUMBER($BC25)), Futs!$BZ25 + $BC25, ""), "")</f>
        <v/>
      </c>
      <c r="AY25" s="47" t="str">
        <f t="shared" ca="1" si="80"/>
        <v/>
      </c>
      <c r="AZ25" s="46" t="str">
        <f t="shared" ca="1" si="81"/>
        <v/>
      </c>
      <c r="BA25" s="594" t="str">
        <f ca="1">IFERROR(INDEX(ICE[], MATCH("icemehticma" &amp; TEXT(Crd!$A25, "mmmyy"), ICE[LongCode], 0), MATCH("ICE Theoretical Price", ICE[#Headers], 0)), "")</f>
        <v/>
      </c>
      <c r="BB25" s="364" t="str">
        <f ca="1">IFERROR(INDEX(ICE[], MATCH("icemehticma" &amp; TEXT(Crd!$A25, "mmmyy"), ICE[LongCode], 0), MATCH("Text", ICE[#Headers], 0)), "")</f>
        <v xml:space="preserve"> /  </v>
      </c>
      <c r="BC25" s="46" t="str">
        <f t="shared" ca="1" si="61"/>
        <v/>
      </c>
      <c r="BD25" s="47" t="str">
        <f t="shared" ca="1" si="82"/>
        <v/>
      </c>
      <c r="BE25" s="46" t="str">
        <f t="shared" ca="1" si="83"/>
        <v/>
      </c>
      <c r="BF25" s="141" t="str">
        <f ca="1">IFERROR(IF(AND(ISNUMBER($BH25), ISNUMBER(Futs!$CC25)), $BH25 - Futs!$CC25, ""), "")</f>
        <v/>
      </c>
      <c r="BG25" s="46" t="str">
        <f ca="1">IFERROR(IF(AND(ISNUMBER($BI25), ISNUMBER(Futs!$CD25)), $BI25 - Futs!$CD25, ""), "")</f>
        <v/>
      </c>
      <c r="BH25" s="141" t="str">
        <f ca="1">IFERROR(IF(AND(ISNUMBER(Futs!$BY25), ISNUMBER($BA25)), Futs!$BY25 + $BA25, ""), "")</f>
        <v/>
      </c>
      <c r="BI25" s="46" t="str">
        <f ca="1">IFERROR(IF(AND(ISNUMBER(Futs!$BZ25), ISNUMBER($BC25)), Futs!$BZ25 + $BC25, ""), "")</f>
        <v/>
      </c>
      <c r="BJ25" s="47" t="str">
        <f t="shared" ca="1" si="84"/>
        <v/>
      </c>
      <c r="BK25" s="111" t="str">
        <f t="shared" ca="1" si="85"/>
        <v/>
      </c>
      <c r="BL25" s="397" t="str">
        <f ca="1">IFERROR(INDEX(ICE[], MATCH("icewcstitma" &amp; TEXT(Crd!$A25, "mmmyy"), ICE[LongCode], 0), MATCH("ICE Theoretical Price", ICE[#Headers], 0)), "")</f>
        <v/>
      </c>
      <c r="BM25" s="364" t="str">
        <f ca="1">IFERROR(INDEX(ICE[], MATCH("icewcstitma" &amp; TEXT(Crd!$A25, "mmmyy"), ICE[LongCode], 0), MATCH("Text", ICE[#Headers], 0)), "")</f>
        <v xml:space="preserve"> /  </v>
      </c>
      <c r="BN25" s="46" t="str">
        <f t="shared" ca="1" si="62"/>
        <v/>
      </c>
      <c r="BO25" s="47" t="str">
        <f t="shared" ca="1" si="86"/>
        <v/>
      </c>
      <c r="BP25" s="46" t="str">
        <f t="shared" ca="1" si="87"/>
        <v/>
      </c>
      <c r="BQ25" s="141" t="str">
        <f ca="1">IFERROR(IF(AND(ISNUMBER($BS25), ISNUMBER(Futs!$CC25)), $BS25 - Futs!$CC25, ""), "")</f>
        <v/>
      </c>
      <c r="BR25" s="46" t="str">
        <f ca="1">IFERROR(IF(AND(ISNUMBER($BT25), ISNUMBER(Futs!$CD25)), $BT25 - Futs!$CD25, ""), "")</f>
        <v/>
      </c>
      <c r="BS25" s="141" t="str">
        <f ca="1">IFERROR(IF(AND(ISNUMBER(Futs!$BY25), ISNUMBER($BL25)), Futs!$BY25 + $BL25, ""), "")</f>
        <v/>
      </c>
      <c r="BT25" s="46" t="str">
        <f ca="1">IFERROR(IF(AND(ISNUMBER(Futs!$BZ25), ISNUMBER($BN25)), Futs!$BZ25 + $BN25, ""), "")</f>
        <v/>
      </c>
      <c r="BU25" s="47" t="str">
        <f t="shared" ca="1" si="88"/>
        <v/>
      </c>
      <c r="BV25" s="111" t="str">
        <f t="shared" ca="1" si="89"/>
        <v/>
      </c>
      <c r="BX25" s="92"/>
    </row>
    <row r="26" spans="1:77" x14ac:dyDescent="0.25">
      <c r="A26" s="58">
        <f t="shared" ca="1" si="63"/>
        <v>46478</v>
      </c>
      <c r="B26" s="6">
        <f t="shared" ca="1" si="53"/>
        <v>2027</v>
      </c>
      <c r="C26" s="6" t="str">
        <f t="shared" ca="1" si="54"/>
        <v>Q227</v>
      </c>
      <c r="D26" s="28">
        <f ca="1">INDEX(ICE[], MATCH(D$18 &amp; TEXT(Crd!$A26, "mmmyy"), ICE[LongCode], 0), MATCH("Settle", ICE[#Headers], 0))</f>
        <v>1.02</v>
      </c>
      <c r="E26" s="28">
        <f ca="1">INDEX(ICE[], MATCH(E$18 &amp; TEXT(Crd!$A26, "mmmyy"), ICE[LongCode], 0), MATCH("Settle", ICE[#Headers], 0))</f>
        <v>3.3760000000000003</v>
      </c>
      <c r="F26" s="28">
        <f ca="1">INDEX(ICE[], MATCH(F$18 &amp; TEXT(Crd!$A26, "mmmyy"), ICE[LongCode], 0), MATCH("Settle", ICE[#Headers], 0))</f>
        <v>1.1480000000000001</v>
      </c>
      <c r="G26" s="28">
        <f ca="1">INDEX(ICE[], MATCH(G$18 &amp; TEXT(Crd!$A26, "mmmyy"), ICE[LongCode], 0), MATCH("Settle", ICE[#Headers], 0))</f>
        <v>1.5920000000000001</v>
      </c>
      <c r="H26" s="28">
        <f ca="1">INDEX(ICE[], MATCH(H$18 &amp; TEXT(Crd!$A26, "mmmyy"), ICE[LongCode], 0), MATCH("Settle", ICE[#Headers], 0))</f>
        <v>-7.8</v>
      </c>
      <c r="I26" s="397" t="str">
        <f ca="1">IFERROR(INDEX(ICE[], MATCH("dfl" &amp; TEXT(Crd!$A26, "mmmyy"), ICE[LongCode], 0), MATCH("ICE Theoretical Price", ICE[#Headers], 0)), "")</f>
        <v/>
      </c>
      <c r="J26" s="364" t="str">
        <f ca="1">IFERROR(INDEX(ICE[], MATCH("dfl" &amp; TEXT(Crd!$A26, "mmmyy"), ICE[LongCode], 0), MATCH("Text", ICE[#Headers], 0)), "")</f>
        <v xml:space="preserve"> /  {1.22} |150x</v>
      </c>
      <c r="K26" s="46" t="str">
        <f t="shared" ca="1" si="55"/>
        <v/>
      </c>
      <c r="L26" s="47" t="str">
        <f t="shared" ca="1" si="64"/>
        <v/>
      </c>
      <c r="M26" s="46" t="str">
        <f t="shared" ca="1" si="65"/>
        <v/>
      </c>
      <c r="N26" s="141" t="str">
        <f ca="1">IFERROR(IF(AND(ISNUMBER(Futs!$CC26), ISNUMBER($I26)), Futs!$CC26 + $I26, ""), "")</f>
        <v/>
      </c>
      <c r="O26" s="46" t="str">
        <f ca="1">IFERROR(IF(AND(ISNUMBER(Futs!$CD26), ISNUMBER($K26)), Futs!$CD26 + $K26, ""), "")</f>
        <v/>
      </c>
      <c r="P26" s="47" t="str">
        <f t="shared" ca="1" si="66"/>
        <v/>
      </c>
      <c r="Q26" s="364" t="str">
        <f ca="1">IFERROR(INDEX(ICE[], MATCH("dtd" &amp; TEXT(Crd!$A25, "mmmyy") &amp; "/" &amp; TEXT(Crd!$A26, "mmmyy"), ICE[LongCode], 0), MATCH("Text", ICE[#Headers], 0)), "")</f>
        <v/>
      </c>
      <c r="R26" s="111" t="str">
        <f t="shared" ca="1" si="67"/>
        <v/>
      </c>
      <c r="S26" s="400" t="str">
        <f ca="1">IFERROR(INDEX(ICE[], MATCH("brdub" &amp; TEXT(Crd!$A26, "mmmyy"), ICE[LongCode], 0), MATCH("ICE Theoretical Price", ICE[#Headers], 0)), "")</f>
        <v/>
      </c>
      <c r="T26" s="364" t="str">
        <f ca="1">IFERROR(INDEX(ICE[], MATCH("brdub" &amp; TEXT(Crd!$A26, "mmmyy"), ICE[LongCode], 0), MATCH("Text", ICE[#Headers], 0)), "")</f>
        <v>3.50 / 3.74 {3.70} |34x</v>
      </c>
      <c r="U26" s="46" t="str">
        <f t="shared" ca="1" si="56"/>
        <v/>
      </c>
      <c r="V26" s="68" t="str">
        <f t="shared" ca="1" si="68"/>
        <v/>
      </c>
      <c r="W26" s="46" t="str">
        <f t="shared" ca="1" si="69"/>
        <v/>
      </c>
      <c r="X26" s="187" t="str">
        <f ca="1">IFERROR(IF(AND(ISNUMBER(Futs!$CC26), ISNUMBER($S26)), Futs!$CC26 - $S26, ""), "")</f>
        <v/>
      </c>
      <c r="Y26" s="46" t="str">
        <f ca="1">IFERROR(IF(AND(ISNUMBER(Futs!$CD26), ISNUMBER($U26)), Futs!$CD26 - $U26, ""), "")</f>
        <v/>
      </c>
      <c r="Z26" s="68" t="str">
        <f t="shared" ca="1" si="70"/>
        <v/>
      </c>
      <c r="AA26" s="364" t="str">
        <f ca="1">IFERROR(INDEX(ICE[], MATCH("dub" &amp; TEXT(Crd!$A25, "mmmyy") &amp; "/" &amp; TEXT(Crd!$A26, "mmmyy"), ICE[LongCode], 0), MATCH("Text", ICE[#Headers], 0)), "")</f>
        <v/>
      </c>
      <c r="AB26" s="46" t="str">
        <f t="shared" ca="1" si="71"/>
        <v/>
      </c>
      <c r="AC26" s="271" t="str">
        <f t="shared" ca="1" si="57"/>
        <v/>
      </c>
      <c r="AD26" s="46" t="str">
        <f t="shared" ca="1" si="58"/>
        <v/>
      </c>
      <c r="AE26" s="68" t="str">
        <f t="shared" ca="1" si="72"/>
        <v/>
      </c>
      <c r="AF26" s="111" t="str">
        <f t="shared" ca="1" si="73"/>
        <v/>
      </c>
      <c r="AG26" s="397" t="str">
        <f ca="1">IFERROR(INDEX(ICE[], MATCH("icemidticma" &amp; TEXT(Crd!$A26, "mmmyy"), ICE[LongCode], 0), MATCH("ICE Theoretical Price", ICE[#Headers], 0)), "")</f>
        <v/>
      </c>
      <c r="AH26" s="364" t="str">
        <f ca="1">IFERROR(INDEX(ICE[], MATCH("icemidticma" &amp; TEXT(Crd!$A26, "mmmyy"), ICE[LongCode], 0), MATCH("Text", ICE[#Headers], 0)), "")</f>
        <v xml:space="preserve"> /  </v>
      </c>
      <c r="AI26" s="46" t="str">
        <f t="shared" ca="1" si="59"/>
        <v/>
      </c>
      <c r="AJ26" s="47" t="str">
        <f t="shared" ca="1" si="74"/>
        <v/>
      </c>
      <c r="AK26" s="46" t="str">
        <f t="shared" ca="1" si="75"/>
        <v/>
      </c>
      <c r="AL26" s="141" t="str">
        <f ca="1">IFERROR(IF(AND(ISNUMBER(Futs!$BY26), ISNUMBER($AG26)), Futs!$BY26 + $AG26, ""), "")</f>
        <v/>
      </c>
      <c r="AM26" s="46" t="str">
        <f ca="1">IFERROR(IF(AND(ISNUMBER(Futs!$BZ26), ISNUMBER($AI26)), Futs!$BZ26 + $AI26, ""), "")</f>
        <v/>
      </c>
      <c r="AN26" s="47" t="str">
        <f t="shared" ca="1" si="76"/>
        <v/>
      </c>
      <c r="AO26" s="111" t="str">
        <f t="shared" ca="1" si="77"/>
        <v/>
      </c>
      <c r="AP26" s="397" t="str">
        <f ca="1">IFERROR(INDEX(ICE[], MATCH("icemehticma" &amp; TEXT(Crd!$A26, "mmmyy"), ICE[LongCode], 0), MATCH("ICE Theoretical Price", ICE[#Headers], 0)), "")</f>
        <v/>
      </c>
      <c r="AQ26" s="364" t="str">
        <f ca="1">IFERROR(INDEX(ICE[], MATCH("icemehticma" &amp; TEXT(Crd!$A26, "mmmyy"), ICE[LongCode], 0), MATCH("Text", ICE[#Headers], 0)), "")</f>
        <v xml:space="preserve"> /  </v>
      </c>
      <c r="AR26" s="46" t="str">
        <f t="shared" ca="1" si="60"/>
        <v/>
      </c>
      <c r="AS26" s="47" t="str">
        <f t="shared" ca="1" si="78"/>
        <v/>
      </c>
      <c r="AT26" s="46" t="str">
        <f t="shared" ca="1" si="79"/>
        <v/>
      </c>
      <c r="AU26" s="141" t="str">
        <f ca="1">IFERROR(IF(AND(ISNUMBER($BH26), ISNUMBER(Futs!$CC26)), $BH26 - Futs!$CC26, ""), "")</f>
        <v/>
      </c>
      <c r="AV26" s="46" t="str">
        <f ca="1">IFERROR(IF(AND(ISNUMBER($BI26), ISNUMBER(Futs!$CD26)), $BI26 - Futs!$CD26, ""), "")</f>
        <v/>
      </c>
      <c r="AW26" s="141" t="str">
        <f ca="1">IFERROR(IF(AND(ISNUMBER(Futs!$BY26), ISNUMBER($BA26)), Futs!$BY26 + $BA26, ""), "")</f>
        <v/>
      </c>
      <c r="AX26" s="46" t="str">
        <f ca="1">IFERROR(IF(AND(ISNUMBER(Futs!$BZ26), ISNUMBER($BC26)), Futs!$BZ26 + $BC26, ""), "")</f>
        <v/>
      </c>
      <c r="AY26" s="47" t="str">
        <f t="shared" ca="1" si="80"/>
        <v/>
      </c>
      <c r="AZ26" s="46" t="str">
        <f t="shared" ca="1" si="81"/>
        <v/>
      </c>
      <c r="BA26" s="594" t="str">
        <f ca="1">IFERROR(INDEX(ICE[], MATCH("icemehticma" &amp; TEXT(Crd!$A26, "mmmyy"), ICE[LongCode], 0), MATCH("ICE Theoretical Price", ICE[#Headers], 0)), "")</f>
        <v/>
      </c>
      <c r="BB26" s="364" t="str">
        <f ca="1">IFERROR(INDEX(ICE[], MATCH("icemehticma" &amp; TEXT(Crd!$A26, "mmmyy"), ICE[LongCode], 0), MATCH("Text", ICE[#Headers], 0)), "")</f>
        <v xml:space="preserve"> /  </v>
      </c>
      <c r="BC26" s="46" t="str">
        <f t="shared" ca="1" si="61"/>
        <v/>
      </c>
      <c r="BD26" s="47" t="str">
        <f t="shared" ca="1" si="82"/>
        <v/>
      </c>
      <c r="BE26" s="46" t="str">
        <f t="shared" ca="1" si="83"/>
        <v/>
      </c>
      <c r="BF26" s="141" t="str">
        <f ca="1">IFERROR(IF(AND(ISNUMBER($BH26), ISNUMBER(Futs!$CC26)), $BH26 - Futs!$CC26, ""), "")</f>
        <v/>
      </c>
      <c r="BG26" s="46" t="str">
        <f ca="1">IFERROR(IF(AND(ISNUMBER($BI26), ISNUMBER(Futs!$CD26)), $BI26 - Futs!$CD26, ""), "")</f>
        <v/>
      </c>
      <c r="BH26" s="141" t="str">
        <f ca="1">IFERROR(IF(AND(ISNUMBER(Futs!$BY26), ISNUMBER($BA26)), Futs!$BY26 + $BA26, ""), "")</f>
        <v/>
      </c>
      <c r="BI26" s="46" t="str">
        <f ca="1">IFERROR(IF(AND(ISNUMBER(Futs!$BZ26), ISNUMBER($BC26)), Futs!$BZ26 + $BC26, ""), "")</f>
        <v/>
      </c>
      <c r="BJ26" s="47" t="str">
        <f t="shared" ca="1" si="84"/>
        <v/>
      </c>
      <c r="BK26" s="111" t="str">
        <f t="shared" ca="1" si="85"/>
        <v/>
      </c>
      <c r="BL26" s="397" t="str">
        <f ca="1">IFERROR(INDEX(ICE[], MATCH("icewcstitma" &amp; TEXT(Crd!$A26, "mmmyy"), ICE[LongCode], 0), MATCH("ICE Theoretical Price", ICE[#Headers], 0)), "")</f>
        <v/>
      </c>
      <c r="BM26" s="364" t="str">
        <f ca="1">IFERROR(INDEX(ICE[], MATCH("icewcstitma" &amp; TEXT(Crd!$A26, "mmmyy"), ICE[LongCode], 0), MATCH("Text", ICE[#Headers], 0)), "")</f>
        <v xml:space="preserve"> /  </v>
      </c>
      <c r="BN26" s="46" t="str">
        <f t="shared" ca="1" si="62"/>
        <v/>
      </c>
      <c r="BO26" s="47" t="str">
        <f t="shared" ca="1" si="86"/>
        <v/>
      </c>
      <c r="BP26" s="46" t="str">
        <f t="shared" ca="1" si="87"/>
        <v/>
      </c>
      <c r="BQ26" s="141" t="str">
        <f ca="1">IFERROR(IF(AND(ISNUMBER($BS26), ISNUMBER(Futs!$CC26)), $BS26 - Futs!$CC26, ""), "")</f>
        <v/>
      </c>
      <c r="BR26" s="46" t="str">
        <f ca="1">IFERROR(IF(AND(ISNUMBER($BT26), ISNUMBER(Futs!$CD26)), $BT26 - Futs!$CD26, ""), "")</f>
        <v/>
      </c>
      <c r="BS26" s="141" t="str">
        <f ca="1">IFERROR(IF(AND(ISNUMBER(Futs!$BY26), ISNUMBER($BL26)), Futs!$BY26 + $BL26, ""), "")</f>
        <v/>
      </c>
      <c r="BT26" s="46" t="str">
        <f ca="1">IFERROR(IF(AND(ISNUMBER(Futs!$BZ26), ISNUMBER($BN26)), Futs!$BZ26 + $BN26, ""), "")</f>
        <v/>
      </c>
      <c r="BU26" s="47" t="str">
        <f t="shared" ca="1" si="88"/>
        <v/>
      </c>
      <c r="BV26" s="111" t="str">
        <f t="shared" ca="1" si="89"/>
        <v/>
      </c>
      <c r="BX26" s="92"/>
    </row>
    <row r="27" spans="1:77" x14ac:dyDescent="0.25">
      <c r="A27" s="58">
        <f t="shared" ca="1" si="63"/>
        <v>46508</v>
      </c>
      <c r="B27" s="6">
        <f t="shared" ca="1" si="53"/>
        <v>2027</v>
      </c>
      <c r="C27" s="6" t="str">
        <f t="shared" ca="1" si="54"/>
        <v>Q227</v>
      </c>
      <c r="D27" s="28">
        <f ca="1">INDEX(ICE[], MATCH(D$18 &amp; TEXT(Crd!$A27, "mmmyy"), ICE[LongCode], 0), MATCH("Settle", ICE[#Headers], 0))</f>
        <v>0.88</v>
      </c>
      <c r="E27" s="28">
        <f ca="1">INDEX(ICE[], MATCH(E$18 &amp; TEXT(Crd!$A27, "mmmyy"), ICE[LongCode], 0), MATCH("Settle", ICE[#Headers], 0))</f>
        <v>3.2370000000000001</v>
      </c>
      <c r="F27" s="28">
        <f ca="1">INDEX(ICE[], MATCH(F$18 &amp; TEXT(Crd!$A27, "mmmyy"), ICE[LongCode], 0), MATCH("Settle", ICE[#Headers], 0))</f>
        <v>1.198</v>
      </c>
      <c r="G27" s="28">
        <f ca="1">INDEX(ICE[], MATCH(G$18 &amp; TEXT(Crd!$A27, "mmmyy"), ICE[LongCode], 0), MATCH("Settle", ICE[#Headers], 0))</f>
        <v>1.5810000000000002</v>
      </c>
      <c r="H27" s="28">
        <f ca="1">INDEX(ICE[], MATCH(H$18 &amp; TEXT(Crd!$A27, "mmmyy"), ICE[LongCode], 0), MATCH("Settle", ICE[#Headers], 0))</f>
        <v>-7.3500000000000005</v>
      </c>
      <c r="I27" s="397" t="str">
        <f ca="1">IFERROR(INDEX(ICE[], MATCH("dfl" &amp; TEXT(Crd!$A27, "mmmyy"), ICE[LongCode], 0), MATCH("ICE Theoretical Price", ICE[#Headers], 0)), "")</f>
        <v/>
      </c>
      <c r="J27" s="364" t="str">
        <f ca="1">IFERROR(INDEX(ICE[], MATCH("dfl" &amp; TEXT(Crd!$A27, "mmmyy"), ICE[LongCode], 0), MATCH("Text", ICE[#Headers], 0)), "")</f>
        <v xml:space="preserve"> /  {1.07} |150x</v>
      </c>
      <c r="K27" s="46" t="str">
        <f t="shared" ca="1" si="55"/>
        <v/>
      </c>
      <c r="L27" s="47" t="str">
        <f t="shared" ca="1" si="64"/>
        <v/>
      </c>
      <c r="M27" s="46" t="str">
        <f t="shared" ca="1" si="65"/>
        <v/>
      </c>
      <c r="N27" s="141" t="str">
        <f ca="1">IFERROR(IF(AND(ISNUMBER(Futs!$CC27), ISNUMBER($I27)), Futs!$CC27 + $I27, ""), "")</f>
        <v/>
      </c>
      <c r="O27" s="46" t="str">
        <f ca="1">IFERROR(IF(AND(ISNUMBER(Futs!$CD27), ISNUMBER($K27)), Futs!$CD27 + $K27, ""), "")</f>
        <v/>
      </c>
      <c r="P27" s="47" t="str">
        <f t="shared" ca="1" si="66"/>
        <v/>
      </c>
      <c r="Q27" s="364" t="str">
        <f ca="1">IFERROR(INDEX(ICE[], MATCH("dtd" &amp; TEXT(Crd!$A26, "mmmyy") &amp; "/" &amp; TEXT(Crd!$A27, "mmmyy"), ICE[LongCode], 0), MATCH("Text", ICE[#Headers], 0)), "")</f>
        <v/>
      </c>
      <c r="R27" s="111" t="str">
        <f t="shared" ca="1" si="67"/>
        <v/>
      </c>
      <c r="S27" s="400" t="str">
        <f ca="1">IFERROR(INDEX(ICE[], MATCH("brdub" &amp; TEXT(Crd!$A27, "mmmyy"), ICE[LongCode], 0), MATCH("ICE Theoretical Price", ICE[#Headers], 0)), "")</f>
        <v/>
      </c>
      <c r="T27" s="364" t="str">
        <f ca="1">IFERROR(INDEX(ICE[], MATCH("brdub" &amp; TEXT(Crd!$A27, "mmmyy"), ICE[LongCode], 0), MATCH("Text", ICE[#Headers], 0)), "")</f>
        <v xml:space="preserve"> /  {3.50} |53x</v>
      </c>
      <c r="U27" s="46" t="str">
        <f t="shared" ca="1" si="56"/>
        <v/>
      </c>
      <c r="V27" s="68" t="str">
        <f t="shared" ca="1" si="68"/>
        <v/>
      </c>
      <c r="W27" s="46" t="str">
        <f t="shared" ca="1" si="69"/>
        <v/>
      </c>
      <c r="X27" s="187" t="str">
        <f ca="1">IFERROR(IF(AND(ISNUMBER(Futs!$CC27), ISNUMBER($S27)), Futs!$CC27 - $S27, ""), "")</f>
        <v/>
      </c>
      <c r="Y27" s="46" t="str">
        <f ca="1">IFERROR(IF(AND(ISNUMBER(Futs!$CD27), ISNUMBER($U27)), Futs!$CD27 - $U27, ""), "")</f>
        <v/>
      </c>
      <c r="Z27" s="68" t="str">
        <f t="shared" ca="1" si="70"/>
        <v/>
      </c>
      <c r="AA27" s="364" t="str">
        <f ca="1">IFERROR(INDEX(ICE[], MATCH("dub" &amp; TEXT(Crd!$A26, "mmmyy") &amp; "/" &amp; TEXT(Crd!$A27, "mmmyy"), ICE[LongCode], 0), MATCH("Text", ICE[#Headers], 0)), "")</f>
        <v/>
      </c>
      <c r="AB27" s="46" t="str">
        <f t="shared" ca="1" si="71"/>
        <v/>
      </c>
      <c r="AC27" s="271" t="str">
        <f t="shared" ca="1" si="57"/>
        <v/>
      </c>
      <c r="AD27" s="46" t="str">
        <f t="shared" ca="1" si="58"/>
        <v/>
      </c>
      <c r="AE27" s="68" t="str">
        <f t="shared" ca="1" si="72"/>
        <v/>
      </c>
      <c r="AF27" s="111" t="str">
        <f t="shared" ca="1" si="73"/>
        <v/>
      </c>
      <c r="AG27" s="397" t="str">
        <f ca="1">IFERROR(INDEX(ICE[], MATCH("icemidticma" &amp; TEXT(Crd!$A27, "mmmyy"), ICE[LongCode], 0), MATCH("ICE Theoretical Price", ICE[#Headers], 0)), "")</f>
        <v/>
      </c>
      <c r="AH27" s="364" t="str">
        <f ca="1">IFERROR(INDEX(ICE[], MATCH("icemidticma" &amp; TEXT(Crd!$A27, "mmmyy"), ICE[LongCode], 0), MATCH("Text", ICE[#Headers], 0)), "")</f>
        <v xml:space="preserve"> /  </v>
      </c>
      <c r="AI27" s="46" t="str">
        <f t="shared" ca="1" si="59"/>
        <v/>
      </c>
      <c r="AJ27" s="47" t="str">
        <f t="shared" ca="1" si="74"/>
        <v/>
      </c>
      <c r="AK27" s="46" t="str">
        <f t="shared" ca="1" si="75"/>
        <v/>
      </c>
      <c r="AL27" s="141" t="str">
        <f ca="1">IFERROR(IF(AND(ISNUMBER(Futs!$BY27), ISNUMBER($AG27)), Futs!$BY27 + $AG27, ""), "")</f>
        <v/>
      </c>
      <c r="AM27" s="46" t="str">
        <f ca="1">IFERROR(IF(AND(ISNUMBER(Futs!$BZ27), ISNUMBER($AI27)), Futs!$BZ27 + $AI27, ""), "")</f>
        <v/>
      </c>
      <c r="AN27" s="47" t="str">
        <f t="shared" ca="1" si="76"/>
        <v/>
      </c>
      <c r="AO27" s="111" t="str">
        <f t="shared" ca="1" si="77"/>
        <v/>
      </c>
      <c r="AP27" s="397" t="str">
        <f ca="1">IFERROR(INDEX(ICE[], MATCH("icemehticma" &amp; TEXT(Crd!$A27, "mmmyy"), ICE[LongCode], 0), MATCH("ICE Theoretical Price", ICE[#Headers], 0)), "")</f>
        <v/>
      </c>
      <c r="AQ27" s="364" t="str">
        <f ca="1">IFERROR(INDEX(ICE[], MATCH("icemehticma" &amp; TEXT(Crd!$A27, "mmmyy"), ICE[LongCode], 0), MATCH("Text", ICE[#Headers], 0)), "")</f>
        <v xml:space="preserve"> /  </v>
      </c>
      <c r="AR27" s="46" t="str">
        <f t="shared" ca="1" si="60"/>
        <v/>
      </c>
      <c r="AS27" s="47" t="str">
        <f t="shared" ca="1" si="78"/>
        <v/>
      </c>
      <c r="AT27" s="46" t="str">
        <f t="shared" ca="1" si="79"/>
        <v/>
      </c>
      <c r="AU27" s="141" t="str">
        <f ca="1">IFERROR(IF(AND(ISNUMBER($BH27), ISNUMBER(Futs!$CC27)), $BH27 - Futs!$CC27, ""), "")</f>
        <v/>
      </c>
      <c r="AV27" s="46" t="str">
        <f ca="1">IFERROR(IF(AND(ISNUMBER($BI27), ISNUMBER(Futs!$CD27)), $BI27 - Futs!$CD27, ""), "")</f>
        <v/>
      </c>
      <c r="AW27" s="141" t="str">
        <f ca="1">IFERROR(IF(AND(ISNUMBER(Futs!$BY27), ISNUMBER($BA27)), Futs!$BY27 + $BA27, ""), "")</f>
        <v/>
      </c>
      <c r="AX27" s="46" t="str">
        <f ca="1">IFERROR(IF(AND(ISNUMBER(Futs!$BZ27), ISNUMBER($BC27)), Futs!$BZ27 + $BC27, ""), "")</f>
        <v/>
      </c>
      <c r="AY27" s="47" t="str">
        <f t="shared" ca="1" si="80"/>
        <v/>
      </c>
      <c r="AZ27" s="46" t="str">
        <f t="shared" ca="1" si="81"/>
        <v/>
      </c>
      <c r="BA27" s="594" t="str">
        <f ca="1">IFERROR(INDEX(ICE[], MATCH("icemehticma" &amp; TEXT(Crd!$A27, "mmmyy"), ICE[LongCode], 0), MATCH("ICE Theoretical Price", ICE[#Headers], 0)), "")</f>
        <v/>
      </c>
      <c r="BB27" s="364" t="str">
        <f ca="1">IFERROR(INDEX(ICE[], MATCH("icemehticma" &amp; TEXT(Crd!$A27, "mmmyy"), ICE[LongCode], 0), MATCH("Text", ICE[#Headers], 0)), "")</f>
        <v xml:space="preserve"> /  </v>
      </c>
      <c r="BC27" s="46" t="str">
        <f t="shared" ca="1" si="61"/>
        <v/>
      </c>
      <c r="BD27" s="47" t="str">
        <f t="shared" ca="1" si="82"/>
        <v/>
      </c>
      <c r="BE27" s="46" t="str">
        <f t="shared" ca="1" si="83"/>
        <v/>
      </c>
      <c r="BF27" s="141" t="str">
        <f ca="1">IFERROR(IF(AND(ISNUMBER($BH27), ISNUMBER(Futs!$CC27)), $BH27 - Futs!$CC27, ""), "")</f>
        <v/>
      </c>
      <c r="BG27" s="46" t="str">
        <f ca="1">IFERROR(IF(AND(ISNUMBER($BI27), ISNUMBER(Futs!$CD27)), $BI27 - Futs!$CD27, ""), "")</f>
        <v/>
      </c>
      <c r="BH27" s="141" t="str">
        <f ca="1">IFERROR(IF(AND(ISNUMBER(Futs!$BY27), ISNUMBER($BA27)), Futs!$BY27 + $BA27, ""), "")</f>
        <v/>
      </c>
      <c r="BI27" s="46" t="str">
        <f ca="1">IFERROR(IF(AND(ISNUMBER(Futs!$BZ27), ISNUMBER($BC27)), Futs!$BZ27 + $BC27, ""), "")</f>
        <v/>
      </c>
      <c r="BJ27" s="47" t="str">
        <f t="shared" ca="1" si="84"/>
        <v/>
      </c>
      <c r="BK27" s="111" t="str">
        <f t="shared" ca="1" si="85"/>
        <v/>
      </c>
      <c r="BL27" s="397" t="str">
        <f ca="1">IFERROR(INDEX(ICE[], MATCH("icewcstitma" &amp; TEXT(Crd!$A27, "mmmyy"), ICE[LongCode], 0), MATCH("ICE Theoretical Price", ICE[#Headers], 0)), "")</f>
        <v/>
      </c>
      <c r="BM27" s="364" t="str">
        <f ca="1">IFERROR(INDEX(ICE[], MATCH("icewcstitma" &amp; TEXT(Crd!$A27, "mmmyy"), ICE[LongCode], 0), MATCH("Text", ICE[#Headers], 0)), "")</f>
        <v xml:space="preserve"> /  </v>
      </c>
      <c r="BN27" s="46" t="str">
        <f t="shared" ca="1" si="62"/>
        <v/>
      </c>
      <c r="BO27" s="47" t="str">
        <f t="shared" ca="1" si="86"/>
        <v/>
      </c>
      <c r="BP27" s="46" t="str">
        <f t="shared" ca="1" si="87"/>
        <v/>
      </c>
      <c r="BQ27" s="141" t="str">
        <f ca="1">IFERROR(IF(AND(ISNUMBER($BS27), ISNUMBER(Futs!$CC27)), $BS27 - Futs!$CC27, ""), "")</f>
        <v/>
      </c>
      <c r="BR27" s="46" t="str">
        <f ca="1">IFERROR(IF(AND(ISNUMBER($BT27), ISNUMBER(Futs!$CD27)), $BT27 - Futs!$CD27, ""), "")</f>
        <v/>
      </c>
      <c r="BS27" s="141" t="str">
        <f ca="1">IFERROR(IF(AND(ISNUMBER(Futs!$BY27), ISNUMBER($BL27)), Futs!$BY27 + $BL27, ""), "")</f>
        <v/>
      </c>
      <c r="BT27" s="46" t="str">
        <f ca="1">IFERROR(IF(AND(ISNUMBER(Futs!$BZ27), ISNUMBER($BN27)), Futs!$BZ27 + $BN27, ""), "")</f>
        <v/>
      </c>
      <c r="BU27" s="47" t="str">
        <f t="shared" ca="1" si="88"/>
        <v/>
      </c>
      <c r="BV27" s="111" t="str">
        <f t="shared" ca="1" si="89"/>
        <v/>
      </c>
      <c r="BX27" s="92"/>
    </row>
    <row r="28" spans="1:77" x14ac:dyDescent="0.25">
      <c r="A28" s="58">
        <f t="shared" ca="1" si="63"/>
        <v>46539</v>
      </c>
      <c r="B28" s="6">
        <f t="shared" ca="1" si="53"/>
        <v>2027</v>
      </c>
      <c r="C28" s="6" t="str">
        <f t="shared" ca="1" si="54"/>
        <v>Q227</v>
      </c>
      <c r="D28" s="28">
        <f ca="1">INDEX(ICE[], MATCH(D$18 &amp; TEXT(Crd!$A28, "mmmyy"), ICE[LongCode], 0), MATCH("Settle", ICE[#Headers], 0))</f>
        <v>0.8</v>
      </c>
      <c r="E28" s="28">
        <f ca="1">INDEX(ICE[], MATCH(E$18 &amp; TEXT(Crd!$A28, "mmmyy"), ICE[LongCode], 0), MATCH("Settle", ICE[#Headers], 0))</f>
        <v>3.1670000000000003</v>
      </c>
      <c r="F28" s="28">
        <f ca="1">INDEX(ICE[], MATCH(F$18 &amp; TEXT(Crd!$A28, "mmmyy"), ICE[LongCode], 0), MATCH("Settle", ICE[#Headers], 0))</f>
        <v>1.2030000000000001</v>
      </c>
      <c r="G28" s="28">
        <f ca="1">INDEX(ICE[], MATCH(G$18 &amp; TEXT(Crd!$A28, "mmmyy"), ICE[LongCode], 0), MATCH("Settle", ICE[#Headers], 0))</f>
        <v>1.7030000000000001</v>
      </c>
      <c r="H28" s="28">
        <f ca="1">INDEX(ICE[], MATCH(H$18 &amp; TEXT(Crd!$A28, "mmmyy"), ICE[LongCode], 0), MATCH("Settle", ICE[#Headers], 0))</f>
        <v>-6.9</v>
      </c>
      <c r="I28" s="397" t="str">
        <f ca="1">IFERROR(INDEX(ICE[], MATCH("dfl" &amp; TEXT(Crd!$A28, "mmmyy"), ICE[LongCode], 0), MATCH("ICE Theoretical Price", ICE[#Headers], 0)), "")</f>
        <v/>
      </c>
      <c r="J28" s="364" t="str">
        <f ca="1">IFERROR(INDEX(ICE[], MATCH("dfl" &amp; TEXT(Crd!$A28, "mmmyy"), ICE[LongCode], 0), MATCH("Text", ICE[#Headers], 0)), "")</f>
        <v xml:space="preserve"> /   |100x</v>
      </c>
      <c r="K28" s="46" t="str">
        <f t="shared" ca="1" si="55"/>
        <v/>
      </c>
      <c r="L28" s="47" t="str">
        <f t="shared" ca="1" si="64"/>
        <v/>
      </c>
      <c r="M28" s="46" t="str">
        <f t="shared" ca="1" si="65"/>
        <v/>
      </c>
      <c r="N28" s="141" t="str">
        <f ca="1">IFERROR(IF(AND(ISNUMBER(Futs!$CC28), ISNUMBER($I28)), Futs!$CC28 + $I28, ""), "")</f>
        <v/>
      </c>
      <c r="O28" s="46" t="str">
        <f ca="1">IFERROR(IF(AND(ISNUMBER(Futs!$CD28), ISNUMBER($K28)), Futs!$CD28 + $K28, ""), "")</f>
        <v/>
      </c>
      <c r="P28" s="47" t="str">
        <f t="shared" ca="1" si="66"/>
        <v/>
      </c>
      <c r="Q28" s="364" t="str">
        <f ca="1">IFERROR(INDEX(ICE[], MATCH("dtd" &amp; TEXT(Crd!$A27, "mmmyy") &amp; "/" &amp; TEXT(Crd!$A28, "mmmyy"), ICE[LongCode], 0), MATCH("Text", ICE[#Headers], 0)), "")</f>
        <v/>
      </c>
      <c r="R28" s="111" t="str">
        <f t="shared" ca="1" si="67"/>
        <v/>
      </c>
      <c r="S28" s="400" t="str">
        <f ca="1">IFERROR(INDEX(ICE[], MATCH("brdub" &amp; TEXT(Crd!$A28, "mmmyy"), ICE[LongCode], 0), MATCH("ICE Theoretical Price", ICE[#Headers], 0)), "")</f>
        <v/>
      </c>
      <c r="T28" s="364" t="str">
        <f ca="1">IFERROR(INDEX(ICE[], MATCH("brdub" &amp; TEXT(Crd!$A28, "mmmyy"), ICE[LongCode], 0), MATCH("Text", ICE[#Headers], 0)), "")</f>
        <v xml:space="preserve"> /  {3.43} |82x</v>
      </c>
      <c r="U28" s="46" t="str">
        <f t="shared" ca="1" si="56"/>
        <v/>
      </c>
      <c r="V28" s="68" t="str">
        <f t="shared" ca="1" si="68"/>
        <v/>
      </c>
      <c r="W28" s="46" t="str">
        <f t="shared" ca="1" si="69"/>
        <v/>
      </c>
      <c r="X28" s="187" t="str">
        <f ca="1">IFERROR(IF(AND(ISNUMBER(Futs!$CC28), ISNUMBER($S28)), Futs!$CC28 - $S28, ""), "")</f>
        <v/>
      </c>
      <c r="Y28" s="46" t="str">
        <f ca="1">IFERROR(IF(AND(ISNUMBER(Futs!$CD28), ISNUMBER($U28)), Futs!$CD28 - $U28, ""), "")</f>
        <v/>
      </c>
      <c r="Z28" s="68" t="str">
        <f t="shared" ca="1" si="70"/>
        <v/>
      </c>
      <c r="AA28" s="364" t="str">
        <f ca="1">IFERROR(INDEX(ICE[], MATCH("dub" &amp; TEXT(Crd!$A27, "mmmyy") &amp; "/" &amp; TEXT(Crd!$A28, "mmmyy"), ICE[LongCode], 0), MATCH("Text", ICE[#Headers], 0)), "")</f>
        <v/>
      </c>
      <c r="AB28" s="46" t="str">
        <f t="shared" ca="1" si="71"/>
        <v/>
      </c>
      <c r="AC28" s="271" t="str">
        <f t="shared" ca="1" si="57"/>
        <v/>
      </c>
      <c r="AD28" s="46" t="str">
        <f t="shared" ca="1" si="58"/>
        <v/>
      </c>
      <c r="AE28" s="68" t="str">
        <f t="shared" ca="1" si="72"/>
        <v/>
      </c>
      <c r="AF28" s="111" t="str">
        <f t="shared" ca="1" si="73"/>
        <v/>
      </c>
      <c r="AG28" s="397" t="str">
        <f ca="1">IFERROR(INDEX(ICE[], MATCH("icemidticma" &amp; TEXT(Crd!$A28, "mmmyy"), ICE[LongCode], 0), MATCH("ICE Theoretical Price", ICE[#Headers], 0)), "")</f>
        <v/>
      </c>
      <c r="AH28" s="364" t="str">
        <f ca="1">IFERROR(INDEX(ICE[], MATCH("icemidticma" &amp; TEXT(Crd!$A28, "mmmyy"), ICE[LongCode], 0), MATCH("Text", ICE[#Headers], 0)), "")</f>
        <v xml:space="preserve"> /  </v>
      </c>
      <c r="AI28" s="46" t="str">
        <f t="shared" ca="1" si="59"/>
        <v/>
      </c>
      <c r="AJ28" s="47" t="str">
        <f t="shared" ca="1" si="74"/>
        <v/>
      </c>
      <c r="AK28" s="46" t="str">
        <f t="shared" ca="1" si="75"/>
        <v/>
      </c>
      <c r="AL28" s="141" t="str">
        <f ca="1">IFERROR(IF(AND(ISNUMBER(Futs!$BY28), ISNUMBER($AG28)), Futs!$BY28 + $AG28, ""), "")</f>
        <v/>
      </c>
      <c r="AM28" s="46" t="str">
        <f ca="1">IFERROR(IF(AND(ISNUMBER(Futs!$BZ28), ISNUMBER($AI28)), Futs!$BZ28 + $AI28, ""), "")</f>
        <v/>
      </c>
      <c r="AN28" s="47" t="str">
        <f t="shared" ca="1" si="76"/>
        <v/>
      </c>
      <c r="AO28" s="111" t="str">
        <f t="shared" ca="1" si="77"/>
        <v/>
      </c>
      <c r="AP28" s="397" t="str">
        <f ca="1">IFERROR(INDEX(ICE[], MATCH("icemehticma" &amp; TEXT(Crd!$A28, "mmmyy"), ICE[LongCode], 0), MATCH("ICE Theoretical Price", ICE[#Headers], 0)), "")</f>
        <v/>
      </c>
      <c r="AQ28" s="364" t="str">
        <f ca="1">IFERROR(INDEX(ICE[], MATCH("icemehticma" &amp; TEXT(Crd!$A28, "mmmyy"), ICE[LongCode], 0), MATCH("Text", ICE[#Headers], 0)), "")</f>
        <v xml:space="preserve"> /  </v>
      </c>
      <c r="AR28" s="46" t="str">
        <f t="shared" ca="1" si="60"/>
        <v/>
      </c>
      <c r="AS28" s="47" t="str">
        <f t="shared" ca="1" si="78"/>
        <v/>
      </c>
      <c r="AT28" s="46" t="str">
        <f t="shared" ca="1" si="79"/>
        <v/>
      </c>
      <c r="AU28" s="141" t="str">
        <f ca="1">IFERROR(IF(AND(ISNUMBER($BH28), ISNUMBER(Futs!$CC28)), $BH28 - Futs!$CC28, ""), "")</f>
        <v/>
      </c>
      <c r="AV28" s="46" t="str">
        <f ca="1">IFERROR(IF(AND(ISNUMBER($BI28), ISNUMBER(Futs!$CD28)), $BI28 - Futs!$CD28, ""), "")</f>
        <v/>
      </c>
      <c r="AW28" s="141" t="str">
        <f ca="1">IFERROR(IF(AND(ISNUMBER(Futs!$BY28), ISNUMBER($BA28)), Futs!$BY28 + $BA28, ""), "")</f>
        <v/>
      </c>
      <c r="AX28" s="46" t="str">
        <f ca="1">IFERROR(IF(AND(ISNUMBER(Futs!$BZ28), ISNUMBER($BC28)), Futs!$BZ28 + $BC28, ""), "")</f>
        <v/>
      </c>
      <c r="AY28" s="47" t="str">
        <f t="shared" ca="1" si="80"/>
        <v/>
      </c>
      <c r="AZ28" s="46" t="str">
        <f t="shared" ca="1" si="81"/>
        <v/>
      </c>
      <c r="BA28" s="594" t="str">
        <f ca="1">IFERROR(INDEX(ICE[], MATCH("icemehticma" &amp; TEXT(Crd!$A28, "mmmyy"), ICE[LongCode], 0), MATCH("ICE Theoretical Price", ICE[#Headers], 0)), "")</f>
        <v/>
      </c>
      <c r="BB28" s="364" t="str">
        <f ca="1">IFERROR(INDEX(ICE[], MATCH("icemehticma" &amp; TEXT(Crd!$A28, "mmmyy"), ICE[LongCode], 0), MATCH("Text", ICE[#Headers], 0)), "")</f>
        <v xml:space="preserve"> /  </v>
      </c>
      <c r="BC28" s="46" t="str">
        <f t="shared" ca="1" si="61"/>
        <v/>
      </c>
      <c r="BD28" s="47" t="str">
        <f t="shared" ca="1" si="82"/>
        <v/>
      </c>
      <c r="BE28" s="46" t="str">
        <f t="shared" ca="1" si="83"/>
        <v/>
      </c>
      <c r="BF28" s="141" t="str">
        <f ca="1">IFERROR(IF(AND(ISNUMBER($BH28), ISNUMBER(Futs!$CC28)), $BH28 - Futs!$CC28, ""), "")</f>
        <v/>
      </c>
      <c r="BG28" s="46" t="str">
        <f ca="1">IFERROR(IF(AND(ISNUMBER($BI28), ISNUMBER(Futs!$CD28)), $BI28 - Futs!$CD28, ""), "")</f>
        <v/>
      </c>
      <c r="BH28" s="141" t="str">
        <f ca="1">IFERROR(IF(AND(ISNUMBER(Futs!$BY28), ISNUMBER($BA28)), Futs!$BY28 + $BA28, ""), "")</f>
        <v/>
      </c>
      <c r="BI28" s="46" t="str">
        <f ca="1">IFERROR(IF(AND(ISNUMBER(Futs!$BZ28), ISNUMBER($BC28)), Futs!$BZ28 + $BC28, ""), "")</f>
        <v/>
      </c>
      <c r="BJ28" s="47" t="str">
        <f t="shared" ca="1" si="84"/>
        <v/>
      </c>
      <c r="BK28" s="111" t="str">
        <f t="shared" ca="1" si="85"/>
        <v/>
      </c>
      <c r="BL28" s="397" t="str">
        <f ca="1">IFERROR(INDEX(ICE[], MATCH("icewcstitma" &amp; TEXT(Crd!$A28, "mmmyy"), ICE[LongCode], 0), MATCH("ICE Theoretical Price", ICE[#Headers], 0)), "")</f>
        <v/>
      </c>
      <c r="BM28" s="364" t="str">
        <f ca="1">IFERROR(INDEX(ICE[], MATCH("icewcstitma" &amp; TEXT(Crd!$A28, "mmmyy"), ICE[LongCode], 0), MATCH("Text", ICE[#Headers], 0)), "")</f>
        <v xml:space="preserve"> /  </v>
      </c>
      <c r="BN28" s="46" t="str">
        <f t="shared" ca="1" si="62"/>
        <v/>
      </c>
      <c r="BO28" s="47" t="str">
        <f t="shared" ca="1" si="86"/>
        <v/>
      </c>
      <c r="BP28" s="46" t="str">
        <f t="shared" ca="1" si="87"/>
        <v/>
      </c>
      <c r="BQ28" s="141" t="str">
        <f ca="1">IFERROR(IF(AND(ISNUMBER($BS28), ISNUMBER(Futs!$CC28)), $BS28 - Futs!$CC28, ""), "")</f>
        <v/>
      </c>
      <c r="BR28" s="46" t="str">
        <f ca="1">IFERROR(IF(AND(ISNUMBER($BT28), ISNUMBER(Futs!$CD28)), $BT28 - Futs!$CD28, ""), "")</f>
        <v/>
      </c>
      <c r="BS28" s="141" t="str">
        <f ca="1">IFERROR(IF(AND(ISNUMBER(Futs!$BY28), ISNUMBER($BL28)), Futs!$BY28 + $BL28, ""), "")</f>
        <v/>
      </c>
      <c r="BT28" s="46" t="str">
        <f ca="1">IFERROR(IF(AND(ISNUMBER(Futs!$BZ28), ISNUMBER($BN28)), Futs!$BZ28 + $BN28, ""), "")</f>
        <v/>
      </c>
      <c r="BU28" s="47" t="str">
        <f t="shared" ca="1" si="88"/>
        <v/>
      </c>
      <c r="BV28" s="111" t="str">
        <f t="shared" ca="1" si="89"/>
        <v/>
      </c>
      <c r="BX28" s="92"/>
    </row>
    <row r="29" spans="1:77" x14ac:dyDescent="0.25">
      <c r="A29" s="58">
        <f t="shared" ca="1" si="63"/>
        <v>46569</v>
      </c>
      <c r="B29" s="6">
        <f t="shared" ca="1" si="53"/>
        <v>2027</v>
      </c>
      <c r="C29" s="6" t="str">
        <f t="shared" ca="1" si="54"/>
        <v>Q327</v>
      </c>
      <c r="D29" s="28">
        <f ca="1">INDEX(ICE[], MATCH(D$18 &amp; TEXT(Crd!$A29, "mmmyy"), ICE[LongCode], 0), MATCH("Settle", ICE[#Headers], 0))</f>
        <v>0.68</v>
      </c>
      <c r="E29" s="28">
        <f ca="1">INDEX(ICE[], MATCH(E$18 &amp; TEXT(Crd!$A29, "mmmyy"), ICE[LongCode], 0), MATCH("Settle", ICE[#Headers], 0))</f>
        <v>3.1550000000000002</v>
      </c>
      <c r="F29" s="28">
        <f ca="1">INDEX(ICE[], MATCH(F$18 &amp; TEXT(Crd!$A29, "mmmyy"), ICE[LongCode], 0), MATCH("Settle", ICE[#Headers], 0))</f>
        <v>1.216</v>
      </c>
      <c r="G29" s="28">
        <f ca="1">INDEX(ICE[], MATCH(G$18 &amp; TEXT(Crd!$A29, "mmmyy"), ICE[LongCode], 0), MATCH("Settle", ICE[#Headers], 0))</f>
        <v>1.859</v>
      </c>
      <c r="H29" s="28">
        <f ca="1">INDEX(ICE[], MATCH(H$18 &amp; TEXT(Crd!$A29, "mmmyy"), ICE[LongCode], 0), MATCH("Settle", ICE[#Headers], 0))</f>
        <v>-7.3</v>
      </c>
      <c r="I29" s="397" t="str">
        <f ca="1">IFERROR(INDEX(ICE[], MATCH("dfl" &amp; TEXT(Crd!$A29, "mmmyy"), ICE[LongCode], 0), MATCH("ICE Theoretical Price", ICE[#Headers], 0)), "")</f>
        <v/>
      </c>
      <c r="J29" s="364" t="str">
        <f ca="1">IFERROR(INDEX(ICE[], MATCH("dfl" &amp; TEXT(Crd!$A29, "mmmyy"), ICE[LongCode], 0), MATCH("Text", ICE[#Headers], 0)), "")</f>
        <v xml:space="preserve"> /  </v>
      </c>
      <c r="K29" s="46" t="str">
        <f t="shared" ca="1" si="55"/>
        <v/>
      </c>
      <c r="L29" s="47" t="str">
        <f t="shared" ca="1" si="64"/>
        <v/>
      </c>
      <c r="M29" s="46" t="str">
        <f t="shared" ca="1" si="65"/>
        <v/>
      </c>
      <c r="N29" s="141" t="str">
        <f ca="1">IFERROR(IF(AND(ISNUMBER(Futs!$CC29), ISNUMBER($I29)), Futs!$CC29 + $I29, ""), "")</f>
        <v/>
      </c>
      <c r="O29" s="46" t="str">
        <f ca="1">IFERROR(IF(AND(ISNUMBER(Futs!$CD29), ISNUMBER($K29)), Futs!$CD29 + $K29, ""), "")</f>
        <v/>
      </c>
      <c r="P29" s="47" t="str">
        <f t="shared" ca="1" si="66"/>
        <v/>
      </c>
      <c r="Q29" s="364" t="str">
        <f ca="1">IFERROR(INDEX(ICE[], MATCH("dtd" &amp; TEXT(Crd!$A28, "mmmyy") &amp; "/" &amp; TEXT(Crd!$A29, "mmmyy"), ICE[LongCode], 0), MATCH("Text", ICE[#Headers], 0)), "")</f>
        <v/>
      </c>
      <c r="R29" s="111" t="str">
        <f t="shared" ca="1" si="67"/>
        <v/>
      </c>
      <c r="S29" s="400" t="str">
        <f ca="1">IFERROR(INDEX(ICE[], MATCH("brdub" &amp; TEXT(Crd!$A29, "mmmyy"), ICE[LongCode], 0), MATCH("ICE Theoretical Price", ICE[#Headers], 0)), "")</f>
        <v/>
      </c>
      <c r="T29" s="364" t="str">
        <f ca="1">IFERROR(INDEX(ICE[], MATCH("brdub" &amp; TEXT(Crd!$A29, "mmmyy"), ICE[LongCode], 0), MATCH("Text", ICE[#Headers], 0)), "")</f>
        <v xml:space="preserve"> /  {3.39} |35x</v>
      </c>
      <c r="U29" s="46" t="str">
        <f t="shared" ca="1" si="56"/>
        <v/>
      </c>
      <c r="V29" s="68" t="str">
        <f t="shared" ca="1" si="68"/>
        <v/>
      </c>
      <c r="W29" s="46" t="str">
        <f t="shared" ca="1" si="69"/>
        <v/>
      </c>
      <c r="X29" s="187" t="str">
        <f ca="1">IFERROR(IF(AND(ISNUMBER(Futs!$CC29), ISNUMBER($S29)), Futs!$CC29 - $S29, ""), "")</f>
        <v/>
      </c>
      <c r="Y29" s="46" t="str">
        <f ca="1">IFERROR(IF(AND(ISNUMBER(Futs!$CD29), ISNUMBER($U29)), Futs!$CD29 - $U29, ""), "")</f>
        <v/>
      </c>
      <c r="Z29" s="68" t="str">
        <f t="shared" ca="1" si="70"/>
        <v/>
      </c>
      <c r="AA29" s="364" t="str">
        <f ca="1">IFERROR(INDEX(ICE[], MATCH("dub" &amp; TEXT(Crd!$A28, "mmmyy") &amp; "/" &amp; TEXT(Crd!$A29, "mmmyy"), ICE[LongCode], 0), MATCH("Text", ICE[#Headers], 0)), "")</f>
        <v/>
      </c>
      <c r="AB29" s="46" t="str">
        <f t="shared" ca="1" si="71"/>
        <v/>
      </c>
      <c r="AC29" s="271" t="str">
        <f t="shared" ca="1" si="57"/>
        <v/>
      </c>
      <c r="AD29" s="46" t="str">
        <f t="shared" ca="1" si="58"/>
        <v/>
      </c>
      <c r="AE29" s="68" t="str">
        <f t="shared" ca="1" si="72"/>
        <v/>
      </c>
      <c r="AF29" s="111" t="str">
        <f t="shared" ca="1" si="73"/>
        <v/>
      </c>
      <c r="AG29" s="397" t="str">
        <f ca="1">IFERROR(INDEX(ICE[], MATCH("icemidticma" &amp; TEXT(Crd!$A29, "mmmyy"), ICE[LongCode], 0), MATCH("ICE Theoretical Price", ICE[#Headers], 0)), "")</f>
        <v/>
      </c>
      <c r="AH29" s="364" t="str">
        <f ca="1">IFERROR(INDEX(ICE[], MATCH("icemidticma" &amp; TEXT(Crd!$A29, "mmmyy"), ICE[LongCode], 0), MATCH("Text", ICE[#Headers], 0)), "")</f>
        <v xml:space="preserve"> /  </v>
      </c>
      <c r="AI29" s="46" t="str">
        <f t="shared" ca="1" si="59"/>
        <v/>
      </c>
      <c r="AJ29" s="47" t="str">
        <f t="shared" ca="1" si="74"/>
        <v/>
      </c>
      <c r="AK29" s="46" t="str">
        <f t="shared" ca="1" si="75"/>
        <v/>
      </c>
      <c r="AL29" s="141" t="str">
        <f ca="1">IFERROR(IF(AND(ISNUMBER(Futs!$BY29), ISNUMBER($AG29)), Futs!$BY29 + $AG29, ""), "")</f>
        <v/>
      </c>
      <c r="AM29" s="46" t="str">
        <f ca="1">IFERROR(IF(AND(ISNUMBER(Futs!$BZ29), ISNUMBER($AI29)), Futs!$BZ29 + $AI29, ""), "")</f>
        <v/>
      </c>
      <c r="AN29" s="47" t="str">
        <f t="shared" ca="1" si="76"/>
        <v/>
      </c>
      <c r="AO29" s="111" t="str">
        <f t="shared" ca="1" si="77"/>
        <v/>
      </c>
      <c r="AP29" s="397" t="str">
        <f ca="1">IFERROR(INDEX(ICE[], MATCH("icemehticma" &amp; TEXT(Crd!$A29, "mmmyy"), ICE[LongCode], 0), MATCH("ICE Theoretical Price", ICE[#Headers], 0)), "")</f>
        <v/>
      </c>
      <c r="AQ29" s="364" t="str">
        <f ca="1">IFERROR(INDEX(ICE[], MATCH("icemehticma" &amp; TEXT(Crd!$A29, "mmmyy"), ICE[LongCode], 0), MATCH("Text", ICE[#Headers], 0)), "")</f>
        <v xml:space="preserve"> /  </v>
      </c>
      <c r="AR29" s="46" t="str">
        <f t="shared" ca="1" si="60"/>
        <v/>
      </c>
      <c r="AS29" s="47" t="str">
        <f t="shared" ca="1" si="78"/>
        <v/>
      </c>
      <c r="AT29" s="46" t="str">
        <f t="shared" ca="1" si="79"/>
        <v/>
      </c>
      <c r="AU29" s="141" t="str">
        <f ca="1">IFERROR(IF(AND(ISNUMBER($BH29), ISNUMBER(Futs!$CC29)), $BH29 - Futs!$CC29, ""), "")</f>
        <v/>
      </c>
      <c r="AV29" s="46" t="str">
        <f ca="1">IFERROR(IF(AND(ISNUMBER($BI29), ISNUMBER(Futs!$CD29)), $BI29 - Futs!$CD29, ""), "")</f>
        <v/>
      </c>
      <c r="AW29" s="141" t="str">
        <f ca="1">IFERROR(IF(AND(ISNUMBER(Futs!$BY29), ISNUMBER($BA29)), Futs!$BY29 + $BA29, ""), "")</f>
        <v/>
      </c>
      <c r="AX29" s="46" t="str">
        <f ca="1">IFERROR(IF(AND(ISNUMBER(Futs!$BZ29), ISNUMBER($BC29)), Futs!$BZ29 + $BC29, ""), "")</f>
        <v/>
      </c>
      <c r="AY29" s="47" t="str">
        <f t="shared" ca="1" si="80"/>
        <v/>
      </c>
      <c r="AZ29" s="46" t="str">
        <f t="shared" ca="1" si="81"/>
        <v/>
      </c>
      <c r="BA29" s="594" t="str">
        <f ca="1">IFERROR(INDEX(ICE[], MATCH("icemehticma" &amp; TEXT(Crd!$A29, "mmmyy"), ICE[LongCode], 0), MATCH("ICE Theoretical Price", ICE[#Headers], 0)), "")</f>
        <v/>
      </c>
      <c r="BB29" s="364" t="str">
        <f ca="1">IFERROR(INDEX(ICE[], MATCH("icemehticma" &amp; TEXT(Crd!$A29, "mmmyy"), ICE[LongCode], 0), MATCH("Text", ICE[#Headers], 0)), "")</f>
        <v xml:space="preserve"> /  </v>
      </c>
      <c r="BC29" s="46" t="str">
        <f t="shared" ca="1" si="61"/>
        <v/>
      </c>
      <c r="BD29" s="47" t="str">
        <f t="shared" ca="1" si="82"/>
        <v/>
      </c>
      <c r="BE29" s="46" t="str">
        <f t="shared" ca="1" si="83"/>
        <v/>
      </c>
      <c r="BF29" s="141" t="str">
        <f ca="1">IFERROR(IF(AND(ISNUMBER($BH29), ISNUMBER(Futs!$CC29)), $BH29 - Futs!$CC29, ""), "")</f>
        <v/>
      </c>
      <c r="BG29" s="46" t="str">
        <f ca="1">IFERROR(IF(AND(ISNUMBER($BI29), ISNUMBER(Futs!$CD29)), $BI29 - Futs!$CD29, ""), "")</f>
        <v/>
      </c>
      <c r="BH29" s="141" t="str">
        <f ca="1">IFERROR(IF(AND(ISNUMBER(Futs!$BY29), ISNUMBER($BA29)), Futs!$BY29 + $BA29, ""), "")</f>
        <v/>
      </c>
      <c r="BI29" s="46" t="str">
        <f ca="1">IFERROR(IF(AND(ISNUMBER(Futs!$BZ29), ISNUMBER($BC29)), Futs!$BZ29 + $BC29, ""), "")</f>
        <v/>
      </c>
      <c r="BJ29" s="47" t="str">
        <f t="shared" ca="1" si="84"/>
        <v/>
      </c>
      <c r="BK29" s="111" t="str">
        <f t="shared" ca="1" si="85"/>
        <v/>
      </c>
      <c r="BL29" s="397" t="str">
        <f ca="1">IFERROR(INDEX(ICE[], MATCH("icewcstitma" &amp; TEXT(Crd!$A29, "mmmyy"), ICE[LongCode], 0), MATCH("ICE Theoretical Price", ICE[#Headers], 0)), "")</f>
        <v/>
      </c>
      <c r="BM29" s="364" t="str">
        <f ca="1">IFERROR(INDEX(ICE[], MATCH("icewcstitma" &amp; TEXT(Crd!$A29, "mmmyy"), ICE[LongCode], 0), MATCH("Text", ICE[#Headers], 0)), "")</f>
        <v xml:space="preserve"> /  </v>
      </c>
      <c r="BN29" s="46" t="str">
        <f t="shared" ca="1" si="62"/>
        <v/>
      </c>
      <c r="BO29" s="47" t="str">
        <f t="shared" ca="1" si="86"/>
        <v/>
      </c>
      <c r="BP29" s="46" t="str">
        <f t="shared" ca="1" si="87"/>
        <v/>
      </c>
      <c r="BQ29" s="141" t="str">
        <f ca="1">IFERROR(IF(AND(ISNUMBER($BS29), ISNUMBER(Futs!$CC29)), $BS29 - Futs!$CC29, ""), "")</f>
        <v/>
      </c>
      <c r="BR29" s="46" t="str">
        <f ca="1">IFERROR(IF(AND(ISNUMBER($BT29), ISNUMBER(Futs!$CD29)), $BT29 - Futs!$CD29, ""), "")</f>
        <v/>
      </c>
      <c r="BS29" s="141" t="str">
        <f ca="1">IFERROR(IF(AND(ISNUMBER(Futs!$BY29), ISNUMBER($BL29)), Futs!$BY29 + $BL29, ""), "")</f>
        <v/>
      </c>
      <c r="BT29" s="46" t="str">
        <f ca="1">IFERROR(IF(AND(ISNUMBER(Futs!$BZ29), ISNUMBER($BN29)), Futs!$BZ29 + $BN29, ""), "")</f>
        <v/>
      </c>
      <c r="BU29" s="47" t="str">
        <f t="shared" ca="1" si="88"/>
        <v/>
      </c>
      <c r="BV29" s="111" t="str">
        <f t="shared" ca="1" si="89"/>
        <v/>
      </c>
      <c r="BX29" s="92"/>
    </row>
    <row r="30" spans="1:77" x14ac:dyDescent="0.25">
      <c r="A30" s="58">
        <f t="shared" ca="1" si="63"/>
        <v>46600</v>
      </c>
      <c r="B30" s="6">
        <f t="shared" ca="1" si="53"/>
        <v>2027</v>
      </c>
      <c r="C30" s="6" t="str">
        <f t="shared" ca="1" si="54"/>
        <v>Q327</v>
      </c>
      <c r="D30" s="28">
        <f ca="1">INDEX(ICE[], MATCH(D$18 &amp; TEXT(Crd!$A30, "mmmyy"), ICE[LongCode], 0), MATCH("Settle", ICE[#Headers], 0))</f>
        <v>0.62</v>
      </c>
      <c r="E30" s="28">
        <f ca="1">INDEX(ICE[], MATCH(E$18 &amp; TEXT(Crd!$A30, "mmmyy"), ICE[LongCode], 0), MATCH("Settle", ICE[#Headers], 0))</f>
        <v>3.0680000000000001</v>
      </c>
      <c r="F30" s="28">
        <f ca="1">INDEX(ICE[], MATCH(F$18 &amp; TEXT(Crd!$A30, "mmmyy"), ICE[LongCode], 0), MATCH("Settle", ICE[#Headers], 0))</f>
        <v>1.218</v>
      </c>
      <c r="G30" s="28">
        <f ca="1">INDEX(ICE[], MATCH(G$18 &amp; TEXT(Crd!$A30, "mmmyy"), ICE[LongCode], 0), MATCH("Settle", ICE[#Headers], 0))</f>
        <v>1.9360000000000002</v>
      </c>
      <c r="H30" s="28">
        <f ca="1">INDEX(ICE[], MATCH(H$18 &amp; TEXT(Crd!$A30, "mmmyy"), ICE[LongCode], 0), MATCH("Settle", ICE[#Headers], 0))</f>
        <v>-7.75</v>
      </c>
      <c r="I30" s="397" t="str">
        <f ca="1">IFERROR(INDEX(ICE[], MATCH("dfl" &amp; TEXT(Crd!$A30, "mmmyy"), ICE[LongCode], 0), MATCH("ICE Theoretical Price", ICE[#Headers], 0)), "")</f>
        <v/>
      </c>
      <c r="J30" s="364" t="str">
        <f ca="1">IFERROR(INDEX(ICE[], MATCH("dfl" &amp; TEXT(Crd!$A30, "mmmyy"), ICE[LongCode], 0), MATCH("Text", ICE[#Headers], 0)), "")</f>
        <v xml:space="preserve"> /  {1.03} |10x</v>
      </c>
      <c r="K30" s="46" t="str">
        <f t="shared" ca="1" si="55"/>
        <v/>
      </c>
      <c r="L30" s="47" t="str">
        <f t="shared" ca="1" si="64"/>
        <v/>
      </c>
      <c r="M30" s="46" t="str">
        <f t="shared" ca="1" si="65"/>
        <v/>
      </c>
      <c r="N30" s="141" t="str">
        <f ca="1">IFERROR(IF(AND(ISNUMBER(Futs!$CC30), ISNUMBER($I30)), Futs!$CC30 + $I30, ""), "")</f>
        <v/>
      </c>
      <c r="O30" s="46" t="str">
        <f ca="1">IFERROR(IF(AND(ISNUMBER(Futs!$CD30), ISNUMBER($K30)), Futs!$CD30 + $K30, ""), "")</f>
        <v/>
      </c>
      <c r="P30" s="47" t="str">
        <f t="shared" ca="1" si="66"/>
        <v/>
      </c>
      <c r="Q30" s="364" t="str">
        <f ca="1">IFERROR(INDEX(ICE[], MATCH("dtd" &amp; TEXT(Crd!$A29, "mmmyy") &amp; "/" &amp; TEXT(Crd!$A30, "mmmyy"), ICE[LongCode], 0), MATCH("Text", ICE[#Headers], 0)), "")</f>
        <v/>
      </c>
      <c r="R30" s="111" t="str">
        <f t="shared" ca="1" si="67"/>
        <v/>
      </c>
      <c r="S30" s="400" t="str">
        <f ca="1">IFERROR(INDEX(ICE[], MATCH("brdub" &amp; TEXT(Crd!$A30, "mmmyy"), ICE[LongCode], 0), MATCH("ICE Theoretical Price", ICE[#Headers], 0)), "")</f>
        <v/>
      </c>
      <c r="T30" s="364" t="str">
        <f ca="1">IFERROR(INDEX(ICE[], MATCH("brdub" &amp; TEXT(Crd!$A30, "mmmyy"), ICE[LongCode], 0), MATCH("Text", ICE[#Headers], 0)), "")</f>
        <v xml:space="preserve"> /  </v>
      </c>
      <c r="U30" s="46" t="str">
        <f t="shared" ca="1" si="56"/>
        <v/>
      </c>
      <c r="V30" s="68" t="str">
        <f t="shared" ca="1" si="68"/>
        <v/>
      </c>
      <c r="W30" s="46" t="str">
        <f t="shared" ca="1" si="69"/>
        <v/>
      </c>
      <c r="X30" s="187" t="str">
        <f ca="1">IFERROR(IF(AND(ISNUMBER(Futs!$CC30), ISNUMBER($S30)), Futs!$CC30 - $S30, ""), "")</f>
        <v/>
      </c>
      <c r="Y30" s="46" t="str">
        <f ca="1">IFERROR(IF(AND(ISNUMBER(Futs!$CD30), ISNUMBER($U30)), Futs!$CD30 - $U30, ""), "")</f>
        <v/>
      </c>
      <c r="Z30" s="68" t="str">
        <f t="shared" ca="1" si="70"/>
        <v/>
      </c>
      <c r="AA30" s="364" t="str">
        <f ca="1">IFERROR(INDEX(ICE[], MATCH("dub" &amp; TEXT(Crd!$A29, "mmmyy") &amp; "/" &amp; TEXT(Crd!$A30, "mmmyy"), ICE[LongCode], 0), MATCH("Text", ICE[#Headers], 0)), "")</f>
        <v/>
      </c>
      <c r="AB30" s="46" t="str">
        <f t="shared" ca="1" si="71"/>
        <v/>
      </c>
      <c r="AC30" s="271" t="str">
        <f t="shared" ca="1" si="57"/>
        <v/>
      </c>
      <c r="AD30" s="46" t="str">
        <f t="shared" ca="1" si="58"/>
        <v/>
      </c>
      <c r="AE30" s="68" t="str">
        <f t="shared" ca="1" si="72"/>
        <v/>
      </c>
      <c r="AF30" s="111" t="str">
        <f t="shared" ca="1" si="73"/>
        <v/>
      </c>
      <c r="AG30" s="397" t="str">
        <f ca="1">IFERROR(INDEX(ICE[], MATCH("icemidticma" &amp; TEXT(Crd!$A30, "mmmyy"), ICE[LongCode], 0), MATCH("ICE Theoretical Price", ICE[#Headers], 0)), "")</f>
        <v/>
      </c>
      <c r="AH30" s="364" t="str">
        <f ca="1">IFERROR(INDEX(ICE[], MATCH("icemidticma" &amp; TEXT(Crd!$A30, "mmmyy"), ICE[LongCode], 0), MATCH("Text", ICE[#Headers], 0)), "")</f>
        <v xml:space="preserve"> /  </v>
      </c>
      <c r="AI30" s="46" t="str">
        <f t="shared" ca="1" si="59"/>
        <v/>
      </c>
      <c r="AJ30" s="47" t="str">
        <f t="shared" ca="1" si="74"/>
        <v/>
      </c>
      <c r="AK30" s="46" t="str">
        <f t="shared" ca="1" si="75"/>
        <v/>
      </c>
      <c r="AL30" s="141" t="str">
        <f ca="1">IFERROR(IF(AND(ISNUMBER(Futs!$BY30), ISNUMBER($AG30)), Futs!$BY30 + $AG30, ""), "")</f>
        <v/>
      </c>
      <c r="AM30" s="46" t="str">
        <f ca="1">IFERROR(IF(AND(ISNUMBER(Futs!$BZ30), ISNUMBER($AI30)), Futs!$BZ30 + $AI30, ""), "")</f>
        <v/>
      </c>
      <c r="AN30" s="47" t="str">
        <f t="shared" ca="1" si="76"/>
        <v/>
      </c>
      <c r="AO30" s="111" t="str">
        <f t="shared" ca="1" si="77"/>
        <v/>
      </c>
      <c r="AP30" s="397" t="str">
        <f ca="1">IFERROR(INDEX(ICE[], MATCH("icemehticma" &amp; TEXT(Crd!$A30, "mmmyy"), ICE[LongCode], 0), MATCH("ICE Theoretical Price", ICE[#Headers], 0)), "")</f>
        <v/>
      </c>
      <c r="AQ30" s="364" t="str">
        <f ca="1">IFERROR(INDEX(ICE[], MATCH("icemehticma" &amp; TEXT(Crd!$A30, "mmmyy"), ICE[LongCode], 0), MATCH("Text", ICE[#Headers], 0)), "")</f>
        <v xml:space="preserve"> /  </v>
      </c>
      <c r="AR30" s="46" t="str">
        <f t="shared" ca="1" si="60"/>
        <v/>
      </c>
      <c r="AS30" s="47" t="str">
        <f t="shared" ca="1" si="78"/>
        <v/>
      </c>
      <c r="AT30" s="46" t="str">
        <f t="shared" ca="1" si="79"/>
        <v/>
      </c>
      <c r="AU30" s="141" t="str">
        <f ca="1">IFERROR(IF(AND(ISNUMBER($BH30), ISNUMBER(Futs!$CC30)), $BH30 - Futs!$CC30, ""), "")</f>
        <v/>
      </c>
      <c r="AV30" s="46" t="str">
        <f ca="1">IFERROR(IF(AND(ISNUMBER($BI30), ISNUMBER(Futs!$CD30)), $BI30 - Futs!$CD30, ""), "")</f>
        <v/>
      </c>
      <c r="AW30" s="141" t="str">
        <f ca="1">IFERROR(IF(AND(ISNUMBER(Futs!$BY30), ISNUMBER($BA30)), Futs!$BY30 + $BA30, ""), "")</f>
        <v/>
      </c>
      <c r="AX30" s="46" t="str">
        <f ca="1">IFERROR(IF(AND(ISNUMBER(Futs!$BZ30), ISNUMBER($BC30)), Futs!$BZ30 + $BC30, ""), "")</f>
        <v/>
      </c>
      <c r="AY30" s="47" t="str">
        <f t="shared" ca="1" si="80"/>
        <v/>
      </c>
      <c r="AZ30" s="46" t="str">
        <f t="shared" ca="1" si="81"/>
        <v/>
      </c>
      <c r="BA30" s="594" t="str">
        <f ca="1">IFERROR(INDEX(ICE[], MATCH("icemehticma" &amp; TEXT(Crd!$A30, "mmmyy"), ICE[LongCode], 0), MATCH("ICE Theoretical Price", ICE[#Headers], 0)), "")</f>
        <v/>
      </c>
      <c r="BB30" s="364" t="str">
        <f ca="1">IFERROR(INDEX(ICE[], MATCH("icemehticma" &amp; TEXT(Crd!$A30, "mmmyy"), ICE[LongCode], 0), MATCH("Text", ICE[#Headers], 0)), "")</f>
        <v xml:space="preserve"> /  </v>
      </c>
      <c r="BC30" s="46" t="str">
        <f t="shared" ca="1" si="61"/>
        <v/>
      </c>
      <c r="BD30" s="47" t="str">
        <f t="shared" ca="1" si="82"/>
        <v/>
      </c>
      <c r="BE30" s="46" t="str">
        <f t="shared" ca="1" si="83"/>
        <v/>
      </c>
      <c r="BF30" s="141" t="str">
        <f ca="1">IFERROR(IF(AND(ISNUMBER($BH30), ISNUMBER(Futs!$CC30)), $BH30 - Futs!$CC30, ""), "")</f>
        <v/>
      </c>
      <c r="BG30" s="46" t="str">
        <f ca="1">IFERROR(IF(AND(ISNUMBER($BI30), ISNUMBER(Futs!$CD30)), $BI30 - Futs!$CD30, ""), "")</f>
        <v/>
      </c>
      <c r="BH30" s="141" t="str">
        <f ca="1">IFERROR(IF(AND(ISNUMBER(Futs!$BY30), ISNUMBER($BA30)), Futs!$BY30 + $BA30, ""), "")</f>
        <v/>
      </c>
      <c r="BI30" s="46" t="str">
        <f ca="1">IFERROR(IF(AND(ISNUMBER(Futs!$BZ30), ISNUMBER($BC30)), Futs!$BZ30 + $BC30, ""), "")</f>
        <v/>
      </c>
      <c r="BJ30" s="47" t="str">
        <f t="shared" ca="1" si="84"/>
        <v/>
      </c>
      <c r="BK30" s="111" t="str">
        <f t="shared" ca="1" si="85"/>
        <v/>
      </c>
      <c r="BL30" s="397" t="str">
        <f ca="1">IFERROR(INDEX(ICE[], MATCH("icewcstitma" &amp; TEXT(Crd!$A30, "mmmyy"), ICE[LongCode], 0), MATCH("ICE Theoretical Price", ICE[#Headers], 0)), "")</f>
        <v/>
      </c>
      <c r="BM30" s="364" t="str">
        <f ca="1">IFERROR(INDEX(ICE[], MATCH("icewcstitma" &amp; TEXT(Crd!$A30, "mmmyy"), ICE[LongCode], 0), MATCH("Text", ICE[#Headers], 0)), "")</f>
        <v xml:space="preserve"> /  </v>
      </c>
      <c r="BN30" s="46" t="str">
        <f t="shared" ca="1" si="62"/>
        <v/>
      </c>
      <c r="BO30" s="47" t="str">
        <f t="shared" ca="1" si="86"/>
        <v/>
      </c>
      <c r="BP30" s="46" t="str">
        <f t="shared" ca="1" si="87"/>
        <v/>
      </c>
      <c r="BQ30" s="141" t="str">
        <f ca="1">IFERROR(IF(AND(ISNUMBER($BS30), ISNUMBER(Futs!$CC30)), $BS30 - Futs!$CC30, ""), "")</f>
        <v/>
      </c>
      <c r="BR30" s="46" t="str">
        <f ca="1">IFERROR(IF(AND(ISNUMBER($BT30), ISNUMBER(Futs!$CD30)), $BT30 - Futs!$CD30, ""), "")</f>
        <v/>
      </c>
      <c r="BS30" s="141" t="str">
        <f ca="1">IFERROR(IF(AND(ISNUMBER(Futs!$BY30), ISNUMBER($BL30)), Futs!$BY30 + $BL30, ""), "")</f>
        <v/>
      </c>
      <c r="BT30" s="46" t="str">
        <f ca="1">IFERROR(IF(AND(ISNUMBER(Futs!$BZ30), ISNUMBER($BN30)), Futs!$BZ30 + $BN30, ""), "")</f>
        <v/>
      </c>
      <c r="BU30" s="47" t="str">
        <f t="shared" ca="1" si="88"/>
        <v/>
      </c>
      <c r="BV30" s="111" t="str">
        <f t="shared" ca="1" si="89"/>
        <v/>
      </c>
      <c r="BX30" s="92"/>
    </row>
    <row r="31" spans="1:77" x14ac:dyDescent="0.25">
      <c r="A31" s="58">
        <f t="shared" ca="1" si="63"/>
        <v>46631</v>
      </c>
      <c r="B31" s="6">
        <f t="shared" ca="1" si="53"/>
        <v>2027</v>
      </c>
      <c r="C31" s="6" t="str">
        <f t="shared" ca="1" si="54"/>
        <v>Q327</v>
      </c>
      <c r="D31" s="28">
        <f ca="1">INDEX(ICE[], MATCH(D$18 &amp; TEXT(Crd!$A31, "mmmyy"), ICE[LongCode], 0), MATCH("Settle", ICE[#Headers], 0))</f>
        <v>0.56000000000000005</v>
      </c>
      <c r="E31" s="28">
        <f ca="1">INDEX(ICE[], MATCH(E$18 &amp; TEXT(Crd!$A31, "mmmyy"), ICE[LongCode], 0), MATCH("Settle", ICE[#Headers], 0))</f>
        <v>2.99</v>
      </c>
      <c r="F31" s="28">
        <f ca="1">INDEX(ICE[], MATCH(F$18 &amp; TEXT(Crd!$A31, "mmmyy"), ICE[LongCode], 0), MATCH("Settle", ICE[#Headers], 0))</f>
        <v>1.2210000000000001</v>
      </c>
      <c r="G31" s="28">
        <f ca="1">INDEX(ICE[], MATCH(G$18 &amp; TEXT(Crd!$A31, "mmmyy"), ICE[LongCode], 0), MATCH("Settle", ICE[#Headers], 0))</f>
        <v>1.9370000000000001</v>
      </c>
      <c r="H31" s="28">
        <f ca="1">INDEX(ICE[], MATCH(H$18 &amp; TEXT(Crd!$A31, "mmmyy"), ICE[LongCode], 0), MATCH("Settle", ICE[#Headers], 0))</f>
        <v>-8.1999999999999993</v>
      </c>
      <c r="I31" s="397" t="str">
        <f ca="1">IFERROR(INDEX(ICE[], MATCH("dfl" &amp; TEXT(Crd!$A31, "mmmyy"), ICE[LongCode], 0), MATCH("ICE Theoretical Price", ICE[#Headers], 0)), "")</f>
        <v/>
      </c>
      <c r="J31" s="364" t="str">
        <f ca="1">IFERROR(INDEX(ICE[], MATCH("dfl" &amp; TEXT(Crd!$A31, "mmmyy"), ICE[LongCode], 0), MATCH("Text", ICE[#Headers], 0)), "")</f>
        <v xml:space="preserve"> /  {0.97} |10x</v>
      </c>
      <c r="K31" s="46" t="str">
        <f t="shared" ca="1" si="55"/>
        <v/>
      </c>
      <c r="L31" s="47" t="str">
        <f t="shared" ca="1" si="64"/>
        <v/>
      </c>
      <c r="M31" s="46" t="str">
        <f t="shared" ca="1" si="65"/>
        <v/>
      </c>
      <c r="N31" s="141" t="str">
        <f ca="1">IFERROR(IF(AND(ISNUMBER(Futs!$CC31), ISNUMBER($I31)), Futs!$CC31 + $I31, ""), "")</f>
        <v/>
      </c>
      <c r="O31" s="46" t="str">
        <f ca="1">IFERROR(IF(AND(ISNUMBER(Futs!$CD31), ISNUMBER($K31)), Futs!$CD31 + $K31, ""), "")</f>
        <v/>
      </c>
      <c r="P31" s="47" t="str">
        <f t="shared" ca="1" si="66"/>
        <v/>
      </c>
      <c r="Q31" s="364" t="str">
        <f ca="1">IFERROR(INDEX(ICE[], MATCH("dtd" &amp; TEXT(Crd!$A30, "mmmyy") &amp; "/" &amp; TEXT(Crd!$A31, "mmmyy"), ICE[LongCode], 0), MATCH("Text", ICE[#Headers], 0)), "")</f>
        <v/>
      </c>
      <c r="R31" s="111" t="str">
        <f t="shared" ca="1" si="67"/>
        <v/>
      </c>
      <c r="S31" s="400" t="str">
        <f ca="1">IFERROR(INDEX(ICE[], MATCH("brdub" &amp; TEXT(Crd!$A31, "mmmyy"), ICE[LongCode], 0), MATCH("ICE Theoretical Price", ICE[#Headers], 0)), "")</f>
        <v/>
      </c>
      <c r="T31" s="364" t="str">
        <f ca="1">IFERROR(INDEX(ICE[], MATCH("brdub" &amp; TEXT(Crd!$A31, "mmmyy"), ICE[LongCode], 0), MATCH("Text", ICE[#Headers], 0)), "")</f>
        <v xml:space="preserve"> /  </v>
      </c>
      <c r="U31" s="46" t="str">
        <f t="shared" ca="1" si="56"/>
        <v/>
      </c>
      <c r="V31" s="68" t="str">
        <f t="shared" ca="1" si="68"/>
        <v/>
      </c>
      <c r="W31" s="46" t="str">
        <f t="shared" ca="1" si="69"/>
        <v/>
      </c>
      <c r="X31" s="187" t="str">
        <f ca="1">IFERROR(IF(AND(ISNUMBER(Futs!$CC31), ISNUMBER($S31)), Futs!$CC31 - $S31, ""), "")</f>
        <v/>
      </c>
      <c r="Y31" s="46" t="str">
        <f ca="1">IFERROR(IF(AND(ISNUMBER(Futs!$CD31), ISNUMBER($U31)), Futs!$CD31 - $U31, ""), "")</f>
        <v/>
      </c>
      <c r="Z31" s="68" t="str">
        <f t="shared" ca="1" si="70"/>
        <v/>
      </c>
      <c r="AA31" s="364" t="str">
        <f ca="1">IFERROR(INDEX(ICE[], MATCH("dub" &amp; TEXT(Crd!$A30, "mmmyy") &amp; "/" &amp; TEXT(Crd!$A31, "mmmyy"), ICE[LongCode], 0), MATCH("Text", ICE[#Headers], 0)), "")</f>
        <v/>
      </c>
      <c r="AB31" s="46" t="str">
        <f t="shared" ca="1" si="71"/>
        <v/>
      </c>
      <c r="AC31" s="271" t="str">
        <f t="shared" ca="1" si="57"/>
        <v/>
      </c>
      <c r="AD31" s="46" t="str">
        <f t="shared" ca="1" si="58"/>
        <v/>
      </c>
      <c r="AE31" s="68" t="str">
        <f t="shared" ca="1" si="72"/>
        <v/>
      </c>
      <c r="AF31" s="111" t="str">
        <f t="shared" ca="1" si="73"/>
        <v/>
      </c>
      <c r="AG31" s="397" t="str">
        <f ca="1">IFERROR(INDEX(ICE[], MATCH("icemidticma" &amp; TEXT(Crd!$A31, "mmmyy"), ICE[LongCode], 0), MATCH("ICE Theoretical Price", ICE[#Headers], 0)), "")</f>
        <v/>
      </c>
      <c r="AH31" s="364" t="str">
        <f ca="1">IFERROR(INDEX(ICE[], MATCH("icemidticma" &amp; TEXT(Crd!$A31, "mmmyy"), ICE[LongCode], 0), MATCH("Text", ICE[#Headers], 0)), "")</f>
        <v xml:space="preserve"> /  </v>
      </c>
      <c r="AI31" s="46" t="str">
        <f t="shared" ca="1" si="59"/>
        <v/>
      </c>
      <c r="AJ31" s="47" t="str">
        <f t="shared" ca="1" si="74"/>
        <v/>
      </c>
      <c r="AK31" s="46" t="str">
        <f t="shared" ca="1" si="75"/>
        <v/>
      </c>
      <c r="AL31" s="141" t="str">
        <f ca="1">IFERROR(IF(AND(ISNUMBER(Futs!$BY31), ISNUMBER($AG31)), Futs!$BY31 + $AG31, ""), "")</f>
        <v/>
      </c>
      <c r="AM31" s="46" t="str">
        <f ca="1">IFERROR(IF(AND(ISNUMBER(Futs!$BZ31), ISNUMBER($AI31)), Futs!$BZ31 + $AI31, ""), "")</f>
        <v/>
      </c>
      <c r="AN31" s="47" t="str">
        <f t="shared" ca="1" si="76"/>
        <v/>
      </c>
      <c r="AO31" s="111" t="str">
        <f t="shared" ca="1" si="77"/>
        <v/>
      </c>
      <c r="AP31" s="397" t="str">
        <f ca="1">IFERROR(INDEX(ICE[], MATCH("icemehticma" &amp; TEXT(Crd!$A31, "mmmyy"), ICE[LongCode], 0), MATCH("ICE Theoretical Price", ICE[#Headers], 0)), "")</f>
        <v/>
      </c>
      <c r="AQ31" s="364" t="str">
        <f ca="1">IFERROR(INDEX(ICE[], MATCH("icemehticma" &amp; TEXT(Crd!$A31, "mmmyy"), ICE[LongCode], 0), MATCH("Text", ICE[#Headers], 0)), "")</f>
        <v xml:space="preserve"> /  </v>
      </c>
      <c r="AR31" s="46" t="str">
        <f t="shared" ca="1" si="60"/>
        <v/>
      </c>
      <c r="AS31" s="47" t="str">
        <f t="shared" ca="1" si="78"/>
        <v/>
      </c>
      <c r="AT31" s="46" t="str">
        <f t="shared" ca="1" si="79"/>
        <v/>
      </c>
      <c r="AU31" s="141" t="str">
        <f ca="1">IFERROR(IF(AND(ISNUMBER($BH31), ISNUMBER(Futs!$CC31)), $BH31 - Futs!$CC31, ""), "")</f>
        <v/>
      </c>
      <c r="AV31" s="46" t="str">
        <f ca="1">IFERROR(IF(AND(ISNUMBER($BI31), ISNUMBER(Futs!$CD31)), $BI31 - Futs!$CD31, ""), "")</f>
        <v/>
      </c>
      <c r="AW31" s="141" t="str">
        <f ca="1">IFERROR(IF(AND(ISNUMBER(Futs!$BY31), ISNUMBER($BA31)), Futs!$BY31 + $BA31, ""), "")</f>
        <v/>
      </c>
      <c r="AX31" s="46" t="str">
        <f ca="1">IFERROR(IF(AND(ISNUMBER(Futs!$BZ31), ISNUMBER($BC31)), Futs!$BZ31 + $BC31, ""), "")</f>
        <v/>
      </c>
      <c r="AY31" s="47" t="str">
        <f t="shared" ca="1" si="80"/>
        <v/>
      </c>
      <c r="AZ31" s="46" t="str">
        <f t="shared" ca="1" si="81"/>
        <v/>
      </c>
      <c r="BA31" s="594" t="str">
        <f ca="1">IFERROR(INDEX(ICE[], MATCH("icemehticma" &amp; TEXT(Crd!$A31, "mmmyy"), ICE[LongCode], 0), MATCH("ICE Theoretical Price", ICE[#Headers], 0)), "")</f>
        <v/>
      </c>
      <c r="BB31" s="364" t="str">
        <f ca="1">IFERROR(INDEX(ICE[], MATCH("icemehticma" &amp; TEXT(Crd!$A31, "mmmyy"), ICE[LongCode], 0), MATCH("Text", ICE[#Headers], 0)), "")</f>
        <v xml:space="preserve"> /  </v>
      </c>
      <c r="BC31" s="46" t="str">
        <f t="shared" ca="1" si="61"/>
        <v/>
      </c>
      <c r="BD31" s="47" t="str">
        <f t="shared" ca="1" si="82"/>
        <v/>
      </c>
      <c r="BE31" s="46" t="str">
        <f t="shared" ca="1" si="83"/>
        <v/>
      </c>
      <c r="BF31" s="141" t="str">
        <f ca="1">IFERROR(IF(AND(ISNUMBER($BH31), ISNUMBER(Futs!$CC31)), $BH31 - Futs!$CC31, ""), "")</f>
        <v/>
      </c>
      <c r="BG31" s="46" t="str">
        <f ca="1">IFERROR(IF(AND(ISNUMBER($BI31), ISNUMBER(Futs!$CD31)), $BI31 - Futs!$CD31, ""), "")</f>
        <v/>
      </c>
      <c r="BH31" s="141" t="str">
        <f ca="1">IFERROR(IF(AND(ISNUMBER(Futs!$BY31), ISNUMBER($BA31)), Futs!$BY31 + $BA31, ""), "")</f>
        <v/>
      </c>
      <c r="BI31" s="46" t="str">
        <f ca="1">IFERROR(IF(AND(ISNUMBER(Futs!$BZ31), ISNUMBER($BC31)), Futs!$BZ31 + $BC31, ""), "")</f>
        <v/>
      </c>
      <c r="BJ31" s="47" t="str">
        <f t="shared" ca="1" si="84"/>
        <v/>
      </c>
      <c r="BK31" s="111" t="str">
        <f t="shared" ca="1" si="85"/>
        <v/>
      </c>
      <c r="BL31" s="397" t="str">
        <f ca="1">IFERROR(INDEX(ICE[], MATCH("icewcstitma" &amp; TEXT(Crd!$A31, "mmmyy"), ICE[LongCode], 0), MATCH("ICE Theoretical Price", ICE[#Headers], 0)), "")</f>
        <v/>
      </c>
      <c r="BM31" s="364" t="str">
        <f ca="1">IFERROR(INDEX(ICE[], MATCH("icewcstitma" &amp; TEXT(Crd!$A31, "mmmyy"), ICE[LongCode], 0), MATCH("Text", ICE[#Headers], 0)), "")</f>
        <v xml:space="preserve"> /  </v>
      </c>
      <c r="BN31" s="46" t="str">
        <f t="shared" ca="1" si="62"/>
        <v/>
      </c>
      <c r="BO31" s="47" t="str">
        <f t="shared" ca="1" si="86"/>
        <v/>
      </c>
      <c r="BP31" s="46" t="str">
        <f t="shared" ca="1" si="87"/>
        <v/>
      </c>
      <c r="BQ31" s="141" t="str">
        <f ca="1">IFERROR(IF(AND(ISNUMBER($BS31), ISNUMBER(Futs!$CC31)), $BS31 - Futs!$CC31, ""), "")</f>
        <v/>
      </c>
      <c r="BR31" s="46" t="str">
        <f ca="1">IFERROR(IF(AND(ISNUMBER($BT31), ISNUMBER(Futs!$CD31)), $BT31 - Futs!$CD31, ""), "")</f>
        <v/>
      </c>
      <c r="BS31" s="141" t="str">
        <f ca="1">IFERROR(IF(AND(ISNUMBER(Futs!$BY31), ISNUMBER($BL31)), Futs!$BY31 + $BL31, ""), "")</f>
        <v/>
      </c>
      <c r="BT31" s="46" t="str">
        <f ca="1">IFERROR(IF(AND(ISNUMBER(Futs!$BZ31), ISNUMBER($BN31)), Futs!$BZ31 + $BN31, ""), "")</f>
        <v/>
      </c>
      <c r="BU31" s="47" t="str">
        <f t="shared" ca="1" si="88"/>
        <v/>
      </c>
      <c r="BV31" s="111" t="str">
        <f t="shared" ca="1" si="89"/>
        <v/>
      </c>
      <c r="BX31" s="92"/>
    </row>
    <row r="32" spans="1:77" x14ac:dyDescent="0.25">
      <c r="A32" s="58">
        <f t="shared" ca="1" si="63"/>
        <v>46661</v>
      </c>
      <c r="B32" s="6">
        <f t="shared" ca="1" si="53"/>
        <v>2027</v>
      </c>
      <c r="C32" s="6" t="str">
        <f t="shared" ca="1" si="54"/>
        <v>Q427</v>
      </c>
      <c r="D32" s="28">
        <f ca="1">INDEX(ICE[], MATCH(D$18 &amp; TEXT(Crd!$A32, "mmmyy"), ICE[LongCode], 0), MATCH("Settle", ICE[#Headers], 0))</f>
        <v>0.48</v>
      </c>
      <c r="E32" s="28">
        <f ca="1">INDEX(ICE[], MATCH(E$18 &amp; TEXT(Crd!$A32, "mmmyy"), ICE[LongCode], 0), MATCH("Settle", ICE[#Headers], 0))</f>
        <v>2.9820000000000002</v>
      </c>
      <c r="F32" s="28">
        <f ca="1">INDEX(ICE[], MATCH(F$18 &amp; TEXT(Crd!$A32, "mmmyy"), ICE[LongCode], 0), MATCH("Settle", ICE[#Headers], 0))</f>
        <v>1.22</v>
      </c>
      <c r="G32" s="28">
        <f ca="1">INDEX(ICE[], MATCH(G$18 &amp; TEXT(Crd!$A32, "mmmyy"), ICE[LongCode], 0), MATCH("Settle", ICE[#Headers], 0))</f>
        <v>1.925</v>
      </c>
      <c r="H32" s="28">
        <f ca="1">INDEX(ICE[], MATCH(H$18 &amp; TEXT(Crd!$A32, "mmmyy"), ICE[LongCode], 0), MATCH("Settle", ICE[#Headers], 0))</f>
        <v>-8.1999999999999993</v>
      </c>
      <c r="I32" s="397" t="str">
        <f ca="1">IFERROR(INDEX(ICE[], MATCH("dfl" &amp; TEXT(Crd!$A32, "mmmyy"), ICE[LongCode], 0), MATCH("ICE Theoretical Price", ICE[#Headers], 0)), "")</f>
        <v/>
      </c>
      <c r="J32" s="364" t="str">
        <f ca="1">IFERROR(INDEX(ICE[], MATCH("dfl" &amp; TEXT(Crd!$A32, "mmmyy"), ICE[LongCode], 0), MATCH("Text", ICE[#Headers], 0)), "")</f>
        <v xml:space="preserve"> /   |20x</v>
      </c>
      <c r="K32" s="46" t="str">
        <f t="shared" ca="1" si="55"/>
        <v/>
      </c>
      <c r="L32" s="47" t="str">
        <f t="shared" ca="1" si="64"/>
        <v/>
      </c>
      <c r="M32" s="46" t="str">
        <f t="shared" ca="1" si="65"/>
        <v/>
      </c>
      <c r="N32" s="141" t="str">
        <f ca="1">IFERROR(IF(AND(ISNUMBER(Futs!$CC32), ISNUMBER($I32)), Futs!$CC32 + $I32, ""), "")</f>
        <v/>
      </c>
      <c r="O32" s="46" t="str">
        <f ca="1">IFERROR(IF(AND(ISNUMBER(Futs!$CD32), ISNUMBER($K32)), Futs!$CD32 + $K32, ""), "")</f>
        <v/>
      </c>
      <c r="P32" s="47" t="str">
        <f t="shared" ca="1" si="66"/>
        <v/>
      </c>
      <c r="Q32" s="364" t="str">
        <f ca="1">IFERROR(INDEX(ICE[], MATCH("dtd" &amp; TEXT(Crd!$A31, "mmmyy") &amp; "/" &amp; TEXT(Crd!$A32, "mmmyy"), ICE[LongCode], 0), MATCH("Text", ICE[#Headers], 0)), "")</f>
        <v/>
      </c>
      <c r="R32" s="111" t="str">
        <f t="shared" ca="1" si="67"/>
        <v/>
      </c>
      <c r="S32" s="400" t="str">
        <f ca="1">IFERROR(INDEX(ICE[], MATCH("brdub" &amp; TEXT(Crd!$A32, "mmmyy"), ICE[LongCode], 0), MATCH("ICE Theoretical Price", ICE[#Headers], 0)), "")</f>
        <v/>
      </c>
      <c r="T32" s="364" t="str">
        <f ca="1">IFERROR(INDEX(ICE[], MATCH("brdub" &amp; TEXT(Crd!$A32, "mmmyy"), ICE[LongCode], 0), MATCH("Text", ICE[#Headers], 0)), "")</f>
        <v xml:space="preserve"> /  </v>
      </c>
      <c r="U32" s="46" t="str">
        <f t="shared" ca="1" si="56"/>
        <v/>
      </c>
      <c r="V32" s="68" t="str">
        <f t="shared" ca="1" si="68"/>
        <v/>
      </c>
      <c r="W32" s="46" t="str">
        <f t="shared" ca="1" si="69"/>
        <v/>
      </c>
      <c r="X32" s="187" t="str">
        <f ca="1">IFERROR(IF(AND(ISNUMBER(Futs!$CC32), ISNUMBER($S32)), Futs!$CC32 - $S32, ""), "")</f>
        <v/>
      </c>
      <c r="Y32" s="46" t="str">
        <f ca="1">IFERROR(IF(AND(ISNUMBER(Futs!$CD32), ISNUMBER($U32)), Futs!$CD32 - $U32, ""), "")</f>
        <v/>
      </c>
      <c r="Z32" s="68" t="str">
        <f t="shared" ca="1" si="70"/>
        <v/>
      </c>
      <c r="AA32" s="364" t="str">
        <f ca="1">IFERROR(INDEX(ICE[], MATCH("dub" &amp; TEXT(Crd!$A31, "mmmyy") &amp; "/" &amp; TEXT(Crd!$A32, "mmmyy"), ICE[LongCode], 0), MATCH("Text", ICE[#Headers], 0)), "")</f>
        <v/>
      </c>
      <c r="AB32" s="46" t="str">
        <f t="shared" ca="1" si="71"/>
        <v/>
      </c>
      <c r="AC32" s="271" t="str">
        <f t="shared" ca="1" si="57"/>
        <v/>
      </c>
      <c r="AD32" s="46" t="str">
        <f t="shared" ca="1" si="58"/>
        <v/>
      </c>
      <c r="AE32" s="68" t="str">
        <f t="shared" ca="1" si="72"/>
        <v/>
      </c>
      <c r="AF32" s="111" t="str">
        <f t="shared" ca="1" si="73"/>
        <v/>
      </c>
      <c r="AG32" s="397" t="str">
        <f ca="1">IFERROR(INDEX(ICE[], MATCH("icemidticma" &amp; TEXT(Crd!$A32, "mmmyy"), ICE[LongCode], 0), MATCH("ICE Theoretical Price", ICE[#Headers], 0)), "")</f>
        <v/>
      </c>
      <c r="AH32" s="364" t="str">
        <f ca="1">IFERROR(INDEX(ICE[], MATCH("icemidticma" &amp; TEXT(Crd!$A32, "mmmyy"), ICE[LongCode], 0), MATCH("Text", ICE[#Headers], 0)), "")</f>
        <v xml:space="preserve"> /  </v>
      </c>
      <c r="AI32" s="46" t="str">
        <f t="shared" ca="1" si="59"/>
        <v/>
      </c>
      <c r="AJ32" s="47" t="str">
        <f t="shared" ca="1" si="74"/>
        <v/>
      </c>
      <c r="AK32" s="46" t="str">
        <f t="shared" ca="1" si="75"/>
        <v/>
      </c>
      <c r="AL32" s="141" t="str">
        <f ca="1">IFERROR(IF(AND(ISNUMBER(Futs!$BY32), ISNUMBER($AG32)), Futs!$BY32 + $AG32, ""), "")</f>
        <v/>
      </c>
      <c r="AM32" s="46" t="str">
        <f ca="1">IFERROR(IF(AND(ISNUMBER(Futs!$BZ32), ISNUMBER($AI32)), Futs!$BZ32 + $AI32, ""), "")</f>
        <v/>
      </c>
      <c r="AN32" s="47" t="str">
        <f t="shared" ca="1" si="76"/>
        <v/>
      </c>
      <c r="AO32" s="111" t="str">
        <f t="shared" ca="1" si="77"/>
        <v/>
      </c>
      <c r="AP32" s="397" t="str">
        <f ca="1">IFERROR(INDEX(ICE[], MATCH("icemehticma" &amp; TEXT(Crd!$A32, "mmmyy"), ICE[LongCode], 0), MATCH("ICE Theoretical Price", ICE[#Headers], 0)), "")</f>
        <v/>
      </c>
      <c r="AQ32" s="364" t="str">
        <f ca="1">IFERROR(INDEX(ICE[], MATCH("icemehticma" &amp; TEXT(Crd!$A32, "mmmyy"), ICE[LongCode], 0), MATCH("Text", ICE[#Headers], 0)), "")</f>
        <v xml:space="preserve"> /  </v>
      </c>
      <c r="AR32" s="46" t="str">
        <f t="shared" ca="1" si="60"/>
        <v/>
      </c>
      <c r="AS32" s="47" t="str">
        <f t="shared" ca="1" si="78"/>
        <v/>
      </c>
      <c r="AT32" s="46" t="str">
        <f t="shared" ca="1" si="79"/>
        <v/>
      </c>
      <c r="AU32" s="141" t="str">
        <f ca="1">IFERROR(IF(AND(ISNUMBER($BH32), ISNUMBER(Futs!$CC32)), $BH32 - Futs!$CC32, ""), "")</f>
        <v/>
      </c>
      <c r="AV32" s="46" t="str">
        <f ca="1">IFERROR(IF(AND(ISNUMBER($BI32), ISNUMBER(Futs!$CD32)), $BI32 - Futs!$CD32, ""), "")</f>
        <v/>
      </c>
      <c r="AW32" s="141" t="str">
        <f ca="1">IFERROR(IF(AND(ISNUMBER(Futs!$BY32), ISNUMBER($BA32)), Futs!$BY32 + $BA32, ""), "")</f>
        <v/>
      </c>
      <c r="AX32" s="46" t="str">
        <f ca="1">IFERROR(IF(AND(ISNUMBER(Futs!$BZ32), ISNUMBER($BC32)), Futs!$BZ32 + $BC32, ""), "")</f>
        <v/>
      </c>
      <c r="AY32" s="47" t="str">
        <f t="shared" ca="1" si="80"/>
        <v/>
      </c>
      <c r="AZ32" s="46" t="str">
        <f t="shared" ca="1" si="81"/>
        <v/>
      </c>
      <c r="BA32" s="594" t="str">
        <f ca="1">IFERROR(INDEX(ICE[], MATCH("icemehticma" &amp; TEXT(Crd!$A32, "mmmyy"), ICE[LongCode], 0), MATCH("ICE Theoretical Price", ICE[#Headers], 0)), "")</f>
        <v/>
      </c>
      <c r="BB32" s="364" t="str">
        <f ca="1">IFERROR(INDEX(ICE[], MATCH("icemehticma" &amp; TEXT(Crd!$A32, "mmmyy"), ICE[LongCode], 0), MATCH("Text", ICE[#Headers], 0)), "")</f>
        <v xml:space="preserve"> /  </v>
      </c>
      <c r="BC32" s="46" t="str">
        <f t="shared" ca="1" si="61"/>
        <v/>
      </c>
      <c r="BD32" s="47" t="str">
        <f t="shared" ca="1" si="82"/>
        <v/>
      </c>
      <c r="BE32" s="46" t="str">
        <f t="shared" ca="1" si="83"/>
        <v/>
      </c>
      <c r="BF32" s="141" t="str">
        <f ca="1">IFERROR(IF(AND(ISNUMBER($BH32), ISNUMBER(Futs!$CC32)), $BH32 - Futs!$CC32, ""), "")</f>
        <v/>
      </c>
      <c r="BG32" s="46" t="str">
        <f ca="1">IFERROR(IF(AND(ISNUMBER($BI32), ISNUMBER(Futs!$CD32)), $BI32 - Futs!$CD32, ""), "")</f>
        <v/>
      </c>
      <c r="BH32" s="141" t="str">
        <f ca="1">IFERROR(IF(AND(ISNUMBER(Futs!$BY32), ISNUMBER($BA32)), Futs!$BY32 + $BA32, ""), "")</f>
        <v/>
      </c>
      <c r="BI32" s="46" t="str">
        <f ca="1">IFERROR(IF(AND(ISNUMBER(Futs!$BZ32), ISNUMBER($BC32)), Futs!$BZ32 + $BC32, ""), "")</f>
        <v/>
      </c>
      <c r="BJ32" s="47" t="str">
        <f t="shared" ca="1" si="84"/>
        <v/>
      </c>
      <c r="BK32" s="111" t="str">
        <f t="shared" ca="1" si="85"/>
        <v/>
      </c>
      <c r="BL32" s="397" t="str">
        <f ca="1">IFERROR(INDEX(ICE[], MATCH("icewcstitma" &amp; TEXT(Crd!$A32, "mmmyy"), ICE[LongCode], 0), MATCH("ICE Theoretical Price", ICE[#Headers], 0)), "")</f>
        <v/>
      </c>
      <c r="BM32" s="364" t="str">
        <f ca="1">IFERROR(INDEX(ICE[], MATCH("icewcstitma" &amp; TEXT(Crd!$A32, "mmmyy"), ICE[LongCode], 0), MATCH("Text", ICE[#Headers], 0)), "")</f>
        <v xml:space="preserve"> /  </v>
      </c>
      <c r="BN32" s="46" t="str">
        <f t="shared" ca="1" si="62"/>
        <v/>
      </c>
      <c r="BO32" s="47" t="str">
        <f t="shared" ca="1" si="86"/>
        <v/>
      </c>
      <c r="BP32" s="46" t="str">
        <f t="shared" ca="1" si="87"/>
        <v/>
      </c>
      <c r="BQ32" s="141" t="str">
        <f ca="1">IFERROR(IF(AND(ISNUMBER($BS32), ISNUMBER(Futs!$CC32)), $BS32 - Futs!$CC32, ""), "")</f>
        <v/>
      </c>
      <c r="BR32" s="46" t="str">
        <f ca="1">IFERROR(IF(AND(ISNUMBER($BT32), ISNUMBER(Futs!$CD32)), $BT32 - Futs!$CD32, ""), "")</f>
        <v/>
      </c>
      <c r="BS32" s="141" t="str">
        <f ca="1">IFERROR(IF(AND(ISNUMBER(Futs!$BY32), ISNUMBER($BL32)), Futs!$BY32 + $BL32, ""), "")</f>
        <v/>
      </c>
      <c r="BT32" s="46" t="str">
        <f ca="1">IFERROR(IF(AND(ISNUMBER(Futs!$BZ32), ISNUMBER($BN32)), Futs!$BZ32 + $BN32, ""), "")</f>
        <v/>
      </c>
      <c r="BU32" s="47" t="str">
        <f t="shared" ca="1" si="88"/>
        <v/>
      </c>
      <c r="BV32" s="111" t="str">
        <f t="shared" ca="1" si="89"/>
        <v/>
      </c>
      <c r="BX32" s="92"/>
    </row>
    <row r="33" spans="1:76" x14ac:dyDescent="0.25">
      <c r="A33" s="58">
        <f t="shared" ca="1" si="63"/>
        <v>46692</v>
      </c>
      <c r="B33" s="6">
        <f t="shared" ca="1" si="53"/>
        <v>2027</v>
      </c>
      <c r="C33" s="6" t="str">
        <f t="shared" ca="1" si="54"/>
        <v>Q427</v>
      </c>
      <c r="D33" s="28">
        <f ca="1">INDEX(ICE[], MATCH(D$18 &amp; TEXT(Crd!$A33, "mmmyy"), ICE[LongCode], 0), MATCH("Settle", ICE[#Headers], 0))</f>
        <v>0.46</v>
      </c>
      <c r="E33" s="28">
        <f ca="1">INDEX(ICE[], MATCH(E$18 &amp; TEXT(Crd!$A33, "mmmyy"), ICE[LongCode], 0), MATCH("Settle", ICE[#Headers], 0))</f>
        <v>2.9040000000000004</v>
      </c>
      <c r="F33" s="28">
        <f ca="1">INDEX(ICE[], MATCH(F$18 &amp; TEXT(Crd!$A33, "mmmyy"), ICE[LongCode], 0), MATCH("Settle", ICE[#Headers], 0))</f>
        <v>1.2250000000000001</v>
      </c>
      <c r="G33" s="28">
        <f ca="1">INDEX(ICE[], MATCH(G$18 &amp; TEXT(Crd!$A33, "mmmyy"), ICE[LongCode], 0), MATCH("Settle", ICE[#Headers], 0))</f>
        <v>1.9580000000000002</v>
      </c>
      <c r="H33" s="28">
        <f ca="1">INDEX(ICE[], MATCH(H$18 &amp; TEXT(Crd!$A33, "mmmyy"), ICE[LongCode], 0), MATCH("Settle", ICE[#Headers], 0))</f>
        <v>-8.1999999999999993</v>
      </c>
      <c r="I33" s="397" t="str">
        <f ca="1">IFERROR(INDEX(ICE[], MATCH("dfl" &amp; TEXT(Crd!$A33, "mmmyy"), ICE[LongCode], 0), MATCH("ICE Theoretical Price", ICE[#Headers], 0)), "")</f>
        <v/>
      </c>
      <c r="J33" s="364" t="str">
        <f ca="1">IFERROR(INDEX(ICE[], MATCH("dfl" &amp; TEXT(Crd!$A33, "mmmyy"), ICE[LongCode], 0), MATCH("Text", ICE[#Headers], 0)), "")</f>
        <v>0.45 /   |20x</v>
      </c>
      <c r="K33" s="46" t="str">
        <f t="shared" ca="1" si="55"/>
        <v/>
      </c>
      <c r="L33" s="47" t="str">
        <f t="shared" ca="1" si="64"/>
        <v/>
      </c>
      <c r="M33" s="46" t="str">
        <f t="shared" ca="1" si="65"/>
        <v/>
      </c>
      <c r="N33" s="141" t="str">
        <f ca="1">IFERROR(IF(AND(ISNUMBER(Futs!$CC33), ISNUMBER($I33)), Futs!$CC33 + $I33, ""), "")</f>
        <v/>
      </c>
      <c r="O33" s="46" t="str">
        <f ca="1">IFERROR(IF(AND(ISNUMBER(Futs!$CD33), ISNUMBER($K33)), Futs!$CD33 + $K33, ""), "")</f>
        <v/>
      </c>
      <c r="P33" s="47" t="str">
        <f t="shared" ca="1" si="66"/>
        <v/>
      </c>
      <c r="Q33" s="364" t="str">
        <f ca="1">IFERROR(INDEX(ICE[], MATCH("dtd" &amp; TEXT(Crd!$A32, "mmmyy") &amp; "/" &amp; TEXT(Crd!$A33, "mmmyy"), ICE[LongCode], 0), MATCH("Text", ICE[#Headers], 0)), "")</f>
        <v/>
      </c>
      <c r="R33" s="111" t="str">
        <f t="shared" ca="1" si="67"/>
        <v/>
      </c>
      <c r="S33" s="400" t="str">
        <f ca="1">IFERROR(INDEX(ICE[], MATCH("brdub" &amp; TEXT(Crd!$A33, "mmmyy"), ICE[LongCode], 0), MATCH("ICE Theoretical Price", ICE[#Headers], 0)), "")</f>
        <v/>
      </c>
      <c r="T33" s="364" t="str">
        <f ca="1">IFERROR(INDEX(ICE[], MATCH("brdub" &amp; TEXT(Crd!$A33, "mmmyy"), ICE[LongCode], 0), MATCH("Text", ICE[#Headers], 0)), "")</f>
        <v xml:space="preserve"> /  </v>
      </c>
      <c r="U33" s="46" t="str">
        <f t="shared" ca="1" si="56"/>
        <v/>
      </c>
      <c r="V33" s="68" t="str">
        <f t="shared" ca="1" si="68"/>
        <v/>
      </c>
      <c r="W33" s="46" t="str">
        <f t="shared" ca="1" si="69"/>
        <v/>
      </c>
      <c r="X33" s="187" t="str">
        <f ca="1">IFERROR(IF(AND(ISNUMBER(Futs!$CC33), ISNUMBER($S33)), Futs!$CC33 - $S33, ""), "")</f>
        <v/>
      </c>
      <c r="Y33" s="46" t="str">
        <f ca="1">IFERROR(IF(AND(ISNUMBER(Futs!$CD33), ISNUMBER($U33)), Futs!$CD33 - $U33, ""), "")</f>
        <v/>
      </c>
      <c r="Z33" s="68" t="str">
        <f t="shared" ca="1" si="70"/>
        <v/>
      </c>
      <c r="AA33" s="364" t="str">
        <f ca="1">IFERROR(INDEX(ICE[], MATCH("dub" &amp; TEXT(Crd!$A32, "mmmyy") &amp; "/" &amp; TEXT(Crd!$A33, "mmmyy"), ICE[LongCode], 0), MATCH("Text", ICE[#Headers], 0)), "")</f>
        <v/>
      </c>
      <c r="AB33" s="46" t="str">
        <f t="shared" ca="1" si="71"/>
        <v/>
      </c>
      <c r="AC33" s="271" t="str">
        <f t="shared" ca="1" si="57"/>
        <v/>
      </c>
      <c r="AD33" s="46" t="str">
        <f t="shared" ca="1" si="58"/>
        <v/>
      </c>
      <c r="AE33" s="68" t="str">
        <f t="shared" ca="1" si="72"/>
        <v/>
      </c>
      <c r="AF33" s="111" t="str">
        <f t="shared" ca="1" si="73"/>
        <v/>
      </c>
      <c r="AG33" s="397" t="str">
        <f ca="1">IFERROR(INDEX(ICE[], MATCH("icemidticma" &amp; TEXT(Crd!$A33, "mmmyy"), ICE[LongCode], 0), MATCH("ICE Theoretical Price", ICE[#Headers], 0)), "")</f>
        <v/>
      </c>
      <c r="AH33" s="364" t="str">
        <f ca="1">IFERROR(INDEX(ICE[], MATCH("icemidticma" &amp; TEXT(Crd!$A33, "mmmyy"), ICE[LongCode], 0), MATCH("Text", ICE[#Headers], 0)), "")</f>
        <v xml:space="preserve"> /  </v>
      </c>
      <c r="AI33" s="46" t="str">
        <f t="shared" ca="1" si="59"/>
        <v/>
      </c>
      <c r="AJ33" s="47" t="str">
        <f t="shared" ca="1" si="74"/>
        <v/>
      </c>
      <c r="AK33" s="46" t="str">
        <f t="shared" ca="1" si="75"/>
        <v/>
      </c>
      <c r="AL33" s="141" t="str">
        <f ca="1">IFERROR(IF(AND(ISNUMBER(Futs!$BY33), ISNUMBER($AG33)), Futs!$BY33 + $AG33, ""), "")</f>
        <v/>
      </c>
      <c r="AM33" s="46" t="str">
        <f ca="1">IFERROR(IF(AND(ISNUMBER(Futs!$BZ33), ISNUMBER($AI33)), Futs!$BZ33 + $AI33, ""), "")</f>
        <v/>
      </c>
      <c r="AN33" s="47" t="str">
        <f t="shared" ca="1" si="76"/>
        <v/>
      </c>
      <c r="AO33" s="111" t="str">
        <f t="shared" ca="1" si="77"/>
        <v/>
      </c>
      <c r="AP33" s="397" t="str">
        <f ca="1">IFERROR(INDEX(ICE[], MATCH("icemehticma" &amp; TEXT(Crd!$A33, "mmmyy"), ICE[LongCode], 0), MATCH("ICE Theoretical Price", ICE[#Headers], 0)), "")</f>
        <v/>
      </c>
      <c r="AQ33" s="364" t="str">
        <f ca="1">IFERROR(INDEX(ICE[], MATCH("icemehticma" &amp; TEXT(Crd!$A33, "mmmyy"), ICE[LongCode], 0), MATCH("Text", ICE[#Headers], 0)), "")</f>
        <v xml:space="preserve"> /  </v>
      </c>
      <c r="AR33" s="46" t="str">
        <f t="shared" ca="1" si="60"/>
        <v/>
      </c>
      <c r="AS33" s="47" t="str">
        <f t="shared" ca="1" si="78"/>
        <v/>
      </c>
      <c r="AT33" s="46" t="str">
        <f t="shared" ca="1" si="79"/>
        <v/>
      </c>
      <c r="AU33" s="141" t="str">
        <f ca="1">IFERROR(IF(AND(ISNUMBER($BH33), ISNUMBER(Futs!$CC33)), $BH33 - Futs!$CC33, ""), "")</f>
        <v/>
      </c>
      <c r="AV33" s="46" t="str">
        <f ca="1">IFERROR(IF(AND(ISNUMBER($BI33), ISNUMBER(Futs!$CD33)), $BI33 - Futs!$CD33, ""), "")</f>
        <v/>
      </c>
      <c r="AW33" s="141" t="str">
        <f ca="1">IFERROR(IF(AND(ISNUMBER(Futs!$BY33), ISNUMBER($BA33)), Futs!$BY33 + $BA33, ""), "")</f>
        <v/>
      </c>
      <c r="AX33" s="46" t="str">
        <f ca="1">IFERROR(IF(AND(ISNUMBER(Futs!$BZ33), ISNUMBER($BC33)), Futs!$BZ33 + $BC33, ""), "")</f>
        <v/>
      </c>
      <c r="AY33" s="47" t="str">
        <f t="shared" ca="1" si="80"/>
        <v/>
      </c>
      <c r="AZ33" s="46" t="str">
        <f t="shared" ca="1" si="81"/>
        <v/>
      </c>
      <c r="BA33" s="594" t="str">
        <f ca="1">IFERROR(INDEX(ICE[], MATCH("icemehticma" &amp; TEXT(Crd!$A33, "mmmyy"), ICE[LongCode], 0), MATCH("ICE Theoretical Price", ICE[#Headers], 0)), "")</f>
        <v/>
      </c>
      <c r="BB33" s="364" t="str">
        <f ca="1">IFERROR(INDEX(ICE[], MATCH("icemehticma" &amp; TEXT(Crd!$A33, "mmmyy"), ICE[LongCode], 0), MATCH("Text", ICE[#Headers], 0)), "")</f>
        <v xml:space="preserve"> /  </v>
      </c>
      <c r="BC33" s="46" t="str">
        <f t="shared" ca="1" si="61"/>
        <v/>
      </c>
      <c r="BD33" s="47" t="str">
        <f t="shared" ca="1" si="82"/>
        <v/>
      </c>
      <c r="BE33" s="46" t="str">
        <f t="shared" ca="1" si="83"/>
        <v/>
      </c>
      <c r="BF33" s="141" t="str">
        <f ca="1">IFERROR(IF(AND(ISNUMBER($BH33), ISNUMBER(Futs!$CC33)), $BH33 - Futs!$CC33, ""), "")</f>
        <v/>
      </c>
      <c r="BG33" s="46" t="str">
        <f ca="1">IFERROR(IF(AND(ISNUMBER($BI33), ISNUMBER(Futs!$CD33)), $BI33 - Futs!$CD33, ""), "")</f>
        <v/>
      </c>
      <c r="BH33" s="141" t="str">
        <f ca="1">IFERROR(IF(AND(ISNUMBER(Futs!$BY33), ISNUMBER($BA33)), Futs!$BY33 + $BA33, ""), "")</f>
        <v/>
      </c>
      <c r="BI33" s="46" t="str">
        <f ca="1">IFERROR(IF(AND(ISNUMBER(Futs!$BZ33), ISNUMBER($BC33)), Futs!$BZ33 + $BC33, ""), "")</f>
        <v/>
      </c>
      <c r="BJ33" s="47" t="str">
        <f t="shared" ca="1" si="84"/>
        <v/>
      </c>
      <c r="BK33" s="111" t="str">
        <f t="shared" ca="1" si="85"/>
        <v/>
      </c>
      <c r="BL33" s="397" t="str">
        <f ca="1">IFERROR(INDEX(ICE[], MATCH("icewcstitma" &amp; TEXT(Crd!$A33, "mmmyy"), ICE[LongCode], 0), MATCH("ICE Theoretical Price", ICE[#Headers], 0)), "")</f>
        <v/>
      </c>
      <c r="BM33" s="364" t="str">
        <f ca="1">IFERROR(INDEX(ICE[], MATCH("icewcstitma" &amp; TEXT(Crd!$A33, "mmmyy"), ICE[LongCode], 0), MATCH("Text", ICE[#Headers], 0)), "")</f>
        <v xml:space="preserve"> /  </v>
      </c>
      <c r="BN33" s="46" t="str">
        <f t="shared" ca="1" si="62"/>
        <v/>
      </c>
      <c r="BO33" s="47" t="str">
        <f t="shared" ca="1" si="86"/>
        <v/>
      </c>
      <c r="BP33" s="46" t="str">
        <f t="shared" ca="1" si="87"/>
        <v/>
      </c>
      <c r="BQ33" s="141" t="str">
        <f ca="1">IFERROR(IF(AND(ISNUMBER($BS33), ISNUMBER(Futs!$CC33)), $BS33 - Futs!$CC33, ""), "")</f>
        <v/>
      </c>
      <c r="BR33" s="46" t="str">
        <f ca="1">IFERROR(IF(AND(ISNUMBER($BT33), ISNUMBER(Futs!$CD33)), $BT33 - Futs!$CD33, ""), "")</f>
        <v/>
      </c>
      <c r="BS33" s="141" t="str">
        <f ca="1">IFERROR(IF(AND(ISNUMBER(Futs!$BY33), ISNUMBER($BL33)), Futs!$BY33 + $BL33, ""), "")</f>
        <v/>
      </c>
      <c r="BT33" s="46" t="str">
        <f ca="1">IFERROR(IF(AND(ISNUMBER(Futs!$BZ33), ISNUMBER($BN33)), Futs!$BZ33 + $BN33, ""), "")</f>
        <v/>
      </c>
      <c r="BU33" s="47" t="str">
        <f t="shared" ca="1" si="88"/>
        <v/>
      </c>
      <c r="BV33" s="111" t="str">
        <f t="shared" ca="1" si="89"/>
        <v/>
      </c>
      <c r="BX33" s="92"/>
    </row>
    <row r="34" spans="1:76" x14ac:dyDescent="0.25">
      <c r="A34" s="58">
        <f t="shared" ca="1" si="63"/>
        <v>46722</v>
      </c>
      <c r="B34" s="6">
        <f t="shared" ca="1" si="53"/>
        <v>2027</v>
      </c>
      <c r="C34" s="6" t="str">
        <f t="shared" ca="1" si="54"/>
        <v>Q427</v>
      </c>
      <c r="D34" s="28">
        <f ca="1">INDEX(ICE[], MATCH(D$18 &amp; TEXT(Crd!$A34, "mmmyy"), ICE[LongCode], 0), MATCH("Settle", ICE[#Headers], 0))</f>
        <v>0.44</v>
      </c>
      <c r="E34" s="28">
        <f ca="1">INDEX(ICE[], MATCH(E$18 &amp; TEXT(Crd!$A34, "mmmyy"), ICE[LongCode], 0), MATCH("Settle", ICE[#Headers], 0))</f>
        <v>2.8250000000000002</v>
      </c>
      <c r="F34" s="28">
        <f ca="1">INDEX(ICE[], MATCH(F$18 &amp; TEXT(Crd!$A34, "mmmyy"), ICE[LongCode], 0), MATCH("Settle", ICE[#Headers], 0))</f>
        <v>1.214</v>
      </c>
      <c r="G34" s="28">
        <f ca="1">INDEX(ICE[], MATCH(G$18 &amp; TEXT(Crd!$A34, "mmmyy"), ICE[LongCode], 0), MATCH("Settle", ICE[#Headers], 0))</f>
        <v>1.986</v>
      </c>
      <c r="H34" s="28">
        <f ca="1">INDEX(ICE[], MATCH(H$18 &amp; TEXT(Crd!$A34, "mmmyy"), ICE[LongCode], 0), MATCH("Settle", ICE[#Headers], 0))</f>
        <v>-8.1999999999999993</v>
      </c>
      <c r="I34" s="397" t="str">
        <f ca="1">IFERROR(INDEX(ICE[], MATCH("dfl" &amp; TEXT(Crd!$A34, "mmmyy"), ICE[LongCode], 0), MATCH("ICE Theoretical Price", ICE[#Headers], 0)), "")</f>
        <v/>
      </c>
      <c r="J34" s="364" t="str">
        <f ca="1">IFERROR(INDEX(ICE[], MATCH("dfl" &amp; TEXT(Crd!$A34, "mmmyy"), ICE[LongCode], 0), MATCH("Text", ICE[#Headers], 0)), "")</f>
        <v>0.44 /   |20x</v>
      </c>
      <c r="K34" s="46" t="str">
        <f t="shared" ca="1" si="55"/>
        <v/>
      </c>
      <c r="L34" s="47" t="str">
        <f t="shared" ca="1" si="64"/>
        <v/>
      </c>
      <c r="M34" s="46" t="str">
        <f t="shared" ca="1" si="65"/>
        <v/>
      </c>
      <c r="N34" s="141" t="str">
        <f ca="1">IFERROR(IF(AND(ISNUMBER(Futs!$CC34), ISNUMBER($I34)), Futs!$CC34 + $I34, ""), "")</f>
        <v/>
      </c>
      <c r="O34" s="46" t="str">
        <f ca="1">IFERROR(IF(AND(ISNUMBER(Futs!$CD34), ISNUMBER($K34)), Futs!$CD34 + $K34, ""), "")</f>
        <v/>
      </c>
      <c r="P34" s="47" t="str">
        <f t="shared" ca="1" si="66"/>
        <v/>
      </c>
      <c r="Q34" s="364" t="str">
        <f ca="1">IFERROR(INDEX(ICE[], MATCH("dtd" &amp; TEXT(Crd!$A33, "mmmyy") &amp; "/" &amp; TEXT(Crd!$A34, "mmmyy"), ICE[LongCode], 0), MATCH("Text", ICE[#Headers], 0)), "")</f>
        <v/>
      </c>
      <c r="R34" s="111" t="str">
        <f t="shared" ca="1" si="67"/>
        <v/>
      </c>
      <c r="S34" s="400" t="str">
        <f ca="1">IFERROR(INDEX(ICE[], MATCH("brdub" &amp; TEXT(Crd!$A34, "mmmyy"), ICE[LongCode], 0), MATCH("ICE Theoretical Price", ICE[#Headers], 0)), "")</f>
        <v/>
      </c>
      <c r="T34" s="364" t="str">
        <f ca="1">IFERROR(INDEX(ICE[], MATCH("brdub" &amp; TEXT(Crd!$A34, "mmmyy"), ICE[LongCode], 0), MATCH("Text", ICE[#Headers], 0)), "")</f>
        <v xml:space="preserve"> /  </v>
      </c>
      <c r="U34" s="46" t="str">
        <f t="shared" ca="1" si="56"/>
        <v/>
      </c>
      <c r="V34" s="68" t="str">
        <f t="shared" ca="1" si="68"/>
        <v/>
      </c>
      <c r="W34" s="46" t="str">
        <f t="shared" ca="1" si="69"/>
        <v/>
      </c>
      <c r="X34" s="187" t="str">
        <f ca="1">IFERROR(IF(AND(ISNUMBER(Futs!$CC34), ISNUMBER($S34)), Futs!$CC34 - $S34, ""), "")</f>
        <v/>
      </c>
      <c r="Y34" s="46" t="str">
        <f ca="1">IFERROR(IF(AND(ISNUMBER(Futs!$CD34), ISNUMBER($U34)), Futs!$CD34 - $U34, ""), "")</f>
        <v/>
      </c>
      <c r="Z34" s="68" t="str">
        <f t="shared" ca="1" si="70"/>
        <v/>
      </c>
      <c r="AA34" s="364" t="str">
        <f ca="1">IFERROR(INDEX(ICE[], MATCH("dub" &amp; TEXT(Crd!$A33, "mmmyy") &amp; "/" &amp; TEXT(Crd!$A34, "mmmyy"), ICE[LongCode], 0), MATCH("Text", ICE[#Headers], 0)), "")</f>
        <v/>
      </c>
      <c r="AB34" s="46" t="str">
        <f t="shared" ca="1" si="71"/>
        <v/>
      </c>
      <c r="AC34" s="271" t="str">
        <f t="shared" ca="1" si="57"/>
        <v/>
      </c>
      <c r="AD34" s="46" t="str">
        <f t="shared" ca="1" si="58"/>
        <v/>
      </c>
      <c r="AE34" s="68" t="str">
        <f t="shared" ca="1" si="72"/>
        <v/>
      </c>
      <c r="AF34" s="111" t="str">
        <f t="shared" ca="1" si="73"/>
        <v/>
      </c>
      <c r="AG34" s="397" t="str">
        <f ca="1">IFERROR(INDEX(ICE[], MATCH("icemidticma" &amp; TEXT(Crd!$A34, "mmmyy"), ICE[LongCode], 0), MATCH("ICE Theoretical Price", ICE[#Headers], 0)), "")</f>
        <v/>
      </c>
      <c r="AH34" s="364" t="str">
        <f ca="1">IFERROR(INDEX(ICE[], MATCH("icemidticma" &amp; TEXT(Crd!$A34, "mmmyy"), ICE[LongCode], 0), MATCH("Text", ICE[#Headers], 0)), "")</f>
        <v xml:space="preserve"> /  </v>
      </c>
      <c r="AI34" s="46" t="str">
        <f t="shared" ca="1" si="59"/>
        <v/>
      </c>
      <c r="AJ34" s="47" t="str">
        <f t="shared" ca="1" si="74"/>
        <v/>
      </c>
      <c r="AK34" s="46" t="str">
        <f t="shared" ca="1" si="75"/>
        <v/>
      </c>
      <c r="AL34" s="141" t="str">
        <f ca="1">IFERROR(IF(AND(ISNUMBER(Futs!$BY34), ISNUMBER($AG34)), Futs!$BY34 + $AG34, ""), "")</f>
        <v/>
      </c>
      <c r="AM34" s="46" t="str">
        <f ca="1">IFERROR(IF(AND(ISNUMBER(Futs!$BZ34), ISNUMBER($AI34)), Futs!$BZ34 + $AI34, ""), "")</f>
        <v/>
      </c>
      <c r="AN34" s="47" t="str">
        <f t="shared" ca="1" si="76"/>
        <v/>
      </c>
      <c r="AO34" s="111" t="str">
        <f t="shared" ca="1" si="77"/>
        <v/>
      </c>
      <c r="AP34" s="397" t="str">
        <f ca="1">IFERROR(INDEX(ICE[], MATCH("icemehticma" &amp; TEXT(Crd!$A34, "mmmyy"), ICE[LongCode], 0), MATCH("ICE Theoretical Price", ICE[#Headers], 0)), "")</f>
        <v/>
      </c>
      <c r="AQ34" s="364" t="str">
        <f ca="1">IFERROR(INDEX(ICE[], MATCH("icemehticma" &amp; TEXT(Crd!$A34, "mmmyy"), ICE[LongCode], 0), MATCH("Text", ICE[#Headers], 0)), "")</f>
        <v xml:space="preserve"> /  </v>
      </c>
      <c r="AR34" s="46" t="str">
        <f t="shared" ca="1" si="60"/>
        <v/>
      </c>
      <c r="AS34" s="47" t="str">
        <f t="shared" ca="1" si="78"/>
        <v/>
      </c>
      <c r="AT34" s="46" t="str">
        <f t="shared" ca="1" si="79"/>
        <v/>
      </c>
      <c r="AU34" s="141" t="str">
        <f ca="1">IFERROR(IF(AND(ISNUMBER($BH34), ISNUMBER(Futs!$CC34)), $BH34 - Futs!$CC34, ""), "")</f>
        <v/>
      </c>
      <c r="AV34" s="46" t="str">
        <f ca="1">IFERROR(IF(AND(ISNUMBER($BI34), ISNUMBER(Futs!$CD34)), $BI34 - Futs!$CD34, ""), "")</f>
        <v/>
      </c>
      <c r="AW34" s="141" t="str">
        <f ca="1">IFERROR(IF(AND(ISNUMBER(Futs!$BY34), ISNUMBER($BA34)), Futs!$BY34 + $BA34, ""), "")</f>
        <v/>
      </c>
      <c r="AX34" s="46" t="str">
        <f ca="1">IFERROR(IF(AND(ISNUMBER(Futs!$BZ34), ISNUMBER($BC34)), Futs!$BZ34 + $BC34, ""), "")</f>
        <v/>
      </c>
      <c r="AY34" s="47" t="str">
        <f t="shared" ca="1" si="80"/>
        <v/>
      </c>
      <c r="AZ34" s="46" t="str">
        <f t="shared" ca="1" si="81"/>
        <v/>
      </c>
      <c r="BA34" s="594" t="str">
        <f ca="1">IFERROR(INDEX(ICE[], MATCH("icemehticma" &amp; TEXT(Crd!$A34, "mmmyy"), ICE[LongCode], 0), MATCH("ICE Theoretical Price", ICE[#Headers], 0)), "")</f>
        <v/>
      </c>
      <c r="BB34" s="364" t="str">
        <f ca="1">IFERROR(INDEX(ICE[], MATCH("icemehticma" &amp; TEXT(Crd!$A34, "mmmyy"), ICE[LongCode], 0), MATCH("Text", ICE[#Headers], 0)), "")</f>
        <v xml:space="preserve"> /  </v>
      </c>
      <c r="BC34" s="46" t="str">
        <f t="shared" ca="1" si="61"/>
        <v/>
      </c>
      <c r="BD34" s="47" t="str">
        <f t="shared" ca="1" si="82"/>
        <v/>
      </c>
      <c r="BE34" s="46" t="str">
        <f t="shared" ca="1" si="83"/>
        <v/>
      </c>
      <c r="BF34" s="141" t="str">
        <f ca="1">IFERROR(IF(AND(ISNUMBER($BH34), ISNUMBER(Futs!$CC34)), $BH34 - Futs!$CC34, ""), "")</f>
        <v/>
      </c>
      <c r="BG34" s="46" t="str">
        <f ca="1">IFERROR(IF(AND(ISNUMBER($BI34), ISNUMBER(Futs!$CD34)), $BI34 - Futs!$CD34, ""), "")</f>
        <v/>
      </c>
      <c r="BH34" s="141" t="str">
        <f ca="1">IFERROR(IF(AND(ISNUMBER(Futs!$BY34), ISNUMBER($BA34)), Futs!$BY34 + $BA34, ""), "")</f>
        <v/>
      </c>
      <c r="BI34" s="46" t="str">
        <f ca="1">IFERROR(IF(AND(ISNUMBER(Futs!$BZ34), ISNUMBER($BC34)), Futs!$BZ34 + $BC34, ""), "")</f>
        <v/>
      </c>
      <c r="BJ34" s="47" t="str">
        <f t="shared" ca="1" si="84"/>
        <v/>
      </c>
      <c r="BK34" s="111" t="str">
        <f t="shared" ca="1" si="85"/>
        <v/>
      </c>
      <c r="BL34" s="397" t="str">
        <f ca="1">IFERROR(INDEX(ICE[], MATCH("icewcstitma" &amp; TEXT(Crd!$A34, "mmmyy"), ICE[LongCode], 0), MATCH("ICE Theoretical Price", ICE[#Headers], 0)), "")</f>
        <v/>
      </c>
      <c r="BM34" s="364" t="str">
        <f ca="1">IFERROR(INDEX(ICE[], MATCH("icewcstitma" &amp; TEXT(Crd!$A34, "mmmyy"), ICE[LongCode], 0), MATCH("Text", ICE[#Headers], 0)), "")</f>
        <v xml:space="preserve"> /  </v>
      </c>
      <c r="BN34" s="46" t="str">
        <f t="shared" ca="1" si="62"/>
        <v/>
      </c>
      <c r="BO34" s="47" t="str">
        <f t="shared" ca="1" si="86"/>
        <v/>
      </c>
      <c r="BP34" s="46" t="str">
        <f t="shared" ca="1" si="87"/>
        <v/>
      </c>
      <c r="BQ34" s="141" t="str">
        <f ca="1">IFERROR(IF(AND(ISNUMBER($BS34), ISNUMBER(Futs!$CC34)), $BS34 - Futs!$CC34, ""), "")</f>
        <v/>
      </c>
      <c r="BR34" s="46" t="str">
        <f ca="1">IFERROR(IF(AND(ISNUMBER($BT34), ISNUMBER(Futs!$CD34)), $BT34 - Futs!$CD34, ""), "")</f>
        <v/>
      </c>
      <c r="BS34" s="141" t="str">
        <f ca="1">IFERROR(IF(AND(ISNUMBER(Futs!$BY34), ISNUMBER($BL34)), Futs!$BY34 + $BL34, ""), "")</f>
        <v/>
      </c>
      <c r="BT34" s="46" t="str">
        <f ca="1">IFERROR(IF(AND(ISNUMBER(Futs!$BZ34), ISNUMBER($BN34)), Futs!$BZ34 + $BN34, ""), "")</f>
        <v/>
      </c>
      <c r="BU34" s="47" t="str">
        <f t="shared" ca="1" si="88"/>
        <v/>
      </c>
      <c r="BV34" s="111" t="str">
        <f t="shared" ca="1" si="89"/>
        <v/>
      </c>
      <c r="BX34" s="92"/>
    </row>
    <row r="35" spans="1:76" x14ac:dyDescent="0.25">
      <c r="A35" s="58">
        <f t="shared" ca="1" si="63"/>
        <v>46753</v>
      </c>
      <c r="B35" s="6">
        <f t="shared" ca="1" si="53"/>
        <v>2028</v>
      </c>
      <c r="C35" s="6" t="str">
        <f t="shared" ca="1" si="54"/>
        <v>Q128</v>
      </c>
      <c r="D35" s="28">
        <f ca="1">INDEX(ICE[], MATCH(D$18 &amp; TEXT(Crd!$A35, "mmmyy"), ICE[LongCode], 0), MATCH("Settle", ICE[#Headers], 0))</f>
        <v>0.4</v>
      </c>
      <c r="E35" s="28">
        <f ca="1">INDEX(ICE[], MATCH(E$18 &amp; TEXT(Crd!$A35, "mmmyy"), ICE[LongCode], 0), MATCH("Settle", ICE[#Headers], 0))</f>
        <v>2.677</v>
      </c>
      <c r="F35" s="28" t="e">
        <f ca="1">INDEX(ICE[], MATCH(F$18 &amp; TEXT(Crd!$A35, "mmmyy"), ICE[LongCode], 0), MATCH("Settle", ICE[#Headers], 0))</f>
        <v>#N/A</v>
      </c>
      <c r="G35" s="28">
        <f ca="1">INDEX(ICE[], MATCH(G$18 &amp; TEXT(Crd!$A35, "mmmyy"), ICE[LongCode], 0), MATCH("Settle", ICE[#Headers], 0))</f>
        <v>2.0369999999999999</v>
      </c>
      <c r="H35" s="28" t="e">
        <f ca="1">INDEX(ICE[], MATCH(H$18 &amp; TEXT(Crd!$A35, "mmmyy"), ICE[LongCode], 0), MATCH("Settle", ICE[#Headers], 0))</f>
        <v>#N/A</v>
      </c>
      <c r="I35" s="397" t="str">
        <f ca="1">IFERROR(INDEX(ICE[], MATCH("dfl" &amp; TEXT(Crd!$A35, "mmmyy"), ICE[LongCode], 0), MATCH("ICE Theoretical Price", ICE[#Headers], 0)), "")</f>
        <v/>
      </c>
      <c r="J35" s="364" t="str">
        <f ca="1">IFERROR(INDEX(ICE[], MATCH("dfl" &amp; TEXT(Crd!$A35, "mmmyy"), ICE[LongCode], 0), MATCH("Text", ICE[#Headers], 0)), "")</f>
        <v xml:space="preserve"> /  </v>
      </c>
      <c r="K35" s="46" t="str">
        <f t="shared" ca="1" si="55"/>
        <v/>
      </c>
      <c r="L35" s="47" t="str">
        <f t="shared" ca="1" si="64"/>
        <v/>
      </c>
      <c r="M35" s="46" t="str">
        <f t="shared" ca="1" si="65"/>
        <v/>
      </c>
      <c r="N35" s="141" t="str">
        <f ca="1">IFERROR(IF(AND(ISNUMBER(Futs!$CC35), ISNUMBER($I35)), Futs!$CC35 + $I35, ""), "")</f>
        <v/>
      </c>
      <c r="O35" s="46" t="str">
        <f ca="1">IFERROR(IF(AND(ISNUMBER(Futs!$CD35), ISNUMBER($K35)), Futs!$CD35 + $K35, ""), "")</f>
        <v/>
      </c>
      <c r="P35" s="47" t="str">
        <f t="shared" ca="1" si="66"/>
        <v/>
      </c>
      <c r="Q35" s="364" t="str">
        <f ca="1">IFERROR(INDEX(ICE[], MATCH("dtd" &amp; TEXT(Crd!$A34, "mmmyy") &amp; "/" &amp; TEXT(Crd!$A35, "mmmyy"), ICE[LongCode], 0), MATCH("Text", ICE[#Headers], 0)), "")</f>
        <v/>
      </c>
      <c r="R35" s="111" t="str">
        <f t="shared" ca="1" si="67"/>
        <v/>
      </c>
      <c r="S35" s="400" t="str">
        <f ca="1">IFERROR(INDEX(ICE[], MATCH("brdub" &amp; TEXT(Crd!$A35, "mmmyy"), ICE[LongCode], 0), MATCH("ICE Theoretical Price", ICE[#Headers], 0)), "")</f>
        <v/>
      </c>
      <c r="T35" s="364" t="str">
        <f ca="1">IFERROR(INDEX(ICE[], MATCH("brdub" &amp; TEXT(Crd!$A35, "mmmyy"), ICE[LongCode], 0), MATCH("Text", ICE[#Headers], 0)), "")</f>
        <v xml:space="preserve"> /  </v>
      </c>
      <c r="U35" s="46" t="str">
        <f t="shared" ca="1" si="56"/>
        <v/>
      </c>
      <c r="V35" s="68" t="str">
        <f t="shared" ca="1" si="68"/>
        <v/>
      </c>
      <c r="W35" s="46" t="str">
        <f t="shared" ca="1" si="69"/>
        <v/>
      </c>
      <c r="X35" s="187" t="str">
        <f ca="1">IFERROR(IF(AND(ISNUMBER(Futs!$CC35), ISNUMBER($S35)), Futs!$CC35 - $S35, ""), "")</f>
        <v/>
      </c>
      <c r="Y35" s="46" t="str">
        <f ca="1">IFERROR(IF(AND(ISNUMBER(Futs!$CD35), ISNUMBER($U35)), Futs!$CD35 - $U35, ""), "")</f>
        <v/>
      </c>
      <c r="Z35" s="68" t="str">
        <f t="shared" ca="1" si="70"/>
        <v/>
      </c>
      <c r="AA35" s="364" t="str">
        <f ca="1">IFERROR(INDEX(ICE[], MATCH("dub" &amp; TEXT(Crd!$A34, "mmmyy") &amp; "/" &amp; TEXT(Crd!$A35, "mmmyy"), ICE[LongCode], 0), MATCH("Text", ICE[#Headers], 0)), "")</f>
        <v/>
      </c>
      <c r="AB35" s="46" t="str">
        <f t="shared" ca="1" si="71"/>
        <v/>
      </c>
      <c r="AC35" s="271" t="str">
        <f t="shared" ca="1" si="57"/>
        <v/>
      </c>
      <c r="AD35" s="46" t="str">
        <f t="shared" ca="1" si="58"/>
        <v/>
      </c>
      <c r="AE35" s="68" t="str">
        <f t="shared" ca="1" si="72"/>
        <v/>
      </c>
      <c r="AF35" s="111" t="str">
        <f t="shared" ca="1" si="73"/>
        <v/>
      </c>
      <c r="AG35" s="397" t="str">
        <f ca="1">IFERROR(INDEX(ICE[], MATCH("icemidticma" &amp; TEXT(Crd!$A35, "mmmyy"), ICE[LongCode], 0), MATCH("ICE Theoretical Price", ICE[#Headers], 0)), "")</f>
        <v/>
      </c>
      <c r="AH35" s="364" t="str">
        <f ca="1">IFERROR(INDEX(ICE[], MATCH("icemidticma" &amp; TEXT(Crd!$A35, "mmmyy"), ICE[LongCode], 0), MATCH("Text", ICE[#Headers], 0)), "")</f>
        <v/>
      </c>
      <c r="AI35" s="46" t="str">
        <f t="shared" ca="1" si="59"/>
        <v/>
      </c>
      <c r="AJ35" s="47" t="str">
        <f t="shared" ca="1" si="74"/>
        <v/>
      </c>
      <c r="AK35" s="46" t="str">
        <f t="shared" ca="1" si="75"/>
        <v/>
      </c>
      <c r="AL35" s="141" t="str">
        <f ca="1">IFERROR(IF(AND(ISNUMBER(Futs!$BY35), ISNUMBER($AG35)), Futs!$BY35 + $AG35, ""), "")</f>
        <v/>
      </c>
      <c r="AM35" s="46" t="str">
        <f ca="1">IFERROR(IF(AND(ISNUMBER(Futs!$BZ35), ISNUMBER($AI35)), Futs!$BZ35 + $AI35, ""), "")</f>
        <v/>
      </c>
      <c r="AN35" s="47" t="str">
        <f t="shared" ca="1" si="76"/>
        <v/>
      </c>
      <c r="AO35" s="111" t="str">
        <f t="shared" ca="1" si="77"/>
        <v/>
      </c>
      <c r="AP35" s="397" t="str">
        <f ca="1">IFERROR(INDEX(ICE[], MATCH("icemehticma" &amp; TEXT(Crd!$A35, "mmmyy"), ICE[LongCode], 0), MATCH("ICE Theoretical Price", ICE[#Headers], 0)), "")</f>
        <v/>
      </c>
      <c r="AQ35" s="364" t="str">
        <f ca="1">IFERROR(INDEX(ICE[], MATCH("icemehticma" &amp; TEXT(Crd!$A35, "mmmyy"), ICE[LongCode], 0), MATCH("Text", ICE[#Headers], 0)), "")</f>
        <v xml:space="preserve"> /  </v>
      </c>
      <c r="AR35" s="46" t="str">
        <f t="shared" ca="1" si="60"/>
        <v/>
      </c>
      <c r="AS35" s="47" t="str">
        <f t="shared" ca="1" si="78"/>
        <v/>
      </c>
      <c r="AT35" s="46" t="str">
        <f t="shared" ca="1" si="79"/>
        <v/>
      </c>
      <c r="AU35" s="141" t="str">
        <f ca="1">IFERROR(IF(AND(ISNUMBER($BH35), ISNUMBER(Futs!$CC35)), $BH35 - Futs!$CC35, ""), "")</f>
        <v/>
      </c>
      <c r="AV35" s="46" t="str">
        <f ca="1">IFERROR(IF(AND(ISNUMBER($BI35), ISNUMBER(Futs!$CD35)), $BI35 - Futs!$CD35, ""), "")</f>
        <v/>
      </c>
      <c r="AW35" s="141" t="str">
        <f ca="1">IFERROR(IF(AND(ISNUMBER(Futs!$BY35), ISNUMBER($BA35)), Futs!$BY35 + $BA35, ""), "")</f>
        <v/>
      </c>
      <c r="AX35" s="46" t="str">
        <f ca="1">IFERROR(IF(AND(ISNUMBER(Futs!$BZ35), ISNUMBER($BC35)), Futs!$BZ35 + $BC35, ""), "")</f>
        <v/>
      </c>
      <c r="AY35" s="47" t="str">
        <f t="shared" ca="1" si="80"/>
        <v/>
      </c>
      <c r="AZ35" s="46" t="str">
        <f t="shared" ca="1" si="81"/>
        <v/>
      </c>
      <c r="BA35" s="594" t="str">
        <f ca="1">IFERROR(INDEX(ICE[], MATCH("icemehticma" &amp; TEXT(Crd!$A35, "mmmyy"), ICE[LongCode], 0), MATCH("ICE Theoretical Price", ICE[#Headers], 0)), "")</f>
        <v/>
      </c>
      <c r="BB35" s="364" t="str">
        <f ca="1">IFERROR(INDEX(ICE[], MATCH("icemehticma" &amp; TEXT(Crd!$A35, "mmmyy"), ICE[LongCode], 0), MATCH("Text", ICE[#Headers], 0)), "")</f>
        <v xml:space="preserve"> /  </v>
      </c>
      <c r="BC35" s="46" t="str">
        <f t="shared" ca="1" si="61"/>
        <v/>
      </c>
      <c r="BD35" s="47" t="str">
        <f t="shared" ca="1" si="82"/>
        <v/>
      </c>
      <c r="BE35" s="46" t="str">
        <f t="shared" ca="1" si="83"/>
        <v/>
      </c>
      <c r="BF35" s="141" t="str">
        <f ca="1">IFERROR(IF(AND(ISNUMBER($BH35), ISNUMBER(Futs!$CC35)), $BH35 - Futs!$CC35, ""), "")</f>
        <v/>
      </c>
      <c r="BG35" s="46" t="str">
        <f ca="1">IFERROR(IF(AND(ISNUMBER($BI35), ISNUMBER(Futs!$CD35)), $BI35 - Futs!$CD35, ""), "")</f>
        <v/>
      </c>
      <c r="BH35" s="141" t="str">
        <f ca="1">IFERROR(IF(AND(ISNUMBER(Futs!$BY35), ISNUMBER($BA35)), Futs!$BY35 + $BA35, ""), "")</f>
        <v/>
      </c>
      <c r="BI35" s="46" t="str">
        <f ca="1">IFERROR(IF(AND(ISNUMBER(Futs!$BZ35), ISNUMBER($BC35)), Futs!$BZ35 + $BC35, ""), "")</f>
        <v/>
      </c>
      <c r="BJ35" s="47" t="str">
        <f t="shared" ca="1" si="84"/>
        <v/>
      </c>
      <c r="BK35" s="111" t="str">
        <f t="shared" ca="1" si="85"/>
        <v/>
      </c>
      <c r="BL35" s="397" t="str">
        <f ca="1">IFERROR(INDEX(ICE[], MATCH("icewcstitma" &amp; TEXT(Crd!$A35, "mmmyy"), ICE[LongCode], 0), MATCH("ICE Theoretical Price", ICE[#Headers], 0)), "")</f>
        <v/>
      </c>
      <c r="BM35" s="364" t="str">
        <f ca="1">IFERROR(INDEX(ICE[], MATCH("icewcstitma" &amp; TEXT(Crd!$A35, "mmmyy"), ICE[LongCode], 0), MATCH("Text", ICE[#Headers], 0)), "")</f>
        <v/>
      </c>
      <c r="BN35" s="46" t="str">
        <f t="shared" ca="1" si="62"/>
        <v/>
      </c>
      <c r="BO35" s="47" t="str">
        <f t="shared" ca="1" si="86"/>
        <v/>
      </c>
      <c r="BP35" s="46" t="str">
        <f t="shared" ca="1" si="87"/>
        <v/>
      </c>
      <c r="BQ35" s="141" t="str">
        <f ca="1">IFERROR(IF(AND(ISNUMBER($BS35), ISNUMBER(Futs!$CC35)), $BS35 - Futs!$CC35, ""), "")</f>
        <v/>
      </c>
      <c r="BR35" s="46" t="str">
        <f ca="1">IFERROR(IF(AND(ISNUMBER($BT35), ISNUMBER(Futs!$CD35)), $BT35 - Futs!$CD35, ""), "")</f>
        <v/>
      </c>
      <c r="BS35" s="141" t="str">
        <f ca="1">IFERROR(IF(AND(ISNUMBER(Futs!$BY35), ISNUMBER($BL35)), Futs!$BY35 + $BL35, ""), "")</f>
        <v/>
      </c>
      <c r="BT35" s="46" t="str">
        <f ca="1">IFERROR(IF(AND(ISNUMBER(Futs!$BZ35), ISNUMBER($BN35)), Futs!$BZ35 + $BN35, ""), "")</f>
        <v/>
      </c>
      <c r="BU35" s="47" t="str">
        <f t="shared" ca="1" si="88"/>
        <v/>
      </c>
      <c r="BV35" s="111" t="str">
        <f t="shared" ca="1" si="89"/>
        <v/>
      </c>
      <c r="BX35" s="92"/>
    </row>
    <row r="36" spans="1:76" x14ac:dyDescent="0.25">
      <c r="A36" s="58">
        <f t="shared" ca="1" si="63"/>
        <v>46784</v>
      </c>
      <c r="B36" s="6">
        <f t="shared" ca="1" si="53"/>
        <v>2028</v>
      </c>
      <c r="C36" s="6" t="str">
        <f t="shared" ca="1" si="54"/>
        <v>Q128</v>
      </c>
      <c r="D36" s="28">
        <f ca="1">INDEX(ICE[], MATCH(D$18 &amp; TEXT(Crd!$A36, "mmmyy"), ICE[LongCode], 0), MATCH("Settle", ICE[#Headers], 0))</f>
        <v>0.4</v>
      </c>
      <c r="E36" s="28">
        <f ca="1">INDEX(ICE[], MATCH(E$18 &amp; TEXT(Crd!$A36, "mmmyy"), ICE[LongCode], 0), MATCH("Settle", ICE[#Headers], 0))</f>
        <v>2.552</v>
      </c>
      <c r="F36" s="28" t="e">
        <f ca="1">INDEX(ICE[], MATCH(F$18 &amp; TEXT(Crd!$A36, "mmmyy"), ICE[LongCode], 0), MATCH("Settle", ICE[#Headers], 0))</f>
        <v>#N/A</v>
      </c>
      <c r="G36" s="28" t="e">
        <f ca="1">INDEX(ICE[], MATCH(G$18 &amp; TEXT(Crd!$A36, "mmmyy"), ICE[LongCode], 0), MATCH("Settle", ICE[#Headers], 0))</f>
        <v>#N/A</v>
      </c>
      <c r="H36" s="28" t="e">
        <f ca="1">INDEX(ICE[], MATCH(H$18 &amp; TEXT(Crd!$A36, "mmmyy"), ICE[LongCode], 0), MATCH("Settle", ICE[#Headers], 0))</f>
        <v>#N/A</v>
      </c>
      <c r="I36" s="397" t="str">
        <f ca="1">IFERROR(INDEX(ICE[], MATCH("dfl" &amp; TEXT(Crd!$A36, "mmmyy"), ICE[LongCode], 0), MATCH("ICE Theoretical Price", ICE[#Headers], 0)), "")</f>
        <v/>
      </c>
      <c r="J36" s="364" t="str">
        <f ca="1">IFERROR(INDEX(ICE[], MATCH("dfl" &amp; TEXT(Crd!$A36, "mmmyy"), ICE[LongCode], 0), MATCH("Text", ICE[#Headers], 0)), "")</f>
        <v xml:space="preserve"> /  </v>
      </c>
      <c r="K36" s="46" t="str">
        <f t="shared" ca="1" si="55"/>
        <v/>
      </c>
      <c r="L36" s="47" t="str">
        <f t="shared" ca="1" si="64"/>
        <v/>
      </c>
      <c r="M36" s="46" t="str">
        <f t="shared" ca="1" si="65"/>
        <v/>
      </c>
      <c r="N36" s="141" t="str">
        <f ca="1">IFERROR(IF(AND(ISNUMBER(Futs!$CC36), ISNUMBER($I36)), Futs!$CC36 + $I36, ""), "")</f>
        <v/>
      </c>
      <c r="O36" s="46" t="str">
        <f ca="1">IFERROR(IF(AND(ISNUMBER(Futs!$CD36), ISNUMBER($K36)), Futs!$CD36 + $K36, ""), "")</f>
        <v/>
      </c>
      <c r="P36" s="47" t="str">
        <f t="shared" ca="1" si="66"/>
        <v/>
      </c>
      <c r="Q36" s="364" t="str">
        <f ca="1">IFERROR(INDEX(ICE[], MATCH("dtd" &amp; TEXT(Crd!$A35, "mmmyy") &amp; "/" &amp; TEXT(Crd!$A36, "mmmyy"), ICE[LongCode], 0), MATCH("Text", ICE[#Headers], 0)), "")</f>
        <v/>
      </c>
      <c r="R36" s="111" t="str">
        <f t="shared" ca="1" si="67"/>
        <v/>
      </c>
      <c r="S36" s="400" t="str">
        <f ca="1">IFERROR(INDEX(ICE[], MATCH("brdub" &amp; TEXT(Crd!$A36, "mmmyy"), ICE[LongCode], 0), MATCH("ICE Theoretical Price", ICE[#Headers], 0)), "")</f>
        <v/>
      </c>
      <c r="T36" s="364" t="str">
        <f ca="1">IFERROR(INDEX(ICE[], MATCH("brdub" &amp; TEXT(Crd!$A36, "mmmyy"), ICE[LongCode], 0), MATCH("Text", ICE[#Headers], 0)), "")</f>
        <v xml:space="preserve"> /  </v>
      </c>
      <c r="U36" s="46" t="str">
        <f t="shared" ca="1" si="56"/>
        <v/>
      </c>
      <c r="V36" s="68" t="str">
        <f t="shared" ca="1" si="68"/>
        <v/>
      </c>
      <c r="W36" s="46" t="str">
        <f t="shared" ca="1" si="69"/>
        <v/>
      </c>
      <c r="X36" s="187" t="str">
        <f ca="1">IFERROR(IF(AND(ISNUMBER(Futs!$CC36), ISNUMBER($S36)), Futs!$CC36 - $S36, ""), "")</f>
        <v/>
      </c>
      <c r="Y36" s="46" t="str">
        <f ca="1">IFERROR(IF(AND(ISNUMBER(Futs!$CD36), ISNUMBER($U36)), Futs!$CD36 - $U36, ""), "")</f>
        <v/>
      </c>
      <c r="Z36" s="68" t="str">
        <f t="shared" ca="1" si="70"/>
        <v/>
      </c>
      <c r="AA36" s="364" t="str">
        <f ca="1">IFERROR(INDEX(ICE[], MATCH("dub" &amp; TEXT(Crd!$A35, "mmmyy") &amp; "/" &amp; TEXT(Crd!$A36, "mmmyy"), ICE[LongCode], 0), MATCH("Text", ICE[#Headers], 0)), "")</f>
        <v/>
      </c>
      <c r="AB36" s="46" t="str">
        <f t="shared" ca="1" si="71"/>
        <v/>
      </c>
      <c r="AC36" s="271" t="str">
        <f t="shared" ca="1" si="57"/>
        <v/>
      </c>
      <c r="AD36" s="46" t="str">
        <f t="shared" ca="1" si="58"/>
        <v/>
      </c>
      <c r="AE36" s="68" t="str">
        <f t="shared" ca="1" si="72"/>
        <v/>
      </c>
      <c r="AF36" s="111" t="str">
        <f t="shared" ca="1" si="73"/>
        <v/>
      </c>
      <c r="AG36" s="397" t="str">
        <f ca="1">IFERROR(INDEX(ICE[], MATCH("icemidticma" &amp; TEXT(Crd!$A36, "mmmyy"), ICE[LongCode], 0), MATCH("ICE Theoretical Price", ICE[#Headers], 0)), "")</f>
        <v/>
      </c>
      <c r="AH36" s="364" t="str">
        <f ca="1">IFERROR(INDEX(ICE[], MATCH("icemidticma" &amp; TEXT(Crd!$A36, "mmmyy"), ICE[LongCode], 0), MATCH("Text", ICE[#Headers], 0)), "")</f>
        <v/>
      </c>
      <c r="AI36" s="46" t="str">
        <f t="shared" ca="1" si="59"/>
        <v/>
      </c>
      <c r="AJ36" s="47" t="str">
        <f t="shared" ca="1" si="74"/>
        <v/>
      </c>
      <c r="AK36" s="46" t="str">
        <f t="shared" ca="1" si="75"/>
        <v/>
      </c>
      <c r="AL36" s="141" t="str">
        <f ca="1">IFERROR(IF(AND(ISNUMBER(Futs!$BY36), ISNUMBER($AG36)), Futs!$BY36 + $AG36, ""), "")</f>
        <v/>
      </c>
      <c r="AM36" s="46" t="str">
        <f ca="1">IFERROR(IF(AND(ISNUMBER(Futs!$BZ36), ISNUMBER($AI36)), Futs!$BZ36 + $AI36, ""), "")</f>
        <v/>
      </c>
      <c r="AN36" s="47" t="str">
        <f t="shared" ca="1" si="76"/>
        <v/>
      </c>
      <c r="AO36" s="111" t="str">
        <f t="shared" ca="1" si="77"/>
        <v/>
      </c>
      <c r="AP36" s="397" t="str">
        <f ca="1">IFERROR(INDEX(ICE[], MATCH("icemehticma" &amp; TEXT(Crd!$A36, "mmmyy"), ICE[LongCode], 0), MATCH("ICE Theoretical Price", ICE[#Headers], 0)), "")</f>
        <v/>
      </c>
      <c r="AQ36" s="364" t="str">
        <f ca="1">IFERROR(INDEX(ICE[], MATCH("icemehticma" &amp; TEXT(Crd!$A36, "mmmyy"), ICE[LongCode], 0), MATCH("Text", ICE[#Headers], 0)), "")</f>
        <v/>
      </c>
      <c r="AR36" s="46" t="str">
        <f t="shared" ca="1" si="60"/>
        <v/>
      </c>
      <c r="AS36" s="47" t="str">
        <f t="shared" ca="1" si="78"/>
        <v/>
      </c>
      <c r="AT36" s="46" t="str">
        <f t="shared" ca="1" si="79"/>
        <v/>
      </c>
      <c r="AU36" s="141" t="str">
        <f ca="1">IFERROR(IF(AND(ISNUMBER($BH36), ISNUMBER(Futs!$CC36)), $BH36 - Futs!$CC36, ""), "")</f>
        <v/>
      </c>
      <c r="AV36" s="46" t="str">
        <f ca="1">IFERROR(IF(AND(ISNUMBER($BI36), ISNUMBER(Futs!$CD36)), $BI36 - Futs!$CD36, ""), "")</f>
        <v/>
      </c>
      <c r="AW36" s="141" t="str">
        <f ca="1">IFERROR(IF(AND(ISNUMBER(Futs!$BY36), ISNUMBER($BA36)), Futs!$BY36 + $BA36, ""), "")</f>
        <v/>
      </c>
      <c r="AX36" s="46" t="str">
        <f ca="1">IFERROR(IF(AND(ISNUMBER(Futs!$BZ36), ISNUMBER($BC36)), Futs!$BZ36 + $BC36, ""), "")</f>
        <v/>
      </c>
      <c r="AY36" s="47" t="str">
        <f t="shared" ca="1" si="80"/>
        <v/>
      </c>
      <c r="AZ36" s="46" t="str">
        <f t="shared" ca="1" si="81"/>
        <v/>
      </c>
      <c r="BA36" s="594" t="str">
        <f ca="1">IFERROR(INDEX(ICE[], MATCH("icemehticma" &amp; TEXT(Crd!$A36, "mmmyy"), ICE[LongCode], 0), MATCH("ICE Theoretical Price", ICE[#Headers], 0)), "")</f>
        <v/>
      </c>
      <c r="BB36" s="364" t="str">
        <f ca="1">IFERROR(INDEX(ICE[], MATCH("icemehticma" &amp; TEXT(Crd!$A36, "mmmyy"), ICE[LongCode], 0), MATCH("Text", ICE[#Headers], 0)), "")</f>
        <v/>
      </c>
      <c r="BC36" s="46" t="str">
        <f t="shared" ca="1" si="61"/>
        <v/>
      </c>
      <c r="BD36" s="47" t="str">
        <f t="shared" ca="1" si="82"/>
        <v/>
      </c>
      <c r="BE36" s="46" t="str">
        <f t="shared" ca="1" si="83"/>
        <v/>
      </c>
      <c r="BF36" s="141" t="str">
        <f ca="1">IFERROR(IF(AND(ISNUMBER($BH36), ISNUMBER(Futs!$CC36)), $BH36 - Futs!$CC36, ""), "")</f>
        <v/>
      </c>
      <c r="BG36" s="46" t="str">
        <f ca="1">IFERROR(IF(AND(ISNUMBER($BI36), ISNUMBER(Futs!$CD36)), $BI36 - Futs!$CD36, ""), "")</f>
        <v/>
      </c>
      <c r="BH36" s="141" t="str">
        <f ca="1">IFERROR(IF(AND(ISNUMBER(Futs!$BY36), ISNUMBER($BA36)), Futs!$BY36 + $BA36, ""), "")</f>
        <v/>
      </c>
      <c r="BI36" s="46" t="str">
        <f ca="1">IFERROR(IF(AND(ISNUMBER(Futs!$BZ36), ISNUMBER($BC36)), Futs!$BZ36 + $BC36, ""), "")</f>
        <v/>
      </c>
      <c r="BJ36" s="47" t="str">
        <f t="shared" ca="1" si="84"/>
        <v/>
      </c>
      <c r="BK36" s="111" t="str">
        <f t="shared" ca="1" si="85"/>
        <v/>
      </c>
      <c r="BL36" s="397" t="str">
        <f ca="1">IFERROR(INDEX(ICE[], MATCH("icewcstitma" &amp; TEXT(Crd!$A36, "mmmyy"), ICE[LongCode], 0), MATCH("ICE Theoretical Price", ICE[#Headers], 0)), "")</f>
        <v/>
      </c>
      <c r="BM36" s="364" t="str">
        <f ca="1">IFERROR(INDEX(ICE[], MATCH("icewcstitma" &amp; TEXT(Crd!$A36, "mmmyy"), ICE[LongCode], 0), MATCH("Text", ICE[#Headers], 0)), "")</f>
        <v/>
      </c>
      <c r="BN36" s="46" t="str">
        <f t="shared" ca="1" si="62"/>
        <v/>
      </c>
      <c r="BO36" s="47" t="str">
        <f t="shared" ca="1" si="86"/>
        <v/>
      </c>
      <c r="BP36" s="46" t="str">
        <f t="shared" ca="1" si="87"/>
        <v/>
      </c>
      <c r="BQ36" s="141" t="str">
        <f ca="1">IFERROR(IF(AND(ISNUMBER($BS36), ISNUMBER(Futs!$CC36)), $BS36 - Futs!$CC36, ""), "")</f>
        <v/>
      </c>
      <c r="BR36" s="46" t="str">
        <f ca="1">IFERROR(IF(AND(ISNUMBER($BT36), ISNUMBER(Futs!$CD36)), $BT36 - Futs!$CD36, ""), "")</f>
        <v/>
      </c>
      <c r="BS36" s="141" t="str">
        <f ca="1">IFERROR(IF(AND(ISNUMBER(Futs!$BY36), ISNUMBER($BL36)), Futs!$BY36 + $BL36, ""), "")</f>
        <v/>
      </c>
      <c r="BT36" s="46" t="str">
        <f ca="1">IFERROR(IF(AND(ISNUMBER(Futs!$BZ36), ISNUMBER($BN36)), Futs!$BZ36 + $BN36, ""), "")</f>
        <v/>
      </c>
      <c r="BU36" s="47" t="str">
        <f t="shared" ca="1" si="88"/>
        <v/>
      </c>
      <c r="BV36" s="111" t="str">
        <f t="shared" ca="1" si="89"/>
        <v/>
      </c>
      <c r="BX36" s="92"/>
    </row>
    <row r="37" spans="1:76" x14ac:dyDescent="0.25">
      <c r="A37" s="58">
        <f t="shared" ca="1" si="63"/>
        <v>46813</v>
      </c>
      <c r="B37" s="6">
        <f t="shared" ca="1" si="53"/>
        <v>2028</v>
      </c>
      <c r="C37" s="6" t="str">
        <f t="shared" ca="1" si="54"/>
        <v>Q128</v>
      </c>
      <c r="D37" s="28">
        <f ca="1">INDEX(ICE[], MATCH(D$18 &amp; TEXT(Crd!$A37, "mmmyy"), ICE[LongCode], 0), MATCH("Settle", ICE[#Headers], 0))</f>
        <v>0.4</v>
      </c>
      <c r="E37" s="28">
        <f ca="1">INDEX(ICE[], MATCH(E$18 &amp; TEXT(Crd!$A37, "mmmyy"), ICE[LongCode], 0), MATCH("Settle", ICE[#Headers], 0))</f>
        <v>2.5100000000000002</v>
      </c>
      <c r="F37" s="28" t="e">
        <f ca="1">INDEX(ICE[], MATCH(F$18 &amp; TEXT(Crd!$A37, "mmmyy"), ICE[LongCode], 0), MATCH("Settle", ICE[#Headers], 0))</f>
        <v>#N/A</v>
      </c>
      <c r="G37" s="28" t="e">
        <f ca="1">INDEX(ICE[], MATCH(G$18 &amp; TEXT(Crd!$A37, "mmmyy"), ICE[LongCode], 0), MATCH("Settle", ICE[#Headers], 0))</f>
        <v>#N/A</v>
      </c>
      <c r="H37" s="28" t="e">
        <f ca="1">INDEX(ICE[], MATCH(H$18 &amp; TEXT(Crd!$A37, "mmmyy"), ICE[LongCode], 0), MATCH("Settle", ICE[#Headers], 0))</f>
        <v>#N/A</v>
      </c>
      <c r="I37" s="397" t="str">
        <f ca="1">IFERROR(INDEX(ICE[], MATCH("dfl" &amp; TEXT(Crd!$A37, "mmmyy"), ICE[LongCode], 0), MATCH("ICE Theoretical Price", ICE[#Headers], 0)), "")</f>
        <v/>
      </c>
      <c r="J37" s="364" t="str">
        <f ca="1">IFERROR(INDEX(ICE[], MATCH("dfl" &amp; TEXT(Crd!$A37, "mmmyy"), ICE[LongCode], 0), MATCH("Text", ICE[#Headers], 0)), "")</f>
        <v xml:space="preserve"> /  </v>
      </c>
      <c r="K37" s="46" t="str">
        <f t="shared" ca="1" si="55"/>
        <v/>
      </c>
      <c r="L37" s="47" t="str">
        <f t="shared" ca="1" si="64"/>
        <v/>
      </c>
      <c r="M37" s="46" t="str">
        <f t="shared" ca="1" si="65"/>
        <v/>
      </c>
      <c r="N37" s="141" t="str">
        <f ca="1">IFERROR(IF(AND(ISNUMBER(Futs!$CC37), ISNUMBER($I37)), Futs!$CC37 + $I37, ""), "")</f>
        <v/>
      </c>
      <c r="O37" s="46" t="str">
        <f ca="1">IFERROR(IF(AND(ISNUMBER(Futs!$CD37), ISNUMBER($K37)), Futs!$CD37 + $K37, ""), "")</f>
        <v/>
      </c>
      <c r="P37" s="47" t="str">
        <f t="shared" ca="1" si="66"/>
        <v/>
      </c>
      <c r="Q37" s="364" t="str">
        <f ca="1">IFERROR(INDEX(ICE[], MATCH("dtd" &amp; TEXT(Crd!$A36, "mmmyy") &amp; "/" &amp; TEXT(Crd!$A37, "mmmyy"), ICE[LongCode], 0), MATCH("Text", ICE[#Headers], 0)), "")</f>
        <v/>
      </c>
      <c r="R37" s="111" t="str">
        <f t="shared" ca="1" si="67"/>
        <v/>
      </c>
      <c r="S37" s="400" t="str">
        <f ca="1">IFERROR(INDEX(ICE[], MATCH("brdub" &amp; TEXT(Crd!$A37, "mmmyy"), ICE[LongCode], 0), MATCH("ICE Theoretical Price", ICE[#Headers], 0)), "")</f>
        <v/>
      </c>
      <c r="T37" s="364" t="str">
        <f ca="1">IFERROR(INDEX(ICE[], MATCH("brdub" &amp; TEXT(Crd!$A37, "mmmyy"), ICE[LongCode], 0), MATCH("Text", ICE[#Headers], 0)), "")</f>
        <v xml:space="preserve"> /  </v>
      </c>
      <c r="U37" s="46" t="str">
        <f t="shared" ca="1" si="56"/>
        <v/>
      </c>
      <c r="V37" s="68" t="str">
        <f t="shared" ca="1" si="68"/>
        <v/>
      </c>
      <c r="W37" s="46" t="str">
        <f t="shared" ca="1" si="69"/>
        <v/>
      </c>
      <c r="X37" s="187" t="str">
        <f ca="1">IFERROR(IF(AND(ISNUMBER(Futs!$CC37), ISNUMBER($S37)), Futs!$CC37 - $S37, ""), "")</f>
        <v/>
      </c>
      <c r="Y37" s="46" t="str">
        <f ca="1">IFERROR(IF(AND(ISNUMBER(Futs!$CD37), ISNUMBER($U37)), Futs!$CD37 - $U37, ""), "")</f>
        <v/>
      </c>
      <c r="Z37" s="68" t="str">
        <f t="shared" ca="1" si="70"/>
        <v/>
      </c>
      <c r="AA37" s="364" t="str">
        <f ca="1">IFERROR(INDEX(ICE[], MATCH("dub" &amp; TEXT(Crd!$A36, "mmmyy") &amp; "/" &amp; TEXT(Crd!$A37, "mmmyy"), ICE[LongCode], 0), MATCH("Text", ICE[#Headers], 0)), "")</f>
        <v/>
      </c>
      <c r="AB37" s="46" t="str">
        <f t="shared" ca="1" si="71"/>
        <v/>
      </c>
      <c r="AC37" s="271" t="str">
        <f t="shared" ca="1" si="57"/>
        <v/>
      </c>
      <c r="AD37" s="46" t="str">
        <f t="shared" ca="1" si="58"/>
        <v/>
      </c>
      <c r="AE37" s="68" t="str">
        <f t="shared" ca="1" si="72"/>
        <v/>
      </c>
      <c r="AF37" s="111" t="str">
        <f t="shared" ca="1" si="73"/>
        <v/>
      </c>
      <c r="AG37" s="397" t="str">
        <f ca="1">IFERROR(INDEX(ICE[], MATCH("icemidticma" &amp; TEXT(Crd!$A37, "mmmyy"), ICE[LongCode], 0), MATCH("ICE Theoretical Price", ICE[#Headers], 0)), "")</f>
        <v/>
      </c>
      <c r="AH37" s="364" t="str">
        <f ca="1">IFERROR(INDEX(ICE[], MATCH("icemidticma" &amp; TEXT(Crd!$A37, "mmmyy"), ICE[LongCode], 0), MATCH("Text", ICE[#Headers], 0)), "")</f>
        <v/>
      </c>
      <c r="AI37" s="46" t="str">
        <f t="shared" ca="1" si="59"/>
        <v/>
      </c>
      <c r="AJ37" s="47" t="str">
        <f t="shared" ca="1" si="74"/>
        <v/>
      </c>
      <c r="AK37" s="46" t="str">
        <f t="shared" ca="1" si="75"/>
        <v/>
      </c>
      <c r="AL37" s="141" t="str">
        <f ca="1">IFERROR(IF(AND(ISNUMBER(Futs!$BY37), ISNUMBER($AG37)), Futs!$BY37 + $AG37, ""), "")</f>
        <v/>
      </c>
      <c r="AM37" s="46" t="str">
        <f ca="1">IFERROR(IF(AND(ISNUMBER(Futs!$BZ37), ISNUMBER($AI37)), Futs!$BZ37 + $AI37, ""), "")</f>
        <v/>
      </c>
      <c r="AN37" s="47" t="str">
        <f t="shared" ca="1" si="76"/>
        <v/>
      </c>
      <c r="AO37" s="111" t="str">
        <f t="shared" ca="1" si="77"/>
        <v/>
      </c>
      <c r="AP37" s="397" t="str">
        <f ca="1">IFERROR(INDEX(ICE[], MATCH("icemehticma" &amp; TEXT(Crd!$A37, "mmmyy"), ICE[LongCode], 0), MATCH("ICE Theoretical Price", ICE[#Headers], 0)), "")</f>
        <v/>
      </c>
      <c r="AQ37" s="364" t="str">
        <f ca="1">IFERROR(INDEX(ICE[], MATCH("icemehticma" &amp; TEXT(Crd!$A37, "mmmyy"), ICE[LongCode], 0), MATCH("Text", ICE[#Headers], 0)), "")</f>
        <v/>
      </c>
      <c r="AR37" s="46" t="str">
        <f t="shared" ca="1" si="60"/>
        <v/>
      </c>
      <c r="AS37" s="47" t="str">
        <f t="shared" ca="1" si="78"/>
        <v/>
      </c>
      <c r="AT37" s="46" t="str">
        <f t="shared" ca="1" si="79"/>
        <v/>
      </c>
      <c r="AU37" s="141" t="str">
        <f ca="1">IFERROR(IF(AND(ISNUMBER($BH37), ISNUMBER(Futs!$CC37)), $BH37 - Futs!$CC37, ""), "")</f>
        <v/>
      </c>
      <c r="AV37" s="46" t="str">
        <f ca="1">IFERROR(IF(AND(ISNUMBER($BI37), ISNUMBER(Futs!$CD37)), $BI37 - Futs!$CD37, ""), "")</f>
        <v/>
      </c>
      <c r="AW37" s="141" t="str">
        <f ca="1">IFERROR(IF(AND(ISNUMBER(Futs!$BY37), ISNUMBER($BA37)), Futs!$BY37 + $BA37, ""), "")</f>
        <v/>
      </c>
      <c r="AX37" s="46" t="str">
        <f ca="1">IFERROR(IF(AND(ISNUMBER(Futs!$BZ37), ISNUMBER($BC37)), Futs!$BZ37 + $BC37, ""), "")</f>
        <v/>
      </c>
      <c r="AY37" s="47" t="str">
        <f t="shared" ca="1" si="80"/>
        <v/>
      </c>
      <c r="AZ37" s="46" t="str">
        <f t="shared" ca="1" si="81"/>
        <v/>
      </c>
      <c r="BA37" s="594" t="str">
        <f ca="1">IFERROR(INDEX(ICE[], MATCH("icemehticma" &amp; TEXT(Crd!$A37, "mmmyy"), ICE[LongCode], 0), MATCH("ICE Theoretical Price", ICE[#Headers], 0)), "")</f>
        <v/>
      </c>
      <c r="BB37" s="364" t="str">
        <f ca="1">IFERROR(INDEX(ICE[], MATCH("icemehticma" &amp; TEXT(Crd!$A37, "mmmyy"), ICE[LongCode], 0), MATCH("Text", ICE[#Headers], 0)), "")</f>
        <v/>
      </c>
      <c r="BC37" s="46" t="str">
        <f t="shared" ca="1" si="61"/>
        <v/>
      </c>
      <c r="BD37" s="47" t="str">
        <f t="shared" ca="1" si="82"/>
        <v/>
      </c>
      <c r="BE37" s="46" t="str">
        <f t="shared" ca="1" si="83"/>
        <v/>
      </c>
      <c r="BF37" s="141" t="str">
        <f ca="1">IFERROR(IF(AND(ISNUMBER($BH37), ISNUMBER(Futs!$CC37)), $BH37 - Futs!$CC37, ""), "")</f>
        <v/>
      </c>
      <c r="BG37" s="46" t="str">
        <f ca="1">IFERROR(IF(AND(ISNUMBER($BI37), ISNUMBER(Futs!$CD37)), $BI37 - Futs!$CD37, ""), "")</f>
        <v/>
      </c>
      <c r="BH37" s="141" t="str">
        <f ca="1">IFERROR(IF(AND(ISNUMBER(Futs!$BY37), ISNUMBER($BA37)), Futs!$BY37 + $BA37, ""), "")</f>
        <v/>
      </c>
      <c r="BI37" s="46" t="str">
        <f ca="1">IFERROR(IF(AND(ISNUMBER(Futs!$BZ37), ISNUMBER($BC37)), Futs!$BZ37 + $BC37, ""), "")</f>
        <v/>
      </c>
      <c r="BJ37" s="47" t="str">
        <f t="shared" ca="1" si="84"/>
        <v/>
      </c>
      <c r="BK37" s="111" t="str">
        <f t="shared" ca="1" si="85"/>
        <v/>
      </c>
      <c r="BL37" s="397" t="str">
        <f ca="1">IFERROR(INDEX(ICE[], MATCH("icewcstitma" &amp; TEXT(Crd!$A37, "mmmyy"), ICE[LongCode], 0), MATCH("ICE Theoretical Price", ICE[#Headers], 0)), "")</f>
        <v/>
      </c>
      <c r="BM37" s="364" t="str">
        <f ca="1">IFERROR(INDEX(ICE[], MATCH("icewcstitma" &amp; TEXT(Crd!$A37, "mmmyy"), ICE[LongCode], 0), MATCH("Text", ICE[#Headers], 0)), "")</f>
        <v/>
      </c>
      <c r="BN37" s="46" t="str">
        <f t="shared" ca="1" si="62"/>
        <v/>
      </c>
      <c r="BO37" s="47" t="str">
        <f t="shared" ca="1" si="86"/>
        <v/>
      </c>
      <c r="BP37" s="46" t="str">
        <f t="shared" ca="1" si="87"/>
        <v/>
      </c>
      <c r="BQ37" s="141" t="str">
        <f ca="1">IFERROR(IF(AND(ISNUMBER($BS37), ISNUMBER(Futs!$CC37)), $BS37 - Futs!$CC37, ""), "")</f>
        <v/>
      </c>
      <c r="BR37" s="46" t="str">
        <f ca="1">IFERROR(IF(AND(ISNUMBER($BT37), ISNUMBER(Futs!$CD37)), $BT37 - Futs!$CD37, ""), "")</f>
        <v/>
      </c>
      <c r="BS37" s="141" t="str">
        <f ca="1">IFERROR(IF(AND(ISNUMBER(Futs!$BY37), ISNUMBER($BL37)), Futs!$BY37 + $BL37, ""), "")</f>
        <v/>
      </c>
      <c r="BT37" s="46" t="str">
        <f ca="1">IFERROR(IF(AND(ISNUMBER(Futs!$BZ37), ISNUMBER($BN37)), Futs!$BZ37 + $BN37, ""), "")</f>
        <v/>
      </c>
      <c r="BU37" s="47" t="str">
        <f t="shared" ca="1" si="88"/>
        <v/>
      </c>
      <c r="BV37" s="111" t="str">
        <f t="shared" ca="1" si="89"/>
        <v/>
      </c>
      <c r="BX37" s="92"/>
    </row>
    <row r="38" spans="1:76" x14ac:dyDescent="0.25">
      <c r="A38" s="58">
        <f t="shared" ca="1" si="63"/>
        <v>46844</v>
      </c>
      <c r="B38" s="6">
        <f t="shared" ca="1" si="53"/>
        <v>2028</v>
      </c>
      <c r="C38" s="6" t="str">
        <f t="shared" ca="1" si="54"/>
        <v>Q228</v>
      </c>
      <c r="D38" s="28">
        <f ca="1">INDEX(ICE[], MATCH(D$18 &amp; TEXT(Crd!$A38, "mmmyy"), ICE[LongCode], 0), MATCH("Settle", ICE[#Headers], 0))</f>
        <v>0.38</v>
      </c>
      <c r="E38" s="28">
        <f ca="1">INDEX(ICE[], MATCH(E$18 &amp; TEXT(Crd!$A38, "mmmyy"), ICE[LongCode], 0), MATCH("Settle", ICE[#Headers], 0))</f>
        <v>2.4890000000000003</v>
      </c>
      <c r="F38" s="28" t="e">
        <f ca="1">INDEX(ICE[], MATCH(F$18 &amp; TEXT(Crd!$A38, "mmmyy"), ICE[LongCode], 0), MATCH("Settle", ICE[#Headers], 0))</f>
        <v>#N/A</v>
      </c>
      <c r="G38" s="28" t="e">
        <f ca="1">INDEX(ICE[], MATCH(G$18 &amp; TEXT(Crd!$A38, "mmmyy"), ICE[LongCode], 0), MATCH("Settle", ICE[#Headers], 0))</f>
        <v>#N/A</v>
      </c>
      <c r="H38" s="28" t="e">
        <f ca="1">INDEX(ICE[], MATCH(H$18 &amp; TEXT(Crd!$A38, "mmmyy"), ICE[LongCode], 0), MATCH("Settle", ICE[#Headers], 0))</f>
        <v>#N/A</v>
      </c>
      <c r="I38" s="397" t="str">
        <f ca="1">IFERROR(INDEX(ICE[], MATCH("dfl" &amp; TEXT(Crd!$A38, "mmmyy"), ICE[LongCode], 0), MATCH("ICE Theoretical Price", ICE[#Headers], 0)), "")</f>
        <v/>
      </c>
      <c r="J38" s="364" t="str">
        <f ca="1">IFERROR(INDEX(ICE[], MATCH("dfl" &amp; TEXT(Crd!$A38, "mmmyy"), ICE[LongCode], 0), MATCH("Text", ICE[#Headers], 0)), "")</f>
        <v>0.34 /   |2x</v>
      </c>
      <c r="K38" s="46" t="str">
        <f t="shared" ca="1" si="55"/>
        <v/>
      </c>
      <c r="L38" s="47" t="str">
        <f t="shared" ca="1" si="64"/>
        <v/>
      </c>
      <c r="M38" s="46" t="str">
        <f t="shared" ca="1" si="65"/>
        <v/>
      </c>
      <c r="N38" s="141" t="str">
        <f ca="1">IFERROR(IF(AND(ISNUMBER(Futs!$CC38), ISNUMBER($I38)), Futs!$CC38 + $I38, ""), "")</f>
        <v/>
      </c>
      <c r="O38" s="46" t="str">
        <f ca="1">IFERROR(IF(AND(ISNUMBER(Futs!$CD38), ISNUMBER($K38)), Futs!$CD38 + $K38, ""), "")</f>
        <v/>
      </c>
      <c r="P38" s="47" t="str">
        <f t="shared" ca="1" si="66"/>
        <v/>
      </c>
      <c r="Q38" s="364" t="str">
        <f ca="1">IFERROR(INDEX(ICE[], MATCH("dtd" &amp; TEXT(Crd!$A37, "mmmyy") &amp; "/" &amp; TEXT(Crd!$A38, "mmmyy"), ICE[LongCode], 0), MATCH("Text", ICE[#Headers], 0)), "")</f>
        <v/>
      </c>
      <c r="R38" s="111" t="str">
        <f t="shared" ca="1" si="67"/>
        <v/>
      </c>
      <c r="S38" s="400" t="str">
        <f ca="1">IFERROR(INDEX(ICE[], MATCH("brdub" &amp; TEXT(Crd!$A38, "mmmyy"), ICE[LongCode], 0), MATCH("ICE Theoretical Price", ICE[#Headers], 0)), "")</f>
        <v/>
      </c>
      <c r="T38" s="364" t="str">
        <f ca="1">IFERROR(INDEX(ICE[], MATCH("brdub" &amp; TEXT(Crd!$A38, "mmmyy"), ICE[LongCode], 0), MATCH("Text", ICE[#Headers], 0)), "")</f>
        <v xml:space="preserve"> /  </v>
      </c>
      <c r="U38" s="46" t="str">
        <f t="shared" ca="1" si="56"/>
        <v/>
      </c>
      <c r="V38" s="68" t="str">
        <f t="shared" ca="1" si="68"/>
        <v/>
      </c>
      <c r="W38" s="46" t="str">
        <f t="shared" ca="1" si="69"/>
        <v/>
      </c>
      <c r="X38" s="187" t="str">
        <f ca="1">IFERROR(IF(AND(ISNUMBER(Futs!$CC38), ISNUMBER($S38)), Futs!$CC38 - $S38, ""), "")</f>
        <v/>
      </c>
      <c r="Y38" s="46" t="str">
        <f ca="1">IFERROR(IF(AND(ISNUMBER(Futs!$CD38), ISNUMBER($U38)), Futs!$CD38 - $U38, ""), "")</f>
        <v/>
      </c>
      <c r="Z38" s="68" t="str">
        <f t="shared" ca="1" si="70"/>
        <v/>
      </c>
      <c r="AA38" s="364" t="str">
        <f ca="1">IFERROR(INDEX(ICE[], MATCH("dub" &amp; TEXT(Crd!$A37, "mmmyy") &amp; "/" &amp; TEXT(Crd!$A38, "mmmyy"), ICE[LongCode], 0), MATCH("Text", ICE[#Headers], 0)), "")</f>
        <v/>
      </c>
      <c r="AB38" s="46" t="str">
        <f t="shared" ca="1" si="71"/>
        <v/>
      </c>
      <c r="AC38" s="271" t="str">
        <f t="shared" ca="1" si="57"/>
        <v/>
      </c>
      <c r="AD38" s="46" t="str">
        <f t="shared" ca="1" si="58"/>
        <v/>
      </c>
      <c r="AE38" s="68" t="str">
        <f t="shared" ca="1" si="72"/>
        <v/>
      </c>
      <c r="AF38" s="111" t="str">
        <f t="shared" ca="1" si="73"/>
        <v/>
      </c>
      <c r="AG38" s="397" t="str">
        <f ca="1">IFERROR(INDEX(ICE[], MATCH("icemidticma" &amp; TEXT(Crd!$A38, "mmmyy"), ICE[LongCode], 0), MATCH("ICE Theoretical Price", ICE[#Headers], 0)), "")</f>
        <v/>
      </c>
      <c r="AH38" s="364" t="str">
        <f ca="1">IFERROR(INDEX(ICE[], MATCH("icemidticma" &amp; TEXT(Crd!$A38, "mmmyy"), ICE[LongCode], 0), MATCH("Text", ICE[#Headers], 0)), "")</f>
        <v/>
      </c>
      <c r="AI38" s="46" t="str">
        <f t="shared" ca="1" si="59"/>
        <v/>
      </c>
      <c r="AJ38" s="47" t="str">
        <f t="shared" ca="1" si="74"/>
        <v/>
      </c>
      <c r="AK38" s="46" t="str">
        <f t="shared" ca="1" si="75"/>
        <v/>
      </c>
      <c r="AL38" s="141" t="str">
        <f ca="1">IFERROR(IF(AND(ISNUMBER(Futs!$BY38), ISNUMBER($AG38)), Futs!$BY38 + $AG38, ""), "")</f>
        <v/>
      </c>
      <c r="AM38" s="46" t="str">
        <f ca="1">IFERROR(IF(AND(ISNUMBER(Futs!$BZ38), ISNUMBER($AI38)), Futs!$BZ38 + $AI38, ""), "")</f>
        <v/>
      </c>
      <c r="AN38" s="47" t="str">
        <f t="shared" ca="1" si="76"/>
        <v/>
      </c>
      <c r="AO38" s="111" t="str">
        <f t="shared" ca="1" si="77"/>
        <v/>
      </c>
      <c r="AP38" s="397" t="str">
        <f ca="1">IFERROR(INDEX(ICE[], MATCH("icemehticma" &amp; TEXT(Crd!$A38, "mmmyy"), ICE[LongCode], 0), MATCH("ICE Theoretical Price", ICE[#Headers], 0)), "")</f>
        <v/>
      </c>
      <c r="AQ38" s="364" t="str">
        <f ca="1">IFERROR(INDEX(ICE[], MATCH("icemehticma" &amp; TEXT(Crd!$A38, "mmmyy"), ICE[LongCode], 0), MATCH("Text", ICE[#Headers], 0)), "")</f>
        <v/>
      </c>
      <c r="AR38" s="46" t="str">
        <f t="shared" ca="1" si="60"/>
        <v/>
      </c>
      <c r="AS38" s="47" t="str">
        <f t="shared" ca="1" si="78"/>
        <v/>
      </c>
      <c r="AT38" s="46" t="str">
        <f t="shared" ca="1" si="79"/>
        <v/>
      </c>
      <c r="AU38" s="141" t="str">
        <f ca="1">IFERROR(IF(AND(ISNUMBER($BH38), ISNUMBER(Futs!$CC38)), $BH38 - Futs!$CC38, ""), "")</f>
        <v/>
      </c>
      <c r="AV38" s="46" t="str">
        <f ca="1">IFERROR(IF(AND(ISNUMBER($BI38), ISNUMBER(Futs!$CD38)), $BI38 - Futs!$CD38, ""), "")</f>
        <v/>
      </c>
      <c r="AW38" s="141" t="str">
        <f ca="1">IFERROR(IF(AND(ISNUMBER(Futs!$BY38), ISNUMBER($BA38)), Futs!$BY38 + $BA38, ""), "")</f>
        <v/>
      </c>
      <c r="AX38" s="46" t="str">
        <f ca="1">IFERROR(IF(AND(ISNUMBER(Futs!$BZ38), ISNUMBER($BC38)), Futs!$BZ38 + $BC38, ""), "")</f>
        <v/>
      </c>
      <c r="AY38" s="47" t="str">
        <f t="shared" ca="1" si="80"/>
        <v/>
      </c>
      <c r="AZ38" s="46" t="str">
        <f t="shared" ca="1" si="81"/>
        <v/>
      </c>
      <c r="BA38" s="594" t="str">
        <f ca="1">IFERROR(INDEX(ICE[], MATCH("icemehticma" &amp; TEXT(Crd!$A38, "mmmyy"), ICE[LongCode], 0), MATCH("ICE Theoretical Price", ICE[#Headers], 0)), "")</f>
        <v/>
      </c>
      <c r="BB38" s="364" t="str">
        <f ca="1">IFERROR(INDEX(ICE[], MATCH("icemehticma" &amp; TEXT(Crd!$A38, "mmmyy"), ICE[LongCode], 0), MATCH("Text", ICE[#Headers], 0)), "")</f>
        <v/>
      </c>
      <c r="BC38" s="46" t="str">
        <f t="shared" ca="1" si="61"/>
        <v/>
      </c>
      <c r="BD38" s="47" t="str">
        <f t="shared" ca="1" si="82"/>
        <v/>
      </c>
      <c r="BE38" s="46" t="str">
        <f t="shared" ca="1" si="83"/>
        <v/>
      </c>
      <c r="BF38" s="141" t="str">
        <f ca="1">IFERROR(IF(AND(ISNUMBER($BH38), ISNUMBER(Futs!$CC38)), $BH38 - Futs!$CC38, ""), "")</f>
        <v/>
      </c>
      <c r="BG38" s="46" t="str">
        <f ca="1">IFERROR(IF(AND(ISNUMBER($BI38), ISNUMBER(Futs!$CD38)), $BI38 - Futs!$CD38, ""), "")</f>
        <v/>
      </c>
      <c r="BH38" s="141" t="str">
        <f ca="1">IFERROR(IF(AND(ISNUMBER(Futs!$BY38), ISNUMBER($BA38)), Futs!$BY38 + $BA38, ""), "")</f>
        <v/>
      </c>
      <c r="BI38" s="46" t="str">
        <f ca="1">IFERROR(IF(AND(ISNUMBER(Futs!$BZ38), ISNUMBER($BC38)), Futs!$BZ38 + $BC38, ""), "")</f>
        <v/>
      </c>
      <c r="BJ38" s="47" t="str">
        <f t="shared" ca="1" si="84"/>
        <v/>
      </c>
      <c r="BK38" s="111" t="str">
        <f t="shared" ca="1" si="85"/>
        <v/>
      </c>
      <c r="BL38" s="397" t="str">
        <f ca="1">IFERROR(INDEX(ICE[], MATCH("icewcstitma" &amp; TEXT(Crd!$A38, "mmmyy"), ICE[LongCode], 0), MATCH("ICE Theoretical Price", ICE[#Headers], 0)), "")</f>
        <v/>
      </c>
      <c r="BM38" s="364" t="str">
        <f ca="1">IFERROR(INDEX(ICE[], MATCH("icewcstitma" &amp; TEXT(Crd!$A38, "mmmyy"), ICE[LongCode], 0), MATCH("Text", ICE[#Headers], 0)), "")</f>
        <v/>
      </c>
      <c r="BN38" s="46" t="str">
        <f t="shared" ca="1" si="62"/>
        <v/>
      </c>
      <c r="BO38" s="47" t="str">
        <f t="shared" ca="1" si="86"/>
        <v/>
      </c>
      <c r="BP38" s="46" t="str">
        <f t="shared" ca="1" si="87"/>
        <v/>
      </c>
      <c r="BQ38" s="141" t="str">
        <f ca="1">IFERROR(IF(AND(ISNUMBER($BS38), ISNUMBER(Futs!$CC38)), $BS38 - Futs!$CC38, ""), "")</f>
        <v/>
      </c>
      <c r="BR38" s="46" t="str">
        <f ca="1">IFERROR(IF(AND(ISNUMBER($BT38), ISNUMBER(Futs!$CD38)), $BT38 - Futs!$CD38, ""), "")</f>
        <v/>
      </c>
      <c r="BS38" s="141" t="str">
        <f ca="1">IFERROR(IF(AND(ISNUMBER(Futs!$BY38), ISNUMBER($BL38)), Futs!$BY38 + $BL38, ""), "")</f>
        <v/>
      </c>
      <c r="BT38" s="46" t="str">
        <f ca="1">IFERROR(IF(AND(ISNUMBER(Futs!$BZ38), ISNUMBER($BN38)), Futs!$BZ38 + $BN38, ""), "")</f>
        <v/>
      </c>
      <c r="BU38" s="47" t="str">
        <f t="shared" ca="1" si="88"/>
        <v/>
      </c>
      <c r="BV38" s="111" t="str">
        <f t="shared" ca="1" si="89"/>
        <v/>
      </c>
      <c r="BX38" s="92"/>
    </row>
    <row r="39" spans="1:76" x14ac:dyDescent="0.25">
      <c r="A39" s="58">
        <f t="shared" ca="1" si="63"/>
        <v>46874</v>
      </c>
      <c r="B39" s="6">
        <f t="shared" ca="1" si="53"/>
        <v>2028</v>
      </c>
      <c r="C39" s="6" t="str">
        <f t="shared" ca="1" si="54"/>
        <v>Q228</v>
      </c>
      <c r="D39" s="28">
        <f ca="1">INDEX(ICE[], MATCH(D$18 &amp; TEXT(Crd!$A39, "mmmyy"), ICE[LongCode], 0), MATCH("Settle", ICE[#Headers], 0))</f>
        <v>0.38</v>
      </c>
      <c r="E39" s="28">
        <f ca="1">INDEX(ICE[], MATCH(E$18 &amp; TEXT(Crd!$A39, "mmmyy"), ICE[LongCode], 0), MATCH("Settle", ICE[#Headers], 0))</f>
        <v>2.4580000000000002</v>
      </c>
      <c r="F39" s="28" t="e">
        <f ca="1">INDEX(ICE[], MATCH(F$18 &amp; TEXT(Crd!$A39, "mmmyy"), ICE[LongCode], 0), MATCH("Settle", ICE[#Headers], 0))</f>
        <v>#N/A</v>
      </c>
      <c r="G39" s="28" t="e">
        <f ca="1">INDEX(ICE[], MATCH(G$18 &amp; TEXT(Crd!$A39, "mmmyy"), ICE[LongCode], 0), MATCH("Settle", ICE[#Headers], 0))</f>
        <v>#N/A</v>
      </c>
      <c r="H39" s="28" t="e">
        <f ca="1">INDEX(ICE[], MATCH(H$18 &amp; TEXT(Crd!$A39, "mmmyy"), ICE[LongCode], 0), MATCH("Settle", ICE[#Headers], 0))</f>
        <v>#N/A</v>
      </c>
      <c r="I39" s="397" t="str">
        <f ca="1">IFERROR(INDEX(ICE[], MATCH("dfl" &amp; TEXT(Crd!$A39, "mmmyy"), ICE[LongCode], 0), MATCH("ICE Theoretical Price", ICE[#Headers], 0)), "")</f>
        <v/>
      </c>
      <c r="J39" s="364" t="str">
        <f ca="1">IFERROR(INDEX(ICE[], MATCH("dfl" &amp; TEXT(Crd!$A39, "mmmyy"), ICE[LongCode], 0), MATCH("Text", ICE[#Headers], 0)), "")</f>
        <v xml:space="preserve"> /   |2x</v>
      </c>
      <c r="K39" s="46" t="str">
        <f t="shared" ca="1" si="55"/>
        <v/>
      </c>
      <c r="L39" s="47" t="str">
        <f t="shared" ca="1" si="64"/>
        <v/>
      </c>
      <c r="M39" s="46" t="str">
        <f t="shared" ca="1" si="65"/>
        <v/>
      </c>
      <c r="N39" s="141" t="str">
        <f ca="1">IFERROR(IF(AND(ISNUMBER(Futs!$CC39), ISNUMBER($I39)), Futs!$CC39 + $I39, ""), "")</f>
        <v/>
      </c>
      <c r="O39" s="46" t="str">
        <f ca="1">IFERROR(IF(AND(ISNUMBER(Futs!$CD39), ISNUMBER($K39)), Futs!$CD39 + $K39, ""), "")</f>
        <v/>
      </c>
      <c r="P39" s="47" t="str">
        <f t="shared" ca="1" si="66"/>
        <v/>
      </c>
      <c r="Q39" s="364" t="str">
        <f ca="1">IFERROR(INDEX(ICE[], MATCH("dtd" &amp; TEXT(Crd!$A38, "mmmyy") &amp; "/" &amp; TEXT(Crd!$A39, "mmmyy"), ICE[LongCode], 0), MATCH("Text", ICE[#Headers], 0)), "")</f>
        <v/>
      </c>
      <c r="R39" s="111" t="str">
        <f t="shared" ca="1" si="67"/>
        <v/>
      </c>
      <c r="S39" s="400" t="str">
        <f ca="1">IFERROR(INDEX(ICE[], MATCH("brdub" &amp; TEXT(Crd!$A39, "mmmyy"), ICE[LongCode], 0), MATCH("ICE Theoretical Price", ICE[#Headers], 0)), "")</f>
        <v/>
      </c>
      <c r="T39" s="364" t="str">
        <f ca="1">IFERROR(INDEX(ICE[], MATCH("brdub" &amp; TEXT(Crd!$A39, "mmmyy"), ICE[LongCode], 0), MATCH("Text", ICE[#Headers], 0)), "")</f>
        <v xml:space="preserve"> /  </v>
      </c>
      <c r="U39" s="46" t="str">
        <f t="shared" ca="1" si="56"/>
        <v/>
      </c>
      <c r="V39" s="68" t="str">
        <f t="shared" ca="1" si="68"/>
        <v/>
      </c>
      <c r="W39" s="46" t="str">
        <f t="shared" ca="1" si="69"/>
        <v/>
      </c>
      <c r="X39" s="187" t="str">
        <f ca="1">IFERROR(IF(AND(ISNUMBER(Futs!$CC39), ISNUMBER($S39)), Futs!$CC39 - $S39, ""), "")</f>
        <v/>
      </c>
      <c r="Y39" s="46" t="str">
        <f ca="1">IFERROR(IF(AND(ISNUMBER(Futs!$CD39), ISNUMBER($U39)), Futs!$CD39 - $U39, ""), "")</f>
        <v/>
      </c>
      <c r="Z39" s="68" t="str">
        <f t="shared" ca="1" si="70"/>
        <v/>
      </c>
      <c r="AA39" s="364" t="str">
        <f ca="1">IFERROR(INDEX(ICE[], MATCH("dub" &amp; TEXT(Crd!$A38, "mmmyy") &amp; "/" &amp; TEXT(Crd!$A39, "mmmyy"), ICE[LongCode], 0), MATCH("Text", ICE[#Headers], 0)), "")</f>
        <v/>
      </c>
      <c r="AB39" s="46" t="str">
        <f t="shared" ca="1" si="71"/>
        <v/>
      </c>
      <c r="AC39" s="271" t="str">
        <f t="shared" ca="1" si="57"/>
        <v/>
      </c>
      <c r="AD39" s="46" t="str">
        <f t="shared" ca="1" si="58"/>
        <v/>
      </c>
      <c r="AE39" s="68" t="str">
        <f t="shared" ca="1" si="72"/>
        <v/>
      </c>
      <c r="AF39" s="111" t="str">
        <f t="shared" ca="1" si="73"/>
        <v/>
      </c>
      <c r="AG39" s="397" t="str">
        <f ca="1">IFERROR(INDEX(ICE[], MATCH("icemidticma" &amp; TEXT(Crd!$A39, "mmmyy"), ICE[LongCode], 0), MATCH("ICE Theoretical Price", ICE[#Headers], 0)), "")</f>
        <v/>
      </c>
      <c r="AH39" s="364" t="str">
        <f ca="1">IFERROR(INDEX(ICE[], MATCH("icemidticma" &amp; TEXT(Crd!$A39, "mmmyy"), ICE[LongCode], 0), MATCH("Text", ICE[#Headers], 0)), "")</f>
        <v/>
      </c>
      <c r="AI39" s="46" t="str">
        <f t="shared" ca="1" si="59"/>
        <v/>
      </c>
      <c r="AJ39" s="47" t="str">
        <f t="shared" ca="1" si="74"/>
        <v/>
      </c>
      <c r="AK39" s="46" t="str">
        <f t="shared" ca="1" si="75"/>
        <v/>
      </c>
      <c r="AL39" s="141" t="str">
        <f ca="1">IFERROR(IF(AND(ISNUMBER(Futs!$BY39), ISNUMBER($AG39)), Futs!$BY39 + $AG39, ""), "")</f>
        <v/>
      </c>
      <c r="AM39" s="46" t="str">
        <f ca="1">IFERROR(IF(AND(ISNUMBER(Futs!$BZ39), ISNUMBER($AI39)), Futs!$BZ39 + $AI39, ""), "")</f>
        <v/>
      </c>
      <c r="AN39" s="47" t="str">
        <f t="shared" ca="1" si="76"/>
        <v/>
      </c>
      <c r="AO39" s="111" t="str">
        <f t="shared" ca="1" si="77"/>
        <v/>
      </c>
      <c r="AP39" s="397" t="str">
        <f ca="1">IFERROR(INDEX(ICE[], MATCH("icemehticma" &amp; TEXT(Crd!$A39, "mmmyy"), ICE[LongCode], 0), MATCH("ICE Theoretical Price", ICE[#Headers], 0)), "")</f>
        <v/>
      </c>
      <c r="AQ39" s="364" t="str">
        <f ca="1">IFERROR(INDEX(ICE[], MATCH("icemehticma" &amp; TEXT(Crd!$A39, "mmmyy"), ICE[LongCode], 0), MATCH("Text", ICE[#Headers], 0)), "")</f>
        <v/>
      </c>
      <c r="AR39" s="46" t="str">
        <f t="shared" ca="1" si="60"/>
        <v/>
      </c>
      <c r="AS39" s="47" t="str">
        <f t="shared" ca="1" si="78"/>
        <v/>
      </c>
      <c r="AT39" s="46" t="str">
        <f t="shared" ca="1" si="79"/>
        <v/>
      </c>
      <c r="AU39" s="141" t="str">
        <f ca="1">IFERROR(IF(AND(ISNUMBER($BH39), ISNUMBER(Futs!$CC39)), $BH39 - Futs!$CC39, ""), "")</f>
        <v/>
      </c>
      <c r="AV39" s="46" t="str">
        <f ca="1">IFERROR(IF(AND(ISNUMBER($BI39), ISNUMBER(Futs!$CD39)), $BI39 - Futs!$CD39, ""), "")</f>
        <v/>
      </c>
      <c r="AW39" s="141" t="str">
        <f ca="1">IFERROR(IF(AND(ISNUMBER(Futs!$BY39), ISNUMBER($BA39)), Futs!$BY39 + $BA39, ""), "")</f>
        <v/>
      </c>
      <c r="AX39" s="46" t="str">
        <f ca="1">IFERROR(IF(AND(ISNUMBER(Futs!$BZ39), ISNUMBER($BC39)), Futs!$BZ39 + $BC39, ""), "")</f>
        <v/>
      </c>
      <c r="AY39" s="47" t="str">
        <f t="shared" ca="1" si="80"/>
        <v/>
      </c>
      <c r="AZ39" s="46" t="str">
        <f t="shared" ca="1" si="81"/>
        <v/>
      </c>
      <c r="BA39" s="594" t="str">
        <f ca="1">IFERROR(INDEX(ICE[], MATCH("icemehticma" &amp; TEXT(Crd!$A39, "mmmyy"), ICE[LongCode], 0), MATCH("ICE Theoretical Price", ICE[#Headers], 0)), "")</f>
        <v/>
      </c>
      <c r="BB39" s="364" t="str">
        <f ca="1">IFERROR(INDEX(ICE[], MATCH("icemehticma" &amp; TEXT(Crd!$A39, "mmmyy"), ICE[LongCode], 0), MATCH("Text", ICE[#Headers], 0)), "")</f>
        <v/>
      </c>
      <c r="BC39" s="46" t="str">
        <f t="shared" ca="1" si="61"/>
        <v/>
      </c>
      <c r="BD39" s="47" t="str">
        <f t="shared" ca="1" si="82"/>
        <v/>
      </c>
      <c r="BE39" s="46" t="str">
        <f t="shared" ca="1" si="83"/>
        <v/>
      </c>
      <c r="BF39" s="141" t="str">
        <f ca="1">IFERROR(IF(AND(ISNUMBER($BH39), ISNUMBER(Futs!$CC39)), $BH39 - Futs!$CC39, ""), "")</f>
        <v/>
      </c>
      <c r="BG39" s="46" t="str">
        <f ca="1">IFERROR(IF(AND(ISNUMBER($BI39), ISNUMBER(Futs!$CD39)), $BI39 - Futs!$CD39, ""), "")</f>
        <v/>
      </c>
      <c r="BH39" s="141" t="str">
        <f ca="1">IFERROR(IF(AND(ISNUMBER(Futs!$BY39), ISNUMBER($BA39)), Futs!$BY39 + $BA39, ""), "")</f>
        <v/>
      </c>
      <c r="BI39" s="46" t="str">
        <f ca="1">IFERROR(IF(AND(ISNUMBER(Futs!$BZ39), ISNUMBER($BC39)), Futs!$BZ39 + $BC39, ""), "")</f>
        <v/>
      </c>
      <c r="BJ39" s="47" t="str">
        <f t="shared" ca="1" si="84"/>
        <v/>
      </c>
      <c r="BK39" s="111" t="str">
        <f t="shared" ca="1" si="85"/>
        <v/>
      </c>
      <c r="BL39" s="397" t="str">
        <f ca="1">IFERROR(INDEX(ICE[], MATCH("icewcstitma" &amp; TEXT(Crd!$A39, "mmmyy"), ICE[LongCode], 0), MATCH("ICE Theoretical Price", ICE[#Headers], 0)), "")</f>
        <v/>
      </c>
      <c r="BM39" s="364" t="str">
        <f ca="1">IFERROR(INDEX(ICE[], MATCH("icewcstitma" &amp; TEXT(Crd!$A39, "mmmyy"), ICE[LongCode], 0), MATCH("Text", ICE[#Headers], 0)), "")</f>
        <v/>
      </c>
      <c r="BN39" s="46" t="str">
        <f t="shared" ca="1" si="62"/>
        <v/>
      </c>
      <c r="BO39" s="47" t="str">
        <f t="shared" ca="1" si="86"/>
        <v/>
      </c>
      <c r="BP39" s="46" t="str">
        <f t="shared" ca="1" si="87"/>
        <v/>
      </c>
      <c r="BQ39" s="141" t="str">
        <f ca="1">IFERROR(IF(AND(ISNUMBER($BS39), ISNUMBER(Futs!$CC39)), $BS39 - Futs!$CC39, ""), "")</f>
        <v/>
      </c>
      <c r="BR39" s="46" t="str">
        <f ca="1">IFERROR(IF(AND(ISNUMBER($BT39), ISNUMBER(Futs!$CD39)), $BT39 - Futs!$CD39, ""), "")</f>
        <v/>
      </c>
      <c r="BS39" s="141" t="str">
        <f ca="1">IFERROR(IF(AND(ISNUMBER(Futs!$BY39), ISNUMBER($BL39)), Futs!$BY39 + $BL39, ""), "")</f>
        <v/>
      </c>
      <c r="BT39" s="46" t="str">
        <f ca="1">IFERROR(IF(AND(ISNUMBER(Futs!$BZ39), ISNUMBER($BN39)), Futs!$BZ39 + $BN39, ""), "")</f>
        <v/>
      </c>
      <c r="BU39" s="47" t="str">
        <f t="shared" ca="1" si="88"/>
        <v/>
      </c>
      <c r="BV39" s="111" t="str">
        <f t="shared" ca="1" si="89"/>
        <v/>
      </c>
      <c r="BX39" s="92"/>
    </row>
    <row r="40" spans="1:76" x14ac:dyDescent="0.25">
      <c r="A40" s="58">
        <f t="shared" ca="1" si="63"/>
        <v>46905</v>
      </c>
      <c r="B40" s="6">
        <f t="shared" ca="1" si="53"/>
        <v>2028</v>
      </c>
      <c r="C40" s="6" t="str">
        <f t="shared" ca="1" si="54"/>
        <v>Q228</v>
      </c>
      <c r="D40" s="28">
        <f ca="1">INDEX(ICE[], MATCH(D$18 &amp; TEXT(Crd!$A40, "mmmyy"), ICE[LongCode], 0), MATCH("Settle", ICE[#Headers], 0))</f>
        <v>0.38</v>
      </c>
      <c r="E40" s="28">
        <f ca="1">INDEX(ICE[], MATCH(E$18 &amp; TEXT(Crd!$A40, "mmmyy"), ICE[LongCode], 0), MATCH("Settle", ICE[#Headers], 0))</f>
        <v>2.4159999999999999</v>
      </c>
      <c r="F40" s="28" t="e">
        <f ca="1">INDEX(ICE[], MATCH(F$18 &amp; TEXT(Crd!$A40, "mmmyy"), ICE[LongCode], 0), MATCH("Settle", ICE[#Headers], 0))</f>
        <v>#N/A</v>
      </c>
      <c r="G40" s="28" t="e">
        <f ca="1">INDEX(ICE[], MATCH(G$18 &amp; TEXT(Crd!$A40, "mmmyy"), ICE[LongCode], 0), MATCH("Settle", ICE[#Headers], 0))</f>
        <v>#N/A</v>
      </c>
      <c r="H40" s="28" t="e">
        <f ca="1">INDEX(ICE[], MATCH(H$18 &amp; TEXT(Crd!$A40, "mmmyy"), ICE[LongCode], 0), MATCH("Settle", ICE[#Headers], 0))</f>
        <v>#N/A</v>
      </c>
      <c r="I40" s="397" t="str">
        <f ca="1">IFERROR(INDEX(ICE[], MATCH("dfl" &amp; TEXT(Crd!$A40, "mmmyy"), ICE[LongCode], 0), MATCH("ICE Theoretical Price", ICE[#Headers], 0)), "")</f>
        <v/>
      </c>
      <c r="J40" s="364" t="str">
        <f ca="1">IFERROR(INDEX(ICE[], MATCH("dfl" &amp; TEXT(Crd!$A40, "mmmyy"), ICE[LongCode], 0), MATCH("Text", ICE[#Headers], 0)), "")</f>
        <v xml:space="preserve"> /   |2x</v>
      </c>
      <c r="K40" s="46" t="str">
        <f t="shared" ca="1" si="55"/>
        <v/>
      </c>
      <c r="L40" s="47" t="str">
        <f t="shared" ca="1" si="64"/>
        <v/>
      </c>
      <c r="M40" s="46" t="str">
        <f t="shared" ca="1" si="65"/>
        <v/>
      </c>
      <c r="N40" s="141" t="str">
        <f ca="1">IFERROR(IF(AND(ISNUMBER(Futs!$CC40), ISNUMBER($I40)), Futs!$CC40 + $I40, ""), "")</f>
        <v/>
      </c>
      <c r="O40" s="46" t="str">
        <f ca="1">IFERROR(IF(AND(ISNUMBER(Futs!$CD40), ISNUMBER($K40)), Futs!$CD40 + $K40, ""), "")</f>
        <v/>
      </c>
      <c r="P40" s="47" t="str">
        <f t="shared" ca="1" si="66"/>
        <v/>
      </c>
      <c r="Q40" s="364" t="str">
        <f ca="1">IFERROR(INDEX(ICE[], MATCH("dtd" &amp; TEXT(Crd!$A39, "mmmyy") &amp; "/" &amp; TEXT(Crd!$A40, "mmmyy"), ICE[LongCode], 0), MATCH("Text", ICE[#Headers], 0)), "")</f>
        <v/>
      </c>
      <c r="R40" s="111" t="str">
        <f t="shared" ca="1" si="67"/>
        <v/>
      </c>
      <c r="S40" s="400" t="str">
        <f ca="1">IFERROR(INDEX(ICE[], MATCH("brdub" &amp; TEXT(Crd!$A40, "mmmyy"), ICE[LongCode], 0), MATCH("ICE Theoretical Price", ICE[#Headers], 0)), "")</f>
        <v/>
      </c>
      <c r="T40" s="364" t="str">
        <f ca="1">IFERROR(INDEX(ICE[], MATCH("brdub" &amp; TEXT(Crd!$A40, "mmmyy"), ICE[LongCode], 0), MATCH("Text", ICE[#Headers], 0)), "")</f>
        <v xml:space="preserve"> /  </v>
      </c>
      <c r="U40" s="46" t="str">
        <f t="shared" ca="1" si="56"/>
        <v/>
      </c>
      <c r="V40" s="68" t="str">
        <f t="shared" ca="1" si="68"/>
        <v/>
      </c>
      <c r="W40" s="46" t="str">
        <f t="shared" ca="1" si="69"/>
        <v/>
      </c>
      <c r="X40" s="187" t="str">
        <f ca="1">IFERROR(IF(AND(ISNUMBER(Futs!$CC40), ISNUMBER($S40)), Futs!$CC40 - $S40, ""), "")</f>
        <v/>
      </c>
      <c r="Y40" s="46" t="str">
        <f ca="1">IFERROR(IF(AND(ISNUMBER(Futs!$CD40), ISNUMBER($U40)), Futs!$CD40 - $U40, ""), "")</f>
        <v/>
      </c>
      <c r="Z40" s="68" t="str">
        <f t="shared" ca="1" si="70"/>
        <v/>
      </c>
      <c r="AA40" s="364" t="str">
        <f ca="1">IFERROR(INDEX(ICE[], MATCH("dub" &amp; TEXT(Crd!$A39, "mmmyy") &amp; "/" &amp; TEXT(Crd!$A40, "mmmyy"), ICE[LongCode], 0), MATCH("Text", ICE[#Headers], 0)), "")</f>
        <v/>
      </c>
      <c r="AB40" s="46" t="str">
        <f t="shared" ca="1" si="71"/>
        <v/>
      </c>
      <c r="AC40" s="271" t="str">
        <f t="shared" ca="1" si="57"/>
        <v/>
      </c>
      <c r="AD40" s="46" t="str">
        <f t="shared" ca="1" si="58"/>
        <v/>
      </c>
      <c r="AE40" s="68" t="str">
        <f t="shared" ca="1" si="72"/>
        <v/>
      </c>
      <c r="AF40" s="111" t="str">
        <f t="shared" ca="1" si="73"/>
        <v/>
      </c>
      <c r="AG40" s="397" t="str">
        <f ca="1">IFERROR(INDEX(ICE[], MATCH("icemidticma" &amp; TEXT(Crd!$A40, "mmmyy"), ICE[LongCode], 0), MATCH("ICE Theoretical Price", ICE[#Headers], 0)), "")</f>
        <v/>
      </c>
      <c r="AH40" s="364" t="str">
        <f ca="1">IFERROR(INDEX(ICE[], MATCH("icemidticma" &amp; TEXT(Crd!$A40, "mmmyy"), ICE[LongCode], 0), MATCH("Text", ICE[#Headers], 0)), "")</f>
        <v/>
      </c>
      <c r="AI40" s="46" t="str">
        <f t="shared" ca="1" si="59"/>
        <v/>
      </c>
      <c r="AJ40" s="47" t="str">
        <f t="shared" ca="1" si="74"/>
        <v/>
      </c>
      <c r="AK40" s="46" t="str">
        <f t="shared" ca="1" si="75"/>
        <v/>
      </c>
      <c r="AL40" s="141" t="str">
        <f ca="1">IFERROR(IF(AND(ISNUMBER(Futs!$BY40), ISNUMBER($AG40)), Futs!$BY40 + $AG40, ""), "")</f>
        <v/>
      </c>
      <c r="AM40" s="46" t="str">
        <f ca="1">IFERROR(IF(AND(ISNUMBER(Futs!$BZ40), ISNUMBER($AI40)), Futs!$BZ40 + $AI40, ""), "")</f>
        <v/>
      </c>
      <c r="AN40" s="47" t="str">
        <f t="shared" ca="1" si="76"/>
        <v/>
      </c>
      <c r="AO40" s="111" t="str">
        <f t="shared" ca="1" si="77"/>
        <v/>
      </c>
      <c r="AP40" s="397" t="str">
        <f ca="1">IFERROR(INDEX(ICE[], MATCH("icemehticma" &amp; TEXT(Crd!$A40, "mmmyy"), ICE[LongCode], 0), MATCH("ICE Theoretical Price", ICE[#Headers], 0)), "")</f>
        <v/>
      </c>
      <c r="AQ40" s="364" t="str">
        <f ca="1">IFERROR(INDEX(ICE[], MATCH("icemehticma" &amp; TEXT(Crd!$A40, "mmmyy"), ICE[LongCode], 0), MATCH("Text", ICE[#Headers], 0)), "")</f>
        <v/>
      </c>
      <c r="AR40" s="46" t="str">
        <f t="shared" ca="1" si="60"/>
        <v/>
      </c>
      <c r="AS40" s="47" t="str">
        <f t="shared" ca="1" si="78"/>
        <v/>
      </c>
      <c r="AT40" s="46" t="str">
        <f t="shared" ca="1" si="79"/>
        <v/>
      </c>
      <c r="AU40" s="141" t="str">
        <f ca="1">IFERROR(IF(AND(ISNUMBER($BH40), ISNUMBER(Futs!$CC40)), $BH40 - Futs!$CC40, ""), "")</f>
        <v/>
      </c>
      <c r="AV40" s="46" t="str">
        <f ca="1">IFERROR(IF(AND(ISNUMBER($BI40), ISNUMBER(Futs!$CD40)), $BI40 - Futs!$CD40, ""), "")</f>
        <v/>
      </c>
      <c r="AW40" s="141" t="str">
        <f ca="1">IFERROR(IF(AND(ISNUMBER(Futs!$BY40), ISNUMBER($BA40)), Futs!$BY40 + $BA40, ""), "")</f>
        <v/>
      </c>
      <c r="AX40" s="46" t="str">
        <f ca="1">IFERROR(IF(AND(ISNUMBER(Futs!$BZ40), ISNUMBER($BC40)), Futs!$BZ40 + $BC40, ""), "")</f>
        <v/>
      </c>
      <c r="AY40" s="47" t="str">
        <f t="shared" ca="1" si="80"/>
        <v/>
      </c>
      <c r="AZ40" s="46" t="str">
        <f t="shared" ca="1" si="81"/>
        <v/>
      </c>
      <c r="BA40" s="594" t="str">
        <f ca="1">IFERROR(INDEX(ICE[], MATCH("icemehticma" &amp; TEXT(Crd!$A40, "mmmyy"), ICE[LongCode], 0), MATCH("ICE Theoretical Price", ICE[#Headers], 0)), "")</f>
        <v/>
      </c>
      <c r="BB40" s="364" t="str">
        <f ca="1">IFERROR(INDEX(ICE[], MATCH("icemehticma" &amp; TEXT(Crd!$A40, "mmmyy"), ICE[LongCode], 0), MATCH("Text", ICE[#Headers], 0)), "")</f>
        <v/>
      </c>
      <c r="BC40" s="46" t="str">
        <f t="shared" ca="1" si="61"/>
        <v/>
      </c>
      <c r="BD40" s="47" t="str">
        <f t="shared" ca="1" si="82"/>
        <v/>
      </c>
      <c r="BE40" s="46" t="str">
        <f t="shared" ca="1" si="83"/>
        <v/>
      </c>
      <c r="BF40" s="141" t="str">
        <f ca="1">IFERROR(IF(AND(ISNUMBER($BH40), ISNUMBER(Futs!$CC40)), $BH40 - Futs!$CC40, ""), "")</f>
        <v/>
      </c>
      <c r="BG40" s="46" t="str">
        <f ca="1">IFERROR(IF(AND(ISNUMBER($BI40), ISNUMBER(Futs!$CD40)), $BI40 - Futs!$CD40, ""), "")</f>
        <v/>
      </c>
      <c r="BH40" s="141" t="str">
        <f ca="1">IFERROR(IF(AND(ISNUMBER(Futs!$BY40), ISNUMBER($BA40)), Futs!$BY40 + $BA40, ""), "")</f>
        <v/>
      </c>
      <c r="BI40" s="46" t="str">
        <f ca="1">IFERROR(IF(AND(ISNUMBER(Futs!$BZ40), ISNUMBER($BC40)), Futs!$BZ40 + $BC40, ""), "")</f>
        <v/>
      </c>
      <c r="BJ40" s="47" t="str">
        <f t="shared" ca="1" si="84"/>
        <v/>
      </c>
      <c r="BK40" s="111" t="str">
        <f t="shared" ca="1" si="85"/>
        <v/>
      </c>
      <c r="BL40" s="397" t="str">
        <f ca="1">IFERROR(INDEX(ICE[], MATCH("icewcstitma" &amp; TEXT(Crd!$A40, "mmmyy"), ICE[LongCode], 0), MATCH("ICE Theoretical Price", ICE[#Headers], 0)), "")</f>
        <v/>
      </c>
      <c r="BM40" s="364" t="str">
        <f ca="1">IFERROR(INDEX(ICE[], MATCH("icewcstitma" &amp; TEXT(Crd!$A40, "mmmyy"), ICE[LongCode], 0), MATCH("Text", ICE[#Headers], 0)), "")</f>
        <v/>
      </c>
      <c r="BN40" s="46" t="str">
        <f t="shared" ca="1" si="62"/>
        <v/>
      </c>
      <c r="BO40" s="47" t="str">
        <f t="shared" ca="1" si="86"/>
        <v/>
      </c>
      <c r="BP40" s="46" t="str">
        <f t="shared" ca="1" si="87"/>
        <v/>
      </c>
      <c r="BQ40" s="141" t="str">
        <f ca="1">IFERROR(IF(AND(ISNUMBER($BS40), ISNUMBER(Futs!$CC40)), $BS40 - Futs!$CC40, ""), "")</f>
        <v/>
      </c>
      <c r="BR40" s="46" t="str">
        <f ca="1">IFERROR(IF(AND(ISNUMBER($BT40), ISNUMBER(Futs!$CD40)), $BT40 - Futs!$CD40, ""), "")</f>
        <v/>
      </c>
      <c r="BS40" s="141" t="str">
        <f ca="1">IFERROR(IF(AND(ISNUMBER(Futs!$BY40), ISNUMBER($BL40)), Futs!$BY40 + $BL40, ""), "")</f>
        <v/>
      </c>
      <c r="BT40" s="46" t="str">
        <f ca="1">IFERROR(IF(AND(ISNUMBER(Futs!$BZ40), ISNUMBER($BN40)), Futs!$BZ40 + $BN40, ""), "")</f>
        <v/>
      </c>
      <c r="BU40" s="47" t="str">
        <f t="shared" ca="1" si="88"/>
        <v/>
      </c>
      <c r="BV40" s="111" t="str">
        <f t="shared" ca="1" si="89"/>
        <v/>
      </c>
      <c r="BX40" s="92"/>
    </row>
    <row r="41" spans="1:76" x14ac:dyDescent="0.25">
      <c r="A41" s="58">
        <f t="shared" ca="1" si="63"/>
        <v>46935</v>
      </c>
      <c r="B41" s="6">
        <f t="shared" ca="1" si="53"/>
        <v>2028</v>
      </c>
      <c r="C41" s="6" t="str">
        <f t="shared" ca="1" si="54"/>
        <v>Q328</v>
      </c>
      <c r="D41" s="28">
        <f ca="1">INDEX(ICE[], MATCH(D$18 &amp; TEXT(Crd!$A41, "mmmyy"), ICE[LongCode], 0), MATCH("Settle", ICE[#Headers], 0))</f>
        <v>0.37</v>
      </c>
      <c r="E41" s="28">
        <f ca="1">INDEX(ICE[], MATCH(E$18 &amp; TEXT(Crd!$A41, "mmmyy"), ICE[LongCode], 0), MATCH("Settle", ICE[#Headers], 0))</f>
        <v>2.3940000000000001</v>
      </c>
      <c r="F41" s="28" t="e">
        <f ca="1">INDEX(ICE[], MATCH(F$18 &amp; TEXT(Crd!$A41, "mmmyy"), ICE[LongCode], 0), MATCH("Settle", ICE[#Headers], 0))</f>
        <v>#N/A</v>
      </c>
      <c r="G41" s="28" t="e">
        <f ca="1">INDEX(ICE[], MATCH(G$18 &amp; TEXT(Crd!$A41, "mmmyy"), ICE[LongCode], 0), MATCH("Settle", ICE[#Headers], 0))</f>
        <v>#N/A</v>
      </c>
      <c r="H41" s="28" t="e">
        <f ca="1">INDEX(ICE[], MATCH(H$18 &amp; TEXT(Crd!$A41, "mmmyy"), ICE[LongCode], 0), MATCH("Settle", ICE[#Headers], 0))</f>
        <v>#N/A</v>
      </c>
      <c r="I41" s="397" t="str">
        <f ca="1">IFERROR(INDEX(ICE[], MATCH("dfl" &amp; TEXT(Crd!$A41, "mmmyy"), ICE[LongCode], 0), MATCH("ICE Theoretical Price", ICE[#Headers], 0)), "")</f>
        <v/>
      </c>
      <c r="J41" s="364" t="str">
        <f ca="1">IFERROR(INDEX(ICE[], MATCH("dfl" &amp; TEXT(Crd!$A41, "mmmyy"), ICE[LongCode], 0), MATCH("Text", ICE[#Headers], 0)), "")</f>
        <v xml:space="preserve"> /   |5x</v>
      </c>
      <c r="K41" s="46" t="str">
        <f t="shared" ca="1" si="55"/>
        <v/>
      </c>
      <c r="L41" s="47" t="str">
        <f t="shared" ca="1" si="64"/>
        <v/>
      </c>
      <c r="M41" s="46" t="str">
        <f t="shared" ca="1" si="65"/>
        <v/>
      </c>
      <c r="N41" s="141" t="str">
        <f ca="1">IFERROR(IF(AND(ISNUMBER(Futs!$CC41), ISNUMBER($I41)), Futs!$CC41 + $I41, ""), "")</f>
        <v/>
      </c>
      <c r="O41" s="46" t="str">
        <f ca="1">IFERROR(IF(AND(ISNUMBER(Futs!$CD41), ISNUMBER($K41)), Futs!$CD41 + $K41, ""), "")</f>
        <v/>
      </c>
      <c r="P41" s="47" t="str">
        <f t="shared" ca="1" si="66"/>
        <v/>
      </c>
      <c r="Q41" s="364" t="str">
        <f ca="1">IFERROR(INDEX(ICE[], MATCH("dtd" &amp; TEXT(Crd!$A40, "mmmyy") &amp; "/" &amp; TEXT(Crd!$A41, "mmmyy"), ICE[LongCode], 0), MATCH("Text", ICE[#Headers], 0)), "")</f>
        <v/>
      </c>
      <c r="R41" s="111" t="str">
        <f t="shared" ca="1" si="67"/>
        <v/>
      </c>
      <c r="S41" s="400" t="str">
        <f ca="1">IFERROR(INDEX(ICE[], MATCH("brdub" &amp; TEXT(Crd!$A41, "mmmyy"), ICE[LongCode], 0), MATCH("ICE Theoretical Price", ICE[#Headers], 0)), "")</f>
        <v/>
      </c>
      <c r="T41" s="364" t="str">
        <f ca="1">IFERROR(INDEX(ICE[], MATCH("brdub" &amp; TEXT(Crd!$A41, "mmmyy"), ICE[LongCode], 0), MATCH("Text", ICE[#Headers], 0)), "")</f>
        <v xml:space="preserve"> /  </v>
      </c>
      <c r="U41" s="46" t="str">
        <f t="shared" ca="1" si="56"/>
        <v/>
      </c>
      <c r="V41" s="68" t="str">
        <f t="shared" ca="1" si="68"/>
        <v/>
      </c>
      <c r="W41" s="46" t="str">
        <f t="shared" ca="1" si="69"/>
        <v/>
      </c>
      <c r="X41" s="187" t="str">
        <f ca="1">IFERROR(IF(AND(ISNUMBER(Futs!$CC41), ISNUMBER($S41)), Futs!$CC41 - $S41, ""), "")</f>
        <v/>
      </c>
      <c r="Y41" s="46" t="str">
        <f ca="1">IFERROR(IF(AND(ISNUMBER(Futs!$CD41), ISNUMBER($U41)), Futs!$CD41 - $U41, ""), "")</f>
        <v/>
      </c>
      <c r="Z41" s="68" t="str">
        <f t="shared" ca="1" si="70"/>
        <v/>
      </c>
      <c r="AA41" s="364" t="str">
        <f ca="1">IFERROR(INDEX(ICE[], MATCH("dub" &amp; TEXT(Crd!$A40, "mmmyy") &amp; "/" &amp; TEXT(Crd!$A41, "mmmyy"), ICE[LongCode], 0), MATCH("Text", ICE[#Headers], 0)), "")</f>
        <v/>
      </c>
      <c r="AB41" s="46" t="str">
        <f t="shared" ca="1" si="71"/>
        <v/>
      </c>
      <c r="AC41" s="271" t="str">
        <f t="shared" ca="1" si="57"/>
        <v/>
      </c>
      <c r="AD41" s="46" t="str">
        <f t="shared" ca="1" si="58"/>
        <v/>
      </c>
      <c r="AE41" s="68" t="str">
        <f t="shared" ca="1" si="72"/>
        <v/>
      </c>
      <c r="AF41" s="111" t="str">
        <f t="shared" ca="1" si="73"/>
        <v/>
      </c>
      <c r="AG41" s="397" t="str">
        <f ca="1">IFERROR(INDEX(ICE[], MATCH("icemidticma" &amp; TEXT(Crd!$A41, "mmmyy"), ICE[LongCode], 0), MATCH("ICE Theoretical Price", ICE[#Headers], 0)), "")</f>
        <v/>
      </c>
      <c r="AH41" s="364" t="str">
        <f ca="1">IFERROR(INDEX(ICE[], MATCH("icemidticma" &amp; TEXT(Crd!$A41, "mmmyy"), ICE[LongCode], 0), MATCH("Text", ICE[#Headers], 0)), "")</f>
        <v/>
      </c>
      <c r="AI41" s="46" t="str">
        <f t="shared" ca="1" si="59"/>
        <v/>
      </c>
      <c r="AJ41" s="47" t="str">
        <f t="shared" ca="1" si="74"/>
        <v/>
      </c>
      <c r="AK41" s="46" t="str">
        <f t="shared" ca="1" si="75"/>
        <v/>
      </c>
      <c r="AL41" s="141" t="str">
        <f ca="1">IFERROR(IF(AND(ISNUMBER(Futs!$BY41), ISNUMBER($AG41)), Futs!$BY41 + $AG41, ""), "")</f>
        <v/>
      </c>
      <c r="AM41" s="46" t="str">
        <f ca="1">IFERROR(IF(AND(ISNUMBER(Futs!$BZ41), ISNUMBER($AI41)), Futs!$BZ41 + $AI41, ""), "")</f>
        <v/>
      </c>
      <c r="AN41" s="47" t="str">
        <f t="shared" ca="1" si="76"/>
        <v/>
      </c>
      <c r="AO41" s="111" t="str">
        <f t="shared" ca="1" si="77"/>
        <v/>
      </c>
      <c r="AP41" s="397" t="str">
        <f ca="1">IFERROR(INDEX(ICE[], MATCH("icemehticma" &amp; TEXT(Crd!$A41, "mmmyy"), ICE[LongCode], 0), MATCH("ICE Theoretical Price", ICE[#Headers], 0)), "")</f>
        <v/>
      </c>
      <c r="AQ41" s="364" t="str">
        <f ca="1">IFERROR(INDEX(ICE[], MATCH("icemehticma" &amp; TEXT(Crd!$A41, "mmmyy"), ICE[LongCode], 0), MATCH("Text", ICE[#Headers], 0)), "")</f>
        <v/>
      </c>
      <c r="AR41" s="46" t="str">
        <f t="shared" ca="1" si="60"/>
        <v/>
      </c>
      <c r="AS41" s="47" t="str">
        <f t="shared" ca="1" si="78"/>
        <v/>
      </c>
      <c r="AT41" s="46" t="str">
        <f t="shared" ca="1" si="79"/>
        <v/>
      </c>
      <c r="AU41" s="141" t="str">
        <f ca="1">IFERROR(IF(AND(ISNUMBER($BH41), ISNUMBER(Futs!$CC41)), $BH41 - Futs!$CC41, ""), "")</f>
        <v/>
      </c>
      <c r="AV41" s="46" t="str">
        <f ca="1">IFERROR(IF(AND(ISNUMBER($BI41), ISNUMBER(Futs!$CD41)), $BI41 - Futs!$CD41, ""), "")</f>
        <v/>
      </c>
      <c r="AW41" s="141" t="str">
        <f ca="1">IFERROR(IF(AND(ISNUMBER(Futs!$BY41), ISNUMBER($BA41)), Futs!$BY41 + $BA41, ""), "")</f>
        <v/>
      </c>
      <c r="AX41" s="46" t="str">
        <f ca="1">IFERROR(IF(AND(ISNUMBER(Futs!$BZ41), ISNUMBER($BC41)), Futs!$BZ41 + $BC41, ""), "")</f>
        <v/>
      </c>
      <c r="AY41" s="47" t="str">
        <f t="shared" ca="1" si="80"/>
        <v/>
      </c>
      <c r="AZ41" s="46" t="str">
        <f t="shared" ca="1" si="81"/>
        <v/>
      </c>
      <c r="BA41" s="594" t="str">
        <f ca="1">IFERROR(INDEX(ICE[], MATCH("icemehticma" &amp; TEXT(Crd!$A41, "mmmyy"), ICE[LongCode], 0), MATCH("ICE Theoretical Price", ICE[#Headers], 0)), "")</f>
        <v/>
      </c>
      <c r="BB41" s="364" t="str">
        <f ca="1">IFERROR(INDEX(ICE[], MATCH("icemehticma" &amp; TEXT(Crd!$A41, "mmmyy"), ICE[LongCode], 0), MATCH("Text", ICE[#Headers], 0)), "")</f>
        <v/>
      </c>
      <c r="BC41" s="46" t="str">
        <f t="shared" ca="1" si="61"/>
        <v/>
      </c>
      <c r="BD41" s="47" t="str">
        <f t="shared" ca="1" si="82"/>
        <v/>
      </c>
      <c r="BE41" s="46" t="str">
        <f t="shared" ca="1" si="83"/>
        <v/>
      </c>
      <c r="BF41" s="141" t="str">
        <f ca="1">IFERROR(IF(AND(ISNUMBER($BH41), ISNUMBER(Futs!$CC41)), $BH41 - Futs!$CC41, ""), "")</f>
        <v/>
      </c>
      <c r="BG41" s="46" t="str">
        <f ca="1">IFERROR(IF(AND(ISNUMBER($BI41), ISNUMBER(Futs!$CD41)), $BI41 - Futs!$CD41, ""), "")</f>
        <v/>
      </c>
      <c r="BH41" s="141" t="str">
        <f ca="1">IFERROR(IF(AND(ISNUMBER(Futs!$BY41), ISNUMBER($BA41)), Futs!$BY41 + $BA41, ""), "")</f>
        <v/>
      </c>
      <c r="BI41" s="46" t="str">
        <f ca="1">IFERROR(IF(AND(ISNUMBER(Futs!$BZ41), ISNUMBER($BC41)), Futs!$BZ41 + $BC41, ""), "")</f>
        <v/>
      </c>
      <c r="BJ41" s="47" t="str">
        <f t="shared" ca="1" si="84"/>
        <v/>
      </c>
      <c r="BK41" s="111" t="str">
        <f t="shared" ca="1" si="85"/>
        <v/>
      </c>
      <c r="BL41" s="397" t="str">
        <f ca="1">IFERROR(INDEX(ICE[], MATCH("icewcstitma" &amp; TEXT(Crd!$A41, "mmmyy"), ICE[LongCode], 0), MATCH("ICE Theoretical Price", ICE[#Headers], 0)), "")</f>
        <v/>
      </c>
      <c r="BM41" s="364" t="str">
        <f ca="1">IFERROR(INDEX(ICE[], MATCH("icewcstitma" &amp; TEXT(Crd!$A41, "mmmyy"), ICE[LongCode], 0), MATCH("Text", ICE[#Headers], 0)), "")</f>
        <v/>
      </c>
      <c r="BN41" s="46" t="str">
        <f t="shared" ca="1" si="62"/>
        <v/>
      </c>
      <c r="BO41" s="47" t="str">
        <f t="shared" ca="1" si="86"/>
        <v/>
      </c>
      <c r="BP41" s="46" t="str">
        <f t="shared" ca="1" si="87"/>
        <v/>
      </c>
      <c r="BQ41" s="141" t="str">
        <f ca="1">IFERROR(IF(AND(ISNUMBER($BS41), ISNUMBER(Futs!$CC41)), $BS41 - Futs!$CC41, ""), "")</f>
        <v/>
      </c>
      <c r="BR41" s="46" t="str">
        <f ca="1">IFERROR(IF(AND(ISNUMBER($BT41), ISNUMBER(Futs!$CD41)), $BT41 - Futs!$CD41, ""), "")</f>
        <v/>
      </c>
      <c r="BS41" s="141" t="str">
        <f ca="1">IFERROR(IF(AND(ISNUMBER(Futs!$BY41), ISNUMBER($BL41)), Futs!$BY41 + $BL41, ""), "")</f>
        <v/>
      </c>
      <c r="BT41" s="46" t="str">
        <f ca="1">IFERROR(IF(AND(ISNUMBER(Futs!$BZ41), ISNUMBER($BN41)), Futs!$BZ41 + $BN41, ""), "")</f>
        <v/>
      </c>
      <c r="BU41" s="47" t="str">
        <f t="shared" ca="1" si="88"/>
        <v/>
      </c>
      <c r="BV41" s="111" t="str">
        <f t="shared" ca="1" si="89"/>
        <v/>
      </c>
      <c r="BX41" s="92"/>
    </row>
    <row r="42" spans="1:76" x14ac:dyDescent="0.25">
      <c r="A42" s="58">
        <f t="shared" ca="1" si="63"/>
        <v>46966</v>
      </c>
      <c r="B42" s="6">
        <f t="shared" ca="1" si="53"/>
        <v>2028</v>
      </c>
      <c r="C42" s="6" t="str">
        <f t="shared" ca="1" si="54"/>
        <v>Q328</v>
      </c>
      <c r="D42" s="28">
        <f ca="1">INDEX(ICE[], MATCH(D$18 &amp; TEXT(Crd!$A42, "mmmyy"), ICE[LongCode], 0), MATCH("Settle", ICE[#Headers], 0))</f>
        <v>0.37</v>
      </c>
      <c r="E42" s="28">
        <f ca="1">INDEX(ICE[], MATCH(E$18 &amp; TEXT(Crd!$A42, "mmmyy"), ICE[LongCode], 0), MATCH("Settle", ICE[#Headers], 0))</f>
        <v>2.3109999999999999</v>
      </c>
      <c r="F42" s="28" t="e">
        <f ca="1">INDEX(ICE[], MATCH(F$18 &amp; TEXT(Crd!$A42, "mmmyy"), ICE[LongCode], 0), MATCH("Settle", ICE[#Headers], 0))</f>
        <v>#N/A</v>
      </c>
      <c r="G42" s="28" t="e">
        <f ca="1">INDEX(ICE[], MATCH(G$18 &amp; TEXT(Crd!$A42, "mmmyy"), ICE[LongCode], 0), MATCH("Settle", ICE[#Headers], 0))</f>
        <v>#N/A</v>
      </c>
      <c r="H42" s="28" t="e">
        <f ca="1">INDEX(ICE[], MATCH(H$18 &amp; TEXT(Crd!$A42, "mmmyy"), ICE[LongCode], 0), MATCH("Settle", ICE[#Headers], 0))</f>
        <v>#N/A</v>
      </c>
      <c r="I42" s="397" t="str">
        <f ca="1">IFERROR(INDEX(ICE[], MATCH("dfl" &amp; TEXT(Crd!$A42, "mmmyy"), ICE[LongCode], 0), MATCH("ICE Theoretical Price", ICE[#Headers], 0)), "")</f>
        <v/>
      </c>
      <c r="J42" s="364" t="str">
        <f ca="1">IFERROR(INDEX(ICE[], MATCH("dfl" &amp; TEXT(Crd!$A42, "mmmyy"), ICE[LongCode], 0), MATCH("Text", ICE[#Headers], 0)), "")</f>
        <v xml:space="preserve"> /   |5x</v>
      </c>
      <c r="K42" s="46" t="str">
        <f t="shared" ca="1" si="55"/>
        <v/>
      </c>
      <c r="L42" s="47" t="str">
        <f t="shared" ca="1" si="64"/>
        <v/>
      </c>
      <c r="M42" s="46" t="str">
        <f t="shared" ca="1" si="65"/>
        <v/>
      </c>
      <c r="N42" s="141" t="str">
        <f ca="1">IFERROR(IF(AND(ISNUMBER(Futs!$CC42), ISNUMBER($I42)), Futs!$CC42 + $I42, ""), "")</f>
        <v/>
      </c>
      <c r="O42" s="46" t="str">
        <f ca="1">IFERROR(IF(AND(ISNUMBER(Futs!$CD42), ISNUMBER($K42)), Futs!$CD42 + $K42, ""), "")</f>
        <v/>
      </c>
      <c r="P42" s="47" t="str">
        <f t="shared" ca="1" si="66"/>
        <v/>
      </c>
      <c r="Q42" s="364" t="str">
        <f ca="1">IFERROR(INDEX(ICE[], MATCH("dtd" &amp; TEXT(Crd!$A41, "mmmyy") &amp; "/" &amp; TEXT(Crd!$A42, "mmmyy"), ICE[LongCode], 0), MATCH("Text", ICE[#Headers], 0)), "")</f>
        <v/>
      </c>
      <c r="R42" s="111" t="str">
        <f t="shared" ca="1" si="67"/>
        <v/>
      </c>
      <c r="S42" s="400" t="str">
        <f ca="1">IFERROR(INDEX(ICE[], MATCH("brdub" &amp; TEXT(Crd!$A42, "mmmyy"), ICE[LongCode], 0), MATCH("ICE Theoretical Price", ICE[#Headers], 0)), "")</f>
        <v/>
      </c>
      <c r="T42" s="364" t="str">
        <f ca="1">IFERROR(INDEX(ICE[], MATCH("brdub" &amp; TEXT(Crd!$A42, "mmmyy"), ICE[LongCode], 0), MATCH("Text", ICE[#Headers], 0)), "")</f>
        <v xml:space="preserve"> /  </v>
      </c>
      <c r="U42" s="46" t="str">
        <f t="shared" ca="1" si="56"/>
        <v/>
      </c>
      <c r="V42" s="68" t="str">
        <f t="shared" ca="1" si="68"/>
        <v/>
      </c>
      <c r="W42" s="46" t="str">
        <f t="shared" ca="1" si="69"/>
        <v/>
      </c>
      <c r="X42" s="187" t="str">
        <f ca="1">IFERROR(IF(AND(ISNUMBER(Futs!$CC42), ISNUMBER($S42)), Futs!$CC42 - $S42, ""), "")</f>
        <v/>
      </c>
      <c r="Y42" s="46" t="str">
        <f ca="1">IFERROR(IF(AND(ISNUMBER(Futs!$CD42), ISNUMBER($U42)), Futs!$CD42 - $U42, ""), "")</f>
        <v/>
      </c>
      <c r="Z42" s="68" t="str">
        <f t="shared" ca="1" si="70"/>
        <v/>
      </c>
      <c r="AA42" s="364" t="str">
        <f ca="1">IFERROR(INDEX(ICE[], MATCH("dub" &amp; TEXT(Crd!$A41, "mmmyy") &amp; "/" &amp; TEXT(Crd!$A42, "mmmyy"), ICE[LongCode], 0), MATCH("Text", ICE[#Headers], 0)), "")</f>
        <v/>
      </c>
      <c r="AB42" s="46" t="str">
        <f t="shared" ca="1" si="71"/>
        <v/>
      </c>
      <c r="AC42" s="271" t="str">
        <f t="shared" ca="1" si="57"/>
        <v/>
      </c>
      <c r="AD42" s="46" t="str">
        <f t="shared" ca="1" si="58"/>
        <v/>
      </c>
      <c r="AE42" s="68" t="str">
        <f t="shared" ca="1" si="72"/>
        <v/>
      </c>
      <c r="AF42" s="111" t="str">
        <f t="shared" ca="1" si="73"/>
        <v/>
      </c>
      <c r="AG42" s="397" t="str">
        <f ca="1">IFERROR(INDEX(ICE[], MATCH("icemidticma" &amp; TEXT(Crd!$A42, "mmmyy"), ICE[LongCode], 0), MATCH("ICE Theoretical Price", ICE[#Headers], 0)), "")</f>
        <v/>
      </c>
      <c r="AH42" s="364" t="str">
        <f ca="1">IFERROR(INDEX(ICE[], MATCH("icemidticma" &amp; TEXT(Crd!$A42, "mmmyy"), ICE[LongCode], 0), MATCH("Text", ICE[#Headers], 0)), "")</f>
        <v/>
      </c>
      <c r="AI42" s="46" t="str">
        <f t="shared" ca="1" si="59"/>
        <v/>
      </c>
      <c r="AJ42" s="47" t="str">
        <f t="shared" ca="1" si="74"/>
        <v/>
      </c>
      <c r="AK42" s="46" t="str">
        <f t="shared" ca="1" si="75"/>
        <v/>
      </c>
      <c r="AL42" s="141" t="str">
        <f ca="1">IFERROR(IF(AND(ISNUMBER(Futs!$BY42), ISNUMBER($AG42)), Futs!$BY42 + $AG42, ""), "")</f>
        <v/>
      </c>
      <c r="AM42" s="46" t="str">
        <f ca="1">IFERROR(IF(AND(ISNUMBER(Futs!$BZ42), ISNUMBER($AI42)), Futs!$BZ42 + $AI42, ""), "")</f>
        <v/>
      </c>
      <c r="AN42" s="47" t="str">
        <f t="shared" ca="1" si="76"/>
        <v/>
      </c>
      <c r="AO42" s="111" t="str">
        <f t="shared" ca="1" si="77"/>
        <v/>
      </c>
      <c r="AP42" s="397" t="str">
        <f ca="1">IFERROR(INDEX(ICE[], MATCH("icemehticma" &amp; TEXT(Crd!$A42, "mmmyy"), ICE[LongCode], 0), MATCH("ICE Theoretical Price", ICE[#Headers], 0)), "")</f>
        <v/>
      </c>
      <c r="AQ42" s="364" t="str">
        <f ca="1">IFERROR(INDEX(ICE[], MATCH("icemehticma" &amp; TEXT(Crd!$A42, "mmmyy"), ICE[LongCode], 0), MATCH("Text", ICE[#Headers], 0)), "")</f>
        <v/>
      </c>
      <c r="AR42" s="46" t="str">
        <f t="shared" ca="1" si="60"/>
        <v/>
      </c>
      <c r="AS42" s="47" t="str">
        <f t="shared" ca="1" si="78"/>
        <v/>
      </c>
      <c r="AT42" s="46" t="str">
        <f t="shared" ca="1" si="79"/>
        <v/>
      </c>
      <c r="AU42" s="141" t="str">
        <f ca="1">IFERROR(IF(AND(ISNUMBER($BH42), ISNUMBER(Futs!$CC42)), $BH42 - Futs!$CC42, ""), "")</f>
        <v/>
      </c>
      <c r="AV42" s="46" t="str">
        <f ca="1">IFERROR(IF(AND(ISNUMBER($BI42), ISNUMBER(Futs!$CD42)), $BI42 - Futs!$CD42, ""), "")</f>
        <v/>
      </c>
      <c r="AW42" s="141" t="str">
        <f ca="1">IFERROR(IF(AND(ISNUMBER(Futs!$BY42), ISNUMBER($BA42)), Futs!$BY42 + $BA42, ""), "")</f>
        <v/>
      </c>
      <c r="AX42" s="46" t="str">
        <f ca="1">IFERROR(IF(AND(ISNUMBER(Futs!$BZ42), ISNUMBER($BC42)), Futs!$BZ42 + $BC42, ""), "")</f>
        <v/>
      </c>
      <c r="AY42" s="47" t="str">
        <f t="shared" ca="1" si="80"/>
        <v/>
      </c>
      <c r="AZ42" s="46" t="str">
        <f t="shared" ca="1" si="81"/>
        <v/>
      </c>
      <c r="BA42" s="594" t="str">
        <f ca="1">IFERROR(INDEX(ICE[], MATCH("icemehticma" &amp; TEXT(Crd!$A42, "mmmyy"), ICE[LongCode], 0), MATCH("ICE Theoretical Price", ICE[#Headers], 0)), "")</f>
        <v/>
      </c>
      <c r="BB42" s="364" t="str">
        <f ca="1">IFERROR(INDEX(ICE[], MATCH("icemehticma" &amp; TEXT(Crd!$A42, "mmmyy"), ICE[LongCode], 0), MATCH("Text", ICE[#Headers], 0)), "")</f>
        <v/>
      </c>
      <c r="BC42" s="46" t="str">
        <f t="shared" ca="1" si="61"/>
        <v/>
      </c>
      <c r="BD42" s="47" t="str">
        <f t="shared" ca="1" si="82"/>
        <v/>
      </c>
      <c r="BE42" s="46" t="str">
        <f t="shared" ca="1" si="83"/>
        <v/>
      </c>
      <c r="BF42" s="141" t="str">
        <f ca="1">IFERROR(IF(AND(ISNUMBER($BH42), ISNUMBER(Futs!$CC42)), $BH42 - Futs!$CC42, ""), "")</f>
        <v/>
      </c>
      <c r="BG42" s="46" t="str">
        <f ca="1">IFERROR(IF(AND(ISNUMBER($BI42), ISNUMBER(Futs!$CD42)), $BI42 - Futs!$CD42, ""), "")</f>
        <v/>
      </c>
      <c r="BH42" s="141" t="str">
        <f ca="1">IFERROR(IF(AND(ISNUMBER(Futs!$BY42), ISNUMBER($BA42)), Futs!$BY42 + $BA42, ""), "")</f>
        <v/>
      </c>
      <c r="BI42" s="46" t="str">
        <f ca="1">IFERROR(IF(AND(ISNUMBER(Futs!$BZ42), ISNUMBER($BC42)), Futs!$BZ42 + $BC42, ""), "")</f>
        <v/>
      </c>
      <c r="BJ42" s="47" t="str">
        <f t="shared" ca="1" si="84"/>
        <v/>
      </c>
      <c r="BK42" s="111" t="str">
        <f t="shared" ca="1" si="85"/>
        <v/>
      </c>
      <c r="BL42" s="397" t="str">
        <f ca="1">IFERROR(INDEX(ICE[], MATCH("icewcstitma" &amp; TEXT(Crd!$A42, "mmmyy"), ICE[LongCode], 0), MATCH("ICE Theoretical Price", ICE[#Headers], 0)), "")</f>
        <v/>
      </c>
      <c r="BM42" s="364" t="str">
        <f ca="1">IFERROR(INDEX(ICE[], MATCH("icewcstitma" &amp; TEXT(Crd!$A42, "mmmyy"), ICE[LongCode], 0), MATCH("Text", ICE[#Headers], 0)), "")</f>
        <v/>
      </c>
      <c r="BN42" s="46" t="str">
        <f t="shared" ca="1" si="62"/>
        <v/>
      </c>
      <c r="BO42" s="47" t="str">
        <f t="shared" ca="1" si="86"/>
        <v/>
      </c>
      <c r="BP42" s="46" t="str">
        <f t="shared" ca="1" si="87"/>
        <v/>
      </c>
      <c r="BQ42" s="141" t="str">
        <f ca="1">IFERROR(IF(AND(ISNUMBER($BS42), ISNUMBER(Futs!$CC42)), $BS42 - Futs!$CC42, ""), "")</f>
        <v/>
      </c>
      <c r="BR42" s="46" t="str">
        <f ca="1">IFERROR(IF(AND(ISNUMBER($BT42), ISNUMBER(Futs!$CD42)), $BT42 - Futs!$CD42, ""), "")</f>
        <v/>
      </c>
      <c r="BS42" s="141" t="str">
        <f ca="1">IFERROR(IF(AND(ISNUMBER(Futs!$BY42), ISNUMBER($BL42)), Futs!$BY42 + $BL42, ""), "")</f>
        <v/>
      </c>
      <c r="BT42" s="46" t="str">
        <f ca="1">IFERROR(IF(AND(ISNUMBER(Futs!$BZ42), ISNUMBER($BN42)), Futs!$BZ42 + $BN42, ""), "")</f>
        <v/>
      </c>
      <c r="BU42" s="47" t="str">
        <f t="shared" ca="1" si="88"/>
        <v/>
      </c>
      <c r="BV42" s="111" t="str">
        <f t="shared" ca="1" si="89"/>
        <v/>
      </c>
      <c r="BX42" s="92"/>
    </row>
    <row r="43" spans="1:76" x14ac:dyDescent="0.25">
      <c r="A43" s="58">
        <f t="shared" ca="1" si="63"/>
        <v>46997</v>
      </c>
      <c r="B43" s="6">
        <f t="shared" ca="1" si="53"/>
        <v>2028</v>
      </c>
      <c r="C43" s="6" t="str">
        <f t="shared" ca="1" si="54"/>
        <v>Q328</v>
      </c>
      <c r="D43" s="28">
        <f ca="1">INDEX(ICE[], MATCH(D$18 &amp; TEXT(Crd!$A43, "mmmyy"), ICE[LongCode], 0), MATCH("Settle", ICE[#Headers], 0))</f>
        <v>0.37</v>
      </c>
      <c r="E43" s="28">
        <f ca="1">INDEX(ICE[], MATCH(E$18 &amp; TEXT(Crd!$A43, "mmmyy"), ICE[LongCode], 0), MATCH("Settle", ICE[#Headers], 0))</f>
        <v>2.2690000000000001</v>
      </c>
      <c r="F43" s="28" t="e">
        <f ca="1">INDEX(ICE[], MATCH(F$18 &amp; TEXT(Crd!$A43, "mmmyy"), ICE[LongCode], 0), MATCH("Settle", ICE[#Headers], 0))</f>
        <v>#N/A</v>
      </c>
      <c r="G43" s="28" t="e">
        <f ca="1">INDEX(ICE[], MATCH(G$18 &amp; TEXT(Crd!$A43, "mmmyy"), ICE[LongCode], 0), MATCH("Settle", ICE[#Headers], 0))</f>
        <v>#N/A</v>
      </c>
      <c r="H43" s="28" t="e">
        <f ca="1">INDEX(ICE[], MATCH(H$18 &amp; TEXT(Crd!$A43, "mmmyy"), ICE[LongCode], 0), MATCH("Settle", ICE[#Headers], 0))</f>
        <v>#N/A</v>
      </c>
      <c r="I43" s="397" t="str">
        <f ca="1">IFERROR(INDEX(ICE[], MATCH("dfl" &amp; TEXT(Crd!$A43, "mmmyy"), ICE[LongCode], 0), MATCH("ICE Theoretical Price", ICE[#Headers], 0)), "")</f>
        <v/>
      </c>
      <c r="J43" s="364" t="str">
        <f ca="1">IFERROR(INDEX(ICE[], MATCH("dfl" &amp; TEXT(Crd!$A43, "mmmyy"), ICE[LongCode], 0), MATCH("Text", ICE[#Headers], 0)), "")</f>
        <v xml:space="preserve"> /   |5x</v>
      </c>
      <c r="K43" s="46" t="str">
        <f t="shared" ca="1" si="55"/>
        <v/>
      </c>
      <c r="L43" s="47" t="str">
        <f t="shared" ca="1" si="64"/>
        <v/>
      </c>
      <c r="M43" s="46" t="str">
        <f t="shared" ca="1" si="65"/>
        <v/>
      </c>
      <c r="N43" s="141" t="str">
        <f ca="1">IFERROR(IF(AND(ISNUMBER(Futs!$CC43), ISNUMBER($I43)), Futs!$CC43 + $I43, ""), "")</f>
        <v/>
      </c>
      <c r="O43" s="46" t="str">
        <f ca="1">IFERROR(IF(AND(ISNUMBER(Futs!$CD43), ISNUMBER($K43)), Futs!$CD43 + $K43, ""), "")</f>
        <v/>
      </c>
      <c r="P43" s="47" t="str">
        <f t="shared" ca="1" si="66"/>
        <v/>
      </c>
      <c r="Q43" s="364" t="str">
        <f ca="1">IFERROR(INDEX(ICE[], MATCH("dtd" &amp; TEXT(Crd!$A42, "mmmyy") &amp; "/" &amp; TEXT(Crd!$A43, "mmmyy"), ICE[LongCode], 0), MATCH("Text", ICE[#Headers], 0)), "")</f>
        <v/>
      </c>
      <c r="R43" s="111" t="str">
        <f t="shared" ca="1" si="67"/>
        <v/>
      </c>
      <c r="S43" s="400" t="str">
        <f ca="1">IFERROR(INDEX(ICE[], MATCH("brdub" &amp; TEXT(Crd!$A43, "mmmyy"), ICE[LongCode], 0), MATCH("ICE Theoretical Price", ICE[#Headers], 0)), "")</f>
        <v/>
      </c>
      <c r="T43" s="364" t="str">
        <f ca="1">IFERROR(INDEX(ICE[], MATCH("brdub" &amp; TEXT(Crd!$A43, "mmmyy"), ICE[LongCode], 0), MATCH("Text", ICE[#Headers], 0)), "")</f>
        <v xml:space="preserve"> /  </v>
      </c>
      <c r="U43" s="46" t="str">
        <f t="shared" ca="1" si="56"/>
        <v/>
      </c>
      <c r="V43" s="68" t="str">
        <f t="shared" ca="1" si="68"/>
        <v/>
      </c>
      <c r="W43" s="46" t="str">
        <f t="shared" ca="1" si="69"/>
        <v/>
      </c>
      <c r="X43" s="187" t="str">
        <f ca="1">IFERROR(IF(AND(ISNUMBER(Futs!$CC43), ISNUMBER($S43)), Futs!$CC43 - $S43, ""), "")</f>
        <v/>
      </c>
      <c r="Y43" s="46" t="str">
        <f ca="1">IFERROR(IF(AND(ISNUMBER(Futs!$CD43), ISNUMBER($U43)), Futs!$CD43 - $U43, ""), "")</f>
        <v/>
      </c>
      <c r="Z43" s="68" t="str">
        <f t="shared" ca="1" si="70"/>
        <v/>
      </c>
      <c r="AA43" s="364" t="str">
        <f ca="1">IFERROR(INDEX(ICE[], MATCH("dub" &amp; TEXT(Crd!$A42, "mmmyy") &amp; "/" &amp; TEXT(Crd!$A43, "mmmyy"), ICE[LongCode], 0), MATCH("Text", ICE[#Headers], 0)), "")</f>
        <v/>
      </c>
      <c r="AB43" s="46" t="str">
        <f t="shared" ca="1" si="71"/>
        <v/>
      </c>
      <c r="AC43" s="271" t="str">
        <f t="shared" ca="1" si="57"/>
        <v/>
      </c>
      <c r="AD43" s="46" t="str">
        <f t="shared" ca="1" si="58"/>
        <v/>
      </c>
      <c r="AE43" s="68" t="str">
        <f t="shared" ca="1" si="72"/>
        <v/>
      </c>
      <c r="AF43" s="111" t="str">
        <f t="shared" ca="1" si="73"/>
        <v/>
      </c>
      <c r="AG43" s="397" t="str">
        <f ca="1">IFERROR(INDEX(ICE[], MATCH("icemidticma" &amp; TEXT(Crd!$A43, "mmmyy"), ICE[LongCode], 0), MATCH("ICE Theoretical Price", ICE[#Headers], 0)), "")</f>
        <v/>
      </c>
      <c r="AH43" s="364" t="str">
        <f ca="1">IFERROR(INDEX(ICE[], MATCH("icemidticma" &amp; TEXT(Crd!$A43, "mmmyy"), ICE[LongCode], 0), MATCH("Text", ICE[#Headers], 0)), "")</f>
        <v/>
      </c>
      <c r="AI43" s="46" t="str">
        <f t="shared" ca="1" si="59"/>
        <v/>
      </c>
      <c r="AJ43" s="47" t="str">
        <f t="shared" ca="1" si="74"/>
        <v/>
      </c>
      <c r="AK43" s="46" t="str">
        <f t="shared" ca="1" si="75"/>
        <v/>
      </c>
      <c r="AL43" s="141" t="str">
        <f ca="1">IFERROR(IF(AND(ISNUMBER(Futs!$BY43), ISNUMBER($AG43)), Futs!$BY43 + $AG43, ""), "")</f>
        <v/>
      </c>
      <c r="AM43" s="46" t="str">
        <f ca="1">IFERROR(IF(AND(ISNUMBER(Futs!$BZ43), ISNUMBER($AI43)), Futs!$BZ43 + $AI43, ""), "")</f>
        <v/>
      </c>
      <c r="AN43" s="47" t="str">
        <f t="shared" ca="1" si="76"/>
        <v/>
      </c>
      <c r="AO43" s="111" t="str">
        <f t="shared" ca="1" si="77"/>
        <v/>
      </c>
      <c r="AP43" s="397" t="str">
        <f ca="1">IFERROR(INDEX(ICE[], MATCH("icemehticma" &amp; TEXT(Crd!$A43, "mmmyy"), ICE[LongCode], 0), MATCH("ICE Theoretical Price", ICE[#Headers], 0)), "")</f>
        <v/>
      </c>
      <c r="AQ43" s="364" t="str">
        <f ca="1">IFERROR(INDEX(ICE[], MATCH("icemehticma" &amp; TEXT(Crd!$A43, "mmmyy"), ICE[LongCode], 0), MATCH("Text", ICE[#Headers], 0)), "")</f>
        <v/>
      </c>
      <c r="AR43" s="46" t="str">
        <f t="shared" ca="1" si="60"/>
        <v/>
      </c>
      <c r="AS43" s="47" t="str">
        <f t="shared" ca="1" si="78"/>
        <v/>
      </c>
      <c r="AT43" s="46" t="str">
        <f t="shared" ca="1" si="79"/>
        <v/>
      </c>
      <c r="AU43" s="141" t="str">
        <f ca="1">IFERROR(IF(AND(ISNUMBER($BH43), ISNUMBER(Futs!$CC43)), $BH43 - Futs!$CC43, ""), "")</f>
        <v/>
      </c>
      <c r="AV43" s="46" t="str">
        <f ca="1">IFERROR(IF(AND(ISNUMBER($BI43), ISNUMBER(Futs!$CD43)), $BI43 - Futs!$CD43, ""), "")</f>
        <v/>
      </c>
      <c r="AW43" s="141" t="str">
        <f ca="1">IFERROR(IF(AND(ISNUMBER(Futs!$BY43), ISNUMBER($BA43)), Futs!$BY43 + $BA43, ""), "")</f>
        <v/>
      </c>
      <c r="AX43" s="46" t="str">
        <f ca="1">IFERROR(IF(AND(ISNUMBER(Futs!$BZ43), ISNUMBER($BC43)), Futs!$BZ43 + $BC43, ""), "")</f>
        <v/>
      </c>
      <c r="AY43" s="47" t="str">
        <f t="shared" ca="1" si="80"/>
        <v/>
      </c>
      <c r="AZ43" s="46" t="str">
        <f t="shared" ca="1" si="81"/>
        <v/>
      </c>
      <c r="BA43" s="594" t="str">
        <f ca="1">IFERROR(INDEX(ICE[], MATCH("icemehticma" &amp; TEXT(Crd!$A43, "mmmyy"), ICE[LongCode], 0), MATCH("ICE Theoretical Price", ICE[#Headers], 0)), "")</f>
        <v/>
      </c>
      <c r="BB43" s="364" t="str">
        <f ca="1">IFERROR(INDEX(ICE[], MATCH("icemehticma" &amp; TEXT(Crd!$A43, "mmmyy"), ICE[LongCode], 0), MATCH("Text", ICE[#Headers], 0)), "")</f>
        <v/>
      </c>
      <c r="BC43" s="46" t="str">
        <f t="shared" ca="1" si="61"/>
        <v/>
      </c>
      <c r="BD43" s="47" t="str">
        <f t="shared" ca="1" si="82"/>
        <v/>
      </c>
      <c r="BE43" s="46" t="str">
        <f t="shared" ca="1" si="83"/>
        <v/>
      </c>
      <c r="BF43" s="141" t="str">
        <f ca="1">IFERROR(IF(AND(ISNUMBER($BH43), ISNUMBER(Futs!$CC43)), $BH43 - Futs!$CC43, ""), "")</f>
        <v/>
      </c>
      <c r="BG43" s="46" t="str">
        <f ca="1">IFERROR(IF(AND(ISNUMBER($BI43), ISNUMBER(Futs!$CD43)), $BI43 - Futs!$CD43, ""), "")</f>
        <v/>
      </c>
      <c r="BH43" s="141" t="str">
        <f ca="1">IFERROR(IF(AND(ISNUMBER(Futs!$BY43), ISNUMBER($BA43)), Futs!$BY43 + $BA43, ""), "")</f>
        <v/>
      </c>
      <c r="BI43" s="46" t="str">
        <f ca="1">IFERROR(IF(AND(ISNUMBER(Futs!$BZ43), ISNUMBER($BC43)), Futs!$BZ43 + $BC43, ""), "")</f>
        <v/>
      </c>
      <c r="BJ43" s="47" t="str">
        <f t="shared" ca="1" si="84"/>
        <v/>
      </c>
      <c r="BK43" s="111" t="str">
        <f t="shared" ca="1" si="85"/>
        <v/>
      </c>
      <c r="BL43" s="397" t="str">
        <f ca="1">IFERROR(INDEX(ICE[], MATCH("icewcstitma" &amp; TEXT(Crd!$A43, "mmmyy"), ICE[LongCode], 0), MATCH("ICE Theoretical Price", ICE[#Headers], 0)), "")</f>
        <v/>
      </c>
      <c r="BM43" s="364" t="str">
        <f ca="1">IFERROR(INDEX(ICE[], MATCH("icewcstitma" &amp; TEXT(Crd!$A43, "mmmyy"), ICE[LongCode], 0), MATCH("Text", ICE[#Headers], 0)), "")</f>
        <v/>
      </c>
      <c r="BN43" s="46" t="str">
        <f t="shared" ca="1" si="62"/>
        <v/>
      </c>
      <c r="BO43" s="47" t="str">
        <f t="shared" ca="1" si="86"/>
        <v/>
      </c>
      <c r="BP43" s="46" t="str">
        <f t="shared" ca="1" si="87"/>
        <v/>
      </c>
      <c r="BQ43" s="141" t="str">
        <f ca="1">IFERROR(IF(AND(ISNUMBER($BS43), ISNUMBER(Futs!$CC43)), $BS43 - Futs!$CC43, ""), "")</f>
        <v/>
      </c>
      <c r="BR43" s="46" t="str">
        <f ca="1">IFERROR(IF(AND(ISNUMBER($BT43), ISNUMBER(Futs!$CD43)), $BT43 - Futs!$CD43, ""), "")</f>
        <v/>
      </c>
      <c r="BS43" s="141" t="str">
        <f ca="1">IFERROR(IF(AND(ISNUMBER(Futs!$BY43), ISNUMBER($BL43)), Futs!$BY43 + $BL43, ""), "")</f>
        <v/>
      </c>
      <c r="BT43" s="46" t="str">
        <f ca="1">IFERROR(IF(AND(ISNUMBER(Futs!$BZ43), ISNUMBER($BN43)), Futs!$BZ43 + $BN43, ""), "")</f>
        <v/>
      </c>
      <c r="BU43" s="47" t="str">
        <f t="shared" ca="1" si="88"/>
        <v/>
      </c>
      <c r="BV43" s="111" t="str">
        <f t="shared" ca="1" si="89"/>
        <v/>
      </c>
      <c r="BX43" s="92"/>
    </row>
    <row r="44" spans="1:76" x14ac:dyDescent="0.25">
      <c r="A44" s="58">
        <f t="shared" ca="1" si="63"/>
        <v>47027</v>
      </c>
      <c r="B44" s="6">
        <f t="shared" ca="1" si="53"/>
        <v>2028</v>
      </c>
      <c r="C44" s="6" t="str">
        <f t="shared" ca="1" si="54"/>
        <v>Q428</v>
      </c>
      <c r="D44" s="28" t="e">
        <f ca="1">INDEX(ICE[], MATCH(D$18 &amp; TEXT(Crd!$A44, "mmmyy"), ICE[LongCode], 0), MATCH("Settle", ICE[#Headers], 0))</f>
        <v>#N/A</v>
      </c>
      <c r="E44" s="28" t="e">
        <f ca="1">INDEX(ICE[], MATCH(E$18 &amp; TEXT(Crd!$A44, "mmmyy"), ICE[LongCode], 0), MATCH("Settle", ICE[#Headers], 0))</f>
        <v>#N/A</v>
      </c>
      <c r="F44" s="28" t="e">
        <f ca="1">INDEX(ICE[], MATCH(F$18 &amp; TEXT(Crd!$A44, "mmmyy"), ICE[LongCode], 0), MATCH("Settle", ICE[#Headers], 0))</f>
        <v>#N/A</v>
      </c>
      <c r="G44" s="28" t="e">
        <f ca="1">INDEX(ICE[], MATCH(G$18 &amp; TEXT(Crd!$A44, "mmmyy"), ICE[LongCode], 0), MATCH("Settle", ICE[#Headers], 0))</f>
        <v>#N/A</v>
      </c>
      <c r="H44" s="28" t="e">
        <f ca="1">INDEX(ICE[], MATCH(H$18 &amp; TEXT(Crd!$A44, "mmmyy"), ICE[LongCode], 0), MATCH("Settle", ICE[#Headers], 0))</f>
        <v>#N/A</v>
      </c>
      <c r="I44" s="397" t="str">
        <f ca="1">IFERROR(INDEX(ICE[], MATCH("dfl" &amp; TEXT(Crd!$A44, "mmmyy"), ICE[LongCode], 0), MATCH("ICE Theoretical Price", ICE[#Headers], 0)), "")</f>
        <v/>
      </c>
      <c r="J44" s="364" t="str">
        <f ca="1">IFERROR(INDEX(ICE[], MATCH("dfl" &amp; TEXT(Crd!$A44, "mmmyy"), ICE[LongCode], 0), MATCH("Text", ICE[#Headers], 0)), "")</f>
        <v/>
      </c>
      <c r="K44" s="46" t="str">
        <f t="shared" ca="1" si="55"/>
        <v/>
      </c>
      <c r="L44" s="47" t="str">
        <f t="shared" ca="1" si="64"/>
        <v/>
      </c>
      <c r="M44" s="46" t="str">
        <f t="shared" ca="1" si="65"/>
        <v/>
      </c>
      <c r="N44" s="141" t="str">
        <f ca="1">IFERROR(IF(AND(ISNUMBER(Futs!$CC44), ISNUMBER($I44)), Futs!$CC44 + $I44, ""), "")</f>
        <v/>
      </c>
      <c r="O44" s="46" t="str">
        <f ca="1">IFERROR(IF(AND(ISNUMBER(Futs!$CD44), ISNUMBER($K44)), Futs!$CD44 + $K44, ""), "")</f>
        <v/>
      </c>
      <c r="P44" s="47" t="str">
        <f t="shared" ca="1" si="66"/>
        <v/>
      </c>
      <c r="Q44" s="364"/>
      <c r="R44" s="111" t="str">
        <f t="shared" ca="1" si="67"/>
        <v/>
      </c>
      <c r="S44" s="400" t="str">
        <f ca="1">IFERROR(INDEX(ICE[], MATCH("brdub" &amp; TEXT(Crd!$A44, "mmmyy"), ICE[LongCode], 0), MATCH("ICE Theoretical Price", ICE[#Headers], 0)), "")</f>
        <v/>
      </c>
      <c r="T44" s="364" t="str">
        <f ca="1">IFERROR(INDEX(ICE[], MATCH("brdub" &amp; TEXT(Crd!$A44, "mmmyy"), ICE[LongCode], 0), MATCH("Text", ICE[#Headers], 0)), "")</f>
        <v/>
      </c>
      <c r="U44" s="46" t="str">
        <f t="shared" ca="1" si="56"/>
        <v/>
      </c>
      <c r="V44" s="68" t="str">
        <f t="shared" ca="1" si="68"/>
        <v/>
      </c>
      <c r="W44" s="46" t="str">
        <f t="shared" ca="1" si="69"/>
        <v/>
      </c>
      <c r="X44" s="187" t="str">
        <f ca="1">IFERROR(IF(AND(ISNUMBER(Futs!$CC44), ISNUMBER($S44)), Futs!$CC44 - $S44, ""), "")</f>
        <v/>
      </c>
      <c r="Y44" s="46" t="str">
        <f ca="1">IFERROR(IF(AND(ISNUMBER(Futs!$CD44), ISNUMBER($U44)), Futs!$CD44 - $U44, ""), "")</f>
        <v/>
      </c>
      <c r="Z44" s="68" t="str">
        <f t="shared" ca="1" si="70"/>
        <v/>
      </c>
      <c r="AA44" s="364"/>
      <c r="AB44" s="46" t="str">
        <f t="shared" ca="1" si="71"/>
        <v/>
      </c>
      <c r="AC44" s="271" t="str">
        <f t="shared" ca="1" si="57"/>
        <v/>
      </c>
      <c r="AD44" s="46" t="str">
        <f t="shared" ca="1" si="58"/>
        <v/>
      </c>
      <c r="AE44" s="68" t="str">
        <f t="shared" ca="1" si="72"/>
        <v/>
      </c>
      <c r="AF44" s="111" t="str">
        <f t="shared" ca="1" si="73"/>
        <v/>
      </c>
      <c r="AG44" s="397" t="str">
        <f ca="1">IFERROR(INDEX(ICE[], MATCH("icemidticma" &amp; TEXT(Crd!$A44, "mmmyy"), ICE[LongCode], 0), MATCH("ICE Theoretical Price", ICE[#Headers], 0)), "")</f>
        <v/>
      </c>
      <c r="AH44" s="364" t="str">
        <f ca="1">IFERROR(INDEX(ICE[], MATCH("icemidticma" &amp; TEXT(Crd!$A44, "mmmyy"), ICE[LongCode], 0), MATCH("Text", ICE[#Headers], 0)), "")</f>
        <v/>
      </c>
      <c r="AI44" s="46" t="str">
        <f t="shared" ca="1" si="59"/>
        <v/>
      </c>
      <c r="AJ44" s="47" t="str">
        <f t="shared" ca="1" si="74"/>
        <v/>
      </c>
      <c r="AK44" s="46" t="str">
        <f t="shared" ca="1" si="75"/>
        <v/>
      </c>
      <c r="AL44" s="141" t="str">
        <f ca="1">IFERROR(IF(AND(ISNUMBER(Futs!$BY44), ISNUMBER($AG44)), Futs!$BY44 + $AG44, ""), "")</f>
        <v/>
      </c>
      <c r="AM44" s="46" t="str">
        <f ca="1">IFERROR(IF(AND(ISNUMBER(Futs!$BZ44), ISNUMBER($AI44)), Futs!$BZ44 + $AI44, ""), "")</f>
        <v/>
      </c>
      <c r="AN44" s="47" t="str">
        <f t="shared" ca="1" si="76"/>
        <v/>
      </c>
      <c r="AO44" s="111" t="str">
        <f t="shared" ca="1" si="77"/>
        <v/>
      </c>
      <c r="AP44" s="397" t="str">
        <f ca="1">IFERROR(INDEX(ICE[], MATCH("icemehticma" &amp; TEXT(Crd!$A44, "mmmyy"), ICE[LongCode], 0), MATCH("ICE Theoretical Price", ICE[#Headers], 0)), "")</f>
        <v/>
      </c>
      <c r="AQ44" s="364" t="str">
        <f ca="1">IFERROR(INDEX(ICE[], MATCH("icemehticma" &amp; TEXT(Crd!$A44, "mmmyy"), ICE[LongCode], 0), MATCH("Text", ICE[#Headers], 0)), "")</f>
        <v/>
      </c>
      <c r="AR44" s="46" t="str">
        <f t="shared" ca="1" si="60"/>
        <v/>
      </c>
      <c r="AS44" s="47" t="str">
        <f t="shared" ca="1" si="78"/>
        <v/>
      </c>
      <c r="AT44" s="46" t="str">
        <f t="shared" ca="1" si="79"/>
        <v/>
      </c>
      <c r="AU44" s="141" t="str">
        <f ca="1">IFERROR(IF(AND(ISNUMBER($BH44), ISNUMBER(Futs!$CC44)), $BH44 - Futs!$CC44, ""), "")</f>
        <v/>
      </c>
      <c r="AV44" s="46" t="str">
        <f ca="1">IFERROR(IF(AND(ISNUMBER($BI44), ISNUMBER(Futs!$CD44)), $BI44 - Futs!$CD44, ""), "")</f>
        <v/>
      </c>
      <c r="AW44" s="141" t="str">
        <f ca="1">IFERROR(IF(AND(ISNUMBER(Futs!$BY44), ISNUMBER($BA44)), Futs!$BY44 + $BA44, ""), "")</f>
        <v/>
      </c>
      <c r="AX44" s="46" t="str">
        <f ca="1">IFERROR(IF(AND(ISNUMBER(Futs!$BZ44), ISNUMBER($BC44)), Futs!$BZ44 + $BC44, ""), "")</f>
        <v/>
      </c>
      <c r="AY44" s="47" t="str">
        <f t="shared" ca="1" si="80"/>
        <v/>
      </c>
      <c r="AZ44" s="46" t="str">
        <f t="shared" ca="1" si="81"/>
        <v/>
      </c>
      <c r="BA44" s="594" t="str">
        <f ca="1">IFERROR(INDEX(ICE[], MATCH("icemehticma" &amp; TEXT(Crd!$A44, "mmmyy"), ICE[LongCode], 0), MATCH("ICE Theoretical Price", ICE[#Headers], 0)), "")</f>
        <v/>
      </c>
      <c r="BB44" s="364" t="str">
        <f ca="1">IFERROR(INDEX(ICE[], MATCH("icemehticma" &amp; TEXT(Crd!$A44, "mmmyy"), ICE[LongCode], 0), MATCH("Text", ICE[#Headers], 0)), "")</f>
        <v/>
      </c>
      <c r="BC44" s="46" t="str">
        <f t="shared" ca="1" si="61"/>
        <v/>
      </c>
      <c r="BD44" s="47" t="str">
        <f t="shared" ca="1" si="82"/>
        <v/>
      </c>
      <c r="BE44" s="46" t="str">
        <f t="shared" ca="1" si="83"/>
        <v/>
      </c>
      <c r="BF44" s="141" t="str">
        <f ca="1">IFERROR(IF(AND(ISNUMBER($BH44), ISNUMBER(Futs!$CC44)), $BH44 - Futs!$CC44, ""), "")</f>
        <v/>
      </c>
      <c r="BG44" s="46" t="str">
        <f ca="1">IFERROR(IF(AND(ISNUMBER($BI44), ISNUMBER(Futs!$CD44)), $BI44 - Futs!$CD44, ""), "")</f>
        <v/>
      </c>
      <c r="BH44" s="141" t="str">
        <f ca="1">IFERROR(IF(AND(ISNUMBER(Futs!$BY44), ISNUMBER($BA44)), Futs!$BY44 + $BA44, ""), "")</f>
        <v/>
      </c>
      <c r="BI44" s="46" t="str">
        <f ca="1">IFERROR(IF(AND(ISNUMBER(Futs!$BZ44), ISNUMBER($BC44)), Futs!$BZ44 + $BC44, ""), "")</f>
        <v/>
      </c>
      <c r="BJ44" s="47" t="str">
        <f t="shared" ca="1" si="84"/>
        <v/>
      </c>
      <c r="BK44" s="111" t="str">
        <f t="shared" ca="1" si="85"/>
        <v/>
      </c>
      <c r="BL44" s="397" t="str">
        <f ca="1">IFERROR(INDEX(ICE[], MATCH("icewcstitma" &amp; TEXT(Crd!$A44, "mmmyy"), ICE[LongCode], 0), MATCH("ICE Theoretical Price", ICE[#Headers], 0)), "")</f>
        <v/>
      </c>
      <c r="BM44" s="364" t="str">
        <f ca="1">IFERROR(INDEX(ICE[], MATCH("icewcstitma" &amp; TEXT(Crd!$A44, "mmmyy"), ICE[LongCode], 0), MATCH("Text", ICE[#Headers], 0)), "")</f>
        <v/>
      </c>
      <c r="BN44" s="46" t="str">
        <f t="shared" ca="1" si="62"/>
        <v/>
      </c>
      <c r="BO44" s="47" t="str">
        <f t="shared" ca="1" si="86"/>
        <v/>
      </c>
      <c r="BP44" s="46" t="str">
        <f t="shared" ca="1" si="87"/>
        <v/>
      </c>
      <c r="BQ44" s="141" t="str">
        <f ca="1">IFERROR(IF(AND(ISNUMBER($BS44), ISNUMBER(Futs!$CC44)), $BS44 - Futs!$CC44, ""), "")</f>
        <v/>
      </c>
      <c r="BR44" s="46" t="str">
        <f ca="1">IFERROR(IF(AND(ISNUMBER($BT44), ISNUMBER(Futs!$CD44)), $BT44 - Futs!$CD44, ""), "")</f>
        <v/>
      </c>
      <c r="BS44" s="141" t="str">
        <f ca="1">IFERROR(IF(AND(ISNUMBER(Futs!$BY44), ISNUMBER($BL44)), Futs!$BY44 + $BL44, ""), "")</f>
        <v/>
      </c>
      <c r="BT44" s="46" t="str">
        <f ca="1">IFERROR(IF(AND(ISNUMBER(Futs!$BZ44), ISNUMBER($BN44)), Futs!$BZ44 + $BN44, ""), "")</f>
        <v/>
      </c>
      <c r="BU44" s="47" t="str">
        <f t="shared" ca="1" si="88"/>
        <v/>
      </c>
      <c r="BV44" s="111" t="str">
        <f t="shared" ca="1" si="89"/>
        <v/>
      </c>
      <c r="BX44" s="92"/>
    </row>
    <row r="45" spans="1:76" x14ac:dyDescent="0.25">
      <c r="A45" s="58">
        <f t="shared" ca="1" si="63"/>
        <v>47058</v>
      </c>
      <c r="B45" s="6">
        <f t="shared" ca="1" si="53"/>
        <v>2028</v>
      </c>
      <c r="C45" s="6" t="str">
        <f t="shared" ca="1" si="54"/>
        <v>Q428</v>
      </c>
      <c r="D45" s="28" t="e">
        <f ca="1">INDEX(ICE[], MATCH(D$18 &amp; TEXT(Crd!$A45, "mmmyy"), ICE[LongCode], 0), MATCH("Settle", ICE[#Headers], 0))</f>
        <v>#N/A</v>
      </c>
      <c r="E45" s="28" t="e">
        <f ca="1">INDEX(ICE[], MATCH(E$18 &amp; TEXT(Crd!$A45, "mmmyy"), ICE[LongCode], 0), MATCH("Settle", ICE[#Headers], 0))</f>
        <v>#N/A</v>
      </c>
      <c r="F45" s="28" t="e">
        <f ca="1">INDEX(ICE[], MATCH(F$18 &amp; TEXT(Crd!$A45, "mmmyy"), ICE[LongCode], 0), MATCH("Settle", ICE[#Headers], 0))</f>
        <v>#N/A</v>
      </c>
      <c r="G45" s="28" t="e">
        <f ca="1">INDEX(ICE[], MATCH(G$18 &amp; TEXT(Crd!$A45, "mmmyy"), ICE[LongCode], 0), MATCH("Settle", ICE[#Headers], 0))</f>
        <v>#N/A</v>
      </c>
      <c r="H45" s="28" t="e">
        <f ca="1">INDEX(ICE[], MATCH(H$18 &amp; TEXT(Crd!$A45, "mmmyy"), ICE[LongCode], 0), MATCH("Settle", ICE[#Headers], 0))</f>
        <v>#N/A</v>
      </c>
      <c r="I45" s="397" t="str">
        <f ca="1">IFERROR(INDEX(ICE[], MATCH("dfl" &amp; TEXT(Crd!$A45, "mmmyy"), ICE[LongCode], 0), MATCH("ICE Theoretical Price", ICE[#Headers], 0)), "")</f>
        <v/>
      </c>
      <c r="J45" s="364" t="str">
        <f ca="1">IFERROR(INDEX(ICE[], MATCH("dfl" &amp; TEXT(Crd!$A45, "mmmyy"), ICE[LongCode], 0), MATCH("Text", ICE[#Headers], 0)), "")</f>
        <v/>
      </c>
      <c r="K45" s="46" t="str">
        <f t="shared" ca="1" si="55"/>
        <v/>
      </c>
      <c r="L45" s="47" t="str">
        <f t="shared" ca="1" si="64"/>
        <v/>
      </c>
      <c r="M45" s="46" t="str">
        <f t="shared" ca="1" si="65"/>
        <v/>
      </c>
      <c r="N45" s="141" t="str">
        <f ca="1">IFERROR(IF(AND(ISNUMBER(Futs!$CC45), ISNUMBER($I45)), Futs!$CC45 + $I45, ""), "")</f>
        <v/>
      </c>
      <c r="O45" s="46" t="str">
        <f ca="1">IFERROR(IF(AND(ISNUMBER(Futs!$CD45), ISNUMBER($K45)), Futs!$CD45 + $K45, ""), "")</f>
        <v/>
      </c>
      <c r="P45" s="47" t="str">
        <f t="shared" ca="1" si="66"/>
        <v/>
      </c>
      <c r="Q45" s="364" t="str">
        <f ca="1">IFERROR(INDEX(ICE[], MATCH("brdtd" &amp; TEXT(Crd!$A45, "mmmyy"), ICE[LongCode], 0), MATCH("Text", ICE[#Headers], 0)), "")</f>
        <v/>
      </c>
      <c r="R45" s="111" t="str">
        <f t="shared" ca="1" si="67"/>
        <v/>
      </c>
      <c r="S45" s="400" t="str">
        <f ca="1">IFERROR(INDEX(ICE[], MATCH("brdub" &amp; TEXT(Crd!$A45, "mmmyy"), ICE[LongCode], 0), MATCH("ICE Theoretical Price", ICE[#Headers], 0)), "")</f>
        <v/>
      </c>
      <c r="T45" s="364" t="str">
        <f ca="1">IFERROR(INDEX(ICE[], MATCH("brdub" &amp; TEXT(Crd!$A45, "mmmyy"), ICE[LongCode], 0), MATCH("Text", ICE[#Headers], 0)), "")</f>
        <v/>
      </c>
      <c r="U45" s="46" t="str">
        <f t="shared" ca="1" si="56"/>
        <v/>
      </c>
      <c r="V45" s="68" t="str">
        <f t="shared" ca="1" si="68"/>
        <v/>
      </c>
      <c r="W45" s="46" t="str">
        <f t="shared" ca="1" si="69"/>
        <v/>
      </c>
      <c r="X45" s="187" t="str">
        <f ca="1">IFERROR(IF(AND(ISNUMBER(Futs!$CC45), ISNUMBER($S45)), Futs!$CC45 - $S45, ""), "")</f>
        <v/>
      </c>
      <c r="Y45" s="46" t="str">
        <f ca="1">IFERROR(IF(AND(ISNUMBER(Futs!$CD45), ISNUMBER($U45)), Futs!$CD45 - $U45, ""), "")</f>
        <v/>
      </c>
      <c r="Z45" s="68" t="str">
        <f t="shared" ca="1" si="70"/>
        <v/>
      </c>
      <c r="AA45" s="364" t="str">
        <f ca="1">IFERROR(INDEX(ICE[], MATCH("brdub" &amp; TEXT(Crd!$A45, "mmmyy"), ICE[LongCode], 0), MATCH("Text", ICE[#Headers], 0)), "")</f>
        <v/>
      </c>
      <c r="AB45" s="46" t="str">
        <f t="shared" ca="1" si="71"/>
        <v/>
      </c>
      <c r="AC45" s="271" t="str">
        <f t="shared" ca="1" si="57"/>
        <v/>
      </c>
      <c r="AD45" s="46" t="str">
        <f t="shared" ca="1" si="58"/>
        <v/>
      </c>
      <c r="AE45" s="68" t="str">
        <f t="shared" ca="1" si="72"/>
        <v/>
      </c>
      <c r="AF45" s="111" t="str">
        <f t="shared" ca="1" si="73"/>
        <v/>
      </c>
      <c r="AG45" s="397" t="str">
        <f ca="1">IFERROR(INDEX(ICE[], MATCH("icemidticma" &amp; TEXT(Crd!$A45, "mmmyy"), ICE[LongCode], 0), MATCH("ICE Theoretical Price", ICE[#Headers], 0)), "")</f>
        <v/>
      </c>
      <c r="AH45" s="364" t="str">
        <f ca="1">IFERROR(INDEX(ICE[], MATCH("icemidticma" &amp; TEXT(Crd!$A45, "mmmyy"), ICE[LongCode], 0), MATCH("Text", ICE[#Headers], 0)), "")</f>
        <v/>
      </c>
      <c r="AI45" s="46" t="str">
        <f t="shared" ca="1" si="59"/>
        <v/>
      </c>
      <c r="AJ45" s="47" t="str">
        <f t="shared" ca="1" si="74"/>
        <v/>
      </c>
      <c r="AK45" s="46" t="str">
        <f t="shared" ca="1" si="75"/>
        <v/>
      </c>
      <c r="AL45" s="141" t="str">
        <f ca="1">IFERROR(IF(AND(ISNUMBER(Futs!$BY45), ISNUMBER($AG45)), Futs!$BY45 + $AG45, ""), "")</f>
        <v/>
      </c>
      <c r="AM45" s="46" t="str">
        <f ca="1">IFERROR(IF(AND(ISNUMBER(Futs!$BZ45), ISNUMBER($AI45)), Futs!$BZ45 + $AI45, ""), "")</f>
        <v/>
      </c>
      <c r="AN45" s="47" t="str">
        <f t="shared" ca="1" si="76"/>
        <v/>
      </c>
      <c r="AO45" s="111" t="str">
        <f t="shared" ca="1" si="77"/>
        <v/>
      </c>
      <c r="AP45" s="397" t="str">
        <f ca="1">IFERROR(INDEX(ICE[], MATCH("icemehticma" &amp; TEXT(Crd!$A45, "mmmyy"), ICE[LongCode], 0), MATCH("ICE Theoretical Price", ICE[#Headers], 0)), "")</f>
        <v/>
      </c>
      <c r="AQ45" s="364" t="str">
        <f ca="1">IFERROR(INDEX(ICE[], MATCH("icemehticma" &amp; TEXT(Crd!$A45, "mmmyy"), ICE[LongCode], 0), MATCH("Text", ICE[#Headers], 0)), "")</f>
        <v/>
      </c>
      <c r="AR45" s="46" t="str">
        <f t="shared" ca="1" si="60"/>
        <v/>
      </c>
      <c r="AS45" s="47" t="str">
        <f t="shared" ca="1" si="78"/>
        <v/>
      </c>
      <c r="AT45" s="46" t="str">
        <f t="shared" ca="1" si="79"/>
        <v/>
      </c>
      <c r="AU45" s="141" t="str">
        <f ca="1">IFERROR(IF(AND(ISNUMBER($BH45), ISNUMBER(Futs!$CC45)), $BH45 - Futs!$CC45, ""), "")</f>
        <v/>
      </c>
      <c r="AV45" s="46" t="str">
        <f ca="1">IFERROR(IF(AND(ISNUMBER($BI45), ISNUMBER(Futs!$CD45)), $BI45 - Futs!$CD45, ""), "")</f>
        <v/>
      </c>
      <c r="AW45" s="141" t="str">
        <f ca="1">IFERROR(IF(AND(ISNUMBER(Futs!$BY45), ISNUMBER($BA45)), Futs!$BY45 + $BA45, ""), "")</f>
        <v/>
      </c>
      <c r="AX45" s="46" t="str">
        <f ca="1">IFERROR(IF(AND(ISNUMBER(Futs!$BZ45), ISNUMBER($BC45)), Futs!$BZ45 + $BC45, ""), "")</f>
        <v/>
      </c>
      <c r="AY45" s="47" t="str">
        <f t="shared" ca="1" si="80"/>
        <v/>
      </c>
      <c r="AZ45" s="46" t="str">
        <f t="shared" ca="1" si="81"/>
        <v/>
      </c>
      <c r="BA45" s="594" t="str">
        <f ca="1">IFERROR(INDEX(ICE[], MATCH("icemehticma" &amp; TEXT(Crd!$A45, "mmmyy"), ICE[LongCode], 0), MATCH("ICE Theoretical Price", ICE[#Headers], 0)), "")</f>
        <v/>
      </c>
      <c r="BB45" s="364" t="str">
        <f ca="1">IFERROR(INDEX(ICE[], MATCH("icemehticma" &amp; TEXT(Crd!$A45, "mmmyy"), ICE[LongCode], 0), MATCH("Text", ICE[#Headers], 0)), "")</f>
        <v/>
      </c>
      <c r="BC45" s="46" t="str">
        <f t="shared" ca="1" si="61"/>
        <v/>
      </c>
      <c r="BD45" s="47" t="str">
        <f t="shared" ca="1" si="82"/>
        <v/>
      </c>
      <c r="BE45" s="46" t="str">
        <f t="shared" ca="1" si="83"/>
        <v/>
      </c>
      <c r="BF45" s="141" t="str">
        <f ca="1">IFERROR(IF(AND(ISNUMBER($BH45), ISNUMBER(Futs!$CC45)), $BH45 - Futs!$CC45, ""), "")</f>
        <v/>
      </c>
      <c r="BG45" s="46" t="str">
        <f ca="1">IFERROR(IF(AND(ISNUMBER($BI45), ISNUMBER(Futs!$CD45)), $BI45 - Futs!$CD45, ""), "")</f>
        <v/>
      </c>
      <c r="BH45" s="141" t="str">
        <f ca="1">IFERROR(IF(AND(ISNUMBER(Futs!$BY45), ISNUMBER($BA45)), Futs!$BY45 + $BA45, ""), "")</f>
        <v/>
      </c>
      <c r="BI45" s="46" t="str">
        <f ca="1">IFERROR(IF(AND(ISNUMBER(Futs!$BZ45), ISNUMBER($BC45)), Futs!$BZ45 + $BC45, ""), "")</f>
        <v/>
      </c>
      <c r="BJ45" s="47" t="str">
        <f t="shared" ca="1" si="84"/>
        <v/>
      </c>
      <c r="BK45" s="111" t="str">
        <f t="shared" ca="1" si="85"/>
        <v/>
      </c>
      <c r="BL45" s="397" t="str">
        <f ca="1">IFERROR(INDEX(ICE[], MATCH("icewcstitma" &amp; TEXT(Crd!$A45, "mmmyy"), ICE[LongCode], 0), MATCH("ICE Theoretical Price", ICE[#Headers], 0)), "")</f>
        <v/>
      </c>
      <c r="BM45" s="364" t="str">
        <f ca="1">IFERROR(INDEX(ICE[], MATCH("icewcstitma" &amp; TEXT(Crd!$A45, "mmmyy"), ICE[LongCode], 0), MATCH("Text", ICE[#Headers], 0)), "")</f>
        <v/>
      </c>
      <c r="BN45" s="46" t="str">
        <f t="shared" ca="1" si="62"/>
        <v/>
      </c>
      <c r="BO45" s="47" t="str">
        <f t="shared" ca="1" si="86"/>
        <v/>
      </c>
      <c r="BP45" s="46" t="str">
        <f t="shared" ca="1" si="87"/>
        <v/>
      </c>
      <c r="BQ45" s="141" t="str">
        <f ca="1">IFERROR(IF(AND(ISNUMBER($BS45), ISNUMBER(Futs!$CC45)), $BS45 - Futs!$CC45, ""), "")</f>
        <v/>
      </c>
      <c r="BR45" s="46" t="str">
        <f ca="1">IFERROR(IF(AND(ISNUMBER($BT45), ISNUMBER(Futs!$CD45)), $BT45 - Futs!$CD45, ""), "")</f>
        <v/>
      </c>
      <c r="BS45" s="141" t="str">
        <f ca="1">IFERROR(IF(AND(ISNUMBER(Futs!$BY45), ISNUMBER($BL45)), Futs!$BY45 + $BL45, ""), "")</f>
        <v/>
      </c>
      <c r="BT45" s="46" t="str">
        <f ca="1">IFERROR(IF(AND(ISNUMBER(Futs!$BZ45), ISNUMBER($BN45)), Futs!$BZ45 + $BN45, ""), "")</f>
        <v/>
      </c>
      <c r="BU45" s="47" t="str">
        <f t="shared" ca="1" si="88"/>
        <v/>
      </c>
      <c r="BV45" s="111" t="str">
        <f t="shared" ca="1" si="89"/>
        <v/>
      </c>
      <c r="BX45" s="92"/>
    </row>
    <row r="46" spans="1:76" x14ac:dyDescent="0.25">
      <c r="A46" s="58">
        <f t="shared" ca="1" si="63"/>
        <v>47088</v>
      </c>
      <c r="B46" s="6">
        <f t="shared" ca="1" si="53"/>
        <v>2028</v>
      </c>
      <c r="C46" s="6" t="str">
        <f t="shared" ca="1" si="54"/>
        <v>Q428</v>
      </c>
      <c r="D46" s="28" t="e">
        <f ca="1">INDEX(ICE[], MATCH(D$18 &amp; TEXT(Crd!$A46, "mmmyy"), ICE[LongCode], 0), MATCH("Settle", ICE[#Headers], 0))</f>
        <v>#N/A</v>
      </c>
      <c r="E46" s="28" t="e">
        <f ca="1">INDEX(ICE[], MATCH(E$18 &amp; TEXT(Crd!$A46, "mmmyy"), ICE[LongCode], 0), MATCH("Settle", ICE[#Headers], 0))</f>
        <v>#N/A</v>
      </c>
      <c r="F46" s="28" t="e">
        <f ca="1">INDEX(ICE[], MATCH(F$18 &amp; TEXT(Crd!$A46, "mmmyy"), ICE[LongCode], 0), MATCH("Settle", ICE[#Headers], 0))</f>
        <v>#N/A</v>
      </c>
      <c r="G46" s="28" t="e">
        <f ca="1">INDEX(ICE[], MATCH(G$18 &amp; TEXT(Crd!$A46, "mmmyy"), ICE[LongCode], 0), MATCH("Settle", ICE[#Headers], 0))</f>
        <v>#N/A</v>
      </c>
      <c r="H46" s="28" t="e">
        <f ca="1">INDEX(ICE[], MATCH(H$18 &amp; TEXT(Crd!$A46, "mmmyy"), ICE[LongCode], 0), MATCH("Settle", ICE[#Headers], 0))</f>
        <v>#N/A</v>
      </c>
      <c r="I46" s="397" t="str">
        <f ca="1">IFERROR(INDEX(ICE[], MATCH("dfl" &amp; TEXT(Crd!$A46, "mmmyy"), ICE[LongCode], 0), MATCH("ICE Theoretical Price", ICE[#Headers], 0)), "")</f>
        <v/>
      </c>
      <c r="J46" s="364" t="str">
        <f ca="1">IFERROR(INDEX(ICE[], MATCH("dfl" &amp; TEXT(Crd!$A46, "mmmyy"), ICE[LongCode], 0), MATCH("Text", ICE[#Headers], 0)), "")</f>
        <v/>
      </c>
      <c r="K46" s="46" t="str">
        <f t="shared" ca="1" si="55"/>
        <v/>
      </c>
      <c r="L46" s="47" t="str">
        <f t="shared" ca="1" si="64"/>
        <v/>
      </c>
      <c r="M46" s="46" t="str">
        <f t="shared" ca="1" si="65"/>
        <v/>
      </c>
      <c r="N46" s="141" t="str">
        <f ca="1">IFERROR(IF(AND(ISNUMBER(Futs!$CC46), ISNUMBER($I46)), Futs!$CC46 + $I46, ""), "")</f>
        <v/>
      </c>
      <c r="O46" s="46" t="str">
        <f ca="1">IFERROR(IF(AND(ISNUMBER(Futs!$CD46), ISNUMBER($K46)), Futs!$CD46 + $K46, ""), "")</f>
        <v/>
      </c>
      <c r="P46" s="47" t="str">
        <f t="shared" ca="1" si="66"/>
        <v/>
      </c>
      <c r="Q46" s="364" t="str">
        <f ca="1">IFERROR(INDEX(ICE[], MATCH("brdtd" &amp; TEXT(Crd!$A46, "mmmyy"), ICE[LongCode], 0), MATCH("Text", ICE[#Headers], 0)), "")</f>
        <v/>
      </c>
      <c r="R46" s="111" t="str">
        <f t="shared" ca="1" si="67"/>
        <v/>
      </c>
      <c r="S46" s="400" t="str">
        <f ca="1">IFERROR(INDEX(ICE[], MATCH("brdub" &amp; TEXT(Crd!$A46, "mmmyy"), ICE[LongCode], 0), MATCH("ICE Theoretical Price", ICE[#Headers], 0)), "")</f>
        <v/>
      </c>
      <c r="T46" s="364" t="str">
        <f ca="1">IFERROR(INDEX(ICE[], MATCH("brdub" &amp; TEXT(Crd!$A46, "mmmyy"), ICE[LongCode], 0), MATCH("Text", ICE[#Headers], 0)), "")</f>
        <v/>
      </c>
      <c r="U46" s="46" t="str">
        <f t="shared" ca="1" si="56"/>
        <v/>
      </c>
      <c r="V46" s="68" t="str">
        <f t="shared" ca="1" si="68"/>
        <v/>
      </c>
      <c r="W46" s="46" t="str">
        <f t="shared" ca="1" si="69"/>
        <v/>
      </c>
      <c r="X46" s="187" t="str">
        <f ca="1">IFERROR(IF(AND(ISNUMBER(Futs!$CC46), ISNUMBER($S46)), Futs!$CC46 - $S46, ""), "")</f>
        <v/>
      </c>
      <c r="Y46" s="46" t="str">
        <f ca="1">IFERROR(IF(AND(ISNUMBER(Futs!$CD46), ISNUMBER($U46)), Futs!$CD46 - $U46, ""), "")</f>
        <v/>
      </c>
      <c r="Z46" s="68" t="str">
        <f t="shared" ca="1" si="70"/>
        <v/>
      </c>
      <c r="AA46" s="364" t="str">
        <f ca="1">IFERROR(INDEX(ICE[], MATCH("brdub" &amp; TEXT(Crd!$A46, "mmmyy"), ICE[LongCode], 0), MATCH("Text", ICE[#Headers], 0)), "")</f>
        <v/>
      </c>
      <c r="AB46" s="46" t="str">
        <f t="shared" ca="1" si="71"/>
        <v/>
      </c>
      <c r="AC46" s="271" t="str">
        <f t="shared" ca="1" si="57"/>
        <v/>
      </c>
      <c r="AD46" s="46" t="str">
        <f t="shared" ca="1" si="58"/>
        <v/>
      </c>
      <c r="AE46" s="68" t="str">
        <f t="shared" ca="1" si="72"/>
        <v/>
      </c>
      <c r="AF46" s="111" t="str">
        <f t="shared" ca="1" si="73"/>
        <v/>
      </c>
      <c r="AG46" s="397" t="str">
        <f ca="1">IFERROR(INDEX(ICE[], MATCH("icemidticma" &amp; TEXT(Crd!$A46, "mmmyy"), ICE[LongCode], 0), MATCH("ICE Theoretical Price", ICE[#Headers], 0)), "")</f>
        <v/>
      </c>
      <c r="AH46" s="364" t="str">
        <f ca="1">IFERROR(INDEX(ICE[], MATCH("icemidticma" &amp; TEXT(Crd!$A46, "mmmyy"), ICE[LongCode], 0), MATCH("Text", ICE[#Headers], 0)), "")</f>
        <v/>
      </c>
      <c r="AI46" s="46" t="str">
        <f t="shared" ca="1" si="59"/>
        <v/>
      </c>
      <c r="AJ46" s="47" t="str">
        <f t="shared" ca="1" si="74"/>
        <v/>
      </c>
      <c r="AK46" s="46" t="str">
        <f t="shared" ca="1" si="75"/>
        <v/>
      </c>
      <c r="AL46" s="141" t="str">
        <f ca="1">IFERROR(IF(AND(ISNUMBER(Futs!$BY46), ISNUMBER($AG46)), Futs!$BY46 + $AG46, ""), "")</f>
        <v/>
      </c>
      <c r="AM46" s="46" t="str">
        <f ca="1">IFERROR(IF(AND(ISNUMBER(Futs!$BZ46), ISNUMBER($AI46)), Futs!$BZ46 + $AI46, ""), "")</f>
        <v/>
      </c>
      <c r="AN46" s="47" t="str">
        <f t="shared" ca="1" si="76"/>
        <v/>
      </c>
      <c r="AO46" s="111" t="str">
        <f t="shared" ca="1" si="77"/>
        <v/>
      </c>
      <c r="AP46" s="397" t="str">
        <f ca="1">IFERROR(INDEX(ICE[], MATCH("icemehticma" &amp; TEXT(Crd!$A46, "mmmyy"), ICE[LongCode], 0), MATCH("ICE Theoretical Price", ICE[#Headers], 0)), "")</f>
        <v/>
      </c>
      <c r="AQ46" s="364" t="str">
        <f ca="1">IFERROR(INDEX(ICE[], MATCH("icemehticma" &amp; TEXT(Crd!$A46, "mmmyy"), ICE[LongCode], 0), MATCH("Text", ICE[#Headers], 0)), "")</f>
        <v/>
      </c>
      <c r="AR46" s="46" t="str">
        <f t="shared" ca="1" si="60"/>
        <v/>
      </c>
      <c r="AS46" s="47" t="str">
        <f t="shared" ca="1" si="78"/>
        <v/>
      </c>
      <c r="AT46" s="46" t="str">
        <f t="shared" ca="1" si="79"/>
        <v/>
      </c>
      <c r="AU46" s="141" t="str">
        <f ca="1">IFERROR(IF(AND(ISNUMBER($BH46), ISNUMBER(Futs!$CC46)), $BH46 - Futs!$CC46, ""), "")</f>
        <v/>
      </c>
      <c r="AV46" s="46" t="str">
        <f ca="1">IFERROR(IF(AND(ISNUMBER($BI46), ISNUMBER(Futs!$CD46)), $BI46 - Futs!$CD46, ""), "")</f>
        <v/>
      </c>
      <c r="AW46" s="141" t="str">
        <f ca="1">IFERROR(IF(AND(ISNUMBER(Futs!$BY46), ISNUMBER($BA46)), Futs!$BY46 + $BA46, ""), "")</f>
        <v/>
      </c>
      <c r="AX46" s="46" t="str">
        <f ca="1">IFERROR(IF(AND(ISNUMBER(Futs!$BZ46), ISNUMBER($BC46)), Futs!$BZ46 + $BC46, ""), "")</f>
        <v/>
      </c>
      <c r="AY46" s="47" t="str">
        <f t="shared" ca="1" si="80"/>
        <v/>
      </c>
      <c r="AZ46" s="46" t="str">
        <f t="shared" ca="1" si="81"/>
        <v/>
      </c>
      <c r="BA46" s="594" t="str">
        <f ca="1">IFERROR(INDEX(ICE[], MATCH("icemehticma" &amp; TEXT(Crd!$A46, "mmmyy"), ICE[LongCode], 0), MATCH("ICE Theoretical Price", ICE[#Headers], 0)), "")</f>
        <v/>
      </c>
      <c r="BB46" s="364" t="str">
        <f ca="1">IFERROR(INDEX(ICE[], MATCH("icemehticma" &amp; TEXT(Crd!$A46, "mmmyy"), ICE[LongCode], 0), MATCH("Text", ICE[#Headers], 0)), "")</f>
        <v/>
      </c>
      <c r="BC46" s="46" t="str">
        <f t="shared" ca="1" si="61"/>
        <v/>
      </c>
      <c r="BD46" s="47" t="str">
        <f t="shared" ca="1" si="82"/>
        <v/>
      </c>
      <c r="BE46" s="46" t="str">
        <f t="shared" ca="1" si="83"/>
        <v/>
      </c>
      <c r="BF46" s="141" t="str">
        <f ca="1">IFERROR(IF(AND(ISNUMBER($BH46), ISNUMBER(Futs!$CC46)), $BH46 - Futs!$CC46, ""), "")</f>
        <v/>
      </c>
      <c r="BG46" s="46" t="str">
        <f ca="1">IFERROR(IF(AND(ISNUMBER($BI46), ISNUMBER(Futs!$CD46)), $BI46 - Futs!$CD46, ""), "")</f>
        <v/>
      </c>
      <c r="BH46" s="141" t="str">
        <f ca="1">IFERROR(IF(AND(ISNUMBER(Futs!$BY46), ISNUMBER($BA46)), Futs!$BY46 + $BA46, ""), "")</f>
        <v/>
      </c>
      <c r="BI46" s="46" t="str">
        <f ca="1">IFERROR(IF(AND(ISNUMBER(Futs!$BZ46), ISNUMBER($BC46)), Futs!$BZ46 + $BC46, ""), "")</f>
        <v/>
      </c>
      <c r="BJ46" s="47" t="str">
        <f t="shared" ca="1" si="84"/>
        <v/>
      </c>
      <c r="BK46" s="111" t="str">
        <f t="shared" ca="1" si="85"/>
        <v/>
      </c>
      <c r="BL46" s="397" t="str">
        <f ca="1">IFERROR(INDEX(ICE[], MATCH("icewcstitma" &amp; TEXT(Crd!$A46, "mmmyy"), ICE[LongCode], 0), MATCH("ICE Theoretical Price", ICE[#Headers], 0)), "")</f>
        <v/>
      </c>
      <c r="BM46" s="364" t="str">
        <f ca="1">IFERROR(INDEX(ICE[], MATCH("icewcstitma" &amp; TEXT(Crd!$A46, "mmmyy"), ICE[LongCode], 0), MATCH("Text", ICE[#Headers], 0)), "")</f>
        <v/>
      </c>
      <c r="BN46" s="46" t="str">
        <f t="shared" ca="1" si="62"/>
        <v/>
      </c>
      <c r="BO46" s="47" t="str">
        <f t="shared" ca="1" si="86"/>
        <v/>
      </c>
      <c r="BP46" s="46" t="str">
        <f t="shared" ca="1" si="87"/>
        <v/>
      </c>
      <c r="BQ46" s="141" t="str">
        <f ca="1">IFERROR(IF(AND(ISNUMBER($BS46), ISNUMBER(Futs!$CC46)), $BS46 - Futs!$CC46, ""), "")</f>
        <v/>
      </c>
      <c r="BR46" s="46" t="str">
        <f ca="1">IFERROR(IF(AND(ISNUMBER($BT46), ISNUMBER(Futs!$CD46)), $BT46 - Futs!$CD46, ""), "")</f>
        <v/>
      </c>
      <c r="BS46" s="141" t="str">
        <f ca="1">IFERROR(IF(AND(ISNUMBER(Futs!$BY46), ISNUMBER($BL46)), Futs!$BY46 + $BL46, ""), "")</f>
        <v/>
      </c>
      <c r="BT46" s="46" t="str">
        <f ca="1">IFERROR(IF(AND(ISNUMBER(Futs!$BZ46), ISNUMBER($BN46)), Futs!$BZ46 + $BN46, ""), "")</f>
        <v/>
      </c>
      <c r="BU46" s="47" t="str">
        <f t="shared" ca="1" si="88"/>
        <v/>
      </c>
      <c r="BV46" s="111" t="str">
        <f t="shared" ca="1" si="89"/>
        <v/>
      </c>
      <c r="BX46" s="92"/>
    </row>
    <row r="47" spans="1:76" x14ac:dyDescent="0.25">
      <c r="A47" s="58">
        <f t="shared" ca="1" si="63"/>
        <v>47119</v>
      </c>
      <c r="B47" s="6">
        <f t="shared" ca="1" si="53"/>
        <v>2029</v>
      </c>
      <c r="C47" s="6" t="str">
        <f t="shared" ca="1" si="54"/>
        <v>Q129</v>
      </c>
      <c r="D47" s="28" t="e">
        <f ca="1">INDEX(ICE[], MATCH(D$18 &amp; TEXT(Crd!$A47, "mmmyy"), ICE[LongCode], 0), MATCH("Settle", ICE[#Headers], 0))</f>
        <v>#N/A</v>
      </c>
      <c r="E47" s="28" t="e">
        <f ca="1">INDEX(ICE[], MATCH(E$18 &amp; TEXT(Crd!$A47, "mmmyy"), ICE[LongCode], 0), MATCH("Settle", ICE[#Headers], 0))</f>
        <v>#N/A</v>
      </c>
      <c r="F47" s="28" t="e">
        <f ca="1">INDEX(ICE[], MATCH(F$18 &amp; TEXT(Crd!$A47, "mmmyy"), ICE[LongCode], 0), MATCH("Settle", ICE[#Headers], 0))</f>
        <v>#N/A</v>
      </c>
      <c r="G47" s="28" t="e">
        <f ca="1">INDEX(ICE[], MATCH(G$18 &amp; TEXT(Crd!$A47, "mmmyy"), ICE[LongCode], 0), MATCH("Settle", ICE[#Headers], 0))</f>
        <v>#N/A</v>
      </c>
      <c r="H47" s="28" t="e">
        <f ca="1">INDEX(ICE[], MATCH(H$18 &amp; TEXT(Crd!$A47, "mmmyy"), ICE[LongCode], 0), MATCH("Settle", ICE[#Headers], 0))</f>
        <v>#N/A</v>
      </c>
      <c r="I47" s="397"/>
      <c r="J47" s="364" t="str">
        <f ca="1">IFERROR(INDEX(ICE[], MATCH("dfl" &amp; TEXT(Crd!$A47, "mmmyy"), ICE[LongCode], 0), MATCH("Text", ICE[#Headers], 0)), "")</f>
        <v/>
      </c>
      <c r="K47" s="46" t="str">
        <f t="shared" ca="1" si="55"/>
        <v/>
      </c>
      <c r="L47" s="47" t="str">
        <f t="shared" ca="1" si="64"/>
        <v/>
      </c>
      <c r="M47" s="46" t="str">
        <f t="shared" ca="1" si="65"/>
        <v/>
      </c>
      <c r="N47" s="141" t="str">
        <f ca="1">IFERROR(IF(AND(ISNUMBER(Futs!$CC47), ISNUMBER($I47)), Futs!$CC47 + $I47, ""), "")</f>
        <v/>
      </c>
      <c r="O47" s="46" t="str">
        <f ca="1">IFERROR(IF(AND(ISNUMBER(Futs!$CD47), ISNUMBER($K47)), Futs!$CD47 + $K47, ""), "")</f>
        <v/>
      </c>
      <c r="P47" s="47" t="str">
        <f t="shared" ca="1" si="66"/>
        <v/>
      </c>
      <c r="Q47" s="364" t="str">
        <f ca="1">IFERROR(INDEX(ICE[], MATCH("brdtd" &amp; TEXT(Crd!$A47, "mmmyy"), ICE[LongCode], 0), MATCH("Text", ICE[#Headers], 0)), "")</f>
        <v/>
      </c>
      <c r="R47" s="111" t="str">
        <f t="shared" ca="1" si="67"/>
        <v/>
      </c>
      <c r="S47" s="400"/>
      <c r="T47" s="364" t="str">
        <f ca="1">IFERROR(INDEX(ICE[], MATCH("brdub" &amp; TEXT(Crd!$A47, "mmmyy"), ICE[LongCode], 0), MATCH("Text", ICE[#Headers], 0)), "")</f>
        <v/>
      </c>
      <c r="U47" s="46" t="str">
        <f t="shared" ca="1" si="56"/>
        <v/>
      </c>
      <c r="V47" s="68" t="str">
        <f t="shared" ca="1" si="68"/>
        <v/>
      </c>
      <c r="W47" s="46" t="str">
        <f t="shared" ca="1" si="69"/>
        <v/>
      </c>
      <c r="X47" s="187" t="str">
        <f ca="1">IFERROR(IF(AND(ISNUMBER(Futs!$CC47), ISNUMBER($S47)), Futs!$CC47 - $S47, ""), "")</f>
        <v/>
      </c>
      <c r="Y47" s="46" t="str">
        <f ca="1">IFERROR(IF(AND(ISNUMBER(Futs!$CD47), ISNUMBER($U47)), Futs!$CD47 - $U47, ""), "")</f>
        <v/>
      </c>
      <c r="Z47" s="68" t="str">
        <f t="shared" ca="1" si="70"/>
        <v/>
      </c>
      <c r="AA47" s="364" t="str">
        <f ca="1">IFERROR(INDEX(ICE[], MATCH("brdub" &amp; TEXT(Crd!$A47, "mmmyy"), ICE[LongCode], 0), MATCH("Text", ICE[#Headers], 0)), "")</f>
        <v/>
      </c>
      <c r="AB47" s="46" t="str">
        <f t="shared" ca="1" si="71"/>
        <v/>
      </c>
      <c r="AC47" s="271" t="str">
        <f t="shared" ref="AC47:AC66" si="90">IFERROR(IF(AND(ISNUMBER($I47), ISNUMBER($S47)), $S47 + $I47, ""), "")</f>
        <v/>
      </c>
      <c r="AD47" s="46" t="str">
        <f t="shared" ca="1" si="58"/>
        <v/>
      </c>
      <c r="AE47" s="68" t="str">
        <f t="shared" ca="1" si="72"/>
        <v/>
      </c>
      <c r="AF47" s="111" t="str">
        <f t="shared" ca="1" si="73"/>
        <v/>
      </c>
      <c r="AG47" s="397"/>
      <c r="AH47" s="364" t="str">
        <f ca="1">IFERROR(INDEX(ICE[], MATCH("icemidticma" &amp; TEXT(Crd!$A47, "mmmyy"), ICE[LongCode], 0), MATCH("Text", ICE[#Headers], 0)), "")</f>
        <v/>
      </c>
      <c r="AI47" s="46" t="str">
        <f t="shared" ca="1" si="59"/>
        <v/>
      </c>
      <c r="AJ47" s="47" t="str">
        <f t="shared" ca="1" si="74"/>
        <v/>
      </c>
      <c r="AK47" s="46" t="str">
        <f t="shared" ca="1" si="75"/>
        <v/>
      </c>
      <c r="AL47" s="141" t="str">
        <f ca="1">IFERROR(IF(AND(ISNUMBER(Futs!$BY47), ISNUMBER($AG47)), Futs!$BY47 + $AG47, ""), "")</f>
        <v/>
      </c>
      <c r="AM47" s="46" t="str">
        <f ca="1">IFERROR(IF(AND(ISNUMBER(Futs!$BZ47), ISNUMBER($AI47)), Futs!$BZ47 + $AI47, ""), "")</f>
        <v/>
      </c>
      <c r="AN47" s="47" t="str">
        <f t="shared" ca="1" si="76"/>
        <v/>
      </c>
      <c r="AO47" s="111" t="str">
        <f t="shared" ca="1" si="77"/>
        <v/>
      </c>
      <c r="AP47" s="397"/>
      <c r="AQ47" s="364" t="str">
        <f ca="1">IFERROR(INDEX(ICE[], MATCH("icemehticma" &amp; TEXT(Crd!$A47, "mmmyy"), ICE[LongCode], 0), MATCH("Text", ICE[#Headers], 0)), "")</f>
        <v/>
      </c>
      <c r="AR47" s="46" t="str">
        <f t="shared" ca="1" si="60"/>
        <v/>
      </c>
      <c r="AS47" s="47" t="str">
        <f t="shared" ca="1" si="78"/>
        <v/>
      </c>
      <c r="AT47" s="46" t="str">
        <f t="shared" ca="1" si="79"/>
        <v/>
      </c>
      <c r="AU47" s="141" t="str">
        <f ca="1">IFERROR(IF(AND(ISNUMBER($BH47), ISNUMBER(Futs!$CC47)), $BH47 - Futs!$CC47, ""), "")</f>
        <v/>
      </c>
      <c r="AV47" s="46" t="str">
        <f ca="1">IFERROR(IF(AND(ISNUMBER($BI47), ISNUMBER(Futs!$CD47)), $BI47 - Futs!$CD47, ""), "")</f>
        <v/>
      </c>
      <c r="AW47" s="141" t="str">
        <f ca="1">IFERROR(IF(AND(ISNUMBER(Futs!$BY47), ISNUMBER($BA47)), Futs!$BY47 + $BA47, ""), "")</f>
        <v/>
      </c>
      <c r="AX47" s="46" t="str">
        <f ca="1">IFERROR(IF(AND(ISNUMBER(Futs!$BZ47), ISNUMBER($BC47)), Futs!$BZ47 + $BC47, ""), "")</f>
        <v/>
      </c>
      <c r="AY47" s="47" t="str">
        <f t="shared" ca="1" si="80"/>
        <v/>
      </c>
      <c r="AZ47" s="46" t="str">
        <f t="shared" ca="1" si="81"/>
        <v/>
      </c>
      <c r="BA47" s="594"/>
      <c r="BB47" s="364" t="str">
        <f ca="1">IFERROR(INDEX(ICE[], MATCH("icemehticma" &amp; TEXT(Crd!$A47, "mmmyy"), ICE[LongCode], 0), MATCH("Text", ICE[#Headers], 0)), "")</f>
        <v/>
      </c>
      <c r="BC47" s="46" t="str">
        <f t="shared" ca="1" si="61"/>
        <v/>
      </c>
      <c r="BD47" s="47" t="str">
        <f t="shared" ca="1" si="82"/>
        <v/>
      </c>
      <c r="BE47" s="46" t="str">
        <f t="shared" ca="1" si="83"/>
        <v/>
      </c>
      <c r="BF47" s="141" t="str">
        <f ca="1">IFERROR(IF(AND(ISNUMBER($BH47), ISNUMBER(Futs!$CC47)), $BH47 - Futs!$CC47, ""), "")</f>
        <v/>
      </c>
      <c r="BG47" s="46" t="str">
        <f ca="1">IFERROR(IF(AND(ISNUMBER($BI47), ISNUMBER(Futs!$CD47)), $BI47 - Futs!$CD47, ""), "")</f>
        <v/>
      </c>
      <c r="BH47" s="141" t="str">
        <f ca="1">IFERROR(IF(AND(ISNUMBER(Futs!$BY47), ISNUMBER($BA47)), Futs!$BY47 + $BA47, ""), "")</f>
        <v/>
      </c>
      <c r="BI47" s="46" t="str">
        <f ca="1">IFERROR(IF(AND(ISNUMBER(Futs!$BZ47), ISNUMBER($BC47)), Futs!$BZ47 + $BC47, ""), "")</f>
        <v/>
      </c>
      <c r="BJ47" s="47" t="str">
        <f t="shared" ca="1" si="84"/>
        <v/>
      </c>
      <c r="BK47" s="111" t="str">
        <f t="shared" ca="1" si="85"/>
        <v/>
      </c>
      <c r="BL47" s="397"/>
      <c r="BM47" s="364" t="str">
        <f ca="1">IFERROR(INDEX(ICE[], MATCH("icewcstitma" &amp; TEXT(Crd!$A47, "mmmyy"), ICE[LongCode], 0), MATCH("Text", ICE[#Headers], 0)), "")</f>
        <v/>
      </c>
      <c r="BN47" s="46" t="str">
        <f t="shared" ca="1" si="62"/>
        <v/>
      </c>
      <c r="BO47" s="47" t="str">
        <f t="shared" ca="1" si="86"/>
        <v/>
      </c>
      <c r="BP47" s="46" t="str">
        <f t="shared" ca="1" si="87"/>
        <v/>
      </c>
      <c r="BQ47" s="141" t="str">
        <f ca="1">IFERROR(IF(AND(ISNUMBER($BS47), ISNUMBER(Futs!$CC47)), $BS47 - Futs!$CC47, ""), "")</f>
        <v/>
      </c>
      <c r="BR47" s="46" t="str">
        <f ca="1">IFERROR(IF(AND(ISNUMBER($BT47), ISNUMBER(Futs!$CD47)), $BT47 - Futs!$CD47, ""), "")</f>
        <v/>
      </c>
      <c r="BS47" s="141" t="str">
        <f ca="1">IFERROR(IF(AND(ISNUMBER(Futs!$BY47), ISNUMBER($BL47)), Futs!$BY47 + $BL47, ""), "")</f>
        <v/>
      </c>
      <c r="BT47" s="46" t="str">
        <f ca="1">IFERROR(IF(AND(ISNUMBER(Futs!$BZ47), ISNUMBER($BN47)), Futs!$BZ47 + $BN47, ""), "")</f>
        <v/>
      </c>
      <c r="BU47" s="47" t="str">
        <f t="shared" ca="1" si="88"/>
        <v/>
      </c>
      <c r="BV47" s="111" t="str">
        <f t="shared" ca="1" si="89"/>
        <v/>
      </c>
      <c r="BX47" s="92"/>
    </row>
    <row r="48" spans="1:76" x14ac:dyDescent="0.25">
      <c r="A48" s="58">
        <f t="shared" ca="1" si="63"/>
        <v>47150</v>
      </c>
      <c r="B48" s="6">
        <f t="shared" ca="1" si="53"/>
        <v>2029</v>
      </c>
      <c r="C48" s="6" t="str">
        <f t="shared" ca="1" si="54"/>
        <v>Q129</v>
      </c>
      <c r="D48" s="28" t="e">
        <f ca="1">INDEX(ICE[], MATCH(D$18 &amp; TEXT(Crd!$A48, "mmmyy"), ICE[LongCode], 0), MATCH("Settle", ICE[#Headers], 0))</f>
        <v>#N/A</v>
      </c>
      <c r="E48" s="28" t="e">
        <f ca="1">INDEX(ICE[], MATCH(E$18 &amp; TEXT(Crd!$A48, "mmmyy"), ICE[LongCode], 0), MATCH("Settle", ICE[#Headers], 0))</f>
        <v>#N/A</v>
      </c>
      <c r="F48" s="28" t="e">
        <f ca="1">INDEX(ICE[], MATCH(F$18 &amp; TEXT(Crd!$A48, "mmmyy"), ICE[LongCode], 0), MATCH("Settle", ICE[#Headers], 0))</f>
        <v>#N/A</v>
      </c>
      <c r="G48" s="28" t="e">
        <f ca="1">INDEX(ICE[], MATCH(G$18 &amp; TEXT(Crd!$A48, "mmmyy"), ICE[LongCode], 0), MATCH("Settle", ICE[#Headers], 0))</f>
        <v>#N/A</v>
      </c>
      <c r="H48" s="28" t="e">
        <f ca="1">INDEX(ICE[], MATCH(H$18 &amp; TEXT(Crd!$A48, "mmmyy"), ICE[LongCode], 0), MATCH("Settle", ICE[#Headers], 0))</f>
        <v>#N/A</v>
      </c>
      <c r="I48" s="397"/>
      <c r="J48" s="364" t="str">
        <f ca="1">IFERROR(INDEX(ICE[], MATCH("dfl" &amp; TEXT(Crd!$A48, "mmmyy"), ICE[LongCode], 0), MATCH("Text", ICE[#Headers], 0)), "")</f>
        <v/>
      </c>
      <c r="K48" s="46" t="str">
        <f t="shared" ca="1" si="55"/>
        <v/>
      </c>
      <c r="L48" s="47" t="str">
        <f t="shared" ref="L48:L66" si="91">IF(AND(ISNUMBER($I47), ISNUMBER($I48)), $I47 - $I48, "")</f>
        <v/>
      </c>
      <c r="M48" s="46" t="str">
        <f t="shared" ca="1" si="65"/>
        <v/>
      </c>
      <c r="N48" s="141" t="str">
        <f ca="1">IFERROR(IF(AND(ISNUMBER(Futs!$CC48), ISNUMBER($I48)), Futs!$CC48 + $I48, ""), "")</f>
        <v/>
      </c>
      <c r="O48" s="46" t="str">
        <f ca="1">IFERROR(IF(AND(ISNUMBER(Futs!$CD48), ISNUMBER($K48)), Futs!$CD48 + $K48, ""), "")</f>
        <v/>
      </c>
      <c r="P48" s="47" t="str">
        <f t="shared" ca="1" si="66"/>
        <v/>
      </c>
      <c r="Q48" s="364" t="str">
        <f ca="1">IFERROR(INDEX(ICE[], MATCH("brdtd" &amp; TEXT(Crd!$A48, "mmmyy"), ICE[LongCode], 0), MATCH("Text", ICE[#Headers], 0)), "")</f>
        <v/>
      </c>
      <c r="R48" s="111" t="str">
        <f t="shared" ca="1" si="67"/>
        <v/>
      </c>
      <c r="S48" s="400"/>
      <c r="T48" s="364" t="str">
        <f ca="1">IFERROR(INDEX(ICE[], MATCH("brdub" &amp; TEXT(Crd!$A48, "mmmyy"), ICE[LongCode], 0), MATCH("Text", ICE[#Headers], 0)), "")</f>
        <v/>
      </c>
      <c r="U48" s="46" t="str">
        <f t="shared" ca="1" si="56"/>
        <v/>
      </c>
      <c r="V48" s="68" t="str">
        <f t="shared" ref="V48:V66" si="92">IF(AND(ISNUMBER($S47), ISNUMBER($S48)), $S47 - $S48, "")</f>
        <v/>
      </c>
      <c r="W48" s="46" t="str">
        <f t="shared" ca="1" si="69"/>
        <v/>
      </c>
      <c r="X48" s="187" t="str">
        <f ca="1">IFERROR(IF(AND(ISNUMBER(Futs!$CC48), ISNUMBER($S48)), Futs!$CC48 - $S48, ""), "")</f>
        <v/>
      </c>
      <c r="Y48" s="46" t="str">
        <f ca="1">IFERROR(IF(AND(ISNUMBER(Futs!$CD48), ISNUMBER($U48)), Futs!$CD48 - $U48, ""), "")</f>
        <v/>
      </c>
      <c r="Z48" s="68" t="str">
        <f t="shared" ca="1" si="70"/>
        <v/>
      </c>
      <c r="AA48" s="364" t="str">
        <f ca="1">IFERROR(INDEX(ICE[], MATCH("brdub" &amp; TEXT(Crd!$A48, "mmmyy"), ICE[LongCode], 0), MATCH("Text", ICE[#Headers], 0)), "")</f>
        <v/>
      </c>
      <c r="AB48" s="46" t="str">
        <f t="shared" ca="1" si="71"/>
        <v/>
      </c>
      <c r="AC48" s="271" t="str">
        <f t="shared" si="90"/>
        <v/>
      </c>
      <c r="AD48" s="46" t="str">
        <f t="shared" ca="1" si="58"/>
        <v/>
      </c>
      <c r="AE48" s="68" t="str">
        <f t="shared" ref="AE48:AE66" si="93">IF(AND(ISNUMBER($AC47), ISNUMBER($AC48)), $AC47 - $AC48, "")</f>
        <v/>
      </c>
      <c r="AF48" s="111" t="str">
        <f t="shared" ca="1" si="73"/>
        <v/>
      </c>
      <c r="AG48" s="397"/>
      <c r="AH48" s="364" t="str">
        <f ca="1">IFERROR(INDEX(ICE[], MATCH("icemidticma" &amp; TEXT(Crd!$A48, "mmmyy"), ICE[LongCode], 0), MATCH("Text", ICE[#Headers], 0)), "")</f>
        <v/>
      </c>
      <c r="AI48" s="46" t="str">
        <f t="shared" ca="1" si="59"/>
        <v/>
      </c>
      <c r="AJ48" s="47" t="str">
        <f t="shared" ref="AJ48:AJ66" si="94">IF(AND(ISNUMBER($AG47), ISNUMBER($AG48)), $AG47 - $AG48, "")</f>
        <v/>
      </c>
      <c r="AK48" s="46" t="str">
        <f t="shared" ca="1" si="75"/>
        <v/>
      </c>
      <c r="AL48" s="141" t="str">
        <f ca="1">IFERROR(IF(AND(ISNUMBER(Futs!$BY48), ISNUMBER($AG48)), Futs!$BY48 + $AG48, ""), "")</f>
        <v/>
      </c>
      <c r="AM48" s="46" t="str">
        <f ca="1">IFERROR(IF(AND(ISNUMBER(Futs!$BZ48), ISNUMBER($AI48)), Futs!$BZ48 + $AI48, ""), "")</f>
        <v/>
      </c>
      <c r="AN48" s="47" t="str">
        <f t="shared" ca="1" si="76"/>
        <v/>
      </c>
      <c r="AO48" s="111" t="str">
        <f t="shared" ca="1" si="77"/>
        <v/>
      </c>
      <c r="AP48" s="397"/>
      <c r="AQ48" s="364" t="str">
        <f ca="1">IFERROR(INDEX(ICE[], MATCH("icemehticma" &amp; TEXT(Crd!$A48, "mmmyy"), ICE[LongCode], 0), MATCH("Text", ICE[#Headers], 0)), "")</f>
        <v/>
      </c>
      <c r="AR48" s="46" t="str">
        <f t="shared" ca="1" si="60"/>
        <v/>
      </c>
      <c r="AS48" s="47" t="str">
        <f t="shared" ref="AS48:AS66" si="95">IF(AND(ISNUMBER($BA47), ISNUMBER($BA48)), $BA47 - $BA48, "")</f>
        <v/>
      </c>
      <c r="AT48" s="46" t="str">
        <f t="shared" ca="1" si="79"/>
        <v/>
      </c>
      <c r="AU48" s="141" t="str">
        <f ca="1">IFERROR(IF(AND(ISNUMBER($BH48), ISNUMBER(Futs!$CC48)), $BH48 - Futs!$CC48, ""), "")</f>
        <v/>
      </c>
      <c r="AV48" s="46" t="str">
        <f ca="1">IFERROR(IF(AND(ISNUMBER($BI48), ISNUMBER(Futs!$CD48)), $BI48 - Futs!$CD48, ""), "")</f>
        <v/>
      </c>
      <c r="AW48" s="141" t="str">
        <f ca="1">IFERROR(IF(AND(ISNUMBER(Futs!$BY48), ISNUMBER($BA48)), Futs!$BY48 + $BA48, ""), "")</f>
        <v/>
      </c>
      <c r="AX48" s="46" t="str">
        <f ca="1">IFERROR(IF(AND(ISNUMBER(Futs!$BZ48), ISNUMBER($BC48)), Futs!$BZ48 + $BC48, ""), "")</f>
        <v/>
      </c>
      <c r="AY48" s="47" t="str">
        <f t="shared" ca="1" si="80"/>
        <v/>
      </c>
      <c r="AZ48" s="46" t="str">
        <f t="shared" ca="1" si="81"/>
        <v/>
      </c>
      <c r="BA48" s="594"/>
      <c r="BB48" s="364" t="str">
        <f ca="1">IFERROR(INDEX(ICE[], MATCH("icemehticma" &amp; TEXT(Crd!$A48, "mmmyy"), ICE[LongCode], 0), MATCH("Text", ICE[#Headers], 0)), "")</f>
        <v/>
      </c>
      <c r="BC48" s="46" t="str">
        <f t="shared" ca="1" si="61"/>
        <v/>
      </c>
      <c r="BD48" s="47" t="str">
        <f t="shared" ref="BD48:BD66" si="96">IF(AND(ISNUMBER($BA47), ISNUMBER($BA48)), $BA47 - $BA48, "")</f>
        <v/>
      </c>
      <c r="BE48" s="46" t="str">
        <f t="shared" ca="1" si="83"/>
        <v/>
      </c>
      <c r="BF48" s="141" t="str">
        <f ca="1">IFERROR(IF(AND(ISNUMBER($BH48), ISNUMBER(Futs!$CC48)), $BH48 - Futs!$CC48, ""), "")</f>
        <v/>
      </c>
      <c r="BG48" s="46" t="str">
        <f ca="1">IFERROR(IF(AND(ISNUMBER($BI48), ISNUMBER(Futs!$CD48)), $BI48 - Futs!$CD48, ""), "")</f>
        <v/>
      </c>
      <c r="BH48" s="141" t="str">
        <f ca="1">IFERROR(IF(AND(ISNUMBER(Futs!$BY48), ISNUMBER($BA48)), Futs!$BY48 + $BA48, ""), "")</f>
        <v/>
      </c>
      <c r="BI48" s="46" t="str">
        <f ca="1">IFERROR(IF(AND(ISNUMBER(Futs!$BZ48), ISNUMBER($BC48)), Futs!$BZ48 + $BC48, ""), "")</f>
        <v/>
      </c>
      <c r="BJ48" s="47" t="str">
        <f t="shared" ca="1" si="84"/>
        <v/>
      </c>
      <c r="BK48" s="111" t="str">
        <f t="shared" ca="1" si="85"/>
        <v/>
      </c>
      <c r="BL48" s="397"/>
      <c r="BM48" s="364" t="str">
        <f ca="1">IFERROR(INDEX(ICE[], MATCH("icewcstitma" &amp; TEXT(Crd!$A48, "mmmyy"), ICE[LongCode], 0), MATCH("Text", ICE[#Headers], 0)), "")</f>
        <v/>
      </c>
      <c r="BN48" s="46" t="str">
        <f t="shared" ca="1" si="62"/>
        <v/>
      </c>
      <c r="BO48" s="47" t="str">
        <f t="shared" ref="BO48:BO66" si="97">IF(AND(ISNUMBER($BL47), ISNUMBER($BL48)), $BL47 - $BL48, "")</f>
        <v/>
      </c>
      <c r="BP48" s="46" t="str">
        <f t="shared" ca="1" si="87"/>
        <v/>
      </c>
      <c r="BQ48" s="141" t="str">
        <f ca="1">IFERROR(IF(AND(ISNUMBER($BS48), ISNUMBER(Futs!$CC48)), $BS48 - Futs!$CC48, ""), "")</f>
        <v/>
      </c>
      <c r="BR48" s="46" t="str">
        <f ca="1">IFERROR(IF(AND(ISNUMBER($BT48), ISNUMBER(Futs!$CD48)), $BT48 - Futs!$CD48, ""), "")</f>
        <v/>
      </c>
      <c r="BS48" s="141" t="str">
        <f ca="1">IFERROR(IF(AND(ISNUMBER(Futs!$BY48), ISNUMBER($BL48)), Futs!$BY48 + $BL48, ""), "")</f>
        <v/>
      </c>
      <c r="BT48" s="46" t="str">
        <f ca="1">IFERROR(IF(AND(ISNUMBER(Futs!$BZ48), ISNUMBER($BN48)), Futs!$BZ48 + $BN48, ""), "")</f>
        <v/>
      </c>
      <c r="BU48" s="47" t="str">
        <f t="shared" ca="1" si="88"/>
        <v/>
      </c>
      <c r="BV48" s="111" t="str">
        <f t="shared" ca="1" si="89"/>
        <v/>
      </c>
      <c r="BX48" s="92"/>
    </row>
    <row r="49" spans="1:86" x14ac:dyDescent="0.25">
      <c r="A49" s="58">
        <f t="shared" ca="1" si="63"/>
        <v>47178</v>
      </c>
      <c r="B49" s="6">
        <f t="shared" ca="1" si="53"/>
        <v>2029</v>
      </c>
      <c r="C49" s="6" t="str">
        <f t="shared" ca="1" si="54"/>
        <v>Q129</v>
      </c>
      <c r="D49" s="28" t="e">
        <f ca="1">INDEX(ICE[], MATCH(D$18 &amp; TEXT(Crd!$A49, "mmmyy"), ICE[LongCode], 0), MATCH("Settle", ICE[#Headers], 0))</f>
        <v>#N/A</v>
      </c>
      <c r="E49" s="28" t="e">
        <f ca="1">INDEX(ICE[], MATCH(E$18 &amp; TEXT(Crd!$A49, "mmmyy"), ICE[LongCode], 0), MATCH("Settle", ICE[#Headers], 0))</f>
        <v>#N/A</v>
      </c>
      <c r="F49" s="28" t="e">
        <f ca="1">INDEX(ICE[], MATCH(F$18 &amp; TEXT(Crd!$A49, "mmmyy"), ICE[LongCode], 0), MATCH("Settle", ICE[#Headers], 0))</f>
        <v>#N/A</v>
      </c>
      <c r="G49" s="28" t="e">
        <f ca="1">INDEX(ICE[], MATCH(G$18 &amp; TEXT(Crd!$A49, "mmmyy"), ICE[LongCode], 0), MATCH("Settle", ICE[#Headers], 0))</f>
        <v>#N/A</v>
      </c>
      <c r="H49" s="28" t="e">
        <f ca="1">INDEX(ICE[], MATCH(H$18 &amp; TEXT(Crd!$A49, "mmmyy"), ICE[LongCode], 0), MATCH("Settle", ICE[#Headers], 0))</f>
        <v>#N/A</v>
      </c>
      <c r="I49" s="397"/>
      <c r="J49" s="364" t="str">
        <f ca="1">IFERROR(INDEX(ICE[], MATCH("dfl" &amp; TEXT(Crd!$A49, "mmmyy"), ICE[LongCode], 0), MATCH("Text", ICE[#Headers], 0)), "")</f>
        <v/>
      </c>
      <c r="K49" s="46" t="str">
        <f t="shared" ca="1" si="55"/>
        <v/>
      </c>
      <c r="L49" s="47" t="str">
        <f t="shared" si="91"/>
        <v/>
      </c>
      <c r="M49" s="46" t="str">
        <f t="shared" ca="1" si="65"/>
        <v/>
      </c>
      <c r="N49" s="141" t="str">
        <f ca="1">IFERROR(IF(AND(ISNUMBER(Futs!$CC49), ISNUMBER($I49)), Futs!$CC49 + $I49, ""), "")</f>
        <v/>
      </c>
      <c r="O49" s="46" t="str">
        <f ca="1">IFERROR(IF(AND(ISNUMBER(Futs!$CD49), ISNUMBER($K49)), Futs!$CD49 + $K49, ""), "")</f>
        <v/>
      </c>
      <c r="P49" s="47" t="str">
        <f t="shared" ca="1" si="66"/>
        <v/>
      </c>
      <c r="Q49" s="364" t="str">
        <f ca="1">IFERROR(INDEX(ICE[], MATCH("brdtd" &amp; TEXT(Crd!$A49, "mmmyy"), ICE[LongCode], 0), MATCH("Text", ICE[#Headers], 0)), "")</f>
        <v/>
      </c>
      <c r="R49" s="111" t="str">
        <f t="shared" ca="1" si="67"/>
        <v/>
      </c>
      <c r="S49" s="400"/>
      <c r="T49" s="364" t="str">
        <f ca="1">IFERROR(INDEX(ICE[], MATCH("brdub" &amp; TEXT(Crd!$A49, "mmmyy"), ICE[LongCode], 0), MATCH("Text", ICE[#Headers], 0)), "")</f>
        <v/>
      </c>
      <c r="U49" s="46" t="str">
        <f t="shared" ca="1" si="56"/>
        <v/>
      </c>
      <c r="V49" s="68" t="str">
        <f t="shared" si="92"/>
        <v/>
      </c>
      <c r="W49" s="46" t="str">
        <f t="shared" ca="1" si="69"/>
        <v/>
      </c>
      <c r="X49" s="187" t="str">
        <f ca="1">IFERROR(IF(AND(ISNUMBER(Futs!$CC49), ISNUMBER($S49)), Futs!$CC49 - $S49, ""), "")</f>
        <v/>
      </c>
      <c r="Y49" s="46" t="str">
        <f ca="1">IFERROR(IF(AND(ISNUMBER(Futs!$CD49), ISNUMBER($U49)), Futs!$CD49 - $U49, ""), "")</f>
        <v/>
      </c>
      <c r="Z49" s="68" t="str">
        <f t="shared" ca="1" si="70"/>
        <v/>
      </c>
      <c r="AA49" s="364" t="str">
        <f ca="1">IFERROR(INDEX(ICE[], MATCH("brdub" &amp; TEXT(Crd!$A49, "mmmyy"), ICE[LongCode], 0), MATCH("Text", ICE[#Headers], 0)), "")</f>
        <v/>
      </c>
      <c r="AB49" s="46" t="str">
        <f t="shared" ca="1" si="71"/>
        <v/>
      </c>
      <c r="AC49" s="271" t="str">
        <f t="shared" si="90"/>
        <v/>
      </c>
      <c r="AD49" s="46" t="str">
        <f t="shared" ca="1" si="58"/>
        <v/>
      </c>
      <c r="AE49" s="68" t="str">
        <f t="shared" si="93"/>
        <v/>
      </c>
      <c r="AF49" s="111" t="str">
        <f t="shared" ca="1" si="73"/>
        <v/>
      </c>
      <c r="AG49" s="397"/>
      <c r="AH49" s="364" t="str">
        <f ca="1">IFERROR(INDEX(ICE[], MATCH("icemidticma" &amp; TEXT(Crd!$A49, "mmmyy"), ICE[LongCode], 0), MATCH("Text", ICE[#Headers], 0)), "")</f>
        <v/>
      </c>
      <c r="AI49" s="46" t="str">
        <f t="shared" ca="1" si="59"/>
        <v/>
      </c>
      <c r="AJ49" s="47" t="str">
        <f t="shared" si="94"/>
        <v/>
      </c>
      <c r="AK49" s="46" t="str">
        <f t="shared" ca="1" si="75"/>
        <v/>
      </c>
      <c r="AL49" s="141" t="str">
        <f ca="1">IFERROR(IF(AND(ISNUMBER(Futs!$BY49), ISNUMBER($AG49)), Futs!$BY49 + $AG49, ""), "")</f>
        <v/>
      </c>
      <c r="AM49" s="46" t="str">
        <f ca="1">IFERROR(IF(AND(ISNUMBER(Futs!$BZ49), ISNUMBER($AI49)), Futs!$BZ49 + $AI49, ""), "")</f>
        <v/>
      </c>
      <c r="AN49" s="47" t="str">
        <f t="shared" ca="1" si="76"/>
        <v/>
      </c>
      <c r="AO49" s="111" t="str">
        <f t="shared" ca="1" si="77"/>
        <v/>
      </c>
      <c r="AP49" s="397"/>
      <c r="AQ49" s="364" t="str">
        <f ca="1">IFERROR(INDEX(ICE[], MATCH("icemehticma" &amp; TEXT(Crd!$A49, "mmmyy"), ICE[LongCode], 0), MATCH("Text", ICE[#Headers], 0)), "")</f>
        <v/>
      </c>
      <c r="AR49" s="46" t="str">
        <f t="shared" ca="1" si="60"/>
        <v/>
      </c>
      <c r="AS49" s="47" t="str">
        <f t="shared" si="95"/>
        <v/>
      </c>
      <c r="AT49" s="46" t="str">
        <f t="shared" ca="1" si="79"/>
        <v/>
      </c>
      <c r="AU49" s="141" t="str">
        <f ca="1">IFERROR(IF(AND(ISNUMBER($BH49), ISNUMBER(Futs!$CC49)), $BH49 - Futs!$CC49, ""), "")</f>
        <v/>
      </c>
      <c r="AV49" s="46" t="str">
        <f ca="1">IFERROR(IF(AND(ISNUMBER($BI49), ISNUMBER(Futs!$CD49)), $BI49 - Futs!$CD49, ""), "")</f>
        <v/>
      </c>
      <c r="AW49" s="141" t="str">
        <f ca="1">IFERROR(IF(AND(ISNUMBER(Futs!$BY49), ISNUMBER($BA49)), Futs!$BY49 + $BA49, ""), "")</f>
        <v/>
      </c>
      <c r="AX49" s="46" t="str">
        <f ca="1">IFERROR(IF(AND(ISNUMBER(Futs!$BZ49), ISNUMBER($BC49)), Futs!$BZ49 + $BC49, ""), "")</f>
        <v/>
      </c>
      <c r="AY49" s="47" t="str">
        <f t="shared" ca="1" si="80"/>
        <v/>
      </c>
      <c r="AZ49" s="46" t="str">
        <f t="shared" ca="1" si="81"/>
        <v/>
      </c>
      <c r="BA49" s="594"/>
      <c r="BB49" s="364" t="str">
        <f ca="1">IFERROR(INDEX(ICE[], MATCH("icemehticma" &amp; TEXT(Crd!$A49, "mmmyy"), ICE[LongCode], 0), MATCH("Text", ICE[#Headers], 0)), "")</f>
        <v/>
      </c>
      <c r="BC49" s="46" t="str">
        <f t="shared" ca="1" si="61"/>
        <v/>
      </c>
      <c r="BD49" s="47" t="str">
        <f t="shared" si="96"/>
        <v/>
      </c>
      <c r="BE49" s="46" t="str">
        <f t="shared" ca="1" si="83"/>
        <v/>
      </c>
      <c r="BF49" s="141" t="str">
        <f ca="1">IFERROR(IF(AND(ISNUMBER($BH49), ISNUMBER(Futs!$CC49)), $BH49 - Futs!$CC49, ""), "")</f>
        <v/>
      </c>
      <c r="BG49" s="46" t="str">
        <f ca="1">IFERROR(IF(AND(ISNUMBER($BI49), ISNUMBER(Futs!$CD49)), $BI49 - Futs!$CD49, ""), "")</f>
        <v/>
      </c>
      <c r="BH49" s="141" t="str">
        <f ca="1">IFERROR(IF(AND(ISNUMBER(Futs!$BY49), ISNUMBER($BA49)), Futs!$BY49 + $BA49, ""), "")</f>
        <v/>
      </c>
      <c r="BI49" s="46" t="str">
        <f ca="1">IFERROR(IF(AND(ISNUMBER(Futs!$BZ49), ISNUMBER($BC49)), Futs!$BZ49 + $BC49, ""), "")</f>
        <v/>
      </c>
      <c r="BJ49" s="47" t="str">
        <f t="shared" ca="1" si="84"/>
        <v/>
      </c>
      <c r="BK49" s="111" t="str">
        <f t="shared" ca="1" si="85"/>
        <v/>
      </c>
      <c r="BL49" s="397"/>
      <c r="BM49" s="364" t="str">
        <f ca="1">IFERROR(INDEX(ICE[], MATCH("icewcstitma" &amp; TEXT(Crd!$A49, "mmmyy"), ICE[LongCode], 0), MATCH("Text", ICE[#Headers], 0)), "")</f>
        <v/>
      </c>
      <c r="BN49" s="46" t="str">
        <f t="shared" ca="1" si="62"/>
        <v/>
      </c>
      <c r="BO49" s="47" t="str">
        <f t="shared" si="97"/>
        <v/>
      </c>
      <c r="BP49" s="46" t="str">
        <f t="shared" ca="1" si="87"/>
        <v/>
      </c>
      <c r="BQ49" s="141" t="str">
        <f ca="1">IFERROR(IF(AND(ISNUMBER($BS49), ISNUMBER(Futs!$CC49)), $BS49 - Futs!$CC49, ""), "")</f>
        <v/>
      </c>
      <c r="BR49" s="46" t="str">
        <f ca="1">IFERROR(IF(AND(ISNUMBER($BT49), ISNUMBER(Futs!$CD49)), $BT49 - Futs!$CD49, ""), "")</f>
        <v/>
      </c>
      <c r="BS49" s="141" t="str">
        <f ca="1">IFERROR(IF(AND(ISNUMBER(Futs!$BY49), ISNUMBER($BL49)), Futs!$BY49 + $BL49, ""), "")</f>
        <v/>
      </c>
      <c r="BT49" s="46" t="str">
        <f ca="1">IFERROR(IF(AND(ISNUMBER(Futs!$BZ49), ISNUMBER($BN49)), Futs!$BZ49 + $BN49, ""), "")</f>
        <v/>
      </c>
      <c r="BU49" s="47" t="str">
        <f t="shared" ca="1" si="88"/>
        <v/>
      </c>
      <c r="BV49" s="111" t="str">
        <f t="shared" ca="1" si="89"/>
        <v/>
      </c>
      <c r="BX49" s="92"/>
    </row>
    <row r="50" spans="1:86" x14ac:dyDescent="0.25">
      <c r="A50" s="58">
        <f t="shared" ca="1" si="63"/>
        <v>47209</v>
      </c>
      <c r="B50" s="6">
        <f t="shared" ca="1" si="53"/>
        <v>2029</v>
      </c>
      <c r="C50" s="6" t="str">
        <f t="shared" ca="1" si="54"/>
        <v>Q229</v>
      </c>
      <c r="D50" s="28" t="e">
        <f ca="1">INDEX(ICE[], MATCH(D$18 &amp; TEXT(Crd!$A50, "mmmyy"), ICE[LongCode], 0), MATCH("Settle", ICE[#Headers], 0))</f>
        <v>#N/A</v>
      </c>
      <c r="E50" s="28" t="e">
        <f ca="1">INDEX(ICE[], MATCH(E$18 &amp; TEXT(Crd!$A50, "mmmyy"), ICE[LongCode], 0), MATCH("Settle", ICE[#Headers], 0))</f>
        <v>#N/A</v>
      </c>
      <c r="F50" s="28" t="e">
        <f ca="1">INDEX(ICE[], MATCH(F$18 &amp; TEXT(Crd!$A50, "mmmyy"), ICE[LongCode], 0), MATCH("Settle", ICE[#Headers], 0))</f>
        <v>#N/A</v>
      </c>
      <c r="G50" s="28" t="e">
        <f ca="1">INDEX(ICE[], MATCH(G$18 &amp; TEXT(Crd!$A50, "mmmyy"), ICE[LongCode], 0), MATCH("Settle", ICE[#Headers], 0))</f>
        <v>#N/A</v>
      </c>
      <c r="H50" s="28" t="e">
        <f ca="1">INDEX(ICE[], MATCH(H$18 &amp; TEXT(Crd!$A50, "mmmyy"), ICE[LongCode], 0), MATCH("Settle", ICE[#Headers], 0))</f>
        <v>#N/A</v>
      </c>
      <c r="I50" s="397"/>
      <c r="J50" s="364" t="str">
        <f ca="1">IFERROR(INDEX(ICE[], MATCH("dfl" &amp; TEXT(Crd!$A50, "mmmyy"), ICE[LongCode], 0), MATCH("Text", ICE[#Headers], 0)), "")</f>
        <v/>
      </c>
      <c r="K50" s="46" t="str">
        <f t="shared" ca="1" si="55"/>
        <v/>
      </c>
      <c r="L50" s="47" t="str">
        <f t="shared" si="91"/>
        <v/>
      </c>
      <c r="M50" s="46" t="str">
        <f t="shared" ca="1" si="65"/>
        <v/>
      </c>
      <c r="N50" s="141" t="str">
        <f ca="1">IFERROR(IF(AND(ISNUMBER(Futs!$CC50), ISNUMBER($I50)), Futs!$CC50 + $I50, ""), "")</f>
        <v/>
      </c>
      <c r="O50" s="46" t="str">
        <f ca="1">IFERROR(IF(AND(ISNUMBER(Futs!$CD50), ISNUMBER($K50)), Futs!$CD50 + $K50, ""), "")</f>
        <v/>
      </c>
      <c r="P50" s="47" t="str">
        <f t="shared" ca="1" si="66"/>
        <v/>
      </c>
      <c r="Q50" s="364" t="str">
        <f ca="1">IFERROR(INDEX(ICE[], MATCH("brdtd" &amp; TEXT(Crd!$A50, "mmmyy"), ICE[LongCode], 0), MATCH("Text", ICE[#Headers], 0)), "")</f>
        <v/>
      </c>
      <c r="R50" s="111" t="str">
        <f t="shared" ca="1" si="67"/>
        <v/>
      </c>
      <c r="S50" s="400"/>
      <c r="T50" s="364" t="str">
        <f ca="1">IFERROR(INDEX(ICE[], MATCH("brdub" &amp; TEXT(Crd!$A50, "mmmyy"), ICE[LongCode], 0), MATCH("Text", ICE[#Headers], 0)), "")</f>
        <v/>
      </c>
      <c r="U50" s="46" t="str">
        <f t="shared" ca="1" si="56"/>
        <v/>
      </c>
      <c r="V50" s="68" t="str">
        <f t="shared" si="92"/>
        <v/>
      </c>
      <c r="W50" s="46" t="str">
        <f t="shared" ca="1" si="69"/>
        <v/>
      </c>
      <c r="X50" s="187" t="str">
        <f ca="1">IFERROR(IF(AND(ISNUMBER(Futs!$CC50), ISNUMBER($S50)), Futs!$CC50 - $S50, ""), "")</f>
        <v/>
      </c>
      <c r="Y50" s="46" t="str">
        <f ca="1">IFERROR(IF(AND(ISNUMBER(Futs!$CD50), ISNUMBER($U50)), Futs!$CD50 - $U50, ""), "")</f>
        <v/>
      </c>
      <c r="Z50" s="68" t="str">
        <f t="shared" ca="1" si="70"/>
        <v/>
      </c>
      <c r="AA50" s="364" t="str">
        <f ca="1">IFERROR(INDEX(ICE[], MATCH("brdub" &amp; TEXT(Crd!$A50, "mmmyy"), ICE[LongCode], 0), MATCH("Text", ICE[#Headers], 0)), "")</f>
        <v/>
      </c>
      <c r="AB50" s="46" t="str">
        <f t="shared" ca="1" si="71"/>
        <v/>
      </c>
      <c r="AC50" s="271" t="str">
        <f t="shared" si="90"/>
        <v/>
      </c>
      <c r="AD50" s="46" t="str">
        <f t="shared" ca="1" si="58"/>
        <v/>
      </c>
      <c r="AE50" s="68" t="str">
        <f t="shared" si="93"/>
        <v/>
      </c>
      <c r="AF50" s="111" t="str">
        <f t="shared" ca="1" si="73"/>
        <v/>
      </c>
      <c r="AG50" s="397"/>
      <c r="AH50" s="364" t="str">
        <f ca="1">IFERROR(INDEX(ICE[], MATCH("icemidticma" &amp; TEXT(Crd!$A50, "mmmyy"), ICE[LongCode], 0), MATCH("Text", ICE[#Headers], 0)), "")</f>
        <v/>
      </c>
      <c r="AI50" s="46" t="str">
        <f t="shared" ca="1" si="59"/>
        <v/>
      </c>
      <c r="AJ50" s="47" t="str">
        <f t="shared" si="94"/>
        <v/>
      </c>
      <c r="AK50" s="46" t="str">
        <f t="shared" ca="1" si="75"/>
        <v/>
      </c>
      <c r="AL50" s="141" t="str">
        <f ca="1">IFERROR(IF(AND(ISNUMBER(Futs!$BY50), ISNUMBER($AG50)), Futs!$BY50 + $AG50, ""), "")</f>
        <v/>
      </c>
      <c r="AM50" s="46" t="str">
        <f ca="1">IFERROR(IF(AND(ISNUMBER(Futs!$BZ50), ISNUMBER($AI50)), Futs!$BZ50 + $AI50, ""), "")</f>
        <v/>
      </c>
      <c r="AN50" s="47" t="str">
        <f t="shared" ca="1" si="76"/>
        <v/>
      </c>
      <c r="AO50" s="111" t="str">
        <f t="shared" ca="1" si="77"/>
        <v/>
      </c>
      <c r="AP50" s="397"/>
      <c r="AQ50" s="364" t="str">
        <f ca="1">IFERROR(INDEX(ICE[], MATCH("icemehticma" &amp; TEXT(Crd!$A50, "mmmyy"), ICE[LongCode], 0), MATCH("Text", ICE[#Headers], 0)), "")</f>
        <v/>
      </c>
      <c r="AR50" s="46" t="str">
        <f t="shared" ca="1" si="60"/>
        <v/>
      </c>
      <c r="AS50" s="47" t="str">
        <f t="shared" si="95"/>
        <v/>
      </c>
      <c r="AT50" s="46" t="str">
        <f t="shared" ca="1" si="79"/>
        <v/>
      </c>
      <c r="AU50" s="141" t="str">
        <f ca="1">IFERROR(IF(AND(ISNUMBER($BH50), ISNUMBER(Futs!$CC50)), $BH50 - Futs!$CC50, ""), "")</f>
        <v/>
      </c>
      <c r="AV50" s="46" t="str">
        <f ca="1">IFERROR(IF(AND(ISNUMBER($BI50), ISNUMBER(Futs!$CD50)), $BI50 - Futs!$CD50, ""), "")</f>
        <v/>
      </c>
      <c r="AW50" s="141" t="str">
        <f ca="1">IFERROR(IF(AND(ISNUMBER(Futs!$BY50), ISNUMBER($BA50)), Futs!$BY50 + $BA50, ""), "")</f>
        <v/>
      </c>
      <c r="AX50" s="46" t="str">
        <f ca="1">IFERROR(IF(AND(ISNUMBER(Futs!$BZ50), ISNUMBER($BC50)), Futs!$BZ50 + $BC50, ""), "")</f>
        <v/>
      </c>
      <c r="AY50" s="47" t="str">
        <f t="shared" ca="1" si="80"/>
        <v/>
      </c>
      <c r="AZ50" s="46" t="str">
        <f t="shared" ca="1" si="81"/>
        <v/>
      </c>
      <c r="BA50" s="594"/>
      <c r="BB50" s="364" t="str">
        <f ca="1">IFERROR(INDEX(ICE[], MATCH("icemehticma" &amp; TEXT(Crd!$A50, "mmmyy"), ICE[LongCode], 0), MATCH("Text", ICE[#Headers], 0)), "")</f>
        <v/>
      </c>
      <c r="BC50" s="46" t="str">
        <f t="shared" ca="1" si="61"/>
        <v/>
      </c>
      <c r="BD50" s="47" t="str">
        <f t="shared" si="96"/>
        <v/>
      </c>
      <c r="BE50" s="46" t="str">
        <f t="shared" ca="1" si="83"/>
        <v/>
      </c>
      <c r="BF50" s="141" t="str">
        <f ca="1">IFERROR(IF(AND(ISNUMBER($BH50), ISNUMBER(Futs!$CC50)), $BH50 - Futs!$CC50, ""), "")</f>
        <v/>
      </c>
      <c r="BG50" s="46" t="str">
        <f ca="1">IFERROR(IF(AND(ISNUMBER($BI50), ISNUMBER(Futs!$CD50)), $BI50 - Futs!$CD50, ""), "")</f>
        <v/>
      </c>
      <c r="BH50" s="141" t="str">
        <f ca="1">IFERROR(IF(AND(ISNUMBER(Futs!$BY50), ISNUMBER($BA50)), Futs!$BY50 + $BA50, ""), "")</f>
        <v/>
      </c>
      <c r="BI50" s="46" t="str">
        <f ca="1">IFERROR(IF(AND(ISNUMBER(Futs!$BZ50), ISNUMBER($BC50)), Futs!$BZ50 + $BC50, ""), "")</f>
        <v/>
      </c>
      <c r="BJ50" s="47" t="str">
        <f t="shared" ca="1" si="84"/>
        <v/>
      </c>
      <c r="BK50" s="111" t="str">
        <f t="shared" ca="1" si="85"/>
        <v/>
      </c>
      <c r="BL50" s="397"/>
      <c r="BM50" s="364" t="str">
        <f ca="1">IFERROR(INDEX(ICE[], MATCH("icewcstitma" &amp; TEXT(Crd!$A50, "mmmyy"), ICE[LongCode], 0), MATCH("Text", ICE[#Headers], 0)), "")</f>
        <v/>
      </c>
      <c r="BN50" s="46" t="str">
        <f t="shared" ca="1" si="62"/>
        <v/>
      </c>
      <c r="BO50" s="47" t="str">
        <f t="shared" si="97"/>
        <v/>
      </c>
      <c r="BP50" s="46" t="str">
        <f t="shared" ca="1" si="87"/>
        <v/>
      </c>
      <c r="BQ50" s="141" t="str">
        <f ca="1">IFERROR(IF(AND(ISNUMBER($BS50), ISNUMBER(Futs!$CC50)), $BS50 - Futs!$CC50, ""), "")</f>
        <v/>
      </c>
      <c r="BR50" s="46" t="str">
        <f ca="1">IFERROR(IF(AND(ISNUMBER($BT50), ISNUMBER(Futs!$CD50)), $BT50 - Futs!$CD50, ""), "")</f>
        <v/>
      </c>
      <c r="BS50" s="141" t="str">
        <f ca="1">IFERROR(IF(AND(ISNUMBER(Futs!$BY50), ISNUMBER($BL50)), Futs!$BY50 + $BL50, ""), "")</f>
        <v/>
      </c>
      <c r="BT50" s="46" t="str">
        <f ca="1">IFERROR(IF(AND(ISNUMBER(Futs!$BZ50), ISNUMBER($BN50)), Futs!$BZ50 + $BN50, ""), "")</f>
        <v/>
      </c>
      <c r="BU50" s="47" t="str">
        <f t="shared" ca="1" si="88"/>
        <v/>
      </c>
      <c r="BV50" s="111" t="str">
        <f t="shared" ca="1" si="89"/>
        <v/>
      </c>
      <c r="BX50" s="92"/>
      <c r="CH50" s="94"/>
    </row>
    <row r="51" spans="1:86" x14ac:dyDescent="0.25">
      <c r="A51" s="58">
        <f t="shared" ca="1" si="63"/>
        <v>47239</v>
      </c>
      <c r="B51" s="6">
        <f t="shared" ca="1" si="53"/>
        <v>2029</v>
      </c>
      <c r="C51" s="6" t="str">
        <f t="shared" ca="1" si="54"/>
        <v>Q229</v>
      </c>
      <c r="D51" s="28" t="e">
        <f ca="1">INDEX(ICE[], MATCH(D$18 &amp; TEXT(Crd!$A51, "mmmyy"), ICE[LongCode], 0), MATCH("Settle", ICE[#Headers], 0))</f>
        <v>#N/A</v>
      </c>
      <c r="E51" s="28" t="e">
        <f ca="1">INDEX(ICE[], MATCH(E$18 &amp; TEXT(Crd!$A51, "mmmyy"), ICE[LongCode], 0), MATCH("Settle", ICE[#Headers], 0))</f>
        <v>#N/A</v>
      </c>
      <c r="F51" s="28" t="e">
        <f ca="1">INDEX(ICE[], MATCH(F$18 &amp; TEXT(Crd!$A51, "mmmyy"), ICE[LongCode], 0), MATCH("Settle", ICE[#Headers], 0))</f>
        <v>#N/A</v>
      </c>
      <c r="G51" s="28" t="e">
        <f ca="1">INDEX(ICE[], MATCH(G$18 &amp; TEXT(Crd!$A51, "mmmyy"), ICE[LongCode], 0), MATCH("Settle", ICE[#Headers], 0))</f>
        <v>#N/A</v>
      </c>
      <c r="H51" s="28" t="e">
        <f ca="1">INDEX(ICE[], MATCH(H$18 &amp; TEXT(Crd!$A51, "mmmyy"), ICE[LongCode], 0), MATCH("Settle", ICE[#Headers], 0))</f>
        <v>#N/A</v>
      </c>
      <c r="I51" s="397"/>
      <c r="J51" s="364" t="str">
        <f ca="1">IFERROR(INDEX(ICE[], MATCH("dfl" &amp; TEXT(Crd!$A51, "mmmyy"), ICE[LongCode], 0), MATCH("Text", ICE[#Headers], 0)), "")</f>
        <v/>
      </c>
      <c r="K51" s="46" t="str">
        <f t="shared" ca="1" si="55"/>
        <v/>
      </c>
      <c r="L51" s="47" t="str">
        <f t="shared" si="91"/>
        <v/>
      </c>
      <c r="M51" s="46" t="str">
        <f t="shared" ca="1" si="65"/>
        <v/>
      </c>
      <c r="N51" s="141" t="str">
        <f ca="1">IFERROR(IF(AND(ISNUMBER(Futs!$CC51), ISNUMBER($I51)), Futs!$CC51 + $I51, ""), "")</f>
        <v/>
      </c>
      <c r="O51" s="46" t="str">
        <f ca="1">IFERROR(IF(AND(ISNUMBER(Futs!$CD51), ISNUMBER($K51)), Futs!$CD51 + $K51, ""), "")</f>
        <v/>
      </c>
      <c r="P51" s="47" t="str">
        <f t="shared" ca="1" si="66"/>
        <v/>
      </c>
      <c r="Q51" s="364" t="str">
        <f ca="1">IFERROR(INDEX(ICE[], MATCH("brdtd" &amp; TEXT(Crd!$A51, "mmmyy"), ICE[LongCode], 0), MATCH("Text", ICE[#Headers], 0)), "")</f>
        <v/>
      </c>
      <c r="R51" s="111" t="str">
        <f t="shared" ca="1" si="67"/>
        <v/>
      </c>
      <c r="S51" s="400"/>
      <c r="T51" s="364" t="str">
        <f ca="1">IFERROR(INDEX(ICE[], MATCH("brdub" &amp; TEXT(Crd!$A51, "mmmyy"), ICE[LongCode], 0), MATCH("Text", ICE[#Headers], 0)), "")</f>
        <v/>
      </c>
      <c r="U51" s="46" t="str">
        <f t="shared" ca="1" si="56"/>
        <v/>
      </c>
      <c r="V51" s="68" t="str">
        <f t="shared" si="92"/>
        <v/>
      </c>
      <c r="W51" s="46" t="str">
        <f t="shared" ca="1" si="69"/>
        <v/>
      </c>
      <c r="X51" s="187" t="str">
        <f ca="1">IFERROR(IF(AND(ISNUMBER(Futs!$CC51), ISNUMBER($S51)), Futs!$CC51 - $S51, ""), "")</f>
        <v/>
      </c>
      <c r="Y51" s="46" t="str">
        <f ca="1">IFERROR(IF(AND(ISNUMBER(Futs!$CD51), ISNUMBER($U51)), Futs!$CD51 - $U51, ""), "")</f>
        <v/>
      </c>
      <c r="Z51" s="68" t="str">
        <f t="shared" ca="1" si="70"/>
        <v/>
      </c>
      <c r="AA51" s="364" t="str">
        <f ca="1">IFERROR(INDEX(ICE[], MATCH("brdub" &amp; TEXT(Crd!$A51, "mmmyy"), ICE[LongCode], 0), MATCH("Text", ICE[#Headers], 0)), "")</f>
        <v/>
      </c>
      <c r="AB51" s="46" t="str">
        <f t="shared" ca="1" si="71"/>
        <v/>
      </c>
      <c r="AC51" s="271" t="str">
        <f t="shared" si="90"/>
        <v/>
      </c>
      <c r="AD51" s="46" t="str">
        <f t="shared" ca="1" si="58"/>
        <v/>
      </c>
      <c r="AE51" s="68" t="str">
        <f t="shared" si="93"/>
        <v/>
      </c>
      <c r="AF51" s="111" t="str">
        <f t="shared" ca="1" si="73"/>
        <v/>
      </c>
      <c r="AG51" s="397"/>
      <c r="AH51" s="364" t="str">
        <f ca="1">IFERROR(INDEX(ICE[], MATCH("icemidticma" &amp; TEXT(Crd!$A51, "mmmyy"), ICE[LongCode], 0), MATCH("Text", ICE[#Headers], 0)), "")</f>
        <v/>
      </c>
      <c r="AI51" s="46" t="str">
        <f t="shared" ca="1" si="59"/>
        <v/>
      </c>
      <c r="AJ51" s="47" t="str">
        <f t="shared" si="94"/>
        <v/>
      </c>
      <c r="AK51" s="46" t="str">
        <f t="shared" ca="1" si="75"/>
        <v/>
      </c>
      <c r="AL51" s="141" t="str">
        <f ca="1">IFERROR(IF(AND(ISNUMBER(Futs!$BY51), ISNUMBER($AG51)), Futs!$BY51 + $AG51, ""), "")</f>
        <v/>
      </c>
      <c r="AM51" s="46" t="str">
        <f ca="1">IFERROR(IF(AND(ISNUMBER(Futs!$BZ51), ISNUMBER($AI51)), Futs!$BZ51 + $AI51, ""), "")</f>
        <v/>
      </c>
      <c r="AN51" s="47" t="str">
        <f t="shared" ca="1" si="76"/>
        <v/>
      </c>
      <c r="AO51" s="111" t="str">
        <f t="shared" ca="1" si="77"/>
        <v/>
      </c>
      <c r="AP51" s="397"/>
      <c r="AQ51" s="364" t="str">
        <f ca="1">IFERROR(INDEX(ICE[], MATCH("icemehticma" &amp; TEXT(Crd!$A51, "mmmyy"), ICE[LongCode], 0), MATCH("Text", ICE[#Headers], 0)), "")</f>
        <v/>
      </c>
      <c r="AR51" s="46" t="str">
        <f t="shared" ca="1" si="60"/>
        <v/>
      </c>
      <c r="AS51" s="47" t="str">
        <f t="shared" si="95"/>
        <v/>
      </c>
      <c r="AT51" s="46" t="str">
        <f t="shared" ca="1" si="79"/>
        <v/>
      </c>
      <c r="AU51" s="141" t="str">
        <f ca="1">IFERROR(IF(AND(ISNUMBER($BH51), ISNUMBER(Futs!$CC51)), $BH51 - Futs!$CC51, ""), "")</f>
        <v/>
      </c>
      <c r="AV51" s="46" t="str">
        <f ca="1">IFERROR(IF(AND(ISNUMBER($BI51), ISNUMBER(Futs!$CD51)), $BI51 - Futs!$CD51, ""), "")</f>
        <v/>
      </c>
      <c r="AW51" s="141" t="str">
        <f ca="1">IFERROR(IF(AND(ISNUMBER(Futs!$BY51), ISNUMBER($BA51)), Futs!$BY51 + $BA51, ""), "")</f>
        <v/>
      </c>
      <c r="AX51" s="46" t="str">
        <f ca="1">IFERROR(IF(AND(ISNUMBER(Futs!$BZ51), ISNUMBER($BC51)), Futs!$BZ51 + $BC51, ""), "")</f>
        <v/>
      </c>
      <c r="AY51" s="47" t="str">
        <f t="shared" ca="1" si="80"/>
        <v/>
      </c>
      <c r="AZ51" s="46" t="str">
        <f t="shared" ca="1" si="81"/>
        <v/>
      </c>
      <c r="BA51" s="594"/>
      <c r="BB51" s="364" t="str">
        <f ca="1">IFERROR(INDEX(ICE[], MATCH("icemehticma" &amp; TEXT(Crd!$A51, "mmmyy"), ICE[LongCode], 0), MATCH("Text", ICE[#Headers], 0)), "")</f>
        <v/>
      </c>
      <c r="BC51" s="46" t="str">
        <f t="shared" ca="1" si="61"/>
        <v/>
      </c>
      <c r="BD51" s="47" t="str">
        <f t="shared" si="96"/>
        <v/>
      </c>
      <c r="BE51" s="46" t="str">
        <f t="shared" ca="1" si="83"/>
        <v/>
      </c>
      <c r="BF51" s="141" t="str">
        <f ca="1">IFERROR(IF(AND(ISNUMBER($BH51), ISNUMBER(Futs!$CC51)), $BH51 - Futs!$CC51, ""), "")</f>
        <v/>
      </c>
      <c r="BG51" s="46" t="str">
        <f ca="1">IFERROR(IF(AND(ISNUMBER($BI51), ISNUMBER(Futs!$CD51)), $BI51 - Futs!$CD51, ""), "")</f>
        <v/>
      </c>
      <c r="BH51" s="141" t="str">
        <f ca="1">IFERROR(IF(AND(ISNUMBER(Futs!$BY51), ISNUMBER($BA51)), Futs!$BY51 + $BA51, ""), "")</f>
        <v/>
      </c>
      <c r="BI51" s="46" t="str">
        <f ca="1">IFERROR(IF(AND(ISNUMBER(Futs!$BZ51), ISNUMBER($BC51)), Futs!$BZ51 + $BC51, ""), "")</f>
        <v/>
      </c>
      <c r="BJ51" s="47" t="str">
        <f t="shared" ca="1" si="84"/>
        <v/>
      </c>
      <c r="BK51" s="111" t="str">
        <f t="shared" ca="1" si="85"/>
        <v/>
      </c>
      <c r="BL51" s="397"/>
      <c r="BM51" s="364" t="str">
        <f ca="1">IFERROR(INDEX(ICE[], MATCH("icewcstitma" &amp; TEXT(Crd!$A51, "mmmyy"), ICE[LongCode], 0), MATCH("Text", ICE[#Headers], 0)), "")</f>
        <v/>
      </c>
      <c r="BN51" s="46" t="str">
        <f t="shared" ca="1" si="62"/>
        <v/>
      </c>
      <c r="BO51" s="47" t="str">
        <f t="shared" si="97"/>
        <v/>
      </c>
      <c r="BP51" s="46" t="str">
        <f t="shared" ca="1" si="87"/>
        <v/>
      </c>
      <c r="BQ51" s="141" t="str">
        <f ca="1">IFERROR(IF(AND(ISNUMBER($BS51), ISNUMBER(Futs!$CC51)), $BS51 - Futs!$CC51, ""), "")</f>
        <v/>
      </c>
      <c r="BR51" s="46" t="str">
        <f ca="1">IFERROR(IF(AND(ISNUMBER($BT51), ISNUMBER(Futs!$CD51)), $BT51 - Futs!$CD51, ""), "")</f>
        <v/>
      </c>
      <c r="BS51" s="141" t="str">
        <f ca="1">IFERROR(IF(AND(ISNUMBER(Futs!$BY51), ISNUMBER($BL51)), Futs!$BY51 + $BL51, ""), "")</f>
        <v/>
      </c>
      <c r="BT51" s="46" t="str">
        <f ca="1">IFERROR(IF(AND(ISNUMBER(Futs!$BZ51), ISNUMBER($BN51)), Futs!$BZ51 + $BN51, ""), "")</f>
        <v/>
      </c>
      <c r="BU51" s="47" t="str">
        <f t="shared" ca="1" si="88"/>
        <v/>
      </c>
      <c r="BV51" s="111" t="str">
        <f t="shared" ca="1" si="89"/>
        <v/>
      </c>
      <c r="BX51" s="92"/>
    </row>
    <row r="52" spans="1:86" x14ac:dyDescent="0.25">
      <c r="A52" s="58">
        <f t="shared" ca="1" si="63"/>
        <v>47270</v>
      </c>
      <c r="B52" s="6">
        <f t="shared" ca="1" si="53"/>
        <v>2029</v>
      </c>
      <c r="C52" s="6" t="str">
        <f t="shared" ca="1" si="54"/>
        <v>Q229</v>
      </c>
      <c r="D52" s="28" t="e">
        <f ca="1">INDEX(ICE[], MATCH(D$18 &amp; TEXT(Crd!$A52, "mmmyy"), ICE[LongCode], 0), MATCH("Settle", ICE[#Headers], 0))</f>
        <v>#N/A</v>
      </c>
      <c r="E52" s="28" t="e">
        <f ca="1">INDEX(ICE[], MATCH(E$18 &amp; TEXT(Crd!$A52, "mmmyy"), ICE[LongCode], 0), MATCH("Settle", ICE[#Headers], 0))</f>
        <v>#N/A</v>
      </c>
      <c r="F52" s="28" t="e">
        <f ca="1">INDEX(ICE[], MATCH(F$18 &amp; TEXT(Crd!$A52, "mmmyy"), ICE[LongCode], 0), MATCH("Settle", ICE[#Headers], 0))</f>
        <v>#N/A</v>
      </c>
      <c r="G52" s="28" t="e">
        <f ca="1">INDEX(ICE[], MATCH(G$18 &amp; TEXT(Crd!$A52, "mmmyy"), ICE[LongCode], 0), MATCH("Settle", ICE[#Headers], 0))</f>
        <v>#N/A</v>
      </c>
      <c r="H52" s="28" t="e">
        <f ca="1">INDEX(ICE[], MATCH(H$18 &amp; TEXT(Crd!$A52, "mmmyy"), ICE[LongCode], 0), MATCH("Settle", ICE[#Headers], 0))</f>
        <v>#N/A</v>
      </c>
      <c r="I52" s="397"/>
      <c r="J52" s="364" t="str">
        <f ca="1">IFERROR(INDEX(ICE[], MATCH("dfl" &amp; TEXT(Crd!$A52, "mmmyy"), ICE[LongCode], 0), MATCH("Text", ICE[#Headers], 0)), "")</f>
        <v/>
      </c>
      <c r="K52" s="46" t="str">
        <f t="shared" ca="1" si="55"/>
        <v/>
      </c>
      <c r="L52" s="47" t="str">
        <f t="shared" si="91"/>
        <v/>
      </c>
      <c r="M52" s="46" t="str">
        <f t="shared" ca="1" si="65"/>
        <v/>
      </c>
      <c r="N52" s="141" t="str">
        <f ca="1">IFERROR(IF(AND(ISNUMBER(Futs!$CC52), ISNUMBER($I52)), Futs!$CC52 + $I52, ""), "")</f>
        <v/>
      </c>
      <c r="O52" s="46" t="str">
        <f ca="1">IFERROR(IF(AND(ISNUMBER(Futs!$CD52), ISNUMBER($K52)), Futs!$CD52 + $K52, ""), "")</f>
        <v/>
      </c>
      <c r="P52" s="47" t="str">
        <f t="shared" ca="1" si="66"/>
        <v/>
      </c>
      <c r="Q52" s="364" t="str">
        <f ca="1">IFERROR(INDEX(ICE[], MATCH("brdtd" &amp; TEXT(Crd!$A52, "mmmyy"), ICE[LongCode], 0), MATCH("Text", ICE[#Headers], 0)), "")</f>
        <v/>
      </c>
      <c r="R52" s="111" t="str">
        <f t="shared" ca="1" si="67"/>
        <v/>
      </c>
      <c r="S52" s="400"/>
      <c r="T52" s="364" t="str">
        <f ca="1">IFERROR(INDEX(ICE[], MATCH("brdub" &amp; TEXT(Crd!$A52, "mmmyy"), ICE[LongCode], 0), MATCH("Text", ICE[#Headers], 0)), "")</f>
        <v/>
      </c>
      <c r="U52" s="46" t="str">
        <f t="shared" ca="1" si="56"/>
        <v/>
      </c>
      <c r="V52" s="68" t="str">
        <f t="shared" si="92"/>
        <v/>
      </c>
      <c r="W52" s="46" t="str">
        <f t="shared" ca="1" si="69"/>
        <v/>
      </c>
      <c r="X52" s="187" t="str">
        <f ca="1">IFERROR(IF(AND(ISNUMBER(Futs!$CC52), ISNUMBER($S52)), Futs!$CC52 - $S52, ""), "")</f>
        <v/>
      </c>
      <c r="Y52" s="46" t="str">
        <f ca="1">IFERROR(IF(AND(ISNUMBER(Futs!$CD52), ISNUMBER($U52)), Futs!$CD52 - $U52, ""), "")</f>
        <v/>
      </c>
      <c r="Z52" s="68" t="str">
        <f t="shared" ca="1" si="70"/>
        <v/>
      </c>
      <c r="AA52" s="364" t="str">
        <f ca="1">IFERROR(INDEX(ICE[], MATCH("brdub" &amp; TEXT(Crd!$A52, "mmmyy"), ICE[LongCode], 0), MATCH("Text", ICE[#Headers], 0)), "")</f>
        <v/>
      </c>
      <c r="AB52" s="46" t="str">
        <f t="shared" ca="1" si="71"/>
        <v/>
      </c>
      <c r="AC52" s="271" t="str">
        <f t="shared" si="90"/>
        <v/>
      </c>
      <c r="AD52" s="46" t="str">
        <f t="shared" ca="1" si="58"/>
        <v/>
      </c>
      <c r="AE52" s="68" t="str">
        <f t="shared" si="93"/>
        <v/>
      </c>
      <c r="AF52" s="111" t="str">
        <f t="shared" ca="1" si="73"/>
        <v/>
      </c>
      <c r="AG52" s="397"/>
      <c r="AH52" s="364" t="str">
        <f ca="1">IFERROR(INDEX(ICE[], MATCH("icemidticma" &amp; TEXT(Crd!$A52, "mmmyy"), ICE[LongCode], 0), MATCH("Text", ICE[#Headers], 0)), "")</f>
        <v/>
      </c>
      <c r="AI52" s="46" t="str">
        <f t="shared" ca="1" si="59"/>
        <v/>
      </c>
      <c r="AJ52" s="47" t="str">
        <f t="shared" si="94"/>
        <v/>
      </c>
      <c r="AK52" s="46" t="str">
        <f t="shared" ca="1" si="75"/>
        <v/>
      </c>
      <c r="AL52" s="141" t="str">
        <f ca="1">IFERROR(IF(AND(ISNUMBER(Futs!$BY52), ISNUMBER($AG52)), Futs!$BY52 + $AG52, ""), "")</f>
        <v/>
      </c>
      <c r="AM52" s="46" t="str">
        <f ca="1">IFERROR(IF(AND(ISNUMBER(Futs!$BZ52), ISNUMBER($AI52)), Futs!$BZ52 + $AI52, ""), "")</f>
        <v/>
      </c>
      <c r="AN52" s="47" t="str">
        <f t="shared" ca="1" si="76"/>
        <v/>
      </c>
      <c r="AO52" s="111" t="str">
        <f t="shared" ca="1" si="77"/>
        <v/>
      </c>
      <c r="AP52" s="397"/>
      <c r="AQ52" s="364" t="str">
        <f ca="1">IFERROR(INDEX(ICE[], MATCH("icemehticma" &amp; TEXT(Crd!$A52, "mmmyy"), ICE[LongCode], 0), MATCH("Text", ICE[#Headers], 0)), "")</f>
        <v/>
      </c>
      <c r="AR52" s="46" t="str">
        <f t="shared" ca="1" si="60"/>
        <v/>
      </c>
      <c r="AS52" s="47" t="str">
        <f t="shared" si="95"/>
        <v/>
      </c>
      <c r="AT52" s="46" t="str">
        <f t="shared" ca="1" si="79"/>
        <v/>
      </c>
      <c r="AU52" s="141" t="str">
        <f ca="1">IFERROR(IF(AND(ISNUMBER($BH52), ISNUMBER(Futs!$CC52)), $BH52 - Futs!$CC52, ""), "")</f>
        <v/>
      </c>
      <c r="AV52" s="46" t="str">
        <f ca="1">IFERROR(IF(AND(ISNUMBER($BI52), ISNUMBER(Futs!$CD52)), $BI52 - Futs!$CD52, ""), "")</f>
        <v/>
      </c>
      <c r="AW52" s="141" t="str">
        <f ca="1">IFERROR(IF(AND(ISNUMBER(Futs!$BY52), ISNUMBER($BA52)), Futs!$BY52 + $BA52, ""), "")</f>
        <v/>
      </c>
      <c r="AX52" s="46" t="str">
        <f ca="1">IFERROR(IF(AND(ISNUMBER(Futs!$BZ52), ISNUMBER($BC52)), Futs!$BZ52 + $BC52, ""), "")</f>
        <v/>
      </c>
      <c r="AY52" s="47" t="str">
        <f t="shared" ca="1" si="80"/>
        <v/>
      </c>
      <c r="AZ52" s="46" t="str">
        <f t="shared" ca="1" si="81"/>
        <v/>
      </c>
      <c r="BA52" s="594"/>
      <c r="BB52" s="364" t="str">
        <f ca="1">IFERROR(INDEX(ICE[], MATCH("icemehticma" &amp; TEXT(Crd!$A52, "mmmyy"), ICE[LongCode], 0), MATCH("Text", ICE[#Headers], 0)), "")</f>
        <v/>
      </c>
      <c r="BC52" s="46" t="str">
        <f t="shared" ca="1" si="61"/>
        <v/>
      </c>
      <c r="BD52" s="47" t="str">
        <f t="shared" si="96"/>
        <v/>
      </c>
      <c r="BE52" s="46" t="str">
        <f t="shared" ca="1" si="83"/>
        <v/>
      </c>
      <c r="BF52" s="141" t="str">
        <f ca="1">IFERROR(IF(AND(ISNUMBER($BH52), ISNUMBER(Futs!$CC52)), $BH52 - Futs!$CC52, ""), "")</f>
        <v/>
      </c>
      <c r="BG52" s="46" t="str">
        <f ca="1">IFERROR(IF(AND(ISNUMBER($BI52), ISNUMBER(Futs!$CD52)), $BI52 - Futs!$CD52, ""), "")</f>
        <v/>
      </c>
      <c r="BH52" s="141" t="str">
        <f ca="1">IFERROR(IF(AND(ISNUMBER(Futs!$BY52), ISNUMBER($BA52)), Futs!$BY52 + $BA52, ""), "")</f>
        <v/>
      </c>
      <c r="BI52" s="46" t="str">
        <f ca="1">IFERROR(IF(AND(ISNUMBER(Futs!$BZ52), ISNUMBER($BC52)), Futs!$BZ52 + $BC52, ""), "")</f>
        <v/>
      </c>
      <c r="BJ52" s="47" t="str">
        <f t="shared" ca="1" si="84"/>
        <v/>
      </c>
      <c r="BK52" s="111" t="str">
        <f t="shared" ca="1" si="85"/>
        <v/>
      </c>
      <c r="BL52" s="397"/>
      <c r="BM52" s="364" t="str">
        <f ca="1">IFERROR(INDEX(ICE[], MATCH("icewcstitma" &amp; TEXT(Crd!$A52, "mmmyy"), ICE[LongCode], 0), MATCH("Text", ICE[#Headers], 0)), "")</f>
        <v/>
      </c>
      <c r="BN52" s="46" t="str">
        <f t="shared" ca="1" si="62"/>
        <v/>
      </c>
      <c r="BO52" s="47" t="str">
        <f t="shared" si="97"/>
        <v/>
      </c>
      <c r="BP52" s="46" t="str">
        <f t="shared" ca="1" si="87"/>
        <v/>
      </c>
      <c r="BQ52" s="141" t="str">
        <f ca="1">IFERROR(IF(AND(ISNUMBER($BS52), ISNUMBER(Futs!$CC52)), $BS52 - Futs!$CC52, ""), "")</f>
        <v/>
      </c>
      <c r="BR52" s="46" t="str">
        <f ca="1">IFERROR(IF(AND(ISNUMBER($BT52), ISNUMBER(Futs!$CD52)), $BT52 - Futs!$CD52, ""), "")</f>
        <v/>
      </c>
      <c r="BS52" s="141" t="str">
        <f ca="1">IFERROR(IF(AND(ISNUMBER(Futs!$BY52), ISNUMBER($BL52)), Futs!$BY52 + $BL52, ""), "")</f>
        <v/>
      </c>
      <c r="BT52" s="46" t="str">
        <f ca="1">IFERROR(IF(AND(ISNUMBER(Futs!$BZ52), ISNUMBER($BN52)), Futs!$BZ52 + $BN52, ""), "")</f>
        <v/>
      </c>
      <c r="BU52" s="47" t="str">
        <f t="shared" ca="1" si="88"/>
        <v/>
      </c>
      <c r="BV52" s="111" t="str">
        <f t="shared" ca="1" si="89"/>
        <v/>
      </c>
      <c r="BX52" s="92"/>
    </row>
    <row r="53" spans="1:86" x14ac:dyDescent="0.25">
      <c r="A53" s="58">
        <f t="shared" ca="1" si="63"/>
        <v>47300</v>
      </c>
      <c r="B53" s="6">
        <f t="shared" ca="1" si="53"/>
        <v>2029</v>
      </c>
      <c r="C53" s="6" t="str">
        <f t="shared" ca="1" si="54"/>
        <v>Q329</v>
      </c>
      <c r="D53" s="28" t="e">
        <f ca="1">INDEX(ICE[], MATCH(D$18 &amp; TEXT(Crd!$A53, "mmmyy"), ICE[LongCode], 0), MATCH("Settle", ICE[#Headers], 0))</f>
        <v>#N/A</v>
      </c>
      <c r="E53" s="28" t="e">
        <f ca="1">INDEX(ICE[], MATCH(E$18 &amp; TEXT(Crd!$A53, "mmmyy"), ICE[LongCode], 0), MATCH("Settle", ICE[#Headers], 0))</f>
        <v>#N/A</v>
      </c>
      <c r="F53" s="28" t="e">
        <f ca="1">INDEX(ICE[], MATCH(F$18 &amp; TEXT(Crd!$A53, "mmmyy"), ICE[LongCode], 0), MATCH("Settle", ICE[#Headers], 0))</f>
        <v>#N/A</v>
      </c>
      <c r="G53" s="28" t="e">
        <f ca="1">INDEX(ICE[], MATCH(G$18 &amp; TEXT(Crd!$A53, "mmmyy"), ICE[LongCode], 0), MATCH("Settle", ICE[#Headers], 0))</f>
        <v>#N/A</v>
      </c>
      <c r="H53" s="28" t="e">
        <f ca="1">INDEX(ICE[], MATCH(H$18 &amp; TEXT(Crd!$A53, "mmmyy"), ICE[LongCode], 0), MATCH("Settle", ICE[#Headers], 0))</f>
        <v>#N/A</v>
      </c>
      <c r="I53" s="397"/>
      <c r="J53" s="364" t="str">
        <f ca="1">IFERROR(INDEX(ICE[], MATCH("dfl" &amp; TEXT(Crd!$A53, "mmmyy"), ICE[LongCode], 0), MATCH("Text", ICE[#Headers], 0)), "")</f>
        <v/>
      </c>
      <c r="K53" s="46" t="str">
        <f t="shared" ca="1" si="55"/>
        <v/>
      </c>
      <c r="L53" s="47" t="str">
        <f t="shared" si="91"/>
        <v/>
      </c>
      <c r="M53" s="46" t="str">
        <f t="shared" ca="1" si="65"/>
        <v/>
      </c>
      <c r="N53" s="141" t="str">
        <f ca="1">IFERROR(IF(AND(ISNUMBER(Futs!$CC53), ISNUMBER($I53)), Futs!$CC53 + $I53, ""), "")</f>
        <v/>
      </c>
      <c r="O53" s="46" t="str">
        <f ca="1">IFERROR(IF(AND(ISNUMBER(Futs!$CD53), ISNUMBER($K53)), Futs!$CD53 + $K53, ""), "")</f>
        <v/>
      </c>
      <c r="P53" s="47" t="str">
        <f t="shared" ca="1" si="66"/>
        <v/>
      </c>
      <c r="Q53" s="364" t="str">
        <f ca="1">IFERROR(INDEX(ICE[], MATCH("brdtd" &amp; TEXT(Crd!$A53, "mmmyy"), ICE[LongCode], 0), MATCH("Text", ICE[#Headers], 0)), "")</f>
        <v/>
      </c>
      <c r="R53" s="111" t="str">
        <f t="shared" ca="1" si="67"/>
        <v/>
      </c>
      <c r="S53" s="400"/>
      <c r="T53" s="364" t="str">
        <f ca="1">IFERROR(INDEX(ICE[], MATCH("brdub" &amp; TEXT(Crd!$A53, "mmmyy"), ICE[LongCode], 0), MATCH("Text", ICE[#Headers], 0)), "")</f>
        <v/>
      </c>
      <c r="U53" s="46" t="str">
        <f t="shared" ca="1" si="56"/>
        <v/>
      </c>
      <c r="V53" s="68" t="str">
        <f t="shared" si="92"/>
        <v/>
      </c>
      <c r="W53" s="46" t="str">
        <f t="shared" ca="1" si="69"/>
        <v/>
      </c>
      <c r="X53" s="187" t="str">
        <f ca="1">IFERROR(IF(AND(ISNUMBER(Futs!$CC53), ISNUMBER($S53)), Futs!$CC53 - $S53, ""), "")</f>
        <v/>
      </c>
      <c r="Y53" s="46" t="str">
        <f ca="1">IFERROR(IF(AND(ISNUMBER(Futs!$CD53), ISNUMBER($U53)), Futs!$CD53 - $U53, ""), "")</f>
        <v/>
      </c>
      <c r="Z53" s="68" t="str">
        <f t="shared" ca="1" si="70"/>
        <v/>
      </c>
      <c r="AA53" s="364" t="str">
        <f ca="1">IFERROR(INDEX(ICE[], MATCH("brdub" &amp; TEXT(Crd!$A53, "mmmyy"), ICE[LongCode], 0), MATCH("Text", ICE[#Headers], 0)), "")</f>
        <v/>
      </c>
      <c r="AB53" s="46" t="str">
        <f t="shared" ca="1" si="71"/>
        <v/>
      </c>
      <c r="AC53" s="271" t="str">
        <f t="shared" si="90"/>
        <v/>
      </c>
      <c r="AD53" s="46" t="str">
        <f t="shared" ca="1" si="58"/>
        <v/>
      </c>
      <c r="AE53" s="68" t="str">
        <f t="shared" si="93"/>
        <v/>
      </c>
      <c r="AF53" s="111" t="str">
        <f t="shared" ca="1" si="73"/>
        <v/>
      </c>
      <c r="AG53" s="397"/>
      <c r="AH53" s="364" t="str">
        <f ca="1">IFERROR(INDEX(ICE[], MATCH("icemidticma" &amp; TEXT(Crd!$A53, "mmmyy"), ICE[LongCode], 0), MATCH("Text", ICE[#Headers], 0)), "")</f>
        <v/>
      </c>
      <c r="AI53" s="46" t="str">
        <f t="shared" ca="1" si="59"/>
        <v/>
      </c>
      <c r="AJ53" s="47" t="str">
        <f t="shared" si="94"/>
        <v/>
      </c>
      <c r="AK53" s="46" t="str">
        <f t="shared" ca="1" si="75"/>
        <v/>
      </c>
      <c r="AL53" s="141" t="str">
        <f ca="1">IFERROR(IF(AND(ISNUMBER(Futs!$BY53), ISNUMBER($AG53)), Futs!$BY53 + $AG53, ""), "")</f>
        <v/>
      </c>
      <c r="AM53" s="46" t="str">
        <f ca="1">IFERROR(IF(AND(ISNUMBER(Futs!$BZ53), ISNUMBER($AI53)), Futs!$BZ53 + $AI53, ""), "")</f>
        <v/>
      </c>
      <c r="AN53" s="47" t="str">
        <f t="shared" ca="1" si="76"/>
        <v/>
      </c>
      <c r="AO53" s="111" t="str">
        <f t="shared" ca="1" si="77"/>
        <v/>
      </c>
      <c r="AP53" s="397"/>
      <c r="AQ53" s="364" t="str">
        <f ca="1">IFERROR(INDEX(ICE[], MATCH("icemehticma" &amp; TEXT(Crd!$A53, "mmmyy"), ICE[LongCode], 0), MATCH("Text", ICE[#Headers], 0)), "")</f>
        <v/>
      </c>
      <c r="AR53" s="46" t="str">
        <f t="shared" ca="1" si="60"/>
        <v/>
      </c>
      <c r="AS53" s="47" t="str">
        <f t="shared" si="95"/>
        <v/>
      </c>
      <c r="AT53" s="46" t="str">
        <f t="shared" ca="1" si="79"/>
        <v/>
      </c>
      <c r="AU53" s="141" t="str">
        <f ca="1">IFERROR(IF(AND(ISNUMBER($BH53), ISNUMBER(Futs!$CC53)), $BH53 - Futs!$CC53, ""), "")</f>
        <v/>
      </c>
      <c r="AV53" s="46" t="str">
        <f ca="1">IFERROR(IF(AND(ISNUMBER($BI53), ISNUMBER(Futs!$CD53)), $BI53 - Futs!$CD53, ""), "")</f>
        <v/>
      </c>
      <c r="AW53" s="141" t="str">
        <f ca="1">IFERROR(IF(AND(ISNUMBER(Futs!$BY53), ISNUMBER($BA53)), Futs!$BY53 + $BA53, ""), "")</f>
        <v/>
      </c>
      <c r="AX53" s="46" t="str">
        <f ca="1">IFERROR(IF(AND(ISNUMBER(Futs!$BZ53), ISNUMBER($BC53)), Futs!$BZ53 + $BC53, ""), "")</f>
        <v/>
      </c>
      <c r="AY53" s="47" t="str">
        <f t="shared" ca="1" si="80"/>
        <v/>
      </c>
      <c r="AZ53" s="46" t="str">
        <f t="shared" ca="1" si="81"/>
        <v/>
      </c>
      <c r="BA53" s="594"/>
      <c r="BB53" s="364" t="str">
        <f ca="1">IFERROR(INDEX(ICE[], MATCH("icemehticma" &amp; TEXT(Crd!$A53, "mmmyy"), ICE[LongCode], 0), MATCH("Text", ICE[#Headers], 0)), "")</f>
        <v/>
      </c>
      <c r="BC53" s="46" t="str">
        <f t="shared" ca="1" si="61"/>
        <v/>
      </c>
      <c r="BD53" s="47" t="str">
        <f t="shared" si="96"/>
        <v/>
      </c>
      <c r="BE53" s="46" t="str">
        <f t="shared" ca="1" si="83"/>
        <v/>
      </c>
      <c r="BF53" s="141" t="str">
        <f ca="1">IFERROR(IF(AND(ISNUMBER($BH53), ISNUMBER(Futs!$CC53)), $BH53 - Futs!$CC53, ""), "")</f>
        <v/>
      </c>
      <c r="BG53" s="46" t="str">
        <f ca="1">IFERROR(IF(AND(ISNUMBER($BI53), ISNUMBER(Futs!$CD53)), $BI53 - Futs!$CD53, ""), "")</f>
        <v/>
      </c>
      <c r="BH53" s="141" t="str">
        <f ca="1">IFERROR(IF(AND(ISNUMBER(Futs!$BY53), ISNUMBER($BA53)), Futs!$BY53 + $BA53, ""), "")</f>
        <v/>
      </c>
      <c r="BI53" s="46" t="str">
        <f ca="1">IFERROR(IF(AND(ISNUMBER(Futs!$BZ53), ISNUMBER($BC53)), Futs!$BZ53 + $BC53, ""), "")</f>
        <v/>
      </c>
      <c r="BJ53" s="47" t="str">
        <f t="shared" ca="1" si="84"/>
        <v/>
      </c>
      <c r="BK53" s="111" t="str">
        <f t="shared" ca="1" si="85"/>
        <v/>
      </c>
      <c r="BL53" s="397"/>
      <c r="BM53" s="364" t="str">
        <f ca="1">IFERROR(INDEX(ICE[], MATCH("icewcstitma" &amp; TEXT(Crd!$A53, "mmmyy"), ICE[LongCode], 0), MATCH("Text", ICE[#Headers], 0)), "")</f>
        <v/>
      </c>
      <c r="BN53" s="46" t="str">
        <f t="shared" ca="1" si="62"/>
        <v/>
      </c>
      <c r="BO53" s="47" t="str">
        <f t="shared" si="97"/>
        <v/>
      </c>
      <c r="BP53" s="46" t="str">
        <f t="shared" ca="1" si="87"/>
        <v/>
      </c>
      <c r="BQ53" s="141" t="str">
        <f ca="1">IFERROR(IF(AND(ISNUMBER($BS53), ISNUMBER(Futs!$CC53)), $BS53 - Futs!$CC53, ""), "")</f>
        <v/>
      </c>
      <c r="BR53" s="46" t="str">
        <f ca="1">IFERROR(IF(AND(ISNUMBER($BT53), ISNUMBER(Futs!$CD53)), $BT53 - Futs!$CD53, ""), "")</f>
        <v/>
      </c>
      <c r="BS53" s="141" t="str">
        <f ca="1">IFERROR(IF(AND(ISNUMBER(Futs!$BY53), ISNUMBER($BL53)), Futs!$BY53 + $BL53, ""), "")</f>
        <v/>
      </c>
      <c r="BT53" s="46" t="str">
        <f ca="1">IFERROR(IF(AND(ISNUMBER(Futs!$BZ53), ISNUMBER($BN53)), Futs!$BZ53 + $BN53, ""), "")</f>
        <v/>
      </c>
      <c r="BU53" s="47" t="str">
        <f t="shared" ca="1" si="88"/>
        <v/>
      </c>
      <c r="BV53" s="111" t="str">
        <f t="shared" ca="1" si="89"/>
        <v/>
      </c>
      <c r="BX53" s="92"/>
    </row>
    <row r="54" spans="1:86" x14ac:dyDescent="0.25">
      <c r="A54" s="58">
        <f t="shared" ca="1" si="63"/>
        <v>47331</v>
      </c>
      <c r="B54" s="6">
        <f t="shared" ca="1" si="53"/>
        <v>2029</v>
      </c>
      <c r="C54" s="6" t="str">
        <f t="shared" ca="1" si="54"/>
        <v>Q329</v>
      </c>
      <c r="D54" s="28" t="e">
        <f ca="1">INDEX(ICE[], MATCH(D$18 &amp; TEXT(Crd!$A54, "mmmyy"), ICE[LongCode], 0), MATCH("Settle", ICE[#Headers], 0))</f>
        <v>#N/A</v>
      </c>
      <c r="E54" s="28" t="e">
        <f ca="1">INDEX(ICE[], MATCH(E$18 &amp; TEXT(Crd!$A54, "mmmyy"), ICE[LongCode], 0), MATCH("Settle", ICE[#Headers], 0))</f>
        <v>#N/A</v>
      </c>
      <c r="F54" s="28" t="e">
        <f ca="1">INDEX(ICE[], MATCH(F$18 &amp; TEXT(Crd!$A54, "mmmyy"), ICE[LongCode], 0), MATCH("Settle", ICE[#Headers], 0))</f>
        <v>#N/A</v>
      </c>
      <c r="G54" s="28" t="e">
        <f ca="1">INDEX(ICE[], MATCH(G$18 &amp; TEXT(Crd!$A54, "mmmyy"), ICE[LongCode], 0), MATCH("Settle", ICE[#Headers], 0))</f>
        <v>#N/A</v>
      </c>
      <c r="H54" s="28" t="e">
        <f ca="1">INDEX(ICE[], MATCH(H$18 &amp; TEXT(Crd!$A54, "mmmyy"), ICE[LongCode], 0), MATCH("Settle", ICE[#Headers], 0))</f>
        <v>#N/A</v>
      </c>
      <c r="I54" s="397"/>
      <c r="J54" s="364" t="str">
        <f ca="1">IFERROR(INDEX(ICE[], MATCH("dfl" &amp; TEXT(Crd!$A54, "mmmyy"), ICE[LongCode], 0), MATCH("Text", ICE[#Headers], 0)), "")</f>
        <v/>
      </c>
      <c r="K54" s="46" t="str">
        <f t="shared" ca="1" si="55"/>
        <v/>
      </c>
      <c r="L54" s="47" t="str">
        <f t="shared" si="91"/>
        <v/>
      </c>
      <c r="M54" s="46" t="str">
        <f t="shared" ca="1" si="65"/>
        <v/>
      </c>
      <c r="N54" s="141" t="str">
        <f ca="1">IFERROR(IF(AND(ISNUMBER(Futs!$CC54), ISNUMBER($I54)), Futs!$CC54 + $I54, ""), "")</f>
        <v/>
      </c>
      <c r="O54" s="46" t="str">
        <f ca="1">IFERROR(IF(AND(ISNUMBER(Futs!$CD54), ISNUMBER($K54)), Futs!$CD54 + $K54, ""), "")</f>
        <v/>
      </c>
      <c r="P54" s="47" t="str">
        <f t="shared" ca="1" si="66"/>
        <v/>
      </c>
      <c r="Q54" s="364" t="str">
        <f ca="1">IFERROR(INDEX(ICE[], MATCH("brdtd" &amp; TEXT(Crd!$A54, "mmmyy"), ICE[LongCode], 0), MATCH("Text", ICE[#Headers], 0)), "")</f>
        <v/>
      </c>
      <c r="R54" s="111" t="str">
        <f t="shared" ca="1" si="67"/>
        <v/>
      </c>
      <c r="S54" s="400"/>
      <c r="T54" s="364" t="str">
        <f ca="1">IFERROR(INDEX(ICE[], MATCH("brdub" &amp; TEXT(Crd!$A54, "mmmyy"), ICE[LongCode], 0), MATCH("Text", ICE[#Headers], 0)), "")</f>
        <v/>
      </c>
      <c r="U54" s="46" t="str">
        <f t="shared" ca="1" si="56"/>
        <v/>
      </c>
      <c r="V54" s="68" t="str">
        <f t="shared" si="92"/>
        <v/>
      </c>
      <c r="W54" s="46" t="str">
        <f t="shared" ca="1" si="69"/>
        <v/>
      </c>
      <c r="X54" s="187" t="str">
        <f ca="1">IFERROR(IF(AND(ISNUMBER(Futs!$CC54), ISNUMBER($S54)), Futs!$CC54 - $S54, ""), "")</f>
        <v/>
      </c>
      <c r="Y54" s="46" t="str">
        <f ca="1">IFERROR(IF(AND(ISNUMBER(Futs!$CD54), ISNUMBER($U54)), Futs!$CD54 - $U54, ""), "")</f>
        <v/>
      </c>
      <c r="Z54" s="68" t="str">
        <f t="shared" ca="1" si="70"/>
        <v/>
      </c>
      <c r="AA54" s="364" t="str">
        <f ca="1">IFERROR(INDEX(ICE[], MATCH("brdub" &amp; TEXT(Crd!$A54, "mmmyy"), ICE[LongCode], 0), MATCH("Text", ICE[#Headers], 0)), "")</f>
        <v/>
      </c>
      <c r="AB54" s="46" t="str">
        <f t="shared" ca="1" si="71"/>
        <v/>
      </c>
      <c r="AC54" s="271" t="str">
        <f t="shared" si="90"/>
        <v/>
      </c>
      <c r="AD54" s="46" t="str">
        <f t="shared" ca="1" si="58"/>
        <v/>
      </c>
      <c r="AE54" s="68" t="str">
        <f t="shared" si="93"/>
        <v/>
      </c>
      <c r="AF54" s="111" t="str">
        <f t="shared" ca="1" si="73"/>
        <v/>
      </c>
      <c r="AG54" s="397"/>
      <c r="AH54" s="364" t="str">
        <f ca="1">IFERROR(INDEX(ICE[], MATCH("icemidticma" &amp; TEXT(Crd!$A54, "mmmyy"), ICE[LongCode], 0), MATCH("Text", ICE[#Headers], 0)), "")</f>
        <v/>
      </c>
      <c r="AI54" s="46" t="str">
        <f t="shared" ca="1" si="59"/>
        <v/>
      </c>
      <c r="AJ54" s="47" t="str">
        <f t="shared" si="94"/>
        <v/>
      </c>
      <c r="AK54" s="46" t="str">
        <f t="shared" ca="1" si="75"/>
        <v/>
      </c>
      <c r="AL54" s="141" t="str">
        <f ca="1">IFERROR(IF(AND(ISNUMBER(Futs!$BY54), ISNUMBER($AG54)), Futs!$BY54 + $AG54, ""), "")</f>
        <v/>
      </c>
      <c r="AM54" s="46" t="str">
        <f ca="1">IFERROR(IF(AND(ISNUMBER(Futs!$BZ54), ISNUMBER($AI54)), Futs!$BZ54 + $AI54, ""), "")</f>
        <v/>
      </c>
      <c r="AN54" s="47" t="str">
        <f t="shared" ca="1" si="76"/>
        <v/>
      </c>
      <c r="AO54" s="111" t="str">
        <f t="shared" ca="1" si="77"/>
        <v/>
      </c>
      <c r="AP54" s="397"/>
      <c r="AQ54" s="364" t="str">
        <f ca="1">IFERROR(INDEX(ICE[], MATCH("icemehticma" &amp; TEXT(Crd!$A54, "mmmyy"), ICE[LongCode], 0), MATCH("Text", ICE[#Headers], 0)), "")</f>
        <v/>
      </c>
      <c r="AR54" s="46" t="str">
        <f t="shared" ca="1" si="60"/>
        <v/>
      </c>
      <c r="AS54" s="47" t="str">
        <f t="shared" si="95"/>
        <v/>
      </c>
      <c r="AT54" s="46" t="str">
        <f t="shared" ca="1" si="79"/>
        <v/>
      </c>
      <c r="AU54" s="141" t="str">
        <f ca="1">IFERROR(IF(AND(ISNUMBER($BH54), ISNUMBER(Futs!$CC54)), $BH54 - Futs!$CC54, ""), "")</f>
        <v/>
      </c>
      <c r="AV54" s="46" t="str">
        <f ca="1">IFERROR(IF(AND(ISNUMBER($BI54), ISNUMBER(Futs!$CD54)), $BI54 - Futs!$CD54, ""), "")</f>
        <v/>
      </c>
      <c r="AW54" s="141" t="str">
        <f ca="1">IFERROR(IF(AND(ISNUMBER(Futs!$BY54), ISNUMBER($BA54)), Futs!$BY54 + $BA54, ""), "")</f>
        <v/>
      </c>
      <c r="AX54" s="46" t="str">
        <f ca="1">IFERROR(IF(AND(ISNUMBER(Futs!$BZ54), ISNUMBER($BC54)), Futs!$BZ54 + $BC54, ""), "")</f>
        <v/>
      </c>
      <c r="AY54" s="47" t="str">
        <f t="shared" ca="1" si="80"/>
        <v/>
      </c>
      <c r="AZ54" s="46" t="str">
        <f t="shared" ca="1" si="81"/>
        <v/>
      </c>
      <c r="BA54" s="594"/>
      <c r="BB54" s="364" t="str">
        <f ca="1">IFERROR(INDEX(ICE[], MATCH("icemehticma" &amp; TEXT(Crd!$A54, "mmmyy"), ICE[LongCode], 0), MATCH("Text", ICE[#Headers], 0)), "")</f>
        <v/>
      </c>
      <c r="BC54" s="46" t="str">
        <f t="shared" ca="1" si="61"/>
        <v/>
      </c>
      <c r="BD54" s="47" t="str">
        <f t="shared" si="96"/>
        <v/>
      </c>
      <c r="BE54" s="46" t="str">
        <f t="shared" ca="1" si="83"/>
        <v/>
      </c>
      <c r="BF54" s="141" t="str">
        <f ca="1">IFERROR(IF(AND(ISNUMBER($BH54), ISNUMBER(Futs!$CC54)), $BH54 - Futs!$CC54, ""), "")</f>
        <v/>
      </c>
      <c r="BG54" s="46" t="str">
        <f ca="1">IFERROR(IF(AND(ISNUMBER($BI54), ISNUMBER(Futs!$CD54)), $BI54 - Futs!$CD54, ""), "")</f>
        <v/>
      </c>
      <c r="BH54" s="141" t="str">
        <f ca="1">IFERROR(IF(AND(ISNUMBER(Futs!$BY54), ISNUMBER($BA54)), Futs!$BY54 + $BA54, ""), "")</f>
        <v/>
      </c>
      <c r="BI54" s="46" t="str">
        <f ca="1">IFERROR(IF(AND(ISNUMBER(Futs!$BZ54), ISNUMBER($BC54)), Futs!$BZ54 + $BC54, ""), "")</f>
        <v/>
      </c>
      <c r="BJ54" s="47" t="str">
        <f t="shared" ca="1" si="84"/>
        <v/>
      </c>
      <c r="BK54" s="111" t="str">
        <f t="shared" ca="1" si="85"/>
        <v/>
      </c>
      <c r="BL54" s="397"/>
      <c r="BM54" s="364" t="str">
        <f ca="1">IFERROR(INDEX(ICE[], MATCH("icewcstitma" &amp; TEXT(Crd!$A54, "mmmyy"), ICE[LongCode], 0), MATCH("Text", ICE[#Headers], 0)), "")</f>
        <v/>
      </c>
      <c r="BN54" s="46" t="str">
        <f t="shared" ca="1" si="62"/>
        <v/>
      </c>
      <c r="BO54" s="47" t="str">
        <f t="shared" si="97"/>
        <v/>
      </c>
      <c r="BP54" s="46" t="str">
        <f t="shared" ca="1" si="87"/>
        <v/>
      </c>
      <c r="BQ54" s="141" t="str">
        <f ca="1">IFERROR(IF(AND(ISNUMBER($BS54), ISNUMBER(Futs!$CC54)), $BS54 - Futs!$CC54, ""), "")</f>
        <v/>
      </c>
      <c r="BR54" s="46" t="str">
        <f ca="1">IFERROR(IF(AND(ISNUMBER($BT54), ISNUMBER(Futs!$CD54)), $BT54 - Futs!$CD54, ""), "")</f>
        <v/>
      </c>
      <c r="BS54" s="141" t="str">
        <f ca="1">IFERROR(IF(AND(ISNUMBER(Futs!$BY54), ISNUMBER($BL54)), Futs!$BY54 + $BL54, ""), "")</f>
        <v/>
      </c>
      <c r="BT54" s="46" t="str">
        <f ca="1">IFERROR(IF(AND(ISNUMBER(Futs!$BZ54), ISNUMBER($BN54)), Futs!$BZ54 + $BN54, ""), "")</f>
        <v/>
      </c>
      <c r="BU54" s="47" t="str">
        <f t="shared" ca="1" si="88"/>
        <v/>
      </c>
      <c r="BV54" s="111" t="str">
        <f t="shared" ca="1" si="89"/>
        <v/>
      </c>
      <c r="BX54" s="92"/>
    </row>
    <row r="55" spans="1:86" x14ac:dyDescent="0.25">
      <c r="A55" s="58">
        <f t="shared" ca="1" si="63"/>
        <v>47362</v>
      </c>
      <c r="B55" s="6">
        <f t="shared" ca="1" si="53"/>
        <v>2029</v>
      </c>
      <c r="C55" s="6" t="str">
        <f t="shared" ca="1" si="54"/>
        <v>Q329</v>
      </c>
      <c r="D55" s="28" t="e">
        <f ca="1">INDEX(ICE[], MATCH(D$18 &amp; TEXT(Crd!$A55, "mmmyy"), ICE[LongCode], 0), MATCH("Settle", ICE[#Headers], 0))</f>
        <v>#N/A</v>
      </c>
      <c r="E55" s="28" t="e">
        <f ca="1">INDEX(ICE[], MATCH(E$18 &amp; TEXT(Crd!$A55, "mmmyy"), ICE[LongCode], 0), MATCH("Settle", ICE[#Headers], 0))</f>
        <v>#N/A</v>
      </c>
      <c r="F55" s="28" t="e">
        <f ca="1">INDEX(ICE[], MATCH(F$18 &amp; TEXT(Crd!$A55, "mmmyy"), ICE[LongCode], 0), MATCH("Settle", ICE[#Headers], 0))</f>
        <v>#N/A</v>
      </c>
      <c r="G55" s="28" t="e">
        <f ca="1">INDEX(ICE[], MATCH(G$18 &amp; TEXT(Crd!$A55, "mmmyy"), ICE[LongCode], 0), MATCH("Settle", ICE[#Headers], 0))</f>
        <v>#N/A</v>
      </c>
      <c r="H55" s="28" t="e">
        <f ca="1">INDEX(ICE[], MATCH(H$18 &amp; TEXT(Crd!$A55, "mmmyy"), ICE[LongCode], 0), MATCH("Settle", ICE[#Headers], 0))</f>
        <v>#N/A</v>
      </c>
      <c r="I55" s="397"/>
      <c r="J55" s="364" t="str">
        <f ca="1">IFERROR(INDEX(ICE[], MATCH("dfl" &amp; TEXT(Crd!$A55, "mmmyy"), ICE[LongCode], 0), MATCH("Text", ICE[#Headers], 0)), "")</f>
        <v/>
      </c>
      <c r="K55" s="46" t="str">
        <f t="shared" ca="1" si="55"/>
        <v/>
      </c>
      <c r="L55" s="47" t="str">
        <f t="shared" si="91"/>
        <v/>
      </c>
      <c r="M55" s="46" t="str">
        <f t="shared" ca="1" si="65"/>
        <v/>
      </c>
      <c r="N55" s="141" t="str">
        <f ca="1">IFERROR(IF(AND(ISNUMBER(Futs!$CC55), ISNUMBER($I55)), Futs!$CC55 + $I55, ""), "")</f>
        <v/>
      </c>
      <c r="O55" s="46" t="str">
        <f ca="1">IFERROR(IF(AND(ISNUMBER(Futs!$CD55), ISNUMBER($K55)), Futs!$CD55 + $K55, ""), "")</f>
        <v/>
      </c>
      <c r="P55" s="47" t="str">
        <f t="shared" ca="1" si="66"/>
        <v/>
      </c>
      <c r="Q55" s="364" t="str">
        <f ca="1">IFERROR(INDEX(ICE[], MATCH("brdtd" &amp; TEXT(Crd!$A55, "mmmyy"), ICE[LongCode], 0), MATCH("Text", ICE[#Headers], 0)), "")</f>
        <v/>
      </c>
      <c r="R55" s="111" t="str">
        <f t="shared" ca="1" si="67"/>
        <v/>
      </c>
      <c r="S55" s="400"/>
      <c r="T55" s="364" t="str">
        <f ca="1">IFERROR(INDEX(ICE[], MATCH("brdub" &amp; TEXT(Crd!$A55, "mmmyy"), ICE[LongCode], 0), MATCH("Text", ICE[#Headers], 0)), "")</f>
        <v/>
      </c>
      <c r="U55" s="46" t="str">
        <f t="shared" ca="1" si="56"/>
        <v/>
      </c>
      <c r="V55" s="68" t="str">
        <f t="shared" si="92"/>
        <v/>
      </c>
      <c r="W55" s="46" t="str">
        <f t="shared" ca="1" si="69"/>
        <v/>
      </c>
      <c r="X55" s="187" t="str">
        <f ca="1">IFERROR(IF(AND(ISNUMBER(Futs!$CC55), ISNUMBER($S55)), Futs!$CC55 - $S55, ""), "")</f>
        <v/>
      </c>
      <c r="Y55" s="46" t="str">
        <f ca="1">IFERROR(IF(AND(ISNUMBER(Futs!$CD55), ISNUMBER($U55)), Futs!$CD55 - $U55, ""), "")</f>
        <v/>
      </c>
      <c r="Z55" s="68" t="str">
        <f t="shared" ca="1" si="70"/>
        <v/>
      </c>
      <c r="AA55" s="364" t="str">
        <f ca="1">IFERROR(INDEX(ICE[], MATCH("brdub" &amp; TEXT(Crd!$A55, "mmmyy"), ICE[LongCode], 0), MATCH("Text", ICE[#Headers], 0)), "")</f>
        <v/>
      </c>
      <c r="AB55" s="46" t="str">
        <f t="shared" ca="1" si="71"/>
        <v/>
      </c>
      <c r="AC55" s="271" t="str">
        <f t="shared" si="90"/>
        <v/>
      </c>
      <c r="AD55" s="46" t="str">
        <f t="shared" ca="1" si="58"/>
        <v/>
      </c>
      <c r="AE55" s="68" t="str">
        <f t="shared" si="93"/>
        <v/>
      </c>
      <c r="AF55" s="111" t="str">
        <f t="shared" ca="1" si="73"/>
        <v/>
      </c>
      <c r="AG55" s="397"/>
      <c r="AH55" s="364" t="str">
        <f ca="1">IFERROR(INDEX(ICE[], MATCH("icemidticma" &amp; TEXT(Crd!$A55, "mmmyy"), ICE[LongCode], 0), MATCH("Text", ICE[#Headers], 0)), "")</f>
        <v/>
      </c>
      <c r="AI55" s="46" t="str">
        <f t="shared" ca="1" si="59"/>
        <v/>
      </c>
      <c r="AJ55" s="47" t="str">
        <f t="shared" si="94"/>
        <v/>
      </c>
      <c r="AK55" s="46" t="str">
        <f t="shared" ca="1" si="75"/>
        <v/>
      </c>
      <c r="AL55" s="141" t="str">
        <f ca="1">IFERROR(IF(AND(ISNUMBER(Futs!$BY55), ISNUMBER($AG55)), Futs!$BY55 + $AG55, ""), "")</f>
        <v/>
      </c>
      <c r="AM55" s="46" t="str">
        <f ca="1">IFERROR(IF(AND(ISNUMBER(Futs!$BZ55), ISNUMBER($AI55)), Futs!$BZ55 + $AI55, ""), "")</f>
        <v/>
      </c>
      <c r="AN55" s="47" t="str">
        <f t="shared" ca="1" si="76"/>
        <v/>
      </c>
      <c r="AO55" s="111" t="str">
        <f t="shared" ca="1" si="77"/>
        <v/>
      </c>
      <c r="AP55" s="397"/>
      <c r="AQ55" s="364" t="str">
        <f ca="1">IFERROR(INDEX(ICE[], MATCH("icemehticma" &amp; TEXT(Crd!$A55, "mmmyy"), ICE[LongCode], 0), MATCH("Text", ICE[#Headers], 0)), "")</f>
        <v/>
      </c>
      <c r="AR55" s="46" t="str">
        <f t="shared" ca="1" si="60"/>
        <v/>
      </c>
      <c r="AS55" s="47" t="str">
        <f t="shared" si="95"/>
        <v/>
      </c>
      <c r="AT55" s="46" t="str">
        <f t="shared" ca="1" si="79"/>
        <v/>
      </c>
      <c r="AU55" s="141" t="str">
        <f ca="1">IFERROR(IF(AND(ISNUMBER($BH55), ISNUMBER(Futs!$CC55)), $BH55 - Futs!$CC55, ""), "")</f>
        <v/>
      </c>
      <c r="AV55" s="46" t="str">
        <f ca="1">IFERROR(IF(AND(ISNUMBER($BI55), ISNUMBER(Futs!$CD55)), $BI55 - Futs!$CD55, ""), "")</f>
        <v/>
      </c>
      <c r="AW55" s="141" t="str">
        <f ca="1">IFERROR(IF(AND(ISNUMBER(Futs!$BY55), ISNUMBER($BA55)), Futs!$BY55 + $BA55, ""), "")</f>
        <v/>
      </c>
      <c r="AX55" s="46" t="str">
        <f ca="1">IFERROR(IF(AND(ISNUMBER(Futs!$BZ55), ISNUMBER($BC55)), Futs!$BZ55 + $BC55, ""), "")</f>
        <v/>
      </c>
      <c r="AY55" s="47" t="str">
        <f t="shared" ca="1" si="80"/>
        <v/>
      </c>
      <c r="AZ55" s="46" t="str">
        <f t="shared" ca="1" si="81"/>
        <v/>
      </c>
      <c r="BA55" s="594"/>
      <c r="BB55" s="364" t="str">
        <f ca="1">IFERROR(INDEX(ICE[], MATCH("icemehticma" &amp; TEXT(Crd!$A55, "mmmyy"), ICE[LongCode], 0), MATCH("Text", ICE[#Headers], 0)), "")</f>
        <v/>
      </c>
      <c r="BC55" s="46" t="str">
        <f t="shared" ca="1" si="61"/>
        <v/>
      </c>
      <c r="BD55" s="47" t="str">
        <f t="shared" si="96"/>
        <v/>
      </c>
      <c r="BE55" s="46" t="str">
        <f t="shared" ca="1" si="83"/>
        <v/>
      </c>
      <c r="BF55" s="141" t="str">
        <f ca="1">IFERROR(IF(AND(ISNUMBER($BH55), ISNUMBER(Futs!$CC55)), $BH55 - Futs!$CC55, ""), "")</f>
        <v/>
      </c>
      <c r="BG55" s="46" t="str">
        <f ca="1">IFERROR(IF(AND(ISNUMBER($BI55), ISNUMBER(Futs!$CD55)), $BI55 - Futs!$CD55, ""), "")</f>
        <v/>
      </c>
      <c r="BH55" s="141" t="str">
        <f ca="1">IFERROR(IF(AND(ISNUMBER(Futs!$BY55), ISNUMBER($BA55)), Futs!$BY55 + $BA55, ""), "")</f>
        <v/>
      </c>
      <c r="BI55" s="46" t="str">
        <f ca="1">IFERROR(IF(AND(ISNUMBER(Futs!$BZ55), ISNUMBER($BC55)), Futs!$BZ55 + $BC55, ""), "")</f>
        <v/>
      </c>
      <c r="BJ55" s="47" t="str">
        <f t="shared" ca="1" si="84"/>
        <v/>
      </c>
      <c r="BK55" s="111" t="str">
        <f t="shared" ca="1" si="85"/>
        <v/>
      </c>
      <c r="BL55" s="397"/>
      <c r="BM55" s="364" t="str">
        <f ca="1">IFERROR(INDEX(ICE[], MATCH("icewcstitma" &amp; TEXT(Crd!$A55, "mmmyy"), ICE[LongCode], 0), MATCH("Text", ICE[#Headers], 0)), "")</f>
        <v/>
      </c>
      <c r="BN55" s="46" t="str">
        <f t="shared" ca="1" si="62"/>
        <v/>
      </c>
      <c r="BO55" s="47" t="str">
        <f t="shared" si="97"/>
        <v/>
      </c>
      <c r="BP55" s="46" t="str">
        <f t="shared" ca="1" si="87"/>
        <v/>
      </c>
      <c r="BQ55" s="141" t="str">
        <f ca="1">IFERROR(IF(AND(ISNUMBER($BS55), ISNUMBER(Futs!$CC55)), $BS55 - Futs!$CC55, ""), "")</f>
        <v/>
      </c>
      <c r="BR55" s="46" t="str">
        <f ca="1">IFERROR(IF(AND(ISNUMBER($BT55), ISNUMBER(Futs!$CD55)), $BT55 - Futs!$CD55, ""), "")</f>
        <v/>
      </c>
      <c r="BS55" s="141" t="str">
        <f ca="1">IFERROR(IF(AND(ISNUMBER(Futs!$BY55), ISNUMBER($BL55)), Futs!$BY55 + $BL55, ""), "")</f>
        <v/>
      </c>
      <c r="BT55" s="46" t="str">
        <f ca="1">IFERROR(IF(AND(ISNUMBER(Futs!$BZ55), ISNUMBER($BN55)), Futs!$BZ55 + $BN55, ""), "")</f>
        <v/>
      </c>
      <c r="BU55" s="47" t="str">
        <f t="shared" ca="1" si="88"/>
        <v/>
      </c>
      <c r="BV55" s="111" t="str">
        <f t="shared" ca="1" si="89"/>
        <v/>
      </c>
      <c r="BX55" s="92"/>
    </row>
    <row r="56" spans="1:86" x14ac:dyDescent="0.25">
      <c r="A56" s="58">
        <f t="shared" ca="1" si="63"/>
        <v>47392</v>
      </c>
      <c r="B56" s="6">
        <f t="shared" ca="1" si="53"/>
        <v>2029</v>
      </c>
      <c r="C56" s="6" t="str">
        <f t="shared" ca="1" si="54"/>
        <v>Q429</v>
      </c>
      <c r="D56" s="28" t="e">
        <f ca="1">INDEX(ICE[], MATCH(D$18 &amp; TEXT(Crd!$A56, "mmmyy"), ICE[LongCode], 0), MATCH("Settle", ICE[#Headers], 0))</f>
        <v>#N/A</v>
      </c>
      <c r="E56" s="28" t="e">
        <f ca="1">INDEX(ICE[], MATCH(E$18 &amp; TEXT(Crd!$A56, "mmmyy"), ICE[LongCode], 0), MATCH("Settle", ICE[#Headers], 0))</f>
        <v>#N/A</v>
      </c>
      <c r="F56" s="28" t="e">
        <f ca="1">INDEX(ICE[], MATCH(F$18 &amp; TEXT(Crd!$A56, "mmmyy"), ICE[LongCode], 0), MATCH("Settle", ICE[#Headers], 0))</f>
        <v>#N/A</v>
      </c>
      <c r="G56" s="28" t="e">
        <f ca="1">INDEX(ICE[], MATCH(G$18 &amp; TEXT(Crd!$A56, "mmmyy"), ICE[LongCode], 0), MATCH("Settle", ICE[#Headers], 0))</f>
        <v>#N/A</v>
      </c>
      <c r="H56" s="28" t="e">
        <f ca="1">INDEX(ICE[], MATCH(H$18 &amp; TEXT(Crd!$A56, "mmmyy"), ICE[LongCode], 0), MATCH("Settle", ICE[#Headers], 0))</f>
        <v>#N/A</v>
      </c>
      <c r="I56" s="397"/>
      <c r="J56" s="364" t="str">
        <f ca="1">IFERROR(INDEX(ICE[], MATCH("dfl" &amp; TEXT(Crd!$A56, "mmmyy"), ICE[LongCode], 0), MATCH("Text", ICE[#Headers], 0)), "")</f>
        <v/>
      </c>
      <c r="K56" s="46" t="str">
        <f t="shared" ca="1" si="55"/>
        <v/>
      </c>
      <c r="L56" s="47" t="str">
        <f t="shared" si="91"/>
        <v/>
      </c>
      <c r="M56" s="46" t="str">
        <f t="shared" ca="1" si="65"/>
        <v/>
      </c>
      <c r="N56" s="141" t="str">
        <f ca="1">IFERROR(IF(AND(ISNUMBER(Futs!$CC56), ISNUMBER($I56)), Futs!$CC56 + $I56, ""), "")</f>
        <v/>
      </c>
      <c r="O56" s="46" t="str">
        <f ca="1">IFERROR(IF(AND(ISNUMBER(Futs!$CD56), ISNUMBER($K56)), Futs!$CD56 + $K56, ""), "")</f>
        <v/>
      </c>
      <c r="P56" s="47" t="str">
        <f t="shared" ca="1" si="66"/>
        <v/>
      </c>
      <c r="Q56" s="364" t="str">
        <f ca="1">IFERROR(INDEX(ICE[], MATCH("brdtd" &amp; TEXT(Crd!$A56, "mmmyy"), ICE[LongCode], 0), MATCH("Text", ICE[#Headers], 0)), "")</f>
        <v/>
      </c>
      <c r="R56" s="111" t="str">
        <f t="shared" ca="1" si="67"/>
        <v/>
      </c>
      <c r="S56" s="400"/>
      <c r="T56" s="364" t="str">
        <f ca="1">IFERROR(INDEX(ICE[], MATCH("brdub" &amp; TEXT(Crd!$A56, "mmmyy"), ICE[LongCode], 0), MATCH("Text", ICE[#Headers], 0)), "")</f>
        <v/>
      </c>
      <c r="U56" s="46" t="str">
        <f t="shared" ca="1" si="56"/>
        <v/>
      </c>
      <c r="V56" s="68" t="str">
        <f t="shared" si="92"/>
        <v/>
      </c>
      <c r="W56" s="46" t="str">
        <f t="shared" ca="1" si="69"/>
        <v/>
      </c>
      <c r="X56" s="187" t="str">
        <f ca="1">IFERROR(IF(AND(ISNUMBER(Futs!$CC56), ISNUMBER($S56)), Futs!$CC56 - $S56, ""), "")</f>
        <v/>
      </c>
      <c r="Y56" s="46" t="str">
        <f ca="1">IFERROR(IF(AND(ISNUMBER(Futs!$CD56), ISNUMBER($U56)), Futs!$CD56 - $U56, ""), "")</f>
        <v/>
      </c>
      <c r="Z56" s="68" t="str">
        <f t="shared" ca="1" si="70"/>
        <v/>
      </c>
      <c r="AA56" s="364" t="str">
        <f ca="1">IFERROR(INDEX(ICE[], MATCH("brdub" &amp; TEXT(Crd!$A56, "mmmyy"), ICE[LongCode], 0), MATCH("Text", ICE[#Headers], 0)), "")</f>
        <v/>
      </c>
      <c r="AB56" s="46" t="str">
        <f t="shared" ca="1" si="71"/>
        <v/>
      </c>
      <c r="AC56" s="271" t="str">
        <f t="shared" si="90"/>
        <v/>
      </c>
      <c r="AD56" s="46" t="str">
        <f t="shared" ca="1" si="58"/>
        <v/>
      </c>
      <c r="AE56" s="68" t="str">
        <f t="shared" si="93"/>
        <v/>
      </c>
      <c r="AF56" s="111" t="str">
        <f t="shared" ca="1" si="73"/>
        <v/>
      </c>
      <c r="AG56" s="397"/>
      <c r="AH56" s="364" t="str">
        <f ca="1">IFERROR(INDEX(ICE[], MATCH("icemidticma" &amp; TEXT(Crd!$A56, "mmmyy"), ICE[LongCode], 0), MATCH("Text", ICE[#Headers], 0)), "")</f>
        <v/>
      </c>
      <c r="AI56" s="46" t="str">
        <f t="shared" ca="1" si="59"/>
        <v/>
      </c>
      <c r="AJ56" s="47" t="str">
        <f t="shared" si="94"/>
        <v/>
      </c>
      <c r="AK56" s="46" t="str">
        <f t="shared" ca="1" si="75"/>
        <v/>
      </c>
      <c r="AL56" s="141" t="str">
        <f ca="1">IFERROR(IF(AND(ISNUMBER(Futs!$BY56), ISNUMBER($AG56)), Futs!$BY56 + $AG56, ""), "")</f>
        <v/>
      </c>
      <c r="AM56" s="46" t="str">
        <f ca="1">IFERROR(IF(AND(ISNUMBER(Futs!$BZ56), ISNUMBER($AI56)), Futs!$BZ56 + $AI56, ""), "")</f>
        <v/>
      </c>
      <c r="AN56" s="47" t="str">
        <f t="shared" ca="1" si="76"/>
        <v/>
      </c>
      <c r="AO56" s="111" t="str">
        <f t="shared" ca="1" si="77"/>
        <v/>
      </c>
      <c r="AP56" s="397"/>
      <c r="AQ56" s="364" t="str">
        <f ca="1">IFERROR(INDEX(ICE[], MATCH("icemehticma" &amp; TEXT(Crd!$A56, "mmmyy"), ICE[LongCode], 0), MATCH("Text", ICE[#Headers], 0)), "")</f>
        <v/>
      </c>
      <c r="AR56" s="46" t="str">
        <f t="shared" ca="1" si="60"/>
        <v/>
      </c>
      <c r="AS56" s="47" t="str">
        <f t="shared" si="95"/>
        <v/>
      </c>
      <c r="AT56" s="46" t="str">
        <f t="shared" ca="1" si="79"/>
        <v/>
      </c>
      <c r="AU56" s="141" t="str">
        <f ca="1">IFERROR(IF(AND(ISNUMBER($BH56), ISNUMBER(Futs!$CC56)), $BH56 - Futs!$CC56, ""), "")</f>
        <v/>
      </c>
      <c r="AV56" s="46" t="str">
        <f ca="1">IFERROR(IF(AND(ISNUMBER($BI56), ISNUMBER(Futs!$CD56)), $BI56 - Futs!$CD56, ""), "")</f>
        <v/>
      </c>
      <c r="AW56" s="141" t="str">
        <f ca="1">IFERROR(IF(AND(ISNUMBER(Futs!$BY56), ISNUMBER($BA56)), Futs!$BY56 + $BA56, ""), "")</f>
        <v/>
      </c>
      <c r="AX56" s="46" t="str">
        <f ca="1">IFERROR(IF(AND(ISNUMBER(Futs!$BZ56), ISNUMBER($BC56)), Futs!$BZ56 + $BC56, ""), "")</f>
        <v/>
      </c>
      <c r="AY56" s="47" t="str">
        <f t="shared" ca="1" si="80"/>
        <v/>
      </c>
      <c r="AZ56" s="46" t="str">
        <f t="shared" ca="1" si="81"/>
        <v/>
      </c>
      <c r="BA56" s="594"/>
      <c r="BB56" s="364" t="str">
        <f ca="1">IFERROR(INDEX(ICE[], MATCH("icemehticma" &amp; TEXT(Crd!$A56, "mmmyy"), ICE[LongCode], 0), MATCH("Text", ICE[#Headers], 0)), "")</f>
        <v/>
      </c>
      <c r="BC56" s="46" t="str">
        <f t="shared" ca="1" si="61"/>
        <v/>
      </c>
      <c r="BD56" s="47" t="str">
        <f t="shared" si="96"/>
        <v/>
      </c>
      <c r="BE56" s="46" t="str">
        <f t="shared" ca="1" si="83"/>
        <v/>
      </c>
      <c r="BF56" s="141" t="str">
        <f ca="1">IFERROR(IF(AND(ISNUMBER($BH56), ISNUMBER(Futs!$CC56)), $BH56 - Futs!$CC56, ""), "")</f>
        <v/>
      </c>
      <c r="BG56" s="46" t="str">
        <f ca="1">IFERROR(IF(AND(ISNUMBER($BI56), ISNUMBER(Futs!$CD56)), $BI56 - Futs!$CD56, ""), "")</f>
        <v/>
      </c>
      <c r="BH56" s="141" t="str">
        <f ca="1">IFERROR(IF(AND(ISNUMBER(Futs!$BY56), ISNUMBER($BA56)), Futs!$BY56 + $BA56, ""), "")</f>
        <v/>
      </c>
      <c r="BI56" s="46" t="str">
        <f ca="1">IFERROR(IF(AND(ISNUMBER(Futs!$BZ56), ISNUMBER($BC56)), Futs!$BZ56 + $BC56, ""), "")</f>
        <v/>
      </c>
      <c r="BJ56" s="47" t="str">
        <f t="shared" ca="1" si="84"/>
        <v/>
      </c>
      <c r="BK56" s="111" t="str">
        <f t="shared" ca="1" si="85"/>
        <v/>
      </c>
      <c r="BL56" s="397"/>
      <c r="BM56" s="364" t="str">
        <f ca="1">IFERROR(INDEX(ICE[], MATCH("icewcstitma" &amp; TEXT(Crd!$A56, "mmmyy"), ICE[LongCode], 0), MATCH("Text", ICE[#Headers], 0)), "")</f>
        <v/>
      </c>
      <c r="BN56" s="46" t="str">
        <f t="shared" ca="1" si="62"/>
        <v/>
      </c>
      <c r="BO56" s="47" t="str">
        <f t="shared" si="97"/>
        <v/>
      </c>
      <c r="BP56" s="46" t="str">
        <f t="shared" ca="1" si="87"/>
        <v/>
      </c>
      <c r="BQ56" s="141" t="str">
        <f ca="1">IFERROR(IF(AND(ISNUMBER($BS56), ISNUMBER(Futs!$CC56)), $BS56 - Futs!$CC56, ""), "")</f>
        <v/>
      </c>
      <c r="BR56" s="46" t="str">
        <f ca="1">IFERROR(IF(AND(ISNUMBER($BT56), ISNUMBER(Futs!$CD56)), $BT56 - Futs!$CD56, ""), "")</f>
        <v/>
      </c>
      <c r="BS56" s="141" t="str">
        <f ca="1">IFERROR(IF(AND(ISNUMBER(Futs!$BY56), ISNUMBER($BL56)), Futs!$BY56 + $BL56, ""), "")</f>
        <v/>
      </c>
      <c r="BT56" s="46" t="str">
        <f ca="1">IFERROR(IF(AND(ISNUMBER(Futs!$BZ56), ISNUMBER($BN56)), Futs!$BZ56 + $BN56, ""), "")</f>
        <v/>
      </c>
      <c r="BU56" s="47" t="str">
        <f t="shared" ca="1" si="88"/>
        <v/>
      </c>
      <c r="BV56" s="111" t="str">
        <f t="shared" ca="1" si="89"/>
        <v/>
      </c>
      <c r="BX56" s="92"/>
    </row>
    <row r="57" spans="1:86" x14ac:dyDescent="0.25">
      <c r="A57" s="58">
        <f t="shared" ca="1" si="63"/>
        <v>47423</v>
      </c>
      <c r="B57" s="6">
        <f t="shared" ca="1" si="53"/>
        <v>2029</v>
      </c>
      <c r="C57" s="6" t="str">
        <f t="shared" ca="1" si="54"/>
        <v>Q429</v>
      </c>
      <c r="D57" s="28" t="e">
        <f ca="1">INDEX(ICE[], MATCH(D$18 &amp; TEXT(Crd!$A57, "mmmyy"), ICE[LongCode], 0), MATCH("Settle", ICE[#Headers], 0))</f>
        <v>#N/A</v>
      </c>
      <c r="E57" s="28" t="e">
        <f ca="1">INDEX(ICE[], MATCH(E$18 &amp; TEXT(Crd!$A57, "mmmyy"), ICE[LongCode], 0), MATCH("Settle", ICE[#Headers], 0))</f>
        <v>#N/A</v>
      </c>
      <c r="F57" s="28" t="e">
        <f ca="1">INDEX(ICE[], MATCH(F$18 &amp; TEXT(Crd!$A57, "mmmyy"), ICE[LongCode], 0), MATCH("Settle", ICE[#Headers], 0))</f>
        <v>#N/A</v>
      </c>
      <c r="G57" s="28" t="e">
        <f ca="1">INDEX(ICE[], MATCH(G$18 &amp; TEXT(Crd!$A57, "mmmyy"), ICE[LongCode], 0), MATCH("Settle", ICE[#Headers], 0))</f>
        <v>#N/A</v>
      </c>
      <c r="H57" s="28" t="e">
        <f ca="1">INDEX(ICE[], MATCH(H$18 &amp; TEXT(Crd!$A57, "mmmyy"), ICE[LongCode], 0), MATCH("Settle", ICE[#Headers], 0))</f>
        <v>#N/A</v>
      </c>
      <c r="I57" s="397"/>
      <c r="J57" s="364" t="str">
        <f ca="1">IFERROR(INDEX(ICE[], MATCH("dfl" &amp; TEXT(Crd!$A57, "mmmyy"), ICE[LongCode], 0), MATCH("Text", ICE[#Headers], 0)), "")</f>
        <v/>
      </c>
      <c r="K57" s="46" t="str">
        <f t="shared" ca="1" si="55"/>
        <v/>
      </c>
      <c r="L57" s="47" t="str">
        <f t="shared" si="91"/>
        <v/>
      </c>
      <c r="M57" s="46" t="str">
        <f t="shared" ca="1" si="65"/>
        <v/>
      </c>
      <c r="N57" s="141" t="str">
        <f ca="1">IFERROR(IF(AND(ISNUMBER(Futs!$CC57), ISNUMBER($I57)), Futs!$CC57 + $I57, ""), "")</f>
        <v/>
      </c>
      <c r="O57" s="46" t="str">
        <f ca="1">IFERROR(IF(AND(ISNUMBER(Futs!$CD57), ISNUMBER($K57)), Futs!$CD57 + $K57, ""), "")</f>
        <v/>
      </c>
      <c r="P57" s="47" t="str">
        <f t="shared" ca="1" si="66"/>
        <v/>
      </c>
      <c r="Q57" s="364" t="str">
        <f ca="1">IFERROR(INDEX(ICE[], MATCH("brdtd" &amp; TEXT(Crd!$A57, "mmmyy"), ICE[LongCode], 0), MATCH("Text", ICE[#Headers], 0)), "")</f>
        <v/>
      </c>
      <c r="R57" s="111" t="str">
        <f t="shared" ca="1" si="67"/>
        <v/>
      </c>
      <c r="S57" s="400"/>
      <c r="T57" s="364" t="str">
        <f ca="1">IFERROR(INDEX(ICE[], MATCH("brdub" &amp; TEXT(Crd!$A57, "mmmyy"), ICE[LongCode], 0), MATCH("Text", ICE[#Headers], 0)), "")</f>
        <v/>
      </c>
      <c r="U57" s="46" t="str">
        <f t="shared" ca="1" si="56"/>
        <v/>
      </c>
      <c r="V57" s="68" t="str">
        <f t="shared" si="92"/>
        <v/>
      </c>
      <c r="W57" s="46" t="str">
        <f t="shared" ca="1" si="69"/>
        <v/>
      </c>
      <c r="X57" s="187" t="str">
        <f ca="1">IFERROR(IF(AND(ISNUMBER(Futs!$CC57), ISNUMBER($S57)), Futs!$CC57 - $S57, ""), "")</f>
        <v/>
      </c>
      <c r="Y57" s="46" t="str">
        <f ca="1">IFERROR(IF(AND(ISNUMBER(Futs!$CD57), ISNUMBER($U57)), Futs!$CD57 - $U57, ""), "")</f>
        <v/>
      </c>
      <c r="Z57" s="68" t="str">
        <f t="shared" ca="1" si="70"/>
        <v/>
      </c>
      <c r="AA57" s="364" t="str">
        <f ca="1">IFERROR(INDEX(ICE[], MATCH("brdub" &amp; TEXT(Crd!$A57, "mmmyy"), ICE[LongCode], 0), MATCH("Text", ICE[#Headers], 0)), "")</f>
        <v/>
      </c>
      <c r="AB57" s="46" t="str">
        <f t="shared" ca="1" si="71"/>
        <v/>
      </c>
      <c r="AC57" s="271" t="str">
        <f t="shared" si="90"/>
        <v/>
      </c>
      <c r="AD57" s="46" t="str">
        <f t="shared" ca="1" si="58"/>
        <v/>
      </c>
      <c r="AE57" s="68" t="str">
        <f t="shared" si="93"/>
        <v/>
      </c>
      <c r="AF57" s="111" t="str">
        <f t="shared" ca="1" si="73"/>
        <v/>
      </c>
      <c r="AG57" s="397"/>
      <c r="AH57" s="364" t="str">
        <f ca="1">IFERROR(INDEX(ICE[], MATCH("icemidticma" &amp; TEXT(Crd!$A57, "mmmyy"), ICE[LongCode], 0), MATCH("Text", ICE[#Headers], 0)), "")</f>
        <v/>
      </c>
      <c r="AI57" s="46" t="str">
        <f t="shared" ca="1" si="59"/>
        <v/>
      </c>
      <c r="AJ57" s="47" t="str">
        <f t="shared" si="94"/>
        <v/>
      </c>
      <c r="AK57" s="46" t="str">
        <f t="shared" ca="1" si="75"/>
        <v/>
      </c>
      <c r="AL57" s="141" t="str">
        <f ca="1">IFERROR(IF(AND(ISNUMBER(Futs!$BY57), ISNUMBER($AG57)), Futs!$BY57 + $AG57, ""), "")</f>
        <v/>
      </c>
      <c r="AM57" s="46" t="str">
        <f ca="1">IFERROR(IF(AND(ISNUMBER(Futs!$BZ57), ISNUMBER($AI57)), Futs!$BZ57 + $AI57, ""), "")</f>
        <v/>
      </c>
      <c r="AN57" s="47" t="str">
        <f t="shared" ca="1" si="76"/>
        <v/>
      </c>
      <c r="AO57" s="111" t="str">
        <f t="shared" ca="1" si="77"/>
        <v/>
      </c>
      <c r="AP57" s="397"/>
      <c r="AQ57" s="364" t="str">
        <f ca="1">IFERROR(INDEX(ICE[], MATCH("icemehticma" &amp; TEXT(Crd!$A57, "mmmyy"), ICE[LongCode], 0), MATCH("Text", ICE[#Headers], 0)), "")</f>
        <v/>
      </c>
      <c r="AR57" s="46" t="str">
        <f t="shared" ca="1" si="60"/>
        <v/>
      </c>
      <c r="AS57" s="47" t="str">
        <f t="shared" si="95"/>
        <v/>
      </c>
      <c r="AT57" s="46" t="str">
        <f t="shared" ca="1" si="79"/>
        <v/>
      </c>
      <c r="AU57" s="141" t="str">
        <f ca="1">IFERROR(IF(AND(ISNUMBER($BH57), ISNUMBER(Futs!$CC57)), $BH57 - Futs!$CC57, ""), "")</f>
        <v/>
      </c>
      <c r="AV57" s="46" t="str">
        <f ca="1">IFERROR(IF(AND(ISNUMBER($BI57), ISNUMBER(Futs!$CD57)), $BI57 - Futs!$CD57, ""), "")</f>
        <v/>
      </c>
      <c r="AW57" s="141" t="str">
        <f ca="1">IFERROR(IF(AND(ISNUMBER(Futs!$BY57), ISNUMBER($BA57)), Futs!$BY57 + $BA57, ""), "")</f>
        <v/>
      </c>
      <c r="AX57" s="46" t="str">
        <f ca="1">IFERROR(IF(AND(ISNUMBER(Futs!$BZ57), ISNUMBER($BC57)), Futs!$BZ57 + $BC57, ""), "")</f>
        <v/>
      </c>
      <c r="AY57" s="47" t="str">
        <f t="shared" ca="1" si="80"/>
        <v/>
      </c>
      <c r="AZ57" s="46" t="str">
        <f t="shared" ca="1" si="81"/>
        <v/>
      </c>
      <c r="BA57" s="594"/>
      <c r="BB57" s="364" t="str">
        <f ca="1">IFERROR(INDEX(ICE[], MATCH("icemehticma" &amp; TEXT(Crd!$A57, "mmmyy"), ICE[LongCode], 0), MATCH("Text", ICE[#Headers], 0)), "")</f>
        <v/>
      </c>
      <c r="BC57" s="46" t="str">
        <f t="shared" ca="1" si="61"/>
        <v/>
      </c>
      <c r="BD57" s="47" t="str">
        <f t="shared" si="96"/>
        <v/>
      </c>
      <c r="BE57" s="46" t="str">
        <f t="shared" ca="1" si="83"/>
        <v/>
      </c>
      <c r="BF57" s="141" t="str">
        <f ca="1">IFERROR(IF(AND(ISNUMBER($BH57), ISNUMBER(Futs!$CC57)), $BH57 - Futs!$CC57, ""), "")</f>
        <v/>
      </c>
      <c r="BG57" s="46" t="str">
        <f ca="1">IFERROR(IF(AND(ISNUMBER($BI57), ISNUMBER(Futs!$CD57)), $BI57 - Futs!$CD57, ""), "")</f>
        <v/>
      </c>
      <c r="BH57" s="141" t="str">
        <f ca="1">IFERROR(IF(AND(ISNUMBER(Futs!$BY57), ISNUMBER($BA57)), Futs!$BY57 + $BA57, ""), "")</f>
        <v/>
      </c>
      <c r="BI57" s="46" t="str">
        <f ca="1">IFERROR(IF(AND(ISNUMBER(Futs!$BZ57), ISNUMBER($BC57)), Futs!$BZ57 + $BC57, ""), "")</f>
        <v/>
      </c>
      <c r="BJ57" s="47" t="str">
        <f t="shared" ca="1" si="84"/>
        <v/>
      </c>
      <c r="BK57" s="111" t="str">
        <f t="shared" ca="1" si="85"/>
        <v/>
      </c>
      <c r="BL57" s="397"/>
      <c r="BM57" s="364" t="str">
        <f ca="1">IFERROR(INDEX(ICE[], MATCH("icewcstitma" &amp; TEXT(Crd!$A57, "mmmyy"), ICE[LongCode], 0), MATCH("Text", ICE[#Headers], 0)), "")</f>
        <v/>
      </c>
      <c r="BN57" s="46" t="str">
        <f t="shared" ca="1" si="62"/>
        <v/>
      </c>
      <c r="BO57" s="47" t="str">
        <f t="shared" si="97"/>
        <v/>
      </c>
      <c r="BP57" s="46" t="str">
        <f t="shared" ca="1" si="87"/>
        <v/>
      </c>
      <c r="BQ57" s="141" t="str">
        <f ca="1">IFERROR(IF(AND(ISNUMBER($BS57), ISNUMBER(Futs!$CC57)), $BS57 - Futs!$CC57, ""), "")</f>
        <v/>
      </c>
      <c r="BR57" s="46" t="str">
        <f ca="1">IFERROR(IF(AND(ISNUMBER($BT57), ISNUMBER(Futs!$CD57)), $BT57 - Futs!$CD57, ""), "")</f>
        <v/>
      </c>
      <c r="BS57" s="141" t="str">
        <f ca="1">IFERROR(IF(AND(ISNUMBER(Futs!$BY57), ISNUMBER($BL57)), Futs!$BY57 + $BL57, ""), "")</f>
        <v/>
      </c>
      <c r="BT57" s="46" t="str">
        <f ca="1">IFERROR(IF(AND(ISNUMBER(Futs!$BZ57), ISNUMBER($BN57)), Futs!$BZ57 + $BN57, ""), "")</f>
        <v/>
      </c>
      <c r="BU57" s="47" t="str">
        <f t="shared" ca="1" si="88"/>
        <v/>
      </c>
      <c r="BV57" s="111" t="str">
        <f t="shared" ca="1" si="89"/>
        <v/>
      </c>
      <c r="BX57" s="92"/>
    </row>
    <row r="58" spans="1:86" x14ac:dyDescent="0.25">
      <c r="A58" s="58">
        <f t="shared" ca="1" si="63"/>
        <v>47453</v>
      </c>
      <c r="B58" s="6">
        <f t="shared" ca="1" si="53"/>
        <v>2029</v>
      </c>
      <c r="C58" s="6" t="str">
        <f t="shared" ca="1" si="54"/>
        <v>Q429</v>
      </c>
      <c r="D58" s="28" t="e">
        <f ca="1">INDEX(ICE[], MATCH(D$18 &amp; TEXT(Crd!$A58, "mmmyy"), ICE[LongCode], 0), MATCH("Settle", ICE[#Headers], 0))</f>
        <v>#N/A</v>
      </c>
      <c r="E58" s="28" t="e">
        <f ca="1">INDEX(ICE[], MATCH(E$18 &amp; TEXT(Crd!$A58, "mmmyy"), ICE[LongCode], 0), MATCH("Settle", ICE[#Headers], 0))</f>
        <v>#N/A</v>
      </c>
      <c r="F58" s="28" t="e">
        <f ca="1">INDEX(ICE[], MATCH(F$18 &amp; TEXT(Crd!$A58, "mmmyy"), ICE[LongCode], 0), MATCH("Settle", ICE[#Headers], 0))</f>
        <v>#N/A</v>
      </c>
      <c r="G58" s="28" t="e">
        <f ca="1">INDEX(ICE[], MATCH(G$18 &amp; TEXT(Crd!$A58, "mmmyy"), ICE[LongCode], 0), MATCH("Settle", ICE[#Headers], 0))</f>
        <v>#N/A</v>
      </c>
      <c r="H58" s="28" t="e">
        <f ca="1">INDEX(ICE[], MATCH(H$18 &amp; TEXT(Crd!$A58, "mmmyy"), ICE[LongCode], 0), MATCH("Settle", ICE[#Headers], 0))</f>
        <v>#N/A</v>
      </c>
      <c r="I58" s="397"/>
      <c r="J58" s="364" t="str">
        <f ca="1">IFERROR(INDEX(ICE[], MATCH("dfl" &amp; TEXT(Crd!$A58, "mmmyy"), ICE[LongCode], 0), MATCH("Text", ICE[#Headers], 0)), "")</f>
        <v/>
      </c>
      <c r="K58" s="46" t="str">
        <f t="shared" ca="1" si="55"/>
        <v/>
      </c>
      <c r="L58" s="47" t="str">
        <f t="shared" si="91"/>
        <v/>
      </c>
      <c r="M58" s="46" t="str">
        <f t="shared" ca="1" si="65"/>
        <v/>
      </c>
      <c r="N58" s="141" t="str">
        <f ca="1">IFERROR(IF(AND(ISNUMBER(Futs!$CC58), ISNUMBER($I58)), Futs!$CC58 + $I58, ""), "")</f>
        <v/>
      </c>
      <c r="O58" s="46" t="str">
        <f ca="1">IFERROR(IF(AND(ISNUMBER(Futs!$CD58), ISNUMBER($K58)), Futs!$CD58 + $K58, ""), "")</f>
        <v/>
      </c>
      <c r="P58" s="47" t="str">
        <f t="shared" ca="1" si="66"/>
        <v/>
      </c>
      <c r="Q58" s="364" t="str">
        <f ca="1">IFERROR(INDEX(ICE[], MATCH("brdtd" &amp; TEXT(Crd!$A58, "mmmyy"), ICE[LongCode], 0), MATCH("Text", ICE[#Headers], 0)), "")</f>
        <v/>
      </c>
      <c r="R58" s="111" t="str">
        <f t="shared" ca="1" si="67"/>
        <v/>
      </c>
      <c r="S58" s="400"/>
      <c r="T58" s="364" t="str">
        <f ca="1">IFERROR(INDEX(ICE[], MATCH("brdub" &amp; TEXT(Crd!$A58, "mmmyy"), ICE[LongCode], 0), MATCH("Text", ICE[#Headers], 0)), "")</f>
        <v/>
      </c>
      <c r="U58" s="46" t="str">
        <f t="shared" ca="1" si="56"/>
        <v/>
      </c>
      <c r="V58" s="68" t="str">
        <f t="shared" si="92"/>
        <v/>
      </c>
      <c r="W58" s="46" t="str">
        <f t="shared" ca="1" si="69"/>
        <v/>
      </c>
      <c r="X58" s="187" t="str">
        <f ca="1">IFERROR(IF(AND(ISNUMBER(Futs!$CC58), ISNUMBER($S58)), Futs!$CC58 - $S58, ""), "")</f>
        <v/>
      </c>
      <c r="Y58" s="46" t="str">
        <f ca="1">IFERROR(IF(AND(ISNUMBER(Futs!$CD58), ISNUMBER($U58)), Futs!$CD58 - $U58, ""), "")</f>
        <v/>
      </c>
      <c r="Z58" s="68" t="str">
        <f t="shared" ca="1" si="70"/>
        <v/>
      </c>
      <c r="AA58" s="364" t="str">
        <f ca="1">IFERROR(INDEX(ICE[], MATCH("brdub" &amp; TEXT(Crd!$A58, "mmmyy"), ICE[LongCode], 0), MATCH("Text", ICE[#Headers], 0)), "")</f>
        <v/>
      </c>
      <c r="AB58" s="46" t="str">
        <f t="shared" ca="1" si="71"/>
        <v/>
      </c>
      <c r="AC58" s="271" t="str">
        <f t="shared" si="90"/>
        <v/>
      </c>
      <c r="AD58" s="46" t="str">
        <f t="shared" ca="1" si="58"/>
        <v/>
      </c>
      <c r="AE58" s="68" t="str">
        <f t="shared" si="93"/>
        <v/>
      </c>
      <c r="AF58" s="111" t="str">
        <f t="shared" ca="1" si="73"/>
        <v/>
      </c>
      <c r="AG58" s="397"/>
      <c r="AH58" s="364" t="str">
        <f ca="1">IFERROR(INDEX(ICE[], MATCH("icemidticma" &amp; TEXT(Crd!$A58, "mmmyy"), ICE[LongCode], 0), MATCH("Text", ICE[#Headers], 0)), "")</f>
        <v/>
      </c>
      <c r="AI58" s="46" t="str">
        <f t="shared" ca="1" si="59"/>
        <v/>
      </c>
      <c r="AJ58" s="47" t="str">
        <f t="shared" si="94"/>
        <v/>
      </c>
      <c r="AK58" s="46" t="str">
        <f t="shared" ca="1" si="75"/>
        <v/>
      </c>
      <c r="AL58" s="141" t="str">
        <f ca="1">IFERROR(IF(AND(ISNUMBER(Futs!$BY58), ISNUMBER($AG58)), Futs!$BY58 + $AG58, ""), "")</f>
        <v/>
      </c>
      <c r="AM58" s="46" t="str">
        <f ca="1">IFERROR(IF(AND(ISNUMBER(Futs!$BZ58), ISNUMBER($AI58)), Futs!$BZ58 + $AI58, ""), "")</f>
        <v/>
      </c>
      <c r="AN58" s="47" t="str">
        <f t="shared" ca="1" si="76"/>
        <v/>
      </c>
      <c r="AO58" s="111" t="str">
        <f t="shared" ca="1" si="77"/>
        <v/>
      </c>
      <c r="AP58" s="397"/>
      <c r="AQ58" s="364" t="str">
        <f ca="1">IFERROR(INDEX(ICE[], MATCH("icemehticma" &amp; TEXT(Crd!$A58, "mmmyy"), ICE[LongCode], 0), MATCH("Text", ICE[#Headers], 0)), "")</f>
        <v/>
      </c>
      <c r="AR58" s="46" t="str">
        <f t="shared" ca="1" si="60"/>
        <v/>
      </c>
      <c r="AS58" s="47" t="str">
        <f t="shared" si="95"/>
        <v/>
      </c>
      <c r="AT58" s="46" t="str">
        <f t="shared" ca="1" si="79"/>
        <v/>
      </c>
      <c r="AU58" s="141" t="str">
        <f ca="1">IFERROR(IF(AND(ISNUMBER($BH58), ISNUMBER(Futs!$CC58)), $BH58 - Futs!$CC58, ""), "")</f>
        <v/>
      </c>
      <c r="AV58" s="46" t="str">
        <f ca="1">IFERROR(IF(AND(ISNUMBER($BI58), ISNUMBER(Futs!$CD58)), $BI58 - Futs!$CD58, ""), "")</f>
        <v/>
      </c>
      <c r="AW58" s="141" t="str">
        <f ca="1">IFERROR(IF(AND(ISNUMBER(Futs!$BY58), ISNUMBER($BA58)), Futs!$BY58 + $BA58, ""), "")</f>
        <v/>
      </c>
      <c r="AX58" s="46" t="str">
        <f ca="1">IFERROR(IF(AND(ISNUMBER(Futs!$BZ58), ISNUMBER($BC58)), Futs!$BZ58 + $BC58, ""), "")</f>
        <v/>
      </c>
      <c r="AY58" s="47" t="str">
        <f t="shared" ca="1" si="80"/>
        <v/>
      </c>
      <c r="AZ58" s="46" t="str">
        <f t="shared" ca="1" si="81"/>
        <v/>
      </c>
      <c r="BA58" s="594"/>
      <c r="BB58" s="364" t="str">
        <f ca="1">IFERROR(INDEX(ICE[], MATCH("icemehticma" &amp; TEXT(Crd!$A58, "mmmyy"), ICE[LongCode], 0), MATCH("Text", ICE[#Headers], 0)), "")</f>
        <v/>
      </c>
      <c r="BC58" s="46" t="str">
        <f t="shared" ca="1" si="61"/>
        <v/>
      </c>
      <c r="BD58" s="47" t="str">
        <f t="shared" si="96"/>
        <v/>
      </c>
      <c r="BE58" s="46" t="str">
        <f t="shared" ca="1" si="83"/>
        <v/>
      </c>
      <c r="BF58" s="141" t="str">
        <f ca="1">IFERROR(IF(AND(ISNUMBER($BH58), ISNUMBER(Futs!$CC58)), $BH58 - Futs!$CC58, ""), "")</f>
        <v/>
      </c>
      <c r="BG58" s="46" t="str">
        <f ca="1">IFERROR(IF(AND(ISNUMBER($BI58), ISNUMBER(Futs!$CD58)), $BI58 - Futs!$CD58, ""), "")</f>
        <v/>
      </c>
      <c r="BH58" s="141" t="str">
        <f ca="1">IFERROR(IF(AND(ISNUMBER(Futs!$BY58), ISNUMBER($BA58)), Futs!$BY58 + $BA58, ""), "")</f>
        <v/>
      </c>
      <c r="BI58" s="46" t="str">
        <f ca="1">IFERROR(IF(AND(ISNUMBER(Futs!$BZ58), ISNUMBER($BC58)), Futs!$BZ58 + $BC58, ""), "")</f>
        <v/>
      </c>
      <c r="BJ58" s="47" t="str">
        <f t="shared" ca="1" si="84"/>
        <v/>
      </c>
      <c r="BK58" s="111" t="str">
        <f t="shared" ca="1" si="85"/>
        <v/>
      </c>
      <c r="BL58" s="397"/>
      <c r="BM58" s="364" t="str">
        <f ca="1">IFERROR(INDEX(ICE[], MATCH("icewcstitma" &amp; TEXT(Crd!$A58, "mmmyy"), ICE[LongCode], 0), MATCH("Text", ICE[#Headers], 0)), "")</f>
        <v/>
      </c>
      <c r="BN58" s="46" t="str">
        <f t="shared" ca="1" si="62"/>
        <v/>
      </c>
      <c r="BO58" s="47" t="str">
        <f t="shared" si="97"/>
        <v/>
      </c>
      <c r="BP58" s="46" t="str">
        <f t="shared" ca="1" si="87"/>
        <v/>
      </c>
      <c r="BQ58" s="141" t="str">
        <f ca="1">IFERROR(IF(AND(ISNUMBER($BS58), ISNUMBER(Futs!$CC58)), $BS58 - Futs!$CC58, ""), "")</f>
        <v/>
      </c>
      <c r="BR58" s="46" t="str">
        <f ca="1">IFERROR(IF(AND(ISNUMBER($BT58), ISNUMBER(Futs!$CD58)), $BT58 - Futs!$CD58, ""), "")</f>
        <v/>
      </c>
      <c r="BS58" s="141" t="str">
        <f ca="1">IFERROR(IF(AND(ISNUMBER(Futs!$BY58), ISNUMBER($BL58)), Futs!$BY58 + $BL58, ""), "")</f>
        <v/>
      </c>
      <c r="BT58" s="46" t="str">
        <f ca="1">IFERROR(IF(AND(ISNUMBER(Futs!$BZ58), ISNUMBER($BN58)), Futs!$BZ58 + $BN58, ""), "")</f>
        <v/>
      </c>
      <c r="BU58" s="47" t="str">
        <f t="shared" ca="1" si="88"/>
        <v/>
      </c>
      <c r="BV58" s="111" t="str">
        <f t="shared" ca="1" si="89"/>
        <v/>
      </c>
      <c r="BX58" s="92"/>
    </row>
    <row r="59" spans="1:86" x14ac:dyDescent="0.25">
      <c r="A59" s="58">
        <f t="shared" ca="1" si="63"/>
        <v>47484</v>
      </c>
      <c r="B59" s="6">
        <f t="shared" ca="1" si="53"/>
        <v>2030</v>
      </c>
      <c r="C59" s="6" t="str">
        <f t="shared" ca="1" si="54"/>
        <v>Q130</v>
      </c>
      <c r="D59" s="28" t="e">
        <f ca="1">INDEX(ICE[], MATCH(D$18 &amp; TEXT(Crd!$A59, "mmmyy"), ICE[LongCode], 0), MATCH("Settle", ICE[#Headers], 0))</f>
        <v>#N/A</v>
      </c>
      <c r="E59" s="28" t="e">
        <f ca="1">INDEX(ICE[], MATCH(E$18 &amp; TEXT(Crd!$A59, "mmmyy"), ICE[LongCode], 0), MATCH("Settle", ICE[#Headers], 0))</f>
        <v>#N/A</v>
      </c>
      <c r="F59" s="28" t="e">
        <f ca="1">INDEX(ICE[], MATCH(F$18 &amp; TEXT(Crd!$A59, "mmmyy"), ICE[LongCode], 0), MATCH("Settle", ICE[#Headers], 0))</f>
        <v>#N/A</v>
      </c>
      <c r="G59" s="28" t="e">
        <f ca="1">INDEX(ICE[], MATCH(G$18 &amp; TEXT(Crd!$A59, "mmmyy"), ICE[LongCode], 0), MATCH("Settle", ICE[#Headers], 0))</f>
        <v>#N/A</v>
      </c>
      <c r="H59" s="28" t="e">
        <f ca="1">INDEX(ICE[], MATCH(H$18 &amp; TEXT(Crd!$A59, "mmmyy"), ICE[LongCode], 0), MATCH("Settle", ICE[#Headers], 0))</f>
        <v>#N/A</v>
      </c>
      <c r="I59" s="397"/>
      <c r="J59" s="364" t="str">
        <f ca="1">IFERROR(INDEX(ICE[], MATCH("dfl" &amp; TEXT(Crd!$A59, "mmmyy"), ICE[LongCode], 0), MATCH("Text", ICE[#Headers], 0)), "")</f>
        <v/>
      </c>
      <c r="K59" s="46" t="str">
        <f t="shared" ca="1" si="55"/>
        <v/>
      </c>
      <c r="L59" s="47" t="str">
        <f t="shared" si="91"/>
        <v/>
      </c>
      <c r="M59" s="46" t="str">
        <f t="shared" ca="1" si="65"/>
        <v/>
      </c>
      <c r="N59" s="141" t="str">
        <f ca="1">IFERROR(IF(AND(ISNUMBER(Futs!$CC59), ISNUMBER($I59)), Futs!$CC59 + $I59, ""), "")</f>
        <v/>
      </c>
      <c r="O59" s="46" t="str">
        <f ca="1">IFERROR(IF(AND(ISNUMBER(Futs!$CD59), ISNUMBER($K59)), Futs!$CD59 + $K59, ""), "")</f>
        <v/>
      </c>
      <c r="P59" s="47" t="str">
        <f t="shared" ca="1" si="66"/>
        <v/>
      </c>
      <c r="Q59" s="364" t="str">
        <f ca="1">IFERROR(INDEX(ICE[], MATCH("brdtd" &amp; TEXT(Crd!$A59, "mmmyy"), ICE[LongCode], 0), MATCH("Text", ICE[#Headers], 0)), "")</f>
        <v/>
      </c>
      <c r="R59" s="111" t="str">
        <f t="shared" ca="1" si="67"/>
        <v/>
      </c>
      <c r="S59" s="400"/>
      <c r="T59" s="364" t="str">
        <f ca="1">IFERROR(INDEX(ICE[], MATCH("brdub" &amp; TEXT(Crd!$A59, "mmmyy"), ICE[LongCode], 0), MATCH("Text", ICE[#Headers], 0)), "")</f>
        <v/>
      </c>
      <c r="U59" s="46" t="str">
        <f t="shared" ca="1" si="56"/>
        <v/>
      </c>
      <c r="V59" s="68" t="str">
        <f t="shared" si="92"/>
        <v/>
      </c>
      <c r="W59" s="46" t="str">
        <f t="shared" ca="1" si="69"/>
        <v/>
      </c>
      <c r="X59" s="187" t="str">
        <f ca="1">IFERROR(IF(AND(ISNUMBER(Futs!$CC59), ISNUMBER($S59)), Futs!$CC59 - $S59, ""), "")</f>
        <v/>
      </c>
      <c r="Y59" s="46" t="str">
        <f ca="1">IFERROR(IF(AND(ISNUMBER(Futs!$CD59), ISNUMBER($U59)), Futs!$CD59 - $U59, ""), "")</f>
        <v/>
      </c>
      <c r="Z59" s="68" t="str">
        <f t="shared" ca="1" si="70"/>
        <v/>
      </c>
      <c r="AA59" s="364" t="str">
        <f ca="1">IFERROR(INDEX(ICE[], MATCH("brdub" &amp; TEXT(Crd!$A59, "mmmyy"), ICE[LongCode], 0), MATCH("Text", ICE[#Headers], 0)), "")</f>
        <v/>
      </c>
      <c r="AB59" s="46" t="str">
        <f t="shared" ca="1" si="71"/>
        <v/>
      </c>
      <c r="AC59" s="271" t="str">
        <f t="shared" si="90"/>
        <v/>
      </c>
      <c r="AD59" s="46" t="str">
        <f t="shared" ca="1" si="58"/>
        <v/>
      </c>
      <c r="AE59" s="68" t="str">
        <f t="shared" si="93"/>
        <v/>
      </c>
      <c r="AF59" s="111" t="str">
        <f t="shared" ca="1" si="73"/>
        <v/>
      </c>
      <c r="AG59" s="397"/>
      <c r="AH59" s="364" t="str">
        <f ca="1">IFERROR(INDEX(ICE[], MATCH("icemidticma" &amp; TEXT(Crd!$A59, "mmmyy"), ICE[LongCode], 0), MATCH("Text", ICE[#Headers], 0)), "")</f>
        <v/>
      </c>
      <c r="AI59" s="46" t="str">
        <f t="shared" ca="1" si="59"/>
        <v/>
      </c>
      <c r="AJ59" s="47" t="str">
        <f t="shared" si="94"/>
        <v/>
      </c>
      <c r="AK59" s="46" t="str">
        <f t="shared" ca="1" si="75"/>
        <v/>
      </c>
      <c r="AL59" s="141" t="str">
        <f ca="1">IFERROR(IF(AND(ISNUMBER(Futs!$BY59), ISNUMBER($AG59)), Futs!$BY59 + $AG59, ""), "")</f>
        <v/>
      </c>
      <c r="AM59" s="46" t="str">
        <f ca="1">IFERROR(IF(AND(ISNUMBER(Futs!$BZ59), ISNUMBER($AI59)), Futs!$BZ59 + $AI59, ""), "")</f>
        <v/>
      </c>
      <c r="AN59" s="47" t="str">
        <f t="shared" ca="1" si="76"/>
        <v/>
      </c>
      <c r="AO59" s="111" t="str">
        <f t="shared" ca="1" si="77"/>
        <v/>
      </c>
      <c r="AP59" s="397"/>
      <c r="AQ59" s="364" t="str">
        <f ca="1">IFERROR(INDEX(ICE[], MATCH("icemehticma" &amp; TEXT(Crd!$A59, "mmmyy"), ICE[LongCode], 0), MATCH("Text", ICE[#Headers], 0)), "")</f>
        <v/>
      </c>
      <c r="AR59" s="46" t="str">
        <f t="shared" ca="1" si="60"/>
        <v/>
      </c>
      <c r="AS59" s="47" t="str">
        <f t="shared" si="95"/>
        <v/>
      </c>
      <c r="AT59" s="46" t="str">
        <f t="shared" ca="1" si="79"/>
        <v/>
      </c>
      <c r="AU59" s="141" t="str">
        <f ca="1">IFERROR(IF(AND(ISNUMBER($BH59), ISNUMBER(Futs!$CC59)), $BH59 - Futs!$CC59, ""), "")</f>
        <v/>
      </c>
      <c r="AV59" s="46" t="str">
        <f ca="1">IFERROR(IF(AND(ISNUMBER($BI59), ISNUMBER(Futs!$CD59)), $BI59 - Futs!$CD59, ""), "")</f>
        <v/>
      </c>
      <c r="AW59" s="141" t="str">
        <f ca="1">IFERROR(IF(AND(ISNUMBER(Futs!$BY59), ISNUMBER($BA59)), Futs!$BY59 + $BA59, ""), "")</f>
        <v/>
      </c>
      <c r="AX59" s="46" t="str">
        <f ca="1">IFERROR(IF(AND(ISNUMBER(Futs!$BZ59), ISNUMBER($BC59)), Futs!$BZ59 + $BC59, ""), "")</f>
        <v/>
      </c>
      <c r="AY59" s="47" t="str">
        <f t="shared" ca="1" si="80"/>
        <v/>
      </c>
      <c r="AZ59" s="46" t="str">
        <f t="shared" ca="1" si="81"/>
        <v/>
      </c>
      <c r="BA59" s="594"/>
      <c r="BB59" s="364" t="str">
        <f ca="1">IFERROR(INDEX(ICE[], MATCH("icemehticma" &amp; TEXT(Crd!$A59, "mmmyy"), ICE[LongCode], 0), MATCH("Text", ICE[#Headers], 0)), "")</f>
        <v/>
      </c>
      <c r="BC59" s="46" t="str">
        <f t="shared" ca="1" si="61"/>
        <v/>
      </c>
      <c r="BD59" s="47" t="str">
        <f t="shared" si="96"/>
        <v/>
      </c>
      <c r="BE59" s="46" t="str">
        <f t="shared" ca="1" si="83"/>
        <v/>
      </c>
      <c r="BF59" s="141" t="str">
        <f ca="1">IFERROR(IF(AND(ISNUMBER($BH59), ISNUMBER(Futs!$CC59)), $BH59 - Futs!$CC59, ""), "")</f>
        <v/>
      </c>
      <c r="BG59" s="46" t="str">
        <f ca="1">IFERROR(IF(AND(ISNUMBER($BI59), ISNUMBER(Futs!$CD59)), $BI59 - Futs!$CD59, ""), "")</f>
        <v/>
      </c>
      <c r="BH59" s="141" t="str">
        <f ca="1">IFERROR(IF(AND(ISNUMBER(Futs!$BY59), ISNUMBER($BA59)), Futs!$BY59 + $BA59, ""), "")</f>
        <v/>
      </c>
      <c r="BI59" s="46" t="str">
        <f ca="1">IFERROR(IF(AND(ISNUMBER(Futs!$BZ59), ISNUMBER($BC59)), Futs!$BZ59 + $BC59, ""), "")</f>
        <v/>
      </c>
      <c r="BJ59" s="47" t="str">
        <f t="shared" ca="1" si="84"/>
        <v/>
      </c>
      <c r="BK59" s="111" t="str">
        <f t="shared" ca="1" si="85"/>
        <v/>
      </c>
      <c r="BL59" s="397"/>
      <c r="BM59" s="364" t="str">
        <f ca="1">IFERROR(INDEX(ICE[], MATCH("icewcstitma" &amp; TEXT(Crd!$A59, "mmmyy"), ICE[LongCode], 0), MATCH("Text", ICE[#Headers], 0)), "")</f>
        <v/>
      </c>
      <c r="BN59" s="46" t="str">
        <f t="shared" ca="1" si="62"/>
        <v/>
      </c>
      <c r="BO59" s="47" t="str">
        <f t="shared" si="97"/>
        <v/>
      </c>
      <c r="BP59" s="46" t="str">
        <f t="shared" ca="1" si="87"/>
        <v/>
      </c>
      <c r="BQ59" s="141" t="str">
        <f ca="1">IFERROR(IF(AND(ISNUMBER($BS59), ISNUMBER(Futs!$CC59)), $BS59 - Futs!$CC59, ""), "")</f>
        <v/>
      </c>
      <c r="BR59" s="46" t="str">
        <f ca="1">IFERROR(IF(AND(ISNUMBER($BT59), ISNUMBER(Futs!$CD59)), $BT59 - Futs!$CD59, ""), "")</f>
        <v/>
      </c>
      <c r="BS59" s="141" t="str">
        <f ca="1">IFERROR(IF(AND(ISNUMBER(Futs!$BY59), ISNUMBER($BL59)), Futs!$BY59 + $BL59, ""), "")</f>
        <v/>
      </c>
      <c r="BT59" s="46" t="str">
        <f ca="1">IFERROR(IF(AND(ISNUMBER(Futs!$BZ59), ISNUMBER($BN59)), Futs!$BZ59 + $BN59, ""), "")</f>
        <v/>
      </c>
      <c r="BU59" s="47" t="str">
        <f t="shared" ca="1" si="88"/>
        <v/>
      </c>
      <c r="BV59" s="111" t="str">
        <f t="shared" ca="1" si="89"/>
        <v/>
      </c>
      <c r="BX59" s="92"/>
    </row>
    <row r="60" spans="1:86" x14ac:dyDescent="0.25">
      <c r="A60" s="58">
        <f t="shared" ca="1" si="63"/>
        <v>47515</v>
      </c>
      <c r="B60" s="6">
        <f t="shared" ca="1" si="53"/>
        <v>2030</v>
      </c>
      <c r="C60" s="6" t="str">
        <f t="shared" ca="1" si="54"/>
        <v>Q130</v>
      </c>
      <c r="D60" s="28" t="e">
        <f ca="1">INDEX(ICE[], MATCH(D$18 &amp; TEXT(Crd!$A60, "mmmyy"), ICE[LongCode], 0), MATCH("Settle", ICE[#Headers], 0))</f>
        <v>#N/A</v>
      </c>
      <c r="E60" s="28" t="e">
        <f ca="1">INDEX(ICE[], MATCH(E$18 &amp; TEXT(Crd!$A60, "mmmyy"), ICE[LongCode], 0), MATCH("Settle", ICE[#Headers], 0))</f>
        <v>#N/A</v>
      </c>
      <c r="F60" s="28" t="e">
        <f ca="1">INDEX(ICE[], MATCH(F$18 &amp; TEXT(Crd!$A60, "mmmyy"), ICE[LongCode], 0), MATCH("Settle", ICE[#Headers], 0))</f>
        <v>#N/A</v>
      </c>
      <c r="G60" s="28" t="e">
        <f ca="1">INDEX(ICE[], MATCH(G$18 &amp; TEXT(Crd!$A60, "mmmyy"), ICE[LongCode], 0), MATCH("Settle", ICE[#Headers], 0))</f>
        <v>#N/A</v>
      </c>
      <c r="H60" s="28" t="e">
        <f ca="1">INDEX(ICE[], MATCH(H$18 &amp; TEXT(Crd!$A60, "mmmyy"), ICE[LongCode], 0), MATCH("Settle", ICE[#Headers], 0))</f>
        <v>#N/A</v>
      </c>
      <c r="I60" s="397"/>
      <c r="J60" s="364" t="str">
        <f ca="1">IFERROR(INDEX(ICE[], MATCH("dfl" &amp; TEXT(Crd!$A60, "mmmyy"), ICE[LongCode], 0), MATCH("Text", ICE[#Headers], 0)), "")</f>
        <v/>
      </c>
      <c r="K60" s="46" t="str">
        <f t="shared" ca="1" si="55"/>
        <v/>
      </c>
      <c r="L60" s="47" t="str">
        <f t="shared" si="91"/>
        <v/>
      </c>
      <c r="M60" s="46" t="str">
        <f t="shared" ca="1" si="65"/>
        <v/>
      </c>
      <c r="N60" s="141" t="str">
        <f ca="1">IFERROR(IF(AND(ISNUMBER(Futs!$CC60), ISNUMBER($I60)), Futs!$CC60 + $I60, ""), "")</f>
        <v/>
      </c>
      <c r="O60" s="46" t="str">
        <f ca="1">IFERROR(IF(AND(ISNUMBER(Futs!$CD60), ISNUMBER($K60)), Futs!$CD60 + $K60, ""), "")</f>
        <v/>
      </c>
      <c r="P60" s="47" t="str">
        <f t="shared" ca="1" si="66"/>
        <v/>
      </c>
      <c r="Q60" s="364" t="str">
        <f ca="1">IFERROR(INDEX(ICE[], MATCH("brdtd" &amp; TEXT(Crd!$A60, "mmmyy"), ICE[LongCode], 0), MATCH("Text", ICE[#Headers], 0)), "")</f>
        <v/>
      </c>
      <c r="R60" s="111" t="str">
        <f t="shared" ca="1" si="67"/>
        <v/>
      </c>
      <c r="S60" s="400"/>
      <c r="T60" s="364" t="str">
        <f ca="1">IFERROR(INDEX(ICE[], MATCH("brdub" &amp; TEXT(Crd!$A60, "mmmyy"), ICE[LongCode], 0), MATCH("Text", ICE[#Headers], 0)), "")</f>
        <v/>
      </c>
      <c r="U60" s="46" t="str">
        <f t="shared" ca="1" si="56"/>
        <v/>
      </c>
      <c r="V60" s="68" t="str">
        <f t="shared" si="92"/>
        <v/>
      </c>
      <c r="W60" s="46" t="str">
        <f t="shared" ca="1" si="69"/>
        <v/>
      </c>
      <c r="X60" s="187" t="str">
        <f ca="1">IFERROR(IF(AND(ISNUMBER(Futs!$CC60), ISNUMBER($S60)), Futs!$CC60 - $S60, ""), "")</f>
        <v/>
      </c>
      <c r="Y60" s="46" t="str">
        <f ca="1">IFERROR(IF(AND(ISNUMBER(Futs!$CD60), ISNUMBER($U60)), Futs!$CD60 - $U60, ""), "")</f>
        <v/>
      </c>
      <c r="Z60" s="68" t="str">
        <f t="shared" ca="1" si="70"/>
        <v/>
      </c>
      <c r="AA60" s="364" t="str">
        <f ca="1">IFERROR(INDEX(ICE[], MATCH("brdub" &amp; TEXT(Crd!$A60, "mmmyy"), ICE[LongCode], 0), MATCH("Text", ICE[#Headers], 0)), "")</f>
        <v/>
      </c>
      <c r="AB60" s="46" t="str">
        <f t="shared" ca="1" si="71"/>
        <v/>
      </c>
      <c r="AC60" s="271" t="str">
        <f t="shared" si="90"/>
        <v/>
      </c>
      <c r="AD60" s="46" t="str">
        <f t="shared" ca="1" si="58"/>
        <v/>
      </c>
      <c r="AE60" s="68" t="str">
        <f t="shared" si="93"/>
        <v/>
      </c>
      <c r="AF60" s="111" t="str">
        <f t="shared" ca="1" si="73"/>
        <v/>
      </c>
      <c r="AG60" s="397"/>
      <c r="AH60" s="364" t="str">
        <f ca="1">IFERROR(INDEX(ICE[], MATCH("icemidticma" &amp; TEXT(Crd!$A60, "mmmyy"), ICE[LongCode], 0), MATCH("Text", ICE[#Headers], 0)), "")</f>
        <v/>
      </c>
      <c r="AI60" s="46" t="str">
        <f t="shared" ca="1" si="59"/>
        <v/>
      </c>
      <c r="AJ60" s="47" t="str">
        <f t="shared" si="94"/>
        <v/>
      </c>
      <c r="AK60" s="46" t="str">
        <f t="shared" ca="1" si="75"/>
        <v/>
      </c>
      <c r="AL60" s="141" t="str">
        <f ca="1">IFERROR(IF(AND(ISNUMBER(Futs!$BY60), ISNUMBER($AG60)), Futs!$BY60 + $AG60, ""), "")</f>
        <v/>
      </c>
      <c r="AM60" s="46" t="str">
        <f ca="1">IFERROR(IF(AND(ISNUMBER(Futs!$BZ60), ISNUMBER($AI60)), Futs!$BZ60 + $AI60, ""), "")</f>
        <v/>
      </c>
      <c r="AN60" s="47" t="str">
        <f t="shared" ca="1" si="76"/>
        <v/>
      </c>
      <c r="AO60" s="111" t="str">
        <f t="shared" ca="1" si="77"/>
        <v/>
      </c>
      <c r="AP60" s="397"/>
      <c r="AQ60" s="364" t="str">
        <f ca="1">IFERROR(INDEX(ICE[], MATCH("icemehticma" &amp; TEXT(Crd!$A60, "mmmyy"), ICE[LongCode], 0), MATCH("Text", ICE[#Headers], 0)), "")</f>
        <v/>
      </c>
      <c r="AR60" s="46" t="str">
        <f t="shared" ca="1" si="60"/>
        <v/>
      </c>
      <c r="AS60" s="47" t="str">
        <f t="shared" si="95"/>
        <v/>
      </c>
      <c r="AT60" s="46" t="str">
        <f t="shared" ca="1" si="79"/>
        <v/>
      </c>
      <c r="AU60" s="141" t="str">
        <f ca="1">IFERROR(IF(AND(ISNUMBER($BH60), ISNUMBER(Futs!$CC60)), $BH60 - Futs!$CC60, ""), "")</f>
        <v/>
      </c>
      <c r="AV60" s="46" t="str">
        <f ca="1">IFERROR(IF(AND(ISNUMBER($BI60), ISNUMBER(Futs!$CD60)), $BI60 - Futs!$CD60, ""), "")</f>
        <v/>
      </c>
      <c r="AW60" s="141" t="str">
        <f ca="1">IFERROR(IF(AND(ISNUMBER(Futs!$BY60), ISNUMBER($BA60)), Futs!$BY60 + $BA60, ""), "")</f>
        <v/>
      </c>
      <c r="AX60" s="46" t="str">
        <f ca="1">IFERROR(IF(AND(ISNUMBER(Futs!$BZ60), ISNUMBER($BC60)), Futs!$BZ60 + $BC60, ""), "")</f>
        <v/>
      </c>
      <c r="AY60" s="47" t="str">
        <f t="shared" ca="1" si="80"/>
        <v/>
      </c>
      <c r="AZ60" s="46" t="str">
        <f t="shared" ca="1" si="81"/>
        <v/>
      </c>
      <c r="BA60" s="594"/>
      <c r="BB60" s="364" t="str">
        <f ca="1">IFERROR(INDEX(ICE[], MATCH("icemehticma" &amp; TEXT(Crd!$A60, "mmmyy"), ICE[LongCode], 0), MATCH("Text", ICE[#Headers], 0)), "")</f>
        <v/>
      </c>
      <c r="BC60" s="46" t="str">
        <f t="shared" ca="1" si="61"/>
        <v/>
      </c>
      <c r="BD60" s="47" t="str">
        <f t="shared" si="96"/>
        <v/>
      </c>
      <c r="BE60" s="46" t="str">
        <f t="shared" ca="1" si="83"/>
        <v/>
      </c>
      <c r="BF60" s="141" t="str">
        <f ca="1">IFERROR(IF(AND(ISNUMBER($BH60), ISNUMBER(Futs!$CC60)), $BH60 - Futs!$CC60, ""), "")</f>
        <v/>
      </c>
      <c r="BG60" s="46" t="str">
        <f ca="1">IFERROR(IF(AND(ISNUMBER($BI60), ISNUMBER(Futs!$CD60)), $BI60 - Futs!$CD60, ""), "")</f>
        <v/>
      </c>
      <c r="BH60" s="141" t="str">
        <f ca="1">IFERROR(IF(AND(ISNUMBER(Futs!$BY60), ISNUMBER($BA60)), Futs!$BY60 + $BA60, ""), "")</f>
        <v/>
      </c>
      <c r="BI60" s="46" t="str">
        <f ca="1">IFERROR(IF(AND(ISNUMBER(Futs!$BZ60), ISNUMBER($BC60)), Futs!$BZ60 + $BC60, ""), "")</f>
        <v/>
      </c>
      <c r="BJ60" s="47" t="str">
        <f t="shared" ca="1" si="84"/>
        <v/>
      </c>
      <c r="BK60" s="111" t="str">
        <f t="shared" ca="1" si="85"/>
        <v/>
      </c>
      <c r="BL60" s="397"/>
      <c r="BM60" s="364" t="str">
        <f ca="1">IFERROR(INDEX(ICE[], MATCH("icewcstitma" &amp; TEXT(Crd!$A60, "mmmyy"), ICE[LongCode], 0), MATCH("Text", ICE[#Headers], 0)), "")</f>
        <v/>
      </c>
      <c r="BN60" s="46" t="str">
        <f t="shared" ca="1" si="62"/>
        <v/>
      </c>
      <c r="BO60" s="47" t="str">
        <f t="shared" si="97"/>
        <v/>
      </c>
      <c r="BP60" s="46" t="str">
        <f t="shared" ca="1" si="87"/>
        <v/>
      </c>
      <c r="BQ60" s="141" t="str">
        <f ca="1">IFERROR(IF(AND(ISNUMBER($BS60), ISNUMBER(Futs!$CC60)), $BS60 - Futs!$CC60, ""), "")</f>
        <v/>
      </c>
      <c r="BR60" s="46" t="str">
        <f ca="1">IFERROR(IF(AND(ISNUMBER($BT60), ISNUMBER(Futs!$CD60)), $BT60 - Futs!$CD60, ""), "")</f>
        <v/>
      </c>
      <c r="BS60" s="141" t="str">
        <f ca="1">IFERROR(IF(AND(ISNUMBER(Futs!$BY60), ISNUMBER($BL60)), Futs!$BY60 + $BL60, ""), "")</f>
        <v/>
      </c>
      <c r="BT60" s="46" t="str">
        <f ca="1">IFERROR(IF(AND(ISNUMBER(Futs!$BZ60), ISNUMBER($BN60)), Futs!$BZ60 + $BN60, ""), "")</f>
        <v/>
      </c>
      <c r="BU60" s="47" t="str">
        <f t="shared" ca="1" si="88"/>
        <v/>
      </c>
      <c r="BV60" s="111" t="str">
        <f t="shared" ca="1" si="89"/>
        <v/>
      </c>
      <c r="BX60" s="92"/>
    </row>
    <row r="61" spans="1:86" x14ac:dyDescent="0.25">
      <c r="A61" s="58">
        <f t="shared" ca="1" si="63"/>
        <v>47543</v>
      </c>
      <c r="B61" s="6">
        <f t="shared" ca="1" si="53"/>
        <v>2030</v>
      </c>
      <c r="C61" s="6" t="str">
        <f t="shared" ca="1" si="54"/>
        <v>Q130</v>
      </c>
      <c r="D61" s="28" t="e">
        <f ca="1">INDEX(ICE[], MATCH(D$18 &amp; TEXT(Crd!$A61, "mmmyy"), ICE[LongCode], 0), MATCH("Settle", ICE[#Headers], 0))</f>
        <v>#N/A</v>
      </c>
      <c r="E61" s="28" t="e">
        <f ca="1">INDEX(ICE[], MATCH(E$18 &amp; TEXT(Crd!$A61, "mmmyy"), ICE[LongCode], 0), MATCH("Settle", ICE[#Headers], 0))</f>
        <v>#N/A</v>
      </c>
      <c r="F61" s="28" t="e">
        <f ca="1">INDEX(ICE[], MATCH(F$18 &amp; TEXT(Crd!$A61, "mmmyy"), ICE[LongCode], 0), MATCH("Settle", ICE[#Headers], 0))</f>
        <v>#N/A</v>
      </c>
      <c r="G61" s="28" t="e">
        <f ca="1">INDEX(ICE[], MATCH(G$18 &amp; TEXT(Crd!$A61, "mmmyy"), ICE[LongCode], 0), MATCH("Settle", ICE[#Headers], 0))</f>
        <v>#N/A</v>
      </c>
      <c r="H61" s="28" t="e">
        <f ca="1">INDEX(ICE[], MATCH(H$18 &amp; TEXT(Crd!$A61, "mmmyy"), ICE[LongCode], 0), MATCH("Settle", ICE[#Headers], 0))</f>
        <v>#N/A</v>
      </c>
      <c r="I61" s="397"/>
      <c r="J61" s="364" t="str">
        <f ca="1">IFERROR(INDEX(ICE[], MATCH("dfl" &amp; TEXT(Crd!$A61, "mmmyy"), ICE[LongCode], 0), MATCH("Text", ICE[#Headers], 0)), "")</f>
        <v/>
      </c>
      <c r="K61" s="46" t="str">
        <f t="shared" ca="1" si="55"/>
        <v/>
      </c>
      <c r="L61" s="47" t="str">
        <f t="shared" si="91"/>
        <v/>
      </c>
      <c r="M61" s="46" t="str">
        <f t="shared" ca="1" si="65"/>
        <v/>
      </c>
      <c r="N61" s="141" t="str">
        <f ca="1">IFERROR(IF(AND(ISNUMBER(Futs!$CC61), ISNUMBER($I61)), Futs!$CC61 + $I61, ""), "")</f>
        <v/>
      </c>
      <c r="O61" s="46" t="str">
        <f ca="1">IFERROR(IF(AND(ISNUMBER(Futs!$CD61), ISNUMBER($K61)), Futs!$CD61 + $K61, ""), "")</f>
        <v/>
      </c>
      <c r="P61" s="47" t="str">
        <f t="shared" ca="1" si="66"/>
        <v/>
      </c>
      <c r="Q61" s="364" t="str">
        <f ca="1">IFERROR(INDEX(ICE[], MATCH("brdtd" &amp; TEXT(Crd!$A61, "mmmyy"), ICE[LongCode], 0), MATCH("Text", ICE[#Headers], 0)), "")</f>
        <v/>
      </c>
      <c r="R61" s="111" t="str">
        <f t="shared" ca="1" si="67"/>
        <v/>
      </c>
      <c r="S61" s="400"/>
      <c r="T61" s="364" t="str">
        <f ca="1">IFERROR(INDEX(ICE[], MATCH("brdub" &amp; TEXT(Crd!$A61, "mmmyy"), ICE[LongCode], 0), MATCH("Text", ICE[#Headers], 0)), "")</f>
        <v/>
      </c>
      <c r="U61" s="46" t="str">
        <f t="shared" ca="1" si="56"/>
        <v/>
      </c>
      <c r="V61" s="68" t="str">
        <f t="shared" si="92"/>
        <v/>
      </c>
      <c r="W61" s="46" t="str">
        <f t="shared" ca="1" si="69"/>
        <v/>
      </c>
      <c r="X61" s="187" t="str">
        <f ca="1">IFERROR(IF(AND(ISNUMBER(Futs!$CC61), ISNUMBER($S61)), Futs!$CC61 - $S61, ""), "")</f>
        <v/>
      </c>
      <c r="Y61" s="46" t="str">
        <f ca="1">IFERROR(IF(AND(ISNUMBER(Futs!$CD61), ISNUMBER($U61)), Futs!$CD61 - $U61, ""), "")</f>
        <v/>
      </c>
      <c r="Z61" s="68" t="str">
        <f t="shared" ca="1" si="70"/>
        <v/>
      </c>
      <c r="AA61" s="364" t="str">
        <f ca="1">IFERROR(INDEX(ICE[], MATCH("brdub" &amp; TEXT(Crd!$A61, "mmmyy"), ICE[LongCode], 0), MATCH("Text", ICE[#Headers], 0)), "")</f>
        <v/>
      </c>
      <c r="AB61" s="46" t="str">
        <f t="shared" ca="1" si="71"/>
        <v/>
      </c>
      <c r="AC61" s="271" t="str">
        <f t="shared" si="90"/>
        <v/>
      </c>
      <c r="AD61" s="46" t="str">
        <f t="shared" ca="1" si="58"/>
        <v/>
      </c>
      <c r="AE61" s="68" t="str">
        <f t="shared" si="93"/>
        <v/>
      </c>
      <c r="AF61" s="111" t="str">
        <f t="shared" ca="1" si="73"/>
        <v/>
      </c>
      <c r="AG61" s="397"/>
      <c r="AH61" s="364" t="str">
        <f ca="1">IFERROR(INDEX(ICE[], MATCH("icemidticma" &amp; TEXT(Crd!$A61, "mmmyy"), ICE[LongCode], 0), MATCH("Text", ICE[#Headers], 0)), "")</f>
        <v/>
      </c>
      <c r="AI61" s="46" t="str">
        <f t="shared" ca="1" si="59"/>
        <v/>
      </c>
      <c r="AJ61" s="47" t="str">
        <f t="shared" si="94"/>
        <v/>
      </c>
      <c r="AK61" s="46" t="str">
        <f t="shared" ca="1" si="75"/>
        <v/>
      </c>
      <c r="AL61" s="141" t="str">
        <f ca="1">IFERROR(IF(AND(ISNUMBER(Futs!$BY61), ISNUMBER($AG61)), Futs!$BY61 + $AG61, ""), "")</f>
        <v/>
      </c>
      <c r="AM61" s="46" t="str">
        <f ca="1">IFERROR(IF(AND(ISNUMBER(Futs!$BZ61), ISNUMBER($AI61)), Futs!$BZ61 + $AI61, ""), "")</f>
        <v/>
      </c>
      <c r="AN61" s="47" t="str">
        <f t="shared" ca="1" si="76"/>
        <v/>
      </c>
      <c r="AO61" s="111" t="str">
        <f t="shared" ca="1" si="77"/>
        <v/>
      </c>
      <c r="AP61" s="397"/>
      <c r="AQ61" s="364" t="str">
        <f ca="1">IFERROR(INDEX(ICE[], MATCH("icemehticma" &amp; TEXT(Crd!$A61, "mmmyy"), ICE[LongCode], 0), MATCH("Text", ICE[#Headers], 0)), "")</f>
        <v/>
      </c>
      <c r="AR61" s="46" t="str">
        <f t="shared" ca="1" si="60"/>
        <v/>
      </c>
      <c r="AS61" s="47" t="str">
        <f t="shared" si="95"/>
        <v/>
      </c>
      <c r="AT61" s="46" t="str">
        <f t="shared" ca="1" si="79"/>
        <v/>
      </c>
      <c r="AU61" s="141" t="str">
        <f ca="1">IFERROR(IF(AND(ISNUMBER($BH61), ISNUMBER(Futs!$CC61)), $BH61 - Futs!$CC61, ""), "")</f>
        <v/>
      </c>
      <c r="AV61" s="46" t="str">
        <f ca="1">IFERROR(IF(AND(ISNUMBER($BI61), ISNUMBER(Futs!$CD61)), $BI61 - Futs!$CD61, ""), "")</f>
        <v/>
      </c>
      <c r="AW61" s="141" t="str">
        <f ca="1">IFERROR(IF(AND(ISNUMBER(Futs!$BY61), ISNUMBER($BA61)), Futs!$BY61 + $BA61, ""), "")</f>
        <v/>
      </c>
      <c r="AX61" s="46" t="str">
        <f ca="1">IFERROR(IF(AND(ISNUMBER(Futs!$BZ61), ISNUMBER($BC61)), Futs!$BZ61 + $BC61, ""), "")</f>
        <v/>
      </c>
      <c r="AY61" s="47" t="str">
        <f t="shared" ca="1" si="80"/>
        <v/>
      </c>
      <c r="AZ61" s="46" t="str">
        <f t="shared" ca="1" si="81"/>
        <v/>
      </c>
      <c r="BA61" s="594"/>
      <c r="BB61" s="364" t="str">
        <f ca="1">IFERROR(INDEX(ICE[], MATCH("icemehticma" &amp; TEXT(Crd!$A61, "mmmyy"), ICE[LongCode], 0), MATCH("Text", ICE[#Headers], 0)), "")</f>
        <v/>
      </c>
      <c r="BC61" s="46" t="str">
        <f t="shared" ca="1" si="61"/>
        <v/>
      </c>
      <c r="BD61" s="47" t="str">
        <f t="shared" si="96"/>
        <v/>
      </c>
      <c r="BE61" s="46" t="str">
        <f t="shared" ca="1" si="83"/>
        <v/>
      </c>
      <c r="BF61" s="141" t="str">
        <f ca="1">IFERROR(IF(AND(ISNUMBER($BH61), ISNUMBER(Futs!$CC61)), $BH61 - Futs!$CC61, ""), "")</f>
        <v/>
      </c>
      <c r="BG61" s="46" t="str">
        <f ca="1">IFERROR(IF(AND(ISNUMBER($BI61), ISNUMBER(Futs!$CD61)), $BI61 - Futs!$CD61, ""), "")</f>
        <v/>
      </c>
      <c r="BH61" s="141" t="str">
        <f ca="1">IFERROR(IF(AND(ISNUMBER(Futs!$BY61), ISNUMBER($BA61)), Futs!$BY61 + $BA61, ""), "")</f>
        <v/>
      </c>
      <c r="BI61" s="46" t="str">
        <f ca="1">IFERROR(IF(AND(ISNUMBER(Futs!$BZ61), ISNUMBER($BC61)), Futs!$BZ61 + $BC61, ""), "")</f>
        <v/>
      </c>
      <c r="BJ61" s="47" t="str">
        <f t="shared" ca="1" si="84"/>
        <v/>
      </c>
      <c r="BK61" s="111" t="str">
        <f t="shared" ca="1" si="85"/>
        <v/>
      </c>
      <c r="BL61" s="397"/>
      <c r="BM61" s="364" t="str">
        <f ca="1">IFERROR(INDEX(ICE[], MATCH("icewcstitma" &amp; TEXT(Crd!$A61, "mmmyy"), ICE[LongCode], 0), MATCH("Text", ICE[#Headers], 0)), "")</f>
        <v/>
      </c>
      <c r="BN61" s="46" t="str">
        <f t="shared" ca="1" si="62"/>
        <v/>
      </c>
      <c r="BO61" s="47" t="str">
        <f t="shared" si="97"/>
        <v/>
      </c>
      <c r="BP61" s="46" t="str">
        <f t="shared" ca="1" si="87"/>
        <v/>
      </c>
      <c r="BQ61" s="141" t="str">
        <f ca="1">IFERROR(IF(AND(ISNUMBER($BS61), ISNUMBER(Futs!$CC61)), $BS61 - Futs!$CC61, ""), "")</f>
        <v/>
      </c>
      <c r="BR61" s="46" t="str">
        <f ca="1">IFERROR(IF(AND(ISNUMBER($BT61), ISNUMBER(Futs!$CD61)), $BT61 - Futs!$CD61, ""), "")</f>
        <v/>
      </c>
      <c r="BS61" s="141" t="str">
        <f ca="1">IFERROR(IF(AND(ISNUMBER(Futs!$BY61), ISNUMBER($BL61)), Futs!$BY61 + $BL61, ""), "")</f>
        <v/>
      </c>
      <c r="BT61" s="46" t="str">
        <f ca="1">IFERROR(IF(AND(ISNUMBER(Futs!$BZ61), ISNUMBER($BN61)), Futs!$BZ61 + $BN61, ""), "")</f>
        <v/>
      </c>
      <c r="BU61" s="47" t="str">
        <f t="shared" ca="1" si="88"/>
        <v/>
      </c>
      <c r="BV61" s="111" t="str">
        <f t="shared" ca="1" si="89"/>
        <v/>
      </c>
      <c r="BX61" s="92"/>
    </row>
    <row r="62" spans="1:86" x14ac:dyDescent="0.25">
      <c r="A62" s="58">
        <f t="shared" ca="1" si="63"/>
        <v>47574</v>
      </c>
      <c r="B62" s="6">
        <f t="shared" ca="1" si="53"/>
        <v>2030</v>
      </c>
      <c r="C62" s="6" t="str">
        <f t="shared" ca="1" si="54"/>
        <v>Q230</v>
      </c>
      <c r="D62" s="28" t="e">
        <f ca="1">INDEX(ICE[], MATCH(D$18 &amp; TEXT(Crd!$A62, "mmmyy"), ICE[LongCode], 0), MATCH("Settle", ICE[#Headers], 0))</f>
        <v>#N/A</v>
      </c>
      <c r="E62" s="28" t="e">
        <f ca="1">INDEX(ICE[], MATCH(E$18 &amp; TEXT(Crd!$A62, "mmmyy"), ICE[LongCode], 0), MATCH("Settle", ICE[#Headers], 0))</f>
        <v>#N/A</v>
      </c>
      <c r="F62" s="28" t="e">
        <f ca="1">INDEX(ICE[], MATCH(F$18 &amp; TEXT(Crd!$A62, "mmmyy"), ICE[LongCode], 0), MATCH("Settle", ICE[#Headers], 0))</f>
        <v>#N/A</v>
      </c>
      <c r="G62" s="28" t="e">
        <f ca="1">INDEX(ICE[], MATCH(G$18 &amp; TEXT(Crd!$A62, "mmmyy"), ICE[LongCode], 0), MATCH("Settle", ICE[#Headers], 0))</f>
        <v>#N/A</v>
      </c>
      <c r="H62" s="28" t="e">
        <f ca="1">INDEX(ICE[], MATCH(H$18 &amp; TEXT(Crd!$A62, "mmmyy"), ICE[LongCode], 0), MATCH("Settle", ICE[#Headers], 0))</f>
        <v>#N/A</v>
      </c>
      <c r="I62" s="397"/>
      <c r="J62" s="364" t="str">
        <f ca="1">IFERROR(INDEX(ICE[], MATCH("dfl" &amp; TEXT(Crd!$A62, "mmmyy"), ICE[LongCode], 0), MATCH("Text", ICE[#Headers], 0)), "")</f>
        <v/>
      </c>
      <c r="K62" s="46" t="str">
        <f t="shared" ca="1" si="55"/>
        <v/>
      </c>
      <c r="L62" s="47" t="str">
        <f t="shared" si="91"/>
        <v/>
      </c>
      <c r="M62" s="46" t="str">
        <f t="shared" ca="1" si="65"/>
        <v/>
      </c>
      <c r="N62" s="141" t="str">
        <f ca="1">IFERROR(IF(AND(ISNUMBER(Futs!$CC62), ISNUMBER($I62)), Futs!$CC62 + $I62, ""), "")</f>
        <v/>
      </c>
      <c r="O62" s="46" t="str">
        <f ca="1">IFERROR(IF(AND(ISNUMBER(Futs!$CD62), ISNUMBER($K62)), Futs!$CD62 + $K62, ""), "")</f>
        <v/>
      </c>
      <c r="P62" s="47" t="str">
        <f t="shared" ca="1" si="66"/>
        <v/>
      </c>
      <c r="Q62" s="364" t="str">
        <f ca="1">IFERROR(INDEX(ICE[], MATCH("brdtd" &amp; TEXT(Crd!$A62, "mmmyy"), ICE[LongCode], 0), MATCH("Text", ICE[#Headers], 0)), "")</f>
        <v/>
      </c>
      <c r="R62" s="111" t="str">
        <f t="shared" ca="1" si="67"/>
        <v/>
      </c>
      <c r="S62" s="400"/>
      <c r="T62" s="364" t="str">
        <f ca="1">IFERROR(INDEX(ICE[], MATCH("brdub" &amp; TEXT(Crd!$A62, "mmmyy"), ICE[LongCode], 0), MATCH("Text", ICE[#Headers], 0)), "")</f>
        <v/>
      </c>
      <c r="U62" s="46" t="str">
        <f t="shared" ca="1" si="56"/>
        <v/>
      </c>
      <c r="V62" s="68" t="str">
        <f t="shared" si="92"/>
        <v/>
      </c>
      <c r="W62" s="46" t="str">
        <f t="shared" ca="1" si="69"/>
        <v/>
      </c>
      <c r="X62" s="187" t="str">
        <f ca="1">IFERROR(IF(AND(ISNUMBER(Futs!$CC62), ISNUMBER($S62)), Futs!$CC62 - $S62, ""), "")</f>
        <v/>
      </c>
      <c r="Y62" s="46" t="str">
        <f ca="1">IFERROR(IF(AND(ISNUMBER(Futs!$CD62), ISNUMBER($U62)), Futs!$CD62 - $U62, ""), "")</f>
        <v/>
      </c>
      <c r="Z62" s="68" t="str">
        <f t="shared" ca="1" si="70"/>
        <v/>
      </c>
      <c r="AA62" s="364" t="str">
        <f ca="1">IFERROR(INDEX(ICE[], MATCH("brdub" &amp; TEXT(Crd!$A62, "mmmyy"), ICE[LongCode], 0), MATCH("Text", ICE[#Headers], 0)), "")</f>
        <v/>
      </c>
      <c r="AB62" s="46" t="str">
        <f t="shared" ca="1" si="71"/>
        <v/>
      </c>
      <c r="AC62" s="271" t="str">
        <f t="shared" si="90"/>
        <v/>
      </c>
      <c r="AD62" s="46" t="str">
        <f t="shared" ca="1" si="58"/>
        <v/>
      </c>
      <c r="AE62" s="68" t="str">
        <f t="shared" si="93"/>
        <v/>
      </c>
      <c r="AF62" s="111" t="str">
        <f t="shared" ca="1" si="73"/>
        <v/>
      </c>
      <c r="AG62" s="397"/>
      <c r="AH62" s="364" t="str">
        <f ca="1">IFERROR(INDEX(ICE[], MATCH("icemidticma" &amp; TEXT(Crd!$A62, "mmmyy"), ICE[LongCode], 0), MATCH("Text", ICE[#Headers], 0)), "")</f>
        <v/>
      </c>
      <c r="AI62" s="46" t="str">
        <f t="shared" ca="1" si="59"/>
        <v/>
      </c>
      <c r="AJ62" s="47" t="str">
        <f t="shared" si="94"/>
        <v/>
      </c>
      <c r="AK62" s="46" t="str">
        <f t="shared" ca="1" si="75"/>
        <v/>
      </c>
      <c r="AL62" s="141" t="str">
        <f ca="1">IFERROR(IF(AND(ISNUMBER(Futs!$BY62), ISNUMBER($AG62)), Futs!$BY62 + $AG62, ""), "")</f>
        <v/>
      </c>
      <c r="AM62" s="46" t="str">
        <f ca="1">IFERROR(IF(AND(ISNUMBER(Futs!$BZ62), ISNUMBER($AI62)), Futs!$BZ62 + $AI62, ""), "")</f>
        <v/>
      </c>
      <c r="AN62" s="47" t="str">
        <f t="shared" ca="1" si="76"/>
        <v/>
      </c>
      <c r="AO62" s="111" t="str">
        <f t="shared" ca="1" si="77"/>
        <v/>
      </c>
      <c r="AP62" s="397"/>
      <c r="AQ62" s="364" t="str">
        <f ca="1">IFERROR(INDEX(ICE[], MATCH("icemehticma" &amp; TEXT(Crd!$A62, "mmmyy"), ICE[LongCode], 0), MATCH("Text", ICE[#Headers], 0)), "")</f>
        <v/>
      </c>
      <c r="AR62" s="46" t="str">
        <f t="shared" ca="1" si="60"/>
        <v/>
      </c>
      <c r="AS62" s="47" t="str">
        <f t="shared" si="95"/>
        <v/>
      </c>
      <c r="AT62" s="46" t="str">
        <f t="shared" ca="1" si="79"/>
        <v/>
      </c>
      <c r="AU62" s="141" t="str">
        <f ca="1">IFERROR(IF(AND(ISNUMBER($BH62), ISNUMBER(Futs!$CC62)), $BH62 - Futs!$CC62, ""), "")</f>
        <v/>
      </c>
      <c r="AV62" s="46" t="str">
        <f ca="1">IFERROR(IF(AND(ISNUMBER($BI62), ISNUMBER(Futs!$CD62)), $BI62 - Futs!$CD62, ""), "")</f>
        <v/>
      </c>
      <c r="AW62" s="141" t="str">
        <f ca="1">IFERROR(IF(AND(ISNUMBER(Futs!$BY62), ISNUMBER($BA62)), Futs!$BY62 + $BA62, ""), "")</f>
        <v/>
      </c>
      <c r="AX62" s="46" t="str">
        <f ca="1">IFERROR(IF(AND(ISNUMBER(Futs!$BZ62), ISNUMBER($BC62)), Futs!$BZ62 + $BC62, ""), "")</f>
        <v/>
      </c>
      <c r="AY62" s="47" t="str">
        <f t="shared" ca="1" si="80"/>
        <v/>
      </c>
      <c r="AZ62" s="46" t="str">
        <f t="shared" ca="1" si="81"/>
        <v/>
      </c>
      <c r="BA62" s="594"/>
      <c r="BB62" s="364" t="str">
        <f ca="1">IFERROR(INDEX(ICE[], MATCH("icemehticma" &amp; TEXT(Crd!$A62, "mmmyy"), ICE[LongCode], 0), MATCH("Text", ICE[#Headers], 0)), "")</f>
        <v/>
      </c>
      <c r="BC62" s="46" t="str">
        <f t="shared" ca="1" si="61"/>
        <v/>
      </c>
      <c r="BD62" s="47" t="str">
        <f t="shared" si="96"/>
        <v/>
      </c>
      <c r="BE62" s="46" t="str">
        <f t="shared" ca="1" si="83"/>
        <v/>
      </c>
      <c r="BF62" s="141" t="str">
        <f ca="1">IFERROR(IF(AND(ISNUMBER($BH62), ISNUMBER(Futs!$CC62)), $BH62 - Futs!$CC62, ""), "")</f>
        <v/>
      </c>
      <c r="BG62" s="46" t="str">
        <f ca="1">IFERROR(IF(AND(ISNUMBER($BI62), ISNUMBER(Futs!$CD62)), $BI62 - Futs!$CD62, ""), "")</f>
        <v/>
      </c>
      <c r="BH62" s="141" t="str">
        <f ca="1">IFERROR(IF(AND(ISNUMBER(Futs!$BY62), ISNUMBER($BA62)), Futs!$BY62 + $BA62, ""), "")</f>
        <v/>
      </c>
      <c r="BI62" s="46" t="str">
        <f ca="1">IFERROR(IF(AND(ISNUMBER(Futs!$BZ62), ISNUMBER($BC62)), Futs!$BZ62 + $BC62, ""), "")</f>
        <v/>
      </c>
      <c r="BJ62" s="47" t="str">
        <f t="shared" ca="1" si="84"/>
        <v/>
      </c>
      <c r="BK62" s="111" t="str">
        <f t="shared" ca="1" si="85"/>
        <v/>
      </c>
      <c r="BL62" s="397"/>
      <c r="BM62" s="364" t="str">
        <f ca="1">IFERROR(INDEX(ICE[], MATCH("icewcstitma" &amp; TEXT(Crd!$A62, "mmmyy"), ICE[LongCode], 0), MATCH("Text", ICE[#Headers], 0)), "")</f>
        <v/>
      </c>
      <c r="BN62" s="46" t="str">
        <f t="shared" ca="1" si="62"/>
        <v/>
      </c>
      <c r="BO62" s="47" t="str">
        <f t="shared" si="97"/>
        <v/>
      </c>
      <c r="BP62" s="46" t="str">
        <f t="shared" ca="1" si="87"/>
        <v/>
      </c>
      <c r="BQ62" s="141" t="str">
        <f ca="1">IFERROR(IF(AND(ISNUMBER($BS62), ISNUMBER(Futs!$CC62)), $BS62 - Futs!$CC62, ""), "")</f>
        <v/>
      </c>
      <c r="BR62" s="46" t="str">
        <f ca="1">IFERROR(IF(AND(ISNUMBER($BT62), ISNUMBER(Futs!$CD62)), $BT62 - Futs!$CD62, ""), "")</f>
        <v/>
      </c>
      <c r="BS62" s="141" t="str">
        <f ca="1">IFERROR(IF(AND(ISNUMBER(Futs!$BY62), ISNUMBER($BL62)), Futs!$BY62 + $BL62, ""), "")</f>
        <v/>
      </c>
      <c r="BT62" s="46" t="str">
        <f ca="1">IFERROR(IF(AND(ISNUMBER(Futs!$BZ62), ISNUMBER($BN62)), Futs!$BZ62 + $BN62, ""), "")</f>
        <v/>
      </c>
      <c r="BU62" s="47" t="str">
        <f t="shared" ca="1" si="88"/>
        <v/>
      </c>
      <c r="BV62" s="111" t="str">
        <f t="shared" ca="1" si="89"/>
        <v/>
      </c>
      <c r="BX62" s="92"/>
    </row>
    <row r="63" spans="1:86" x14ac:dyDescent="0.25">
      <c r="A63" s="58">
        <f t="shared" ca="1" si="63"/>
        <v>47604</v>
      </c>
      <c r="B63" s="6">
        <f t="shared" ca="1" si="53"/>
        <v>2030</v>
      </c>
      <c r="C63" s="6" t="str">
        <f t="shared" ca="1" si="54"/>
        <v>Q230</v>
      </c>
      <c r="D63" s="28" t="e">
        <f ca="1">INDEX(ICE[], MATCH(D$18 &amp; TEXT(Crd!$A63, "mmmyy"), ICE[LongCode], 0), MATCH("Settle", ICE[#Headers], 0))</f>
        <v>#N/A</v>
      </c>
      <c r="E63" s="28" t="e">
        <f ca="1">INDEX(ICE[], MATCH(E$18 &amp; TEXT(Crd!$A63, "mmmyy"), ICE[LongCode], 0), MATCH("Settle", ICE[#Headers], 0))</f>
        <v>#N/A</v>
      </c>
      <c r="F63" s="28" t="e">
        <f ca="1">INDEX(ICE[], MATCH(F$18 &amp; TEXT(Crd!$A63, "mmmyy"), ICE[LongCode], 0), MATCH("Settle", ICE[#Headers], 0))</f>
        <v>#N/A</v>
      </c>
      <c r="G63" s="28" t="e">
        <f ca="1">INDEX(ICE[], MATCH(G$18 &amp; TEXT(Crd!$A63, "mmmyy"), ICE[LongCode], 0), MATCH("Settle", ICE[#Headers], 0))</f>
        <v>#N/A</v>
      </c>
      <c r="H63" s="28" t="e">
        <f ca="1">INDEX(ICE[], MATCH(H$18 &amp; TEXT(Crd!$A63, "mmmyy"), ICE[LongCode], 0), MATCH("Settle", ICE[#Headers], 0))</f>
        <v>#N/A</v>
      </c>
      <c r="I63" s="397"/>
      <c r="J63" s="364" t="str">
        <f ca="1">IFERROR(INDEX(ICE[], MATCH("dfl" &amp; TEXT(Crd!$A63, "mmmyy"), ICE[LongCode], 0), MATCH("Text", ICE[#Headers], 0)), "")</f>
        <v/>
      </c>
      <c r="K63" s="46" t="str">
        <f t="shared" ca="1" si="55"/>
        <v/>
      </c>
      <c r="L63" s="47" t="str">
        <f t="shared" si="91"/>
        <v/>
      </c>
      <c r="M63" s="46" t="str">
        <f t="shared" ca="1" si="65"/>
        <v/>
      </c>
      <c r="N63" s="141" t="str">
        <f ca="1">IFERROR(IF(AND(ISNUMBER(Futs!$CC63), ISNUMBER($I63)), Futs!$CC63 + $I63, ""), "")</f>
        <v/>
      </c>
      <c r="O63" s="46" t="str">
        <f ca="1">IFERROR(IF(AND(ISNUMBER(Futs!$CD63), ISNUMBER($K63)), Futs!$CD63 + $K63, ""), "")</f>
        <v/>
      </c>
      <c r="P63" s="47" t="str">
        <f t="shared" ca="1" si="66"/>
        <v/>
      </c>
      <c r="Q63" s="364" t="str">
        <f ca="1">IFERROR(INDEX(ICE[], MATCH("brdtd" &amp; TEXT(Crd!$A63, "mmmyy"), ICE[LongCode], 0), MATCH("Text", ICE[#Headers], 0)), "")</f>
        <v/>
      </c>
      <c r="R63" s="111" t="str">
        <f t="shared" ca="1" si="67"/>
        <v/>
      </c>
      <c r="S63" s="400"/>
      <c r="T63" s="364" t="str">
        <f ca="1">IFERROR(INDEX(ICE[], MATCH("brdub" &amp; TEXT(Crd!$A63, "mmmyy"), ICE[LongCode], 0), MATCH("Text", ICE[#Headers], 0)), "")</f>
        <v/>
      </c>
      <c r="U63" s="46" t="str">
        <f t="shared" ca="1" si="56"/>
        <v/>
      </c>
      <c r="V63" s="68" t="str">
        <f t="shared" si="92"/>
        <v/>
      </c>
      <c r="W63" s="46" t="str">
        <f t="shared" ca="1" si="69"/>
        <v/>
      </c>
      <c r="X63" s="187" t="str">
        <f ca="1">IFERROR(IF(AND(ISNUMBER(Futs!$CC63), ISNUMBER($S63)), Futs!$CC63 - $S63, ""), "")</f>
        <v/>
      </c>
      <c r="Y63" s="46" t="str">
        <f ca="1">IFERROR(IF(AND(ISNUMBER(Futs!$CD63), ISNUMBER($U63)), Futs!$CD63 - $U63, ""), "")</f>
        <v/>
      </c>
      <c r="Z63" s="68" t="str">
        <f t="shared" ca="1" si="70"/>
        <v/>
      </c>
      <c r="AA63" s="364" t="str">
        <f ca="1">IFERROR(INDEX(ICE[], MATCH("brdub" &amp; TEXT(Crd!$A63, "mmmyy"), ICE[LongCode], 0), MATCH("Text", ICE[#Headers], 0)), "")</f>
        <v/>
      </c>
      <c r="AB63" s="46" t="str">
        <f t="shared" ca="1" si="71"/>
        <v/>
      </c>
      <c r="AC63" s="271" t="str">
        <f t="shared" si="90"/>
        <v/>
      </c>
      <c r="AD63" s="46" t="str">
        <f t="shared" ca="1" si="58"/>
        <v/>
      </c>
      <c r="AE63" s="68" t="str">
        <f t="shared" si="93"/>
        <v/>
      </c>
      <c r="AF63" s="111" t="str">
        <f t="shared" ca="1" si="73"/>
        <v/>
      </c>
      <c r="AG63" s="397"/>
      <c r="AH63" s="364" t="str">
        <f ca="1">IFERROR(INDEX(ICE[], MATCH("icemidticma" &amp; TEXT(Crd!$A63, "mmmyy"), ICE[LongCode], 0), MATCH("Text", ICE[#Headers], 0)), "")</f>
        <v/>
      </c>
      <c r="AI63" s="46" t="str">
        <f t="shared" ca="1" si="59"/>
        <v/>
      </c>
      <c r="AJ63" s="47" t="str">
        <f t="shared" si="94"/>
        <v/>
      </c>
      <c r="AK63" s="46" t="str">
        <f t="shared" ca="1" si="75"/>
        <v/>
      </c>
      <c r="AL63" s="141" t="str">
        <f ca="1">IFERROR(IF(AND(ISNUMBER(Futs!$BY63), ISNUMBER($AG63)), Futs!$BY63 + $AG63, ""), "")</f>
        <v/>
      </c>
      <c r="AM63" s="46" t="str">
        <f ca="1">IFERROR(IF(AND(ISNUMBER(Futs!$BZ63), ISNUMBER($AI63)), Futs!$BZ63 + $AI63, ""), "")</f>
        <v/>
      </c>
      <c r="AN63" s="47" t="str">
        <f t="shared" ca="1" si="76"/>
        <v/>
      </c>
      <c r="AO63" s="111" t="str">
        <f t="shared" ca="1" si="77"/>
        <v/>
      </c>
      <c r="AP63" s="397"/>
      <c r="AQ63" s="364" t="str">
        <f ca="1">IFERROR(INDEX(ICE[], MATCH("icemehticma" &amp; TEXT(Crd!$A63, "mmmyy"), ICE[LongCode], 0), MATCH("Text", ICE[#Headers], 0)), "")</f>
        <v/>
      </c>
      <c r="AR63" s="46" t="str">
        <f t="shared" ca="1" si="60"/>
        <v/>
      </c>
      <c r="AS63" s="47" t="str">
        <f t="shared" si="95"/>
        <v/>
      </c>
      <c r="AT63" s="46" t="str">
        <f t="shared" ca="1" si="79"/>
        <v/>
      </c>
      <c r="AU63" s="141" t="str">
        <f ca="1">IFERROR(IF(AND(ISNUMBER($BH63), ISNUMBER(Futs!$CC63)), $BH63 - Futs!$CC63, ""), "")</f>
        <v/>
      </c>
      <c r="AV63" s="46" t="str">
        <f ca="1">IFERROR(IF(AND(ISNUMBER($BI63), ISNUMBER(Futs!$CD63)), $BI63 - Futs!$CD63, ""), "")</f>
        <v/>
      </c>
      <c r="AW63" s="141" t="str">
        <f ca="1">IFERROR(IF(AND(ISNUMBER(Futs!$BY63), ISNUMBER($BA63)), Futs!$BY63 + $BA63, ""), "")</f>
        <v/>
      </c>
      <c r="AX63" s="46" t="str">
        <f ca="1">IFERROR(IF(AND(ISNUMBER(Futs!$BZ63), ISNUMBER($BC63)), Futs!$BZ63 + $BC63, ""), "")</f>
        <v/>
      </c>
      <c r="AY63" s="47" t="str">
        <f t="shared" ca="1" si="80"/>
        <v/>
      </c>
      <c r="AZ63" s="46" t="str">
        <f t="shared" ca="1" si="81"/>
        <v/>
      </c>
      <c r="BA63" s="594"/>
      <c r="BB63" s="364" t="str">
        <f ca="1">IFERROR(INDEX(ICE[], MATCH("icemehticma" &amp; TEXT(Crd!$A63, "mmmyy"), ICE[LongCode], 0), MATCH("Text", ICE[#Headers], 0)), "")</f>
        <v/>
      </c>
      <c r="BC63" s="46" t="str">
        <f t="shared" ca="1" si="61"/>
        <v/>
      </c>
      <c r="BD63" s="47" t="str">
        <f t="shared" si="96"/>
        <v/>
      </c>
      <c r="BE63" s="46" t="str">
        <f t="shared" ca="1" si="83"/>
        <v/>
      </c>
      <c r="BF63" s="141" t="str">
        <f ca="1">IFERROR(IF(AND(ISNUMBER($BH63), ISNUMBER(Futs!$CC63)), $BH63 - Futs!$CC63, ""), "")</f>
        <v/>
      </c>
      <c r="BG63" s="46" t="str">
        <f ca="1">IFERROR(IF(AND(ISNUMBER($BI63), ISNUMBER(Futs!$CD63)), $BI63 - Futs!$CD63, ""), "")</f>
        <v/>
      </c>
      <c r="BH63" s="141" t="str">
        <f ca="1">IFERROR(IF(AND(ISNUMBER(Futs!$BY63), ISNUMBER($BA63)), Futs!$BY63 + $BA63, ""), "")</f>
        <v/>
      </c>
      <c r="BI63" s="46" t="str">
        <f ca="1">IFERROR(IF(AND(ISNUMBER(Futs!$BZ63), ISNUMBER($BC63)), Futs!$BZ63 + $BC63, ""), "")</f>
        <v/>
      </c>
      <c r="BJ63" s="47" t="str">
        <f t="shared" ca="1" si="84"/>
        <v/>
      </c>
      <c r="BK63" s="111" t="str">
        <f t="shared" ca="1" si="85"/>
        <v/>
      </c>
      <c r="BL63" s="397"/>
      <c r="BM63" s="364" t="str">
        <f ca="1">IFERROR(INDEX(ICE[], MATCH("icewcstitma" &amp; TEXT(Crd!$A63, "mmmyy"), ICE[LongCode], 0), MATCH("Text", ICE[#Headers], 0)), "")</f>
        <v/>
      </c>
      <c r="BN63" s="46" t="str">
        <f t="shared" ca="1" si="62"/>
        <v/>
      </c>
      <c r="BO63" s="47" t="str">
        <f t="shared" si="97"/>
        <v/>
      </c>
      <c r="BP63" s="46" t="str">
        <f t="shared" ca="1" si="87"/>
        <v/>
      </c>
      <c r="BQ63" s="141" t="str">
        <f ca="1">IFERROR(IF(AND(ISNUMBER($BS63), ISNUMBER(Futs!$CC63)), $BS63 - Futs!$CC63, ""), "")</f>
        <v/>
      </c>
      <c r="BR63" s="46" t="str">
        <f ca="1">IFERROR(IF(AND(ISNUMBER($BT63), ISNUMBER(Futs!$CD63)), $BT63 - Futs!$CD63, ""), "")</f>
        <v/>
      </c>
      <c r="BS63" s="141" t="str">
        <f ca="1">IFERROR(IF(AND(ISNUMBER(Futs!$BY63), ISNUMBER($BL63)), Futs!$BY63 + $BL63, ""), "")</f>
        <v/>
      </c>
      <c r="BT63" s="46" t="str">
        <f ca="1">IFERROR(IF(AND(ISNUMBER(Futs!$BZ63), ISNUMBER($BN63)), Futs!$BZ63 + $BN63, ""), "")</f>
        <v/>
      </c>
      <c r="BU63" s="47" t="str">
        <f t="shared" ca="1" si="88"/>
        <v/>
      </c>
      <c r="BV63" s="111" t="str">
        <f t="shared" ca="1" si="89"/>
        <v/>
      </c>
      <c r="BX63" s="92"/>
    </row>
    <row r="64" spans="1:86" x14ac:dyDescent="0.25">
      <c r="A64" s="58">
        <f t="shared" ca="1" si="63"/>
        <v>47635</v>
      </c>
      <c r="B64" s="6">
        <f t="shared" ca="1" si="53"/>
        <v>2030</v>
      </c>
      <c r="C64" s="6" t="str">
        <f t="shared" ca="1" si="54"/>
        <v>Q230</v>
      </c>
      <c r="D64" s="28" t="e">
        <f ca="1">INDEX(ICE[], MATCH(D$18 &amp; TEXT(Crd!$A64, "mmmyy"), ICE[LongCode], 0), MATCH("Settle", ICE[#Headers], 0))</f>
        <v>#N/A</v>
      </c>
      <c r="E64" s="28" t="e">
        <f ca="1">INDEX(ICE[], MATCH(E$18 &amp; TEXT(Crd!$A64, "mmmyy"), ICE[LongCode], 0), MATCH("Settle", ICE[#Headers], 0))</f>
        <v>#N/A</v>
      </c>
      <c r="F64" s="28" t="e">
        <f ca="1">INDEX(ICE[], MATCH(F$18 &amp; TEXT(Crd!$A64, "mmmyy"), ICE[LongCode], 0), MATCH("Settle", ICE[#Headers], 0))</f>
        <v>#N/A</v>
      </c>
      <c r="G64" s="28" t="e">
        <f ca="1">INDEX(ICE[], MATCH(G$18 &amp; TEXT(Crd!$A64, "mmmyy"), ICE[LongCode], 0), MATCH("Settle", ICE[#Headers], 0))</f>
        <v>#N/A</v>
      </c>
      <c r="H64" s="28" t="e">
        <f ca="1">INDEX(ICE[], MATCH(H$18 &amp; TEXT(Crd!$A64, "mmmyy"), ICE[LongCode], 0), MATCH("Settle", ICE[#Headers], 0))</f>
        <v>#N/A</v>
      </c>
      <c r="I64" s="397"/>
      <c r="J64" s="364" t="str">
        <f ca="1">IFERROR(INDEX(ICE[], MATCH("dfl" &amp; TEXT(Crd!$A64, "mmmyy"), ICE[LongCode], 0), MATCH("Text", ICE[#Headers], 0)), "")</f>
        <v/>
      </c>
      <c r="K64" s="46" t="str">
        <f t="shared" ca="1" si="55"/>
        <v/>
      </c>
      <c r="L64" s="47" t="str">
        <f t="shared" si="91"/>
        <v/>
      </c>
      <c r="M64" s="46" t="str">
        <f t="shared" ca="1" si="65"/>
        <v/>
      </c>
      <c r="N64" s="141" t="str">
        <f ca="1">IFERROR(IF(AND(ISNUMBER(Futs!$CC64), ISNUMBER($I64)), Futs!$CC64 + $I64, ""), "")</f>
        <v/>
      </c>
      <c r="O64" s="46" t="str">
        <f ca="1">IFERROR(IF(AND(ISNUMBER(Futs!$CD64), ISNUMBER($K64)), Futs!$CD64 + $K64, ""), "")</f>
        <v/>
      </c>
      <c r="P64" s="47" t="str">
        <f t="shared" ca="1" si="66"/>
        <v/>
      </c>
      <c r="Q64" s="364" t="str">
        <f ca="1">IFERROR(INDEX(ICE[], MATCH("brdtd" &amp; TEXT(Crd!$A64, "mmmyy"), ICE[LongCode], 0), MATCH("Text", ICE[#Headers], 0)), "")</f>
        <v/>
      </c>
      <c r="R64" s="111" t="str">
        <f t="shared" ca="1" si="67"/>
        <v/>
      </c>
      <c r="S64" s="400"/>
      <c r="T64" s="364" t="str">
        <f ca="1">IFERROR(INDEX(ICE[], MATCH("brdub" &amp; TEXT(Crd!$A64, "mmmyy"), ICE[LongCode], 0), MATCH("Text", ICE[#Headers], 0)), "")</f>
        <v/>
      </c>
      <c r="U64" s="46" t="str">
        <f t="shared" ca="1" si="56"/>
        <v/>
      </c>
      <c r="V64" s="68" t="str">
        <f t="shared" si="92"/>
        <v/>
      </c>
      <c r="W64" s="46" t="str">
        <f t="shared" ca="1" si="69"/>
        <v/>
      </c>
      <c r="X64" s="187" t="str">
        <f ca="1">IFERROR(IF(AND(ISNUMBER(Futs!$CC64), ISNUMBER($S64)), Futs!$CC64 - $S64, ""), "")</f>
        <v/>
      </c>
      <c r="Y64" s="46" t="str">
        <f ca="1">IFERROR(IF(AND(ISNUMBER(Futs!$CD64), ISNUMBER($U64)), Futs!$CD64 - $U64, ""), "")</f>
        <v/>
      </c>
      <c r="Z64" s="68" t="str">
        <f t="shared" ca="1" si="70"/>
        <v/>
      </c>
      <c r="AA64" s="364" t="str">
        <f ca="1">IFERROR(INDEX(ICE[], MATCH("brdub" &amp; TEXT(Crd!$A64, "mmmyy"), ICE[LongCode], 0), MATCH("Text", ICE[#Headers], 0)), "")</f>
        <v/>
      </c>
      <c r="AB64" s="46" t="str">
        <f t="shared" ca="1" si="71"/>
        <v/>
      </c>
      <c r="AC64" s="271" t="str">
        <f t="shared" si="90"/>
        <v/>
      </c>
      <c r="AD64" s="46" t="str">
        <f t="shared" ca="1" si="58"/>
        <v/>
      </c>
      <c r="AE64" s="68" t="str">
        <f t="shared" si="93"/>
        <v/>
      </c>
      <c r="AF64" s="111" t="str">
        <f t="shared" ca="1" si="73"/>
        <v/>
      </c>
      <c r="AG64" s="397"/>
      <c r="AH64" s="364" t="str">
        <f ca="1">IFERROR(INDEX(ICE[], MATCH("icemidticma" &amp; TEXT(Crd!$A64, "mmmyy"), ICE[LongCode], 0), MATCH("Text", ICE[#Headers], 0)), "")</f>
        <v/>
      </c>
      <c r="AI64" s="46" t="str">
        <f t="shared" ca="1" si="59"/>
        <v/>
      </c>
      <c r="AJ64" s="47" t="str">
        <f t="shared" si="94"/>
        <v/>
      </c>
      <c r="AK64" s="46" t="str">
        <f t="shared" ca="1" si="75"/>
        <v/>
      </c>
      <c r="AL64" s="141" t="str">
        <f ca="1">IFERROR(IF(AND(ISNUMBER(Futs!$BY64), ISNUMBER($AG64)), Futs!$BY64 + $AG64, ""), "")</f>
        <v/>
      </c>
      <c r="AM64" s="46" t="str">
        <f ca="1">IFERROR(IF(AND(ISNUMBER(Futs!$BZ64), ISNUMBER($AI64)), Futs!$BZ64 + $AI64, ""), "")</f>
        <v/>
      </c>
      <c r="AN64" s="47" t="str">
        <f t="shared" ca="1" si="76"/>
        <v/>
      </c>
      <c r="AO64" s="111" t="str">
        <f t="shared" ca="1" si="77"/>
        <v/>
      </c>
      <c r="AP64" s="397"/>
      <c r="AQ64" s="364" t="str">
        <f ca="1">IFERROR(INDEX(ICE[], MATCH("icemehticma" &amp; TEXT(Crd!$A64, "mmmyy"), ICE[LongCode], 0), MATCH("Text", ICE[#Headers], 0)), "")</f>
        <v/>
      </c>
      <c r="AR64" s="46" t="str">
        <f t="shared" ca="1" si="60"/>
        <v/>
      </c>
      <c r="AS64" s="47" t="str">
        <f t="shared" si="95"/>
        <v/>
      </c>
      <c r="AT64" s="46" t="str">
        <f t="shared" ca="1" si="79"/>
        <v/>
      </c>
      <c r="AU64" s="141" t="str">
        <f ca="1">IFERROR(IF(AND(ISNUMBER($BH64), ISNUMBER(Futs!$CC64)), $BH64 - Futs!$CC64, ""), "")</f>
        <v/>
      </c>
      <c r="AV64" s="46" t="str">
        <f ca="1">IFERROR(IF(AND(ISNUMBER($BI64), ISNUMBER(Futs!$CD64)), $BI64 - Futs!$CD64, ""), "")</f>
        <v/>
      </c>
      <c r="AW64" s="141" t="str">
        <f ca="1">IFERROR(IF(AND(ISNUMBER(Futs!$BY64), ISNUMBER($BA64)), Futs!$BY64 + $BA64, ""), "")</f>
        <v/>
      </c>
      <c r="AX64" s="46" t="str">
        <f ca="1">IFERROR(IF(AND(ISNUMBER(Futs!$BZ64), ISNUMBER($BC64)), Futs!$BZ64 + $BC64, ""), "")</f>
        <v/>
      </c>
      <c r="AY64" s="47" t="str">
        <f t="shared" ca="1" si="80"/>
        <v/>
      </c>
      <c r="AZ64" s="46" t="str">
        <f t="shared" ca="1" si="81"/>
        <v/>
      </c>
      <c r="BA64" s="594"/>
      <c r="BB64" s="364" t="str">
        <f ca="1">IFERROR(INDEX(ICE[], MATCH("icemehticma" &amp; TEXT(Crd!$A64, "mmmyy"), ICE[LongCode], 0), MATCH("Text", ICE[#Headers], 0)), "")</f>
        <v/>
      </c>
      <c r="BC64" s="46" t="str">
        <f t="shared" ca="1" si="61"/>
        <v/>
      </c>
      <c r="BD64" s="47" t="str">
        <f t="shared" si="96"/>
        <v/>
      </c>
      <c r="BE64" s="46" t="str">
        <f t="shared" ca="1" si="83"/>
        <v/>
      </c>
      <c r="BF64" s="141" t="str">
        <f ca="1">IFERROR(IF(AND(ISNUMBER($BH64), ISNUMBER(Futs!$CC64)), $BH64 - Futs!$CC64, ""), "")</f>
        <v/>
      </c>
      <c r="BG64" s="46" t="str">
        <f ca="1">IFERROR(IF(AND(ISNUMBER($BI64), ISNUMBER(Futs!$CD64)), $BI64 - Futs!$CD64, ""), "")</f>
        <v/>
      </c>
      <c r="BH64" s="141" t="str">
        <f ca="1">IFERROR(IF(AND(ISNUMBER(Futs!$BY64), ISNUMBER($BA64)), Futs!$BY64 + $BA64, ""), "")</f>
        <v/>
      </c>
      <c r="BI64" s="46" t="str">
        <f ca="1">IFERROR(IF(AND(ISNUMBER(Futs!$BZ64), ISNUMBER($BC64)), Futs!$BZ64 + $BC64, ""), "")</f>
        <v/>
      </c>
      <c r="BJ64" s="47" t="str">
        <f t="shared" ca="1" si="84"/>
        <v/>
      </c>
      <c r="BK64" s="111" t="str">
        <f t="shared" ca="1" si="85"/>
        <v/>
      </c>
      <c r="BL64" s="397"/>
      <c r="BM64" s="364" t="str">
        <f ca="1">IFERROR(INDEX(ICE[], MATCH("icewcstitma" &amp; TEXT(Crd!$A64, "mmmyy"), ICE[LongCode], 0), MATCH("Text", ICE[#Headers], 0)), "")</f>
        <v/>
      </c>
      <c r="BN64" s="46" t="str">
        <f t="shared" ca="1" si="62"/>
        <v/>
      </c>
      <c r="BO64" s="47" t="str">
        <f t="shared" si="97"/>
        <v/>
      </c>
      <c r="BP64" s="46" t="str">
        <f t="shared" ca="1" si="87"/>
        <v/>
      </c>
      <c r="BQ64" s="141" t="str">
        <f ca="1">IFERROR(IF(AND(ISNUMBER($BS64), ISNUMBER(Futs!$CC64)), $BS64 - Futs!$CC64, ""), "")</f>
        <v/>
      </c>
      <c r="BR64" s="46" t="str">
        <f ca="1">IFERROR(IF(AND(ISNUMBER($BT64), ISNUMBER(Futs!$CD64)), $BT64 - Futs!$CD64, ""), "")</f>
        <v/>
      </c>
      <c r="BS64" s="141" t="str">
        <f ca="1">IFERROR(IF(AND(ISNUMBER(Futs!$BY64), ISNUMBER($BL64)), Futs!$BY64 + $BL64, ""), "")</f>
        <v/>
      </c>
      <c r="BT64" s="46" t="str">
        <f ca="1">IFERROR(IF(AND(ISNUMBER(Futs!$BZ64), ISNUMBER($BN64)), Futs!$BZ64 + $BN64, ""), "")</f>
        <v/>
      </c>
      <c r="BU64" s="47" t="str">
        <f t="shared" ca="1" si="88"/>
        <v/>
      </c>
      <c r="BV64" s="111" t="str">
        <f t="shared" ca="1" si="89"/>
        <v/>
      </c>
      <c r="BX64" s="92"/>
    </row>
    <row r="65" spans="1:76" x14ac:dyDescent="0.25">
      <c r="A65" s="58">
        <f t="shared" ca="1" si="63"/>
        <v>47665</v>
      </c>
      <c r="B65" s="6">
        <f t="shared" ca="1" si="53"/>
        <v>2030</v>
      </c>
      <c r="C65" s="6" t="str">
        <f t="shared" ca="1" si="54"/>
        <v>Q330</v>
      </c>
      <c r="D65" s="28" t="e">
        <f ca="1">INDEX(ICE[], MATCH(D$18 &amp; TEXT(Crd!$A65, "mmmyy"), ICE[LongCode], 0), MATCH("Settle", ICE[#Headers], 0))</f>
        <v>#N/A</v>
      </c>
      <c r="E65" s="28" t="e">
        <f ca="1">INDEX(ICE[], MATCH(E$18 &amp; TEXT(Crd!$A65, "mmmyy"), ICE[LongCode], 0), MATCH("Settle", ICE[#Headers], 0))</f>
        <v>#N/A</v>
      </c>
      <c r="F65" s="28" t="e">
        <f ca="1">INDEX(ICE[], MATCH(F$18 &amp; TEXT(Crd!$A65, "mmmyy"), ICE[LongCode], 0), MATCH("Settle", ICE[#Headers], 0))</f>
        <v>#N/A</v>
      </c>
      <c r="G65" s="28" t="e">
        <f ca="1">INDEX(ICE[], MATCH(G$18 &amp; TEXT(Crd!$A65, "mmmyy"), ICE[LongCode], 0), MATCH("Settle", ICE[#Headers], 0))</f>
        <v>#N/A</v>
      </c>
      <c r="H65" s="28" t="e">
        <f ca="1">INDEX(ICE[], MATCH(H$18 &amp; TEXT(Crd!$A65, "mmmyy"), ICE[LongCode], 0), MATCH("Settle", ICE[#Headers], 0))</f>
        <v>#N/A</v>
      </c>
      <c r="I65" s="397"/>
      <c r="J65" s="364" t="str">
        <f ca="1">IFERROR(INDEX(ICE[], MATCH("dfl" &amp; TEXT(Crd!$A65, "mmmyy"), ICE[LongCode], 0), MATCH("Text", ICE[#Headers], 0)), "")</f>
        <v/>
      </c>
      <c r="K65" s="46" t="str">
        <f t="shared" ca="1" si="55"/>
        <v/>
      </c>
      <c r="L65" s="47" t="str">
        <f t="shared" si="91"/>
        <v/>
      </c>
      <c r="M65" s="46" t="str">
        <f t="shared" ca="1" si="65"/>
        <v/>
      </c>
      <c r="N65" s="141" t="str">
        <f ca="1">IFERROR(IF(AND(ISNUMBER(Futs!$CC65), ISNUMBER($I65)), Futs!$CC65 + $I65, ""), "")</f>
        <v/>
      </c>
      <c r="O65" s="46" t="str">
        <f ca="1">IFERROR(IF(AND(ISNUMBER(Futs!$CD65), ISNUMBER($K65)), Futs!$CD65 + $K65, ""), "")</f>
        <v/>
      </c>
      <c r="P65" s="47" t="str">
        <f t="shared" ca="1" si="66"/>
        <v/>
      </c>
      <c r="Q65" s="364" t="str">
        <f ca="1">IFERROR(INDEX(ICE[], MATCH("brdtd" &amp; TEXT(Crd!$A65, "mmmyy"), ICE[LongCode], 0), MATCH("Text", ICE[#Headers], 0)), "")</f>
        <v/>
      </c>
      <c r="R65" s="111" t="str">
        <f t="shared" ca="1" si="67"/>
        <v/>
      </c>
      <c r="S65" s="400"/>
      <c r="T65" s="364" t="str">
        <f ca="1">IFERROR(INDEX(ICE[], MATCH("brdub" &amp; TEXT(Crd!$A65, "mmmyy"), ICE[LongCode], 0), MATCH("Text", ICE[#Headers], 0)), "")</f>
        <v/>
      </c>
      <c r="U65" s="46" t="str">
        <f t="shared" ca="1" si="56"/>
        <v/>
      </c>
      <c r="V65" s="68" t="str">
        <f t="shared" si="92"/>
        <v/>
      </c>
      <c r="W65" s="46" t="str">
        <f t="shared" ca="1" si="69"/>
        <v/>
      </c>
      <c r="X65" s="187" t="str">
        <f ca="1">IFERROR(IF(AND(ISNUMBER(Futs!$CC65), ISNUMBER($S65)), Futs!$CC65 - $S65, ""), "")</f>
        <v/>
      </c>
      <c r="Y65" s="46" t="str">
        <f ca="1">IFERROR(IF(AND(ISNUMBER(Futs!$CD65), ISNUMBER($U65)), Futs!$CD65 - $U65, ""), "")</f>
        <v/>
      </c>
      <c r="Z65" s="68" t="str">
        <f t="shared" ca="1" si="70"/>
        <v/>
      </c>
      <c r="AA65" s="364" t="str">
        <f ca="1">IFERROR(INDEX(ICE[], MATCH("brdub" &amp; TEXT(Crd!$A65, "mmmyy"), ICE[LongCode], 0), MATCH("Text", ICE[#Headers], 0)), "")</f>
        <v/>
      </c>
      <c r="AB65" s="46" t="str">
        <f t="shared" ca="1" si="71"/>
        <v/>
      </c>
      <c r="AC65" s="271" t="str">
        <f t="shared" si="90"/>
        <v/>
      </c>
      <c r="AD65" s="46" t="str">
        <f t="shared" ca="1" si="58"/>
        <v/>
      </c>
      <c r="AE65" s="68" t="str">
        <f t="shared" si="93"/>
        <v/>
      </c>
      <c r="AF65" s="111" t="str">
        <f t="shared" ca="1" si="73"/>
        <v/>
      </c>
      <c r="AG65" s="397"/>
      <c r="AH65" s="364" t="str">
        <f ca="1">IFERROR(INDEX(ICE[], MATCH("icemidticma" &amp; TEXT(Crd!$A65, "mmmyy"), ICE[LongCode], 0), MATCH("Text", ICE[#Headers], 0)), "")</f>
        <v/>
      </c>
      <c r="AI65" s="46" t="str">
        <f t="shared" ca="1" si="59"/>
        <v/>
      </c>
      <c r="AJ65" s="47" t="str">
        <f t="shared" si="94"/>
        <v/>
      </c>
      <c r="AK65" s="46" t="str">
        <f t="shared" ca="1" si="75"/>
        <v/>
      </c>
      <c r="AL65" s="141" t="str">
        <f ca="1">IFERROR(IF(AND(ISNUMBER(Futs!$BY65), ISNUMBER($AG65)), Futs!$BY65 + $AG65, ""), "")</f>
        <v/>
      </c>
      <c r="AM65" s="46" t="str">
        <f ca="1">IFERROR(IF(AND(ISNUMBER(Futs!$BZ65), ISNUMBER($AI65)), Futs!$BZ65 + $AI65, ""), "")</f>
        <v/>
      </c>
      <c r="AN65" s="47" t="str">
        <f t="shared" ca="1" si="76"/>
        <v/>
      </c>
      <c r="AO65" s="111" t="str">
        <f t="shared" ca="1" si="77"/>
        <v/>
      </c>
      <c r="AP65" s="397"/>
      <c r="AQ65" s="364" t="str">
        <f ca="1">IFERROR(INDEX(ICE[], MATCH("icemehticma" &amp; TEXT(Crd!$A65, "mmmyy"), ICE[LongCode], 0), MATCH("Text", ICE[#Headers], 0)), "")</f>
        <v/>
      </c>
      <c r="AR65" s="46" t="str">
        <f t="shared" ca="1" si="60"/>
        <v/>
      </c>
      <c r="AS65" s="47" t="str">
        <f t="shared" si="95"/>
        <v/>
      </c>
      <c r="AT65" s="46" t="str">
        <f t="shared" ca="1" si="79"/>
        <v/>
      </c>
      <c r="AU65" s="141" t="str">
        <f ca="1">IFERROR(IF(AND(ISNUMBER($BH65), ISNUMBER(Futs!$CC65)), $BH65 - Futs!$CC65, ""), "")</f>
        <v/>
      </c>
      <c r="AV65" s="46" t="str">
        <f ca="1">IFERROR(IF(AND(ISNUMBER($BI65), ISNUMBER(Futs!$CD65)), $BI65 - Futs!$CD65, ""), "")</f>
        <v/>
      </c>
      <c r="AW65" s="141" t="str">
        <f ca="1">IFERROR(IF(AND(ISNUMBER(Futs!$BY65), ISNUMBER($BA65)), Futs!$BY65 + $BA65, ""), "")</f>
        <v/>
      </c>
      <c r="AX65" s="46" t="str">
        <f ca="1">IFERROR(IF(AND(ISNUMBER(Futs!$BZ65), ISNUMBER($BC65)), Futs!$BZ65 + $BC65, ""), "")</f>
        <v/>
      </c>
      <c r="AY65" s="47" t="str">
        <f t="shared" ca="1" si="80"/>
        <v/>
      </c>
      <c r="AZ65" s="46" t="str">
        <f t="shared" ca="1" si="81"/>
        <v/>
      </c>
      <c r="BA65" s="594"/>
      <c r="BB65" s="364" t="str">
        <f ca="1">IFERROR(INDEX(ICE[], MATCH("icemehticma" &amp; TEXT(Crd!$A65, "mmmyy"), ICE[LongCode], 0), MATCH("Text", ICE[#Headers], 0)), "")</f>
        <v/>
      </c>
      <c r="BC65" s="46" t="str">
        <f t="shared" ca="1" si="61"/>
        <v/>
      </c>
      <c r="BD65" s="47" t="str">
        <f t="shared" si="96"/>
        <v/>
      </c>
      <c r="BE65" s="46" t="str">
        <f t="shared" ca="1" si="83"/>
        <v/>
      </c>
      <c r="BF65" s="141" t="str">
        <f ca="1">IFERROR(IF(AND(ISNUMBER($BH65), ISNUMBER(Futs!$CC65)), $BH65 - Futs!$CC65, ""), "")</f>
        <v/>
      </c>
      <c r="BG65" s="46" t="str">
        <f ca="1">IFERROR(IF(AND(ISNUMBER($BI65), ISNUMBER(Futs!$CD65)), $BI65 - Futs!$CD65, ""), "")</f>
        <v/>
      </c>
      <c r="BH65" s="141" t="str">
        <f ca="1">IFERROR(IF(AND(ISNUMBER(Futs!$BY65), ISNUMBER($BA65)), Futs!$BY65 + $BA65, ""), "")</f>
        <v/>
      </c>
      <c r="BI65" s="46" t="str">
        <f ca="1">IFERROR(IF(AND(ISNUMBER(Futs!$BZ65), ISNUMBER($BC65)), Futs!$BZ65 + $BC65, ""), "")</f>
        <v/>
      </c>
      <c r="BJ65" s="47" t="str">
        <f t="shared" ca="1" si="84"/>
        <v/>
      </c>
      <c r="BK65" s="111" t="str">
        <f t="shared" ca="1" si="85"/>
        <v/>
      </c>
      <c r="BL65" s="397"/>
      <c r="BM65" s="364" t="str">
        <f ca="1">IFERROR(INDEX(ICE[], MATCH("icewcstitma" &amp; TEXT(Crd!$A65, "mmmyy"), ICE[LongCode], 0), MATCH("Text", ICE[#Headers], 0)), "")</f>
        <v/>
      </c>
      <c r="BN65" s="46" t="str">
        <f t="shared" ca="1" si="62"/>
        <v/>
      </c>
      <c r="BO65" s="47" t="str">
        <f t="shared" si="97"/>
        <v/>
      </c>
      <c r="BP65" s="46" t="str">
        <f t="shared" ca="1" si="87"/>
        <v/>
      </c>
      <c r="BQ65" s="141" t="str">
        <f ca="1">IFERROR(IF(AND(ISNUMBER($BS65), ISNUMBER(Futs!$CC65)), $BS65 - Futs!$CC65, ""), "")</f>
        <v/>
      </c>
      <c r="BR65" s="46" t="str">
        <f ca="1">IFERROR(IF(AND(ISNUMBER($BT65), ISNUMBER(Futs!$CD65)), $BT65 - Futs!$CD65, ""), "")</f>
        <v/>
      </c>
      <c r="BS65" s="141" t="str">
        <f ca="1">IFERROR(IF(AND(ISNUMBER(Futs!$BY65), ISNUMBER($BL65)), Futs!$BY65 + $BL65, ""), "")</f>
        <v/>
      </c>
      <c r="BT65" s="46" t="str">
        <f ca="1">IFERROR(IF(AND(ISNUMBER(Futs!$BZ65), ISNUMBER($BN65)), Futs!$BZ65 + $BN65, ""), "")</f>
        <v/>
      </c>
      <c r="BU65" s="47" t="str">
        <f t="shared" ca="1" si="88"/>
        <v/>
      </c>
      <c r="BV65" s="111" t="str">
        <f t="shared" ca="1" si="89"/>
        <v/>
      </c>
      <c r="BX65" s="92"/>
    </row>
    <row r="66" spans="1:76" ht="15.75" thickBot="1" x14ac:dyDescent="0.3">
      <c r="A66" s="58">
        <f t="shared" ca="1" si="63"/>
        <v>47696</v>
      </c>
      <c r="B66" s="6">
        <f t="shared" ca="1" si="53"/>
        <v>2030</v>
      </c>
      <c r="C66" s="6" t="str">
        <f t="shared" ca="1" si="54"/>
        <v>Q330</v>
      </c>
      <c r="D66" s="28" t="e">
        <f ca="1">INDEX(ICE[], MATCH(D$18 &amp; TEXT(Crd!$A66, "mmmyy"), ICE[LongCode], 0), MATCH("Settle", ICE[#Headers], 0))</f>
        <v>#N/A</v>
      </c>
      <c r="E66" s="28" t="e">
        <f ca="1">INDEX(ICE[], MATCH(E$18 &amp; TEXT(Crd!$A66, "mmmyy"), ICE[LongCode], 0), MATCH("Settle", ICE[#Headers], 0))</f>
        <v>#N/A</v>
      </c>
      <c r="F66" s="28" t="e">
        <f ca="1">INDEX(ICE[], MATCH(F$18 &amp; TEXT(Crd!$A66, "mmmyy"), ICE[LongCode], 0), MATCH("Settle", ICE[#Headers], 0))</f>
        <v>#N/A</v>
      </c>
      <c r="G66" s="28" t="e">
        <f ca="1">INDEX(ICE[], MATCH(G$18 &amp; TEXT(Crd!$A66, "mmmyy"), ICE[LongCode], 0), MATCH("Settle", ICE[#Headers], 0))</f>
        <v>#N/A</v>
      </c>
      <c r="H66" s="28" t="e">
        <f ca="1">INDEX(ICE[], MATCH(H$18 &amp; TEXT(Crd!$A66, "mmmyy"), ICE[LongCode], 0), MATCH("Settle", ICE[#Headers], 0))</f>
        <v>#N/A</v>
      </c>
      <c r="I66" s="398"/>
      <c r="J66" s="366" t="str">
        <f ca="1">IFERROR(INDEX(ICE[], MATCH("dfl" &amp; TEXT(Crd!$A66, "mmmyy"), ICE[LongCode], 0), MATCH("Text", ICE[#Headers], 0)), "")</f>
        <v/>
      </c>
      <c r="K66" s="133" t="str">
        <f t="shared" ca="1" si="55"/>
        <v/>
      </c>
      <c r="L66" s="142" t="str">
        <f t="shared" si="91"/>
        <v/>
      </c>
      <c r="M66" s="133" t="str">
        <f t="shared" ca="1" si="65"/>
        <v/>
      </c>
      <c r="N66" s="144" t="str">
        <f ca="1">IFERROR(IF(AND(ISNUMBER(Futs!$CC66), ISNUMBER($I66)), Futs!$CC66 + $I66, ""), "")</f>
        <v/>
      </c>
      <c r="O66" s="133" t="str">
        <f ca="1">IFERROR(IF(AND(ISNUMBER(Futs!$CD66), ISNUMBER($K66)), Futs!$CD66 + $K66, ""), "")</f>
        <v/>
      </c>
      <c r="P66" s="142" t="str">
        <f t="shared" ca="1" si="66"/>
        <v/>
      </c>
      <c r="Q66" s="366" t="str">
        <f ca="1">IFERROR(INDEX(ICE[], MATCH("brdtd" &amp; TEXT(Crd!$A66, "mmmyy"), ICE[LongCode], 0), MATCH("Text", ICE[#Headers], 0)), "")</f>
        <v/>
      </c>
      <c r="R66" s="135" t="str">
        <f t="shared" ca="1" si="67"/>
        <v/>
      </c>
      <c r="S66" s="401"/>
      <c r="T66" s="366" t="str">
        <f ca="1">IFERROR(INDEX(ICE[], MATCH("brdub" &amp; TEXT(Crd!$A66, "mmmyy"), ICE[LongCode], 0), MATCH("Text", ICE[#Headers], 0)), "")</f>
        <v/>
      </c>
      <c r="U66" s="133" t="str">
        <f t="shared" ca="1" si="56"/>
        <v/>
      </c>
      <c r="V66" s="188" t="str">
        <f t="shared" si="92"/>
        <v/>
      </c>
      <c r="W66" s="133" t="str">
        <f t="shared" ca="1" si="69"/>
        <v/>
      </c>
      <c r="X66" s="189" t="str">
        <f ca="1">IFERROR(IF(AND(ISNUMBER(Futs!$CC66), ISNUMBER($S66)), Futs!$CC66 - $S66, ""), "")</f>
        <v/>
      </c>
      <c r="Y66" s="133" t="str">
        <f ca="1">IFERROR(IF(AND(ISNUMBER(Futs!$CD66), ISNUMBER($U66)), Futs!$CD66 - $U66, ""), "")</f>
        <v/>
      </c>
      <c r="Z66" s="188" t="str">
        <f t="shared" ca="1" si="70"/>
        <v/>
      </c>
      <c r="AA66" s="366" t="str">
        <f ca="1">IFERROR(INDEX(ICE[], MATCH("brdub" &amp; TEXT(Crd!$A66, "mmmyy"), ICE[LongCode], 0), MATCH("Text", ICE[#Headers], 0)), "")</f>
        <v/>
      </c>
      <c r="AB66" s="133" t="str">
        <f t="shared" ca="1" si="71"/>
        <v/>
      </c>
      <c r="AC66" s="272" t="str">
        <f t="shared" si="90"/>
        <v/>
      </c>
      <c r="AD66" s="133" t="str">
        <f t="shared" ca="1" si="58"/>
        <v/>
      </c>
      <c r="AE66" s="188" t="str">
        <f t="shared" si="93"/>
        <v/>
      </c>
      <c r="AF66" s="135" t="str">
        <f t="shared" ca="1" si="73"/>
        <v/>
      </c>
      <c r="AG66" s="398"/>
      <c r="AH66" s="366" t="str">
        <f ca="1">IFERROR(INDEX(ICE[], MATCH("icemidticma" &amp; TEXT(Crd!$A66, "mmmyy"), ICE[LongCode], 0), MATCH("Text", ICE[#Headers], 0)), "")</f>
        <v/>
      </c>
      <c r="AI66" s="133" t="str">
        <f t="shared" ca="1" si="59"/>
        <v/>
      </c>
      <c r="AJ66" s="142" t="str">
        <f t="shared" si="94"/>
        <v/>
      </c>
      <c r="AK66" s="133" t="str">
        <f t="shared" ca="1" si="75"/>
        <v/>
      </c>
      <c r="AL66" s="144" t="str">
        <f ca="1">IFERROR(IF(AND(ISNUMBER(Futs!$BY66), ISNUMBER($AG66)), Futs!$BY66 + $AG66, ""), "")</f>
        <v/>
      </c>
      <c r="AM66" s="133" t="str">
        <f ca="1">IFERROR(IF(AND(ISNUMBER(Futs!$BZ66), ISNUMBER($AI66)), Futs!$BZ66 + $AI66, ""), "")</f>
        <v/>
      </c>
      <c r="AN66" s="142" t="str">
        <f t="shared" ca="1" si="76"/>
        <v/>
      </c>
      <c r="AO66" s="135" t="str">
        <f t="shared" ca="1" si="77"/>
        <v/>
      </c>
      <c r="AP66" s="398"/>
      <c r="AQ66" s="366" t="str">
        <f ca="1">IFERROR(INDEX(ICE[], MATCH("icemehticma" &amp; TEXT(Crd!$A66, "mmmyy"), ICE[LongCode], 0), MATCH("Text", ICE[#Headers], 0)), "")</f>
        <v/>
      </c>
      <c r="AR66" s="133" t="str">
        <f t="shared" ca="1" si="60"/>
        <v/>
      </c>
      <c r="AS66" s="142" t="str">
        <f t="shared" si="95"/>
        <v/>
      </c>
      <c r="AT66" s="133" t="str">
        <f t="shared" ca="1" si="79"/>
        <v/>
      </c>
      <c r="AU66" s="144" t="str">
        <f ca="1">IFERROR(IF(AND(ISNUMBER($BH66), ISNUMBER(Futs!$CC66)), $BH66 - Futs!$CC66, ""), "")</f>
        <v/>
      </c>
      <c r="AV66" s="133" t="str">
        <f ca="1">IFERROR(IF(AND(ISNUMBER($BI66), ISNUMBER(Futs!$CD66)), $BI66 - Futs!$CD66, ""), "")</f>
        <v/>
      </c>
      <c r="AW66" s="144" t="str">
        <f ca="1">IFERROR(IF(AND(ISNUMBER(Futs!$BY66), ISNUMBER($BA66)), Futs!$BY66 + $BA66, ""), "")</f>
        <v/>
      </c>
      <c r="AX66" s="133" t="str">
        <f ca="1">IFERROR(IF(AND(ISNUMBER(Futs!$BZ66), ISNUMBER($BC66)), Futs!$BZ66 + $BC66, ""), "")</f>
        <v/>
      </c>
      <c r="AY66" s="142" t="str">
        <f t="shared" ca="1" si="80"/>
        <v/>
      </c>
      <c r="AZ66" s="133" t="str">
        <f t="shared" ca="1" si="81"/>
        <v/>
      </c>
      <c r="BA66" s="595"/>
      <c r="BB66" s="366" t="str">
        <f ca="1">IFERROR(INDEX(ICE[], MATCH("icemehticma" &amp; TEXT(Crd!$A66, "mmmyy"), ICE[LongCode], 0), MATCH("Text", ICE[#Headers], 0)), "")</f>
        <v/>
      </c>
      <c r="BC66" s="133" t="str">
        <f t="shared" ca="1" si="61"/>
        <v/>
      </c>
      <c r="BD66" s="142" t="str">
        <f t="shared" si="96"/>
        <v/>
      </c>
      <c r="BE66" s="133" t="str">
        <f t="shared" ca="1" si="83"/>
        <v/>
      </c>
      <c r="BF66" s="144" t="str">
        <f ca="1">IFERROR(IF(AND(ISNUMBER($BH66), ISNUMBER(Futs!$CC66)), $BH66 - Futs!$CC66, ""), "")</f>
        <v/>
      </c>
      <c r="BG66" s="133" t="str">
        <f ca="1">IFERROR(IF(AND(ISNUMBER($BI66), ISNUMBER(Futs!$CD66)), $BI66 - Futs!$CD66, ""), "")</f>
        <v/>
      </c>
      <c r="BH66" s="144" t="str">
        <f ca="1">IFERROR(IF(AND(ISNUMBER(Futs!$BY66), ISNUMBER($BA66)), Futs!$BY66 + $BA66, ""), "")</f>
        <v/>
      </c>
      <c r="BI66" s="133" t="str">
        <f ca="1">IFERROR(IF(AND(ISNUMBER(Futs!$BZ66), ISNUMBER($BC66)), Futs!$BZ66 + $BC66, ""), "")</f>
        <v/>
      </c>
      <c r="BJ66" s="142" t="str">
        <f t="shared" ca="1" si="84"/>
        <v/>
      </c>
      <c r="BK66" s="135" t="str">
        <f t="shared" ca="1" si="85"/>
        <v/>
      </c>
      <c r="BL66" s="398"/>
      <c r="BM66" s="366" t="str">
        <f ca="1">IFERROR(INDEX(ICE[], MATCH("icewcstitma" &amp; TEXT(Crd!$A66, "mmmyy"), ICE[LongCode], 0), MATCH("Text", ICE[#Headers], 0)), "")</f>
        <v/>
      </c>
      <c r="BN66" s="133" t="str">
        <f t="shared" ca="1" si="62"/>
        <v/>
      </c>
      <c r="BO66" s="142" t="str">
        <f t="shared" si="97"/>
        <v/>
      </c>
      <c r="BP66" s="133" t="str">
        <f t="shared" ca="1" si="87"/>
        <v/>
      </c>
      <c r="BQ66" s="144" t="str">
        <f ca="1">IFERROR(IF(AND(ISNUMBER($BS66), ISNUMBER(Futs!$CC66)), $BS66 - Futs!$CC66, ""), "")</f>
        <v/>
      </c>
      <c r="BR66" s="133" t="str">
        <f ca="1">IFERROR(IF(AND(ISNUMBER($BT66), ISNUMBER(Futs!$CD66)), $BT66 - Futs!$CD66, ""), "")</f>
        <v/>
      </c>
      <c r="BS66" s="144" t="str">
        <f ca="1">IFERROR(IF(AND(ISNUMBER(Futs!$BY66), ISNUMBER($BL66)), Futs!$BY66 + $BL66, ""), "")</f>
        <v/>
      </c>
      <c r="BT66" s="133" t="str">
        <f ca="1">IFERROR(IF(AND(ISNUMBER(Futs!$BZ66), ISNUMBER($BN66)), Futs!$BZ66 + $BN66, ""), "")</f>
        <v/>
      </c>
      <c r="BU66" s="142" t="str">
        <f t="shared" ca="1" si="88"/>
        <v/>
      </c>
      <c r="BV66" s="135" t="str">
        <f t="shared" ca="1" si="89"/>
        <v/>
      </c>
      <c r="BX66" s="92"/>
    </row>
    <row r="67" spans="1:76" x14ac:dyDescent="0.25">
      <c r="A67" s="60"/>
      <c r="I67" s="48"/>
      <c r="J67" s="48"/>
      <c r="K67" s="48"/>
      <c r="L67" s="62"/>
      <c r="M67" s="53"/>
      <c r="N67" s="49"/>
      <c r="P67" s="62"/>
      <c r="Q67" s="48"/>
      <c r="R67" s="53"/>
      <c r="T67" s="48"/>
      <c r="AA67" s="48"/>
      <c r="AG67" s="48"/>
      <c r="AH67" s="48"/>
      <c r="AI67" s="48"/>
      <c r="AJ67" s="62"/>
      <c r="AK67" s="53"/>
      <c r="AL67" s="49"/>
      <c r="AN67" s="62"/>
      <c r="AO67" s="53"/>
      <c r="AP67" s="48"/>
      <c r="AQ67" s="48"/>
      <c r="AR67" s="48"/>
      <c r="AS67" s="62"/>
      <c r="AT67" s="53"/>
      <c r="AU67" s="49"/>
      <c r="AW67" s="49"/>
      <c r="AY67" s="62"/>
      <c r="AZ67" s="53"/>
      <c r="BA67" s="48"/>
      <c r="BB67" s="48"/>
      <c r="BC67" s="48"/>
      <c r="BD67" s="62"/>
      <c r="BE67" s="53"/>
      <c r="BF67" s="49"/>
      <c r="BH67" s="49"/>
      <c r="BJ67" s="62"/>
      <c r="BK67" s="53"/>
      <c r="BL67" s="48"/>
      <c r="BM67" s="48"/>
      <c r="BN67" s="48"/>
      <c r="BO67" s="62"/>
      <c r="BP67" s="53"/>
      <c r="BQ67" s="49"/>
      <c r="BS67" s="49"/>
      <c r="BU67" s="62"/>
      <c r="BV67" s="53"/>
      <c r="BX67" s="92"/>
    </row>
    <row r="68" spans="1:76" x14ac:dyDescent="0.25">
      <c r="A68" s="60"/>
      <c r="I68" s="48"/>
      <c r="J68" s="48"/>
      <c r="K68" s="48"/>
      <c r="L68" s="47"/>
      <c r="M68" s="53"/>
      <c r="P68" s="47"/>
      <c r="Q68" s="48"/>
      <c r="R68" s="53"/>
      <c r="T68" s="48"/>
      <c r="AA68" s="48"/>
      <c r="AG68" s="48"/>
      <c r="AH68" s="48"/>
      <c r="AI68" s="48"/>
      <c r="AJ68" s="47"/>
      <c r="AK68" s="53"/>
      <c r="AN68" s="47"/>
      <c r="AO68" s="53"/>
      <c r="AP68" s="48"/>
      <c r="AQ68" s="48"/>
      <c r="AR68" s="48"/>
      <c r="AS68" s="47"/>
      <c r="AT68" s="53"/>
      <c r="AY68" s="47"/>
      <c r="AZ68" s="53"/>
      <c r="BA68" s="48"/>
      <c r="BB68" s="48"/>
      <c r="BC68" s="48"/>
      <c r="BD68" s="47"/>
      <c r="BE68" s="53"/>
      <c r="BJ68" s="47"/>
      <c r="BK68" s="53"/>
      <c r="BL68" s="48"/>
      <c r="BM68" s="48"/>
      <c r="BN68" s="48"/>
      <c r="BO68" s="47"/>
      <c r="BP68" s="53"/>
      <c r="BU68" s="47"/>
      <c r="BV68" s="53"/>
      <c r="BX68" s="92"/>
    </row>
    <row r="69" spans="1:76" x14ac:dyDescent="0.25">
      <c r="A69" s="60"/>
      <c r="I69" s="48"/>
      <c r="J69" s="48"/>
      <c r="K69" s="48"/>
      <c r="L69" s="47"/>
      <c r="M69" s="53"/>
      <c r="P69" s="47"/>
      <c r="Q69" s="48"/>
      <c r="R69" s="53"/>
      <c r="T69" s="48"/>
      <c r="AA69" s="48"/>
      <c r="AG69" s="48"/>
      <c r="AH69" s="48"/>
      <c r="AI69" s="48"/>
      <c r="AJ69" s="47"/>
      <c r="AK69" s="53"/>
      <c r="AN69" s="47"/>
      <c r="AO69" s="53"/>
      <c r="AP69" s="48"/>
      <c r="AQ69" s="48"/>
      <c r="AR69" s="48"/>
      <c r="AS69" s="47"/>
      <c r="AT69" s="53"/>
      <c r="AY69" s="47"/>
      <c r="AZ69" s="53"/>
      <c r="BA69" s="48"/>
      <c r="BB69" s="48"/>
      <c r="BC69" s="48"/>
      <c r="BD69" s="47"/>
      <c r="BE69" s="53"/>
      <c r="BJ69" s="47"/>
      <c r="BK69" s="53"/>
      <c r="BL69" s="48"/>
      <c r="BM69" s="48"/>
      <c r="BN69" s="48"/>
      <c r="BO69" s="47"/>
      <c r="BP69" s="53"/>
      <c r="BU69" s="47"/>
      <c r="BV69" s="53"/>
    </row>
    <row r="70" spans="1:76" x14ac:dyDescent="0.25">
      <c r="A70" s="60"/>
      <c r="I70" s="48"/>
      <c r="J70" s="48"/>
      <c r="K70" s="48"/>
      <c r="L70" s="47"/>
      <c r="M70" s="53"/>
      <c r="P70" s="47"/>
      <c r="Q70" s="48"/>
      <c r="R70" s="53"/>
      <c r="T70" s="48"/>
      <c r="AA70" s="48"/>
      <c r="AG70" s="48"/>
      <c r="AH70" s="48"/>
      <c r="AI70" s="48"/>
      <c r="AJ70" s="47"/>
      <c r="AK70" s="53"/>
      <c r="AN70" s="47"/>
      <c r="AO70" s="53"/>
      <c r="AP70" s="48"/>
      <c r="AQ70" s="48"/>
      <c r="AR70" s="48"/>
      <c r="AS70" s="47"/>
      <c r="AT70" s="53"/>
      <c r="AY70" s="47"/>
      <c r="AZ70" s="53"/>
      <c r="BA70" s="48"/>
      <c r="BB70" s="48"/>
      <c r="BC70" s="48"/>
      <c r="BD70" s="47"/>
      <c r="BE70" s="53"/>
      <c r="BJ70" s="47"/>
      <c r="BK70" s="53"/>
      <c r="BL70" s="48"/>
      <c r="BM70" s="48"/>
      <c r="BN70" s="48"/>
      <c r="BO70" s="47"/>
      <c r="BP70" s="53"/>
      <c r="BU70" s="47"/>
      <c r="BV70" s="53"/>
    </row>
    <row r="71" spans="1:76" x14ac:dyDescent="0.25">
      <c r="A71" s="60"/>
      <c r="I71" s="48"/>
      <c r="J71" s="48"/>
      <c r="K71" s="48"/>
      <c r="L71" s="47"/>
      <c r="M71" s="53"/>
      <c r="P71" s="47"/>
      <c r="Q71" s="48"/>
      <c r="R71" s="53"/>
      <c r="T71" s="48"/>
      <c r="AA71" s="48"/>
      <c r="AG71" s="48"/>
      <c r="AH71" s="48"/>
      <c r="AI71" s="48"/>
      <c r="AJ71" s="47"/>
      <c r="AK71" s="53"/>
      <c r="AN71" s="47"/>
      <c r="AO71" s="53"/>
      <c r="AP71" s="48"/>
      <c r="AQ71" s="48"/>
      <c r="AR71" s="48"/>
      <c r="AS71" s="47"/>
      <c r="AT71" s="53"/>
      <c r="AY71" s="47"/>
      <c r="AZ71" s="53"/>
      <c r="BA71" s="48"/>
      <c r="BB71" s="48"/>
      <c r="BC71" s="48"/>
      <c r="BD71" s="47"/>
      <c r="BE71" s="53"/>
      <c r="BJ71" s="47"/>
      <c r="BK71" s="53"/>
      <c r="BL71" s="48"/>
      <c r="BM71" s="48"/>
      <c r="BN71" s="48"/>
      <c r="BO71" s="47"/>
      <c r="BP71" s="53"/>
      <c r="BU71" s="47"/>
      <c r="BV71" s="53"/>
    </row>
    <row r="72" spans="1:76" x14ac:dyDescent="0.25">
      <c r="A72" s="60"/>
      <c r="I72" s="48"/>
      <c r="J72" s="48"/>
      <c r="K72" s="48"/>
      <c r="L72" s="47"/>
      <c r="M72" s="53"/>
      <c r="P72" s="47"/>
      <c r="Q72" s="48"/>
      <c r="R72" s="53"/>
      <c r="T72" s="48"/>
      <c r="AA72" s="48"/>
      <c r="AG72" s="48"/>
      <c r="AH72" s="48"/>
      <c r="AI72" s="48"/>
      <c r="AJ72" s="47"/>
      <c r="AK72" s="53"/>
      <c r="AN72" s="47"/>
      <c r="AO72" s="53"/>
      <c r="AP72" s="48"/>
      <c r="AQ72" s="48"/>
      <c r="AR72" s="48"/>
      <c r="AS72" s="47"/>
      <c r="AT72" s="53"/>
      <c r="AY72" s="47"/>
      <c r="AZ72" s="53"/>
      <c r="BA72" s="48"/>
      <c r="BB72" s="48"/>
      <c r="BC72" s="48"/>
      <c r="BD72" s="47"/>
      <c r="BE72" s="53"/>
      <c r="BJ72" s="47"/>
      <c r="BK72" s="53"/>
      <c r="BL72" s="48"/>
      <c r="BM72" s="48"/>
      <c r="BN72" s="48"/>
      <c r="BO72" s="47"/>
      <c r="BP72" s="53"/>
      <c r="BU72" s="47"/>
      <c r="BV72" s="53"/>
    </row>
    <row r="73" spans="1:76" x14ac:dyDescent="0.25">
      <c r="A73" s="60"/>
      <c r="I73" s="48"/>
      <c r="J73" s="48"/>
      <c r="K73" s="48"/>
      <c r="L73" s="47"/>
      <c r="M73" s="53"/>
      <c r="P73" s="47"/>
      <c r="Q73" s="48"/>
      <c r="R73" s="53"/>
      <c r="T73" s="48"/>
      <c r="AA73" s="48"/>
      <c r="AG73" s="48"/>
      <c r="AH73" s="48"/>
      <c r="AI73" s="48"/>
      <c r="AJ73" s="47"/>
      <c r="AK73" s="53"/>
      <c r="AN73" s="47"/>
      <c r="AO73" s="53"/>
      <c r="AP73" s="48"/>
      <c r="AQ73" s="48"/>
      <c r="AR73" s="48"/>
      <c r="AS73" s="47"/>
      <c r="AT73" s="53"/>
      <c r="AY73" s="47"/>
      <c r="AZ73" s="53"/>
      <c r="BA73" s="48"/>
      <c r="BB73" s="48"/>
      <c r="BC73" s="48"/>
      <c r="BD73" s="47"/>
      <c r="BE73" s="53"/>
      <c r="BJ73" s="47"/>
      <c r="BK73" s="53"/>
      <c r="BL73" s="48"/>
      <c r="BM73" s="48"/>
      <c r="BN73" s="48"/>
      <c r="BO73" s="47"/>
      <c r="BP73" s="53"/>
      <c r="BU73" s="47"/>
      <c r="BV73" s="53"/>
    </row>
  </sheetData>
  <phoneticPr fontId="9" type="noConversion"/>
  <conditionalFormatting sqref="K19:K66 M19:M66 O19:O66 R19:R66 U19:U66 W19:W66 Y19:Y66 AB19:AB66 K5:K14 O5:O14 U5:U14 Y5:Y14 M5:M14 R5:R14 W5:W14 AB5:AB14 AI19:AI66 AK19:AK66 AM19:AM66 AO19:AO66 AI5:AI14 AM5:AM14 AK5:AK14 AO5:AO14 BC19:BC66 BE19:BE66 BI19:BI66 BK19:BK66 BC5:BC14 BI5:BI14 BE5:BE14 BK5:BK14 AD19:AD66 AF19:AF66 AD5:AD14 AF5:AF14 BG19:BG66 BG5:BG14 BN19:BN66 BP19:BP66 BT19:BT66 BV19:BV66 BN5:BN14 BT5:BT14 BP5:BP14 BV5:BV14 BR19:BR66 BR5:BR14 AR19:AR66 AT19:AT66 AX19:AX66 AZ19:AZ66 AR5:AR14 AX5:AX14 AT5:AT14 AZ5:AZ14 AV19:AV66 AV5:AV14">
    <cfRule type="cellIs" dxfId="113" priority="9" operator="lessThan">
      <formula>0</formula>
    </cfRule>
    <cfRule type="cellIs" dxfId="112" priority="10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AFB52-86B4-439D-862A-359184F1FCA1}">
  <sheetPr codeName="Sheet10">
    <tabColor theme="5" tint="-0.499984740745262"/>
    <pageSetUpPr autoPageBreaks="0"/>
  </sheetPr>
  <dimension ref="A1:CA73"/>
  <sheetViews>
    <sheetView zoomScaleNormal="100" workbookViewId="0">
      <pane xSplit="1" ySplit="18" topLeftCell="N19" activePane="bottomRight" state="frozen"/>
      <selection pane="topRight" activeCell="B1" sqref="B1"/>
      <selection pane="bottomLeft" activeCell="A19" sqref="A19"/>
      <selection pane="bottomRight" activeCell="S9" sqref="S9"/>
    </sheetView>
  </sheetViews>
  <sheetFormatPr defaultColWidth="9.140625" defaultRowHeight="15" x14ac:dyDescent="0.25"/>
  <cols>
    <col min="1" max="1" width="12.140625" style="57" customWidth="1"/>
    <col min="2" max="3" width="9.42578125" style="6" hidden="1" customWidth="1"/>
    <col min="4" max="9" width="9.42578125" style="28" hidden="1" customWidth="1"/>
    <col min="10" max="10" width="8.140625" style="51" customWidth="1"/>
    <col min="11" max="11" width="25.85546875" style="51" customWidth="1"/>
    <col min="12" max="12" width="5.7109375" style="52" customWidth="1"/>
    <col min="13" max="13" width="8.140625" style="66" customWidth="1"/>
    <col min="14" max="14" width="5.7109375" style="52" customWidth="1"/>
    <col min="15" max="15" width="8.140625" style="51" customWidth="1"/>
    <col min="16" max="16" width="5.7109375" style="67" customWidth="1"/>
    <col min="17" max="17" width="8.140625" style="66" customWidth="1"/>
    <col min="18" max="18" width="5.7109375" style="52" customWidth="1"/>
    <col min="19" max="19" width="8.140625" style="51" customWidth="1"/>
    <col min="20" max="20" width="5.7109375" style="67" customWidth="1"/>
    <col min="21" max="21" width="8.140625" style="66" customWidth="1"/>
    <col min="22" max="22" width="5.7109375" style="52" customWidth="1"/>
    <col min="23" max="23" width="8.140625" style="51" customWidth="1"/>
    <col min="24" max="24" width="25.85546875" style="51" customWidth="1"/>
    <col min="25" max="25" width="5.7109375" style="52" customWidth="1"/>
    <col min="26" max="26" width="8.140625" style="66" customWidth="1"/>
    <col min="27" max="27" width="5.7109375" style="52" customWidth="1"/>
    <col min="28" max="28" width="8.140625" style="51" customWidth="1"/>
    <col min="29" max="29" width="5.7109375" style="67" customWidth="1"/>
    <col min="30" max="30" width="8.140625" style="66" customWidth="1"/>
    <col min="31" max="31" width="5.7109375" style="52" customWidth="1"/>
    <col min="32" max="32" width="8.140625" style="51" customWidth="1"/>
    <col min="33" max="33" width="5.7109375" style="67" customWidth="1"/>
    <col min="34" max="34" width="8.140625" style="66" customWidth="1"/>
    <col min="35" max="35" width="5.7109375" style="52" customWidth="1"/>
    <col min="36" max="36" width="8.140625" style="51" customWidth="1"/>
    <col min="37" max="37" width="25.85546875" style="51" customWidth="1"/>
    <col min="38" max="38" width="5.7109375" style="52" customWidth="1"/>
    <col min="39" max="39" width="8.140625" style="66" customWidth="1"/>
    <col min="40" max="40" width="5.7109375" style="52" customWidth="1"/>
    <col min="41" max="41" width="8.140625" style="51" customWidth="1"/>
    <col min="42" max="42" width="5.7109375" style="67" customWidth="1"/>
    <col min="43" max="43" width="8.140625" style="66" customWidth="1"/>
    <col min="44" max="44" width="5.7109375" style="52" customWidth="1"/>
    <col min="45" max="45" width="8.140625" style="51" customWidth="1"/>
    <col min="46" max="46" width="5.7109375" style="67" customWidth="1"/>
    <col min="47" max="47" width="8.140625" style="66" customWidth="1"/>
    <col min="48" max="48" width="5.7109375" style="52" customWidth="1"/>
    <col min="49" max="49" width="8.140625" style="51" customWidth="1"/>
    <col min="50" max="50" width="25.85546875" style="51" customWidth="1"/>
    <col min="51" max="51" width="5.7109375" style="52" customWidth="1"/>
    <col min="52" max="52" width="8.140625" style="66" customWidth="1"/>
    <col min="53" max="53" width="5.7109375" style="52" customWidth="1"/>
    <col min="54" max="54" width="8.140625" style="51" customWidth="1"/>
    <col min="55" max="55" width="5.7109375" style="67" customWidth="1"/>
    <col min="56" max="56" width="8.140625" style="66" customWidth="1"/>
    <col min="57" max="57" width="5.7109375" style="52" customWidth="1"/>
    <col min="58" max="58" width="8.140625" style="51" customWidth="1"/>
    <col min="59" max="59" width="25.85546875" style="51" customWidth="1"/>
    <col min="60" max="60" width="5.7109375" style="52" customWidth="1"/>
    <col min="61" max="61" width="8.140625" style="66" customWidth="1"/>
    <col min="62" max="62" width="5.7109375" style="52" customWidth="1"/>
    <col min="63" max="63" width="8.140625" style="51" customWidth="1"/>
    <col min="64" max="64" width="5.7109375" style="67" customWidth="1"/>
    <col min="65" max="65" width="8.140625" style="66" customWidth="1"/>
    <col min="66" max="66" width="5.7109375" style="52" customWidth="1"/>
    <col min="67" max="67" width="8.140625" style="51" customWidth="1"/>
    <col min="68" max="68" width="25.85546875" style="51" customWidth="1"/>
    <col min="69" max="69" width="5.7109375" style="52" customWidth="1"/>
    <col min="70" max="70" width="8.140625" style="66" customWidth="1"/>
    <col min="71" max="71" width="5.7109375" style="52" customWidth="1"/>
    <col min="72" max="72" width="8.140625" style="51" customWidth="1"/>
    <col min="73" max="73" width="5.7109375" style="67" customWidth="1"/>
    <col min="74" max="74" width="8.140625" style="66" customWidth="1"/>
    <col min="75" max="75" width="5.7109375" style="52" customWidth="1"/>
    <col min="76" max="76" width="8.140625" style="51" customWidth="1"/>
    <col min="77" max="77" width="5.7109375" style="67" customWidth="1"/>
    <col min="78" max="78" width="8.140625" style="66" customWidth="1"/>
    <col min="79" max="79" width="5.7109375" style="52" customWidth="1"/>
    <col min="80" max="16384" width="9.140625" style="51"/>
  </cols>
  <sheetData>
    <row r="1" spans="1:79" s="68" customFormat="1" x14ac:dyDescent="0.25">
      <c r="A1" s="106">
        <f ca="1">INT(TimeLDN)</f>
        <v>46267</v>
      </c>
      <c r="B1" s="6"/>
      <c r="C1" s="25"/>
      <c r="D1" s="28"/>
      <c r="E1" s="28"/>
      <c r="F1" s="28"/>
      <c r="G1" s="28"/>
      <c r="H1" s="28"/>
      <c r="I1" s="28"/>
      <c r="J1" s="51"/>
      <c r="K1" s="51"/>
      <c r="L1" s="52"/>
      <c r="M1" s="51"/>
      <c r="N1" s="52"/>
      <c r="O1" s="51"/>
      <c r="P1" s="67"/>
      <c r="Q1" s="51"/>
      <c r="R1" s="52"/>
      <c r="S1" s="51"/>
      <c r="T1" s="67"/>
      <c r="U1" s="51"/>
      <c r="V1" s="52"/>
      <c r="W1" s="51"/>
      <c r="X1" s="51"/>
      <c r="Y1" s="52"/>
      <c r="Z1" s="51"/>
      <c r="AA1" s="52"/>
      <c r="AB1" s="51"/>
      <c r="AC1" s="67"/>
      <c r="AD1" s="51"/>
      <c r="AE1" s="52"/>
      <c r="AF1" s="51"/>
      <c r="AG1" s="67"/>
      <c r="AH1" s="51"/>
      <c r="AI1" s="52"/>
      <c r="AJ1" s="51"/>
      <c r="AK1" s="51"/>
      <c r="AL1" s="52"/>
      <c r="AM1" s="51"/>
      <c r="AN1" s="52"/>
      <c r="AO1" s="51"/>
      <c r="AP1" s="67"/>
      <c r="AQ1" s="51"/>
      <c r="AR1" s="52"/>
      <c r="AS1" s="51"/>
      <c r="AT1" s="67"/>
      <c r="AU1" s="51"/>
      <c r="AV1" s="52"/>
      <c r="AW1" s="51"/>
      <c r="AX1" s="51"/>
      <c r="AY1" s="52"/>
      <c r="AZ1" s="51"/>
      <c r="BA1" s="52"/>
      <c r="BB1" s="51"/>
      <c r="BC1" s="67"/>
      <c r="BD1" s="51"/>
      <c r="BE1" s="52"/>
      <c r="BF1" s="51"/>
      <c r="BG1" s="51"/>
      <c r="BH1" s="52"/>
      <c r="BI1" s="51"/>
      <c r="BJ1" s="52"/>
      <c r="BK1" s="51"/>
      <c r="BL1" s="67"/>
      <c r="BM1" s="51"/>
      <c r="BN1" s="52"/>
      <c r="BO1" s="51"/>
      <c r="BP1" s="51"/>
      <c r="BQ1" s="52"/>
      <c r="BR1" s="51"/>
      <c r="BS1" s="52"/>
      <c r="BT1" s="51"/>
      <c r="BU1" s="67"/>
      <c r="BV1" s="51"/>
      <c r="BW1" s="52"/>
      <c r="BX1" s="51"/>
      <c r="BY1" s="67"/>
      <c r="BZ1" s="51"/>
      <c r="CA1" s="52"/>
    </row>
    <row r="2" spans="1:79" s="68" customFormat="1" ht="15.75" thickBot="1" x14ac:dyDescent="0.3">
      <c r="A2" s="107">
        <f ca="1">TimeLDN</f>
        <v>46267.465217013887</v>
      </c>
      <c r="B2" s="6"/>
      <c r="C2" s="6"/>
      <c r="D2" s="28"/>
      <c r="E2" s="28"/>
      <c r="F2" s="28"/>
      <c r="G2" s="28"/>
      <c r="H2" s="28"/>
      <c r="I2" s="28"/>
      <c r="J2" s="51"/>
      <c r="K2" s="51"/>
      <c r="L2" s="52"/>
      <c r="M2" s="51"/>
      <c r="N2" s="52"/>
      <c r="O2" s="51"/>
      <c r="P2" s="67"/>
      <c r="Q2" s="67"/>
      <c r="R2" s="67"/>
      <c r="S2" s="51"/>
      <c r="T2" s="67"/>
      <c r="U2" s="67"/>
      <c r="V2" s="67"/>
      <c r="W2" s="51"/>
      <c r="X2" s="51"/>
      <c r="Y2" s="52"/>
      <c r="Z2" s="51"/>
      <c r="AA2" s="52"/>
      <c r="AB2" s="51"/>
      <c r="AC2" s="67"/>
      <c r="AD2" s="67"/>
      <c r="AE2" s="67"/>
      <c r="AF2" s="51"/>
      <c r="AG2" s="67"/>
      <c r="AH2" s="67"/>
      <c r="AI2" s="67"/>
      <c r="AJ2" s="51"/>
      <c r="AK2" s="51"/>
      <c r="AL2" s="52"/>
      <c r="AM2" s="51"/>
      <c r="AN2" s="52"/>
      <c r="AO2" s="51"/>
      <c r="AP2" s="67"/>
      <c r="AQ2" s="67"/>
      <c r="AR2" s="67"/>
      <c r="AS2" s="51"/>
      <c r="AT2" s="67"/>
      <c r="AU2" s="67"/>
      <c r="AV2" s="67"/>
      <c r="AW2" s="51"/>
      <c r="AX2" s="51"/>
      <c r="AY2" s="52"/>
      <c r="AZ2" s="51"/>
      <c r="BA2" s="52"/>
      <c r="BB2" s="51"/>
      <c r="BC2" s="67"/>
      <c r="BD2" s="67"/>
      <c r="BE2" s="67"/>
      <c r="BF2" s="51"/>
      <c r="BG2" s="51"/>
      <c r="BH2" s="52"/>
      <c r="BI2" s="51"/>
      <c r="BJ2" s="52"/>
      <c r="BK2" s="51"/>
      <c r="BL2" s="67"/>
      <c r="BM2" s="67"/>
      <c r="BN2" s="67"/>
      <c r="BO2" s="51"/>
      <c r="BP2" s="51"/>
      <c r="BQ2" s="52"/>
      <c r="BR2" s="51"/>
      <c r="BS2" s="52"/>
      <c r="BT2" s="51"/>
      <c r="BU2" s="67"/>
      <c r="BV2" s="67"/>
      <c r="BW2" s="67"/>
      <c r="BX2" s="51"/>
      <c r="BY2" s="67"/>
      <c r="BZ2" s="67"/>
      <c r="CA2" s="67"/>
    </row>
    <row r="3" spans="1:79" s="68" customFormat="1" ht="15.75" thickBot="1" x14ac:dyDescent="0.3">
      <c r="A3" s="54"/>
      <c r="B3" s="6"/>
      <c r="C3" s="6"/>
      <c r="D3" s="28"/>
      <c r="E3" s="28"/>
      <c r="F3" s="28"/>
      <c r="G3" s="28"/>
      <c r="H3" s="28"/>
      <c r="I3" s="28"/>
      <c r="J3" s="310" t="s">
        <v>361</v>
      </c>
      <c r="K3" s="311"/>
      <c r="L3" s="313"/>
      <c r="M3" s="311"/>
      <c r="N3" s="311"/>
      <c r="O3" s="311"/>
      <c r="P3" s="313"/>
      <c r="Q3" s="311"/>
      <c r="R3" s="311"/>
      <c r="S3" s="311"/>
      <c r="T3" s="313"/>
      <c r="U3" s="311"/>
      <c r="V3" s="320"/>
      <c r="W3" s="310" t="s">
        <v>362</v>
      </c>
      <c r="X3" s="311"/>
      <c r="Y3" s="313"/>
      <c r="Z3" s="311"/>
      <c r="AA3" s="311"/>
      <c r="AB3" s="311"/>
      <c r="AC3" s="313"/>
      <c r="AD3" s="311"/>
      <c r="AE3" s="311"/>
      <c r="AF3" s="311"/>
      <c r="AG3" s="313"/>
      <c r="AH3" s="311"/>
      <c r="AI3" s="320"/>
      <c r="AJ3" s="310" t="s">
        <v>363</v>
      </c>
      <c r="AK3" s="311"/>
      <c r="AL3" s="313"/>
      <c r="AM3" s="311"/>
      <c r="AN3" s="311"/>
      <c r="AO3" s="311"/>
      <c r="AP3" s="313"/>
      <c r="AQ3" s="311"/>
      <c r="AR3" s="311"/>
      <c r="AS3" s="311"/>
      <c r="AT3" s="313"/>
      <c r="AU3" s="311"/>
      <c r="AV3" s="320"/>
      <c r="AW3" s="310" t="s">
        <v>364</v>
      </c>
      <c r="AX3" s="311"/>
      <c r="AY3" s="313"/>
      <c r="AZ3" s="311"/>
      <c r="BA3" s="311"/>
      <c r="BB3" s="311"/>
      <c r="BC3" s="313"/>
      <c r="BD3" s="311"/>
      <c r="BE3" s="311"/>
      <c r="BF3" s="310" t="s">
        <v>365</v>
      </c>
      <c r="BG3" s="311"/>
      <c r="BH3" s="313"/>
      <c r="BI3" s="311"/>
      <c r="BJ3" s="311"/>
      <c r="BK3" s="311"/>
      <c r="BL3" s="313"/>
      <c r="BM3" s="311"/>
      <c r="BN3" s="320"/>
      <c r="BO3" s="310" t="s">
        <v>361</v>
      </c>
      <c r="BP3" s="311"/>
      <c r="BQ3" s="313"/>
      <c r="BR3" s="311"/>
      <c r="BS3" s="311"/>
      <c r="BT3" s="311"/>
      <c r="BU3" s="313"/>
      <c r="BV3" s="311"/>
      <c r="BW3" s="311"/>
      <c r="BX3" s="311"/>
      <c r="BY3" s="313"/>
      <c r="BZ3" s="311"/>
      <c r="CA3" s="320"/>
    </row>
    <row r="4" spans="1:79" s="68" customFormat="1" x14ac:dyDescent="0.25">
      <c r="A4" s="54"/>
      <c r="B4" s="6"/>
      <c r="C4" s="6"/>
      <c r="D4" s="28"/>
      <c r="E4" s="28"/>
      <c r="F4" s="28"/>
      <c r="G4" s="28"/>
      <c r="H4" s="28"/>
      <c r="I4" s="28"/>
      <c r="J4" s="302" t="s">
        <v>366</v>
      </c>
      <c r="K4" s="321"/>
      <c r="L4" s="328"/>
      <c r="M4" s="321"/>
      <c r="N4" s="321"/>
      <c r="O4" s="304" t="s">
        <v>367</v>
      </c>
      <c r="P4" s="329"/>
      <c r="Q4" s="321"/>
      <c r="R4" s="330"/>
      <c r="S4" s="322" t="s">
        <v>368</v>
      </c>
      <c r="T4" s="329"/>
      <c r="U4" s="321"/>
      <c r="V4" s="327"/>
      <c r="W4" s="302" t="s">
        <v>367</v>
      </c>
      <c r="X4" s="321"/>
      <c r="Y4" s="328"/>
      <c r="Z4" s="321"/>
      <c r="AA4" s="321"/>
      <c r="AB4" s="322" t="s">
        <v>369</v>
      </c>
      <c r="AC4" s="329"/>
      <c r="AD4" s="321"/>
      <c r="AE4" s="321"/>
      <c r="AF4" s="322" t="s">
        <v>370</v>
      </c>
      <c r="AG4" s="329"/>
      <c r="AH4" s="321"/>
      <c r="AI4" s="327"/>
      <c r="AJ4" s="302" t="s">
        <v>367</v>
      </c>
      <c r="AK4" s="321"/>
      <c r="AL4" s="328"/>
      <c r="AM4" s="321"/>
      <c r="AN4" s="321"/>
      <c r="AO4" s="322" t="s">
        <v>371</v>
      </c>
      <c r="AP4" s="329"/>
      <c r="AQ4" s="321"/>
      <c r="AR4" s="330"/>
      <c r="AS4" s="322" t="s">
        <v>369</v>
      </c>
      <c r="AT4" s="329"/>
      <c r="AU4" s="321"/>
      <c r="AV4" s="327"/>
      <c r="AW4" s="302" t="s">
        <v>367</v>
      </c>
      <c r="AX4" s="321"/>
      <c r="AY4" s="328"/>
      <c r="AZ4" s="321"/>
      <c r="BA4" s="321"/>
      <c r="BB4" s="304" t="s">
        <v>372</v>
      </c>
      <c r="BC4" s="329"/>
      <c r="BD4" s="321"/>
      <c r="BE4" s="330"/>
      <c r="BF4" s="302" t="s">
        <v>367</v>
      </c>
      <c r="BG4" s="321"/>
      <c r="BH4" s="328"/>
      <c r="BI4" s="321"/>
      <c r="BJ4" s="321"/>
      <c r="BK4" s="322" t="s">
        <v>369</v>
      </c>
      <c r="BL4" s="329"/>
      <c r="BM4" s="321"/>
      <c r="BN4" s="327"/>
      <c r="BO4" s="302" t="s">
        <v>366</v>
      </c>
      <c r="BP4" s="321"/>
      <c r="BQ4" s="328"/>
      <c r="BR4" s="321"/>
      <c r="BS4" s="321"/>
      <c r="BT4" s="304" t="s">
        <v>367</v>
      </c>
      <c r="BU4" s="329"/>
      <c r="BV4" s="321"/>
      <c r="BW4" s="330"/>
      <c r="BX4" s="322" t="s">
        <v>368</v>
      </c>
      <c r="BY4" s="329"/>
      <c r="BZ4" s="321"/>
      <c r="CA4" s="327"/>
    </row>
    <row r="5" spans="1:79" s="68" customFormat="1" x14ac:dyDescent="0.25">
      <c r="A5" s="54" t="str">
        <f ca="1">"Q" &amp; INT((MONTH($A$1) + 2) / 3) &amp; TEXT($A$1, "yy")</f>
        <v>Q326</v>
      </c>
      <c r="B5" s="6"/>
      <c r="C5" s="6"/>
      <c r="D5" s="28"/>
      <c r="E5" s="28"/>
      <c r="F5" s="28"/>
      <c r="G5" s="28"/>
      <c r="H5" s="28"/>
      <c r="I5" s="28"/>
      <c r="J5" s="160" t="str">
        <f t="shared" ref="J5:J11" ca="1" si="0">IFERROR(AVERAGEIF($C$19:$C$66, $A5, J$19:J$66), "")</f>
        <v/>
      </c>
      <c r="K5" s="363" t="str">
        <f ca="1">IFERROR(INDEX(ICE[], MATCH("propnap" &amp; LEFT($A5, 2) &amp; " " &amp; RIGHT($A5, 2), ICE[LongCode], 0), MATCH("Text", ICE[#Headers], 0)), "")</f>
        <v/>
      </c>
      <c r="L5" s="115" t="str">
        <f t="shared" ref="L5:L11" ca="1" si="1">IFERROR(AVERAGEIF($C$19:$C$66, $A5, L$19:L$66), "")</f>
        <v/>
      </c>
      <c r="M5" s="161"/>
      <c r="N5" s="162"/>
      <c r="O5" s="112" t="str">
        <f t="shared" ref="O5:P11" ca="1" si="2">IFERROR(AVERAGEIF($C$19:$C$66, $A5, O$19:O$66), "")</f>
        <v/>
      </c>
      <c r="P5" s="115" t="str">
        <f t="shared" ca="1" si="2"/>
        <v/>
      </c>
      <c r="Q5" s="161"/>
      <c r="R5" s="163"/>
      <c r="S5" s="112" t="str">
        <f t="shared" ref="S5:T11" ca="1" si="3">IFERROR(AVERAGEIF($C$19:$C$66, $A5, S$19:S$66), "")</f>
        <v/>
      </c>
      <c r="T5" s="115" t="str">
        <f t="shared" ca="1" si="3"/>
        <v/>
      </c>
      <c r="U5" s="161"/>
      <c r="V5" s="164"/>
      <c r="W5" s="160" t="str">
        <f t="shared" ref="W5:W11" ca="1" si="4">IFERROR(AVERAGEIF($C$19:$C$66, $A5, W$19:W$66), "")</f>
        <v/>
      </c>
      <c r="X5" s="363" t="str">
        <f ca="1">IFERROR(INDEX(ICE[], MATCH("c3tet" &amp; LEFT($A5, 2) &amp; " " &amp; RIGHT($A5, 2), ICE[LongCode], 0), MATCH("Text", ICE[#Headers], 0)), "")</f>
        <v/>
      </c>
      <c r="Y5" s="115" t="str">
        <f t="shared" ref="Y5:Y11" ca="1" si="5">IFERROR(AVERAGEIF($C$19:$C$66, $A5, Y$19:Y$66), "")</f>
        <v/>
      </c>
      <c r="Z5" s="161"/>
      <c r="AA5" s="162"/>
      <c r="AB5" s="112" t="str">
        <f t="shared" ref="AB5:AC11" ca="1" si="6">IFERROR(AVERAGEIF($C$19:$C$66, $A5, AB$19:AB$66), "")</f>
        <v/>
      </c>
      <c r="AC5" s="115" t="str">
        <f t="shared" ca="1" si="6"/>
        <v/>
      </c>
      <c r="AD5" s="161"/>
      <c r="AE5" s="163"/>
      <c r="AF5" s="112" t="str">
        <f t="shared" ref="AF5:AG11" ca="1" si="7">IFERROR(AVERAGEIF($C$19:$C$66, $A5, AF$19:AF$66), "")</f>
        <v/>
      </c>
      <c r="AG5" s="115" t="str">
        <f t="shared" ca="1" si="7"/>
        <v/>
      </c>
      <c r="AH5" s="161"/>
      <c r="AI5" s="164"/>
      <c r="AJ5" s="160" t="str">
        <f t="shared" ref="AJ5:AJ11" ca="1" si="8">IFERROR(AVERAGEIF($C$19:$C$66, $A5, AJ$19:AJ$66), "")</f>
        <v/>
      </c>
      <c r="AK5" s="363" t="str">
        <f ca="1">IFERROR(INDEX(ICE[], MATCH("c4ntet" &amp; LEFT($A5, 2) &amp; " " &amp; RIGHT($A5, 2), ICE[LongCode], 0), MATCH("Text", ICE[#Headers], 0)), "")</f>
        <v/>
      </c>
      <c r="AL5" s="115" t="str">
        <f t="shared" ref="AL5:AL11" ca="1" si="9">IFERROR(AVERAGEIF($C$19:$C$66, $A5, AL$19:AL$66), "")</f>
        <v/>
      </c>
      <c r="AM5" s="161"/>
      <c r="AN5" s="162"/>
      <c r="AO5" s="112" t="str">
        <f t="shared" ref="AO5:AP11" ca="1" si="10">IFERROR(AVERAGEIF($C$19:$C$66, $A5, AO$19:AO$66), "")</f>
        <v/>
      </c>
      <c r="AP5" s="115" t="str">
        <f t="shared" ca="1" si="10"/>
        <v/>
      </c>
      <c r="AQ5" s="161"/>
      <c r="AR5" s="163"/>
      <c r="AS5" s="112" t="str">
        <f t="shared" ref="AS5:AT11" ca="1" si="11">IFERROR(AVERAGEIF($C$19:$C$66, $A5, AS$19:AS$66), "")</f>
        <v/>
      </c>
      <c r="AT5" s="115" t="str">
        <f t="shared" ca="1" si="11"/>
        <v/>
      </c>
      <c r="AU5" s="161"/>
      <c r="AV5" s="164"/>
      <c r="AW5" s="160" t="str">
        <f t="shared" ref="AW5:AW11" ca="1" si="12">IFERROR(AVERAGEIF($C$19:$C$66, $A5, AW$19:AW$66), "")</f>
        <v/>
      </c>
      <c r="AX5" s="363" t="str">
        <f ca="1">IFERROR(INDEX(ICE[], MATCH("ic4ntet" &amp; LEFT($A5, 2) &amp; " " &amp; RIGHT($A5, 2), ICE[LongCode], 0), MATCH("Text", ICE[#Headers], 0)), "")</f>
        <v/>
      </c>
      <c r="AY5" s="115" t="str">
        <f t="shared" ref="AY5:AY11" ca="1" si="13">IFERROR(AVERAGEIF($C$19:$C$66, $A5, AY$19:AY$66), "")</f>
        <v/>
      </c>
      <c r="AZ5" s="161"/>
      <c r="BA5" s="162"/>
      <c r="BB5" s="112" t="str">
        <f t="shared" ref="BB5:BC11" ca="1" si="14">IFERROR(AVERAGEIF($C$19:$C$66, $A5, BB$19:BB$66), "")</f>
        <v/>
      </c>
      <c r="BC5" s="115" t="str">
        <f t="shared" ca="1" si="14"/>
        <v/>
      </c>
      <c r="BD5" s="161"/>
      <c r="BE5" s="163"/>
      <c r="BF5" s="160" t="str">
        <f t="shared" ref="BF5:BF11" ca="1" si="15">IFERROR(AVERAGEIF($C$19:$C$66, $A5, BF$19:BF$66), "")</f>
        <v/>
      </c>
      <c r="BG5" s="363" t="str">
        <f ca="1">IFERROR(INDEX(ICE[], MATCH("ngasntet" &amp; LEFT($A5, 2) &amp; " " &amp; RIGHT($A5, 2), ICE[LongCode], 0), MATCH("Text", ICE[#Headers], 0)), "")</f>
        <v/>
      </c>
      <c r="BH5" s="115" t="str">
        <f t="shared" ref="BH5:BH11" ca="1" si="16">IFERROR(AVERAGEIF($C$19:$C$66, $A5, BH$19:BH$66), "")</f>
        <v/>
      </c>
      <c r="BI5" s="161"/>
      <c r="BJ5" s="162"/>
      <c r="BK5" s="112" t="str">
        <f t="shared" ref="BK5:BL11" ca="1" si="17">IFERROR(AVERAGEIF($C$19:$C$66, $A5, BK$19:BK$66), "")</f>
        <v/>
      </c>
      <c r="BL5" s="115" t="str">
        <f t="shared" ca="1" si="17"/>
        <v/>
      </c>
      <c r="BM5" s="161"/>
      <c r="BN5" s="164"/>
      <c r="BO5" s="160" t="str">
        <f t="shared" ref="BO5:BO11" ca="1" si="18">IFERROR(AVERAGEIF($C$19:$C$66, $A5, BO$19:BO$66), "")</f>
        <v/>
      </c>
      <c r="BP5" s="363" t="str">
        <f ca="1">IFERROR(INDEX(ICE[], MATCH("propnap" &amp; LEFT($A5, 2) &amp; " " &amp; RIGHT($A5, 2), ICE[LongCode], 0), MATCH("Text", ICE[#Headers], 0)), "")</f>
        <v/>
      </c>
      <c r="BQ5" s="115" t="str">
        <f t="shared" ref="BQ5:BQ11" ca="1" si="19">IFERROR(AVERAGEIF($C$19:$C$66, $A5, BQ$19:BQ$66), "")</f>
        <v/>
      </c>
      <c r="BR5" s="161"/>
      <c r="BS5" s="162"/>
      <c r="BT5" s="112" t="str">
        <f t="shared" ref="BT5:BU11" ca="1" si="20">IFERROR(AVERAGEIF($C$19:$C$66, $A5, BT$19:BT$66), "")</f>
        <v/>
      </c>
      <c r="BU5" s="115" t="str">
        <f t="shared" ca="1" si="20"/>
        <v/>
      </c>
      <c r="BV5" s="161"/>
      <c r="BW5" s="163"/>
      <c r="BX5" s="112" t="str">
        <f t="shared" ref="BX5:BY11" ca="1" si="21">IFERROR(AVERAGEIF($C$19:$C$66, $A5, BX$19:BX$66), "")</f>
        <v/>
      </c>
      <c r="BY5" s="115" t="str">
        <f t="shared" ca="1" si="21"/>
        <v/>
      </c>
      <c r="BZ5" s="161"/>
      <c r="CA5" s="164"/>
    </row>
    <row r="6" spans="1:79" s="68" customFormat="1" x14ac:dyDescent="0.25">
      <c r="A6" s="54" t="str">
        <f ca="1">IF(LEFT($A5, 2) = "Q4", "Q1" &amp; TEXT(RIGHT($A5, 2) + 1, "00"), "Q" &amp; MID($A5, 2, 1) + 1 &amp; RIGHT($A5, 2))</f>
        <v>Q426</v>
      </c>
      <c r="B6" s="6"/>
      <c r="C6" s="6"/>
      <c r="D6" s="28"/>
      <c r="E6" s="28"/>
      <c r="F6" s="28"/>
      <c r="G6" s="28"/>
      <c r="H6" s="28"/>
      <c r="I6" s="28"/>
      <c r="J6" s="109" t="str">
        <f t="shared" ca="1" si="0"/>
        <v/>
      </c>
      <c r="K6" s="364" t="str">
        <f ca="1">IFERROR(INDEX(ICE[], MATCH("propnap" &amp; LEFT($A6, 2) &amp; " " &amp; RIGHT($A6, 2), ICE[LongCode], 0), MATCH("Text", ICE[#Headers], 0)), "")</f>
        <v xml:space="preserve"> /  </v>
      </c>
      <c r="L6" s="46" t="str">
        <f t="shared" ca="1" si="1"/>
        <v/>
      </c>
      <c r="M6" s="47" t="str">
        <f ca="1">IF(AND(ISNUMBER(J5), ISNUMBER(J6)), J5 - J6, "")</f>
        <v/>
      </c>
      <c r="N6" s="114" t="str">
        <f ca="1">IF(AND(ISNUMBER(L5), ISNUMBER(L6)), L5 - L6, "")</f>
        <v/>
      </c>
      <c r="O6" s="110" t="str">
        <f t="shared" ca="1" si="2"/>
        <v/>
      </c>
      <c r="P6" s="46" t="str">
        <f t="shared" ca="1" si="2"/>
        <v/>
      </c>
      <c r="Q6" s="47" t="str">
        <f ca="1">IF(AND(ISNUMBER(O5), ISNUMBER(O6)), O5 - O6, "")</f>
        <v/>
      </c>
      <c r="R6" s="46" t="str">
        <f ca="1">IF(AND(ISNUMBER(P5), ISNUMBER(P6)), P5 - P6, "")</f>
        <v/>
      </c>
      <c r="S6" s="110" t="str">
        <f t="shared" ca="1" si="3"/>
        <v/>
      </c>
      <c r="T6" s="46" t="str">
        <f t="shared" ca="1" si="3"/>
        <v/>
      </c>
      <c r="U6" s="47" t="str">
        <f ca="1">IF(AND(ISNUMBER(S5), ISNUMBER(S6)), S5 - S6, "")</f>
        <v/>
      </c>
      <c r="V6" s="111" t="str">
        <f ca="1">IF(AND(ISNUMBER(T5), ISNUMBER(T6)), T5 - T6, "")</f>
        <v/>
      </c>
      <c r="W6" s="109" t="str">
        <f t="shared" ca="1" si="4"/>
        <v/>
      </c>
      <c r="X6" s="364" t="str">
        <f ca="1">IFERROR(INDEX(ICE[], MATCH("c3tet" &amp; LEFT($A6, 2) &amp; " " &amp; RIGHT($A6, 2), ICE[LongCode], 0), MATCH("Text", ICE[#Headers], 0)), "")</f>
        <v xml:space="preserve"> /  {0.77} |12x</v>
      </c>
      <c r="Y6" s="46" t="str">
        <f t="shared" ca="1" si="5"/>
        <v/>
      </c>
      <c r="Z6" s="47" t="str">
        <f ca="1">IF(AND(ISNUMBER(W5), ISNUMBER(W6)), W5 - W6, "")</f>
        <v/>
      </c>
      <c r="AA6" s="114" t="str">
        <f ca="1">IF(AND(ISNUMBER(Y5), ISNUMBER(Y6)), Y5 - Y6, "")</f>
        <v/>
      </c>
      <c r="AB6" s="110" t="str">
        <f t="shared" ca="1" si="6"/>
        <v/>
      </c>
      <c r="AC6" s="46" t="str">
        <f t="shared" ca="1" si="6"/>
        <v/>
      </c>
      <c r="AD6" s="47" t="str">
        <f ca="1">IF(AND(ISNUMBER(AB5), ISNUMBER(AB6)), AB5 - AB6, "")</f>
        <v/>
      </c>
      <c r="AE6" s="46" t="str">
        <f ca="1">IF(AND(ISNUMBER(AC5), ISNUMBER(AC6)), AC5 - AC6, "")</f>
        <v/>
      </c>
      <c r="AF6" s="110" t="str">
        <f t="shared" ca="1" si="7"/>
        <v/>
      </c>
      <c r="AG6" s="46" t="str">
        <f t="shared" ca="1" si="7"/>
        <v/>
      </c>
      <c r="AH6" s="47" t="str">
        <f ca="1">IF(AND(ISNUMBER(AF5), ISNUMBER(AF6)), AF5 - AF6, "")</f>
        <v/>
      </c>
      <c r="AI6" s="111" t="str">
        <f ca="1">IF(AND(ISNUMBER(AG5), ISNUMBER(AG6)), AG5 - AG6, "")</f>
        <v/>
      </c>
      <c r="AJ6" s="109" t="str">
        <f t="shared" ca="1" si="8"/>
        <v/>
      </c>
      <c r="AK6" s="364" t="str">
        <f ca="1">IFERROR(INDEX(ICE[], MATCH("c4ntet" &amp; LEFT($A6, 2) &amp; " " &amp; RIGHT($A6, 2), ICE[LongCode], 0), MATCH("Text", ICE[#Headers], 0)), "")</f>
        <v xml:space="preserve"> /  </v>
      </c>
      <c r="AL6" s="46" t="str">
        <f t="shared" ca="1" si="9"/>
        <v/>
      </c>
      <c r="AM6" s="47" t="str">
        <f ca="1">IF(AND(ISNUMBER(AJ5), ISNUMBER(AJ6)), AJ5 - AJ6, "")</f>
        <v/>
      </c>
      <c r="AN6" s="114" t="str">
        <f ca="1">IF(AND(ISNUMBER(AL5), ISNUMBER(AL6)), AL5 - AL6, "")</f>
        <v/>
      </c>
      <c r="AO6" s="110" t="str">
        <f t="shared" ca="1" si="10"/>
        <v/>
      </c>
      <c r="AP6" s="46" t="str">
        <f t="shared" ca="1" si="10"/>
        <v/>
      </c>
      <c r="AQ6" s="47" t="str">
        <f ca="1">IF(AND(ISNUMBER(AO5), ISNUMBER(AO6)), AO5 - AO6, "")</f>
        <v/>
      </c>
      <c r="AR6" s="46" t="str">
        <f ca="1">IF(AND(ISNUMBER(AP5), ISNUMBER(AP6)), AP5 - AP6, "")</f>
        <v/>
      </c>
      <c r="AS6" s="110" t="str">
        <f t="shared" ca="1" si="11"/>
        <v/>
      </c>
      <c r="AT6" s="46" t="str">
        <f t="shared" ca="1" si="11"/>
        <v/>
      </c>
      <c r="AU6" s="47" t="str">
        <f ca="1">IF(AND(ISNUMBER(AS5), ISNUMBER(AS6)), AS5 - AS6, "")</f>
        <v/>
      </c>
      <c r="AV6" s="111" t="str">
        <f ca="1">IF(AND(ISNUMBER(AT5), ISNUMBER(AT6)), AT5 - AT6, "")</f>
        <v/>
      </c>
      <c r="AW6" s="109" t="str">
        <f t="shared" ca="1" si="12"/>
        <v/>
      </c>
      <c r="AX6" s="364" t="str">
        <f ca="1">IFERROR(INDEX(ICE[], MATCH("ic4ntet" &amp; LEFT($A6, 2) &amp; " " &amp; RIGHT($A6, 2), ICE[LongCode], 0), MATCH("Text", ICE[#Headers], 0)), "")</f>
        <v xml:space="preserve"> /  </v>
      </c>
      <c r="AY6" s="46" t="str">
        <f t="shared" ca="1" si="13"/>
        <v/>
      </c>
      <c r="AZ6" s="47" t="str">
        <f ca="1">IF(AND(ISNUMBER(AW5), ISNUMBER(AW6)), AW5 - AW6, "")</f>
        <v/>
      </c>
      <c r="BA6" s="114" t="str">
        <f ca="1">IF(AND(ISNUMBER(AY5), ISNUMBER(AY6)), AY5 - AY6, "")</f>
        <v/>
      </c>
      <c r="BB6" s="110" t="str">
        <f t="shared" ca="1" si="14"/>
        <v/>
      </c>
      <c r="BC6" s="46" t="str">
        <f t="shared" ca="1" si="14"/>
        <v/>
      </c>
      <c r="BD6" s="47" t="str">
        <f ca="1">IF(AND(ISNUMBER(BB5), ISNUMBER(BB6)), BB5 - BB6, "")</f>
        <v/>
      </c>
      <c r="BE6" s="46" t="str">
        <f ca="1">IF(AND(ISNUMBER(BC5), ISNUMBER(BC6)), BC5 - BC6, "")</f>
        <v/>
      </c>
      <c r="BF6" s="109" t="str">
        <f t="shared" ca="1" si="15"/>
        <v/>
      </c>
      <c r="BG6" s="364" t="str">
        <f ca="1">IFERROR(INDEX(ICE[], MATCH("ngasntet" &amp; LEFT($A6, 2) &amp; " " &amp; RIGHT($A6, 2), ICE[LongCode], 0), MATCH("Text", ICE[#Headers], 0)), "")</f>
        <v xml:space="preserve"> /  </v>
      </c>
      <c r="BH6" s="46" t="str">
        <f t="shared" ca="1" si="16"/>
        <v/>
      </c>
      <c r="BI6" s="47" t="str">
        <f ca="1">IF(AND(ISNUMBER(BF5), ISNUMBER(BF6)), BF5 - BF6, "")</f>
        <v/>
      </c>
      <c r="BJ6" s="114" t="str">
        <f ca="1">IF(AND(ISNUMBER(BH5), ISNUMBER(BH6)), BH5 - BH6, "")</f>
        <v/>
      </c>
      <c r="BK6" s="110" t="str">
        <f t="shared" ca="1" si="17"/>
        <v/>
      </c>
      <c r="BL6" s="46" t="str">
        <f t="shared" ca="1" si="17"/>
        <v/>
      </c>
      <c r="BM6" s="47" t="str">
        <f ca="1">IF(AND(ISNUMBER(BK5), ISNUMBER(BK6)), BK5 - BK6, "")</f>
        <v/>
      </c>
      <c r="BN6" s="111" t="str">
        <f ca="1">IF(AND(ISNUMBER(BL5), ISNUMBER(BL6)), BL5 - BL6, "")</f>
        <v/>
      </c>
      <c r="BO6" s="109" t="str">
        <f t="shared" ca="1" si="18"/>
        <v/>
      </c>
      <c r="BP6" s="364" t="str">
        <f ca="1">IFERROR(INDEX(ICE[], MATCH("c3ew" &amp; LEFT($A6, 2) &amp; " " &amp; RIGHT($A6, 2), ICE[LongCode], 0), MATCH("Text", ICE[#Headers], 0)), "")</f>
        <v xml:space="preserve"> /  </v>
      </c>
      <c r="BQ6" s="46" t="str">
        <f t="shared" ca="1" si="19"/>
        <v/>
      </c>
      <c r="BR6" s="47" t="str">
        <f ca="1">IF(AND(ISNUMBER(BO5), ISNUMBER(BO6)), BO5 - BO6, "")</f>
        <v/>
      </c>
      <c r="BS6" s="114" t="str">
        <f ca="1">IF(AND(ISNUMBER(BQ5), ISNUMBER(BQ6)), BQ5 - BQ6, "")</f>
        <v/>
      </c>
      <c r="BT6" s="110" t="str">
        <f t="shared" ca="1" si="20"/>
        <v/>
      </c>
      <c r="BU6" s="46" t="str">
        <f t="shared" ca="1" si="20"/>
        <v/>
      </c>
      <c r="BV6" s="47" t="str">
        <f ca="1">IF(AND(ISNUMBER(BT5), ISNUMBER(BT6)), BT5 - BT6, "")</f>
        <v/>
      </c>
      <c r="BW6" s="46" t="str">
        <f ca="1">IF(AND(ISNUMBER(BU5), ISNUMBER(BU6)), BU5 - BU6, "")</f>
        <v/>
      </c>
      <c r="BX6" s="110" t="str">
        <f t="shared" ca="1" si="21"/>
        <v/>
      </c>
      <c r="BY6" s="46" t="str">
        <f t="shared" ca="1" si="21"/>
        <v/>
      </c>
      <c r="BZ6" s="47" t="str">
        <f ca="1">IF(AND(ISNUMBER(BX5), ISNUMBER(BX6)), BX5 - BX6, "")</f>
        <v/>
      </c>
      <c r="CA6" s="111" t="str">
        <f ca="1">IF(AND(ISNUMBER(BY5), ISNUMBER(BY6)), BY5 - BY6, "")</f>
        <v/>
      </c>
    </row>
    <row r="7" spans="1:79" s="68" customFormat="1" x14ac:dyDescent="0.25">
      <c r="A7" s="54" t="str">
        <f t="shared" ref="A7:A11" ca="1" si="22">IF(LEFT($A6, 2) = "Q4", "Q1" &amp; TEXT(RIGHT($A6, 2) + 1, "00"), "Q" &amp; MID($A6, 2, 1) + 1 &amp; RIGHT($A6, 2))</f>
        <v>Q127</v>
      </c>
      <c r="B7" s="6"/>
      <c r="C7" s="6"/>
      <c r="D7" s="28"/>
      <c r="E7" s="28"/>
      <c r="F7" s="28"/>
      <c r="G7" s="28"/>
      <c r="H7" s="28"/>
      <c r="I7" s="28"/>
      <c r="J7" s="109" t="str">
        <f t="shared" ca="1" si="0"/>
        <v/>
      </c>
      <c r="K7" s="364" t="str">
        <f ca="1">IFERROR(INDEX(ICE[], MATCH("propnap" &amp; LEFT($A7, 2) &amp; " " &amp; RIGHT($A7, 2), ICE[LongCode], 0), MATCH("Text", ICE[#Headers], 0)), "")</f>
        <v xml:space="preserve"> /  </v>
      </c>
      <c r="L7" s="46" t="str">
        <f t="shared" ca="1" si="1"/>
        <v/>
      </c>
      <c r="M7" s="47" t="str">
        <f t="shared" ref="M7:M11" ca="1" si="23">IF(AND(ISNUMBER(J6), ISNUMBER(J7)), J6 - J7, "")</f>
        <v/>
      </c>
      <c r="N7" s="114" t="str">
        <f t="shared" ref="N7:N11" ca="1" si="24">IF(AND(ISNUMBER(L6), ISNUMBER(L7)), L6 - L7, "")</f>
        <v/>
      </c>
      <c r="O7" s="110" t="str">
        <f t="shared" ca="1" si="2"/>
        <v/>
      </c>
      <c r="P7" s="46" t="str">
        <f t="shared" ca="1" si="2"/>
        <v/>
      </c>
      <c r="Q7" s="47" t="str">
        <f t="shared" ref="Q7:R11" ca="1" si="25">IF(AND(ISNUMBER(O6), ISNUMBER(O7)), O6 - O7, "")</f>
        <v/>
      </c>
      <c r="R7" s="46" t="str">
        <f t="shared" ca="1" si="25"/>
        <v/>
      </c>
      <c r="S7" s="110" t="str">
        <f t="shared" ca="1" si="3"/>
        <v/>
      </c>
      <c r="T7" s="46" t="str">
        <f t="shared" ca="1" si="3"/>
        <v/>
      </c>
      <c r="U7" s="47" t="str">
        <f t="shared" ref="U7:U11" ca="1" si="26">IF(AND(ISNUMBER(S6), ISNUMBER(S7)), S6 - S7, "")</f>
        <v/>
      </c>
      <c r="V7" s="111" t="str">
        <f t="shared" ref="V7:V11" ca="1" si="27">IF(AND(ISNUMBER(T6), ISNUMBER(T7)), T6 - T7, "")</f>
        <v/>
      </c>
      <c r="W7" s="109" t="str">
        <f t="shared" ca="1" si="4"/>
        <v/>
      </c>
      <c r="X7" s="364" t="str">
        <f ca="1">IFERROR(INDEX(ICE[], MATCH("c3tet" &amp; LEFT($A7, 2) &amp; " " &amp; RIGHT($A7, 2), ICE[LongCode], 0), MATCH("Text", ICE[#Headers], 0)), "")</f>
        <v xml:space="preserve"> /  {0.76} |125x</v>
      </c>
      <c r="Y7" s="46" t="str">
        <f t="shared" ca="1" si="5"/>
        <v/>
      </c>
      <c r="Z7" s="47" t="str">
        <f t="shared" ref="Z7:Z11" ca="1" si="28">IF(AND(ISNUMBER(W6), ISNUMBER(W7)), W6 - W7, "")</f>
        <v/>
      </c>
      <c r="AA7" s="114" t="str">
        <f t="shared" ref="AA7:AA11" ca="1" si="29">IF(AND(ISNUMBER(Y6), ISNUMBER(Y7)), Y6 - Y7, "")</f>
        <v/>
      </c>
      <c r="AB7" s="110" t="str">
        <f t="shared" ca="1" si="6"/>
        <v/>
      </c>
      <c r="AC7" s="46" t="str">
        <f t="shared" ca="1" si="6"/>
        <v/>
      </c>
      <c r="AD7" s="47" t="str">
        <f t="shared" ref="AD7:AD11" ca="1" si="30">IF(AND(ISNUMBER(AB6), ISNUMBER(AB7)), AB6 - AB7, "")</f>
        <v/>
      </c>
      <c r="AE7" s="46" t="str">
        <f t="shared" ref="AE7:AE11" ca="1" si="31">IF(AND(ISNUMBER(AC6), ISNUMBER(AC7)), AC6 - AC7, "")</f>
        <v/>
      </c>
      <c r="AF7" s="110" t="str">
        <f t="shared" ca="1" si="7"/>
        <v/>
      </c>
      <c r="AG7" s="46" t="str">
        <f t="shared" ca="1" si="7"/>
        <v/>
      </c>
      <c r="AH7" s="47" t="str">
        <f t="shared" ref="AH7:AH11" ca="1" si="32">IF(AND(ISNUMBER(AF6), ISNUMBER(AF7)), AF6 - AF7, "")</f>
        <v/>
      </c>
      <c r="AI7" s="111" t="str">
        <f t="shared" ref="AI7:AI11" ca="1" si="33">IF(AND(ISNUMBER(AG6), ISNUMBER(AG7)), AG6 - AG7, "")</f>
        <v/>
      </c>
      <c r="AJ7" s="109" t="str">
        <f t="shared" ca="1" si="8"/>
        <v/>
      </c>
      <c r="AK7" s="364" t="str">
        <f ca="1">IFERROR(INDEX(ICE[], MATCH("c4ntet" &amp; LEFT($A7, 2) &amp; " " &amp; RIGHT($A7, 2), ICE[LongCode], 0), MATCH("Text", ICE[#Headers], 0)), "")</f>
        <v xml:space="preserve"> /  </v>
      </c>
      <c r="AL7" s="46" t="str">
        <f t="shared" ca="1" si="9"/>
        <v/>
      </c>
      <c r="AM7" s="47" t="str">
        <f t="shared" ref="AM7:AM11" ca="1" si="34">IF(AND(ISNUMBER(AJ6), ISNUMBER(AJ7)), AJ6 - AJ7, "")</f>
        <v/>
      </c>
      <c r="AN7" s="114" t="str">
        <f t="shared" ref="AN7:AN11" ca="1" si="35">IF(AND(ISNUMBER(AL6), ISNUMBER(AL7)), AL6 - AL7, "")</f>
        <v/>
      </c>
      <c r="AO7" s="110" t="str">
        <f t="shared" ca="1" si="10"/>
        <v/>
      </c>
      <c r="AP7" s="46" t="str">
        <f t="shared" ca="1" si="10"/>
        <v/>
      </c>
      <c r="AQ7" s="47" t="str">
        <f t="shared" ref="AQ7:AQ11" ca="1" si="36">IF(AND(ISNUMBER(AO6), ISNUMBER(AO7)), AO6 - AO7, "")</f>
        <v/>
      </c>
      <c r="AR7" s="46" t="str">
        <f t="shared" ref="AR7:AR11" ca="1" si="37">IF(AND(ISNUMBER(AP6), ISNUMBER(AP7)), AP6 - AP7, "")</f>
        <v/>
      </c>
      <c r="AS7" s="110" t="str">
        <f t="shared" ca="1" si="11"/>
        <v/>
      </c>
      <c r="AT7" s="46" t="str">
        <f t="shared" ca="1" si="11"/>
        <v/>
      </c>
      <c r="AU7" s="47" t="str">
        <f t="shared" ref="AU7:AU11" ca="1" si="38">IF(AND(ISNUMBER(AS6), ISNUMBER(AS7)), AS6 - AS7, "")</f>
        <v/>
      </c>
      <c r="AV7" s="111" t="str">
        <f t="shared" ref="AV7:AV11" ca="1" si="39">IF(AND(ISNUMBER(AT6), ISNUMBER(AT7)), AT6 - AT7, "")</f>
        <v/>
      </c>
      <c r="AW7" s="109" t="str">
        <f t="shared" ca="1" si="12"/>
        <v/>
      </c>
      <c r="AX7" s="364" t="str">
        <f ca="1">IFERROR(INDEX(ICE[], MATCH("ic4ntet" &amp; LEFT($A7, 2) &amp; " " &amp; RIGHT($A7, 2), ICE[LongCode], 0), MATCH("Text", ICE[#Headers], 0)), "")</f>
        <v xml:space="preserve"> /  </v>
      </c>
      <c r="AY7" s="46" t="str">
        <f t="shared" ca="1" si="13"/>
        <v/>
      </c>
      <c r="AZ7" s="47" t="str">
        <f t="shared" ref="AZ7:AZ11" ca="1" si="40">IF(AND(ISNUMBER(AW6), ISNUMBER(AW7)), AW6 - AW7, "")</f>
        <v/>
      </c>
      <c r="BA7" s="114" t="str">
        <f t="shared" ref="BA7:BA11" ca="1" si="41">IF(AND(ISNUMBER(AY6), ISNUMBER(AY7)), AY6 - AY7, "")</f>
        <v/>
      </c>
      <c r="BB7" s="110" t="str">
        <f t="shared" ca="1" si="14"/>
        <v/>
      </c>
      <c r="BC7" s="46" t="str">
        <f t="shared" ca="1" si="14"/>
        <v/>
      </c>
      <c r="BD7" s="47" t="str">
        <f t="shared" ref="BD7:BD11" ca="1" si="42">IF(AND(ISNUMBER(BB6), ISNUMBER(BB7)), BB6 - BB7, "")</f>
        <v/>
      </c>
      <c r="BE7" s="46" t="str">
        <f t="shared" ref="BE7:BE11" ca="1" si="43">IF(AND(ISNUMBER(BC6), ISNUMBER(BC7)), BC6 - BC7, "")</f>
        <v/>
      </c>
      <c r="BF7" s="109" t="str">
        <f t="shared" ca="1" si="15"/>
        <v/>
      </c>
      <c r="BG7" s="364" t="str">
        <f ca="1">IFERROR(INDEX(ICE[], MATCH("ngasntet" &amp; LEFT($A7, 2) &amp; " " &amp; RIGHT($A7, 2), ICE[LongCode], 0), MATCH("Text", ICE[#Headers], 0)), "")</f>
        <v xml:space="preserve"> /  </v>
      </c>
      <c r="BH7" s="46" t="str">
        <f t="shared" ca="1" si="16"/>
        <v/>
      </c>
      <c r="BI7" s="47" t="str">
        <f t="shared" ref="BI7:BI11" ca="1" si="44">IF(AND(ISNUMBER(BF6), ISNUMBER(BF7)), BF6 - BF7, "")</f>
        <v/>
      </c>
      <c r="BJ7" s="114" t="str">
        <f t="shared" ref="BJ7:BJ11" ca="1" si="45">IF(AND(ISNUMBER(BH6), ISNUMBER(BH7)), BH6 - BH7, "")</f>
        <v/>
      </c>
      <c r="BK7" s="110" t="str">
        <f t="shared" ca="1" si="17"/>
        <v/>
      </c>
      <c r="BL7" s="46" t="str">
        <f t="shared" ca="1" si="17"/>
        <v/>
      </c>
      <c r="BM7" s="47" t="str">
        <f t="shared" ref="BM7:BM11" ca="1" si="46">IF(AND(ISNUMBER(BK6), ISNUMBER(BK7)), BK6 - BK7, "")</f>
        <v/>
      </c>
      <c r="BN7" s="111" t="str">
        <f t="shared" ref="BN7:BN11" ca="1" si="47">IF(AND(ISNUMBER(BL6), ISNUMBER(BL7)), BL6 - BL7, "")</f>
        <v/>
      </c>
      <c r="BO7" s="109" t="str">
        <f t="shared" ca="1" si="18"/>
        <v/>
      </c>
      <c r="BP7" s="364" t="str">
        <f ca="1">IFERROR(INDEX(ICE[], MATCH("c3ew" &amp; LEFT($A7, 2) &amp; " " &amp; RIGHT($A7, 2), ICE[LongCode], 0), MATCH("Text", ICE[#Headers], 0)), "")</f>
        <v xml:space="preserve"> /  </v>
      </c>
      <c r="BQ7" s="46" t="str">
        <f t="shared" ca="1" si="19"/>
        <v/>
      </c>
      <c r="BR7" s="47" t="str">
        <f t="shared" ref="BR7:BR11" ca="1" si="48">IF(AND(ISNUMBER(BO6), ISNUMBER(BO7)), BO6 - BO7, "")</f>
        <v/>
      </c>
      <c r="BS7" s="114" t="str">
        <f t="shared" ref="BS7:BS11" ca="1" si="49">IF(AND(ISNUMBER(BQ6), ISNUMBER(BQ7)), BQ6 - BQ7, "")</f>
        <v/>
      </c>
      <c r="BT7" s="110" t="str">
        <f t="shared" ca="1" si="20"/>
        <v/>
      </c>
      <c r="BU7" s="46" t="str">
        <f t="shared" ca="1" si="20"/>
        <v/>
      </c>
      <c r="BV7" s="47" t="str">
        <f t="shared" ref="BV7:BV11" ca="1" si="50">IF(AND(ISNUMBER(BT6), ISNUMBER(BT7)), BT6 - BT7, "")</f>
        <v/>
      </c>
      <c r="BW7" s="46" t="str">
        <f t="shared" ref="BW7:BW11" ca="1" si="51">IF(AND(ISNUMBER(BU6), ISNUMBER(BU7)), BU6 - BU7, "")</f>
        <v/>
      </c>
      <c r="BX7" s="110" t="str">
        <f t="shared" ca="1" si="21"/>
        <v/>
      </c>
      <c r="BY7" s="46" t="str">
        <f t="shared" ca="1" si="21"/>
        <v/>
      </c>
      <c r="BZ7" s="47" t="str">
        <f t="shared" ref="BZ7:BZ11" ca="1" si="52">IF(AND(ISNUMBER(BX6), ISNUMBER(BX7)), BX6 - BX7, "")</f>
        <v/>
      </c>
      <c r="CA7" s="111" t="str">
        <f t="shared" ref="CA7:CA11" ca="1" si="53">IF(AND(ISNUMBER(BY6), ISNUMBER(BY7)), BY6 - BY7, "")</f>
        <v/>
      </c>
    </row>
    <row r="8" spans="1:79" s="68" customFormat="1" x14ac:dyDescent="0.25">
      <c r="A8" s="54" t="str">
        <f t="shared" ca="1" si="22"/>
        <v>Q227</v>
      </c>
      <c r="B8" s="6"/>
      <c r="C8" s="6"/>
      <c r="D8" s="28"/>
      <c r="E8" s="28"/>
      <c r="F8" s="28"/>
      <c r="G8" s="28"/>
      <c r="H8" s="28"/>
      <c r="I8" s="28"/>
      <c r="J8" s="109" t="str">
        <f t="shared" ca="1" si="0"/>
        <v/>
      </c>
      <c r="K8" s="364" t="str">
        <f ca="1">IFERROR(INDEX(ICE[], MATCH("propnap" &amp; LEFT($A8, 2) &amp; " " &amp; RIGHT($A8, 2), ICE[LongCode], 0), MATCH("Text", ICE[#Headers], 0)), "")</f>
        <v xml:space="preserve"> /  </v>
      </c>
      <c r="L8" s="46" t="str">
        <f t="shared" ca="1" si="1"/>
        <v/>
      </c>
      <c r="M8" s="47" t="str">
        <f t="shared" ca="1" si="23"/>
        <v/>
      </c>
      <c r="N8" s="114" t="str">
        <f t="shared" ca="1" si="24"/>
        <v/>
      </c>
      <c r="O8" s="110" t="str">
        <f t="shared" ca="1" si="2"/>
        <v/>
      </c>
      <c r="P8" s="46" t="str">
        <f t="shared" ca="1" si="2"/>
        <v/>
      </c>
      <c r="Q8" s="47" t="str">
        <f t="shared" ca="1" si="25"/>
        <v/>
      </c>
      <c r="R8" s="46" t="str">
        <f t="shared" ca="1" si="25"/>
        <v/>
      </c>
      <c r="S8" s="110" t="str">
        <f t="shared" ca="1" si="3"/>
        <v/>
      </c>
      <c r="T8" s="46" t="str">
        <f t="shared" ca="1" si="3"/>
        <v/>
      </c>
      <c r="U8" s="47" t="str">
        <f t="shared" ca="1" si="26"/>
        <v/>
      </c>
      <c r="V8" s="111" t="str">
        <f t="shared" ca="1" si="27"/>
        <v/>
      </c>
      <c r="W8" s="109" t="str">
        <f t="shared" ca="1" si="4"/>
        <v/>
      </c>
      <c r="X8" s="364" t="str">
        <f ca="1">IFERROR(INDEX(ICE[], MATCH("c3tet" &amp; LEFT($A8, 2) &amp; " " &amp; RIGHT($A8, 2), ICE[LongCode], 0), MATCH("Text", ICE[#Headers], 0)), "")</f>
        <v xml:space="preserve"> /  </v>
      </c>
      <c r="Y8" s="46" t="str">
        <f t="shared" ca="1" si="5"/>
        <v/>
      </c>
      <c r="Z8" s="47" t="str">
        <f t="shared" ca="1" si="28"/>
        <v/>
      </c>
      <c r="AA8" s="114" t="str">
        <f t="shared" ca="1" si="29"/>
        <v/>
      </c>
      <c r="AB8" s="110" t="str">
        <f t="shared" ca="1" si="6"/>
        <v/>
      </c>
      <c r="AC8" s="46" t="str">
        <f t="shared" ca="1" si="6"/>
        <v/>
      </c>
      <c r="AD8" s="47" t="str">
        <f t="shared" ca="1" si="30"/>
        <v/>
      </c>
      <c r="AE8" s="46" t="str">
        <f t="shared" ca="1" si="31"/>
        <v/>
      </c>
      <c r="AF8" s="110" t="str">
        <f t="shared" ca="1" si="7"/>
        <v/>
      </c>
      <c r="AG8" s="46" t="str">
        <f t="shared" ca="1" si="7"/>
        <v/>
      </c>
      <c r="AH8" s="47" t="str">
        <f t="shared" ca="1" si="32"/>
        <v/>
      </c>
      <c r="AI8" s="111" t="str">
        <f t="shared" ca="1" si="33"/>
        <v/>
      </c>
      <c r="AJ8" s="109" t="str">
        <f t="shared" ca="1" si="8"/>
        <v/>
      </c>
      <c r="AK8" s="364" t="str">
        <f ca="1">IFERROR(INDEX(ICE[], MATCH("c4ntet" &amp; LEFT($A8, 2) &amp; " " &amp; RIGHT($A8, 2), ICE[LongCode], 0), MATCH("Text", ICE[#Headers], 0)), "")</f>
        <v xml:space="preserve"> /  </v>
      </c>
      <c r="AL8" s="46" t="str">
        <f t="shared" ca="1" si="9"/>
        <v/>
      </c>
      <c r="AM8" s="47" t="str">
        <f t="shared" ca="1" si="34"/>
        <v/>
      </c>
      <c r="AN8" s="114" t="str">
        <f t="shared" ca="1" si="35"/>
        <v/>
      </c>
      <c r="AO8" s="110" t="str">
        <f t="shared" ca="1" si="10"/>
        <v/>
      </c>
      <c r="AP8" s="46" t="str">
        <f t="shared" ca="1" si="10"/>
        <v/>
      </c>
      <c r="AQ8" s="47" t="str">
        <f t="shared" ca="1" si="36"/>
        <v/>
      </c>
      <c r="AR8" s="46" t="str">
        <f t="shared" ca="1" si="37"/>
        <v/>
      </c>
      <c r="AS8" s="110" t="str">
        <f t="shared" ca="1" si="11"/>
        <v/>
      </c>
      <c r="AT8" s="46" t="str">
        <f t="shared" ca="1" si="11"/>
        <v/>
      </c>
      <c r="AU8" s="47" t="str">
        <f t="shared" ca="1" si="38"/>
        <v/>
      </c>
      <c r="AV8" s="111" t="str">
        <f t="shared" ca="1" si="39"/>
        <v/>
      </c>
      <c r="AW8" s="109" t="str">
        <f t="shared" ca="1" si="12"/>
        <v/>
      </c>
      <c r="AX8" s="364" t="str">
        <f ca="1">IFERROR(INDEX(ICE[], MATCH("ic4ntet" &amp; LEFT($A8, 2) &amp; " " &amp; RIGHT($A8, 2), ICE[LongCode], 0), MATCH("Text", ICE[#Headers], 0)), "")</f>
        <v xml:space="preserve"> /  </v>
      </c>
      <c r="AY8" s="46" t="str">
        <f t="shared" ca="1" si="13"/>
        <v/>
      </c>
      <c r="AZ8" s="47" t="str">
        <f t="shared" ca="1" si="40"/>
        <v/>
      </c>
      <c r="BA8" s="114" t="str">
        <f t="shared" ca="1" si="41"/>
        <v/>
      </c>
      <c r="BB8" s="110" t="str">
        <f t="shared" ca="1" si="14"/>
        <v/>
      </c>
      <c r="BC8" s="46" t="str">
        <f t="shared" ca="1" si="14"/>
        <v/>
      </c>
      <c r="BD8" s="47" t="str">
        <f t="shared" ca="1" si="42"/>
        <v/>
      </c>
      <c r="BE8" s="46" t="str">
        <f t="shared" ca="1" si="43"/>
        <v/>
      </c>
      <c r="BF8" s="109" t="str">
        <f t="shared" ca="1" si="15"/>
        <v/>
      </c>
      <c r="BG8" s="364" t="str">
        <f ca="1">IFERROR(INDEX(ICE[], MATCH("ngasntet" &amp; LEFT($A8, 2) &amp; " " &amp; RIGHT($A8, 2), ICE[LongCode], 0), MATCH("Text", ICE[#Headers], 0)), "")</f>
        <v xml:space="preserve"> /  </v>
      </c>
      <c r="BH8" s="46" t="str">
        <f t="shared" ca="1" si="16"/>
        <v/>
      </c>
      <c r="BI8" s="47" t="str">
        <f t="shared" ca="1" si="44"/>
        <v/>
      </c>
      <c r="BJ8" s="114" t="str">
        <f t="shared" ca="1" si="45"/>
        <v/>
      </c>
      <c r="BK8" s="110" t="str">
        <f t="shared" ca="1" si="17"/>
        <v/>
      </c>
      <c r="BL8" s="46" t="str">
        <f t="shared" ca="1" si="17"/>
        <v/>
      </c>
      <c r="BM8" s="47" t="str">
        <f t="shared" ca="1" si="46"/>
        <v/>
      </c>
      <c r="BN8" s="111" t="str">
        <f t="shared" ca="1" si="47"/>
        <v/>
      </c>
      <c r="BO8" s="109" t="str">
        <f t="shared" ca="1" si="18"/>
        <v/>
      </c>
      <c r="BP8" s="364" t="str">
        <f ca="1">IFERROR(INDEX(ICE[], MATCH("c3ew" &amp; LEFT($A8, 2) &amp; " " &amp; RIGHT($A8, 2), ICE[LongCode], 0), MATCH("Text", ICE[#Headers], 0)), "")</f>
        <v xml:space="preserve"> /  </v>
      </c>
      <c r="BQ8" s="46" t="str">
        <f t="shared" ca="1" si="19"/>
        <v/>
      </c>
      <c r="BR8" s="47" t="str">
        <f t="shared" ca="1" si="48"/>
        <v/>
      </c>
      <c r="BS8" s="114" t="str">
        <f t="shared" ca="1" si="49"/>
        <v/>
      </c>
      <c r="BT8" s="110" t="str">
        <f t="shared" ca="1" si="20"/>
        <v/>
      </c>
      <c r="BU8" s="46" t="str">
        <f t="shared" ca="1" si="20"/>
        <v/>
      </c>
      <c r="BV8" s="47" t="str">
        <f t="shared" ca="1" si="50"/>
        <v/>
      </c>
      <c r="BW8" s="46" t="str">
        <f t="shared" ca="1" si="51"/>
        <v/>
      </c>
      <c r="BX8" s="110" t="str">
        <f t="shared" ca="1" si="21"/>
        <v/>
      </c>
      <c r="BY8" s="46" t="str">
        <f t="shared" ca="1" si="21"/>
        <v/>
      </c>
      <c r="BZ8" s="47" t="str">
        <f t="shared" ca="1" si="52"/>
        <v/>
      </c>
      <c r="CA8" s="111" t="str">
        <f t="shared" ca="1" si="53"/>
        <v/>
      </c>
    </row>
    <row r="9" spans="1:79" s="68" customFormat="1" x14ac:dyDescent="0.25">
      <c r="A9" s="54" t="str">
        <f t="shared" ca="1" si="22"/>
        <v>Q327</v>
      </c>
      <c r="B9" s="6"/>
      <c r="C9" s="6"/>
      <c r="D9" s="28"/>
      <c r="E9" s="28"/>
      <c r="F9" s="28"/>
      <c r="G9" s="28"/>
      <c r="H9" s="28"/>
      <c r="I9" s="28"/>
      <c r="J9" s="109" t="str">
        <f t="shared" ca="1" si="0"/>
        <v/>
      </c>
      <c r="K9" s="364" t="str">
        <f ca="1">IFERROR(INDEX(ICE[], MATCH("propnap" &amp; LEFT($A9, 2) &amp; " " &amp; RIGHT($A9, 2), ICE[LongCode], 0), MATCH("Text", ICE[#Headers], 0)), "")</f>
        <v xml:space="preserve"> /  </v>
      </c>
      <c r="L9" s="46" t="str">
        <f t="shared" ca="1" si="1"/>
        <v/>
      </c>
      <c r="M9" s="47" t="str">
        <f t="shared" ca="1" si="23"/>
        <v/>
      </c>
      <c r="N9" s="114" t="str">
        <f t="shared" ca="1" si="24"/>
        <v/>
      </c>
      <c r="O9" s="110" t="str">
        <f t="shared" ca="1" si="2"/>
        <v/>
      </c>
      <c r="P9" s="46" t="str">
        <f t="shared" ca="1" si="2"/>
        <v/>
      </c>
      <c r="Q9" s="47" t="str">
        <f t="shared" ca="1" si="25"/>
        <v/>
      </c>
      <c r="R9" s="46" t="str">
        <f t="shared" ca="1" si="25"/>
        <v/>
      </c>
      <c r="S9" s="110" t="str">
        <f t="shared" ca="1" si="3"/>
        <v/>
      </c>
      <c r="T9" s="46" t="str">
        <f t="shared" ca="1" si="3"/>
        <v/>
      </c>
      <c r="U9" s="47" t="str">
        <f t="shared" ca="1" si="26"/>
        <v/>
      </c>
      <c r="V9" s="111" t="str">
        <f t="shared" ca="1" si="27"/>
        <v/>
      </c>
      <c r="W9" s="109" t="str">
        <f t="shared" ca="1" si="4"/>
        <v/>
      </c>
      <c r="X9" s="364" t="str">
        <f ca="1">IFERROR(INDEX(ICE[], MATCH("c3tet" &amp; LEFT($A9, 2) &amp; " " &amp; RIGHT($A9, 2), ICE[LongCode], 0), MATCH("Text", ICE[#Headers], 0)), "")</f>
        <v xml:space="preserve"> /  </v>
      </c>
      <c r="Y9" s="46" t="str">
        <f t="shared" ca="1" si="5"/>
        <v/>
      </c>
      <c r="Z9" s="47" t="str">
        <f t="shared" ca="1" si="28"/>
        <v/>
      </c>
      <c r="AA9" s="114" t="str">
        <f t="shared" ca="1" si="29"/>
        <v/>
      </c>
      <c r="AB9" s="110" t="str">
        <f t="shared" ca="1" si="6"/>
        <v/>
      </c>
      <c r="AC9" s="46" t="str">
        <f t="shared" ca="1" si="6"/>
        <v/>
      </c>
      <c r="AD9" s="47" t="str">
        <f t="shared" ca="1" si="30"/>
        <v/>
      </c>
      <c r="AE9" s="46" t="str">
        <f t="shared" ca="1" si="31"/>
        <v/>
      </c>
      <c r="AF9" s="110" t="str">
        <f t="shared" ca="1" si="7"/>
        <v/>
      </c>
      <c r="AG9" s="46" t="str">
        <f t="shared" ca="1" si="7"/>
        <v/>
      </c>
      <c r="AH9" s="47" t="str">
        <f t="shared" ca="1" si="32"/>
        <v/>
      </c>
      <c r="AI9" s="111" t="str">
        <f t="shared" ca="1" si="33"/>
        <v/>
      </c>
      <c r="AJ9" s="109" t="str">
        <f t="shared" ca="1" si="8"/>
        <v/>
      </c>
      <c r="AK9" s="364" t="str">
        <f ca="1">IFERROR(INDEX(ICE[], MATCH("c4ntet" &amp; LEFT($A9, 2) &amp; " " &amp; RIGHT($A9, 2), ICE[LongCode], 0), MATCH("Text", ICE[#Headers], 0)), "")</f>
        <v xml:space="preserve"> /  </v>
      </c>
      <c r="AL9" s="46" t="str">
        <f t="shared" ca="1" si="9"/>
        <v/>
      </c>
      <c r="AM9" s="47" t="str">
        <f t="shared" ca="1" si="34"/>
        <v/>
      </c>
      <c r="AN9" s="114" t="str">
        <f t="shared" ca="1" si="35"/>
        <v/>
      </c>
      <c r="AO9" s="110" t="str">
        <f t="shared" ca="1" si="10"/>
        <v/>
      </c>
      <c r="AP9" s="46" t="str">
        <f t="shared" ca="1" si="10"/>
        <v/>
      </c>
      <c r="AQ9" s="47" t="str">
        <f t="shared" ca="1" si="36"/>
        <v/>
      </c>
      <c r="AR9" s="46" t="str">
        <f t="shared" ca="1" si="37"/>
        <v/>
      </c>
      <c r="AS9" s="110" t="str">
        <f t="shared" ca="1" si="11"/>
        <v/>
      </c>
      <c r="AT9" s="46" t="str">
        <f t="shared" ca="1" si="11"/>
        <v/>
      </c>
      <c r="AU9" s="47" t="str">
        <f t="shared" ca="1" si="38"/>
        <v/>
      </c>
      <c r="AV9" s="111" t="str">
        <f t="shared" ca="1" si="39"/>
        <v/>
      </c>
      <c r="AW9" s="109" t="str">
        <f t="shared" ca="1" si="12"/>
        <v/>
      </c>
      <c r="AX9" s="364" t="str">
        <f ca="1">IFERROR(INDEX(ICE[], MATCH("ic4ntet" &amp; LEFT($A9, 2) &amp; " " &amp; RIGHT($A9, 2), ICE[LongCode], 0), MATCH("Text", ICE[#Headers], 0)), "")</f>
        <v xml:space="preserve"> /  </v>
      </c>
      <c r="AY9" s="46" t="str">
        <f t="shared" ca="1" si="13"/>
        <v/>
      </c>
      <c r="AZ9" s="47" t="str">
        <f t="shared" ca="1" si="40"/>
        <v/>
      </c>
      <c r="BA9" s="114" t="str">
        <f t="shared" ca="1" si="41"/>
        <v/>
      </c>
      <c r="BB9" s="110" t="str">
        <f t="shared" ca="1" si="14"/>
        <v/>
      </c>
      <c r="BC9" s="46" t="str">
        <f t="shared" ca="1" si="14"/>
        <v/>
      </c>
      <c r="BD9" s="47" t="str">
        <f t="shared" ca="1" si="42"/>
        <v/>
      </c>
      <c r="BE9" s="46" t="str">
        <f t="shared" ca="1" si="43"/>
        <v/>
      </c>
      <c r="BF9" s="109" t="str">
        <f t="shared" ca="1" si="15"/>
        <v/>
      </c>
      <c r="BG9" s="364" t="str">
        <f ca="1">IFERROR(INDEX(ICE[], MATCH("ngasntet" &amp; LEFT($A9, 2) &amp; " " &amp; RIGHT($A9, 2), ICE[LongCode], 0), MATCH("Text", ICE[#Headers], 0)), "")</f>
        <v xml:space="preserve"> /  </v>
      </c>
      <c r="BH9" s="46" t="str">
        <f t="shared" ca="1" si="16"/>
        <v/>
      </c>
      <c r="BI9" s="47" t="str">
        <f t="shared" ca="1" si="44"/>
        <v/>
      </c>
      <c r="BJ9" s="114" t="str">
        <f t="shared" ca="1" si="45"/>
        <v/>
      </c>
      <c r="BK9" s="110" t="str">
        <f t="shared" ca="1" si="17"/>
        <v/>
      </c>
      <c r="BL9" s="46" t="str">
        <f t="shared" ca="1" si="17"/>
        <v/>
      </c>
      <c r="BM9" s="47" t="str">
        <f t="shared" ca="1" si="46"/>
        <v/>
      </c>
      <c r="BN9" s="111" t="str">
        <f t="shared" ca="1" si="47"/>
        <v/>
      </c>
      <c r="BO9" s="109" t="str">
        <f t="shared" ca="1" si="18"/>
        <v/>
      </c>
      <c r="BP9" s="364" t="str">
        <f ca="1">IFERROR(INDEX(ICE[], MATCH("c3ew" &amp; LEFT($A9, 2) &amp; " " &amp; RIGHT($A9, 2), ICE[LongCode], 0), MATCH("Text", ICE[#Headers], 0)), "")</f>
        <v xml:space="preserve"> /  </v>
      </c>
      <c r="BQ9" s="46" t="str">
        <f t="shared" ca="1" si="19"/>
        <v/>
      </c>
      <c r="BR9" s="47" t="str">
        <f t="shared" ca="1" si="48"/>
        <v/>
      </c>
      <c r="BS9" s="114" t="str">
        <f t="shared" ca="1" si="49"/>
        <v/>
      </c>
      <c r="BT9" s="110" t="str">
        <f t="shared" ca="1" si="20"/>
        <v/>
      </c>
      <c r="BU9" s="46" t="str">
        <f t="shared" ca="1" si="20"/>
        <v/>
      </c>
      <c r="BV9" s="47" t="str">
        <f t="shared" ca="1" si="50"/>
        <v/>
      </c>
      <c r="BW9" s="46" t="str">
        <f t="shared" ca="1" si="51"/>
        <v/>
      </c>
      <c r="BX9" s="110" t="str">
        <f t="shared" ca="1" si="21"/>
        <v/>
      </c>
      <c r="BY9" s="46" t="str">
        <f t="shared" ca="1" si="21"/>
        <v/>
      </c>
      <c r="BZ9" s="47" t="str">
        <f t="shared" ca="1" si="52"/>
        <v/>
      </c>
      <c r="CA9" s="111" t="str">
        <f t="shared" ca="1" si="53"/>
        <v/>
      </c>
    </row>
    <row r="10" spans="1:79" s="68" customFormat="1" x14ac:dyDescent="0.25">
      <c r="A10" s="54" t="str">
        <f t="shared" ca="1" si="22"/>
        <v>Q427</v>
      </c>
      <c r="B10" s="6"/>
      <c r="C10" s="6"/>
      <c r="D10" s="28"/>
      <c r="E10" s="28"/>
      <c r="F10" s="28"/>
      <c r="G10" s="28"/>
      <c r="H10" s="28"/>
      <c r="I10" s="28"/>
      <c r="J10" s="109" t="str">
        <f t="shared" ca="1" si="0"/>
        <v/>
      </c>
      <c r="K10" s="364" t="str">
        <f ca="1">IFERROR(INDEX(ICE[], MATCH("propnap" &amp; LEFT($A10, 2) &amp; " " &amp; RIGHT($A10, 2), ICE[LongCode], 0), MATCH("Text", ICE[#Headers], 0)), "")</f>
        <v xml:space="preserve"> /  </v>
      </c>
      <c r="L10" s="46" t="str">
        <f t="shared" ca="1" si="1"/>
        <v/>
      </c>
      <c r="M10" s="47" t="str">
        <f t="shared" ca="1" si="23"/>
        <v/>
      </c>
      <c r="N10" s="114" t="str">
        <f t="shared" ca="1" si="24"/>
        <v/>
      </c>
      <c r="O10" s="110" t="str">
        <f t="shared" ca="1" si="2"/>
        <v/>
      </c>
      <c r="P10" s="46" t="str">
        <f t="shared" ca="1" si="2"/>
        <v/>
      </c>
      <c r="Q10" s="47" t="str">
        <f t="shared" ca="1" si="25"/>
        <v/>
      </c>
      <c r="R10" s="46" t="str">
        <f t="shared" ca="1" si="25"/>
        <v/>
      </c>
      <c r="S10" s="110" t="str">
        <f t="shared" ca="1" si="3"/>
        <v/>
      </c>
      <c r="T10" s="46" t="str">
        <f t="shared" ca="1" si="3"/>
        <v/>
      </c>
      <c r="U10" s="47" t="str">
        <f t="shared" ca="1" si="26"/>
        <v/>
      </c>
      <c r="V10" s="111" t="str">
        <f t="shared" ca="1" si="27"/>
        <v/>
      </c>
      <c r="W10" s="109" t="str">
        <f t="shared" ca="1" si="4"/>
        <v/>
      </c>
      <c r="X10" s="364" t="str">
        <f ca="1">IFERROR(INDEX(ICE[], MATCH("c3tet" &amp; LEFT($A10, 2) &amp; " " &amp; RIGHT($A10, 2), ICE[LongCode], 0), MATCH("Text", ICE[#Headers], 0)), "")</f>
        <v xml:space="preserve"> /  </v>
      </c>
      <c r="Y10" s="46" t="str">
        <f t="shared" ca="1" si="5"/>
        <v/>
      </c>
      <c r="Z10" s="47" t="str">
        <f t="shared" ca="1" si="28"/>
        <v/>
      </c>
      <c r="AA10" s="114" t="str">
        <f t="shared" ca="1" si="29"/>
        <v/>
      </c>
      <c r="AB10" s="110" t="str">
        <f t="shared" ca="1" si="6"/>
        <v/>
      </c>
      <c r="AC10" s="46" t="str">
        <f t="shared" ca="1" si="6"/>
        <v/>
      </c>
      <c r="AD10" s="47" t="str">
        <f t="shared" ca="1" si="30"/>
        <v/>
      </c>
      <c r="AE10" s="46" t="str">
        <f t="shared" ca="1" si="31"/>
        <v/>
      </c>
      <c r="AF10" s="110" t="str">
        <f t="shared" ca="1" si="7"/>
        <v/>
      </c>
      <c r="AG10" s="46" t="str">
        <f t="shared" ca="1" si="7"/>
        <v/>
      </c>
      <c r="AH10" s="47" t="str">
        <f t="shared" ca="1" si="32"/>
        <v/>
      </c>
      <c r="AI10" s="111" t="str">
        <f t="shared" ca="1" si="33"/>
        <v/>
      </c>
      <c r="AJ10" s="109" t="str">
        <f t="shared" ca="1" si="8"/>
        <v/>
      </c>
      <c r="AK10" s="364" t="str">
        <f ca="1">IFERROR(INDEX(ICE[], MATCH("c4ntet" &amp; LEFT($A10, 2) &amp; " " &amp; RIGHT($A10, 2), ICE[LongCode], 0), MATCH("Text", ICE[#Headers], 0)), "")</f>
        <v xml:space="preserve"> /  </v>
      </c>
      <c r="AL10" s="46" t="str">
        <f t="shared" ca="1" si="9"/>
        <v/>
      </c>
      <c r="AM10" s="47" t="str">
        <f t="shared" ca="1" si="34"/>
        <v/>
      </c>
      <c r="AN10" s="114" t="str">
        <f t="shared" ca="1" si="35"/>
        <v/>
      </c>
      <c r="AO10" s="110" t="str">
        <f t="shared" ca="1" si="10"/>
        <v/>
      </c>
      <c r="AP10" s="46" t="str">
        <f t="shared" ca="1" si="10"/>
        <v/>
      </c>
      <c r="AQ10" s="47" t="str">
        <f t="shared" ca="1" si="36"/>
        <v/>
      </c>
      <c r="AR10" s="46" t="str">
        <f t="shared" ca="1" si="37"/>
        <v/>
      </c>
      <c r="AS10" s="110" t="str">
        <f t="shared" ca="1" si="11"/>
        <v/>
      </c>
      <c r="AT10" s="46" t="str">
        <f t="shared" ca="1" si="11"/>
        <v/>
      </c>
      <c r="AU10" s="47" t="str">
        <f t="shared" ca="1" si="38"/>
        <v/>
      </c>
      <c r="AV10" s="111" t="str">
        <f t="shared" ca="1" si="39"/>
        <v/>
      </c>
      <c r="AW10" s="109" t="str">
        <f t="shared" ca="1" si="12"/>
        <v/>
      </c>
      <c r="AX10" s="364" t="str">
        <f ca="1">IFERROR(INDEX(ICE[], MATCH("ic4ntet" &amp; LEFT($A10, 2) &amp; " " &amp; RIGHT($A10, 2), ICE[LongCode], 0), MATCH("Text", ICE[#Headers], 0)), "")</f>
        <v xml:space="preserve"> /  </v>
      </c>
      <c r="AY10" s="46" t="str">
        <f t="shared" ca="1" si="13"/>
        <v/>
      </c>
      <c r="AZ10" s="47" t="str">
        <f t="shared" ca="1" si="40"/>
        <v/>
      </c>
      <c r="BA10" s="114" t="str">
        <f t="shared" ca="1" si="41"/>
        <v/>
      </c>
      <c r="BB10" s="110" t="str">
        <f t="shared" ca="1" si="14"/>
        <v/>
      </c>
      <c r="BC10" s="46" t="str">
        <f t="shared" ca="1" si="14"/>
        <v/>
      </c>
      <c r="BD10" s="47" t="str">
        <f t="shared" ca="1" si="42"/>
        <v/>
      </c>
      <c r="BE10" s="46" t="str">
        <f t="shared" ca="1" si="43"/>
        <v/>
      </c>
      <c r="BF10" s="109" t="str">
        <f t="shared" ca="1" si="15"/>
        <v/>
      </c>
      <c r="BG10" s="364" t="str">
        <f ca="1">IFERROR(INDEX(ICE[], MATCH("ngasntet" &amp; LEFT($A10, 2) &amp; " " &amp; RIGHT($A10, 2), ICE[LongCode], 0), MATCH("Text", ICE[#Headers], 0)), "")</f>
        <v xml:space="preserve"> /  </v>
      </c>
      <c r="BH10" s="46" t="str">
        <f t="shared" ca="1" si="16"/>
        <v/>
      </c>
      <c r="BI10" s="47" t="str">
        <f t="shared" ca="1" si="44"/>
        <v/>
      </c>
      <c r="BJ10" s="114" t="str">
        <f t="shared" ca="1" si="45"/>
        <v/>
      </c>
      <c r="BK10" s="110" t="str">
        <f t="shared" ca="1" si="17"/>
        <v/>
      </c>
      <c r="BL10" s="46" t="str">
        <f t="shared" ca="1" si="17"/>
        <v/>
      </c>
      <c r="BM10" s="47" t="str">
        <f t="shared" ca="1" si="46"/>
        <v/>
      </c>
      <c r="BN10" s="111" t="str">
        <f t="shared" ca="1" si="47"/>
        <v/>
      </c>
      <c r="BO10" s="109" t="str">
        <f t="shared" ca="1" si="18"/>
        <v/>
      </c>
      <c r="BP10" s="364" t="str">
        <f ca="1">IFERROR(INDEX(ICE[], MATCH("c3ew" &amp; LEFT($A10, 2) &amp; " " &amp; RIGHT($A10, 2), ICE[LongCode], 0), MATCH("Text", ICE[#Headers], 0)), "")</f>
        <v xml:space="preserve"> /  </v>
      </c>
      <c r="BQ10" s="46" t="str">
        <f t="shared" ca="1" si="19"/>
        <v/>
      </c>
      <c r="BR10" s="47" t="str">
        <f t="shared" ca="1" si="48"/>
        <v/>
      </c>
      <c r="BS10" s="114" t="str">
        <f t="shared" ca="1" si="49"/>
        <v/>
      </c>
      <c r="BT10" s="110" t="str">
        <f t="shared" ca="1" si="20"/>
        <v/>
      </c>
      <c r="BU10" s="46" t="str">
        <f t="shared" ca="1" si="20"/>
        <v/>
      </c>
      <c r="BV10" s="47" t="str">
        <f t="shared" ca="1" si="50"/>
        <v/>
      </c>
      <c r="BW10" s="46" t="str">
        <f t="shared" ca="1" si="51"/>
        <v/>
      </c>
      <c r="BX10" s="110" t="str">
        <f t="shared" ca="1" si="21"/>
        <v/>
      </c>
      <c r="BY10" s="46" t="str">
        <f t="shared" ca="1" si="21"/>
        <v/>
      </c>
      <c r="BZ10" s="47" t="str">
        <f t="shared" ca="1" si="52"/>
        <v/>
      </c>
      <c r="CA10" s="111" t="str">
        <f t="shared" ca="1" si="53"/>
        <v/>
      </c>
    </row>
    <row r="11" spans="1:79" s="68" customFormat="1" x14ac:dyDescent="0.25">
      <c r="A11" s="54" t="str">
        <f t="shared" ca="1" si="22"/>
        <v>Q128</v>
      </c>
      <c r="B11" s="6"/>
      <c r="C11" s="6"/>
      <c r="D11" s="28"/>
      <c r="E11" s="28"/>
      <c r="F11" s="28"/>
      <c r="G11" s="28"/>
      <c r="H11" s="28"/>
      <c r="I11" s="28"/>
      <c r="J11" s="119" t="str">
        <f t="shared" ca="1" si="0"/>
        <v/>
      </c>
      <c r="K11" s="365" t="str">
        <f ca="1">IFERROR(INDEX(ICE[], MATCH("propnap" &amp; LEFT($A11, 2) &amp; " " &amp; RIGHT($A11, 2), ICE[LongCode], 0), MATCH("Text", ICE[#Headers], 0)), "")</f>
        <v xml:space="preserve"> /  </v>
      </c>
      <c r="L11" s="122" t="str">
        <f t="shared" ca="1" si="1"/>
        <v/>
      </c>
      <c r="M11" s="47" t="str">
        <f t="shared" ca="1" si="23"/>
        <v/>
      </c>
      <c r="N11" s="114" t="str">
        <f t="shared" ca="1" si="24"/>
        <v/>
      </c>
      <c r="O11" s="123" t="str">
        <f t="shared" ca="1" si="2"/>
        <v/>
      </c>
      <c r="P11" s="122" t="str">
        <f t="shared" ca="1" si="2"/>
        <v/>
      </c>
      <c r="Q11" s="47" t="str">
        <f t="shared" ca="1" si="25"/>
        <v/>
      </c>
      <c r="R11" s="46" t="str">
        <f t="shared" ca="1" si="25"/>
        <v/>
      </c>
      <c r="S11" s="123" t="str">
        <f t="shared" ca="1" si="3"/>
        <v/>
      </c>
      <c r="T11" s="122" t="str">
        <f t="shared" ca="1" si="3"/>
        <v/>
      </c>
      <c r="U11" s="47" t="str">
        <f t="shared" ca="1" si="26"/>
        <v/>
      </c>
      <c r="V11" s="111" t="str">
        <f t="shared" ca="1" si="27"/>
        <v/>
      </c>
      <c r="W11" s="119" t="str">
        <f t="shared" ca="1" si="4"/>
        <v/>
      </c>
      <c r="X11" s="365" t="str">
        <f ca="1">IFERROR(INDEX(ICE[], MATCH("c3tet" &amp; LEFT($A11, 2) &amp; " " &amp; RIGHT($A11, 2), ICE[LongCode], 0), MATCH("Text", ICE[#Headers], 0)), "")</f>
        <v xml:space="preserve"> /  </v>
      </c>
      <c r="Y11" s="122" t="str">
        <f t="shared" ca="1" si="5"/>
        <v/>
      </c>
      <c r="Z11" s="47" t="str">
        <f t="shared" ca="1" si="28"/>
        <v/>
      </c>
      <c r="AA11" s="114" t="str">
        <f t="shared" ca="1" si="29"/>
        <v/>
      </c>
      <c r="AB11" s="123" t="str">
        <f t="shared" ca="1" si="6"/>
        <v/>
      </c>
      <c r="AC11" s="122" t="str">
        <f t="shared" ca="1" si="6"/>
        <v/>
      </c>
      <c r="AD11" s="47" t="str">
        <f t="shared" ca="1" si="30"/>
        <v/>
      </c>
      <c r="AE11" s="46" t="str">
        <f t="shared" ca="1" si="31"/>
        <v/>
      </c>
      <c r="AF11" s="123" t="str">
        <f t="shared" ca="1" si="7"/>
        <v/>
      </c>
      <c r="AG11" s="122" t="str">
        <f t="shared" ca="1" si="7"/>
        <v/>
      </c>
      <c r="AH11" s="47" t="str">
        <f t="shared" ca="1" si="32"/>
        <v/>
      </c>
      <c r="AI11" s="111" t="str">
        <f t="shared" ca="1" si="33"/>
        <v/>
      </c>
      <c r="AJ11" s="119" t="str">
        <f t="shared" ca="1" si="8"/>
        <v/>
      </c>
      <c r="AK11" s="365" t="str">
        <f ca="1">IFERROR(INDEX(ICE[], MATCH("c4ntet" &amp; LEFT($A11, 2) &amp; " " &amp; RIGHT($A11, 2), ICE[LongCode], 0), MATCH("Text", ICE[#Headers], 0)), "")</f>
        <v xml:space="preserve"> /  </v>
      </c>
      <c r="AL11" s="122" t="str">
        <f t="shared" ca="1" si="9"/>
        <v/>
      </c>
      <c r="AM11" s="47" t="str">
        <f t="shared" ca="1" si="34"/>
        <v/>
      </c>
      <c r="AN11" s="114" t="str">
        <f t="shared" ca="1" si="35"/>
        <v/>
      </c>
      <c r="AO11" s="123" t="str">
        <f t="shared" ca="1" si="10"/>
        <v/>
      </c>
      <c r="AP11" s="122" t="str">
        <f t="shared" ca="1" si="10"/>
        <v/>
      </c>
      <c r="AQ11" s="47" t="str">
        <f t="shared" ca="1" si="36"/>
        <v/>
      </c>
      <c r="AR11" s="46" t="str">
        <f t="shared" ca="1" si="37"/>
        <v/>
      </c>
      <c r="AS11" s="123" t="str">
        <f t="shared" ca="1" si="11"/>
        <v/>
      </c>
      <c r="AT11" s="122" t="str">
        <f t="shared" ca="1" si="11"/>
        <v/>
      </c>
      <c r="AU11" s="47" t="str">
        <f t="shared" ca="1" si="38"/>
        <v/>
      </c>
      <c r="AV11" s="111" t="str">
        <f t="shared" ca="1" si="39"/>
        <v/>
      </c>
      <c r="AW11" s="119" t="str">
        <f t="shared" ca="1" si="12"/>
        <v/>
      </c>
      <c r="AX11" s="365" t="str">
        <f ca="1">IFERROR(INDEX(ICE[], MATCH("ic4ntet" &amp; LEFT($A11, 2) &amp; " " &amp; RIGHT($A11, 2), ICE[LongCode], 0), MATCH("Text", ICE[#Headers], 0)), "")</f>
        <v xml:space="preserve"> /  </v>
      </c>
      <c r="AY11" s="122" t="str">
        <f t="shared" ca="1" si="13"/>
        <v/>
      </c>
      <c r="AZ11" s="47" t="str">
        <f t="shared" ca="1" si="40"/>
        <v/>
      </c>
      <c r="BA11" s="114" t="str">
        <f t="shared" ca="1" si="41"/>
        <v/>
      </c>
      <c r="BB11" s="123" t="str">
        <f t="shared" ca="1" si="14"/>
        <v/>
      </c>
      <c r="BC11" s="122" t="str">
        <f t="shared" ca="1" si="14"/>
        <v/>
      </c>
      <c r="BD11" s="47" t="str">
        <f t="shared" ca="1" si="42"/>
        <v/>
      </c>
      <c r="BE11" s="46" t="str">
        <f t="shared" ca="1" si="43"/>
        <v/>
      </c>
      <c r="BF11" s="119" t="str">
        <f t="shared" ca="1" si="15"/>
        <v/>
      </c>
      <c r="BG11" s="365" t="str">
        <f ca="1">IFERROR(INDEX(ICE[], MATCH("ngasntet" &amp; LEFT($A11, 2) &amp; " " &amp; RIGHT($A11, 2), ICE[LongCode], 0), MATCH("Text", ICE[#Headers], 0)), "")</f>
        <v xml:space="preserve"> /  </v>
      </c>
      <c r="BH11" s="122" t="str">
        <f t="shared" ca="1" si="16"/>
        <v/>
      </c>
      <c r="BI11" s="47" t="str">
        <f t="shared" ca="1" si="44"/>
        <v/>
      </c>
      <c r="BJ11" s="114" t="str">
        <f t="shared" ca="1" si="45"/>
        <v/>
      </c>
      <c r="BK11" s="123" t="str">
        <f t="shared" ca="1" si="17"/>
        <v/>
      </c>
      <c r="BL11" s="122" t="str">
        <f t="shared" ca="1" si="17"/>
        <v/>
      </c>
      <c r="BM11" s="47" t="str">
        <f t="shared" ca="1" si="46"/>
        <v/>
      </c>
      <c r="BN11" s="111" t="str">
        <f t="shared" ca="1" si="47"/>
        <v/>
      </c>
      <c r="BO11" s="119" t="str">
        <f t="shared" ca="1" si="18"/>
        <v/>
      </c>
      <c r="BP11" s="365" t="str">
        <f ca="1">IFERROR(INDEX(ICE[], MATCH("c3ew" &amp; LEFT($A11, 2) &amp; " " &amp; RIGHT($A11, 2), ICE[LongCode], 0), MATCH("Text", ICE[#Headers], 0)), "")</f>
        <v xml:space="preserve"> /  </v>
      </c>
      <c r="BQ11" s="122" t="str">
        <f t="shared" ca="1" si="19"/>
        <v/>
      </c>
      <c r="BR11" s="47" t="str">
        <f t="shared" ca="1" si="48"/>
        <v/>
      </c>
      <c r="BS11" s="114" t="str">
        <f t="shared" ca="1" si="49"/>
        <v/>
      </c>
      <c r="BT11" s="123" t="str">
        <f t="shared" ca="1" si="20"/>
        <v/>
      </c>
      <c r="BU11" s="122" t="str">
        <f t="shared" ca="1" si="20"/>
        <v/>
      </c>
      <c r="BV11" s="47" t="str">
        <f t="shared" ca="1" si="50"/>
        <v/>
      </c>
      <c r="BW11" s="46" t="str">
        <f t="shared" ca="1" si="51"/>
        <v/>
      </c>
      <c r="BX11" s="123" t="str">
        <f t="shared" ca="1" si="21"/>
        <v/>
      </c>
      <c r="BY11" s="122" t="str">
        <f t="shared" ca="1" si="21"/>
        <v/>
      </c>
      <c r="BZ11" s="47" t="str">
        <f t="shared" ca="1" si="52"/>
        <v/>
      </c>
      <c r="CA11" s="111" t="str">
        <f t="shared" ca="1" si="53"/>
        <v/>
      </c>
    </row>
    <row r="12" spans="1:79" s="68" customFormat="1" x14ac:dyDescent="0.25">
      <c r="A12" s="55">
        <f ca="1">YEAR($A$1)</f>
        <v>2026</v>
      </c>
      <c r="B12" s="6"/>
      <c r="C12" s="6"/>
      <c r="D12" s="28"/>
      <c r="E12" s="28"/>
      <c r="F12" s="28"/>
      <c r="G12" s="28"/>
      <c r="H12" s="28"/>
      <c r="I12" s="28"/>
      <c r="J12" s="160" t="str">
        <f ca="1">IFERROR(AVERAGEIF($B$19:$B$66, $A12, J$19:J$66), "")</f>
        <v/>
      </c>
      <c r="K12" s="364" t="str">
        <f ca="1">IFERROR(INDEX(ICE[], MATCH("propnap" &amp; "Cal" &amp; " " &amp; RIGHT(NGL!$A12, 2), ICE[LongCode], 0), MATCH("Text", ICE[#Headers], 0)), "")</f>
        <v/>
      </c>
      <c r="L12" s="115" t="str">
        <f ca="1">IFERROR(AVERAGEIF($B$19:$B$66, $A12, L$19:L$66), "")</f>
        <v/>
      </c>
      <c r="M12" s="161"/>
      <c r="N12" s="172"/>
      <c r="O12" s="112" t="str">
        <f t="shared" ref="O12:P14" ca="1" si="54">IFERROR(AVERAGEIF($B$19:$B$66, $A12, O$19:O$66), "")</f>
        <v/>
      </c>
      <c r="P12" s="115" t="str">
        <f t="shared" ca="1" si="54"/>
        <v/>
      </c>
      <c r="Q12" s="161"/>
      <c r="R12" s="115"/>
      <c r="S12" s="112" t="str">
        <f t="shared" ref="S12:T14" ca="1" si="55">IFERROR(AVERAGEIF($B$19:$B$66, $A12, S$19:S$66), "")</f>
        <v/>
      </c>
      <c r="T12" s="115" t="str">
        <f t="shared" ca="1" si="55"/>
        <v/>
      </c>
      <c r="U12" s="161"/>
      <c r="V12" s="173"/>
      <c r="W12" s="160" t="str">
        <f ca="1">IFERROR(AVERAGEIF($B$19:$B$66, $A12, W$19:W$66), "")</f>
        <v/>
      </c>
      <c r="X12" s="364" t="str">
        <f ca="1">IFERROR(INDEX(ICE[], MATCH("c3tet" &amp; "Cal" &amp; " " &amp; RIGHT(NGL!$A12, 2), ICE[LongCode], 0), MATCH("Text", ICE[#Headers], 0)), "")</f>
        <v/>
      </c>
      <c r="Y12" s="115" t="str">
        <f ca="1">IFERROR(AVERAGEIF($B$19:$B$66, $A12, Y$19:Y$66), "")</f>
        <v/>
      </c>
      <c r="Z12" s="161"/>
      <c r="AA12" s="172"/>
      <c r="AB12" s="112" t="str">
        <f t="shared" ref="AB12:AC14" ca="1" si="56">IFERROR(AVERAGEIF($B$19:$B$66, $A12, AB$19:AB$66), "")</f>
        <v/>
      </c>
      <c r="AC12" s="115" t="str">
        <f t="shared" ca="1" si="56"/>
        <v/>
      </c>
      <c r="AD12" s="161"/>
      <c r="AE12" s="115"/>
      <c r="AF12" s="112" t="str">
        <f t="shared" ref="AF12:AG14" ca="1" si="57">IFERROR(AVERAGEIF($B$19:$B$66, $A12, AF$19:AF$66), "")</f>
        <v/>
      </c>
      <c r="AG12" s="115" t="str">
        <f t="shared" ca="1" si="57"/>
        <v/>
      </c>
      <c r="AH12" s="161"/>
      <c r="AI12" s="173"/>
      <c r="AJ12" s="160" t="str">
        <f ca="1">IFERROR(AVERAGEIF($B$19:$B$66, $A12, AJ$19:AJ$66), "")</f>
        <v/>
      </c>
      <c r="AK12" s="364" t="str">
        <f ca="1">IFERROR(INDEX(ICE[], MATCH("c4ntet" &amp; "Cal" &amp; " " &amp; RIGHT(NGL!$A12, 2), ICE[LongCode], 0), MATCH("Text", ICE[#Headers], 0)), "")</f>
        <v/>
      </c>
      <c r="AL12" s="115" t="str">
        <f ca="1">IFERROR(AVERAGEIF($B$19:$B$66, $A12, AL$19:AL$66), "")</f>
        <v/>
      </c>
      <c r="AM12" s="161"/>
      <c r="AN12" s="172"/>
      <c r="AO12" s="112" t="str">
        <f t="shared" ref="AO12:AP14" ca="1" si="58">IFERROR(AVERAGEIF($B$19:$B$66, $A12, AO$19:AO$66), "")</f>
        <v/>
      </c>
      <c r="AP12" s="115" t="str">
        <f t="shared" ca="1" si="58"/>
        <v/>
      </c>
      <c r="AQ12" s="161"/>
      <c r="AR12" s="115"/>
      <c r="AS12" s="112" t="str">
        <f t="shared" ref="AS12:AT14" ca="1" si="59">IFERROR(AVERAGEIF($B$19:$B$66, $A12, AS$19:AS$66), "")</f>
        <v/>
      </c>
      <c r="AT12" s="115" t="str">
        <f t="shared" ca="1" si="59"/>
        <v/>
      </c>
      <c r="AU12" s="161"/>
      <c r="AV12" s="173"/>
      <c r="AW12" s="160" t="str">
        <f ca="1">IFERROR(AVERAGEIF($B$19:$B$66, $A12, AW$19:AW$66), "")</f>
        <v/>
      </c>
      <c r="AX12" s="364" t="str">
        <f ca="1">IFERROR(INDEX(ICE[], MATCH("ic4ntet" &amp; "Cal" &amp; " " &amp; RIGHT(NGL!$A12, 2), ICE[LongCode], 0), MATCH("Text", ICE[#Headers], 0)), "")</f>
        <v/>
      </c>
      <c r="AY12" s="115" t="str">
        <f ca="1">IFERROR(AVERAGEIF($B$19:$B$66, $A12, AY$19:AY$66), "")</f>
        <v/>
      </c>
      <c r="AZ12" s="161"/>
      <c r="BA12" s="172"/>
      <c r="BB12" s="112" t="str">
        <f t="shared" ref="BB12:BC14" ca="1" si="60">IFERROR(AVERAGEIF($B$19:$B$66, $A12, BB$19:BB$66), "")</f>
        <v/>
      </c>
      <c r="BC12" s="115" t="str">
        <f t="shared" ca="1" si="60"/>
        <v/>
      </c>
      <c r="BD12" s="161"/>
      <c r="BE12" s="115"/>
      <c r="BF12" s="160" t="str">
        <f ca="1">IFERROR(AVERAGEIF($B$19:$B$66, $A12, BF$19:BF$66), "")</f>
        <v/>
      </c>
      <c r="BG12" s="364" t="str">
        <f ca="1">IFERROR(INDEX(ICE[], MATCH("ngasntet" &amp; "Cal" &amp; " " &amp; RIGHT(NGL!$A12, 2), ICE[LongCode], 0), MATCH("Text", ICE[#Headers], 0)), "")</f>
        <v/>
      </c>
      <c r="BH12" s="115" t="str">
        <f ca="1">IFERROR(AVERAGEIF($B$19:$B$66, $A12, BH$19:BH$66), "")</f>
        <v/>
      </c>
      <c r="BI12" s="161"/>
      <c r="BJ12" s="172"/>
      <c r="BK12" s="112" t="str">
        <f t="shared" ref="BK12:BL14" ca="1" si="61">IFERROR(AVERAGEIF($B$19:$B$66, $A12, BK$19:BK$66), "")</f>
        <v/>
      </c>
      <c r="BL12" s="115" t="str">
        <f t="shared" ca="1" si="61"/>
        <v/>
      </c>
      <c r="BM12" s="161"/>
      <c r="BN12" s="173"/>
      <c r="BO12" s="160" t="str">
        <f ca="1">IFERROR(AVERAGEIF($B$19:$B$66, $A12, BO$19:BO$66), "")</f>
        <v/>
      </c>
      <c r="BP12" s="364" t="str">
        <f ca="1">IFERROR(INDEX(ICE[], MATCH("propnap" &amp; "Cal" &amp; " " &amp; RIGHT(NGL!$A12, 2), ICE[LongCode], 0), MATCH("Text", ICE[#Headers], 0)), "")</f>
        <v/>
      </c>
      <c r="BQ12" s="115" t="str">
        <f ca="1">IFERROR(AVERAGEIF($B$19:$B$66, $A12, BQ$19:BQ$66), "")</f>
        <v/>
      </c>
      <c r="BR12" s="161"/>
      <c r="BS12" s="172"/>
      <c r="BT12" s="112" t="str">
        <f t="shared" ref="BT12:BU14" ca="1" si="62">IFERROR(AVERAGEIF($B$19:$B$66, $A12, BT$19:BT$66), "")</f>
        <v/>
      </c>
      <c r="BU12" s="115" t="str">
        <f t="shared" ca="1" si="62"/>
        <v/>
      </c>
      <c r="BV12" s="161"/>
      <c r="BW12" s="115"/>
      <c r="BX12" s="112" t="str">
        <f t="shared" ref="BX12:BY14" ca="1" si="63">IFERROR(AVERAGEIF($B$19:$B$66, $A12, BX$19:BX$66), "")</f>
        <v/>
      </c>
      <c r="BY12" s="115" t="str">
        <f t="shared" ca="1" si="63"/>
        <v/>
      </c>
      <c r="BZ12" s="161"/>
      <c r="CA12" s="173"/>
    </row>
    <row r="13" spans="1:79" s="68" customFormat="1" x14ac:dyDescent="0.25">
      <c r="A13" s="55">
        <f ca="1">$A12 + 1</f>
        <v>2027</v>
      </c>
      <c r="B13" s="6"/>
      <c r="C13" s="6"/>
      <c r="D13" s="28"/>
      <c r="E13" s="28"/>
      <c r="F13" s="28"/>
      <c r="G13" s="28"/>
      <c r="H13" s="28"/>
      <c r="I13" s="28"/>
      <c r="J13" s="109" t="str">
        <f ca="1">IFERROR(AVERAGEIF($B$19:$B$66, $A13, J$19:J$66), "")</f>
        <v/>
      </c>
      <c r="K13" s="364" t="str">
        <f ca="1">IFERROR(INDEX(ICE[], MATCH("propnap" &amp; "Cal" &amp; " " &amp; RIGHT(NGL!$A13, 2), ICE[LongCode], 0), MATCH("Text", ICE[#Headers], 0)), "")</f>
        <v xml:space="preserve"> /  </v>
      </c>
      <c r="L13" s="46" t="str">
        <f ca="1">IFERROR(AVERAGEIF($B$19:$B$66, $A13, L$19:L$66), "")</f>
        <v/>
      </c>
      <c r="M13" s="47" t="str">
        <f ca="1">IF(AND(ISNUMBER(J12), ISNUMBER(J13)), J12 - J13, "")</f>
        <v/>
      </c>
      <c r="N13" s="114" t="str">
        <f t="shared" ref="N13:N14" ca="1" si="64">IF(AND(ISNUMBER(L12), ISNUMBER(L13)), L12 - L13, "")</f>
        <v/>
      </c>
      <c r="O13" s="110" t="str">
        <f t="shared" ca="1" si="54"/>
        <v/>
      </c>
      <c r="P13" s="46" t="str">
        <f t="shared" ca="1" si="54"/>
        <v/>
      </c>
      <c r="Q13" s="47" t="str">
        <f t="shared" ref="Q13:R14" ca="1" si="65">IF(AND(ISNUMBER(O12), ISNUMBER(O13)), O12 - O13, "")</f>
        <v/>
      </c>
      <c r="R13" s="46" t="str">
        <f t="shared" ca="1" si="65"/>
        <v/>
      </c>
      <c r="S13" s="110" t="str">
        <f t="shared" ca="1" si="55"/>
        <v/>
      </c>
      <c r="T13" s="46" t="str">
        <f t="shared" ca="1" si="55"/>
        <v/>
      </c>
      <c r="U13" s="47" t="str">
        <f t="shared" ref="U13:U14" ca="1" si="66">IF(AND(ISNUMBER(S12), ISNUMBER(S13)), S12 - S13, "")</f>
        <v/>
      </c>
      <c r="V13" s="111" t="str">
        <f t="shared" ref="V13:V14" ca="1" si="67">IF(AND(ISNUMBER(T12), ISNUMBER(T13)), T12 - T13, "")</f>
        <v/>
      </c>
      <c r="W13" s="109" t="str">
        <f ca="1">IFERROR(AVERAGEIF($B$19:$B$66, $A13, W$19:W$66), "")</f>
        <v/>
      </c>
      <c r="X13" s="364" t="str">
        <f ca="1">IFERROR(INDEX(ICE[], MATCH("c3tet" &amp; "Cal" &amp; " " &amp; RIGHT(NGL!$A13, 2), ICE[LongCode], 0), MATCH("Text", ICE[#Headers], 0)), "")</f>
        <v xml:space="preserve"> /  </v>
      </c>
      <c r="Y13" s="46" t="str">
        <f ca="1">IFERROR(AVERAGEIF($B$19:$B$66, $A13, Y$19:Y$66), "")</f>
        <v/>
      </c>
      <c r="Z13" s="47" t="str">
        <f ca="1">IF(AND(ISNUMBER(W12), ISNUMBER(W13)), W12 - W13, "")</f>
        <v/>
      </c>
      <c r="AA13" s="114" t="str">
        <f t="shared" ref="AA13:AA14" ca="1" si="68">IF(AND(ISNUMBER(Y12), ISNUMBER(Y13)), Y12 - Y13, "")</f>
        <v/>
      </c>
      <c r="AB13" s="110" t="str">
        <f t="shared" ca="1" si="56"/>
        <v/>
      </c>
      <c r="AC13" s="46" t="str">
        <f t="shared" ca="1" si="56"/>
        <v/>
      </c>
      <c r="AD13" s="47" t="str">
        <f t="shared" ref="AD13:AD14" ca="1" si="69">IF(AND(ISNUMBER(AB12), ISNUMBER(AB13)), AB12 - AB13, "")</f>
        <v/>
      </c>
      <c r="AE13" s="46" t="str">
        <f t="shared" ref="AE13:AE14" ca="1" si="70">IF(AND(ISNUMBER(AC12), ISNUMBER(AC13)), AC12 - AC13, "")</f>
        <v/>
      </c>
      <c r="AF13" s="110" t="str">
        <f t="shared" ca="1" si="57"/>
        <v/>
      </c>
      <c r="AG13" s="46" t="str">
        <f t="shared" ca="1" si="57"/>
        <v/>
      </c>
      <c r="AH13" s="47" t="str">
        <f t="shared" ref="AH13:AH14" ca="1" si="71">IF(AND(ISNUMBER(AF12), ISNUMBER(AF13)), AF12 - AF13, "")</f>
        <v/>
      </c>
      <c r="AI13" s="111" t="str">
        <f t="shared" ref="AI13:AI14" ca="1" si="72">IF(AND(ISNUMBER(AG12), ISNUMBER(AG13)), AG12 - AG13, "")</f>
        <v/>
      </c>
      <c r="AJ13" s="109" t="str">
        <f ca="1">IFERROR(AVERAGEIF($B$19:$B$66, $A13, AJ$19:AJ$66), "")</f>
        <v/>
      </c>
      <c r="AK13" s="364" t="str">
        <f ca="1">IFERROR(INDEX(ICE[], MATCH("c4ntet" &amp; "Cal" &amp; " " &amp; RIGHT(NGL!$A13, 2), ICE[LongCode], 0), MATCH("Text", ICE[#Headers], 0)), "")</f>
        <v xml:space="preserve"> /  </v>
      </c>
      <c r="AL13" s="46" t="str">
        <f ca="1">IFERROR(AVERAGEIF($B$19:$B$66, $A13, AL$19:AL$66), "")</f>
        <v/>
      </c>
      <c r="AM13" s="47" t="str">
        <f ca="1">IF(AND(ISNUMBER(AJ12), ISNUMBER(AJ13)), AJ12 - AJ13, "")</f>
        <v/>
      </c>
      <c r="AN13" s="114" t="str">
        <f t="shared" ref="AN13:AN14" ca="1" si="73">IF(AND(ISNUMBER(AL12), ISNUMBER(AL13)), AL12 - AL13, "")</f>
        <v/>
      </c>
      <c r="AO13" s="110" t="str">
        <f t="shared" ca="1" si="58"/>
        <v/>
      </c>
      <c r="AP13" s="46" t="str">
        <f t="shared" ca="1" si="58"/>
        <v/>
      </c>
      <c r="AQ13" s="47" t="str">
        <f t="shared" ref="AQ13:AQ14" ca="1" si="74">IF(AND(ISNUMBER(AO12), ISNUMBER(AO13)), AO12 - AO13, "")</f>
        <v/>
      </c>
      <c r="AR13" s="46" t="str">
        <f t="shared" ref="AR13:AR14" ca="1" si="75">IF(AND(ISNUMBER(AP12), ISNUMBER(AP13)), AP12 - AP13, "")</f>
        <v/>
      </c>
      <c r="AS13" s="110" t="str">
        <f t="shared" ca="1" si="59"/>
        <v/>
      </c>
      <c r="AT13" s="46" t="str">
        <f t="shared" ca="1" si="59"/>
        <v/>
      </c>
      <c r="AU13" s="47" t="str">
        <f t="shared" ref="AU13:AU14" ca="1" si="76">IF(AND(ISNUMBER(AS12), ISNUMBER(AS13)), AS12 - AS13, "")</f>
        <v/>
      </c>
      <c r="AV13" s="111" t="str">
        <f t="shared" ref="AV13:AV14" ca="1" si="77">IF(AND(ISNUMBER(AT12), ISNUMBER(AT13)), AT12 - AT13, "")</f>
        <v/>
      </c>
      <c r="AW13" s="109" t="str">
        <f ca="1">IFERROR(AVERAGEIF($B$19:$B$66, $A13, AW$19:AW$66), "")</f>
        <v/>
      </c>
      <c r="AX13" s="364" t="str">
        <f ca="1">IFERROR(INDEX(ICE[], MATCH("ic4ntet" &amp; "Cal" &amp; " " &amp; RIGHT(NGL!$A13, 2), ICE[LongCode], 0), MATCH("Text", ICE[#Headers], 0)), "")</f>
        <v xml:space="preserve"> /  </v>
      </c>
      <c r="AY13" s="46" t="str">
        <f ca="1">IFERROR(AVERAGEIF($B$19:$B$66, $A13, AY$19:AY$66), "")</f>
        <v/>
      </c>
      <c r="AZ13" s="47" t="str">
        <f ca="1">IF(AND(ISNUMBER(AW12), ISNUMBER(AW13)), AW12 - AW13, "")</f>
        <v/>
      </c>
      <c r="BA13" s="114" t="str">
        <f t="shared" ref="BA13:BA14" ca="1" si="78">IF(AND(ISNUMBER(AY12), ISNUMBER(AY13)), AY12 - AY13, "")</f>
        <v/>
      </c>
      <c r="BB13" s="110" t="str">
        <f t="shared" ca="1" si="60"/>
        <v/>
      </c>
      <c r="BC13" s="46" t="str">
        <f t="shared" ca="1" si="60"/>
        <v/>
      </c>
      <c r="BD13" s="47" t="str">
        <f t="shared" ref="BD13:BD14" ca="1" si="79">IF(AND(ISNUMBER(BB12), ISNUMBER(BB13)), BB12 - BB13, "")</f>
        <v/>
      </c>
      <c r="BE13" s="46" t="str">
        <f t="shared" ref="BE13:BE14" ca="1" si="80">IF(AND(ISNUMBER(BC12), ISNUMBER(BC13)), BC12 - BC13, "")</f>
        <v/>
      </c>
      <c r="BF13" s="109" t="str">
        <f ca="1">IFERROR(AVERAGEIF($B$19:$B$66, $A13, BF$19:BF$66), "")</f>
        <v/>
      </c>
      <c r="BG13" s="364" t="str">
        <f ca="1">IFERROR(INDEX(ICE[], MATCH("ngasntet" &amp; "Cal" &amp; " " &amp; RIGHT(NGL!$A13, 2), ICE[LongCode], 0), MATCH("Text", ICE[#Headers], 0)), "")</f>
        <v xml:space="preserve"> /  </v>
      </c>
      <c r="BH13" s="46" t="str">
        <f ca="1">IFERROR(AVERAGEIF($B$19:$B$66, $A13, BH$19:BH$66), "")</f>
        <v/>
      </c>
      <c r="BI13" s="47" t="str">
        <f ca="1">IF(AND(ISNUMBER(BF12), ISNUMBER(BF13)), BF12 - BF13, "")</f>
        <v/>
      </c>
      <c r="BJ13" s="114" t="str">
        <f t="shared" ref="BJ13:BJ14" ca="1" si="81">IF(AND(ISNUMBER(BH12), ISNUMBER(BH13)), BH12 - BH13, "")</f>
        <v/>
      </c>
      <c r="BK13" s="110" t="str">
        <f t="shared" ca="1" si="61"/>
        <v/>
      </c>
      <c r="BL13" s="46" t="str">
        <f t="shared" ca="1" si="61"/>
        <v/>
      </c>
      <c r="BM13" s="47" t="str">
        <f t="shared" ref="BM13:BM14" ca="1" si="82">IF(AND(ISNUMBER(BK12), ISNUMBER(BK13)), BK12 - BK13, "")</f>
        <v/>
      </c>
      <c r="BN13" s="111" t="str">
        <f t="shared" ref="BN13:BN14" ca="1" si="83">IF(AND(ISNUMBER(BL12), ISNUMBER(BL13)), BL12 - BL13, "")</f>
        <v/>
      </c>
      <c r="BO13" s="109" t="str">
        <f ca="1">IFERROR(AVERAGEIF($B$19:$B$66, $A13, BO$19:BO$66), "")</f>
        <v/>
      </c>
      <c r="BP13" s="364" t="str">
        <f ca="1">IFERROR(INDEX(ICE[], MATCH("c3ew" &amp; "Cal" &amp; " " &amp; RIGHT(NGL!$A13, 2), ICE[LongCode], 0), MATCH("Text", ICE[#Headers], 0)), "")</f>
        <v xml:space="preserve"> /  {97.00} |2x</v>
      </c>
      <c r="BQ13" s="46" t="str">
        <f ca="1">IFERROR(AVERAGEIF($B$19:$B$66, $A13, BQ$19:BQ$66), "")</f>
        <v/>
      </c>
      <c r="BR13" s="47" t="str">
        <f ca="1">IF(AND(ISNUMBER(BO12), ISNUMBER(BO13)), BO12 - BO13, "")</f>
        <v/>
      </c>
      <c r="BS13" s="114" t="str">
        <f t="shared" ref="BS13:BS14" ca="1" si="84">IF(AND(ISNUMBER(BQ12), ISNUMBER(BQ13)), BQ12 - BQ13, "")</f>
        <v/>
      </c>
      <c r="BT13" s="110" t="str">
        <f t="shared" ca="1" si="62"/>
        <v/>
      </c>
      <c r="BU13" s="46" t="str">
        <f t="shared" ca="1" si="62"/>
        <v/>
      </c>
      <c r="BV13" s="47" t="str">
        <f t="shared" ref="BV13:BV14" ca="1" si="85">IF(AND(ISNUMBER(BT12), ISNUMBER(BT13)), BT12 - BT13, "")</f>
        <v/>
      </c>
      <c r="BW13" s="46" t="str">
        <f t="shared" ref="BW13:BW14" ca="1" si="86">IF(AND(ISNUMBER(BU12), ISNUMBER(BU13)), BU12 - BU13, "")</f>
        <v/>
      </c>
      <c r="BX13" s="110" t="str">
        <f t="shared" ca="1" si="63"/>
        <v/>
      </c>
      <c r="BY13" s="46" t="str">
        <f t="shared" ca="1" si="63"/>
        <v/>
      </c>
      <c r="BZ13" s="47" t="str">
        <f t="shared" ref="BZ13:BZ14" ca="1" si="87">IF(AND(ISNUMBER(BX12), ISNUMBER(BX13)), BX12 - BX13, "")</f>
        <v/>
      </c>
      <c r="CA13" s="111" t="str">
        <f t="shared" ref="CA13:CA14" ca="1" si="88">IF(AND(ISNUMBER(BY12), ISNUMBER(BY13)), BY12 - BY13, "")</f>
        <v/>
      </c>
    </row>
    <row r="14" spans="1:79" s="68" customFormat="1" ht="15.75" thickBot="1" x14ac:dyDescent="0.3">
      <c r="A14" s="55">
        <f ca="1">$A13 + 1</f>
        <v>2028</v>
      </c>
      <c r="B14" s="6"/>
      <c r="C14" s="6"/>
      <c r="D14" s="28"/>
      <c r="E14" s="28"/>
      <c r="F14" s="28"/>
      <c r="G14" s="28"/>
      <c r="H14" s="28"/>
      <c r="I14" s="28"/>
      <c r="J14" s="130" t="str">
        <f ca="1">IFERROR(AVERAGEIF($B$19:$B$66, $A14, J$19:J$66), "")</f>
        <v/>
      </c>
      <c r="K14" s="366" t="str">
        <f ca="1">IFERROR(INDEX(ICE[], MATCH("propnap" &amp; "Cal" &amp; " " &amp; RIGHT(NGL!$A14, 2), ICE[LongCode], 0), MATCH("Text", ICE[#Headers], 0)), "")</f>
        <v xml:space="preserve"> /  </v>
      </c>
      <c r="L14" s="133" t="str">
        <f ca="1">IFERROR(AVERAGEIF($B$19:$B$66, $A14, L$19:L$66), "")</f>
        <v/>
      </c>
      <c r="M14" s="142" t="str">
        <f ca="1">IF(AND(ISNUMBER(J13), ISNUMBER(J14)), J13 - J14, "")</f>
        <v/>
      </c>
      <c r="N14" s="137" t="str">
        <f t="shared" ca="1" si="64"/>
        <v/>
      </c>
      <c r="O14" s="134" t="str">
        <f t="shared" ca="1" si="54"/>
        <v/>
      </c>
      <c r="P14" s="133" t="str">
        <f t="shared" ca="1" si="54"/>
        <v/>
      </c>
      <c r="Q14" s="142" t="str">
        <f t="shared" ca="1" si="65"/>
        <v/>
      </c>
      <c r="R14" s="133" t="str">
        <f t="shared" ca="1" si="65"/>
        <v/>
      </c>
      <c r="S14" s="134" t="str">
        <f t="shared" ca="1" si="55"/>
        <v/>
      </c>
      <c r="T14" s="133" t="str">
        <f t="shared" ca="1" si="55"/>
        <v/>
      </c>
      <c r="U14" s="142" t="str">
        <f t="shared" ca="1" si="66"/>
        <v/>
      </c>
      <c r="V14" s="135" t="str">
        <f t="shared" ca="1" si="67"/>
        <v/>
      </c>
      <c r="W14" s="130" t="str">
        <f ca="1">IFERROR(AVERAGEIF($B$19:$B$66, $A14, W$19:W$66), "")</f>
        <v/>
      </c>
      <c r="X14" s="366" t="str">
        <f ca="1">IFERROR(INDEX(ICE[], MATCH("c3tet" &amp; "Cal" &amp; " " &amp; RIGHT(NGL!$A14, 2), ICE[LongCode], 0), MATCH("Text", ICE[#Headers], 0)), "")</f>
        <v xml:space="preserve"> /  </v>
      </c>
      <c r="Y14" s="133" t="str">
        <f ca="1">IFERROR(AVERAGEIF($B$19:$B$66, $A14, Y$19:Y$66), "")</f>
        <v/>
      </c>
      <c r="Z14" s="142" t="str">
        <f ca="1">IF(AND(ISNUMBER(W13), ISNUMBER(W14)), W13 - W14, "")</f>
        <v/>
      </c>
      <c r="AA14" s="137" t="str">
        <f t="shared" ca="1" si="68"/>
        <v/>
      </c>
      <c r="AB14" s="134" t="str">
        <f t="shared" ca="1" si="56"/>
        <v/>
      </c>
      <c r="AC14" s="133" t="str">
        <f t="shared" ca="1" si="56"/>
        <v/>
      </c>
      <c r="AD14" s="142" t="str">
        <f t="shared" ca="1" si="69"/>
        <v/>
      </c>
      <c r="AE14" s="133" t="str">
        <f t="shared" ca="1" si="70"/>
        <v/>
      </c>
      <c r="AF14" s="134" t="str">
        <f t="shared" ca="1" si="57"/>
        <v/>
      </c>
      <c r="AG14" s="133" t="str">
        <f t="shared" ca="1" si="57"/>
        <v/>
      </c>
      <c r="AH14" s="142" t="str">
        <f t="shared" ca="1" si="71"/>
        <v/>
      </c>
      <c r="AI14" s="135" t="str">
        <f t="shared" ca="1" si="72"/>
        <v/>
      </c>
      <c r="AJ14" s="130" t="str">
        <f ca="1">IFERROR(AVERAGEIF($B$19:$B$66, $A14, AJ$19:AJ$66), "")</f>
        <v/>
      </c>
      <c r="AK14" s="366" t="str">
        <f ca="1">IFERROR(INDEX(ICE[], MATCH("c4ntet" &amp; "Cal" &amp; " " &amp; RIGHT(NGL!$A14, 2), ICE[LongCode], 0), MATCH("Text", ICE[#Headers], 0)), "")</f>
        <v xml:space="preserve"> /  </v>
      </c>
      <c r="AL14" s="133" t="str">
        <f ca="1">IFERROR(AVERAGEIF($B$19:$B$66, $A14, AL$19:AL$66), "")</f>
        <v/>
      </c>
      <c r="AM14" s="142" t="str">
        <f ca="1">IF(AND(ISNUMBER(AJ13), ISNUMBER(AJ14)), AJ13 - AJ14, "")</f>
        <v/>
      </c>
      <c r="AN14" s="137" t="str">
        <f t="shared" ca="1" si="73"/>
        <v/>
      </c>
      <c r="AO14" s="134" t="str">
        <f t="shared" ca="1" si="58"/>
        <v/>
      </c>
      <c r="AP14" s="133" t="str">
        <f t="shared" ca="1" si="58"/>
        <v/>
      </c>
      <c r="AQ14" s="142" t="str">
        <f t="shared" ca="1" si="74"/>
        <v/>
      </c>
      <c r="AR14" s="133" t="str">
        <f t="shared" ca="1" si="75"/>
        <v/>
      </c>
      <c r="AS14" s="134" t="str">
        <f t="shared" ca="1" si="59"/>
        <v/>
      </c>
      <c r="AT14" s="133" t="str">
        <f t="shared" ca="1" si="59"/>
        <v/>
      </c>
      <c r="AU14" s="142" t="str">
        <f t="shared" ca="1" si="76"/>
        <v/>
      </c>
      <c r="AV14" s="135" t="str">
        <f t="shared" ca="1" si="77"/>
        <v/>
      </c>
      <c r="AW14" s="130" t="str">
        <f ca="1">IFERROR(AVERAGEIF($B$19:$B$66, $A14, AW$19:AW$66), "")</f>
        <v/>
      </c>
      <c r="AX14" s="366" t="str">
        <f ca="1">IFERROR(INDEX(ICE[], MATCH("ic4ntet" &amp; "Cal" &amp; " " &amp; RIGHT(NGL!$A14, 2), ICE[LongCode], 0), MATCH("Text", ICE[#Headers], 0)), "")</f>
        <v xml:space="preserve"> /  </v>
      </c>
      <c r="AY14" s="133" t="str">
        <f ca="1">IFERROR(AVERAGEIF($B$19:$B$66, $A14, AY$19:AY$66), "")</f>
        <v/>
      </c>
      <c r="AZ14" s="142" t="str">
        <f ca="1">IF(AND(ISNUMBER(AW13), ISNUMBER(AW14)), AW13 - AW14, "")</f>
        <v/>
      </c>
      <c r="BA14" s="137" t="str">
        <f t="shared" ca="1" si="78"/>
        <v/>
      </c>
      <c r="BB14" s="134" t="str">
        <f t="shared" ca="1" si="60"/>
        <v/>
      </c>
      <c r="BC14" s="133" t="str">
        <f t="shared" ca="1" si="60"/>
        <v/>
      </c>
      <c r="BD14" s="142" t="str">
        <f t="shared" ca="1" si="79"/>
        <v/>
      </c>
      <c r="BE14" s="133" t="str">
        <f t="shared" ca="1" si="80"/>
        <v/>
      </c>
      <c r="BF14" s="130" t="str">
        <f ca="1">IFERROR(AVERAGEIF($B$19:$B$66, $A14, BF$19:BF$66), "")</f>
        <v/>
      </c>
      <c r="BG14" s="366" t="str">
        <f ca="1">IFERROR(INDEX(ICE[], MATCH("ngasntet" &amp; "Cal" &amp; " " &amp; RIGHT(NGL!$A14, 2), ICE[LongCode], 0), MATCH("Text", ICE[#Headers], 0)), "")</f>
        <v xml:space="preserve"> /  </v>
      </c>
      <c r="BH14" s="133" t="str">
        <f ca="1">IFERROR(AVERAGEIF($B$19:$B$66, $A14, BH$19:BH$66), "")</f>
        <v/>
      </c>
      <c r="BI14" s="142" t="str">
        <f ca="1">IF(AND(ISNUMBER(BF13), ISNUMBER(BF14)), BF13 - BF14, "")</f>
        <v/>
      </c>
      <c r="BJ14" s="137" t="str">
        <f t="shared" ca="1" si="81"/>
        <v/>
      </c>
      <c r="BK14" s="134" t="str">
        <f t="shared" ca="1" si="61"/>
        <v/>
      </c>
      <c r="BL14" s="133" t="str">
        <f t="shared" ca="1" si="61"/>
        <v/>
      </c>
      <c r="BM14" s="142" t="str">
        <f t="shared" ca="1" si="82"/>
        <v/>
      </c>
      <c r="BN14" s="135" t="str">
        <f t="shared" ca="1" si="83"/>
        <v/>
      </c>
      <c r="BO14" s="130" t="str">
        <f ca="1">IFERROR(AVERAGEIF($B$19:$B$66, $A14, BO$19:BO$66), "")</f>
        <v/>
      </c>
      <c r="BP14" s="366" t="str">
        <f ca="1">IFERROR(INDEX(ICE[], MATCH("c3ew" &amp; "Cal" &amp; " " &amp; RIGHT(NGL!$A14, 2), ICE[LongCode], 0), MATCH("Text", ICE[#Headers], 0)), "")</f>
        <v xml:space="preserve"> /  </v>
      </c>
      <c r="BQ14" s="133" t="str">
        <f ca="1">IFERROR(AVERAGEIF($B$19:$B$66, $A14, BQ$19:BQ$66), "")</f>
        <v/>
      </c>
      <c r="BR14" s="142" t="str">
        <f ca="1">IF(AND(ISNUMBER(BO13), ISNUMBER(BO14)), BO13 - BO14, "")</f>
        <v/>
      </c>
      <c r="BS14" s="137" t="str">
        <f t="shared" ca="1" si="84"/>
        <v/>
      </c>
      <c r="BT14" s="134" t="str">
        <f t="shared" ca="1" si="62"/>
        <v/>
      </c>
      <c r="BU14" s="133" t="str">
        <f t="shared" ca="1" si="62"/>
        <v/>
      </c>
      <c r="BV14" s="142" t="str">
        <f t="shared" ca="1" si="85"/>
        <v/>
      </c>
      <c r="BW14" s="133" t="str">
        <f t="shared" ca="1" si="86"/>
        <v/>
      </c>
      <c r="BX14" s="134" t="str">
        <f t="shared" ca="1" si="63"/>
        <v/>
      </c>
      <c r="BY14" s="133" t="str">
        <f t="shared" ca="1" si="63"/>
        <v/>
      </c>
      <c r="BZ14" s="142" t="str">
        <f t="shared" ca="1" si="87"/>
        <v/>
      </c>
      <c r="CA14" s="135" t="str">
        <f t="shared" ca="1" si="88"/>
        <v/>
      </c>
    </row>
    <row r="15" spans="1:79" s="68" customFormat="1" x14ac:dyDescent="0.25">
      <c r="A15" s="56"/>
      <c r="B15" s="6"/>
      <c r="C15" s="6"/>
      <c r="D15" s="28"/>
      <c r="E15" s="28"/>
      <c r="F15" s="28"/>
      <c r="G15" s="28"/>
      <c r="H15" s="28"/>
      <c r="I15" s="28"/>
      <c r="J15" s="51"/>
      <c r="K15" s="51"/>
      <c r="L15" s="52"/>
      <c r="M15" s="51"/>
      <c r="N15" s="52"/>
      <c r="O15" s="51"/>
      <c r="P15" s="67"/>
      <c r="Q15" s="67"/>
      <c r="R15" s="67"/>
      <c r="S15" s="51"/>
      <c r="T15" s="67"/>
      <c r="U15" s="67"/>
      <c r="V15" s="67"/>
      <c r="W15" s="51"/>
      <c r="X15" s="51"/>
      <c r="Y15" s="52"/>
      <c r="Z15" s="51"/>
      <c r="AA15" s="52"/>
      <c r="AB15" s="51"/>
      <c r="AC15" s="67"/>
      <c r="AD15" s="67"/>
      <c r="AE15" s="67"/>
      <c r="AF15" s="51"/>
      <c r="AG15" s="67"/>
      <c r="AH15" s="67"/>
      <c r="AI15" s="67"/>
      <c r="AJ15" s="51"/>
      <c r="AK15" s="51"/>
      <c r="AL15" s="52"/>
      <c r="AM15" s="51"/>
      <c r="AN15" s="52"/>
      <c r="AO15" s="51"/>
      <c r="AP15" s="67"/>
      <c r="AQ15" s="67"/>
      <c r="AR15" s="67"/>
      <c r="AS15" s="51"/>
      <c r="AT15" s="67"/>
      <c r="AU15" s="67"/>
      <c r="AV15" s="67"/>
      <c r="AW15" s="51"/>
      <c r="AX15" s="51"/>
      <c r="AY15" s="52"/>
      <c r="AZ15" s="51"/>
      <c r="BA15" s="52"/>
      <c r="BB15" s="51"/>
      <c r="BC15" s="67"/>
      <c r="BD15" s="67"/>
      <c r="BE15" s="67"/>
      <c r="BF15" s="51"/>
      <c r="BG15" s="51"/>
      <c r="BH15" s="52"/>
      <c r="BI15" s="51"/>
      <c r="BJ15" s="52"/>
      <c r="BK15" s="51"/>
      <c r="BL15" s="67"/>
      <c r="BM15" s="67"/>
      <c r="BN15" s="67"/>
      <c r="BO15" s="51"/>
      <c r="BP15" s="51"/>
      <c r="BQ15" s="52"/>
      <c r="BR15" s="51"/>
      <c r="BS15" s="52"/>
      <c r="BT15" s="51"/>
      <c r="BU15" s="67"/>
      <c r="BV15" s="67"/>
      <c r="BW15" s="67"/>
      <c r="BX15" s="51"/>
      <c r="BY15" s="67"/>
      <c r="BZ15" s="67"/>
      <c r="CA15" s="67"/>
    </row>
    <row r="16" spans="1:79" s="68" customFormat="1" ht="15.75" thickBot="1" x14ac:dyDescent="0.3">
      <c r="A16" s="57"/>
      <c r="B16" s="6"/>
      <c r="C16" s="6"/>
      <c r="D16" s="28"/>
      <c r="E16" s="28"/>
      <c r="F16" s="28"/>
      <c r="G16" s="28"/>
      <c r="H16" s="28"/>
      <c r="I16" s="28"/>
      <c r="J16" s="51"/>
      <c r="K16" s="51"/>
      <c r="L16" s="52"/>
      <c r="M16" s="51"/>
      <c r="N16" s="52"/>
      <c r="O16" s="51"/>
      <c r="P16" s="67"/>
      <c r="Q16" s="66"/>
      <c r="R16" s="77"/>
      <c r="S16" s="51"/>
      <c r="T16" s="67"/>
      <c r="U16" s="66"/>
      <c r="V16" s="77"/>
      <c r="W16" s="51"/>
      <c r="X16" s="51"/>
      <c r="Y16" s="52"/>
      <c r="Z16" s="51"/>
      <c r="AA16" s="52"/>
      <c r="AB16" s="51"/>
      <c r="AC16" s="67"/>
      <c r="AD16" s="66"/>
      <c r="AE16" s="77"/>
      <c r="AF16" s="51"/>
      <c r="AG16" s="67"/>
      <c r="AH16" s="66"/>
      <c r="AI16" s="77"/>
      <c r="AJ16" s="51"/>
      <c r="AK16" s="51"/>
      <c r="AL16" s="52"/>
      <c r="AM16" s="51"/>
      <c r="AN16" s="52"/>
      <c r="AO16" s="51"/>
      <c r="AP16" s="67"/>
      <c r="AQ16" s="66"/>
      <c r="AR16" s="77"/>
      <c r="AS16" s="51"/>
      <c r="AT16" s="67"/>
      <c r="AU16" s="66"/>
      <c r="AV16" s="77"/>
      <c r="AW16" s="51"/>
      <c r="AX16" s="51"/>
      <c r="AY16" s="52"/>
      <c r="AZ16" s="51"/>
      <c r="BA16" s="52"/>
      <c r="BB16" s="51"/>
      <c r="BC16" s="67"/>
      <c r="BD16" s="66"/>
      <c r="BE16" s="77"/>
      <c r="BF16" s="51"/>
      <c r="BG16" s="51"/>
      <c r="BH16" s="52"/>
      <c r="BI16" s="51"/>
      <c r="BJ16" s="52"/>
      <c r="BK16" s="51"/>
      <c r="BL16" s="67"/>
      <c r="BM16" s="66"/>
      <c r="BN16" s="77"/>
      <c r="BO16" s="51"/>
      <c r="BP16" s="51"/>
      <c r="BQ16" s="52"/>
      <c r="BR16" s="51"/>
      <c r="BS16" s="52"/>
      <c r="BT16" s="51"/>
      <c r="BU16" s="67"/>
      <c r="BV16" s="66"/>
      <c r="BW16" s="77"/>
      <c r="BX16" s="51"/>
      <c r="BY16" s="67"/>
      <c r="BZ16" s="66"/>
      <c r="CA16" s="77"/>
    </row>
    <row r="17" spans="1:79" ht="15.75" thickBot="1" x14ac:dyDescent="0.3">
      <c r="D17" s="44" t="s">
        <v>279</v>
      </c>
      <c r="E17" s="44"/>
      <c r="F17" s="44"/>
      <c r="G17" s="44"/>
      <c r="H17" s="44"/>
      <c r="I17" s="44"/>
      <c r="J17" s="310" t="s">
        <v>361</v>
      </c>
      <c r="K17" s="311"/>
      <c r="L17" s="313"/>
      <c r="M17" s="312"/>
      <c r="N17" s="313"/>
      <c r="O17" s="311"/>
      <c r="P17" s="313"/>
      <c r="Q17" s="312"/>
      <c r="R17" s="313"/>
      <c r="S17" s="311"/>
      <c r="T17" s="313"/>
      <c r="U17" s="312"/>
      <c r="V17" s="313"/>
      <c r="W17" s="310" t="s">
        <v>362</v>
      </c>
      <c r="X17" s="311"/>
      <c r="Y17" s="313"/>
      <c r="Z17" s="312"/>
      <c r="AA17" s="313"/>
      <c r="AB17" s="311"/>
      <c r="AC17" s="313"/>
      <c r="AD17" s="312"/>
      <c r="AE17" s="313"/>
      <c r="AF17" s="311"/>
      <c r="AG17" s="313"/>
      <c r="AH17" s="312"/>
      <c r="AI17" s="313"/>
      <c r="AJ17" s="310" t="s">
        <v>363</v>
      </c>
      <c r="AK17" s="311"/>
      <c r="AL17" s="313"/>
      <c r="AM17" s="312"/>
      <c r="AN17" s="313"/>
      <c r="AO17" s="311"/>
      <c r="AP17" s="313"/>
      <c r="AQ17" s="312"/>
      <c r="AR17" s="313"/>
      <c r="AS17" s="311"/>
      <c r="AT17" s="313"/>
      <c r="AU17" s="312"/>
      <c r="AV17" s="313"/>
      <c r="AW17" s="310" t="s">
        <v>364</v>
      </c>
      <c r="AX17" s="311"/>
      <c r="AY17" s="313"/>
      <c r="AZ17" s="312"/>
      <c r="BA17" s="313"/>
      <c r="BB17" s="311"/>
      <c r="BC17" s="313"/>
      <c r="BD17" s="312"/>
      <c r="BE17" s="313"/>
      <c r="BF17" s="310" t="s">
        <v>365</v>
      </c>
      <c r="BG17" s="311"/>
      <c r="BH17" s="313"/>
      <c r="BI17" s="312"/>
      <c r="BJ17" s="313"/>
      <c r="BK17" s="311"/>
      <c r="BL17" s="313"/>
      <c r="BM17" s="312"/>
      <c r="BN17" s="314"/>
      <c r="BO17" s="310" t="s">
        <v>373</v>
      </c>
      <c r="BP17" s="311"/>
      <c r="BQ17" s="313"/>
      <c r="BR17" s="312"/>
      <c r="BS17" s="313"/>
      <c r="BT17" s="311"/>
      <c r="BU17" s="313"/>
      <c r="BV17" s="312"/>
      <c r="BW17" s="313"/>
      <c r="BX17" s="311"/>
      <c r="BY17" s="313"/>
      <c r="BZ17" s="312"/>
      <c r="CA17" s="313"/>
    </row>
    <row r="18" spans="1:79" x14ac:dyDescent="0.25">
      <c r="A18" s="55"/>
      <c r="B18" s="8" t="s">
        <v>285</v>
      </c>
      <c r="C18" s="8" t="s">
        <v>286</v>
      </c>
      <c r="D18" s="45" t="s">
        <v>374</v>
      </c>
      <c r="E18" s="45" t="s">
        <v>375</v>
      </c>
      <c r="F18" s="45" t="s">
        <v>376</v>
      </c>
      <c r="G18" s="45" t="s">
        <v>377</v>
      </c>
      <c r="H18" s="45" t="s">
        <v>378</v>
      </c>
      <c r="I18" s="45" t="s">
        <v>379</v>
      </c>
      <c r="J18" s="302" t="s">
        <v>366</v>
      </c>
      <c r="K18" s="303"/>
      <c r="L18" s="303"/>
      <c r="M18" s="303"/>
      <c r="N18" s="303"/>
      <c r="O18" s="304" t="s">
        <v>367</v>
      </c>
      <c r="P18" s="303"/>
      <c r="Q18" s="303"/>
      <c r="R18" s="303"/>
      <c r="S18" s="304" t="s">
        <v>368</v>
      </c>
      <c r="T18" s="303"/>
      <c r="U18" s="303"/>
      <c r="V18" s="303"/>
      <c r="W18" s="302" t="s">
        <v>367</v>
      </c>
      <c r="X18" s="303"/>
      <c r="Y18" s="303"/>
      <c r="Z18" s="303"/>
      <c r="AA18" s="303"/>
      <c r="AB18" s="304" t="s">
        <v>369</v>
      </c>
      <c r="AC18" s="303"/>
      <c r="AD18" s="303"/>
      <c r="AE18" s="303"/>
      <c r="AF18" s="304" t="s">
        <v>370</v>
      </c>
      <c r="AG18" s="303"/>
      <c r="AH18" s="303"/>
      <c r="AI18" s="303"/>
      <c r="AJ18" s="302" t="s">
        <v>367</v>
      </c>
      <c r="AK18" s="303"/>
      <c r="AL18" s="303"/>
      <c r="AM18" s="303"/>
      <c r="AN18" s="303"/>
      <c r="AO18" s="304" t="s">
        <v>371</v>
      </c>
      <c r="AP18" s="303"/>
      <c r="AQ18" s="303"/>
      <c r="AR18" s="303"/>
      <c r="AS18" s="304" t="s">
        <v>369</v>
      </c>
      <c r="AT18" s="303"/>
      <c r="AU18" s="303"/>
      <c r="AV18" s="303"/>
      <c r="AW18" s="302" t="s">
        <v>367</v>
      </c>
      <c r="AX18" s="303"/>
      <c r="AY18" s="303"/>
      <c r="AZ18" s="303"/>
      <c r="BA18" s="303"/>
      <c r="BB18" s="304" t="s">
        <v>372</v>
      </c>
      <c r="BC18" s="303"/>
      <c r="BD18" s="303"/>
      <c r="BE18" s="303"/>
      <c r="BF18" s="302" t="s">
        <v>367</v>
      </c>
      <c r="BG18" s="303"/>
      <c r="BH18" s="303"/>
      <c r="BI18" s="303"/>
      <c r="BJ18" s="303"/>
      <c r="BK18" s="304" t="s">
        <v>369</v>
      </c>
      <c r="BL18" s="303"/>
      <c r="BM18" s="303"/>
      <c r="BN18" s="305"/>
      <c r="BO18" s="302" t="s">
        <v>380</v>
      </c>
      <c r="BP18" s="303"/>
      <c r="BQ18" s="303"/>
      <c r="BR18" s="303"/>
      <c r="BS18" s="303"/>
      <c r="BT18" s="304" t="s">
        <v>367</v>
      </c>
      <c r="BU18" s="303"/>
      <c r="BV18" s="303"/>
      <c r="BW18" s="303"/>
      <c r="BX18" s="304" t="s">
        <v>368</v>
      </c>
      <c r="BY18" s="303"/>
      <c r="BZ18" s="303"/>
      <c r="CA18" s="303"/>
    </row>
    <row r="19" spans="1:79" x14ac:dyDescent="0.25">
      <c r="A19" s="58">
        <f ca="1">EOMONTH(TimeLDN, -1) + 1</f>
        <v>46266</v>
      </c>
      <c r="B19" s="6">
        <f t="shared" ref="B19:B66" ca="1" si="89">YEAR($A19)</f>
        <v>2026</v>
      </c>
      <c r="C19" s="6" t="str">
        <f ca="1">"Q" &amp; INT((MONTH($A19) + 2) / 3)  &amp; TEXT($A19, "yy")</f>
        <v>Q326</v>
      </c>
      <c r="D19" s="28">
        <f>INDEX(ICE[], MATCH(D$18 &amp; "Bal Month", ICE[LongCode], 0), MATCH("Settle", ICE[#Headers], 0))</f>
        <v>-199.64700000000002</v>
      </c>
      <c r="E19" s="28">
        <f>INDEX(ICE[], MATCH(E$18 &amp; "Bal Month", ICE[LongCode], 0), MATCH("Settle", ICE[#Headers], 0))*100</f>
        <v>76.5</v>
      </c>
      <c r="F19" s="28">
        <f>INDEX(ICE[], MATCH(F$18 &amp; "Bal Month", ICE[LongCode], 0), MATCH("Settle", ICE[#Headers], 0))*100</f>
        <v>114.25</v>
      </c>
      <c r="G19" s="28">
        <f>INDEX(ICE[], MATCH(G$18 &amp; "Bal Month", ICE[LongCode], 0), MATCH("Settle", ICE[#Headers], 0))*100</f>
        <v>122.25000000000001</v>
      </c>
      <c r="H19" s="28">
        <f>INDEX(ICE[], MATCH(H$18 &amp; "Bal Month", ICE[LongCode], 0), MATCH("Settle", ICE[#Headers], 0))*100</f>
        <v>194.5</v>
      </c>
      <c r="I19" s="28">
        <f>INDEX(ICE[], MATCH(I$18 &amp; "Bal Month", ICE[LongCode], 0), MATCH("Settle", ICE[#Headers], 0))</f>
        <v>191.85</v>
      </c>
      <c r="J19" s="396" t="str">
        <f>IFERROR(INDEX(ICE[], MATCH("propnap" &amp; "Bal Month", ICE[LongCode], 0), MATCH("ICE Theoretical Price", ICE[#Headers], 0)), "")</f>
        <v/>
      </c>
      <c r="K19" s="363" t="str">
        <f>IFERROR(INDEX(ICE[], MATCH("propnap" &amp; "Bal Month", ICE[LongCode], 0), MATCH("Text", ICE[#Headers], 0)), "")</f>
        <v xml:space="preserve"> /  </v>
      </c>
      <c r="L19" s="115" t="str">
        <f t="shared" ref="L19:L66" si="90">IFERROR(IF(AND(ISNUMBER($J19), ISNUMBER($D19)), $J19 - $D19, ""), "")</f>
        <v/>
      </c>
      <c r="M19" s="185"/>
      <c r="N19" s="115"/>
      <c r="O19" s="186" t="str">
        <f ca="1">IFERROR(IF(AND(ISNUMBER(Lts!$N19), ISNUMBER($J19)), Lts!$N19 + $J19, ""), "")</f>
        <v/>
      </c>
      <c r="P19" s="115" t="str">
        <f ca="1">IFERROR(IF(AND(ISNUMBER(Lts!$O19), ISNUMBER($L19)), Lts!$O19 + $L19, ""), "")</f>
        <v/>
      </c>
      <c r="Q19" s="185"/>
      <c r="R19" s="115"/>
      <c r="S19" s="186" t="str">
        <f ca="1">IFERROR(IF(AND(ISNUMBER(Futs!$CC19), ISNUMBER($O19)), $O19/12.4 - Futs!$CC19, ""), "")</f>
        <v/>
      </c>
      <c r="T19" s="190" t="str">
        <f ca="1">IFERROR(IF(AND(ISNUMBER(Futs!$CD19), ISNUMBER($P19)), $P19/12.4 - Futs!$CD19, ""), "")</f>
        <v/>
      </c>
      <c r="U19" s="185"/>
      <c r="V19" s="115"/>
      <c r="W19" s="396" t="str">
        <f>IFERROR(INDEX(ICE[], MATCH("c3tet" &amp; "Bal Month", ICE[LongCode], 0), MATCH("ICE Theoretical Price", ICE[#Headers], 0))*100, "")</f>
        <v/>
      </c>
      <c r="X19" s="363" t="str">
        <f>IFERROR(INDEX(ICE[], MATCH("c3tet" &amp; "Bal Month", ICE[LongCode], 0), MATCH("Text", ICE[#Headers], 0)), "")</f>
        <v xml:space="preserve"> /  </v>
      </c>
      <c r="Y19" s="115" t="str">
        <f>IFERROR(IF(AND(ISNUMBER($W19), ISNUMBER($E19)), $W19 - $E19, ""), "")</f>
        <v/>
      </c>
      <c r="Z19" s="185"/>
      <c r="AA19" s="115"/>
      <c r="AB19" s="186" t="str">
        <f ca="1">IFERROR(IF(AND(ISNUMBER(Futs!$BY19), ISNUMBER($W19)), $W19*42/100 - Futs!$BY19, ""), "")</f>
        <v/>
      </c>
      <c r="AC19" s="190" t="str">
        <f ca="1">IFERROR(IF(AND(ISNUMBER(Futs!$BZ19), ISNUMBER($Y19)), $Y19*42/100 - Futs!$BZ19, ""), "")</f>
        <v/>
      </c>
      <c r="AD19" s="185"/>
      <c r="AE19" s="115"/>
      <c r="AF19" s="186" t="str">
        <f ca="1">IFERROR(IF(AND(ISNUMBER($W19), ISNUMBER($O19)), $W19*42*12.4/100 - $O19, ""), "")</f>
        <v/>
      </c>
      <c r="AG19" s="190" t="str">
        <f ca="1">IFERROR(IF(AND(ISNUMBER($Y19), ISNUMBER($P19)), $Y19*42*12.4/100 - $P19, ""), "")</f>
        <v/>
      </c>
      <c r="AH19" s="185"/>
      <c r="AI19" s="115"/>
      <c r="AJ19" s="396" t="str">
        <f>IFERROR(INDEX(ICE[], MATCH("c4ntet" &amp; "Bal Month", ICE[LongCode], 0), MATCH("ICE Theoretical Price", ICE[#Headers], 0))*100, "")</f>
        <v/>
      </c>
      <c r="AK19" s="363" t="str">
        <f>IFERROR(INDEX(ICE[], MATCH("c4ntet" &amp; "Bal Month", ICE[LongCode], 0), MATCH("Text", ICE[#Headers], 0)), "")</f>
        <v xml:space="preserve"> /  </v>
      </c>
      <c r="AL19" s="115" t="str">
        <f>IFERROR(IF(AND(ISNUMBER($AJ19), ISNUMBER($F19)), $AJ19 - $F19, ""), "")</f>
        <v/>
      </c>
      <c r="AM19" s="185"/>
      <c r="AN19" s="115"/>
      <c r="AO19" s="186" t="str">
        <f>IFERROR(IF(AND(ISNUMBER($AJ19), ISNUMBER($W19)), $AJ19 - $W19, ""), "")</f>
        <v/>
      </c>
      <c r="AP19" s="115" t="str">
        <f>IFERROR(IF(AND(ISNUMBER($AL19), ISNUMBER($Y19)), $AL19 - $Y19, ""), "")</f>
        <v/>
      </c>
      <c r="AQ19" s="185"/>
      <c r="AR19" s="115"/>
      <c r="AS19" s="186" t="str">
        <f ca="1">IFERROR(IF(AND(ISNUMBER(Futs!$BY19), ISNUMBER($AJ19)), $AJ19*42/100 - Futs!$BY19, ""), "")</f>
        <v/>
      </c>
      <c r="AT19" s="190" t="str">
        <f ca="1">IFERROR(IF(AND(ISNUMBER(Futs!$BZ19), ISNUMBER($AL19)), $AL19*42/100 - Futs!$BZ19, ""), "")</f>
        <v/>
      </c>
      <c r="AU19" s="185"/>
      <c r="AV19" s="115"/>
      <c r="AW19" s="396" t="str">
        <f>IFERROR(INDEX(ICE[], MATCH("ic4ntet" &amp; "Bal Month", ICE[LongCode], 0), MATCH("ICE Theoretical Price", ICE[#Headers], 0))*100, "")</f>
        <v/>
      </c>
      <c r="AX19" s="363" t="str">
        <f>IFERROR(INDEX(ICE[], MATCH("ic4ntet" &amp; "Bal Month", ICE[LongCode], 0), MATCH("Text", ICE[#Headers], 0)), "")</f>
        <v xml:space="preserve"> /  </v>
      </c>
      <c r="AY19" s="115" t="str">
        <f>IFERROR(IF(AND(ISNUMBER($AW19), ISNUMBER($G19)), $AW19 - $G19, ""), "")</f>
        <v/>
      </c>
      <c r="AZ19" s="185"/>
      <c r="BA19" s="115"/>
      <c r="BB19" s="186" t="str">
        <f>IFERROR(IF(AND(ISNUMBER($AW19), ISNUMBER($AJ19)), $AW19 - $AJ19, ""), "")</f>
        <v/>
      </c>
      <c r="BC19" s="115" t="str">
        <f>IFERROR(IF(AND(ISNUMBER($AY19), ISNUMBER($AL19)), $AY19 - $AL19, ""), "")</f>
        <v/>
      </c>
      <c r="BD19" s="185"/>
      <c r="BE19" s="115"/>
      <c r="BF19" s="396" t="str">
        <f>IFERROR(INDEX(ICE[], MATCH("ngasntet" &amp; "Bal Month", ICE[LongCode], 0), MATCH("ICE Theoretical Price", ICE[#Headers], 0))*100, "")</f>
        <v/>
      </c>
      <c r="BG19" s="363" t="str">
        <f>IFERROR(INDEX(ICE[], MATCH("ngasntet" &amp; "Bal Month", ICE[LongCode], 0), MATCH("Text", ICE[#Headers], 0)), "")</f>
        <v xml:space="preserve"> /  </v>
      </c>
      <c r="BH19" s="115" t="str">
        <f>IFERROR(IF(AND(ISNUMBER($BF19), ISNUMBER($H19)), $BF19 - $H19, ""), "")</f>
        <v/>
      </c>
      <c r="BI19" s="185"/>
      <c r="BJ19" s="115"/>
      <c r="BK19" s="186" t="str">
        <f ca="1">IFERROR(IF(AND(ISNUMBER(Futs!$BY19), ISNUMBER($BF19)), $BF19*42/100 - Futs!$BY19, ""), "")</f>
        <v/>
      </c>
      <c r="BL19" s="190" t="str">
        <f ca="1">IFERROR(IF(AND(ISNUMBER(Futs!$BZ19), ISNUMBER($BH19)), $BH19*42/100 - Futs!$BZ19, ""), "")</f>
        <v/>
      </c>
      <c r="BM19" s="185"/>
      <c r="BN19" s="173"/>
      <c r="BO19" s="396" t="str">
        <f>IFERROR(INDEX(ICE[], MATCH("c3ew" &amp; "Bal Month", ICE[LongCode], 0), MATCH("ICE Theoretical Price", ICE[#Headers], 0)), "")</f>
        <v/>
      </c>
      <c r="BP19" s="363" t="str">
        <f>IFERROR(INDEX(ICE[], MATCH("c3ew" &amp; "Bal Month", ICE[LongCode], 0), MATCH("Text", ICE[#Headers], 0)), "")</f>
        <v xml:space="preserve"> /  </v>
      </c>
      <c r="BQ19" s="115" t="str">
        <f>IFERROR(IF(AND(ISNUMBER($BO19), ISNUMBER($I19)), $BO19 - $I19, ""), "")</f>
        <v/>
      </c>
      <c r="BR19" s="185"/>
      <c r="BS19" s="115"/>
      <c r="BT19" s="186" t="str">
        <f ca="1">IFERROR(IF(AND(ISNUMBER($O19), ISNUMBER($BO19)), $O19 + $BO19, ""), "")</f>
        <v/>
      </c>
      <c r="BU19" s="115" t="str">
        <f ca="1">IFERROR(IF(AND(ISNUMBER($P19), ISNUMBER($BQ19)), $P19 + $BQ19, ""), "")</f>
        <v/>
      </c>
      <c r="BV19" s="185"/>
      <c r="BW19" s="115"/>
      <c r="BX19" s="186" t="str">
        <f ca="1">IFERROR(IF(AND(ISNUMBER(Futs!$CC19), ISNUMBER($BT19)), $BT19/12.4 - Futs!$CC19, ""), "")</f>
        <v/>
      </c>
      <c r="BY19" s="190" t="str">
        <f ca="1">IFERROR(IF(AND(ISNUMBER($T19), ISNUMBER($BQ19)), $BQ19/12.4 + $T19, ""), "")</f>
        <v/>
      </c>
      <c r="BZ19" s="185"/>
      <c r="CA19" s="115"/>
    </row>
    <row r="20" spans="1:79" x14ac:dyDescent="0.25">
      <c r="A20" s="58">
        <f ca="1">EOMONTH($A19, 0) + 1</f>
        <v>46296</v>
      </c>
      <c r="B20" s="6">
        <f t="shared" ca="1" si="89"/>
        <v>2026</v>
      </c>
      <c r="C20" s="6" t="str">
        <f t="shared" ref="C20:C66" ca="1" si="91">"Q" &amp; INT((MONTH($A20) + 2) / 3)  &amp; TEXT($A20, "yy")</f>
        <v>Q426</v>
      </c>
      <c r="D20" s="28">
        <f ca="1">INDEX(ICE[], MATCH(D$18 &amp; TEXT(NGL!$A20, "mmmyy"), ICE[LongCode], 0), MATCH("Settle", ICE[#Headers], 0))</f>
        <v>-193.923</v>
      </c>
      <c r="E20" s="28">
        <f ca="1">INDEX(ICE[], MATCH(E$18 &amp; TEXT(NGL!$A20, "mmmyy"), ICE[LongCode], 0), MATCH("Settle", ICE[#Headers], 0))*100</f>
        <v>76.25</v>
      </c>
      <c r="F20" s="28">
        <f ca="1">INDEX(ICE[], MATCH(F$18 &amp; TEXT(NGL!$A20, "mmmyy"), ICE[LongCode], 0), MATCH("Settle", ICE[#Headers], 0))*100</f>
        <v>115.00000000000001</v>
      </c>
      <c r="G20" s="28">
        <f ca="1">INDEX(ICE[], MATCH(G$18 &amp; TEXT(NGL!$A20, "mmmyy"), ICE[LongCode], 0), MATCH("Settle", ICE[#Headers], 0))*100</f>
        <v>121</v>
      </c>
      <c r="H20" s="28">
        <f ca="1">INDEX(ICE[], MATCH(H$18 &amp; TEXT(NGL!$A20, "mmmyy"), ICE[LongCode], 0), MATCH("Settle", ICE[#Headers], 0))*100</f>
        <v>191.25</v>
      </c>
      <c r="I20" s="28">
        <f ca="1">INDEX(ICE[], MATCH(I$18 &amp; TEXT(NGL!$A20, "mmmyy"), ICE[LongCode], 0), MATCH("Settle", ICE[#Headers], 0))</f>
        <v>170.25</v>
      </c>
      <c r="J20" s="397" t="str">
        <f ca="1">IFERROR(INDEX(ICE[], MATCH("propnap" &amp; TEXT(Crd!$A20, "mmmyy"), ICE[LongCode], 0), MATCH("ICE Theoretical Price", ICE[#Headers], 0)), "")</f>
        <v/>
      </c>
      <c r="K20" s="364" t="str">
        <f ca="1">IFERROR(INDEX(ICE[], MATCH("propnap" &amp; TEXT(NGL!$A20, "mmmyy"), ICE[LongCode], 0), MATCH("Text", ICE[#Headers], 0)), "")</f>
        <v xml:space="preserve"> /  </v>
      </c>
      <c r="L20" s="46" t="str">
        <f t="shared" ca="1" si="90"/>
        <v/>
      </c>
      <c r="M20" s="47" t="str">
        <f t="shared" ref="M20:M66" ca="1" si="92">IF(AND(ISNUMBER($J19), ISNUMBER($J20)), $J19 - $J20, "")</f>
        <v/>
      </c>
      <c r="N20" s="46" t="str">
        <f ca="1">IF(AND(ISNUMBER($L19), ISNUMBER($L20)), $L19 - $L20, "")</f>
        <v/>
      </c>
      <c r="O20" s="141" t="str">
        <f ca="1">IFERROR(IF(AND(ISNUMBER(Lts!$N20), ISNUMBER($J20)), Lts!$N20 + $J20, ""), "")</f>
        <v/>
      </c>
      <c r="P20" s="46" t="str">
        <f ca="1">IFERROR(IF(AND(ISNUMBER(Lts!$O20), ISNUMBER($L20)), Lts!$O20 + $L20, ""), "")</f>
        <v/>
      </c>
      <c r="Q20" s="47" t="str">
        <f ca="1">IF(AND(ISNUMBER($O19), ISNUMBER($O20)), $O19 - $O20, "")</f>
        <v/>
      </c>
      <c r="R20" s="46" t="str">
        <f ca="1">IF(AND(ISNUMBER($P19), ISNUMBER($P20)), $P19 - $P20, "")</f>
        <v/>
      </c>
      <c r="S20" s="141" t="str">
        <f ca="1">IFERROR(IF(AND(ISNUMBER(Futs!$CC20), ISNUMBER($O20)), $O20/12.4 - Futs!$CC20, ""), "")</f>
        <v/>
      </c>
      <c r="T20" s="67" t="str">
        <f ca="1">IFERROR(IF(AND(ISNUMBER(Futs!$CD20), ISNUMBER($P20)), $P20/12.4 - Futs!$CD20, ""), "")</f>
        <v/>
      </c>
      <c r="U20" s="47" t="str">
        <f ca="1">IF(AND(ISNUMBER($S19), ISNUMBER($S20)), $S19 - $S20, "")</f>
        <v/>
      </c>
      <c r="V20" s="46" t="str">
        <f ca="1">IF(AND(ISNUMBER($S19), ISNUMBER($S20)), $S19 - $S20, "")</f>
        <v/>
      </c>
      <c r="W20" s="397" t="str">
        <f ca="1">IFERROR(INDEX(ICE[], MATCH("c3tet" &amp; TEXT(Crd!$A20, "mmmyy"), ICE[LongCode], 0), MATCH("ICE Theoretical Price", ICE[#Headers], 0))*100, "")</f>
        <v/>
      </c>
      <c r="X20" s="364" t="str">
        <f ca="1">IFERROR(INDEX(ICE[], MATCH("c3tet" &amp; TEXT(NGL!$A20, "mmmyy"), ICE[LongCode], 0), MATCH("Text", ICE[#Headers], 0)), "")</f>
        <v xml:space="preserve"> /  {0.76} |137x</v>
      </c>
      <c r="Y20" s="46" t="str">
        <f t="shared" ref="Y20:Y66" ca="1" si="93">IFERROR(IF(AND(ISNUMBER($W20), ISNUMBER($E20)), $W20 - $E20, ""), "")</f>
        <v/>
      </c>
      <c r="Z20" s="47" t="str">
        <f ca="1">IF(AND(ISNUMBER($W19), ISNUMBER($W20)), $W19 - $W20, "")</f>
        <v/>
      </c>
      <c r="AA20" s="46" t="str">
        <f ca="1">IF(AND(ISNUMBER($Y19), ISNUMBER($Y20)), $Y19 - $Y20, "")</f>
        <v/>
      </c>
      <c r="AB20" s="141" t="str">
        <f ca="1">IFERROR(IF(AND(ISNUMBER(Futs!$BY20), ISNUMBER($W20)), $W20*42/100 - Futs!$BY20, ""), "")</f>
        <v/>
      </c>
      <c r="AC20" s="67" t="str">
        <f ca="1">IFERROR(IF(AND(ISNUMBER(Futs!$BZ20), ISNUMBER($Y20)), $Y20*42/100 - Futs!$BZ20, ""), "")</f>
        <v/>
      </c>
      <c r="AD20" s="47" t="str">
        <f ca="1">IF(AND(ISNUMBER($AB19), ISNUMBER($AB20)), $AB19 - $AB20, "")</f>
        <v/>
      </c>
      <c r="AE20" s="46" t="str">
        <f ca="1">IF(AND(ISNUMBER($AB19), ISNUMBER($AB20)), $AB19 - $AB20, "")</f>
        <v/>
      </c>
      <c r="AF20" s="141" t="str">
        <f t="shared" ref="AF20:AF66" ca="1" si="94">IFERROR(IF(AND(ISNUMBER($W20), ISNUMBER($O20)), $W20*42*12.4/100 - $O20, ""), "")</f>
        <v/>
      </c>
      <c r="AG20" s="67" t="str">
        <f t="shared" ref="AG20:AG66" ca="1" si="95">IFERROR(IF(AND(ISNUMBER($Y20), ISNUMBER($P20)), $Y20*42*12.4/100 - $P20, ""), "")</f>
        <v/>
      </c>
      <c r="AH20" s="47" t="str">
        <f ca="1">IF(AND(ISNUMBER($AF19), ISNUMBER($AF20)), $AF19 - $AF20, "")</f>
        <v/>
      </c>
      <c r="AI20" s="46" t="str">
        <f ca="1">IF(AND(ISNUMBER($AG19), ISNUMBER($AG20)), $AG19 - $AG20, "")</f>
        <v/>
      </c>
      <c r="AJ20" s="397" t="str">
        <f ca="1">IFERROR(INDEX(ICE[], MATCH("c4ntet" &amp; TEXT(Crd!$A20, "mmmyy"), ICE[LongCode], 0), MATCH("ICE Theoretical Price", ICE[#Headers], 0))*100, "")</f>
        <v/>
      </c>
      <c r="AK20" s="364" t="str">
        <f ca="1">IFERROR(INDEX(ICE[], MATCH("c4ntet" &amp; TEXT(NGL!$A20, "mmmyy"), ICE[LongCode], 0), MATCH("Text", ICE[#Headers], 0)), "")</f>
        <v xml:space="preserve"> /  </v>
      </c>
      <c r="AL20" s="46" t="str">
        <f t="shared" ref="AL20:AL66" ca="1" si="96">IFERROR(IF(AND(ISNUMBER($AJ20), ISNUMBER($F20)), $AJ20 - $F20, ""), "")</f>
        <v/>
      </c>
      <c r="AM20" s="47" t="str">
        <f ca="1">IF(AND(ISNUMBER($AJ19), ISNUMBER($AJ20)), $AJ19 - $AJ20, "")</f>
        <v/>
      </c>
      <c r="AN20" s="46" t="str">
        <f ca="1">IF(AND(ISNUMBER($AL19), ISNUMBER($AL20)), $AL19 - $AL20, "")</f>
        <v/>
      </c>
      <c r="AO20" s="141" t="str">
        <f t="shared" ref="AO20:AO66" ca="1" si="97">IFERROR(IF(AND(ISNUMBER($AJ20), ISNUMBER($W20)), $AJ20 - $W20, ""), "")</f>
        <v/>
      </c>
      <c r="AP20" s="46" t="str">
        <f t="shared" ref="AP20:AP66" ca="1" si="98">IFERROR(IF(AND(ISNUMBER($AL20), ISNUMBER($Y20)), $AL20 - $Y20, ""), "")</f>
        <v/>
      </c>
      <c r="AQ20" s="47" t="str">
        <f ca="1">IF(AND(ISNUMBER($AO19), ISNUMBER($AO20)), $AO19 - $AO20, "")</f>
        <v/>
      </c>
      <c r="AR20" s="46" t="str">
        <f ca="1">IF(AND(ISNUMBER($AP19), ISNUMBER($AP20)), $AP19 - $AP20, "")</f>
        <v/>
      </c>
      <c r="AS20" s="141" t="str">
        <f ca="1">IFERROR(IF(AND(ISNUMBER(Futs!$BY20), ISNUMBER($AJ20)), $AJ20*42/100 - Futs!$BY20, ""), "")</f>
        <v/>
      </c>
      <c r="AT20" s="67" t="str">
        <f ca="1">IFERROR(IF(AND(ISNUMBER(Futs!$BZ20), ISNUMBER($AL20)), $AL20*42/100 - Futs!$BZ20, ""), "")</f>
        <v/>
      </c>
      <c r="AU20" s="47" t="str">
        <f ca="1">IF(AND(ISNUMBER($AS19), ISNUMBER($AS20)), $AS19 - $AS20, "")</f>
        <v/>
      </c>
      <c r="AV20" s="46" t="str">
        <f ca="1">IF(AND(ISNUMBER($AT19), ISNUMBER($AT20)), $AT19 - $AT20, "")</f>
        <v/>
      </c>
      <c r="AW20" s="397" t="str">
        <f ca="1">IFERROR(INDEX(ICE[], MATCH("ic4ntet" &amp; TEXT(Crd!$A20, "mmmyy"), ICE[LongCode], 0), MATCH("ICE Theoretical Price", ICE[#Headers], 0))*100, "")</f>
        <v/>
      </c>
      <c r="AX20" s="364" t="str">
        <f ca="1">IFERROR(INDEX(ICE[], MATCH("ic4ntet" &amp; TEXT(NGL!$A20, "mmmyy"), ICE[LongCode], 0), MATCH("Text", ICE[#Headers], 0)), "")</f>
        <v xml:space="preserve"> /  </v>
      </c>
      <c r="AY20" s="46" t="str">
        <f t="shared" ref="AY20:AY66" ca="1" si="99">IFERROR(IF(AND(ISNUMBER($AW20), ISNUMBER($G20)), $AW20 - $G20, ""), "")</f>
        <v/>
      </c>
      <c r="AZ20" s="47" t="str">
        <f ca="1">IF(AND(ISNUMBER($AW19), ISNUMBER($AW20)), $AW19 - $AW20, "")</f>
        <v/>
      </c>
      <c r="BA20" s="46" t="str">
        <f ca="1">IF(AND(ISNUMBER($AY19), ISNUMBER($AY20)), $AY19 - $AY20, "")</f>
        <v/>
      </c>
      <c r="BB20" s="141" t="str">
        <f t="shared" ref="BB20:BB66" ca="1" si="100">IFERROR(IF(AND(ISNUMBER($AW20), ISNUMBER($AJ20)), $AW20 - $AJ20, ""), "")</f>
        <v/>
      </c>
      <c r="BC20" s="46" t="str">
        <f t="shared" ref="BC20:BC66" ca="1" si="101">IFERROR(IF(AND(ISNUMBER($AY20), ISNUMBER($AL20)), $AY20 - $AL20, ""), "")</f>
        <v/>
      </c>
      <c r="BD20" s="47" t="str">
        <f ca="1">IF(AND(ISNUMBER($BB19), ISNUMBER($BB20)), $BB19 - $BB20, "")</f>
        <v/>
      </c>
      <c r="BE20" s="46" t="str">
        <f ca="1">IF(AND(ISNUMBER($BC19), ISNUMBER($BC20)), $BC19 - $BC20, "")</f>
        <v/>
      </c>
      <c r="BF20" s="397" t="str">
        <f ca="1">IFERROR(INDEX(ICE[], MATCH("ngasntet" &amp; TEXT(Crd!$A20, "mmmyy"), ICE[LongCode], 0), MATCH("ICE Theoretical Price", ICE[#Headers], 0))*100, "")</f>
        <v/>
      </c>
      <c r="BG20" s="364" t="str">
        <f ca="1">IFERROR(INDEX(ICE[], MATCH("ngasntet" &amp; TEXT(NGL!$A20, "mmmyy"), ICE[LongCode], 0), MATCH("Text", ICE[#Headers], 0)), "")</f>
        <v xml:space="preserve"> /  </v>
      </c>
      <c r="BH20" s="46" t="str">
        <f t="shared" ref="BH20:BH66" ca="1" si="102">IFERROR(IF(AND(ISNUMBER($BF20), ISNUMBER($H20)), $BF20 - $H20, ""), "")</f>
        <v/>
      </c>
      <c r="BI20" s="47" t="str">
        <f ca="1">IF(AND(ISNUMBER($BF19), ISNUMBER($BF20)), $BF19 - $BF20, "")</f>
        <v/>
      </c>
      <c r="BJ20" s="46" t="str">
        <f ca="1">IF(AND(ISNUMBER($BH19), ISNUMBER($BH20)), $BH19 - $BH20, "")</f>
        <v/>
      </c>
      <c r="BK20" s="141" t="str">
        <f ca="1">IFERROR(IF(AND(ISNUMBER(Futs!$BY20), ISNUMBER($BF20)), $BF20*42/100 - Futs!$BY20, ""), "")</f>
        <v/>
      </c>
      <c r="BL20" s="67" t="str">
        <f ca="1">IFERROR(IF(AND(ISNUMBER(Futs!$BZ20), ISNUMBER($BH20)), $BH20*42/100 - Futs!$BZ20, ""), "")</f>
        <v/>
      </c>
      <c r="BM20" s="47" t="str">
        <f ca="1">IF(AND(ISNUMBER($BK19), ISNUMBER($BK20)), $BK19 - $BK20, "")</f>
        <v/>
      </c>
      <c r="BN20" s="111" t="str">
        <f ca="1">IF(AND(ISNUMBER($BL19), ISNUMBER($BL20)), $BL19 - $BL20, "")</f>
        <v/>
      </c>
      <c r="BO20" s="397" t="str">
        <f ca="1">IFERROR(INDEX(ICE[], MATCH("c3ew" &amp; TEXT(Crd!$A20, "mmmyy"), ICE[LongCode], 0), MATCH("ICE Theoretical Price", ICE[#Headers], 0)), "")</f>
        <v/>
      </c>
      <c r="BP20" s="364" t="str">
        <f ca="1">IFERROR(INDEX(ICE[], MATCH("c3ew" &amp; TEXT(NGL!$A20, "mmmyy"), ICE[LongCode], 0), MATCH("Text", ICE[#Headers], 0)), "")</f>
        <v xml:space="preserve"> /  {173.00} |9x</v>
      </c>
      <c r="BQ20" s="46" t="str">
        <f t="shared" ref="BQ20:BQ66" ca="1" si="103">IFERROR(IF(AND(ISNUMBER($BO20), ISNUMBER($I20)), $BO20 - $I20, ""), "")</f>
        <v/>
      </c>
      <c r="BR20" s="47" t="str">
        <f ca="1">IF(AND(ISNUMBER($BO19), ISNUMBER($BO20)), $BO19 - $BO20, "")</f>
        <v/>
      </c>
      <c r="BS20" s="46" t="str">
        <f ca="1">IF(AND(ISNUMBER($BQ19), ISNUMBER($BQ20)), $BQ19 - $BQ20, "")</f>
        <v/>
      </c>
      <c r="BT20" s="141" t="str">
        <f t="shared" ref="BT20:BT66" ca="1" si="104">IFERROR(IF(AND(ISNUMBER($O20), ISNUMBER($BO20)), $O20 + $BO20, ""), "")</f>
        <v/>
      </c>
      <c r="BU20" s="46" t="str">
        <f t="shared" ref="BU20:BU66" ca="1" si="105">IFERROR(IF(AND(ISNUMBER($P20), ISNUMBER($BQ20)), $P20 + $BQ20, ""), "")</f>
        <v/>
      </c>
      <c r="BV20" s="47" t="str">
        <f ca="1">IF(AND(ISNUMBER($BT19), ISNUMBER($BT20)), $BT19 - $BT20, "")</f>
        <v/>
      </c>
      <c r="BW20" s="46" t="str">
        <f ca="1">IF(AND(ISNUMBER($BU19), ISNUMBER($BU20)), $BU19 - $BU20, "")</f>
        <v/>
      </c>
      <c r="BX20" s="141" t="str">
        <f ca="1">IFERROR(IF(AND(ISNUMBER(Futs!$CC20), ISNUMBER($BT20)), $BT20/12.4 - Futs!$CC20, ""), "")</f>
        <v/>
      </c>
      <c r="BY20" s="67" t="str">
        <f t="shared" ref="BY20:BY66" ca="1" si="106">IFERROR(IF(AND(ISNUMBER($T20), ISNUMBER($BQ20)), $BQ20/12.4 + $T20, ""), "")</f>
        <v/>
      </c>
      <c r="BZ20" s="47" t="str">
        <f ca="1">IF(AND(ISNUMBER($BX19), ISNUMBER($BX20)), $BX19 - $BX20, "")</f>
        <v/>
      </c>
      <c r="CA20" s="46" t="str">
        <f ca="1">IF(AND(ISNUMBER($BX19), ISNUMBER($BX20)), $BX19 - $BX20, "")</f>
        <v/>
      </c>
    </row>
    <row r="21" spans="1:79" x14ac:dyDescent="0.25">
      <c r="A21" s="58">
        <f t="shared" ref="A21:A66" ca="1" si="107">EOMONTH($A20, 0) + 1</f>
        <v>46327</v>
      </c>
      <c r="B21" s="6">
        <f t="shared" ca="1" si="89"/>
        <v>2026</v>
      </c>
      <c r="C21" s="6" t="str">
        <f t="shared" ca="1" si="91"/>
        <v>Q426</v>
      </c>
      <c r="D21" s="28">
        <f ca="1">INDEX(ICE[], MATCH(D$18 &amp; TEXT(NGL!$A21, "mmmyy"), ICE[LongCode], 0), MATCH("Settle", ICE[#Headers], 0))</f>
        <v>-175.476</v>
      </c>
      <c r="E21" s="28">
        <f ca="1">INDEX(ICE[], MATCH(E$18 &amp; TEXT(NGL!$A21, "mmmyy"), ICE[LongCode], 0), MATCH("Settle", ICE[#Headers], 0))*100</f>
        <v>76.25</v>
      </c>
      <c r="F21" s="28">
        <f ca="1">INDEX(ICE[], MATCH(F$18 &amp; TEXT(NGL!$A21, "mmmyy"), ICE[LongCode], 0), MATCH("Settle", ICE[#Headers], 0))*100</f>
        <v>114.00000000000001</v>
      </c>
      <c r="G21" s="28">
        <f ca="1">INDEX(ICE[], MATCH(G$18 &amp; TEXT(NGL!$A21, "mmmyy"), ICE[LongCode], 0), MATCH("Settle", ICE[#Headers], 0))*100</f>
        <v>116.875</v>
      </c>
      <c r="H21" s="28">
        <f ca="1">INDEX(ICE[], MATCH(H$18 &amp; TEXT(NGL!$A21, "mmmyy"), ICE[LongCode], 0), MATCH("Settle", ICE[#Headers], 0))*100</f>
        <v>185.875</v>
      </c>
      <c r="I21" s="28">
        <f ca="1">INDEX(ICE[], MATCH(I$18 &amp; TEXT(NGL!$A21, "mmmyy"), ICE[LongCode], 0), MATCH("Settle", ICE[#Headers], 0))</f>
        <v>152.4</v>
      </c>
      <c r="J21" s="397" t="str">
        <f ca="1">IFERROR(INDEX(ICE[], MATCH("propnap" &amp; TEXT(Crd!$A21, "mmmyy"), ICE[LongCode], 0), MATCH("ICE Theoretical Price", ICE[#Headers], 0)), "")</f>
        <v/>
      </c>
      <c r="K21" s="364" t="str">
        <f ca="1">IFERROR(INDEX(ICE[], MATCH("propnap" &amp; TEXT(NGL!$A21, "mmmyy"), ICE[LongCode], 0), MATCH("Text", ICE[#Headers], 0)), "")</f>
        <v xml:space="preserve"> /  </v>
      </c>
      <c r="L21" s="46" t="str">
        <f t="shared" ca="1" si="90"/>
        <v/>
      </c>
      <c r="M21" s="47" t="str">
        <f t="shared" ca="1" si="92"/>
        <v/>
      </c>
      <c r="N21" s="46" t="str">
        <f t="shared" ref="N21:N66" ca="1" si="108">IF(AND(ISNUMBER($L20), ISNUMBER($L21)), $L20 - $L21, "")</f>
        <v/>
      </c>
      <c r="O21" s="141" t="str">
        <f ca="1">IFERROR(IF(AND(ISNUMBER(Lts!$N21), ISNUMBER($J21)), Lts!$N21 + $J21, ""), "")</f>
        <v/>
      </c>
      <c r="P21" s="46" t="str">
        <f ca="1">IFERROR(IF(AND(ISNUMBER(Lts!$O21), ISNUMBER($L21)), Lts!$O21 + $L21, ""), "")</f>
        <v/>
      </c>
      <c r="Q21" s="47" t="str">
        <f t="shared" ref="Q21:Q66" ca="1" si="109">IF(AND(ISNUMBER($O20), ISNUMBER($O21)), $O20 - $O21, "")</f>
        <v/>
      </c>
      <c r="R21" s="46" t="str">
        <f t="shared" ref="R21:R66" ca="1" si="110">IF(AND(ISNUMBER($P20), ISNUMBER($P21)), $P20 - $P21, "")</f>
        <v/>
      </c>
      <c r="S21" s="141" t="str">
        <f ca="1">IFERROR(IF(AND(ISNUMBER(Futs!$CC21), ISNUMBER($O21)), $O21/12.4 - Futs!$CC21, ""), "")</f>
        <v/>
      </c>
      <c r="T21" s="67" t="str">
        <f ca="1">IFERROR(IF(AND(ISNUMBER(Futs!$CD21), ISNUMBER($P21)), $P21/12.4 - Futs!$CD21, ""), "")</f>
        <v/>
      </c>
      <c r="U21" s="47" t="str">
        <f t="shared" ref="U21:U66" ca="1" si="111">IF(AND(ISNUMBER($S20), ISNUMBER($S21)), $S20 - $S21, "")</f>
        <v/>
      </c>
      <c r="V21" s="46" t="str">
        <f t="shared" ref="V21:V66" ca="1" si="112">IF(AND(ISNUMBER($S20), ISNUMBER($S21)), $S20 - $S21, "")</f>
        <v/>
      </c>
      <c r="W21" s="397" t="str">
        <f ca="1">IFERROR(INDEX(ICE[], MATCH("c3tet" &amp; TEXT(Crd!$A21, "mmmyy"), ICE[LongCode], 0), MATCH("ICE Theoretical Price", ICE[#Headers], 0))*100, "")</f>
        <v/>
      </c>
      <c r="X21" s="364" t="str">
        <f ca="1">IFERROR(INDEX(ICE[], MATCH("c3tet" &amp; TEXT(NGL!$A21, "mmmyy"), ICE[LongCode], 0), MATCH("Text", ICE[#Headers], 0)), "")</f>
        <v xml:space="preserve"> /   |12x</v>
      </c>
      <c r="Y21" s="46" t="str">
        <f t="shared" ca="1" si="93"/>
        <v/>
      </c>
      <c r="Z21" s="47" t="str">
        <f t="shared" ref="Z21:Z66" ca="1" si="113">IF(AND(ISNUMBER($W20), ISNUMBER($W21)), $W20 - $W21, "")</f>
        <v/>
      </c>
      <c r="AA21" s="46" t="str">
        <f t="shared" ref="AA21:AA66" ca="1" si="114">IF(AND(ISNUMBER($Y20), ISNUMBER($Y21)), $Y20 - $Y21, "")</f>
        <v/>
      </c>
      <c r="AB21" s="141" t="str">
        <f ca="1">IFERROR(IF(AND(ISNUMBER(Futs!$BY21), ISNUMBER($W21)), $W21*42/100 - Futs!$BY21, ""), "")</f>
        <v/>
      </c>
      <c r="AC21" s="67" t="str">
        <f ca="1">IFERROR(IF(AND(ISNUMBER(Futs!$BZ21), ISNUMBER($Y21)), $Y21*42/100 - Futs!$BZ21, ""), "")</f>
        <v/>
      </c>
      <c r="AD21" s="47" t="str">
        <f t="shared" ref="AD21:AD66" ca="1" si="115">IF(AND(ISNUMBER($AB20), ISNUMBER($AB21)), $AB20 - $AB21, "")</f>
        <v/>
      </c>
      <c r="AE21" s="46" t="str">
        <f t="shared" ref="AE21:AE66" ca="1" si="116">IF(AND(ISNUMBER($AB20), ISNUMBER($AB21)), $AB20 - $AB21, "")</f>
        <v/>
      </c>
      <c r="AF21" s="141" t="str">
        <f t="shared" ca="1" si="94"/>
        <v/>
      </c>
      <c r="AG21" s="67" t="str">
        <f t="shared" ca="1" si="95"/>
        <v/>
      </c>
      <c r="AH21" s="47" t="str">
        <f t="shared" ref="AH21:AH66" ca="1" si="117">IF(AND(ISNUMBER($AF20), ISNUMBER($AF21)), $AF20 - $AF21, "")</f>
        <v/>
      </c>
      <c r="AI21" s="46" t="str">
        <f t="shared" ref="AI21:AI66" ca="1" si="118">IF(AND(ISNUMBER($AG20), ISNUMBER($AG21)), $AG20 - $AG21, "")</f>
        <v/>
      </c>
      <c r="AJ21" s="397" t="str">
        <f ca="1">IFERROR(INDEX(ICE[], MATCH("c4ntet" &amp; TEXT(Crd!$A21, "mmmyy"), ICE[LongCode], 0), MATCH("ICE Theoretical Price", ICE[#Headers], 0))*100, "")</f>
        <v/>
      </c>
      <c r="AK21" s="364" t="str">
        <f ca="1">IFERROR(INDEX(ICE[], MATCH("c4ntet" &amp; TEXT(NGL!$A21, "mmmyy"), ICE[LongCode], 0), MATCH("Text", ICE[#Headers], 0)), "")</f>
        <v xml:space="preserve"> /  </v>
      </c>
      <c r="AL21" s="46" t="str">
        <f t="shared" ca="1" si="96"/>
        <v/>
      </c>
      <c r="AM21" s="47" t="str">
        <f t="shared" ref="AM21:AM66" ca="1" si="119">IF(AND(ISNUMBER($AJ20), ISNUMBER($AJ21)), $AJ20 - $AJ21, "")</f>
        <v/>
      </c>
      <c r="AN21" s="46" t="str">
        <f t="shared" ref="AN21:AN66" ca="1" si="120">IF(AND(ISNUMBER($AL20), ISNUMBER($AL21)), $AL20 - $AL21, "")</f>
        <v/>
      </c>
      <c r="AO21" s="141" t="str">
        <f t="shared" ca="1" si="97"/>
        <v/>
      </c>
      <c r="AP21" s="46" t="str">
        <f t="shared" ca="1" si="98"/>
        <v/>
      </c>
      <c r="AQ21" s="47" t="str">
        <f t="shared" ref="AQ21:AQ66" ca="1" si="121">IF(AND(ISNUMBER($AO20), ISNUMBER($AO21)), $AO20 - $AO21, "")</f>
        <v/>
      </c>
      <c r="AR21" s="46" t="str">
        <f t="shared" ref="AR21:AR66" ca="1" si="122">IF(AND(ISNUMBER($AP20), ISNUMBER($AP21)), $AP20 - $AP21, "")</f>
        <v/>
      </c>
      <c r="AS21" s="141" t="str">
        <f ca="1">IFERROR(IF(AND(ISNUMBER(Futs!$BY21), ISNUMBER($AJ21)), $AJ21*42/100 - Futs!$BY21, ""), "")</f>
        <v/>
      </c>
      <c r="AT21" s="67" t="str">
        <f ca="1">IFERROR(IF(AND(ISNUMBER(Futs!$BZ21), ISNUMBER($AL21)), $AL21*42/100 - Futs!$BZ21, ""), "")</f>
        <v/>
      </c>
      <c r="AU21" s="47" t="str">
        <f t="shared" ref="AU21:AU66" ca="1" si="123">IF(AND(ISNUMBER($AS20), ISNUMBER($AS21)), $AS20 - $AS21, "")</f>
        <v/>
      </c>
      <c r="AV21" s="46" t="str">
        <f t="shared" ref="AV21:AV66" ca="1" si="124">IF(AND(ISNUMBER($AT20), ISNUMBER($AT21)), $AT20 - $AT21, "")</f>
        <v/>
      </c>
      <c r="AW21" s="397" t="str">
        <f ca="1">IFERROR(INDEX(ICE[], MATCH("ic4ntet" &amp; TEXT(Crd!$A21, "mmmyy"), ICE[LongCode], 0), MATCH("ICE Theoretical Price", ICE[#Headers], 0))*100, "")</f>
        <v/>
      </c>
      <c r="AX21" s="364" t="str">
        <f ca="1">IFERROR(INDEX(ICE[], MATCH("ic4ntet" &amp; TEXT(NGL!$A21, "mmmyy"), ICE[LongCode], 0), MATCH("Text", ICE[#Headers], 0)), "")</f>
        <v xml:space="preserve"> /  </v>
      </c>
      <c r="AY21" s="46" t="str">
        <f t="shared" ca="1" si="99"/>
        <v/>
      </c>
      <c r="AZ21" s="47" t="str">
        <f t="shared" ref="AZ21:AZ66" ca="1" si="125">IF(AND(ISNUMBER($AW20), ISNUMBER($AW21)), $AW20 - $AW21, "")</f>
        <v/>
      </c>
      <c r="BA21" s="46" t="str">
        <f t="shared" ref="BA21:BA66" ca="1" si="126">IF(AND(ISNUMBER($AY20), ISNUMBER($AY21)), $AY20 - $AY21, "")</f>
        <v/>
      </c>
      <c r="BB21" s="141" t="str">
        <f t="shared" ca="1" si="100"/>
        <v/>
      </c>
      <c r="BC21" s="46" t="str">
        <f t="shared" ca="1" si="101"/>
        <v/>
      </c>
      <c r="BD21" s="47" t="str">
        <f t="shared" ref="BD21:BD66" ca="1" si="127">IF(AND(ISNUMBER($BB20), ISNUMBER($BB21)), $BB20 - $BB21, "")</f>
        <v/>
      </c>
      <c r="BE21" s="46" t="str">
        <f t="shared" ref="BE21:BE66" ca="1" si="128">IF(AND(ISNUMBER($BC20), ISNUMBER($BC21)), $BC20 - $BC21, "")</f>
        <v/>
      </c>
      <c r="BF21" s="397" t="str">
        <f ca="1">IFERROR(INDEX(ICE[], MATCH("ngasntet" &amp; TEXT(Crd!$A21, "mmmyy"), ICE[LongCode], 0), MATCH("ICE Theoretical Price", ICE[#Headers], 0))*100, "")</f>
        <v/>
      </c>
      <c r="BG21" s="364" t="str">
        <f ca="1">IFERROR(INDEX(ICE[], MATCH("ngasntet" &amp; TEXT(NGL!$A21, "mmmyy"), ICE[LongCode], 0), MATCH("Text", ICE[#Headers], 0)), "")</f>
        <v xml:space="preserve"> /  </v>
      </c>
      <c r="BH21" s="46" t="str">
        <f t="shared" ca="1" si="102"/>
        <v/>
      </c>
      <c r="BI21" s="47" t="str">
        <f t="shared" ref="BI21:BI66" ca="1" si="129">IF(AND(ISNUMBER($BF20), ISNUMBER($BF21)), $BF20 - $BF21, "")</f>
        <v/>
      </c>
      <c r="BJ21" s="46" t="str">
        <f t="shared" ref="BJ21:BJ66" ca="1" si="130">IF(AND(ISNUMBER($BH20), ISNUMBER($BH21)), $BH20 - $BH21, "")</f>
        <v/>
      </c>
      <c r="BK21" s="141" t="str">
        <f ca="1">IFERROR(IF(AND(ISNUMBER(Futs!$BY21), ISNUMBER($BF21)), $BF21*42/100 - Futs!$BY21, ""), "")</f>
        <v/>
      </c>
      <c r="BL21" s="67" t="str">
        <f ca="1">IFERROR(IF(AND(ISNUMBER(Futs!$BZ21), ISNUMBER($BH21)), $BH21*42/100 - Futs!$BZ21, ""), "")</f>
        <v/>
      </c>
      <c r="BM21" s="47" t="str">
        <f t="shared" ref="BM21:BM66" ca="1" si="131">IF(AND(ISNUMBER($BK20), ISNUMBER($BK21)), $BK20 - $BK21, "")</f>
        <v/>
      </c>
      <c r="BN21" s="111" t="str">
        <f t="shared" ref="BN21:BN66" ca="1" si="132">IF(AND(ISNUMBER($BL20), ISNUMBER($BL21)), $BL20 - $BL21, "")</f>
        <v/>
      </c>
      <c r="BO21" s="397" t="str">
        <f ca="1">IFERROR(INDEX(ICE[], MATCH("c3ew" &amp; TEXT(Crd!$A21, "mmmyy"), ICE[LongCode], 0), MATCH("ICE Theoretical Price", ICE[#Headers], 0)), "")</f>
        <v/>
      </c>
      <c r="BP21" s="364" t="str">
        <f ca="1">IFERROR(INDEX(ICE[], MATCH("c3ew" &amp; TEXT(NGL!$A21, "mmmyy"), ICE[LongCode], 0), MATCH("Text", ICE[#Headers], 0)), "")</f>
        <v xml:space="preserve"> /  </v>
      </c>
      <c r="BQ21" s="46" t="str">
        <f t="shared" ca="1" si="103"/>
        <v/>
      </c>
      <c r="BR21" s="47" t="str">
        <f t="shared" ref="BR21:BR66" ca="1" si="133">IF(AND(ISNUMBER($BO20), ISNUMBER($BO21)), $BO20 - $BO21, "")</f>
        <v/>
      </c>
      <c r="BS21" s="46" t="str">
        <f t="shared" ref="BS21:BS66" ca="1" si="134">IF(AND(ISNUMBER($BQ20), ISNUMBER($BQ21)), $BQ20 - $BQ21, "")</f>
        <v/>
      </c>
      <c r="BT21" s="141" t="str">
        <f t="shared" ca="1" si="104"/>
        <v/>
      </c>
      <c r="BU21" s="46" t="str">
        <f t="shared" ca="1" si="105"/>
        <v/>
      </c>
      <c r="BV21" s="47" t="str">
        <f t="shared" ref="BV21:BV66" ca="1" si="135">IF(AND(ISNUMBER($BT20), ISNUMBER($BT21)), $BT20 - $BT21, "")</f>
        <v/>
      </c>
      <c r="BW21" s="46" t="str">
        <f t="shared" ref="BW21:BW66" ca="1" si="136">IF(AND(ISNUMBER($BU20), ISNUMBER($BU21)), $BU20 - $BU21, "")</f>
        <v/>
      </c>
      <c r="BX21" s="141" t="str">
        <f ca="1">IFERROR(IF(AND(ISNUMBER(Futs!$CC21), ISNUMBER($BT21)), $BT21/12.4 - Futs!$CC21, ""), "")</f>
        <v/>
      </c>
      <c r="BY21" s="67" t="str">
        <f t="shared" ca="1" si="106"/>
        <v/>
      </c>
      <c r="BZ21" s="47" t="str">
        <f t="shared" ref="BZ21:BZ66" ca="1" si="137">IF(AND(ISNUMBER($BX20), ISNUMBER($BX21)), $BX20 - $BX21, "")</f>
        <v/>
      </c>
      <c r="CA21" s="46" t="str">
        <f t="shared" ref="CA21:CA66" ca="1" si="138">IF(AND(ISNUMBER($BX20), ISNUMBER($BX21)), $BX20 - $BX21, "")</f>
        <v/>
      </c>
    </row>
    <row r="22" spans="1:79" x14ac:dyDescent="0.25">
      <c r="A22" s="58">
        <f t="shared" ca="1" si="107"/>
        <v>46357</v>
      </c>
      <c r="B22" s="6">
        <f t="shared" ca="1" si="89"/>
        <v>2026</v>
      </c>
      <c r="C22" s="6" t="str">
        <f t="shared" ca="1" si="91"/>
        <v>Q426</v>
      </c>
      <c r="D22" s="28">
        <f ca="1">INDEX(ICE[], MATCH(D$18 &amp; TEXT(NGL!$A22, "mmmyy"), ICE[LongCode], 0), MATCH("Settle", ICE[#Headers], 0))</f>
        <v>-158.523</v>
      </c>
      <c r="E22" s="28">
        <f ca="1">INDEX(ICE[], MATCH(E$18 &amp; TEXT(NGL!$A22, "mmmyy"), ICE[LongCode], 0), MATCH("Settle", ICE[#Headers], 0))*100</f>
        <v>76.375</v>
      </c>
      <c r="F22" s="28">
        <f ca="1">INDEX(ICE[], MATCH(F$18 &amp; TEXT(NGL!$A22, "mmmyy"), ICE[LongCode], 0), MATCH("Settle", ICE[#Headers], 0))*100</f>
        <v>112.87499999999999</v>
      </c>
      <c r="G22" s="28">
        <f ca="1">INDEX(ICE[], MATCH(G$18 &amp; TEXT(NGL!$A22, "mmmyy"), ICE[LongCode], 0), MATCH("Settle", ICE[#Headers], 0))*100</f>
        <v>115.375</v>
      </c>
      <c r="H22" s="28">
        <f ca="1">INDEX(ICE[], MATCH(H$18 &amp; TEXT(NGL!$A22, "mmmyy"), ICE[LongCode], 0), MATCH("Settle", ICE[#Headers], 0))*100</f>
        <v>180.625</v>
      </c>
      <c r="I22" s="28">
        <f ca="1">INDEX(ICE[], MATCH(I$18 &amp; TEXT(NGL!$A22, "mmmyy"), ICE[LongCode], 0), MATCH("Settle", ICE[#Headers], 0))</f>
        <v>139.05000000000001</v>
      </c>
      <c r="J22" s="397" t="str">
        <f ca="1">IFERROR(INDEX(ICE[], MATCH("propnap" &amp; TEXT(Crd!$A22, "mmmyy"), ICE[LongCode], 0), MATCH("ICE Theoretical Price", ICE[#Headers], 0)), "")</f>
        <v/>
      </c>
      <c r="K22" s="364" t="str">
        <f ca="1">IFERROR(INDEX(ICE[], MATCH("propnap" &amp; TEXT(NGL!$A22, "mmmyy"), ICE[LongCode], 0), MATCH("Text", ICE[#Headers], 0)), "")</f>
        <v xml:space="preserve"> /  </v>
      </c>
      <c r="L22" s="46" t="str">
        <f t="shared" ca="1" si="90"/>
        <v/>
      </c>
      <c r="M22" s="47" t="str">
        <f t="shared" ca="1" si="92"/>
        <v/>
      </c>
      <c r="N22" s="46" t="str">
        <f t="shared" ca="1" si="108"/>
        <v/>
      </c>
      <c r="O22" s="141" t="str">
        <f ca="1">IFERROR(IF(AND(ISNUMBER(Lts!$N22), ISNUMBER($J22)), Lts!$N22 + $J22, ""), "")</f>
        <v/>
      </c>
      <c r="P22" s="46" t="str">
        <f ca="1">IFERROR(IF(AND(ISNUMBER(Lts!$O22), ISNUMBER($L22)), Lts!$O22 + $L22, ""), "")</f>
        <v/>
      </c>
      <c r="Q22" s="47" t="str">
        <f t="shared" ca="1" si="109"/>
        <v/>
      </c>
      <c r="R22" s="46" t="str">
        <f t="shared" ca="1" si="110"/>
        <v/>
      </c>
      <c r="S22" s="141" t="str">
        <f ca="1">IFERROR(IF(AND(ISNUMBER(Futs!$CC22), ISNUMBER($O22)), $O22/12.4 - Futs!$CC22, ""), "")</f>
        <v/>
      </c>
      <c r="T22" s="67" t="str">
        <f ca="1">IFERROR(IF(AND(ISNUMBER(Futs!$CD22), ISNUMBER($P22)), $P22/12.4 - Futs!$CD22, ""), "")</f>
        <v/>
      </c>
      <c r="U22" s="47" t="str">
        <f t="shared" ca="1" si="111"/>
        <v/>
      </c>
      <c r="V22" s="46" t="str">
        <f t="shared" ca="1" si="112"/>
        <v/>
      </c>
      <c r="W22" s="397" t="str">
        <f ca="1">IFERROR(INDEX(ICE[], MATCH("c3tet" &amp; TEXT(Crd!$A22, "mmmyy"), ICE[LongCode], 0), MATCH("ICE Theoretical Price", ICE[#Headers], 0))*100, "")</f>
        <v/>
      </c>
      <c r="X22" s="364" t="str">
        <f ca="1">IFERROR(INDEX(ICE[], MATCH("c3tet" &amp; TEXT(NGL!$A22, "mmmyy"), ICE[LongCode], 0), MATCH("Text", ICE[#Headers], 0)), "")</f>
        <v xml:space="preserve"> /   |12x</v>
      </c>
      <c r="Y22" s="46" t="str">
        <f t="shared" ca="1" si="93"/>
        <v/>
      </c>
      <c r="Z22" s="47" t="str">
        <f t="shared" ca="1" si="113"/>
        <v/>
      </c>
      <c r="AA22" s="46" t="str">
        <f t="shared" ca="1" si="114"/>
        <v/>
      </c>
      <c r="AB22" s="141" t="str">
        <f ca="1">IFERROR(IF(AND(ISNUMBER(Futs!$BY22), ISNUMBER($W22)), $W22*42/100 - Futs!$BY22, ""), "")</f>
        <v/>
      </c>
      <c r="AC22" s="67" t="str">
        <f ca="1">IFERROR(IF(AND(ISNUMBER(Futs!$BZ22), ISNUMBER($Y22)), $Y22*42/100 - Futs!$BZ22, ""), "")</f>
        <v/>
      </c>
      <c r="AD22" s="47" t="str">
        <f t="shared" ca="1" si="115"/>
        <v/>
      </c>
      <c r="AE22" s="46" t="str">
        <f t="shared" ca="1" si="116"/>
        <v/>
      </c>
      <c r="AF22" s="141" t="str">
        <f t="shared" ca="1" si="94"/>
        <v/>
      </c>
      <c r="AG22" s="67" t="str">
        <f t="shared" ca="1" si="95"/>
        <v/>
      </c>
      <c r="AH22" s="47" t="str">
        <f t="shared" ca="1" si="117"/>
        <v/>
      </c>
      <c r="AI22" s="46" t="str">
        <f t="shared" ca="1" si="118"/>
        <v/>
      </c>
      <c r="AJ22" s="397" t="str">
        <f ca="1">IFERROR(INDEX(ICE[], MATCH("c4ntet" &amp; TEXT(Crd!$A22, "mmmyy"), ICE[LongCode], 0), MATCH("ICE Theoretical Price", ICE[#Headers], 0))*100, "")</f>
        <v/>
      </c>
      <c r="AK22" s="364" t="str">
        <f ca="1">IFERROR(INDEX(ICE[], MATCH("c4ntet" &amp; TEXT(NGL!$A22, "mmmyy"), ICE[LongCode], 0), MATCH("Text", ICE[#Headers], 0)), "")</f>
        <v xml:space="preserve"> /  </v>
      </c>
      <c r="AL22" s="46" t="str">
        <f t="shared" ca="1" si="96"/>
        <v/>
      </c>
      <c r="AM22" s="47" t="str">
        <f t="shared" ca="1" si="119"/>
        <v/>
      </c>
      <c r="AN22" s="46" t="str">
        <f t="shared" ca="1" si="120"/>
        <v/>
      </c>
      <c r="AO22" s="141" t="str">
        <f t="shared" ca="1" si="97"/>
        <v/>
      </c>
      <c r="AP22" s="46" t="str">
        <f t="shared" ca="1" si="98"/>
        <v/>
      </c>
      <c r="AQ22" s="47" t="str">
        <f t="shared" ca="1" si="121"/>
        <v/>
      </c>
      <c r="AR22" s="46" t="str">
        <f t="shared" ca="1" si="122"/>
        <v/>
      </c>
      <c r="AS22" s="141" t="str">
        <f ca="1">IFERROR(IF(AND(ISNUMBER(Futs!$BY22), ISNUMBER($AJ22)), $AJ22*42/100 - Futs!$BY22, ""), "")</f>
        <v/>
      </c>
      <c r="AT22" s="67" t="str">
        <f ca="1">IFERROR(IF(AND(ISNUMBER(Futs!$BZ22), ISNUMBER($AL22)), $AL22*42/100 - Futs!$BZ22, ""), "")</f>
        <v/>
      </c>
      <c r="AU22" s="47" t="str">
        <f t="shared" ca="1" si="123"/>
        <v/>
      </c>
      <c r="AV22" s="46" t="str">
        <f t="shared" ca="1" si="124"/>
        <v/>
      </c>
      <c r="AW22" s="397" t="str">
        <f ca="1">IFERROR(INDEX(ICE[], MATCH("ic4ntet" &amp; TEXT(Crd!$A22, "mmmyy"), ICE[LongCode], 0), MATCH("ICE Theoretical Price", ICE[#Headers], 0))*100, "")</f>
        <v/>
      </c>
      <c r="AX22" s="364" t="str">
        <f ca="1">IFERROR(INDEX(ICE[], MATCH("ic4ntet" &amp; TEXT(NGL!$A22, "mmmyy"), ICE[LongCode], 0), MATCH("Text", ICE[#Headers], 0)), "")</f>
        <v xml:space="preserve"> /  </v>
      </c>
      <c r="AY22" s="46" t="str">
        <f t="shared" ca="1" si="99"/>
        <v/>
      </c>
      <c r="AZ22" s="47" t="str">
        <f t="shared" ca="1" si="125"/>
        <v/>
      </c>
      <c r="BA22" s="46" t="str">
        <f t="shared" ca="1" si="126"/>
        <v/>
      </c>
      <c r="BB22" s="141" t="str">
        <f t="shared" ca="1" si="100"/>
        <v/>
      </c>
      <c r="BC22" s="46" t="str">
        <f t="shared" ca="1" si="101"/>
        <v/>
      </c>
      <c r="BD22" s="47" t="str">
        <f t="shared" ca="1" si="127"/>
        <v/>
      </c>
      <c r="BE22" s="46" t="str">
        <f t="shared" ca="1" si="128"/>
        <v/>
      </c>
      <c r="BF22" s="397" t="str">
        <f ca="1">IFERROR(INDEX(ICE[], MATCH("ngasntet" &amp; TEXT(Crd!$A22, "mmmyy"), ICE[LongCode], 0), MATCH("ICE Theoretical Price", ICE[#Headers], 0))*100, "")</f>
        <v/>
      </c>
      <c r="BG22" s="364" t="str">
        <f ca="1">IFERROR(INDEX(ICE[], MATCH("ngasntet" &amp; TEXT(NGL!$A22, "mmmyy"), ICE[LongCode], 0), MATCH("Text", ICE[#Headers], 0)), "")</f>
        <v xml:space="preserve"> /  </v>
      </c>
      <c r="BH22" s="46" t="str">
        <f t="shared" ca="1" si="102"/>
        <v/>
      </c>
      <c r="BI22" s="47" t="str">
        <f t="shared" ca="1" si="129"/>
        <v/>
      </c>
      <c r="BJ22" s="46" t="str">
        <f t="shared" ca="1" si="130"/>
        <v/>
      </c>
      <c r="BK22" s="141" t="str">
        <f ca="1">IFERROR(IF(AND(ISNUMBER(Futs!$BY22), ISNUMBER($BF22)), $BF22*42/100 - Futs!$BY22, ""), "")</f>
        <v/>
      </c>
      <c r="BL22" s="67" t="str">
        <f ca="1">IFERROR(IF(AND(ISNUMBER(Futs!$BZ22), ISNUMBER($BH22)), $BH22*42/100 - Futs!$BZ22, ""), "")</f>
        <v/>
      </c>
      <c r="BM22" s="47" t="str">
        <f t="shared" ca="1" si="131"/>
        <v/>
      </c>
      <c r="BN22" s="111" t="str">
        <f t="shared" ca="1" si="132"/>
        <v/>
      </c>
      <c r="BO22" s="397" t="str">
        <f ca="1">IFERROR(INDEX(ICE[], MATCH("c3ew" &amp; TEXT(Crd!$A22, "mmmyy"), ICE[LongCode], 0), MATCH("ICE Theoretical Price", ICE[#Headers], 0)), "")</f>
        <v/>
      </c>
      <c r="BP22" s="364" t="str">
        <f ca="1">IFERROR(INDEX(ICE[], MATCH("c3ew" &amp; TEXT(NGL!$A22, "mmmyy"), ICE[LongCode], 0), MATCH("Text", ICE[#Headers], 0)), "")</f>
        <v xml:space="preserve"> /  </v>
      </c>
      <c r="BQ22" s="46" t="str">
        <f t="shared" ca="1" si="103"/>
        <v/>
      </c>
      <c r="BR22" s="47" t="str">
        <f t="shared" ca="1" si="133"/>
        <v/>
      </c>
      <c r="BS22" s="46" t="str">
        <f t="shared" ca="1" si="134"/>
        <v/>
      </c>
      <c r="BT22" s="141" t="str">
        <f t="shared" ca="1" si="104"/>
        <v/>
      </c>
      <c r="BU22" s="46" t="str">
        <f t="shared" ca="1" si="105"/>
        <v/>
      </c>
      <c r="BV22" s="47" t="str">
        <f t="shared" ca="1" si="135"/>
        <v/>
      </c>
      <c r="BW22" s="46" t="str">
        <f t="shared" ca="1" si="136"/>
        <v/>
      </c>
      <c r="BX22" s="141" t="str">
        <f ca="1">IFERROR(IF(AND(ISNUMBER(Futs!$CC22), ISNUMBER($BT22)), $BT22/12.4 - Futs!$CC22, ""), "")</f>
        <v/>
      </c>
      <c r="BY22" s="67" t="str">
        <f t="shared" ca="1" si="106"/>
        <v/>
      </c>
      <c r="BZ22" s="47" t="str">
        <f t="shared" ca="1" si="137"/>
        <v/>
      </c>
      <c r="CA22" s="46" t="str">
        <f t="shared" ca="1" si="138"/>
        <v/>
      </c>
    </row>
    <row r="23" spans="1:79" x14ac:dyDescent="0.25">
      <c r="A23" s="58">
        <f t="shared" ca="1" si="107"/>
        <v>46388</v>
      </c>
      <c r="B23" s="6">
        <f t="shared" ca="1" si="89"/>
        <v>2027</v>
      </c>
      <c r="C23" s="6" t="str">
        <f t="shared" ca="1" si="91"/>
        <v>Q127</v>
      </c>
      <c r="D23" s="28">
        <f ca="1">INDEX(ICE[], MATCH(D$18 &amp; TEXT(NGL!$A23, "mmmyy"), ICE[LongCode], 0), MATCH("Settle", ICE[#Headers], 0))</f>
        <v>-150.12100000000001</v>
      </c>
      <c r="E23" s="28">
        <f ca="1">INDEX(ICE[], MATCH(E$18 &amp; TEXT(NGL!$A23, "mmmyy"), ICE[LongCode], 0), MATCH("Settle", ICE[#Headers], 0))*100</f>
        <v>76.5</v>
      </c>
      <c r="F23" s="28">
        <f ca="1">INDEX(ICE[], MATCH(F$18 &amp; TEXT(NGL!$A23, "mmmyy"), ICE[LongCode], 0), MATCH("Settle", ICE[#Headers], 0))*100</f>
        <v>111.00000000000001</v>
      </c>
      <c r="G23" s="28">
        <f ca="1">INDEX(ICE[], MATCH(G$18 &amp; TEXT(NGL!$A23, "mmmyy"), ICE[LongCode], 0), MATCH("Settle", ICE[#Headers], 0))*100</f>
        <v>113.5</v>
      </c>
      <c r="H23" s="28">
        <f ca="1">INDEX(ICE[], MATCH(H$18 &amp; TEXT(NGL!$A23, "mmmyy"), ICE[LongCode], 0), MATCH("Settle", ICE[#Headers], 0))*100</f>
        <v>176.625</v>
      </c>
      <c r="I23" s="28">
        <f ca="1">INDEX(ICE[], MATCH(I$18 &amp; TEXT(NGL!$A23, "mmmyy"), ICE[LongCode], 0), MATCH("Settle", ICE[#Headers], 0))</f>
        <v>129.35</v>
      </c>
      <c r="J23" s="397" t="str">
        <f ca="1">IFERROR(INDEX(ICE[], MATCH("propnap" &amp; TEXT(Crd!$A23, "mmmyy"), ICE[LongCode], 0), MATCH("ICE Theoretical Price", ICE[#Headers], 0)), "")</f>
        <v/>
      </c>
      <c r="K23" s="364" t="str">
        <f ca="1">IFERROR(INDEX(ICE[], MATCH("propnap" &amp; TEXT(NGL!$A23, "mmmyy"), ICE[LongCode], 0), MATCH("Text", ICE[#Headers], 0)), "")</f>
        <v xml:space="preserve"> /  </v>
      </c>
      <c r="L23" s="46" t="str">
        <f t="shared" ca="1" si="90"/>
        <v/>
      </c>
      <c r="M23" s="47" t="str">
        <f t="shared" ca="1" si="92"/>
        <v/>
      </c>
      <c r="N23" s="46" t="str">
        <f t="shared" ca="1" si="108"/>
        <v/>
      </c>
      <c r="O23" s="141" t="str">
        <f ca="1">IFERROR(IF(AND(ISNUMBER(Lts!$N23), ISNUMBER($J23)), Lts!$N23 + $J23, ""), "")</f>
        <v/>
      </c>
      <c r="P23" s="46" t="str">
        <f ca="1">IFERROR(IF(AND(ISNUMBER(Lts!$O23), ISNUMBER($L23)), Lts!$O23 + $L23, ""), "")</f>
        <v/>
      </c>
      <c r="Q23" s="47" t="str">
        <f t="shared" ca="1" si="109"/>
        <v/>
      </c>
      <c r="R23" s="46" t="str">
        <f t="shared" ca="1" si="110"/>
        <v/>
      </c>
      <c r="S23" s="141" t="str">
        <f ca="1">IFERROR(IF(AND(ISNUMBER(Futs!$CC23), ISNUMBER($O23)), $O23/12.4 - Futs!$CC23, ""), "")</f>
        <v/>
      </c>
      <c r="T23" s="67" t="str">
        <f ca="1">IFERROR(IF(AND(ISNUMBER(Futs!$CD23), ISNUMBER($P23)), $P23/12.4 - Futs!$CD23, ""), "")</f>
        <v/>
      </c>
      <c r="U23" s="47" t="str">
        <f t="shared" ca="1" si="111"/>
        <v/>
      </c>
      <c r="V23" s="46" t="str">
        <f t="shared" ca="1" si="112"/>
        <v/>
      </c>
      <c r="W23" s="397" t="str">
        <f ca="1">IFERROR(INDEX(ICE[], MATCH("c3tet" &amp; TEXT(Crd!$A23, "mmmyy"), ICE[LongCode], 0), MATCH("ICE Theoretical Price", ICE[#Headers], 0))*100, "")</f>
        <v/>
      </c>
      <c r="X23" s="364" t="str">
        <f ca="1">IFERROR(INDEX(ICE[], MATCH("c3tet" &amp; TEXT(NGL!$A23, "mmmyy"), ICE[LongCode], 0), MATCH("Text", ICE[#Headers], 0)), "")</f>
        <v xml:space="preserve"> /   |125x</v>
      </c>
      <c r="Y23" s="46" t="str">
        <f t="shared" ca="1" si="93"/>
        <v/>
      </c>
      <c r="Z23" s="47" t="str">
        <f t="shared" ca="1" si="113"/>
        <v/>
      </c>
      <c r="AA23" s="46" t="str">
        <f t="shared" ca="1" si="114"/>
        <v/>
      </c>
      <c r="AB23" s="141" t="str">
        <f ca="1">IFERROR(IF(AND(ISNUMBER(Futs!$BY23), ISNUMBER($W23)), $W23*42/100 - Futs!$BY23, ""), "")</f>
        <v/>
      </c>
      <c r="AC23" s="67" t="str">
        <f ca="1">IFERROR(IF(AND(ISNUMBER(Futs!$BZ23), ISNUMBER($Y23)), $Y23*42/100 - Futs!$BZ23, ""), "")</f>
        <v/>
      </c>
      <c r="AD23" s="47" t="str">
        <f t="shared" ca="1" si="115"/>
        <v/>
      </c>
      <c r="AE23" s="46" t="str">
        <f t="shared" ca="1" si="116"/>
        <v/>
      </c>
      <c r="AF23" s="141" t="str">
        <f t="shared" ca="1" si="94"/>
        <v/>
      </c>
      <c r="AG23" s="67" t="str">
        <f t="shared" ca="1" si="95"/>
        <v/>
      </c>
      <c r="AH23" s="47" t="str">
        <f t="shared" ca="1" si="117"/>
        <v/>
      </c>
      <c r="AI23" s="46" t="str">
        <f t="shared" ca="1" si="118"/>
        <v/>
      </c>
      <c r="AJ23" s="397" t="str">
        <f ca="1">IFERROR(INDEX(ICE[], MATCH("c4ntet" &amp; TEXT(Crd!$A23, "mmmyy"), ICE[LongCode], 0), MATCH("ICE Theoretical Price", ICE[#Headers], 0))*100, "")</f>
        <v/>
      </c>
      <c r="AK23" s="364" t="str">
        <f ca="1">IFERROR(INDEX(ICE[], MATCH("c4ntet" &amp; TEXT(NGL!$A23, "mmmyy"), ICE[LongCode], 0), MATCH("Text", ICE[#Headers], 0)), "")</f>
        <v xml:space="preserve"> /  </v>
      </c>
      <c r="AL23" s="46" t="str">
        <f t="shared" ca="1" si="96"/>
        <v/>
      </c>
      <c r="AM23" s="47" t="str">
        <f t="shared" ca="1" si="119"/>
        <v/>
      </c>
      <c r="AN23" s="46" t="str">
        <f t="shared" ca="1" si="120"/>
        <v/>
      </c>
      <c r="AO23" s="141" t="str">
        <f t="shared" ca="1" si="97"/>
        <v/>
      </c>
      <c r="AP23" s="46" t="str">
        <f t="shared" ca="1" si="98"/>
        <v/>
      </c>
      <c r="AQ23" s="47" t="str">
        <f t="shared" ca="1" si="121"/>
        <v/>
      </c>
      <c r="AR23" s="46" t="str">
        <f t="shared" ca="1" si="122"/>
        <v/>
      </c>
      <c r="AS23" s="141" t="str">
        <f ca="1">IFERROR(IF(AND(ISNUMBER(Futs!$BY23), ISNUMBER($AJ23)), $AJ23*42/100 - Futs!$BY23, ""), "")</f>
        <v/>
      </c>
      <c r="AT23" s="67" t="str">
        <f ca="1">IFERROR(IF(AND(ISNUMBER(Futs!$BZ23), ISNUMBER($AL23)), $AL23*42/100 - Futs!$BZ23, ""), "")</f>
        <v/>
      </c>
      <c r="AU23" s="47" t="str">
        <f t="shared" ca="1" si="123"/>
        <v/>
      </c>
      <c r="AV23" s="46" t="str">
        <f t="shared" ca="1" si="124"/>
        <v/>
      </c>
      <c r="AW23" s="397" t="str">
        <f ca="1">IFERROR(INDEX(ICE[], MATCH("ic4ntet" &amp; TEXT(Crd!$A23, "mmmyy"), ICE[LongCode], 0), MATCH("ICE Theoretical Price", ICE[#Headers], 0))*100, "")</f>
        <v/>
      </c>
      <c r="AX23" s="364" t="str">
        <f ca="1">IFERROR(INDEX(ICE[], MATCH("ic4ntet" &amp; TEXT(NGL!$A23, "mmmyy"), ICE[LongCode], 0), MATCH("Text", ICE[#Headers], 0)), "")</f>
        <v xml:space="preserve"> /  </v>
      </c>
      <c r="AY23" s="46" t="str">
        <f t="shared" ca="1" si="99"/>
        <v/>
      </c>
      <c r="AZ23" s="47" t="str">
        <f t="shared" ca="1" si="125"/>
        <v/>
      </c>
      <c r="BA23" s="46" t="str">
        <f t="shared" ca="1" si="126"/>
        <v/>
      </c>
      <c r="BB23" s="141" t="str">
        <f t="shared" ca="1" si="100"/>
        <v/>
      </c>
      <c r="BC23" s="46" t="str">
        <f t="shared" ca="1" si="101"/>
        <v/>
      </c>
      <c r="BD23" s="47" t="str">
        <f t="shared" ca="1" si="127"/>
        <v/>
      </c>
      <c r="BE23" s="46" t="str">
        <f t="shared" ca="1" si="128"/>
        <v/>
      </c>
      <c r="BF23" s="397" t="str">
        <f ca="1">IFERROR(INDEX(ICE[], MATCH("ngasntet" &amp; TEXT(Crd!$A23, "mmmyy"), ICE[LongCode], 0), MATCH("ICE Theoretical Price", ICE[#Headers], 0))*100, "")</f>
        <v/>
      </c>
      <c r="BG23" s="364" t="str">
        <f ca="1">IFERROR(INDEX(ICE[], MATCH("ngasntet" &amp; TEXT(NGL!$A23, "mmmyy"), ICE[LongCode], 0), MATCH("Text", ICE[#Headers], 0)), "")</f>
        <v xml:space="preserve"> /  </v>
      </c>
      <c r="BH23" s="46" t="str">
        <f t="shared" ca="1" si="102"/>
        <v/>
      </c>
      <c r="BI23" s="47" t="str">
        <f t="shared" ca="1" si="129"/>
        <v/>
      </c>
      <c r="BJ23" s="46" t="str">
        <f t="shared" ca="1" si="130"/>
        <v/>
      </c>
      <c r="BK23" s="141" t="str">
        <f ca="1">IFERROR(IF(AND(ISNUMBER(Futs!$BY23), ISNUMBER($BF23)), $BF23*42/100 - Futs!$BY23, ""), "")</f>
        <v/>
      </c>
      <c r="BL23" s="67" t="str">
        <f ca="1">IFERROR(IF(AND(ISNUMBER(Futs!$BZ23), ISNUMBER($BH23)), $BH23*42/100 - Futs!$BZ23, ""), "")</f>
        <v/>
      </c>
      <c r="BM23" s="47" t="str">
        <f t="shared" ca="1" si="131"/>
        <v/>
      </c>
      <c r="BN23" s="111" t="str">
        <f t="shared" ca="1" si="132"/>
        <v/>
      </c>
      <c r="BO23" s="397" t="str">
        <f ca="1">IFERROR(INDEX(ICE[], MATCH("c3ew" &amp; TEXT(Crd!$A23, "mmmyy"), ICE[LongCode], 0), MATCH("ICE Theoretical Price", ICE[#Headers], 0)), "")</f>
        <v/>
      </c>
      <c r="BP23" s="364" t="str">
        <f ca="1">IFERROR(INDEX(ICE[], MATCH("c3ew" &amp; TEXT(NGL!$A23, "mmmyy"), ICE[LongCode], 0), MATCH("Text", ICE[#Headers], 0)), "")</f>
        <v xml:space="preserve"> /   |2x</v>
      </c>
      <c r="BQ23" s="46" t="str">
        <f t="shared" ca="1" si="103"/>
        <v/>
      </c>
      <c r="BR23" s="47" t="str">
        <f t="shared" ca="1" si="133"/>
        <v/>
      </c>
      <c r="BS23" s="46" t="str">
        <f t="shared" ca="1" si="134"/>
        <v/>
      </c>
      <c r="BT23" s="141" t="str">
        <f t="shared" ca="1" si="104"/>
        <v/>
      </c>
      <c r="BU23" s="46" t="str">
        <f t="shared" ca="1" si="105"/>
        <v/>
      </c>
      <c r="BV23" s="47" t="str">
        <f t="shared" ca="1" si="135"/>
        <v/>
      </c>
      <c r="BW23" s="46" t="str">
        <f t="shared" ca="1" si="136"/>
        <v/>
      </c>
      <c r="BX23" s="141" t="str">
        <f ca="1">IFERROR(IF(AND(ISNUMBER(Futs!$CC23), ISNUMBER($BT23)), $BT23/12.4 - Futs!$CC23, ""), "")</f>
        <v/>
      </c>
      <c r="BY23" s="67" t="str">
        <f t="shared" ca="1" si="106"/>
        <v/>
      </c>
      <c r="BZ23" s="47" t="str">
        <f t="shared" ca="1" si="137"/>
        <v/>
      </c>
      <c r="CA23" s="46" t="str">
        <f t="shared" ca="1" si="138"/>
        <v/>
      </c>
    </row>
    <row r="24" spans="1:79" x14ac:dyDescent="0.25">
      <c r="A24" s="58">
        <f t="shared" ca="1" si="107"/>
        <v>46419</v>
      </c>
      <c r="B24" s="6">
        <f t="shared" ca="1" si="89"/>
        <v>2027</v>
      </c>
      <c r="C24" s="6" t="str">
        <f t="shared" ca="1" si="91"/>
        <v>Q127</v>
      </c>
      <c r="D24" s="28">
        <f ca="1">INDEX(ICE[], MATCH(D$18 &amp; TEXT(NGL!$A24, "mmmyy"), ICE[LongCode], 0), MATCH("Settle", ICE[#Headers], 0))</f>
        <v>-146.071</v>
      </c>
      <c r="E24" s="28">
        <f ca="1">INDEX(ICE[], MATCH(E$18 &amp; TEXT(NGL!$A24, "mmmyy"), ICE[LongCode], 0), MATCH("Settle", ICE[#Headers], 0))*100</f>
        <v>76.375</v>
      </c>
      <c r="F24" s="28">
        <f ca="1">INDEX(ICE[], MATCH(F$18 &amp; TEXT(NGL!$A24, "mmmyy"), ICE[LongCode], 0), MATCH("Settle", ICE[#Headers], 0))*100</f>
        <v>107.625</v>
      </c>
      <c r="G24" s="28">
        <f ca="1">INDEX(ICE[], MATCH(G$18 &amp; TEXT(NGL!$A24, "mmmyy"), ICE[LongCode], 0), MATCH("Settle", ICE[#Headers], 0))*100</f>
        <v>110.12499999999999</v>
      </c>
      <c r="H24" s="28">
        <f ca="1">INDEX(ICE[], MATCH(H$18 &amp; TEXT(NGL!$A24, "mmmyy"), ICE[LongCode], 0), MATCH("Settle", ICE[#Headers], 0))*100</f>
        <v>172.5</v>
      </c>
      <c r="I24" s="28">
        <f ca="1">INDEX(ICE[], MATCH(I$18 &amp; TEXT(NGL!$A24, "mmmyy"), ICE[LongCode], 0), MATCH("Settle", ICE[#Headers], 0))</f>
        <v>119.8</v>
      </c>
      <c r="J24" s="397" t="str">
        <f ca="1">IFERROR(INDEX(ICE[], MATCH("propnap" &amp; TEXT(Crd!$A24, "mmmyy"), ICE[LongCode], 0), MATCH("ICE Theoretical Price", ICE[#Headers], 0)), "")</f>
        <v/>
      </c>
      <c r="K24" s="364" t="str">
        <f ca="1">IFERROR(INDEX(ICE[], MATCH("propnap" &amp; TEXT(NGL!$A24, "mmmyy"), ICE[LongCode], 0), MATCH("Text", ICE[#Headers], 0)), "")</f>
        <v xml:space="preserve"> /  </v>
      </c>
      <c r="L24" s="46" t="str">
        <f t="shared" ca="1" si="90"/>
        <v/>
      </c>
      <c r="M24" s="47" t="str">
        <f t="shared" ca="1" si="92"/>
        <v/>
      </c>
      <c r="N24" s="46" t="str">
        <f t="shared" ca="1" si="108"/>
        <v/>
      </c>
      <c r="O24" s="141" t="str">
        <f ca="1">IFERROR(IF(AND(ISNUMBER(Lts!$N24), ISNUMBER($J24)), Lts!$N24 + $J24, ""), "")</f>
        <v/>
      </c>
      <c r="P24" s="46" t="str">
        <f ca="1">IFERROR(IF(AND(ISNUMBER(Lts!$O24), ISNUMBER($L24)), Lts!$O24 + $L24, ""), "")</f>
        <v/>
      </c>
      <c r="Q24" s="47" t="str">
        <f t="shared" ca="1" si="109"/>
        <v/>
      </c>
      <c r="R24" s="46" t="str">
        <f t="shared" ca="1" si="110"/>
        <v/>
      </c>
      <c r="S24" s="141" t="str">
        <f ca="1">IFERROR(IF(AND(ISNUMBER(Futs!$CC24), ISNUMBER($O24)), $O24/12.4 - Futs!$CC24, ""), "")</f>
        <v/>
      </c>
      <c r="T24" s="67" t="str">
        <f ca="1">IFERROR(IF(AND(ISNUMBER(Futs!$CD24), ISNUMBER($P24)), $P24/12.4 - Futs!$CD24, ""), "")</f>
        <v/>
      </c>
      <c r="U24" s="47" t="str">
        <f t="shared" ca="1" si="111"/>
        <v/>
      </c>
      <c r="V24" s="46" t="str">
        <f t="shared" ca="1" si="112"/>
        <v/>
      </c>
      <c r="W24" s="397" t="str">
        <f ca="1">IFERROR(INDEX(ICE[], MATCH("c3tet" &amp; TEXT(Crd!$A24, "mmmyy"), ICE[LongCode], 0), MATCH("ICE Theoretical Price", ICE[#Headers], 0))*100, "")</f>
        <v/>
      </c>
      <c r="X24" s="364" t="str">
        <f ca="1">IFERROR(INDEX(ICE[], MATCH("c3tet" &amp; TEXT(NGL!$A24, "mmmyy"), ICE[LongCode], 0), MATCH("Text", ICE[#Headers], 0)), "")</f>
        <v xml:space="preserve"> /   |125x</v>
      </c>
      <c r="Y24" s="46" t="str">
        <f t="shared" ca="1" si="93"/>
        <v/>
      </c>
      <c r="Z24" s="47" t="str">
        <f t="shared" ca="1" si="113"/>
        <v/>
      </c>
      <c r="AA24" s="46" t="str">
        <f t="shared" ca="1" si="114"/>
        <v/>
      </c>
      <c r="AB24" s="141" t="str">
        <f ca="1">IFERROR(IF(AND(ISNUMBER(Futs!$BY24), ISNUMBER($W24)), $W24*42/100 - Futs!$BY24, ""), "")</f>
        <v/>
      </c>
      <c r="AC24" s="67" t="str">
        <f ca="1">IFERROR(IF(AND(ISNUMBER(Futs!$BZ24), ISNUMBER($Y24)), $Y24*42/100 - Futs!$BZ24, ""), "")</f>
        <v/>
      </c>
      <c r="AD24" s="47" t="str">
        <f t="shared" ca="1" si="115"/>
        <v/>
      </c>
      <c r="AE24" s="46" t="str">
        <f t="shared" ca="1" si="116"/>
        <v/>
      </c>
      <c r="AF24" s="141" t="str">
        <f t="shared" ca="1" si="94"/>
        <v/>
      </c>
      <c r="AG24" s="67" t="str">
        <f t="shared" ca="1" si="95"/>
        <v/>
      </c>
      <c r="AH24" s="47" t="str">
        <f t="shared" ca="1" si="117"/>
        <v/>
      </c>
      <c r="AI24" s="46" t="str">
        <f t="shared" ca="1" si="118"/>
        <v/>
      </c>
      <c r="AJ24" s="397" t="str">
        <f ca="1">IFERROR(INDEX(ICE[], MATCH("c4ntet" &amp; TEXT(Crd!$A24, "mmmyy"), ICE[LongCode], 0), MATCH("ICE Theoretical Price", ICE[#Headers], 0))*100, "")</f>
        <v/>
      </c>
      <c r="AK24" s="364" t="str">
        <f ca="1">IFERROR(INDEX(ICE[], MATCH("c4ntet" &amp; TEXT(NGL!$A24, "mmmyy"), ICE[LongCode], 0), MATCH("Text", ICE[#Headers], 0)), "")</f>
        <v xml:space="preserve"> /  </v>
      </c>
      <c r="AL24" s="46" t="str">
        <f t="shared" ca="1" si="96"/>
        <v/>
      </c>
      <c r="AM24" s="47" t="str">
        <f t="shared" ca="1" si="119"/>
        <v/>
      </c>
      <c r="AN24" s="46" t="str">
        <f t="shared" ca="1" si="120"/>
        <v/>
      </c>
      <c r="AO24" s="141" t="str">
        <f t="shared" ca="1" si="97"/>
        <v/>
      </c>
      <c r="AP24" s="46" t="str">
        <f t="shared" ca="1" si="98"/>
        <v/>
      </c>
      <c r="AQ24" s="47" t="str">
        <f t="shared" ca="1" si="121"/>
        <v/>
      </c>
      <c r="AR24" s="46" t="str">
        <f t="shared" ca="1" si="122"/>
        <v/>
      </c>
      <c r="AS24" s="141" t="str">
        <f ca="1">IFERROR(IF(AND(ISNUMBER(Futs!$BY24), ISNUMBER($AJ24)), $AJ24*42/100 - Futs!$BY24, ""), "")</f>
        <v/>
      </c>
      <c r="AT24" s="67" t="str">
        <f ca="1">IFERROR(IF(AND(ISNUMBER(Futs!$BZ24), ISNUMBER($AL24)), $AL24*42/100 - Futs!$BZ24, ""), "")</f>
        <v/>
      </c>
      <c r="AU24" s="47" t="str">
        <f t="shared" ca="1" si="123"/>
        <v/>
      </c>
      <c r="AV24" s="46" t="str">
        <f t="shared" ca="1" si="124"/>
        <v/>
      </c>
      <c r="AW24" s="397" t="str">
        <f ca="1">IFERROR(INDEX(ICE[], MATCH("ic4ntet" &amp; TEXT(Crd!$A24, "mmmyy"), ICE[LongCode], 0), MATCH("ICE Theoretical Price", ICE[#Headers], 0))*100, "")</f>
        <v/>
      </c>
      <c r="AX24" s="364" t="str">
        <f ca="1">IFERROR(INDEX(ICE[], MATCH("ic4ntet" &amp; TEXT(NGL!$A24, "mmmyy"), ICE[LongCode], 0), MATCH("Text", ICE[#Headers], 0)), "")</f>
        <v xml:space="preserve"> /  </v>
      </c>
      <c r="AY24" s="46" t="str">
        <f t="shared" ca="1" si="99"/>
        <v/>
      </c>
      <c r="AZ24" s="47" t="str">
        <f t="shared" ca="1" si="125"/>
        <v/>
      </c>
      <c r="BA24" s="46" t="str">
        <f t="shared" ca="1" si="126"/>
        <v/>
      </c>
      <c r="BB24" s="141" t="str">
        <f t="shared" ca="1" si="100"/>
        <v/>
      </c>
      <c r="BC24" s="46" t="str">
        <f t="shared" ca="1" si="101"/>
        <v/>
      </c>
      <c r="BD24" s="47" t="str">
        <f t="shared" ca="1" si="127"/>
        <v/>
      </c>
      <c r="BE24" s="46" t="str">
        <f t="shared" ca="1" si="128"/>
        <v/>
      </c>
      <c r="BF24" s="397" t="str">
        <f ca="1">IFERROR(INDEX(ICE[], MATCH("ngasntet" &amp; TEXT(Crd!$A24, "mmmyy"), ICE[LongCode], 0), MATCH("ICE Theoretical Price", ICE[#Headers], 0))*100, "")</f>
        <v/>
      </c>
      <c r="BG24" s="364" t="str">
        <f ca="1">IFERROR(INDEX(ICE[], MATCH("ngasntet" &amp; TEXT(NGL!$A24, "mmmyy"), ICE[LongCode], 0), MATCH("Text", ICE[#Headers], 0)), "")</f>
        <v xml:space="preserve"> /  </v>
      </c>
      <c r="BH24" s="46" t="str">
        <f t="shared" ca="1" si="102"/>
        <v/>
      </c>
      <c r="BI24" s="47" t="str">
        <f t="shared" ca="1" si="129"/>
        <v/>
      </c>
      <c r="BJ24" s="46" t="str">
        <f t="shared" ca="1" si="130"/>
        <v/>
      </c>
      <c r="BK24" s="141" t="str">
        <f ca="1">IFERROR(IF(AND(ISNUMBER(Futs!$BY24), ISNUMBER($BF24)), $BF24*42/100 - Futs!$BY24, ""), "")</f>
        <v/>
      </c>
      <c r="BL24" s="67" t="str">
        <f ca="1">IFERROR(IF(AND(ISNUMBER(Futs!$BZ24), ISNUMBER($BH24)), $BH24*42/100 - Futs!$BZ24, ""), "")</f>
        <v/>
      </c>
      <c r="BM24" s="47" t="str">
        <f t="shared" ca="1" si="131"/>
        <v/>
      </c>
      <c r="BN24" s="111" t="str">
        <f t="shared" ca="1" si="132"/>
        <v/>
      </c>
      <c r="BO24" s="397" t="str">
        <f ca="1">IFERROR(INDEX(ICE[], MATCH("c3ew" &amp; TEXT(Crd!$A24, "mmmyy"), ICE[LongCode], 0), MATCH("ICE Theoretical Price", ICE[#Headers], 0)), "")</f>
        <v/>
      </c>
      <c r="BP24" s="364" t="str">
        <f ca="1">IFERROR(INDEX(ICE[], MATCH("c3ew" &amp; TEXT(NGL!$A24, "mmmyy"), ICE[LongCode], 0), MATCH("Text", ICE[#Headers], 0)), "")</f>
        <v xml:space="preserve"> /   |2x</v>
      </c>
      <c r="BQ24" s="46" t="str">
        <f t="shared" ca="1" si="103"/>
        <v/>
      </c>
      <c r="BR24" s="47" t="str">
        <f t="shared" ca="1" si="133"/>
        <v/>
      </c>
      <c r="BS24" s="46" t="str">
        <f t="shared" ca="1" si="134"/>
        <v/>
      </c>
      <c r="BT24" s="141" t="str">
        <f t="shared" ca="1" si="104"/>
        <v/>
      </c>
      <c r="BU24" s="46" t="str">
        <f t="shared" ca="1" si="105"/>
        <v/>
      </c>
      <c r="BV24" s="47" t="str">
        <f t="shared" ca="1" si="135"/>
        <v/>
      </c>
      <c r="BW24" s="46" t="str">
        <f t="shared" ca="1" si="136"/>
        <v/>
      </c>
      <c r="BX24" s="141" t="str">
        <f ca="1">IFERROR(IF(AND(ISNUMBER(Futs!$CC24), ISNUMBER($BT24)), $BT24/12.4 - Futs!$CC24, ""), "")</f>
        <v/>
      </c>
      <c r="BY24" s="67" t="str">
        <f t="shared" ca="1" si="106"/>
        <v/>
      </c>
      <c r="BZ24" s="47" t="str">
        <f t="shared" ca="1" si="137"/>
        <v/>
      </c>
      <c r="CA24" s="46" t="str">
        <f t="shared" ca="1" si="138"/>
        <v/>
      </c>
    </row>
    <row r="25" spans="1:79" x14ac:dyDescent="0.25">
      <c r="A25" s="58">
        <f t="shared" ca="1" si="107"/>
        <v>46447</v>
      </c>
      <c r="B25" s="6">
        <f t="shared" ca="1" si="89"/>
        <v>2027</v>
      </c>
      <c r="C25" s="6" t="str">
        <f t="shared" ca="1" si="91"/>
        <v>Q127</v>
      </c>
      <c r="D25" s="28">
        <f ca="1">INDEX(ICE[], MATCH(D$18 &amp; TEXT(NGL!$A25, "mmmyy"), ICE[LongCode], 0), MATCH("Settle", ICE[#Headers], 0))</f>
        <v>-150.923</v>
      </c>
      <c r="E25" s="28">
        <f ca="1">INDEX(ICE[], MATCH(E$18 &amp; TEXT(NGL!$A25, "mmmyy"), ICE[LongCode], 0), MATCH("Settle", ICE[#Headers], 0))*100</f>
        <v>75</v>
      </c>
      <c r="F25" s="28">
        <f ca="1">INDEX(ICE[], MATCH(F$18 &amp; TEXT(NGL!$A25, "mmmyy"), ICE[LongCode], 0), MATCH("Settle", ICE[#Headers], 0))*100</f>
        <v>100</v>
      </c>
      <c r="G25" s="28">
        <f ca="1">INDEX(ICE[], MATCH(G$18 &amp; TEXT(NGL!$A25, "mmmyy"), ICE[LongCode], 0), MATCH("Settle", ICE[#Headers], 0))*100</f>
        <v>104.375</v>
      </c>
      <c r="H25" s="28">
        <f ca="1">INDEX(ICE[], MATCH(H$18 &amp; TEXT(NGL!$A25, "mmmyy"), ICE[LongCode], 0), MATCH("Settle", ICE[#Headers], 0))*100</f>
        <v>168</v>
      </c>
      <c r="I25" s="28">
        <f ca="1">INDEX(ICE[], MATCH(I$18 &amp; TEXT(NGL!$A25, "mmmyy"), ICE[LongCode], 0), MATCH("Settle", ICE[#Headers], 0))</f>
        <v>112.65</v>
      </c>
      <c r="J25" s="397" t="str">
        <f ca="1">IFERROR(INDEX(ICE[], MATCH("propnap" &amp; TEXT(Crd!$A25, "mmmyy"), ICE[LongCode], 0), MATCH("ICE Theoretical Price", ICE[#Headers], 0)), "")</f>
        <v/>
      </c>
      <c r="K25" s="364" t="str">
        <f ca="1">IFERROR(INDEX(ICE[], MATCH("propnap" &amp; TEXT(NGL!$A25, "mmmyy"), ICE[LongCode], 0), MATCH("Text", ICE[#Headers], 0)), "")</f>
        <v xml:space="preserve"> /  </v>
      </c>
      <c r="L25" s="46" t="str">
        <f t="shared" ca="1" si="90"/>
        <v/>
      </c>
      <c r="M25" s="47" t="str">
        <f t="shared" ca="1" si="92"/>
        <v/>
      </c>
      <c r="N25" s="46" t="str">
        <f t="shared" ca="1" si="108"/>
        <v/>
      </c>
      <c r="O25" s="141" t="str">
        <f ca="1">IFERROR(IF(AND(ISNUMBER(Lts!$N25), ISNUMBER($J25)), Lts!$N25 + $J25, ""), "")</f>
        <v/>
      </c>
      <c r="P25" s="46" t="str">
        <f ca="1">IFERROR(IF(AND(ISNUMBER(Lts!$O25), ISNUMBER($L25)), Lts!$O25 + $L25, ""), "")</f>
        <v/>
      </c>
      <c r="Q25" s="47" t="str">
        <f t="shared" ca="1" si="109"/>
        <v/>
      </c>
      <c r="R25" s="46" t="str">
        <f t="shared" ca="1" si="110"/>
        <v/>
      </c>
      <c r="S25" s="141" t="str">
        <f ca="1">IFERROR(IF(AND(ISNUMBER(Futs!$CC25), ISNUMBER($O25)), $O25/12.4 - Futs!$CC25, ""), "")</f>
        <v/>
      </c>
      <c r="T25" s="67" t="str">
        <f ca="1">IFERROR(IF(AND(ISNUMBER(Futs!$CD25), ISNUMBER($P25)), $P25/12.4 - Futs!$CD25, ""), "")</f>
        <v/>
      </c>
      <c r="U25" s="47" t="str">
        <f t="shared" ca="1" si="111"/>
        <v/>
      </c>
      <c r="V25" s="46" t="str">
        <f t="shared" ca="1" si="112"/>
        <v/>
      </c>
      <c r="W25" s="397" t="str">
        <f ca="1">IFERROR(INDEX(ICE[], MATCH("c3tet" &amp; TEXT(Crd!$A25, "mmmyy"), ICE[LongCode], 0), MATCH("ICE Theoretical Price", ICE[#Headers], 0))*100, "")</f>
        <v/>
      </c>
      <c r="X25" s="364" t="str">
        <f ca="1">IFERROR(INDEX(ICE[], MATCH("c3tet" &amp; TEXT(NGL!$A25, "mmmyy"), ICE[LongCode], 0), MATCH("Text", ICE[#Headers], 0)), "")</f>
        <v xml:space="preserve"> /   |125x</v>
      </c>
      <c r="Y25" s="46" t="str">
        <f t="shared" ca="1" si="93"/>
        <v/>
      </c>
      <c r="Z25" s="47" t="str">
        <f t="shared" ca="1" si="113"/>
        <v/>
      </c>
      <c r="AA25" s="46" t="str">
        <f t="shared" ca="1" si="114"/>
        <v/>
      </c>
      <c r="AB25" s="141" t="str">
        <f ca="1">IFERROR(IF(AND(ISNUMBER(Futs!$BY25), ISNUMBER($W25)), $W25*42/100 - Futs!$BY25, ""), "")</f>
        <v/>
      </c>
      <c r="AC25" s="67" t="str">
        <f ca="1">IFERROR(IF(AND(ISNUMBER(Futs!$BZ25), ISNUMBER($Y25)), $Y25*42/100 - Futs!$BZ25, ""), "")</f>
        <v/>
      </c>
      <c r="AD25" s="47" t="str">
        <f t="shared" ca="1" si="115"/>
        <v/>
      </c>
      <c r="AE25" s="46" t="str">
        <f t="shared" ca="1" si="116"/>
        <v/>
      </c>
      <c r="AF25" s="141" t="str">
        <f t="shared" ca="1" si="94"/>
        <v/>
      </c>
      <c r="AG25" s="67" t="str">
        <f t="shared" ca="1" si="95"/>
        <v/>
      </c>
      <c r="AH25" s="47" t="str">
        <f t="shared" ca="1" si="117"/>
        <v/>
      </c>
      <c r="AI25" s="46" t="str">
        <f t="shared" ca="1" si="118"/>
        <v/>
      </c>
      <c r="AJ25" s="397" t="str">
        <f ca="1">IFERROR(INDEX(ICE[], MATCH("c4ntet" &amp; TEXT(Crd!$A25, "mmmyy"), ICE[LongCode], 0), MATCH("ICE Theoretical Price", ICE[#Headers], 0))*100, "")</f>
        <v/>
      </c>
      <c r="AK25" s="364" t="str">
        <f ca="1">IFERROR(INDEX(ICE[], MATCH("c4ntet" &amp; TEXT(NGL!$A25, "mmmyy"), ICE[LongCode], 0), MATCH("Text", ICE[#Headers], 0)), "")</f>
        <v xml:space="preserve"> /  </v>
      </c>
      <c r="AL25" s="46" t="str">
        <f t="shared" ca="1" si="96"/>
        <v/>
      </c>
      <c r="AM25" s="47" t="str">
        <f t="shared" ca="1" si="119"/>
        <v/>
      </c>
      <c r="AN25" s="46" t="str">
        <f t="shared" ca="1" si="120"/>
        <v/>
      </c>
      <c r="AO25" s="141" t="str">
        <f t="shared" ca="1" si="97"/>
        <v/>
      </c>
      <c r="AP25" s="46" t="str">
        <f t="shared" ca="1" si="98"/>
        <v/>
      </c>
      <c r="AQ25" s="47" t="str">
        <f t="shared" ca="1" si="121"/>
        <v/>
      </c>
      <c r="AR25" s="46" t="str">
        <f t="shared" ca="1" si="122"/>
        <v/>
      </c>
      <c r="AS25" s="141" t="str">
        <f ca="1">IFERROR(IF(AND(ISNUMBER(Futs!$BY25), ISNUMBER($AJ25)), $AJ25*42/100 - Futs!$BY25, ""), "")</f>
        <v/>
      </c>
      <c r="AT25" s="67" t="str">
        <f ca="1">IFERROR(IF(AND(ISNUMBER(Futs!$BZ25), ISNUMBER($AL25)), $AL25*42/100 - Futs!$BZ25, ""), "")</f>
        <v/>
      </c>
      <c r="AU25" s="47" t="str">
        <f t="shared" ca="1" si="123"/>
        <v/>
      </c>
      <c r="AV25" s="46" t="str">
        <f t="shared" ca="1" si="124"/>
        <v/>
      </c>
      <c r="AW25" s="397" t="str">
        <f ca="1">IFERROR(INDEX(ICE[], MATCH("ic4ntet" &amp; TEXT(Crd!$A25, "mmmyy"), ICE[LongCode], 0), MATCH("ICE Theoretical Price", ICE[#Headers], 0))*100, "")</f>
        <v/>
      </c>
      <c r="AX25" s="364" t="str">
        <f ca="1">IFERROR(INDEX(ICE[], MATCH("ic4ntet" &amp; TEXT(NGL!$A25, "mmmyy"), ICE[LongCode], 0), MATCH("Text", ICE[#Headers], 0)), "")</f>
        <v xml:space="preserve"> /  </v>
      </c>
      <c r="AY25" s="46" t="str">
        <f t="shared" ca="1" si="99"/>
        <v/>
      </c>
      <c r="AZ25" s="47" t="str">
        <f t="shared" ca="1" si="125"/>
        <v/>
      </c>
      <c r="BA25" s="46" t="str">
        <f t="shared" ca="1" si="126"/>
        <v/>
      </c>
      <c r="BB25" s="141" t="str">
        <f t="shared" ca="1" si="100"/>
        <v/>
      </c>
      <c r="BC25" s="46" t="str">
        <f t="shared" ca="1" si="101"/>
        <v/>
      </c>
      <c r="BD25" s="47" t="str">
        <f t="shared" ca="1" si="127"/>
        <v/>
      </c>
      <c r="BE25" s="46" t="str">
        <f t="shared" ca="1" si="128"/>
        <v/>
      </c>
      <c r="BF25" s="397" t="str">
        <f ca="1">IFERROR(INDEX(ICE[], MATCH("ngasntet" &amp; TEXT(Crd!$A25, "mmmyy"), ICE[LongCode], 0), MATCH("ICE Theoretical Price", ICE[#Headers], 0))*100, "")</f>
        <v/>
      </c>
      <c r="BG25" s="364" t="str">
        <f ca="1">IFERROR(INDEX(ICE[], MATCH("ngasntet" &amp; TEXT(NGL!$A25, "mmmyy"), ICE[LongCode], 0), MATCH("Text", ICE[#Headers], 0)), "")</f>
        <v xml:space="preserve"> /  </v>
      </c>
      <c r="BH25" s="46" t="str">
        <f t="shared" ca="1" si="102"/>
        <v/>
      </c>
      <c r="BI25" s="47" t="str">
        <f t="shared" ca="1" si="129"/>
        <v/>
      </c>
      <c r="BJ25" s="46" t="str">
        <f t="shared" ca="1" si="130"/>
        <v/>
      </c>
      <c r="BK25" s="141" t="str">
        <f ca="1">IFERROR(IF(AND(ISNUMBER(Futs!$BY25), ISNUMBER($BF25)), $BF25*42/100 - Futs!$BY25, ""), "")</f>
        <v/>
      </c>
      <c r="BL25" s="67" t="str">
        <f ca="1">IFERROR(IF(AND(ISNUMBER(Futs!$BZ25), ISNUMBER($BH25)), $BH25*42/100 - Futs!$BZ25, ""), "")</f>
        <v/>
      </c>
      <c r="BM25" s="47" t="str">
        <f t="shared" ca="1" si="131"/>
        <v/>
      </c>
      <c r="BN25" s="111" t="str">
        <f t="shared" ca="1" si="132"/>
        <v/>
      </c>
      <c r="BO25" s="397" t="str">
        <f ca="1">IFERROR(INDEX(ICE[], MATCH("c3ew" &amp; TEXT(Crd!$A25, "mmmyy"), ICE[LongCode], 0), MATCH("ICE Theoretical Price", ICE[#Headers], 0)), "")</f>
        <v/>
      </c>
      <c r="BP25" s="364" t="str">
        <f ca="1">IFERROR(INDEX(ICE[], MATCH("c3ew" &amp; TEXT(NGL!$A25, "mmmyy"), ICE[LongCode], 0), MATCH("Text", ICE[#Headers], 0)), "")</f>
        <v xml:space="preserve"> /   |2x</v>
      </c>
      <c r="BQ25" s="46" t="str">
        <f t="shared" ca="1" si="103"/>
        <v/>
      </c>
      <c r="BR25" s="47" t="str">
        <f t="shared" ca="1" si="133"/>
        <v/>
      </c>
      <c r="BS25" s="46" t="str">
        <f t="shared" ca="1" si="134"/>
        <v/>
      </c>
      <c r="BT25" s="141" t="str">
        <f t="shared" ca="1" si="104"/>
        <v/>
      </c>
      <c r="BU25" s="46" t="str">
        <f t="shared" ca="1" si="105"/>
        <v/>
      </c>
      <c r="BV25" s="47" t="str">
        <f t="shared" ca="1" si="135"/>
        <v/>
      </c>
      <c r="BW25" s="46" t="str">
        <f t="shared" ca="1" si="136"/>
        <v/>
      </c>
      <c r="BX25" s="141" t="str">
        <f ca="1">IFERROR(IF(AND(ISNUMBER(Futs!$CC25), ISNUMBER($BT25)), $BT25/12.4 - Futs!$CC25, ""), "")</f>
        <v/>
      </c>
      <c r="BY25" s="67" t="str">
        <f t="shared" ca="1" si="106"/>
        <v/>
      </c>
      <c r="BZ25" s="47" t="str">
        <f t="shared" ca="1" si="137"/>
        <v/>
      </c>
      <c r="CA25" s="46" t="str">
        <f t="shared" ca="1" si="138"/>
        <v/>
      </c>
    </row>
    <row r="26" spans="1:79" x14ac:dyDescent="0.25">
      <c r="A26" s="58">
        <f t="shared" ca="1" si="107"/>
        <v>46478</v>
      </c>
      <c r="B26" s="6">
        <f t="shared" ca="1" si="89"/>
        <v>2027</v>
      </c>
      <c r="C26" s="6" t="str">
        <f t="shared" ca="1" si="91"/>
        <v>Q227</v>
      </c>
      <c r="D26" s="28">
        <f ca="1">INDEX(ICE[], MATCH(D$18 &amp; TEXT(NGL!$A26, "mmmyy"), ICE[LongCode], 0), MATCH("Settle", ICE[#Headers], 0))</f>
        <v>-157.47200000000001</v>
      </c>
      <c r="E26" s="28">
        <f ca="1">INDEX(ICE[], MATCH(E$18 &amp; TEXT(NGL!$A26, "mmmyy"), ICE[LongCode], 0), MATCH("Settle", ICE[#Headers], 0))*100</f>
        <v>73</v>
      </c>
      <c r="F26" s="28">
        <f ca="1">INDEX(ICE[], MATCH(F$18 &amp; TEXT(NGL!$A26, "mmmyy"), ICE[LongCode], 0), MATCH("Settle", ICE[#Headers], 0))*100</f>
        <v>93.5</v>
      </c>
      <c r="G26" s="28">
        <f ca="1">INDEX(ICE[], MATCH(G$18 &amp; TEXT(NGL!$A26, "mmmyy"), ICE[LongCode], 0), MATCH("Settle", ICE[#Headers], 0))*100</f>
        <v>99.25</v>
      </c>
      <c r="H26" s="28">
        <f ca="1">INDEX(ICE[], MATCH(H$18 &amp; TEXT(NGL!$A26, "mmmyy"), ICE[LongCode], 0), MATCH("Settle", ICE[#Headers], 0))*100</f>
        <v>163.75000000000003</v>
      </c>
      <c r="I26" s="28">
        <f ca="1">INDEX(ICE[], MATCH(I$18 &amp; TEXT(NGL!$A26, "mmmyy"), ICE[LongCode], 0), MATCH("Settle", ICE[#Headers], 0))</f>
        <v>105.45</v>
      </c>
      <c r="J26" s="397" t="str">
        <f ca="1">IFERROR(INDEX(ICE[], MATCH("propnap" &amp; TEXT(Crd!$A26, "mmmyy"), ICE[LongCode], 0), MATCH("ICE Theoretical Price", ICE[#Headers], 0)), "")</f>
        <v/>
      </c>
      <c r="K26" s="364" t="str">
        <f ca="1">IFERROR(INDEX(ICE[], MATCH("propnap" &amp; TEXT(NGL!$A26, "mmmyy"), ICE[LongCode], 0), MATCH("Text", ICE[#Headers], 0)), "")</f>
        <v xml:space="preserve"> /  </v>
      </c>
      <c r="L26" s="46" t="str">
        <f t="shared" ca="1" si="90"/>
        <v/>
      </c>
      <c r="M26" s="47" t="str">
        <f t="shared" ca="1" si="92"/>
        <v/>
      </c>
      <c r="N26" s="46" t="str">
        <f t="shared" ca="1" si="108"/>
        <v/>
      </c>
      <c r="O26" s="141" t="str">
        <f ca="1">IFERROR(IF(AND(ISNUMBER(Lts!$N26), ISNUMBER($J26)), Lts!$N26 + $J26, ""), "")</f>
        <v/>
      </c>
      <c r="P26" s="46" t="str">
        <f ca="1">IFERROR(IF(AND(ISNUMBER(Lts!$O26), ISNUMBER($L26)), Lts!$O26 + $L26, ""), "")</f>
        <v/>
      </c>
      <c r="Q26" s="47" t="str">
        <f t="shared" ca="1" si="109"/>
        <v/>
      </c>
      <c r="R26" s="46" t="str">
        <f t="shared" ca="1" si="110"/>
        <v/>
      </c>
      <c r="S26" s="141" t="str">
        <f ca="1">IFERROR(IF(AND(ISNUMBER(Futs!$CC26), ISNUMBER($O26)), $O26/12.4 - Futs!$CC26, ""), "")</f>
        <v/>
      </c>
      <c r="T26" s="67" t="str">
        <f ca="1">IFERROR(IF(AND(ISNUMBER(Futs!$CD26), ISNUMBER($P26)), $P26/12.4 - Futs!$CD26, ""), "")</f>
        <v/>
      </c>
      <c r="U26" s="47" t="str">
        <f t="shared" ca="1" si="111"/>
        <v/>
      </c>
      <c r="V26" s="46" t="str">
        <f t="shared" ca="1" si="112"/>
        <v/>
      </c>
      <c r="W26" s="397" t="str">
        <f ca="1">IFERROR(INDEX(ICE[], MATCH("c3tet" &amp; TEXT(Crd!$A26, "mmmyy"), ICE[LongCode], 0), MATCH("ICE Theoretical Price", ICE[#Headers], 0))*100, "")</f>
        <v/>
      </c>
      <c r="X26" s="364" t="str">
        <f ca="1">IFERROR(INDEX(ICE[], MATCH("c3tet" &amp; TEXT(NGL!$A26, "mmmyy"), ICE[LongCode], 0), MATCH("Text", ICE[#Headers], 0)), "")</f>
        <v xml:space="preserve"> /  </v>
      </c>
      <c r="Y26" s="46" t="str">
        <f t="shared" ca="1" si="93"/>
        <v/>
      </c>
      <c r="Z26" s="47" t="str">
        <f t="shared" ca="1" si="113"/>
        <v/>
      </c>
      <c r="AA26" s="46" t="str">
        <f t="shared" ca="1" si="114"/>
        <v/>
      </c>
      <c r="AB26" s="141" t="str">
        <f ca="1">IFERROR(IF(AND(ISNUMBER(Futs!$BY26), ISNUMBER($W26)), $W26*42/100 - Futs!$BY26, ""), "")</f>
        <v/>
      </c>
      <c r="AC26" s="67" t="str">
        <f ca="1">IFERROR(IF(AND(ISNUMBER(Futs!$BZ26), ISNUMBER($Y26)), $Y26*42/100 - Futs!$BZ26, ""), "")</f>
        <v/>
      </c>
      <c r="AD26" s="47" t="str">
        <f t="shared" ca="1" si="115"/>
        <v/>
      </c>
      <c r="AE26" s="46" t="str">
        <f t="shared" ca="1" si="116"/>
        <v/>
      </c>
      <c r="AF26" s="141" t="str">
        <f t="shared" ca="1" si="94"/>
        <v/>
      </c>
      <c r="AG26" s="67" t="str">
        <f t="shared" ca="1" si="95"/>
        <v/>
      </c>
      <c r="AH26" s="47" t="str">
        <f t="shared" ca="1" si="117"/>
        <v/>
      </c>
      <c r="AI26" s="46" t="str">
        <f t="shared" ca="1" si="118"/>
        <v/>
      </c>
      <c r="AJ26" s="397" t="str">
        <f ca="1">IFERROR(INDEX(ICE[], MATCH("c4ntet" &amp; TEXT(Crd!$A26, "mmmyy"), ICE[LongCode], 0), MATCH("ICE Theoretical Price", ICE[#Headers], 0))*100, "")</f>
        <v/>
      </c>
      <c r="AK26" s="364" t="str">
        <f ca="1">IFERROR(INDEX(ICE[], MATCH("c4ntet" &amp; TEXT(NGL!$A26, "mmmyy"), ICE[LongCode], 0), MATCH("Text", ICE[#Headers], 0)), "")</f>
        <v xml:space="preserve"> /  </v>
      </c>
      <c r="AL26" s="46" t="str">
        <f t="shared" ca="1" si="96"/>
        <v/>
      </c>
      <c r="AM26" s="47" t="str">
        <f t="shared" ca="1" si="119"/>
        <v/>
      </c>
      <c r="AN26" s="46" t="str">
        <f t="shared" ca="1" si="120"/>
        <v/>
      </c>
      <c r="AO26" s="141" t="str">
        <f t="shared" ca="1" si="97"/>
        <v/>
      </c>
      <c r="AP26" s="46" t="str">
        <f t="shared" ca="1" si="98"/>
        <v/>
      </c>
      <c r="AQ26" s="47" t="str">
        <f t="shared" ca="1" si="121"/>
        <v/>
      </c>
      <c r="AR26" s="46" t="str">
        <f t="shared" ca="1" si="122"/>
        <v/>
      </c>
      <c r="AS26" s="141" t="str">
        <f ca="1">IFERROR(IF(AND(ISNUMBER(Futs!$BY26), ISNUMBER($AJ26)), $AJ26*42/100 - Futs!$BY26, ""), "")</f>
        <v/>
      </c>
      <c r="AT26" s="67" t="str">
        <f ca="1">IFERROR(IF(AND(ISNUMBER(Futs!$BZ26), ISNUMBER($AL26)), $AL26*42/100 - Futs!$BZ26, ""), "")</f>
        <v/>
      </c>
      <c r="AU26" s="47" t="str">
        <f t="shared" ca="1" si="123"/>
        <v/>
      </c>
      <c r="AV26" s="46" t="str">
        <f t="shared" ca="1" si="124"/>
        <v/>
      </c>
      <c r="AW26" s="397" t="str">
        <f ca="1">IFERROR(INDEX(ICE[], MATCH("ic4ntet" &amp; TEXT(Crd!$A26, "mmmyy"), ICE[LongCode], 0), MATCH("ICE Theoretical Price", ICE[#Headers], 0))*100, "")</f>
        <v/>
      </c>
      <c r="AX26" s="364" t="str">
        <f ca="1">IFERROR(INDEX(ICE[], MATCH("ic4ntet" &amp; TEXT(NGL!$A26, "mmmyy"), ICE[LongCode], 0), MATCH("Text", ICE[#Headers], 0)), "")</f>
        <v xml:space="preserve"> /  </v>
      </c>
      <c r="AY26" s="46" t="str">
        <f t="shared" ca="1" si="99"/>
        <v/>
      </c>
      <c r="AZ26" s="47" t="str">
        <f t="shared" ca="1" si="125"/>
        <v/>
      </c>
      <c r="BA26" s="46" t="str">
        <f t="shared" ca="1" si="126"/>
        <v/>
      </c>
      <c r="BB26" s="141" t="str">
        <f t="shared" ca="1" si="100"/>
        <v/>
      </c>
      <c r="BC26" s="46" t="str">
        <f t="shared" ca="1" si="101"/>
        <v/>
      </c>
      <c r="BD26" s="47" t="str">
        <f t="shared" ca="1" si="127"/>
        <v/>
      </c>
      <c r="BE26" s="46" t="str">
        <f t="shared" ca="1" si="128"/>
        <v/>
      </c>
      <c r="BF26" s="397" t="str">
        <f ca="1">IFERROR(INDEX(ICE[], MATCH("ngasntet" &amp; TEXT(Crd!$A26, "mmmyy"), ICE[LongCode], 0), MATCH("ICE Theoretical Price", ICE[#Headers], 0))*100, "")</f>
        <v/>
      </c>
      <c r="BG26" s="364" t="str">
        <f ca="1">IFERROR(INDEX(ICE[], MATCH("ngasntet" &amp; TEXT(NGL!$A26, "mmmyy"), ICE[LongCode], 0), MATCH("Text", ICE[#Headers], 0)), "")</f>
        <v xml:space="preserve"> /  </v>
      </c>
      <c r="BH26" s="46" t="str">
        <f t="shared" ca="1" si="102"/>
        <v/>
      </c>
      <c r="BI26" s="47" t="str">
        <f t="shared" ca="1" si="129"/>
        <v/>
      </c>
      <c r="BJ26" s="46" t="str">
        <f t="shared" ca="1" si="130"/>
        <v/>
      </c>
      <c r="BK26" s="141" t="str">
        <f ca="1">IFERROR(IF(AND(ISNUMBER(Futs!$BY26), ISNUMBER($BF26)), $BF26*42/100 - Futs!$BY26, ""), "")</f>
        <v/>
      </c>
      <c r="BL26" s="67" t="str">
        <f ca="1">IFERROR(IF(AND(ISNUMBER(Futs!$BZ26), ISNUMBER($BH26)), $BH26*42/100 - Futs!$BZ26, ""), "")</f>
        <v/>
      </c>
      <c r="BM26" s="47" t="str">
        <f t="shared" ca="1" si="131"/>
        <v/>
      </c>
      <c r="BN26" s="111" t="str">
        <f t="shared" ca="1" si="132"/>
        <v/>
      </c>
      <c r="BO26" s="397" t="str">
        <f ca="1">IFERROR(INDEX(ICE[], MATCH("c3ew" &amp; TEXT(Crd!$A26, "mmmyy"), ICE[LongCode], 0), MATCH("ICE Theoretical Price", ICE[#Headers], 0)), "")</f>
        <v/>
      </c>
      <c r="BP26" s="364" t="str">
        <f ca="1">IFERROR(INDEX(ICE[], MATCH("c3ew" &amp; TEXT(NGL!$A26, "mmmyy"), ICE[LongCode], 0), MATCH("Text", ICE[#Headers], 0)), "")</f>
        <v xml:space="preserve"> /   |2x</v>
      </c>
      <c r="BQ26" s="46" t="str">
        <f t="shared" ca="1" si="103"/>
        <v/>
      </c>
      <c r="BR26" s="47" t="str">
        <f t="shared" ca="1" si="133"/>
        <v/>
      </c>
      <c r="BS26" s="46" t="str">
        <f t="shared" ca="1" si="134"/>
        <v/>
      </c>
      <c r="BT26" s="141" t="str">
        <f t="shared" ca="1" si="104"/>
        <v/>
      </c>
      <c r="BU26" s="46" t="str">
        <f t="shared" ca="1" si="105"/>
        <v/>
      </c>
      <c r="BV26" s="47" t="str">
        <f t="shared" ca="1" si="135"/>
        <v/>
      </c>
      <c r="BW26" s="46" t="str">
        <f t="shared" ca="1" si="136"/>
        <v/>
      </c>
      <c r="BX26" s="141" t="str">
        <f ca="1">IFERROR(IF(AND(ISNUMBER(Futs!$CC26), ISNUMBER($BT26)), $BT26/12.4 - Futs!$CC26, ""), "")</f>
        <v/>
      </c>
      <c r="BY26" s="67" t="str">
        <f t="shared" ca="1" si="106"/>
        <v/>
      </c>
      <c r="BZ26" s="47" t="str">
        <f t="shared" ca="1" si="137"/>
        <v/>
      </c>
      <c r="CA26" s="46" t="str">
        <f t="shared" ca="1" si="138"/>
        <v/>
      </c>
    </row>
    <row r="27" spans="1:79" x14ac:dyDescent="0.25">
      <c r="A27" s="58">
        <f t="shared" ca="1" si="107"/>
        <v>46508</v>
      </c>
      <c r="B27" s="6">
        <f t="shared" ca="1" si="89"/>
        <v>2027</v>
      </c>
      <c r="C27" s="6" t="str">
        <f t="shared" ca="1" si="91"/>
        <v>Q227</v>
      </c>
      <c r="D27" s="28">
        <f ca="1">INDEX(ICE[], MATCH(D$18 &amp; TEXT(NGL!$A27, "mmmyy"), ICE[LongCode], 0), MATCH("Settle", ICE[#Headers], 0))</f>
        <v>-159.87300000000002</v>
      </c>
      <c r="E27" s="28">
        <f ca="1">INDEX(ICE[], MATCH(E$18 &amp; TEXT(NGL!$A27, "mmmyy"), ICE[LongCode], 0), MATCH("Settle", ICE[#Headers], 0))*100</f>
        <v>71.75</v>
      </c>
      <c r="F27" s="28">
        <f ca="1">INDEX(ICE[], MATCH(F$18 &amp; TEXT(NGL!$A27, "mmmyy"), ICE[LongCode], 0), MATCH("Settle", ICE[#Headers], 0))*100</f>
        <v>90.375</v>
      </c>
      <c r="G27" s="28">
        <f ca="1">INDEX(ICE[], MATCH(G$18 &amp; TEXT(NGL!$A27, "mmmyy"), ICE[LongCode], 0), MATCH("Settle", ICE[#Headers], 0))*100</f>
        <v>97.625</v>
      </c>
      <c r="H27" s="28">
        <f ca="1">INDEX(ICE[], MATCH(H$18 &amp; TEXT(NGL!$A27, "mmmyy"), ICE[LongCode], 0), MATCH("Settle", ICE[#Headers], 0))*100</f>
        <v>159.625</v>
      </c>
      <c r="I27" s="28">
        <f ca="1">INDEX(ICE[], MATCH(I$18 &amp; TEXT(NGL!$A27, "mmmyy"), ICE[LongCode], 0), MATCH("Settle", ICE[#Headers], 0))</f>
        <v>97.65</v>
      </c>
      <c r="J27" s="397" t="str">
        <f ca="1">IFERROR(INDEX(ICE[], MATCH("propnap" &amp; TEXT(Crd!$A27, "mmmyy"), ICE[LongCode], 0), MATCH("ICE Theoretical Price", ICE[#Headers], 0)), "")</f>
        <v/>
      </c>
      <c r="K27" s="364" t="str">
        <f ca="1">IFERROR(INDEX(ICE[], MATCH("propnap" &amp; TEXT(NGL!$A27, "mmmyy"), ICE[LongCode], 0), MATCH("Text", ICE[#Headers], 0)), "")</f>
        <v xml:space="preserve"> /  </v>
      </c>
      <c r="L27" s="46" t="str">
        <f t="shared" ca="1" si="90"/>
        <v/>
      </c>
      <c r="M27" s="47" t="str">
        <f t="shared" ca="1" si="92"/>
        <v/>
      </c>
      <c r="N27" s="46" t="str">
        <f t="shared" ca="1" si="108"/>
        <v/>
      </c>
      <c r="O27" s="141" t="str">
        <f ca="1">IFERROR(IF(AND(ISNUMBER(Lts!$N27), ISNUMBER($J27)), Lts!$N27 + $J27, ""), "")</f>
        <v/>
      </c>
      <c r="P27" s="46" t="str">
        <f ca="1">IFERROR(IF(AND(ISNUMBER(Lts!$O27), ISNUMBER($L27)), Lts!$O27 + $L27, ""), "")</f>
        <v/>
      </c>
      <c r="Q27" s="47" t="str">
        <f t="shared" ca="1" si="109"/>
        <v/>
      </c>
      <c r="R27" s="46" t="str">
        <f t="shared" ca="1" si="110"/>
        <v/>
      </c>
      <c r="S27" s="141" t="str">
        <f ca="1">IFERROR(IF(AND(ISNUMBER(Futs!$CC27), ISNUMBER($O27)), $O27/12.4 - Futs!$CC27, ""), "")</f>
        <v/>
      </c>
      <c r="T27" s="67" t="str">
        <f ca="1">IFERROR(IF(AND(ISNUMBER(Futs!$CD27), ISNUMBER($P27)), $P27/12.4 - Futs!$CD27, ""), "")</f>
        <v/>
      </c>
      <c r="U27" s="47" t="str">
        <f t="shared" ca="1" si="111"/>
        <v/>
      </c>
      <c r="V27" s="46" t="str">
        <f t="shared" ca="1" si="112"/>
        <v/>
      </c>
      <c r="W27" s="397" t="str">
        <f ca="1">IFERROR(INDEX(ICE[], MATCH("c3tet" &amp; TEXT(Crd!$A27, "mmmyy"), ICE[LongCode], 0), MATCH("ICE Theoretical Price", ICE[#Headers], 0))*100, "")</f>
        <v/>
      </c>
      <c r="X27" s="364" t="str">
        <f ca="1">IFERROR(INDEX(ICE[], MATCH("c3tet" &amp; TEXT(NGL!$A27, "mmmyy"), ICE[LongCode], 0), MATCH("Text", ICE[#Headers], 0)), "")</f>
        <v xml:space="preserve"> /  </v>
      </c>
      <c r="Y27" s="46" t="str">
        <f t="shared" ca="1" si="93"/>
        <v/>
      </c>
      <c r="Z27" s="47" t="str">
        <f t="shared" ca="1" si="113"/>
        <v/>
      </c>
      <c r="AA27" s="46" t="str">
        <f t="shared" ca="1" si="114"/>
        <v/>
      </c>
      <c r="AB27" s="141" t="str">
        <f ca="1">IFERROR(IF(AND(ISNUMBER(Futs!$BY27), ISNUMBER($W27)), $W27*42/100 - Futs!$BY27, ""), "")</f>
        <v/>
      </c>
      <c r="AC27" s="67" t="str">
        <f ca="1">IFERROR(IF(AND(ISNUMBER(Futs!$BZ27), ISNUMBER($Y27)), $Y27*42/100 - Futs!$BZ27, ""), "")</f>
        <v/>
      </c>
      <c r="AD27" s="47" t="str">
        <f t="shared" ca="1" si="115"/>
        <v/>
      </c>
      <c r="AE27" s="46" t="str">
        <f t="shared" ca="1" si="116"/>
        <v/>
      </c>
      <c r="AF27" s="141" t="str">
        <f t="shared" ca="1" si="94"/>
        <v/>
      </c>
      <c r="AG27" s="67" t="str">
        <f t="shared" ca="1" si="95"/>
        <v/>
      </c>
      <c r="AH27" s="47" t="str">
        <f t="shared" ca="1" si="117"/>
        <v/>
      </c>
      <c r="AI27" s="46" t="str">
        <f t="shared" ca="1" si="118"/>
        <v/>
      </c>
      <c r="AJ27" s="397" t="str">
        <f ca="1">IFERROR(INDEX(ICE[], MATCH("c4ntet" &amp; TEXT(Crd!$A27, "mmmyy"), ICE[LongCode], 0), MATCH("ICE Theoretical Price", ICE[#Headers], 0))*100, "")</f>
        <v/>
      </c>
      <c r="AK27" s="364" t="str">
        <f ca="1">IFERROR(INDEX(ICE[], MATCH("c4ntet" &amp; TEXT(NGL!$A27, "mmmyy"), ICE[LongCode], 0), MATCH("Text", ICE[#Headers], 0)), "")</f>
        <v xml:space="preserve"> /  </v>
      </c>
      <c r="AL27" s="46" t="str">
        <f t="shared" ca="1" si="96"/>
        <v/>
      </c>
      <c r="AM27" s="47" t="str">
        <f t="shared" ca="1" si="119"/>
        <v/>
      </c>
      <c r="AN27" s="46" t="str">
        <f t="shared" ca="1" si="120"/>
        <v/>
      </c>
      <c r="AO27" s="141" t="str">
        <f t="shared" ca="1" si="97"/>
        <v/>
      </c>
      <c r="AP27" s="46" t="str">
        <f t="shared" ca="1" si="98"/>
        <v/>
      </c>
      <c r="AQ27" s="47" t="str">
        <f t="shared" ca="1" si="121"/>
        <v/>
      </c>
      <c r="AR27" s="46" t="str">
        <f t="shared" ca="1" si="122"/>
        <v/>
      </c>
      <c r="AS27" s="141" t="str">
        <f ca="1">IFERROR(IF(AND(ISNUMBER(Futs!$BY27), ISNUMBER($AJ27)), $AJ27*42/100 - Futs!$BY27, ""), "")</f>
        <v/>
      </c>
      <c r="AT27" s="67" t="str">
        <f ca="1">IFERROR(IF(AND(ISNUMBER(Futs!$BZ27), ISNUMBER($AL27)), $AL27*42/100 - Futs!$BZ27, ""), "")</f>
        <v/>
      </c>
      <c r="AU27" s="47" t="str">
        <f t="shared" ca="1" si="123"/>
        <v/>
      </c>
      <c r="AV27" s="46" t="str">
        <f t="shared" ca="1" si="124"/>
        <v/>
      </c>
      <c r="AW27" s="397" t="str">
        <f ca="1">IFERROR(INDEX(ICE[], MATCH("ic4ntet" &amp; TEXT(Crd!$A27, "mmmyy"), ICE[LongCode], 0), MATCH("ICE Theoretical Price", ICE[#Headers], 0))*100, "")</f>
        <v/>
      </c>
      <c r="AX27" s="364" t="str">
        <f ca="1">IFERROR(INDEX(ICE[], MATCH("ic4ntet" &amp; TEXT(NGL!$A27, "mmmyy"), ICE[LongCode], 0), MATCH("Text", ICE[#Headers], 0)), "")</f>
        <v xml:space="preserve"> /  </v>
      </c>
      <c r="AY27" s="46" t="str">
        <f t="shared" ca="1" si="99"/>
        <v/>
      </c>
      <c r="AZ27" s="47" t="str">
        <f t="shared" ca="1" si="125"/>
        <v/>
      </c>
      <c r="BA27" s="46" t="str">
        <f t="shared" ca="1" si="126"/>
        <v/>
      </c>
      <c r="BB27" s="141" t="str">
        <f t="shared" ca="1" si="100"/>
        <v/>
      </c>
      <c r="BC27" s="46" t="str">
        <f t="shared" ca="1" si="101"/>
        <v/>
      </c>
      <c r="BD27" s="47" t="str">
        <f t="shared" ca="1" si="127"/>
        <v/>
      </c>
      <c r="BE27" s="46" t="str">
        <f t="shared" ca="1" si="128"/>
        <v/>
      </c>
      <c r="BF27" s="397" t="str">
        <f ca="1">IFERROR(INDEX(ICE[], MATCH("ngasntet" &amp; TEXT(Crd!$A27, "mmmyy"), ICE[LongCode], 0), MATCH("ICE Theoretical Price", ICE[#Headers], 0))*100, "")</f>
        <v/>
      </c>
      <c r="BG27" s="364" t="str">
        <f ca="1">IFERROR(INDEX(ICE[], MATCH("ngasntet" &amp; TEXT(NGL!$A27, "mmmyy"), ICE[LongCode], 0), MATCH("Text", ICE[#Headers], 0)), "")</f>
        <v xml:space="preserve"> /  </v>
      </c>
      <c r="BH27" s="46" t="str">
        <f t="shared" ca="1" si="102"/>
        <v/>
      </c>
      <c r="BI27" s="47" t="str">
        <f t="shared" ca="1" si="129"/>
        <v/>
      </c>
      <c r="BJ27" s="46" t="str">
        <f t="shared" ca="1" si="130"/>
        <v/>
      </c>
      <c r="BK27" s="141" t="str">
        <f ca="1">IFERROR(IF(AND(ISNUMBER(Futs!$BY27), ISNUMBER($BF27)), $BF27*42/100 - Futs!$BY27, ""), "")</f>
        <v/>
      </c>
      <c r="BL27" s="67" t="str">
        <f ca="1">IFERROR(IF(AND(ISNUMBER(Futs!$BZ27), ISNUMBER($BH27)), $BH27*42/100 - Futs!$BZ27, ""), "")</f>
        <v/>
      </c>
      <c r="BM27" s="47" t="str">
        <f t="shared" ca="1" si="131"/>
        <v/>
      </c>
      <c r="BN27" s="111" t="str">
        <f t="shared" ca="1" si="132"/>
        <v/>
      </c>
      <c r="BO27" s="397" t="str">
        <f ca="1">IFERROR(INDEX(ICE[], MATCH("c3ew" &amp; TEXT(Crd!$A27, "mmmyy"), ICE[LongCode], 0), MATCH("ICE Theoretical Price", ICE[#Headers], 0)), "")</f>
        <v/>
      </c>
      <c r="BP27" s="364" t="str">
        <f ca="1">IFERROR(INDEX(ICE[], MATCH("c3ew" &amp; TEXT(NGL!$A27, "mmmyy"), ICE[LongCode], 0), MATCH("Text", ICE[#Headers], 0)), "")</f>
        <v xml:space="preserve"> /  {100.50} |17x</v>
      </c>
      <c r="BQ27" s="46" t="str">
        <f t="shared" ca="1" si="103"/>
        <v/>
      </c>
      <c r="BR27" s="47" t="str">
        <f t="shared" ca="1" si="133"/>
        <v/>
      </c>
      <c r="BS27" s="46" t="str">
        <f t="shared" ca="1" si="134"/>
        <v/>
      </c>
      <c r="BT27" s="141" t="str">
        <f t="shared" ca="1" si="104"/>
        <v/>
      </c>
      <c r="BU27" s="46" t="str">
        <f t="shared" ca="1" si="105"/>
        <v/>
      </c>
      <c r="BV27" s="47" t="str">
        <f t="shared" ca="1" si="135"/>
        <v/>
      </c>
      <c r="BW27" s="46" t="str">
        <f t="shared" ca="1" si="136"/>
        <v/>
      </c>
      <c r="BX27" s="141" t="str">
        <f ca="1">IFERROR(IF(AND(ISNUMBER(Futs!$CC27), ISNUMBER($BT27)), $BT27/12.4 - Futs!$CC27, ""), "")</f>
        <v/>
      </c>
      <c r="BY27" s="67" t="str">
        <f t="shared" ca="1" si="106"/>
        <v/>
      </c>
      <c r="BZ27" s="47" t="str">
        <f t="shared" ca="1" si="137"/>
        <v/>
      </c>
      <c r="CA27" s="46" t="str">
        <f t="shared" ca="1" si="138"/>
        <v/>
      </c>
    </row>
    <row r="28" spans="1:79" x14ac:dyDescent="0.25">
      <c r="A28" s="58">
        <f t="shared" ca="1" si="107"/>
        <v>46539</v>
      </c>
      <c r="B28" s="6">
        <f t="shared" ca="1" si="89"/>
        <v>2027</v>
      </c>
      <c r="C28" s="6" t="str">
        <f t="shared" ca="1" si="91"/>
        <v>Q227</v>
      </c>
      <c r="D28" s="28">
        <f ca="1">INDEX(ICE[], MATCH(D$18 &amp; TEXT(NGL!$A28, "mmmyy"), ICE[LongCode], 0), MATCH("Settle", ICE[#Headers], 0))</f>
        <v>-158.477</v>
      </c>
      <c r="E28" s="28">
        <f ca="1">INDEX(ICE[], MATCH(E$18 &amp; TEXT(NGL!$A28, "mmmyy"), ICE[LongCode], 0), MATCH("Settle", ICE[#Headers], 0))*100</f>
        <v>71.25</v>
      </c>
      <c r="F28" s="28">
        <f ca="1">INDEX(ICE[], MATCH(F$18 &amp; TEXT(NGL!$A28, "mmmyy"), ICE[LongCode], 0), MATCH("Settle", ICE[#Headers], 0))*100</f>
        <v>89.25</v>
      </c>
      <c r="G28" s="28">
        <f ca="1">INDEX(ICE[], MATCH(G$18 &amp; TEXT(NGL!$A28, "mmmyy"), ICE[LongCode], 0), MATCH("Settle", ICE[#Headers], 0))*100</f>
        <v>97.625</v>
      </c>
      <c r="H28" s="28">
        <f ca="1">INDEX(ICE[], MATCH(H$18 &amp; TEXT(NGL!$A28, "mmmyy"), ICE[LongCode], 0), MATCH("Settle", ICE[#Headers], 0))*100</f>
        <v>156.625</v>
      </c>
      <c r="I28" s="28">
        <f ca="1">INDEX(ICE[], MATCH(I$18 &amp; TEXT(NGL!$A28, "mmmyy"), ICE[LongCode], 0), MATCH("Settle", ICE[#Headers], 0))</f>
        <v>89.95</v>
      </c>
      <c r="J28" s="397" t="str">
        <f ca="1">IFERROR(INDEX(ICE[], MATCH("propnap" &amp; TEXT(Crd!$A28, "mmmyy"), ICE[LongCode], 0), MATCH("ICE Theoretical Price", ICE[#Headers], 0)), "")</f>
        <v/>
      </c>
      <c r="K28" s="364" t="str">
        <f ca="1">IFERROR(INDEX(ICE[], MATCH("propnap" &amp; TEXT(NGL!$A28, "mmmyy"), ICE[LongCode], 0), MATCH("Text", ICE[#Headers], 0)), "")</f>
        <v xml:space="preserve"> /  </v>
      </c>
      <c r="L28" s="46" t="str">
        <f t="shared" ca="1" si="90"/>
        <v/>
      </c>
      <c r="M28" s="47" t="str">
        <f t="shared" ca="1" si="92"/>
        <v/>
      </c>
      <c r="N28" s="46" t="str">
        <f t="shared" ca="1" si="108"/>
        <v/>
      </c>
      <c r="O28" s="141" t="str">
        <f ca="1">IFERROR(IF(AND(ISNUMBER(Lts!$N28), ISNUMBER($J28)), Lts!$N28 + $J28, ""), "")</f>
        <v/>
      </c>
      <c r="P28" s="46" t="str">
        <f ca="1">IFERROR(IF(AND(ISNUMBER(Lts!$O28), ISNUMBER($L28)), Lts!$O28 + $L28, ""), "")</f>
        <v/>
      </c>
      <c r="Q28" s="47" t="str">
        <f t="shared" ca="1" si="109"/>
        <v/>
      </c>
      <c r="R28" s="46" t="str">
        <f t="shared" ca="1" si="110"/>
        <v/>
      </c>
      <c r="S28" s="141" t="str">
        <f ca="1">IFERROR(IF(AND(ISNUMBER(Futs!$CC28), ISNUMBER($O28)), $O28/12.4 - Futs!$CC28, ""), "")</f>
        <v/>
      </c>
      <c r="T28" s="67" t="str">
        <f ca="1">IFERROR(IF(AND(ISNUMBER(Futs!$CD28), ISNUMBER($P28)), $P28/12.4 - Futs!$CD28, ""), "")</f>
        <v/>
      </c>
      <c r="U28" s="47" t="str">
        <f t="shared" ca="1" si="111"/>
        <v/>
      </c>
      <c r="V28" s="46" t="str">
        <f t="shared" ca="1" si="112"/>
        <v/>
      </c>
      <c r="W28" s="397" t="str">
        <f ca="1">IFERROR(INDEX(ICE[], MATCH("c3tet" &amp; TEXT(Crd!$A28, "mmmyy"), ICE[LongCode], 0), MATCH("ICE Theoretical Price", ICE[#Headers], 0))*100, "")</f>
        <v/>
      </c>
      <c r="X28" s="364" t="str">
        <f ca="1">IFERROR(INDEX(ICE[], MATCH("c3tet" &amp; TEXT(NGL!$A28, "mmmyy"), ICE[LongCode], 0), MATCH("Text", ICE[#Headers], 0)), "")</f>
        <v xml:space="preserve"> /  </v>
      </c>
      <c r="Y28" s="46" t="str">
        <f t="shared" ca="1" si="93"/>
        <v/>
      </c>
      <c r="Z28" s="47" t="str">
        <f t="shared" ca="1" si="113"/>
        <v/>
      </c>
      <c r="AA28" s="46" t="str">
        <f t="shared" ca="1" si="114"/>
        <v/>
      </c>
      <c r="AB28" s="141" t="str">
        <f ca="1">IFERROR(IF(AND(ISNUMBER(Futs!$BY28), ISNUMBER($W28)), $W28*42/100 - Futs!$BY28, ""), "")</f>
        <v/>
      </c>
      <c r="AC28" s="67" t="str">
        <f ca="1">IFERROR(IF(AND(ISNUMBER(Futs!$BZ28), ISNUMBER($Y28)), $Y28*42/100 - Futs!$BZ28, ""), "")</f>
        <v/>
      </c>
      <c r="AD28" s="47" t="str">
        <f t="shared" ca="1" si="115"/>
        <v/>
      </c>
      <c r="AE28" s="46" t="str">
        <f t="shared" ca="1" si="116"/>
        <v/>
      </c>
      <c r="AF28" s="141" t="str">
        <f t="shared" ca="1" si="94"/>
        <v/>
      </c>
      <c r="AG28" s="67" t="str">
        <f t="shared" ca="1" si="95"/>
        <v/>
      </c>
      <c r="AH28" s="47" t="str">
        <f t="shared" ca="1" si="117"/>
        <v/>
      </c>
      <c r="AI28" s="46" t="str">
        <f t="shared" ca="1" si="118"/>
        <v/>
      </c>
      <c r="AJ28" s="397" t="str">
        <f ca="1">IFERROR(INDEX(ICE[], MATCH("c4ntet" &amp; TEXT(Crd!$A28, "mmmyy"), ICE[LongCode], 0), MATCH("ICE Theoretical Price", ICE[#Headers], 0))*100, "")</f>
        <v/>
      </c>
      <c r="AK28" s="364" t="str">
        <f ca="1">IFERROR(INDEX(ICE[], MATCH("c4ntet" &amp; TEXT(NGL!$A28, "mmmyy"), ICE[LongCode], 0), MATCH("Text", ICE[#Headers], 0)), "")</f>
        <v xml:space="preserve"> /  </v>
      </c>
      <c r="AL28" s="46" t="str">
        <f t="shared" ca="1" si="96"/>
        <v/>
      </c>
      <c r="AM28" s="47" t="str">
        <f t="shared" ca="1" si="119"/>
        <v/>
      </c>
      <c r="AN28" s="46" t="str">
        <f t="shared" ca="1" si="120"/>
        <v/>
      </c>
      <c r="AO28" s="141" t="str">
        <f t="shared" ca="1" si="97"/>
        <v/>
      </c>
      <c r="AP28" s="46" t="str">
        <f t="shared" ca="1" si="98"/>
        <v/>
      </c>
      <c r="AQ28" s="47" t="str">
        <f t="shared" ca="1" si="121"/>
        <v/>
      </c>
      <c r="AR28" s="46" t="str">
        <f t="shared" ca="1" si="122"/>
        <v/>
      </c>
      <c r="AS28" s="141" t="str">
        <f ca="1">IFERROR(IF(AND(ISNUMBER(Futs!$BY28), ISNUMBER($AJ28)), $AJ28*42/100 - Futs!$BY28, ""), "")</f>
        <v/>
      </c>
      <c r="AT28" s="67" t="str">
        <f ca="1">IFERROR(IF(AND(ISNUMBER(Futs!$BZ28), ISNUMBER($AL28)), $AL28*42/100 - Futs!$BZ28, ""), "")</f>
        <v/>
      </c>
      <c r="AU28" s="47" t="str">
        <f t="shared" ca="1" si="123"/>
        <v/>
      </c>
      <c r="AV28" s="46" t="str">
        <f t="shared" ca="1" si="124"/>
        <v/>
      </c>
      <c r="AW28" s="397" t="str">
        <f ca="1">IFERROR(INDEX(ICE[], MATCH("ic4ntet" &amp; TEXT(Crd!$A28, "mmmyy"), ICE[LongCode], 0), MATCH("ICE Theoretical Price", ICE[#Headers], 0))*100, "")</f>
        <v/>
      </c>
      <c r="AX28" s="364" t="str">
        <f ca="1">IFERROR(INDEX(ICE[], MATCH("ic4ntet" &amp; TEXT(NGL!$A28, "mmmyy"), ICE[LongCode], 0), MATCH("Text", ICE[#Headers], 0)), "")</f>
        <v xml:space="preserve"> /  </v>
      </c>
      <c r="AY28" s="46" t="str">
        <f t="shared" ca="1" si="99"/>
        <v/>
      </c>
      <c r="AZ28" s="47" t="str">
        <f t="shared" ca="1" si="125"/>
        <v/>
      </c>
      <c r="BA28" s="46" t="str">
        <f t="shared" ca="1" si="126"/>
        <v/>
      </c>
      <c r="BB28" s="141" t="str">
        <f t="shared" ca="1" si="100"/>
        <v/>
      </c>
      <c r="BC28" s="46" t="str">
        <f t="shared" ca="1" si="101"/>
        <v/>
      </c>
      <c r="BD28" s="47" t="str">
        <f t="shared" ca="1" si="127"/>
        <v/>
      </c>
      <c r="BE28" s="46" t="str">
        <f t="shared" ca="1" si="128"/>
        <v/>
      </c>
      <c r="BF28" s="397" t="str">
        <f ca="1">IFERROR(INDEX(ICE[], MATCH("ngasntet" &amp; TEXT(Crd!$A28, "mmmyy"), ICE[LongCode], 0), MATCH("ICE Theoretical Price", ICE[#Headers], 0))*100, "")</f>
        <v/>
      </c>
      <c r="BG28" s="364" t="str">
        <f ca="1">IFERROR(INDEX(ICE[], MATCH("ngasntet" &amp; TEXT(NGL!$A28, "mmmyy"), ICE[LongCode], 0), MATCH("Text", ICE[#Headers], 0)), "")</f>
        <v xml:space="preserve"> /  </v>
      </c>
      <c r="BH28" s="46" t="str">
        <f t="shared" ca="1" si="102"/>
        <v/>
      </c>
      <c r="BI28" s="47" t="str">
        <f t="shared" ca="1" si="129"/>
        <v/>
      </c>
      <c r="BJ28" s="46" t="str">
        <f t="shared" ca="1" si="130"/>
        <v/>
      </c>
      <c r="BK28" s="141" t="str">
        <f ca="1">IFERROR(IF(AND(ISNUMBER(Futs!$BY28), ISNUMBER($BF28)), $BF28*42/100 - Futs!$BY28, ""), "")</f>
        <v/>
      </c>
      <c r="BL28" s="67" t="str">
        <f ca="1">IFERROR(IF(AND(ISNUMBER(Futs!$BZ28), ISNUMBER($BH28)), $BH28*42/100 - Futs!$BZ28, ""), "")</f>
        <v/>
      </c>
      <c r="BM28" s="47" t="str">
        <f t="shared" ca="1" si="131"/>
        <v/>
      </c>
      <c r="BN28" s="111" t="str">
        <f t="shared" ca="1" si="132"/>
        <v/>
      </c>
      <c r="BO28" s="397" t="str">
        <f ca="1">IFERROR(INDEX(ICE[], MATCH("c3ew" &amp; TEXT(Crd!$A28, "mmmyy"), ICE[LongCode], 0), MATCH("ICE Theoretical Price", ICE[#Headers], 0)), "")</f>
        <v/>
      </c>
      <c r="BP28" s="364" t="str">
        <f ca="1">IFERROR(INDEX(ICE[], MATCH("c3ew" &amp; TEXT(NGL!$A28, "mmmyy"), ICE[LongCode], 0), MATCH("Text", ICE[#Headers], 0)), "")</f>
        <v xml:space="preserve"> /  {92.00} |17x</v>
      </c>
      <c r="BQ28" s="46" t="str">
        <f t="shared" ca="1" si="103"/>
        <v/>
      </c>
      <c r="BR28" s="47" t="str">
        <f t="shared" ca="1" si="133"/>
        <v/>
      </c>
      <c r="BS28" s="46" t="str">
        <f t="shared" ca="1" si="134"/>
        <v/>
      </c>
      <c r="BT28" s="141" t="str">
        <f t="shared" ca="1" si="104"/>
        <v/>
      </c>
      <c r="BU28" s="46" t="str">
        <f t="shared" ca="1" si="105"/>
        <v/>
      </c>
      <c r="BV28" s="47" t="str">
        <f t="shared" ca="1" si="135"/>
        <v/>
      </c>
      <c r="BW28" s="46" t="str">
        <f t="shared" ca="1" si="136"/>
        <v/>
      </c>
      <c r="BX28" s="141" t="str">
        <f ca="1">IFERROR(IF(AND(ISNUMBER(Futs!$CC28), ISNUMBER($BT28)), $BT28/12.4 - Futs!$CC28, ""), "")</f>
        <v/>
      </c>
      <c r="BY28" s="67" t="str">
        <f t="shared" ca="1" si="106"/>
        <v/>
      </c>
      <c r="BZ28" s="47" t="str">
        <f t="shared" ca="1" si="137"/>
        <v/>
      </c>
      <c r="CA28" s="46" t="str">
        <f t="shared" ca="1" si="138"/>
        <v/>
      </c>
    </row>
    <row r="29" spans="1:79" x14ac:dyDescent="0.25">
      <c r="A29" s="58">
        <f t="shared" ca="1" si="107"/>
        <v>46569</v>
      </c>
      <c r="B29" s="6">
        <f t="shared" ca="1" si="89"/>
        <v>2027</v>
      </c>
      <c r="C29" s="6" t="str">
        <f t="shared" ca="1" si="91"/>
        <v>Q327</v>
      </c>
      <c r="D29" s="28">
        <f ca="1">INDEX(ICE[], MATCH(D$18 &amp; TEXT(NGL!$A29, "mmmyy"), ICE[LongCode], 0), MATCH("Settle", ICE[#Headers], 0))</f>
        <v>-151.976</v>
      </c>
      <c r="E29" s="28">
        <f ca="1">INDEX(ICE[], MATCH(E$18 &amp; TEXT(NGL!$A29, "mmmyy"), ICE[LongCode], 0), MATCH("Settle", ICE[#Headers], 0))*100</f>
        <v>71.125</v>
      </c>
      <c r="F29" s="28">
        <f ca="1">INDEX(ICE[], MATCH(F$18 &amp; TEXT(NGL!$A29, "mmmyy"), ICE[LongCode], 0), MATCH("Settle", ICE[#Headers], 0))*100</f>
        <v>89.25</v>
      </c>
      <c r="G29" s="28">
        <f ca="1">INDEX(ICE[], MATCH(G$18 &amp; TEXT(NGL!$A29, "mmmyy"), ICE[LongCode], 0), MATCH("Settle", ICE[#Headers], 0))*100</f>
        <v>97.875</v>
      </c>
      <c r="H29" s="28">
        <f ca="1">INDEX(ICE[], MATCH(H$18 &amp; TEXT(NGL!$A29, "mmmyy"), ICE[LongCode], 0), MATCH("Settle", ICE[#Headers], 0))*100</f>
        <v>154.375</v>
      </c>
      <c r="I29" s="28">
        <f ca="1">INDEX(ICE[], MATCH(I$18 &amp; TEXT(NGL!$A29, "mmmyy"), ICE[LongCode], 0), MATCH("Settle", ICE[#Headers], 0))</f>
        <v>85.45</v>
      </c>
      <c r="J29" s="397" t="str">
        <f ca="1">IFERROR(INDEX(ICE[], MATCH("propnap" &amp; TEXT(Crd!$A29, "mmmyy"), ICE[LongCode], 0), MATCH("ICE Theoretical Price", ICE[#Headers], 0)), "")</f>
        <v/>
      </c>
      <c r="K29" s="364" t="str">
        <f ca="1">IFERROR(INDEX(ICE[], MATCH("propnap" &amp; TEXT(NGL!$A29, "mmmyy"), ICE[LongCode], 0), MATCH("Text", ICE[#Headers], 0)), "")</f>
        <v xml:space="preserve"> /  </v>
      </c>
      <c r="L29" s="46" t="str">
        <f t="shared" ca="1" si="90"/>
        <v/>
      </c>
      <c r="M29" s="47" t="str">
        <f t="shared" ca="1" si="92"/>
        <v/>
      </c>
      <c r="N29" s="46" t="str">
        <f t="shared" ca="1" si="108"/>
        <v/>
      </c>
      <c r="O29" s="141" t="str">
        <f ca="1">IFERROR(IF(AND(ISNUMBER(Lts!$N29), ISNUMBER($J29)), Lts!$N29 + $J29, ""), "")</f>
        <v/>
      </c>
      <c r="P29" s="46" t="str">
        <f ca="1">IFERROR(IF(AND(ISNUMBER(Lts!$O29), ISNUMBER($L29)), Lts!$O29 + $L29, ""), "")</f>
        <v/>
      </c>
      <c r="Q29" s="47" t="str">
        <f t="shared" ca="1" si="109"/>
        <v/>
      </c>
      <c r="R29" s="46" t="str">
        <f t="shared" ca="1" si="110"/>
        <v/>
      </c>
      <c r="S29" s="141" t="str">
        <f ca="1">IFERROR(IF(AND(ISNUMBER(Futs!$CC29), ISNUMBER($O29)), $O29/12.4 - Futs!$CC29, ""), "")</f>
        <v/>
      </c>
      <c r="T29" s="67" t="str">
        <f ca="1">IFERROR(IF(AND(ISNUMBER(Futs!$CD29), ISNUMBER($P29)), $P29/12.4 - Futs!$CD29, ""), "")</f>
        <v/>
      </c>
      <c r="U29" s="47" t="str">
        <f t="shared" ca="1" si="111"/>
        <v/>
      </c>
      <c r="V29" s="46" t="str">
        <f t="shared" ca="1" si="112"/>
        <v/>
      </c>
      <c r="W29" s="397" t="str">
        <f ca="1">IFERROR(INDEX(ICE[], MATCH("c3tet" &amp; TEXT(Crd!$A29, "mmmyy"), ICE[LongCode], 0), MATCH("ICE Theoretical Price", ICE[#Headers], 0))*100, "")</f>
        <v/>
      </c>
      <c r="X29" s="364" t="str">
        <f ca="1">IFERROR(INDEX(ICE[], MATCH("c3tet" &amp; TEXT(NGL!$A29, "mmmyy"), ICE[LongCode], 0), MATCH("Text", ICE[#Headers], 0)), "")</f>
        <v xml:space="preserve"> /  </v>
      </c>
      <c r="Y29" s="46" t="str">
        <f t="shared" ca="1" si="93"/>
        <v/>
      </c>
      <c r="Z29" s="47" t="str">
        <f t="shared" ca="1" si="113"/>
        <v/>
      </c>
      <c r="AA29" s="46" t="str">
        <f t="shared" ca="1" si="114"/>
        <v/>
      </c>
      <c r="AB29" s="141" t="str">
        <f ca="1">IFERROR(IF(AND(ISNUMBER(Futs!$BY29), ISNUMBER($W29)), $W29*42/100 - Futs!$BY29, ""), "")</f>
        <v/>
      </c>
      <c r="AC29" s="67" t="str">
        <f ca="1">IFERROR(IF(AND(ISNUMBER(Futs!$BZ29), ISNUMBER($Y29)), $Y29*42/100 - Futs!$BZ29, ""), "")</f>
        <v/>
      </c>
      <c r="AD29" s="47" t="str">
        <f t="shared" ca="1" si="115"/>
        <v/>
      </c>
      <c r="AE29" s="46" t="str">
        <f t="shared" ca="1" si="116"/>
        <v/>
      </c>
      <c r="AF29" s="141" t="str">
        <f t="shared" ca="1" si="94"/>
        <v/>
      </c>
      <c r="AG29" s="67" t="str">
        <f t="shared" ca="1" si="95"/>
        <v/>
      </c>
      <c r="AH29" s="47" t="str">
        <f t="shared" ca="1" si="117"/>
        <v/>
      </c>
      <c r="AI29" s="46" t="str">
        <f t="shared" ca="1" si="118"/>
        <v/>
      </c>
      <c r="AJ29" s="397" t="str">
        <f ca="1">IFERROR(INDEX(ICE[], MATCH("c4ntet" &amp; TEXT(Crd!$A29, "mmmyy"), ICE[LongCode], 0), MATCH("ICE Theoretical Price", ICE[#Headers], 0))*100, "")</f>
        <v/>
      </c>
      <c r="AK29" s="364" t="str">
        <f ca="1">IFERROR(INDEX(ICE[], MATCH("c4ntet" &amp; TEXT(NGL!$A29, "mmmyy"), ICE[LongCode], 0), MATCH("Text", ICE[#Headers], 0)), "")</f>
        <v xml:space="preserve"> /  </v>
      </c>
      <c r="AL29" s="46" t="str">
        <f t="shared" ca="1" si="96"/>
        <v/>
      </c>
      <c r="AM29" s="47" t="str">
        <f t="shared" ca="1" si="119"/>
        <v/>
      </c>
      <c r="AN29" s="46" t="str">
        <f t="shared" ca="1" si="120"/>
        <v/>
      </c>
      <c r="AO29" s="141" t="str">
        <f t="shared" ca="1" si="97"/>
        <v/>
      </c>
      <c r="AP29" s="46" t="str">
        <f t="shared" ca="1" si="98"/>
        <v/>
      </c>
      <c r="AQ29" s="47" t="str">
        <f t="shared" ca="1" si="121"/>
        <v/>
      </c>
      <c r="AR29" s="46" t="str">
        <f t="shared" ca="1" si="122"/>
        <v/>
      </c>
      <c r="AS29" s="141" t="str">
        <f ca="1">IFERROR(IF(AND(ISNUMBER(Futs!$BY29), ISNUMBER($AJ29)), $AJ29*42/100 - Futs!$BY29, ""), "")</f>
        <v/>
      </c>
      <c r="AT29" s="67" t="str">
        <f ca="1">IFERROR(IF(AND(ISNUMBER(Futs!$BZ29), ISNUMBER($AL29)), $AL29*42/100 - Futs!$BZ29, ""), "")</f>
        <v/>
      </c>
      <c r="AU29" s="47" t="str">
        <f t="shared" ca="1" si="123"/>
        <v/>
      </c>
      <c r="AV29" s="46" t="str">
        <f t="shared" ca="1" si="124"/>
        <v/>
      </c>
      <c r="AW29" s="397" t="str">
        <f ca="1">IFERROR(INDEX(ICE[], MATCH("ic4ntet" &amp; TEXT(Crd!$A29, "mmmyy"), ICE[LongCode], 0), MATCH("ICE Theoretical Price", ICE[#Headers], 0))*100, "")</f>
        <v/>
      </c>
      <c r="AX29" s="364" t="str">
        <f ca="1">IFERROR(INDEX(ICE[], MATCH("ic4ntet" &amp; TEXT(NGL!$A29, "mmmyy"), ICE[LongCode], 0), MATCH("Text", ICE[#Headers], 0)), "")</f>
        <v xml:space="preserve"> /  </v>
      </c>
      <c r="AY29" s="46" t="str">
        <f t="shared" ca="1" si="99"/>
        <v/>
      </c>
      <c r="AZ29" s="47" t="str">
        <f t="shared" ca="1" si="125"/>
        <v/>
      </c>
      <c r="BA29" s="46" t="str">
        <f t="shared" ca="1" si="126"/>
        <v/>
      </c>
      <c r="BB29" s="141" t="str">
        <f t="shared" ca="1" si="100"/>
        <v/>
      </c>
      <c r="BC29" s="46" t="str">
        <f t="shared" ca="1" si="101"/>
        <v/>
      </c>
      <c r="BD29" s="47" t="str">
        <f t="shared" ca="1" si="127"/>
        <v/>
      </c>
      <c r="BE29" s="46" t="str">
        <f t="shared" ca="1" si="128"/>
        <v/>
      </c>
      <c r="BF29" s="397" t="str">
        <f ca="1">IFERROR(INDEX(ICE[], MATCH("ngasntet" &amp; TEXT(Crd!$A29, "mmmyy"), ICE[LongCode], 0), MATCH("ICE Theoretical Price", ICE[#Headers], 0))*100, "")</f>
        <v/>
      </c>
      <c r="BG29" s="364" t="str">
        <f ca="1">IFERROR(INDEX(ICE[], MATCH("ngasntet" &amp; TEXT(NGL!$A29, "mmmyy"), ICE[LongCode], 0), MATCH("Text", ICE[#Headers], 0)), "")</f>
        <v xml:space="preserve"> /  </v>
      </c>
      <c r="BH29" s="46" t="str">
        <f t="shared" ca="1" si="102"/>
        <v/>
      </c>
      <c r="BI29" s="47" t="str">
        <f t="shared" ca="1" si="129"/>
        <v/>
      </c>
      <c r="BJ29" s="46" t="str">
        <f t="shared" ca="1" si="130"/>
        <v/>
      </c>
      <c r="BK29" s="141" t="str">
        <f ca="1">IFERROR(IF(AND(ISNUMBER(Futs!$BY29), ISNUMBER($BF29)), $BF29*42/100 - Futs!$BY29, ""), "")</f>
        <v/>
      </c>
      <c r="BL29" s="67" t="str">
        <f ca="1">IFERROR(IF(AND(ISNUMBER(Futs!$BZ29), ISNUMBER($BH29)), $BH29*42/100 - Futs!$BZ29, ""), "")</f>
        <v/>
      </c>
      <c r="BM29" s="47" t="str">
        <f t="shared" ca="1" si="131"/>
        <v/>
      </c>
      <c r="BN29" s="111" t="str">
        <f t="shared" ca="1" si="132"/>
        <v/>
      </c>
      <c r="BO29" s="397" t="str">
        <f ca="1">IFERROR(INDEX(ICE[], MATCH("c3ew" &amp; TEXT(Crd!$A29, "mmmyy"), ICE[LongCode], 0), MATCH("ICE Theoretical Price", ICE[#Headers], 0)), "")</f>
        <v/>
      </c>
      <c r="BP29" s="364" t="str">
        <f ca="1">IFERROR(INDEX(ICE[], MATCH("c3ew" &amp; TEXT(NGL!$A29, "mmmyy"), ICE[LongCode], 0), MATCH("Text", ICE[#Headers], 0)), "")</f>
        <v xml:space="preserve"> /   |2x</v>
      </c>
      <c r="BQ29" s="46" t="str">
        <f t="shared" ca="1" si="103"/>
        <v/>
      </c>
      <c r="BR29" s="47" t="str">
        <f t="shared" ca="1" si="133"/>
        <v/>
      </c>
      <c r="BS29" s="46" t="str">
        <f t="shared" ca="1" si="134"/>
        <v/>
      </c>
      <c r="BT29" s="141" t="str">
        <f t="shared" ca="1" si="104"/>
        <v/>
      </c>
      <c r="BU29" s="46" t="str">
        <f t="shared" ca="1" si="105"/>
        <v/>
      </c>
      <c r="BV29" s="47" t="str">
        <f t="shared" ca="1" si="135"/>
        <v/>
      </c>
      <c r="BW29" s="46" t="str">
        <f t="shared" ca="1" si="136"/>
        <v/>
      </c>
      <c r="BX29" s="141" t="str">
        <f ca="1">IFERROR(IF(AND(ISNUMBER(Futs!$CC29), ISNUMBER($BT29)), $BT29/12.4 - Futs!$CC29, ""), "")</f>
        <v/>
      </c>
      <c r="BY29" s="67" t="str">
        <f t="shared" ca="1" si="106"/>
        <v/>
      </c>
      <c r="BZ29" s="47" t="str">
        <f t="shared" ca="1" si="137"/>
        <v/>
      </c>
      <c r="CA29" s="46" t="str">
        <f t="shared" ca="1" si="138"/>
        <v/>
      </c>
    </row>
    <row r="30" spans="1:79" x14ac:dyDescent="0.25">
      <c r="A30" s="58">
        <f t="shared" ca="1" si="107"/>
        <v>46600</v>
      </c>
      <c r="B30" s="6">
        <f t="shared" ca="1" si="89"/>
        <v>2027</v>
      </c>
      <c r="C30" s="6" t="str">
        <f t="shared" ca="1" si="91"/>
        <v>Q327</v>
      </c>
      <c r="D30" s="28">
        <f ca="1">INDEX(ICE[], MATCH(D$18 &amp; TEXT(NGL!$A30, "mmmyy"), ICE[LongCode], 0), MATCH("Settle", ICE[#Headers], 0))</f>
        <v>-141.97</v>
      </c>
      <c r="E30" s="28">
        <f ca="1">INDEX(ICE[], MATCH(E$18 &amp; TEXT(NGL!$A30, "mmmyy"), ICE[LongCode], 0), MATCH("Settle", ICE[#Headers], 0))*100</f>
        <v>71.625</v>
      </c>
      <c r="F30" s="28">
        <f ca="1">INDEX(ICE[], MATCH(F$18 &amp; TEXT(NGL!$A30, "mmmyy"), ICE[LongCode], 0), MATCH("Settle", ICE[#Headers], 0))*100</f>
        <v>89.5</v>
      </c>
      <c r="G30" s="28">
        <f ca="1">INDEX(ICE[], MATCH(G$18 &amp; TEXT(NGL!$A30, "mmmyy"), ICE[LongCode], 0), MATCH("Settle", ICE[#Headers], 0))*100</f>
        <v>98</v>
      </c>
      <c r="H30" s="28">
        <f ca="1">INDEX(ICE[], MATCH(H$18 &amp; TEXT(NGL!$A30, "mmmyy"), ICE[LongCode], 0), MATCH("Settle", ICE[#Headers], 0))*100</f>
        <v>152.87499999999997</v>
      </c>
      <c r="I30" s="28">
        <f ca="1">INDEX(ICE[], MATCH(I$18 &amp; TEXT(NGL!$A30, "mmmyy"), ICE[LongCode], 0), MATCH("Settle", ICE[#Headers], 0))</f>
        <v>81.95</v>
      </c>
      <c r="J30" s="397" t="str">
        <f ca="1">IFERROR(INDEX(ICE[], MATCH("propnap" &amp; TEXT(Crd!$A30, "mmmyy"), ICE[LongCode], 0), MATCH("ICE Theoretical Price", ICE[#Headers], 0)), "")</f>
        <v/>
      </c>
      <c r="K30" s="364" t="str">
        <f ca="1">IFERROR(INDEX(ICE[], MATCH("propnap" &amp; TEXT(NGL!$A30, "mmmyy"), ICE[LongCode], 0), MATCH("Text", ICE[#Headers], 0)), "")</f>
        <v xml:space="preserve"> /  </v>
      </c>
      <c r="L30" s="46" t="str">
        <f t="shared" ca="1" si="90"/>
        <v/>
      </c>
      <c r="M30" s="47" t="str">
        <f t="shared" ca="1" si="92"/>
        <v/>
      </c>
      <c r="N30" s="46" t="str">
        <f t="shared" ca="1" si="108"/>
        <v/>
      </c>
      <c r="O30" s="141" t="str">
        <f ca="1">IFERROR(IF(AND(ISNUMBER(Lts!$N30), ISNUMBER($J30)), Lts!$N30 + $J30, ""), "")</f>
        <v/>
      </c>
      <c r="P30" s="46" t="str">
        <f ca="1">IFERROR(IF(AND(ISNUMBER(Lts!$O30), ISNUMBER($L30)), Lts!$O30 + $L30, ""), "")</f>
        <v/>
      </c>
      <c r="Q30" s="47" t="str">
        <f t="shared" ca="1" si="109"/>
        <v/>
      </c>
      <c r="R30" s="46" t="str">
        <f t="shared" ca="1" si="110"/>
        <v/>
      </c>
      <c r="S30" s="141" t="str">
        <f ca="1">IFERROR(IF(AND(ISNUMBER(Futs!$CC30), ISNUMBER($O30)), $O30/12.4 - Futs!$CC30, ""), "")</f>
        <v/>
      </c>
      <c r="T30" s="67" t="str">
        <f ca="1">IFERROR(IF(AND(ISNUMBER(Futs!$CD30), ISNUMBER($P30)), $P30/12.4 - Futs!$CD30, ""), "")</f>
        <v/>
      </c>
      <c r="U30" s="47" t="str">
        <f t="shared" ca="1" si="111"/>
        <v/>
      </c>
      <c r="V30" s="46" t="str">
        <f t="shared" ca="1" si="112"/>
        <v/>
      </c>
      <c r="W30" s="397" t="str">
        <f ca="1">IFERROR(INDEX(ICE[], MATCH("c3tet" &amp; TEXT(Crd!$A30, "mmmyy"), ICE[LongCode], 0), MATCH("ICE Theoretical Price", ICE[#Headers], 0))*100, "")</f>
        <v/>
      </c>
      <c r="X30" s="364" t="str">
        <f ca="1">IFERROR(INDEX(ICE[], MATCH("c3tet" &amp; TEXT(NGL!$A30, "mmmyy"), ICE[LongCode], 0), MATCH("Text", ICE[#Headers], 0)), "")</f>
        <v xml:space="preserve"> /  </v>
      </c>
      <c r="Y30" s="46" t="str">
        <f t="shared" ca="1" si="93"/>
        <v/>
      </c>
      <c r="Z30" s="47" t="str">
        <f t="shared" ca="1" si="113"/>
        <v/>
      </c>
      <c r="AA30" s="46" t="str">
        <f t="shared" ca="1" si="114"/>
        <v/>
      </c>
      <c r="AB30" s="141" t="str">
        <f ca="1">IFERROR(IF(AND(ISNUMBER(Futs!$BY30), ISNUMBER($W30)), $W30*42/100 - Futs!$BY30, ""), "")</f>
        <v/>
      </c>
      <c r="AC30" s="67" t="str">
        <f ca="1">IFERROR(IF(AND(ISNUMBER(Futs!$BZ30), ISNUMBER($Y30)), $Y30*42/100 - Futs!$BZ30, ""), "")</f>
        <v/>
      </c>
      <c r="AD30" s="47" t="str">
        <f t="shared" ca="1" si="115"/>
        <v/>
      </c>
      <c r="AE30" s="46" t="str">
        <f t="shared" ca="1" si="116"/>
        <v/>
      </c>
      <c r="AF30" s="141" t="str">
        <f t="shared" ca="1" si="94"/>
        <v/>
      </c>
      <c r="AG30" s="67" t="str">
        <f t="shared" ca="1" si="95"/>
        <v/>
      </c>
      <c r="AH30" s="47" t="str">
        <f t="shared" ca="1" si="117"/>
        <v/>
      </c>
      <c r="AI30" s="46" t="str">
        <f t="shared" ca="1" si="118"/>
        <v/>
      </c>
      <c r="AJ30" s="397" t="str">
        <f ca="1">IFERROR(INDEX(ICE[], MATCH("c4ntet" &amp; TEXT(Crd!$A30, "mmmyy"), ICE[LongCode], 0), MATCH("ICE Theoretical Price", ICE[#Headers], 0))*100, "")</f>
        <v/>
      </c>
      <c r="AK30" s="364" t="str">
        <f ca="1">IFERROR(INDEX(ICE[], MATCH("c4ntet" &amp; TEXT(NGL!$A30, "mmmyy"), ICE[LongCode], 0), MATCH("Text", ICE[#Headers], 0)), "")</f>
        <v xml:space="preserve"> /  </v>
      </c>
      <c r="AL30" s="46" t="str">
        <f t="shared" ca="1" si="96"/>
        <v/>
      </c>
      <c r="AM30" s="47" t="str">
        <f t="shared" ca="1" si="119"/>
        <v/>
      </c>
      <c r="AN30" s="46" t="str">
        <f t="shared" ca="1" si="120"/>
        <v/>
      </c>
      <c r="AO30" s="141" t="str">
        <f t="shared" ca="1" si="97"/>
        <v/>
      </c>
      <c r="AP30" s="46" t="str">
        <f t="shared" ca="1" si="98"/>
        <v/>
      </c>
      <c r="AQ30" s="47" t="str">
        <f t="shared" ca="1" si="121"/>
        <v/>
      </c>
      <c r="AR30" s="46" t="str">
        <f t="shared" ca="1" si="122"/>
        <v/>
      </c>
      <c r="AS30" s="141" t="str">
        <f ca="1">IFERROR(IF(AND(ISNUMBER(Futs!$BY30), ISNUMBER($AJ30)), $AJ30*42/100 - Futs!$BY30, ""), "")</f>
        <v/>
      </c>
      <c r="AT30" s="67" t="str">
        <f ca="1">IFERROR(IF(AND(ISNUMBER(Futs!$BZ30), ISNUMBER($AL30)), $AL30*42/100 - Futs!$BZ30, ""), "")</f>
        <v/>
      </c>
      <c r="AU30" s="47" t="str">
        <f t="shared" ca="1" si="123"/>
        <v/>
      </c>
      <c r="AV30" s="46" t="str">
        <f t="shared" ca="1" si="124"/>
        <v/>
      </c>
      <c r="AW30" s="397" t="str">
        <f ca="1">IFERROR(INDEX(ICE[], MATCH("ic4ntet" &amp; TEXT(Crd!$A30, "mmmyy"), ICE[LongCode], 0), MATCH("ICE Theoretical Price", ICE[#Headers], 0))*100, "")</f>
        <v/>
      </c>
      <c r="AX30" s="364" t="str">
        <f ca="1">IFERROR(INDEX(ICE[], MATCH("ic4ntet" &amp; TEXT(NGL!$A30, "mmmyy"), ICE[LongCode], 0), MATCH("Text", ICE[#Headers], 0)), "")</f>
        <v xml:space="preserve"> /  </v>
      </c>
      <c r="AY30" s="46" t="str">
        <f t="shared" ca="1" si="99"/>
        <v/>
      </c>
      <c r="AZ30" s="47" t="str">
        <f t="shared" ca="1" si="125"/>
        <v/>
      </c>
      <c r="BA30" s="46" t="str">
        <f t="shared" ca="1" si="126"/>
        <v/>
      </c>
      <c r="BB30" s="141" t="str">
        <f t="shared" ca="1" si="100"/>
        <v/>
      </c>
      <c r="BC30" s="46" t="str">
        <f t="shared" ca="1" si="101"/>
        <v/>
      </c>
      <c r="BD30" s="47" t="str">
        <f t="shared" ca="1" si="127"/>
        <v/>
      </c>
      <c r="BE30" s="46" t="str">
        <f t="shared" ca="1" si="128"/>
        <v/>
      </c>
      <c r="BF30" s="397" t="str">
        <f ca="1">IFERROR(INDEX(ICE[], MATCH("ngasntet" &amp; TEXT(Crd!$A30, "mmmyy"), ICE[LongCode], 0), MATCH("ICE Theoretical Price", ICE[#Headers], 0))*100, "")</f>
        <v/>
      </c>
      <c r="BG30" s="364" t="str">
        <f ca="1">IFERROR(INDEX(ICE[], MATCH("ngasntet" &amp; TEXT(NGL!$A30, "mmmyy"), ICE[LongCode], 0), MATCH("Text", ICE[#Headers], 0)), "")</f>
        <v xml:space="preserve"> /  </v>
      </c>
      <c r="BH30" s="46" t="str">
        <f t="shared" ca="1" si="102"/>
        <v/>
      </c>
      <c r="BI30" s="47" t="str">
        <f t="shared" ca="1" si="129"/>
        <v/>
      </c>
      <c r="BJ30" s="46" t="str">
        <f t="shared" ca="1" si="130"/>
        <v/>
      </c>
      <c r="BK30" s="141" t="str">
        <f ca="1">IFERROR(IF(AND(ISNUMBER(Futs!$BY30), ISNUMBER($BF30)), $BF30*42/100 - Futs!$BY30, ""), "")</f>
        <v/>
      </c>
      <c r="BL30" s="67" t="str">
        <f ca="1">IFERROR(IF(AND(ISNUMBER(Futs!$BZ30), ISNUMBER($BH30)), $BH30*42/100 - Futs!$BZ30, ""), "")</f>
        <v/>
      </c>
      <c r="BM30" s="47" t="str">
        <f t="shared" ca="1" si="131"/>
        <v/>
      </c>
      <c r="BN30" s="111" t="str">
        <f t="shared" ca="1" si="132"/>
        <v/>
      </c>
      <c r="BO30" s="397" t="str">
        <f ca="1">IFERROR(INDEX(ICE[], MATCH("c3ew" &amp; TEXT(Crd!$A30, "mmmyy"), ICE[LongCode], 0), MATCH("ICE Theoretical Price", ICE[#Headers], 0)), "")</f>
        <v/>
      </c>
      <c r="BP30" s="364" t="str">
        <f ca="1">IFERROR(INDEX(ICE[], MATCH("c3ew" &amp; TEXT(NGL!$A30, "mmmyy"), ICE[LongCode], 0), MATCH("Text", ICE[#Headers], 0)), "")</f>
        <v xml:space="preserve"> /   |2x</v>
      </c>
      <c r="BQ30" s="46" t="str">
        <f t="shared" ca="1" si="103"/>
        <v/>
      </c>
      <c r="BR30" s="47" t="str">
        <f t="shared" ca="1" si="133"/>
        <v/>
      </c>
      <c r="BS30" s="46" t="str">
        <f t="shared" ca="1" si="134"/>
        <v/>
      </c>
      <c r="BT30" s="141" t="str">
        <f t="shared" ca="1" si="104"/>
        <v/>
      </c>
      <c r="BU30" s="46" t="str">
        <f t="shared" ca="1" si="105"/>
        <v/>
      </c>
      <c r="BV30" s="47" t="str">
        <f t="shared" ca="1" si="135"/>
        <v/>
      </c>
      <c r="BW30" s="46" t="str">
        <f t="shared" ca="1" si="136"/>
        <v/>
      </c>
      <c r="BX30" s="141" t="str">
        <f ca="1">IFERROR(IF(AND(ISNUMBER(Futs!$CC30), ISNUMBER($BT30)), $BT30/12.4 - Futs!$CC30, ""), "")</f>
        <v/>
      </c>
      <c r="BY30" s="67" t="str">
        <f t="shared" ca="1" si="106"/>
        <v/>
      </c>
      <c r="BZ30" s="47" t="str">
        <f t="shared" ca="1" si="137"/>
        <v/>
      </c>
      <c r="CA30" s="46" t="str">
        <f t="shared" ca="1" si="138"/>
        <v/>
      </c>
    </row>
    <row r="31" spans="1:79" x14ac:dyDescent="0.25">
      <c r="A31" s="58">
        <f t="shared" ca="1" si="107"/>
        <v>46631</v>
      </c>
      <c r="B31" s="6">
        <f t="shared" ca="1" si="89"/>
        <v>2027</v>
      </c>
      <c r="C31" s="6" t="str">
        <f t="shared" ca="1" si="91"/>
        <v>Q327</v>
      </c>
      <c r="D31" s="28">
        <f ca="1">INDEX(ICE[], MATCH(D$18 &amp; TEXT(NGL!$A31, "mmmyy"), ICE[LongCode], 0), MATCH("Settle", ICE[#Headers], 0))</f>
        <v>-132.42699999999999</v>
      </c>
      <c r="E31" s="28">
        <f ca="1">INDEX(ICE[], MATCH(E$18 &amp; TEXT(NGL!$A31, "mmmyy"), ICE[LongCode], 0), MATCH("Settle", ICE[#Headers], 0))*100</f>
        <v>72.25</v>
      </c>
      <c r="F31" s="28">
        <f ca="1">INDEX(ICE[], MATCH(F$18 &amp; TEXT(NGL!$A31, "mmmyy"), ICE[LongCode], 0), MATCH("Settle", ICE[#Headers], 0))*100</f>
        <v>90</v>
      </c>
      <c r="G31" s="28">
        <f ca="1">INDEX(ICE[], MATCH(G$18 &amp; TEXT(NGL!$A31, "mmmyy"), ICE[LongCode], 0), MATCH("Settle", ICE[#Headers], 0))*100</f>
        <v>98.125</v>
      </c>
      <c r="H31" s="28">
        <f ca="1">INDEX(ICE[], MATCH(H$18 &amp; TEXT(NGL!$A31, "mmmyy"), ICE[LongCode], 0), MATCH("Settle", ICE[#Headers], 0))*100</f>
        <v>152.25</v>
      </c>
      <c r="I31" s="28">
        <f ca="1">INDEX(ICE[], MATCH(I$18 &amp; TEXT(NGL!$A31, "mmmyy"), ICE[LongCode], 0), MATCH("Settle", ICE[#Headers], 0))</f>
        <v>80.75</v>
      </c>
      <c r="J31" s="397" t="str">
        <f ca="1">IFERROR(INDEX(ICE[], MATCH("propnap" &amp; TEXT(Crd!$A31, "mmmyy"), ICE[LongCode], 0), MATCH("ICE Theoretical Price", ICE[#Headers], 0)), "")</f>
        <v/>
      </c>
      <c r="K31" s="364" t="str">
        <f ca="1">IFERROR(INDEX(ICE[], MATCH("propnap" &amp; TEXT(NGL!$A31, "mmmyy"), ICE[LongCode], 0), MATCH("Text", ICE[#Headers], 0)), "")</f>
        <v xml:space="preserve"> /  </v>
      </c>
      <c r="L31" s="46" t="str">
        <f t="shared" ca="1" si="90"/>
        <v/>
      </c>
      <c r="M31" s="47" t="str">
        <f t="shared" ca="1" si="92"/>
        <v/>
      </c>
      <c r="N31" s="46" t="str">
        <f t="shared" ca="1" si="108"/>
        <v/>
      </c>
      <c r="O31" s="141" t="str">
        <f ca="1">IFERROR(IF(AND(ISNUMBER(Lts!$N31), ISNUMBER($J31)), Lts!$N31 + $J31, ""), "")</f>
        <v/>
      </c>
      <c r="P31" s="46" t="str">
        <f ca="1">IFERROR(IF(AND(ISNUMBER(Lts!$O31), ISNUMBER($L31)), Lts!$O31 + $L31, ""), "")</f>
        <v/>
      </c>
      <c r="Q31" s="47" t="str">
        <f t="shared" ca="1" si="109"/>
        <v/>
      </c>
      <c r="R31" s="46" t="str">
        <f t="shared" ca="1" si="110"/>
        <v/>
      </c>
      <c r="S31" s="141" t="str">
        <f ca="1">IFERROR(IF(AND(ISNUMBER(Futs!$CC31), ISNUMBER($O31)), $O31/12.4 - Futs!$CC31, ""), "")</f>
        <v/>
      </c>
      <c r="T31" s="67" t="str">
        <f ca="1">IFERROR(IF(AND(ISNUMBER(Futs!$CD31), ISNUMBER($P31)), $P31/12.4 - Futs!$CD31, ""), "")</f>
        <v/>
      </c>
      <c r="U31" s="47" t="str">
        <f t="shared" ca="1" si="111"/>
        <v/>
      </c>
      <c r="V31" s="46" t="str">
        <f t="shared" ca="1" si="112"/>
        <v/>
      </c>
      <c r="W31" s="397" t="str">
        <f ca="1">IFERROR(INDEX(ICE[], MATCH("c3tet" &amp; TEXT(Crd!$A31, "mmmyy"), ICE[LongCode], 0), MATCH("ICE Theoretical Price", ICE[#Headers], 0))*100, "")</f>
        <v/>
      </c>
      <c r="X31" s="364" t="str">
        <f ca="1">IFERROR(INDEX(ICE[], MATCH("c3tet" &amp; TEXT(NGL!$A31, "mmmyy"), ICE[LongCode], 0), MATCH("Text", ICE[#Headers], 0)), "")</f>
        <v xml:space="preserve"> /  </v>
      </c>
      <c r="Y31" s="46" t="str">
        <f t="shared" ca="1" si="93"/>
        <v/>
      </c>
      <c r="Z31" s="47" t="str">
        <f t="shared" ca="1" si="113"/>
        <v/>
      </c>
      <c r="AA31" s="46" t="str">
        <f t="shared" ca="1" si="114"/>
        <v/>
      </c>
      <c r="AB31" s="141" t="str">
        <f ca="1">IFERROR(IF(AND(ISNUMBER(Futs!$BY31), ISNUMBER($W31)), $W31*42/100 - Futs!$BY31, ""), "")</f>
        <v/>
      </c>
      <c r="AC31" s="67" t="str">
        <f ca="1">IFERROR(IF(AND(ISNUMBER(Futs!$BZ31), ISNUMBER($Y31)), $Y31*42/100 - Futs!$BZ31, ""), "")</f>
        <v/>
      </c>
      <c r="AD31" s="47" t="str">
        <f t="shared" ca="1" si="115"/>
        <v/>
      </c>
      <c r="AE31" s="46" t="str">
        <f t="shared" ca="1" si="116"/>
        <v/>
      </c>
      <c r="AF31" s="141" t="str">
        <f t="shared" ca="1" si="94"/>
        <v/>
      </c>
      <c r="AG31" s="67" t="str">
        <f t="shared" ca="1" si="95"/>
        <v/>
      </c>
      <c r="AH31" s="47" t="str">
        <f t="shared" ca="1" si="117"/>
        <v/>
      </c>
      <c r="AI31" s="46" t="str">
        <f t="shared" ca="1" si="118"/>
        <v/>
      </c>
      <c r="AJ31" s="397" t="str">
        <f ca="1">IFERROR(INDEX(ICE[], MATCH("c4ntet" &amp; TEXT(Crd!$A31, "mmmyy"), ICE[LongCode], 0), MATCH("ICE Theoretical Price", ICE[#Headers], 0))*100, "")</f>
        <v/>
      </c>
      <c r="AK31" s="364" t="str">
        <f ca="1">IFERROR(INDEX(ICE[], MATCH("c4ntet" &amp; TEXT(NGL!$A31, "mmmyy"), ICE[LongCode], 0), MATCH("Text", ICE[#Headers], 0)), "")</f>
        <v xml:space="preserve"> /  </v>
      </c>
      <c r="AL31" s="46" t="str">
        <f t="shared" ca="1" si="96"/>
        <v/>
      </c>
      <c r="AM31" s="47" t="str">
        <f t="shared" ca="1" si="119"/>
        <v/>
      </c>
      <c r="AN31" s="46" t="str">
        <f t="shared" ca="1" si="120"/>
        <v/>
      </c>
      <c r="AO31" s="141" t="str">
        <f t="shared" ca="1" si="97"/>
        <v/>
      </c>
      <c r="AP31" s="46" t="str">
        <f t="shared" ca="1" si="98"/>
        <v/>
      </c>
      <c r="AQ31" s="47" t="str">
        <f t="shared" ca="1" si="121"/>
        <v/>
      </c>
      <c r="AR31" s="46" t="str">
        <f t="shared" ca="1" si="122"/>
        <v/>
      </c>
      <c r="AS31" s="141" t="str">
        <f ca="1">IFERROR(IF(AND(ISNUMBER(Futs!$BY31), ISNUMBER($AJ31)), $AJ31*42/100 - Futs!$BY31, ""), "")</f>
        <v/>
      </c>
      <c r="AT31" s="67" t="str">
        <f ca="1">IFERROR(IF(AND(ISNUMBER(Futs!$BZ31), ISNUMBER($AL31)), $AL31*42/100 - Futs!$BZ31, ""), "")</f>
        <v/>
      </c>
      <c r="AU31" s="47" t="str">
        <f t="shared" ca="1" si="123"/>
        <v/>
      </c>
      <c r="AV31" s="46" t="str">
        <f t="shared" ca="1" si="124"/>
        <v/>
      </c>
      <c r="AW31" s="397" t="str">
        <f ca="1">IFERROR(INDEX(ICE[], MATCH("ic4ntet" &amp; TEXT(Crd!$A31, "mmmyy"), ICE[LongCode], 0), MATCH("ICE Theoretical Price", ICE[#Headers], 0))*100, "")</f>
        <v/>
      </c>
      <c r="AX31" s="364" t="str">
        <f ca="1">IFERROR(INDEX(ICE[], MATCH("ic4ntet" &amp; TEXT(NGL!$A31, "mmmyy"), ICE[LongCode], 0), MATCH("Text", ICE[#Headers], 0)), "")</f>
        <v xml:space="preserve"> /  </v>
      </c>
      <c r="AY31" s="46" t="str">
        <f t="shared" ca="1" si="99"/>
        <v/>
      </c>
      <c r="AZ31" s="47" t="str">
        <f t="shared" ca="1" si="125"/>
        <v/>
      </c>
      <c r="BA31" s="46" t="str">
        <f t="shared" ca="1" si="126"/>
        <v/>
      </c>
      <c r="BB31" s="141" t="str">
        <f t="shared" ca="1" si="100"/>
        <v/>
      </c>
      <c r="BC31" s="46" t="str">
        <f t="shared" ca="1" si="101"/>
        <v/>
      </c>
      <c r="BD31" s="47" t="str">
        <f t="shared" ca="1" si="127"/>
        <v/>
      </c>
      <c r="BE31" s="46" t="str">
        <f t="shared" ca="1" si="128"/>
        <v/>
      </c>
      <c r="BF31" s="397" t="str">
        <f ca="1">IFERROR(INDEX(ICE[], MATCH("ngasntet" &amp; TEXT(Crd!$A31, "mmmyy"), ICE[LongCode], 0), MATCH("ICE Theoretical Price", ICE[#Headers], 0))*100, "")</f>
        <v/>
      </c>
      <c r="BG31" s="364" t="str">
        <f ca="1">IFERROR(INDEX(ICE[], MATCH("ngasntet" &amp; TEXT(NGL!$A31, "mmmyy"), ICE[LongCode], 0), MATCH("Text", ICE[#Headers], 0)), "")</f>
        <v xml:space="preserve"> /  </v>
      </c>
      <c r="BH31" s="46" t="str">
        <f t="shared" ca="1" si="102"/>
        <v/>
      </c>
      <c r="BI31" s="47" t="str">
        <f t="shared" ca="1" si="129"/>
        <v/>
      </c>
      <c r="BJ31" s="46" t="str">
        <f t="shared" ca="1" si="130"/>
        <v/>
      </c>
      <c r="BK31" s="141" t="str">
        <f ca="1">IFERROR(IF(AND(ISNUMBER(Futs!$BY31), ISNUMBER($BF31)), $BF31*42/100 - Futs!$BY31, ""), "")</f>
        <v/>
      </c>
      <c r="BL31" s="67" t="str">
        <f ca="1">IFERROR(IF(AND(ISNUMBER(Futs!$BZ31), ISNUMBER($BH31)), $BH31*42/100 - Futs!$BZ31, ""), "")</f>
        <v/>
      </c>
      <c r="BM31" s="47" t="str">
        <f t="shared" ca="1" si="131"/>
        <v/>
      </c>
      <c r="BN31" s="111" t="str">
        <f t="shared" ca="1" si="132"/>
        <v/>
      </c>
      <c r="BO31" s="397" t="str">
        <f ca="1">IFERROR(INDEX(ICE[], MATCH("c3ew" &amp; TEXT(Crd!$A31, "mmmyy"), ICE[LongCode], 0), MATCH("ICE Theoretical Price", ICE[#Headers], 0)), "")</f>
        <v/>
      </c>
      <c r="BP31" s="364" t="str">
        <f ca="1">IFERROR(INDEX(ICE[], MATCH("c3ew" &amp; TEXT(NGL!$A31, "mmmyy"), ICE[LongCode], 0), MATCH("Text", ICE[#Headers], 0)), "")</f>
        <v xml:space="preserve"> /   |2x</v>
      </c>
      <c r="BQ31" s="46" t="str">
        <f t="shared" ca="1" si="103"/>
        <v/>
      </c>
      <c r="BR31" s="47" t="str">
        <f t="shared" ca="1" si="133"/>
        <v/>
      </c>
      <c r="BS31" s="46" t="str">
        <f t="shared" ca="1" si="134"/>
        <v/>
      </c>
      <c r="BT31" s="141" t="str">
        <f t="shared" ca="1" si="104"/>
        <v/>
      </c>
      <c r="BU31" s="46" t="str">
        <f t="shared" ca="1" si="105"/>
        <v/>
      </c>
      <c r="BV31" s="47" t="str">
        <f t="shared" ca="1" si="135"/>
        <v/>
      </c>
      <c r="BW31" s="46" t="str">
        <f t="shared" ca="1" si="136"/>
        <v/>
      </c>
      <c r="BX31" s="141" t="str">
        <f ca="1">IFERROR(IF(AND(ISNUMBER(Futs!$CC31), ISNUMBER($BT31)), $BT31/12.4 - Futs!$CC31, ""), "")</f>
        <v/>
      </c>
      <c r="BY31" s="67" t="str">
        <f t="shared" ca="1" si="106"/>
        <v/>
      </c>
      <c r="BZ31" s="47" t="str">
        <f t="shared" ca="1" si="137"/>
        <v/>
      </c>
      <c r="CA31" s="46" t="str">
        <f t="shared" ca="1" si="138"/>
        <v/>
      </c>
    </row>
    <row r="32" spans="1:79" x14ac:dyDescent="0.25">
      <c r="A32" s="58">
        <f t="shared" ca="1" si="107"/>
        <v>46661</v>
      </c>
      <c r="B32" s="6">
        <f t="shared" ca="1" si="89"/>
        <v>2027</v>
      </c>
      <c r="C32" s="6" t="str">
        <f t="shared" ca="1" si="91"/>
        <v>Q427</v>
      </c>
      <c r="D32" s="28">
        <f ca="1">INDEX(ICE[], MATCH(D$18 &amp; TEXT(NGL!$A32, "mmmyy"), ICE[LongCode], 0), MATCH("Settle", ICE[#Headers], 0))</f>
        <v>-122.42100000000001</v>
      </c>
      <c r="E32" s="28">
        <f ca="1">INDEX(ICE[], MATCH(E$18 &amp; TEXT(NGL!$A32, "mmmyy"), ICE[LongCode], 0), MATCH("Settle", ICE[#Headers], 0))*100</f>
        <v>73</v>
      </c>
      <c r="F32" s="28">
        <f ca="1">INDEX(ICE[], MATCH(F$18 &amp; TEXT(NGL!$A32, "mmmyy"), ICE[LongCode], 0), MATCH("Settle", ICE[#Headers], 0))*100</f>
        <v>90.625</v>
      </c>
      <c r="G32" s="28">
        <f ca="1">INDEX(ICE[], MATCH(G$18 &amp; TEXT(NGL!$A32, "mmmyy"), ICE[LongCode], 0), MATCH("Settle", ICE[#Headers], 0))*100</f>
        <v>94.25</v>
      </c>
      <c r="H32" s="28">
        <f ca="1">INDEX(ICE[], MATCH(H$18 &amp; TEXT(NGL!$A32, "mmmyy"), ICE[LongCode], 0), MATCH("Settle", ICE[#Headers], 0))*100</f>
        <v>151.375</v>
      </c>
      <c r="I32" s="28">
        <f ca="1">INDEX(ICE[], MATCH(I$18 &amp; TEXT(NGL!$A32, "mmmyy"), ICE[LongCode], 0), MATCH("Settle", ICE[#Headers], 0))</f>
        <v>80.150000000000006</v>
      </c>
      <c r="J32" s="397" t="str">
        <f ca="1">IFERROR(INDEX(ICE[], MATCH("propnap" &amp; TEXT(Crd!$A32, "mmmyy"), ICE[LongCode], 0), MATCH("ICE Theoretical Price", ICE[#Headers], 0)), "")</f>
        <v/>
      </c>
      <c r="K32" s="364" t="str">
        <f ca="1">IFERROR(INDEX(ICE[], MATCH("propnap" &amp; TEXT(NGL!$A32, "mmmyy"), ICE[LongCode], 0), MATCH("Text", ICE[#Headers], 0)), "")</f>
        <v xml:space="preserve"> /  </v>
      </c>
      <c r="L32" s="46" t="str">
        <f t="shared" ca="1" si="90"/>
        <v/>
      </c>
      <c r="M32" s="47" t="str">
        <f t="shared" ca="1" si="92"/>
        <v/>
      </c>
      <c r="N32" s="46" t="str">
        <f t="shared" ca="1" si="108"/>
        <v/>
      </c>
      <c r="O32" s="141" t="str">
        <f ca="1">IFERROR(IF(AND(ISNUMBER(Lts!$N32), ISNUMBER($J32)), Lts!$N32 + $J32, ""), "")</f>
        <v/>
      </c>
      <c r="P32" s="46" t="str">
        <f ca="1">IFERROR(IF(AND(ISNUMBER(Lts!$O32), ISNUMBER($L32)), Lts!$O32 + $L32, ""), "")</f>
        <v/>
      </c>
      <c r="Q32" s="47" t="str">
        <f t="shared" ca="1" si="109"/>
        <v/>
      </c>
      <c r="R32" s="46" t="str">
        <f t="shared" ca="1" si="110"/>
        <v/>
      </c>
      <c r="S32" s="141" t="str">
        <f ca="1">IFERROR(IF(AND(ISNUMBER(Futs!$CC32), ISNUMBER($O32)), $O32/12.4 - Futs!$CC32, ""), "")</f>
        <v/>
      </c>
      <c r="T32" s="67" t="str">
        <f ca="1">IFERROR(IF(AND(ISNUMBER(Futs!$CD32), ISNUMBER($P32)), $P32/12.4 - Futs!$CD32, ""), "")</f>
        <v/>
      </c>
      <c r="U32" s="47" t="str">
        <f t="shared" ca="1" si="111"/>
        <v/>
      </c>
      <c r="V32" s="46" t="str">
        <f t="shared" ca="1" si="112"/>
        <v/>
      </c>
      <c r="W32" s="397" t="str">
        <f ca="1">IFERROR(INDEX(ICE[], MATCH("c3tet" &amp; TEXT(Crd!$A32, "mmmyy"), ICE[LongCode], 0), MATCH("ICE Theoretical Price", ICE[#Headers], 0))*100, "")</f>
        <v/>
      </c>
      <c r="X32" s="364" t="str">
        <f ca="1">IFERROR(INDEX(ICE[], MATCH("c3tet" &amp; TEXT(NGL!$A32, "mmmyy"), ICE[LongCode], 0), MATCH("Text", ICE[#Headers], 0)), "")</f>
        <v xml:space="preserve"> /  </v>
      </c>
      <c r="Y32" s="46" t="str">
        <f t="shared" ca="1" si="93"/>
        <v/>
      </c>
      <c r="Z32" s="47" t="str">
        <f t="shared" ca="1" si="113"/>
        <v/>
      </c>
      <c r="AA32" s="46" t="str">
        <f t="shared" ca="1" si="114"/>
        <v/>
      </c>
      <c r="AB32" s="141" t="str">
        <f ca="1">IFERROR(IF(AND(ISNUMBER(Futs!$BY32), ISNUMBER($W32)), $W32*42/100 - Futs!$BY32, ""), "")</f>
        <v/>
      </c>
      <c r="AC32" s="67" t="str">
        <f ca="1">IFERROR(IF(AND(ISNUMBER(Futs!$BZ32), ISNUMBER($Y32)), $Y32*42/100 - Futs!$BZ32, ""), "")</f>
        <v/>
      </c>
      <c r="AD32" s="47" t="str">
        <f t="shared" ca="1" si="115"/>
        <v/>
      </c>
      <c r="AE32" s="46" t="str">
        <f t="shared" ca="1" si="116"/>
        <v/>
      </c>
      <c r="AF32" s="141" t="str">
        <f t="shared" ca="1" si="94"/>
        <v/>
      </c>
      <c r="AG32" s="67" t="str">
        <f t="shared" ca="1" si="95"/>
        <v/>
      </c>
      <c r="AH32" s="47" t="str">
        <f t="shared" ca="1" si="117"/>
        <v/>
      </c>
      <c r="AI32" s="46" t="str">
        <f t="shared" ca="1" si="118"/>
        <v/>
      </c>
      <c r="AJ32" s="397" t="str">
        <f ca="1">IFERROR(INDEX(ICE[], MATCH("c4ntet" &amp; TEXT(Crd!$A32, "mmmyy"), ICE[LongCode], 0), MATCH("ICE Theoretical Price", ICE[#Headers], 0))*100, "")</f>
        <v/>
      </c>
      <c r="AK32" s="364" t="str">
        <f ca="1">IFERROR(INDEX(ICE[], MATCH("c4ntet" &amp; TEXT(NGL!$A32, "mmmyy"), ICE[LongCode], 0), MATCH("Text", ICE[#Headers], 0)), "")</f>
        <v xml:space="preserve"> /  </v>
      </c>
      <c r="AL32" s="46" t="str">
        <f t="shared" ca="1" si="96"/>
        <v/>
      </c>
      <c r="AM32" s="47" t="str">
        <f t="shared" ca="1" si="119"/>
        <v/>
      </c>
      <c r="AN32" s="46" t="str">
        <f t="shared" ca="1" si="120"/>
        <v/>
      </c>
      <c r="AO32" s="141" t="str">
        <f t="shared" ca="1" si="97"/>
        <v/>
      </c>
      <c r="AP32" s="46" t="str">
        <f t="shared" ca="1" si="98"/>
        <v/>
      </c>
      <c r="AQ32" s="47" t="str">
        <f t="shared" ca="1" si="121"/>
        <v/>
      </c>
      <c r="AR32" s="46" t="str">
        <f t="shared" ca="1" si="122"/>
        <v/>
      </c>
      <c r="AS32" s="141" t="str">
        <f ca="1">IFERROR(IF(AND(ISNUMBER(Futs!$BY32), ISNUMBER($AJ32)), $AJ32*42/100 - Futs!$BY32, ""), "")</f>
        <v/>
      </c>
      <c r="AT32" s="67" t="str">
        <f ca="1">IFERROR(IF(AND(ISNUMBER(Futs!$BZ32), ISNUMBER($AL32)), $AL32*42/100 - Futs!$BZ32, ""), "")</f>
        <v/>
      </c>
      <c r="AU32" s="47" t="str">
        <f t="shared" ca="1" si="123"/>
        <v/>
      </c>
      <c r="AV32" s="46" t="str">
        <f t="shared" ca="1" si="124"/>
        <v/>
      </c>
      <c r="AW32" s="397" t="str">
        <f ca="1">IFERROR(INDEX(ICE[], MATCH("ic4ntet" &amp; TEXT(Crd!$A32, "mmmyy"), ICE[LongCode], 0), MATCH("ICE Theoretical Price", ICE[#Headers], 0))*100, "")</f>
        <v/>
      </c>
      <c r="AX32" s="364" t="str">
        <f ca="1">IFERROR(INDEX(ICE[], MATCH("ic4ntet" &amp; TEXT(NGL!$A32, "mmmyy"), ICE[LongCode], 0), MATCH("Text", ICE[#Headers], 0)), "")</f>
        <v xml:space="preserve"> /  </v>
      </c>
      <c r="AY32" s="46" t="str">
        <f t="shared" ca="1" si="99"/>
        <v/>
      </c>
      <c r="AZ32" s="47" t="str">
        <f t="shared" ca="1" si="125"/>
        <v/>
      </c>
      <c r="BA32" s="46" t="str">
        <f t="shared" ca="1" si="126"/>
        <v/>
      </c>
      <c r="BB32" s="141" t="str">
        <f t="shared" ca="1" si="100"/>
        <v/>
      </c>
      <c r="BC32" s="46" t="str">
        <f t="shared" ca="1" si="101"/>
        <v/>
      </c>
      <c r="BD32" s="47" t="str">
        <f t="shared" ca="1" si="127"/>
        <v/>
      </c>
      <c r="BE32" s="46" t="str">
        <f t="shared" ca="1" si="128"/>
        <v/>
      </c>
      <c r="BF32" s="397" t="str">
        <f ca="1">IFERROR(INDEX(ICE[], MATCH("ngasntet" &amp; TEXT(Crd!$A32, "mmmyy"), ICE[LongCode], 0), MATCH("ICE Theoretical Price", ICE[#Headers], 0))*100, "")</f>
        <v/>
      </c>
      <c r="BG32" s="364" t="str">
        <f ca="1">IFERROR(INDEX(ICE[], MATCH("ngasntet" &amp; TEXT(NGL!$A32, "mmmyy"), ICE[LongCode], 0), MATCH("Text", ICE[#Headers], 0)), "")</f>
        <v xml:space="preserve"> /  </v>
      </c>
      <c r="BH32" s="46" t="str">
        <f t="shared" ca="1" si="102"/>
        <v/>
      </c>
      <c r="BI32" s="47" t="str">
        <f t="shared" ca="1" si="129"/>
        <v/>
      </c>
      <c r="BJ32" s="46" t="str">
        <f t="shared" ca="1" si="130"/>
        <v/>
      </c>
      <c r="BK32" s="141" t="str">
        <f ca="1">IFERROR(IF(AND(ISNUMBER(Futs!$BY32), ISNUMBER($BF32)), $BF32*42/100 - Futs!$BY32, ""), "")</f>
        <v/>
      </c>
      <c r="BL32" s="67" t="str">
        <f ca="1">IFERROR(IF(AND(ISNUMBER(Futs!$BZ32), ISNUMBER($BH32)), $BH32*42/100 - Futs!$BZ32, ""), "")</f>
        <v/>
      </c>
      <c r="BM32" s="47" t="str">
        <f t="shared" ca="1" si="131"/>
        <v/>
      </c>
      <c r="BN32" s="111" t="str">
        <f t="shared" ca="1" si="132"/>
        <v/>
      </c>
      <c r="BO32" s="397" t="str">
        <f ca="1">IFERROR(INDEX(ICE[], MATCH("c3ew" &amp; TEXT(Crd!$A32, "mmmyy"), ICE[LongCode], 0), MATCH("ICE Theoretical Price", ICE[#Headers], 0)), "")</f>
        <v/>
      </c>
      <c r="BP32" s="364" t="str">
        <f ca="1">IFERROR(INDEX(ICE[], MATCH("c3ew" &amp; TEXT(NGL!$A32, "mmmyy"), ICE[LongCode], 0), MATCH("Text", ICE[#Headers], 0)), "")</f>
        <v xml:space="preserve"> /   |2x</v>
      </c>
      <c r="BQ32" s="46" t="str">
        <f t="shared" ca="1" si="103"/>
        <v/>
      </c>
      <c r="BR32" s="47" t="str">
        <f t="shared" ca="1" si="133"/>
        <v/>
      </c>
      <c r="BS32" s="46" t="str">
        <f t="shared" ca="1" si="134"/>
        <v/>
      </c>
      <c r="BT32" s="141" t="str">
        <f t="shared" ca="1" si="104"/>
        <v/>
      </c>
      <c r="BU32" s="46" t="str">
        <f t="shared" ca="1" si="105"/>
        <v/>
      </c>
      <c r="BV32" s="47" t="str">
        <f t="shared" ca="1" si="135"/>
        <v/>
      </c>
      <c r="BW32" s="46" t="str">
        <f t="shared" ca="1" si="136"/>
        <v/>
      </c>
      <c r="BX32" s="141" t="str">
        <f ca="1">IFERROR(IF(AND(ISNUMBER(Futs!$CC32), ISNUMBER($BT32)), $BT32/12.4 - Futs!$CC32, ""), "")</f>
        <v/>
      </c>
      <c r="BY32" s="67" t="str">
        <f t="shared" ca="1" si="106"/>
        <v/>
      </c>
      <c r="BZ32" s="47" t="str">
        <f t="shared" ca="1" si="137"/>
        <v/>
      </c>
      <c r="CA32" s="46" t="str">
        <f t="shared" ca="1" si="138"/>
        <v/>
      </c>
    </row>
    <row r="33" spans="1:79" x14ac:dyDescent="0.25">
      <c r="A33" s="58">
        <f t="shared" ca="1" si="107"/>
        <v>46692</v>
      </c>
      <c r="B33" s="6">
        <f t="shared" ca="1" si="89"/>
        <v>2027</v>
      </c>
      <c r="C33" s="6" t="str">
        <f t="shared" ca="1" si="91"/>
        <v>Q427</v>
      </c>
      <c r="D33" s="28">
        <f ca="1">INDEX(ICE[], MATCH(D$18 &amp; TEXT(NGL!$A33, "mmmyy"), ICE[LongCode], 0), MATCH("Settle", ICE[#Headers], 0))</f>
        <v>-112.92700000000001</v>
      </c>
      <c r="E33" s="28">
        <f ca="1">INDEX(ICE[], MATCH(E$18 &amp; TEXT(NGL!$A33, "mmmyy"), ICE[LongCode], 0), MATCH("Settle", ICE[#Headers], 0))*100</f>
        <v>73.5</v>
      </c>
      <c r="F33" s="28">
        <f ca="1">INDEX(ICE[], MATCH(F$18 &amp; TEXT(NGL!$A33, "mmmyy"), ICE[LongCode], 0), MATCH("Settle", ICE[#Headers], 0))*100</f>
        <v>91.125</v>
      </c>
      <c r="G33" s="28">
        <f ca="1">INDEX(ICE[], MATCH(G$18 &amp; TEXT(NGL!$A33, "mmmyy"), ICE[LongCode], 0), MATCH("Settle", ICE[#Headers], 0))*100</f>
        <v>93.375</v>
      </c>
      <c r="H33" s="28">
        <f ca="1">INDEX(ICE[], MATCH(H$18 &amp; TEXT(NGL!$A33, "mmmyy"), ICE[LongCode], 0), MATCH("Settle", ICE[#Headers], 0))*100</f>
        <v>150.5</v>
      </c>
      <c r="I33" s="28">
        <f ca="1">INDEX(ICE[], MATCH(I$18 &amp; TEXT(NGL!$A33, "mmmyy"), ICE[LongCode], 0), MATCH("Settle", ICE[#Headers], 0))</f>
        <v>79.25</v>
      </c>
      <c r="J33" s="397" t="str">
        <f ca="1">IFERROR(INDEX(ICE[], MATCH("propnap" &amp; TEXT(Crd!$A33, "mmmyy"), ICE[LongCode], 0), MATCH("ICE Theoretical Price", ICE[#Headers], 0)), "")</f>
        <v/>
      </c>
      <c r="K33" s="364" t="str">
        <f ca="1">IFERROR(INDEX(ICE[], MATCH("propnap" &amp; TEXT(NGL!$A33, "mmmyy"), ICE[LongCode], 0), MATCH("Text", ICE[#Headers], 0)), "")</f>
        <v xml:space="preserve"> /  </v>
      </c>
      <c r="L33" s="46" t="str">
        <f t="shared" ca="1" si="90"/>
        <v/>
      </c>
      <c r="M33" s="47" t="str">
        <f t="shared" ca="1" si="92"/>
        <v/>
      </c>
      <c r="N33" s="46" t="str">
        <f t="shared" ca="1" si="108"/>
        <v/>
      </c>
      <c r="O33" s="141" t="str">
        <f ca="1">IFERROR(IF(AND(ISNUMBER(Lts!$N33), ISNUMBER($J33)), Lts!$N33 + $J33, ""), "")</f>
        <v/>
      </c>
      <c r="P33" s="46" t="str">
        <f ca="1">IFERROR(IF(AND(ISNUMBER(Lts!$O33), ISNUMBER($L33)), Lts!$O33 + $L33, ""), "")</f>
        <v/>
      </c>
      <c r="Q33" s="47" t="str">
        <f t="shared" ca="1" si="109"/>
        <v/>
      </c>
      <c r="R33" s="46" t="str">
        <f t="shared" ca="1" si="110"/>
        <v/>
      </c>
      <c r="S33" s="141" t="str">
        <f ca="1">IFERROR(IF(AND(ISNUMBER(Futs!$CC33), ISNUMBER($O33)), $O33/12.4 - Futs!$CC33, ""), "")</f>
        <v/>
      </c>
      <c r="T33" s="67" t="str">
        <f ca="1">IFERROR(IF(AND(ISNUMBER(Futs!$CD33), ISNUMBER($P33)), $P33/12.4 - Futs!$CD33, ""), "")</f>
        <v/>
      </c>
      <c r="U33" s="47" t="str">
        <f t="shared" ca="1" si="111"/>
        <v/>
      </c>
      <c r="V33" s="46" t="str">
        <f t="shared" ca="1" si="112"/>
        <v/>
      </c>
      <c r="W33" s="397" t="str">
        <f ca="1">IFERROR(INDEX(ICE[], MATCH("c3tet" &amp; TEXT(Crd!$A33, "mmmyy"), ICE[LongCode], 0), MATCH("ICE Theoretical Price", ICE[#Headers], 0))*100, "")</f>
        <v/>
      </c>
      <c r="X33" s="364" t="str">
        <f ca="1">IFERROR(INDEX(ICE[], MATCH("c3tet" &amp; TEXT(NGL!$A33, "mmmyy"), ICE[LongCode], 0), MATCH("Text", ICE[#Headers], 0)), "")</f>
        <v xml:space="preserve"> /  </v>
      </c>
      <c r="Y33" s="46" t="str">
        <f t="shared" ca="1" si="93"/>
        <v/>
      </c>
      <c r="Z33" s="47" t="str">
        <f t="shared" ca="1" si="113"/>
        <v/>
      </c>
      <c r="AA33" s="46" t="str">
        <f t="shared" ca="1" si="114"/>
        <v/>
      </c>
      <c r="AB33" s="141" t="str">
        <f ca="1">IFERROR(IF(AND(ISNUMBER(Futs!$BY33), ISNUMBER($W33)), $W33*42/100 - Futs!$BY33, ""), "")</f>
        <v/>
      </c>
      <c r="AC33" s="67" t="str">
        <f ca="1">IFERROR(IF(AND(ISNUMBER(Futs!$BZ33), ISNUMBER($Y33)), $Y33*42/100 - Futs!$BZ33, ""), "")</f>
        <v/>
      </c>
      <c r="AD33" s="47" t="str">
        <f t="shared" ca="1" si="115"/>
        <v/>
      </c>
      <c r="AE33" s="46" t="str">
        <f t="shared" ca="1" si="116"/>
        <v/>
      </c>
      <c r="AF33" s="141" t="str">
        <f t="shared" ca="1" si="94"/>
        <v/>
      </c>
      <c r="AG33" s="67" t="str">
        <f t="shared" ca="1" si="95"/>
        <v/>
      </c>
      <c r="AH33" s="47" t="str">
        <f t="shared" ca="1" si="117"/>
        <v/>
      </c>
      <c r="AI33" s="46" t="str">
        <f t="shared" ca="1" si="118"/>
        <v/>
      </c>
      <c r="AJ33" s="397" t="str">
        <f ca="1">IFERROR(INDEX(ICE[], MATCH("c4ntet" &amp; TEXT(Crd!$A33, "mmmyy"), ICE[LongCode], 0), MATCH("ICE Theoretical Price", ICE[#Headers], 0))*100, "")</f>
        <v/>
      </c>
      <c r="AK33" s="364" t="str">
        <f ca="1">IFERROR(INDEX(ICE[], MATCH("c4ntet" &amp; TEXT(NGL!$A33, "mmmyy"), ICE[LongCode], 0), MATCH("Text", ICE[#Headers], 0)), "")</f>
        <v xml:space="preserve"> /  </v>
      </c>
      <c r="AL33" s="46" t="str">
        <f t="shared" ca="1" si="96"/>
        <v/>
      </c>
      <c r="AM33" s="47" t="str">
        <f t="shared" ca="1" si="119"/>
        <v/>
      </c>
      <c r="AN33" s="46" t="str">
        <f t="shared" ca="1" si="120"/>
        <v/>
      </c>
      <c r="AO33" s="141" t="str">
        <f t="shared" ca="1" si="97"/>
        <v/>
      </c>
      <c r="AP33" s="46" t="str">
        <f t="shared" ca="1" si="98"/>
        <v/>
      </c>
      <c r="AQ33" s="47" t="str">
        <f t="shared" ca="1" si="121"/>
        <v/>
      </c>
      <c r="AR33" s="46" t="str">
        <f t="shared" ca="1" si="122"/>
        <v/>
      </c>
      <c r="AS33" s="141" t="str">
        <f ca="1">IFERROR(IF(AND(ISNUMBER(Futs!$BY33), ISNUMBER($AJ33)), $AJ33*42/100 - Futs!$BY33, ""), "")</f>
        <v/>
      </c>
      <c r="AT33" s="67" t="str">
        <f ca="1">IFERROR(IF(AND(ISNUMBER(Futs!$BZ33), ISNUMBER($AL33)), $AL33*42/100 - Futs!$BZ33, ""), "")</f>
        <v/>
      </c>
      <c r="AU33" s="47" t="str">
        <f t="shared" ca="1" si="123"/>
        <v/>
      </c>
      <c r="AV33" s="46" t="str">
        <f t="shared" ca="1" si="124"/>
        <v/>
      </c>
      <c r="AW33" s="397" t="str">
        <f ca="1">IFERROR(INDEX(ICE[], MATCH("ic4ntet" &amp; TEXT(Crd!$A33, "mmmyy"), ICE[LongCode], 0), MATCH("ICE Theoretical Price", ICE[#Headers], 0))*100, "")</f>
        <v/>
      </c>
      <c r="AX33" s="364" t="str">
        <f ca="1">IFERROR(INDEX(ICE[], MATCH("ic4ntet" &amp; TEXT(NGL!$A33, "mmmyy"), ICE[LongCode], 0), MATCH("Text", ICE[#Headers], 0)), "")</f>
        <v xml:space="preserve"> /  </v>
      </c>
      <c r="AY33" s="46" t="str">
        <f t="shared" ca="1" si="99"/>
        <v/>
      </c>
      <c r="AZ33" s="47" t="str">
        <f t="shared" ca="1" si="125"/>
        <v/>
      </c>
      <c r="BA33" s="46" t="str">
        <f t="shared" ca="1" si="126"/>
        <v/>
      </c>
      <c r="BB33" s="141" t="str">
        <f t="shared" ca="1" si="100"/>
        <v/>
      </c>
      <c r="BC33" s="46" t="str">
        <f t="shared" ca="1" si="101"/>
        <v/>
      </c>
      <c r="BD33" s="47" t="str">
        <f t="shared" ca="1" si="127"/>
        <v/>
      </c>
      <c r="BE33" s="46" t="str">
        <f t="shared" ca="1" si="128"/>
        <v/>
      </c>
      <c r="BF33" s="397" t="str">
        <f ca="1">IFERROR(INDEX(ICE[], MATCH("ngasntet" &amp; TEXT(Crd!$A33, "mmmyy"), ICE[LongCode], 0), MATCH("ICE Theoretical Price", ICE[#Headers], 0))*100, "")</f>
        <v/>
      </c>
      <c r="BG33" s="364" t="str">
        <f ca="1">IFERROR(INDEX(ICE[], MATCH("ngasntet" &amp; TEXT(NGL!$A33, "mmmyy"), ICE[LongCode], 0), MATCH("Text", ICE[#Headers], 0)), "")</f>
        <v xml:space="preserve"> /  </v>
      </c>
      <c r="BH33" s="46" t="str">
        <f t="shared" ca="1" si="102"/>
        <v/>
      </c>
      <c r="BI33" s="47" t="str">
        <f t="shared" ca="1" si="129"/>
        <v/>
      </c>
      <c r="BJ33" s="46" t="str">
        <f t="shared" ca="1" si="130"/>
        <v/>
      </c>
      <c r="BK33" s="141" t="str">
        <f ca="1">IFERROR(IF(AND(ISNUMBER(Futs!$BY33), ISNUMBER($BF33)), $BF33*42/100 - Futs!$BY33, ""), "")</f>
        <v/>
      </c>
      <c r="BL33" s="67" t="str">
        <f ca="1">IFERROR(IF(AND(ISNUMBER(Futs!$BZ33), ISNUMBER($BH33)), $BH33*42/100 - Futs!$BZ33, ""), "")</f>
        <v/>
      </c>
      <c r="BM33" s="47" t="str">
        <f t="shared" ca="1" si="131"/>
        <v/>
      </c>
      <c r="BN33" s="111" t="str">
        <f t="shared" ca="1" si="132"/>
        <v/>
      </c>
      <c r="BO33" s="397" t="str">
        <f ca="1">IFERROR(INDEX(ICE[], MATCH("c3ew" &amp; TEXT(Crd!$A33, "mmmyy"), ICE[LongCode], 0), MATCH("ICE Theoretical Price", ICE[#Headers], 0)), "")</f>
        <v/>
      </c>
      <c r="BP33" s="364" t="str">
        <f ca="1">IFERROR(INDEX(ICE[], MATCH("c3ew" &amp; TEXT(NGL!$A33, "mmmyy"), ICE[LongCode], 0), MATCH("Text", ICE[#Headers], 0)), "")</f>
        <v xml:space="preserve"> /   |2x</v>
      </c>
      <c r="BQ33" s="46" t="str">
        <f t="shared" ca="1" si="103"/>
        <v/>
      </c>
      <c r="BR33" s="47" t="str">
        <f t="shared" ca="1" si="133"/>
        <v/>
      </c>
      <c r="BS33" s="46" t="str">
        <f t="shared" ca="1" si="134"/>
        <v/>
      </c>
      <c r="BT33" s="141" t="str">
        <f t="shared" ca="1" si="104"/>
        <v/>
      </c>
      <c r="BU33" s="46" t="str">
        <f t="shared" ca="1" si="105"/>
        <v/>
      </c>
      <c r="BV33" s="47" t="str">
        <f t="shared" ca="1" si="135"/>
        <v/>
      </c>
      <c r="BW33" s="46" t="str">
        <f t="shared" ca="1" si="136"/>
        <v/>
      </c>
      <c r="BX33" s="141" t="str">
        <f ca="1">IFERROR(IF(AND(ISNUMBER(Futs!$CC33), ISNUMBER($BT33)), $BT33/12.4 - Futs!$CC33, ""), "")</f>
        <v/>
      </c>
      <c r="BY33" s="67" t="str">
        <f t="shared" ca="1" si="106"/>
        <v/>
      </c>
      <c r="BZ33" s="47" t="str">
        <f t="shared" ca="1" si="137"/>
        <v/>
      </c>
      <c r="CA33" s="46" t="str">
        <f t="shared" ca="1" si="138"/>
        <v/>
      </c>
    </row>
    <row r="34" spans="1:79" x14ac:dyDescent="0.25">
      <c r="A34" s="58">
        <f t="shared" ca="1" si="107"/>
        <v>46722</v>
      </c>
      <c r="B34" s="6">
        <f t="shared" ca="1" si="89"/>
        <v>2027</v>
      </c>
      <c r="C34" s="6" t="str">
        <f t="shared" ca="1" si="91"/>
        <v>Q427</v>
      </c>
      <c r="D34" s="28">
        <f ca="1">INDEX(ICE[], MATCH(D$18 &amp; TEXT(NGL!$A34, "mmmyy"), ICE[LongCode], 0), MATCH("Settle", ICE[#Headers], 0))</f>
        <v>-105.274</v>
      </c>
      <c r="E34" s="28">
        <f ca="1">INDEX(ICE[], MATCH(E$18 &amp; TEXT(NGL!$A34, "mmmyy"), ICE[LongCode], 0), MATCH("Settle", ICE[#Headers], 0))*100</f>
        <v>73.875</v>
      </c>
      <c r="F34" s="28">
        <f ca="1">INDEX(ICE[], MATCH(F$18 &amp; TEXT(NGL!$A34, "mmmyy"), ICE[LongCode], 0), MATCH("Settle", ICE[#Headers], 0))*100</f>
        <v>91.250000000000014</v>
      </c>
      <c r="G34" s="28">
        <f ca="1">INDEX(ICE[], MATCH(G$18 &amp; TEXT(NGL!$A34, "mmmyy"), ICE[LongCode], 0), MATCH("Settle", ICE[#Headers], 0))*100</f>
        <v>93.5</v>
      </c>
      <c r="H34" s="28">
        <f ca="1">INDEX(ICE[], MATCH(H$18 &amp; TEXT(NGL!$A34, "mmmyy"), ICE[LongCode], 0), MATCH("Settle", ICE[#Headers], 0))*100</f>
        <v>149.5</v>
      </c>
      <c r="I34" s="28">
        <f ca="1">INDEX(ICE[], MATCH(I$18 &amp; TEXT(NGL!$A34, "mmmyy"), ICE[LongCode], 0), MATCH("Settle", ICE[#Headers], 0))</f>
        <v>77.55</v>
      </c>
      <c r="J34" s="397" t="str">
        <f ca="1">IFERROR(INDEX(ICE[], MATCH("propnap" &amp; TEXT(Crd!$A34, "mmmyy"), ICE[LongCode], 0), MATCH("ICE Theoretical Price", ICE[#Headers], 0)), "")</f>
        <v/>
      </c>
      <c r="K34" s="364" t="str">
        <f ca="1">IFERROR(INDEX(ICE[], MATCH("propnap" &amp; TEXT(NGL!$A34, "mmmyy"), ICE[LongCode], 0), MATCH("Text", ICE[#Headers], 0)), "")</f>
        <v xml:space="preserve"> /  </v>
      </c>
      <c r="L34" s="46" t="str">
        <f t="shared" ca="1" si="90"/>
        <v/>
      </c>
      <c r="M34" s="47" t="str">
        <f t="shared" ca="1" si="92"/>
        <v/>
      </c>
      <c r="N34" s="46" t="str">
        <f t="shared" ca="1" si="108"/>
        <v/>
      </c>
      <c r="O34" s="141" t="str">
        <f ca="1">IFERROR(IF(AND(ISNUMBER(Lts!$N34), ISNUMBER($J34)), Lts!$N34 + $J34, ""), "")</f>
        <v/>
      </c>
      <c r="P34" s="46" t="str">
        <f ca="1">IFERROR(IF(AND(ISNUMBER(Lts!$O34), ISNUMBER($L34)), Lts!$O34 + $L34, ""), "")</f>
        <v/>
      </c>
      <c r="Q34" s="47" t="str">
        <f t="shared" ca="1" si="109"/>
        <v/>
      </c>
      <c r="R34" s="46" t="str">
        <f t="shared" ca="1" si="110"/>
        <v/>
      </c>
      <c r="S34" s="141" t="str">
        <f ca="1">IFERROR(IF(AND(ISNUMBER(Futs!$CC34), ISNUMBER($O34)), $O34/12.4 - Futs!$CC34, ""), "")</f>
        <v/>
      </c>
      <c r="T34" s="67" t="str">
        <f ca="1">IFERROR(IF(AND(ISNUMBER(Futs!$CD34), ISNUMBER($P34)), $P34/12.4 - Futs!$CD34, ""), "")</f>
        <v/>
      </c>
      <c r="U34" s="47" t="str">
        <f t="shared" ca="1" si="111"/>
        <v/>
      </c>
      <c r="V34" s="46" t="str">
        <f t="shared" ca="1" si="112"/>
        <v/>
      </c>
      <c r="W34" s="397" t="str">
        <f ca="1">IFERROR(INDEX(ICE[], MATCH("c3tet" &amp; TEXT(Crd!$A34, "mmmyy"), ICE[LongCode], 0), MATCH("ICE Theoretical Price", ICE[#Headers], 0))*100, "")</f>
        <v/>
      </c>
      <c r="X34" s="364" t="str">
        <f ca="1">IFERROR(INDEX(ICE[], MATCH("c3tet" &amp; TEXT(NGL!$A34, "mmmyy"), ICE[LongCode], 0), MATCH("Text", ICE[#Headers], 0)), "")</f>
        <v xml:space="preserve"> /  </v>
      </c>
      <c r="Y34" s="46" t="str">
        <f t="shared" ca="1" si="93"/>
        <v/>
      </c>
      <c r="Z34" s="47" t="str">
        <f t="shared" ca="1" si="113"/>
        <v/>
      </c>
      <c r="AA34" s="46" t="str">
        <f t="shared" ca="1" si="114"/>
        <v/>
      </c>
      <c r="AB34" s="141" t="str">
        <f ca="1">IFERROR(IF(AND(ISNUMBER(Futs!$BY34), ISNUMBER($W34)), $W34*42/100 - Futs!$BY34, ""), "")</f>
        <v/>
      </c>
      <c r="AC34" s="67" t="str">
        <f ca="1">IFERROR(IF(AND(ISNUMBER(Futs!$BZ34), ISNUMBER($Y34)), $Y34*42/100 - Futs!$BZ34, ""), "")</f>
        <v/>
      </c>
      <c r="AD34" s="47" t="str">
        <f t="shared" ca="1" si="115"/>
        <v/>
      </c>
      <c r="AE34" s="46" t="str">
        <f t="shared" ca="1" si="116"/>
        <v/>
      </c>
      <c r="AF34" s="141" t="str">
        <f t="shared" ca="1" si="94"/>
        <v/>
      </c>
      <c r="AG34" s="67" t="str">
        <f t="shared" ca="1" si="95"/>
        <v/>
      </c>
      <c r="AH34" s="47" t="str">
        <f t="shared" ca="1" si="117"/>
        <v/>
      </c>
      <c r="AI34" s="46" t="str">
        <f t="shared" ca="1" si="118"/>
        <v/>
      </c>
      <c r="AJ34" s="397" t="str">
        <f ca="1">IFERROR(INDEX(ICE[], MATCH("c4ntet" &amp; TEXT(Crd!$A34, "mmmyy"), ICE[LongCode], 0), MATCH("ICE Theoretical Price", ICE[#Headers], 0))*100, "")</f>
        <v/>
      </c>
      <c r="AK34" s="364" t="str">
        <f ca="1">IFERROR(INDEX(ICE[], MATCH("c4ntet" &amp; TEXT(NGL!$A34, "mmmyy"), ICE[LongCode], 0), MATCH("Text", ICE[#Headers], 0)), "")</f>
        <v xml:space="preserve"> /  </v>
      </c>
      <c r="AL34" s="46" t="str">
        <f t="shared" ca="1" si="96"/>
        <v/>
      </c>
      <c r="AM34" s="47" t="str">
        <f t="shared" ca="1" si="119"/>
        <v/>
      </c>
      <c r="AN34" s="46" t="str">
        <f t="shared" ca="1" si="120"/>
        <v/>
      </c>
      <c r="AO34" s="141" t="str">
        <f t="shared" ca="1" si="97"/>
        <v/>
      </c>
      <c r="AP34" s="46" t="str">
        <f t="shared" ca="1" si="98"/>
        <v/>
      </c>
      <c r="AQ34" s="47" t="str">
        <f t="shared" ca="1" si="121"/>
        <v/>
      </c>
      <c r="AR34" s="46" t="str">
        <f t="shared" ca="1" si="122"/>
        <v/>
      </c>
      <c r="AS34" s="141" t="str">
        <f ca="1">IFERROR(IF(AND(ISNUMBER(Futs!$BY34), ISNUMBER($AJ34)), $AJ34*42/100 - Futs!$BY34, ""), "")</f>
        <v/>
      </c>
      <c r="AT34" s="67" t="str">
        <f ca="1">IFERROR(IF(AND(ISNUMBER(Futs!$BZ34), ISNUMBER($AL34)), $AL34*42/100 - Futs!$BZ34, ""), "")</f>
        <v/>
      </c>
      <c r="AU34" s="47" t="str">
        <f t="shared" ca="1" si="123"/>
        <v/>
      </c>
      <c r="AV34" s="46" t="str">
        <f t="shared" ca="1" si="124"/>
        <v/>
      </c>
      <c r="AW34" s="397" t="str">
        <f ca="1">IFERROR(INDEX(ICE[], MATCH("ic4ntet" &amp; TEXT(Crd!$A34, "mmmyy"), ICE[LongCode], 0), MATCH("ICE Theoretical Price", ICE[#Headers], 0))*100, "")</f>
        <v/>
      </c>
      <c r="AX34" s="364" t="str">
        <f ca="1">IFERROR(INDEX(ICE[], MATCH("ic4ntet" &amp; TEXT(NGL!$A34, "mmmyy"), ICE[LongCode], 0), MATCH("Text", ICE[#Headers], 0)), "")</f>
        <v xml:space="preserve"> /  </v>
      </c>
      <c r="AY34" s="46" t="str">
        <f t="shared" ca="1" si="99"/>
        <v/>
      </c>
      <c r="AZ34" s="47" t="str">
        <f t="shared" ca="1" si="125"/>
        <v/>
      </c>
      <c r="BA34" s="46" t="str">
        <f t="shared" ca="1" si="126"/>
        <v/>
      </c>
      <c r="BB34" s="141" t="str">
        <f t="shared" ca="1" si="100"/>
        <v/>
      </c>
      <c r="BC34" s="46" t="str">
        <f t="shared" ca="1" si="101"/>
        <v/>
      </c>
      <c r="BD34" s="47" t="str">
        <f t="shared" ca="1" si="127"/>
        <v/>
      </c>
      <c r="BE34" s="46" t="str">
        <f t="shared" ca="1" si="128"/>
        <v/>
      </c>
      <c r="BF34" s="397" t="str">
        <f ca="1">IFERROR(INDEX(ICE[], MATCH("ngasntet" &amp; TEXT(Crd!$A34, "mmmyy"), ICE[LongCode], 0), MATCH("ICE Theoretical Price", ICE[#Headers], 0))*100, "")</f>
        <v/>
      </c>
      <c r="BG34" s="364" t="str">
        <f ca="1">IFERROR(INDEX(ICE[], MATCH("ngasntet" &amp; TEXT(NGL!$A34, "mmmyy"), ICE[LongCode], 0), MATCH("Text", ICE[#Headers], 0)), "")</f>
        <v xml:space="preserve"> /  </v>
      </c>
      <c r="BH34" s="46" t="str">
        <f t="shared" ca="1" si="102"/>
        <v/>
      </c>
      <c r="BI34" s="47" t="str">
        <f t="shared" ca="1" si="129"/>
        <v/>
      </c>
      <c r="BJ34" s="46" t="str">
        <f t="shared" ca="1" si="130"/>
        <v/>
      </c>
      <c r="BK34" s="141" t="str">
        <f ca="1">IFERROR(IF(AND(ISNUMBER(Futs!$BY34), ISNUMBER($BF34)), $BF34*42/100 - Futs!$BY34, ""), "")</f>
        <v/>
      </c>
      <c r="BL34" s="67" t="str">
        <f ca="1">IFERROR(IF(AND(ISNUMBER(Futs!$BZ34), ISNUMBER($BH34)), $BH34*42/100 - Futs!$BZ34, ""), "")</f>
        <v/>
      </c>
      <c r="BM34" s="47" t="str">
        <f t="shared" ca="1" si="131"/>
        <v/>
      </c>
      <c r="BN34" s="111" t="str">
        <f t="shared" ca="1" si="132"/>
        <v/>
      </c>
      <c r="BO34" s="397" t="str">
        <f ca="1">IFERROR(INDEX(ICE[], MATCH("c3ew" &amp; TEXT(Crd!$A34, "mmmyy"), ICE[LongCode], 0), MATCH("ICE Theoretical Price", ICE[#Headers], 0)), "")</f>
        <v/>
      </c>
      <c r="BP34" s="364" t="str">
        <f ca="1">IFERROR(INDEX(ICE[], MATCH("c3ew" &amp; TEXT(NGL!$A34, "mmmyy"), ICE[LongCode], 0), MATCH("Text", ICE[#Headers], 0)), "")</f>
        <v xml:space="preserve"> /   |2x</v>
      </c>
      <c r="BQ34" s="46" t="str">
        <f t="shared" ca="1" si="103"/>
        <v/>
      </c>
      <c r="BR34" s="47" t="str">
        <f t="shared" ca="1" si="133"/>
        <v/>
      </c>
      <c r="BS34" s="46" t="str">
        <f t="shared" ca="1" si="134"/>
        <v/>
      </c>
      <c r="BT34" s="141" t="str">
        <f t="shared" ca="1" si="104"/>
        <v/>
      </c>
      <c r="BU34" s="46" t="str">
        <f t="shared" ca="1" si="105"/>
        <v/>
      </c>
      <c r="BV34" s="47" t="str">
        <f t="shared" ca="1" si="135"/>
        <v/>
      </c>
      <c r="BW34" s="46" t="str">
        <f t="shared" ca="1" si="136"/>
        <v/>
      </c>
      <c r="BX34" s="141" t="str">
        <f ca="1">IFERROR(IF(AND(ISNUMBER(Futs!$CC34), ISNUMBER($BT34)), $BT34/12.4 - Futs!$CC34, ""), "")</f>
        <v/>
      </c>
      <c r="BY34" s="67" t="str">
        <f t="shared" ca="1" si="106"/>
        <v/>
      </c>
      <c r="BZ34" s="47" t="str">
        <f t="shared" ca="1" si="137"/>
        <v/>
      </c>
      <c r="CA34" s="46" t="str">
        <f t="shared" ca="1" si="138"/>
        <v/>
      </c>
    </row>
    <row r="35" spans="1:79" x14ac:dyDescent="0.25">
      <c r="A35" s="58">
        <f t="shared" ca="1" si="107"/>
        <v>46753</v>
      </c>
      <c r="B35" s="6">
        <f t="shared" ca="1" si="89"/>
        <v>2028</v>
      </c>
      <c r="C35" s="6" t="str">
        <f t="shared" ca="1" si="91"/>
        <v>Q128</v>
      </c>
      <c r="D35" s="28">
        <f ca="1">INDEX(ICE[], MATCH(D$18 &amp; TEXT(NGL!$A35, "mmmyy"), ICE[LongCode], 0), MATCH("Settle", ICE[#Headers], 0))</f>
        <v>-105.521</v>
      </c>
      <c r="E35" s="28">
        <f ca="1">INDEX(ICE[], MATCH(E$18 &amp; TEXT(NGL!$A35, "mmmyy"), ICE[LongCode], 0), MATCH("Settle", ICE[#Headers], 0))*100</f>
        <v>74</v>
      </c>
      <c r="F35" s="28">
        <f ca="1">INDEX(ICE[], MATCH(F$18 &amp; TEXT(NGL!$A35, "mmmyy"), ICE[LongCode], 0), MATCH("Settle", ICE[#Headers], 0))*100</f>
        <v>91.125</v>
      </c>
      <c r="G35" s="28">
        <f ca="1">INDEX(ICE[], MATCH(G$18 &amp; TEXT(NGL!$A35, "mmmyy"), ICE[LongCode], 0), MATCH("Settle", ICE[#Headers], 0))*100</f>
        <v>93.875</v>
      </c>
      <c r="H35" s="28">
        <f ca="1">INDEX(ICE[], MATCH(H$18 &amp; TEXT(NGL!$A35, "mmmyy"), ICE[LongCode], 0), MATCH("Settle", ICE[#Headers], 0))*100</f>
        <v>149.25000000000003</v>
      </c>
      <c r="I35" s="28">
        <f ca="1">INDEX(ICE[], MATCH(I$18 &amp; TEXT(NGL!$A35, "mmmyy"), ICE[LongCode], 0), MATCH("Settle", ICE[#Headers], 0))</f>
        <v>75.8</v>
      </c>
      <c r="J35" s="397" t="str">
        <f ca="1">IFERROR(INDEX(ICE[], MATCH("propnap" &amp; TEXT(Crd!$A35, "mmmyy"), ICE[LongCode], 0), MATCH("ICE Theoretical Price", ICE[#Headers], 0)), "")</f>
        <v/>
      </c>
      <c r="K35" s="364" t="str">
        <f ca="1">IFERROR(INDEX(ICE[], MATCH("propnap" &amp; TEXT(NGL!$A35, "mmmyy"), ICE[LongCode], 0), MATCH("Text", ICE[#Headers], 0)), "")</f>
        <v xml:space="preserve"> /  </v>
      </c>
      <c r="L35" s="46" t="str">
        <f t="shared" ca="1" si="90"/>
        <v/>
      </c>
      <c r="M35" s="47" t="str">
        <f t="shared" ca="1" si="92"/>
        <v/>
      </c>
      <c r="N35" s="46" t="str">
        <f t="shared" ca="1" si="108"/>
        <v/>
      </c>
      <c r="O35" s="141" t="str">
        <f ca="1">IFERROR(IF(AND(ISNUMBER(Lts!$N35), ISNUMBER($J35)), Lts!$N35 + $J35, ""), "")</f>
        <v/>
      </c>
      <c r="P35" s="46" t="str">
        <f ca="1">IFERROR(IF(AND(ISNUMBER(Lts!$O35), ISNUMBER($L35)), Lts!$O35 + $L35, ""), "")</f>
        <v/>
      </c>
      <c r="Q35" s="47" t="str">
        <f t="shared" ca="1" si="109"/>
        <v/>
      </c>
      <c r="R35" s="46" t="str">
        <f t="shared" ca="1" si="110"/>
        <v/>
      </c>
      <c r="S35" s="141" t="str">
        <f ca="1">IFERROR(IF(AND(ISNUMBER(Futs!$CC35), ISNUMBER($O35)), $O35/12.4 - Futs!$CC35, ""), "")</f>
        <v/>
      </c>
      <c r="T35" s="67" t="str">
        <f ca="1">IFERROR(IF(AND(ISNUMBER(Futs!$CD35), ISNUMBER($P35)), $P35/12.4 - Futs!$CD35, ""), "")</f>
        <v/>
      </c>
      <c r="U35" s="47" t="str">
        <f t="shared" ca="1" si="111"/>
        <v/>
      </c>
      <c r="V35" s="46" t="str">
        <f t="shared" ca="1" si="112"/>
        <v/>
      </c>
      <c r="W35" s="397" t="str">
        <f ca="1">IFERROR(INDEX(ICE[], MATCH("c3tet" &amp; TEXT(Crd!$A35, "mmmyy"), ICE[LongCode], 0), MATCH("ICE Theoretical Price", ICE[#Headers], 0))*100, "")</f>
        <v/>
      </c>
      <c r="X35" s="364" t="str">
        <f ca="1">IFERROR(INDEX(ICE[], MATCH("c3tet" &amp; TEXT(NGL!$A35, "mmmyy"), ICE[LongCode], 0), MATCH("Text", ICE[#Headers], 0)), "")</f>
        <v xml:space="preserve"> /  </v>
      </c>
      <c r="Y35" s="46" t="str">
        <f t="shared" ca="1" si="93"/>
        <v/>
      </c>
      <c r="Z35" s="47" t="str">
        <f t="shared" ca="1" si="113"/>
        <v/>
      </c>
      <c r="AA35" s="46" t="str">
        <f t="shared" ca="1" si="114"/>
        <v/>
      </c>
      <c r="AB35" s="141" t="str">
        <f ca="1">IFERROR(IF(AND(ISNUMBER(Futs!$BY35), ISNUMBER($W35)), $W35*42/100 - Futs!$BY35, ""), "")</f>
        <v/>
      </c>
      <c r="AC35" s="67" t="str">
        <f ca="1">IFERROR(IF(AND(ISNUMBER(Futs!$BZ35), ISNUMBER($Y35)), $Y35*42/100 - Futs!$BZ35, ""), "")</f>
        <v/>
      </c>
      <c r="AD35" s="47" t="str">
        <f t="shared" ca="1" si="115"/>
        <v/>
      </c>
      <c r="AE35" s="46" t="str">
        <f t="shared" ca="1" si="116"/>
        <v/>
      </c>
      <c r="AF35" s="141" t="str">
        <f t="shared" ca="1" si="94"/>
        <v/>
      </c>
      <c r="AG35" s="67" t="str">
        <f t="shared" ca="1" si="95"/>
        <v/>
      </c>
      <c r="AH35" s="47" t="str">
        <f t="shared" ca="1" si="117"/>
        <v/>
      </c>
      <c r="AI35" s="46" t="str">
        <f t="shared" ca="1" si="118"/>
        <v/>
      </c>
      <c r="AJ35" s="397" t="str">
        <f ca="1">IFERROR(INDEX(ICE[], MATCH("c4ntet" &amp; TEXT(Crd!$A35, "mmmyy"), ICE[LongCode], 0), MATCH("ICE Theoretical Price", ICE[#Headers], 0))*100, "")</f>
        <v/>
      </c>
      <c r="AK35" s="364" t="str">
        <f ca="1">IFERROR(INDEX(ICE[], MATCH("c4ntet" &amp; TEXT(NGL!$A35, "mmmyy"), ICE[LongCode], 0), MATCH("Text", ICE[#Headers], 0)), "")</f>
        <v xml:space="preserve"> /  </v>
      </c>
      <c r="AL35" s="46" t="str">
        <f t="shared" ca="1" si="96"/>
        <v/>
      </c>
      <c r="AM35" s="47" t="str">
        <f t="shared" ca="1" si="119"/>
        <v/>
      </c>
      <c r="AN35" s="46" t="str">
        <f t="shared" ca="1" si="120"/>
        <v/>
      </c>
      <c r="AO35" s="141" t="str">
        <f t="shared" ca="1" si="97"/>
        <v/>
      </c>
      <c r="AP35" s="46" t="str">
        <f t="shared" ca="1" si="98"/>
        <v/>
      </c>
      <c r="AQ35" s="47" t="str">
        <f t="shared" ca="1" si="121"/>
        <v/>
      </c>
      <c r="AR35" s="46" t="str">
        <f t="shared" ca="1" si="122"/>
        <v/>
      </c>
      <c r="AS35" s="141" t="str">
        <f ca="1">IFERROR(IF(AND(ISNUMBER(Futs!$BY35), ISNUMBER($AJ35)), $AJ35*42/100 - Futs!$BY35, ""), "")</f>
        <v/>
      </c>
      <c r="AT35" s="67" t="str">
        <f ca="1">IFERROR(IF(AND(ISNUMBER(Futs!$BZ35), ISNUMBER($AL35)), $AL35*42/100 - Futs!$BZ35, ""), "")</f>
        <v/>
      </c>
      <c r="AU35" s="47" t="str">
        <f t="shared" ca="1" si="123"/>
        <v/>
      </c>
      <c r="AV35" s="46" t="str">
        <f t="shared" ca="1" si="124"/>
        <v/>
      </c>
      <c r="AW35" s="397" t="str">
        <f ca="1">IFERROR(INDEX(ICE[], MATCH("ic4ntet" &amp; TEXT(Crd!$A35, "mmmyy"), ICE[LongCode], 0), MATCH("ICE Theoretical Price", ICE[#Headers], 0))*100, "")</f>
        <v/>
      </c>
      <c r="AX35" s="364" t="str">
        <f ca="1">IFERROR(INDEX(ICE[], MATCH("ic4ntet" &amp; TEXT(NGL!$A35, "mmmyy"), ICE[LongCode], 0), MATCH("Text", ICE[#Headers], 0)), "")</f>
        <v xml:space="preserve"> /  </v>
      </c>
      <c r="AY35" s="46" t="str">
        <f t="shared" ca="1" si="99"/>
        <v/>
      </c>
      <c r="AZ35" s="47" t="str">
        <f t="shared" ca="1" si="125"/>
        <v/>
      </c>
      <c r="BA35" s="46" t="str">
        <f t="shared" ca="1" si="126"/>
        <v/>
      </c>
      <c r="BB35" s="141" t="str">
        <f t="shared" ca="1" si="100"/>
        <v/>
      </c>
      <c r="BC35" s="46" t="str">
        <f t="shared" ca="1" si="101"/>
        <v/>
      </c>
      <c r="BD35" s="47" t="str">
        <f t="shared" ca="1" si="127"/>
        <v/>
      </c>
      <c r="BE35" s="46" t="str">
        <f t="shared" ca="1" si="128"/>
        <v/>
      </c>
      <c r="BF35" s="397" t="str">
        <f ca="1">IFERROR(INDEX(ICE[], MATCH("ngasntet" &amp; TEXT(Crd!$A35, "mmmyy"), ICE[LongCode], 0), MATCH("ICE Theoretical Price", ICE[#Headers], 0))*100, "")</f>
        <v/>
      </c>
      <c r="BG35" s="364" t="str">
        <f ca="1">IFERROR(INDEX(ICE[], MATCH("ngasntet" &amp; TEXT(NGL!$A35, "mmmyy"), ICE[LongCode], 0), MATCH("Text", ICE[#Headers], 0)), "")</f>
        <v xml:space="preserve"> /  </v>
      </c>
      <c r="BH35" s="46" t="str">
        <f t="shared" ca="1" si="102"/>
        <v/>
      </c>
      <c r="BI35" s="47" t="str">
        <f t="shared" ca="1" si="129"/>
        <v/>
      </c>
      <c r="BJ35" s="46" t="str">
        <f t="shared" ca="1" si="130"/>
        <v/>
      </c>
      <c r="BK35" s="141" t="str">
        <f ca="1">IFERROR(IF(AND(ISNUMBER(Futs!$BY35), ISNUMBER($BF35)), $BF35*42/100 - Futs!$BY35, ""), "")</f>
        <v/>
      </c>
      <c r="BL35" s="67" t="str">
        <f ca="1">IFERROR(IF(AND(ISNUMBER(Futs!$BZ35), ISNUMBER($BH35)), $BH35*42/100 - Futs!$BZ35, ""), "")</f>
        <v/>
      </c>
      <c r="BM35" s="47" t="str">
        <f t="shared" ca="1" si="131"/>
        <v/>
      </c>
      <c r="BN35" s="111" t="str">
        <f t="shared" ca="1" si="132"/>
        <v/>
      </c>
      <c r="BO35" s="397" t="str">
        <f ca="1">IFERROR(INDEX(ICE[], MATCH("c3ew" &amp; TEXT(Crd!$A35, "mmmyy"), ICE[LongCode], 0), MATCH("ICE Theoretical Price", ICE[#Headers], 0)), "")</f>
        <v/>
      </c>
      <c r="BP35" s="364" t="str">
        <f ca="1">IFERROR(INDEX(ICE[], MATCH("c3ew" &amp; TEXT(NGL!$A35, "mmmyy"), ICE[LongCode], 0), MATCH("Text", ICE[#Headers], 0)), "")</f>
        <v xml:space="preserve"> /  </v>
      </c>
      <c r="BQ35" s="46" t="str">
        <f t="shared" ca="1" si="103"/>
        <v/>
      </c>
      <c r="BR35" s="47" t="str">
        <f t="shared" ca="1" si="133"/>
        <v/>
      </c>
      <c r="BS35" s="46" t="str">
        <f t="shared" ca="1" si="134"/>
        <v/>
      </c>
      <c r="BT35" s="141" t="str">
        <f t="shared" ca="1" si="104"/>
        <v/>
      </c>
      <c r="BU35" s="46" t="str">
        <f t="shared" ca="1" si="105"/>
        <v/>
      </c>
      <c r="BV35" s="47" t="str">
        <f t="shared" ca="1" si="135"/>
        <v/>
      </c>
      <c r="BW35" s="46" t="str">
        <f t="shared" ca="1" si="136"/>
        <v/>
      </c>
      <c r="BX35" s="141" t="str">
        <f ca="1">IFERROR(IF(AND(ISNUMBER(Futs!$CC35), ISNUMBER($BT35)), $BT35/12.4 - Futs!$CC35, ""), "")</f>
        <v/>
      </c>
      <c r="BY35" s="67" t="str">
        <f t="shared" ca="1" si="106"/>
        <v/>
      </c>
      <c r="BZ35" s="47" t="str">
        <f t="shared" ca="1" si="137"/>
        <v/>
      </c>
      <c r="CA35" s="46" t="str">
        <f t="shared" ca="1" si="138"/>
        <v/>
      </c>
    </row>
    <row r="36" spans="1:79" x14ac:dyDescent="0.25">
      <c r="A36" s="58">
        <f t="shared" ca="1" si="107"/>
        <v>46784</v>
      </c>
      <c r="B36" s="6">
        <f t="shared" ca="1" si="89"/>
        <v>2028</v>
      </c>
      <c r="C36" s="6" t="str">
        <f t="shared" ca="1" si="91"/>
        <v>Q128</v>
      </c>
      <c r="D36" s="28">
        <f ca="1">INDEX(ICE[], MATCH(D$18 &amp; TEXT(NGL!$A36, "mmmyy"), ICE[LongCode], 0), MATCH("Settle", ICE[#Headers], 0))</f>
        <v>-106.274</v>
      </c>
      <c r="E36" s="28">
        <f ca="1">INDEX(ICE[], MATCH(E$18 &amp; TEXT(NGL!$A36, "mmmyy"), ICE[LongCode], 0), MATCH("Settle", ICE[#Headers], 0))*100</f>
        <v>73.75</v>
      </c>
      <c r="F36" s="28">
        <f ca="1">INDEX(ICE[], MATCH(F$18 &amp; TEXT(NGL!$A36, "mmmyy"), ICE[LongCode], 0), MATCH("Settle", ICE[#Headers], 0))*100</f>
        <v>90.250000000000014</v>
      </c>
      <c r="G36" s="28">
        <f ca="1">INDEX(ICE[], MATCH(G$18 &amp; TEXT(NGL!$A36, "mmmyy"), ICE[LongCode], 0), MATCH("Settle", ICE[#Headers], 0))*100</f>
        <v>92.875</v>
      </c>
      <c r="H36" s="28">
        <f ca="1">INDEX(ICE[], MATCH(H$18 &amp; TEXT(NGL!$A36, "mmmyy"), ICE[LongCode], 0), MATCH("Settle", ICE[#Headers], 0))*100</f>
        <v>148.75</v>
      </c>
      <c r="I36" s="28">
        <f ca="1">INDEX(ICE[], MATCH(I$18 &amp; TEXT(NGL!$A36, "mmmyy"), ICE[LongCode], 0), MATCH("Settle", ICE[#Headers], 0))</f>
        <v>72.3</v>
      </c>
      <c r="J36" s="397" t="str">
        <f ca="1">IFERROR(INDEX(ICE[], MATCH("propnap" &amp; TEXT(Crd!$A36, "mmmyy"), ICE[LongCode], 0), MATCH("ICE Theoretical Price", ICE[#Headers], 0)), "")</f>
        <v/>
      </c>
      <c r="K36" s="364" t="str">
        <f ca="1">IFERROR(INDEX(ICE[], MATCH("propnap" &amp; TEXT(NGL!$A36, "mmmyy"), ICE[LongCode], 0), MATCH("Text", ICE[#Headers], 0)), "")</f>
        <v xml:space="preserve"> /  </v>
      </c>
      <c r="L36" s="46" t="str">
        <f t="shared" ca="1" si="90"/>
        <v/>
      </c>
      <c r="M36" s="47" t="str">
        <f t="shared" ca="1" si="92"/>
        <v/>
      </c>
      <c r="N36" s="46" t="str">
        <f t="shared" ca="1" si="108"/>
        <v/>
      </c>
      <c r="O36" s="141" t="str">
        <f ca="1">IFERROR(IF(AND(ISNUMBER(Lts!$N36), ISNUMBER($J36)), Lts!$N36 + $J36, ""), "")</f>
        <v/>
      </c>
      <c r="P36" s="46" t="str">
        <f ca="1">IFERROR(IF(AND(ISNUMBER(Lts!$O36), ISNUMBER($L36)), Lts!$O36 + $L36, ""), "")</f>
        <v/>
      </c>
      <c r="Q36" s="47" t="str">
        <f t="shared" ca="1" si="109"/>
        <v/>
      </c>
      <c r="R36" s="46" t="str">
        <f t="shared" ca="1" si="110"/>
        <v/>
      </c>
      <c r="S36" s="141" t="str">
        <f ca="1">IFERROR(IF(AND(ISNUMBER(Futs!$CC36), ISNUMBER($O36)), $O36/12.4 - Futs!$CC36, ""), "")</f>
        <v/>
      </c>
      <c r="T36" s="67" t="str">
        <f ca="1">IFERROR(IF(AND(ISNUMBER(Futs!$CD36), ISNUMBER($P36)), $P36/12.4 - Futs!$CD36, ""), "")</f>
        <v/>
      </c>
      <c r="U36" s="47" t="str">
        <f t="shared" ca="1" si="111"/>
        <v/>
      </c>
      <c r="V36" s="46" t="str">
        <f t="shared" ca="1" si="112"/>
        <v/>
      </c>
      <c r="W36" s="397" t="str">
        <f ca="1">IFERROR(INDEX(ICE[], MATCH("c3tet" &amp; TEXT(Crd!$A36, "mmmyy"), ICE[LongCode], 0), MATCH("ICE Theoretical Price", ICE[#Headers], 0))*100, "")</f>
        <v/>
      </c>
      <c r="X36" s="364" t="str">
        <f ca="1">IFERROR(INDEX(ICE[], MATCH("c3tet" &amp; TEXT(NGL!$A36, "mmmyy"), ICE[LongCode], 0), MATCH("Text", ICE[#Headers], 0)), "")</f>
        <v xml:space="preserve"> /  </v>
      </c>
      <c r="Y36" s="46" t="str">
        <f t="shared" ca="1" si="93"/>
        <v/>
      </c>
      <c r="Z36" s="47" t="str">
        <f t="shared" ca="1" si="113"/>
        <v/>
      </c>
      <c r="AA36" s="46" t="str">
        <f t="shared" ca="1" si="114"/>
        <v/>
      </c>
      <c r="AB36" s="141" t="str">
        <f ca="1">IFERROR(IF(AND(ISNUMBER(Futs!$BY36), ISNUMBER($W36)), $W36*42/100 - Futs!$BY36, ""), "")</f>
        <v/>
      </c>
      <c r="AC36" s="67" t="str">
        <f ca="1">IFERROR(IF(AND(ISNUMBER(Futs!$BZ36), ISNUMBER($Y36)), $Y36*42/100 - Futs!$BZ36, ""), "")</f>
        <v/>
      </c>
      <c r="AD36" s="47" t="str">
        <f t="shared" ca="1" si="115"/>
        <v/>
      </c>
      <c r="AE36" s="46" t="str">
        <f t="shared" ca="1" si="116"/>
        <v/>
      </c>
      <c r="AF36" s="141" t="str">
        <f t="shared" ca="1" si="94"/>
        <v/>
      </c>
      <c r="AG36" s="67" t="str">
        <f t="shared" ca="1" si="95"/>
        <v/>
      </c>
      <c r="AH36" s="47" t="str">
        <f t="shared" ca="1" si="117"/>
        <v/>
      </c>
      <c r="AI36" s="46" t="str">
        <f t="shared" ca="1" si="118"/>
        <v/>
      </c>
      <c r="AJ36" s="397" t="str">
        <f ca="1">IFERROR(INDEX(ICE[], MATCH("c4ntet" &amp; TEXT(Crd!$A36, "mmmyy"), ICE[LongCode], 0), MATCH("ICE Theoretical Price", ICE[#Headers], 0))*100, "")</f>
        <v/>
      </c>
      <c r="AK36" s="364" t="str">
        <f ca="1">IFERROR(INDEX(ICE[], MATCH("c4ntet" &amp; TEXT(NGL!$A36, "mmmyy"), ICE[LongCode], 0), MATCH("Text", ICE[#Headers], 0)), "")</f>
        <v xml:space="preserve"> /  </v>
      </c>
      <c r="AL36" s="46" t="str">
        <f t="shared" ca="1" si="96"/>
        <v/>
      </c>
      <c r="AM36" s="47" t="str">
        <f t="shared" ca="1" si="119"/>
        <v/>
      </c>
      <c r="AN36" s="46" t="str">
        <f t="shared" ca="1" si="120"/>
        <v/>
      </c>
      <c r="AO36" s="141" t="str">
        <f t="shared" ca="1" si="97"/>
        <v/>
      </c>
      <c r="AP36" s="46" t="str">
        <f t="shared" ca="1" si="98"/>
        <v/>
      </c>
      <c r="AQ36" s="47" t="str">
        <f t="shared" ca="1" si="121"/>
        <v/>
      </c>
      <c r="AR36" s="46" t="str">
        <f t="shared" ca="1" si="122"/>
        <v/>
      </c>
      <c r="AS36" s="141" t="str">
        <f ca="1">IFERROR(IF(AND(ISNUMBER(Futs!$BY36), ISNUMBER($AJ36)), $AJ36*42/100 - Futs!$BY36, ""), "")</f>
        <v/>
      </c>
      <c r="AT36" s="67" t="str">
        <f ca="1">IFERROR(IF(AND(ISNUMBER(Futs!$BZ36), ISNUMBER($AL36)), $AL36*42/100 - Futs!$BZ36, ""), "")</f>
        <v/>
      </c>
      <c r="AU36" s="47" t="str">
        <f t="shared" ca="1" si="123"/>
        <v/>
      </c>
      <c r="AV36" s="46" t="str">
        <f t="shared" ca="1" si="124"/>
        <v/>
      </c>
      <c r="AW36" s="397" t="str">
        <f ca="1">IFERROR(INDEX(ICE[], MATCH("ic4ntet" &amp; TEXT(Crd!$A36, "mmmyy"), ICE[LongCode], 0), MATCH("ICE Theoretical Price", ICE[#Headers], 0))*100, "")</f>
        <v/>
      </c>
      <c r="AX36" s="364" t="str">
        <f ca="1">IFERROR(INDEX(ICE[], MATCH("ic4ntet" &amp; TEXT(NGL!$A36, "mmmyy"), ICE[LongCode], 0), MATCH("Text", ICE[#Headers], 0)), "")</f>
        <v xml:space="preserve"> /  </v>
      </c>
      <c r="AY36" s="46" t="str">
        <f t="shared" ca="1" si="99"/>
        <v/>
      </c>
      <c r="AZ36" s="47" t="str">
        <f t="shared" ca="1" si="125"/>
        <v/>
      </c>
      <c r="BA36" s="46" t="str">
        <f t="shared" ca="1" si="126"/>
        <v/>
      </c>
      <c r="BB36" s="141" t="str">
        <f t="shared" ca="1" si="100"/>
        <v/>
      </c>
      <c r="BC36" s="46" t="str">
        <f t="shared" ca="1" si="101"/>
        <v/>
      </c>
      <c r="BD36" s="47" t="str">
        <f t="shared" ca="1" si="127"/>
        <v/>
      </c>
      <c r="BE36" s="46" t="str">
        <f t="shared" ca="1" si="128"/>
        <v/>
      </c>
      <c r="BF36" s="397" t="str">
        <f ca="1">IFERROR(INDEX(ICE[], MATCH("ngasntet" &amp; TEXT(Crd!$A36, "mmmyy"), ICE[LongCode], 0), MATCH("ICE Theoretical Price", ICE[#Headers], 0))*100, "")</f>
        <v/>
      </c>
      <c r="BG36" s="364" t="str">
        <f ca="1">IFERROR(INDEX(ICE[], MATCH("ngasntet" &amp; TEXT(NGL!$A36, "mmmyy"), ICE[LongCode], 0), MATCH("Text", ICE[#Headers], 0)), "")</f>
        <v xml:space="preserve"> /  </v>
      </c>
      <c r="BH36" s="46" t="str">
        <f t="shared" ca="1" si="102"/>
        <v/>
      </c>
      <c r="BI36" s="47" t="str">
        <f t="shared" ca="1" si="129"/>
        <v/>
      </c>
      <c r="BJ36" s="46" t="str">
        <f t="shared" ca="1" si="130"/>
        <v/>
      </c>
      <c r="BK36" s="141" t="str">
        <f ca="1">IFERROR(IF(AND(ISNUMBER(Futs!$BY36), ISNUMBER($BF36)), $BF36*42/100 - Futs!$BY36, ""), "")</f>
        <v/>
      </c>
      <c r="BL36" s="67" t="str">
        <f ca="1">IFERROR(IF(AND(ISNUMBER(Futs!$BZ36), ISNUMBER($BH36)), $BH36*42/100 - Futs!$BZ36, ""), "")</f>
        <v/>
      </c>
      <c r="BM36" s="47" t="str">
        <f t="shared" ca="1" si="131"/>
        <v/>
      </c>
      <c r="BN36" s="111" t="str">
        <f t="shared" ca="1" si="132"/>
        <v/>
      </c>
      <c r="BO36" s="397" t="str">
        <f ca="1">IFERROR(INDEX(ICE[], MATCH("c3ew" &amp; TEXT(Crd!$A36, "mmmyy"), ICE[LongCode], 0), MATCH("ICE Theoretical Price", ICE[#Headers], 0)), "")</f>
        <v/>
      </c>
      <c r="BP36" s="364" t="str">
        <f ca="1">IFERROR(INDEX(ICE[], MATCH("c3ew" &amp; TEXT(NGL!$A36, "mmmyy"), ICE[LongCode], 0), MATCH("Text", ICE[#Headers], 0)), "")</f>
        <v xml:space="preserve"> /  </v>
      </c>
      <c r="BQ36" s="46" t="str">
        <f t="shared" ca="1" si="103"/>
        <v/>
      </c>
      <c r="BR36" s="47" t="str">
        <f t="shared" ca="1" si="133"/>
        <v/>
      </c>
      <c r="BS36" s="46" t="str">
        <f t="shared" ca="1" si="134"/>
        <v/>
      </c>
      <c r="BT36" s="141" t="str">
        <f t="shared" ca="1" si="104"/>
        <v/>
      </c>
      <c r="BU36" s="46" t="str">
        <f t="shared" ca="1" si="105"/>
        <v/>
      </c>
      <c r="BV36" s="47" t="str">
        <f t="shared" ca="1" si="135"/>
        <v/>
      </c>
      <c r="BW36" s="46" t="str">
        <f t="shared" ca="1" si="136"/>
        <v/>
      </c>
      <c r="BX36" s="141" t="str">
        <f ca="1">IFERROR(IF(AND(ISNUMBER(Futs!$CC36), ISNUMBER($BT36)), $BT36/12.4 - Futs!$CC36, ""), "")</f>
        <v/>
      </c>
      <c r="BY36" s="67" t="str">
        <f t="shared" ca="1" si="106"/>
        <v/>
      </c>
      <c r="BZ36" s="47" t="str">
        <f t="shared" ca="1" si="137"/>
        <v/>
      </c>
      <c r="CA36" s="46" t="str">
        <f t="shared" ca="1" si="138"/>
        <v/>
      </c>
    </row>
    <row r="37" spans="1:79" x14ac:dyDescent="0.25">
      <c r="A37" s="58">
        <f t="shared" ca="1" si="107"/>
        <v>46813</v>
      </c>
      <c r="B37" s="6">
        <f t="shared" ca="1" si="89"/>
        <v>2028</v>
      </c>
      <c r="C37" s="6" t="str">
        <f t="shared" ca="1" si="91"/>
        <v>Q128</v>
      </c>
      <c r="D37" s="28">
        <f ca="1">INDEX(ICE[], MATCH(D$18 &amp; TEXT(NGL!$A37, "mmmyy"), ICE[LongCode], 0), MATCH("Settle", ICE[#Headers], 0))</f>
        <v>-112.77200000000001</v>
      </c>
      <c r="E37" s="28">
        <f ca="1">INDEX(ICE[], MATCH(E$18 &amp; TEXT(NGL!$A37, "mmmyy"), ICE[LongCode], 0), MATCH("Settle", ICE[#Headers], 0))*100</f>
        <v>71.25</v>
      </c>
      <c r="F37" s="28">
        <f ca="1">INDEX(ICE[], MATCH(F$18 &amp; TEXT(NGL!$A37, "mmmyy"), ICE[LongCode], 0), MATCH("Settle", ICE[#Headers], 0))*100</f>
        <v>86.625</v>
      </c>
      <c r="G37" s="28">
        <f ca="1">INDEX(ICE[], MATCH(G$18 &amp; TEXT(NGL!$A37, "mmmyy"), ICE[LongCode], 0), MATCH("Settle", ICE[#Headers], 0))*100</f>
        <v>89.375</v>
      </c>
      <c r="H37" s="28">
        <f ca="1">INDEX(ICE[], MATCH(H$18 &amp; TEXT(NGL!$A37, "mmmyy"), ICE[LongCode], 0), MATCH("Settle", ICE[#Headers], 0))*100</f>
        <v>148</v>
      </c>
      <c r="I37" s="28">
        <f ca="1">INDEX(ICE[], MATCH(I$18 &amp; TEXT(NGL!$A37, "mmmyy"), ICE[LongCode], 0), MATCH("Settle", ICE[#Headers], 0))</f>
        <v>67.05</v>
      </c>
      <c r="J37" s="397" t="str">
        <f ca="1">IFERROR(INDEX(ICE[], MATCH("propnap" &amp; TEXT(Crd!$A37, "mmmyy"), ICE[LongCode], 0), MATCH("ICE Theoretical Price", ICE[#Headers], 0)), "")</f>
        <v/>
      </c>
      <c r="K37" s="364" t="str">
        <f ca="1">IFERROR(INDEX(ICE[], MATCH("propnap" &amp; TEXT(NGL!$A37, "mmmyy"), ICE[LongCode], 0), MATCH("Text", ICE[#Headers], 0)), "")</f>
        <v xml:space="preserve"> /  </v>
      </c>
      <c r="L37" s="46" t="str">
        <f t="shared" ca="1" si="90"/>
        <v/>
      </c>
      <c r="M37" s="47" t="str">
        <f t="shared" ca="1" si="92"/>
        <v/>
      </c>
      <c r="N37" s="46" t="str">
        <f t="shared" ca="1" si="108"/>
        <v/>
      </c>
      <c r="O37" s="141" t="str">
        <f ca="1">IFERROR(IF(AND(ISNUMBER(Lts!$N37), ISNUMBER($J37)), Lts!$N37 + $J37, ""), "")</f>
        <v/>
      </c>
      <c r="P37" s="46" t="str">
        <f ca="1">IFERROR(IF(AND(ISNUMBER(Lts!$O37), ISNUMBER($L37)), Lts!$O37 + $L37, ""), "")</f>
        <v/>
      </c>
      <c r="Q37" s="47" t="str">
        <f t="shared" ca="1" si="109"/>
        <v/>
      </c>
      <c r="R37" s="46" t="str">
        <f t="shared" ca="1" si="110"/>
        <v/>
      </c>
      <c r="S37" s="141" t="str">
        <f ca="1">IFERROR(IF(AND(ISNUMBER(Futs!$CC37), ISNUMBER($O37)), $O37/12.4 - Futs!$CC37, ""), "")</f>
        <v/>
      </c>
      <c r="T37" s="67" t="str">
        <f ca="1">IFERROR(IF(AND(ISNUMBER(Futs!$CD37), ISNUMBER($P37)), $P37/12.4 - Futs!$CD37, ""), "")</f>
        <v/>
      </c>
      <c r="U37" s="47" t="str">
        <f t="shared" ca="1" si="111"/>
        <v/>
      </c>
      <c r="V37" s="46" t="str">
        <f t="shared" ca="1" si="112"/>
        <v/>
      </c>
      <c r="W37" s="397" t="str">
        <f ca="1">IFERROR(INDEX(ICE[], MATCH("c3tet" &amp; TEXT(Crd!$A37, "mmmyy"), ICE[LongCode], 0), MATCH("ICE Theoretical Price", ICE[#Headers], 0))*100, "")</f>
        <v/>
      </c>
      <c r="X37" s="364" t="str">
        <f ca="1">IFERROR(INDEX(ICE[], MATCH("c3tet" &amp; TEXT(NGL!$A37, "mmmyy"), ICE[LongCode], 0), MATCH("Text", ICE[#Headers], 0)), "")</f>
        <v xml:space="preserve"> /  </v>
      </c>
      <c r="Y37" s="46" t="str">
        <f t="shared" ca="1" si="93"/>
        <v/>
      </c>
      <c r="Z37" s="47" t="str">
        <f t="shared" ca="1" si="113"/>
        <v/>
      </c>
      <c r="AA37" s="46" t="str">
        <f t="shared" ca="1" si="114"/>
        <v/>
      </c>
      <c r="AB37" s="141" t="str">
        <f ca="1">IFERROR(IF(AND(ISNUMBER(Futs!$BY37), ISNUMBER($W37)), $W37*42/100 - Futs!$BY37, ""), "")</f>
        <v/>
      </c>
      <c r="AC37" s="67" t="str">
        <f ca="1">IFERROR(IF(AND(ISNUMBER(Futs!$BZ37), ISNUMBER($Y37)), $Y37*42/100 - Futs!$BZ37, ""), "")</f>
        <v/>
      </c>
      <c r="AD37" s="47" t="str">
        <f t="shared" ca="1" si="115"/>
        <v/>
      </c>
      <c r="AE37" s="46" t="str">
        <f t="shared" ca="1" si="116"/>
        <v/>
      </c>
      <c r="AF37" s="141" t="str">
        <f t="shared" ca="1" si="94"/>
        <v/>
      </c>
      <c r="AG37" s="67" t="str">
        <f t="shared" ca="1" si="95"/>
        <v/>
      </c>
      <c r="AH37" s="47" t="str">
        <f t="shared" ca="1" si="117"/>
        <v/>
      </c>
      <c r="AI37" s="46" t="str">
        <f t="shared" ca="1" si="118"/>
        <v/>
      </c>
      <c r="AJ37" s="397" t="str">
        <f ca="1">IFERROR(INDEX(ICE[], MATCH("c4ntet" &amp; TEXT(Crd!$A37, "mmmyy"), ICE[LongCode], 0), MATCH("ICE Theoretical Price", ICE[#Headers], 0))*100, "")</f>
        <v/>
      </c>
      <c r="AK37" s="364" t="str">
        <f ca="1">IFERROR(INDEX(ICE[], MATCH("c4ntet" &amp; TEXT(NGL!$A37, "mmmyy"), ICE[LongCode], 0), MATCH("Text", ICE[#Headers], 0)), "")</f>
        <v xml:space="preserve"> /  </v>
      </c>
      <c r="AL37" s="46" t="str">
        <f t="shared" ca="1" si="96"/>
        <v/>
      </c>
      <c r="AM37" s="47" t="str">
        <f t="shared" ca="1" si="119"/>
        <v/>
      </c>
      <c r="AN37" s="46" t="str">
        <f t="shared" ca="1" si="120"/>
        <v/>
      </c>
      <c r="AO37" s="141" t="str">
        <f t="shared" ca="1" si="97"/>
        <v/>
      </c>
      <c r="AP37" s="46" t="str">
        <f t="shared" ca="1" si="98"/>
        <v/>
      </c>
      <c r="AQ37" s="47" t="str">
        <f t="shared" ca="1" si="121"/>
        <v/>
      </c>
      <c r="AR37" s="46" t="str">
        <f t="shared" ca="1" si="122"/>
        <v/>
      </c>
      <c r="AS37" s="141" t="str">
        <f ca="1">IFERROR(IF(AND(ISNUMBER(Futs!$BY37), ISNUMBER($AJ37)), $AJ37*42/100 - Futs!$BY37, ""), "")</f>
        <v/>
      </c>
      <c r="AT37" s="67" t="str">
        <f ca="1">IFERROR(IF(AND(ISNUMBER(Futs!$BZ37), ISNUMBER($AL37)), $AL37*42/100 - Futs!$BZ37, ""), "")</f>
        <v/>
      </c>
      <c r="AU37" s="47" t="str">
        <f t="shared" ca="1" si="123"/>
        <v/>
      </c>
      <c r="AV37" s="46" t="str">
        <f t="shared" ca="1" si="124"/>
        <v/>
      </c>
      <c r="AW37" s="397" t="str">
        <f ca="1">IFERROR(INDEX(ICE[], MATCH("ic4ntet" &amp; TEXT(Crd!$A37, "mmmyy"), ICE[LongCode], 0), MATCH("ICE Theoretical Price", ICE[#Headers], 0))*100, "")</f>
        <v/>
      </c>
      <c r="AX37" s="364" t="str">
        <f ca="1">IFERROR(INDEX(ICE[], MATCH("ic4ntet" &amp; TEXT(NGL!$A37, "mmmyy"), ICE[LongCode], 0), MATCH("Text", ICE[#Headers], 0)), "")</f>
        <v xml:space="preserve"> /  </v>
      </c>
      <c r="AY37" s="46" t="str">
        <f t="shared" ca="1" si="99"/>
        <v/>
      </c>
      <c r="AZ37" s="47" t="str">
        <f t="shared" ca="1" si="125"/>
        <v/>
      </c>
      <c r="BA37" s="46" t="str">
        <f t="shared" ca="1" si="126"/>
        <v/>
      </c>
      <c r="BB37" s="141" t="str">
        <f t="shared" ca="1" si="100"/>
        <v/>
      </c>
      <c r="BC37" s="46" t="str">
        <f t="shared" ca="1" si="101"/>
        <v/>
      </c>
      <c r="BD37" s="47" t="str">
        <f t="shared" ca="1" si="127"/>
        <v/>
      </c>
      <c r="BE37" s="46" t="str">
        <f t="shared" ca="1" si="128"/>
        <v/>
      </c>
      <c r="BF37" s="397" t="str">
        <f ca="1">IFERROR(INDEX(ICE[], MATCH("ngasntet" &amp; TEXT(Crd!$A37, "mmmyy"), ICE[LongCode], 0), MATCH("ICE Theoretical Price", ICE[#Headers], 0))*100, "")</f>
        <v/>
      </c>
      <c r="BG37" s="364" t="str">
        <f ca="1">IFERROR(INDEX(ICE[], MATCH("ngasntet" &amp; TEXT(NGL!$A37, "mmmyy"), ICE[LongCode], 0), MATCH("Text", ICE[#Headers], 0)), "")</f>
        <v xml:space="preserve"> /  </v>
      </c>
      <c r="BH37" s="46" t="str">
        <f t="shared" ca="1" si="102"/>
        <v/>
      </c>
      <c r="BI37" s="47" t="str">
        <f t="shared" ca="1" si="129"/>
        <v/>
      </c>
      <c r="BJ37" s="46" t="str">
        <f t="shared" ca="1" si="130"/>
        <v/>
      </c>
      <c r="BK37" s="141" t="str">
        <f ca="1">IFERROR(IF(AND(ISNUMBER(Futs!$BY37), ISNUMBER($BF37)), $BF37*42/100 - Futs!$BY37, ""), "")</f>
        <v/>
      </c>
      <c r="BL37" s="67" t="str">
        <f ca="1">IFERROR(IF(AND(ISNUMBER(Futs!$BZ37), ISNUMBER($BH37)), $BH37*42/100 - Futs!$BZ37, ""), "")</f>
        <v/>
      </c>
      <c r="BM37" s="47" t="str">
        <f t="shared" ca="1" si="131"/>
        <v/>
      </c>
      <c r="BN37" s="111" t="str">
        <f t="shared" ca="1" si="132"/>
        <v/>
      </c>
      <c r="BO37" s="397" t="str">
        <f ca="1">IFERROR(INDEX(ICE[], MATCH("c3ew" &amp; TEXT(Crd!$A37, "mmmyy"), ICE[LongCode], 0), MATCH("ICE Theoretical Price", ICE[#Headers], 0)), "")</f>
        <v/>
      </c>
      <c r="BP37" s="364" t="str">
        <f ca="1">IFERROR(INDEX(ICE[], MATCH("c3ew" &amp; TEXT(NGL!$A37, "mmmyy"), ICE[LongCode], 0), MATCH("Text", ICE[#Headers], 0)), "")</f>
        <v xml:space="preserve"> /  </v>
      </c>
      <c r="BQ37" s="46" t="str">
        <f t="shared" ca="1" si="103"/>
        <v/>
      </c>
      <c r="BR37" s="47" t="str">
        <f t="shared" ca="1" si="133"/>
        <v/>
      </c>
      <c r="BS37" s="46" t="str">
        <f t="shared" ca="1" si="134"/>
        <v/>
      </c>
      <c r="BT37" s="141" t="str">
        <f t="shared" ca="1" si="104"/>
        <v/>
      </c>
      <c r="BU37" s="46" t="str">
        <f t="shared" ca="1" si="105"/>
        <v/>
      </c>
      <c r="BV37" s="47" t="str">
        <f t="shared" ca="1" si="135"/>
        <v/>
      </c>
      <c r="BW37" s="46" t="str">
        <f t="shared" ca="1" si="136"/>
        <v/>
      </c>
      <c r="BX37" s="141" t="str">
        <f ca="1">IFERROR(IF(AND(ISNUMBER(Futs!$CC37), ISNUMBER($BT37)), $BT37/12.4 - Futs!$CC37, ""), "")</f>
        <v/>
      </c>
      <c r="BY37" s="67" t="str">
        <f t="shared" ca="1" si="106"/>
        <v/>
      </c>
      <c r="BZ37" s="47" t="str">
        <f t="shared" ca="1" si="137"/>
        <v/>
      </c>
      <c r="CA37" s="46" t="str">
        <f t="shared" ca="1" si="138"/>
        <v/>
      </c>
    </row>
    <row r="38" spans="1:79" x14ac:dyDescent="0.25">
      <c r="A38" s="58">
        <f t="shared" ca="1" si="107"/>
        <v>46844</v>
      </c>
      <c r="B38" s="6">
        <f t="shared" ca="1" si="89"/>
        <v>2028</v>
      </c>
      <c r="C38" s="6" t="str">
        <f t="shared" ca="1" si="91"/>
        <v>Q228</v>
      </c>
      <c r="D38" s="28">
        <f ca="1">INDEX(ICE[], MATCH(D$18 &amp; TEXT(NGL!$A38, "mmmyy"), ICE[LongCode], 0), MATCH("Settle", ICE[#Headers], 0))</f>
        <v>-118.024</v>
      </c>
      <c r="E38" s="28">
        <f ca="1">INDEX(ICE[], MATCH(E$18 &amp; TEXT(NGL!$A38, "mmmyy"), ICE[LongCode], 0), MATCH("Settle", ICE[#Headers], 0))*100</f>
        <v>68.624999999999986</v>
      </c>
      <c r="F38" s="28">
        <f ca="1">INDEX(ICE[], MATCH(F$18 &amp; TEXT(NGL!$A38, "mmmyy"), ICE[LongCode], 0), MATCH("Settle", ICE[#Headers], 0))*100</f>
        <v>83.75</v>
      </c>
      <c r="G38" s="28">
        <f ca="1">INDEX(ICE[], MATCH(G$18 &amp; TEXT(NGL!$A38, "mmmyy"), ICE[LongCode], 0), MATCH("Settle", ICE[#Headers], 0))*100</f>
        <v>87.25</v>
      </c>
      <c r="H38" s="28">
        <f ca="1">INDEX(ICE[], MATCH(H$18 &amp; TEXT(NGL!$A38, "mmmyy"), ICE[LongCode], 0), MATCH("Settle", ICE[#Headers], 0))*100</f>
        <v>146.5</v>
      </c>
      <c r="I38" s="28">
        <f ca="1">INDEX(ICE[], MATCH(I$18 &amp; TEXT(NGL!$A38, "mmmyy"), ICE[LongCode], 0), MATCH("Settle", ICE[#Headers], 0))</f>
        <v>61.550000000000004</v>
      </c>
      <c r="J38" s="397" t="str">
        <f ca="1">IFERROR(INDEX(ICE[], MATCH("propnap" &amp; TEXT(Crd!$A38, "mmmyy"), ICE[LongCode], 0), MATCH("ICE Theoretical Price", ICE[#Headers], 0)), "")</f>
        <v/>
      </c>
      <c r="K38" s="364" t="str">
        <f ca="1">IFERROR(INDEX(ICE[], MATCH("propnap" &amp; TEXT(NGL!$A38, "mmmyy"), ICE[LongCode], 0), MATCH("Text", ICE[#Headers], 0)), "")</f>
        <v xml:space="preserve"> /  </v>
      </c>
      <c r="L38" s="46" t="str">
        <f t="shared" ca="1" si="90"/>
        <v/>
      </c>
      <c r="M38" s="47" t="str">
        <f t="shared" ca="1" si="92"/>
        <v/>
      </c>
      <c r="N38" s="46" t="str">
        <f t="shared" ca="1" si="108"/>
        <v/>
      </c>
      <c r="O38" s="141" t="str">
        <f ca="1">IFERROR(IF(AND(ISNUMBER(Lts!$N38), ISNUMBER($J38)), Lts!$N38 + $J38, ""), "")</f>
        <v/>
      </c>
      <c r="P38" s="46" t="str">
        <f ca="1">IFERROR(IF(AND(ISNUMBER(Lts!$O38), ISNUMBER($L38)), Lts!$O38 + $L38, ""), "")</f>
        <v/>
      </c>
      <c r="Q38" s="47" t="str">
        <f t="shared" ca="1" si="109"/>
        <v/>
      </c>
      <c r="R38" s="46" t="str">
        <f t="shared" ca="1" si="110"/>
        <v/>
      </c>
      <c r="S38" s="141" t="str">
        <f ca="1">IFERROR(IF(AND(ISNUMBER(Futs!$CC38), ISNUMBER($O38)), $O38/12.4 - Futs!$CC38, ""), "")</f>
        <v/>
      </c>
      <c r="T38" s="67" t="str">
        <f ca="1">IFERROR(IF(AND(ISNUMBER(Futs!$CD38), ISNUMBER($P38)), $P38/12.4 - Futs!$CD38, ""), "")</f>
        <v/>
      </c>
      <c r="U38" s="47" t="str">
        <f t="shared" ca="1" si="111"/>
        <v/>
      </c>
      <c r="V38" s="46" t="str">
        <f t="shared" ca="1" si="112"/>
        <v/>
      </c>
      <c r="W38" s="397" t="str">
        <f ca="1">IFERROR(INDEX(ICE[], MATCH("c3tet" &amp; TEXT(Crd!$A38, "mmmyy"), ICE[LongCode], 0), MATCH("ICE Theoretical Price", ICE[#Headers], 0))*100, "")</f>
        <v/>
      </c>
      <c r="X38" s="364" t="str">
        <f ca="1">IFERROR(INDEX(ICE[], MATCH("c3tet" &amp; TEXT(NGL!$A38, "mmmyy"), ICE[LongCode], 0), MATCH("Text", ICE[#Headers], 0)), "")</f>
        <v xml:space="preserve"> /  </v>
      </c>
      <c r="Y38" s="46" t="str">
        <f t="shared" ca="1" si="93"/>
        <v/>
      </c>
      <c r="Z38" s="47" t="str">
        <f t="shared" ca="1" si="113"/>
        <v/>
      </c>
      <c r="AA38" s="46" t="str">
        <f t="shared" ca="1" si="114"/>
        <v/>
      </c>
      <c r="AB38" s="141" t="str">
        <f ca="1">IFERROR(IF(AND(ISNUMBER(Futs!$BY38), ISNUMBER($W38)), $W38*42/100 - Futs!$BY38, ""), "")</f>
        <v/>
      </c>
      <c r="AC38" s="67" t="str">
        <f ca="1">IFERROR(IF(AND(ISNUMBER(Futs!$BZ38), ISNUMBER($Y38)), $Y38*42/100 - Futs!$BZ38, ""), "")</f>
        <v/>
      </c>
      <c r="AD38" s="47" t="str">
        <f t="shared" ca="1" si="115"/>
        <v/>
      </c>
      <c r="AE38" s="46" t="str">
        <f t="shared" ca="1" si="116"/>
        <v/>
      </c>
      <c r="AF38" s="141" t="str">
        <f t="shared" ca="1" si="94"/>
        <v/>
      </c>
      <c r="AG38" s="67" t="str">
        <f t="shared" ca="1" si="95"/>
        <v/>
      </c>
      <c r="AH38" s="47" t="str">
        <f t="shared" ca="1" si="117"/>
        <v/>
      </c>
      <c r="AI38" s="46" t="str">
        <f t="shared" ca="1" si="118"/>
        <v/>
      </c>
      <c r="AJ38" s="397" t="str">
        <f ca="1">IFERROR(INDEX(ICE[], MATCH("c4ntet" &amp; TEXT(Crd!$A38, "mmmyy"), ICE[LongCode], 0), MATCH("ICE Theoretical Price", ICE[#Headers], 0))*100, "")</f>
        <v/>
      </c>
      <c r="AK38" s="364" t="str">
        <f ca="1">IFERROR(INDEX(ICE[], MATCH("c4ntet" &amp; TEXT(NGL!$A38, "mmmyy"), ICE[LongCode], 0), MATCH("Text", ICE[#Headers], 0)), "")</f>
        <v xml:space="preserve"> /  </v>
      </c>
      <c r="AL38" s="46" t="str">
        <f t="shared" ca="1" si="96"/>
        <v/>
      </c>
      <c r="AM38" s="47" t="str">
        <f t="shared" ca="1" si="119"/>
        <v/>
      </c>
      <c r="AN38" s="46" t="str">
        <f t="shared" ca="1" si="120"/>
        <v/>
      </c>
      <c r="AO38" s="141" t="str">
        <f t="shared" ca="1" si="97"/>
        <v/>
      </c>
      <c r="AP38" s="46" t="str">
        <f t="shared" ca="1" si="98"/>
        <v/>
      </c>
      <c r="AQ38" s="47" t="str">
        <f t="shared" ca="1" si="121"/>
        <v/>
      </c>
      <c r="AR38" s="46" t="str">
        <f t="shared" ca="1" si="122"/>
        <v/>
      </c>
      <c r="AS38" s="141" t="str">
        <f ca="1">IFERROR(IF(AND(ISNUMBER(Futs!$BY38), ISNUMBER($AJ38)), $AJ38*42/100 - Futs!$BY38, ""), "")</f>
        <v/>
      </c>
      <c r="AT38" s="67" t="str">
        <f ca="1">IFERROR(IF(AND(ISNUMBER(Futs!$BZ38), ISNUMBER($AL38)), $AL38*42/100 - Futs!$BZ38, ""), "")</f>
        <v/>
      </c>
      <c r="AU38" s="47" t="str">
        <f t="shared" ca="1" si="123"/>
        <v/>
      </c>
      <c r="AV38" s="46" t="str">
        <f t="shared" ca="1" si="124"/>
        <v/>
      </c>
      <c r="AW38" s="397" t="str">
        <f ca="1">IFERROR(INDEX(ICE[], MATCH("ic4ntet" &amp; TEXT(Crd!$A38, "mmmyy"), ICE[LongCode], 0), MATCH("ICE Theoretical Price", ICE[#Headers], 0))*100, "")</f>
        <v/>
      </c>
      <c r="AX38" s="364" t="str">
        <f ca="1">IFERROR(INDEX(ICE[], MATCH("ic4ntet" &amp; TEXT(NGL!$A38, "mmmyy"), ICE[LongCode], 0), MATCH("Text", ICE[#Headers], 0)), "")</f>
        <v xml:space="preserve"> /  </v>
      </c>
      <c r="AY38" s="46" t="str">
        <f t="shared" ca="1" si="99"/>
        <v/>
      </c>
      <c r="AZ38" s="47" t="str">
        <f t="shared" ca="1" si="125"/>
        <v/>
      </c>
      <c r="BA38" s="46" t="str">
        <f t="shared" ca="1" si="126"/>
        <v/>
      </c>
      <c r="BB38" s="141" t="str">
        <f t="shared" ca="1" si="100"/>
        <v/>
      </c>
      <c r="BC38" s="46" t="str">
        <f t="shared" ca="1" si="101"/>
        <v/>
      </c>
      <c r="BD38" s="47" t="str">
        <f t="shared" ca="1" si="127"/>
        <v/>
      </c>
      <c r="BE38" s="46" t="str">
        <f t="shared" ca="1" si="128"/>
        <v/>
      </c>
      <c r="BF38" s="397" t="str">
        <f ca="1">IFERROR(INDEX(ICE[], MATCH("ngasntet" &amp; TEXT(Crd!$A38, "mmmyy"), ICE[LongCode], 0), MATCH("ICE Theoretical Price", ICE[#Headers], 0))*100, "")</f>
        <v/>
      </c>
      <c r="BG38" s="364" t="str">
        <f ca="1">IFERROR(INDEX(ICE[], MATCH("ngasntet" &amp; TEXT(NGL!$A38, "mmmyy"), ICE[LongCode], 0), MATCH("Text", ICE[#Headers], 0)), "")</f>
        <v xml:space="preserve"> /  </v>
      </c>
      <c r="BH38" s="46" t="str">
        <f t="shared" ca="1" si="102"/>
        <v/>
      </c>
      <c r="BI38" s="47" t="str">
        <f t="shared" ca="1" si="129"/>
        <v/>
      </c>
      <c r="BJ38" s="46" t="str">
        <f t="shared" ca="1" si="130"/>
        <v/>
      </c>
      <c r="BK38" s="141" t="str">
        <f ca="1">IFERROR(IF(AND(ISNUMBER(Futs!$BY38), ISNUMBER($BF38)), $BF38*42/100 - Futs!$BY38, ""), "")</f>
        <v/>
      </c>
      <c r="BL38" s="67" t="str">
        <f ca="1">IFERROR(IF(AND(ISNUMBER(Futs!$BZ38), ISNUMBER($BH38)), $BH38*42/100 - Futs!$BZ38, ""), "")</f>
        <v/>
      </c>
      <c r="BM38" s="47" t="str">
        <f t="shared" ca="1" si="131"/>
        <v/>
      </c>
      <c r="BN38" s="111" t="str">
        <f t="shared" ca="1" si="132"/>
        <v/>
      </c>
      <c r="BO38" s="397" t="str">
        <f ca="1">IFERROR(INDEX(ICE[], MATCH("c3ew" &amp; TEXT(Crd!$A38, "mmmyy"), ICE[LongCode], 0), MATCH("ICE Theoretical Price", ICE[#Headers], 0)), "")</f>
        <v/>
      </c>
      <c r="BP38" s="364" t="str">
        <f ca="1">IFERROR(INDEX(ICE[], MATCH("c3ew" &amp; TEXT(NGL!$A38, "mmmyy"), ICE[LongCode], 0), MATCH("Text", ICE[#Headers], 0)), "")</f>
        <v xml:space="preserve"> /  </v>
      </c>
      <c r="BQ38" s="46" t="str">
        <f t="shared" ca="1" si="103"/>
        <v/>
      </c>
      <c r="BR38" s="47" t="str">
        <f t="shared" ca="1" si="133"/>
        <v/>
      </c>
      <c r="BS38" s="46" t="str">
        <f t="shared" ca="1" si="134"/>
        <v/>
      </c>
      <c r="BT38" s="141" t="str">
        <f t="shared" ca="1" si="104"/>
        <v/>
      </c>
      <c r="BU38" s="46" t="str">
        <f t="shared" ca="1" si="105"/>
        <v/>
      </c>
      <c r="BV38" s="47" t="str">
        <f t="shared" ca="1" si="135"/>
        <v/>
      </c>
      <c r="BW38" s="46" t="str">
        <f t="shared" ca="1" si="136"/>
        <v/>
      </c>
      <c r="BX38" s="141" t="str">
        <f ca="1">IFERROR(IF(AND(ISNUMBER(Futs!$CC38), ISNUMBER($BT38)), $BT38/12.4 - Futs!$CC38, ""), "")</f>
        <v/>
      </c>
      <c r="BY38" s="67" t="str">
        <f t="shared" ca="1" si="106"/>
        <v/>
      </c>
      <c r="BZ38" s="47" t="str">
        <f t="shared" ca="1" si="137"/>
        <v/>
      </c>
      <c r="CA38" s="46" t="str">
        <f t="shared" ca="1" si="138"/>
        <v/>
      </c>
    </row>
    <row r="39" spans="1:79" x14ac:dyDescent="0.25">
      <c r="A39" s="58">
        <f t="shared" ca="1" si="107"/>
        <v>46874</v>
      </c>
      <c r="B39" s="6">
        <f t="shared" ca="1" si="89"/>
        <v>2028</v>
      </c>
      <c r="C39" s="6" t="str">
        <f t="shared" ca="1" si="91"/>
        <v>Q228</v>
      </c>
      <c r="D39" s="28">
        <f ca="1">INDEX(ICE[], MATCH(D$18 &amp; TEXT(NGL!$A39, "mmmyy"), ICE[LongCode], 0), MATCH("Settle", ICE[#Headers], 0))</f>
        <v>-120.02200000000001</v>
      </c>
      <c r="E39" s="28">
        <f ca="1">INDEX(ICE[], MATCH(E$18 &amp; TEXT(NGL!$A39, "mmmyy"), ICE[LongCode], 0), MATCH("Settle", ICE[#Headers], 0))*100</f>
        <v>67.25</v>
      </c>
      <c r="F39" s="28">
        <f ca="1">INDEX(ICE[], MATCH(F$18 &amp; TEXT(NGL!$A39, "mmmyy"), ICE[LongCode], 0), MATCH("Settle", ICE[#Headers], 0))*100</f>
        <v>82.5</v>
      </c>
      <c r="G39" s="28">
        <f ca="1">INDEX(ICE[], MATCH(G$18 &amp; TEXT(NGL!$A39, "mmmyy"), ICE[LongCode], 0), MATCH("Settle", ICE[#Headers], 0))*100</f>
        <v>87.125</v>
      </c>
      <c r="H39" s="28">
        <f ca="1">INDEX(ICE[], MATCH(H$18 &amp; TEXT(NGL!$A39, "mmmyy"), ICE[LongCode], 0), MATCH("Settle", ICE[#Headers], 0))*100</f>
        <v>145.125</v>
      </c>
      <c r="I39" s="28">
        <f ca="1">INDEX(ICE[], MATCH(I$18 &amp; TEXT(NGL!$A39, "mmmyy"), ICE[LongCode], 0), MATCH("Settle", ICE[#Headers], 0))</f>
        <v>59.800000000000004</v>
      </c>
      <c r="J39" s="397" t="str">
        <f ca="1">IFERROR(INDEX(ICE[], MATCH("propnap" &amp; TEXT(Crd!$A39, "mmmyy"), ICE[LongCode], 0), MATCH("ICE Theoretical Price", ICE[#Headers], 0)), "")</f>
        <v/>
      </c>
      <c r="K39" s="364" t="str">
        <f ca="1">IFERROR(INDEX(ICE[], MATCH("propnap" &amp; TEXT(NGL!$A39, "mmmyy"), ICE[LongCode], 0), MATCH("Text", ICE[#Headers], 0)), "")</f>
        <v xml:space="preserve"> /  </v>
      </c>
      <c r="L39" s="46" t="str">
        <f t="shared" ca="1" si="90"/>
        <v/>
      </c>
      <c r="M39" s="47" t="str">
        <f t="shared" ca="1" si="92"/>
        <v/>
      </c>
      <c r="N39" s="46" t="str">
        <f t="shared" ca="1" si="108"/>
        <v/>
      </c>
      <c r="O39" s="141" t="str">
        <f ca="1">IFERROR(IF(AND(ISNUMBER(Lts!$N39), ISNUMBER($J39)), Lts!$N39 + $J39, ""), "")</f>
        <v/>
      </c>
      <c r="P39" s="46" t="str">
        <f ca="1">IFERROR(IF(AND(ISNUMBER(Lts!$O39), ISNUMBER($L39)), Lts!$O39 + $L39, ""), "")</f>
        <v/>
      </c>
      <c r="Q39" s="47" t="str">
        <f t="shared" ca="1" si="109"/>
        <v/>
      </c>
      <c r="R39" s="46" t="str">
        <f t="shared" ca="1" si="110"/>
        <v/>
      </c>
      <c r="S39" s="141" t="str">
        <f ca="1">IFERROR(IF(AND(ISNUMBER(Futs!$CC39), ISNUMBER($O39)), $O39/12.4 - Futs!$CC39, ""), "")</f>
        <v/>
      </c>
      <c r="T39" s="67" t="str">
        <f ca="1">IFERROR(IF(AND(ISNUMBER(Futs!$CD39), ISNUMBER($P39)), $P39/12.4 - Futs!$CD39, ""), "")</f>
        <v/>
      </c>
      <c r="U39" s="47" t="str">
        <f t="shared" ca="1" si="111"/>
        <v/>
      </c>
      <c r="V39" s="46" t="str">
        <f t="shared" ca="1" si="112"/>
        <v/>
      </c>
      <c r="W39" s="397" t="str">
        <f ca="1">IFERROR(INDEX(ICE[], MATCH("c3tet" &amp; TEXT(Crd!$A39, "mmmyy"), ICE[LongCode], 0), MATCH("ICE Theoretical Price", ICE[#Headers], 0))*100, "")</f>
        <v/>
      </c>
      <c r="X39" s="364" t="str">
        <f ca="1">IFERROR(INDEX(ICE[], MATCH("c3tet" &amp; TEXT(NGL!$A39, "mmmyy"), ICE[LongCode], 0), MATCH("Text", ICE[#Headers], 0)), "")</f>
        <v xml:space="preserve"> /  </v>
      </c>
      <c r="Y39" s="46" t="str">
        <f t="shared" ca="1" si="93"/>
        <v/>
      </c>
      <c r="Z39" s="47" t="str">
        <f t="shared" ca="1" si="113"/>
        <v/>
      </c>
      <c r="AA39" s="46" t="str">
        <f t="shared" ca="1" si="114"/>
        <v/>
      </c>
      <c r="AB39" s="141" t="str">
        <f ca="1">IFERROR(IF(AND(ISNUMBER(Futs!$BY39), ISNUMBER($W39)), $W39*42/100 - Futs!$BY39, ""), "")</f>
        <v/>
      </c>
      <c r="AC39" s="67" t="str">
        <f ca="1">IFERROR(IF(AND(ISNUMBER(Futs!$BZ39), ISNUMBER($Y39)), $Y39*42/100 - Futs!$BZ39, ""), "")</f>
        <v/>
      </c>
      <c r="AD39" s="47" t="str">
        <f t="shared" ca="1" si="115"/>
        <v/>
      </c>
      <c r="AE39" s="46" t="str">
        <f t="shared" ca="1" si="116"/>
        <v/>
      </c>
      <c r="AF39" s="141" t="str">
        <f t="shared" ca="1" si="94"/>
        <v/>
      </c>
      <c r="AG39" s="67" t="str">
        <f t="shared" ca="1" si="95"/>
        <v/>
      </c>
      <c r="AH39" s="47" t="str">
        <f t="shared" ca="1" si="117"/>
        <v/>
      </c>
      <c r="AI39" s="46" t="str">
        <f t="shared" ca="1" si="118"/>
        <v/>
      </c>
      <c r="AJ39" s="397" t="str">
        <f ca="1">IFERROR(INDEX(ICE[], MATCH("c4ntet" &amp; TEXT(Crd!$A39, "mmmyy"), ICE[LongCode], 0), MATCH("ICE Theoretical Price", ICE[#Headers], 0))*100, "")</f>
        <v/>
      </c>
      <c r="AK39" s="364" t="str">
        <f ca="1">IFERROR(INDEX(ICE[], MATCH("c4ntet" &amp; TEXT(NGL!$A39, "mmmyy"), ICE[LongCode], 0), MATCH("Text", ICE[#Headers], 0)), "")</f>
        <v xml:space="preserve"> /  </v>
      </c>
      <c r="AL39" s="46" t="str">
        <f t="shared" ca="1" si="96"/>
        <v/>
      </c>
      <c r="AM39" s="47" t="str">
        <f t="shared" ca="1" si="119"/>
        <v/>
      </c>
      <c r="AN39" s="46" t="str">
        <f t="shared" ca="1" si="120"/>
        <v/>
      </c>
      <c r="AO39" s="141" t="str">
        <f t="shared" ca="1" si="97"/>
        <v/>
      </c>
      <c r="AP39" s="46" t="str">
        <f t="shared" ca="1" si="98"/>
        <v/>
      </c>
      <c r="AQ39" s="47" t="str">
        <f t="shared" ca="1" si="121"/>
        <v/>
      </c>
      <c r="AR39" s="46" t="str">
        <f t="shared" ca="1" si="122"/>
        <v/>
      </c>
      <c r="AS39" s="141" t="str">
        <f ca="1">IFERROR(IF(AND(ISNUMBER(Futs!$BY39), ISNUMBER($AJ39)), $AJ39*42/100 - Futs!$BY39, ""), "")</f>
        <v/>
      </c>
      <c r="AT39" s="67" t="str">
        <f ca="1">IFERROR(IF(AND(ISNUMBER(Futs!$BZ39), ISNUMBER($AL39)), $AL39*42/100 - Futs!$BZ39, ""), "")</f>
        <v/>
      </c>
      <c r="AU39" s="47" t="str">
        <f t="shared" ca="1" si="123"/>
        <v/>
      </c>
      <c r="AV39" s="46" t="str">
        <f t="shared" ca="1" si="124"/>
        <v/>
      </c>
      <c r="AW39" s="397" t="str">
        <f ca="1">IFERROR(INDEX(ICE[], MATCH("ic4ntet" &amp; TEXT(Crd!$A39, "mmmyy"), ICE[LongCode], 0), MATCH("ICE Theoretical Price", ICE[#Headers], 0))*100, "")</f>
        <v/>
      </c>
      <c r="AX39" s="364" t="str">
        <f ca="1">IFERROR(INDEX(ICE[], MATCH("ic4ntet" &amp; TEXT(NGL!$A39, "mmmyy"), ICE[LongCode], 0), MATCH("Text", ICE[#Headers], 0)), "")</f>
        <v xml:space="preserve"> /  </v>
      </c>
      <c r="AY39" s="46" t="str">
        <f t="shared" ca="1" si="99"/>
        <v/>
      </c>
      <c r="AZ39" s="47" t="str">
        <f t="shared" ca="1" si="125"/>
        <v/>
      </c>
      <c r="BA39" s="46" t="str">
        <f t="shared" ca="1" si="126"/>
        <v/>
      </c>
      <c r="BB39" s="141" t="str">
        <f t="shared" ca="1" si="100"/>
        <v/>
      </c>
      <c r="BC39" s="46" t="str">
        <f t="shared" ca="1" si="101"/>
        <v/>
      </c>
      <c r="BD39" s="47" t="str">
        <f t="shared" ca="1" si="127"/>
        <v/>
      </c>
      <c r="BE39" s="46" t="str">
        <f t="shared" ca="1" si="128"/>
        <v/>
      </c>
      <c r="BF39" s="397" t="str">
        <f ca="1">IFERROR(INDEX(ICE[], MATCH("ngasntet" &amp; TEXT(Crd!$A39, "mmmyy"), ICE[LongCode], 0), MATCH("ICE Theoretical Price", ICE[#Headers], 0))*100, "")</f>
        <v/>
      </c>
      <c r="BG39" s="364" t="str">
        <f ca="1">IFERROR(INDEX(ICE[], MATCH("ngasntet" &amp; TEXT(NGL!$A39, "mmmyy"), ICE[LongCode], 0), MATCH("Text", ICE[#Headers], 0)), "")</f>
        <v xml:space="preserve"> /  </v>
      </c>
      <c r="BH39" s="46" t="str">
        <f t="shared" ca="1" si="102"/>
        <v/>
      </c>
      <c r="BI39" s="47" t="str">
        <f t="shared" ca="1" si="129"/>
        <v/>
      </c>
      <c r="BJ39" s="46" t="str">
        <f t="shared" ca="1" si="130"/>
        <v/>
      </c>
      <c r="BK39" s="141" t="str">
        <f ca="1">IFERROR(IF(AND(ISNUMBER(Futs!$BY39), ISNUMBER($BF39)), $BF39*42/100 - Futs!$BY39, ""), "")</f>
        <v/>
      </c>
      <c r="BL39" s="67" t="str">
        <f ca="1">IFERROR(IF(AND(ISNUMBER(Futs!$BZ39), ISNUMBER($BH39)), $BH39*42/100 - Futs!$BZ39, ""), "")</f>
        <v/>
      </c>
      <c r="BM39" s="47" t="str">
        <f t="shared" ca="1" si="131"/>
        <v/>
      </c>
      <c r="BN39" s="111" t="str">
        <f t="shared" ca="1" si="132"/>
        <v/>
      </c>
      <c r="BO39" s="397" t="str">
        <f ca="1">IFERROR(INDEX(ICE[], MATCH("c3ew" &amp; TEXT(Crd!$A39, "mmmyy"), ICE[LongCode], 0), MATCH("ICE Theoretical Price", ICE[#Headers], 0)), "")</f>
        <v/>
      </c>
      <c r="BP39" s="364" t="str">
        <f ca="1">IFERROR(INDEX(ICE[], MATCH("c3ew" &amp; TEXT(NGL!$A39, "mmmyy"), ICE[LongCode], 0), MATCH("Text", ICE[#Headers], 0)), "")</f>
        <v xml:space="preserve"> /  </v>
      </c>
      <c r="BQ39" s="46" t="str">
        <f t="shared" ca="1" si="103"/>
        <v/>
      </c>
      <c r="BR39" s="47" t="str">
        <f t="shared" ca="1" si="133"/>
        <v/>
      </c>
      <c r="BS39" s="46" t="str">
        <f t="shared" ca="1" si="134"/>
        <v/>
      </c>
      <c r="BT39" s="141" t="str">
        <f t="shared" ca="1" si="104"/>
        <v/>
      </c>
      <c r="BU39" s="46" t="str">
        <f t="shared" ca="1" si="105"/>
        <v/>
      </c>
      <c r="BV39" s="47" t="str">
        <f t="shared" ca="1" si="135"/>
        <v/>
      </c>
      <c r="BW39" s="46" t="str">
        <f t="shared" ca="1" si="136"/>
        <v/>
      </c>
      <c r="BX39" s="141" t="str">
        <f ca="1">IFERROR(IF(AND(ISNUMBER(Futs!$CC39), ISNUMBER($BT39)), $BT39/12.4 - Futs!$CC39, ""), "")</f>
        <v/>
      </c>
      <c r="BY39" s="67" t="str">
        <f t="shared" ca="1" si="106"/>
        <v/>
      </c>
      <c r="BZ39" s="47" t="str">
        <f t="shared" ca="1" si="137"/>
        <v/>
      </c>
      <c r="CA39" s="46" t="str">
        <f t="shared" ca="1" si="138"/>
        <v/>
      </c>
    </row>
    <row r="40" spans="1:79" x14ac:dyDescent="0.25">
      <c r="A40" s="58">
        <f t="shared" ca="1" si="107"/>
        <v>46905</v>
      </c>
      <c r="B40" s="6">
        <f t="shared" ca="1" si="89"/>
        <v>2028</v>
      </c>
      <c r="C40" s="6" t="str">
        <f t="shared" ca="1" si="91"/>
        <v>Q228</v>
      </c>
      <c r="D40" s="28">
        <f ca="1">INDEX(ICE[], MATCH(D$18 &amp; TEXT(NGL!$A40, "mmmyy"), ICE[LongCode], 0), MATCH("Settle", ICE[#Headers], 0))</f>
        <v>-119.524</v>
      </c>
      <c r="E40" s="28">
        <f ca="1">INDEX(ICE[], MATCH(E$18 &amp; TEXT(NGL!$A40, "mmmyy"), ICE[LongCode], 0), MATCH("Settle", ICE[#Headers], 0))*100</f>
        <v>66.875</v>
      </c>
      <c r="F40" s="28">
        <f ca="1">INDEX(ICE[], MATCH(F$18 &amp; TEXT(NGL!$A40, "mmmyy"), ICE[LongCode], 0), MATCH("Settle", ICE[#Headers], 0))*100</f>
        <v>82</v>
      </c>
      <c r="G40" s="28">
        <f ca="1">INDEX(ICE[], MATCH(G$18 &amp; TEXT(NGL!$A40, "mmmyy"), ICE[LongCode], 0), MATCH("Settle", ICE[#Headers], 0))*100</f>
        <v>87.374999999999986</v>
      </c>
      <c r="H40" s="28">
        <f ca="1">INDEX(ICE[], MATCH(H$18 &amp; TEXT(NGL!$A40, "mmmyy"), ICE[LongCode], 0), MATCH("Settle", ICE[#Headers], 0))*100</f>
        <v>144.25</v>
      </c>
      <c r="I40" s="28">
        <f ca="1">INDEX(ICE[], MATCH(I$18 &amp; TEXT(NGL!$A40, "mmmyy"), ICE[LongCode], 0), MATCH("Settle", ICE[#Headers], 0))</f>
        <v>58.800000000000004</v>
      </c>
      <c r="J40" s="397" t="str">
        <f ca="1">IFERROR(INDEX(ICE[], MATCH("propnap" &amp; TEXT(Crd!$A40, "mmmyy"), ICE[LongCode], 0), MATCH("ICE Theoretical Price", ICE[#Headers], 0)), "")</f>
        <v/>
      </c>
      <c r="K40" s="364" t="str">
        <f ca="1">IFERROR(INDEX(ICE[], MATCH("propnap" &amp; TEXT(NGL!$A40, "mmmyy"), ICE[LongCode], 0), MATCH("Text", ICE[#Headers], 0)), "")</f>
        <v xml:space="preserve"> /  </v>
      </c>
      <c r="L40" s="46" t="str">
        <f t="shared" ca="1" si="90"/>
        <v/>
      </c>
      <c r="M40" s="47" t="str">
        <f t="shared" ca="1" si="92"/>
        <v/>
      </c>
      <c r="N40" s="46" t="str">
        <f t="shared" ca="1" si="108"/>
        <v/>
      </c>
      <c r="O40" s="141" t="str">
        <f ca="1">IFERROR(IF(AND(ISNUMBER(Lts!$N40), ISNUMBER($J40)), Lts!$N40 + $J40, ""), "")</f>
        <v/>
      </c>
      <c r="P40" s="46" t="str">
        <f ca="1">IFERROR(IF(AND(ISNUMBER(Lts!$O40), ISNUMBER($L40)), Lts!$O40 + $L40, ""), "")</f>
        <v/>
      </c>
      <c r="Q40" s="47" t="str">
        <f t="shared" ca="1" si="109"/>
        <v/>
      </c>
      <c r="R40" s="46" t="str">
        <f t="shared" ca="1" si="110"/>
        <v/>
      </c>
      <c r="S40" s="141" t="str">
        <f ca="1">IFERROR(IF(AND(ISNUMBER(Futs!$CC40), ISNUMBER($O40)), $O40/12.4 - Futs!$CC40, ""), "")</f>
        <v/>
      </c>
      <c r="T40" s="67" t="str">
        <f ca="1">IFERROR(IF(AND(ISNUMBER(Futs!$CD40), ISNUMBER($P40)), $P40/12.4 - Futs!$CD40, ""), "")</f>
        <v/>
      </c>
      <c r="U40" s="47" t="str">
        <f t="shared" ca="1" si="111"/>
        <v/>
      </c>
      <c r="V40" s="46" t="str">
        <f t="shared" ca="1" si="112"/>
        <v/>
      </c>
      <c r="W40" s="397" t="str">
        <f ca="1">IFERROR(INDEX(ICE[], MATCH("c3tet" &amp; TEXT(Crd!$A40, "mmmyy"), ICE[LongCode], 0), MATCH("ICE Theoretical Price", ICE[#Headers], 0))*100, "")</f>
        <v/>
      </c>
      <c r="X40" s="364" t="str">
        <f ca="1">IFERROR(INDEX(ICE[], MATCH("c3tet" &amp; TEXT(NGL!$A40, "mmmyy"), ICE[LongCode], 0), MATCH("Text", ICE[#Headers], 0)), "")</f>
        <v xml:space="preserve"> /  </v>
      </c>
      <c r="Y40" s="46" t="str">
        <f t="shared" ca="1" si="93"/>
        <v/>
      </c>
      <c r="Z40" s="47" t="str">
        <f t="shared" ca="1" si="113"/>
        <v/>
      </c>
      <c r="AA40" s="46" t="str">
        <f t="shared" ca="1" si="114"/>
        <v/>
      </c>
      <c r="AB40" s="141" t="str">
        <f ca="1">IFERROR(IF(AND(ISNUMBER(Futs!$BY40), ISNUMBER($W40)), $W40*42/100 - Futs!$BY40, ""), "")</f>
        <v/>
      </c>
      <c r="AC40" s="67" t="str">
        <f ca="1">IFERROR(IF(AND(ISNUMBER(Futs!$BZ40), ISNUMBER($Y40)), $Y40*42/100 - Futs!$BZ40, ""), "")</f>
        <v/>
      </c>
      <c r="AD40" s="47" t="str">
        <f t="shared" ca="1" si="115"/>
        <v/>
      </c>
      <c r="AE40" s="46" t="str">
        <f t="shared" ca="1" si="116"/>
        <v/>
      </c>
      <c r="AF40" s="141" t="str">
        <f t="shared" ca="1" si="94"/>
        <v/>
      </c>
      <c r="AG40" s="67" t="str">
        <f t="shared" ca="1" si="95"/>
        <v/>
      </c>
      <c r="AH40" s="47" t="str">
        <f t="shared" ca="1" si="117"/>
        <v/>
      </c>
      <c r="AI40" s="46" t="str">
        <f t="shared" ca="1" si="118"/>
        <v/>
      </c>
      <c r="AJ40" s="397" t="str">
        <f ca="1">IFERROR(INDEX(ICE[], MATCH("c4ntet" &amp; TEXT(Crd!$A40, "mmmyy"), ICE[LongCode], 0), MATCH("ICE Theoretical Price", ICE[#Headers], 0))*100, "")</f>
        <v/>
      </c>
      <c r="AK40" s="364" t="str">
        <f ca="1">IFERROR(INDEX(ICE[], MATCH("c4ntet" &amp; TEXT(NGL!$A40, "mmmyy"), ICE[LongCode], 0), MATCH("Text", ICE[#Headers], 0)), "")</f>
        <v xml:space="preserve"> /  </v>
      </c>
      <c r="AL40" s="46" t="str">
        <f t="shared" ca="1" si="96"/>
        <v/>
      </c>
      <c r="AM40" s="47" t="str">
        <f t="shared" ca="1" si="119"/>
        <v/>
      </c>
      <c r="AN40" s="46" t="str">
        <f t="shared" ca="1" si="120"/>
        <v/>
      </c>
      <c r="AO40" s="141" t="str">
        <f t="shared" ca="1" si="97"/>
        <v/>
      </c>
      <c r="AP40" s="46" t="str">
        <f t="shared" ca="1" si="98"/>
        <v/>
      </c>
      <c r="AQ40" s="47" t="str">
        <f t="shared" ca="1" si="121"/>
        <v/>
      </c>
      <c r="AR40" s="46" t="str">
        <f t="shared" ca="1" si="122"/>
        <v/>
      </c>
      <c r="AS40" s="141" t="str">
        <f ca="1">IFERROR(IF(AND(ISNUMBER(Futs!$BY40), ISNUMBER($AJ40)), $AJ40*42/100 - Futs!$BY40, ""), "")</f>
        <v/>
      </c>
      <c r="AT40" s="67" t="str">
        <f ca="1">IFERROR(IF(AND(ISNUMBER(Futs!$BZ40), ISNUMBER($AL40)), $AL40*42/100 - Futs!$BZ40, ""), "")</f>
        <v/>
      </c>
      <c r="AU40" s="47" t="str">
        <f t="shared" ca="1" si="123"/>
        <v/>
      </c>
      <c r="AV40" s="46" t="str">
        <f t="shared" ca="1" si="124"/>
        <v/>
      </c>
      <c r="AW40" s="397" t="str">
        <f ca="1">IFERROR(INDEX(ICE[], MATCH("ic4ntet" &amp; TEXT(Crd!$A40, "mmmyy"), ICE[LongCode], 0), MATCH("ICE Theoretical Price", ICE[#Headers], 0))*100, "")</f>
        <v/>
      </c>
      <c r="AX40" s="364" t="str">
        <f ca="1">IFERROR(INDEX(ICE[], MATCH("ic4ntet" &amp; TEXT(NGL!$A40, "mmmyy"), ICE[LongCode], 0), MATCH("Text", ICE[#Headers], 0)), "")</f>
        <v xml:space="preserve"> /  </v>
      </c>
      <c r="AY40" s="46" t="str">
        <f t="shared" ca="1" si="99"/>
        <v/>
      </c>
      <c r="AZ40" s="47" t="str">
        <f t="shared" ca="1" si="125"/>
        <v/>
      </c>
      <c r="BA40" s="46" t="str">
        <f t="shared" ca="1" si="126"/>
        <v/>
      </c>
      <c r="BB40" s="141" t="str">
        <f t="shared" ca="1" si="100"/>
        <v/>
      </c>
      <c r="BC40" s="46" t="str">
        <f t="shared" ca="1" si="101"/>
        <v/>
      </c>
      <c r="BD40" s="47" t="str">
        <f t="shared" ca="1" si="127"/>
        <v/>
      </c>
      <c r="BE40" s="46" t="str">
        <f t="shared" ca="1" si="128"/>
        <v/>
      </c>
      <c r="BF40" s="397" t="str">
        <f ca="1">IFERROR(INDEX(ICE[], MATCH("ngasntet" &amp; TEXT(Crd!$A40, "mmmyy"), ICE[LongCode], 0), MATCH("ICE Theoretical Price", ICE[#Headers], 0))*100, "")</f>
        <v/>
      </c>
      <c r="BG40" s="364" t="str">
        <f ca="1">IFERROR(INDEX(ICE[], MATCH("ngasntet" &amp; TEXT(NGL!$A40, "mmmyy"), ICE[LongCode], 0), MATCH("Text", ICE[#Headers], 0)), "")</f>
        <v xml:space="preserve"> /  </v>
      </c>
      <c r="BH40" s="46" t="str">
        <f t="shared" ca="1" si="102"/>
        <v/>
      </c>
      <c r="BI40" s="47" t="str">
        <f t="shared" ca="1" si="129"/>
        <v/>
      </c>
      <c r="BJ40" s="46" t="str">
        <f t="shared" ca="1" si="130"/>
        <v/>
      </c>
      <c r="BK40" s="141" t="str">
        <f ca="1">IFERROR(IF(AND(ISNUMBER(Futs!$BY40), ISNUMBER($BF40)), $BF40*42/100 - Futs!$BY40, ""), "")</f>
        <v/>
      </c>
      <c r="BL40" s="67" t="str">
        <f ca="1">IFERROR(IF(AND(ISNUMBER(Futs!$BZ40), ISNUMBER($BH40)), $BH40*42/100 - Futs!$BZ40, ""), "")</f>
        <v/>
      </c>
      <c r="BM40" s="47" t="str">
        <f t="shared" ca="1" si="131"/>
        <v/>
      </c>
      <c r="BN40" s="111" t="str">
        <f t="shared" ca="1" si="132"/>
        <v/>
      </c>
      <c r="BO40" s="397" t="str">
        <f ca="1">IFERROR(INDEX(ICE[], MATCH("c3ew" &amp; TEXT(Crd!$A40, "mmmyy"), ICE[LongCode], 0), MATCH("ICE Theoretical Price", ICE[#Headers], 0)), "")</f>
        <v/>
      </c>
      <c r="BP40" s="364" t="str">
        <f ca="1">IFERROR(INDEX(ICE[], MATCH("c3ew" &amp; TEXT(NGL!$A40, "mmmyy"), ICE[LongCode], 0), MATCH("Text", ICE[#Headers], 0)), "")</f>
        <v xml:space="preserve"> /  </v>
      </c>
      <c r="BQ40" s="46" t="str">
        <f t="shared" ca="1" si="103"/>
        <v/>
      </c>
      <c r="BR40" s="47" t="str">
        <f t="shared" ca="1" si="133"/>
        <v/>
      </c>
      <c r="BS40" s="46" t="str">
        <f t="shared" ca="1" si="134"/>
        <v/>
      </c>
      <c r="BT40" s="141" t="str">
        <f t="shared" ca="1" si="104"/>
        <v/>
      </c>
      <c r="BU40" s="46" t="str">
        <f t="shared" ca="1" si="105"/>
        <v/>
      </c>
      <c r="BV40" s="47" t="str">
        <f t="shared" ca="1" si="135"/>
        <v/>
      </c>
      <c r="BW40" s="46" t="str">
        <f t="shared" ca="1" si="136"/>
        <v/>
      </c>
      <c r="BX40" s="141" t="str">
        <f ca="1">IFERROR(IF(AND(ISNUMBER(Futs!$CC40), ISNUMBER($BT40)), $BT40/12.4 - Futs!$CC40, ""), "")</f>
        <v/>
      </c>
      <c r="BY40" s="67" t="str">
        <f t="shared" ca="1" si="106"/>
        <v/>
      </c>
      <c r="BZ40" s="47" t="str">
        <f t="shared" ca="1" si="137"/>
        <v/>
      </c>
      <c r="CA40" s="46" t="str">
        <f t="shared" ca="1" si="138"/>
        <v/>
      </c>
    </row>
    <row r="41" spans="1:79" x14ac:dyDescent="0.25">
      <c r="A41" s="58">
        <f t="shared" ca="1" si="107"/>
        <v>46935</v>
      </c>
      <c r="B41" s="6">
        <f t="shared" ca="1" si="89"/>
        <v>2028</v>
      </c>
      <c r="C41" s="6" t="str">
        <f t="shared" ca="1" si="91"/>
        <v>Q328</v>
      </c>
      <c r="D41" s="28">
        <f ca="1">INDEX(ICE[], MATCH(D$18 &amp; TEXT(NGL!$A41, "mmmyy"), ICE[LongCode], 0), MATCH("Settle", ICE[#Headers], 0))</f>
        <v>-115.27200000000001</v>
      </c>
      <c r="E41" s="28">
        <f ca="1">INDEX(ICE[], MATCH(E$18 &amp; TEXT(NGL!$A41, "mmmyy"), ICE[LongCode], 0), MATCH("Settle", ICE[#Headers], 0))*100</f>
        <v>66.875</v>
      </c>
      <c r="F41" s="28">
        <f ca="1">INDEX(ICE[], MATCH(F$18 &amp; TEXT(NGL!$A41, "mmmyy"), ICE[LongCode], 0), MATCH("Settle", ICE[#Headers], 0))*100</f>
        <v>82</v>
      </c>
      <c r="G41" s="28">
        <f ca="1">INDEX(ICE[], MATCH(G$18 &amp; TEXT(NGL!$A41, "mmmyy"), ICE[LongCode], 0), MATCH("Settle", ICE[#Headers], 0))*100</f>
        <v>88.125</v>
      </c>
      <c r="H41" s="28">
        <f ca="1">INDEX(ICE[], MATCH(H$18 &amp; TEXT(NGL!$A41, "mmmyy"), ICE[LongCode], 0), MATCH("Settle", ICE[#Headers], 0))*100</f>
        <v>143.5</v>
      </c>
      <c r="I41" s="28">
        <f ca="1">INDEX(ICE[], MATCH(I$18 &amp; TEXT(NGL!$A41, "mmmyy"), ICE[LongCode], 0), MATCH("Settle", ICE[#Headers], 0))</f>
        <v>56.800000000000004</v>
      </c>
      <c r="J41" s="397" t="str">
        <f ca="1">IFERROR(INDEX(ICE[], MATCH("propnap" &amp; TEXT(Crd!$A41, "mmmyy"), ICE[LongCode], 0), MATCH("ICE Theoretical Price", ICE[#Headers], 0)), "")</f>
        <v/>
      </c>
      <c r="K41" s="364" t="str">
        <f ca="1">IFERROR(INDEX(ICE[], MATCH("propnap" &amp; TEXT(NGL!$A41, "mmmyy"), ICE[LongCode], 0), MATCH("Text", ICE[#Headers], 0)), "")</f>
        <v xml:space="preserve"> /  </v>
      </c>
      <c r="L41" s="46" t="str">
        <f t="shared" ca="1" si="90"/>
        <v/>
      </c>
      <c r="M41" s="47" t="str">
        <f t="shared" ca="1" si="92"/>
        <v/>
      </c>
      <c r="N41" s="46" t="str">
        <f t="shared" ca="1" si="108"/>
        <v/>
      </c>
      <c r="O41" s="141" t="str">
        <f ca="1">IFERROR(IF(AND(ISNUMBER(Lts!$N41), ISNUMBER($J41)), Lts!$N41 + $J41, ""), "")</f>
        <v/>
      </c>
      <c r="P41" s="46" t="str">
        <f ca="1">IFERROR(IF(AND(ISNUMBER(Lts!$O41), ISNUMBER($L41)), Lts!$O41 + $L41, ""), "")</f>
        <v/>
      </c>
      <c r="Q41" s="47" t="str">
        <f t="shared" ca="1" si="109"/>
        <v/>
      </c>
      <c r="R41" s="46" t="str">
        <f t="shared" ca="1" si="110"/>
        <v/>
      </c>
      <c r="S41" s="141" t="str">
        <f ca="1">IFERROR(IF(AND(ISNUMBER(Futs!$CC41), ISNUMBER($O41)), $O41/12.4 - Futs!$CC41, ""), "")</f>
        <v/>
      </c>
      <c r="T41" s="67" t="str">
        <f ca="1">IFERROR(IF(AND(ISNUMBER(Futs!$CD41), ISNUMBER($P41)), $P41/12.4 - Futs!$CD41, ""), "")</f>
        <v/>
      </c>
      <c r="U41" s="47" t="str">
        <f t="shared" ca="1" si="111"/>
        <v/>
      </c>
      <c r="V41" s="46" t="str">
        <f t="shared" ca="1" si="112"/>
        <v/>
      </c>
      <c r="W41" s="397" t="str">
        <f ca="1">IFERROR(INDEX(ICE[], MATCH("c3tet" &amp; TEXT(Crd!$A41, "mmmyy"), ICE[LongCode], 0), MATCH("ICE Theoretical Price", ICE[#Headers], 0))*100, "")</f>
        <v/>
      </c>
      <c r="X41" s="364" t="str">
        <f ca="1">IFERROR(INDEX(ICE[], MATCH("c3tet" &amp; TEXT(NGL!$A41, "mmmyy"), ICE[LongCode], 0), MATCH("Text", ICE[#Headers], 0)), "")</f>
        <v xml:space="preserve"> /  </v>
      </c>
      <c r="Y41" s="46" t="str">
        <f t="shared" ca="1" si="93"/>
        <v/>
      </c>
      <c r="Z41" s="47" t="str">
        <f t="shared" ca="1" si="113"/>
        <v/>
      </c>
      <c r="AA41" s="46" t="str">
        <f t="shared" ca="1" si="114"/>
        <v/>
      </c>
      <c r="AB41" s="141" t="str">
        <f ca="1">IFERROR(IF(AND(ISNUMBER(Futs!$BY41), ISNUMBER($W41)), $W41*42/100 - Futs!$BY41, ""), "")</f>
        <v/>
      </c>
      <c r="AC41" s="67" t="str">
        <f ca="1">IFERROR(IF(AND(ISNUMBER(Futs!$BZ41), ISNUMBER($Y41)), $Y41*42/100 - Futs!$BZ41, ""), "")</f>
        <v/>
      </c>
      <c r="AD41" s="47" t="str">
        <f t="shared" ca="1" si="115"/>
        <v/>
      </c>
      <c r="AE41" s="46" t="str">
        <f t="shared" ca="1" si="116"/>
        <v/>
      </c>
      <c r="AF41" s="141" t="str">
        <f t="shared" ca="1" si="94"/>
        <v/>
      </c>
      <c r="AG41" s="67" t="str">
        <f t="shared" ca="1" si="95"/>
        <v/>
      </c>
      <c r="AH41" s="47" t="str">
        <f t="shared" ca="1" si="117"/>
        <v/>
      </c>
      <c r="AI41" s="46" t="str">
        <f t="shared" ca="1" si="118"/>
        <v/>
      </c>
      <c r="AJ41" s="397" t="str">
        <f ca="1">IFERROR(INDEX(ICE[], MATCH("c4ntet" &amp; TEXT(Crd!$A41, "mmmyy"), ICE[LongCode], 0), MATCH("ICE Theoretical Price", ICE[#Headers], 0))*100, "")</f>
        <v/>
      </c>
      <c r="AK41" s="364" t="str">
        <f ca="1">IFERROR(INDEX(ICE[], MATCH("c4ntet" &amp; TEXT(NGL!$A41, "mmmyy"), ICE[LongCode], 0), MATCH("Text", ICE[#Headers], 0)), "")</f>
        <v xml:space="preserve"> /  </v>
      </c>
      <c r="AL41" s="46" t="str">
        <f t="shared" ca="1" si="96"/>
        <v/>
      </c>
      <c r="AM41" s="47" t="str">
        <f t="shared" ca="1" si="119"/>
        <v/>
      </c>
      <c r="AN41" s="46" t="str">
        <f t="shared" ca="1" si="120"/>
        <v/>
      </c>
      <c r="AO41" s="141" t="str">
        <f t="shared" ca="1" si="97"/>
        <v/>
      </c>
      <c r="AP41" s="46" t="str">
        <f t="shared" ca="1" si="98"/>
        <v/>
      </c>
      <c r="AQ41" s="47" t="str">
        <f t="shared" ca="1" si="121"/>
        <v/>
      </c>
      <c r="AR41" s="46" t="str">
        <f t="shared" ca="1" si="122"/>
        <v/>
      </c>
      <c r="AS41" s="141" t="str">
        <f ca="1">IFERROR(IF(AND(ISNUMBER(Futs!$BY41), ISNUMBER($AJ41)), $AJ41*42/100 - Futs!$BY41, ""), "")</f>
        <v/>
      </c>
      <c r="AT41" s="67" t="str">
        <f ca="1">IFERROR(IF(AND(ISNUMBER(Futs!$BZ41), ISNUMBER($AL41)), $AL41*42/100 - Futs!$BZ41, ""), "")</f>
        <v/>
      </c>
      <c r="AU41" s="47" t="str">
        <f t="shared" ca="1" si="123"/>
        <v/>
      </c>
      <c r="AV41" s="46" t="str">
        <f t="shared" ca="1" si="124"/>
        <v/>
      </c>
      <c r="AW41" s="397" t="str">
        <f ca="1">IFERROR(INDEX(ICE[], MATCH("ic4ntet" &amp; TEXT(Crd!$A41, "mmmyy"), ICE[LongCode], 0), MATCH("ICE Theoretical Price", ICE[#Headers], 0))*100, "")</f>
        <v/>
      </c>
      <c r="AX41" s="364" t="str">
        <f ca="1">IFERROR(INDEX(ICE[], MATCH("ic4ntet" &amp; TEXT(NGL!$A41, "mmmyy"), ICE[LongCode], 0), MATCH("Text", ICE[#Headers], 0)), "")</f>
        <v xml:space="preserve"> /  </v>
      </c>
      <c r="AY41" s="46" t="str">
        <f t="shared" ca="1" si="99"/>
        <v/>
      </c>
      <c r="AZ41" s="47" t="str">
        <f t="shared" ca="1" si="125"/>
        <v/>
      </c>
      <c r="BA41" s="46" t="str">
        <f t="shared" ca="1" si="126"/>
        <v/>
      </c>
      <c r="BB41" s="141" t="str">
        <f t="shared" ca="1" si="100"/>
        <v/>
      </c>
      <c r="BC41" s="46" t="str">
        <f t="shared" ca="1" si="101"/>
        <v/>
      </c>
      <c r="BD41" s="47" t="str">
        <f t="shared" ca="1" si="127"/>
        <v/>
      </c>
      <c r="BE41" s="46" t="str">
        <f t="shared" ca="1" si="128"/>
        <v/>
      </c>
      <c r="BF41" s="397" t="str">
        <f ca="1">IFERROR(INDEX(ICE[], MATCH("ngasntet" &amp; TEXT(Crd!$A41, "mmmyy"), ICE[LongCode], 0), MATCH("ICE Theoretical Price", ICE[#Headers], 0))*100, "")</f>
        <v/>
      </c>
      <c r="BG41" s="364" t="str">
        <f ca="1">IFERROR(INDEX(ICE[], MATCH("ngasntet" &amp; TEXT(NGL!$A41, "mmmyy"), ICE[LongCode], 0), MATCH("Text", ICE[#Headers], 0)), "")</f>
        <v xml:space="preserve"> /  </v>
      </c>
      <c r="BH41" s="46" t="str">
        <f t="shared" ca="1" si="102"/>
        <v/>
      </c>
      <c r="BI41" s="47" t="str">
        <f t="shared" ca="1" si="129"/>
        <v/>
      </c>
      <c r="BJ41" s="46" t="str">
        <f t="shared" ca="1" si="130"/>
        <v/>
      </c>
      <c r="BK41" s="141" t="str">
        <f ca="1">IFERROR(IF(AND(ISNUMBER(Futs!$BY41), ISNUMBER($BF41)), $BF41*42/100 - Futs!$BY41, ""), "")</f>
        <v/>
      </c>
      <c r="BL41" s="67" t="str">
        <f ca="1">IFERROR(IF(AND(ISNUMBER(Futs!$BZ41), ISNUMBER($BH41)), $BH41*42/100 - Futs!$BZ41, ""), "")</f>
        <v/>
      </c>
      <c r="BM41" s="47" t="str">
        <f t="shared" ca="1" si="131"/>
        <v/>
      </c>
      <c r="BN41" s="111" t="str">
        <f t="shared" ca="1" si="132"/>
        <v/>
      </c>
      <c r="BO41" s="397" t="str">
        <f ca="1">IFERROR(INDEX(ICE[], MATCH("c3ew" &amp; TEXT(Crd!$A41, "mmmyy"), ICE[LongCode], 0), MATCH("ICE Theoretical Price", ICE[#Headers], 0)), "")</f>
        <v/>
      </c>
      <c r="BP41" s="364" t="str">
        <f ca="1">IFERROR(INDEX(ICE[], MATCH("c3ew" &amp; TEXT(NGL!$A41, "mmmyy"), ICE[LongCode], 0), MATCH("Text", ICE[#Headers], 0)), "")</f>
        <v xml:space="preserve"> /  </v>
      </c>
      <c r="BQ41" s="46" t="str">
        <f t="shared" ca="1" si="103"/>
        <v/>
      </c>
      <c r="BR41" s="47" t="str">
        <f t="shared" ca="1" si="133"/>
        <v/>
      </c>
      <c r="BS41" s="46" t="str">
        <f t="shared" ca="1" si="134"/>
        <v/>
      </c>
      <c r="BT41" s="141" t="str">
        <f t="shared" ca="1" si="104"/>
        <v/>
      </c>
      <c r="BU41" s="46" t="str">
        <f t="shared" ca="1" si="105"/>
        <v/>
      </c>
      <c r="BV41" s="47" t="str">
        <f t="shared" ca="1" si="135"/>
        <v/>
      </c>
      <c r="BW41" s="46" t="str">
        <f t="shared" ca="1" si="136"/>
        <v/>
      </c>
      <c r="BX41" s="141" t="str">
        <f ca="1">IFERROR(IF(AND(ISNUMBER(Futs!$CC41), ISNUMBER($BT41)), $BT41/12.4 - Futs!$CC41, ""), "")</f>
        <v/>
      </c>
      <c r="BY41" s="67" t="str">
        <f t="shared" ca="1" si="106"/>
        <v/>
      </c>
      <c r="BZ41" s="47" t="str">
        <f t="shared" ca="1" si="137"/>
        <v/>
      </c>
      <c r="CA41" s="46" t="str">
        <f t="shared" ca="1" si="138"/>
        <v/>
      </c>
    </row>
    <row r="42" spans="1:79" x14ac:dyDescent="0.25">
      <c r="A42" s="58">
        <f t="shared" ca="1" si="107"/>
        <v>46966</v>
      </c>
      <c r="B42" s="6">
        <f t="shared" ca="1" si="89"/>
        <v>2028</v>
      </c>
      <c r="C42" s="6" t="str">
        <f t="shared" ca="1" si="91"/>
        <v>Q328</v>
      </c>
      <c r="D42" s="28">
        <f ca="1">INDEX(ICE[], MATCH(D$18 &amp; TEXT(NGL!$A42, "mmmyy"), ICE[LongCode], 0), MATCH("Settle", ICE[#Headers], 0))</f>
        <v>-109.777</v>
      </c>
      <c r="E42" s="28">
        <f ca="1">INDEX(ICE[], MATCH(E$18 &amp; TEXT(NGL!$A42, "mmmyy"), ICE[LongCode], 0), MATCH("Settle", ICE[#Headers], 0))*100</f>
        <v>67.375</v>
      </c>
      <c r="F42" s="28">
        <f ca="1">INDEX(ICE[], MATCH(F$18 &amp; TEXT(NGL!$A42, "mmmyy"), ICE[LongCode], 0), MATCH("Settle", ICE[#Headers], 0))*100</f>
        <v>82.375</v>
      </c>
      <c r="G42" s="28">
        <f ca="1">INDEX(ICE[], MATCH(G$18 &amp; TEXT(NGL!$A42, "mmmyy"), ICE[LongCode], 0), MATCH("Settle", ICE[#Headers], 0))*100</f>
        <v>88.374999999999986</v>
      </c>
      <c r="H42" s="28">
        <f ca="1">INDEX(ICE[], MATCH(H$18 &amp; TEXT(NGL!$A42, "mmmyy"), ICE[LongCode], 0), MATCH("Settle", ICE[#Headers], 0))*100</f>
        <v>143.125</v>
      </c>
      <c r="I42" s="28">
        <f ca="1">INDEX(ICE[], MATCH(I$18 &amp; TEXT(NGL!$A42, "mmmyy"), ICE[LongCode], 0), MATCH("Settle", ICE[#Headers], 0))</f>
        <v>55.800000000000004</v>
      </c>
      <c r="J42" s="397" t="str">
        <f ca="1">IFERROR(INDEX(ICE[], MATCH("propnap" &amp; TEXT(Crd!$A42, "mmmyy"), ICE[LongCode], 0), MATCH("ICE Theoretical Price", ICE[#Headers], 0)), "")</f>
        <v/>
      </c>
      <c r="K42" s="364" t="str">
        <f ca="1">IFERROR(INDEX(ICE[], MATCH("propnap" &amp; TEXT(NGL!$A42, "mmmyy"), ICE[LongCode], 0), MATCH("Text", ICE[#Headers], 0)), "")</f>
        <v xml:space="preserve"> /  </v>
      </c>
      <c r="L42" s="46" t="str">
        <f t="shared" ca="1" si="90"/>
        <v/>
      </c>
      <c r="M42" s="47" t="str">
        <f t="shared" ca="1" si="92"/>
        <v/>
      </c>
      <c r="N42" s="46" t="str">
        <f t="shared" ca="1" si="108"/>
        <v/>
      </c>
      <c r="O42" s="141" t="str">
        <f ca="1">IFERROR(IF(AND(ISNUMBER(Lts!$N42), ISNUMBER($J42)), Lts!$N42 + $J42, ""), "")</f>
        <v/>
      </c>
      <c r="P42" s="46" t="str">
        <f ca="1">IFERROR(IF(AND(ISNUMBER(Lts!$O42), ISNUMBER($L42)), Lts!$O42 + $L42, ""), "")</f>
        <v/>
      </c>
      <c r="Q42" s="47" t="str">
        <f t="shared" ca="1" si="109"/>
        <v/>
      </c>
      <c r="R42" s="46" t="str">
        <f t="shared" ca="1" si="110"/>
        <v/>
      </c>
      <c r="S42" s="141" t="str">
        <f ca="1">IFERROR(IF(AND(ISNUMBER(Futs!$CC42), ISNUMBER($O42)), $O42/12.4 - Futs!$CC42, ""), "")</f>
        <v/>
      </c>
      <c r="T42" s="67" t="str">
        <f ca="1">IFERROR(IF(AND(ISNUMBER(Futs!$CD42), ISNUMBER($P42)), $P42/12.4 - Futs!$CD42, ""), "")</f>
        <v/>
      </c>
      <c r="U42" s="47" t="str">
        <f t="shared" ca="1" si="111"/>
        <v/>
      </c>
      <c r="V42" s="46" t="str">
        <f t="shared" ca="1" si="112"/>
        <v/>
      </c>
      <c r="W42" s="397" t="str">
        <f ca="1">IFERROR(INDEX(ICE[], MATCH("c3tet" &amp; TEXT(Crd!$A42, "mmmyy"), ICE[LongCode], 0), MATCH("ICE Theoretical Price", ICE[#Headers], 0))*100, "")</f>
        <v/>
      </c>
      <c r="X42" s="364" t="str">
        <f ca="1">IFERROR(INDEX(ICE[], MATCH("c3tet" &amp; TEXT(NGL!$A42, "mmmyy"), ICE[LongCode], 0), MATCH("Text", ICE[#Headers], 0)), "")</f>
        <v xml:space="preserve"> /  </v>
      </c>
      <c r="Y42" s="46" t="str">
        <f t="shared" ca="1" si="93"/>
        <v/>
      </c>
      <c r="Z42" s="47" t="str">
        <f t="shared" ca="1" si="113"/>
        <v/>
      </c>
      <c r="AA42" s="46" t="str">
        <f t="shared" ca="1" si="114"/>
        <v/>
      </c>
      <c r="AB42" s="141" t="str">
        <f ca="1">IFERROR(IF(AND(ISNUMBER(Futs!$BY42), ISNUMBER($W42)), $W42*42/100 - Futs!$BY42, ""), "")</f>
        <v/>
      </c>
      <c r="AC42" s="67" t="str">
        <f ca="1">IFERROR(IF(AND(ISNUMBER(Futs!$BZ42), ISNUMBER($Y42)), $Y42*42/100 - Futs!$BZ42, ""), "")</f>
        <v/>
      </c>
      <c r="AD42" s="47" t="str">
        <f t="shared" ca="1" si="115"/>
        <v/>
      </c>
      <c r="AE42" s="46" t="str">
        <f t="shared" ca="1" si="116"/>
        <v/>
      </c>
      <c r="AF42" s="141" t="str">
        <f t="shared" ca="1" si="94"/>
        <v/>
      </c>
      <c r="AG42" s="67" t="str">
        <f t="shared" ca="1" si="95"/>
        <v/>
      </c>
      <c r="AH42" s="47" t="str">
        <f t="shared" ca="1" si="117"/>
        <v/>
      </c>
      <c r="AI42" s="46" t="str">
        <f t="shared" ca="1" si="118"/>
        <v/>
      </c>
      <c r="AJ42" s="397" t="str">
        <f ca="1">IFERROR(INDEX(ICE[], MATCH("c4ntet" &amp; TEXT(Crd!$A42, "mmmyy"), ICE[LongCode], 0), MATCH("ICE Theoretical Price", ICE[#Headers], 0))*100, "")</f>
        <v/>
      </c>
      <c r="AK42" s="364" t="str">
        <f ca="1">IFERROR(INDEX(ICE[], MATCH("c4ntet" &amp; TEXT(NGL!$A42, "mmmyy"), ICE[LongCode], 0), MATCH("Text", ICE[#Headers], 0)), "")</f>
        <v xml:space="preserve"> /  </v>
      </c>
      <c r="AL42" s="46" t="str">
        <f t="shared" ca="1" si="96"/>
        <v/>
      </c>
      <c r="AM42" s="47" t="str">
        <f t="shared" ca="1" si="119"/>
        <v/>
      </c>
      <c r="AN42" s="46" t="str">
        <f t="shared" ca="1" si="120"/>
        <v/>
      </c>
      <c r="AO42" s="141" t="str">
        <f t="shared" ca="1" si="97"/>
        <v/>
      </c>
      <c r="AP42" s="46" t="str">
        <f t="shared" ca="1" si="98"/>
        <v/>
      </c>
      <c r="AQ42" s="47" t="str">
        <f t="shared" ca="1" si="121"/>
        <v/>
      </c>
      <c r="AR42" s="46" t="str">
        <f t="shared" ca="1" si="122"/>
        <v/>
      </c>
      <c r="AS42" s="141" t="str">
        <f ca="1">IFERROR(IF(AND(ISNUMBER(Futs!$BY42), ISNUMBER($AJ42)), $AJ42*42/100 - Futs!$BY42, ""), "")</f>
        <v/>
      </c>
      <c r="AT42" s="67" t="str">
        <f ca="1">IFERROR(IF(AND(ISNUMBER(Futs!$BZ42), ISNUMBER($AL42)), $AL42*42/100 - Futs!$BZ42, ""), "")</f>
        <v/>
      </c>
      <c r="AU42" s="47" t="str">
        <f t="shared" ca="1" si="123"/>
        <v/>
      </c>
      <c r="AV42" s="46" t="str">
        <f t="shared" ca="1" si="124"/>
        <v/>
      </c>
      <c r="AW42" s="397" t="str">
        <f ca="1">IFERROR(INDEX(ICE[], MATCH("ic4ntet" &amp; TEXT(Crd!$A42, "mmmyy"), ICE[LongCode], 0), MATCH("ICE Theoretical Price", ICE[#Headers], 0))*100, "")</f>
        <v/>
      </c>
      <c r="AX42" s="364" t="str">
        <f ca="1">IFERROR(INDEX(ICE[], MATCH("ic4ntet" &amp; TEXT(NGL!$A42, "mmmyy"), ICE[LongCode], 0), MATCH("Text", ICE[#Headers], 0)), "")</f>
        <v xml:space="preserve"> /  </v>
      </c>
      <c r="AY42" s="46" t="str">
        <f t="shared" ca="1" si="99"/>
        <v/>
      </c>
      <c r="AZ42" s="47" t="str">
        <f t="shared" ca="1" si="125"/>
        <v/>
      </c>
      <c r="BA42" s="46" t="str">
        <f t="shared" ca="1" si="126"/>
        <v/>
      </c>
      <c r="BB42" s="141" t="str">
        <f t="shared" ca="1" si="100"/>
        <v/>
      </c>
      <c r="BC42" s="46" t="str">
        <f t="shared" ca="1" si="101"/>
        <v/>
      </c>
      <c r="BD42" s="47" t="str">
        <f t="shared" ca="1" si="127"/>
        <v/>
      </c>
      <c r="BE42" s="46" t="str">
        <f t="shared" ca="1" si="128"/>
        <v/>
      </c>
      <c r="BF42" s="397" t="str">
        <f ca="1">IFERROR(INDEX(ICE[], MATCH("ngasntet" &amp; TEXT(Crd!$A42, "mmmyy"), ICE[LongCode], 0), MATCH("ICE Theoretical Price", ICE[#Headers], 0))*100, "")</f>
        <v/>
      </c>
      <c r="BG42" s="364" t="str">
        <f ca="1">IFERROR(INDEX(ICE[], MATCH("ngasntet" &amp; TEXT(NGL!$A42, "mmmyy"), ICE[LongCode], 0), MATCH("Text", ICE[#Headers], 0)), "")</f>
        <v xml:space="preserve"> /  </v>
      </c>
      <c r="BH42" s="46" t="str">
        <f t="shared" ca="1" si="102"/>
        <v/>
      </c>
      <c r="BI42" s="47" t="str">
        <f t="shared" ca="1" si="129"/>
        <v/>
      </c>
      <c r="BJ42" s="46" t="str">
        <f t="shared" ca="1" si="130"/>
        <v/>
      </c>
      <c r="BK42" s="141" t="str">
        <f ca="1">IFERROR(IF(AND(ISNUMBER(Futs!$BY42), ISNUMBER($BF42)), $BF42*42/100 - Futs!$BY42, ""), "")</f>
        <v/>
      </c>
      <c r="BL42" s="67" t="str">
        <f ca="1">IFERROR(IF(AND(ISNUMBER(Futs!$BZ42), ISNUMBER($BH42)), $BH42*42/100 - Futs!$BZ42, ""), "")</f>
        <v/>
      </c>
      <c r="BM42" s="47" t="str">
        <f t="shared" ca="1" si="131"/>
        <v/>
      </c>
      <c r="BN42" s="111" t="str">
        <f t="shared" ca="1" si="132"/>
        <v/>
      </c>
      <c r="BO42" s="397" t="str">
        <f ca="1">IFERROR(INDEX(ICE[], MATCH("c3ew" &amp; TEXT(Crd!$A42, "mmmyy"), ICE[LongCode], 0), MATCH("ICE Theoretical Price", ICE[#Headers], 0)), "")</f>
        <v/>
      </c>
      <c r="BP42" s="364" t="str">
        <f ca="1">IFERROR(INDEX(ICE[], MATCH("c3ew" &amp; TEXT(NGL!$A42, "mmmyy"), ICE[LongCode], 0), MATCH("Text", ICE[#Headers], 0)), "")</f>
        <v xml:space="preserve"> /  </v>
      </c>
      <c r="BQ42" s="46" t="str">
        <f t="shared" ca="1" si="103"/>
        <v/>
      </c>
      <c r="BR42" s="47" t="str">
        <f t="shared" ca="1" si="133"/>
        <v/>
      </c>
      <c r="BS42" s="46" t="str">
        <f t="shared" ca="1" si="134"/>
        <v/>
      </c>
      <c r="BT42" s="141" t="str">
        <f t="shared" ca="1" si="104"/>
        <v/>
      </c>
      <c r="BU42" s="46" t="str">
        <f t="shared" ca="1" si="105"/>
        <v/>
      </c>
      <c r="BV42" s="47" t="str">
        <f t="shared" ca="1" si="135"/>
        <v/>
      </c>
      <c r="BW42" s="46" t="str">
        <f t="shared" ca="1" si="136"/>
        <v/>
      </c>
      <c r="BX42" s="141" t="str">
        <f ca="1">IFERROR(IF(AND(ISNUMBER(Futs!$CC42), ISNUMBER($BT42)), $BT42/12.4 - Futs!$CC42, ""), "")</f>
        <v/>
      </c>
      <c r="BY42" s="67" t="str">
        <f t="shared" ca="1" si="106"/>
        <v/>
      </c>
      <c r="BZ42" s="47" t="str">
        <f t="shared" ca="1" si="137"/>
        <v/>
      </c>
      <c r="CA42" s="46" t="str">
        <f t="shared" ca="1" si="138"/>
        <v/>
      </c>
    </row>
    <row r="43" spans="1:79" x14ac:dyDescent="0.25">
      <c r="A43" s="58">
        <f t="shared" ca="1" si="107"/>
        <v>46997</v>
      </c>
      <c r="B43" s="6">
        <f t="shared" ca="1" si="89"/>
        <v>2028</v>
      </c>
      <c r="C43" s="6" t="str">
        <f t="shared" ca="1" si="91"/>
        <v>Q328</v>
      </c>
      <c r="D43" s="28">
        <f ca="1">INDEX(ICE[], MATCH(D$18 &amp; TEXT(NGL!$A43, "mmmyy"), ICE[LongCode], 0), MATCH("Settle", ICE[#Headers], 0))</f>
        <v>-104.771</v>
      </c>
      <c r="E43" s="28">
        <f ca="1">INDEX(ICE[], MATCH(E$18 &amp; TEXT(NGL!$A43, "mmmyy"), ICE[LongCode], 0), MATCH("Settle", ICE[#Headers], 0))*100</f>
        <v>68</v>
      </c>
      <c r="F43" s="28">
        <f ca="1">INDEX(ICE[], MATCH(F$18 &amp; TEXT(NGL!$A43, "mmmyy"), ICE[LongCode], 0), MATCH("Settle", ICE[#Headers], 0))*100</f>
        <v>83.125</v>
      </c>
      <c r="G43" s="28">
        <f ca="1">INDEX(ICE[], MATCH(G$18 &amp; TEXT(NGL!$A43, "mmmyy"), ICE[LongCode], 0), MATCH("Settle", ICE[#Headers], 0))*100</f>
        <v>89.125</v>
      </c>
      <c r="H43" s="28">
        <f ca="1">INDEX(ICE[], MATCH(H$18 &amp; TEXT(NGL!$A43, "mmmyy"), ICE[LongCode], 0), MATCH("Settle", ICE[#Headers], 0))*100</f>
        <v>143.125</v>
      </c>
      <c r="I43" s="28">
        <f ca="1">INDEX(ICE[], MATCH(I$18 &amp; TEXT(NGL!$A43, "mmmyy"), ICE[LongCode], 0), MATCH("Settle", ICE[#Headers], 0))</f>
        <v>54.800000000000004</v>
      </c>
      <c r="J43" s="397"/>
      <c r="K43" s="364" t="str">
        <f ca="1">IFERROR(INDEX(ICE[], MATCH("propnap" &amp; TEXT(NGL!$A43, "mmmyy"), ICE[LongCode], 0), MATCH("Text", ICE[#Headers], 0)), "")</f>
        <v xml:space="preserve"> /  </v>
      </c>
      <c r="L43" s="46" t="str">
        <f t="shared" ca="1" si="90"/>
        <v/>
      </c>
      <c r="M43" s="47" t="str">
        <f t="shared" ca="1" si="92"/>
        <v/>
      </c>
      <c r="N43" s="46" t="str">
        <f t="shared" ca="1" si="108"/>
        <v/>
      </c>
      <c r="O43" s="141" t="str">
        <f ca="1">IFERROR(IF(AND(ISNUMBER(Lts!$N43), ISNUMBER($J43)), Lts!$N43 + $J43, ""), "")</f>
        <v/>
      </c>
      <c r="P43" s="46" t="str">
        <f ca="1">IFERROR(IF(AND(ISNUMBER(Lts!$O43), ISNUMBER($L43)), Lts!$O43 + $L43, ""), "")</f>
        <v/>
      </c>
      <c r="Q43" s="47" t="str">
        <f t="shared" ca="1" si="109"/>
        <v/>
      </c>
      <c r="R43" s="46" t="str">
        <f t="shared" ca="1" si="110"/>
        <v/>
      </c>
      <c r="S43" s="141" t="str">
        <f ca="1">IFERROR(IF(AND(ISNUMBER(Futs!$CC43), ISNUMBER($O43)), $O43/12.4 - Futs!$CC43, ""), "")</f>
        <v/>
      </c>
      <c r="T43" s="67" t="str">
        <f ca="1">IFERROR(IF(AND(ISNUMBER(Futs!$CD43), ISNUMBER($P43)), $P43/12.4 - Futs!$CD43, ""), "")</f>
        <v/>
      </c>
      <c r="U43" s="47" t="str">
        <f t="shared" ca="1" si="111"/>
        <v/>
      </c>
      <c r="V43" s="46" t="str">
        <f t="shared" ca="1" si="112"/>
        <v/>
      </c>
      <c r="W43" s="397"/>
      <c r="X43" s="364" t="str">
        <f ca="1">IFERROR(INDEX(ICE[], MATCH("c3tet" &amp; TEXT(NGL!$A43, "mmmyy"), ICE[LongCode], 0), MATCH("Text", ICE[#Headers], 0)), "")</f>
        <v xml:space="preserve"> /  </v>
      </c>
      <c r="Y43" s="46" t="str">
        <f t="shared" ca="1" si="93"/>
        <v/>
      </c>
      <c r="Z43" s="47" t="str">
        <f t="shared" ca="1" si="113"/>
        <v/>
      </c>
      <c r="AA43" s="46" t="str">
        <f t="shared" ca="1" si="114"/>
        <v/>
      </c>
      <c r="AB43" s="141" t="str">
        <f ca="1">IFERROR(IF(AND(ISNUMBER(Futs!$BY43), ISNUMBER($W43)), $W43*42/100 - Futs!$BY43, ""), "")</f>
        <v/>
      </c>
      <c r="AC43" s="67" t="str">
        <f ca="1">IFERROR(IF(AND(ISNUMBER(Futs!$BZ43), ISNUMBER($Y43)), $Y43*42/100 - Futs!$BZ43, ""), "")</f>
        <v/>
      </c>
      <c r="AD43" s="47" t="str">
        <f t="shared" ca="1" si="115"/>
        <v/>
      </c>
      <c r="AE43" s="46" t="str">
        <f t="shared" ca="1" si="116"/>
        <v/>
      </c>
      <c r="AF43" s="141" t="str">
        <f t="shared" ca="1" si="94"/>
        <v/>
      </c>
      <c r="AG43" s="67" t="str">
        <f t="shared" ca="1" si="95"/>
        <v/>
      </c>
      <c r="AH43" s="47" t="str">
        <f t="shared" ca="1" si="117"/>
        <v/>
      </c>
      <c r="AI43" s="46" t="str">
        <f t="shared" ca="1" si="118"/>
        <v/>
      </c>
      <c r="AJ43" s="397"/>
      <c r="AK43" s="364" t="str">
        <f ca="1">IFERROR(INDEX(ICE[], MATCH("c4ntet" &amp; TEXT(NGL!$A43, "mmmyy"), ICE[LongCode], 0), MATCH("Text", ICE[#Headers], 0)), "")</f>
        <v xml:space="preserve"> /  </v>
      </c>
      <c r="AL43" s="46" t="str">
        <f t="shared" ca="1" si="96"/>
        <v/>
      </c>
      <c r="AM43" s="47" t="str">
        <f t="shared" ca="1" si="119"/>
        <v/>
      </c>
      <c r="AN43" s="46" t="str">
        <f t="shared" ca="1" si="120"/>
        <v/>
      </c>
      <c r="AO43" s="141" t="str">
        <f t="shared" si="97"/>
        <v/>
      </c>
      <c r="AP43" s="46" t="str">
        <f t="shared" ca="1" si="98"/>
        <v/>
      </c>
      <c r="AQ43" s="47" t="str">
        <f t="shared" ca="1" si="121"/>
        <v/>
      </c>
      <c r="AR43" s="46" t="str">
        <f t="shared" ca="1" si="122"/>
        <v/>
      </c>
      <c r="AS43" s="141" t="str">
        <f ca="1">IFERROR(IF(AND(ISNUMBER(Futs!$BY43), ISNUMBER($AJ43)), $AJ43*42/100 - Futs!$BY43, ""), "")</f>
        <v/>
      </c>
      <c r="AT43" s="67" t="str">
        <f ca="1">IFERROR(IF(AND(ISNUMBER(Futs!$BZ43), ISNUMBER($AL43)), $AL43*42/100 - Futs!$BZ43, ""), "")</f>
        <v/>
      </c>
      <c r="AU43" s="47" t="str">
        <f t="shared" ca="1" si="123"/>
        <v/>
      </c>
      <c r="AV43" s="46" t="str">
        <f t="shared" ca="1" si="124"/>
        <v/>
      </c>
      <c r="AW43" s="397"/>
      <c r="AX43" s="364" t="str">
        <f ca="1">IFERROR(INDEX(ICE[], MATCH("ic4ntet" &amp; TEXT(NGL!$A43, "mmmyy"), ICE[LongCode], 0), MATCH("Text", ICE[#Headers], 0)), "")</f>
        <v xml:space="preserve"> /  </v>
      </c>
      <c r="AY43" s="46" t="str">
        <f t="shared" ca="1" si="99"/>
        <v/>
      </c>
      <c r="AZ43" s="47" t="str">
        <f t="shared" ca="1" si="125"/>
        <v/>
      </c>
      <c r="BA43" s="46" t="str">
        <f t="shared" ca="1" si="126"/>
        <v/>
      </c>
      <c r="BB43" s="141" t="str">
        <f t="shared" si="100"/>
        <v/>
      </c>
      <c r="BC43" s="46" t="str">
        <f t="shared" ca="1" si="101"/>
        <v/>
      </c>
      <c r="BD43" s="47" t="str">
        <f t="shared" ca="1" si="127"/>
        <v/>
      </c>
      <c r="BE43" s="46" t="str">
        <f t="shared" ca="1" si="128"/>
        <v/>
      </c>
      <c r="BF43" s="397"/>
      <c r="BG43" s="364" t="str">
        <f ca="1">IFERROR(INDEX(ICE[], MATCH("ngasntet" &amp; TEXT(NGL!$A43, "mmmyy"), ICE[LongCode], 0), MATCH("Text", ICE[#Headers], 0)), "")</f>
        <v xml:space="preserve"> /  </v>
      </c>
      <c r="BH43" s="46" t="str">
        <f t="shared" ca="1" si="102"/>
        <v/>
      </c>
      <c r="BI43" s="47" t="str">
        <f t="shared" ca="1" si="129"/>
        <v/>
      </c>
      <c r="BJ43" s="46" t="str">
        <f t="shared" ca="1" si="130"/>
        <v/>
      </c>
      <c r="BK43" s="141" t="str">
        <f ca="1">IFERROR(IF(AND(ISNUMBER(Futs!$BY43), ISNUMBER($BF43)), $BF43*42/100 - Futs!$BY43, ""), "")</f>
        <v/>
      </c>
      <c r="BL43" s="67" t="str">
        <f ca="1">IFERROR(IF(AND(ISNUMBER(Futs!$BZ43), ISNUMBER($BH43)), $BH43*42/100 - Futs!$BZ43, ""), "")</f>
        <v/>
      </c>
      <c r="BM43" s="47" t="str">
        <f t="shared" ca="1" si="131"/>
        <v/>
      </c>
      <c r="BN43" s="111" t="str">
        <f t="shared" ca="1" si="132"/>
        <v/>
      </c>
      <c r="BO43" s="397"/>
      <c r="BP43" s="364" t="str">
        <f ca="1">IFERROR(INDEX(ICE[], MATCH("c3ew" &amp; TEXT(NGL!$A43, "mmmyy"), ICE[LongCode], 0), MATCH("Text", ICE[#Headers], 0)), "")</f>
        <v xml:space="preserve"> /  </v>
      </c>
      <c r="BQ43" s="46" t="str">
        <f t="shared" ca="1" si="103"/>
        <v/>
      </c>
      <c r="BR43" s="47" t="str">
        <f t="shared" ca="1" si="133"/>
        <v/>
      </c>
      <c r="BS43" s="46" t="str">
        <f t="shared" ca="1" si="134"/>
        <v/>
      </c>
      <c r="BT43" s="141" t="str">
        <f t="shared" ca="1" si="104"/>
        <v/>
      </c>
      <c r="BU43" s="46" t="str">
        <f t="shared" ca="1" si="105"/>
        <v/>
      </c>
      <c r="BV43" s="47" t="str">
        <f t="shared" ca="1" si="135"/>
        <v/>
      </c>
      <c r="BW43" s="46" t="str">
        <f t="shared" ca="1" si="136"/>
        <v/>
      </c>
      <c r="BX43" s="141" t="str">
        <f ca="1">IFERROR(IF(AND(ISNUMBER(Futs!$CC43), ISNUMBER($BT43)), $BT43/12.4 - Futs!$CC43, ""), "")</f>
        <v/>
      </c>
      <c r="BY43" s="67" t="str">
        <f t="shared" ca="1" si="106"/>
        <v/>
      </c>
      <c r="BZ43" s="47" t="str">
        <f t="shared" ca="1" si="137"/>
        <v/>
      </c>
      <c r="CA43" s="46" t="str">
        <f t="shared" ca="1" si="138"/>
        <v/>
      </c>
    </row>
    <row r="44" spans="1:79" x14ac:dyDescent="0.25">
      <c r="A44" s="58">
        <f t="shared" ca="1" si="107"/>
        <v>47027</v>
      </c>
      <c r="B44" s="6">
        <f t="shared" ca="1" si="89"/>
        <v>2028</v>
      </c>
      <c r="C44" s="6" t="str">
        <f t="shared" ca="1" si="91"/>
        <v>Q428</v>
      </c>
      <c r="D44" s="28" t="e">
        <f ca="1">INDEX(ICE[], MATCH(D$18 &amp; TEXT(NGL!$A44, "mmmyy"), ICE[LongCode], 0), MATCH("Settle", ICE[#Headers], 0))</f>
        <v>#N/A</v>
      </c>
      <c r="E44" s="28" t="e">
        <f ca="1">INDEX(ICE[], MATCH(E$18 &amp; TEXT(NGL!$A44, "mmmyy"), ICE[LongCode], 0), MATCH("Settle", ICE[#Headers], 0))*100</f>
        <v>#N/A</v>
      </c>
      <c r="F44" s="28" t="e">
        <f ca="1">INDEX(ICE[], MATCH(F$18 &amp; TEXT(NGL!$A44, "mmmyy"), ICE[LongCode], 0), MATCH("Settle", ICE[#Headers], 0))*100</f>
        <v>#N/A</v>
      </c>
      <c r="G44" s="28" t="e">
        <f ca="1">INDEX(ICE[], MATCH(G$18 &amp; TEXT(NGL!$A44, "mmmyy"), ICE[LongCode], 0), MATCH("Settle", ICE[#Headers], 0))*100</f>
        <v>#N/A</v>
      </c>
      <c r="H44" s="28" t="e">
        <f ca="1">INDEX(ICE[], MATCH(H$18 &amp; TEXT(NGL!$A44, "mmmyy"), ICE[LongCode], 0), MATCH("Settle", ICE[#Headers], 0))*100</f>
        <v>#N/A</v>
      </c>
      <c r="I44" s="28" t="e">
        <f ca="1">INDEX(ICE[], MATCH(I$18 &amp; TEXT(NGL!$A44, "mmmyy"), ICE[LongCode], 0), MATCH("Settle", ICE[#Headers], 0))</f>
        <v>#N/A</v>
      </c>
      <c r="J44" s="397"/>
      <c r="K44" s="364" t="str">
        <f ca="1">IFERROR(INDEX(ICE[], MATCH("propnap" &amp; TEXT(NGL!$A44, "mmmyy"), ICE[LongCode], 0), MATCH("Text", ICE[#Headers], 0)), "")</f>
        <v/>
      </c>
      <c r="L44" s="46" t="str">
        <f t="shared" ca="1" si="90"/>
        <v/>
      </c>
      <c r="M44" s="47" t="str">
        <f t="shared" si="92"/>
        <v/>
      </c>
      <c r="N44" s="46" t="str">
        <f t="shared" ca="1" si="108"/>
        <v/>
      </c>
      <c r="O44" s="141" t="str">
        <f ca="1">IFERROR(IF(AND(ISNUMBER(Lts!$N44), ISNUMBER($J44)), Lts!$N44 + $J44, ""), "")</f>
        <v/>
      </c>
      <c r="P44" s="46" t="str">
        <f ca="1">IFERROR(IF(AND(ISNUMBER(Lts!$O44), ISNUMBER($L44)), Lts!$O44 + $L44, ""), "")</f>
        <v/>
      </c>
      <c r="Q44" s="47" t="str">
        <f t="shared" ca="1" si="109"/>
        <v/>
      </c>
      <c r="R44" s="46" t="str">
        <f t="shared" ca="1" si="110"/>
        <v/>
      </c>
      <c r="S44" s="141" t="str">
        <f ca="1">IFERROR(IF(AND(ISNUMBER(Futs!$CC44), ISNUMBER($O44)), $O44/12.4 - Futs!$CC44, ""), "")</f>
        <v/>
      </c>
      <c r="T44" s="67" t="str">
        <f ca="1">IFERROR(IF(AND(ISNUMBER(Futs!$CD44), ISNUMBER($P44)), $P44/12.4 - Futs!$CD44, ""), "")</f>
        <v/>
      </c>
      <c r="U44" s="47" t="str">
        <f t="shared" ca="1" si="111"/>
        <v/>
      </c>
      <c r="V44" s="46" t="str">
        <f t="shared" ca="1" si="112"/>
        <v/>
      </c>
      <c r="W44" s="397"/>
      <c r="X44" s="364" t="str">
        <f ca="1">IFERROR(INDEX(ICE[], MATCH("c3tet" &amp; TEXT(NGL!$A44, "mmmyy"), ICE[LongCode], 0), MATCH("Text", ICE[#Headers], 0)), "")</f>
        <v/>
      </c>
      <c r="Y44" s="46" t="str">
        <f t="shared" ca="1" si="93"/>
        <v/>
      </c>
      <c r="Z44" s="47" t="str">
        <f t="shared" si="113"/>
        <v/>
      </c>
      <c r="AA44" s="46" t="str">
        <f t="shared" ca="1" si="114"/>
        <v/>
      </c>
      <c r="AB44" s="141" t="str">
        <f ca="1">IFERROR(IF(AND(ISNUMBER(Futs!$BY44), ISNUMBER($W44)), $W44*42/100 - Futs!$BY44, ""), "")</f>
        <v/>
      </c>
      <c r="AC44" s="67" t="str">
        <f ca="1">IFERROR(IF(AND(ISNUMBER(Futs!$BZ44), ISNUMBER($Y44)), $Y44*42/100 - Futs!$BZ44, ""), "")</f>
        <v/>
      </c>
      <c r="AD44" s="47" t="str">
        <f t="shared" ca="1" si="115"/>
        <v/>
      </c>
      <c r="AE44" s="46" t="str">
        <f t="shared" ca="1" si="116"/>
        <v/>
      </c>
      <c r="AF44" s="141" t="str">
        <f t="shared" ca="1" si="94"/>
        <v/>
      </c>
      <c r="AG44" s="67" t="str">
        <f t="shared" ca="1" si="95"/>
        <v/>
      </c>
      <c r="AH44" s="47" t="str">
        <f t="shared" ca="1" si="117"/>
        <v/>
      </c>
      <c r="AI44" s="46" t="str">
        <f t="shared" ca="1" si="118"/>
        <v/>
      </c>
      <c r="AJ44" s="397"/>
      <c r="AK44" s="364" t="str">
        <f ca="1">IFERROR(INDEX(ICE[], MATCH("c4ntet" &amp; TEXT(NGL!$A44, "mmmyy"), ICE[LongCode], 0), MATCH("Text", ICE[#Headers], 0)), "")</f>
        <v/>
      </c>
      <c r="AL44" s="46" t="str">
        <f t="shared" ca="1" si="96"/>
        <v/>
      </c>
      <c r="AM44" s="47" t="str">
        <f t="shared" si="119"/>
        <v/>
      </c>
      <c r="AN44" s="46" t="str">
        <f t="shared" ca="1" si="120"/>
        <v/>
      </c>
      <c r="AO44" s="141" t="str">
        <f t="shared" si="97"/>
        <v/>
      </c>
      <c r="AP44" s="46" t="str">
        <f t="shared" ca="1" si="98"/>
        <v/>
      </c>
      <c r="AQ44" s="47" t="str">
        <f t="shared" si="121"/>
        <v/>
      </c>
      <c r="AR44" s="46" t="str">
        <f t="shared" ca="1" si="122"/>
        <v/>
      </c>
      <c r="AS44" s="141" t="str">
        <f ca="1">IFERROR(IF(AND(ISNUMBER(Futs!$BY44), ISNUMBER($AJ44)), $AJ44*42/100 - Futs!$BY44, ""), "")</f>
        <v/>
      </c>
      <c r="AT44" s="67" t="str">
        <f ca="1">IFERROR(IF(AND(ISNUMBER(Futs!$BZ44), ISNUMBER($AL44)), $AL44*42/100 - Futs!$BZ44, ""), "")</f>
        <v/>
      </c>
      <c r="AU44" s="47" t="str">
        <f t="shared" ca="1" si="123"/>
        <v/>
      </c>
      <c r="AV44" s="46" t="str">
        <f t="shared" ca="1" si="124"/>
        <v/>
      </c>
      <c r="AW44" s="397"/>
      <c r="AX44" s="364" t="str">
        <f ca="1">IFERROR(INDEX(ICE[], MATCH("ic4ntet" &amp; TEXT(NGL!$A44, "mmmyy"), ICE[LongCode], 0), MATCH("Text", ICE[#Headers], 0)), "")</f>
        <v/>
      </c>
      <c r="AY44" s="46" t="str">
        <f t="shared" ca="1" si="99"/>
        <v/>
      </c>
      <c r="AZ44" s="47" t="str">
        <f t="shared" si="125"/>
        <v/>
      </c>
      <c r="BA44" s="46" t="str">
        <f t="shared" ca="1" si="126"/>
        <v/>
      </c>
      <c r="BB44" s="141" t="str">
        <f t="shared" si="100"/>
        <v/>
      </c>
      <c r="BC44" s="46" t="str">
        <f t="shared" ca="1" si="101"/>
        <v/>
      </c>
      <c r="BD44" s="47" t="str">
        <f t="shared" si="127"/>
        <v/>
      </c>
      <c r="BE44" s="46" t="str">
        <f t="shared" ca="1" si="128"/>
        <v/>
      </c>
      <c r="BF44" s="397"/>
      <c r="BG44" s="364" t="str">
        <f ca="1">IFERROR(INDEX(ICE[], MATCH("ngasntet" &amp; TEXT(NGL!$A44, "mmmyy"), ICE[LongCode], 0), MATCH("Text", ICE[#Headers], 0)), "")</f>
        <v/>
      </c>
      <c r="BH44" s="46" t="str">
        <f t="shared" ca="1" si="102"/>
        <v/>
      </c>
      <c r="BI44" s="47" t="str">
        <f t="shared" si="129"/>
        <v/>
      </c>
      <c r="BJ44" s="46" t="str">
        <f t="shared" ca="1" si="130"/>
        <v/>
      </c>
      <c r="BK44" s="141" t="str">
        <f ca="1">IFERROR(IF(AND(ISNUMBER(Futs!$BY44), ISNUMBER($BF44)), $BF44*42/100 - Futs!$BY44, ""), "")</f>
        <v/>
      </c>
      <c r="BL44" s="67" t="str">
        <f ca="1">IFERROR(IF(AND(ISNUMBER(Futs!$BZ44), ISNUMBER($BH44)), $BH44*42/100 - Futs!$BZ44, ""), "")</f>
        <v/>
      </c>
      <c r="BM44" s="47" t="str">
        <f t="shared" ca="1" si="131"/>
        <v/>
      </c>
      <c r="BN44" s="111" t="str">
        <f t="shared" ca="1" si="132"/>
        <v/>
      </c>
      <c r="BO44" s="397"/>
      <c r="BP44" s="364" t="str">
        <f ca="1">IFERROR(INDEX(ICE[], MATCH("c3ew" &amp; TEXT(NGL!$A44, "mmmyy"), ICE[LongCode], 0), MATCH("Text", ICE[#Headers], 0)), "")</f>
        <v/>
      </c>
      <c r="BQ44" s="46" t="str">
        <f t="shared" ca="1" si="103"/>
        <v/>
      </c>
      <c r="BR44" s="47" t="str">
        <f t="shared" si="133"/>
        <v/>
      </c>
      <c r="BS44" s="46" t="str">
        <f t="shared" ca="1" si="134"/>
        <v/>
      </c>
      <c r="BT44" s="141" t="str">
        <f t="shared" ca="1" si="104"/>
        <v/>
      </c>
      <c r="BU44" s="46" t="str">
        <f t="shared" ca="1" si="105"/>
        <v/>
      </c>
      <c r="BV44" s="47" t="str">
        <f t="shared" ca="1" si="135"/>
        <v/>
      </c>
      <c r="BW44" s="46" t="str">
        <f t="shared" ca="1" si="136"/>
        <v/>
      </c>
      <c r="BX44" s="141" t="str">
        <f ca="1">IFERROR(IF(AND(ISNUMBER(Futs!$CC44), ISNUMBER($BT44)), $BT44/12.4 - Futs!$CC44, ""), "")</f>
        <v/>
      </c>
      <c r="BY44" s="67" t="str">
        <f t="shared" ca="1" si="106"/>
        <v/>
      </c>
      <c r="BZ44" s="47" t="str">
        <f t="shared" ca="1" si="137"/>
        <v/>
      </c>
      <c r="CA44" s="46" t="str">
        <f t="shared" ca="1" si="138"/>
        <v/>
      </c>
    </row>
    <row r="45" spans="1:79" x14ac:dyDescent="0.25">
      <c r="A45" s="58">
        <f t="shared" ca="1" si="107"/>
        <v>47058</v>
      </c>
      <c r="B45" s="6">
        <f t="shared" ca="1" si="89"/>
        <v>2028</v>
      </c>
      <c r="C45" s="6" t="str">
        <f t="shared" ca="1" si="91"/>
        <v>Q428</v>
      </c>
      <c r="D45" s="28" t="e">
        <f ca="1">INDEX(ICE[], MATCH(D$18 &amp; TEXT(NGL!$A45, "mmmyy"), ICE[LongCode], 0), MATCH("Settle", ICE[#Headers], 0))</f>
        <v>#N/A</v>
      </c>
      <c r="E45" s="28" t="e">
        <f ca="1">INDEX(ICE[], MATCH(E$18 &amp; TEXT(NGL!$A45, "mmmyy"), ICE[LongCode], 0), MATCH("Settle", ICE[#Headers], 0))*100</f>
        <v>#N/A</v>
      </c>
      <c r="F45" s="28" t="e">
        <f ca="1">INDEX(ICE[], MATCH(F$18 &amp; TEXT(NGL!$A45, "mmmyy"), ICE[LongCode], 0), MATCH("Settle", ICE[#Headers], 0))*100</f>
        <v>#N/A</v>
      </c>
      <c r="G45" s="28" t="e">
        <f ca="1">INDEX(ICE[], MATCH(G$18 &amp; TEXT(NGL!$A45, "mmmyy"), ICE[LongCode], 0), MATCH("Settle", ICE[#Headers], 0))*100</f>
        <v>#N/A</v>
      </c>
      <c r="H45" s="28" t="e">
        <f ca="1">INDEX(ICE[], MATCH(H$18 &amp; TEXT(NGL!$A45, "mmmyy"), ICE[LongCode], 0), MATCH("Settle", ICE[#Headers], 0))*100</f>
        <v>#N/A</v>
      </c>
      <c r="I45" s="28" t="e">
        <f ca="1">INDEX(ICE[], MATCH(I$18 &amp; TEXT(NGL!$A45, "mmmyy"), ICE[LongCode], 0), MATCH("Settle", ICE[#Headers], 0))</f>
        <v>#N/A</v>
      </c>
      <c r="J45" s="397"/>
      <c r="K45" s="364" t="str">
        <f ca="1">IFERROR(INDEX(ICE[], MATCH("propnap" &amp; TEXT(NGL!$A45, "mmmyy"), ICE[LongCode], 0), MATCH("Text", ICE[#Headers], 0)), "")</f>
        <v/>
      </c>
      <c r="L45" s="46" t="str">
        <f t="shared" ca="1" si="90"/>
        <v/>
      </c>
      <c r="M45" s="47" t="str">
        <f t="shared" si="92"/>
        <v/>
      </c>
      <c r="N45" s="46" t="str">
        <f t="shared" ca="1" si="108"/>
        <v/>
      </c>
      <c r="O45" s="141" t="str">
        <f ca="1">IFERROR(IF(AND(ISNUMBER(Lts!$N45), ISNUMBER($J45)), Lts!$N45 + $J45, ""), "")</f>
        <v/>
      </c>
      <c r="P45" s="46" t="str">
        <f ca="1">IFERROR(IF(AND(ISNUMBER(Lts!$O45), ISNUMBER($L45)), Lts!$O45 + $L45, ""), "")</f>
        <v/>
      </c>
      <c r="Q45" s="47" t="str">
        <f t="shared" ca="1" si="109"/>
        <v/>
      </c>
      <c r="R45" s="46" t="str">
        <f t="shared" ca="1" si="110"/>
        <v/>
      </c>
      <c r="S45" s="141" t="str">
        <f ca="1">IFERROR(IF(AND(ISNUMBER(Futs!$CC45), ISNUMBER($O45)), $O45/12.4 - Futs!$CC45, ""), "")</f>
        <v/>
      </c>
      <c r="T45" s="67" t="str">
        <f ca="1">IFERROR(IF(AND(ISNUMBER(Futs!$CD45), ISNUMBER($P45)), $P45/12.4 - Futs!$CD45, ""), "")</f>
        <v/>
      </c>
      <c r="U45" s="47" t="str">
        <f t="shared" ca="1" si="111"/>
        <v/>
      </c>
      <c r="V45" s="46" t="str">
        <f t="shared" ca="1" si="112"/>
        <v/>
      </c>
      <c r="W45" s="397"/>
      <c r="X45" s="364" t="str">
        <f ca="1">IFERROR(INDEX(ICE[], MATCH("c3tet" &amp; TEXT(NGL!$A45, "mmmyy"), ICE[LongCode], 0), MATCH("Text", ICE[#Headers], 0)), "")</f>
        <v/>
      </c>
      <c r="Y45" s="46" t="str">
        <f t="shared" ca="1" si="93"/>
        <v/>
      </c>
      <c r="Z45" s="47" t="str">
        <f t="shared" si="113"/>
        <v/>
      </c>
      <c r="AA45" s="46" t="str">
        <f t="shared" ca="1" si="114"/>
        <v/>
      </c>
      <c r="AB45" s="141" t="str">
        <f ca="1">IFERROR(IF(AND(ISNUMBER(Futs!$BY45), ISNUMBER($W45)), $W45*42/100 - Futs!$BY45, ""), "")</f>
        <v/>
      </c>
      <c r="AC45" s="67" t="str">
        <f ca="1">IFERROR(IF(AND(ISNUMBER(Futs!$BZ45), ISNUMBER($Y45)), $Y45*42/100 - Futs!$BZ45, ""), "")</f>
        <v/>
      </c>
      <c r="AD45" s="47" t="str">
        <f t="shared" ca="1" si="115"/>
        <v/>
      </c>
      <c r="AE45" s="46" t="str">
        <f t="shared" ca="1" si="116"/>
        <v/>
      </c>
      <c r="AF45" s="141" t="str">
        <f t="shared" ca="1" si="94"/>
        <v/>
      </c>
      <c r="AG45" s="67" t="str">
        <f t="shared" ca="1" si="95"/>
        <v/>
      </c>
      <c r="AH45" s="47" t="str">
        <f t="shared" ca="1" si="117"/>
        <v/>
      </c>
      <c r="AI45" s="46" t="str">
        <f t="shared" ca="1" si="118"/>
        <v/>
      </c>
      <c r="AJ45" s="397"/>
      <c r="AK45" s="364" t="str">
        <f ca="1">IFERROR(INDEX(ICE[], MATCH("c4ntet" &amp; TEXT(NGL!$A45, "mmmyy"), ICE[LongCode], 0), MATCH("Text", ICE[#Headers], 0)), "")</f>
        <v/>
      </c>
      <c r="AL45" s="46" t="str">
        <f t="shared" ca="1" si="96"/>
        <v/>
      </c>
      <c r="AM45" s="47" t="str">
        <f t="shared" si="119"/>
        <v/>
      </c>
      <c r="AN45" s="46" t="str">
        <f t="shared" ca="1" si="120"/>
        <v/>
      </c>
      <c r="AO45" s="141" t="str">
        <f t="shared" si="97"/>
        <v/>
      </c>
      <c r="AP45" s="46" t="str">
        <f t="shared" ca="1" si="98"/>
        <v/>
      </c>
      <c r="AQ45" s="47" t="str">
        <f t="shared" si="121"/>
        <v/>
      </c>
      <c r="AR45" s="46" t="str">
        <f t="shared" ca="1" si="122"/>
        <v/>
      </c>
      <c r="AS45" s="141" t="str">
        <f ca="1">IFERROR(IF(AND(ISNUMBER(Futs!$BY45), ISNUMBER($AJ45)), $AJ45*42/100 - Futs!$BY45, ""), "")</f>
        <v/>
      </c>
      <c r="AT45" s="67" t="str">
        <f ca="1">IFERROR(IF(AND(ISNUMBER(Futs!$BZ45), ISNUMBER($AL45)), $AL45*42/100 - Futs!$BZ45, ""), "")</f>
        <v/>
      </c>
      <c r="AU45" s="47" t="str">
        <f t="shared" ca="1" si="123"/>
        <v/>
      </c>
      <c r="AV45" s="46" t="str">
        <f t="shared" ca="1" si="124"/>
        <v/>
      </c>
      <c r="AW45" s="397"/>
      <c r="AX45" s="364" t="str">
        <f ca="1">IFERROR(INDEX(ICE[], MATCH("ic4ntet" &amp; TEXT(NGL!$A45, "mmmyy"), ICE[LongCode], 0), MATCH("Text", ICE[#Headers], 0)), "")</f>
        <v/>
      </c>
      <c r="AY45" s="46" t="str">
        <f t="shared" ca="1" si="99"/>
        <v/>
      </c>
      <c r="AZ45" s="47" t="str">
        <f t="shared" si="125"/>
        <v/>
      </c>
      <c r="BA45" s="46" t="str">
        <f t="shared" ca="1" si="126"/>
        <v/>
      </c>
      <c r="BB45" s="141" t="str">
        <f t="shared" si="100"/>
        <v/>
      </c>
      <c r="BC45" s="46" t="str">
        <f t="shared" ca="1" si="101"/>
        <v/>
      </c>
      <c r="BD45" s="47" t="str">
        <f t="shared" si="127"/>
        <v/>
      </c>
      <c r="BE45" s="46" t="str">
        <f t="shared" ca="1" si="128"/>
        <v/>
      </c>
      <c r="BF45" s="397"/>
      <c r="BG45" s="364" t="str">
        <f ca="1">IFERROR(INDEX(ICE[], MATCH("ngasntet" &amp; TEXT(NGL!$A45, "mmmyy"), ICE[LongCode], 0), MATCH("Text", ICE[#Headers], 0)), "")</f>
        <v/>
      </c>
      <c r="BH45" s="46" t="str">
        <f t="shared" ca="1" si="102"/>
        <v/>
      </c>
      <c r="BI45" s="47" t="str">
        <f t="shared" si="129"/>
        <v/>
      </c>
      <c r="BJ45" s="46" t="str">
        <f t="shared" ca="1" si="130"/>
        <v/>
      </c>
      <c r="BK45" s="141" t="str">
        <f ca="1">IFERROR(IF(AND(ISNUMBER(Futs!$BY45), ISNUMBER($BF45)), $BF45*42/100 - Futs!$BY45, ""), "")</f>
        <v/>
      </c>
      <c r="BL45" s="67" t="str">
        <f ca="1">IFERROR(IF(AND(ISNUMBER(Futs!$BZ45), ISNUMBER($BH45)), $BH45*42/100 - Futs!$BZ45, ""), "")</f>
        <v/>
      </c>
      <c r="BM45" s="47" t="str">
        <f t="shared" ca="1" si="131"/>
        <v/>
      </c>
      <c r="BN45" s="111" t="str">
        <f t="shared" ca="1" si="132"/>
        <v/>
      </c>
      <c r="BO45" s="397"/>
      <c r="BP45" s="364" t="str">
        <f ca="1">IFERROR(INDEX(ICE[], MATCH("c3ew" &amp; TEXT(NGL!$A45, "mmmyy"), ICE[LongCode], 0), MATCH("Text", ICE[#Headers], 0)), "")</f>
        <v/>
      </c>
      <c r="BQ45" s="46" t="str">
        <f t="shared" ca="1" si="103"/>
        <v/>
      </c>
      <c r="BR45" s="47" t="str">
        <f t="shared" si="133"/>
        <v/>
      </c>
      <c r="BS45" s="46" t="str">
        <f t="shared" ca="1" si="134"/>
        <v/>
      </c>
      <c r="BT45" s="141" t="str">
        <f t="shared" ca="1" si="104"/>
        <v/>
      </c>
      <c r="BU45" s="46" t="str">
        <f t="shared" ca="1" si="105"/>
        <v/>
      </c>
      <c r="BV45" s="47" t="str">
        <f t="shared" ca="1" si="135"/>
        <v/>
      </c>
      <c r="BW45" s="46" t="str">
        <f t="shared" ca="1" si="136"/>
        <v/>
      </c>
      <c r="BX45" s="141" t="str">
        <f ca="1">IFERROR(IF(AND(ISNUMBER(Futs!$CC45), ISNUMBER($BT45)), $BT45/12.4 - Futs!$CC45, ""), "")</f>
        <v/>
      </c>
      <c r="BY45" s="67" t="str">
        <f t="shared" ca="1" si="106"/>
        <v/>
      </c>
      <c r="BZ45" s="47" t="str">
        <f t="shared" ca="1" si="137"/>
        <v/>
      </c>
      <c r="CA45" s="46" t="str">
        <f t="shared" ca="1" si="138"/>
        <v/>
      </c>
    </row>
    <row r="46" spans="1:79" x14ac:dyDescent="0.25">
      <c r="A46" s="58">
        <f t="shared" ca="1" si="107"/>
        <v>47088</v>
      </c>
      <c r="B46" s="6">
        <f t="shared" ca="1" si="89"/>
        <v>2028</v>
      </c>
      <c r="C46" s="6" t="str">
        <f t="shared" ca="1" si="91"/>
        <v>Q428</v>
      </c>
      <c r="D46" s="28" t="e">
        <f ca="1">INDEX(ICE[], MATCH(D$18 &amp; TEXT(NGL!$A46, "mmmyy"), ICE[LongCode], 0), MATCH("Settle", ICE[#Headers], 0))</f>
        <v>#N/A</v>
      </c>
      <c r="E46" s="28" t="e">
        <f ca="1">INDEX(ICE[], MATCH(E$18 &amp; TEXT(NGL!$A46, "mmmyy"), ICE[LongCode], 0), MATCH("Settle", ICE[#Headers], 0))*100</f>
        <v>#N/A</v>
      </c>
      <c r="F46" s="28" t="e">
        <f ca="1">INDEX(ICE[], MATCH(F$18 &amp; TEXT(NGL!$A46, "mmmyy"), ICE[LongCode], 0), MATCH("Settle", ICE[#Headers], 0))*100</f>
        <v>#N/A</v>
      </c>
      <c r="G46" s="28" t="e">
        <f ca="1">INDEX(ICE[], MATCH(G$18 &amp; TEXT(NGL!$A46, "mmmyy"), ICE[LongCode], 0), MATCH("Settle", ICE[#Headers], 0))*100</f>
        <v>#N/A</v>
      </c>
      <c r="H46" s="28" t="e">
        <f ca="1">INDEX(ICE[], MATCH(H$18 &amp; TEXT(NGL!$A46, "mmmyy"), ICE[LongCode], 0), MATCH("Settle", ICE[#Headers], 0))*100</f>
        <v>#N/A</v>
      </c>
      <c r="I46" s="28" t="e">
        <f ca="1">INDEX(ICE[], MATCH(I$18 &amp; TEXT(NGL!$A46, "mmmyy"), ICE[LongCode], 0), MATCH("Settle", ICE[#Headers], 0))</f>
        <v>#N/A</v>
      </c>
      <c r="J46" s="397"/>
      <c r="K46" s="364" t="str">
        <f ca="1">IFERROR(INDEX(ICE[], MATCH("propnap" &amp; TEXT(NGL!$A46, "mmmyy"), ICE[LongCode], 0), MATCH("Text", ICE[#Headers], 0)), "")</f>
        <v/>
      </c>
      <c r="L46" s="46" t="str">
        <f t="shared" ca="1" si="90"/>
        <v/>
      </c>
      <c r="M46" s="47" t="str">
        <f t="shared" si="92"/>
        <v/>
      </c>
      <c r="N46" s="46" t="str">
        <f t="shared" ca="1" si="108"/>
        <v/>
      </c>
      <c r="O46" s="141" t="str">
        <f ca="1">IFERROR(IF(AND(ISNUMBER(Lts!$N46), ISNUMBER($J46)), Lts!$N46 + $J46, ""), "")</f>
        <v/>
      </c>
      <c r="P46" s="46" t="str">
        <f ca="1">IFERROR(IF(AND(ISNUMBER(Lts!$O46), ISNUMBER($L46)), Lts!$O46 + $L46, ""), "")</f>
        <v/>
      </c>
      <c r="Q46" s="47" t="str">
        <f t="shared" ca="1" si="109"/>
        <v/>
      </c>
      <c r="R46" s="46" t="str">
        <f t="shared" ca="1" si="110"/>
        <v/>
      </c>
      <c r="S46" s="141" t="str">
        <f ca="1">IFERROR(IF(AND(ISNUMBER(Futs!$CC46), ISNUMBER($O46)), $O46/12.4 - Futs!$CC46, ""), "")</f>
        <v/>
      </c>
      <c r="T46" s="67" t="str">
        <f ca="1">IFERROR(IF(AND(ISNUMBER(Futs!$CD46), ISNUMBER($P46)), $P46/12.4 - Futs!$CD46, ""), "")</f>
        <v/>
      </c>
      <c r="U46" s="47" t="str">
        <f t="shared" ca="1" si="111"/>
        <v/>
      </c>
      <c r="V46" s="46" t="str">
        <f t="shared" ca="1" si="112"/>
        <v/>
      </c>
      <c r="W46" s="397"/>
      <c r="X46" s="364" t="str">
        <f ca="1">IFERROR(INDEX(ICE[], MATCH("c3tet" &amp; TEXT(NGL!$A46, "mmmyy"), ICE[LongCode], 0), MATCH("Text", ICE[#Headers], 0)), "")</f>
        <v/>
      </c>
      <c r="Y46" s="46" t="str">
        <f t="shared" ca="1" si="93"/>
        <v/>
      </c>
      <c r="Z46" s="47" t="str">
        <f t="shared" si="113"/>
        <v/>
      </c>
      <c r="AA46" s="46" t="str">
        <f t="shared" ca="1" si="114"/>
        <v/>
      </c>
      <c r="AB46" s="141" t="str">
        <f ca="1">IFERROR(IF(AND(ISNUMBER(Futs!$BY46), ISNUMBER($W46)), $W46*42/100 - Futs!$BY46, ""), "")</f>
        <v/>
      </c>
      <c r="AC46" s="67" t="str">
        <f ca="1">IFERROR(IF(AND(ISNUMBER(Futs!$BZ46), ISNUMBER($Y46)), $Y46*42/100 - Futs!$BZ46, ""), "")</f>
        <v/>
      </c>
      <c r="AD46" s="47" t="str">
        <f t="shared" ca="1" si="115"/>
        <v/>
      </c>
      <c r="AE46" s="46" t="str">
        <f t="shared" ca="1" si="116"/>
        <v/>
      </c>
      <c r="AF46" s="141" t="str">
        <f t="shared" ca="1" si="94"/>
        <v/>
      </c>
      <c r="AG46" s="67" t="str">
        <f t="shared" ca="1" si="95"/>
        <v/>
      </c>
      <c r="AH46" s="47" t="str">
        <f t="shared" ca="1" si="117"/>
        <v/>
      </c>
      <c r="AI46" s="46" t="str">
        <f t="shared" ca="1" si="118"/>
        <v/>
      </c>
      <c r="AJ46" s="397"/>
      <c r="AK46" s="364" t="str">
        <f ca="1">IFERROR(INDEX(ICE[], MATCH("c4ntet" &amp; TEXT(NGL!$A46, "mmmyy"), ICE[LongCode], 0), MATCH("Text", ICE[#Headers], 0)), "")</f>
        <v/>
      </c>
      <c r="AL46" s="46" t="str">
        <f t="shared" ca="1" si="96"/>
        <v/>
      </c>
      <c r="AM46" s="47" t="str">
        <f t="shared" si="119"/>
        <v/>
      </c>
      <c r="AN46" s="46" t="str">
        <f t="shared" ca="1" si="120"/>
        <v/>
      </c>
      <c r="AO46" s="141" t="str">
        <f t="shared" si="97"/>
        <v/>
      </c>
      <c r="AP46" s="46" t="str">
        <f t="shared" ca="1" si="98"/>
        <v/>
      </c>
      <c r="AQ46" s="47" t="str">
        <f t="shared" si="121"/>
        <v/>
      </c>
      <c r="AR46" s="46" t="str">
        <f t="shared" ca="1" si="122"/>
        <v/>
      </c>
      <c r="AS46" s="141" t="str">
        <f ca="1">IFERROR(IF(AND(ISNUMBER(Futs!$BY46), ISNUMBER($AJ46)), $AJ46*42/100 - Futs!$BY46, ""), "")</f>
        <v/>
      </c>
      <c r="AT46" s="67" t="str">
        <f ca="1">IFERROR(IF(AND(ISNUMBER(Futs!$BZ46), ISNUMBER($AL46)), $AL46*42/100 - Futs!$BZ46, ""), "")</f>
        <v/>
      </c>
      <c r="AU46" s="47" t="str">
        <f t="shared" ca="1" si="123"/>
        <v/>
      </c>
      <c r="AV46" s="46" t="str">
        <f t="shared" ca="1" si="124"/>
        <v/>
      </c>
      <c r="AW46" s="397"/>
      <c r="AX46" s="364" t="str">
        <f ca="1">IFERROR(INDEX(ICE[], MATCH("ic4ntet" &amp; TEXT(NGL!$A46, "mmmyy"), ICE[LongCode], 0), MATCH("Text", ICE[#Headers], 0)), "")</f>
        <v/>
      </c>
      <c r="AY46" s="46" t="str">
        <f t="shared" ca="1" si="99"/>
        <v/>
      </c>
      <c r="AZ46" s="47" t="str">
        <f t="shared" si="125"/>
        <v/>
      </c>
      <c r="BA46" s="46" t="str">
        <f t="shared" ca="1" si="126"/>
        <v/>
      </c>
      <c r="BB46" s="141" t="str">
        <f t="shared" si="100"/>
        <v/>
      </c>
      <c r="BC46" s="46" t="str">
        <f t="shared" ca="1" si="101"/>
        <v/>
      </c>
      <c r="BD46" s="47" t="str">
        <f t="shared" si="127"/>
        <v/>
      </c>
      <c r="BE46" s="46" t="str">
        <f t="shared" ca="1" si="128"/>
        <v/>
      </c>
      <c r="BF46" s="397"/>
      <c r="BG46" s="364" t="str">
        <f ca="1">IFERROR(INDEX(ICE[], MATCH("ngasntet" &amp; TEXT(NGL!$A46, "mmmyy"), ICE[LongCode], 0), MATCH("Text", ICE[#Headers], 0)), "")</f>
        <v/>
      </c>
      <c r="BH46" s="46" t="str">
        <f t="shared" ca="1" si="102"/>
        <v/>
      </c>
      <c r="BI46" s="47" t="str">
        <f t="shared" si="129"/>
        <v/>
      </c>
      <c r="BJ46" s="46" t="str">
        <f t="shared" ca="1" si="130"/>
        <v/>
      </c>
      <c r="BK46" s="141" t="str">
        <f ca="1">IFERROR(IF(AND(ISNUMBER(Futs!$BY46), ISNUMBER($BF46)), $BF46*42/100 - Futs!$BY46, ""), "")</f>
        <v/>
      </c>
      <c r="BL46" s="67" t="str">
        <f ca="1">IFERROR(IF(AND(ISNUMBER(Futs!$BZ46), ISNUMBER($BH46)), $BH46*42/100 - Futs!$BZ46, ""), "")</f>
        <v/>
      </c>
      <c r="BM46" s="47" t="str">
        <f t="shared" ca="1" si="131"/>
        <v/>
      </c>
      <c r="BN46" s="111" t="str">
        <f t="shared" ca="1" si="132"/>
        <v/>
      </c>
      <c r="BO46" s="397"/>
      <c r="BP46" s="364" t="str">
        <f ca="1">IFERROR(INDEX(ICE[], MATCH("c3ew" &amp; TEXT(NGL!$A46, "mmmyy"), ICE[LongCode], 0), MATCH("Text", ICE[#Headers], 0)), "")</f>
        <v/>
      </c>
      <c r="BQ46" s="46" t="str">
        <f t="shared" ca="1" si="103"/>
        <v/>
      </c>
      <c r="BR46" s="47" t="str">
        <f t="shared" si="133"/>
        <v/>
      </c>
      <c r="BS46" s="46" t="str">
        <f t="shared" ca="1" si="134"/>
        <v/>
      </c>
      <c r="BT46" s="141" t="str">
        <f t="shared" ca="1" si="104"/>
        <v/>
      </c>
      <c r="BU46" s="46" t="str">
        <f t="shared" ca="1" si="105"/>
        <v/>
      </c>
      <c r="BV46" s="47" t="str">
        <f t="shared" ca="1" si="135"/>
        <v/>
      </c>
      <c r="BW46" s="46" t="str">
        <f t="shared" ca="1" si="136"/>
        <v/>
      </c>
      <c r="BX46" s="141" t="str">
        <f ca="1">IFERROR(IF(AND(ISNUMBER(Futs!$CC46), ISNUMBER($BT46)), $BT46/12.4 - Futs!$CC46, ""), "")</f>
        <v/>
      </c>
      <c r="BY46" s="67" t="str">
        <f t="shared" ca="1" si="106"/>
        <v/>
      </c>
      <c r="BZ46" s="47" t="str">
        <f t="shared" ca="1" si="137"/>
        <v/>
      </c>
      <c r="CA46" s="46" t="str">
        <f t="shared" ca="1" si="138"/>
        <v/>
      </c>
    </row>
    <row r="47" spans="1:79" x14ac:dyDescent="0.25">
      <c r="A47" s="58">
        <f t="shared" ca="1" si="107"/>
        <v>47119</v>
      </c>
      <c r="B47" s="6">
        <f t="shared" ca="1" si="89"/>
        <v>2029</v>
      </c>
      <c r="C47" s="6" t="str">
        <f t="shared" ca="1" si="91"/>
        <v>Q129</v>
      </c>
      <c r="D47" s="28" t="e">
        <f ca="1">INDEX(ICE[], MATCH(D$18 &amp; TEXT(NGL!$A47, "mmmyy"), ICE[LongCode], 0), MATCH("Settle", ICE[#Headers], 0))</f>
        <v>#N/A</v>
      </c>
      <c r="E47" s="28" t="e">
        <f ca="1">INDEX(ICE[], MATCH(E$18 &amp; TEXT(NGL!$A47, "mmmyy"), ICE[LongCode], 0), MATCH("Settle", ICE[#Headers], 0))*100</f>
        <v>#N/A</v>
      </c>
      <c r="F47" s="28" t="e">
        <f ca="1">INDEX(ICE[], MATCH(F$18 &amp; TEXT(NGL!$A47, "mmmyy"), ICE[LongCode], 0), MATCH("Settle", ICE[#Headers], 0))*100</f>
        <v>#N/A</v>
      </c>
      <c r="G47" s="28" t="e">
        <f ca="1">INDEX(ICE[], MATCH(G$18 &amp; TEXT(NGL!$A47, "mmmyy"), ICE[LongCode], 0), MATCH("Settle", ICE[#Headers], 0))*100</f>
        <v>#N/A</v>
      </c>
      <c r="H47" s="28" t="e">
        <f ca="1">INDEX(ICE[], MATCH(H$18 &amp; TEXT(NGL!$A47, "mmmyy"), ICE[LongCode], 0), MATCH("Settle", ICE[#Headers], 0))*100</f>
        <v>#N/A</v>
      </c>
      <c r="I47" s="28" t="e">
        <f ca="1">INDEX(ICE[], MATCH(I$18 &amp; TEXT(NGL!$A47, "mmmyy"), ICE[LongCode], 0), MATCH("Settle", ICE[#Headers], 0))</f>
        <v>#N/A</v>
      </c>
      <c r="J47" s="397"/>
      <c r="K47" s="364" t="str">
        <f ca="1">IFERROR(INDEX(ICE[], MATCH("propnap" &amp; TEXT(NGL!$A47, "mmmyy"), ICE[LongCode], 0), MATCH("Text", ICE[#Headers], 0)), "")</f>
        <v/>
      </c>
      <c r="L47" s="46" t="str">
        <f t="shared" ca="1" si="90"/>
        <v/>
      </c>
      <c r="M47" s="47" t="str">
        <f t="shared" si="92"/>
        <v/>
      </c>
      <c r="N47" s="46" t="str">
        <f t="shared" ca="1" si="108"/>
        <v/>
      </c>
      <c r="O47" s="141" t="str">
        <f ca="1">IFERROR(IF(AND(ISNUMBER(Lts!$N47), ISNUMBER($J47)), Lts!$N47 + $J47, ""), "")</f>
        <v/>
      </c>
      <c r="P47" s="46" t="str">
        <f ca="1">IFERROR(IF(AND(ISNUMBER(Lts!$O47), ISNUMBER($L47)), Lts!$O47 + $L47, ""), "")</f>
        <v/>
      </c>
      <c r="Q47" s="47" t="str">
        <f t="shared" ca="1" si="109"/>
        <v/>
      </c>
      <c r="R47" s="46" t="str">
        <f t="shared" ca="1" si="110"/>
        <v/>
      </c>
      <c r="S47" s="141" t="str">
        <f ca="1">IFERROR(IF(AND(ISNUMBER(Futs!$CC47), ISNUMBER($O47)), $O47/12.4 - Futs!$CC47, ""), "")</f>
        <v/>
      </c>
      <c r="T47" s="67" t="str">
        <f ca="1">IFERROR(IF(AND(ISNUMBER(Futs!$CD47), ISNUMBER($P47)), $P47/12.4 - Futs!$CD47, ""), "")</f>
        <v/>
      </c>
      <c r="U47" s="47" t="str">
        <f t="shared" ca="1" si="111"/>
        <v/>
      </c>
      <c r="V47" s="46" t="str">
        <f t="shared" ca="1" si="112"/>
        <v/>
      </c>
      <c r="W47" s="397"/>
      <c r="X47" s="364" t="str">
        <f ca="1">IFERROR(INDEX(ICE[], MATCH("c3tet" &amp; TEXT(NGL!$A47, "mmmyy"), ICE[LongCode], 0), MATCH("Text", ICE[#Headers], 0)), "")</f>
        <v/>
      </c>
      <c r="Y47" s="46" t="str">
        <f t="shared" ca="1" si="93"/>
        <v/>
      </c>
      <c r="Z47" s="47" t="str">
        <f t="shared" si="113"/>
        <v/>
      </c>
      <c r="AA47" s="46" t="str">
        <f t="shared" ca="1" si="114"/>
        <v/>
      </c>
      <c r="AB47" s="141" t="str">
        <f ca="1">IFERROR(IF(AND(ISNUMBER(Futs!$BY47), ISNUMBER($W47)), $W47*42/100 - Futs!$BY47, ""), "")</f>
        <v/>
      </c>
      <c r="AC47" s="67" t="str">
        <f ca="1">IFERROR(IF(AND(ISNUMBER(Futs!$BZ47), ISNUMBER($Y47)), $Y47*42/100 - Futs!$BZ47, ""), "")</f>
        <v/>
      </c>
      <c r="AD47" s="47" t="str">
        <f t="shared" ca="1" si="115"/>
        <v/>
      </c>
      <c r="AE47" s="46" t="str">
        <f t="shared" ca="1" si="116"/>
        <v/>
      </c>
      <c r="AF47" s="141" t="str">
        <f t="shared" ca="1" si="94"/>
        <v/>
      </c>
      <c r="AG47" s="67" t="str">
        <f t="shared" ca="1" si="95"/>
        <v/>
      </c>
      <c r="AH47" s="47" t="str">
        <f t="shared" ca="1" si="117"/>
        <v/>
      </c>
      <c r="AI47" s="46" t="str">
        <f t="shared" ca="1" si="118"/>
        <v/>
      </c>
      <c r="AJ47" s="397"/>
      <c r="AK47" s="364" t="str">
        <f ca="1">IFERROR(INDEX(ICE[], MATCH("c4ntet" &amp; TEXT(NGL!$A47, "mmmyy"), ICE[LongCode], 0), MATCH("Text", ICE[#Headers], 0)), "")</f>
        <v/>
      </c>
      <c r="AL47" s="46" t="str">
        <f t="shared" ca="1" si="96"/>
        <v/>
      </c>
      <c r="AM47" s="47" t="str">
        <f t="shared" si="119"/>
        <v/>
      </c>
      <c r="AN47" s="46" t="str">
        <f t="shared" ca="1" si="120"/>
        <v/>
      </c>
      <c r="AO47" s="141" t="str">
        <f t="shared" si="97"/>
        <v/>
      </c>
      <c r="AP47" s="46" t="str">
        <f t="shared" ca="1" si="98"/>
        <v/>
      </c>
      <c r="AQ47" s="47" t="str">
        <f t="shared" si="121"/>
        <v/>
      </c>
      <c r="AR47" s="46" t="str">
        <f t="shared" ca="1" si="122"/>
        <v/>
      </c>
      <c r="AS47" s="141" t="str">
        <f ca="1">IFERROR(IF(AND(ISNUMBER(Futs!$BY47), ISNUMBER($AJ47)), $AJ47*42/100 - Futs!$BY47, ""), "")</f>
        <v/>
      </c>
      <c r="AT47" s="67" t="str">
        <f ca="1">IFERROR(IF(AND(ISNUMBER(Futs!$BZ47), ISNUMBER($AL47)), $AL47*42/100 - Futs!$BZ47, ""), "")</f>
        <v/>
      </c>
      <c r="AU47" s="47" t="str">
        <f t="shared" ca="1" si="123"/>
        <v/>
      </c>
      <c r="AV47" s="46" t="str">
        <f t="shared" ca="1" si="124"/>
        <v/>
      </c>
      <c r="AW47" s="397"/>
      <c r="AX47" s="364" t="str">
        <f ca="1">IFERROR(INDEX(ICE[], MATCH("ic4ntet" &amp; TEXT(NGL!$A47, "mmmyy"), ICE[LongCode], 0), MATCH("Text", ICE[#Headers], 0)), "")</f>
        <v/>
      </c>
      <c r="AY47" s="46" t="str">
        <f t="shared" ca="1" si="99"/>
        <v/>
      </c>
      <c r="AZ47" s="47" t="str">
        <f t="shared" si="125"/>
        <v/>
      </c>
      <c r="BA47" s="46" t="str">
        <f t="shared" ca="1" si="126"/>
        <v/>
      </c>
      <c r="BB47" s="141" t="str">
        <f t="shared" si="100"/>
        <v/>
      </c>
      <c r="BC47" s="46" t="str">
        <f t="shared" ca="1" si="101"/>
        <v/>
      </c>
      <c r="BD47" s="47" t="str">
        <f t="shared" si="127"/>
        <v/>
      </c>
      <c r="BE47" s="46" t="str">
        <f t="shared" ca="1" si="128"/>
        <v/>
      </c>
      <c r="BF47" s="397"/>
      <c r="BG47" s="364" t="str">
        <f ca="1">IFERROR(INDEX(ICE[], MATCH("ngasntet" &amp; TEXT(NGL!$A47, "mmmyy"), ICE[LongCode], 0), MATCH("Text", ICE[#Headers], 0)), "")</f>
        <v/>
      </c>
      <c r="BH47" s="46" t="str">
        <f t="shared" ca="1" si="102"/>
        <v/>
      </c>
      <c r="BI47" s="47" t="str">
        <f t="shared" si="129"/>
        <v/>
      </c>
      <c r="BJ47" s="46" t="str">
        <f t="shared" ca="1" si="130"/>
        <v/>
      </c>
      <c r="BK47" s="141" t="str">
        <f ca="1">IFERROR(IF(AND(ISNUMBER(Futs!$BY47), ISNUMBER($BF47)), $BF47*42/100 - Futs!$BY47, ""), "")</f>
        <v/>
      </c>
      <c r="BL47" s="67" t="str">
        <f ca="1">IFERROR(IF(AND(ISNUMBER(Futs!$BZ47), ISNUMBER($BH47)), $BH47*42/100 - Futs!$BZ47, ""), "")</f>
        <v/>
      </c>
      <c r="BM47" s="47" t="str">
        <f t="shared" ca="1" si="131"/>
        <v/>
      </c>
      <c r="BN47" s="111" t="str">
        <f t="shared" ca="1" si="132"/>
        <v/>
      </c>
      <c r="BO47" s="397"/>
      <c r="BP47" s="364" t="str">
        <f ca="1">IFERROR(INDEX(ICE[], MATCH("c3ew" &amp; TEXT(NGL!$A47, "mmmyy"), ICE[LongCode], 0), MATCH("Text", ICE[#Headers], 0)), "")</f>
        <v/>
      </c>
      <c r="BQ47" s="46" t="str">
        <f t="shared" ca="1" si="103"/>
        <v/>
      </c>
      <c r="BR47" s="47" t="str">
        <f t="shared" si="133"/>
        <v/>
      </c>
      <c r="BS47" s="46" t="str">
        <f t="shared" ca="1" si="134"/>
        <v/>
      </c>
      <c r="BT47" s="141" t="str">
        <f t="shared" ca="1" si="104"/>
        <v/>
      </c>
      <c r="BU47" s="46" t="str">
        <f t="shared" ca="1" si="105"/>
        <v/>
      </c>
      <c r="BV47" s="47" t="str">
        <f t="shared" ca="1" si="135"/>
        <v/>
      </c>
      <c r="BW47" s="46" t="str">
        <f t="shared" ca="1" si="136"/>
        <v/>
      </c>
      <c r="BX47" s="141" t="str">
        <f ca="1">IFERROR(IF(AND(ISNUMBER(Futs!$CC47), ISNUMBER($BT47)), $BT47/12.4 - Futs!$CC47, ""), "")</f>
        <v/>
      </c>
      <c r="BY47" s="67" t="str">
        <f t="shared" ca="1" si="106"/>
        <v/>
      </c>
      <c r="BZ47" s="47" t="str">
        <f t="shared" ca="1" si="137"/>
        <v/>
      </c>
      <c r="CA47" s="46" t="str">
        <f t="shared" ca="1" si="138"/>
        <v/>
      </c>
    </row>
    <row r="48" spans="1:79" x14ac:dyDescent="0.25">
      <c r="A48" s="58">
        <f t="shared" ca="1" si="107"/>
        <v>47150</v>
      </c>
      <c r="B48" s="6">
        <f t="shared" ca="1" si="89"/>
        <v>2029</v>
      </c>
      <c r="C48" s="6" t="str">
        <f t="shared" ca="1" si="91"/>
        <v>Q129</v>
      </c>
      <c r="D48" s="28" t="e">
        <f ca="1">INDEX(ICE[], MATCH(D$18 &amp; TEXT(NGL!$A48, "mmmyy"), ICE[LongCode], 0), MATCH("Settle", ICE[#Headers], 0))</f>
        <v>#N/A</v>
      </c>
      <c r="E48" s="28" t="e">
        <f ca="1">INDEX(ICE[], MATCH(E$18 &amp; TEXT(NGL!$A48, "mmmyy"), ICE[LongCode], 0), MATCH("Settle", ICE[#Headers], 0))*100</f>
        <v>#N/A</v>
      </c>
      <c r="F48" s="28" t="e">
        <f ca="1">INDEX(ICE[], MATCH(F$18 &amp; TEXT(NGL!$A48, "mmmyy"), ICE[LongCode], 0), MATCH("Settle", ICE[#Headers], 0))*100</f>
        <v>#N/A</v>
      </c>
      <c r="G48" s="28" t="e">
        <f ca="1">INDEX(ICE[], MATCH(G$18 &amp; TEXT(NGL!$A48, "mmmyy"), ICE[LongCode], 0), MATCH("Settle", ICE[#Headers], 0))*100</f>
        <v>#N/A</v>
      </c>
      <c r="H48" s="28" t="e">
        <f ca="1">INDEX(ICE[], MATCH(H$18 &amp; TEXT(NGL!$A48, "mmmyy"), ICE[LongCode], 0), MATCH("Settle", ICE[#Headers], 0))*100</f>
        <v>#N/A</v>
      </c>
      <c r="I48" s="28" t="e">
        <f ca="1">INDEX(ICE[], MATCH(I$18 &amp; TEXT(NGL!$A48, "mmmyy"), ICE[LongCode], 0), MATCH("Settle", ICE[#Headers], 0))</f>
        <v>#N/A</v>
      </c>
      <c r="J48" s="397"/>
      <c r="K48" s="364" t="str">
        <f ca="1">IFERROR(INDEX(ICE[], MATCH("propnap" &amp; TEXT(NGL!$A48, "mmmyy"), ICE[LongCode], 0), MATCH("Text", ICE[#Headers], 0)), "")</f>
        <v/>
      </c>
      <c r="L48" s="46" t="str">
        <f t="shared" ca="1" si="90"/>
        <v/>
      </c>
      <c r="M48" s="47" t="str">
        <f t="shared" si="92"/>
        <v/>
      </c>
      <c r="N48" s="46" t="str">
        <f t="shared" ca="1" si="108"/>
        <v/>
      </c>
      <c r="O48" s="141" t="str">
        <f ca="1">IFERROR(IF(AND(ISNUMBER(Lts!$N48), ISNUMBER($J48)), Lts!$N48 + $J48, ""), "")</f>
        <v/>
      </c>
      <c r="P48" s="46" t="str">
        <f ca="1">IFERROR(IF(AND(ISNUMBER(Lts!$O48), ISNUMBER($L48)), Lts!$O48 + $L48, ""), "")</f>
        <v/>
      </c>
      <c r="Q48" s="47" t="str">
        <f t="shared" ca="1" si="109"/>
        <v/>
      </c>
      <c r="R48" s="46" t="str">
        <f t="shared" ca="1" si="110"/>
        <v/>
      </c>
      <c r="S48" s="141" t="str">
        <f ca="1">IFERROR(IF(AND(ISNUMBER(Futs!$CC48), ISNUMBER($O48)), $O48/12.4 - Futs!$CC48, ""), "")</f>
        <v/>
      </c>
      <c r="T48" s="67" t="str">
        <f ca="1">IFERROR(IF(AND(ISNUMBER(Futs!$CD48), ISNUMBER($P48)), $P48/12.4 - Futs!$CD48, ""), "")</f>
        <v/>
      </c>
      <c r="U48" s="47" t="str">
        <f t="shared" ca="1" si="111"/>
        <v/>
      </c>
      <c r="V48" s="46" t="str">
        <f t="shared" ca="1" si="112"/>
        <v/>
      </c>
      <c r="W48" s="397"/>
      <c r="X48" s="364" t="str">
        <f ca="1">IFERROR(INDEX(ICE[], MATCH("c3tet" &amp; TEXT(NGL!$A48, "mmmyy"), ICE[LongCode], 0), MATCH("Text", ICE[#Headers], 0)), "")</f>
        <v/>
      </c>
      <c r="Y48" s="46" t="str">
        <f t="shared" ca="1" si="93"/>
        <v/>
      </c>
      <c r="Z48" s="47" t="str">
        <f t="shared" si="113"/>
        <v/>
      </c>
      <c r="AA48" s="46" t="str">
        <f t="shared" ca="1" si="114"/>
        <v/>
      </c>
      <c r="AB48" s="141" t="str">
        <f ca="1">IFERROR(IF(AND(ISNUMBER(Futs!$BY48), ISNUMBER($W48)), $W48*42/100 - Futs!$BY48, ""), "")</f>
        <v/>
      </c>
      <c r="AC48" s="67" t="str">
        <f ca="1">IFERROR(IF(AND(ISNUMBER(Futs!$BZ48), ISNUMBER($Y48)), $Y48*42/100 - Futs!$BZ48, ""), "")</f>
        <v/>
      </c>
      <c r="AD48" s="47" t="str">
        <f t="shared" ca="1" si="115"/>
        <v/>
      </c>
      <c r="AE48" s="46" t="str">
        <f t="shared" ca="1" si="116"/>
        <v/>
      </c>
      <c r="AF48" s="141" t="str">
        <f t="shared" ca="1" si="94"/>
        <v/>
      </c>
      <c r="AG48" s="67" t="str">
        <f t="shared" ca="1" si="95"/>
        <v/>
      </c>
      <c r="AH48" s="47" t="str">
        <f t="shared" ca="1" si="117"/>
        <v/>
      </c>
      <c r="AI48" s="46" t="str">
        <f t="shared" ca="1" si="118"/>
        <v/>
      </c>
      <c r="AJ48" s="397"/>
      <c r="AK48" s="364" t="str">
        <f ca="1">IFERROR(INDEX(ICE[], MATCH("c4ntet" &amp; TEXT(NGL!$A48, "mmmyy"), ICE[LongCode], 0), MATCH("Text", ICE[#Headers], 0)), "")</f>
        <v/>
      </c>
      <c r="AL48" s="46" t="str">
        <f t="shared" ca="1" si="96"/>
        <v/>
      </c>
      <c r="AM48" s="47" t="str">
        <f t="shared" si="119"/>
        <v/>
      </c>
      <c r="AN48" s="46" t="str">
        <f t="shared" ca="1" si="120"/>
        <v/>
      </c>
      <c r="AO48" s="141" t="str">
        <f t="shared" si="97"/>
        <v/>
      </c>
      <c r="AP48" s="46" t="str">
        <f t="shared" ca="1" si="98"/>
        <v/>
      </c>
      <c r="AQ48" s="47" t="str">
        <f t="shared" si="121"/>
        <v/>
      </c>
      <c r="AR48" s="46" t="str">
        <f t="shared" ca="1" si="122"/>
        <v/>
      </c>
      <c r="AS48" s="141" t="str">
        <f ca="1">IFERROR(IF(AND(ISNUMBER(Futs!$BY48), ISNUMBER($AJ48)), $AJ48*42/100 - Futs!$BY48, ""), "")</f>
        <v/>
      </c>
      <c r="AT48" s="67" t="str">
        <f ca="1">IFERROR(IF(AND(ISNUMBER(Futs!$BZ48), ISNUMBER($AL48)), $AL48*42/100 - Futs!$BZ48, ""), "")</f>
        <v/>
      </c>
      <c r="AU48" s="47" t="str">
        <f t="shared" ca="1" si="123"/>
        <v/>
      </c>
      <c r="AV48" s="46" t="str">
        <f t="shared" ca="1" si="124"/>
        <v/>
      </c>
      <c r="AW48" s="397"/>
      <c r="AX48" s="364" t="str">
        <f ca="1">IFERROR(INDEX(ICE[], MATCH("ic4ntet" &amp; TEXT(NGL!$A48, "mmmyy"), ICE[LongCode], 0), MATCH("Text", ICE[#Headers], 0)), "")</f>
        <v/>
      </c>
      <c r="AY48" s="46" t="str">
        <f t="shared" ca="1" si="99"/>
        <v/>
      </c>
      <c r="AZ48" s="47" t="str">
        <f t="shared" si="125"/>
        <v/>
      </c>
      <c r="BA48" s="46" t="str">
        <f t="shared" ca="1" si="126"/>
        <v/>
      </c>
      <c r="BB48" s="141" t="str">
        <f t="shared" si="100"/>
        <v/>
      </c>
      <c r="BC48" s="46" t="str">
        <f t="shared" ca="1" si="101"/>
        <v/>
      </c>
      <c r="BD48" s="47" t="str">
        <f t="shared" si="127"/>
        <v/>
      </c>
      <c r="BE48" s="46" t="str">
        <f t="shared" ca="1" si="128"/>
        <v/>
      </c>
      <c r="BF48" s="397"/>
      <c r="BG48" s="364" t="str">
        <f ca="1">IFERROR(INDEX(ICE[], MATCH("ngasntet" &amp; TEXT(NGL!$A48, "mmmyy"), ICE[LongCode], 0), MATCH("Text", ICE[#Headers], 0)), "")</f>
        <v/>
      </c>
      <c r="BH48" s="46" t="str">
        <f t="shared" ca="1" si="102"/>
        <v/>
      </c>
      <c r="BI48" s="47" t="str">
        <f t="shared" si="129"/>
        <v/>
      </c>
      <c r="BJ48" s="46" t="str">
        <f t="shared" ca="1" si="130"/>
        <v/>
      </c>
      <c r="BK48" s="141" t="str">
        <f ca="1">IFERROR(IF(AND(ISNUMBER(Futs!$BY48), ISNUMBER($BF48)), $BF48*42/100 - Futs!$BY48, ""), "")</f>
        <v/>
      </c>
      <c r="BL48" s="67" t="str">
        <f ca="1">IFERROR(IF(AND(ISNUMBER(Futs!$BZ48), ISNUMBER($BH48)), $BH48*42/100 - Futs!$BZ48, ""), "")</f>
        <v/>
      </c>
      <c r="BM48" s="47" t="str">
        <f t="shared" ca="1" si="131"/>
        <v/>
      </c>
      <c r="BN48" s="111" t="str">
        <f t="shared" ca="1" si="132"/>
        <v/>
      </c>
      <c r="BO48" s="397"/>
      <c r="BP48" s="364" t="str">
        <f ca="1">IFERROR(INDEX(ICE[], MATCH("c3ew" &amp; TEXT(NGL!$A48, "mmmyy"), ICE[LongCode], 0), MATCH("Text", ICE[#Headers], 0)), "")</f>
        <v/>
      </c>
      <c r="BQ48" s="46" t="str">
        <f t="shared" ca="1" si="103"/>
        <v/>
      </c>
      <c r="BR48" s="47" t="str">
        <f t="shared" si="133"/>
        <v/>
      </c>
      <c r="BS48" s="46" t="str">
        <f t="shared" ca="1" si="134"/>
        <v/>
      </c>
      <c r="BT48" s="141" t="str">
        <f t="shared" ca="1" si="104"/>
        <v/>
      </c>
      <c r="BU48" s="46" t="str">
        <f t="shared" ca="1" si="105"/>
        <v/>
      </c>
      <c r="BV48" s="47" t="str">
        <f t="shared" ca="1" si="135"/>
        <v/>
      </c>
      <c r="BW48" s="46" t="str">
        <f t="shared" ca="1" si="136"/>
        <v/>
      </c>
      <c r="BX48" s="141" t="str">
        <f ca="1">IFERROR(IF(AND(ISNUMBER(Futs!$CC48), ISNUMBER($BT48)), $BT48/12.4 - Futs!$CC48, ""), "")</f>
        <v/>
      </c>
      <c r="BY48" s="67" t="str">
        <f t="shared" ca="1" si="106"/>
        <v/>
      </c>
      <c r="BZ48" s="47" t="str">
        <f t="shared" ca="1" si="137"/>
        <v/>
      </c>
      <c r="CA48" s="46" t="str">
        <f t="shared" ca="1" si="138"/>
        <v/>
      </c>
    </row>
    <row r="49" spans="1:79" x14ac:dyDescent="0.25">
      <c r="A49" s="58">
        <f t="shared" ca="1" si="107"/>
        <v>47178</v>
      </c>
      <c r="B49" s="6">
        <f t="shared" ca="1" si="89"/>
        <v>2029</v>
      </c>
      <c r="C49" s="6" t="str">
        <f t="shared" ca="1" si="91"/>
        <v>Q129</v>
      </c>
      <c r="D49" s="28" t="e">
        <f ca="1">INDEX(ICE[], MATCH(D$18 &amp; TEXT(NGL!$A49, "mmmyy"), ICE[LongCode], 0), MATCH("Settle", ICE[#Headers], 0))</f>
        <v>#N/A</v>
      </c>
      <c r="E49" s="28" t="e">
        <f ca="1">INDEX(ICE[], MATCH(E$18 &amp; TEXT(NGL!$A49, "mmmyy"), ICE[LongCode], 0), MATCH("Settle", ICE[#Headers], 0))*100</f>
        <v>#N/A</v>
      </c>
      <c r="F49" s="28" t="e">
        <f ca="1">INDEX(ICE[], MATCH(F$18 &amp; TEXT(NGL!$A49, "mmmyy"), ICE[LongCode], 0), MATCH("Settle", ICE[#Headers], 0))*100</f>
        <v>#N/A</v>
      </c>
      <c r="G49" s="28" t="e">
        <f ca="1">INDEX(ICE[], MATCH(G$18 &amp; TEXT(NGL!$A49, "mmmyy"), ICE[LongCode], 0), MATCH("Settle", ICE[#Headers], 0))*100</f>
        <v>#N/A</v>
      </c>
      <c r="H49" s="28" t="e">
        <f ca="1">INDEX(ICE[], MATCH(H$18 &amp; TEXT(NGL!$A49, "mmmyy"), ICE[LongCode], 0), MATCH("Settle", ICE[#Headers], 0))*100</f>
        <v>#N/A</v>
      </c>
      <c r="I49" s="28" t="e">
        <f ca="1">INDEX(ICE[], MATCH(I$18 &amp; TEXT(NGL!$A49, "mmmyy"), ICE[LongCode], 0), MATCH("Settle", ICE[#Headers], 0))</f>
        <v>#N/A</v>
      </c>
      <c r="J49" s="397"/>
      <c r="K49" s="364" t="str">
        <f ca="1">IFERROR(INDEX(ICE[], MATCH("propnap" &amp; TEXT(NGL!$A49, "mmmyy"), ICE[LongCode], 0), MATCH("Text", ICE[#Headers], 0)), "")</f>
        <v/>
      </c>
      <c r="L49" s="46" t="str">
        <f t="shared" ca="1" si="90"/>
        <v/>
      </c>
      <c r="M49" s="47" t="str">
        <f t="shared" si="92"/>
        <v/>
      </c>
      <c r="N49" s="46" t="str">
        <f t="shared" ca="1" si="108"/>
        <v/>
      </c>
      <c r="O49" s="141" t="str">
        <f ca="1">IFERROR(IF(AND(ISNUMBER(Lts!$N49), ISNUMBER($J49)), Lts!$N49 + $J49, ""), "")</f>
        <v/>
      </c>
      <c r="P49" s="46" t="str">
        <f ca="1">IFERROR(IF(AND(ISNUMBER(Lts!$O49), ISNUMBER($L49)), Lts!$O49 + $L49, ""), "")</f>
        <v/>
      </c>
      <c r="Q49" s="47" t="str">
        <f t="shared" ca="1" si="109"/>
        <v/>
      </c>
      <c r="R49" s="46" t="str">
        <f t="shared" ca="1" si="110"/>
        <v/>
      </c>
      <c r="S49" s="141" t="str">
        <f ca="1">IFERROR(IF(AND(ISNUMBER(Futs!$CC49), ISNUMBER($O49)), $O49/12.4 - Futs!$CC49, ""), "")</f>
        <v/>
      </c>
      <c r="T49" s="67" t="str">
        <f ca="1">IFERROR(IF(AND(ISNUMBER(Futs!$CD49), ISNUMBER($P49)), $P49/12.4 - Futs!$CD49, ""), "")</f>
        <v/>
      </c>
      <c r="U49" s="47" t="str">
        <f t="shared" ca="1" si="111"/>
        <v/>
      </c>
      <c r="V49" s="46" t="str">
        <f t="shared" ca="1" si="112"/>
        <v/>
      </c>
      <c r="W49" s="397"/>
      <c r="X49" s="364" t="str">
        <f ca="1">IFERROR(INDEX(ICE[], MATCH("c3tet" &amp; TEXT(NGL!$A49, "mmmyy"), ICE[LongCode], 0), MATCH("Text", ICE[#Headers], 0)), "")</f>
        <v/>
      </c>
      <c r="Y49" s="46" t="str">
        <f t="shared" ca="1" si="93"/>
        <v/>
      </c>
      <c r="Z49" s="47" t="str">
        <f t="shared" si="113"/>
        <v/>
      </c>
      <c r="AA49" s="46" t="str">
        <f t="shared" ca="1" si="114"/>
        <v/>
      </c>
      <c r="AB49" s="141" t="str">
        <f ca="1">IFERROR(IF(AND(ISNUMBER(Futs!$BY49), ISNUMBER($W49)), $W49*42/100 - Futs!$BY49, ""), "")</f>
        <v/>
      </c>
      <c r="AC49" s="67" t="str">
        <f ca="1">IFERROR(IF(AND(ISNUMBER(Futs!$BZ49), ISNUMBER($Y49)), $Y49*42/100 - Futs!$BZ49, ""), "")</f>
        <v/>
      </c>
      <c r="AD49" s="47" t="str">
        <f t="shared" ca="1" si="115"/>
        <v/>
      </c>
      <c r="AE49" s="46" t="str">
        <f t="shared" ca="1" si="116"/>
        <v/>
      </c>
      <c r="AF49" s="141" t="str">
        <f t="shared" ca="1" si="94"/>
        <v/>
      </c>
      <c r="AG49" s="67" t="str">
        <f t="shared" ca="1" si="95"/>
        <v/>
      </c>
      <c r="AH49" s="47" t="str">
        <f t="shared" ca="1" si="117"/>
        <v/>
      </c>
      <c r="AI49" s="46" t="str">
        <f t="shared" ca="1" si="118"/>
        <v/>
      </c>
      <c r="AJ49" s="397"/>
      <c r="AK49" s="364" t="str">
        <f ca="1">IFERROR(INDEX(ICE[], MATCH("c4ntet" &amp; TEXT(NGL!$A49, "mmmyy"), ICE[LongCode], 0), MATCH("Text", ICE[#Headers], 0)), "")</f>
        <v/>
      </c>
      <c r="AL49" s="46" t="str">
        <f t="shared" ca="1" si="96"/>
        <v/>
      </c>
      <c r="AM49" s="47" t="str">
        <f t="shared" si="119"/>
        <v/>
      </c>
      <c r="AN49" s="46" t="str">
        <f t="shared" ca="1" si="120"/>
        <v/>
      </c>
      <c r="AO49" s="141" t="str">
        <f t="shared" si="97"/>
        <v/>
      </c>
      <c r="AP49" s="46" t="str">
        <f t="shared" ca="1" si="98"/>
        <v/>
      </c>
      <c r="AQ49" s="47" t="str">
        <f t="shared" si="121"/>
        <v/>
      </c>
      <c r="AR49" s="46" t="str">
        <f t="shared" ca="1" si="122"/>
        <v/>
      </c>
      <c r="AS49" s="141" t="str">
        <f ca="1">IFERROR(IF(AND(ISNUMBER(Futs!$BY49), ISNUMBER($AJ49)), $AJ49*42/100 - Futs!$BY49, ""), "")</f>
        <v/>
      </c>
      <c r="AT49" s="67" t="str">
        <f ca="1">IFERROR(IF(AND(ISNUMBER(Futs!$BZ49), ISNUMBER($AL49)), $AL49*42/100 - Futs!$BZ49, ""), "")</f>
        <v/>
      </c>
      <c r="AU49" s="47" t="str">
        <f t="shared" ca="1" si="123"/>
        <v/>
      </c>
      <c r="AV49" s="46" t="str">
        <f t="shared" ca="1" si="124"/>
        <v/>
      </c>
      <c r="AW49" s="397"/>
      <c r="AX49" s="364" t="str">
        <f ca="1">IFERROR(INDEX(ICE[], MATCH("ic4ntet" &amp; TEXT(NGL!$A49, "mmmyy"), ICE[LongCode], 0), MATCH("Text", ICE[#Headers], 0)), "")</f>
        <v/>
      </c>
      <c r="AY49" s="46" t="str">
        <f t="shared" ca="1" si="99"/>
        <v/>
      </c>
      <c r="AZ49" s="47" t="str">
        <f t="shared" si="125"/>
        <v/>
      </c>
      <c r="BA49" s="46" t="str">
        <f t="shared" ca="1" si="126"/>
        <v/>
      </c>
      <c r="BB49" s="141" t="str">
        <f t="shared" si="100"/>
        <v/>
      </c>
      <c r="BC49" s="46" t="str">
        <f t="shared" ca="1" si="101"/>
        <v/>
      </c>
      <c r="BD49" s="47" t="str">
        <f t="shared" si="127"/>
        <v/>
      </c>
      <c r="BE49" s="46" t="str">
        <f t="shared" ca="1" si="128"/>
        <v/>
      </c>
      <c r="BF49" s="397"/>
      <c r="BG49" s="364" t="str">
        <f ca="1">IFERROR(INDEX(ICE[], MATCH("ngasntet" &amp; TEXT(NGL!$A49, "mmmyy"), ICE[LongCode], 0), MATCH("Text", ICE[#Headers], 0)), "")</f>
        <v/>
      </c>
      <c r="BH49" s="46" t="str">
        <f t="shared" ca="1" si="102"/>
        <v/>
      </c>
      <c r="BI49" s="47" t="str">
        <f t="shared" si="129"/>
        <v/>
      </c>
      <c r="BJ49" s="46" t="str">
        <f t="shared" ca="1" si="130"/>
        <v/>
      </c>
      <c r="BK49" s="141" t="str">
        <f ca="1">IFERROR(IF(AND(ISNUMBER(Futs!$BY49), ISNUMBER($BF49)), $BF49*42/100 - Futs!$BY49, ""), "")</f>
        <v/>
      </c>
      <c r="BL49" s="67" t="str">
        <f ca="1">IFERROR(IF(AND(ISNUMBER(Futs!$BZ49), ISNUMBER($BH49)), $BH49*42/100 - Futs!$BZ49, ""), "")</f>
        <v/>
      </c>
      <c r="BM49" s="47" t="str">
        <f t="shared" ca="1" si="131"/>
        <v/>
      </c>
      <c r="BN49" s="111" t="str">
        <f t="shared" ca="1" si="132"/>
        <v/>
      </c>
      <c r="BO49" s="397"/>
      <c r="BP49" s="364" t="str">
        <f ca="1">IFERROR(INDEX(ICE[], MATCH("c3ew" &amp; TEXT(NGL!$A49, "mmmyy"), ICE[LongCode], 0), MATCH("Text", ICE[#Headers], 0)), "")</f>
        <v/>
      </c>
      <c r="BQ49" s="46" t="str">
        <f t="shared" ca="1" si="103"/>
        <v/>
      </c>
      <c r="BR49" s="47" t="str">
        <f t="shared" si="133"/>
        <v/>
      </c>
      <c r="BS49" s="46" t="str">
        <f t="shared" ca="1" si="134"/>
        <v/>
      </c>
      <c r="BT49" s="141" t="str">
        <f t="shared" ca="1" si="104"/>
        <v/>
      </c>
      <c r="BU49" s="46" t="str">
        <f t="shared" ca="1" si="105"/>
        <v/>
      </c>
      <c r="BV49" s="47" t="str">
        <f t="shared" ca="1" si="135"/>
        <v/>
      </c>
      <c r="BW49" s="46" t="str">
        <f t="shared" ca="1" si="136"/>
        <v/>
      </c>
      <c r="BX49" s="141" t="str">
        <f ca="1">IFERROR(IF(AND(ISNUMBER(Futs!$CC49), ISNUMBER($BT49)), $BT49/12.4 - Futs!$CC49, ""), "")</f>
        <v/>
      </c>
      <c r="BY49" s="67" t="str">
        <f t="shared" ca="1" si="106"/>
        <v/>
      </c>
      <c r="BZ49" s="47" t="str">
        <f t="shared" ca="1" si="137"/>
        <v/>
      </c>
      <c r="CA49" s="46" t="str">
        <f t="shared" ca="1" si="138"/>
        <v/>
      </c>
    </row>
    <row r="50" spans="1:79" x14ac:dyDescent="0.25">
      <c r="A50" s="58">
        <f t="shared" ca="1" si="107"/>
        <v>47209</v>
      </c>
      <c r="B50" s="6">
        <f t="shared" ca="1" si="89"/>
        <v>2029</v>
      </c>
      <c r="C50" s="6" t="str">
        <f t="shared" ca="1" si="91"/>
        <v>Q229</v>
      </c>
      <c r="D50" s="28" t="e">
        <f ca="1">INDEX(ICE[], MATCH(D$18 &amp; TEXT(NGL!$A50, "mmmyy"), ICE[LongCode], 0), MATCH("Settle", ICE[#Headers], 0))</f>
        <v>#N/A</v>
      </c>
      <c r="E50" s="28" t="e">
        <f ca="1">INDEX(ICE[], MATCH(E$18 &amp; TEXT(NGL!$A50, "mmmyy"), ICE[LongCode], 0), MATCH("Settle", ICE[#Headers], 0))*100</f>
        <v>#N/A</v>
      </c>
      <c r="F50" s="28" t="e">
        <f ca="1">INDEX(ICE[], MATCH(F$18 &amp; TEXT(NGL!$A50, "mmmyy"), ICE[LongCode], 0), MATCH("Settle", ICE[#Headers], 0))*100</f>
        <v>#N/A</v>
      </c>
      <c r="G50" s="28" t="e">
        <f ca="1">INDEX(ICE[], MATCH(G$18 &amp; TEXT(NGL!$A50, "mmmyy"), ICE[LongCode], 0), MATCH("Settle", ICE[#Headers], 0))*100</f>
        <v>#N/A</v>
      </c>
      <c r="H50" s="28" t="e">
        <f ca="1">INDEX(ICE[], MATCH(H$18 &amp; TEXT(NGL!$A50, "mmmyy"), ICE[LongCode], 0), MATCH("Settle", ICE[#Headers], 0))*100</f>
        <v>#N/A</v>
      </c>
      <c r="I50" s="28" t="e">
        <f ca="1">INDEX(ICE[], MATCH(I$18 &amp; TEXT(NGL!$A50, "mmmyy"), ICE[LongCode], 0), MATCH("Settle", ICE[#Headers], 0))</f>
        <v>#N/A</v>
      </c>
      <c r="J50" s="397"/>
      <c r="K50" s="364" t="str">
        <f ca="1">IFERROR(INDEX(ICE[], MATCH("propnap" &amp; TEXT(NGL!$A50, "mmmyy"), ICE[LongCode], 0), MATCH("Text", ICE[#Headers], 0)), "")</f>
        <v/>
      </c>
      <c r="L50" s="46" t="str">
        <f t="shared" ca="1" si="90"/>
        <v/>
      </c>
      <c r="M50" s="47" t="str">
        <f t="shared" si="92"/>
        <v/>
      </c>
      <c r="N50" s="46" t="str">
        <f t="shared" ca="1" si="108"/>
        <v/>
      </c>
      <c r="O50" s="141" t="str">
        <f ca="1">IFERROR(IF(AND(ISNUMBER(Lts!$N50), ISNUMBER($J50)), Lts!$N50 + $J50, ""), "")</f>
        <v/>
      </c>
      <c r="P50" s="46" t="str">
        <f ca="1">IFERROR(IF(AND(ISNUMBER(Lts!$O50), ISNUMBER($L50)), Lts!$O50 + $L50, ""), "")</f>
        <v/>
      </c>
      <c r="Q50" s="47" t="str">
        <f t="shared" ca="1" si="109"/>
        <v/>
      </c>
      <c r="R50" s="46" t="str">
        <f t="shared" ca="1" si="110"/>
        <v/>
      </c>
      <c r="S50" s="141" t="str">
        <f ca="1">IFERROR(IF(AND(ISNUMBER(Futs!$CC50), ISNUMBER($O50)), $O50/12.4 - Futs!$CC50, ""), "")</f>
        <v/>
      </c>
      <c r="T50" s="67" t="str">
        <f ca="1">IFERROR(IF(AND(ISNUMBER(Futs!$CD50), ISNUMBER($P50)), $P50/12.4 - Futs!$CD50, ""), "")</f>
        <v/>
      </c>
      <c r="U50" s="47" t="str">
        <f t="shared" ca="1" si="111"/>
        <v/>
      </c>
      <c r="V50" s="46" t="str">
        <f t="shared" ca="1" si="112"/>
        <v/>
      </c>
      <c r="W50" s="397"/>
      <c r="X50" s="364" t="str">
        <f ca="1">IFERROR(INDEX(ICE[], MATCH("c3tet" &amp; TEXT(NGL!$A50, "mmmyy"), ICE[LongCode], 0), MATCH("Text", ICE[#Headers], 0)), "")</f>
        <v/>
      </c>
      <c r="Y50" s="46" t="str">
        <f t="shared" ca="1" si="93"/>
        <v/>
      </c>
      <c r="Z50" s="47" t="str">
        <f t="shared" si="113"/>
        <v/>
      </c>
      <c r="AA50" s="46" t="str">
        <f t="shared" ca="1" si="114"/>
        <v/>
      </c>
      <c r="AB50" s="141" t="str">
        <f ca="1">IFERROR(IF(AND(ISNUMBER(Futs!$BY50), ISNUMBER($W50)), $W50*42/100 - Futs!$BY50, ""), "")</f>
        <v/>
      </c>
      <c r="AC50" s="67" t="str">
        <f ca="1">IFERROR(IF(AND(ISNUMBER(Futs!$BZ50), ISNUMBER($Y50)), $Y50*42/100 - Futs!$BZ50, ""), "")</f>
        <v/>
      </c>
      <c r="AD50" s="47" t="str">
        <f t="shared" ca="1" si="115"/>
        <v/>
      </c>
      <c r="AE50" s="46" t="str">
        <f t="shared" ca="1" si="116"/>
        <v/>
      </c>
      <c r="AF50" s="141" t="str">
        <f t="shared" ca="1" si="94"/>
        <v/>
      </c>
      <c r="AG50" s="67" t="str">
        <f t="shared" ca="1" si="95"/>
        <v/>
      </c>
      <c r="AH50" s="47" t="str">
        <f t="shared" ca="1" si="117"/>
        <v/>
      </c>
      <c r="AI50" s="46" t="str">
        <f t="shared" ca="1" si="118"/>
        <v/>
      </c>
      <c r="AJ50" s="397"/>
      <c r="AK50" s="364" t="str">
        <f ca="1">IFERROR(INDEX(ICE[], MATCH("c4ntet" &amp; TEXT(NGL!$A50, "mmmyy"), ICE[LongCode], 0), MATCH("Text", ICE[#Headers], 0)), "")</f>
        <v/>
      </c>
      <c r="AL50" s="46" t="str">
        <f t="shared" ca="1" si="96"/>
        <v/>
      </c>
      <c r="AM50" s="47" t="str">
        <f t="shared" si="119"/>
        <v/>
      </c>
      <c r="AN50" s="46" t="str">
        <f t="shared" ca="1" si="120"/>
        <v/>
      </c>
      <c r="AO50" s="141" t="str">
        <f t="shared" si="97"/>
        <v/>
      </c>
      <c r="AP50" s="46" t="str">
        <f t="shared" ca="1" si="98"/>
        <v/>
      </c>
      <c r="AQ50" s="47" t="str">
        <f t="shared" si="121"/>
        <v/>
      </c>
      <c r="AR50" s="46" t="str">
        <f t="shared" ca="1" si="122"/>
        <v/>
      </c>
      <c r="AS50" s="141" t="str">
        <f ca="1">IFERROR(IF(AND(ISNUMBER(Futs!$BY50), ISNUMBER($AJ50)), $AJ50*42/100 - Futs!$BY50, ""), "")</f>
        <v/>
      </c>
      <c r="AT50" s="67" t="str">
        <f ca="1">IFERROR(IF(AND(ISNUMBER(Futs!$BZ50), ISNUMBER($AL50)), $AL50*42/100 - Futs!$BZ50, ""), "")</f>
        <v/>
      </c>
      <c r="AU50" s="47" t="str">
        <f t="shared" ca="1" si="123"/>
        <v/>
      </c>
      <c r="AV50" s="46" t="str">
        <f t="shared" ca="1" si="124"/>
        <v/>
      </c>
      <c r="AW50" s="397"/>
      <c r="AX50" s="364" t="str">
        <f ca="1">IFERROR(INDEX(ICE[], MATCH("ic4ntet" &amp; TEXT(NGL!$A50, "mmmyy"), ICE[LongCode], 0), MATCH("Text", ICE[#Headers], 0)), "")</f>
        <v/>
      </c>
      <c r="AY50" s="46" t="str">
        <f t="shared" ca="1" si="99"/>
        <v/>
      </c>
      <c r="AZ50" s="47" t="str">
        <f t="shared" si="125"/>
        <v/>
      </c>
      <c r="BA50" s="46" t="str">
        <f t="shared" ca="1" si="126"/>
        <v/>
      </c>
      <c r="BB50" s="141" t="str">
        <f t="shared" si="100"/>
        <v/>
      </c>
      <c r="BC50" s="46" t="str">
        <f t="shared" ca="1" si="101"/>
        <v/>
      </c>
      <c r="BD50" s="47" t="str">
        <f t="shared" si="127"/>
        <v/>
      </c>
      <c r="BE50" s="46" t="str">
        <f t="shared" ca="1" si="128"/>
        <v/>
      </c>
      <c r="BF50" s="397"/>
      <c r="BG50" s="364" t="str">
        <f ca="1">IFERROR(INDEX(ICE[], MATCH("ngasntet" &amp; TEXT(NGL!$A50, "mmmyy"), ICE[LongCode], 0), MATCH("Text", ICE[#Headers], 0)), "")</f>
        <v/>
      </c>
      <c r="BH50" s="46" t="str">
        <f t="shared" ca="1" si="102"/>
        <v/>
      </c>
      <c r="BI50" s="47" t="str">
        <f t="shared" si="129"/>
        <v/>
      </c>
      <c r="BJ50" s="46" t="str">
        <f t="shared" ca="1" si="130"/>
        <v/>
      </c>
      <c r="BK50" s="141" t="str">
        <f ca="1">IFERROR(IF(AND(ISNUMBER(Futs!$BY50), ISNUMBER($BF50)), $BF50*42/100 - Futs!$BY50, ""), "")</f>
        <v/>
      </c>
      <c r="BL50" s="67" t="str">
        <f ca="1">IFERROR(IF(AND(ISNUMBER(Futs!$BZ50), ISNUMBER($BH50)), $BH50*42/100 - Futs!$BZ50, ""), "")</f>
        <v/>
      </c>
      <c r="BM50" s="47" t="str">
        <f t="shared" ca="1" si="131"/>
        <v/>
      </c>
      <c r="BN50" s="111" t="str">
        <f t="shared" ca="1" si="132"/>
        <v/>
      </c>
      <c r="BO50" s="397"/>
      <c r="BP50" s="364" t="str">
        <f ca="1">IFERROR(INDEX(ICE[], MATCH("c3ew" &amp; TEXT(NGL!$A50, "mmmyy"), ICE[LongCode], 0), MATCH("Text", ICE[#Headers], 0)), "")</f>
        <v/>
      </c>
      <c r="BQ50" s="46" t="str">
        <f t="shared" ca="1" si="103"/>
        <v/>
      </c>
      <c r="BR50" s="47" t="str">
        <f t="shared" si="133"/>
        <v/>
      </c>
      <c r="BS50" s="46" t="str">
        <f t="shared" ca="1" si="134"/>
        <v/>
      </c>
      <c r="BT50" s="141" t="str">
        <f t="shared" ca="1" si="104"/>
        <v/>
      </c>
      <c r="BU50" s="46" t="str">
        <f t="shared" ca="1" si="105"/>
        <v/>
      </c>
      <c r="BV50" s="47" t="str">
        <f t="shared" ca="1" si="135"/>
        <v/>
      </c>
      <c r="BW50" s="46" t="str">
        <f t="shared" ca="1" si="136"/>
        <v/>
      </c>
      <c r="BX50" s="141" t="str">
        <f ca="1">IFERROR(IF(AND(ISNUMBER(Futs!$CC50), ISNUMBER($BT50)), $BT50/12.4 - Futs!$CC50, ""), "")</f>
        <v/>
      </c>
      <c r="BY50" s="67" t="str">
        <f t="shared" ca="1" si="106"/>
        <v/>
      </c>
      <c r="BZ50" s="47" t="str">
        <f t="shared" ca="1" si="137"/>
        <v/>
      </c>
      <c r="CA50" s="46" t="str">
        <f t="shared" ca="1" si="138"/>
        <v/>
      </c>
    </row>
    <row r="51" spans="1:79" x14ac:dyDescent="0.25">
      <c r="A51" s="58">
        <f t="shared" ca="1" si="107"/>
        <v>47239</v>
      </c>
      <c r="B51" s="6">
        <f t="shared" ca="1" si="89"/>
        <v>2029</v>
      </c>
      <c r="C51" s="6" t="str">
        <f t="shared" ca="1" si="91"/>
        <v>Q229</v>
      </c>
      <c r="D51" s="28" t="e">
        <f ca="1">INDEX(ICE[], MATCH(D$18 &amp; TEXT(NGL!$A51, "mmmyy"), ICE[LongCode], 0), MATCH("Settle", ICE[#Headers], 0))</f>
        <v>#N/A</v>
      </c>
      <c r="E51" s="28" t="e">
        <f ca="1">INDEX(ICE[], MATCH(E$18 &amp; TEXT(NGL!$A51, "mmmyy"), ICE[LongCode], 0), MATCH("Settle", ICE[#Headers], 0))*100</f>
        <v>#N/A</v>
      </c>
      <c r="F51" s="28" t="e">
        <f ca="1">INDEX(ICE[], MATCH(F$18 &amp; TEXT(NGL!$A51, "mmmyy"), ICE[LongCode], 0), MATCH("Settle", ICE[#Headers], 0))*100</f>
        <v>#N/A</v>
      </c>
      <c r="G51" s="28" t="e">
        <f ca="1">INDEX(ICE[], MATCH(G$18 &amp; TEXT(NGL!$A51, "mmmyy"), ICE[LongCode], 0), MATCH("Settle", ICE[#Headers], 0))*100</f>
        <v>#N/A</v>
      </c>
      <c r="H51" s="28" t="e">
        <f ca="1">INDEX(ICE[], MATCH(H$18 &amp; TEXT(NGL!$A51, "mmmyy"), ICE[LongCode], 0), MATCH("Settle", ICE[#Headers], 0))*100</f>
        <v>#N/A</v>
      </c>
      <c r="I51" s="28" t="e">
        <f ca="1">INDEX(ICE[], MATCH(I$18 &amp; TEXT(NGL!$A51, "mmmyy"), ICE[LongCode], 0), MATCH("Settle", ICE[#Headers], 0))</f>
        <v>#N/A</v>
      </c>
      <c r="J51" s="397"/>
      <c r="K51" s="364" t="str">
        <f ca="1">IFERROR(INDEX(ICE[], MATCH("propnap" &amp; TEXT(NGL!$A51, "mmmyy"), ICE[LongCode], 0), MATCH("Text", ICE[#Headers], 0)), "")</f>
        <v/>
      </c>
      <c r="L51" s="46" t="str">
        <f t="shared" ca="1" si="90"/>
        <v/>
      </c>
      <c r="M51" s="47" t="str">
        <f t="shared" si="92"/>
        <v/>
      </c>
      <c r="N51" s="46" t="str">
        <f t="shared" ca="1" si="108"/>
        <v/>
      </c>
      <c r="O51" s="141" t="str">
        <f ca="1">IFERROR(IF(AND(ISNUMBER(Lts!$N51), ISNUMBER($J51)), Lts!$N51 + $J51, ""), "")</f>
        <v/>
      </c>
      <c r="P51" s="46" t="str">
        <f ca="1">IFERROR(IF(AND(ISNUMBER(Lts!$O51), ISNUMBER($L51)), Lts!$O51 + $L51, ""), "")</f>
        <v/>
      </c>
      <c r="Q51" s="47" t="str">
        <f t="shared" ca="1" si="109"/>
        <v/>
      </c>
      <c r="R51" s="46" t="str">
        <f t="shared" ca="1" si="110"/>
        <v/>
      </c>
      <c r="S51" s="141" t="str">
        <f ca="1">IFERROR(IF(AND(ISNUMBER(Futs!$CC51), ISNUMBER($O51)), $O51/12.4 - Futs!$CC51, ""), "")</f>
        <v/>
      </c>
      <c r="T51" s="67" t="str">
        <f ca="1">IFERROR(IF(AND(ISNUMBER(Futs!$CD51), ISNUMBER($P51)), $P51/12.4 - Futs!$CD51, ""), "")</f>
        <v/>
      </c>
      <c r="U51" s="47" t="str">
        <f t="shared" ca="1" si="111"/>
        <v/>
      </c>
      <c r="V51" s="46" t="str">
        <f t="shared" ca="1" si="112"/>
        <v/>
      </c>
      <c r="W51" s="397"/>
      <c r="X51" s="364" t="str">
        <f ca="1">IFERROR(INDEX(ICE[], MATCH("c3tet" &amp; TEXT(NGL!$A51, "mmmyy"), ICE[LongCode], 0), MATCH("Text", ICE[#Headers], 0)), "")</f>
        <v/>
      </c>
      <c r="Y51" s="46" t="str">
        <f t="shared" ca="1" si="93"/>
        <v/>
      </c>
      <c r="Z51" s="47" t="str">
        <f t="shared" si="113"/>
        <v/>
      </c>
      <c r="AA51" s="46" t="str">
        <f t="shared" ca="1" si="114"/>
        <v/>
      </c>
      <c r="AB51" s="141" t="str">
        <f ca="1">IFERROR(IF(AND(ISNUMBER(Futs!$BY51), ISNUMBER($W51)), $W51*42/100 - Futs!$BY51, ""), "")</f>
        <v/>
      </c>
      <c r="AC51" s="67" t="str">
        <f ca="1">IFERROR(IF(AND(ISNUMBER(Futs!$BZ51), ISNUMBER($Y51)), $Y51*42/100 - Futs!$BZ51, ""), "")</f>
        <v/>
      </c>
      <c r="AD51" s="47" t="str">
        <f t="shared" ca="1" si="115"/>
        <v/>
      </c>
      <c r="AE51" s="46" t="str">
        <f t="shared" ca="1" si="116"/>
        <v/>
      </c>
      <c r="AF51" s="141" t="str">
        <f t="shared" ca="1" si="94"/>
        <v/>
      </c>
      <c r="AG51" s="67" t="str">
        <f t="shared" ca="1" si="95"/>
        <v/>
      </c>
      <c r="AH51" s="47" t="str">
        <f t="shared" ca="1" si="117"/>
        <v/>
      </c>
      <c r="AI51" s="46" t="str">
        <f t="shared" ca="1" si="118"/>
        <v/>
      </c>
      <c r="AJ51" s="397"/>
      <c r="AK51" s="364" t="str">
        <f ca="1">IFERROR(INDEX(ICE[], MATCH("c4ntet" &amp; TEXT(NGL!$A51, "mmmyy"), ICE[LongCode], 0), MATCH("Text", ICE[#Headers], 0)), "")</f>
        <v/>
      </c>
      <c r="AL51" s="46" t="str">
        <f t="shared" ca="1" si="96"/>
        <v/>
      </c>
      <c r="AM51" s="47" t="str">
        <f t="shared" si="119"/>
        <v/>
      </c>
      <c r="AN51" s="46" t="str">
        <f t="shared" ca="1" si="120"/>
        <v/>
      </c>
      <c r="AO51" s="141" t="str">
        <f t="shared" si="97"/>
        <v/>
      </c>
      <c r="AP51" s="46" t="str">
        <f t="shared" ca="1" si="98"/>
        <v/>
      </c>
      <c r="AQ51" s="47" t="str">
        <f t="shared" si="121"/>
        <v/>
      </c>
      <c r="AR51" s="46" t="str">
        <f t="shared" ca="1" si="122"/>
        <v/>
      </c>
      <c r="AS51" s="141" t="str">
        <f ca="1">IFERROR(IF(AND(ISNUMBER(Futs!$BY51), ISNUMBER($AJ51)), $AJ51*42/100 - Futs!$BY51, ""), "")</f>
        <v/>
      </c>
      <c r="AT51" s="67" t="str">
        <f ca="1">IFERROR(IF(AND(ISNUMBER(Futs!$BZ51), ISNUMBER($AL51)), $AL51*42/100 - Futs!$BZ51, ""), "")</f>
        <v/>
      </c>
      <c r="AU51" s="47" t="str">
        <f t="shared" ca="1" si="123"/>
        <v/>
      </c>
      <c r="AV51" s="46" t="str">
        <f t="shared" ca="1" si="124"/>
        <v/>
      </c>
      <c r="AW51" s="397"/>
      <c r="AX51" s="364" t="str">
        <f ca="1">IFERROR(INDEX(ICE[], MATCH("ic4ntet" &amp; TEXT(NGL!$A51, "mmmyy"), ICE[LongCode], 0), MATCH("Text", ICE[#Headers], 0)), "")</f>
        <v/>
      </c>
      <c r="AY51" s="46" t="str">
        <f t="shared" ca="1" si="99"/>
        <v/>
      </c>
      <c r="AZ51" s="47" t="str">
        <f t="shared" si="125"/>
        <v/>
      </c>
      <c r="BA51" s="46" t="str">
        <f t="shared" ca="1" si="126"/>
        <v/>
      </c>
      <c r="BB51" s="141" t="str">
        <f t="shared" si="100"/>
        <v/>
      </c>
      <c r="BC51" s="46" t="str">
        <f t="shared" ca="1" si="101"/>
        <v/>
      </c>
      <c r="BD51" s="47" t="str">
        <f t="shared" si="127"/>
        <v/>
      </c>
      <c r="BE51" s="46" t="str">
        <f t="shared" ca="1" si="128"/>
        <v/>
      </c>
      <c r="BF51" s="397"/>
      <c r="BG51" s="364" t="str">
        <f ca="1">IFERROR(INDEX(ICE[], MATCH("ngasntet" &amp; TEXT(NGL!$A51, "mmmyy"), ICE[LongCode], 0), MATCH("Text", ICE[#Headers], 0)), "")</f>
        <v/>
      </c>
      <c r="BH51" s="46" t="str">
        <f t="shared" ca="1" si="102"/>
        <v/>
      </c>
      <c r="BI51" s="47" t="str">
        <f t="shared" si="129"/>
        <v/>
      </c>
      <c r="BJ51" s="46" t="str">
        <f t="shared" ca="1" si="130"/>
        <v/>
      </c>
      <c r="BK51" s="141" t="str">
        <f ca="1">IFERROR(IF(AND(ISNUMBER(Futs!$BY51), ISNUMBER($BF51)), $BF51*42/100 - Futs!$BY51, ""), "")</f>
        <v/>
      </c>
      <c r="BL51" s="67" t="str">
        <f ca="1">IFERROR(IF(AND(ISNUMBER(Futs!$BZ51), ISNUMBER($BH51)), $BH51*42/100 - Futs!$BZ51, ""), "")</f>
        <v/>
      </c>
      <c r="BM51" s="47" t="str">
        <f t="shared" ca="1" si="131"/>
        <v/>
      </c>
      <c r="BN51" s="111" t="str">
        <f t="shared" ca="1" si="132"/>
        <v/>
      </c>
      <c r="BO51" s="397"/>
      <c r="BP51" s="364" t="str">
        <f ca="1">IFERROR(INDEX(ICE[], MATCH("c3ew" &amp; TEXT(NGL!$A51, "mmmyy"), ICE[LongCode], 0), MATCH("Text", ICE[#Headers], 0)), "")</f>
        <v/>
      </c>
      <c r="BQ51" s="46" t="str">
        <f t="shared" ca="1" si="103"/>
        <v/>
      </c>
      <c r="BR51" s="47" t="str">
        <f t="shared" si="133"/>
        <v/>
      </c>
      <c r="BS51" s="46" t="str">
        <f t="shared" ca="1" si="134"/>
        <v/>
      </c>
      <c r="BT51" s="141" t="str">
        <f t="shared" ca="1" si="104"/>
        <v/>
      </c>
      <c r="BU51" s="46" t="str">
        <f t="shared" ca="1" si="105"/>
        <v/>
      </c>
      <c r="BV51" s="47" t="str">
        <f t="shared" ca="1" si="135"/>
        <v/>
      </c>
      <c r="BW51" s="46" t="str">
        <f t="shared" ca="1" si="136"/>
        <v/>
      </c>
      <c r="BX51" s="141" t="str">
        <f ca="1">IFERROR(IF(AND(ISNUMBER(Futs!$CC51), ISNUMBER($BT51)), $BT51/12.4 - Futs!$CC51, ""), "")</f>
        <v/>
      </c>
      <c r="BY51" s="67" t="str">
        <f t="shared" ca="1" si="106"/>
        <v/>
      </c>
      <c r="BZ51" s="47" t="str">
        <f t="shared" ca="1" si="137"/>
        <v/>
      </c>
      <c r="CA51" s="46" t="str">
        <f t="shared" ca="1" si="138"/>
        <v/>
      </c>
    </row>
    <row r="52" spans="1:79" x14ac:dyDescent="0.25">
      <c r="A52" s="58">
        <f t="shared" ca="1" si="107"/>
        <v>47270</v>
      </c>
      <c r="B52" s="6">
        <f t="shared" ca="1" si="89"/>
        <v>2029</v>
      </c>
      <c r="C52" s="6" t="str">
        <f t="shared" ca="1" si="91"/>
        <v>Q229</v>
      </c>
      <c r="D52" s="28" t="e">
        <f ca="1">INDEX(ICE[], MATCH(D$18 &amp; TEXT(NGL!$A52, "mmmyy"), ICE[LongCode], 0), MATCH("Settle", ICE[#Headers], 0))</f>
        <v>#N/A</v>
      </c>
      <c r="E52" s="28" t="e">
        <f ca="1">INDEX(ICE[], MATCH(E$18 &amp; TEXT(NGL!$A52, "mmmyy"), ICE[LongCode], 0), MATCH("Settle", ICE[#Headers], 0))*100</f>
        <v>#N/A</v>
      </c>
      <c r="F52" s="28" t="e">
        <f ca="1">INDEX(ICE[], MATCH(F$18 &amp; TEXT(NGL!$A52, "mmmyy"), ICE[LongCode], 0), MATCH("Settle", ICE[#Headers], 0))*100</f>
        <v>#N/A</v>
      </c>
      <c r="G52" s="28" t="e">
        <f ca="1">INDEX(ICE[], MATCH(G$18 &amp; TEXT(NGL!$A52, "mmmyy"), ICE[LongCode], 0), MATCH("Settle", ICE[#Headers], 0))*100</f>
        <v>#N/A</v>
      </c>
      <c r="H52" s="28" t="e">
        <f ca="1">INDEX(ICE[], MATCH(H$18 &amp; TEXT(NGL!$A52, "mmmyy"), ICE[LongCode], 0), MATCH("Settle", ICE[#Headers], 0))*100</f>
        <v>#N/A</v>
      </c>
      <c r="I52" s="28" t="e">
        <f ca="1">INDEX(ICE[], MATCH(I$18 &amp; TEXT(NGL!$A52, "mmmyy"), ICE[LongCode], 0), MATCH("Settle", ICE[#Headers], 0))</f>
        <v>#N/A</v>
      </c>
      <c r="J52" s="397"/>
      <c r="K52" s="364" t="str">
        <f ca="1">IFERROR(INDEX(ICE[], MATCH("propnap" &amp; TEXT(NGL!$A52, "mmmyy"), ICE[LongCode], 0), MATCH("Text", ICE[#Headers], 0)), "")</f>
        <v/>
      </c>
      <c r="L52" s="46" t="str">
        <f t="shared" ca="1" si="90"/>
        <v/>
      </c>
      <c r="M52" s="47" t="str">
        <f t="shared" si="92"/>
        <v/>
      </c>
      <c r="N52" s="46" t="str">
        <f t="shared" ca="1" si="108"/>
        <v/>
      </c>
      <c r="O52" s="141" t="str">
        <f ca="1">IFERROR(IF(AND(ISNUMBER(Lts!$N52), ISNUMBER($J52)), Lts!$N52 + $J52, ""), "")</f>
        <v/>
      </c>
      <c r="P52" s="46" t="str">
        <f ca="1">IFERROR(IF(AND(ISNUMBER(Lts!$O52), ISNUMBER($L52)), Lts!$O52 + $L52, ""), "")</f>
        <v/>
      </c>
      <c r="Q52" s="47" t="str">
        <f t="shared" ca="1" si="109"/>
        <v/>
      </c>
      <c r="R52" s="46" t="str">
        <f t="shared" ca="1" si="110"/>
        <v/>
      </c>
      <c r="S52" s="141" t="str">
        <f ca="1">IFERROR(IF(AND(ISNUMBER(Futs!$CC52), ISNUMBER($O52)), $O52/12.4 - Futs!$CC52, ""), "")</f>
        <v/>
      </c>
      <c r="T52" s="67" t="str">
        <f ca="1">IFERROR(IF(AND(ISNUMBER(Futs!$CD52), ISNUMBER($P52)), $P52/12.4 - Futs!$CD52, ""), "")</f>
        <v/>
      </c>
      <c r="U52" s="47" t="str">
        <f t="shared" ca="1" si="111"/>
        <v/>
      </c>
      <c r="V52" s="46" t="str">
        <f t="shared" ca="1" si="112"/>
        <v/>
      </c>
      <c r="W52" s="397"/>
      <c r="X52" s="364" t="str">
        <f ca="1">IFERROR(INDEX(ICE[], MATCH("c3tet" &amp; TEXT(NGL!$A52, "mmmyy"), ICE[LongCode], 0), MATCH("Text", ICE[#Headers], 0)), "")</f>
        <v/>
      </c>
      <c r="Y52" s="46" t="str">
        <f t="shared" ca="1" si="93"/>
        <v/>
      </c>
      <c r="Z52" s="47" t="str">
        <f t="shared" si="113"/>
        <v/>
      </c>
      <c r="AA52" s="46" t="str">
        <f t="shared" ca="1" si="114"/>
        <v/>
      </c>
      <c r="AB52" s="141" t="str">
        <f ca="1">IFERROR(IF(AND(ISNUMBER(Futs!$BY52), ISNUMBER($W52)), $W52*42/100 - Futs!$BY52, ""), "")</f>
        <v/>
      </c>
      <c r="AC52" s="67" t="str">
        <f ca="1">IFERROR(IF(AND(ISNUMBER(Futs!$BZ52), ISNUMBER($Y52)), $Y52*42/100 - Futs!$BZ52, ""), "")</f>
        <v/>
      </c>
      <c r="AD52" s="47" t="str">
        <f t="shared" ca="1" si="115"/>
        <v/>
      </c>
      <c r="AE52" s="46" t="str">
        <f t="shared" ca="1" si="116"/>
        <v/>
      </c>
      <c r="AF52" s="141" t="str">
        <f t="shared" ca="1" si="94"/>
        <v/>
      </c>
      <c r="AG52" s="67" t="str">
        <f t="shared" ca="1" si="95"/>
        <v/>
      </c>
      <c r="AH52" s="47" t="str">
        <f t="shared" ca="1" si="117"/>
        <v/>
      </c>
      <c r="AI52" s="46" t="str">
        <f t="shared" ca="1" si="118"/>
        <v/>
      </c>
      <c r="AJ52" s="397"/>
      <c r="AK52" s="364" t="str">
        <f ca="1">IFERROR(INDEX(ICE[], MATCH("c4ntet" &amp; TEXT(NGL!$A52, "mmmyy"), ICE[LongCode], 0), MATCH("Text", ICE[#Headers], 0)), "")</f>
        <v/>
      </c>
      <c r="AL52" s="46" t="str">
        <f t="shared" ca="1" si="96"/>
        <v/>
      </c>
      <c r="AM52" s="47" t="str">
        <f t="shared" si="119"/>
        <v/>
      </c>
      <c r="AN52" s="46" t="str">
        <f t="shared" ca="1" si="120"/>
        <v/>
      </c>
      <c r="AO52" s="141" t="str">
        <f t="shared" si="97"/>
        <v/>
      </c>
      <c r="AP52" s="46" t="str">
        <f t="shared" ca="1" si="98"/>
        <v/>
      </c>
      <c r="AQ52" s="47" t="str">
        <f t="shared" si="121"/>
        <v/>
      </c>
      <c r="AR52" s="46" t="str">
        <f t="shared" ca="1" si="122"/>
        <v/>
      </c>
      <c r="AS52" s="141" t="str">
        <f ca="1">IFERROR(IF(AND(ISNUMBER(Futs!$BY52), ISNUMBER($AJ52)), $AJ52*42/100 - Futs!$BY52, ""), "")</f>
        <v/>
      </c>
      <c r="AT52" s="67" t="str">
        <f ca="1">IFERROR(IF(AND(ISNUMBER(Futs!$BZ52), ISNUMBER($AL52)), $AL52*42/100 - Futs!$BZ52, ""), "")</f>
        <v/>
      </c>
      <c r="AU52" s="47" t="str">
        <f t="shared" ca="1" si="123"/>
        <v/>
      </c>
      <c r="AV52" s="46" t="str">
        <f t="shared" ca="1" si="124"/>
        <v/>
      </c>
      <c r="AW52" s="397"/>
      <c r="AX52" s="364" t="str">
        <f ca="1">IFERROR(INDEX(ICE[], MATCH("ic4ntet" &amp; TEXT(NGL!$A52, "mmmyy"), ICE[LongCode], 0), MATCH("Text", ICE[#Headers], 0)), "")</f>
        <v/>
      </c>
      <c r="AY52" s="46" t="str">
        <f t="shared" ca="1" si="99"/>
        <v/>
      </c>
      <c r="AZ52" s="47" t="str">
        <f t="shared" si="125"/>
        <v/>
      </c>
      <c r="BA52" s="46" t="str">
        <f t="shared" ca="1" si="126"/>
        <v/>
      </c>
      <c r="BB52" s="141" t="str">
        <f t="shared" si="100"/>
        <v/>
      </c>
      <c r="BC52" s="46" t="str">
        <f t="shared" ca="1" si="101"/>
        <v/>
      </c>
      <c r="BD52" s="47" t="str">
        <f t="shared" si="127"/>
        <v/>
      </c>
      <c r="BE52" s="46" t="str">
        <f t="shared" ca="1" si="128"/>
        <v/>
      </c>
      <c r="BF52" s="397"/>
      <c r="BG52" s="364" t="str">
        <f ca="1">IFERROR(INDEX(ICE[], MATCH("ngasntet" &amp; TEXT(NGL!$A52, "mmmyy"), ICE[LongCode], 0), MATCH("Text", ICE[#Headers], 0)), "")</f>
        <v/>
      </c>
      <c r="BH52" s="46" t="str">
        <f t="shared" ca="1" si="102"/>
        <v/>
      </c>
      <c r="BI52" s="47" t="str">
        <f t="shared" si="129"/>
        <v/>
      </c>
      <c r="BJ52" s="46" t="str">
        <f t="shared" ca="1" si="130"/>
        <v/>
      </c>
      <c r="BK52" s="141" t="str">
        <f ca="1">IFERROR(IF(AND(ISNUMBER(Futs!$BY52), ISNUMBER($BF52)), $BF52*42/100 - Futs!$BY52, ""), "")</f>
        <v/>
      </c>
      <c r="BL52" s="67" t="str">
        <f ca="1">IFERROR(IF(AND(ISNUMBER(Futs!$BZ52), ISNUMBER($BH52)), $BH52*42/100 - Futs!$BZ52, ""), "")</f>
        <v/>
      </c>
      <c r="BM52" s="47" t="str">
        <f t="shared" ca="1" si="131"/>
        <v/>
      </c>
      <c r="BN52" s="111" t="str">
        <f t="shared" ca="1" si="132"/>
        <v/>
      </c>
      <c r="BO52" s="397"/>
      <c r="BP52" s="364" t="str">
        <f ca="1">IFERROR(INDEX(ICE[], MATCH("c3ew" &amp; TEXT(NGL!$A52, "mmmyy"), ICE[LongCode], 0), MATCH("Text", ICE[#Headers], 0)), "")</f>
        <v/>
      </c>
      <c r="BQ52" s="46" t="str">
        <f t="shared" ca="1" si="103"/>
        <v/>
      </c>
      <c r="BR52" s="47" t="str">
        <f t="shared" si="133"/>
        <v/>
      </c>
      <c r="BS52" s="46" t="str">
        <f t="shared" ca="1" si="134"/>
        <v/>
      </c>
      <c r="BT52" s="141" t="str">
        <f t="shared" ca="1" si="104"/>
        <v/>
      </c>
      <c r="BU52" s="46" t="str">
        <f t="shared" ca="1" si="105"/>
        <v/>
      </c>
      <c r="BV52" s="47" t="str">
        <f t="shared" ca="1" si="135"/>
        <v/>
      </c>
      <c r="BW52" s="46" t="str">
        <f t="shared" ca="1" si="136"/>
        <v/>
      </c>
      <c r="BX52" s="141" t="str">
        <f ca="1">IFERROR(IF(AND(ISNUMBER(Futs!$CC52), ISNUMBER($BT52)), $BT52/12.4 - Futs!$CC52, ""), "")</f>
        <v/>
      </c>
      <c r="BY52" s="67" t="str">
        <f t="shared" ca="1" si="106"/>
        <v/>
      </c>
      <c r="BZ52" s="47" t="str">
        <f t="shared" ca="1" si="137"/>
        <v/>
      </c>
      <c r="CA52" s="46" t="str">
        <f t="shared" ca="1" si="138"/>
        <v/>
      </c>
    </row>
    <row r="53" spans="1:79" x14ac:dyDescent="0.25">
      <c r="A53" s="58">
        <f t="shared" ca="1" si="107"/>
        <v>47300</v>
      </c>
      <c r="B53" s="6">
        <f t="shared" ca="1" si="89"/>
        <v>2029</v>
      </c>
      <c r="C53" s="6" t="str">
        <f t="shared" ca="1" si="91"/>
        <v>Q329</v>
      </c>
      <c r="D53" s="28" t="e">
        <f ca="1">INDEX(ICE[], MATCH(D$18 &amp; TEXT(NGL!$A53, "mmmyy"), ICE[LongCode], 0), MATCH("Settle", ICE[#Headers], 0))</f>
        <v>#N/A</v>
      </c>
      <c r="E53" s="28" t="e">
        <f ca="1">INDEX(ICE[], MATCH(E$18 &amp; TEXT(NGL!$A53, "mmmyy"), ICE[LongCode], 0), MATCH("Settle", ICE[#Headers], 0))*100</f>
        <v>#N/A</v>
      </c>
      <c r="F53" s="28" t="e">
        <f ca="1">INDEX(ICE[], MATCH(F$18 &amp; TEXT(NGL!$A53, "mmmyy"), ICE[LongCode], 0), MATCH("Settle", ICE[#Headers], 0))*100</f>
        <v>#N/A</v>
      </c>
      <c r="G53" s="28" t="e">
        <f ca="1">INDEX(ICE[], MATCH(G$18 &amp; TEXT(NGL!$A53, "mmmyy"), ICE[LongCode], 0), MATCH("Settle", ICE[#Headers], 0))*100</f>
        <v>#N/A</v>
      </c>
      <c r="H53" s="28" t="e">
        <f ca="1">INDEX(ICE[], MATCH(H$18 &amp; TEXT(NGL!$A53, "mmmyy"), ICE[LongCode], 0), MATCH("Settle", ICE[#Headers], 0))*100</f>
        <v>#N/A</v>
      </c>
      <c r="I53" s="28" t="e">
        <f ca="1">INDEX(ICE[], MATCH(I$18 &amp; TEXT(NGL!$A53, "mmmyy"), ICE[LongCode], 0), MATCH("Settle", ICE[#Headers], 0))</f>
        <v>#N/A</v>
      </c>
      <c r="J53" s="397"/>
      <c r="K53" s="364" t="str">
        <f ca="1">IFERROR(INDEX(ICE[], MATCH("propnap" &amp; TEXT(NGL!$A53, "mmmyy"), ICE[LongCode], 0), MATCH("Text", ICE[#Headers], 0)), "")</f>
        <v/>
      </c>
      <c r="L53" s="46" t="str">
        <f t="shared" ca="1" si="90"/>
        <v/>
      </c>
      <c r="M53" s="47" t="str">
        <f t="shared" si="92"/>
        <v/>
      </c>
      <c r="N53" s="46" t="str">
        <f t="shared" ca="1" si="108"/>
        <v/>
      </c>
      <c r="O53" s="141" t="str">
        <f ca="1">IFERROR(IF(AND(ISNUMBER(Lts!$N53), ISNUMBER($J53)), Lts!$N53 + $J53, ""), "")</f>
        <v/>
      </c>
      <c r="P53" s="46" t="str">
        <f ca="1">IFERROR(IF(AND(ISNUMBER(Lts!$O53), ISNUMBER($L53)), Lts!$O53 + $L53, ""), "")</f>
        <v/>
      </c>
      <c r="Q53" s="47" t="str">
        <f t="shared" ca="1" si="109"/>
        <v/>
      </c>
      <c r="R53" s="46" t="str">
        <f t="shared" ca="1" si="110"/>
        <v/>
      </c>
      <c r="S53" s="141" t="str">
        <f ca="1">IFERROR(IF(AND(ISNUMBER(Futs!$CC53), ISNUMBER($O53)), $O53/12.4 - Futs!$CC53, ""), "")</f>
        <v/>
      </c>
      <c r="T53" s="67" t="str">
        <f ca="1">IFERROR(IF(AND(ISNUMBER(Futs!$CD53), ISNUMBER($P53)), $P53/12.4 - Futs!$CD53, ""), "")</f>
        <v/>
      </c>
      <c r="U53" s="47" t="str">
        <f t="shared" ca="1" si="111"/>
        <v/>
      </c>
      <c r="V53" s="46" t="str">
        <f t="shared" ca="1" si="112"/>
        <v/>
      </c>
      <c r="W53" s="397"/>
      <c r="X53" s="364" t="str">
        <f ca="1">IFERROR(INDEX(ICE[], MATCH("c3tet" &amp; TEXT(NGL!$A53, "mmmyy"), ICE[LongCode], 0), MATCH("Text", ICE[#Headers], 0)), "")</f>
        <v/>
      </c>
      <c r="Y53" s="46" t="str">
        <f t="shared" ca="1" si="93"/>
        <v/>
      </c>
      <c r="Z53" s="47" t="str">
        <f t="shared" si="113"/>
        <v/>
      </c>
      <c r="AA53" s="46" t="str">
        <f t="shared" ca="1" si="114"/>
        <v/>
      </c>
      <c r="AB53" s="141" t="str">
        <f ca="1">IFERROR(IF(AND(ISNUMBER(Futs!$BY53), ISNUMBER($W53)), $W53*42/100 - Futs!$BY53, ""), "")</f>
        <v/>
      </c>
      <c r="AC53" s="67" t="str">
        <f ca="1">IFERROR(IF(AND(ISNUMBER(Futs!$BZ53), ISNUMBER($Y53)), $Y53*42/100 - Futs!$BZ53, ""), "")</f>
        <v/>
      </c>
      <c r="AD53" s="47" t="str">
        <f t="shared" ca="1" si="115"/>
        <v/>
      </c>
      <c r="AE53" s="46" t="str">
        <f t="shared" ca="1" si="116"/>
        <v/>
      </c>
      <c r="AF53" s="141" t="str">
        <f t="shared" ca="1" si="94"/>
        <v/>
      </c>
      <c r="AG53" s="67" t="str">
        <f t="shared" ca="1" si="95"/>
        <v/>
      </c>
      <c r="AH53" s="47" t="str">
        <f t="shared" ca="1" si="117"/>
        <v/>
      </c>
      <c r="AI53" s="46" t="str">
        <f t="shared" ca="1" si="118"/>
        <v/>
      </c>
      <c r="AJ53" s="397"/>
      <c r="AK53" s="364" t="str">
        <f ca="1">IFERROR(INDEX(ICE[], MATCH("c4ntet" &amp; TEXT(NGL!$A53, "mmmyy"), ICE[LongCode], 0), MATCH("Text", ICE[#Headers], 0)), "")</f>
        <v/>
      </c>
      <c r="AL53" s="46" t="str">
        <f t="shared" ca="1" si="96"/>
        <v/>
      </c>
      <c r="AM53" s="47" t="str">
        <f t="shared" si="119"/>
        <v/>
      </c>
      <c r="AN53" s="46" t="str">
        <f t="shared" ca="1" si="120"/>
        <v/>
      </c>
      <c r="AO53" s="141" t="str">
        <f t="shared" si="97"/>
        <v/>
      </c>
      <c r="AP53" s="46" t="str">
        <f t="shared" ca="1" si="98"/>
        <v/>
      </c>
      <c r="AQ53" s="47" t="str">
        <f t="shared" si="121"/>
        <v/>
      </c>
      <c r="AR53" s="46" t="str">
        <f t="shared" ca="1" si="122"/>
        <v/>
      </c>
      <c r="AS53" s="141" t="str">
        <f ca="1">IFERROR(IF(AND(ISNUMBER(Futs!$BY53), ISNUMBER($AJ53)), $AJ53*42/100 - Futs!$BY53, ""), "")</f>
        <v/>
      </c>
      <c r="AT53" s="67" t="str">
        <f ca="1">IFERROR(IF(AND(ISNUMBER(Futs!$BZ53), ISNUMBER($AL53)), $AL53*42/100 - Futs!$BZ53, ""), "")</f>
        <v/>
      </c>
      <c r="AU53" s="47" t="str">
        <f t="shared" ca="1" si="123"/>
        <v/>
      </c>
      <c r="AV53" s="46" t="str">
        <f t="shared" ca="1" si="124"/>
        <v/>
      </c>
      <c r="AW53" s="397"/>
      <c r="AX53" s="364" t="str">
        <f ca="1">IFERROR(INDEX(ICE[], MATCH("ic4ntet" &amp; TEXT(NGL!$A53, "mmmyy"), ICE[LongCode], 0), MATCH("Text", ICE[#Headers], 0)), "")</f>
        <v/>
      </c>
      <c r="AY53" s="46" t="str">
        <f t="shared" ca="1" si="99"/>
        <v/>
      </c>
      <c r="AZ53" s="47" t="str">
        <f t="shared" si="125"/>
        <v/>
      </c>
      <c r="BA53" s="46" t="str">
        <f t="shared" ca="1" si="126"/>
        <v/>
      </c>
      <c r="BB53" s="141" t="str">
        <f t="shared" si="100"/>
        <v/>
      </c>
      <c r="BC53" s="46" t="str">
        <f t="shared" ca="1" si="101"/>
        <v/>
      </c>
      <c r="BD53" s="47" t="str">
        <f t="shared" si="127"/>
        <v/>
      </c>
      <c r="BE53" s="46" t="str">
        <f t="shared" ca="1" si="128"/>
        <v/>
      </c>
      <c r="BF53" s="397"/>
      <c r="BG53" s="364" t="str">
        <f ca="1">IFERROR(INDEX(ICE[], MATCH("ngasntet" &amp; TEXT(NGL!$A53, "mmmyy"), ICE[LongCode], 0), MATCH("Text", ICE[#Headers], 0)), "")</f>
        <v/>
      </c>
      <c r="BH53" s="46" t="str">
        <f t="shared" ca="1" si="102"/>
        <v/>
      </c>
      <c r="BI53" s="47" t="str">
        <f t="shared" si="129"/>
        <v/>
      </c>
      <c r="BJ53" s="46" t="str">
        <f t="shared" ca="1" si="130"/>
        <v/>
      </c>
      <c r="BK53" s="141" t="str">
        <f ca="1">IFERROR(IF(AND(ISNUMBER(Futs!$BY53), ISNUMBER($BF53)), $BF53*42/100 - Futs!$BY53, ""), "")</f>
        <v/>
      </c>
      <c r="BL53" s="67" t="str">
        <f ca="1">IFERROR(IF(AND(ISNUMBER(Futs!$BZ53), ISNUMBER($BH53)), $BH53*42/100 - Futs!$BZ53, ""), "")</f>
        <v/>
      </c>
      <c r="BM53" s="47" t="str">
        <f t="shared" ca="1" si="131"/>
        <v/>
      </c>
      <c r="BN53" s="111" t="str">
        <f t="shared" ca="1" si="132"/>
        <v/>
      </c>
      <c r="BO53" s="397"/>
      <c r="BP53" s="364" t="str">
        <f ca="1">IFERROR(INDEX(ICE[], MATCH("c3ew" &amp; TEXT(NGL!$A53, "mmmyy"), ICE[LongCode], 0), MATCH("Text", ICE[#Headers], 0)), "")</f>
        <v/>
      </c>
      <c r="BQ53" s="46" t="str">
        <f t="shared" ca="1" si="103"/>
        <v/>
      </c>
      <c r="BR53" s="47" t="str">
        <f t="shared" si="133"/>
        <v/>
      </c>
      <c r="BS53" s="46" t="str">
        <f t="shared" ca="1" si="134"/>
        <v/>
      </c>
      <c r="BT53" s="141" t="str">
        <f t="shared" ca="1" si="104"/>
        <v/>
      </c>
      <c r="BU53" s="46" t="str">
        <f t="shared" ca="1" si="105"/>
        <v/>
      </c>
      <c r="BV53" s="47" t="str">
        <f t="shared" ca="1" si="135"/>
        <v/>
      </c>
      <c r="BW53" s="46" t="str">
        <f t="shared" ca="1" si="136"/>
        <v/>
      </c>
      <c r="BX53" s="141" t="str">
        <f ca="1">IFERROR(IF(AND(ISNUMBER(Futs!$CC53), ISNUMBER($BT53)), $BT53/12.4 - Futs!$CC53, ""), "")</f>
        <v/>
      </c>
      <c r="BY53" s="67" t="str">
        <f t="shared" ca="1" si="106"/>
        <v/>
      </c>
      <c r="BZ53" s="47" t="str">
        <f t="shared" ca="1" si="137"/>
        <v/>
      </c>
      <c r="CA53" s="46" t="str">
        <f t="shared" ca="1" si="138"/>
        <v/>
      </c>
    </row>
    <row r="54" spans="1:79" x14ac:dyDescent="0.25">
      <c r="A54" s="58">
        <f t="shared" ca="1" si="107"/>
        <v>47331</v>
      </c>
      <c r="B54" s="6">
        <f t="shared" ca="1" si="89"/>
        <v>2029</v>
      </c>
      <c r="C54" s="6" t="str">
        <f t="shared" ca="1" si="91"/>
        <v>Q329</v>
      </c>
      <c r="D54" s="28" t="e">
        <f ca="1">INDEX(ICE[], MATCH(D$18 &amp; TEXT(NGL!$A54, "mmmyy"), ICE[LongCode], 0), MATCH("Settle", ICE[#Headers], 0))</f>
        <v>#N/A</v>
      </c>
      <c r="E54" s="28" t="e">
        <f ca="1">INDEX(ICE[], MATCH(E$18 &amp; TEXT(NGL!$A54, "mmmyy"), ICE[LongCode], 0), MATCH("Settle", ICE[#Headers], 0))*100</f>
        <v>#N/A</v>
      </c>
      <c r="F54" s="28" t="e">
        <f ca="1">INDEX(ICE[], MATCH(F$18 &amp; TEXT(NGL!$A54, "mmmyy"), ICE[LongCode], 0), MATCH("Settle", ICE[#Headers], 0))*100</f>
        <v>#N/A</v>
      </c>
      <c r="G54" s="28" t="e">
        <f ca="1">INDEX(ICE[], MATCH(G$18 &amp; TEXT(NGL!$A54, "mmmyy"), ICE[LongCode], 0), MATCH("Settle", ICE[#Headers], 0))*100</f>
        <v>#N/A</v>
      </c>
      <c r="H54" s="28" t="e">
        <f ca="1">INDEX(ICE[], MATCH(H$18 &amp; TEXT(NGL!$A54, "mmmyy"), ICE[LongCode], 0), MATCH("Settle", ICE[#Headers], 0))*100</f>
        <v>#N/A</v>
      </c>
      <c r="I54" s="28" t="e">
        <f ca="1">INDEX(ICE[], MATCH(I$18 &amp; TEXT(NGL!$A54, "mmmyy"), ICE[LongCode], 0), MATCH("Settle", ICE[#Headers], 0))</f>
        <v>#N/A</v>
      </c>
      <c r="J54" s="397"/>
      <c r="K54" s="364" t="str">
        <f ca="1">IFERROR(INDEX(ICE[], MATCH("propnap" &amp; TEXT(NGL!$A54, "mmmyy"), ICE[LongCode], 0), MATCH("Text", ICE[#Headers], 0)), "")</f>
        <v/>
      </c>
      <c r="L54" s="46" t="str">
        <f t="shared" ca="1" si="90"/>
        <v/>
      </c>
      <c r="M54" s="47" t="str">
        <f t="shared" si="92"/>
        <v/>
      </c>
      <c r="N54" s="46" t="str">
        <f t="shared" ca="1" si="108"/>
        <v/>
      </c>
      <c r="O54" s="141" t="str">
        <f ca="1">IFERROR(IF(AND(ISNUMBER(Lts!$N54), ISNUMBER($J54)), Lts!$N54 + $J54, ""), "")</f>
        <v/>
      </c>
      <c r="P54" s="46" t="str">
        <f ca="1">IFERROR(IF(AND(ISNUMBER(Lts!$O54), ISNUMBER($L54)), Lts!$O54 + $L54, ""), "")</f>
        <v/>
      </c>
      <c r="Q54" s="47" t="str">
        <f t="shared" ca="1" si="109"/>
        <v/>
      </c>
      <c r="R54" s="46" t="str">
        <f t="shared" ca="1" si="110"/>
        <v/>
      </c>
      <c r="S54" s="141" t="str">
        <f ca="1">IFERROR(IF(AND(ISNUMBER(Futs!$CC54), ISNUMBER($O54)), $O54/12.4 - Futs!$CC54, ""), "")</f>
        <v/>
      </c>
      <c r="T54" s="67" t="str">
        <f ca="1">IFERROR(IF(AND(ISNUMBER(Futs!$CD54), ISNUMBER($P54)), $P54/12.4 - Futs!$CD54, ""), "")</f>
        <v/>
      </c>
      <c r="U54" s="47" t="str">
        <f t="shared" ca="1" si="111"/>
        <v/>
      </c>
      <c r="V54" s="46" t="str">
        <f t="shared" ca="1" si="112"/>
        <v/>
      </c>
      <c r="W54" s="397"/>
      <c r="X54" s="364" t="str">
        <f ca="1">IFERROR(INDEX(ICE[], MATCH("c3tet" &amp; TEXT(NGL!$A54, "mmmyy"), ICE[LongCode], 0), MATCH("Text", ICE[#Headers], 0)), "")</f>
        <v/>
      </c>
      <c r="Y54" s="46" t="str">
        <f t="shared" ca="1" si="93"/>
        <v/>
      </c>
      <c r="Z54" s="47" t="str">
        <f t="shared" si="113"/>
        <v/>
      </c>
      <c r="AA54" s="46" t="str">
        <f t="shared" ca="1" si="114"/>
        <v/>
      </c>
      <c r="AB54" s="141" t="str">
        <f ca="1">IFERROR(IF(AND(ISNUMBER(Futs!$BY54), ISNUMBER($W54)), $W54*42/100 - Futs!$BY54, ""), "")</f>
        <v/>
      </c>
      <c r="AC54" s="67" t="str">
        <f ca="1">IFERROR(IF(AND(ISNUMBER(Futs!$BZ54), ISNUMBER($Y54)), $Y54*42/100 - Futs!$BZ54, ""), "")</f>
        <v/>
      </c>
      <c r="AD54" s="47" t="str">
        <f t="shared" ca="1" si="115"/>
        <v/>
      </c>
      <c r="AE54" s="46" t="str">
        <f t="shared" ca="1" si="116"/>
        <v/>
      </c>
      <c r="AF54" s="141" t="str">
        <f t="shared" ca="1" si="94"/>
        <v/>
      </c>
      <c r="AG54" s="67" t="str">
        <f t="shared" ca="1" si="95"/>
        <v/>
      </c>
      <c r="AH54" s="47" t="str">
        <f t="shared" ca="1" si="117"/>
        <v/>
      </c>
      <c r="AI54" s="46" t="str">
        <f t="shared" ca="1" si="118"/>
        <v/>
      </c>
      <c r="AJ54" s="397"/>
      <c r="AK54" s="364" t="str">
        <f ca="1">IFERROR(INDEX(ICE[], MATCH("c4ntet" &amp; TEXT(NGL!$A54, "mmmyy"), ICE[LongCode], 0), MATCH("Text", ICE[#Headers], 0)), "")</f>
        <v/>
      </c>
      <c r="AL54" s="46" t="str">
        <f t="shared" ca="1" si="96"/>
        <v/>
      </c>
      <c r="AM54" s="47" t="str">
        <f t="shared" si="119"/>
        <v/>
      </c>
      <c r="AN54" s="46" t="str">
        <f t="shared" ca="1" si="120"/>
        <v/>
      </c>
      <c r="AO54" s="141" t="str">
        <f t="shared" si="97"/>
        <v/>
      </c>
      <c r="AP54" s="46" t="str">
        <f t="shared" ca="1" si="98"/>
        <v/>
      </c>
      <c r="AQ54" s="47" t="str">
        <f t="shared" si="121"/>
        <v/>
      </c>
      <c r="AR54" s="46" t="str">
        <f t="shared" ca="1" si="122"/>
        <v/>
      </c>
      <c r="AS54" s="141" t="str">
        <f ca="1">IFERROR(IF(AND(ISNUMBER(Futs!$BY54), ISNUMBER($AJ54)), $AJ54*42/100 - Futs!$BY54, ""), "")</f>
        <v/>
      </c>
      <c r="AT54" s="67" t="str">
        <f ca="1">IFERROR(IF(AND(ISNUMBER(Futs!$BZ54), ISNUMBER($AL54)), $AL54*42/100 - Futs!$BZ54, ""), "")</f>
        <v/>
      </c>
      <c r="AU54" s="47" t="str">
        <f t="shared" ca="1" si="123"/>
        <v/>
      </c>
      <c r="AV54" s="46" t="str">
        <f t="shared" ca="1" si="124"/>
        <v/>
      </c>
      <c r="AW54" s="397"/>
      <c r="AX54" s="364" t="str">
        <f ca="1">IFERROR(INDEX(ICE[], MATCH("ic4ntet" &amp; TEXT(NGL!$A54, "mmmyy"), ICE[LongCode], 0), MATCH("Text", ICE[#Headers], 0)), "")</f>
        <v/>
      </c>
      <c r="AY54" s="46" t="str">
        <f t="shared" ca="1" si="99"/>
        <v/>
      </c>
      <c r="AZ54" s="47" t="str">
        <f t="shared" si="125"/>
        <v/>
      </c>
      <c r="BA54" s="46" t="str">
        <f t="shared" ca="1" si="126"/>
        <v/>
      </c>
      <c r="BB54" s="141" t="str">
        <f t="shared" si="100"/>
        <v/>
      </c>
      <c r="BC54" s="46" t="str">
        <f t="shared" ca="1" si="101"/>
        <v/>
      </c>
      <c r="BD54" s="47" t="str">
        <f t="shared" si="127"/>
        <v/>
      </c>
      <c r="BE54" s="46" t="str">
        <f t="shared" ca="1" si="128"/>
        <v/>
      </c>
      <c r="BF54" s="397"/>
      <c r="BG54" s="364" t="str">
        <f ca="1">IFERROR(INDEX(ICE[], MATCH("ngasntet" &amp; TEXT(NGL!$A54, "mmmyy"), ICE[LongCode], 0), MATCH("Text", ICE[#Headers], 0)), "")</f>
        <v/>
      </c>
      <c r="BH54" s="46" t="str">
        <f t="shared" ca="1" si="102"/>
        <v/>
      </c>
      <c r="BI54" s="47" t="str">
        <f t="shared" si="129"/>
        <v/>
      </c>
      <c r="BJ54" s="46" t="str">
        <f t="shared" ca="1" si="130"/>
        <v/>
      </c>
      <c r="BK54" s="141" t="str">
        <f ca="1">IFERROR(IF(AND(ISNUMBER(Futs!$BY54), ISNUMBER($BF54)), $BF54*42/100 - Futs!$BY54, ""), "")</f>
        <v/>
      </c>
      <c r="BL54" s="67" t="str">
        <f ca="1">IFERROR(IF(AND(ISNUMBER(Futs!$BZ54), ISNUMBER($BH54)), $BH54*42/100 - Futs!$BZ54, ""), "")</f>
        <v/>
      </c>
      <c r="BM54" s="47" t="str">
        <f t="shared" ca="1" si="131"/>
        <v/>
      </c>
      <c r="BN54" s="111" t="str">
        <f t="shared" ca="1" si="132"/>
        <v/>
      </c>
      <c r="BO54" s="397"/>
      <c r="BP54" s="364" t="str">
        <f ca="1">IFERROR(INDEX(ICE[], MATCH("c3ew" &amp; TEXT(NGL!$A54, "mmmyy"), ICE[LongCode], 0), MATCH("Text", ICE[#Headers], 0)), "")</f>
        <v/>
      </c>
      <c r="BQ54" s="46" t="str">
        <f t="shared" ca="1" si="103"/>
        <v/>
      </c>
      <c r="BR54" s="47" t="str">
        <f t="shared" si="133"/>
        <v/>
      </c>
      <c r="BS54" s="46" t="str">
        <f t="shared" ca="1" si="134"/>
        <v/>
      </c>
      <c r="BT54" s="141" t="str">
        <f t="shared" ca="1" si="104"/>
        <v/>
      </c>
      <c r="BU54" s="46" t="str">
        <f t="shared" ca="1" si="105"/>
        <v/>
      </c>
      <c r="BV54" s="47" t="str">
        <f t="shared" ca="1" si="135"/>
        <v/>
      </c>
      <c r="BW54" s="46" t="str">
        <f t="shared" ca="1" si="136"/>
        <v/>
      </c>
      <c r="BX54" s="141" t="str">
        <f ca="1">IFERROR(IF(AND(ISNUMBER(Futs!$CC54), ISNUMBER($BT54)), $BT54/12.4 - Futs!$CC54, ""), "")</f>
        <v/>
      </c>
      <c r="BY54" s="67" t="str">
        <f t="shared" ca="1" si="106"/>
        <v/>
      </c>
      <c r="BZ54" s="47" t="str">
        <f t="shared" ca="1" si="137"/>
        <v/>
      </c>
      <c r="CA54" s="46" t="str">
        <f t="shared" ca="1" si="138"/>
        <v/>
      </c>
    </row>
    <row r="55" spans="1:79" x14ac:dyDescent="0.25">
      <c r="A55" s="58">
        <f t="shared" ca="1" si="107"/>
        <v>47362</v>
      </c>
      <c r="B55" s="6">
        <f t="shared" ca="1" si="89"/>
        <v>2029</v>
      </c>
      <c r="C55" s="6" t="str">
        <f t="shared" ca="1" si="91"/>
        <v>Q329</v>
      </c>
      <c r="D55" s="28" t="e">
        <f ca="1">INDEX(ICE[], MATCH(D$18 &amp; TEXT(NGL!$A55, "mmmyy"), ICE[LongCode], 0), MATCH("Settle", ICE[#Headers], 0))</f>
        <v>#N/A</v>
      </c>
      <c r="E55" s="28" t="e">
        <f ca="1">INDEX(ICE[], MATCH(E$18 &amp; TEXT(NGL!$A55, "mmmyy"), ICE[LongCode], 0), MATCH("Settle", ICE[#Headers], 0))*100</f>
        <v>#N/A</v>
      </c>
      <c r="F55" s="28" t="e">
        <f ca="1">INDEX(ICE[], MATCH(F$18 &amp; TEXT(NGL!$A55, "mmmyy"), ICE[LongCode], 0), MATCH("Settle", ICE[#Headers], 0))*100</f>
        <v>#N/A</v>
      </c>
      <c r="G55" s="28" t="e">
        <f ca="1">INDEX(ICE[], MATCH(G$18 &amp; TEXT(NGL!$A55, "mmmyy"), ICE[LongCode], 0), MATCH("Settle", ICE[#Headers], 0))*100</f>
        <v>#N/A</v>
      </c>
      <c r="H55" s="28" t="e">
        <f ca="1">INDEX(ICE[], MATCH(H$18 &amp; TEXT(NGL!$A55, "mmmyy"), ICE[LongCode], 0), MATCH("Settle", ICE[#Headers], 0))*100</f>
        <v>#N/A</v>
      </c>
      <c r="I55" s="28" t="e">
        <f ca="1">INDEX(ICE[], MATCH(I$18 &amp; TEXT(NGL!$A55, "mmmyy"), ICE[LongCode], 0), MATCH("Settle", ICE[#Headers], 0))</f>
        <v>#N/A</v>
      </c>
      <c r="J55" s="397"/>
      <c r="K55" s="364" t="str">
        <f ca="1">IFERROR(INDEX(ICE[], MATCH("propnap" &amp; TEXT(NGL!$A55, "mmmyy"), ICE[LongCode], 0), MATCH("Text", ICE[#Headers], 0)), "")</f>
        <v/>
      </c>
      <c r="L55" s="46" t="str">
        <f t="shared" ca="1" si="90"/>
        <v/>
      </c>
      <c r="M55" s="47" t="str">
        <f t="shared" si="92"/>
        <v/>
      </c>
      <c r="N55" s="46" t="str">
        <f t="shared" ca="1" si="108"/>
        <v/>
      </c>
      <c r="O55" s="141" t="str">
        <f ca="1">IFERROR(IF(AND(ISNUMBER(Lts!$N55), ISNUMBER($J55)), Lts!$N55 + $J55, ""), "")</f>
        <v/>
      </c>
      <c r="P55" s="46" t="str">
        <f ca="1">IFERROR(IF(AND(ISNUMBER(Lts!$O55), ISNUMBER($L55)), Lts!$O55 + $L55, ""), "")</f>
        <v/>
      </c>
      <c r="Q55" s="47" t="str">
        <f t="shared" ca="1" si="109"/>
        <v/>
      </c>
      <c r="R55" s="46" t="str">
        <f t="shared" ca="1" si="110"/>
        <v/>
      </c>
      <c r="S55" s="141" t="str">
        <f ca="1">IFERROR(IF(AND(ISNUMBER(Futs!$CC55), ISNUMBER($O55)), $O55/12.4 - Futs!$CC55, ""), "")</f>
        <v/>
      </c>
      <c r="T55" s="67" t="str">
        <f ca="1">IFERROR(IF(AND(ISNUMBER(Futs!$CD55), ISNUMBER($P55)), $P55/12.4 - Futs!$CD55, ""), "")</f>
        <v/>
      </c>
      <c r="U55" s="47" t="str">
        <f t="shared" ca="1" si="111"/>
        <v/>
      </c>
      <c r="V55" s="46" t="str">
        <f t="shared" ca="1" si="112"/>
        <v/>
      </c>
      <c r="W55" s="397"/>
      <c r="X55" s="364" t="str">
        <f ca="1">IFERROR(INDEX(ICE[], MATCH("c3tet" &amp; TEXT(NGL!$A55, "mmmyy"), ICE[LongCode], 0), MATCH("Text", ICE[#Headers], 0)), "")</f>
        <v/>
      </c>
      <c r="Y55" s="46" t="str">
        <f t="shared" ca="1" si="93"/>
        <v/>
      </c>
      <c r="Z55" s="47" t="str">
        <f t="shared" si="113"/>
        <v/>
      </c>
      <c r="AA55" s="46" t="str">
        <f t="shared" ca="1" si="114"/>
        <v/>
      </c>
      <c r="AB55" s="141" t="str">
        <f ca="1">IFERROR(IF(AND(ISNUMBER(Futs!$BY55), ISNUMBER($W55)), $W55*42/100 - Futs!$BY55, ""), "")</f>
        <v/>
      </c>
      <c r="AC55" s="67" t="str">
        <f ca="1">IFERROR(IF(AND(ISNUMBER(Futs!$BZ55), ISNUMBER($Y55)), $Y55*42/100 - Futs!$BZ55, ""), "")</f>
        <v/>
      </c>
      <c r="AD55" s="47" t="str">
        <f t="shared" ca="1" si="115"/>
        <v/>
      </c>
      <c r="AE55" s="46" t="str">
        <f t="shared" ca="1" si="116"/>
        <v/>
      </c>
      <c r="AF55" s="141" t="str">
        <f t="shared" ca="1" si="94"/>
        <v/>
      </c>
      <c r="AG55" s="67" t="str">
        <f t="shared" ca="1" si="95"/>
        <v/>
      </c>
      <c r="AH55" s="47" t="str">
        <f t="shared" ca="1" si="117"/>
        <v/>
      </c>
      <c r="AI55" s="46" t="str">
        <f t="shared" ca="1" si="118"/>
        <v/>
      </c>
      <c r="AJ55" s="397"/>
      <c r="AK55" s="364" t="str">
        <f ca="1">IFERROR(INDEX(ICE[], MATCH("c4ntet" &amp; TEXT(NGL!$A55, "mmmyy"), ICE[LongCode], 0), MATCH("Text", ICE[#Headers], 0)), "")</f>
        <v/>
      </c>
      <c r="AL55" s="46" t="str">
        <f t="shared" ca="1" si="96"/>
        <v/>
      </c>
      <c r="AM55" s="47" t="str">
        <f t="shared" si="119"/>
        <v/>
      </c>
      <c r="AN55" s="46" t="str">
        <f t="shared" ca="1" si="120"/>
        <v/>
      </c>
      <c r="AO55" s="141" t="str">
        <f t="shared" si="97"/>
        <v/>
      </c>
      <c r="AP55" s="46" t="str">
        <f t="shared" ca="1" si="98"/>
        <v/>
      </c>
      <c r="AQ55" s="47" t="str">
        <f t="shared" si="121"/>
        <v/>
      </c>
      <c r="AR55" s="46" t="str">
        <f t="shared" ca="1" si="122"/>
        <v/>
      </c>
      <c r="AS55" s="141" t="str">
        <f ca="1">IFERROR(IF(AND(ISNUMBER(Futs!$BY55), ISNUMBER($AJ55)), $AJ55*42/100 - Futs!$BY55, ""), "")</f>
        <v/>
      </c>
      <c r="AT55" s="67" t="str">
        <f ca="1">IFERROR(IF(AND(ISNUMBER(Futs!$BZ55), ISNUMBER($AL55)), $AL55*42/100 - Futs!$BZ55, ""), "")</f>
        <v/>
      </c>
      <c r="AU55" s="47" t="str">
        <f t="shared" ca="1" si="123"/>
        <v/>
      </c>
      <c r="AV55" s="46" t="str">
        <f t="shared" ca="1" si="124"/>
        <v/>
      </c>
      <c r="AW55" s="397"/>
      <c r="AX55" s="364" t="str">
        <f ca="1">IFERROR(INDEX(ICE[], MATCH("ic4ntet" &amp; TEXT(NGL!$A55, "mmmyy"), ICE[LongCode], 0), MATCH("Text", ICE[#Headers], 0)), "")</f>
        <v/>
      </c>
      <c r="AY55" s="46" t="str">
        <f t="shared" ca="1" si="99"/>
        <v/>
      </c>
      <c r="AZ55" s="47" t="str">
        <f t="shared" si="125"/>
        <v/>
      </c>
      <c r="BA55" s="46" t="str">
        <f t="shared" ca="1" si="126"/>
        <v/>
      </c>
      <c r="BB55" s="141" t="str">
        <f t="shared" si="100"/>
        <v/>
      </c>
      <c r="BC55" s="46" t="str">
        <f t="shared" ca="1" si="101"/>
        <v/>
      </c>
      <c r="BD55" s="47" t="str">
        <f t="shared" si="127"/>
        <v/>
      </c>
      <c r="BE55" s="46" t="str">
        <f t="shared" ca="1" si="128"/>
        <v/>
      </c>
      <c r="BF55" s="397"/>
      <c r="BG55" s="364" t="str">
        <f ca="1">IFERROR(INDEX(ICE[], MATCH("ngasntet" &amp; TEXT(NGL!$A55, "mmmyy"), ICE[LongCode], 0), MATCH("Text", ICE[#Headers], 0)), "")</f>
        <v/>
      </c>
      <c r="BH55" s="46" t="str">
        <f t="shared" ca="1" si="102"/>
        <v/>
      </c>
      <c r="BI55" s="47" t="str">
        <f t="shared" si="129"/>
        <v/>
      </c>
      <c r="BJ55" s="46" t="str">
        <f t="shared" ca="1" si="130"/>
        <v/>
      </c>
      <c r="BK55" s="141" t="str">
        <f ca="1">IFERROR(IF(AND(ISNUMBER(Futs!$BY55), ISNUMBER($BF55)), $BF55*42/100 - Futs!$BY55, ""), "")</f>
        <v/>
      </c>
      <c r="BL55" s="67" t="str">
        <f ca="1">IFERROR(IF(AND(ISNUMBER(Futs!$BZ55), ISNUMBER($BH55)), $BH55*42/100 - Futs!$BZ55, ""), "")</f>
        <v/>
      </c>
      <c r="BM55" s="47" t="str">
        <f t="shared" ca="1" si="131"/>
        <v/>
      </c>
      <c r="BN55" s="111" t="str">
        <f t="shared" ca="1" si="132"/>
        <v/>
      </c>
      <c r="BO55" s="397"/>
      <c r="BP55" s="364" t="str">
        <f ca="1">IFERROR(INDEX(ICE[], MATCH("c3ew" &amp; TEXT(NGL!$A55, "mmmyy"), ICE[LongCode], 0), MATCH("Text", ICE[#Headers], 0)), "")</f>
        <v/>
      </c>
      <c r="BQ55" s="46" t="str">
        <f t="shared" ca="1" si="103"/>
        <v/>
      </c>
      <c r="BR55" s="47" t="str">
        <f t="shared" si="133"/>
        <v/>
      </c>
      <c r="BS55" s="46" t="str">
        <f t="shared" ca="1" si="134"/>
        <v/>
      </c>
      <c r="BT55" s="141" t="str">
        <f t="shared" ca="1" si="104"/>
        <v/>
      </c>
      <c r="BU55" s="46" t="str">
        <f t="shared" ca="1" si="105"/>
        <v/>
      </c>
      <c r="BV55" s="47" t="str">
        <f t="shared" ca="1" si="135"/>
        <v/>
      </c>
      <c r="BW55" s="46" t="str">
        <f t="shared" ca="1" si="136"/>
        <v/>
      </c>
      <c r="BX55" s="141" t="str">
        <f ca="1">IFERROR(IF(AND(ISNUMBER(Futs!$CC55), ISNUMBER($BT55)), $BT55/12.4 - Futs!$CC55, ""), "")</f>
        <v/>
      </c>
      <c r="BY55" s="67" t="str">
        <f t="shared" ca="1" si="106"/>
        <v/>
      </c>
      <c r="BZ55" s="47" t="str">
        <f t="shared" ca="1" si="137"/>
        <v/>
      </c>
      <c r="CA55" s="46" t="str">
        <f t="shared" ca="1" si="138"/>
        <v/>
      </c>
    </row>
    <row r="56" spans="1:79" x14ac:dyDescent="0.25">
      <c r="A56" s="58">
        <f t="shared" ca="1" si="107"/>
        <v>47392</v>
      </c>
      <c r="B56" s="6">
        <f t="shared" ca="1" si="89"/>
        <v>2029</v>
      </c>
      <c r="C56" s="6" t="str">
        <f t="shared" ca="1" si="91"/>
        <v>Q429</v>
      </c>
      <c r="D56" s="28" t="e">
        <f ca="1">INDEX(ICE[], MATCH(D$18 &amp; TEXT(NGL!$A56, "mmmyy"), ICE[LongCode], 0), MATCH("Settle", ICE[#Headers], 0))</f>
        <v>#N/A</v>
      </c>
      <c r="E56" s="28" t="e">
        <f ca="1">INDEX(ICE[], MATCH(E$18 &amp; TEXT(NGL!$A56, "mmmyy"), ICE[LongCode], 0), MATCH("Settle", ICE[#Headers], 0))*100</f>
        <v>#N/A</v>
      </c>
      <c r="F56" s="28" t="e">
        <f ca="1">INDEX(ICE[], MATCH(F$18 &amp; TEXT(NGL!$A56, "mmmyy"), ICE[LongCode], 0), MATCH("Settle", ICE[#Headers], 0))*100</f>
        <v>#N/A</v>
      </c>
      <c r="G56" s="28" t="e">
        <f ca="1">INDEX(ICE[], MATCH(G$18 &amp; TEXT(NGL!$A56, "mmmyy"), ICE[LongCode], 0), MATCH("Settle", ICE[#Headers], 0))*100</f>
        <v>#N/A</v>
      </c>
      <c r="H56" s="28" t="e">
        <f ca="1">INDEX(ICE[], MATCH(H$18 &amp; TEXT(NGL!$A56, "mmmyy"), ICE[LongCode], 0), MATCH("Settle", ICE[#Headers], 0))*100</f>
        <v>#N/A</v>
      </c>
      <c r="I56" s="28" t="e">
        <f ca="1">INDEX(ICE[], MATCH(I$18 &amp; TEXT(NGL!$A56, "mmmyy"), ICE[LongCode], 0), MATCH("Settle", ICE[#Headers], 0))</f>
        <v>#N/A</v>
      </c>
      <c r="J56" s="397"/>
      <c r="K56" s="364" t="str">
        <f ca="1">IFERROR(INDEX(ICE[], MATCH("propnap" &amp; TEXT(NGL!$A56, "mmmyy"), ICE[LongCode], 0), MATCH("Text", ICE[#Headers], 0)), "")</f>
        <v/>
      </c>
      <c r="L56" s="46" t="str">
        <f t="shared" ca="1" si="90"/>
        <v/>
      </c>
      <c r="M56" s="47" t="str">
        <f t="shared" si="92"/>
        <v/>
      </c>
      <c r="N56" s="46" t="str">
        <f t="shared" ca="1" si="108"/>
        <v/>
      </c>
      <c r="O56" s="141" t="str">
        <f ca="1">IFERROR(IF(AND(ISNUMBER(Lts!$N56), ISNUMBER($J56)), Lts!$N56 + $J56, ""), "")</f>
        <v/>
      </c>
      <c r="P56" s="46" t="str">
        <f ca="1">IFERROR(IF(AND(ISNUMBER(Lts!$O56), ISNUMBER($L56)), Lts!$O56 + $L56, ""), "")</f>
        <v/>
      </c>
      <c r="Q56" s="47" t="str">
        <f t="shared" ca="1" si="109"/>
        <v/>
      </c>
      <c r="R56" s="46" t="str">
        <f t="shared" ca="1" si="110"/>
        <v/>
      </c>
      <c r="S56" s="141" t="str">
        <f ca="1">IFERROR(IF(AND(ISNUMBER(Futs!$CC56), ISNUMBER($O56)), $O56/12.4 - Futs!$CC56, ""), "")</f>
        <v/>
      </c>
      <c r="T56" s="67" t="str">
        <f ca="1">IFERROR(IF(AND(ISNUMBER(Futs!$CD56), ISNUMBER($P56)), $P56/12.4 - Futs!$CD56, ""), "")</f>
        <v/>
      </c>
      <c r="U56" s="47" t="str">
        <f t="shared" ca="1" si="111"/>
        <v/>
      </c>
      <c r="V56" s="46" t="str">
        <f t="shared" ca="1" si="112"/>
        <v/>
      </c>
      <c r="W56" s="397"/>
      <c r="X56" s="364" t="str">
        <f ca="1">IFERROR(INDEX(ICE[], MATCH("c3tet" &amp; TEXT(NGL!$A56, "mmmyy"), ICE[LongCode], 0), MATCH("Text", ICE[#Headers], 0)), "")</f>
        <v/>
      </c>
      <c r="Y56" s="46" t="str">
        <f t="shared" ca="1" si="93"/>
        <v/>
      </c>
      <c r="Z56" s="47" t="str">
        <f t="shared" si="113"/>
        <v/>
      </c>
      <c r="AA56" s="46" t="str">
        <f t="shared" ca="1" si="114"/>
        <v/>
      </c>
      <c r="AB56" s="141" t="str">
        <f ca="1">IFERROR(IF(AND(ISNUMBER(Futs!$BY56), ISNUMBER($W56)), $W56*42/100 - Futs!$BY56, ""), "")</f>
        <v/>
      </c>
      <c r="AC56" s="67" t="str">
        <f ca="1">IFERROR(IF(AND(ISNUMBER(Futs!$BZ56), ISNUMBER($Y56)), $Y56*42/100 - Futs!$BZ56, ""), "")</f>
        <v/>
      </c>
      <c r="AD56" s="47" t="str">
        <f t="shared" ca="1" si="115"/>
        <v/>
      </c>
      <c r="AE56" s="46" t="str">
        <f t="shared" ca="1" si="116"/>
        <v/>
      </c>
      <c r="AF56" s="141" t="str">
        <f t="shared" ca="1" si="94"/>
        <v/>
      </c>
      <c r="AG56" s="67" t="str">
        <f t="shared" ca="1" si="95"/>
        <v/>
      </c>
      <c r="AH56" s="47" t="str">
        <f t="shared" ca="1" si="117"/>
        <v/>
      </c>
      <c r="AI56" s="46" t="str">
        <f t="shared" ca="1" si="118"/>
        <v/>
      </c>
      <c r="AJ56" s="397"/>
      <c r="AK56" s="364" t="str">
        <f ca="1">IFERROR(INDEX(ICE[], MATCH("c4ntet" &amp; TEXT(NGL!$A56, "mmmyy"), ICE[LongCode], 0), MATCH("Text", ICE[#Headers], 0)), "")</f>
        <v/>
      </c>
      <c r="AL56" s="46" t="str">
        <f t="shared" ca="1" si="96"/>
        <v/>
      </c>
      <c r="AM56" s="47" t="str">
        <f t="shared" si="119"/>
        <v/>
      </c>
      <c r="AN56" s="46" t="str">
        <f t="shared" ca="1" si="120"/>
        <v/>
      </c>
      <c r="AO56" s="141" t="str">
        <f t="shared" si="97"/>
        <v/>
      </c>
      <c r="AP56" s="46" t="str">
        <f t="shared" ca="1" si="98"/>
        <v/>
      </c>
      <c r="AQ56" s="47" t="str">
        <f t="shared" si="121"/>
        <v/>
      </c>
      <c r="AR56" s="46" t="str">
        <f t="shared" ca="1" si="122"/>
        <v/>
      </c>
      <c r="AS56" s="141" t="str">
        <f ca="1">IFERROR(IF(AND(ISNUMBER(Futs!$BY56), ISNUMBER($AJ56)), $AJ56*42/100 - Futs!$BY56, ""), "")</f>
        <v/>
      </c>
      <c r="AT56" s="67" t="str">
        <f ca="1">IFERROR(IF(AND(ISNUMBER(Futs!$BZ56), ISNUMBER($AL56)), $AL56*42/100 - Futs!$BZ56, ""), "")</f>
        <v/>
      </c>
      <c r="AU56" s="47" t="str">
        <f t="shared" ca="1" si="123"/>
        <v/>
      </c>
      <c r="AV56" s="46" t="str">
        <f t="shared" ca="1" si="124"/>
        <v/>
      </c>
      <c r="AW56" s="397"/>
      <c r="AX56" s="364" t="str">
        <f ca="1">IFERROR(INDEX(ICE[], MATCH("ic4ntet" &amp; TEXT(NGL!$A56, "mmmyy"), ICE[LongCode], 0), MATCH("Text", ICE[#Headers], 0)), "")</f>
        <v/>
      </c>
      <c r="AY56" s="46" t="str">
        <f t="shared" ca="1" si="99"/>
        <v/>
      </c>
      <c r="AZ56" s="47" t="str">
        <f t="shared" si="125"/>
        <v/>
      </c>
      <c r="BA56" s="46" t="str">
        <f t="shared" ca="1" si="126"/>
        <v/>
      </c>
      <c r="BB56" s="141" t="str">
        <f t="shared" si="100"/>
        <v/>
      </c>
      <c r="BC56" s="46" t="str">
        <f t="shared" ca="1" si="101"/>
        <v/>
      </c>
      <c r="BD56" s="47" t="str">
        <f t="shared" si="127"/>
        <v/>
      </c>
      <c r="BE56" s="46" t="str">
        <f t="shared" ca="1" si="128"/>
        <v/>
      </c>
      <c r="BF56" s="397"/>
      <c r="BG56" s="364" t="str">
        <f ca="1">IFERROR(INDEX(ICE[], MATCH("ngasntet" &amp; TEXT(NGL!$A56, "mmmyy"), ICE[LongCode], 0), MATCH("Text", ICE[#Headers], 0)), "")</f>
        <v/>
      </c>
      <c r="BH56" s="46" t="str">
        <f t="shared" ca="1" si="102"/>
        <v/>
      </c>
      <c r="BI56" s="47" t="str">
        <f t="shared" si="129"/>
        <v/>
      </c>
      <c r="BJ56" s="46" t="str">
        <f t="shared" ca="1" si="130"/>
        <v/>
      </c>
      <c r="BK56" s="141" t="str">
        <f ca="1">IFERROR(IF(AND(ISNUMBER(Futs!$BY56), ISNUMBER($BF56)), $BF56*42/100 - Futs!$BY56, ""), "")</f>
        <v/>
      </c>
      <c r="BL56" s="67" t="str">
        <f ca="1">IFERROR(IF(AND(ISNUMBER(Futs!$BZ56), ISNUMBER($BH56)), $BH56*42/100 - Futs!$BZ56, ""), "")</f>
        <v/>
      </c>
      <c r="BM56" s="47" t="str">
        <f t="shared" ca="1" si="131"/>
        <v/>
      </c>
      <c r="BN56" s="111" t="str">
        <f t="shared" ca="1" si="132"/>
        <v/>
      </c>
      <c r="BO56" s="397"/>
      <c r="BP56" s="364" t="str">
        <f ca="1">IFERROR(INDEX(ICE[], MATCH("c3ew" &amp; TEXT(NGL!$A56, "mmmyy"), ICE[LongCode], 0), MATCH("Text", ICE[#Headers], 0)), "")</f>
        <v/>
      </c>
      <c r="BQ56" s="46" t="str">
        <f t="shared" ca="1" si="103"/>
        <v/>
      </c>
      <c r="BR56" s="47" t="str">
        <f t="shared" si="133"/>
        <v/>
      </c>
      <c r="BS56" s="46" t="str">
        <f t="shared" ca="1" si="134"/>
        <v/>
      </c>
      <c r="BT56" s="141" t="str">
        <f t="shared" ca="1" si="104"/>
        <v/>
      </c>
      <c r="BU56" s="46" t="str">
        <f t="shared" ca="1" si="105"/>
        <v/>
      </c>
      <c r="BV56" s="47" t="str">
        <f t="shared" ca="1" si="135"/>
        <v/>
      </c>
      <c r="BW56" s="46" t="str">
        <f t="shared" ca="1" si="136"/>
        <v/>
      </c>
      <c r="BX56" s="141" t="str">
        <f ca="1">IFERROR(IF(AND(ISNUMBER(Futs!$CC56), ISNUMBER($BT56)), $BT56/12.4 - Futs!$CC56, ""), "")</f>
        <v/>
      </c>
      <c r="BY56" s="67" t="str">
        <f t="shared" ca="1" si="106"/>
        <v/>
      </c>
      <c r="BZ56" s="47" t="str">
        <f t="shared" ca="1" si="137"/>
        <v/>
      </c>
      <c r="CA56" s="46" t="str">
        <f t="shared" ca="1" si="138"/>
        <v/>
      </c>
    </row>
    <row r="57" spans="1:79" x14ac:dyDescent="0.25">
      <c r="A57" s="58">
        <f t="shared" ca="1" si="107"/>
        <v>47423</v>
      </c>
      <c r="B57" s="6">
        <f t="shared" ca="1" si="89"/>
        <v>2029</v>
      </c>
      <c r="C57" s="6" t="str">
        <f t="shared" ca="1" si="91"/>
        <v>Q429</v>
      </c>
      <c r="D57" s="28" t="e">
        <f ca="1">INDEX(ICE[], MATCH(D$18 &amp; TEXT(NGL!$A57, "mmmyy"), ICE[LongCode], 0), MATCH("Settle", ICE[#Headers], 0))</f>
        <v>#N/A</v>
      </c>
      <c r="E57" s="28" t="e">
        <f ca="1">INDEX(ICE[], MATCH(E$18 &amp; TEXT(NGL!$A57, "mmmyy"), ICE[LongCode], 0), MATCH("Settle", ICE[#Headers], 0))*100</f>
        <v>#N/A</v>
      </c>
      <c r="F57" s="28" t="e">
        <f ca="1">INDEX(ICE[], MATCH(F$18 &amp; TEXT(NGL!$A57, "mmmyy"), ICE[LongCode], 0), MATCH("Settle", ICE[#Headers], 0))*100</f>
        <v>#N/A</v>
      </c>
      <c r="G57" s="28" t="e">
        <f ca="1">INDEX(ICE[], MATCH(G$18 &amp; TEXT(NGL!$A57, "mmmyy"), ICE[LongCode], 0), MATCH("Settle", ICE[#Headers], 0))*100</f>
        <v>#N/A</v>
      </c>
      <c r="H57" s="28" t="e">
        <f ca="1">INDEX(ICE[], MATCH(H$18 &amp; TEXT(NGL!$A57, "mmmyy"), ICE[LongCode], 0), MATCH("Settle", ICE[#Headers], 0))*100</f>
        <v>#N/A</v>
      </c>
      <c r="I57" s="28" t="e">
        <f ca="1">INDEX(ICE[], MATCH(I$18 &amp; TEXT(NGL!$A57, "mmmyy"), ICE[LongCode], 0), MATCH("Settle", ICE[#Headers], 0))</f>
        <v>#N/A</v>
      </c>
      <c r="J57" s="397"/>
      <c r="K57" s="364" t="str">
        <f ca="1">IFERROR(INDEX(ICE[], MATCH("propnap" &amp; TEXT(NGL!$A57, "mmmyy"), ICE[LongCode], 0), MATCH("Text", ICE[#Headers], 0)), "")</f>
        <v/>
      </c>
      <c r="L57" s="46" t="str">
        <f t="shared" ca="1" si="90"/>
        <v/>
      </c>
      <c r="M57" s="47" t="str">
        <f t="shared" si="92"/>
        <v/>
      </c>
      <c r="N57" s="46" t="str">
        <f t="shared" ca="1" si="108"/>
        <v/>
      </c>
      <c r="O57" s="141" t="str">
        <f ca="1">IFERROR(IF(AND(ISNUMBER(Lts!$N57), ISNUMBER($J57)), Lts!$N57 + $J57, ""), "")</f>
        <v/>
      </c>
      <c r="P57" s="46" t="str">
        <f ca="1">IFERROR(IF(AND(ISNUMBER(Lts!$O57), ISNUMBER($L57)), Lts!$O57 + $L57, ""), "")</f>
        <v/>
      </c>
      <c r="Q57" s="47" t="str">
        <f t="shared" ca="1" si="109"/>
        <v/>
      </c>
      <c r="R57" s="46" t="str">
        <f t="shared" ca="1" si="110"/>
        <v/>
      </c>
      <c r="S57" s="141" t="str">
        <f ca="1">IFERROR(IF(AND(ISNUMBER(Futs!$CC57), ISNUMBER($O57)), $O57/12.4 - Futs!$CC57, ""), "")</f>
        <v/>
      </c>
      <c r="T57" s="67" t="str">
        <f ca="1">IFERROR(IF(AND(ISNUMBER(Futs!$CD57), ISNUMBER($P57)), $P57/12.4 - Futs!$CD57, ""), "")</f>
        <v/>
      </c>
      <c r="U57" s="47" t="str">
        <f t="shared" ca="1" si="111"/>
        <v/>
      </c>
      <c r="V57" s="46" t="str">
        <f t="shared" ca="1" si="112"/>
        <v/>
      </c>
      <c r="W57" s="397"/>
      <c r="X57" s="364" t="str">
        <f ca="1">IFERROR(INDEX(ICE[], MATCH("c3tet" &amp; TEXT(NGL!$A57, "mmmyy"), ICE[LongCode], 0), MATCH("Text", ICE[#Headers], 0)), "")</f>
        <v/>
      </c>
      <c r="Y57" s="46" t="str">
        <f t="shared" ca="1" si="93"/>
        <v/>
      </c>
      <c r="Z57" s="47" t="str">
        <f t="shared" si="113"/>
        <v/>
      </c>
      <c r="AA57" s="46" t="str">
        <f t="shared" ca="1" si="114"/>
        <v/>
      </c>
      <c r="AB57" s="141" t="str">
        <f ca="1">IFERROR(IF(AND(ISNUMBER(Futs!$BY57), ISNUMBER($W57)), $W57*42/100 - Futs!$BY57, ""), "")</f>
        <v/>
      </c>
      <c r="AC57" s="67" t="str">
        <f ca="1">IFERROR(IF(AND(ISNUMBER(Futs!$BZ57), ISNUMBER($Y57)), $Y57*42/100 - Futs!$BZ57, ""), "")</f>
        <v/>
      </c>
      <c r="AD57" s="47" t="str">
        <f t="shared" ca="1" si="115"/>
        <v/>
      </c>
      <c r="AE57" s="46" t="str">
        <f t="shared" ca="1" si="116"/>
        <v/>
      </c>
      <c r="AF57" s="141" t="str">
        <f t="shared" ca="1" si="94"/>
        <v/>
      </c>
      <c r="AG57" s="67" t="str">
        <f t="shared" ca="1" si="95"/>
        <v/>
      </c>
      <c r="AH57" s="47" t="str">
        <f t="shared" ca="1" si="117"/>
        <v/>
      </c>
      <c r="AI57" s="46" t="str">
        <f t="shared" ca="1" si="118"/>
        <v/>
      </c>
      <c r="AJ57" s="397"/>
      <c r="AK57" s="364" t="str">
        <f ca="1">IFERROR(INDEX(ICE[], MATCH("c4ntet" &amp; TEXT(NGL!$A57, "mmmyy"), ICE[LongCode], 0), MATCH("Text", ICE[#Headers], 0)), "")</f>
        <v/>
      </c>
      <c r="AL57" s="46" t="str">
        <f t="shared" ca="1" si="96"/>
        <v/>
      </c>
      <c r="AM57" s="47" t="str">
        <f t="shared" si="119"/>
        <v/>
      </c>
      <c r="AN57" s="46" t="str">
        <f t="shared" ca="1" si="120"/>
        <v/>
      </c>
      <c r="AO57" s="141" t="str">
        <f t="shared" si="97"/>
        <v/>
      </c>
      <c r="AP57" s="46" t="str">
        <f t="shared" ca="1" si="98"/>
        <v/>
      </c>
      <c r="AQ57" s="47" t="str">
        <f t="shared" si="121"/>
        <v/>
      </c>
      <c r="AR57" s="46" t="str">
        <f t="shared" ca="1" si="122"/>
        <v/>
      </c>
      <c r="AS57" s="141" t="str">
        <f ca="1">IFERROR(IF(AND(ISNUMBER(Futs!$BY57), ISNUMBER($AJ57)), $AJ57*42/100 - Futs!$BY57, ""), "")</f>
        <v/>
      </c>
      <c r="AT57" s="67" t="str">
        <f ca="1">IFERROR(IF(AND(ISNUMBER(Futs!$BZ57), ISNUMBER($AL57)), $AL57*42/100 - Futs!$BZ57, ""), "")</f>
        <v/>
      </c>
      <c r="AU57" s="47" t="str">
        <f t="shared" ca="1" si="123"/>
        <v/>
      </c>
      <c r="AV57" s="46" t="str">
        <f t="shared" ca="1" si="124"/>
        <v/>
      </c>
      <c r="AW57" s="397"/>
      <c r="AX57" s="364" t="str">
        <f ca="1">IFERROR(INDEX(ICE[], MATCH("ic4ntet" &amp; TEXT(NGL!$A57, "mmmyy"), ICE[LongCode], 0), MATCH("Text", ICE[#Headers], 0)), "")</f>
        <v/>
      </c>
      <c r="AY57" s="46" t="str">
        <f t="shared" ca="1" si="99"/>
        <v/>
      </c>
      <c r="AZ57" s="47" t="str">
        <f t="shared" si="125"/>
        <v/>
      </c>
      <c r="BA57" s="46" t="str">
        <f t="shared" ca="1" si="126"/>
        <v/>
      </c>
      <c r="BB57" s="141" t="str">
        <f t="shared" si="100"/>
        <v/>
      </c>
      <c r="BC57" s="46" t="str">
        <f t="shared" ca="1" si="101"/>
        <v/>
      </c>
      <c r="BD57" s="47" t="str">
        <f t="shared" si="127"/>
        <v/>
      </c>
      <c r="BE57" s="46" t="str">
        <f t="shared" ca="1" si="128"/>
        <v/>
      </c>
      <c r="BF57" s="397"/>
      <c r="BG57" s="364" t="str">
        <f ca="1">IFERROR(INDEX(ICE[], MATCH("ngasntet" &amp; TEXT(NGL!$A57, "mmmyy"), ICE[LongCode], 0), MATCH("Text", ICE[#Headers], 0)), "")</f>
        <v/>
      </c>
      <c r="BH57" s="46" t="str">
        <f t="shared" ca="1" si="102"/>
        <v/>
      </c>
      <c r="BI57" s="47" t="str">
        <f t="shared" si="129"/>
        <v/>
      </c>
      <c r="BJ57" s="46" t="str">
        <f t="shared" ca="1" si="130"/>
        <v/>
      </c>
      <c r="BK57" s="141" t="str">
        <f ca="1">IFERROR(IF(AND(ISNUMBER(Futs!$BY57), ISNUMBER($BF57)), $BF57*42/100 - Futs!$BY57, ""), "")</f>
        <v/>
      </c>
      <c r="BL57" s="67" t="str">
        <f ca="1">IFERROR(IF(AND(ISNUMBER(Futs!$BZ57), ISNUMBER($BH57)), $BH57*42/100 - Futs!$BZ57, ""), "")</f>
        <v/>
      </c>
      <c r="BM57" s="47" t="str">
        <f t="shared" ca="1" si="131"/>
        <v/>
      </c>
      <c r="BN57" s="111" t="str">
        <f t="shared" ca="1" si="132"/>
        <v/>
      </c>
      <c r="BO57" s="397"/>
      <c r="BP57" s="364" t="str">
        <f ca="1">IFERROR(INDEX(ICE[], MATCH("c3ew" &amp; TEXT(NGL!$A57, "mmmyy"), ICE[LongCode], 0), MATCH("Text", ICE[#Headers], 0)), "")</f>
        <v/>
      </c>
      <c r="BQ57" s="46" t="str">
        <f t="shared" ca="1" si="103"/>
        <v/>
      </c>
      <c r="BR57" s="47" t="str">
        <f t="shared" si="133"/>
        <v/>
      </c>
      <c r="BS57" s="46" t="str">
        <f t="shared" ca="1" si="134"/>
        <v/>
      </c>
      <c r="BT57" s="141" t="str">
        <f t="shared" ca="1" si="104"/>
        <v/>
      </c>
      <c r="BU57" s="46" t="str">
        <f t="shared" ca="1" si="105"/>
        <v/>
      </c>
      <c r="BV57" s="47" t="str">
        <f t="shared" ca="1" si="135"/>
        <v/>
      </c>
      <c r="BW57" s="46" t="str">
        <f t="shared" ca="1" si="136"/>
        <v/>
      </c>
      <c r="BX57" s="141" t="str">
        <f ca="1">IFERROR(IF(AND(ISNUMBER(Futs!$CC57), ISNUMBER($BT57)), $BT57/12.4 - Futs!$CC57, ""), "")</f>
        <v/>
      </c>
      <c r="BY57" s="67" t="str">
        <f t="shared" ca="1" si="106"/>
        <v/>
      </c>
      <c r="BZ57" s="47" t="str">
        <f t="shared" ca="1" si="137"/>
        <v/>
      </c>
      <c r="CA57" s="46" t="str">
        <f t="shared" ca="1" si="138"/>
        <v/>
      </c>
    </row>
    <row r="58" spans="1:79" x14ac:dyDescent="0.25">
      <c r="A58" s="58">
        <f t="shared" ca="1" si="107"/>
        <v>47453</v>
      </c>
      <c r="B58" s="6">
        <f t="shared" ca="1" si="89"/>
        <v>2029</v>
      </c>
      <c r="C58" s="6" t="str">
        <f t="shared" ca="1" si="91"/>
        <v>Q429</v>
      </c>
      <c r="D58" s="28" t="e">
        <f ca="1">INDEX(ICE[], MATCH(D$18 &amp; TEXT(NGL!$A58, "mmmyy"), ICE[LongCode], 0), MATCH("Settle", ICE[#Headers], 0))</f>
        <v>#N/A</v>
      </c>
      <c r="E58" s="28" t="e">
        <f ca="1">INDEX(ICE[], MATCH(E$18 &amp; TEXT(NGL!$A58, "mmmyy"), ICE[LongCode], 0), MATCH("Settle", ICE[#Headers], 0))*100</f>
        <v>#N/A</v>
      </c>
      <c r="F58" s="28" t="e">
        <f ca="1">INDEX(ICE[], MATCH(F$18 &amp; TEXT(NGL!$A58, "mmmyy"), ICE[LongCode], 0), MATCH("Settle", ICE[#Headers], 0))*100</f>
        <v>#N/A</v>
      </c>
      <c r="G58" s="28" t="e">
        <f ca="1">INDEX(ICE[], MATCH(G$18 &amp; TEXT(NGL!$A58, "mmmyy"), ICE[LongCode], 0), MATCH("Settle", ICE[#Headers], 0))*100</f>
        <v>#N/A</v>
      </c>
      <c r="H58" s="28" t="e">
        <f ca="1">INDEX(ICE[], MATCH(H$18 &amp; TEXT(NGL!$A58, "mmmyy"), ICE[LongCode], 0), MATCH("Settle", ICE[#Headers], 0))*100</f>
        <v>#N/A</v>
      </c>
      <c r="I58" s="28" t="e">
        <f ca="1">INDEX(ICE[], MATCH(I$18 &amp; TEXT(NGL!$A58, "mmmyy"), ICE[LongCode], 0), MATCH("Settle", ICE[#Headers], 0))</f>
        <v>#N/A</v>
      </c>
      <c r="J58" s="397"/>
      <c r="K58" s="364" t="str">
        <f ca="1">IFERROR(INDEX(ICE[], MATCH("propnap" &amp; TEXT(NGL!$A58, "mmmyy"), ICE[LongCode], 0), MATCH("Text", ICE[#Headers], 0)), "")</f>
        <v/>
      </c>
      <c r="L58" s="46" t="str">
        <f t="shared" ca="1" si="90"/>
        <v/>
      </c>
      <c r="M58" s="47" t="str">
        <f t="shared" si="92"/>
        <v/>
      </c>
      <c r="N58" s="46" t="str">
        <f t="shared" ca="1" si="108"/>
        <v/>
      </c>
      <c r="O58" s="141" t="str">
        <f ca="1">IFERROR(IF(AND(ISNUMBER(Lts!$N58), ISNUMBER($J58)), Lts!$N58 + $J58, ""), "")</f>
        <v/>
      </c>
      <c r="P58" s="46" t="str">
        <f ca="1">IFERROR(IF(AND(ISNUMBER(Lts!$O58), ISNUMBER($L58)), Lts!$O58 + $L58, ""), "")</f>
        <v/>
      </c>
      <c r="Q58" s="47" t="str">
        <f t="shared" ca="1" si="109"/>
        <v/>
      </c>
      <c r="R58" s="46" t="str">
        <f t="shared" ca="1" si="110"/>
        <v/>
      </c>
      <c r="S58" s="141" t="str">
        <f ca="1">IFERROR(IF(AND(ISNUMBER(Futs!$CC58), ISNUMBER($O58)), $O58/12.4 - Futs!$CC58, ""), "")</f>
        <v/>
      </c>
      <c r="T58" s="67" t="str">
        <f ca="1">IFERROR(IF(AND(ISNUMBER(Futs!$CD58), ISNUMBER($P58)), $P58/12.4 - Futs!$CD58, ""), "")</f>
        <v/>
      </c>
      <c r="U58" s="47" t="str">
        <f t="shared" ca="1" si="111"/>
        <v/>
      </c>
      <c r="V58" s="46" t="str">
        <f t="shared" ca="1" si="112"/>
        <v/>
      </c>
      <c r="W58" s="397"/>
      <c r="X58" s="364" t="str">
        <f ca="1">IFERROR(INDEX(ICE[], MATCH("c3tet" &amp; TEXT(NGL!$A58, "mmmyy"), ICE[LongCode], 0), MATCH("Text", ICE[#Headers], 0)), "")</f>
        <v/>
      </c>
      <c r="Y58" s="46" t="str">
        <f t="shared" ca="1" si="93"/>
        <v/>
      </c>
      <c r="Z58" s="47" t="str">
        <f t="shared" si="113"/>
        <v/>
      </c>
      <c r="AA58" s="46" t="str">
        <f t="shared" ca="1" si="114"/>
        <v/>
      </c>
      <c r="AB58" s="141" t="str">
        <f ca="1">IFERROR(IF(AND(ISNUMBER(Futs!$BY58), ISNUMBER($W58)), $W58*42/100 - Futs!$BY58, ""), "")</f>
        <v/>
      </c>
      <c r="AC58" s="67" t="str">
        <f ca="1">IFERROR(IF(AND(ISNUMBER(Futs!$BZ58), ISNUMBER($Y58)), $Y58*42/100 - Futs!$BZ58, ""), "")</f>
        <v/>
      </c>
      <c r="AD58" s="47" t="str">
        <f t="shared" ca="1" si="115"/>
        <v/>
      </c>
      <c r="AE58" s="46" t="str">
        <f t="shared" ca="1" si="116"/>
        <v/>
      </c>
      <c r="AF58" s="141" t="str">
        <f t="shared" ca="1" si="94"/>
        <v/>
      </c>
      <c r="AG58" s="67" t="str">
        <f t="shared" ca="1" si="95"/>
        <v/>
      </c>
      <c r="AH58" s="47" t="str">
        <f t="shared" ca="1" si="117"/>
        <v/>
      </c>
      <c r="AI58" s="46" t="str">
        <f t="shared" ca="1" si="118"/>
        <v/>
      </c>
      <c r="AJ58" s="397"/>
      <c r="AK58" s="364" t="str">
        <f ca="1">IFERROR(INDEX(ICE[], MATCH("c4ntet" &amp; TEXT(NGL!$A58, "mmmyy"), ICE[LongCode], 0), MATCH("Text", ICE[#Headers], 0)), "")</f>
        <v/>
      </c>
      <c r="AL58" s="46" t="str">
        <f t="shared" ca="1" si="96"/>
        <v/>
      </c>
      <c r="AM58" s="47" t="str">
        <f t="shared" si="119"/>
        <v/>
      </c>
      <c r="AN58" s="46" t="str">
        <f t="shared" ca="1" si="120"/>
        <v/>
      </c>
      <c r="AO58" s="141" t="str">
        <f t="shared" si="97"/>
        <v/>
      </c>
      <c r="AP58" s="46" t="str">
        <f t="shared" ca="1" si="98"/>
        <v/>
      </c>
      <c r="AQ58" s="47" t="str">
        <f t="shared" si="121"/>
        <v/>
      </c>
      <c r="AR58" s="46" t="str">
        <f t="shared" ca="1" si="122"/>
        <v/>
      </c>
      <c r="AS58" s="141" t="str">
        <f ca="1">IFERROR(IF(AND(ISNUMBER(Futs!$BY58), ISNUMBER($AJ58)), $AJ58*42/100 - Futs!$BY58, ""), "")</f>
        <v/>
      </c>
      <c r="AT58" s="67" t="str">
        <f ca="1">IFERROR(IF(AND(ISNUMBER(Futs!$BZ58), ISNUMBER($AL58)), $AL58*42/100 - Futs!$BZ58, ""), "")</f>
        <v/>
      </c>
      <c r="AU58" s="47" t="str">
        <f t="shared" ca="1" si="123"/>
        <v/>
      </c>
      <c r="AV58" s="46" t="str">
        <f t="shared" ca="1" si="124"/>
        <v/>
      </c>
      <c r="AW58" s="397"/>
      <c r="AX58" s="364" t="str">
        <f ca="1">IFERROR(INDEX(ICE[], MATCH("ic4ntet" &amp; TEXT(NGL!$A58, "mmmyy"), ICE[LongCode], 0), MATCH("Text", ICE[#Headers], 0)), "")</f>
        <v/>
      </c>
      <c r="AY58" s="46" t="str">
        <f t="shared" ca="1" si="99"/>
        <v/>
      </c>
      <c r="AZ58" s="47" t="str">
        <f t="shared" si="125"/>
        <v/>
      </c>
      <c r="BA58" s="46" t="str">
        <f t="shared" ca="1" si="126"/>
        <v/>
      </c>
      <c r="BB58" s="141" t="str">
        <f t="shared" si="100"/>
        <v/>
      </c>
      <c r="BC58" s="46" t="str">
        <f t="shared" ca="1" si="101"/>
        <v/>
      </c>
      <c r="BD58" s="47" t="str">
        <f t="shared" si="127"/>
        <v/>
      </c>
      <c r="BE58" s="46" t="str">
        <f t="shared" ca="1" si="128"/>
        <v/>
      </c>
      <c r="BF58" s="397"/>
      <c r="BG58" s="364" t="str">
        <f ca="1">IFERROR(INDEX(ICE[], MATCH("ngasntet" &amp; TEXT(NGL!$A58, "mmmyy"), ICE[LongCode], 0), MATCH("Text", ICE[#Headers], 0)), "")</f>
        <v/>
      </c>
      <c r="BH58" s="46" t="str">
        <f t="shared" ca="1" si="102"/>
        <v/>
      </c>
      <c r="BI58" s="47" t="str">
        <f t="shared" si="129"/>
        <v/>
      </c>
      <c r="BJ58" s="46" t="str">
        <f t="shared" ca="1" si="130"/>
        <v/>
      </c>
      <c r="BK58" s="141" t="str">
        <f ca="1">IFERROR(IF(AND(ISNUMBER(Futs!$BY58), ISNUMBER($BF58)), $BF58*42/100 - Futs!$BY58, ""), "")</f>
        <v/>
      </c>
      <c r="BL58" s="67" t="str">
        <f ca="1">IFERROR(IF(AND(ISNUMBER(Futs!$BZ58), ISNUMBER($BH58)), $BH58*42/100 - Futs!$BZ58, ""), "")</f>
        <v/>
      </c>
      <c r="BM58" s="47" t="str">
        <f t="shared" ca="1" si="131"/>
        <v/>
      </c>
      <c r="BN58" s="111" t="str">
        <f t="shared" ca="1" si="132"/>
        <v/>
      </c>
      <c r="BO58" s="397"/>
      <c r="BP58" s="364" t="str">
        <f ca="1">IFERROR(INDEX(ICE[], MATCH("c3ew" &amp; TEXT(NGL!$A58, "mmmyy"), ICE[LongCode], 0), MATCH("Text", ICE[#Headers], 0)), "")</f>
        <v/>
      </c>
      <c r="BQ58" s="46" t="str">
        <f t="shared" ca="1" si="103"/>
        <v/>
      </c>
      <c r="BR58" s="47" t="str">
        <f t="shared" si="133"/>
        <v/>
      </c>
      <c r="BS58" s="46" t="str">
        <f t="shared" ca="1" si="134"/>
        <v/>
      </c>
      <c r="BT58" s="141" t="str">
        <f t="shared" ca="1" si="104"/>
        <v/>
      </c>
      <c r="BU58" s="46" t="str">
        <f t="shared" ca="1" si="105"/>
        <v/>
      </c>
      <c r="BV58" s="47" t="str">
        <f t="shared" ca="1" si="135"/>
        <v/>
      </c>
      <c r="BW58" s="46" t="str">
        <f t="shared" ca="1" si="136"/>
        <v/>
      </c>
      <c r="BX58" s="141" t="str">
        <f ca="1">IFERROR(IF(AND(ISNUMBER(Futs!$CC58), ISNUMBER($BT58)), $BT58/12.4 - Futs!$CC58, ""), "")</f>
        <v/>
      </c>
      <c r="BY58" s="67" t="str">
        <f t="shared" ca="1" si="106"/>
        <v/>
      </c>
      <c r="BZ58" s="47" t="str">
        <f t="shared" ca="1" si="137"/>
        <v/>
      </c>
      <c r="CA58" s="46" t="str">
        <f t="shared" ca="1" si="138"/>
        <v/>
      </c>
    </row>
    <row r="59" spans="1:79" x14ac:dyDescent="0.25">
      <c r="A59" s="58">
        <f t="shared" ca="1" si="107"/>
        <v>47484</v>
      </c>
      <c r="B59" s="6">
        <f t="shared" ca="1" si="89"/>
        <v>2030</v>
      </c>
      <c r="C59" s="6" t="str">
        <f t="shared" ca="1" si="91"/>
        <v>Q130</v>
      </c>
      <c r="D59" s="28" t="e">
        <f ca="1">INDEX(ICE[], MATCH(D$18 &amp; TEXT(NGL!$A59, "mmmyy"), ICE[LongCode], 0), MATCH("Settle", ICE[#Headers], 0))</f>
        <v>#N/A</v>
      </c>
      <c r="E59" s="28" t="e">
        <f ca="1">INDEX(ICE[], MATCH(E$18 &amp; TEXT(NGL!$A59, "mmmyy"), ICE[LongCode], 0), MATCH("Settle", ICE[#Headers], 0))*100</f>
        <v>#N/A</v>
      </c>
      <c r="F59" s="28" t="e">
        <f ca="1">INDEX(ICE[], MATCH(F$18 &amp; TEXT(NGL!$A59, "mmmyy"), ICE[LongCode], 0), MATCH("Settle", ICE[#Headers], 0))*100</f>
        <v>#N/A</v>
      </c>
      <c r="G59" s="28" t="e">
        <f ca="1">INDEX(ICE[], MATCH(G$18 &amp; TEXT(NGL!$A59, "mmmyy"), ICE[LongCode], 0), MATCH("Settle", ICE[#Headers], 0))*100</f>
        <v>#N/A</v>
      </c>
      <c r="H59" s="28" t="e">
        <f ca="1">INDEX(ICE[], MATCH(H$18 &amp; TEXT(NGL!$A59, "mmmyy"), ICE[LongCode], 0), MATCH("Settle", ICE[#Headers], 0))*100</f>
        <v>#N/A</v>
      </c>
      <c r="I59" s="28" t="e">
        <f ca="1">INDEX(ICE[], MATCH(I$18 &amp; TEXT(NGL!$A59, "mmmyy"), ICE[LongCode], 0), MATCH("Settle", ICE[#Headers], 0))</f>
        <v>#N/A</v>
      </c>
      <c r="J59" s="397"/>
      <c r="K59" s="364" t="str">
        <f ca="1">IFERROR(INDEX(ICE[], MATCH("propnap" &amp; TEXT(NGL!$A59, "mmmyy"), ICE[LongCode], 0), MATCH("Text", ICE[#Headers], 0)), "")</f>
        <v/>
      </c>
      <c r="L59" s="46" t="str">
        <f t="shared" ca="1" si="90"/>
        <v/>
      </c>
      <c r="M59" s="47" t="str">
        <f t="shared" si="92"/>
        <v/>
      </c>
      <c r="N59" s="46" t="str">
        <f t="shared" ca="1" si="108"/>
        <v/>
      </c>
      <c r="O59" s="141" t="str">
        <f ca="1">IFERROR(IF(AND(ISNUMBER(Lts!$N59), ISNUMBER($J59)), Lts!$N59 + $J59, ""), "")</f>
        <v/>
      </c>
      <c r="P59" s="46" t="str">
        <f ca="1">IFERROR(IF(AND(ISNUMBER(Lts!$O59), ISNUMBER($L59)), Lts!$O59 + $L59, ""), "")</f>
        <v/>
      </c>
      <c r="Q59" s="47" t="str">
        <f t="shared" ca="1" si="109"/>
        <v/>
      </c>
      <c r="R59" s="46" t="str">
        <f t="shared" ca="1" si="110"/>
        <v/>
      </c>
      <c r="S59" s="141" t="str">
        <f ca="1">IFERROR(IF(AND(ISNUMBER(Futs!$CC59), ISNUMBER($O59)), $O59/12.4 - Futs!$CC59, ""), "")</f>
        <v/>
      </c>
      <c r="T59" s="67" t="str">
        <f ca="1">IFERROR(IF(AND(ISNUMBER(Futs!$CD59), ISNUMBER($P59)), $P59/12.4 - Futs!$CD59, ""), "")</f>
        <v/>
      </c>
      <c r="U59" s="47" t="str">
        <f t="shared" ca="1" si="111"/>
        <v/>
      </c>
      <c r="V59" s="46" t="str">
        <f t="shared" ca="1" si="112"/>
        <v/>
      </c>
      <c r="W59" s="397"/>
      <c r="X59" s="364" t="str">
        <f ca="1">IFERROR(INDEX(ICE[], MATCH("c3tet" &amp; TEXT(NGL!$A59, "mmmyy"), ICE[LongCode], 0), MATCH("Text", ICE[#Headers], 0)), "")</f>
        <v/>
      </c>
      <c r="Y59" s="46" t="str">
        <f t="shared" ca="1" si="93"/>
        <v/>
      </c>
      <c r="Z59" s="47" t="str">
        <f t="shared" si="113"/>
        <v/>
      </c>
      <c r="AA59" s="46" t="str">
        <f t="shared" ca="1" si="114"/>
        <v/>
      </c>
      <c r="AB59" s="141" t="str">
        <f ca="1">IFERROR(IF(AND(ISNUMBER(Futs!$BY59), ISNUMBER($W59)), $W59*42/100 - Futs!$BY59, ""), "")</f>
        <v/>
      </c>
      <c r="AC59" s="67" t="str">
        <f ca="1">IFERROR(IF(AND(ISNUMBER(Futs!$BZ59), ISNUMBER($Y59)), $Y59*42/100 - Futs!$BZ59, ""), "")</f>
        <v/>
      </c>
      <c r="AD59" s="47" t="str">
        <f t="shared" ca="1" si="115"/>
        <v/>
      </c>
      <c r="AE59" s="46" t="str">
        <f t="shared" ca="1" si="116"/>
        <v/>
      </c>
      <c r="AF59" s="141" t="str">
        <f t="shared" ca="1" si="94"/>
        <v/>
      </c>
      <c r="AG59" s="67" t="str">
        <f t="shared" ca="1" si="95"/>
        <v/>
      </c>
      <c r="AH59" s="47" t="str">
        <f t="shared" ca="1" si="117"/>
        <v/>
      </c>
      <c r="AI59" s="46" t="str">
        <f t="shared" ca="1" si="118"/>
        <v/>
      </c>
      <c r="AJ59" s="397"/>
      <c r="AK59" s="364" t="str">
        <f ca="1">IFERROR(INDEX(ICE[], MATCH("c4ntet" &amp; TEXT(NGL!$A59, "mmmyy"), ICE[LongCode], 0), MATCH("Text", ICE[#Headers], 0)), "")</f>
        <v/>
      </c>
      <c r="AL59" s="46" t="str">
        <f t="shared" ca="1" si="96"/>
        <v/>
      </c>
      <c r="AM59" s="47" t="str">
        <f t="shared" si="119"/>
        <v/>
      </c>
      <c r="AN59" s="46" t="str">
        <f t="shared" ca="1" si="120"/>
        <v/>
      </c>
      <c r="AO59" s="141" t="str">
        <f t="shared" si="97"/>
        <v/>
      </c>
      <c r="AP59" s="46" t="str">
        <f t="shared" ca="1" si="98"/>
        <v/>
      </c>
      <c r="AQ59" s="47" t="str">
        <f t="shared" si="121"/>
        <v/>
      </c>
      <c r="AR59" s="46" t="str">
        <f t="shared" ca="1" si="122"/>
        <v/>
      </c>
      <c r="AS59" s="141" t="str">
        <f ca="1">IFERROR(IF(AND(ISNUMBER(Futs!$BY59), ISNUMBER($AJ59)), $AJ59*42/100 - Futs!$BY59, ""), "")</f>
        <v/>
      </c>
      <c r="AT59" s="67" t="str">
        <f ca="1">IFERROR(IF(AND(ISNUMBER(Futs!$BZ59), ISNUMBER($AL59)), $AL59*42/100 - Futs!$BZ59, ""), "")</f>
        <v/>
      </c>
      <c r="AU59" s="47" t="str">
        <f t="shared" ca="1" si="123"/>
        <v/>
      </c>
      <c r="AV59" s="46" t="str">
        <f t="shared" ca="1" si="124"/>
        <v/>
      </c>
      <c r="AW59" s="397"/>
      <c r="AX59" s="364" t="str">
        <f ca="1">IFERROR(INDEX(ICE[], MATCH("ic4ntet" &amp; TEXT(NGL!$A59, "mmmyy"), ICE[LongCode], 0), MATCH("Text", ICE[#Headers], 0)), "")</f>
        <v/>
      </c>
      <c r="AY59" s="46" t="str">
        <f t="shared" ca="1" si="99"/>
        <v/>
      </c>
      <c r="AZ59" s="47" t="str">
        <f t="shared" si="125"/>
        <v/>
      </c>
      <c r="BA59" s="46" t="str">
        <f t="shared" ca="1" si="126"/>
        <v/>
      </c>
      <c r="BB59" s="141" t="str">
        <f t="shared" si="100"/>
        <v/>
      </c>
      <c r="BC59" s="46" t="str">
        <f t="shared" ca="1" si="101"/>
        <v/>
      </c>
      <c r="BD59" s="47" t="str">
        <f t="shared" si="127"/>
        <v/>
      </c>
      <c r="BE59" s="46" t="str">
        <f t="shared" ca="1" si="128"/>
        <v/>
      </c>
      <c r="BF59" s="397"/>
      <c r="BG59" s="364" t="str">
        <f ca="1">IFERROR(INDEX(ICE[], MATCH("ngasntet" &amp; TEXT(NGL!$A59, "mmmyy"), ICE[LongCode], 0), MATCH("Text", ICE[#Headers], 0)), "")</f>
        <v/>
      </c>
      <c r="BH59" s="46" t="str">
        <f t="shared" ca="1" si="102"/>
        <v/>
      </c>
      <c r="BI59" s="47" t="str">
        <f t="shared" si="129"/>
        <v/>
      </c>
      <c r="BJ59" s="46" t="str">
        <f t="shared" ca="1" si="130"/>
        <v/>
      </c>
      <c r="BK59" s="141" t="str">
        <f ca="1">IFERROR(IF(AND(ISNUMBER(Futs!$BY59), ISNUMBER($BF59)), $BF59*42/100 - Futs!$BY59, ""), "")</f>
        <v/>
      </c>
      <c r="BL59" s="67" t="str">
        <f ca="1">IFERROR(IF(AND(ISNUMBER(Futs!$BZ59), ISNUMBER($BH59)), $BH59*42/100 - Futs!$BZ59, ""), "")</f>
        <v/>
      </c>
      <c r="BM59" s="47" t="str">
        <f t="shared" ca="1" si="131"/>
        <v/>
      </c>
      <c r="BN59" s="111" t="str">
        <f t="shared" ca="1" si="132"/>
        <v/>
      </c>
      <c r="BO59" s="397"/>
      <c r="BP59" s="364" t="str">
        <f ca="1">IFERROR(INDEX(ICE[], MATCH("c3ew" &amp; TEXT(NGL!$A59, "mmmyy"), ICE[LongCode], 0), MATCH("Text", ICE[#Headers], 0)), "")</f>
        <v/>
      </c>
      <c r="BQ59" s="46" t="str">
        <f t="shared" ca="1" si="103"/>
        <v/>
      </c>
      <c r="BR59" s="47" t="str">
        <f t="shared" si="133"/>
        <v/>
      </c>
      <c r="BS59" s="46" t="str">
        <f t="shared" ca="1" si="134"/>
        <v/>
      </c>
      <c r="BT59" s="141" t="str">
        <f t="shared" ca="1" si="104"/>
        <v/>
      </c>
      <c r="BU59" s="46" t="str">
        <f t="shared" ca="1" si="105"/>
        <v/>
      </c>
      <c r="BV59" s="47" t="str">
        <f t="shared" ca="1" si="135"/>
        <v/>
      </c>
      <c r="BW59" s="46" t="str">
        <f t="shared" ca="1" si="136"/>
        <v/>
      </c>
      <c r="BX59" s="141" t="str">
        <f ca="1">IFERROR(IF(AND(ISNUMBER(Futs!$CC59), ISNUMBER($BT59)), $BT59/12.4 - Futs!$CC59, ""), "")</f>
        <v/>
      </c>
      <c r="BY59" s="67" t="str">
        <f t="shared" ca="1" si="106"/>
        <v/>
      </c>
      <c r="BZ59" s="47" t="str">
        <f t="shared" ca="1" si="137"/>
        <v/>
      </c>
      <c r="CA59" s="46" t="str">
        <f t="shared" ca="1" si="138"/>
        <v/>
      </c>
    </row>
    <row r="60" spans="1:79" x14ac:dyDescent="0.25">
      <c r="A60" s="58">
        <f t="shared" ca="1" si="107"/>
        <v>47515</v>
      </c>
      <c r="B60" s="6">
        <f t="shared" ca="1" si="89"/>
        <v>2030</v>
      </c>
      <c r="C60" s="6" t="str">
        <f t="shared" ca="1" si="91"/>
        <v>Q130</v>
      </c>
      <c r="D60" s="28" t="e">
        <f ca="1">INDEX(ICE[], MATCH(D$18 &amp; TEXT(NGL!$A60, "mmmyy"), ICE[LongCode], 0), MATCH("Settle", ICE[#Headers], 0))</f>
        <v>#N/A</v>
      </c>
      <c r="E60" s="28" t="e">
        <f ca="1">INDEX(ICE[], MATCH(E$18 &amp; TEXT(NGL!$A60, "mmmyy"), ICE[LongCode], 0), MATCH("Settle", ICE[#Headers], 0))*100</f>
        <v>#N/A</v>
      </c>
      <c r="F60" s="28" t="e">
        <f ca="1">INDEX(ICE[], MATCH(F$18 &amp; TEXT(NGL!$A60, "mmmyy"), ICE[LongCode], 0), MATCH("Settle", ICE[#Headers], 0))*100</f>
        <v>#N/A</v>
      </c>
      <c r="G60" s="28" t="e">
        <f ca="1">INDEX(ICE[], MATCH(G$18 &amp; TEXT(NGL!$A60, "mmmyy"), ICE[LongCode], 0), MATCH("Settle", ICE[#Headers], 0))*100</f>
        <v>#N/A</v>
      </c>
      <c r="H60" s="28" t="e">
        <f ca="1">INDEX(ICE[], MATCH(H$18 &amp; TEXT(NGL!$A60, "mmmyy"), ICE[LongCode], 0), MATCH("Settle", ICE[#Headers], 0))*100</f>
        <v>#N/A</v>
      </c>
      <c r="I60" s="28" t="e">
        <f ca="1">INDEX(ICE[], MATCH(I$18 &amp; TEXT(NGL!$A60, "mmmyy"), ICE[LongCode], 0), MATCH("Settle", ICE[#Headers], 0))</f>
        <v>#N/A</v>
      </c>
      <c r="J60" s="397"/>
      <c r="K60" s="364" t="str">
        <f ca="1">IFERROR(INDEX(ICE[], MATCH("propnap" &amp; TEXT(NGL!$A60, "mmmyy"), ICE[LongCode], 0), MATCH("Text", ICE[#Headers], 0)), "")</f>
        <v/>
      </c>
      <c r="L60" s="46" t="str">
        <f t="shared" ca="1" si="90"/>
        <v/>
      </c>
      <c r="M60" s="47" t="str">
        <f t="shared" si="92"/>
        <v/>
      </c>
      <c r="N60" s="46" t="str">
        <f t="shared" ca="1" si="108"/>
        <v/>
      </c>
      <c r="O60" s="141" t="str">
        <f ca="1">IFERROR(IF(AND(ISNUMBER(Lts!$N60), ISNUMBER($J60)), Lts!$N60 + $J60, ""), "")</f>
        <v/>
      </c>
      <c r="P60" s="46" t="str">
        <f ca="1">IFERROR(IF(AND(ISNUMBER(Lts!$O60), ISNUMBER($L60)), Lts!$O60 + $L60, ""), "")</f>
        <v/>
      </c>
      <c r="Q60" s="47" t="str">
        <f t="shared" ca="1" si="109"/>
        <v/>
      </c>
      <c r="R60" s="46" t="str">
        <f t="shared" ca="1" si="110"/>
        <v/>
      </c>
      <c r="S60" s="141" t="str">
        <f ca="1">IFERROR(IF(AND(ISNUMBER(Futs!$CC60), ISNUMBER($O60)), $O60/12.4 - Futs!$CC60, ""), "")</f>
        <v/>
      </c>
      <c r="T60" s="67" t="str">
        <f ca="1">IFERROR(IF(AND(ISNUMBER(Futs!$CD60), ISNUMBER($P60)), $P60/12.4 - Futs!$CD60, ""), "")</f>
        <v/>
      </c>
      <c r="U60" s="47" t="str">
        <f t="shared" ca="1" si="111"/>
        <v/>
      </c>
      <c r="V60" s="46" t="str">
        <f t="shared" ca="1" si="112"/>
        <v/>
      </c>
      <c r="W60" s="397"/>
      <c r="X60" s="364" t="str">
        <f ca="1">IFERROR(INDEX(ICE[], MATCH("c3tet" &amp; TEXT(NGL!$A60, "mmmyy"), ICE[LongCode], 0), MATCH("Text", ICE[#Headers], 0)), "")</f>
        <v/>
      </c>
      <c r="Y60" s="46" t="str">
        <f t="shared" ca="1" si="93"/>
        <v/>
      </c>
      <c r="Z60" s="47" t="str">
        <f t="shared" si="113"/>
        <v/>
      </c>
      <c r="AA60" s="46" t="str">
        <f t="shared" ca="1" si="114"/>
        <v/>
      </c>
      <c r="AB60" s="141" t="str">
        <f ca="1">IFERROR(IF(AND(ISNUMBER(Futs!$BY60), ISNUMBER($W60)), $W60*42/100 - Futs!$BY60, ""), "")</f>
        <v/>
      </c>
      <c r="AC60" s="67" t="str">
        <f ca="1">IFERROR(IF(AND(ISNUMBER(Futs!$BZ60), ISNUMBER($Y60)), $Y60*42/100 - Futs!$BZ60, ""), "")</f>
        <v/>
      </c>
      <c r="AD60" s="47" t="str">
        <f t="shared" ca="1" si="115"/>
        <v/>
      </c>
      <c r="AE60" s="46" t="str">
        <f t="shared" ca="1" si="116"/>
        <v/>
      </c>
      <c r="AF60" s="141" t="str">
        <f t="shared" ca="1" si="94"/>
        <v/>
      </c>
      <c r="AG60" s="67" t="str">
        <f t="shared" ca="1" si="95"/>
        <v/>
      </c>
      <c r="AH60" s="47" t="str">
        <f t="shared" ca="1" si="117"/>
        <v/>
      </c>
      <c r="AI60" s="46" t="str">
        <f t="shared" ca="1" si="118"/>
        <v/>
      </c>
      <c r="AJ60" s="397"/>
      <c r="AK60" s="364" t="str">
        <f ca="1">IFERROR(INDEX(ICE[], MATCH("c4ntet" &amp; TEXT(NGL!$A60, "mmmyy"), ICE[LongCode], 0), MATCH("Text", ICE[#Headers], 0)), "")</f>
        <v/>
      </c>
      <c r="AL60" s="46" t="str">
        <f t="shared" ca="1" si="96"/>
        <v/>
      </c>
      <c r="AM60" s="47" t="str">
        <f t="shared" si="119"/>
        <v/>
      </c>
      <c r="AN60" s="46" t="str">
        <f t="shared" ca="1" si="120"/>
        <v/>
      </c>
      <c r="AO60" s="141" t="str">
        <f t="shared" si="97"/>
        <v/>
      </c>
      <c r="AP60" s="46" t="str">
        <f t="shared" ca="1" si="98"/>
        <v/>
      </c>
      <c r="AQ60" s="47" t="str">
        <f t="shared" si="121"/>
        <v/>
      </c>
      <c r="AR60" s="46" t="str">
        <f t="shared" ca="1" si="122"/>
        <v/>
      </c>
      <c r="AS60" s="141" t="str">
        <f ca="1">IFERROR(IF(AND(ISNUMBER(Futs!$BY60), ISNUMBER($AJ60)), $AJ60*42/100 - Futs!$BY60, ""), "")</f>
        <v/>
      </c>
      <c r="AT60" s="67" t="str">
        <f ca="1">IFERROR(IF(AND(ISNUMBER(Futs!$BZ60), ISNUMBER($AL60)), $AL60*42/100 - Futs!$BZ60, ""), "")</f>
        <v/>
      </c>
      <c r="AU60" s="47" t="str">
        <f t="shared" ca="1" si="123"/>
        <v/>
      </c>
      <c r="AV60" s="46" t="str">
        <f t="shared" ca="1" si="124"/>
        <v/>
      </c>
      <c r="AW60" s="397"/>
      <c r="AX60" s="364" t="str">
        <f ca="1">IFERROR(INDEX(ICE[], MATCH("ic4ntet" &amp; TEXT(NGL!$A60, "mmmyy"), ICE[LongCode], 0), MATCH("Text", ICE[#Headers], 0)), "")</f>
        <v/>
      </c>
      <c r="AY60" s="46" t="str">
        <f t="shared" ca="1" si="99"/>
        <v/>
      </c>
      <c r="AZ60" s="47" t="str">
        <f t="shared" si="125"/>
        <v/>
      </c>
      <c r="BA60" s="46" t="str">
        <f t="shared" ca="1" si="126"/>
        <v/>
      </c>
      <c r="BB60" s="141" t="str">
        <f t="shared" si="100"/>
        <v/>
      </c>
      <c r="BC60" s="46" t="str">
        <f t="shared" ca="1" si="101"/>
        <v/>
      </c>
      <c r="BD60" s="47" t="str">
        <f t="shared" si="127"/>
        <v/>
      </c>
      <c r="BE60" s="46" t="str">
        <f t="shared" ca="1" si="128"/>
        <v/>
      </c>
      <c r="BF60" s="397"/>
      <c r="BG60" s="364" t="str">
        <f ca="1">IFERROR(INDEX(ICE[], MATCH("ngasntet" &amp; TEXT(NGL!$A60, "mmmyy"), ICE[LongCode], 0), MATCH("Text", ICE[#Headers], 0)), "")</f>
        <v/>
      </c>
      <c r="BH60" s="46" t="str">
        <f t="shared" ca="1" si="102"/>
        <v/>
      </c>
      <c r="BI60" s="47" t="str">
        <f t="shared" si="129"/>
        <v/>
      </c>
      <c r="BJ60" s="46" t="str">
        <f t="shared" ca="1" si="130"/>
        <v/>
      </c>
      <c r="BK60" s="141" t="str">
        <f ca="1">IFERROR(IF(AND(ISNUMBER(Futs!$BY60), ISNUMBER($BF60)), $BF60*42/100 - Futs!$BY60, ""), "")</f>
        <v/>
      </c>
      <c r="BL60" s="67" t="str">
        <f ca="1">IFERROR(IF(AND(ISNUMBER(Futs!$BZ60), ISNUMBER($BH60)), $BH60*42/100 - Futs!$BZ60, ""), "")</f>
        <v/>
      </c>
      <c r="BM60" s="47" t="str">
        <f t="shared" ca="1" si="131"/>
        <v/>
      </c>
      <c r="BN60" s="111" t="str">
        <f t="shared" ca="1" si="132"/>
        <v/>
      </c>
      <c r="BO60" s="397"/>
      <c r="BP60" s="364" t="str">
        <f ca="1">IFERROR(INDEX(ICE[], MATCH("c3ew" &amp; TEXT(NGL!$A60, "mmmyy"), ICE[LongCode], 0), MATCH("Text", ICE[#Headers], 0)), "")</f>
        <v/>
      </c>
      <c r="BQ60" s="46" t="str">
        <f t="shared" ca="1" si="103"/>
        <v/>
      </c>
      <c r="BR60" s="47" t="str">
        <f t="shared" si="133"/>
        <v/>
      </c>
      <c r="BS60" s="46" t="str">
        <f t="shared" ca="1" si="134"/>
        <v/>
      </c>
      <c r="BT60" s="141" t="str">
        <f t="shared" ca="1" si="104"/>
        <v/>
      </c>
      <c r="BU60" s="46" t="str">
        <f t="shared" ca="1" si="105"/>
        <v/>
      </c>
      <c r="BV60" s="47" t="str">
        <f t="shared" ca="1" si="135"/>
        <v/>
      </c>
      <c r="BW60" s="46" t="str">
        <f t="shared" ca="1" si="136"/>
        <v/>
      </c>
      <c r="BX60" s="141" t="str">
        <f ca="1">IFERROR(IF(AND(ISNUMBER(Futs!$CC60), ISNUMBER($BT60)), $BT60/12.4 - Futs!$CC60, ""), "")</f>
        <v/>
      </c>
      <c r="BY60" s="67" t="str">
        <f t="shared" ca="1" si="106"/>
        <v/>
      </c>
      <c r="BZ60" s="47" t="str">
        <f t="shared" ca="1" si="137"/>
        <v/>
      </c>
      <c r="CA60" s="46" t="str">
        <f t="shared" ca="1" si="138"/>
        <v/>
      </c>
    </row>
    <row r="61" spans="1:79" x14ac:dyDescent="0.25">
      <c r="A61" s="58">
        <f t="shared" ca="1" si="107"/>
        <v>47543</v>
      </c>
      <c r="B61" s="6">
        <f t="shared" ca="1" si="89"/>
        <v>2030</v>
      </c>
      <c r="C61" s="6" t="str">
        <f t="shared" ca="1" si="91"/>
        <v>Q130</v>
      </c>
      <c r="D61" s="28" t="e">
        <f ca="1">INDEX(ICE[], MATCH(D$18 &amp; TEXT(NGL!$A61, "mmmyy"), ICE[LongCode], 0), MATCH("Settle", ICE[#Headers], 0))</f>
        <v>#N/A</v>
      </c>
      <c r="E61" s="28" t="e">
        <f ca="1">INDEX(ICE[], MATCH(E$18 &amp; TEXT(NGL!$A61, "mmmyy"), ICE[LongCode], 0), MATCH("Settle", ICE[#Headers], 0))*100</f>
        <v>#N/A</v>
      </c>
      <c r="F61" s="28" t="e">
        <f ca="1">INDEX(ICE[], MATCH(F$18 &amp; TEXT(NGL!$A61, "mmmyy"), ICE[LongCode], 0), MATCH("Settle", ICE[#Headers], 0))*100</f>
        <v>#N/A</v>
      </c>
      <c r="G61" s="28" t="e">
        <f ca="1">INDEX(ICE[], MATCH(G$18 &amp; TEXT(NGL!$A61, "mmmyy"), ICE[LongCode], 0), MATCH("Settle", ICE[#Headers], 0))*100</f>
        <v>#N/A</v>
      </c>
      <c r="H61" s="28" t="e">
        <f ca="1">INDEX(ICE[], MATCH(H$18 &amp; TEXT(NGL!$A61, "mmmyy"), ICE[LongCode], 0), MATCH("Settle", ICE[#Headers], 0))*100</f>
        <v>#N/A</v>
      </c>
      <c r="I61" s="28" t="e">
        <f ca="1">INDEX(ICE[], MATCH(I$18 &amp; TEXT(NGL!$A61, "mmmyy"), ICE[LongCode], 0), MATCH("Settle", ICE[#Headers], 0))</f>
        <v>#N/A</v>
      </c>
      <c r="J61" s="397"/>
      <c r="K61" s="364" t="str">
        <f ca="1">IFERROR(INDEX(ICE[], MATCH("propnap" &amp; TEXT(NGL!$A61, "mmmyy"), ICE[LongCode], 0), MATCH("Text", ICE[#Headers], 0)), "")</f>
        <v/>
      </c>
      <c r="L61" s="46" t="str">
        <f t="shared" ca="1" si="90"/>
        <v/>
      </c>
      <c r="M61" s="47" t="str">
        <f t="shared" si="92"/>
        <v/>
      </c>
      <c r="N61" s="46" t="str">
        <f t="shared" ca="1" si="108"/>
        <v/>
      </c>
      <c r="O61" s="141" t="str">
        <f ca="1">IFERROR(IF(AND(ISNUMBER(Lts!$N61), ISNUMBER($J61)), Lts!$N61 + $J61, ""), "")</f>
        <v/>
      </c>
      <c r="P61" s="46" t="str">
        <f ca="1">IFERROR(IF(AND(ISNUMBER(Lts!$O61), ISNUMBER($L61)), Lts!$O61 + $L61, ""), "")</f>
        <v/>
      </c>
      <c r="Q61" s="47" t="str">
        <f t="shared" ca="1" si="109"/>
        <v/>
      </c>
      <c r="R61" s="46" t="str">
        <f t="shared" ca="1" si="110"/>
        <v/>
      </c>
      <c r="S61" s="141" t="str">
        <f ca="1">IFERROR(IF(AND(ISNUMBER(Futs!$CC61), ISNUMBER($O61)), $O61/12.4 - Futs!$CC61, ""), "")</f>
        <v/>
      </c>
      <c r="T61" s="67" t="str">
        <f ca="1">IFERROR(IF(AND(ISNUMBER(Futs!$CD61), ISNUMBER($P61)), $P61/12.4 - Futs!$CD61, ""), "")</f>
        <v/>
      </c>
      <c r="U61" s="47" t="str">
        <f t="shared" ca="1" si="111"/>
        <v/>
      </c>
      <c r="V61" s="46" t="str">
        <f t="shared" ca="1" si="112"/>
        <v/>
      </c>
      <c r="W61" s="397"/>
      <c r="X61" s="364" t="str">
        <f ca="1">IFERROR(INDEX(ICE[], MATCH("c3tet" &amp; TEXT(NGL!$A61, "mmmyy"), ICE[LongCode], 0), MATCH("Text", ICE[#Headers], 0)), "")</f>
        <v/>
      </c>
      <c r="Y61" s="46" t="str">
        <f t="shared" ca="1" si="93"/>
        <v/>
      </c>
      <c r="Z61" s="47" t="str">
        <f t="shared" si="113"/>
        <v/>
      </c>
      <c r="AA61" s="46" t="str">
        <f t="shared" ca="1" si="114"/>
        <v/>
      </c>
      <c r="AB61" s="141" t="str">
        <f ca="1">IFERROR(IF(AND(ISNUMBER(Futs!$BY61), ISNUMBER($W61)), $W61*42/100 - Futs!$BY61, ""), "")</f>
        <v/>
      </c>
      <c r="AC61" s="67" t="str">
        <f ca="1">IFERROR(IF(AND(ISNUMBER(Futs!$BZ61), ISNUMBER($Y61)), $Y61*42/100 - Futs!$BZ61, ""), "")</f>
        <v/>
      </c>
      <c r="AD61" s="47" t="str">
        <f t="shared" ca="1" si="115"/>
        <v/>
      </c>
      <c r="AE61" s="46" t="str">
        <f t="shared" ca="1" si="116"/>
        <v/>
      </c>
      <c r="AF61" s="141" t="str">
        <f t="shared" ca="1" si="94"/>
        <v/>
      </c>
      <c r="AG61" s="67" t="str">
        <f t="shared" ca="1" si="95"/>
        <v/>
      </c>
      <c r="AH61" s="47" t="str">
        <f t="shared" ca="1" si="117"/>
        <v/>
      </c>
      <c r="AI61" s="46" t="str">
        <f t="shared" ca="1" si="118"/>
        <v/>
      </c>
      <c r="AJ61" s="397"/>
      <c r="AK61" s="364" t="str">
        <f ca="1">IFERROR(INDEX(ICE[], MATCH("c4ntet" &amp; TEXT(NGL!$A61, "mmmyy"), ICE[LongCode], 0), MATCH("Text", ICE[#Headers], 0)), "")</f>
        <v/>
      </c>
      <c r="AL61" s="46" t="str">
        <f t="shared" ca="1" si="96"/>
        <v/>
      </c>
      <c r="AM61" s="47" t="str">
        <f t="shared" si="119"/>
        <v/>
      </c>
      <c r="AN61" s="46" t="str">
        <f t="shared" ca="1" si="120"/>
        <v/>
      </c>
      <c r="AO61" s="141" t="str">
        <f t="shared" si="97"/>
        <v/>
      </c>
      <c r="AP61" s="46" t="str">
        <f t="shared" ca="1" si="98"/>
        <v/>
      </c>
      <c r="AQ61" s="47" t="str">
        <f t="shared" si="121"/>
        <v/>
      </c>
      <c r="AR61" s="46" t="str">
        <f t="shared" ca="1" si="122"/>
        <v/>
      </c>
      <c r="AS61" s="141" t="str">
        <f ca="1">IFERROR(IF(AND(ISNUMBER(Futs!$BY61), ISNUMBER($AJ61)), $AJ61*42/100 - Futs!$BY61, ""), "")</f>
        <v/>
      </c>
      <c r="AT61" s="67" t="str">
        <f ca="1">IFERROR(IF(AND(ISNUMBER(Futs!$BZ61), ISNUMBER($AL61)), $AL61*42/100 - Futs!$BZ61, ""), "")</f>
        <v/>
      </c>
      <c r="AU61" s="47" t="str">
        <f t="shared" ca="1" si="123"/>
        <v/>
      </c>
      <c r="AV61" s="46" t="str">
        <f t="shared" ca="1" si="124"/>
        <v/>
      </c>
      <c r="AW61" s="397"/>
      <c r="AX61" s="364" t="str">
        <f ca="1">IFERROR(INDEX(ICE[], MATCH("ic4ntet" &amp; TEXT(NGL!$A61, "mmmyy"), ICE[LongCode], 0), MATCH("Text", ICE[#Headers], 0)), "")</f>
        <v/>
      </c>
      <c r="AY61" s="46" t="str">
        <f t="shared" ca="1" si="99"/>
        <v/>
      </c>
      <c r="AZ61" s="47" t="str">
        <f t="shared" si="125"/>
        <v/>
      </c>
      <c r="BA61" s="46" t="str">
        <f t="shared" ca="1" si="126"/>
        <v/>
      </c>
      <c r="BB61" s="141" t="str">
        <f t="shared" si="100"/>
        <v/>
      </c>
      <c r="BC61" s="46" t="str">
        <f t="shared" ca="1" si="101"/>
        <v/>
      </c>
      <c r="BD61" s="47" t="str">
        <f t="shared" si="127"/>
        <v/>
      </c>
      <c r="BE61" s="46" t="str">
        <f t="shared" ca="1" si="128"/>
        <v/>
      </c>
      <c r="BF61" s="397"/>
      <c r="BG61" s="364" t="str">
        <f ca="1">IFERROR(INDEX(ICE[], MATCH("ngasntet" &amp; TEXT(NGL!$A61, "mmmyy"), ICE[LongCode], 0), MATCH("Text", ICE[#Headers], 0)), "")</f>
        <v/>
      </c>
      <c r="BH61" s="46" t="str">
        <f t="shared" ca="1" si="102"/>
        <v/>
      </c>
      <c r="BI61" s="47" t="str">
        <f t="shared" si="129"/>
        <v/>
      </c>
      <c r="BJ61" s="46" t="str">
        <f t="shared" ca="1" si="130"/>
        <v/>
      </c>
      <c r="BK61" s="141" t="str">
        <f ca="1">IFERROR(IF(AND(ISNUMBER(Futs!$BY61), ISNUMBER($BF61)), $BF61*42/100 - Futs!$BY61, ""), "")</f>
        <v/>
      </c>
      <c r="BL61" s="67" t="str">
        <f ca="1">IFERROR(IF(AND(ISNUMBER(Futs!$BZ61), ISNUMBER($BH61)), $BH61*42/100 - Futs!$BZ61, ""), "")</f>
        <v/>
      </c>
      <c r="BM61" s="47" t="str">
        <f t="shared" ca="1" si="131"/>
        <v/>
      </c>
      <c r="BN61" s="111" t="str">
        <f t="shared" ca="1" si="132"/>
        <v/>
      </c>
      <c r="BO61" s="397"/>
      <c r="BP61" s="364" t="str">
        <f ca="1">IFERROR(INDEX(ICE[], MATCH("c3ew" &amp; TEXT(NGL!$A61, "mmmyy"), ICE[LongCode], 0), MATCH("Text", ICE[#Headers], 0)), "")</f>
        <v/>
      </c>
      <c r="BQ61" s="46" t="str">
        <f t="shared" ca="1" si="103"/>
        <v/>
      </c>
      <c r="BR61" s="47" t="str">
        <f t="shared" si="133"/>
        <v/>
      </c>
      <c r="BS61" s="46" t="str">
        <f t="shared" ca="1" si="134"/>
        <v/>
      </c>
      <c r="BT61" s="141" t="str">
        <f t="shared" ca="1" si="104"/>
        <v/>
      </c>
      <c r="BU61" s="46" t="str">
        <f t="shared" ca="1" si="105"/>
        <v/>
      </c>
      <c r="BV61" s="47" t="str">
        <f t="shared" ca="1" si="135"/>
        <v/>
      </c>
      <c r="BW61" s="46" t="str">
        <f t="shared" ca="1" si="136"/>
        <v/>
      </c>
      <c r="BX61" s="141" t="str">
        <f ca="1">IFERROR(IF(AND(ISNUMBER(Futs!$CC61), ISNUMBER($BT61)), $BT61/12.4 - Futs!$CC61, ""), "")</f>
        <v/>
      </c>
      <c r="BY61" s="67" t="str">
        <f t="shared" ca="1" si="106"/>
        <v/>
      </c>
      <c r="BZ61" s="47" t="str">
        <f t="shared" ca="1" si="137"/>
        <v/>
      </c>
      <c r="CA61" s="46" t="str">
        <f t="shared" ca="1" si="138"/>
        <v/>
      </c>
    </row>
    <row r="62" spans="1:79" x14ac:dyDescent="0.25">
      <c r="A62" s="58">
        <f t="shared" ca="1" si="107"/>
        <v>47574</v>
      </c>
      <c r="B62" s="6">
        <f t="shared" ca="1" si="89"/>
        <v>2030</v>
      </c>
      <c r="C62" s="6" t="str">
        <f t="shared" ca="1" si="91"/>
        <v>Q230</v>
      </c>
      <c r="D62" s="28" t="e">
        <f ca="1">INDEX(ICE[], MATCH(D$18 &amp; TEXT(NGL!$A62, "mmmyy"), ICE[LongCode], 0), MATCH("Settle", ICE[#Headers], 0))</f>
        <v>#N/A</v>
      </c>
      <c r="E62" s="28" t="e">
        <f ca="1">INDEX(ICE[], MATCH(E$18 &amp; TEXT(NGL!$A62, "mmmyy"), ICE[LongCode], 0), MATCH("Settle", ICE[#Headers], 0))*100</f>
        <v>#N/A</v>
      </c>
      <c r="F62" s="28" t="e">
        <f ca="1">INDEX(ICE[], MATCH(F$18 &amp; TEXT(NGL!$A62, "mmmyy"), ICE[LongCode], 0), MATCH("Settle", ICE[#Headers], 0))*100</f>
        <v>#N/A</v>
      </c>
      <c r="G62" s="28" t="e">
        <f ca="1">INDEX(ICE[], MATCH(G$18 &amp; TEXT(NGL!$A62, "mmmyy"), ICE[LongCode], 0), MATCH("Settle", ICE[#Headers], 0))*100</f>
        <v>#N/A</v>
      </c>
      <c r="H62" s="28" t="e">
        <f ca="1">INDEX(ICE[], MATCH(H$18 &amp; TEXT(NGL!$A62, "mmmyy"), ICE[LongCode], 0), MATCH("Settle", ICE[#Headers], 0))*100</f>
        <v>#N/A</v>
      </c>
      <c r="I62" s="28" t="e">
        <f ca="1">INDEX(ICE[], MATCH(I$18 &amp; TEXT(NGL!$A62, "mmmyy"), ICE[LongCode], 0), MATCH("Settle", ICE[#Headers], 0))</f>
        <v>#N/A</v>
      </c>
      <c r="J62" s="397"/>
      <c r="K62" s="364" t="str">
        <f ca="1">IFERROR(INDEX(ICE[], MATCH("propnap" &amp; TEXT(NGL!$A62, "mmmyy"), ICE[LongCode], 0), MATCH("Text", ICE[#Headers], 0)), "")</f>
        <v/>
      </c>
      <c r="L62" s="46" t="str">
        <f t="shared" ca="1" si="90"/>
        <v/>
      </c>
      <c r="M62" s="47" t="str">
        <f t="shared" si="92"/>
        <v/>
      </c>
      <c r="N62" s="46" t="str">
        <f t="shared" ca="1" si="108"/>
        <v/>
      </c>
      <c r="O62" s="141" t="str">
        <f ca="1">IFERROR(IF(AND(ISNUMBER(Lts!$N62), ISNUMBER($J62)), Lts!$N62 + $J62, ""), "")</f>
        <v/>
      </c>
      <c r="P62" s="46" t="str">
        <f ca="1">IFERROR(IF(AND(ISNUMBER(Lts!$O62), ISNUMBER($L62)), Lts!$O62 + $L62, ""), "")</f>
        <v/>
      </c>
      <c r="Q62" s="47" t="str">
        <f t="shared" ca="1" si="109"/>
        <v/>
      </c>
      <c r="R62" s="46" t="str">
        <f t="shared" ca="1" si="110"/>
        <v/>
      </c>
      <c r="S62" s="141" t="str">
        <f ca="1">IFERROR(IF(AND(ISNUMBER(Futs!$CC62), ISNUMBER($O62)), $O62/12.4 - Futs!$CC62, ""), "")</f>
        <v/>
      </c>
      <c r="T62" s="67" t="str">
        <f ca="1">IFERROR(IF(AND(ISNUMBER(Futs!$CD62), ISNUMBER($P62)), $P62/12.4 - Futs!$CD62, ""), "")</f>
        <v/>
      </c>
      <c r="U62" s="47" t="str">
        <f t="shared" ca="1" si="111"/>
        <v/>
      </c>
      <c r="V62" s="46" t="str">
        <f t="shared" ca="1" si="112"/>
        <v/>
      </c>
      <c r="W62" s="397"/>
      <c r="X62" s="364" t="str">
        <f ca="1">IFERROR(INDEX(ICE[], MATCH("c3tet" &amp; TEXT(NGL!$A62, "mmmyy"), ICE[LongCode], 0), MATCH("Text", ICE[#Headers], 0)), "")</f>
        <v/>
      </c>
      <c r="Y62" s="46" t="str">
        <f t="shared" ca="1" si="93"/>
        <v/>
      </c>
      <c r="Z62" s="47" t="str">
        <f t="shared" si="113"/>
        <v/>
      </c>
      <c r="AA62" s="46" t="str">
        <f t="shared" ca="1" si="114"/>
        <v/>
      </c>
      <c r="AB62" s="141" t="str">
        <f ca="1">IFERROR(IF(AND(ISNUMBER(Futs!$BY62), ISNUMBER($W62)), $W62*42/100 - Futs!$BY62, ""), "")</f>
        <v/>
      </c>
      <c r="AC62" s="67" t="str">
        <f ca="1">IFERROR(IF(AND(ISNUMBER(Futs!$BZ62), ISNUMBER($Y62)), $Y62*42/100 - Futs!$BZ62, ""), "")</f>
        <v/>
      </c>
      <c r="AD62" s="47" t="str">
        <f t="shared" ca="1" si="115"/>
        <v/>
      </c>
      <c r="AE62" s="46" t="str">
        <f t="shared" ca="1" si="116"/>
        <v/>
      </c>
      <c r="AF62" s="141" t="str">
        <f t="shared" ca="1" si="94"/>
        <v/>
      </c>
      <c r="AG62" s="67" t="str">
        <f t="shared" ca="1" si="95"/>
        <v/>
      </c>
      <c r="AH62" s="47" t="str">
        <f t="shared" ca="1" si="117"/>
        <v/>
      </c>
      <c r="AI62" s="46" t="str">
        <f t="shared" ca="1" si="118"/>
        <v/>
      </c>
      <c r="AJ62" s="397"/>
      <c r="AK62" s="364" t="str">
        <f ca="1">IFERROR(INDEX(ICE[], MATCH("c4ntet" &amp; TEXT(NGL!$A62, "mmmyy"), ICE[LongCode], 0), MATCH("Text", ICE[#Headers], 0)), "")</f>
        <v/>
      </c>
      <c r="AL62" s="46" t="str">
        <f t="shared" ca="1" si="96"/>
        <v/>
      </c>
      <c r="AM62" s="47" t="str">
        <f t="shared" si="119"/>
        <v/>
      </c>
      <c r="AN62" s="46" t="str">
        <f t="shared" ca="1" si="120"/>
        <v/>
      </c>
      <c r="AO62" s="141" t="str">
        <f t="shared" si="97"/>
        <v/>
      </c>
      <c r="AP62" s="46" t="str">
        <f t="shared" ca="1" si="98"/>
        <v/>
      </c>
      <c r="AQ62" s="47" t="str">
        <f t="shared" si="121"/>
        <v/>
      </c>
      <c r="AR62" s="46" t="str">
        <f t="shared" ca="1" si="122"/>
        <v/>
      </c>
      <c r="AS62" s="141" t="str">
        <f ca="1">IFERROR(IF(AND(ISNUMBER(Futs!$BY62), ISNUMBER($AJ62)), $AJ62*42/100 - Futs!$BY62, ""), "")</f>
        <v/>
      </c>
      <c r="AT62" s="67" t="str">
        <f ca="1">IFERROR(IF(AND(ISNUMBER(Futs!$BZ62), ISNUMBER($AL62)), $AL62*42/100 - Futs!$BZ62, ""), "")</f>
        <v/>
      </c>
      <c r="AU62" s="47" t="str">
        <f t="shared" ca="1" si="123"/>
        <v/>
      </c>
      <c r="AV62" s="46" t="str">
        <f t="shared" ca="1" si="124"/>
        <v/>
      </c>
      <c r="AW62" s="397"/>
      <c r="AX62" s="364" t="str">
        <f ca="1">IFERROR(INDEX(ICE[], MATCH("ic4ntet" &amp; TEXT(NGL!$A62, "mmmyy"), ICE[LongCode], 0), MATCH("Text", ICE[#Headers], 0)), "")</f>
        <v/>
      </c>
      <c r="AY62" s="46" t="str">
        <f t="shared" ca="1" si="99"/>
        <v/>
      </c>
      <c r="AZ62" s="47" t="str">
        <f t="shared" si="125"/>
        <v/>
      </c>
      <c r="BA62" s="46" t="str">
        <f t="shared" ca="1" si="126"/>
        <v/>
      </c>
      <c r="BB62" s="141" t="str">
        <f t="shared" si="100"/>
        <v/>
      </c>
      <c r="BC62" s="46" t="str">
        <f t="shared" ca="1" si="101"/>
        <v/>
      </c>
      <c r="BD62" s="47" t="str">
        <f t="shared" si="127"/>
        <v/>
      </c>
      <c r="BE62" s="46" t="str">
        <f t="shared" ca="1" si="128"/>
        <v/>
      </c>
      <c r="BF62" s="397"/>
      <c r="BG62" s="364" t="str">
        <f ca="1">IFERROR(INDEX(ICE[], MATCH("ngasntet" &amp; TEXT(NGL!$A62, "mmmyy"), ICE[LongCode], 0), MATCH("Text", ICE[#Headers], 0)), "")</f>
        <v/>
      </c>
      <c r="BH62" s="46" t="str">
        <f t="shared" ca="1" si="102"/>
        <v/>
      </c>
      <c r="BI62" s="47" t="str">
        <f t="shared" si="129"/>
        <v/>
      </c>
      <c r="BJ62" s="46" t="str">
        <f t="shared" ca="1" si="130"/>
        <v/>
      </c>
      <c r="BK62" s="141" t="str">
        <f ca="1">IFERROR(IF(AND(ISNUMBER(Futs!$BY62), ISNUMBER($BF62)), $BF62*42/100 - Futs!$BY62, ""), "")</f>
        <v/>
      </c>
      <c r="BL62" s="67" t="str">
        <f ca="1">IFERROR(IF(AND(ISNUMBER(Futs!$BZ62), ISNUMBER($BH62)), $BH62*42/100 - Futs!$BZ62, ""), "")</f>
        <v/>
      </c>
      <c r="BM62" s="47" t="str">
        <f t="shared" ca="1" si="131"/>
        <v/>
      </c>
      <c r="BN62" s="111" t="str">
        <f t="shared" ca="1" si="132"/>
        <v/>
      </c>
      <c r="BO62" s="397"/>
      <c r="BP62" s="364" t="str">
        <f ca="1">IFERROR(INDEX(ICE[], MATCH("c3ew" &amp; TEXT(NGL!$A62, "mmmyy"), ICE[LongCode], 0), MATCH("Text", ICE[#Headers], 0)), "")</f>
        <v/>
      </c>
      <c r="BQ62" s="46" t="str">
        <f t="shared" ca="1" si="103"/>
        <v/>
      </c>
      <c r="BR62" s="47" t="str">
        <f t="shared" si="133"/>
        <v/>
      </c>
      <c r="BS62" s="46" t="str">
        <f t="shared" ca="1" si="134"/>
        <v/>
      </c>
      <c r="BT62" s="141" t="str">
        <f t="shared" ca="1" si="104"/>
        <v/>
      </c>
      <c r="BU62" s="46" t="str">
        <f t="shared" ca="1" si="105"/>
        <v/>
      </c>
      <c r="BV62" s="47" t="str">
        <f t="shared" ca="1" si="135"/>
        <v/>
      </c>
      <c r="BW62" s="46" t="str">
        <f t="shared" ca="1" si="136"/>
        <v/>
      </c>
      <c r="BX62" s="141" t="str">
        <f ca="1">IFERROR(IF(AND(ISNUMBER(Futs!$CC62), ISNUMBER($BT62)), $BT62/12.4 - Futs!$CC62, ""), "")</f>
        <v/>
      </c>
      <c r="BY62" s="67" t="str">
        <f t="shared" ca="1" si="106"/>
        <v/>
      </c>
      <c r="BZ62" s="47" t="str">
        <f t="shared" ca="1" si="137"/>
        <v/>
      </c>
      <c r="CA62" s="46" t="str">
        <f t="shared" ca="1" si="138"/>
        <v/>
      </c>
    </row>
    <row r="63" spans="1:79" x14ac:dyDescent="0.25">
      <c r="A63" s="58">
        <f t="shared" ca="1" si="107"/>
        <v>47604</v>
      </c>
      <c r="B63" s="6">
        <f t="shared" ca="1" si="89"/>
        <v>2030</v>
      </c>
      <c r="C63" s="6" t="str">
        <f t="shared" ca="1" si="91"/>
        <v>Q230</v>
      </c>
      <c r="D63" s="28" t="e">
        <f ca="1">INDEX(ICE[], MATCH(D$18 &amp; TEXT(NGL!$A63, "mmmyy"), ICE[LongCode], 0), MATCH("Settle", ICE[#Headers], 0))</f>
        <v>#N/A</v>
      </c>
      <c r="E63" s="28" t="e">
        <f ca="1">INDEX(ICE[], MATCH(E$18 &amp; TEXT(NGL!$A63, "mmmyy"), ICE[LongCode], 0), MATCH("Settle", ICE[#Headers], 0))*100</f>
        <v>#N/A</v>
      </c>
      <c r="F63" s="28" t="e">
        <f ca="1">INDEX(ICE[], MATCH(F$18 &amp; TEXT(NGL!$A63, "mmmyy"), ICE[LongCode], 0), MATCH("Settle", ICE[#Headers], 0))*100</f>
        <v>#N/A</v>
      </c>
      <c r="G63" s="28" t="e">
        <f ca="1">INDEX(ICE[], MATCH(G$18 &amp; TEXT(NGL!$A63, "mmmyy"), ICE[LongCode], 0), MATCH("Settle", ICE[#Headers], 0))*100</f>
        <v>#N/A</v>
      </c>
      <c r="H63" s="28" t="e">
        <f ca="1">INDEX(ICE[], MATCH(H$18 &amp; TEXT(NGL!$A63, "mmmyy"), ICE[LongCode], 0), MATCH("Settle", ICE[#Headers], 0))*100</f>
        <v>#N/A</v>
      </c>
      <c r="I63" s="28" t="e">
        <f ca="1">INDEX(ICE[], MATCH(I$18 &amp; TEXT(NGL!$A63, "mmmyy"), ICE[LongCode], 0), MATCH("Settle", ICE[#Headers], 0))</f>
        <v>#N/A</v>
      </c>
      <c r="J63" s="397"/>
      <c r="K63" s="364" t="str">
        <f ca="1">IFERROR(INDEX(ICE[], MATCH("propnap" &amp; TEXT(NGL!$A63, "mmmyy"), ICE[LongCode], 0), MATCH("Text", ICE[#Headers], 0)), "")</f>
        <v/>
      </c>
      <c r="L63" s="46" t="str">
        <f t="shared" ca="1" si="90"/>
        <v/>
      </c>
      <c r="M63" s="47" t="str">
        <f t="shared" si="92"/>
        <v/>
      </c>
      <c r="N63" s="46" t="str">
        <f t="shared" ca="1" si="108"/>
        <v/>
      </c>
      <c r="O63" s="141" t="str">
        <f ca="1">IFERROR(IF(AND(ISNUMBER(Lts!$N63), ISNUMBER($J63)), Lts!$N63 + $J63, ""), "")</f>
        <v/>
      </c>
      <c r="P63" s="46" t="str">
        <f ca="1">IFERROR(IF(AND(ISNUMBER(Lts!$O63), ISNUMBER($L63)), Lts!$O63 + $L63, ""), "")</f>
        <v/>
      </c>
      <c r="Q63" s="47" t="str">
        <f t="shared" ca="1" si="109"/>
        <v/>
      </c>
      <c r="R63" s="46" t="str">
        <f t="shared" ca="1" si="110"/>
        <v/>
      </c>
      <c r="S63" s="141" t="str">
        <f ca="1">IFERROR(IF(AND(ISNUMBER(Futs!$CC63), ISNUMBER($O63)), $O63/12.4 - Futs!$CC63, ""), "")</f>
        <v/>
      </c>
      <c r="T63" s="67" t="str">
        <f ca="1">IFERROR(IF(AND(ISNUMBER(Futs!$CD63), ISNUMBER($P63)), $P63/12.4 - Futs!$CD63, ""), "")</f>
        <v/>
      </c>
      <c r="U63" s="47" t="str">
        <f t="shared" ca="1" si="111"/>
        <v/>
      </c>
      <c r="V63" s="46" t="str">
        <f t="shared" ca="1" si="112"/>
        <v/>
      </c>
      <c r="W63" s="397"/>
      <c r="X63" s="364" t="str">
        <f ca="1">IFERROR(INDEX(ICE[], MATCH("c3tet" &amp; TEXT(NGL!$A63, "mmmyy"), ICE[LongCode], 0), MATCH("Text", ICE[#Headers], 0)), "")</f>
        <v/>
      </c>
      <c r="Y63" s="46" t="str">
        <f t="shared" ca="1" si="93"/>
        <v/>
      </c>
      <c r="Z63" s="47" t="str">
        <f t="shared" si="113"/>
        <v/>
      </c>
      <c r="AA63" s="46" t="str">
        <f t="shared" ca="1" si="114"/>
        <v/>
      </c>
      <c r="AB63" s="141" t="str">
        <f ca="1">IFERROR(IF(AND(ISNUMBER(Futs!$BY63), ISNUMBER($W63)), $W63*42/100 - Futs!$BY63, ""), "")</f>
        <v/>
      </c>
      <c r="AC63" s="67" t="str">
        <f ca="1">IFERROR(IF(AND(ISNUMBER(Futs!$BZ63), ISNUMBER($Y63)), $Y63*42/100 - Futs!$BZ63, ""), "")</f>
        <v/>
      </c>
      <c r="AD63" s="47" t="str">
        <f t="shared" ca="1" si="115"/>
        <v/>
      </c>
      <c r="AE63" s="46" t="str">
        <f t="shared" ca="1" si="116"/>
        <v/>
      </c>
      <c r="AF63" s="141" t="str">
        <f t="shared" ca="1" si="94"/>
        <v/>
      </c>
      <c r="AG63" s="67" t="str">
        <f t="shared" ca="1" si="95"/>
        <v/>
      </c>
      <c r="AH63" s="47" t="str">
        <f t="shared" ca="1" si="117"/>
        <v/>
      </c>
      <c r="AI63" s="46" t="str">
        <f t="shared" ca="1" si="118"/>
        <v/>
      </c>
      <c r="AJ63" s="397"/>
      <c r="AK63" s="364" t="str">
        <f ca="1">IFERROR(INDEX(ICE[], MATCH("c4ntet" &amp; TEXT(NGL!$A63, "mmmyy"), ICE[LongCode], 0), MATCH("Text", ICE[#Headers], 0)), "")</f>
        <v/>
      </c>
      <c r="AL63" s="46" t="str">
        <f t="shared" ca="1" si="96"/>
        <v/>
      </c>
      <c r="AM63" s="47" t="str">
        <f t="shared" si="119"/>
        <v/>
      </c>
      <c r="AN63" s="46" t="str">
        <f t="shared" ca="1" si="120"/>
        <v/>
      </c>
      <c r="AO63" s="141" t="str">
        <f t="shared" si="97"/>
        <v/>
      </c>
      <c r="AP63" s="46" t="str">
        <f t="shared" ca="1" si="98"/>
        <v/>
      </c>
      <c r="AQ63" s="47" t="str">
        <f t="shared" si="121"/>
        <v/>
      </c>
      <c r="AR63" s="46" t="str">
        <f t="shared" ca="1" si="122"/>
        <v/>
      </c>
      <c r="AS63" s="141" t="str">
        <f ca="1">IFERROR(IF(AND(ISNUMBER(Futs!$BY63), ISNUMBER($AJ63)), $AJ63*42/100 - Futs!$BY63, ""), "")</f>
        <v/>
      </c>
      <c r="AT63" s="67" t="str">
        <f ca="1">IFERROR(IF(AND(ISNUMBER(Futs!$BZ63), ISNUMBER($AL63)), $AL63*42/100 - Futs!$BZ63, ""), "")</f>
        <v/>
      </c>
      <c r="AU63" s="47" t="str">
        <f t="shared" ca="1" si="123"/>
        <v/>
      </c>
      <c r="AV63" s="46" t="str">
        <f t="shared" ca="1" si="124"/>
        <v/>
      </c>
      <c r="AW63" s="397"/>
      <c r="AX63" s="364" t="str">
        <f ca="1">IFERROR(INDEX(ICE[], MATCH("ic4ntet" &amp; TEXT(NGL!$A63, "mmmyy"), ICE[LongCode], 0), MATCH("Text", ICE[#Headers], 0)), "")</f>
        <v/>
      </c>
      <c r="AY63" s="46" t="str">
        <f t="shared" ca="1" si="99"/>
        <v/>
      </c>
      <c r="AZ63" s="47" t="str">
        <f t="shared" si="125"/>
        <v/>
      </c>
      <c r="BA63" s="46" t="str">
        <f t="shared" ca="1" si="126"/>
        <v/>
      </c>
      <c r="BB63" s="141" t="str">
        <f t="shared" si="100"/>
        <v/>
      </c>
      <c r="BC63" s="46" t="str">
        <f t="shared" ca="1" si="101"/>
        <v/>
      </c>
      <c r="BD63" s="47" t="str">
        <f t="shared" si="127"/>
        <v/>
      </c>
      <c r="BE63" s="46" t="str">
        <f t="shared" ca="1" si="128"/>
        <v/>
      </c>
      <c r="BF63" s="397"/>
      <c r="BG63" s="364" t="str">
        <f ca="1">IFERROR(INDEX(ICE[], MATCH("ngasntet" &amp; TEXT(NGL!$A63, "mmmyy"), ICE[LongCode], 0), MATCH("Text", ICE[#Headers], 0)), "")</f>
        <v/>
      </c>
      <c r="BH63" s="46" t="str">
        <f t="shared" ca="1" si="102"/>
        <v/>
      </c>
      <c r="BI63" s="47" t="str">
        <f t="shared" si="129"/>
        <v/>
      </c>
      <c r="BJ63" s="46" t="str">
        <f t="shared" ca="1" si="130"/>
        <v/>
      </c>
      <c r="BK63" s="141" t="str">
        <f ca="1">IFERROR(IF(AND(ISNUMBER(Futs!$BY63), ISNUMBER($BF63)), $BF63*42/100 - Futs!$BY63, ""), "")</f>
        <v/>
      </c>
      <c r="BL63" s="67" t="str">
        <f ca="1">IFERROR(IF(AND(ISNUMBER(Futs!$BZ63), ISNUMBER($BH63)), $BH63*42/100 - Futs!$BZ63, ""), "")</f>
        <v/>
      </c>
      <c r="BM63" s="47" t="str">
        <f t="shared" ca="1" si="131"/>
        <v/>
      </c>
      <c r="BN63" s="111" t="str">
        <f t="shared" ca="1" si="132"/>
        <v/>
      </c>
      <c r="BO63" s="397"/>
      <c r="BP63" s="364" t="str">
        <f ca="1">IFERROR(INDEX(ICE[], MATCH("c3ew" &amp; TEXT(NGL!$A63, "mmmyy"), ICE[LongCode], 0), MATCH("Text", ICE[#Headers], 0)), "")</f>
        <v/>
      </c>
      <c r="BQ63" s="46" t="str">
        <f t="shared" ca="1" si="103"/>
        <v/>
      </c>
      <c r="BR63" s="47" t="str">
        <f t="shared" si="133"/>
        <v/>
      </c>
      <c r="BS63" s="46" t="str">
        <f t="shared" ca="1" si="134"/>
        <v/>
      </c>
      <c r="BT63" s="141" t="str">
        <f t="shared" ca="1" si="104"/>
        <v/>
      </c>
      <c r="BU63" s="46" t="str">
        <f t="shared" ca="1" si="105"/>
        <v/>
      </c>
      <c r="BV63" s="47" t="str">
        <f t="shared" ca="1" si="135"/>
        <v/>
      </c>
      <c r="BW63" s="46" t="str">
        <f t="shared" ca="1" si="136"/>
        <v/>
      </c>
      <c r="BX63" s="141" t="str">
        <f ca="1">IFERROR(IF(AND(ISNUMBER(Futs!$CC63), ISNUMBER($BT63)), $BT63/12.4 - Futs!$CC63, ""), "")</f>
        <v/>
      </c>
      <c r="BY63" s="67" t="str">
        <f t="shared" ca="1" si="106"/>
        <v/>
      </c>
      <c r="BZ63" s="47" t="str">
        <f t="shared" ca="1" si="137"/>
        <v/>
      </c>
      <c r="CA63" s="46" t="str">
        <f t="shared" ca="1" si="138"/>
        <v/>
      </c>
    </row>
    <row r="64" spans="1:79" x14ac:dyDescent="0.25">
      <c r="A64" s="58">
        <f t="shared" ca="1" si="107"/>
        <v>47635</v>
      </c>
      <c r="B64" s="6">
        <f t="shared" ca="1" si="89"/>
        <v>2030</v>
      </c>
      <c r="C64" s="6" t="str">
        <f t="shared" ca="1" si="91"/>
        <v>Q230</v>
      </c>
      <c r="D64" s="28" t="e">
        <f ca="1">INDEX(ICE[], MATCH(D$18 &amp; TEXT(NGL!$A64, "mmmyy"), ICE[LongCode], 0), MATCH("Settle", ICE[#Headers], 0))</f>
        <v>#N/A</v>
      </c>
      <c r="E64" s="28" t="e">
        <f ca="1">INDEX(ICE[], MATCH(E$18 &amp; TEXT(NGL!$A64, "mmmyy"), ICE[LongCode], 0), MATCH("Settle", ICE[#Headers], 0))*100</f>
        <v>#N/A</v>
      </c>
      <c r="F64" s="28" t="e">
        <f ca="1">INDEX(ICE[], MATCH(F$18 &amp; TEXT(NGL!$A64, "mmmyy"), ICE[LongCode], 0), MATCH("Settle", ICE[#Headers], 0))*100</f>
        <v>#N/A</v>
      </c>
      <c r="G64" s="28" t="e">
        <f ca="1">INDEX(ICE[], MATCH(G$18 &amp; TEXT(NGL!$A64, "mmmyy"), ICE[LongCode], 0), MATCH("Settle", ICE[#Headers], 0))*100</f>
        <v>#N/A</v>
      </c>
      <c r="H64" s="28" t="e">
        <f ca="1">INDEX(ICE[], MATCH(H$18 &amp; TEXT(NGL!$A64, "mmmyy"), ICE[LongCode], 0), MATCH("Settle", ICE[#Headers], 0))*100</f>
        <v>#N/A</v>
      </c>
      <c r="I64" s="28" t="e">
        <f ca="1">INDEX(ICE[], MATCH(I$18 &amp; TEXT(NGL!$A64, "mmmyy"), ICE[LongCode], 0), MATCH("Settle", ICE[#Headers], 0))</f>
        <v>#N/A</v>
      </c>
      <c r="J64" s="397"/>
      <c r="K64" s="364" t="str">
        <f ca="1">IFERROR(INDEX(ICE[], MATCH("propnap" &amp; TEXT(NGL!$A64, "mmmyy"), ICE[LongCode], 0), MATCH("Text", ICE[#Headers], 0)), "")</f>
        <v/>
      </c>
      <c r="L64" s="46" t="str">
        <f t="shared" ca="1" si="90"/>
        <v/>
      </c>
      <c r="M64" s="47" t="str">
        <f t="shared" si="92"/>
        <v/>
      </c>
      <c r="N64" s="46" t="str">
        <f t="shared" ca="1" si="108"/>
        <v/>
      </c>
      <c r="O64" s="141" t="str">
        <f ca="1">IFERROR(IF(AND(ISNUMBER(Lts!$N64), ISNUMBER($J64)), Lts!$N64 + $J64, ""), "")</f>
        <v/>
      </c>
      <c r="P64" s="46" t="str">
        <f ca="1">IFERROR(IF(AND(ISNUMBER(Lts!$O64), ISNUMBER($L64)), Lts!$O64 + $L64, ""), "")</f>
        <v/>
      </c>
      <c r="Q64" s="47" t="str">
        <f t="shared" ca="1" si="109"/>
        <v/>
      </c>
      <c r="R64" s="46" t="str">
        <f t="shared" ca="1" si="110"/>
        <v/>
      </c>
      <c r="S64" s="141" t="str">
        <f ca="1">IFERROR(IF(AND(ISNUMBER(Futs!$CC64), ISNUMBER($O64)), $O64/12.4 - Futs!$CC64, ""), "")</f>
        <v/>
      </c>
      <c r="T64" s="67" t="str">
        <f ca="1">IFERROR(IF(AND(ISNUMBER(Futs!$CD64), ISNUMBER($P64)), $P64/12.4 - Futs!$CD64, ""), "")</f>
        <v/>
      </c>
      <c r="U64" s="47" t="str">
        <f t="shared" ca="1" si="111"/>
        <v/>
      </c>
      <c r="V64" s="46" t="str">
        <f t="shared" ca="1" si="112"/>
        <v/>
      </c>
      <c r="W64" s="397"/>
      <c r="X64" s="364" t="str">
        <f ca="1">IFERROR(INDEX(ICE[], MATCH("c3tet" &amp; TEXT(NGL!$A64, "mmmyy"), ICE[LongCode], 0), MATCH("Text", ICE[#Headers], 0)), "")</f>
        <v/>
      </c>
      <c r="Y64" s="46" t="str">
        <f t="shared" ca="1" si="93"/>
        <v/>
      </c>
      <c r="Z64" s="47" t="str">
        <f t="shared" si="113"/>
        <v/>
      </c>
      <c r="AA64" s="46" t="str">
        <f t="shared" ca="1" si="114"/>
        <v/>
      </c>
      <c r="AB64" s="141" t="str">
        <f ca="1">IFERROR(IF(AND(ISNUMBER(Futs!$BY64), ISNUMBER($W64)), $W64*42/100 - Futs!$BY64, ""), "")</f>
        <v/>
      </c>
      <c r="AC64" s="67" t="str">
        <f ca="1">IFERROR(IF(AND(ISNUMBER(Futs!$BZ64), ISNUMBER($Y64)), $Y64*42/100 - Futs!$BZ64, ""), "")</f>
        <v/>
      </c>
      <c r="AD64" s="47" t="str">
        <f t="shared" ca="1" si="115"/>
        <v/>
      </c>
      <c r="AE64" s="46" t="str">
        <f t="shared" ca="1" si="116"/>
        <v/>
      </c>
      <c r="AF64" s="141" t="str">
        <f t="shared" ca="1" si="94"/>
        <v/>
      </c>
      <c r="AG64" s="67" t="str">
        <f t="shared" ca="1" si="95"/>
        <v/>
      </c>
      <c r="AH64" s="47" t="str">
        <f t="shared" ca="1" si="117"/>
        <v/>
      </c>
      <c r="AI64" s="46" t="str">
        <f t="shared" ca="1" si="118"/>
        <v/>
      </c>
      <c r="AJ64" s="397"/>
      <c r="AK64" s="364" t="str">
        <f ca="1">IFERROR(INDEX(ICE[], MATCH("c4ntet" &amp; TEXT(NGL!$A64, "mmmyy"), ICE[LongCode], 0), MATCH("Text", ICE[#Headers], 0)), "")</f>
        <v/>
      </c>
      <c r="AL64" s="46" t="str">
        <f t="shared" ca="1" si="96"/>
        <v/>
      </c>
      <c r="AM64" s="47" t="str">
        <f t="shared" si="119"/>
        <v/>
      </c>
      <c r="AN64" s="46" t="str">
        <f t="shared" ca="1" si="120"/>
        <v/>
      </c>
      <c r="AO64" s="141" t="str">
        <f t="shared" si="97"/>
        <v/>
      </c>
      <c r="AP64" s="46" t="str">
        <f t="shared" ca="1" si="98"/>
        <v/>
      </c>
      <c r="AQ64" s="47" t="str">
        <f t="shared" si="121"/>
        <v/>
      </c>
      <c r="AR64" s="46" t="str">
        <f t="shared" ca="1" si="122"/>
        <v/>
      </c>
      <c r="AS64" s="141" t="str">
        <f ca="1">IFERROR(IF(AND(ISNUMBER(Futs!$BY64), ISNUMBER($AJ64)), $AJ64*42/100 - Futs!$BY64, ""), "")</f>
        <v/>
      </c>
      <c r="AT64" s="67" t="str">
        <f ca="1">IFERROR(IF(AND(ISNUMBER(Futs!$BZ64), ISNUMBER($AL64)), $AL64*42/100 - Futs!$BZ64, ""), "")</f>
        <v/>
      </c>
      <c r="AU64" s="47" t="str">
        <f t="shared" ca="1" si="123"/>
        <v/>
      </c>
      <c r="AV64" s="46" t="str">
        <f t="shared" ca="1" si="124"/>
        <v/>
      </c>
      <c r="AW64" s="397"/>
      <c r="AX64" s="364" t="str">
        <f ca="1">IFERROR(INDEX(ICE[], MATCH("ic4ntet" &amp; TEXT(NGL!$A64, "mmmyy"), ICE[LongCode], 0), MATCH("Text", ICE[#Headers], 0)), "")</f>
        <v/>
      </c>
      <c r="AY64" s="46" t="str">
        <f t="shared" ca="1" si="99"/>
        <v/>
      </c>
      <c r="AZ64" s="47" t="str">
        <f t="shared" si="125"/>
        <v/>
      </c>
      <c r="BA64" s="46" t="str">
        <f t="shared" ca="1" si="126"/>
        <v/>
      </c>
      <c r="BB64" s="141" t="str">
        <f t="shared" si="100"/>
        <v/>
      </c>
      <c r="BC64" s="46" t="str">
        <f t="shared" ca="1" si="101"/>
        <v/>
      </c>
      <c r="BD64" s="47" t="str">
        <f t="shared" si="127"/>
        <v/>
      </c>
      <c r="BE64" s="46" t="str">
        <f t="shared" ca="1" si="128"/>
        <v/>
      </c>
      <c r="BF64" s="397"/>
      <c r="BG64" s="364" t="str">
        <f ca="1">IFERROR(INDEX(ICE[], MATCH("ngasntet" &amp; TEXT(NGL!$A64, "mmmyy"), ICE[LongCode], 0), MATCH("Text", ICE[#Headers], 0)), "")</f>
        <v/>
      </c>
      <c r="BH64" s="46" t="str">
        <f t="shared" ca="1" si="102"/>
        <v/>
      </c>
      <c r="BI64" s="47" t="str">
        <f t="shared" si="129"/>
        <v/>
      </c>
      <c r="BJ64" s="46" t="str">
        <f t="shared" ca="1" si="130"/>
        <v/>
      </c>
      <c r="BK64" s="141" t="str">
        <f ca="1">IFERROR(IF(AND(ISNUMBER(Futs!$BY64), ISNUMBER($BF64)), $BF64*42/100 - Futs!$BY64, ""), "")</f>
        <v/>
      </c>
      <c r="BL64" s="67" t="str">
        <f ca="1">IFERROR(IF(AND(ISNUMBER(Futs!$BZ64), ISNUMBER($BH64)), $BH64*42/100 - Futs!$BZ64, ""), "")</f>
        <v/>
      </c>
      <c r="BM64" s="47" t="str">
        <f t="shared" ca="1" si="131"/>
        <v/>
      </c>
      <c r="BN64" s="111" t="str">
        <f t="shared" ca="1" si="132"/>
        <v/>
      </c>
      <c r="BO64" s="397"/>
      <c r="BP64" s="364" t="str">
        <f ca="1">IFERROR(INDEX(ICE[], MATCH("c3ew" &amp; TEXT(NGL!$A64, "mmmyy"), ICE[LongCode], 0), MATCH("Text", ICE[#Headers], 0)), "")</f>
        <v/>
      </c>
      <c r="BQ64" s="46" t="str">
        <f t="shared" ca="1" si="103"/>
        <v/>
      </c>
      <c r="BR64" s="47" t="str">
        <f t="shared" si="133"/>
        <v/>
      </c>
      <c r="BS64" s="46" t="str">
        <f t="shared" ca="1" si="134"/>
        <v/>
      </c>
      <c r="BT64" s="141" t="str">
        <f t="shared" ca="1" si="104"/>
        <v/>
      </c>
      <c r="BU64" s="46" t="str">
        <f t="shared" ca="1" si="105"/>
        <v/>
      </c>
      <c r="BV64" s="47" t="str">
        <f t="shared" ca="1" si="135"/>
        <v/>
      </c>
      <c r="BW64" s="46" t="str">
        <f t="shared" ca="1" si="136"/>
        <v/>
      </c>
      <c r="BX64" s="141" t="str">
        <f ca="1">IFERROR(IF(AND(ISNUMBER(Futs!$CC64), ISNUMBER($BT64)), $BT64/12.4 - Futs!$CC64, ""), "")</f>
        <v/>
      </c>
      <c r="BY64" s="67" t="str">
        <f t="shared" ca="1" si="106"/>
        <v/>
      </c>
      <c r="BZ64" s="47" t="str">
        <f t="shared" ca="1" si="137"/>
        <v/>
      </c>
      <c r="CA64" s="46" t="str">
        <f t="shared" ca="1" si="138"/>
        <v/>
      </c>
    </row>
    <row r="65" spans="1:79" x14ac:dyDescent="0.25">
      <c r="A65" s="58">
        <f t="shared" ca="1" si="107"/>
        <v>47665</v>
      </c>
      <c r="B65" s="6">
        <f t="shared" ca="1" si="89"/>
        <v>2030</v>
      </c>
      <c r="C65" s="6" t="str">
        <f t="shared" ca="1" si="91"/>
        <v>Q330</v>
      </c>
      <c r="D65" s="28" t="e">
        <f ca="1">INDEX(ICE[], MATCH(D$18 &amp; TEXT(NGL!$A65, "mmmyy"), ICE[LongCode], 0), MATCH("Settle", ICE[#Headers], 0))</f>
        <v>#N/A</v>
      </c>
      <c r="E65" s="28" t="e">
        <f ca="1">INDEX(ICE[], MATCH(E$18 &amp; TEXT(NGL!$A65, "mmmyy"), ICE[LongCode], 0), MATCH("Settle", ICE[#Headers], 0))*100</f>
        <v>#N/A</v>
      </c>
      <c r="F65" s="28" t="e">
        <f ca="1">INDEX(ICE[], MATCH(F$18 &amp; TEXT(NGL!$A65, "mmmyy"), ICE[LongCode], 0), MATCH("Settle", ICE[#Headers], 0))*100</f>
        <v>#N/A</v>
      </c>
      <c r="G65" s="28" t="e">
        <f ca="1">INDEX(ICE[], MATCH(G$18 &amp; TEXT(NGL!$A65, "mmmyy"), ICE[LongCode], 0), MATCH("Settle", ICE[#Headers], 0))*100</f>
        <v>#N/A</v>
      </c>
      <c r="H65" s="28" t="e">
        <f ca="1">INDEX(ICE[], MATCH(H$18 &amp; TEXT(NGL!$A65, "mmmyy"), ICE[LongCode], 0), MATCH("Settle", ICE[#Headers], 0))*100</f>
        <v>#N/A</v>
      </c>
      <c r="I65" s="28" t="e">
        <f ca="1">INDEX(ICE[], MATCH(I$18 &amp; TEXT(NGL!$A65, "mmmyy"), ICE[LongCode], 0), MATCH("Settle", ICE[#Headers], 0))</f>
        <v>#N/A</v>
      </c>
      <c r="J65" s="397"/>
      <c r="K65" s="364" t="str">
        <f ca="1">IFERROR(INDEX(ICE[], MATCH("propnap" &amp; TEXT(NGL!$A65, "mmmyy"), ICE[LongCode], 0), MATCH("Text", ICE[#Headers], 0)), "")</f>
        <v/>
      </c>
      <c r="L65" s="46" t="str">
        <f t="shared" ca="1" si="90"/>
        <v/>
      </c>
      <c r="M65" s="47" t="str">
        <f t="shared" si="92"/>
        <v/>
      </c>
      <c r="N65" s="46" t="str">
        <f t="shared" ca="1" si="108"/>
        <v/>
      </c>
      <c r="O65" s="141" t="str">
        <f ca="1">IFERROR(IF(AND(ISNUMBER(Lts!$N65), ISNUMBER($J65)), Lts!$N65 + $J65, ""), "")</f>
        <v/>
      </c>
      <c r="P65" s="46" t="str">
        <f ca="1">IFERROR(IF(AND(ISNUMBER(Lts!$O65), ISNUMBER($L65)), Lts!$O65 + $L65, ""), "")</f>
        <v/>
      </c>
      <c r="Q65" s="47" t="str">
        <f t="shared" ca="1" si="109"/>
        <v/>
      </c>
      <c r="R65" s="46" t="str">
        <f t="shared" ca="1" si="110"/>
        <v/>
      </c>
      <c r="S65" s="141" t="str">
        <f ca="1">IFERROR(IF(AND(ISNUMBER(Futs!$CC65), ISNUMBER($O65)), $O65/12.4 - Futs!$CC65, ""), "")</f>
        <v/>
      </c>
      <c r="T65" s="67" t="str">
        <f ca="1">IFERROR(IF(AND(ISNUMBER(Futs!$CD65), ISNUMBER($P65)), $P65/12.4 - Futs!$CD65, ""), "")</f>
        <v/>
      </c>
      <c r="U65" s="47" t="str">
        <f t="shared" ca="1" si="111"/>
        <v/>
      </c>
      <c r="V65" s="46" t="str">
        <f t="shared" ca="1" si="112"/>
        <v/>
      </c>
      <c r="W65" s="397"/>
      <c r="X65" s="364" t="str">
        <f ca="1">IFERROR(INDEX(ICE[], MATCH("c3tet" &amp; TEXT(NGL!$A65, "mmmyy"), ICE[LongCode], 0), MATCH("Text", ICE[#Headers], 0)), "")</f>
        <v/>
      </c>
      <c r="Y65" s="46" t="str">
        <f t="shared" ca="1" si="93"/>
        <v/>
      </c>
      <c r="Z65" s="47" t="str">
        <f t="shared" si="113"/>
        <v/>
      </c>
      <c r="AA65" s="46" t="str">
        <f t="shared" ca="1" si="114"/>
        <v/>
      </c>
      <c r="AB65" s="141" t="str">
        <f ca="1">IFERROR(IF(AND(ISNUMBER(Futs!$BY65), ISNUMBER($W65)), $W65*42/100 - Futs!$BY65, ""), "")</f>
        <v/>
      </c>
      <c r="AC65" s="67" t="str">
        <f ca="1">IFERROR(IF(AND(ISNUMBER(Futs!$BZ65), ISNUMBER($Y65)), $Y65*42/100 - Futs!$BZ65, ""), "")</f>
        <v/>
      </c>
      <c r="AD65" s="47" t="str">
        <f t="shared" ca="1" si="115"/>
        <v/>
      </c>
      <c r="AE65" s="46" t="str">
        <f t="shared" ca="1" si="116"/>
        <v/>
      </c>
      <c r="AF65" s="141" t="str">
        <f t="shared" ca="1" si="94"/>
        <v/>
      </c>
      <c r="AG65" s="67" t="str">
        <f t="shared" ca="1" si="95"/>
        <v/>
      </c>
      <c r="AH65" s="47" t="str">
        <f t="shared" ca="1" si="117"/>
        <v/>
      </c>
      <c r="AI65" s="46" t="str">
        <f t="shared" ca="1" si="118"/>
        <v/>
      </c>
      <c r="AJ65" s="397"/>
      <c r="AK65" s="364" t="str">
        <f ca="1">IFERROR(INDEX(ICE[], MATCH("c4ntet" &amp; TEXT(NGL!$A65, "mmmyy"), ICE[LongCode], 0), MATCH("Text", ICE[#Headers], 0)), "")</f>
        <v/>
      </c>
      <c r="AL65" s="46" t="str">
        <f t="shared" ca="1" si="96"/>
        <v/>
      </c>
      <c r="AM65" s="47" t="str">
        <f t="shared" si="119"/>
        <v/>
      </c>
      <c r="AN65" s="46" t="str">
        <f t="shared" ca="1" si="120"/>
        <v/>
      </c>
      <c r="AO65" s="141" t="str">
        <f t="shared" si="97"/>
        <v/>
      </c>
      <c r="AP65" s="46" t="str">
        <f t="shared" ca="1" si="98"/>
        <v/>
      </c>
      <c r="AQ65" s="47" t="str">
        <f t="shared" si="121"/>
        <v/>
      </c>
      <c r="AR65" s="46" t="str">
        <f t="shared" ca="1" si="122"/>
        <v/>
      </c>
      <c r="AS65" s="141" t="str">
        <f ca="1">IFERROR(IF(AND(ISNUMBER(Futs!$BY65), ISNUMBER($AJ65)), $AJ65*42/100 - Futs!$BY65, ""), "")</f>
        <v/>
      </c>
      <c r="AT65" s="67" t="str">
        <f ca="1">IFERROR(IF(AND(ISNUMBER(Futs!$BZ65), ISNUMBER($AL65)), $AL65*42/100 - Futs!$BZ65, ""), "")</f>
        <v/>
      </c>
      <c r="AU65" s="47" t="str">
        <f t="shared" ca="1" si="123"/>
        <v/>
      </c>
      <c r="AV65" s="46" t="str">
        <f t="shared" ca="1" si="124"/>
        <v/>
      </c>
      <c r="AW65" s="397"/>
      <c r="AX65" s="364" t="str">
        <f ca="1">IFERROR(INDEX(ICE[], MATCH("ic4ntet" &amp; TEXT(NGL!$A65, "mmmyy"), ICE[LongCode], 0), MATCH("Text", ICE[#Headers], 0)), "")</f>
        <v/>
      </c>
      <c r="AY65" s="46" t="str">
        <f t="shared" ca="1" si="99"/>
        <v/>
      </c>
      <c r="AZ65" s="47" t="str">
        <f t="shared" si="125"/>
        <v/>
      </c>
      <c r="BA65" s="46" t="str">
        <f t="shared" ca="1" si="126"/>
        <v/>
      </c>
      <c r="BB65" s="141" t="str">
        <f t="shared" si="100"/>
        <v/>
      </c>
      <c r="BC65" s="46" t="str">
        <f t="shared" ca="1" si="101"/>
        <v/>
      </c>
      <c r="BD65" s="47" t="str">
        <f t="shared" si="127"/>
        <v/>
      </c>
      <c r="BE65" s="46" t="str">
        <f t="shared" ca="1" si="128"/>
        <v/>
      </c>
      <c r="BF65" s="397"/>
      <c r="BG65" s="364" t="str">
        <f ca="1">IFERROR(INDEX(ICE[], MATCH("ngasntet" &amp; TEXT(NGL!$A65, "mmmyy"), ICE[LongCode], 0), MATCH("Text", ICE[#Headers], 0)), "")</f>
        <v/>
      </c>
      <c r="BH65" s="46" t="str">
        <f t="shared" ca="1" si="102"/>
        <v/>
      </c>
      <c r="BI65" s="47" t="str">
        <f t="shared" si="129"/>
        <v/>
      </c>
      <c r="BJ65" s="46" t="str">
        <f t="shared" ca="1" si="130"/>
        <v/>
      </c>
      <c r="BK65" s="141" t="str">
        <f ca="1">IFERROR(IF(AND(ISNUMBER(Futs!$BY65), ISNUMBER($BF65)), $BF65*42/100 - Futs!$BY65, ""), "")</f>
        <v/>
      </c>
      <c r="BL65" s="67" t="str">
        <f ca="1">IFERROR(IF(AND(ISNUMBER(Futs!$BZ65), ISNUMBER($BH65)), $BH65*42/100 - Futs!$BZ65, ""), "")</f>
        <v/>
      </c>
      <c r="BM65" s="47" t="str">
        <f t="shared" ca="1" si="131"/>
        <v/>
      </c>
      <c r="BN65" s="111" t="str">
        <f t="shared" ca="1" si="132"/>
        <v/>
      </c>
      <c r="BO65" s="397"/>
      <c r="BP65" s="364" t="str">
        <f ca="1">IFERROR(INDEX(ICE[], MATCH("c3ew" &amp; TEXT(NGL!$A65, "mmmyy"), ICE[LongCode], 0), MATCH("Text", ICE[#Headers], 0)), "")</f>
        <v/>
      </c>
      <c r="BQ65" s="46" t="str">
        <f t="shared" ca="1" si="103"/>
        <v/>
      </c>
      <c r="BR65" s="47" t="str">
        <f t="shared" si="133"/>
        <v/>
      </c>
      <c r="BS65" s="46" t="str">
        <f t="shared" ca="1" si="134"/>
        <v/>
      </c>
      <c r="BT65" s="141" t="str">
        <f t="shared" ca="1" si="104"/>
        <v/>
      </c>
      <c r="BU65" s="46" t="str">
        <f t="shared" ca="1" si="105"/>
        <v/>
      </c>
      <c r="BV65" s="47" t="str">
        <f t="shared" ca="1" si="135"/>
        <v/>
      </c>
      <c r="BW65" s="46" t="str">
        <f t="shared" ca="1" si="136"/>
        <v/>
      </c>
      <c r="BX65" s="141" t="str">
        <f ca="1">IFERROR(IF(AND(ISNUMBER(Futs!$CC65), ISNUMBER($BT65)), $BT65/12.4 - Futs!$CC65, ""), "")</f>
        <v/>
      </c>
      <c r="BY65" s="67" t="str">
        <f t="shared" ca="1" si="106"/>
        <v/>
      </c>
      <c r="BZ65" s="47" t="str">
        <f t="shared" ca="1" si="137"/>
        <v/>
      </c>
      <c r="CA65" s="46" t="str">
        <f t="shared" ca="1" si="138"/>
        <v/>
      </c>
    </row>
    <row r="66" spans="1:79" ht="15.75" thickBot="1" x14ac:dyDescent="0.3">
      <c r="A66" s="58">
        <f t="shared" ca="1" si="107"/>
        <v>47696</v>
      </c>
      <c r="B66" s="6">
        <f t="shared" ca="1" si="89"/>
        <v>2030</v>
      </c>
      <c r="C66" s="6" t="str">
        <f t="shared" ca="1" si="91"/>
        <v>Q330</v>
      </c>
      <c r="D66" s="28" t="e">
        <f ca="1">INDEX(ICE[], MATCH(D$18 &amp; TEXT(NGL!$A66, "mmmyy"), ICE[LongCode], 0), MATCH("Settle", ICE[#Headers], 0))</f>
        <v>#N/A</v>
      </c>
      <c r="E66" s="28" t="e">
        <f ca="1">INDEX(ICE[], MATCH(E$18 &amp; TEXT(NGL!$A66, "mmmyy"), ICE[LongCode], 0), MATCH("Settle", ICE[#Headers], 0))*100</f>
        <v>#N/A</v>
      </c>
      <c r="F66" s="28" t="e">
        <f ca="1">INDEX(ICE[], MATCH(F$18 &amp; TEXT(NGL!$A66, "mmmyy"), ICE[LongCode], 0), MATCH("Settle", ICE[#Headers], 0))*100</f>
        <v>#N/A</v>
      </c>
      <c r="G66" s="28" t="e">
        <f ca="1">INDEX(ICE[], MATCH(G$18 &amp; TEXT(NGL!$A66, "mmmyy"), ICE[LongCode], 0), MATCH("Settle", ICE[#Headers], 0))*100</f>
        <v>#N/A</v>
      </c>
      <c r="H66" s="28" t="e">
        <f ca="1">INDEX(ICE[], MATCH(H$18 &amp; TEXT(NGL!$A66, "mmmyy"), ICE[LongCode], 0), MATCH("Settle", ICE[#Headers], 0))*100</f>
        <v>#N/A</v>
      </c>
      <c r="I66" s="28" t="e">
        <f ca="1">INDEX(ICE[], MATCH(I$18 &amp; TEXT(NGL!$A66, "mmmyy"), ICE[LongCode], 0), MATCH("Settle", ICE[#Headers], 0))</f>
        <v>#N/A</v>
      </c>
      <c r="J66" s="398"/>
      <c r="K66" s="366" t="str">
        <f ca="1">IFERROR(INDEX(ICE[], MATCH("propnap" &amp; TEXT(NGL!$A66, "mmmyy"), ICE[LongCode], 0), MATCH("Text", ICE[#Headers], 0)), "")</f>
        <v/>
      </c>
      <c r="L66" s="133" t="str">
        <f t="shared" ca="1" si="90"/>
        <v/>
      </c>
      <c r="M66" s="142" t="str">
        <f t="shared" si="92"/>
        <v/>
      </c>
      <c r="N66" s="133" t="str">
        <f t="shared" ca="1" si="108"/>
        <v/>
      </c>
      <c r="O66" s="144" t="str">
        <f ca="1">IFERROR(IF(AND(ISNUMBER(Lts!$N66), ISNUMBER($J66)), Lts!$N66 + $J66, ""), "")</f>
        <v/>
      </c>
      <c r="P66" s="133" t="str">
        <f ca="1">IFERROR(IF(AND(ISNUMBER(Lts!$O66), ISNUMBER($L66)), Lts!$O66 + $L66, ""), "")</f>
        <v/>
      </c>
      <c r="Q66" s="142" t="str">
        <f t="shared" ca="1" si="109"/>
        <v/>
      </c>
      <c r="R66" s="133" t="str">
        <f t="shared" ca="1" si="110"/>
        <v/>
      </c>
      <c r="S66" s="144" t="str">
        <f ca="1">IFERROR(IF(AND(ISNUMBER(Futs!$CC66), ISNUMBER($O66)), $O66/12.4 - Futs!$CC66, ""), "")</f>
        <v/>
      </c>
      <c r="T66" s="191" t="str">
        <f ca="1">IFERROR(IF(AND(ISNUMBER(Futs!$CD66), ISNUMBER($P66)), $P66/12.4 - Futs!$CD66, ""), "")</f>
        <v/>
      </c>
      <c r="U66" s="142" t="str">
        <f t="shared" ca="1" si="111"/>
        <v/>
      </c>
      <c r="V66" s="133" t="str">
        <f t="shared" ca="1" si="112"/>
        <v/>
      </c>
      <c r="W66" s="398"/>
      <c r="X66" s="366" t="str">
        <f ca="1">IFERROR(INDEX(ICE[], MATCH("c3tet" &amp; TEXT(NGL!$A66, "mmmyy"), ICE[LongCode], 0), MATCH("Text", ICE[#Headers], 0)), "")</f>
        <v/>
      </c>
      <c r="Y66" s="133" t="str">
        <f t="shared" ca="1" si="93"/>
        <v/>
      </c>
      <c r="Z66" s="142" t="str">
        <f t="shared" si="113"/>
        <v/>
      </c>
      <c r="AA66" s="133" t="str">
        <f t="shared" ca="1" si="114"/>
        <v/>
      </c>
      <c r="AB66" s="144" t="str">
        <f ca="1">IFERROR(IF(AND(ISNUMBER(Futs!$BY66), ISNUMBER($W66)), $W66*42/100 - Futs!$BY66, ""), "")</f>
        <v/>
      </c>
      <c r="AC66" s="191" t="str">
        <f ca="1">IFERROR(IF(AND(ISNUMBER(Futs!$BZ66), ISNUMBER($Y66)), $Y66*42/100 - Futs!$BZ66, ""), "")</f>
        <v/>
      </c>
      <c r="AD66" s="142" t="str">
        <f t="shared" ca="1" si="115"/>
        <v/>
      </c>
      <c r="AE66" s="133" t="str">
        <f t="shared" ca="1" si="116"/>
        <v/>
      </c>
      <c r="AF66" s="144" t="str">
        <f t="shared" ca="1" si="94"/>
        <v/>
      </c>
      <c r="AG66" s="191" t="str">
        <f t="shared" ca="1" si="95"/>
        <v/>
      </c>
      <c r="AH66" s="142" t="str">
        <f t="shared" ca="1" si="117"/>
        <v/>
      </c>
      <c r="AI66" s="133" t="str">
        <f t="shared" ca="1" si="118"/>
        <v/>
      </c>
      <c r="AJ66" s="398"/>
      <c r="AK66" s="366" t="str">
        <f ca="1">IFERROR(INDEX(ICE[], MATCH("c4ntet" &amp; TEXT(NGL!$A66, "mmmyy"), ICE[LongCode], 0), MATCH("Text", ICE[#Headers], 0)), "")</f>
        <v/>
      </c>
      <c r="AL66" s="133" t="str">
        <f t="shared" ca="1" si="96"/>
        <v/>
      </c>
      <c r="AM66" s="142" t="str">
        <f t="shared" si="119"/>
        <v/>
      </c>
      <c r="AN66" s="133" t="str">
        <f t="shared" ca="1" si="120"/>
        <v/>
      </c>
      <c r="AO66" s="144" t="str">
        <f t="shared" si="97"/>
        <v/>
      </c>
      <c r="AP66" s="133" t="str">
        <f t="shared" ca="1" si="98"/>
        <v/>
      </c>
      <c r="AQ66" s="142" t="str">
        <f t="shared" si="121"/>
        <v/>
      </c>
      <c r="AR66" s="133" t="str">
        <f t="shared" ca="1" si="122"/>
        <v/>
      </c>
      <c r="AS66" s="144" t="str">
        <f ca="1">IFERROR(IF(AND(ISNUMBER(Futs!$BY66), ISNUMBER($AJ66)), $AJ66*42/100 - Futs!$BY66, ""), "")</f>
        <v/>
      </c>
      <c r="AT66" s="191" t="str">
        <f ca="1">IFERROR(IF(AND(ISNUMBER(Futs!$BZ66), ISNUMBER($AL66)), $AL66*42/100 - Futs!$BZ66, ""), "")</f>
        <v/>
      </c>
      <c r="AU66" s="142" t="str">
        <f t="shared" ca="1" si="123"/>
        <v/>
      </c>
      <c r="AV66" s="133" t="str">
        <f t="shared" ca="1" si="124"/>
        <v/>
      </c>
      <c r="AW66" s="398"/>
      <c r="AX66" s="366" t="str">
        <f ca="1">IFERROR(INDEX(ICE[], MATCH("ic4ntet" &amp; TEXT(NGL!$A66, "mmmyy"), ICE[LongCode], 0), MATCH("Text", ICE[#Headers], 0)), "")</f>
        <v/>
      </c>
      <c r="AY66" s="133" t="str">
        <f t="shared" ca="1" si="99"/>
        <v/>
      </c>
      <c r="AZ66" s="142" t="str">
        <f t="shared" si="125"/>
        <v/>
      </c>
      <c r="BA66" s="133" t="str">
        <f t="shared" ca="1" si="126"/>
        <v/>
      </c>
      <c r="BB66" s="144" t="str">
        <f t="shared" si="100"/>
        <v/>
      </c>
      <c r="BC66" s="133" t="str">
        <f t="shared" ca="1" si="101"/>
        <v/>
      </c>
      <c r="BD66" s="142" t="str">
        <f t="shared" si="127"/>
        <v/>
      </c>
      <c r="BE66" s="133" t="str">
        <f t="shared" ca="1" si="128"/>
        <v/>
      </c>
      <c r="BF66" s="398"/>
      <c r="BG66" s="366" t="str">
        <f ca="1">IFERROR(INDEX(ICE[], MATCH("ngasntet" &amp; TEXT(NGL!$A66, "mmmyy"), ICE[LongCode], 0), MATCH("Text", ICE[#Headers], 0)), "")</f>
        <v/>
      </c>
      <c r="BH66" s="133" t="str">
        <f t="shared" ca="1" si="102"/>
        <v/>
      </c>
      <c r="BI66" s="142" t="str">
        <f t="shared" si="129"/>
        <v/>
      </c>
      <c r="BJ66" s="133" t="str">
        <f t="shared" ca="1" si="130"/>
        <v/>
      </c>
      <c r="BK66" s="144" t="str">
        <f ca="1">IFERROR(IF(AND(ISNUMBER(Futs!$BY66), ISNUMBER($BF66)), $BF66*42/100 - Futs!$BY66, ""), "")</f>
        <v/>
      </c>
      <c r="BL66" s="191" t="str">
        <f ca="1">IFERROR(IF(AND(ISNUMBER(Futs!$BZ66), ISNUMBER($BH66)), $BH66*42/100 - Futs!$BZ66, ""), "")</f>
        <v/>
      </c>
      <c r="BM66" s="142" t="str">
        <f t="shared" ca="1" si="131"/>
        <v/>
      </c>
      <c r="BN66" s="135" t="str">
        <f t="shared" ca="1" si="132"/>
        <v/>
      </c>
      <c r="BO66" s="398"/>
      <c r="BP66" s="366" t="str">
        <f ca="1">IFERROR(INDEX(ICE[], MATCH("c3ew" &amp; TEXT(NGL!$A66, "mmmyy"), ICE[LongCode], 0), MATCH("Text", ICE[#Headers], 0)), "")</f>
        <v/>
      </c>
      <c r="BQ66" s="133" t="str">
        <f t="shared" ca="1" si="103"/>
        <v/>
      </c>
      <c r="BR66" s="142" t="str">
        <f t="shared" si="133"/>
        <v/>
      </c>
      <c r="BS66" s="133" t="str">
        <f t="shared" ca="1" si="134"/>
        <v/>
      </c>
      <c r="BT66" s="144" t="str">
        <f t="shared" ca="1" si="104"/>
        <v/>
      </c>
      <c r="BU66" s="133" t="str">
        <f t="shared" ca="1" si="105"/>
        <v/>
      </c>
      <c r="BV66" s="142" t="str">
        <f t="shared" ca="1" si="135"/>
        <v/>
      </c>
      <c r="BW66" s="133" t="str">
        <f t="shared" ca="1" si="136"/>
        <v/>
      </c>
      <c r="BX66" s="144" t="str">
        <f ca="1">IFERROR(IF(AND(ISNUMBER(Futs!$CC66), ISNUMBER($BT66)), $BT66/12.4 - Futs!$CC66, ""), "")</f>
        <v/>
      </c>
      <c r="BY66" s="191" t="str">
        <f t="shared" ca="1" si="106"/>
        <v/>
      </c>
      <c r="BZ66" s="142" t="str">
        <f t="shared" ca="1" si="137"/>
        <v/>
      </c>
      <c r="CA66" s="133" t="str">
        <f t="shared" ca="1" si="138"/>
        <v/>
      </c>
    </row>
    <row r="67" spans="1:79" x14ac:dyDescent="0.25">
      <c r="A67" s="60"/>
      <c r="J67" s="48"/>
      <c r="K67" s="48"/>
      <c r="L67" s="53"/>
      <c r="M67" s="62"/>
      <c r="N67" s="53"/>
      <c r="O67" s="49"/>
      <c r="Q67" s="62"/>
      <c r="R67" s="53"/>
      <c r="S67" s="49"/>
      <c r="U67" s="62"/>
      <c r="V67" s="53"/>
      <c r="W67" s="48"/>
      <c r="X67" s="48"/>
      <c r="Y67" s="53"/>
      <c r="Z67" s="62"/>
      <c r="AA67" s="53"/>
      <c r="AB67" s="49"/>
      <c r="AD67" s="62"/>
      <c r="AE67" s="53"/>
      <c r="AF67" s="49"/>
      <c r="AH67" s="62"/>
      <c r="AI67" s="53"/>
      <c r="AJ67" s="48"/>
      <c r="AK67" s="48"/>
      <c r="AL67" s="53"/>
      <c r="AM67" s="62"/>
      <c r="AN67" s="53"/>
      <c r="AO67" s="49"/>
      <c r="AQ67" s="62"/>
      <c r="AR67" s="53"/>
      <c r="AS67" s="49"/>
      <c r="AU67" s="62"/>
      <c r="AV67" s="53"/>
      <c r="AW67" s="48"/>
      <c r="AX67" s="48"/>
      <c r="AY67" s="53"/>
      <c r="AZ67" s="62"/>
      <c r="BA67" s="53"/>
      <c r="BB67" s="49"/>
      <c r="BD67" s="62"/>
      <c r="BE67" s="53"/>
      <c r="BF67" s="48"/>
      <c r="BG67" s="48"/>
      <c r="BH67" s="53"/>
      <c r="BI67" s="62"/>
      <c r="BJ67" s="53"/>
      <c r="BK67" s="49"/>
      <c r="BM67" s="62"/>
      <c r="BN67" s="53"/>
      <c r="BO67" s="48"/>
      <c r="BP67" s="48"/>
      <c r="BQ67" s="53"/>
      <c r="BR67" s="62"/>
      <c r="BS67" s="53"/>
      <c r="BT67" s="49"/>
      <c r="BV67" s="62"/>
      <c r="BW67" s="53"/>
      <c r="BX67" s="49"/>
      <c r="BZ67" s="62"/>
      <c r="CA67" s="53"/>
    </row>
    <row r="68" spans="1:79" x14ac:dyDescent="0.25">
      <c r="A68" s="60"/>
      <c r="J68" s="48"/>
      <c r="K68" s="48"/>
      <c r="L68" s="53"/>
      <c r="M68" s="47"/>
      <c r="N68" s="53"/>
      <c r="Q68" s="47"/>
      <c r="R68" s="53"/>
      <c r="U68" s="47"/>
      <c r="V68" s="53"/>
      <c r="W68" s="48"/>
      <c r="X68" s="48"/>
      <c r="Y68" s="53"/>
      <c r="Z68" s="47"/>
      <c r="AA68" s="53"/>
      <c r="AD68" s="47"/>
      <c r="AE68" s="53"/>
      <c r="AH68" s="47"/>
      <c r="AI68" s="53"/>
      <c r="AJ68" s="48"/>
      <c r="AK68" s="48"/>
      <c r="AL68" s="53"/>
      <c r="AM68" s="47"/>
      <c r="AN68" s="53"/>
      <c r="AQ68" s="47"/>
      <c r="AR68" s="53"/>
      <c r="AU68" s="47"/>
      <c r="AV68" s="53"/>
      <c r="AW68" s="48"/>
      <c r="AX68" s="48"/>
      <c r="AY68" s="53"/>
      <c r="AZ68" s="47"/>
      <c r="BA68" s="53"/>
      <c r="BD68" s="47"/>
      <c r="BE68" s="53"/>
      <c r="BF68" s="48"/>
      <c r="BG68" s="48"/>
      <c r="BH68" s="53"/>
      <c r="BI68" s="47"/>
      <c r="BJ68" s="53"/>
      <c r="BM68" s="47"/>
      <c r="BN68" s="53"/>
      <c r="BO68" s="48"/>
      <c r="BP68" s="48"/>
      <c r="BQ68" s="53"/>
      <c r="BR68" s="47"/>
      <c r="BS68" s="53"/>
      <c r="BV68" s="47"/>
      <c r="BW68" s="53"/>
      <c r="BZ68" s="47"/>
      <c r="CA68" s="53"/>
    </row>
    <row r="69" spans="1:79" x14ac:dyDescent="0.25">
      <c r="A69" s="60"/>
      <c r="J69" s="48"/>
      <c r="K69" s="48"/>
      <c r="L69" s="53"/>
      <c r="M69" s="47"/>
      <c r="N69" s="53"/>
      <c r="Q69" s="47"/>
      <c r="R69" s="53"/>
      <c r="U69" s="47"/>
      <c r="V69" s="53"/>
      <c r="W69" s="48"/>
      <c r="X69" s="48"/>
      <c r="Y69" s="53"/>
      <c r="Z69" s="47"/>
      <c r="AA69" s="53"/>
      <c r="AD69" s="47"/>
      <c r="AE69" s="53"/>
      <c r="AH69" s="47"/>
      <c r="AI69" s="53"/>
      <c r="AJ69" s="48"/>
      <c r="AK69" s="48"/>
      <c r="AL69" s="53"/>
      <c r="AM69" s="47"/>
      <c r="AN69" s="53"/>
      <c r="AQ69" s="47"/>
      <c r="AR69" s="53"/>
      <c r="AU69" s="47"/>
      <c r="AV69" s="53"/>
      <c r="AW69" s="48"/>
      <c r="AX69" s="48"/>
      <c r="AY69" s="53"/>
      <c r="AZ69" s="47"/>
      <c r="BA69" s="53"/>
      <c r="BD69" s="47"/>
      <c r="BE69" s="53"/>
      <c r="BF69" s="48"/>
      <c r="BG69" s="48"/>
      <c r="BH69" s="53"/>
      <c r="BI69" s="47"/>
      <c r="BJ69" s="53"/>
      <c r="BM69" s="47"/>
      <c r="BN69" s="53"/>
      <c r="BO69" s="48"/>
      <c r="BP69" s="48"/>
      <c r="BQ69" s="53"/>
      <c r="BR69" s="47"/>
      <c r="BS69" s="53"/>
      <c r="BV69" s="47"/>
      <c r="BW69" s="53"/>
      <c r="BZ69" s="47"/>
      <c r="CA69" s="53"/>
    </row>
    <row r="70" spans="1:79" x14ac:dyDescent="0.25">
      <c r="A70" s="60"/>
      <c r="J70" s="48"/>
      <c r="K70" s="48"/>
      <c r="L70" s="53"/>
      <c r="M70" s="47"/>
      <c r="N70" s="53"/>
      <c r="Q70" s="47"/>
      <c r="R70" s="53"/>
      <c r="U70" s="47"/>
      <c r="V70" s="53"/>
      <c r="W70" s="48"/>
      <c r="X70" s="48"/>
      <c r="Y70" s="53"/>
      <c r="Z70" s="47"/>
      <c r="AA70" s="53"/>
      <c r="AD70" s="47"/>
      <c r="AE70" s="53"/>
      <c r="AH70" s="47"/>
      <c r="AI70" s="53"/>
      <c r="AJ70" s="48"/>
      <c r="AK70" s="48"/>
      <c r="AL70" s="53"/>
      <c r="AM70" s="47"/>
      <c r="AN70" s="53"/>
      <c r="AQ70" s="47"/>
      <c r="AR70" s="53"/>
      <c r="AU70" s="47"/>
      <c r="AV70" s="53"/>
      <c r="AW70" s="48"/>
      <c r="AX70" s="48"/>
      <c r="AY70" s="53"/>
      <c r="AZ70" s="47"/>
      <c r="BA70" s="53"/>
      <c r="BD70" s="47"/>
      <c r="BE70" s="53"/>
      <c r="BF70" s="48"/>
      <c r="BG70" s="48"/>
      <c r="BH70" s="53"/>
      <c r="BI70" s="47"/>
      <c r="BJ70" s="53"/>
      <c r="BM70" s="47"/>
      <c r="BN70" s="53"/>
      <c r="BO70" s="48"/>
      <c r="BP70" s="48"/>
      <c r="BQ70" s="53"/>
      <c r="BR70" s="47"/>
      <c r="BS70" s="53"/>
      <c r="BV70" s="47"/>
      <c r="BW70" s="53"/>
      <c r="BZ70" s="47"/>
      <c r="CA70" s="53"/>
    </row>
    <row r="71" spans="1:79" x14ac:dyDescent="0.25">
      <c r="A71" s="60"/>
      <c r="J71" s="48"/>
      <c r="K71" s="48"/>
      <c r="L71" s="53"/>
      <c r="M71" s="47"/>
      <c r="N71" s="53"/>
      <c r="Q71" s="47"/>
      <c r="R71" s="53"/>
      <c r="U71" s="47"/>
      <c r="V71" s="53"/>
      <c r="W71" s="48"/>
      <c r="X71" s="48"/>
      <c r="Y71" s="53"/>
      <c r="Z71" s="47"/>
      <c r="AA71" s="53"/>
      <c r="AD71" s="47"/>
      <c r="AE71" s="53"/>
      <c r="AH71" s="47"/>
      <c r="AI71" s="53"/>
      <c r="AJ71" s="48"/>
      <c r="AK71" s="48"/>
      <c r="AL71" s="53"/>
      <c r="AM71" s="47"/>
      <c r="AN71" s="53"/>
      <c r="AQ71" s="47"/>
      <c r="AR71" s="53"/>
      <c r="AU71" s="47"/>
      <c r="AV71" s="53"/>
      <c r="AW71" s="48"/>
      <c r="AX71" s="48"/>
      <c r="AY71" s="53"/>
      <c r="AZ71" s="47"/>
      <c r="BA71" s="53"/>
      <c r="BD71" s="47"/>
      <c r="BE71" s="53"/>
      <c r="BF71" s="48"/>
      <c r="BG71" s="48"/>
      <c r="BH71" s="53"/>
      <c r="BI71" s="47"/>
      <c r="BJ71" s="53"/>
      <c r="BM71" s="47"/>
      <c r="BN71" s="53"/>
      <c r="BO71" s="48"/>
      <c r="BP71" s="48"/>
      <c r="BQ71" s="53"/>
      <c r="BR71" s="47"/>
      <c r="BS71" s="53"/>
      <c r="BV71" s="47"/>
      <c r="BW71" s="53"/>
      <c r="BZ71" s="47"/>
      <c r="CA71" s="53"/>
    </row>
    <row r="72" spans="1:79" x14ac:dyDescent="0.25">
      <c r="A72" s="60"/>
      <c r="J72" s="48"/>
      <c r="K72" s="48"/>
      <c r="L72" s="53"/>
      <c r="M72" s="47"/>
      <c r="N72" s="53"/>
      <c r="Q72" s="47"/>
      <c r="R72" s="53"/>
      <c r="U72" s="47"/>
      <c r="V72" s="53"/>
      <c r="W72" s="48"/>
      <c r="X72" s="48"/>
      <c r="Y72" s="53"/>
      <c r="Z72" s="47"/>
      <c r="AA72" s="53"/>
      <c r="AD72" s="47"/>
      <c r="AE72" s="53"/>
      <c r="AH72" s="47"/>
      <c r="AI72" s="53"/>
      <c r="AJ72" s="48"/>
      <c r="AK72" s="48"/>
      <c r="AL72" s="53"/>
      <c r="AM72" s="47"/>
      <c r="AN72" s="53"/>
      <c r="AQ72" s="47"/>
      <c r="AR72" s="53"/>
      <c r="AU72" s="47"/>
      <c r="AV72" s="53"/>
      <c r="AW72" s="48"/>
      <c r="AX72" s="48"/>
      <c r="AY72" s="53"/>
      <c r="AZ72" s="47"/>
      <c r="BA72" s="53"/>
      <c r="BD72" s="47"/>
      <c r="BE72" s="53"/>
      <c r="BF72" s="48"/>
      <c r="BG72" s="48"/>
      <c r="BH72" s="53"/>
      <c r="BI72" s="47"/>
      <c r="BJ72" s="53"/>
      <c r="BM72" s="47"/>
      <c r="BN72" s="53"/>
      <c r="BO72" s="48"/>
      <c r="BP72" s="48"/>
      <c r="BQ72" s="53"/>
      <c r="BR72" s="47"/>
      <c r="BS72" s="53"/>
      <c r="BV72" s="47"/>
      <c r="BW72" s="53"/>
      <c r="BZ72" s="47"/>
      <c r="CA72" s="53"/>
    </row>
    <row r="73" spans="1:79" x14ac:dyDescent="0.25">
      <c r="A73" s="60"/>
      <c r="J73" s="48"/>
      <c r="K73" s="48"/>
      <c r="L73" s="53"/>
      <c r="M73" s="47"/>
      <c r="N73" s="53"/>
      <c r="Q73" s="47"/>
      <c r="R73" s="53"/>
      <c r="U73" s="47"/>
      <c r="V73" s="53"/>
      <c r="W73" s="48"/>
      <c r="X73" s="48"/>
      <c r="Y73" s="53"/>
      <c r="Z73" s="47"/>
      <c r="AA73" s="53"/>
      <c r="AD73" s="47"/>
      <c r="AE73" s="53"/>
      <c r="AH73" s="47"/>
      <c r="AI73" s="53"/>
      <c r="AJ73" s="48"/>
      <c r="AK73" s="48"/>
      <c r="AL73" s="53"/>
      <c r="AM73" s="47"/>
      <c r="AN73" s="53"/>
      <c r="AQ73" s="47"/>
      <c r="AR73" s="53"/>
      <c r="AU73" s="47"/>
      <c r="AV73" s="53"/>
      <c r="AW73" s="48"/>
      <c r="AX73" s="48"/>
      <c r="AY73" s="53"/>
      <c r="AZ73" s="47"/>
      <c r="BA73" s="53"/>
      <c r="BD73" s="47"/>
      <c r="BE73" s="53"/>
      <c r="BF73" s="48"/>
      <c r="BG73" s="48"/>
      <c r="BH73" s="53"/>
      <c r="BI73" s="47"/>
      <c r="BJ73" s="53"/>
      <c r="BM73" s="47"/>
      <c r="BN73" s="53"/>
      <c r="BO73" s="48"/>
      <c r="BP73" s="48"/>
      <c r="BQ73" s="53"/>
      <c r="BR73" s="47"/>
      <c r="BS73" s="53"/>
      <c r="BV73" s="47"/>
      <c r="BW73" s="53"/>
      <c r="BZ73" s="47"/>
      <c r="CA73" s="53"/>
    </row>
  </sheetData>
  <conditionalFormatting sqref="L19:L66 L5:L14 N5:N14 N19:N66 P19:P66 P5:P14 R5:R14 R19:R66 T19:T66 T5:T14 V5:V14 V19:V66 Y19:Y66 Y5:Y14 AA5:AA14 AA19:AA66 AC5:AC14 AC19:AC66 AE19:AE66 AE5:AE14 AG5:AG14 AG19:AG66 AI19:AI66 AI5:AI14 AL5:AL14 AL19:AL66 AN19:AN66 AN5:AN14 AP5:AP14 AP19:AP66 AR19:AR66 AR5:AR14 AT5:AT14 AT19:AT66 AV19:AV66 AV5:AV14 AY5:AY14 AY19:AY66 BA19:BA66 BA5:BA14 BC5:BC14 BC19:BC66 BE19:BE66 BE5:BE14 BH5:BH14 BH19:BH66 BJ19:BJ66 BJ5:BJ14 BL5:BL14 BL19:BL66 BN19:BN66 BN5:BN14">
    <cfRule type="cellIs" dxfId="111" priority="3" operator="lessThan">
      <formula>0</formula>
    </cfRule>
    <cfRule type="cellIs" dxfId="110" priority="4" operator="greaterThan">
      <formula>0</formula>
    </cfRule>
  </conditionalFormatting>
  <conditionalFormatting sqref="BQ19:BQ66 BQ5:BQ14 BS5:BS14 BS19:BS66 BU19:BU66 BU5:BU14 BW5:BW14 BW19:BW66 BY19:BY66 BY5:BY14 CA5:CA14 CA19:CA66">
    <cfRule type="cellIs" dxfId="109" priority="1" operator="lessThan">
      <formula>0</formula>
    </cfRule>
    <cfRule type="cellIs" dxfId="10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8E36E-313E-45F5-908A-5307102A3BF9}">
  <sheetPr codeName="Sheet6">
    <tabColor theme="5" tint="-0.249977111117893"/>
    <pageSetUpPr autoPageBreaks="0"/>
  </sheetPr>
  <dimension ref="A1:BU73"/>
  <sheetViews>
    <sheetView zoomScaleNormal="100" workbookViewId="0">
      <pane xSplit="1" ySplit="18" topLeftCell="I19" activePane="bottomRight" state="frozen"/>
      <selection pane="topRight" activeCell="B1" sqref="B1"/>
      <selection pane="bottomLeft" activeCell="A19" sqref="A19"/>
      <selection pane="bottomRight" activeCell="T21" sqref="T21"/>
    </sheetView>
  </sheetViews>
  <sheetFormatPr defaultColWidth="9.140625" defaultRowHeight="15" x14ac:dyDescent="0.25"/>
  <cols>
    <col min="1" max="1" width="12.140625" style="57" customWidth="1"/>
    <col min="2" max="3" width="9.42578125" style="6" hidden="1" customWidth="1"/>
    <col min="4" max="8" width="9.42578125" style="28" hidden="1" customWidth="1"/>
    <col min="9" max="9" width="8.140625" style="51" customWidth="1"/>
    <col min="10" max="10" width="25.85546875" style="51" customWidth="1"/>
    <col min="11" max="11" width="5.7109375" style="52" customWidth="1"/>
    <col min="12" max="12" width="8.140625" style="66" customWidth="1"/>
    <col min="13" max="13" width="5.7109375" style="52" customWidth="1"/>
    <col min="14" max="14" width="8.140625" style="51" customWidth="1"/>
    <col min="15" max="15" width="5.7109375" style="67" customWidth="1"/>
    <col min="16" max="16" width="8.140625" style="66" customWidth="1"/>
    <col min="17" max="17" width="5.7109375" style="52" customWidth="1"/>
    <col min="18" max="18" width="8.140625" style="51" customWidth="1"/>
    <col min="19" max="19" width="25.85546875" style="51" customWidth="1"/>
    <col min="20" max="20" width="5.7109375" style="52" customWidth="1"/>
    <col min="21" max="21" width="8.140625" style="66" customWidth="1"/>
    <col min="22" max="22" width="5.7109375" style="52" customWidth="1"/>
    <col min="23" max="23" width="8.140625" style="51" customWidth="1"/>
    <col min="24" max="24" width="5.7109375" style="67" customWidth="1"/>
    <col min="25" max="25" width="8.140625" style="66" customWidth="1"/>
    <col min="26" max="26" width="5.7109375" style="52" customWidth="1"/>
    <col min="27" max="27" width="8.140625" style="51" customWidth="1"/>
    <col min="28" max="28" width="5.7109375" style="67" customWidth="1"/>
    <col min="29" max="29" width="8.140625" style="66" customWidth="1"/>
    <col min="30" max="30" width="5.7109375" style="52" customWidth="1"/>
    <col min="31" max="31" width="8.140625" style="51" customWidth="1"/>
    <col min="32" max="32" width="5.7109375" style="67" customWidth="1"/>
    <col min="33" max="33" width="8.140625" style="66" customWidth="1"/>
    <col min="34" max="34" width="5.7109375" style="52" customWidth="1"/>
    <col min="35" max="35" width="8.140625" style="51" customWidth="1"/>
    <col min="36" max="36" width="25.85546875" style="51" customWidth="1"/>
    <col min="37" max="37" width="5.7109375" style="52" customWidth="1"/>
    <col min="38" max="38" width="8.140625" style="66" customWidth="1"/>
    <col min="39" max="39" width="5.7109375" style="52" customWidth="1"/>
    <col min="40" max="40" width="8.140625" style="51" customWidth="1"/>
    <col min="41" max="41" width="5.7109375" style="67" customWidth="1"/>
    <col min="42" max="42" width="8.140625" style="66" customWidth="1"/>
    <col min="43" max="43" width="5.7109375" style="52" customWidth="1"/>
    <col min="44" max="44" width="8.140625" style="51" customWidth="1"/>
    <col min="45" max="45" width="5.7109375" style="67" customWidth="1"/>
    <col min="46" max="46" width="8.140625" style="66" customWidth="1"/>
    <col min="47" max="47" width="5.7109375" style="52" customWidth="1"/>
    <col min="48" max="48" width="8.140625" style="51" customWidth="1"/>
    <col min="49" max="49" width="25.85546875" style="51" customWidth="1"/>
    <col min="50" max="50" width="5.7109375" style="52" customWidth="1"/>
    <col min="51" max="51" width="8.140625" style="66" customWidth="1"/>
    <col min="52" max="52" width="5.7109375" style="52" customWidth="1"/>
    <col min="53" max="53" width="8.140625" style="51" customWidth="1"/>
    <col min="54" max="54" width="5.7109375" style="67" customWidth="1"/>
    <col min="55" max="55" width="8.140625" style="66" customWidth="1"/>
    <col min="56" max="56" width="5.7109375" style="52" customWidth="1"/>
    <col min="57" max="57" width="8.140625" style="51" customWidth="1"/>
    <col min="58" max="58" width="5.7109375" style="67" customWidth="1"/>
    <col min="59" max="59" width="8.140625" style="66" customWidth="1"/>
    <col min="60" max="60" width="5.7109375" style="52" customWidth="1"/>
    <col min="61" max="61" width="8.140625" style="51" customWidth="1"/>
    <col min="62" max="62" width="25.85546875" style="51" customWidth="1"/>
    <col min="63" max="63" width="5.7109375" style="52" customWidth="1"/>
    <col min="64" max="64" width="8.140625" style="66" customWidth="1"/>
    <col min="65" max="65" width="5.7109375" style="52" customWidth="1"/>
    <col min="66" max="66" width="8.140625" style="51" customWidth="1"/>
    <col min="67" max="67" width="5.7109375" style="67" customWidth="1"/>
    <col min="68" max="68" width="8.140625" style="66" customWidth="1"/>
    <col min="69" max="69" width="5.7109375" style="52" customWidth="1"/>
    <col min="70" max="70" width="8.140625" style="51" customWidth="1"/>
    <col min="71" max="71" width="5.7109375" style="67" customWidth="1"/>
    <col min="72" max="72" width="8.140625" style="66" customWidth="1"/>
    <col min="73" max="73" width="5.7109375" style="52" customWidth="1"/>
    <col min="74" max="16384" width="9.140625" style="51"/>
  </cols>
  <sheetData>
    <row r="1" spans="1:73" s="68" customFormat="1" x14ac:dyDescent="0.25">
      <c r="A1" s="106">
        <f ca="1">INT(TimeLDN)</f>
        <v>46267</v>
      </c>
      <c r="B1" s="6"/>
      <c r="C1" s="25"/>
      <c r="D1" s="28"/>
      <c r="E1" s="28"/>
      <c r="F1" s="28"/>
      <c r="G1" s="28"/>
      <c r="H1" s="28"/>
      <c r="I1" s="51"/>
      <c r="J1" s="51"/>
      <c r="K1" s="52"/>
      <c r="L1" s="51"/>
      <c r="M1" s="52"/>
      <c r="N1" s="51"/>
      <c r="O1" s="67"/>
      <c r="P1" s="51"/>
      <c r="Q1" s="52"/>
      <c r="R1" s="51"/>
      <c r="S1" s="51"/>
      <c r="T1" s="52"/>
      <c r="U1" s="51"/>
      <c r="V1" s="52"/>
      <c r="W1" s="51"/>
      <c r="X1" s="67"/>
      <c r="Y1" s="51"/>
      <c r="Z1" s="52"/>
      <c r="AA1" s="51"/>
      <c r="AB1" s="67"/>
      <c r="AC1" s="51"/>
      <c r="AD1" s="52"/>
      <c r="AE1" s="51"/>
      <c r="AF1" s="67"/>
      <c r="AG1" s="51"/>
      <c r="AH1" s="52"/>
      <c r="AI1" s="51"/>
      <c r="AJ1" s="51"/>
      <c r="AK1" s="52"/>
      <c r="AL1" s="51"/>
      <c r="AM1" s="52"/>
      <c r="AN1" s="51"/>
      <c r="AO1" s="67"/>
      <c r="AP1" s="51"/>
      <c r="AQ1" s="52"/>
      <c r="AR1" s="51"/>
      <c r="AS1" s="67"/>
      <c r="AT1" s="51"/>
      <c r="AU1" s="52"/>
      <c r="AV1" s="51"/>
      <c r="AW1" s="51"/>
      <c r="AX1" s="52"/>
      <c r="AY1" s="51"/>
      <c r="AZ1" s="52"/>
      <c r="BA1" s="51"/>
      <c r="BB1" s="67"/>
      <c r="BC1" s="51"/>
      <c r="BD1" s="52"/>
      <c r="BE1" s="51"/>
      <c r="BF1" s="67"/>
      <c r="BG1" s="51"/>
      <c r="BH1" s="52"/>
      <c r="BI1" s="51"/>
      <c r="BJ1" s="51"/>
      <c r="BK1" s="52"/>
      <c r="BL1" s="51"/>
      <c r="BM1" s="52"/>
      <c r="BN1" s="51"/>
      <c r="BO1" s="67"/>
      <c r="BP1" s="51"/>
      <c r="BQ1" s="52"/>
      <c r="BR1" s="51"/>
      <c r="BS1" s="67"/>
      <c r="BT1" s="51"/>
      <c r="BU1" s="52"/>
    </row>
    <row r="2" spans="1:73" s="68" customFormat="1" ht="15.75" thickBot="1" x14ac:dyDescent="0.3">
      <c r="A2" s="107">
        <f ca="1">TimeLDN</f>
        <v>46267.465217013887</v>
      </c>
      <c r="B2" s="6"/>
      <c r="C2" s="6"/>
      <c r="D2" s="28"/>
      <c r="E2" s="28"/>
      <c r="F2" s="28"/>
      <c r="G2" s="28"/>
      <c r="H2" s="28"/>
      <c r="I2" s="51"/>
      <c r="J2" s="51"/>
      <c r="K2" s="52"/>
      <c r="L2" s="51"/>
      <c r="M2" s="52"/>
      <c r="N2" s="51"/>
      <c r="O2" s="67"/>
      <c r="P2" s="51"/>
      <c r="Q2" s="52"/>
      <c r="R2" s="51"/>
      <c r="S2" s="51"/>
      <c r="T2" s="52"/>
      <c r="U2" s="51"/>
      <c r="V2" s="52"/>
      <c r="W2" s="51"/>
      <c r="X2" s="67"/>
      <c r="Y2" s="51"/>
      <c r="Z2" s="52"/>
      <c r="AA2" s="51"/>
      <c r="AB2" s="67"/>
      <c r="AC2" s="51"/>
      <c r="AD2" s="52"/>
      <c r="AE2" s="51"/>
      <c r="AF2" s="67"/>
      <c r="AG2" s="51"/>
      <c r="AH2" s="52"/>
      <c r="AI2" s="51"/>
      <c r="AJ2" s="51"/>
      <c r="AK2" s="52"/>
      <c r="AL2" s="51"/>
      <c r="AM2" s="52"/>
      <c r="AN2" s="51"/>
      <c r="AO2" s="67"/>
      <c r="AP2" s="51"/>
      <c r="AQ2" s="52"/>
      <c r="AR2" s="51"/>
      <c r="AS2" s="67"/>
      <c r="AT2" s="51"/>
      <c r="AU2" s="52"/>
      <c r="AV2" s="51"/>
      <c r="AW2" s="51"/>
      <c r="AX2" s="52"/>
      <c r="AY2" s="51"/>
      <c r="AZ2" s="52"/>
      <c r="BA2" s="51"/>
      <c r="BB2" s="67"/>
      <c r="BC2" s="51"/>
      <c r="BD2" s="52"/>
      <c r="BE2" s="51"/>
      <c r="BF2" s="67"/>
      <c r="BG2" s="51"/>
      <c r="BH2" s="52"/>
      <c r="BI2" s="51"/>
      <c r="BJ2" s="51"/>
      <c r="BK2" s="52"/>
      <c r="BL2" s="51"/>
      <c r="BM2" s="52"/>
      <c r="BN2" s="51"/>
      <c r="BO2" s="67"/>
      <c r="BP2" s="51"/>
      <c r="BQ2" s="52"/>
      <c r="BR2" s="51"/>
      <c r="BS2" s="67"/>
      <c r="BT2" s="51"/>
      <c r="BU2" s="52"/>
    </row>
    <row r="3" spans="1:73" s="68" customFormat="1" ht="15.75" thickBot="1" x14ac:dyDescent="0.3">
      <c r="A3" s="54"/>
      <c r="B3" s="6"/>
      <c r="C3" s="6"/>
      <c r="D3" s="28"/>
      <c r="E3" s="28"/>
      <c r="F3" s="28"/>
      <c r="G3" s="28"/>
      <c r="H3" s="28"/>
      <c r="I3" s="310" t="s">
        <v>381</v>
      </c>
      <c r="J3" s="311"/>
      <c r="K3" s="313"/>
      <c r="L3" s="311"/>
      <c r="M3" s="311"/>
      <c r="N3" s="311"/>
      <c r="O3" s="313"/>
      <c r="P3" s="311"/>
      <c r="Q3" s="311"/>
      <c r="R3" s="310" t="s">
        <v>382</v>
      </c>
      <c r="S3" s="311"/>
      <c r="T3" s="313"/>
      <c r="U3" s="311"/>
      <c r="V3" s="311"/>
      <c r="W3" s="311"/>
      <c r="X3" s="313"/>
      <c r="Y3" s="311"/>
      <c r="Z3" s="311"/>
      <c r="AA3" s="311"/>
      <c r="AB3" s="313"/>
      <c r="AC3" s="311"/>
      <c r="AD3" s="311"/>
      <c r="AE3" s="311"/>
      <c r="AF3" s="313"/>
      <c r="AG3" s="311"/>
      <c r="AH3" s="311"/>
      <c r="AI3" s="310" t="s">
        <v>383</v>
      </c>
      <c r="AJ3" s="311"/>
      <c r="AK3" s="313"/>
      <c r="AL3" s="311"/>
      <c r="AM3" s="311"/>
      <c r="AN3" s="311"/>
      <c r="AO3" s="313"/>
      <c r="AP3" s="311"/>
      <c r="AQ3" s="311"/>
      <c r="AR3" s="311"/>
      <c r="AS3" s="313"/>
      <c r="AT3" s="311"/>
      <c r="AU3" s="311"/>
      <c r="AV3" s="310" t="s">
        <v>384</v>
      </c>
      <c r="AW3" s="311"/>
      <c r="AX3" s="313"/>
      <c r="AY3" s="311"/>
      <c r="AZ3" s="311"/>
      <c r="BA3" s="311"/>
      <c r="BB3" s="313"/>
      <c r="BC3" s="311"/>
      <c r="BD3" s="311"/>
      <c r="BE3" s="311"/>
      <c r="BF3" s="313"/>
      <c r="BG3" s="311"/>
      <c r="BH3" s="311"/>
      <c r="BI3" s="310" t="s">
        <v>385</v>
      </c>
      <c r="BJ3" s="311"/>
      <c r="BK3" s="313"/>
      <c r="BL3" s="311"/>
      <c r="BM3" s="311"/>
      <c r="BN3" s="311"/>
      <c r="BO3" s="313"/>
      <c r="BP3" s="311"/>
      <c r="BQ3" s="311"/>
      <c r="BR3" s="311"/>
      <c r="BS3" s="313"/>
      <c r="BT3" s="311"/>
      <c r="BU3" s="320"/>
    </row>
    <row r="4" spans="1:73" s="68" customFormat="1" x14ac:dyDescent="0.25">
      <c r="A4" s="54"/>
      <c r="B4" s="6"/>
      <c r="C4" s="6"/>
      <c r="D4" s="28"/>
      <c r="E4" s="28"/>
      <c r="F4" s="28"/>
      <c r="G4" s="28"/>
      <c r="H4" s="28"/>
      <c r="I4" s="302" t="s">
        <v>368</v>
      </c>
      <c r="J4" s="321"/>
      <c r="K4" s="328"/>
      <c r="L4" s="321"/>
      <c r="M4" s="321"/>
      <c r="N4" s="304" t="s">
        <v>367</v>
      </c>
      <c r="O4" s="367"/>
      <c r="P4" s="321"/>
      <c r="Q4" s="321"/>
      <c r="R4" s="302" t="s">
        <v>368</v>
      </c>
      <c r="S4" s="321"/>
      <c r="T4" s="328"/>
      <c r="U4" s="321"/>
      <c r="V4" s="321"/>
      <c r="W4" s="304" t="s">
        <v>367</v>
      </c>
      <c r="X4" s="367"/>
      <c r="Y4" s="321"/>
      <c r="Z4" s="321"/>
      <c r="AA4" s="304" t="s">
        <v>386</v>
      </c>
      <c r="AB4" s="367"/>
      <c r="AC4" s="321"/>
      <c r="AD4" s="321"/>
      <c r="AE4" s="304" t="s">
        <v>387</v>
      </c>
      <c r="AF4" s="367"/>
      <c r="AG4" s="321"/>
      <c r="AH4" s="321"/>
      <c r="AI4" s="336" t="s">
        <v>388</v>
      </c>
      <c r="AJ4" s="321"/>
      <c r="AK4" s="328"/>
      <c r="AL4" s="321"/>
      <c r="AM4" s="321"/>
      <c r="AN4" s="340" t="s">
        <v>367</v>
      </c>
      <c r="AO4" s="328"/>
      <c r="AP4" s="321"/>
      <c r="AQ4" s="321"/>
      <c r="AR4" s="340" t="s">
        <v>389</v>
      </c>
      <c r="AS4" s="368"/>
      <c r="AT4" s="321"/>
      <c r="AU4" s="321"/>
      <c r="AV4" s="336" t="s">
        <v>390</v>
      </c>
      <c r="AW4" s="321"/>
      <c r="AX4" s="328"/>
      <c r="AY4" s="321"/>
      <c r="AZ4" s="321"/>
      <c r="BA4" s="340" t="s">
        <v>367</v>
      </c>
      <c r="BB4" s="328"/>
      <c r="BC4" s="321"/>
      <c r="BD4" s="321"/>
      <c r="BE4" s="340" t="s">
        <v>389</v>
      </c>
      <c r="BF4" s="328"/>
      <c r="BG4" s="321"/>
      <c r="BH4" s="321"/>
      <c r="BI4" s="336" t="s">
        <v>391</v>
      </c>
      <c r="BJ4" s="321"/>
      <c r="BK4" s="328"/>
      <c r="BL4" s="321"/>
      <c r="BM4" s="321"/>
      <c r="BN4" s="340" t="s">
        <v>367</v>
      </c>
      <c r="BO4" s="328"/>
      <c r="BP4" s="321"/>
      <c r="BQ4" s="321"/>
      <c r="BR4" s="340" t="s">
        <v>389</v>
      </c>
      <c r="BS4" s="328"/>
      <c r="BT4" s="321"/>
      <c r="BU4" s="327"/>
    </row>
    <row r="5" spans="1:73" s="68" customFormat="1" x14ac:dyDescent="0.25">
      <c r="A5" s="54" t="str">
        <f ca="1">"Q" &amp; INT((MONTH($A$1) + 2) / 3) &amp; TEXT($A$1, "yy")</f>
        <v>Q326</v>
      </c>
      <c r="B5" s="6"/>
      <c r="C5" s="6"/>
      <c r="D5" s="28"/>
      <c r="E5" s="28"/>
      <c r="F5" s="28"/>
      <c r="G5" s="28"/>
      <c r="H5" s="28"/>
      <c r="I5" s="160" t="str">
        <f t="shared" ref="I5:I11" ca="1" si="0">IFERROR(AVERAGEIF($C$19:$C$66, $A5, I$19:I$66), "")</f>
        <v/>
      </c>
      <c r="J5" s="363" t="str">
        <f ca="1">IFERROR(INDEX(ICE[], MATCH("napbrx" &amp; LEFT(Lts!$A5, 2) &amp; " " &amp; RIGHT(Lts!$A5, 2), ICE[LongCode], 0), MATCH("Text", ICE[#Headers], 0)), "")</f>
        <v/>
      </c>
      <c r="K5" s="115" t="str">
        <f t="shared" ref="K5:K11" ca="1" si="1">IFERROR(AVERAGEIF($C$19:$C$66, $A5, K$19:K$66), "")</f>
        <v/>
      </c>
      <c r="L5" s="161"/>
      <c r="M5" s="162"/>
      <c r="N5" s="112" t="str">
        <f t="shared" ref="N5:O11" ca="1" si="2">IFERROR(AVERAGEIF($C$19:$C$66, $A5, N$19:N$66), "")</f>
        <v/>
      </c>
      <c r="O5" s="115" t="str">
        <f t="shared" ca="1" si="2"/>
        <v/>
      </c>
      <c r="P5" s="161"/>
      <c r="Q5" s="162"/>
      <c r="R5" s="160" t="str">
        <f t="shared" ref="R5:R11" ca="1" si="3">IFERROR(AVERAGEIF($C$19:$C$66, $A5, R$19:R$66), "")</f>
        <v/>
      </c>
      <c r="S5" s="363" t="str">
        <f ca="1">IFERROR(INDEX(ICE[], MATCH("ebobbrx" &amp; LEFT(Lts!$A5, 2) &amp; " " &amp; RIGHT(Lts!$A5, 2), ICE[LongCode], 0), MATCH("Text", ICE[#Headers], 0)), "")</f>
        <v/>
      </c>
      <c r="T5" s="115" t="str">
        <f t="shared" ref="T5:T11" ca="1" si="4">IFERROR(AVERAGEIF($C$19:$C$66, $A5, T$19:T$66), "")</f>
        <v/>
      </c>
      <c r="U5" s="161"/>
      <c r="V5" s="162"/>
      <c r="W5" s="112" t="str">
        <f t="shared" ref="W5:X11" ca="1" si="5">IFERROR(AVERAGEIF($C$19:$C$66, $A5, W$19:W$66), "")</f>
        <v/>
      </c>
      <c r="X5" s="115" t="str">
        <f t="shared" ca="1" si="5"/>
        <v/>
      </c>
      <c r="Y5" s="161"/>
      <c r="Z5" s="162"/>
      <c r="AA5" s="112" t="str">
        <f t="shared" ref="AA5:AB11" ca="1" si="6">IFERROR(AVERAGEIF($C$19:$C$66, $A5, AA$19:AA$66), "")</f>
        <v/>
      </c>
      <c r="AB5" s="115" t="str">
        <f t="shared" ca="1" si="6"/>
        <v/>
      </c>
      <c r="AC5" s="161"/>
      <c r="AD5" s="162"/>
      <c r="AE5" s="112" t="str">
        <f t="shared" ref="AE5:AF11" ca="1" si="7">IFERROR(AVERAGEIF($C$19:$C$66, $A5, AE$19:AE$66), "")</f>
        <v/>
      </c>
      <c r="AF5" s="115" t="str">
        <f t="shared" ca="1" si="7"/>
        <v/>
      </c>
      <c r="AG5" s="161"/>
      <c r="AH5" s="162"/>
      <c r="AI5" s="160" t="str">
        <f t="shared" ref="AI5:AI11" ca="1" si="8">IFERROR(AVERAGEIF($C$19:$C$66, $A5, AI$19:AI$66), "")</f>
        <v/>
      </c>
      <c r="AJ5" s="363" t="str">
        <f ca="1">IFERROR(INDEX(ICE[], MATCH("napew" &amp; LEFT(Lts!$A5, 2) &amp; " " &amp; RIGHT(Lts!$A5, 2), ICE[LongCode], 0), MATCH("Text", ICE[#Headers], 0)), "")</f>
        <v/>
      </c>
      <c r="AK5" s="115" t="str">
        <f t="shared" ref="AK5:AK11" ca="1" si="9">IFERROR(AVERAGEIF($C$19:$C$66, $A5, AK$19:AK$66), "")</f>
        <v/>
      </c>
      <c r="AL5" s="161"/>
      <c r="AM5" s="162"/>
      <c r="AN5" s="112" t="str">
        <f t="shared" ref="AN5:AO11" ca="1" si="10">IFERROR(AVERAGEIF($C$19:$C$66, $A5, AN$19:AN$66), "")</f>
        <v/>
      </c>
      <c r="AO5" s="115" t="str">
        <f t="shared" ca="1" si="10"/>
        <v/>
      </c>
      <c r="AP5" s="161"/>
      <c r="AQ5" s="162"/>
      <c r="AR5" s="112" t="str">
        <f t="shared" ref="AR5:AS11" ca="1" si="11">IFERROR(AVERAGEIF($C$19:$C$66, $A5, AR$19:AR$66), "")</f>
        <v/>
      </c>
      <c r="AS5" s="115" t="str">
        <f t="shared" ca="1" si="11"/>
        <v/>
      </c>
      <c r="AT5" s="161"/>
      <c r="AU5" s="162"/>
      <c r="AV5" s="160" t="str">
        <f t="shared" ref="AV5:AV11" ca="1" si="12">IFERROR(AVERAGEIF($C$19:$C$66, $A5, AV$19:AV$66), "")</f>
        <v/>
      </c>
      <c r="AW5" s="363" t="str">
        <f ca="1">IFERROR(INDEX(ICE[], MATCH("mg92ebob" &amp; LEFT(Lts!$A5, 2) &amp; " " &amp; RIGHT(Lts!$A5, 2), ICE[LongCode], 0), MATCH("Text", ICE[#Headers], 0)), "")</f>
        <v/>
      </c>
      <c r="AX5" s="115" t="str">
        <f t="shared" ref="AX5:AX11" ca="1" si="13">IFERROR(AVERAGEIF($C$19:$C$66, $A5, AX$19:AX$66), "")</f>
        <v/>
      </c>
      <c r="AY5" s="161"/>
      <c r="AZ5" s="162"/>
      <c r="BA5" s="112" t="str">
        <f t="shared" ref="BA5:BB11" ca="1" si="14">IFERROR(AVERAGEIF($C$19:$C$66, $A5, BA$19:BA$66), "")</f>
        <v/>
      </c>
      <c r="BB5" s="115" t="str">
        <f t="shared" ca="1" si="14"/>
        <v/>
      </c>
      <c r="BC5" s="161"/>
      <c r="BD5" s="162"/>
      <c r="BE5" s="112" t="str">
        <f t="shared" ref="BE5:BF11" ca="1" si="15">IFERROR(AVERAGEIF($C$19:$C$66, $A5, BE$19:BE$66), "")</f>
        <v/>
      </c>
      <c r="BF5" s="115" t="str">
        <f t="shared" ca="1" si="15"/>
        <v/>
      </c>
      <c r="BG5" s="161"/>
      <c r="BH5" s="162"/>
      <c r="BI5" s="160" t="str">
        <f t="shared" ref="BI5:BI11" ca="1" si="16">IFERROR(AVERAGEIF($C$19:$C$66, $A5, BI$19:BI$66), "")</f>
        <v/>
      </c>
      <c r="BJ5" s="363" t="str">
        <f ca="1">IFERROR(INDEX(ICE[], MATCH("mg9592" &amp; LEFT(Lts!$A5, 2) &amp; " " &amp; RIGHT(Lts!$A5, 2), ICE[LongCode], 0), MATCH("Text", ICE[#Headers], 0)), "")</f>
        <v/>
      </c>
      <c r="BK5" s="115" t="str">
        <f t="shared" ref="BK5:BK11" ca="1" si="17">IFERROR(AVERAGEIF($C$19:$C$66, $A5, BK$19:BK$66), "")</f>
        <v/>
      </c>
      <c r="BL5" s="161"/>
      <c r="BM5" s="162"/>
      <c r="BN5" s="112" t="str">
        <f t="shared" ref="BN5:BO11" ca="1" si="18">IFERROR(AVERAGEIF($C$19:$C$66, $A5, BN$19:BN$66), "")</f>
        <v/>
      </c>
      <c r="BO5" s="115" t="str">
        <f t="shared" ca="1" si="18"/>
        <v/>
      </c>
      <c r="BP5" s="161"/>
      <c r="BQ5" s="162"/>
      <c r="BR5" s="112" t="str">
        <f t="shared" ref="BR5:BS11" ca="1" si="19">IFERROR(AVERAGEIF($C$19:$C$66, $A5, BR$19:BR$66), "")</f>
        <v/>
      </c>
      <c r="BS5" s="115" t="str">
        <f t="shared" ca="1" si="19"/>
        <v/>
      </c>
      <c r="BT5" s="161"/>
      <c r="BU5" s="164"/>
    </row>
    <row r="6" spans="1:73" s="68" customFormat="1" x14ac:dyDescent="0.25">
      <c r="A6" s="54" t="str">
        <f ca="1">IF(LEFT($A5, 2) = "Q4", "Q1" &amp; TEXT(RIGHT($A5, 2) + 1, "00"), "Q" &amp; MID($A5, 2, 1) + 1 &amp; RIGHT($A5, 2))</f>
        <v>Q426</v>
      </c>
      <c r="B6" s="6"/>
      <c r="C6" s="6"/>
      <c r="D6" s="28"/>
      <c r="E6" s="28"/>
      <c r="F6" s="28"/>
      <c r="G6" s="28"/>
      <c r="H6" s="28"/>
      <c r="I6" s="109" t="str">
        <f t="shared" ca="1" si="0"/>
        <v/>
      </c>
      <c r="J6" s="364" t="str">
        <f ca="1">IFERROR(INDEX(ICE[], MATCH("napbrx" &amp; LEFT(Lts!$A6, 2) &amp; " " &amp; RIGHT(Lts!$A6, 2), ICE[LongCode], 0), MATCH("Text", ICE[#Headers], 0)), "")</f>
        <v xml:space="preserve"> / -0.65 {-4.25} |110x</v>
      </c>
      <c r="K6" s="46" t="str">
        <f t="shared" ca="1" si="1"/>
        <v/>
      </c>
      <c r="L6" s="47" t="str">
        <f ca="1">IF(AND(ISNUMBER($I5), ISNUMBER($I6)), $I5 - $I6, "")</f>
        <v/>
      </c>
      <c r="M6" s="114" t="str">
        <f ca="1">IF(AND(ISNUMBER($K5), ISNUMBER($K6)), $K5 - $K6, "")</f>
        <v/>
      </c>
      <c r="N6" s="110" t="str">
        <f t="shared" ca="1" si="2"/>
        <v/>
      </c>
      <c r="O6" s="46" t="str">
        <f t="shared" ca="1" si="2"/>
        <v/>
      </c>
      <c r="P6" s="47" t="str">
        <f ca="1">IF(AND(ISNUMBER($N5), ISNUMBER($N6)), $N5 - $N6, "")</f>
        <v/>
      </c>
      <c r="Q6" s="114" t="str">
        <f ca="1">IF(AND(ISNUMBER($O5), ISNUMBER($O6)), $O5 - $O6, "")</f>
        <v/>
      </c>
      <c r="R6" s="109" t="str">
        <f t="shared" ca="1" si="3"/>
        <v/>
      </c>
      <c r="S6" s="364" t="str">
        <f ca="1">IFERROR(INDEX(ICE[], MATCH("ebobbrx" &amp; LEFT(Lts!$A6, 2) &amp; " " &amp; RIGHT(Lts!$A6, 2), ICE[LongCode], 0), MATCH("Text", ICE[#Headers], 0)), "")</f>
        <v xml:space="preserve"> / 27.05 {24.80} |60x</v>
      </c>
      <c r="T6" s="46" t="str">
        <f t="shared" ca="1" si="4"/>
        <v/>
      </c>
      <c r="U6" s="47" t="str">
        <f ca="1">IF(AND(ISNUMBER($R5), ISNUMBER($R6)), $R5 - $R6, "")</f>
        <v/>
      </c>
      <c r="V6" s="114" t="str">
        <f ca="1">IF(AND(ISNUMBER($T5), ISNUMBER($T6)), $T5 - $T6, "")</f>
        <v/>
      </c>
      <c r="W6" s="110" t="str">
        <f t="shared" ca="1" si="5"/>
        <v/>
      </c>
      <c r="X6" s="46" t="str">
        <f t="shared" ca="1" si="5"/>
        <v/>
      </c>
      <c r="Y6" s="47" t="str">
        <f ca="1">IF(AND(ISNUMBER($W5), ISNUMBER($W6)), $W5 - $W6, "")</f>
        <v/>
      </c>
      <c r="Z6" s="114" t="str">
        <f ca="1">IF(AND(ISNUMBER($X5), ISNUMBER($X6)), $X5 - $X6, "")</f>
        <v/>
      </c>
      <c r="AA6" s="110" t="str">
        <f t="shared" ca="1" si="6"/>
        <v/>
      </c>
      <c r="AB6" s="46" t="str">
        <f t="shared" ca="1" si="6"/>
        <v/>
      </c>
      <c r="AC6" s="47" t="str">
        <f ca="1">IF(AND(ISNUMBER($AA5), ISNUMBER($AA6)), $AA5 - $AA6, "")</f>
        <v/>
      </c>
      <c r="AD6" s="114" t="str">
        <f ca="1">IF(AND(ISNUMBER($AB5), ISNUMBER($AB6)), $AB5 - $AB6, "")</f>
        <v/>
      </c>
      <c r="AE6" s="110" t="str">
        <f t="shared" ca="1" si="7"/>
        <v/>
      </c>
      <c r="AF6" s="46" t="str">
        <f t="shared" ca="1" si="7"/>
        <v/>
      </c>
      <c r="AG6" s="47" t="str">
        <f ca="1">IF(AND(ISNUMBER(AE5), ISNUMBER(AE6)), AE5 - AE6, "")</f>
        <v/>
      </c>
      <c r="AH6" s="114" t="str">
        <f ca="1">IF(AND(ISNUMBER(AF5), ISNUMBER(AF6)), AF5 - AF6, "")</f>
        <v/>
      </c>
      <c r="AI6" s="109" t="str">
        <f t="shared" ca="1" si="8"/>
        <v/>
      </c>
      <c r="AJ6" s="364" t="str">
        <f ca="1">IFERROR(INDEX(ICE[], MATCH("napew" &amp; LEFT(Lts!$A6, 2) &amp; " " &amp; RIGHT(Lts!$A6, 2), ICE[LongCode], 0), MATCH("Text", ICE[#Headers], 0)), "")</f>
        <v>2.75 / 98.75 {51.00} |5x</v>
      </c>
      <c r="AK6" s="46" t="str">
        <f t="shared" ca="1" si="9"/>
        <v/>
      </c>
      <c r="AL6" s="47" t="str">
        <f ca="1">IF(AND(ISNUMBER(AI5), ISNUMBER(AI6)), AI5 - AI6, "")</f>
        <v/>
      </c>
      <c r="AM6" s="114" t="str">
        <f ca="1">IF(AND(ISNUMBER(AK5), ISNUMBER(AK6)), AK5 - AK6, "")</f>
        <v/>
      </c>
      <c r="AN6" s="110" t="str">
        <f t="shared" ca="1" si="10"/>
        <v/>
      </c>
      <c r="AO6" s="46" t="str">
        <f t="shared" ca="1" si="10"/>
        <v/>
      </c>
      <c r="AP6" s="47" t="str">
        <f ca="1">IF(AND(ISNUMBER(AN5), ISNUMBER(AN6)), AN5 - AN6, "")</f>
        <v/>
      </c>
      <c r="AQ6" s="114" t="str">
        <f ca="1">IF(AND(ISNUMBER(AO5), ISNUMBER(AO6)), AO5 - AO6, "")</f>
        <v/>
      </c>
      <c r="AR6" s="110" t="str">
        <f t="shared" ca="1" si="11"/>
        <v/>
      </c>
      <c r="AS6" s="46" t="str">
        <f t="shared" ca="1" si="11"/>
        <v/>
      </c>
      <c r="AT6" s="47" t="str">
        <f ca="1">IF(AND(ISNUMBER(AR5), ISNUMBER(AR6)), AR5 - AR6, "")</f>
        <v/>
      </c>
      <c r="AU6" s="114" t="str">
        <f ca="1">IF(AND(ISNUMBER(AS5), ISNUMBER(AS6)), AS5 - AS6, "")</f>
        <v/>
      </c>
      <c r="AV6" s="109" t="str">
        <f t="shared" ca="1" si="12"/>
        <v/>
      </c>
      <c r="AW6" s="364" t="str">
        <f ca="1">IFERROR(INDEX(ICE[], MATCH("mg92ebob" &amp; LEFT(Lts!$A6, 2) &amp; " " &amp; RIGHT(Lts!$A6, 2), ICE[LongCode], 0), MATCH("Text", ICE[#Headers], 0)), "")</f>
        <v xml:space="preserve">-6.20 / -4.70 </v>
      </c>
      <c r="AX6" s="46" t="str">
        <f t="shared" ca="1" si="13"/>
        <v/>
      </c>
      <c r="AY6" s="47" t="str">
        <f ca="1">IF(AND(ISNUMBER(AV5), ISNUMBER(AV6)), AV5 - AV6, "")</f>
        <v/>
      </c>
      <c r="AZ6" s="114" t="str">
        <f ca="1">IF(AND(ISNUMBER(AX5), ISNUMBER(AX6)), AX5 - AX6, "")</f>
        <v/>
      </c>
      <c r="BA6" s="110" t="str">
        <f t="shared" ca="1" si="14"/>
        <v/>
      </c>
      <c r="BB6" s="46" t="str">
        <f t="shared" ca="1" si="14"/>
        <v/>
      </c>
      <c r="BC6" s="47" t="str">
        <f ca="1">IF(AND(ISNUMBER(BA5), ISNUMBER(BA6)), BA5 - BA6, "")</f>
        <v/>
      </c>
      <c r="BD6" s="114" t="str">
        <f ca="1">IF(AND(ISNUMBER(BB5), ISNUMBER(BB6)), BB5 - BB6, "")</f>
        <v/>
      </c>
      <c r="BE6" s="110" t="str">
        <f t="shared" ca="1" si="15"/>
        <v/>
      </c>
      <c r="BF6" s="46" t="str">
        <f t="shared" ca="1" si="15"/>
        <v/>
      </c>
      <c r="BG6" s="47" t="str">
        <f ca="1">IF(AND(ISNUMBER(BE5), ISNUMBER(BE6)), BE5 - BE6, "")</f>
        <v/>
      </c>
      <c r="BH6" s="114" t="str">
        <f ca="1">IF(AND(ISNUMBER(BF5), ISNUMBER(BF6)), BF5 - BF6, "")</f>
        <v/>
      </c>
      <c r="BI6" s="109" t="str">
        <f t="shared" ca="1" si="16"/>
        <v/>
      </c>
      <c r="BJ6" s="364" t="str">
        <f ca="1">IFERROR(INDEX(ICE[], MATCH("mg9592" &amp; LEFT(Lts!$A6, 2) &amp; " " &amp; RIGHT(Lts!$A6, 2), ICE[LongCode], 0), MATCH("Text", ICE[#Headers], 0)), "")</f>
        <v>2.10 /  {3.70} |25x</v>
      </c>
      <c r="BK6" s="46" t="str">
        <f t="shared" ca="1" si="17"/>
        <v/>
      </c>
      <c r="BL6" s="47" t="str">
        <f ca="1">IF(AND(ISNUMBER(BI5), ISNUMBER(BI6)), BI5 - BI6, "")</f>
        <v/>
      </c>
      <c r="BM6" s="114" t="str">
        <f ca="1">IF(AND(ISNUMBER(BK5), ISNUMBER(BK6)), BK5 - BK6, "")</f>
        <v/>
      </c>
      <c r="BN6" s="110" t="str">
        <f t="shared" ca="1" si="18"/>
        <v/>
      </c>
      <c r="BO6" s="46" t="str">
        <f t="shared" ca="1" si="18"/>
        <v/>
      </c>
      <c r="BP6" s="47" t="str">
        <f ca="1">IF(AND(ISNUMBER(BN5), ISNUMBER(BN6)), BN5 - BN6, "")</f>
        <v/>
      </c>
      <c r="BQ6" s="114" t="str">
        <f ca="1">IF(AND(ISNUMBER(BO5), ISNUMBER(BO6)), BO5 - BO6, "")</f>
        <v/>
      </c>
      <c r="BR6" s="110" t="str">
        <f t="shared" ca="1" si="19"/>
        <v/>
      </c>
      <c r="BS6" s="46" t="str">
        <f t="shared" ca="1" si="19"/>
        <v/>
      </c>
      <c r="BT6" s="47" t="str">
        <f ca="1">IF(AND(ISNUMBER(BR5), ISNUMBER(BR6)), BR5 - BR6, "")</f>
        <v/>
      </c>
      <c r="BU6" s="111" t="str">
        <f ca="1">IF(AND(ISNUMBER(BS5), ISNUMBER(BS6)), BS5 - BS6, "")</f>
        <v/>
      </c>
    </row>
    <row r="7" spans="1:73" s="68" customFormat="1" x14ac:dyDescent="0.25">
      <c r="A7" s="54" t="str">
        <f t="shared" ref="A7:A11" ca="1" si="20">IF(LEFT($A6, 2) = "Q4", "Q1" &amp; TEXT(RIGHT($A6, 2) + 1, "00"), "Q" &amp; MID($A6, 2, 1) + 1 &amp; RIGHT($A6, 2))</f>
        <v>Q127</v>
      </c>
      <c r="B7" s="6"/>
      <c r="C7" s="6"/>
      <c r="D7" s="28"/>
      <c r="E7" s="28"/>
      <c r="F7" s="28"/>
      <c r="G7" s="28"/>
      <c r="H7" s="28"/>
      <c r="I7" s="109" t="str">
        <f t="shared" ca="1" si="0"/>
        <v/>
      </c>
      <c r="J7" s="364" t="str">
        <f ca="1">IFERROR(INDEX(ICE[], MATCH("napbrx" &amp; LEFT(Lts!$A7, 2) &amp; " " &amp; RIGHT(Lts!$A7, 2), ICE[LongCode], 0), MATCH("Text", ICE[#Headers], 0)), "")</f>
        <v xml:space="preserve"> / -1.51 {-5.10} |70x</v>
      </c>
      <c r="K7" s="46" t="str">
        <f t="shared" ca="1" si="1"/>
        <v/>
      </c>
      <c r="L7" s="47" t="str">
        <f t="shared" ref="L7:L14" ca="1" si="21">IF(AND(ISNUMBER($I6), ISNUMBER($I7)), $I6 - $I7, "")</f>
        <v/>
      </c>
      <c r="M7" s="114" t="str">
        <f t="shared" ref="M7:M14" ca="1" si="22">IF(AND(ISNUMBER($K6), ISNUMBER($K7)), $K6 - $K7, "")</f>
        <v/>
      </c>
      <c r="N7" s="110" t="str">
        <f t="shared" ca="1" si="2"/>
        <v/>
      </c>
      <c r="O7" s="46" t="str">
        <f t="shared" ca="1" si="2"/>
        <v/>
      </c>
      <c r="P7" s="47" t="str">
        <f t="shared" ref="P7:P14" ca="1" si="23">IF(AND(ISNUMBER($N6), ISNUMBER($N7)), $N6 - $N7, "")</f>
        <v/>
      </c>
      <c r="Q7" s="114" t="str">
        <f t="shared" ref="Q7:Q14" ca="1" si="24">IF(AND(ISNUMBER($O6), ISNUMBER($O7)), $O6 - $O7, "")</f>
        <v/>
      </c>
      <c r="R7" s="109" t="str">
        <f t="shared" ca="1" si="3"/>
        <v/>
      </c>
      <c r="S7" s="364" t="str">
        <f ca="1">IFERROR(INDEX(ICE[], MATCH("ebobbrx" &amp; LEFT(Lts!$A7, 2) &amp; " " &amp; RIGHT(Lts!$A7, 2), ICE[LongCode], 0), MATCH("Text", ICE[#Headers], 0)), "")</f>
        <v xml:space="preserve"> / 22.45 {19.85} |60x</v>
      </c>
      <c r="T7" s="46" t="str">
        <f t="shared" ca="1" si="4"/>
        <v/>
      </c>
      <c r="U7" s="47" t="str">
        <f t="shared" ref="U7:U14" ca="1" si="25">IF(AND(ISNUMBER($R6), ISNUMBER($R7)), $R6 - $R7, "")</f>
        <v/>
      </c>
      <c r="V7" s="114" t="str">
        <f t="shared" ref="V7:V14" ca="1" si="26">IF(AND(ISNUMBER($T6), ISNUMBER($T7)), $T6 - $T7, "")</f>
        <v/>
      </c>
      <c r="W7" s="110" t="str">
        <f t="shared" ca="1" si="5"/>
        <v/>
      </c>
      <c r="X7" s="46" t="str">
        <f t="shared" ca="1" si="5"/>
        <v/>
      </c>
      <c r="Y7" s="47" t="str">
        <f t="shared" ref="Y7:Y14" ca="1" si="27">IF(AND(ISNUMBER($W6), ISNUMBER($W7)), $W6 - $W7, "")</f>
        <v/>
      </c>
      <c r="Z7" s="114" t="str">
        <f t="shared" ref="Z7:Z14" ca="1" si="28">IF(AND(ISNUMBER($X6), ISNUMBER($X7)), $X6 - $X7, "")</f>
        <v/>
      </c>
      <c r="AA7" s="110" t="str">
        <f t="shared" ca="1" si="6"/>
        <v/>
      </c>
      <c r="AB7" s="46" t="str">
        <f t="shared" ca="1" si="6"/>
        <v/>
      </c>
      <c r="AC7" s="47" t="str">
        <f t="shared" ref="AC7:AC14" ca="1" si="29">IF(AND(ISNUMBER($AA6), ISNUMBER($AA7)), $AA6 - $AA7, "")</f>
        <v/>
      </c>
      <c r="AD7" s="114" t="str">
        <f t="shared" ref="AD7:AD14" ca="1" si="30">IF(AND(ISNUMBER($AB6), ISNUMBER($AB7)), $AB6 - $AB7, "")</f>
        <v/>
      </c>
      <c r="AE7" s="110" t="str">
        <f t="shared" ca="1" si="7"/>
        <v/>
      </c>
      <c r="AF7" s="46" t="str">
        <f t="shared" ca="1" si="7"/>
        <v/>
      </c>
      <c r="AG7" s="47" t="str">
        <f t="shared" ref="AG7:AG14" ca="1" si="31">IF(AND(ISNUMBER(AE6), ISNUMBER(AE7)), AE6 - AE7, "")</f>
        <v/>
      </c>
      <c r="AH7" s="114" t="str">
        <f t="shared" ref="AH7:AH14" ca="1" si="32">IF(AND(ISNUMBER(AF6), ISNUMBER(AF7)), AF6 - AF7, "")</f>
        <v/>
      </c>
      <c r="AI7" s="109" t="str">
        <f t="shared" ca="1" si="8"/>
        <v/>
      </c>
      <c r="AJ7" s="364" t="str">
        <f ca="1">IFERROR(INDEX(ICE[], MATCH("napew" &amp; LEFT(Lts!$A7, 2) &amp; " " &amp; RIGHT(Lts!$A7, 2), ICE[LongCode], 0), MATCH("Text", ICE[#Headers], 0)), "")</f>
        <v>17.00 / 65.00 {40.00} |10x</v>
      </c>
      <c r="AK7" s="46" t="str">
        <f t="shared" ca="1" si="9"/>
        <v/>
      </c>
      <c r="AL7" s="47" t="str">
        <f t="shared" ref="AL7:AL11" ca="1" si="33">IF(AND(ISNUMBER(AI6), ISNUMBER(AI7)), AI6 - AI7, "")</f>
        <v/>
      </c>
      <c r="AM7" s="114" t="str">
        <f t="shared" ref="AM7:AM11" ca="1" si="34">IF(AND(ISNUMBER(AK6), ISNUMBER(AK7)), AK6 - AK7, "")</f>
        <v/>
      </c>
      <c r="AN7" s="110" t="str">
        <f t="shared" ca="1" si="10"/>
        <v/>
      </c>
      <c r="AO7" s="46" t="str">
        <f t="shared" ca="1" si="10"/>
        <v/>
      </c>
      <c r="AP7" s="47" t="str">
        <f t="shared" ref="AP7:AP11" ca="1" si="35">IF(AND(ISNUMBER(AN6), ISNUMBER(AN7)), AN6 - AN7, "")</f>
        <v/>
      </c>
      <c r="AQ7" s="114" t="str">
        <f t="shared" ref="AQ7:AQ11" ca="1" si="36">IF(AND(ISNUMBER(AO6), ISNUMBER(AO7)), AO6 - AO7, "")</f>
        <v/>
      </c>
      <c r="AR7" s="110" t="str">
        <f t="shared" ca="1" si="11"/>
        <v/>
      </c>
      <c r="AS7" s="46" t="str">
        <f t="shared" ca="1" si="11"/>
        <v/>
      </c>
      <c r="AT7" s="47" t="str">
        <f t="shared" ref="AT7:AT11" ca="1" si="37">IF(AND(ISNUMBER(AR6), ISNUMBER(AR7)), AR6 - AR7, "")</f>
        <v/>
      </c>
      <c r="AU7" s="114" t="str">
        <f t="shared" ref="AU7:AU11" ca="1" si="38">IF(AND(ISNUMBER(AS6), ISNUMBER(AS7)), AS6 - AS7, "")</f>
        <v/>
      </c>
      <c r="AV7" s="109" t="str">
        <f t="shared" ca="1" si="12"/>
        <v/>
      </c>
      <c r="AW7" s="364" t="str">
        <f ca="1">IFERROR(INDEX(ICE[], MATCH("mg92ebob" &amp; LEFT(Lts!$A7, 2) &amp; " " &amp; RIGHT(Lts!$A7, 2), ICE[LongCode], 0), MATCH("Text", ICE[#Headers], 0)), "")</f>
        <v xml:space="preserve">-5.20 / -3.40 </v>
      </c>
      <c r="AX7" s="46" t="str">
        <f t="shared" ca="1" si="13"/>
        <v/>
      </c>
      <c r="AY7" s="47" t="str">
        <f t="shared" ref="AY7:AY11" ca="1" si="39">IF(AND(ISNUMBER(AV6), ISNUMBER(AV7)), AV6 - AV7, "")</f>
        <v/>
      </c>
      <c r="AZ7" s="114" t="str">
        <f t="shared" ref="AZ7:AZ11" ca="1" si="40">IF(AND(ISNUMBER(AX6), ISNUMBER(AX7)), AX6 - AX7, "")</f>
        <v/>
      </c>
      <c r="BA7" s="110" t="str">
        <f t="shared" ca="1" si="14"/>
        <v/>
      </c>
      <c r="BB7" s="46" t="str">
        <f t="shared" ca="1" si="14"/>
        <v/>
      </c>
      <c r="BC7" s="47" t="str">
        <f t="shared" ref="BC7:BC11" ca="1" si="41">IF(AND(ISNUMBER(BA6), ISNUMBER(BA7)), BA6 - BA7, "")</f>
        <v/>
      </c>
      <c r="BD7" s="114" t="str">
        <f t="shared" ref="BD7:BD11" ca="1" si="42">IF(AND(ISNUMBER(BB6), ISNUMBER(BB7)), BB6 - BB7, "")</f>
        <v/>
      </c>
      <c r="BE7" s="110" t="str">
        <f t="shared" ca="1" si="15"/>
        <v/>
      </c>
      <c r="BF7" s="46" t="str">
        <f t="shared" ca="1" si="15"/>
        <v/>
      </c>
      <c r="BG7" s="47" t="str">
        <f t="shared" ref="BG7:BG11" ca="1" si="43">IF(AND(ISNUMBER(BE6), ISNUMBER(BE7)), BE6 - BE7, "")</f>
        <v/>
      </c>
      <c r="BH7" s="114" t="str">
        <f t="shared" ref="BH7:BH11" ca="1" si="44">IF(AND(ISNUMBER(BF6), ISNUMBER(BF7)), BF6 - BF7, "")</f>
        <v/>
      </c>
      <c r="BI7" s="109" t="str">
        <f t="shared" ca="1" si="16"/>
        <v/>
      </c>
      <c r="BJ7" s="364" t="str">
        <f ca="1">IFERROR(INDEX(ICE[], MATCH("mg9592" &amp; LEFT(Lts!$A7, 2) &amp; " " &amp; RIGHT(Lts!$A7, 2), ICE[LongCode], 0), MATCH("Text", ICE[#Headers], 0)), "")</f>
        <v xml:space="preserve"> /  </v>
      </c>
      <c r="BK7" s="46" t="str">
        <f t="shared" ca="1" si="17"/>
        <v/>
      </c>
      <c r="BL7" s="47" t="str">
        <f t="shared" ref="BL7:BL11" ca="1" si="45">IF(AND(ISNUMBER(BI6), ISNUMBER(BI7)), BI6 - BI7, "")</f>
        <v/>
      </c>
      <c r="BM7" s="114" t="str">
        <f t="shared" ref="BM7:BM11" ca="1" si="46">IF(AND(ISNUMBER(BK6), ISNUMBER(BK7)), BK6 - BK7, "")</f>
        <v/>
      </c>
      <c r="BN7" s="110" t="str">
        <f t="shared" ca="1" si="18"/>
        <v/>
      </c>
      <c r="BO7" s="46" t="str">
        <f t="shared" ca="1" si="18"/>
        <v/>
      </c>
      <c r="BP7" s="47" t="str">
        <f t="shared" ref="BP7:BP11" ca="1" si="47">IF(AND(ISNUMBER(BN6), ISNUMBER(BN7)), BN6 - BN7, "")</f>
        <v/>
      </c>
      <c r="BQ7" s="114" t="str">
        <f t="shared" ref="BQ7:BQ11" ca="1" si="48">IF(AND(ISNUMBER(BO6), ISNUMBER(BO7)), BO6 - BO7, "")</f>
        <v/>
      </c>
      <c r="BR7" s="110" t="str">
        <f t="shared" ca="1" si="19"/>
        <v/>
      </c>
      <c r="BS7" s="46" t="str">
        <f t="shared" ca="1" si="19"/>
        <v/>
      </c>
      <c r="BT7" s="47" t="str">
        <f t="shared" ref="BT7:BT11" ca="1" si="49">IF(AND(ISNUMBER(BR6), ISNUMBER(BR7)), BR6 - BR7, "")</f>
        <v/>
      </c>
      <c r="BU7" s="111" t="str">
        <f t="shared" ref="BU7:BU11" ca="1" si="50">IF(AND(ISNUMBER(BS6), ISNUMBER(BS7)), BS6 - BS7, "")</f>
        <v/>
      </c>
    </row>
    <row r="8" spans="1:73" s="68" customFormat="1" x14ac:dyDescent="0.25">
      <c r="A8" s="54" t="str">
        <f t="shared" ca="1" si="20"/>
        <v>Q227</v>
      </c>
      <c r="B8" s="6"/>
      <c r="C8" s="6"/>
      <c r="D8" s="28"/>
      <c r="E8" s="28"/>
      <c r="F8" s="28"/>
      <c r="G8" s="28"/>
      <c r="H8" s="28"/>
      <c r="I8" s="109" t="str">
        <f t="shared" ca="1" si="0"/>
        <v/>
      </c>
      <c r="J8" s="364" t="str">
        <f ca="1">IFERROR(INDEX(ICE[], MATCH("napbrx" &amp; LEFT(Lts!$A8, 2) &amp; " " &amp; RIGHT(Lts!$A8, 2), ICE[LongCode], 0), MATCH("Text", ICE[#Headers], 0)), "")</f>
        <v xml:space="preserve"> / -3.40 {-7.05} |135x</v>
      </c>
      <c r="K8" s="46" t="str">
        <f t="shared" ca="1" si="1"/>
        <v/>
      </c>
      <c r="L8" s="47" t="str">
        <f t="shared" ca="1" si="21"/>
        <v/>
      </c>
      <c r="M8" s="114" t="str">
        <f t="shared" ca="1" si="22"/>
        <v/>
      </c>
      <c r="N8" s="110" t="str">
        <f t="shared" ca="1" si="2"/>
        <v/>
      </c>
      <c r="O8" s="46" t="str">
        <f t="shared" ca="1" si="2"/>
        <v/>
      </c>
      <c r="P8" s="47" t="str">
        <f t="shared" ca="1" si="23"/>
        <v/>
      </c>
      <c r="Q8" s="114" t="str">
        <f t="shared" ca="1" si="24"/>
        <v/>
      </c>
      <c r="R8" s="109" t="str">
        <f t="shared" ca="1" si="3"/>
        <v/>
      </c>
      <c r="S8" s="364" t="str">
        <f ca="1">IFERROR(INDEX(ICE[], MATCH("ebobbrx" &amp; LEFT(Lts!$A8, 2) &amp; " " &amp; RIGHT(Lts!$A8, 2), ICE[LongCode], 0), MATCH("Text", ICE[#Headers], 0)), "")</f>
        <v xml:space="preserve"> / 27.10 {24.40} |75x</v>
      </c>
      <c r="T8" s="46" t="str">
        <f t="shared" ca="1" si="4"/>
        <v/>
      </c>
      <c r="U8" s="47" t="str">
        <f t="shared" ca="1" si="25"/>
        <v/>
      </c>
      <c r="V8" s="114" t="str">
        <f t="shared" ca="1" si="26"/>
        <v/>
      </c>
      <c r="W8" s="110" t="str">
        <f t="shared" ca="1" si="5"/>
        <v/>
      </c>
      <c r="X8" s="46" t="str">
        <f t="shared" ca="1" si="5"/>
        <v/>
      </c>
      <c r="Y8" s="47" t="str">
        <f t="shared" ca="1" si="27"/>
        <v/>
      </c>
      <c r="Z8" s="114" t="str">
        <f t="shared" ca="1" si="28"/>
        <v/>
      </c>
      <c r="AA8" s="110" t="str">
        <f t="shared" ca="1" si="6"/>
        <v/>
      </c>
      <c r="AB8" s="46" t="str">
        <f t="shared" ca="1" si="6"/>
        <v/>
      </c>
      <c r="AC8" s="47" t="str">
        <f t="shared" ca="1" si="29"/>
        <v/>
      </c>
      <c r="AD8" s="114" t="str">
        <f t="shared" ca="1" si="30"/>
        <v/>
      </c>
      <c r="AE8" s="110" t="str">
        <f t="shared" ca="1" si="7"/>
        <v/>
      </c>
      <c r="AF8" s="46" t="str">
        <f t="shared" ca="1" si="7"/>
        <v/>
      </c>
      <c r="AG8" s="47" t="str">
        <f t="shared" ca="1" si="31"/>
        <v/>
      </c>
      <c r="AH8" s="114" t="str">
        <f t="shared" ca="1" si="32"/>
        <v/>
      </c>
      <c r="AI8" s="109" t="str">
        <f t="shared" ca="1" si="8"/>
        <v/>
      </c>
      <c r="AJ8" s="364" t="str">
        <f ca="1">IFERROR(INDEX(ICE[], MATCH("napew" &amp; LEFT(Lts!$A8, 2) &amp; " " &amp; RIGHT(Lts!$A8, 2), ICE[LongCode], 0), MATCH("Text", ICE[#Headers], 0)), "")</f>
        <v>8.00 / 56.00 {31.50} |10x</v>
      </c>
      <c r="AK8" s="46" t="str">
        <f t="shared" ca="1" si="9"/>
        <v/>
      </c>
      <c r="AL8" s="47" t="str">
        <f t="shared" ca="1" si="33"/>
        <v/>
      </c>
      <c r="AM8" s="114" t="str">
        <f t="shared" ca="1" si="34"/>
        <v/>
      </c>
      <c r="AN8" s="110" t="str">
        <f t="shared" ca="1" si="10"/>
        <v/>
      </c>
      <c r="AO8" s="46" t="str">
        <f t="shared" ca="1" si="10"/>
        <v/>
      </c>
      <c r="AP8" s="47" t="str">
        <f t="shared" ca="1" si="35"/>
        <v/>
      </c>
      <c r="AQ8" s="114" t="str">
        <f t="shared" ca="1" si="36"/>
        <v/>
      </c>
      <c r="AR8" s="110" t="str">
        <f t="shared" ca="1" si="11"/>
        <v/>
      </c>
      <c r="AS8" s="46" t="str">
        <f t="shared" ca="1" si="11"/>
        <v/>
      </c>
      <c r="AT8" s="47" t="str">
        <f t="shared" ca="1" si="37"/>
        <v/>
      </c>
      <c r="AU8" s="114" t="str">
        <f t="shared" ca="1" si="38"/>
        <v/>
      </c>
      <c r="AV8" s="109" t="str">
        <f t="shared" ca="1" si="12"/>
        <v/>
      </c>
      <c r="AW8" s="364" t="str">
        <f ca="1">IFERROR(INDEX(ICE[], MATCH("mg92ebob" &amp; LEFT(Lts!$A8, 2) &amp; " " &amp; RIGHT(Lts!$A8, 2), ICE[LongCode], 0), MATCH("Text", ICE[#Headers], 0)), "")</f>
        <v xml:space="preserve">-10.60 / -8.80 </v>
      </c>
      <c r="AX8" s="46" t="str">
        <f t="shared" ca="1" si="13"/>
        <v/>
      </c>
      <c r="AY8" s="47" t="str">
        <f t="shared" ca="1" si="39"/>
        <v/>
      </c>
      <c r="AZ8" s="114" t="str">
        <f t="shared" ca="1" si="40"/>
        <v/>
      </c>
      <c r="BA8" s="110" t="str">
        <f t="shared" ca="1" si="14"/>
        <v/>
      </c>
      <c r="BB8" s="46" t="str">
        <f t="shared" ca="1" si="14"/>
        <v/>
      </c>
      <c r="BC8" s="47" t="str">
        <f t="shared" ca="1" si="41"/>
        <v/>
      </c>
      <c r="BD8" s="114" t="str">
        <f t="shared" ca="1" si="42"/>
        <v/>
      </c>
      <c r="BE8" s="110" t="str">
        <f t="shared" ca="1" si="15"/>
        <v/>
      </c>
      <c r="BF8" s="46" t="str">
        <f t="shared" ca="1" si="15"/>
        <v/>
      </c>
      <c r="BG8" s="47" t="str">
        <f t="shared" ca="1" si="43"/>
        <v/>
      </c>
      <c r="BH8" s="114" t="str">
        <f t="shared" ca="1" si="44"/>
        <v/>
      </c>
      <c r="BI8" s="109" t="str">
        <f t="shared" ca="1" si="16"/>
        <v/>
      </c>
      <c r="BJ8" s="364" t="str">
        <f ca="1">IFERROR(INDEX(ICE[], MATCH("mg9592" &amp; LEFT(Lts!$A8, 2) &amp; " " &amp; RIGHT(Lts!$A8, 2), ICE[LongCode], 0), MATCH("Text", ICE[#Headers], 0)), "")</f>
        <v xml:space="preserve"> /  </v>
      </c>
      <c r="BK8" s="46" t="str">
        <f t="shared" ca="1" si="17"/>
        <v/>
      </c>
      <c r="BL8" s="47" t="str">
        <f t="shared" ca="1" si="45"/>
        <v/>
      </c>
      <c r="BM8" s="114" t="str">
        <f t="shared" ca="1" si="46"/>
        <v/>
      </c>
      <c r="BN8" s="110" t="str">
        <f t="shared" ca="1" si="18"/>
        <v/>
      </c>
      <c r="BO8" s="46" t="str">
        <f t="shared" ca="1" si="18"/>
        <v/>
      </c>
      <c r="BP8" s="47" t="str">
        <f t="shared" ca="1" si="47"/>
        <v/>
      </c>
      <c r="BQ8" s="114" t="str">
        <f t="shared" ca="1" si="48"/>
        <v/>
      </c>
      <c r="BR8" s="110" t="str">
        <f t="shared" ca="1" si="19"/>
        <v/>
      </c>
      <c r="BS8" s="46" t="str">
        <f t="shared" ca="1" si="19"/>
        <v/>
      </c>
      <c r="BT8" s="47" t="str">
        <f t="shared" ca="1" si="49"/>
        <v/>
      </c>
      <c r="BU8" s="111" t="str">
        <f t="shared" ca="1" si="50"/>
        <v/>
      </c>
    </row>
    <row r="9" spans="1:73" s="68" customFormat="1" x14ac:dyDescent="0.25">
      <c r="A9" s="54" t="str">
        <f t="shared" ca="1" si="20"/>
        <v>Q327</v>
      </c>
      <c r="B9" s="6"/>
      <c r="C9" s="6"/>
      <c r="D9" s="28"/>
      <c r="E9" s="28"/>
      <c r="F9" s="28"/>
      <c r="G9" s="28"/>
      <c r="H9" s="28"/>
      <c r="I9" s="109" t="str">
        <f t="shared" ca="1" si="0"/>
        <v/>
      </c>
      <c r="J9" s="364" t="str">
        <f ca="1">IFERROR(INDEX(ICE[], MATCH("napbrx" &amp; LEFT(Lts!$A9, 2) &amp; " " &amp; RIGHT(Lts!$A9, 2), ICE[LongCode], 0), MATCH("Text", ICE[#Headers], 0)), "")</f>
        <v xml:space="preserve"> / -4.19 {-7.85} |104x</v>
      </c>
      <c r="K9" s="46" t="str">
        <f t="shared" ca="1" si="1"/>
        <v/>
      </c>
      <c r="L9" s="47" t="str">
        <f t="shared" ca="1" si="21"/>
        <v/>
      </c>
      <c r="M9" s="114" t="str">
        <f t="shared" ca="1" si="22"/>
        <v/>
      </c>
      <c r="N9" s="110" t="str">
        <f t="shared" ca="1" si="2"/>
        <v/>
      </c>
      <c r="O9" s="46" t="str">
        <f t="shared" ca="1" si="2"/>
        <v/>
      </c>
      <c r="P9" s="47" t="str">
        <f t="shared" ca="1" si="23"/>
        <v/>
      </c>
      <c r="Q9" s="114" t="str">
        <f t="shared" ca="1" si="24"/>
        <v/>
      </c>
      <c r="R9" s="109" t="str">
        <f t="shared" ca="1" si="3"/>
        <v/>
      </c>
      <c r="S9" s="364" t="str">
        <f ca="1">IFERROR(INDEX(ICE[], MATCH("ebobbrx" &amp; LEFT(Lts!$A9, 2) &amp; " " &amp; RIGHT(Lts!$A9, 2), ICE[LongCode], 0), MATCH("Text", ICE[#Headers], 0)), "")</f>
        <v xml:space="preserve"> / 23.55 {21.00} |50x</v>
      </c>
      <c r="T9" s="46" t="str">
        <f t="shared" ca="1" si="4"/>
        <v/>
      </c>
      <c r="U9" s="47" t="str">
        <f t="shared" ca="1" si="25"/>
        <v/>
      </c>
      <c r="V9" s="114" t="str">
        <f t="shared" ca="1" si="26"/>
        <v/>
      </c>
      <c r="W9" s="110" t="str">
        <f t="shared" ca="1" si="5"/>
        <v/>
      </c>
      <c r="X9" s="46" t="str">
        <f t="shared" ca="1" si="5"/>
        <v/>
      </c>
      <c r="Y9" s="47" t="str">
        <f t="shared" ca="1" si="27"/>
        <v/>
      </c>
      <c r="Z9" s="114" t="str">
        <f t="shared" ca="1" si="28"/>
        <v/>
      </c>
      <c r="AA9" s="110" t="str">
        <f t="shared" ca="1" si="6"/>
        <v/>
      </c>
      <c r="AB9" s="46" t="str">
        <f t="shared" ca="1" si="6"/>
        <v/>
      </c>
      <c r="AC9" s="47" t="str">
        <f t="shared" ca="1" si="29"/>
        <v/>
      </c>
      <c r="AD9" s="114" t="str">
        <f t="shared" ca="1" si="30"/>
        <v/>
      </c>
      <c r="AE9" s="110" t="str">
        <f t="shared" ca="1" si="7"/>
        <v/>
      </c>
      <c r="AF9" s="46" t="str">
        <f t="shared" ca="1" si="7"/>
        <v/>
      </c>
      <c r="AG9" s="47" t="str">
        <f t="shared" ca="1" si="31"/>
        <v/>
      </c>
      <c r="AH9" s="114" t="str">
        <f t="shared" ca="1" si="32"/>
        <v/>
      </c>
      <c r="AI9" s="109" t="str">
        <f t="shared" ca="1" si="8"/>
        <v/>
      </c>
      <c r="AJ9" s="364" t="str">
        <f ca="1">IFERROR(INDEX(ICE[], MATCH("napew" &amp; LEFT(Lts!$A9, 2) &amp; " " &amp; RIGHT(Lts!$A9, 2), ICE[LongCode], 0), MATCH("Text", ICE[#Headers], 0)), "")</f>
        <v>2.75 / 50.75 {26.25} |5x</v>
      </c>
      <c r="AK9" s="46" t="str">
        <f t="shared" ca="1" si="9"/>
        <v/>
      </c>
      <c r="AL9" s="47" t="str">
        <f t="shared" ca="1" si="33"/>
        <v/>
      </c>
      <c r="AM9" s="114" t="str">
        <f t="shared" ca="1" si="34"/>
        <v/>
      </c>
      <c r="AN9" s="110" t="str">
        <f t="shared" ca="1" si="10"/>
        <v/>
      </c>
      <c r="AO9" s="46" t="str">
        <f t="shared" ca="1" si="10"/>
        <v/>
      </c>
      <c r="AP9" s="47" t="str">
        <f t="shared" ca="1" si="35"/>
        <v/>
      </c>
      <c r="AQ9" s="114" t="str">
        <f t="shared" ca="1" si="36"/>
        <v/>
      </c>
      <c r="AR9" s="110" t="str">
        <f t="shared" ca="1" si="11"/>
        <v/>
      </c>
      <c r="AS9" s="46" t="str">
        <f t="shared" ca="1" si="11"/>
        <v/>
      </c>
      <c r="AT9" s="47" t="str">
        <f t="shared" ca="1" si="37"/>
        <v/>
      </c>
      <c r="AU9" s="114" t="str">
        <f t="shared" ca="1" si="38"/>
        <v/>
      </c>
      <c r="AV9" s="109" t="str">
        <f t="shared" ca="1" si="12"/>
        <v/>
      </c>
      <c r="AW9" s="364" t="str">
        <f ca="1">IFERROR(INDEX(ICE[], MATCH("mg92ebob" &amp; LEFT(Lts!$A9, 2) &amp; " " &amp; RIGHT(Lts!$A9, 2), ICE[LongCode], 0), MATCH("Text", ICE[#Headers], 0)), "")</f>
        <v xml:space="preserve">-9.30 / -7.50 </v>
      </c>
      <c r="AX9" s="46" t="str">
        <f t="shared" ca="1" si="13"/>
        <v/>
      </c>
      <c r="AY9" s="47" t="str">
        <f t="shared" ca="1" si="39"/>
        <v/>
      </c>
      <c r="AZ9" s="114" t="str">
        <f t="shared" ca="1" si="40"/>
        <v/>
      </c>
      <c r="BA9" s="110" t="str">
        <f t="shared" ca="1" si="14"/>
        <v/>
      </c>
      <c r="BB9" s="46" t="str">
        <f t="shared" ca="1" si="14"/>
        <v/>
      </c>
      <c r="BC9" s="47" t="str">
        <f t="shared" ca="1" si="41"/>
        <v/>
      </c>
      <c r="BD9" s="114" t="str">
        <f t="shared" ca="1" si="42"/>
        <v/>
      </c>
      <c r="BE9" s="110" t="str">
        <f t="shared" ca="1" si="15"/>
        <v/>
      </c>
      <c r="BF9" s="46" t="str">
        <f t="shared" ca="1" si="15"/>
        <v/>
      </c>
      <c r="BG9" s="47" t="str">
        <f t="shared" ca="1" si="43"/>
        <v/>
      </c>
      <c r="BH9" s="114" t="str">
        <f t="shared" ca="1" si="44"/>
        <v/>
      </c>
      <c r="BI9" s="109" t="str">
        <f t="shared" ca="1" si="16"/>
        <v/>
      </c>
      <c r="BJ9" s="364" t="str">
        <f ca="1">IFERROR(INDEX(ICE[], MATCH("mg9592" &amp; LEFT(Lts!$A9, 2) &amp; " " &amp; RIGHT(Lts!$A9, 2), ICE[LongCode], 0), MATCH("Text", ICE[#Headers], 0)), "")</f>
        <v xml:space="preserve"> /  </v>
      </c>
      <c r="BK9" s="46" t="str">
        <f t="shared" ca="1" si="17"/>
        <v/>
      </c>
      <c r="BL9" s="47" t="str">
        <f t="shared" ca="1" si="45"/>
        <v/>
      </c>
      <c r="BM9" s="114" t="str">
        <f t="shared" ca="1" si="46"/>
        <v/>
      </c>
      <c r="BN9" s="110" t="str">
        <f t="shared" ca="1" si="18"/>
        <v/>
      </c>
      <c r="BO9" s="46" t="str">
        <f t="shared" ca="1" si="18"/>
        <v/>
      </c>
      <c r="BP9" s="47" t="str">
        <f t="shared" ca="1" si="47"/>
        <v/>
      </c>
      <c r="BQ9" s="114" t="str">
        <f t="shared" ca="1" si="48"/>
        <v/>
      </c>
      <c r="BR9" s="110" t="str">
        <f t="shared" ca="1" si="19"/>
        <v/>
      </c>
      <c r="BS9" s="46" t="str">
        <f t="shared" ca="1" si="19"/>
        <v/>
      </c>
      <c r="BT9" s="47" t="str">
        <f t="shared" ca="1" si="49"/>
        <v/>
      </c>
      <c r="BU9" s="111" t="str">
        <f t="shared" ca="1" si="50"/>
        <v/>
      </c>
    </row>
    <row r="10" spans="1:73" s="68" customFormat="1" x14ac:dyDescent="0.25">
      <c r="A10" s="54" t="str">
        <f t="shared" ca="1" si="20"/>
        <v>Q427</v>
      </c>
      <c r="B10" s="6"/>
      <c r="C10" s="6"/>
      <c r="D10" s="28"/>
      <c r="E10" s="28"/>
      <c r="F10" s="28"/>
      <c r="G10" s="28"/>
      <c r="H10" s="28"/>
      <c r="I10" s="109" t="str">
        <f t="shared" ca="1" si="0"/>
        <v/>
      </c>
      <c r="J10" s="364" t="str">
        <f ca="1">IFERROR(INDEX(ICE[], MATCH("napbrx" &amp; LEFT(Lts!$A10, 2) &amp; " " &amp; RIGHT(Lts!$A10, 2), ICE[LongCode], 0), MATCH("Text", ICE[#Headers], 0)), "")</f>
        <v xml:space="preserve"> / -4.39 {-8.07} |39x</v>
      </c>
      <c r="K10" s="46" t="str">
        <f t="shared" ca="1" si="1"/>
        <v/>
      </c>
      <c r="L10" s="47" t="str">
        <f t="shared" ca="1" si="21"/>
        <v/>
      </c>
      <c r="M10" s="114" t="str">
        <f t="shared" ca="1" si="22"/>
        <v/>
      </c>
      <c r="N10" s="110" t="str">
        <f t="shared" ca="1" si="2"/>
        <v/>
      </c>
      <c r="O10" s="46" t="str">
        <f t="shared" ca="1" si="2"/>
        <v/>
      </c>
      <c r="P10" s="47" t="str">
        <f t="shared" ca="1" si="23"/>
        <v/>
      </c>
      <c r="Q10" s="114" t="str">
        <f t="shared" ca="1" si="24"/>
        <v/>
      </c>
      <c r="R10" s="109" t="str">
        <f t="shared" ca="1" si="3"/>
        <v/>
      </c>
      <c r="S10" s="364" t="str">
        <f ca="1">IFERROR(INDEX(ICE[], MATCH("ebobbrx" &amp; LEFT(Lts!$A10, 2) &amp; " " &amp; RIGHT(Lts!$A10, 2), ICE[LongCode], 0), MATCH("Text", ICE[#Headers], 0)), "")</f>
        <v xml:space="preserve"> / 14.90 </v>
      </c>
      <c r="T10" s="46" t="str">
        <f t="shared" ca="1" si="4"/>
        <v/>
      </c>
      <c r="U10" s="47" t="str">
        <f t="shared" ca="1" si="25"/>
        <v/>
      </c>
      <c r="V10" s="114" t="str">
        <f t="shared" ca="1" si="26"/>
        <v/>
      </c>
      <c r="W10" s="110" t="str">
        <f t="shared" ca="1" si="5"/>
        <v/>
      </c>
      <c r="X10" s="46" t="str">
        <f t="shared" ca="1" si="5"/>
        <v/>
      </c>
      <c r="Y10" s="47" t="str">
        <f t="shared" ca="1" si="27"/>
        <v/>
      </c>
      <c r="Z10" s="114" t="str">
        <f t="shared" ca="1" si="28"/>
        <v/>
      </c>
      <c r="AA10" s="110" t="str">
        <f t="shared" ca="1" si="6"/>
        <v/>
      </c>
      <c r="AB10" s="46" t="str">
        <f t="shared" ca="1" si="6"/>
        <v/>
      </c>
      <c r="AC10" s="47" t="str">
        <f t="shared" ca="1" si="29"/>
        <v/>
      </c>
      <c r="AD10" s="114" t="str">
        <f t="shared" ca="1" si="30"/>
        <v/>
      </c>
      <c r="AE10" s="110" t="str">
        <f t="shared" ca="1" si="7"/>
        <v/>
      </c>
      <c r="AF10" s="46" t="str">
        <f t="shared" ca="1" si="7"/>
        <v/>
      </c>
      <c r="AG10" s="47" t="str">
        <f t="shared" ca="1" si="31"/>
        <v/>
      </c>
      <c r="AH10" s="114" t="str">
        <f t="shared" ca="1" si="32"/>
        <v/>
      </c>
      <c r="AI10" s="109" t="str">
        <f t="shared" ca="1" si="8"/>
        <v/>
      </c>
      <c r="AJ10" s="364" t="str">
        <f ca="1">IFERROR(INDEX(ICE[], MATCH("napew" &amp; LEFT(Lts!$A10, 2) &amp; " " &amp; RIGHT(Lts!$A10, 2), ICE[LongCode], 0), MATCH("Text", ICE[#Headers], 0)), "")</f>
        <v xml:space="preserve">-1.25 / 46.75 </v>
      </c>
      <c r="AK10" s="46" t="str">
        <f t="shared" ca="1" si="9"/>
        <v/>
      </c>
      <c r="AL10" s="47" t="str">
        <f t="shared" ca="1" si="33"/>
        <v/>
      </c>
      <c r="AM10" s="114" t="str">
        <f t="shared" ca="1" si="34"/>
        <v/>
      </c>
      <c r="AN10" s="110" t="str">
        <f t="shared" ca="1" si="10"/>
        <v/>
      </c>
      <c r="AO10" s="46" t="str">
        <f t="shared" ca="1" si="10"/>
        <v/>
      </c>
      <c r="AP10" s="47" t="str">
        <f t="shared" ca="1" si="35"/>
        <v/>
      </c>
      <c r="AQ10" s="114" t="str">
        <f t="shared" ca="1" si="36"/>
        <v/>
      </c>
      <c r="AR10" s="110" t="str">
        <f t="shared" ca="1" si="11"/>
        <v/>
      </c>
      <c r="AS10" s="46" t="str">
        <f t="shared" ca="1" si="11"/>
        <v/>
      </c>
      <c r="AT10" s="47" t="str">
        <f t="shared" ca="1" si="37"/>
        <v/>
      </c>
      <c r="AU10" s="114" t="str">
        <f t="shared" ca="1" si="38"/>
        <v/>
      </c>
      <c r="AV10" s="109" t="str">
        <f t="shared" ca="1" si="12"/>
        <v/>
      </c>
      <c r="AW10" s="364" t="str">
        <f ca="1">IFERROR(INDEX(ICE[], MATCH("mg92ebob" &amp; LEFT(Lts!$A10, 2) &amp; " " &amp; RIGHT(Lts!$A10, 2), ICE[LongCode], 0), MATCH("Text", ICE[#Headers], 0)), "")</f>
        <v/>
      </c>
      <c r="AX10" s="46" t="str">
        <f t="shared" ca="1" si="13"/>
        <v/>
      </c>
      <c r="AY10" s="47" t="str">
        <f t="shared" ca="1" si="39"/>
        <v/>
      </c>
      <c r="AZ10" s="114" t="str">
        <f t="shared" ca="1" si="40"/>
        <v/>
      </c>
      <c r="BA10" s="110" t="str">
        <f t="shared" ca="1" si="14"/>
        <v/>
      </c>
      <c r="BB10" s="46" t="str">
        <f t="shared" ca="1" si="14"/>
        <v/>
      </c>
      <c r="BC10" s="47" t="str">
        <f t="shared" ca="1" si="41"/>
        <v/>
      </c>
      <c r="BD10" s="114" t="str">
        <f t="shared" ca="1" si="42"/>
        <v/>
      </c>
      <c r="BE10" s="110" t="str">
        <f t="shared" ca="1" si="15"/>
        <v/>
      </c>
      <c r="BF10" s="46" t="str">
        <f t="shared" ca="1" si="15"/>
        <v/>
      </c>
      <c r="BG10" s="47" t="str">
        <f t="shared" ca="1" si="43"/>
        <v/>
      </c>
      <c r="BH10" s="114" t="str">
        <f t="shared" ca="1" si="44"/>
        <v/>
      </c>
      <c r="BI10" s="109" t="str">
        <f t="shared" ca="1" si="16"/>
        <v/>
      </c>
      <c r="BJ10" s="364" t="str">
        <f ca="1">IFERROR(INDEX(ICE[], MATCH("mg9592" &amp; LEFT(Lts!$A10, 2) &amp; " " &amp; RIGHT(Lts!$A10, 2), ICE[LongCode], 0), MATCH("Text", ICE[#Headers], 0)), "")</f>
        <v xml:space="preserve"> /  </v>
      </c>
      <c r="BK10" s="46" t="str">
        <f t="shared" ca="1" si="17"/>
        <v/>
      </c>
      <c r="BL10" s="47" t="str">
        <f t="shared" ca="1" si="45"/>
        <v/>
      </c>
      <c r="BM10" s="114" t="str">
        <f t="shared" ca="1" si="46"/>
        <v/>
      </c>
      <c r="BN10" s="110" t="str">
        <f t="shared" ca="1" si="18"/>
        <v/>
      </c>
      <c r="BO10" s="46" t="str">
        <f t="shared" ca="1" si="18"/>
        <v/>
      </c>
      <c r="BP10" s="47" t="str">
        <f t="shared" ca="1" si="47"/>
        <v/>
      </c>
      <c r="BQ10" s="114" t="str">
        <f t="shared" ca="1" si="48"/>
        <v/>
      </c>
      <c r="BR10" s="110" t="str">
        <f t="shared" ca="1" si="19"/>
        <v/>
      </c>
      <c r="BS10" s="46" t="str">
        <f t="shared" ca="1" si="19"/>
        <v/>
      </c>
      <c r="BT10" s="47" t="str">
        <f t="shared" ca="1" si="49"/>
        <v/>
      </c>
      <c r="BU10" s="111" t="str">
        <f t="shared" ca="1" si="50"/>
        <v/>
      </c>
    </row>
    <row r="11" spans="1:73" s="68" customFormat="1" x14ac:dyDescent="0.25">
      <c r="A11" s="54" t="str">
        <f t="shared" ca="1" si="20"/>
        <v>Q128</v>
      </c>
      <c r="B11" s="6"/>
      <c r="C11" s="6"/>
      <c r="D11" s="28"/>
      <c r="E11" s="28"/>
      <c r="F11" s="28"/>
      <c r="G11" s="28"/>
      <c r="H11" s="28"/>
      <c r="I11" s="119" t="str">
        <f t="shared" ca="1" si="0"/>
        <v/>
      </c>
      <c r="J11" s="365" t="str">
        <f ca="1">IFERROR(INDEX(ICE[], MATCH("napbrx" &amp; LEFT(Lts!$A11, 2) &amp; " " &amp; RIGHT(Lts!$A11, 2), ICE[LongCode], 0), MATCH("Text", ICE[#Headers], 0)), "")</f>
        <v xml:space="preserve"> /  </v>
      </c>
      <c r="K11" s="122" t="str">
        <f t="shared" ca="1" si="1"/>
        <v/>
      </c>
      <c r="L11" s="47" t="str">
        <f t="shared" ca="1" si="21"/>
        <v/>
      </c>
      <c r="M11" s="114" t="str">
        <f t="shared" ca="1" si="22"/>
        <v/>
      </c>
      <c r="N11" s="123" t="str">
        <f t="shared" ca="1" si="2"/>
        <v/>
      </c>
      <c r="O11" s="122" t="str">
        <f t="shared" ca="1" si="2"/>
        <v/>
      </c>
      <c r="P11" s="47" t="str">
        <f t="shared" ca="1" si="23"/>
        <v/>
      </c>
      <c r="Q11" s="114" t="str">
        <f t="shared" ca="1" si="24"/>
        <v/>
      </c>
      <c r="R11" s="119" t="str">
        <f t="shared" ca="1" si="3"/>
        <v/>
      </c>
      <c r="S11" s="365" t="str">
        <f ca="1">IFERROR(INDEX(ICE[], MATCH("ebobbrx" &amp; LEFT(Lts!$A11, 2) &amp; " " &amp; RIGHT(Lts!$A11, 2), ICE[LongCode], 0), MATCH("Text", ICE[#Headers], 0)), "")</f>
        <v xml:space="preserve"> /  </v>
      </c>
      <c r="T11" s="122" t="str">
        <f t="shared" ca="1" si="4"/>
        <v/>
      </c>
      <c r="U11" s="47" t="str">
        <f t="shared" ca="1" si="25"/>
        <v/>
      </c>
      <c r="V11" s="114" t="str">
        <f t="shared" ca="1" si="26"/>
        <v/>
      </c>
      <c r="W11" s="123" t="str">
        <f t="shared" ca="1" si="5"/>
        <v/>
      </c>
      <c r="X11" s="122" t="str">
        <f t="shared" ca="1" si="5"/>
        <v/>
      </c>
      <c r="Y11" s="47" t="str">
        <f t="shared" ca="1" si="27"/>
        <v/>
      </c>
      <c r="Z11" s="114" t="str">
        <f t="shared" ca="1" si="28"/>
        <v/>
      </c>
      <c r="AA11" s="123" t="str">
        <f t="shared" ca="1" si="6"/>
        <v/>
      </c>
      <c r="AB11" s="122" t="str">
        <f t="shared" ca="1" si="6"/>
        <v/>
      </c>
      <c r="AC11" s="47" t="str">
        <f t="shared" ca="1" si="29"/>
        <v/>
      </c>
      <c r="AD11" s="114" t="str">
        <f t="shared" ca="1" si="30"/>
        <v/>
      </c>
      <c r="AE11" s="123" t="str">
        <f t="shared" ca="1" si="7"/>
        <v/>
      </c>
      <c r="AF11" s="122" t="str">
        <f t="shared" ca="1" si="7"/>
        <v/>
      </c>
      <c r="AG11" s="47" t="str">
        <f t="shared" ca="1" si="31"/>
        <v/>
      </c>
      <c r="AH11" s="114" t="str">
        <f t="shared" ca="1" si="32"/>
        <v/>
      </c>
      <c r="AI11" s="119" t="str">
        <f t="shared" ca="1" si="8"/>
        <v/>
      </c>
      <c r="AJ11" s="365" t="str">
        <f ca="1">IFERROR(INDEX(ICE[], MATCH("napew" &amp; LEFT(Lts!$A11, 2) &amp; " " &amp; RIGHT(Lts!$A11, 2), ICE[LongCode], 0), MATCH("Text", ICE[#Headers], 0)), "")</f>
        <v xml:space="preserve"> /  </v>
      </c>
      <c r="AK11" s="122" t="str">
        <f t="shared" ca="1" si="9"/>
        <v/>
      </c>
      <c r="AL11" s="47" t="str">
        <f t="shared" ca="1" si="33"/>
        <v/>
      </c>
      <c r="AM11" s="114" t="str">
        <f t="shared" ca="1" si="34"/>
        <v/>
      </c>
      <c r="AN11" s="123" t="str">
        <f t="shared" ca="1" si="10"/>
        <v/>
      </c>
      <c r="AO11" s="122" t="str">
        <f t="shared" ca="1" si="10"/>
        <v/>
      </c>
      <c r="AP11" s="47" t="str">
        <f t="shared" ca="1" si="35"/>
        <v/>
      </c>
      <c r="AQ11" s="114" t="str">
        <f t="shared" ca="1" si="36"/>
        <v/>
      </c>
      <c r="AR11" s="123" t="str">
        <f t="shared" ca="1" si="11"/>
        <v/>
      </c>
      <c r="AS11" s="122" t="str">
        <f t="shared" ca="1" si="11"/>
        <v/>
      </c>
      <c r="AT11" s="47" t="str">
        <f t="shared" ca="1" si="37"/>
        <v/>
      </c>
      <c r="AU11" s="114" t="str">
        <f t="shared" ca="1" si="38"/>
        <v/>
      </c>
      <c r="AV11" s="119" t="str">
        <f t="shared" ca="1" si="12"/>
        <v/>
      </c>
      <c r="AW11" s="365" t="str">
        <f ca="1">IFERROR(INDEX(ICE[], MATCH("mg92ebob" &amp; LEFT(Lts!$A11, 2) &amp; " " &amp; RIGHT(Lts!$A11, 2), ICE[LongCode], 0), MATCH("Text", ICE[#Headers], 0)), "")</f>
        <v/>
      </c>
      <c r="AX11" s="122" t="str">
        <f t="shared" ca="1" si="13"/>
        <v/>
      </c>
      <c r="AY11" s="47" t="str">
        <f t="shared" ca="1" si="39"/>
        <v/>
      </c>
      <c r="AZ11" s="114" t="str">
        <f t="shared" ca="1" si="40"/>
        <v/>
      </c>
      <c r="BA11" s="123" t="str">
        <f t="shared" ca="1" si="14"/>
        <v/>
      </c>
      <c r="BB11" s="122" t="str">
        <f t="shared" ca="1" si="14"/>
        <v/>
      </c>
      <c r="BC11" s="47" t="str">
        <f t="shared" ca="1" si="41"/>
        <v/>
      </c>
      <c r="BD11" s="114" t="str">
        <f t="shared" ca="1" si="42"/>
        <v/>
      </c>
      <c r="BE11" s="123" t="str">
        <f t="shared" ca="1" si="15"/>
        <v/>
      </c>
      <c r="BF11" s="122" t="str">
        <f t="shared" ca="1" si="15"/>
        <v/>
      </c>
      <c r="BG11" s="47" t="str">
        <f t="shared" ca="1" si="43"/>
        <v/>
      </c>
      <c r="BH11" s="114" t="str">
        <f t="shared" ca="1" si="44"/>
        <v/>
      </c>
      <c r="BI11" s="119" t="str">
        <f t="shared" ca="1" si="16"/>
        <v/>
      </c>
      <c r="BJ11" s="365" t="str">
        <f ca="1">IFERROR(INDEX(ICE[], MATCH("mg9592" &amp; LEFT(Lts!$A11, 2) &amp; " " &amp; RIGHT(Lts!$A11, 2), ICE[LongCode], 0), MATCH("Text", ICE[#Headers], 0)), "")</f>
        <v xml:space="preserve"> /  </v>
      </c>
      <c r="BK11" s="122" t="str">
        <f t="shared" ca="1" si="17"/>
        <v/>
      </c>
      <c r="BL11" s="47" t="str">
        <f t="shared" ca="1" si="45"/>
        <v/>
      </c>
      <c r="BM11" s="114" t="str">
        <f t="shared" ca="1" si="46"/>
        <v/>
      </c>
      <c r="BN11" s="123" t="str">
        <f t="shared" ca="1" si="18"/>
        <v/>
      </c>
      <c r="BO11" s="122" t="str">
        <f t="shared" ca="1" si="18"/>
        <v/>
      </c>
      <c r="BP11" s="47" t="str">
        <f t="shared" ca="1" si="47"/>
        <v/>
      </c>
      <c r="BQ11" s="114" t="str">
        <f t="shared" ca="1" si="48"/>
        <v/>
      </c>
      <c r="BR11" s="123" t="str">
        <f t="shared" ca="1" si="19"/>
        <v/>
      </c>
      <c r="BS11" s="122" t="str">
        <f t="shared" ca="1" si="19"/>
        <v/>
      </c>
      <c r="BT11" s="47" t="str">
        <f t="shared" ca="1" si="49"/>
        <v/>
      </c>
      <c r="BU11" s="111" t="str">
        <f t="shared" ca="1" si="50"/>
        <v/>
      </c>
    </row>
    <row r="12" spans="1:73" s="68" customFormat="1" x14ac:dyDescent="0.25">
      <c r="A12" s="55">
        <f ca="1">YEAR($A$1)</f>
        <v>2026</v>
      </c>
      <c r="B12" s="6"/>
      <c r="C12" s="6"/>
      <c r="D12" s="28"/>
      <c r="E12" s="28"/>
      <c r="F12" s="28"/>
      <c r="G12" s="28"/>
      <c r="H12" s="28"/>
      <c r="I12" s="160" t="str">
        <f ca="1">IFERROR(AVERAGEIF($B$19:$B$66, $A12, I$19:I$66), "")</f>
        <v/>
      </c>
      <c r="J12" s="364" t="str">
        <f ca="1">IFERROR(INDEX(ICE[], MATCH("napbrx" &amp; "Cal" &amp; " " &amp; RIGHT(Lts!$A12, 2), ICE[LongCode], 0), MATCH("Text", ICE[#Headers], 0)), "")</f>
        <v/>
      </c>
      <c r="K12" s="115" t="str">
        <f ca="1">IFERROR(AVERAGEIF($B$19:$B$66, $A12, K$19:K$66), "")</f>
        <v/>
      </c>
      <c r="L12" s="161"/>
      <c r="M12" s="172"/>
      <c r="N12" s="112" t="str">
        <f t="shared" ref="N12:O14" ca="1" si="51">IFERROR(AVERAGEIF($B$19:$B$66, $A12, N$19:N$66), "")</f>
        <v/>
      </c>
      <c r="O12" s="115" t="str">
        <f t="shared" ca="1" si="51"/>
        <v/>
      </c>
      <c r="P12" s="161"/>
      <c r="Q12" s="172"/>
      <c r="R12" s="160" t="str">
        <f ca="1">IFERROR(AVERAGEIF($B$19:$B$66, $A12, R$19:R$66), "")</f>
        <v/>
      </c>
      <c r="S12" s="364" t="str">
        <f ca="1">IFERROR(INDEX(ICE[], MATCH("ebobbrx" &amp; "Cal" &amp; " " &amp; RIGHT(Lts!$A12, 2), ICE[LongCode], 0), MATCH("Text", ICE[#Headers], 0)), "")</f>
        <v/>
      </c>
      <c r="T12" s="115" t="str">
        <f ca="1">IFERROR(AVERAGEIF($B$19:$B$66, $A12, T$19:T$66), "")</f>
        <v/>
      </c>
      <c r="U12" s="161"/>
      <c r="V12" s="172"/>
      <c r="W12" s="112" t="str">
        <f t="shared" ref="W12:X14" ca="1" si="52">IFERROR(AVERAGEIF($B$19:$B$66, $A12, W$19:W$66), "")</f>
        <v/>
      </c>
      <c r="X12" s="115" t="str">
        <f t="shared" ca="1" si="52"/>
        <v/>
      </c>
      <c r="Y12" s="161"/>
      <c r="Z12" s="172"/>
      <c r="AA12" s="112" t="str">
        <f ca="1">IFERROR(AVERAGEIF($B$19:$B$66, $A12, AA$19:AA$66), "")</f>
        <v/>
      </c>
      <c r="AB12" s="115" t="str">
        <f ca="1">IFERROR(AVERAGEIF($B$19:$B$66, $A12, Z$19:Z$66), "")</f>
        <v/>
      </c>
      <c r="AC12" s="161"/>
      <c r="AD12" s="172"/>
      <c r="AE12" s="112" t="str">
        <f ca="1">IFERROR(AVERAGEIF($B$19:$B$66, $A12, AE$19:AE$66), "")</f>
        <v/>
      </c>
      <c r="AF12" s="115" t="str">
        <f ca="1">IFERROR(AVERAGEIF($B$19:$B$66, $A12, AD$19:AD$66), "")</f>
        <v/>
      </c>
      <c r="AG12" s="161"/>
      <c r="AH12" s="172"/>
      <c r="AI12" s="160" t="str">
        <f ca="1">IFERROR(AVERAGEIF($B$19:$B$66, $A12, AI$19:AI$66), "")</f>
        <v/>
      </c>
      <c r="AJ12" s="364" t="str">
        <f ca="1">IFERROR(INDEX(ICE[], MATCH("napew" &amp; "Cal" &amp; " " &amp; RIGHT(Lts!$A12, 2), ICE[LongCode], 0), MATCH("Text", ICE[#Headers], 0)), "")</f>
        <v/>
      </c>
      <c r="AK12" s="115" t="str">
        <f ca="1">IFERROR(AVERAGEIF($B$19:$B$66, $A12, AK$19:AK$66), "")</f>
        <v/>
      </c>
      <c r="AL12" s="161"/>
      <c r="AM12" s="172"/>
      <c r="AN12" s="112" t="str">
        <f t="shared" ref="AN12:AO14" ca="1" si="53">IFERROR(AVERAGEIF($B$19:$B$66, $A12, AN$19:AN$66), "")</f>
        <v/>
      </c>
      <c r="AO12" s="115" t="str">
        <f t="shared" ca="1" si="53"/>
        <v/>
      </c>
      <c r="AP12" s="161"/>
      <c r="AQ12" s="172"/>
      <c r="AR12" s="112" t="str">
        <f t="shared" ref="AR12:AS14" ca="1" si="54">IFERROR(AVERAGEIF($B$19:$B$66, $A12, AR$19:AR$66), "")</f>
        <v/>
      </c>
      <c r="AS12" s="115" t="str">
        <f t="shared" ca="1" si="54"/>
        <v/>
      </c>
      <c r="AT12" s="161"/>
      <c r="AU12" s="172"/>
      <c r="AV12" s="160" t="str">
        <f ca="1">IFERROR(AVERAGEIF($B$19:$B$66, $A12, AV$19:AV$66), "")</f>
        <v/>
      </c>
      <c r="AW12" s="364" t="str">
        <f ca="1">IFERROR(INDEX(ICE[], MATCH("mg92ebob" &amp; "Cal" &amp; " " &amp; RIGHT(Lts!$A12, 2), ICE[LongCode], 0), MATCH("Text", ICE[#Headers], 0)), "")</f>
        <v/>
      </c>
      <c r="AX12" s="115" t="str">
        <f ca="1">IFERROR(AVERAGEIF($B$19:$B$66, $A12, AX$19:AX$66), "")</f>
        <v/>
      </c>
      <c r="AY12" s="161"/>
      <c r="AZ12" s="172"/>
      <c r="BA12" s="112" t="str">
        <f t="shared" ref="BA12:BB14" ca="1" si="55">IFERROR(AVERAGEIF($B$19:$B$66, $A12, BA$19:BA$66), "")</f>
        <v/>
      </c>
      <c r="BB12" s="115" t="str">
        <f t="shared" ca="1" si="55"/>
        <v/>
      </c>
      <c r="BC12" s="161"/>
      <c r="BD12" s="172"/>
      <c r="BE12" s="112" t="str">
        <f t="shared" ref="BE12:BF14" ca="1" si="56">IFERROR(AVERAGEIF($B$19:$B$66, $A12, BE$19:BE$66), "")</f>
        <v/>
      </c>
      <c r="BF12" s="115" t="str">
        <f t="shared" ca="1" si="56"/>
        <v/>
      </c>
      <c r="BG12" s="161"/>
      <c r="BH12" s="172"/>
      <c r="BI12" s="160" t="str">
        <f ca="1">IFERROR(AVERAGEIF($B$19:$B$66, $A12, BI$19:BI$66), "")</f>
        <v/>
      </c>
      <c r="BJ12" s="364" t="str">
        <f ca="1">IFERROR(INDEX(ICE[], MATCH("mg9592" &amp; "Cal" &amp; " " &amp; RIGHT(Lts!$A12, 2), ICE[LongCode], 0), MATCH("Text", ICE[#Headers], 0)), "")</f>
        <v/>
      </c>
      <c r="BK12" s="115" t="str">
        <f ca="1">IFERROR(AVERAGEIF($B$19:$B$66, $A12, BK$19:BK$66), "")</f>
        <v/>
      </c>
      <c r="BL12" s="161"/>
      <c r="BM12" s="172"/>
      <c r="BN12" s="112" t="str">
        <f t="shared" ref="BN12:BO14" ca="1" si="57">IFERROR(AVERAGEIF($B$19:$B$66, $A12, BN$19:BN$66), "")</f>
        <v/>
      </c>
      <c r="BO12" s="115" t="str">
        <f t="shared" ca="1" si="57"/>
        <v/>
      </c>
      <c r="BP12" s="161"/>
      <c r="BQ12" s="172"/>
      <c r="BR12" s="112" t="str">
        <f t="shared" ref="BR12:BS14" ca="1" si="58">IFERROR(AVERAGEIF($B$19:$B$66, $A12, BR$19:BR$66), "")</f>
        <v/>
      </c>
      <c r="BS12" s="115" t="str">
        <f t="shared" ca="1" si="58"/>
        <v/>
      </c>
      <c r="BT12" s="161"/>
      <c r="BU12" s="173"/>
    </row>
    <row r="13" spans="1:73" s="68" customFormat="1" x14ac:dyDescent="0.25">
      <c r="A13" s="55">
        <f ca="1">$A12 + 1</f>
        <v>2027</v>
      </c>
      <c r="B13" s="6"/>
      <c r="C13" s="6"/>
      <c r="D13" s="28"/>
      <c r="E13" s="28"/>
      <c r="F13" s="28"/>
      <c r="G13" s="28"/>
      <c r="H13" s="28"/>
      <c r="I13" s="109" t="str">
        <f ca="1">IFERROR(AVERAGEIF($B$19:$B$66, $A13, I$19:I$66), "")</f>
        <v/>
      </c>
      <c r="J13" s="364" t="str">
        <f ca="1">IFERROR(INDEX(ICE[], MATCH("napbrx" &amp; "Cal" &amp; " " &amp; RIGHT(Lts!$A13, 2), ICE[LongCode], 0), MATCH("Text", ICE[#Headers], 0)), "")</f>
        <v xml:space="preserve"> / -3.38 {-7.05} |19x</v>
      </c>
      <c r="K13" s="46" t="str">
        <f ca="1">IFERROR(AVERAGEIF($B$19:$B$66, $A13, K$19:K$66), "")</f>
        <v/>
      </c>
      <c r="L13" s="47" t="str">
        <f t="shared" ca="1" si="21"/>
        <v/>
      </c>
      <c r="M13" s="114" t="str">
        <f t="shared" ca="1" si="22"/>
        <v/>
      </c>
      <c r="N13" s="110" t="str">
        <f t="shared" ca="1" si="51"/>
        <v/>
      </c>
      <c r="O13" s="46" t="str">
        <f t="shared" ca="1" si="51"/>
        <v/>
      </c>
      <c r="P13" s="47" t="str">
        <f t="shared" ca="1" si="23"/>
        <v/>
      </c>
      <c r="Q13" s="114" t="str">
        <f t="shared" ca="1" si="24"/>
        <v/>
      </c>
      <c r="R13" s="109" t="str">
        <f ca="1">IFERROR(AVERAGEIF($B$19:$B$66, $A13, R$19:R$66), "")</f>
        <v/>
      </c>
      <c r="S13" s="364" t="str">
        <f ca="1">IFERROR(INDEX(ICE[], MATCH("ebobbrx" &amp; "Cal" &amp; " " &amp; RIGHT(Lts!$A13, 2), ICE[LongCode], 0), MATCH("Text", ICE[#Headers], 0)), "")</f>
        <v xml:space="preserve"> / 22.90 </v>
      </c>
      <c r="T13" s="46" t="str">
        <f ca="1">IFERROR(AVERAGEIF($B$19:$B$66, $A13, T$19:T$66), "")</f>
        <v/>
      </c>
      <c r="U13" s="47" t="str">
        <f t="shared" ca="1" si="25"/>
        <v/>
      </c>
      <c r="V13" s="114" t="str">
        <f t="shared" ca="1" si="26"/>
        <v/>
      </c>
      <c r="W13" s="110" t="str">
        <f t="shared" ca="1" si="52"/>
        <v/>
      </c>
      <c r="X13" s="46" t="str">
        <f t="shared" ca="1" si="52"/>
        <v/>
      </c>
      <c r="Y13" s="47" t="str">
        <f t="shared" ca="1" si="27"/>
        <v/>
      </c>
      <c r="Z13" s="114" t="str">
        <f t="shared" ca="1" si="28"/>
        <v/>
      </c>
      <c r="AA13" s="110" t="str">
        <f ca="1">IFERROR(AVERAGEIF($B$19:$B$66, $A13, AA$19:AA$66), "")</f>
        <v/>
      </c>
      <c r="AB13" s="46" t="str">
        <f ca="1">IFERROR(AVERAGEIF($B$19:$B$66, $A13, Z$19:Z$66), "")</f>
        <v/>
      </c>
      <c r="AC13" s="47" t="str">
        <f t="shared" ca="1" si="29"/>
        <v/>
      </c>
      <c r="AD13" s="114" t="str">
        <f t="shared" ca="1" si="30"/>
        <v/>
      </c>
      <c r="AE13" s="110" t="str">
        <f ca="1">IFERROR(AVERAGEIF($B$19:$B$66, $A13, AE$19:AE$66), "")</f>
        <v/>
      </c>
      <c r="AF13" s="46" t="str">
        <f ca="1">IFERROR(AVERAGEIF($B$19:$B$66, $A13, AD$19:AD$66), "")</f>
        <v/>
      </c>
      <c r="AG13" s="47" t="str">
        <f t="shared" ca="1" si="31"/>
        <v/>
      </c>
      <c r="AH13" s="114" t="str">
        <f t="shared" ca="1" si="32"/>
        <v/>
      </c>
      <c r="AI13" s="109" t="str">
        <f ca="1">IFERROR(AVERAGEIF($B$19:$B$66, $A13, AI$19:AI$66), "")</f>
        <v/>
      </c>
      <c r="AJ13" s="364" t="str">
        <f ca="1">IFERROR(INDEX(ICE[], MATCH("napew" &amp; "Cal" &amp; " " &amp; RIGHT(Lts!$A13, 2), ICE[LongCode], 0), MATCH("Text", ICE[#Headers], 0)), "")</f>
        <v>6.50 / 54.50 {30.50} |1x</v>
      </c>
      <c r="AK13" s="46" t="str">
        <f ca="1">IFERROR(AVERAGEIF($B$19:$B$66, $A13, AK$19:AK$66), "")</f>
        <v/>
      </c>
      <c r="AL13" s="47" t="str">
        <f ca="1">IF(AND(ISNUMBER(AI12), ISNUMBER(AI13)), AI12 - AI13, "")</f>
        <v/>
      </c>
      <c r="AM13" s="114" t="str">
        <f t="shared" ref="AM13:AM14" ca="1" si="59">IF(AND(ISNUMBER(AK12), ISNUMBER(AK13)), AK12 - AK13, "")</f>
        <v/>
      </c>
      <c r="AN13" s="110" t="str">
        <f t="shared" ca="1" si="53"/>
        <v/>
      </c>
      <c r="AO13" s="46" t="str">
        <f t="shared" ca="1" si="53"/>
        <v/>
      </c>
      <c r="AP13" s="47" t="str">
        <f t="shared" ref="AP13:AP14" ca="1" si="60">IF(AND(ISNUMBER(AN12), ISNUMBER(AN13)), AN12 - AN13, "")</f>
        <v/>
      </c>
      <c r="AQ13" s="114" t="str">
        <f t="shared" ref="AQ13:AQ14" ca="1" si="61">IF(AND(ISNUMBER(AO12), ISNUMBER(AO13)), AO12 - AO13, "")</f>
        <v/>
      </c>
      <c r="AR13" s="110" t="str">
        <f t="shared" ca="1" si="54"/>
        <v/>
      </c>
      <c r="AS13" s="46" t="str">
        <f t="shared" ca="1" si="54"/>
        <v/>
      </c>
      <c r="AT13" s="47" t="str">
        <f t="shared" ref="AT13:AT14" ca="1" si="62">IF(AND(ISNUMBER(AR12), ISNUMBER(AR13)), AR12 - AR13, "")</f>
        <v/>
      </c>
      <c r="AU13" s="114" t="str">
        <f t="shared" ref="AU13:AU14" ca="1" si="63">IF(AND(ISNUMBER(AS12), ISNUMBER(AS13)), AS12 - AS13, "")</f>
        <v/>
      </c>
      <c r="AV13" s="109" t="str">
        <f ca="1">IFERROR(AVERAGEIF($B$19:$B$66, $A13, AV$19:AV$66), "")</f>
        <v/>
      </c>
      <c r="AW13" s="364" t="str">
        <f ca="1">IFERROR(INDEX(ICE[], MATCH("mg92ebob" &amp; "Cal" &amp; " " &amp; RIGHT(Lts!$A13, 2), ICE[LongCode], 0), MATCH("Text", ICE[#Headers], 0)), "")</f>
        <v xml:space="preserve">-8.15 / -4.25 </v>
      </c>
      <c r="AX13" s="46" t="str">
        <f ca="1">IFERROR(AVERAGEIF($B$19:$B$66, $A13, AX$19:AX$66), "")</f>
        <v/>
      </c>
      <c r="AY13" s="47" t="str">
        <f ca="1">IF(AND(ISNUMBER(AV12), ISNUMBER(AV13)), AV12 - AV13, "")</f>
        <v/>
      </c>
      <c r="AZ13" s="114" t="str">
        <f t="shared" ref="AZ13:AZ14" ca="1" si="64">IF(AND(ISNUMBER(AX12), ISNUMBER(AX13)), AX12 - AX13, "")</f>
        <v/>
      </c>
      <c r="BA13" s="110" t="str">
        <f t="shared" ca="1" si="55"/>
        <v/>
      </c>
      <c r="BB13" s="46" t="str">
        <f t="shared" ca="1" si="55"/>
        <v/>
      </c>
      <c r="BC13" s="47" t="str">
        <f t="shared" ref="BC13:BC14" ca="1" si="65">IF(AND(ISNUMBER(BA12), ISNUMBER(BA13)), BA12 - BA13, "")</f>
        <v/>
      </c>
      <c r="BD13" s="114" t="str">
        <f t="shared" ref="BD13:BD14" ca="1" si="66">IF(AND(ISNUMBER(BB12), ISNUMBER(BB13)), BB12 - BB13, "")</f>
        <v/>
      </c>
      <c r="BE13" s="110" t="str">
        <f t="shared" ca="1" si="56"/>
        <v/>
      </c>
      <c r="BF13" s="46" t="str">
        <f t="shared" ca="1" si="56"/>
        <v/>
      </c>
      <c r="BG13" s="47" t="str">
        <f t="shared" ref="BG13:BG14" ca="1" si="67">IF(AND(ISNUMBER(BE12), ISNUMBER(BE13)), BE12 - BE13, "")</f>
        <v/>
      </c>
      <c r="BH13" s="114" t="str">
        <f t="shared" ref="BH13:BH14" ca="1" si="68">IF(AND(ISNUMBER(BF12), ISNUMBER(BF13)), BF12 - BF13, "")</f>
        <v/>
      </c>
      <c r="BI13" s="109" t="str">
        <f ca="1">IFERROR(AVERAGEIF($B$19:$B$66, $A13, BI$19:BI$66), "")</f>
        <v/>
      </c>
      <c r="BJ13" s="364" t="str">
        <f ca="1">IFERROR(INDEX(ICE[], MATCH("mg9592" &amp; "Cal" &amp; " " &amp; RIGHT(Lts!$A13, 2), ICE[LongCode], 0), MATCH("Text", ICE[#Headers], 0)), "")</f>
        <v xml:space="preserve"> /  </v>
      </c>
      <c r="BK13" s="46" t="str">
        <f ca="1">IFERROR(AVERAGEIF($B$19:$B$66, $A13, BK$19:BK$66), "")</f>
        <v/>
      </c>
      <c r="BL13" s="47" t="str">
        <f ca="1">IF(AND(ISNUMBER(BI12), ISNUMBER(BI13)), BI12 - BI13, "")</f>
        <v/>
      </c>
      <c r="BM13" s="114" t="str">
        <f t="shared" ref="BM13:BM14" ca="1" si="69">IF(AND(ISNUMBER(BK12), ISNUMBER(BK13)), BK12 - BK13, "")</f>
        <v/>
      </c>
      <c r="BN13" s="110" t="str">
        <f t="shared" ca="1" si="57"/>
        <v/>
      </c>
      <c r="BO13" s="46" t="str">
        <f t="shared" ca="1" si="57"/>
        <v/>
      </c>
      <c r="BP13" s="47" t="str">
        <f t="shared" ref="BP13:BP14" ca="1" si="70">IF(AND(ISNUMBER(BN12), ISNUMBER(BN13)), BN12 - BN13, "")</f>
        <v/>
      </c>
      <c r="BQ13" s="114" t="str">
        <f t="shared" ref="BQ13:BQ14" ca="1" si="71">IF(AND(ISNUMBER(BO12), ISNUMBER(BO13)), BO12 - BO13, "")</f>
        <v/>
      </c>
      <c r="BR13" s="110" t="str">
        <f t="shared" ca="1" si="58"/>
        <v/>
      </c>
      <c r="BS13" s="46" t="str">
        <f t="shared" ca="1" si="58"/>
        <v/>
      </c>
      <c r="BT13" s="47" t="str">
        <f t="shared" ref="BT13:BT14" ca="1" si="72">IF(AND(ISNUMBER(BR12), ISNUMBER(BR13)), BR12 - BR13, "")</f>
        <v/>
      </c>
      <c r="BU13" s="111" t="str">
        <f t="shared" ref="BU13:BU14" ca="1" si="73">IF(AND(ISNUMBER(BS12), ISNUMBER(BS13)), BS12 - BS13, "")</f>
        <v/>
      </c>
    </row>
    <row r="14" spans="1:73" s="68" customFormat="1" ht="15.75" thickBot="1" x14ac:dyDescent="0.3">
      <c r="A14" s="55">
        <f ca="1">$A13 + 1</f>
        <v>2028</v>
      </c>
      <c r="B14" s="6"/>
      <c r="C14" s="6"/>
      <c r="D14" s="28"/>
      <c r="E14" s="28"/>
      <c r="F14" s="28"/>
      <c r="G14" s="28"/>
      <c r="H14" s="28"/>
      <c r="I14" s="130" t="str">
        <f ca="1">IFERROR(AVERAGEIF($B$19:$B$66, $A14, I$19:I$66), "")</f>
        <v/>
      </c>
      <c r="J14" s="366" t="str">
        <f ca="1">IFERROR(INDEX(ICE[], MATCH("napbrx" &amp; "Cal" &amp; " " &amp; RIGHT(Lts!$A14, 2), ICE[LongCode], 0), MATCH("Text", ICE[#Headers], 0)), "")</f>
        <v xml:space="preserve"> /  {-8.80} |40x</v>
      </c>
      <c r="K14" s="133" t="str">
        <f ca="1">IFERROR(AVERAGEIF($B$19:$B$66, $A14, K$19:K$66), "")</f>
        <v/>
      </c>
      <c r="L14" s="142" t="str">
        <f t="shared" ca="1" si="21"/>
        <v/>
      </c>
      <c r="M14" s="137" t="str">
        <f t="shared" ca="1" si="22"/>
        <v/>
      </c>
      <c r="N14" s="134" t="str">
        <f t="shared" ca="1" si="51"/>
        <v/>
      </c>
      <c r="O14" s="133" t="str">
        <f t="shared" ca="1" si="51"/>
        <v/>
      </c>
      <c r="P14" s="142" t="str">
        <f t="shared" ca="1" si="23"/>
        <v/>
      </c>
      <c r="Q14" s="137" t="str">
        <f t="shared" ca="1" si="24"/>
        <v/>
      </c>
      <c r="R14" s="130" t="str">
        <f ca="1">IFERROR(AVERAGEIF($B$19:$B$66, $A14, R$19:R$66), "")</f>
        <v/>
      </c>
      <c r="S14" s="366" t="str">
        <f ca="1">IFERROR(INDEX(ICE[], MATCH("ebobbrx" &amp; "Cal" &amp; " " &amp; RIGHT(Lts!$A14, 2), ICE[LongCode], 0), MATCH("Text", ICE[#Headers], 0)), "")</f>
        <v xml:space="preserve"> /  </v>
      </c>
      <c r="T14" s="133" t="str">
        <f ca="1">IFERROR(AVERAGEIF($B$19:$B$66, $A14, T$19:T$66), "")</f>
        <v/>
      </c>
      <c r="U14" s="142" t="str">
        <f t="shared" ca="1" si="25"/>
        <v/>
      </c>
      <c r="V14" s="137" t="str">
        <f t="shared" ca="1" si="26"/>
        <v/>
      </c>
      <c r="W14" s="134" t="str">
        <f t="shared" ca="1" si="52"/>
        <v/>
      </c>
      <c r="X14" s="133" t="str">
        <f t="shared" ca="1" si="52"/>
        <v/>
      </c>
      <c r="Y14" s="142" t="str">
        <f t="shared" ca="1" si="27"/>
        <v/>
      </c>
      <c r="Z14" s="137" t="str">
        <f t="shared" ca="1" si="28"/>
        <v/>
      </c>
      <c r="AA14" s="134" t="str">
        <f ca="1">IFERROR(AVERAGEIF($B$19:$B$66, $A14, AA$19:AA$66), "")</f>
        <v/>
      </c>
      <c r="AB14" s="133" t="str">
        <f ca="1">IFERROR(AVERAGEIF($B$19:$B$66, $A14, Z$19:Z$66), "")</f>
        <v/>
      </c>
      <c r="AC14" s="142" t="str">
        <f t="shared" ca="1" si="29"/>
        <v/>
      </c>
      <c r="AD14" s="137" t="str">
        <f t="shared" ca="1" si="30"/>
        <v/>
      </c>
      <c r="AE14" s="134" t="str">
        <f ca="1">IFERROR(AVERAGEIF($B$19:$B$66, $A14, AE$19:AE$66), "")</f>
        <v/>
      </c>
      <c r="AF14" s="133" t="str">
        <f ca="1">IFERROR(AVERAGEIF($B$19:$B$66, $A14, AD$19:AD$66), "")</f>
        <v/>
      </c>
      <c r="AG14" s="142" t="str">
        <f t="shared" ca="1" si="31"/>
        <v/>
      </c>
      <c r="AH14" s="137" t="str">
        <f t="shared" ca="1" si="32"/>
        <v/>
      </c>
      <c r="AI14" s="130" t="str">
        <f ca="1">IFERROR(AVERAGEIF($B$19:$B$66, $A14, AI$19:AI$66), "")</f>
        <v/>
      </c>
      <c r="AJ14" s="366" t="str">
        <f ca="1">IFERROR(INDEX(ICE[], MATCH("napew" &amp; "Cal" &amp; " " &amp; RIGHT(Lts!$A14, 2), ICE[LongCode], 0), MATCH("Text", ICE[#Headers], 0)), "")</f>
        <v xml:space="preserve"> /  </v>
      </c>
      <c r="AK14" s="133" t="str">
        <f ca="1">IFERROR(AVERAGEIF($B$19:$B$66, $A14, AK$19:AK$66), "")</f>
        <v/>
      </c>
      <c r="AL14" s="142" t="str">
        <f ca="1">IF(AND(ISNUMBER(AI13), ISNUMBER(AI14)), AI13 - AI14, "")</f>
        <v/>
      </c>
      <c r="AM14" s="137" t="str">
        <f t="shared" ca="1" si="59"/>
        <v/>
      </c>
      <c r="AN14" s="134" t="str">
        <f t="shared" ca="1" si="53"/>
        <v/>
      </c>
      <c r="AO14" s="133" t="str">
        <f t="shared" ca="1" si="53"/>
        <v/>
      </c>
      <c r="AP14" s="142" t="str">
        <f t="shared" ca="1" si="60"/>
        <v/>
      </c>
      <c r="AQ14" s="137" t="str">
        <f t="shared" ca="1" si="61"/>
        <v/>
      </c>
      <c r="AR14" s="134" t="str">
        <f t="shared" ca="1" si="54"/>
        <v/>
      </c>
      <c r="AS14" s="133" t="str">
        <f t="shared" ca="1" si="54"/>
        <v/>
      </c>
      <c r="AT14" s="142" t="str">
        <f t="shared" ca="1" si="62"/>
        <v/>
      </c>
      <c r="AU14" s="137" t="str">
        <f t="shared" ca="1" si="63"/>
        <v/>
      </c>
      <c r="AV14" s="130" t="str">
        <f ca="1">IFERROR(AVERAGEIF($B$19:$B$66, $A14, AV$19:AV$66), "")</f>
        <v/>
      </c>
      <c r="AW14" s="366" t="str">
        <f ca="1">IFERROR(INDEX(ICE[], MATCH("mg92ebob" &amp; "Cal" &amp; " " &amp; RIGHT(Lts!$A14, 2), ICE[LongCode], 0), MATCH("Text", ICE[#Headers], 0)), "")</f>
        <v/>
      </c>
      <c r="AX14" s="133" t="str">
        <f ca="1">IFERROR(AVERAGEIF($B$19:$B$66, $A14, AX$19:AX$66), "")</f>
        <v/>
      </c>
      <c r="AY14" s="142" t="str">
        <f ca="1">IF(AND(ISNUMBER(AV13), ISNUMBER(AV14)), AV13 - AV14, "")</f>
        <v/>
      </c>
      <c r="AZ14" s="137" t="str">
        <f t="shared" ca="1" si="64"/>
        <v/>
      </c>
      <c r="BA14" s="134" t="str">
        <f t="shared" ca="1" si="55"/>
        <v/>
      </c>
      <c r="BB14" s="133" t="str">
        <f t="shared" ca="1" si="55"/>
        <v/>
      </c>
      <c r="BC14" s="142" t="str">
        <f t="shared" ca="1" si="65"/>
        <v/>
      </c>
      <c r="BD14" s="137" t="str">
        <f t="shared" ca="1" si="66"/>
        <v/>
      </c>
      <c r="BE14" s="134" t="str">
        <f t="shared" ca="1" si="56"/>
        <v/>
      </c>
      <c r="BF14" s="133" t="str">
        <f t="shared" ca="1" si="56"/>
        <v/>
      </c>
      <c r="BG14" s="142" t="str">
        <f t="shared" ca="1" si="67"/>
        <v/>
      </c>
      <c r="BH14" s="137" t="str">
        <f t="shared" ca="1" si="68"/>
        <v/>
      </c>
      <c r="BI14" s="130" t="str">
        <f ca="1">IFERROR(AVERAGEIF($B$19:$B$66, $A14, BI$19:BI$66), "")</f>
        <v/>
      </c>
      <c r="BJ14" s="366" t="str">
        <f ca="1">IFERROR(INDEX(ICE[], MATCH("mg9592" &amp; "Cal" &amp; " " &amp; RIGHT(Lts!$A14, 2), ICE[LongCode], 0), MATCH("Text", ICE[#Headers], 0)), "")</f>
        <v xml:space="preserve"> /  </v>
      </c>
      <c r="BK14" s="133" t="str">
        <f ca="1">IFERROR(AVERAGEIF($B$19:$B$66, $A14, BK$19:BK$66), "")</f>
        <v/>
      </c>
      <c r="BL14" s="142" t="str">
        <f ca="1">IF(AND(ISNUMBER(BI13), ISNUMBER(BI14)), BI13 - BI14, "")</f>
        <v/>
      </c>
      <c r="BM14" s="137" t="str">
        <f t="shared" ca="1" si="69"/>
        <v/>
      </c>
      <c r="BN14" s="134" t="str">
        <f t="shared" ca="1" si="57"/>
        <v/>
      </c>
      <c r="BO14" s="133" t="str">
        <f t="shared" ca="1" si="57"/>
        <v/>
      </c>
      <c r="BP14" s="142" t="str">
        <f t="shared" ca="1" si="70"/>
        <v/>
      </c>
      <c r="BQ14" s="137" t="str">
        <f t="shared" ca="1" si="71"/>
        <v/>
      </c>
      <c r="BR14" s="134" t="str">
        <f t="shared" ca="1" si="58"/>
        <v/>
      </c>
      <c r="BS14" s="133" t="str">
        <f t="shared" ca="1" si="58"/>
        <v/>
      </c>
      <c r="BT14" s="142" t="str">
        <f t="shared" ca="1" si="72"/>
        <v/>
      </c>
      <c r="BU14" s="135" t="str">
        <f t="shared" ca="1" si="73"/>
        <v/>
      </c>
    </row>
    <row r="15" spans="1:73" s="68" customFormat="1" x14ac:dyDescent="0.25">
      <c r="A15" s="56"/>
      <c r="B15" s="6"/>
      <c r="C15" s="6"/>
      <c r="D15" s="28"/>
      <c r="E15" s="28"/>
      <c r="F15" s="28"/>
      <c r="G15" s="28"/>
      <c r="H15" s="28"/>
      <c r="I15" s="51"/>
      <c r="J15" s="51"/>
      <c r="K15" s="52"/>
      <c r="L15" s="51"/>
      <c r="M15" s="52"/>
      <c r="N15" s="51"/>
      <c r="O15" s="67"/>
      <c r="P15" s="66"/>
      <c r="Q15" s="52"/>
      <c r="R15" s="51"/>
      <c r="S15" s="51"/>
      <c r="T15" s="52"/>
      <c r="U15" s="51"/>
      <c r="V15" s="52"/>
      <c r="W15" s="51"/>
      <c r="X15" s="67"/>
      <c r="Y15" s="66"/>
      <c r="Z15" s="52"/>
      <c r="AA15" s="51"/>
      <c r="AB15" s="67"/>
      <c r="AC15" s="66"/>
      <c r="AD15" s="52"/>
      <c r="AE15" s="51"/>
      <c r="AF15" s="67"/>
      <c r="AG15" s="66"/>
      <c r="AH15" s="52"/>
      <c r="AI15" s="51"/>
      <c r="AJ15" s="51"/>
      <c r="AK15" s="52"/>
      <c r="AL15" s="51"/>
      <c r="AM15" s="52"/>
      <c r="AN15" s="51"/>
      <c r="AO15" s="67"/>
      <c r="AP15" s="66"/>
      <c r="AQ15" s="52"/>
      <c r="AR15" s="51"/>
      <c r="AS15" s="67"/>
      <c r="AT15" s="66"/>
      <c r="AU15" s="52"/>
      <c r="AV15" s="51"/>
      <c r="AW15" s="51"/>
      <c r="AX15" s="52"/>
      <c r="AY15" s="51"/>
      <c r="AZ15" s="52"/>
      <c r="BA15" s="51"/>
      <c r="BB15" s="67"/>
      <c r="BC15" s="66"/>
      <c r="BD15" s="52"/>
      <c r="BE15" s="51"/>
      <c r="BF15" s="67"/>
      <c r="BG15" s="66"/>
      <c r="BH15" s="52"/>
      <c r="BI15" s="51"/>
      <c r="BJ15" s="51"/>
      <c r="BK15" s="52"/>
      <c r="BL15" s="51"/>
      <c r="BM15" s="52"/>
      <c r="BN15" s="51"/>
      <c r="BO15" s="67"/>
      <c r="BP15" s="66"/>
      <c r="BQ15" s="52"/>
      <c r="BR15" s="51"/>
      <c r="BS15" s="67"/>
      <c r="BT15" s="66"/>
      <c r="BU15" s="52"/>
    </row>
    <row r="16" spans="1:73" s="68" customFormat="1" ht="15.75" thickBot="1" x14ac:dyDescent="0.3">
      <c r="A16" s="57"/>
      <c r="B16" s="6"/>
      <c r="C16" s="6"/>
      <c r="D16" s="28"/>
      <c r="E16" s="28"/>
      <c r="F16" s="28"/>
      <c r="G16" s="28"/>
      <c r="H16" s="28"/>
      <c r="I16" s="51"/>
      <c r="J16" s="51"/>
      <c r="K16" s="52"/>
      <c r="L16" s="51"/>
      <c r="M16" s="52"/>
      <c r="N16" s="51"/>
      <c r="O16" s="67"/>
      <c r="P16" s="66"/>
      <c r="Q16" s="77"/>
      <c r="R16" s="51"/>
      <c r="S16" s="51"/>
      <c r="T16" s="52"/>
      <c r="U16" s="51"/>
      <c r="V16" s="52"/>
      <c r="W16" s="51"/>
      <c r="X16" s="67"/>
      <c r="Y16" s="66"/>
      <c r="Z16" s="77"/>
      <c r="AA16" s="51"/>
      <c r="AB16" s="67"/>
      <c r="AC16" s="66"/>
      <c r="AD16" s="77"/>
      <c r="AE16" s="51"/>
      <c r="AF16" s="67"/>
      <c r="AG16" s="66"/>
      <c r="AH16" s="77"/>
      <c r="AI16" s="51"/>
      <c r="AJ16" s="51"/>
      <c r="AK16" s="52"/>
      <c r="AL16" s="51"/>
      <c r="AM16" s="52"/>
      <c r="AN16" s="51"/>
      <c r="AO16" s="67"/>
      <c r="AP16" s="66"/>
      <c r="AQ16" s="77"/>
      <c r="AR16" s="51"/>
      <c r="AS16" s="67"/>
      <c r="AT16" s="66"/>
      <c r="AU16" s="77"/>
      <c r="AV16" s="51"/>
      <c r="AW16" s="51"/>
      <c r="AX16" s="52"/>
      <c r="AY16" s="51"/>
      <c r="AZ16" s="52"/>
      <c r="BA16" s="51"/>
      <c r="BB16" s="67"/>
      <c r="BC16" s="66"/>
      <c r="BD16" s="77"/>
      <c r="BE16" s="51"/>
      <c r="BF16" s="67"/>
      <c r="BG16" s="66"/>
      <c r="BH16" s="77"/>
      <c r="BI16" s="51"/>
      <c r="BJ16" s="51"/>
      <c r="BK16" s="52"/>
      <c r="BL16" s="51"/>
      <c r="BM16" s="52"/>
      <c r="BN16" s="51"/>
      <c r="BO16" s="67"/>
      <c r="BP16" s="66"/>
      <c r="BQ16" s="77"/>
      <c r="BR16" s="51"/>
      <c r="BS16" s="67"/>
      <c r="BT16" s="66"/>
      <c r="BU16" s="77"/>
    </row>
    <row r="17" spans="1:73" ht="15.75" thickBot="1" x14ac:dyDescent="0.3">
      <c r="D17" s="44" t="s">
        <v>279</v>
      </c>
      <c r="E17" s="44"/>
      <c r="F17" s="44"/>
      <c r="G17" s="44"/>
      <c r="H17" s="44"/>
      <c r="I17" s="310" t="s">
        <v>381</v>
      </c>
      <c r="J17" s="311"/>
      <c r="K17" s="313"/>
      <c r="L17" s="312"/>
      <c r="M17" s="313"/>
      <c r="N17" s="311"/>
      <c r="O17" s="313"/>
      <c r="P17" s="312"/>
      <c r="Q17" s="314"/>
      <c r="R17" s="310" t="s">
        <v>382</v>
      </c>
      <c r="S17" s="311"/>
      <c r="T17" s="313"/>
      <c r="U17" s="312"/>
      <c r="V17" s="313"/>
      <c r="W17" s="311"/>
      <c r="X17" s="313"/>
      <c r="Y17" s="312"/>
      <c r="Z17" s="313"/>
      <c r="AA17" s="311"/>
      <c r="AB17" s="313"/>
      <c r="AC17" s="312"/>
      <c r="AD17" s="313"/>
      <c r="AE17" s="311"/>
      <c r="AF17" s="313"/>
      <c r="AG17" s="312"/>
      <c r="AH17" s="314"/>
      <c r="AI17" s="310" t="s">
        <v>383</v>
      </c>
      <c r="AJ17" s="311"/>
      <c r="AK17" s="313"/>
      <c r="AL17" s="312"/>
      <c r="AM17" s="313"/>
      <c r="AN17" s="311"/>
      <c r="AO17" s="313"/>
      <c r="AP17" s="312"/>
      <c r="AQ17" s="313"/>
      <c r="AR17" s="311"/>
      <c r="AS17" s="313"/>
      <c r="AT17" s="312"/>
      <c r="AU17" s="314"/>
      <c r="AV17" s="310" t="s">
        <v>384</v>
      </c>
      <c r="AW17" s="311"/>
      <c r="AX17" s="313"/>
      <c r="AY17" s="312"/>
      <c r="AZ17" s="313"/>
      <c r="BA17" s="311"/>
      <c r="BB17" s="313"/>
      <c r="BC17" s="312"/>
      <c r="BD17" s="313"/>
      <c r="BE17" s="311"/>
      <c r="BF17" s="313"/>
      <c r="BG17" s="312"/>
      <c r="BH17" s="314"/>
      <c r="BI17" s="310" t="s">
        <v>385</v>
      </c>
      <c r="BJ17" s="311"/>
      <c r="BK17" s="313"/>
      <c r="BL17" s="312"/>
      <c r="BM17" s="313"/>
      <c r="BN17" s="311"/>
      <c r="BO17" s="313"/>
      <c r="BP17" s="312"/>
      <c r="BQ17" s="313"/>
      <c r="BR17" s="311"/>
      <c r="BS17" s="313"/>
      <c r="BT17" s="312"/>
      <c r="BU17" s="314"/>
    </row>
    <row r="18" spans="1:73" x14ac:dyDescent="0.25">
      <c r="A18" s="55"/>
      <c r="B18" s="8" t="s">
        <v>285</v>
      </c>
      <c r="C18" s="8" t="s">
        <v>286</v>
      </c>
      <c r="D18" s="45" t="s">
        <v>392</v>
      </c>
      <c r="E18" s="45" t="s">
        <v>393</v>
      </c>
      <c r="F18" s="45" t="s">
        <v>394</v>
      </c>
      <c r="G18" s="45" t="s">
        <v>395</v>
      </c>
      <c r="H18" s="9" t="s">
        <v>396</v>
      </c>
      <c r="I18" s="302" t="s">
        <v>368</v>
      </c>
      <c r="J18" s="303"/>
      <c r="K18" s="303"/>
      <c r="L18" s="303"/>
      <c r="M18" s="303"/>
      <c r="N18" s="322" t="s">
        <v>367</v>
      </c>
      <c r="O18" s="303"/>
      <c r="P18" s="303"/>
      <c r="Q18" s="305"/>
      <c r="R18" s="302" t="s">
        <v>368</v>
      </c>
      <c r="S18" s="303"/>
      <c r="T18" s="303"/>
      <c r="U18" s="303"/>
      <c r="V18" s="303"/>
      <c r="W18" s="322" t="s">
        <v>367</v>
      </c>
      <c r="X18" s="303"/>
      <c r="Y18" s="303"/>
      <c r="Z18" s="303"/>
      <c r="AA18" s="322" t="s">
        <v>386</v>
      </c>
      <c r="AB18" s="303"/>
      <c r="AC18" s="303"/>
      <c r="AD18" s="303"/>
      <c r="AE18" s="322" t="s">
        <v>387</v>
      </c>
      <c r="AF18" s="303"/>
      <c r="AG18" s="303"/>
      <c r="AH18" s="305"/>
      <c r="AI18" s="302" t="s">
        <v>388</v>
      </c>
      <c r="AJ18" s="303"/>
      <c r="AK18" s="303"/>
      <c r="AL18" s="303"/>
      <c r="AM18" s="303"/>
      <c r="AN18" s="322" t="s">
        <v>367</v>
      </c>
      <c r="AO18" s="303"/>
      <c r="AP18" s="303"/>
      <c r="AQ18" s="303"/>
      <c r="AR18" s="322" t="s">
        <v>389</v>
      </c>
      <c r="AS18" s="343"/>
      <c r="AT18" s="303"/>
      <c r="AU18" s="305"/>
      <c r="AV18" s="302" t="s">
        <v>390</v>
      </c>
      <c r="AW18" s="303"/>
      <c r="AX18" s="303"/>
      <c r="AY18" s="303"/>
      <c r="AZ18" s="303"/>
      <c r="BA18" s="322" t="s">
        <v>367</v>
      </c>
      <c r="BB18" s="369"/>
      <c r="BC18" s="369"/>
      <c r="BD18" s="369"/>
      <c r="BE18" s="322" t="s">
        <v>389</v>
      </c>
      <c r="BF18" s="343"/>
      <c r="BG18" s="369"/>
      <c r="BH18" s="305"/>
      <c r="BI18" s="302" t="s">
        <v>391</v>
      </c>
      <c r="BJ18" s="303"/>
      <c r="BK18" s="303"/>
      <c r="BL18" s="303"/>
      <c r="BM18" s="303"/>
      <c r="BN18" s="322" t="s">
        <v>367</v>
      </c>
      <c r="BO18" s="303"/>
      <c r="BP18" s="303"/>
      <c r="BQ18" s="303"/>
      <c r="BR18" s="322" t="s">
        <v>389</v>
      </c>
      <c r="BS18" s="303"/>
      <c r="BT18" s="303"/>
      <c r="BU18" s="305"/>
    </row>
    <row r="19" spans="1:73" x14ac:dyDescent="0.25">
      <c r="A19" s="58">
        <f ca="1">EOMONTH(TimeLDN, -1) + 1</f>
        <v>46266</v>
      </c>
      <c r="B19" s="6">
        <f t="shared" ref="B19:B66" ca="1" si="74">YEAR($A19)</f>
        <v>2026</v>
      </c>
      <c r="C19" s="6" t="str">
        <f ca="1">"Q" &amp; INT((MONTH($A19) + 2) / 3)  &amp; TEXT($A19, "yy")</f>
        <v>Q326</v>
      </c>
      <c r="D19" s="28">
        <f>INDEX(ICE[], MATCH(D$18 &amp; "Bal Month", ICE[LongCode], 0), MATCH("Settle", ICE[#Headers], 0))</f>
        <v>-4.2640000000000002</v>
      </c>
      <c r="E19" s="28">
        <f>INDEX(ICE[], MATCH(E$18 &amp; "Bal Month", ICE[LongCode], 0), MATCH("Settle", ICE[#Headers], 0))</f>
        <v>44.64</v>
      </c>
      <c r="F19" s="28">
        <f>INDEX(ICE[], MATCH(F$18 &amp; "Bal Month", ICE[LongCode], 0), MATCH("Settle", ICE[#Headers], 0))</f>
        <v>54.727000000000004</v>
      </c>
      <c r="G19" s="28" t="e">
        <f>INDEX(ICE[], MATCH(G$18 &amp; "Bal Month", ICE[LongCode], 0), MATCH("Settle", ICE[#Headers], 0))</f>
        <v>#N/A</v>
      </c>
      <c r="H19" s="28" t="e">
        <f>INDEX(ICE[], MATCH(H$18 &amp; "Bal Month", ICE[LongCode], 0), MATCH("Settle", ICE[#Headers], 0))</f>
        <v>#N/A</v>
      </c>
      <c r="I19" s="396" t="str">
        <f>IFERROR(INDEX(ICE[], MATCH("napbrxbbl" &amp; "Bal Month", ICE[LongCode], 0), MATCH("ICE Theoretical Price", ICE[#Headers], 0)), "")</f>
        <v/>
      </c>
      <c r="J19" s="363" t="str">
        <f>IFERROR(INDEX(ICE[], MATCH("napbrx" &amp; "Bal Month", ICE[LongCode], 0), MATCH("Text", ICE[#Headers], 0)), "")</f>
        <v xml:space="preserve"> /  </v>
      </c>
      <c r="K19" s="115" t="str">
        <f>IFERROR(IF(AND(ISNUMBER($I19), ISNUMBER($D19)), $I19 - $D19, ""), "")</f>
        <v/>
      </c>
      <c r="L19" s="185"/>
      <c r="M19" s="115"/>
      <c r="N19" s="186" t="str">
        <f ca="1">IFERROR(IF(AND(ISNUMBER(Futs!$CC19), ISNUMBER($I19)), (Futs!$CC19 + $I19)*8.9, ""), "")</f>
        <v/>
      </c>
      <c r="O19" s="115" t="str">
        <f ca="1">IFERROR(IF(AND(ISNUMBER(Futs!$CD19), ISNUMBER($K19)), (Futs!$CD19 + $K19)*8.9, ""), "")</f>
        <v/>
      </c>
      <c r="P19" s="185"/>
      <c r="Q19" s="173"/>
      <c r="R19" s="370" t="str">
        <f ca="1">IFERROR(INDEX(ICE[], MATCH("ebobbrxbbl" &amp; TEXT(Crd!$A19, "mmmyy"), ICE[LongCode], 0), MATCH("ICE Theoretical Price", ICE[#Headers], 0)), "")</f>
        <v/>
      </c>
      <c r="S19" s="363" t="str">
        <f>IFERROR(INDEX(ICE[], MATCH("ebobbrx" &amp; "Bal Month", ICE[LongCode], 0), MATCH("Text", ICE[#Headers], 0)), "")</f>
        <v xml:space="preserve"> /  </v>
      </c>
      <c r="T19" s="115" t="str">
        <f ca="1">IFERROR(IF(AND(ISNUMBER($R19), ISNUMBER($E19)), $R19 - $E19, ""), "")</f>
        <v/>
      </c>
      <c r="U19" s="185"/>
      <c r="V19" s="115"/>
      <c r="W19" s="186" t="str">
        <f ca="1">IFERROR(IF(AND(ISNUMBER(Futs!$CC19), ISNUMBER($R19)), (Futs!$CC19 + $R19)*8.33, ""), "")</f>
        <v/>
      </c>
      <c r="X19" s="115" t="str">
        <f ca="1">IFERROR(IF(AND(ISNUMBER(Futs!$CD19), ISNUMBER($T19)), (Futs!$CD19 + $T19)*8.33, ""), "")</f>
        <v/>
      </c>
      <c r="Y19" s="185"/>
      <c r="Z19" s="115"/>
      <c r="AA19" s="186" t="str">
        <f ca="1">IFERROR(IF(AND(ISNUMBER($W19), ISNUMBER($N19)), $W19 - $N19, ""), "")</f>
        <v/>
      </c>
      <c r="AB19" s="115" t="str">
        <f ca="1">IFERROR(IF(AND(ISNUMBER($X19), ISNUMBER($O19)), $X19 - $O19, ""), "")</f>
        <v/>
      </c>
      <c r="AC19" s="185"/>
      <c r="AD19" s="115"/>
      <c r="AE19" s="186" t="str">
        <f ca="1">IFERROR(IF(AND(ISNUMBER(Futs!$CO19), ISNUMBER($W19)), Futs!$CO19 - $W19/8.33/42*100, ""), "")</f>
        <v/>
      </c>
      <c r="AF19" s="115" t="str">
        <f ca="1">IFERROR(IF(AND(ISNUMBER(Futs!$CP19), ISNUMBER($X19)), Futs!$CP19 - $X19/8.33/42*100, ""), "")</f>
        <v/>
      </c>
      <c r="AG19" s="185"/>
      <c r="AH19" s="173"/>
      <c r="AI19" s="396" t="str">
        <f>IFERROR(INDEX(ICE[], MATCH("napew" &amp; "Bal Month", ICE[LongCode], 0), MATCH("ICE Theoretical Price", ICE[#Headers], 0)), "")</f>
        <v/>
      </c>
      <c r="AJ19" s="363" t="str">
        <f>IFERROR(INDEX(ICE[], MATCH("napew" &amp; "Bal Month", ICE[LongCode], 0), MATCH("Text", ICE[#Headers], 0)), "")</f>
        <v xml:space="preserve"> /  {52.00} |20x</v>
      </c>
      <c r="AK19" s="115" t="str">
        <f>IFERROR(IF(AND(ISNUMBER($AI19), ISNUMBER($F19)), $AI19 - $F19, ""), "")</f>
        <v/>
      </c>
      <c r="AL19" s="185"/>
      <c r="AM19" s="115"/>
      <c r="AN19" s="186" t="str">
        <f ca="1">IFERROR(IF(AND(ISNUMBER($N19), ISNUMBER($AI19)), $N19 + $AI19, ""), "")</f>
        <v/>
      </c>
      <c r="AO19" s="115" t="str">
        <f ca="1">IFERROR(IF(AND(ISNUMBER($O19), ISNUMBER($AK19)), $O19 + $AK19, ""), "")</f>
        <v/>
      </c>
      <c r="AP19" s="185"/>
      <c r="AQ19" s="115"/>
      <c r="AR19" s="186" t="str">
        <f ca="1">IFERROR(IF(AND(ISNUMBER($AN19), ISNUMBER(Futs!$CC19)), $AN19/8.9 - Futs!$CC19, ""), "")</f>
        <v/>
      </c>
      <c r="AS19" s="115" t="str">
        <f ca="1">IFERROR(IF(AND(ISNUMBER($AO19), ISNUMBER(Futs!$CD19)), $AO19/8.9 - Futs!$CD19, ""), "")</f>
        <v/>
      </c>
      <c r="AT19" s="185"/>
      <c r="AU19" s="173"/>
      <c r="AV19" s="396"/>
      <c r="AW19" s="363" t="str">
        <f>IFERROR(INDEX(ICE[], MATCH("mg92ebob" &amp; "Bal Month", ICE[LongCode], 0), MATCH("Text", ICE[#Headers], 0)), "")</f>
        <v/>
      </c>
      <c r="AX19" s="115" t="str">
        <f>IFERROR(IF(AND(ISNUMBER($AV19), ISNUMBER($G19)), $AV19 - $G19, ""), "")</f>
        <v/>
      </c>
      <c r="AY19" s="185"/>
      <c r="AZ19" s="115"/>
      <c r="BA19" s="186" t="str">
        <f ca="1">IFERROR(IF(AND(ISNUMBER($W19), ISNUMBER($AV19)), $W19/8.33 + $AV19, ""), "")</f>
        <v/>
      </c>
      <c r="BB19" s="115" t="str">
        <f ca="1">IFERROR(IF(AND(ISNUMBER($X19), ISNUMBER($AX19)), $X19/8.33 + $AX19, ""), "")</f>
        <v/>
      </c>
      <c r="BC19" s="185"/>
      <c r="BD19" s="115"/>
      <c r="BE19" s="186" t="str">
        <f ca="1">IFERROR(IF(AND(ISNUMBER($BA19), ISNUMBER(Futs!$CC19)), $BA19 - Futs!$CC19, ""), "")</f>
        <v/>
      </c>
      <c r="BF19" s="115" t="str">
        <f ca="1">IFERROR(IF(AND(ISNUMBER($BB19), ISNUMBER(Futs!$CD19)), $BB19 - Futs!$CD19, ""), "")</f>
        <v/>
      </c>
      <c r="BG19" s="47"/>
      <c r="BH19" s="173"/>
      <c r="BI19" s="396"/>
      <c r="BJ19" s="363" t="str">
        <f>IFERROR(INDEX(ICE[], MATCH("mg9592" &amp; "Bal Month", ICE[LongCode], 0), MATCH("Text", ICE[#Headers], 0)), "")</f>
        <v/>
      </c>
      <c r="BK19" s="115" t="str">
        <f>IFERROR(IF(AND(ISNUMBER($BI19), ISNUMBER($H19)), $BI19 - $H19, ""), "")</f>
        <v/>
      </c>
      <c r="BL19" s="185"/>
      <c r="BM19" s="115"/>
      <c r="BN19" s="186" t="str">
        <f ca="1">IFERROR(IF(AND(ISNUMBER($BI19), ISNUMBER($BA19)), $BA19 + $BI19, ""), "")</f>
        <v/>
      </c>
      <c r="BO19" s="115" t="str">
        <f ca="1">IFERROR(IF(AND(ISNUMBER($BK19), ISNUMBER($BB19)), $BB19 + $BK19, ""), "")</f>
        <v/>
      </c>
      <c r="BP19" s="185"/>
      <c r="BQ19" s="115"/>
      <c r="BR19" s="186" t="str">
        <f ca="1">IFERROR(IF(AND(ISNUMBER($BN19), ISNUMBER(Futs!$CC19)), $BN19 - Futs!$CC19, ""), "")</f>
        <v/>
      </c>
      <c r="BS19" s="115" t="str">
        <f ca="1">IFERROR(IF(AND(ISNUMBER($BO19), ISNUMBER(Futs!$CD19)), $BO19 - Futs!$CD19, ""), "")</f>
        <v/>
      </c>
      <c r="BT19" s="185"/>
      <c r="BU19" s="173"/>
    </row>
    <row r="20" spans="1:73" x14ac:dyDescent="0.25">
      <c r="A20" s="58">
        <f ca="1">EOMONTH($A19, 0) + 1</f>
        <v>46296</v>
      </c>
      <c r="B20" s="6">
        <f t="shared" ca="1" si="74"/>
        <v>2026</v>
      </c>
      <c r="C20" s="6" t="str">
        <f t="shared" ref="C20:C66" ca="1" si="75">"Q" &amp; INT((MONTH($A20) + 2) / 3)  &amp; TEXT($A20, "yy")</f>
        <v>Q426</v>
      </c>
      <c r="D20" s="28">
        <f ca="1">INDEX(ICE[], MATCH(D$18 &amp; TEXT(Lts!$A20, "mmmyy"), ICE[LongCode], 0), MATCH("Settle", ICE[#Headers], 0))</f>
        <v>-3.7</v>
      </c>
      <c r="E20" s="28">
        <f ca="1">INDEX(ICE[], MATCH(E$18 &amp; TEXT(Lts!$A20, "mmmyy"), ICE[LongCode], 0), MATCH("Settle", ICE[#Headers], 0))</f>
        <v>29.3</v>
      </c>
      <c r="F20" s="28">
        <f ca="1">INDEX(ICE[], MATCH(F$18 &amp; TEXT(Lts!$A20, "mmmyy"), ICE[LongCode], 0), MATCH("Settle", ICE[#Headers], 0))</f>
        <v>52</v>
      </c>
      <c r="G20" s="28">
        <f ca="1">INDEX(ICE[], MATCH(G$18 &amp; TEXT(Lts!$A20, "mmmyy"), ICE[LongCode], 0), MATCH("Settle", ICE[#Headers], 0))</f>
        <v>-10.4</v>
      </c>
      <c r="H20" s="28">
        <f ca="1">INDEX(ICE[], MATCH(H$18 &amp; TEXT(Lts!$A20, "mmmyy"), ICE[LongCode], 0), MATCH("Settle", ICE[#Headers], 0))</f>
        <v>3.5500000000000003</v>
      </c>
      <c r="I20" s="397" t="str">
        <f ca="1">IFERROR(INDEX(ICE[], MATCH("napbrxbbl" &amp; TEXT(Crd!$A20, "mmmyy"), ICE[LongCode], 0), MATCH("ICE Theoretical Price", ICE[#Headers], 0)), "")</f>
        <v/>
      </c>
      <c r="J20" s="364" t="str">
        <f ca="1">IFERROR(INDEX(ICE[], MATCH("napbrx" &amp; TEXT(Lts!$A20, "mmmyy"), ICE[LongCode], 0), MATCH("Text", ICE[#Headers], 0)), "")</f>
        <v xml:space="preserve"> / -0.30 {-3.90} |763x</v>
      </c>
      <c r="K20" s="46" t="str">
        <f t="shared" ref="K20:K66" ca="1" si="76">IFERROR(IF(AND(ISNUMBER($I20), ISNUMBER($D20)), $I20 - $D20, ""), "")</f>
        <v/>
      </c>
      <c r="L20" s="47" t="str">
        <f t="shared" ref="L20:L27" ca="1" si="77">IF(AND(ISNUMBER($I19), ISNUMBER($I20)), $I19 - $I20, "")</f>
        <v/>
      </c>
      <c r="M20" s="46" t="str">
        <f ca="1">IF(AND(ISNUMBER($K19), ISNUMBER($K20)), $K19 - $K20, "")</f>
        <v/>
      </c>
      <c r="N20" s="141" t="str">
        <f ca="1">IFERROR(IF(AND(ISNUMBER(Futs!$CC20), ISNUMBER($I20)), (Futs!$CC20 + $I20)*8.9, ""), "")</f>
        <v/>
      </c>
      <c r="O20" s="46" t="str">
        <f ca="1">IFERROR(IF(AND(ISNUMBER(Futs!$CD20), ISNUMBER($K20)), (Futs!$CD20 + $K20)*8.9, ""), "")</f>
        <v/>
      </c>
      <c r="P20" s="47" t="str">
        <f ca="1">IF(AND(ISNUMBER($N19), ISNUMBER($N20)), $N19 - $N20, "")</f>
        <v/>
      </c>
      <c r="Q20" s="111" t="str">
        <f ca="1">IF(AND(ISNUMBER($O19), ISNUMBER($O20)), $O19 - $O20, "")</f>
        <v/>
      </c>
      <c r="R20" s="397" t="str">
        <f ca="1">IFERROR(INDEX(ICE[], MATCH("ebobbrxbbl" &amp; TEXT(Crd!$A20, "mmmyy"), ICE[LongCode], 0), MATCH("ICE Theoretical Price", ICE[#Headers], 0)), "")</f>
        <v/>
      </c>
      <c r="S20" s="364" t="str">
        <f ca="1">IFERROR(INDEX(ICE[], MATCH("ebobbrx" &amp; TEXT(Lts!$A20, "mmmyy"), ICE[LongCode], 0), MATCH("Text", ICE[#Headers], 0)), "")</f>
        <v xml:space="preserve"> / 31.40 {30.80} |1,284x</v>
      </c>
      <c r="T20" s="46" t="str">
        <f t="shared" ref="T20:T66" ca="1" si="78">IFERROR(IF(AND(ISNUMBER($R20), ISNUMBER($E20)), $R20 - $E20, ""), "")</f>
        <v/>
      </c>
      <c r="U20" s="47" t="str">
        <f ca="1">IF(AND(ISNUMBER($R19), ISNUMBER($R20)), $R19 - $R20, "")</f>
        <v/>
      </c>
      <c r="V20" s="46" t="str">
        <f ca="1">IF(AND(ISNUMBER($T19), ISNUMBER($T20)), $T19 - $T20, "")</f>
        <v/>
      </c>
      <c r="W20" s="141" t="str">
        <f ca="1">IFERROR(IF(AND(ISNUMBER(Futs!$CC20), ISNUMBER($R20)), (Futs!$CC20 + $R20)*8.33, ""), "")</f>
        <v/>
      </c>
      <c r="X20" s="46" t="str">
        <f ca="1">IFERROR(IF(AND(ISNUMBER(Futs!$CD20), ISNUMBER($T20)), (Futs!$CD20 + $T20)*8.33, ""), "")</f>
        <v/>
      </c>
      <c r="Y20" s="47" t="str">
        <f ca="1">IF(AND(ISNUMBER($W19), ISNUMBER($W20)), $W19 - $W20, "")</f>
        <v/>
      </c>
      <c r="Z20" s="46" t="str">
        <f ca="1">IF(AND(ISNUMBER($X19), ISNUMBER($X20)), $X19 - $X20, "")</f>
        <v/>
      </c>
      <c r="AA20" s="141" t="str">
        <f t="shared" ref="AA20:AA66" ca="1" si="79">IFERROR(IF(AND(ISNUMBER($W20), ISNUMBER($N20)), $W20 - $N20, ""), "")</f>
        <v/>
      </c>
      <c r="AB20" s="46" t="str">
        <f t="shared" ref="AB20:AB66" ca="1" si="80">IFERROR(IF(AND(ISNUMBER($X20), ISNUMBER($O20)), $X20 - $O20, ""), "")</f>
        <v/>
      </c>
      <c r="AC20" s="47" t="str">
        <f ca="1">IF(AND(ISNUMBER($AA19), ISNUMBER($AA20)), $AA19 - $AA20, "")</f>
        <v/>
      </c>
      <c r="AD20" s="46" t="str">
        <f ca="1">IF(AND(ISNUMBER($AB19), ISNUMBER($AB20)), $AB19 - $AB20, "")</f>
        <v/>
      </c>
      <c r="AE20" s="141" t="str">
        <f ca="1">IFERROR(IF(AND(ISNUMBER(Futs!$CO20), ISNUMBER($W20)), Futs!$CO20 - $W20/8.33/42*100, ""), "")</f>
        <v/>
      </c>
      <c r="AF20" s="46" t="str">
        <f ca="1">IFERROR(IF(AND(ISNUMBER(Futs!$CP20), ISNUMBER($X20)), Futs!$CP20 - $X20/8.33/42*100, ""), "")</f>
        <v/>
      </c>
      <c r="AG20" s="47" t="str">
        <f ca="1">IF(AND(ISNUMBER($AE19), ISNUMBER($AE20)), $AE19 - $AE20, "")</f>
        <v/>
      </c>
      <c r="AH20" s="111" t="str">
        <f ca="1">IF(AND(ISNUMBER($AF19), ISNUMBER($AF20)), $AF19 - $AF20, "")</f>
        <v/>
      </c>
      <c r="AI20" s="397" t="str">
        <f ca="1">IFERROR(INDEX(ICE[], MATCH("napew" &amp; TEXT(Crd!$A20, "mmmyy"), ICE[LongCode], 0), MATCH("ICE Theoretical Price", ICE[#Headers], 0)), "")</f>
        <v/>
      </c>
      <c r="AJ20" s="364" t="str">
        <f ca="1">IFERROR(INDEX(ICE[], MATCH("napew" &amp; TEXT(Lts!$A20, "mmmyy"), ICE[LongCode], 0), MATCH("Text", ICE[#Headers], 0)), "")</f>
        <v>-8.50 / 111.50 {51.75} |60x</v>
      </c>
      <c r="AK20" s="46" t="str">
        <f t="shared" ref="AK20:AK66" ca="1" si="81">IFERROR(IF(AND(ISNUMBER($AI20), ISNUMBER($F20)), $AI20 - $F20, ""), "")</f>
        <v/>
      </c>
      <c r="AL20" s="47" t="str">
        <f ca="1">IF(AND(ISNUMBER($AI19), ISNUMBER($AI20)), $AI19 - $AI20, "")</f>
        <v/>
      </c>
      <c r="AM20" s="46" t="str">
        <f ca="1">IF(AND(ISNUMBER($AK19), ISNUMBER($AK20)), $AK19 - $AK20, "")</f>
        <v/>
      </c>
      <c r="AN20" s="141" t="str">
        <f t="shared" ref="AN20:AN66" ca="1" si="82">IFERROR(IF(AND(ISNUMBER($N20), ISNUMBER($AI20)), $N20 + $AI20, ""), "")</f>
        <v/>
      </c>
      <c r="AO20" s="46" t="str">
        <f t="shared" ref="AO20:AO66" ca="1" si="83">IFERROR(IF(AND(ISNUMBER($O20), ISNUMBER($AK20)), $O20 + $AK20, ""), "")</f>
        <v/>
      </c>
      <c r="AP20" s="47" t="str">
        <f t="shared" ref="AP20:AP66" ca="1" si="84">IF(AND(ISNUMBER($AN19), ISNUMBER($AN20)), $AN19 - $AN20, "")</f>
        <v/>
      </c>
      <c r="AQ20" s="46" t="str">
        <f ca="1">IF(AND(ISNUMBER($AO19), ISNUMBER($AO20)), $AO19 - $AO20, "")</f>
        <v/>
      </c>
      <c r="AR20" s="141" t="str">
        <f ca="1">IFERROR(IF(AND(ISNUMBER($AN20), ISNUMBER(Futs!$CC20)), $AN20/8.9 - Futs!$CC20, ""), "")</f>
        <v/>
      </c>
      <c r="AS20" s="46" t="str">
        <f ca="1">IFERROR(IF(AND(ISNUMBER($AO20), ISNUMBER(Futs!$CD20)), $AO20/8.9 - Futs!$CD20, ""), "")</f>
        <v/>
      </c>
      <c r="AT20" s="47" t="str">
        <f ca="1">IF(AND(ISNUMBER($AR19), ISNUMBER($AR20)), $AR19 - $AR20, "")</f>
        <v/>
      </c>
      <c r="AU20" s="111" t="str">
        <f ca="1">IF(AND(ISNUMBER($AS19), ISNUMBER($AS20)), $AS19 - $AS20, "")</f>
        <v/>
      </c>
      <c r="AV20" s="397" t="str">
        <f ca="1">IFERROR(INDEX(ICE[], MATCH("mg92ebob" &amp; TEXT(Crd!$A20, "mmmyy"), ICE[LongCode], 0), MATCH("ICE Theoretical Price", ICE[#Headers], 0)), "")</f>
        <v/>
      </c>
      <c r="AW20" s="364" t="str">
        <f ca="1">IFERROR(INDEX(ICE[], MATCH("mg92ebob" &amp; TEXT(Lts!$A20, "mmmyy"), ICE[LongCode], 0), MATCH("Text", ICE[#Headers], 0)), "")</f>
        <v>-8.35 / -7.45 {-8.50} |345x</v>
      </c>
      <c r="AX20" s="46" t="str">
        <f t="shared" ref="AX20:AX66" ca="1" si="85">IFERROR(IF(AND(ISNUMBER($AV20), ISNUMBER($G20)), $AV20 - $G20, ""), "")</f>
        <v/>
      </c>
      <c r="AY20" s="47" t="str">
        <f ca="1">IF(AND(ISNUMBER($AV19), ISNUMBER($AV20)), $AV19 - $AV20, "")</f>
        <v/>
      </c>
      <c r="AZ20" s="46" t="str">
        <f ca="1">IF(AND(ISNUMBER($AX19), ISNUMBER($AX20)), $AX19 - $AX20, "")</f>
        <v/>
      </c>
      <c r="BA20" s="141" t="str">
        <f t="shared" ref="BA20:BA66" ca="1" si="86">IFERROR(IF(AND(ISNUMBER($W20), ISNUMBER($AV20)), $W20/8.33 + $AV20, ""), "")</f>
        <v/>
      </c>
      <c r="BB20" s="46" t="str">
        <f t="shared" ref="BB20:BB66" ca="1" si="87">IFERROR(IF(AND(ISNUMBER($X20), ISNUMBER($AX20)), $X20/8.33 + $AX20, ""), "")</f>
        <v/>
      </c>
      <c r="BC20" s="47" t="str">
        <f ca="1">IF(AND(ISNUMBER($BA19), ISNUMBER($BA20)), $BA19 - $BA20, "")</f>
        <v/>
      </c>
      <c r="BD20" s="46" t="str">
        <f ca="1">IF(AND(ISNUMBER($BB19), ISNUMBER($BB20)), $BB19 - $BB20, "")</f>
        <v/>
      </c>
      <c r="BE20" s="141" t="str">
        <f ca="1">IFERROR(IF(AND(ISNUMBER($BA20), ISNUMBER(Futs!$CC20)), $BA20 - Futs!$CC20, ""), "")</f>
        <v/>
      </c>
      <c r="BF20" s="46" t="str">
        <f ca="1">IFERROR(IF(AND(ISNUMBER($BB20), ISNUMBER(Futs!$CD20)), $BB20 - Futs!$CD20, ""), "")</f>
        <v/>
      </c>
      <c r="BG20" s="47" t="str">
        <f ca="1">IF(AND(ISNUMBER($BE19), ISNUMBER($BE20)), $BE19 - $BE20, "")</f>
        <v/>
      </c>
      <c r="BH20" s="111" t="str">
        <f ca="1">IF(AND(ISNUMBER($BF19), ISNUMBER($BF20)), $BF19 - $BF20, "")</f>
        <v/>
      </c>
      <c r="BI20" s="397" t="str">
        <f ca="1">IFERROR(INDEX(ICE[], MATCH("mg9592" &amp; TEXT(Crd!$A20, "mmmyy"), ICE[LongCode], 0), MATCH("ICE Theoretical Price", ICE[#Headers], 0)), "")</f>
        <v/>
      </c>
      <c r="BJ20" s="364" t="str">
        <f ca="1">IFERROR(INDEX(ICE[], MATCH("mg9592" &amp; TEXT(Lts!$A20, "mmmyy"), ICE[LongCode], 0), MATCH("Text", ICE[#Headers], 0)), "")</f>
        <v>3.40 /  {3.75} |124x</v>
      </c>
      <c r="BK20" s="46" t="str">
        <f t="shared" ref="BK20:BK66" ca="1" si="88">IFERROR(IF(AND(ISNUMBER($BI20), ISNUMBER($H20)), $BI20 - $H20, ""), "")</f>
        <v/>
      </c>
      <c r="BL20" s="47" t="str">
        <f ca="1">IF(AND(ISNUMBER($BI19), ISNUMBER($BI20)), $BI19 - $BI20, "")</f>
        <v/>
      </c>
      <c r="BM20" s="46" t="str">
        <f ca="1">IF(AND(ISNUMBER($BL19), ISNUMBER($BL20)), $BL19 - $BL20, "")</f>
        <v/>
      </c>
      <c r="BN20" s="141" t="str">
        <f t="shared" ref="BN20:BN66" ca="1" si="89">IFERROR(IF(AND(ISNUMBER($BI20), ISNUMBER($BA20)), $BA20 + $BI20, ""), "")</f>
        <v/>
      </c>
      <c r="BO20" s="46" t="str">
        <f t="shared" ref="BO20:BO66" ca="1" si="90">IFERROR(IF(AND(ISNUMBER($BK20), ISNUMBER($BB20)), $BB20 + $BK20, ""), "")</f>
        <v/>
      </c>
      <c r="BP20" s="47" t="str">
        <f ca="1">IF(AND(ISNUMBER($BN19), ISNUMBER($BN20)), $BN19 - $BN20, "")</f>
        <v/>
      </c>
      <c r="BQ20" s="46" t="str">
        <f ca="1">IF(AND(ISNUMBER($BO19), ISNUMBER($BO20)), $BO19 - $BO20, "")</f>
        <v/>
      </c>
      <c r="BR20" s="141" t="str">
        <f ca="1">IFERROR(IF(AND(ISNUMBER($BN20), ISNUMBER(Futs!$CC20)), $BN20 - Futs!$CC20, ""), "")</f>
        <v/>
      </c>
      <c r="BS20" s="46" t="str">
        <f ca="1">IFERROR(IF(AND(ISNUMBER($BO20), ISNUMBER(Futs!$CD20)), $BO20 - Futs!$CD20, ""), "")</f>
        <v/>
      </c>
      <c r="BT20" s="47" t="str">
        <f ca="1">IF(AND(ISNUMBER($BR19), ISNUMBER($BR20)), $BR19 - $BR20, "")</f>
        <v/>
      </c>
      <c r="BU20" s="111" t="str">
        <f ca="1">IF(AND(ISNUMBER($BS19), ISNUMBER($BS20)), $BS19 - $BS20, "")</f>
        <v/>
      </c>
    </row>
    <row r="21" spans="1:73" x14ac:dyDescent="0.25">
      <c r="A21" s="58">
        <f t="shared" ref="A21:A66" ca="1" si="91">EOMONTH($A20, 0) + 1</f>
        <v>46327</v>
      </c>
      <c r="B21" s="6">
        <f t="shared" ca="1" si="74"/>
        <v>2026</v>
      </c>
      <c r="C21" s="6" t="str">
        <f t="shared" ca="1" si="75"/>
        <v>Q426</v>
      </c>
      <c r="D21" s="28">
        <f ca="1">INDEX(ICE[], MATCH(D$18 &amp; TEXT(Lts!$A21, "mmmyy"), ICE[LongCode], 0), MATCH("Settle", ICE[#Headers], 0))</f>
        <v>-4.0470000000000006</v>
      </c>
      <c r="E21" s="28">
        <f ca="1">INDEX(ICE[], MATCH(E$18 &amp; TEXT(Lts!$A21, "mmmyy"), ICE[LongCode], 0), MATCH("Settle", ICE[#Headers], 0))</f>
        <v>22.699000000000002</v>
      </c>
      <c r="F21" s="28">
        <f ca="1">INDEX(ICE[], MATCH(F$18 &amp; TEXT(Lts!$A21, "mmmyy"), ICE[LongCode], 0), MATCH("Settle", ICE[#Headers], 0))</f>
        <v>51</v>
      </c>
      <c r="G21" s="28">
        <f ca="1">INDEX(ICE[], MATCH(G$18 &amp; TEXT(Lts!$A21, "mmmyy"), ICE[LongCode], 0), MATCH("Settle", ICE[#Headers], 0))</f>
        <v>-6.3660000000000005</v>
      </c>
      <c r="H21" s="28">
        <f ca="1">INDEX(ICE[], MATCH(H$18 &amp; TEXT(Lts!$A21, "mmmyy"), ICE[LongCode], 0), MATCH("Settle", ICE[#Headers], 0))</f>
        <v>3.75</v>
      </c>
      <c r="I21" s="397" t="str">
        <f ca="1">IFERROR(INDEX(ICE[], MATCH("napbrxbbl" &amp; TEXT(Crd!$A21, "mmmyy"), ICE[LongCode], 0), MATCH("ICE Theoretical Price", ICE[#Headers], 0)), "")</f>
        <v/>
      </c>
      <c r="J21" s="364" t="str">
        <f ca="1">IFERROR(INDEX(ICE[], MATCH("napbrx" &amp; TEXT(Lts!$A21, "mmmyy"), ICE[LongCode], 0), MATCH("Text", ICE[#Headers], 0)), "")</f>
        <v xml:space="preserve"> / -0.56  |110x</v>
      </c>
      <c r="K21" s="46" t="str">
        <f t="shared" ca="1" si="76"/>
        <v/>
      </c>
      <c r="L21" s="47" t="str">
        <f t="shared" ca="1" si="77"/>
        <v/>
      </c>
      <c r="M21" s="46" t="str">
        <f t="shared" ref="M21:M66" ca="1" si="92">IF(AND(ISNUMBER($K20), ISNUMBER($K21)), $K20 - $K21, "")</f>
        <v/>
      </c>
      <c r="N21" s="141" t="str">
        <f ca="1">IFERROR(IF(AND(ISNUMBER(Futs!$CC21), ISNUMBER($I21)), (Futs!$CC21 + $I21)*8.9, ""), "")</f>
        <v/>
      </c>
      <c r="O21" s="46" t="str">
        <f ca="1">IFERROR(IF(AND(ISNUMBER(Futs!$CD21), ISNUMBER($K21)), (Futs!$CD21 + $K21)*8.9, ""), "")</f>
        <v/>
      </c>
      <c r="P21" s="47" t="str">
        <f t="shared" ref="P21:P66" ca="1" si="93">IF(AND(ISNUMBER($N20), ISNUMBER($N21)), $N20 - $N21, "")</f>
        <v/>
      </c>
      <c r="Q21" s="111" t="str">
        <f t="shared" ref="Q21:Q66" ca="1" si="94">IF(AND(ISNUMBER($O20), ISNUMBER($O21)), $O20 - $O21, "")</f>
        <v/>
      </c>
      <c r="R21" s="397" t="str">
        <f ca="1">IFERROR(INDEX(ICE[], MATCH("ebobbrxbbl" &amp; TEXT(Crd!$A21, "mmmyy"), ICE[LongCode], 0), MATCH("ICE Theoretical Price", ICE[#Headers], 0)), "")</f>
        <v/>
      </c>
      <c r="S21" s="364" t="str">
        <f ca="1">IFERROR(INDEX(ICE[], MATCH("ebobbrx" &amp; TEXT(Lts!$A21, "mmmyy"), ICE[LongCode], 0), MATCH("Text", ICE[#Headers], 0)), "")</f>
        <v xml:space="preserve"> / 24.60 {24.05} |380x</v>
      </c>
      <c r="T21" s="46" t="str">
        <f t="shared" ca="1" si="78"/>
        <v/>
      </c>
      <c r="U21" s="47" t="str">
        <f t="shared" ref="U21:U66" ca="1" si="95">IF(AND(ISNUMBER($R20), ISNUMBER($R21)), $R20 - $R21, "")</f>
        <v/>
      </c>
      <c r="V21" s="46" t="str">
        <f t="shared" ref="V21:V66" ca="1" si="96">IF(AND(ISNUMBER($T20), ISNUMBER($T21)), $T20 - $T21, "")</f>
        <v/>
      </c>
      <c r="W21" s="141" t="str">
        <f ca="1">IFERROR(IF(AND(ISNUMBER(Futs!$CC21), ISNUMBER($R21)), (Futs!$CC21 + $R21)*8.33, ""), "")</f>
        <v/>
      </c>
      <c r="X21" s="46" t="str">
        <f ca="1">IFERROR(IF(AND(ISNUMBER(Futs!$CD21), ISNUMBER($T21)), (Futs!$CD21 + $T21)*8.33, ""), "")</f>
        <v/>
      </c>
      <c r="Y21" s="47" t="str">
        <f t="shared" ref="Y21:Y66" ca="1" si="97">IF(AND(ISNUMBER($W20), ISNUMBER($W21)), $W20 - $W21, "")</f>
        <v/>
      </c>
      <c r="Z21" s="46" t="str">
        <f t="shared" ref="Z21:Z66" ca="1" si="98">IF(AND(ISNUMBER($X20), ISNUMBER($X21)), $X20 - $X21, "")</f>
        <v/>
      </c>
      <c r="AA21" s="141" t="str">
        <f t="shared" ca="1" si="79"/>
        <v/>
      </c>
      <c r="AB21" s="46" t="str">
        <f t="shared" ca="1" si="80"/>
        <v/>
      </c>
      <c r="AC21" s="47" t="str">
        <f t="shared" ref="AC21:AC66" ca="1" si="99">IF(AND(ISNUMBER($AA20), ISNUMBER($AA21)), $AA20 - $AA21, "")</f>
        <v/>
      </c>
      <c r="AD21" s="46" t="str">
        <f t="shared" ref="AD21:AD66" ca="1" si="100">IF(AND(ISNUMBER($AB20), ISNUMBER($AB21)), $AB20 - $AB21, "")</f>
        <v/>
      </c>
      <c r="AE21" s="141" t="str">
        <f ca="1">IFERROR(IF(AND(ISNUMBER(Futs!$CO21), ISNUMBER($W21)), Futs!$CO21 - $W21/8.33/42*100, ""), "")</f>
        <v/>
      </c>
      <c r="AF21" s="46" t="str">
        <f ca="1">IFERROR(IF(AND(ISNUMBER(Futs!$CP21), ISNUMBER($X21)), Futs!$CP21 - $X21/8.33/42*100, ""), "")</f>
        <v/>
      </c>
      <c r="AG21" s="47" t="str">
        <f t="shared" ref="AG21:AG66" ca="1" si="101">IF(AND(ISNUMBER($AE20), ISNUMBER($AE21)), $AE20 - $AE21, "")</f>
        <v/>
      </c>
      <c r="AH21" s="111" t="str">
        <f t="shared" ref="AH21:AH66" ca="1" si="102">IF(AND(ISNUMBER($AF20), ISNUMBER($AF21)), $AF20 - $AF21, "")</f>
        <v/>
      </c>
      <c r="AI21" s="397" t="str">
        <f ca="1">IFERROR(INDEX(ICE[], MATCH("napew" &amp; TEXT(Crd!$A21, "mmmyy"), ICE[LongCode], 0), MATCH("ICE Theoretical Price", ICE[#Headers], 0)), "")</f>
        <v/>
      </c>
      <c r="AJ21" s="364" t="str">
        <f ca="1">IFERROR(INDEX(ICE[], MATCH("napew" &amp; TEXT(Lts!$A21, "mmmyy"), ICE[LongCode], 0), MATCH("Text", ICE[#Headers], 0)), "")</f>
        <v>-9.00 / 111.00 {51.50} |15x</v>
      </c>
      <c r="AK21" s="46" t="str">
        <f t="shared" ca="1" si="81"/>
        <v/>
      </c>
      <c r="AL21" s="47" t="str">
        <f t="shared" ref="AL21:AL66" ca="1" si="103">IF(AND(ISNUMBER($AI20), ISNUMBER($AI21)), $AI20 - $AI21, "")</f>
        <v/>
      </c>
      <c r="AM21" s="46" t="str">
        <f t="shared" ref="AM21:AM66" ca="1" si="104">IF(AND(ISNUMBER($AK20), ISNUMBER($AK21)), $AK20 - $AK21, "")</f>
        <v/>
      </c>
      <c r="AN21" s="141" t="str">
        <f t="shared" ca="1" si="82"/>
        <v/>
      </c>
      <c r="AO21" s="46" t="str">
        <f t="shared" ca="1" si="83"/>
        <v/>
      </c>
      <c r="AP21" s="47" t="str">
        <f t="shared" ca="1" si="84"/>
        <v/>
      </c>
      <c r="AQ21" s="46" t="str">
        <f t="shared" ref="AQ21:AQ66" ca="1" si="105">IF(AND(ISNUMBER($AO20), ISNUMBER($AO21)), $AO20 - $AO21, "")</f>
        <v/>
      </c>
      <c r="AR21" s="141" t="str">
        <f ca="1">IFERROR(IF(AND(ISNUMBER($AN21), ISNUMBER(Futs!$CC21)), $AN21/8.9 - Futs!$CC21, ""), "")</f>
        <v/>
      </c>
      <c r="AS21" s="46" t="str">
        <f ca="1">IFERROR(IF(AND(ISNUMBER($AO21), ISNUMBER(Futs!$CD21)), $AO21/8.9 - Futs!$CD21, ""), "")</f>
        <v/>
      </c>
      <c r="AT21" s="47" t="str">
        <f t="shared" ref="AT21:AT66" ca="1" si="106">IF(AND(ISNUMBER($AR20), ISNUMBER($AR21)), $AR20 - $AR21, "")</f>
        <v/>
      </c>
      <c r="AU21" s="111" t="str">
        <f t="shared" ref="AU21:AU66" ca="1" si="107">IF(AND(ISNUMBER($AS20), ISNUMBER($AS21)), $AS20 - $AS21, "")</f>
        <v/>
      </c>
      <c r="AV21" s="397" t="str">
        <f ca="1">IFERROR(INDEX(ICE[], MATCH("mg92ebob" &amp; TEXT(Crd!$A21, "mmmyy"), ICE[LongCode], 0), MATCH("ICE Theoretical Price", ICE[#Headers], 0)), "")</f>
        <v/>
      </c>
      <c r="AW21" s="364" t="str">
        <f ca="1">IFERROR(INDEX(ICE[], MATCH("mg92ebob" &amp; TEXT(Lts!$A21, "mmmyy"), ICE[LongCode], 0), MATCH("Text", ICE[#Headers], 0)), "")</f>
        <v>-5.70 / -4.80 {-5.00} |50x</v>
      </c>
      <c r="AX21" s="46" t="str">
        <f t="shared" ca="1" si="85"/>
        <v/>
      </c>
      <c r="AY21" s="47" t="str">
        <f t="shared" ref="AY21:AY66" ca="1" si="108">IF(AND(ISNUMBER($AV20), ISNUMBER($AV21)), $AV20 - $AV21, "")</f>
        <v/>
      </c>
      <c r="AZ21" s="46" t="str">
        <f t="shared" ref="AZ21:AZ66" ca="1" si="109">IF(AND(ISNUMBER($AX20), ISNUMBER($AX21)), $AX20 - $AX21, "")</f>
        <v/>
      </c>
      <c r="BA21" s="141" t="str">
        <f t="shared" ca="1" si="86"/>
        <v/>
      </c>
      <c r="BB21" s="46" t="str">
        <f t="shared" ca="1" si="87"/>
        <v/>
      </c>
      <c r="BC21" s="47" t="str">
        <f t="shared" ref="BC21:BC66" ca="1" si="110">IF(AND(ISNUMBER($BA20), ISNUMBER($BA21)), $BA20 - $BA21, "")</f>
        <v/>
      </c>
      <c r="BD21" s="46" t="str">
        <f t="shared" ref="BD21:BD66" ca="1" si="111">IF(AND(ISNUMBER($BB20), ISNUMBER($BB21)), $BB20 - $BB21, "")</f>
        <v/>
      </c>
      <c r="BE21" s="141" t="str">
        <f ca="1">IFERROR(IF(AND(ISNUMBER($BA21), ISNUMBER(Futs!$CC21)), $BA21 - Futs!$CC21, ""), "")</f>
        <v/>
      </c>
      <c r="BF21" s="46" t="str">
        <f ca="1">IFERROR(IF(AND(ISNUMBER($BB21), ISNUMBER(Futs!$CD21)), $BB21 - Futs!$CD21, ""), "")</f>
        <v/>
      </c>
      <c r="BG21" s="47" t="str">
        <f t="shared" ref="BG21:BG66" ca="1" si="112">IF(AND(ISNUMBER($BE20), ISNUMBER($BE21)), $BE20 - $BE21, "")</f>
        <v/>
      </c>
      <c r="BH21" s="111" t="str">
        <f t="shared" ref="BH21:BH66" ca="1" si="113">IF(AND(ISNUMBER($BF20), ISNUMBER($BF21)), $BF20 - $BF21, "")</f>
        <v/>
      </c>
      <c r="BI21" s="397" t="str">
        <f ca="1">IFERROR(INDEX(ICE[], MATCH("mg9592" &amp; TEXT(Crd!$A21, "mmmyy"), ICE[LongCode], 0), MATCH("ICE Theoretical Price", ICE[#Headers], 0)), "")</f>
        <v/>
      </c>
      <c r="BJ21" s="364" t="str">
        <f ca="1">IFERROR(INDEX(ICE[], MATCH("mg9592" &amp; TEXT(Lts!$A21, "mmmyy"), ICE[LongCode], 0), MATCH("Text", ICE[#Headers], 0)), "")</f>
        <v xml:space="preserve"> /  {3.70} |105x</v>
      </c>
      <c r="BK21" s="46" t="str">
        <f t="shared" ca="1" si="88"/>
        <v/>
      </c>
      <c r="BL21" s="47" t="str">
        <f t="shared" ref="BL21:BL66" ca="1" si="114">IF(AND(ISNUMBER($BI20), ISNUMBER($BI21)), $BI20 - $BI21, "")</f>
        <v/>
      </c>
      <c r="BM21" s="46" t="str">
        <f t="shared" ref="BM21:BM66" ca="1" si="115">IF(AND(ISNUMBER($BL20), ISNUMBER($BL21)), $BL20 - $BL21, "")</f>
        <v/>
      </c>
      <c r="BN21" s="141" t="str">
        <f t="shared" ca="1" si="89"/>
        <v/>
      </c>
      <c r="BO21" s="46" t="str">
        <f t="shared" ca="1" si="90"/>
        <v/>
      </c>
      <c r="BP21" s="47" t="str">
        <f t="shared" ref="BP21:BP66" ca="1" si="116">IF(AND(ISNUMBER($BN20), ISNUMBER($BN21)), $BN20 - $BN21, "")</f>
        <v/>
      </c>
      <c r="BQ21" s="46" t="str">
        <f t="shared" ref="BQ21:BQ66" ca="1" si="117">IF(AND(ISNUMBER($BO20), ISNUMBER($BO21)), $BO20 - $BO21, "")</f>
        <v/>
      </c>
      <c r="BR21" s="141" t="str">
        <f ca="1">IFERROR(IF(AND(ISNUMBER($BN21), ISNUMBER(Futs!$CC21)), $BN21 - Futs!$CC21, ""), "")</f>
        <v/>
      </c>
      <c r="BS21" s="46" t="str">
        <f ca="1">IFERROR(IF(AND(ISNUMBER($BO21), ISNUMBER(Futs!$CD21)), $BO21 - Futs!$CD21, ""), "")</f>
        <v/>
      </c>
      <c r="BT21" s="47" t="str">
        <f t="shared" ref="BT21:BT66" ca="1" si="118">IF(AND(ISNUMBER($BR20), ISNUMBER($BR21)), $BR20 - $BR21, "")</f>
        <v/>
      </c>
      <c r="BU21" s="111" t="str">
        <f t="shared" ref="BU21:BU66" ca="1" si="119">IF(AND(ISNUMBER($BS20), ISNUMBER($BS21)), $BS20 - $BS21, "")</f>
        <v/>
      </c>
    </row>
    <row r="22" spans="1:73" x14ac:dyDescent="0.25">
      <c r="A22" s="58">
        <f t="shared" ca="1" si="91"/>
        <v>46357</v>
      </c>
      <c r="B22" s="6">
        <f t="shared" ca="1" si="74"/>
        <v>2026</v>
      </c>
      <c r="C22" s="6" t="str">
        <f t="shared" ca="1" si="75"/>
        <v>Q426</v>
      </c>
      <c r="D22" s="28">
        <f ca="1">INDEX(ICE[], MATCH(D$18 &amp; TEXT(Lts!$A22, "mmmyy"), ICE[LongCode], 0), MATCH("Settle", ICE[#Headers], 0))</f>
        <v>-4.577</v>
      </c>
      <c r="E22" s="28">
        <f ca="1">INDEX(ICE[], MATCH(E$18 &amp; TEXT(Lts!$A22, "mmmyy"), ICE[LongCode], 0), MATCH("Settle", ICE[#Headers], 0))</f>
        <v>18.903000000000002</v>
      </c>
      <c r="F22" s="28">
        <f ca="1">INDEX(ICE[], MATCH(F$18 &amp; TEXT(Lts!$A22, "mmmyy"), ICE[LongCode], 0), MATCH("Settle", ICE[#Headers], 0))</f>
        <v>49.25</v>
      </c>
      <c r="G22" s="28">
        <f ca="1">INDEX(ICE[], MATCH(G$18 &amp; TEXT(Lts!$A22, "mmmyy"), ICE[LongCode], 0), MATCH("Settle", ICE[#Headers], 0))</f>
        <v>-4.0940000000000003</v>
      </c>
      <c r="H22" s="28">
        <f ca="1">INDEX(ICE[], MATCH(H$18 &amp; TEXT(Lts!$A22, "mmmyy"), ICE[LongCode], 0), MATCH("Settle", ICE[#Headers], 0))</f>
        <v>3.5</v>
      </c>
      <c r="I22" s="397" t="str">
        <f ca="1">IFERROR(INDEX(ICE[], MATCH("napbrxbbl" &amp; TEXT(Crd!$A22, "mmmyy"), ICE[LongCode], 0), MATCH("ICE Theoretical Price", ICE[#Headers], 0)), "")</f>
        <v/>
      </c>
      <c r="J22" s="364" t="str">
        <f ca="1">IFERROR(INDEX(ICE[], MATCH("napbrx" &amp; TEXT(Lts!$A22, "mmmyy"), ICE[LongCode], 0), MATCH("Text", ICE[#Headers], 0)), "")</f>
        <v xml:space="preserve"> / -1.07 {-4.70} |260x</v>
      </c>
      <c r="K22" s="46" t="str">
        <f t="shared" ca="1" si="76"/>
        <v/>
      </c>
      <c r="L22" s="47" t="str">
        <f t="shared" ca="1" si="77"/>
        <v/>
      </c>
      <c r="M22" s="46" t="str">
        <f t="shared" ca="1" si="92"/>
        <v/>
      </c>
      <c r="N22" s="141" t="str">
        <f ca="1">IFERROR(IF(AND(ISNUMBER(Futs!$CC22), ISNUMBER($I22)), (Futs!$CC22 + $I22)*8.9, ""), "")</f>
        <v/>
      </c>
      <c r="O22" s="46" t="str">
        <f ca="1">IFERROR(IF(AND(ISNUMBER(Futs!$CD22), ISNUMBER($K22)), (Futs!$CD22 + $K22)*8.9, ""), "")</f>
        <v/>
      </c>
      <c r="P22" s="47" t="str">
        <f t="shared" ca="1" si="93"/>
        <v/>
      </c>
      <c r="Q22" s="111" t="str">
        <f t="shared" ca="1" si="94"/>
        <v/>
      </c>
      <c r="R22" s="397" t="str">
        <f ca="1">IFERROR(INDEX(ICE[], MATCH("ebobbrxbbl" &amp; TEXT(Crd!$A22, "mmmyy"), ICE[LongCode], 0), MATCH("ICE Theoretical Price", ICE[#Headers], 0)), "")</f>
        <v/>
      </c>
      <c r="S22" s="364" t="str">
        <f ca="1">IFERROR(INDEX(ICE[], MATCH("ebobbrx" &amp; TEXT(Lts!$A22, "mmmyy"), ICE[LongCode], 0), MATCH("Text", ICE[#Headers], 0)), "")</f>
        <v xml:space="preserve"> / 20.25  |60x</v>
      </c>
      <c r="T22" s="46" t="str">
        <f t="shared" ca="1" si="78"/>
        <v/>
      </c>
      <c r="U22" s="47" t="str">
        <f t="shared" ca="1" si="95"/>
        <v/>
      </c>
      <c r="V22" s="46" t="str">
        <f t="shared" ca="1" si="96"/>
        <v/>
      </c>
      <c r="W22" s="141" t="str">
        <f ca="1">IFERROR(IF(AND(ISNUMBER(Futs!$CC22), ISNUMBER($R22)), (Futs!$CC22 + $R22)*8.33, ""), "")</f>
        <v/>
      </c>
      <c r="X22" s="46" t="str">
        <f ca="1">IFERROR(IF(AND(ISNUMBER(Futs!$CD22), ISNUMBER($T22)), (Futs!$CD22 + $T22)*8.33, ""), "")</f>
        <v/>
      </c>
      <c r="Y22" s="47" t="str">
        <f t="shared" ca="1" si="97"/>
        <v/>
      </c>
      <c r="Z22" s="46" t="str">
        <f t="shared" ca="1" si="98"/>
        <v/>
      </c>
      <c r="AA22" s="141" t="str">
        <f t="shared" ca="1" si="79"/>
        <v/>
      </c>
      <c r="AB22" s="46" t="str">
        <f t="shared" ca="1" si="80"/>
        <v/>
      </c>
      <c r="AC22" s="47" t="str">
        <f t="shared" ca="1" si="99"/>
        <v/>
      </c>
      <c r="AD22" s="46" t="str">
        <f t="shared" ca="1" si="100"/>
        <v/>
      </c>
      <c r="AE22" s="141" t="str">
        <f ca="1">IFERROR(IF(AND(ISNUMBER(Futs!$CO22), ISNUMBER($W22)), Futs!$CO22 - $W22/8.33/42*100, ""), "")</f>
        <v/>
      </c>
      <c r="AF22" s="46" t="str">
        <f ca="1">IFERROR(IF(AND(ISNUMBER(Futs!$CP22), ISNUMBER($X22)), Futs!$CP22 - $X22/8.33/42*100, ""), "")</f>
        <v/>
      </c>
      <c r="AG22" s="47" t="str">
        <f t="shared" ca="1" si="101"/>
        <v/>
      </c>
      <c r="AH22" s="111" t="str">
        <f t="shared" ca="1" si="102"/>
        <v/>
      </c>
      <c r="AI22" s="397" t="str">
        <f ca="1">IFERROR(INDEX(ICE[], MATCH("napew" &amp; TEXT(Crd!$A22, "mmmyy"), ICE[LongCode], 0), MATCH("ICE Theoretical Price", ICE[#Headers], 0)), "")</f>
        <v/>
      </c>
      <c r="AJ22" s="364" t="str">
        <f ca="1">IFERROR(INDEX(ICE[], MATCH("napew" &amp; TEXT(Lts!$A22, "mmmyy"), ICE[LongCode], 0), MATCH("Text", ICE[#Headers], 0)), "")</f>
        <v>1.75 / 97.75  |5x</v>
      </c>
      <c r="AK22" s="46" t="str">
        <f t="shared" ca="1" si="81"/>
        <v/>
      </c>
      <c r="AL22" s="47" t="str">
        <f t="shared" ca="1" si="103"/>
        <v/>
      </c>
      <c r="AM22" s="46" t="str">
        <f t="shared" ca="1" si="104"/>
        <v/>
      </c>
      <c r="AN22" s="141" t="str">
        <f t="shared" ca="1" si="82"/>
        <v/>
      </c>
      <c r="AO22" s="46" t="str">
        <f t="shared" ca="1" si="83"/>
        <v/>
      </c>
      <c r="AP22" s="47" t="str">
        <f t="shared" ca="1" si="84"/>
        <v/>
      </c>
      <c r="AQ22" s="46" t="str">
        <f t="shared" ca="1" si="105"/>
        <v/>
      </c>
      <c r="AR22" s="141" t="str">
        <f ca="1">IFERROR(IF(AND(ISNUMBER($AN22), ISNUMBER(Futs!$CC22)), $AN22/8.9 - Futs!$CC22, ""), "")</f>
        <v/>
      </c>
      <c r="AS22" s="46" t="str">
        <f ca="1">IFERROR(IF(AND(ISNUMBER($AO22), ISNUMBER(Futs!$CD22)), $AO22/8.9 - Futs!$CD22, ""), "")</f>
        <v/>
      </c>
      <c r="AT22" s="47" t="str">
        <f t="shared" ca="1" si="106"/>
        <v/>
      </c>
      <c r="AU22" s="111" t="str">
        <f t="shared" ca="1" si="107"/>
        <v/>
      </c>
      <c r="AV22" s="397" t="str">
        <f ca="1">IFERROR(INDEX(ICE[], MATCH("mg92ebob" &amp; TEXT(Crd!$A22, "mmmyy"), ICE[LongCode], 0), MATCH("ICE Theoretical Price", ICE[#Headers], 0)), "")</f>
        <v/>
      </c>
      <c r="AW22" s="364" t="str">
        <f ca="1">IFERROR(INDEX(ICE[], MATCH("mg92ebob" &amp; TEXT(Lts!$A22, "mmmyy"), ICE[LongCode], 0), MATCH("Text", ICE[#Headers], 0)), "")</f>
        <v>-3.70 / -2.80 {-3.50} |265x</v>
      </c>
      <c r="AX22" s="46" t="str">
        <f t="shared" ca="1" si="85"/>
        <v/>
      </c>
      <c r="AY22" s="47" t="str">
        <f t="shared" ca="1" si="108"/>
        <v/>
      </c>
      <c r="AZ22" s="46" t="str">
        <f t="shared" ca="1" si="109"/>
        <v/>
      </c>
      <c r="BA22" s="141" t="str">
        <f t="shared" ca="1" si="86"/>
        <v/>
      </c>
      <c r="BB22" s="46" t="str">
        <f t="shared" ca="1" si="87"/>
        <v/>
      </c>
      <c r="BC22" s="47" t="str">
        <f t="shared" ca="1" si="110"/>
        <v/>
      </c>
      <c r="BD22" s="46" t="str">
        <f t="shared" ca="1" si="111"/>
        <v/>
      </c>
      <c r="BE22" s="141" t="str">
        <f ca="1">IFERROR(IF(AND(ISNUMBER($BA22), ISNUMBER(Futs!$CC22)), $BA22 - Futs!$CC22, ""), "")</f>
        <v/>
      </c>
      <c r="BF22" s="46" t="str">
        <f ca="1">IFERROR(IF(AND(ISNUMBER($BB22), ISNUMBER(Futs!$CD22)), $BB22 - Futs!$CD22, ""), "")</f>
        <v/>
      </c>
      <c r="BG22" s="47" t="str">
        <f t="shared" ca="1" si="112"/>
        <v/>
      </c>
      <c r="BH22" s="111" t="str">
        <f t="shared" ca="1" si="113"/>
        <v/>
      </c>
      <c r="BI22" s="397" t="str">
        <f ca="1">IFERROR(INDEX(ICE[], MATCH("mg9592" &amp; TEXT(Crd!$A22, "mmmyy"), ICE[LongCode], 0), MATCH("ICE Theoretical Price", ICE[#Headers], 0)), "")</f>
        <v/>
      </c>
      <c r="BJ22" s="364" t="str">
        <f ca="1">IFERROR(INDEX(ICE[], MATCH("mg9592" &amp; TEXT(Lts!$A22, "mmmyy"), ICE[LongCode], 0), MATCH("Text", ICE[#Headers], 0)), "")</f>
        <v xml:space="preserve"> / 4.50 {3.50} |50x</v>
      </c>
      <c r="BK22" s="46" t="str">
        <f t="shared" ca="1" si="88"/>
        <v/>
      </c>
      <c r="BL22" s="47" t="str">
        <f t="shared" ca="1" si="114"/>
        <v/>
      </c>
      <c r="BM22" s="46" t="str">
        <f t="shared" ca="1" si="115"/>
        <v/>
      </c>
      <c r="BN22" s="141" t="str">
        <f t="shared" ca="1" si="89"/>
        <v/>
      </c>
      <c r="BO22" s="46" t="str">
        <f t="shared" ca="1" si="90"/>
        <v/>
      </c>
      <c r="BP22" s="47" t="str">
        <f t="shared" ca="1" si="116"/>
        <v/>
      </c>
      <c r="BQ22" s="46" t="str">
        <f t="shared" ca="1" si="117"/>
        <v/>
      </c>
      <c r="BR22" s="141" t="str">
        <f ca="1">IFERROR(IF(AND(ISNUMBER($BN22), ISNUMBER(Futs!$CC22)), $BN22 - Futs!$CC22, ""), "")</f>
        <v/>
      </c>
      <c r="BS22" s="46" t="str">
        <f ca="1">IFERROR(IF(AND(ISNUMBER($BO22), ISNUMBER(Futs!$CD22)), $BO22 - Futs!$CD22, ""), "")</f>
        <v/>
      </c>
      <c r="BT22" s="47" t="str">
        <f t="shared" ca="1" si="118"/>
        <v/>
      </c>
      <c r="BU22" s="111" t="str">
        <f t="shared" ca="1" si="119"/>
        <v/>
      </c>
    </row>
    <row r="23" spans="1:73" x14ac:dyDescent="0.25">
      <c r="A23" s="58">
        <f t="shared" ca="1" si="91"/>
        <v>46388</v>
      </c>
      <c r="B23" s="6">
        <f t="shared" ca="1" si="74"/>
        <v>2027</v>
      </c>
      <c r="C23" s="6" t="str">
        <f t="shared" ca="1" si="75"/>
        <v>Q127</v>
      </c>
      <c r="D23" s="28">
        <f ca="1">INDEX(ICE[], MATCH(D$18 &amp; TEXT(Lts!$A23, "mmmyy"), ICE[LongCode], 0), MATCH("Settle", ICE[#Headers], 0))</f>
        <v>-4.5910000000000002</v>
      </c>
      <c r="E23" s="28">
        <f ca="1">INDEX(ICE[], MATCH(E$18 &amp; TEXT(Lts!$A23, "mmmyy"), ICE[LongCode], 0), MATCH("Settle", ICE[#Headers], 0))</f>
        <v>18.556000000000001</v>
      </c>
      <c r="F23" s="28">
        <f ca="1">INDEX(ICE[], MATCH(F$18 &amp; TEXT(Lts!$A23, "mmmyy"), ICE[LongCode], 0), MATCH("Settle", ICE[#Headers], 0))</f>
        <v>43.75</v>
      </c>
      <c r="G23" s="28">
        <f ca="1">INDEX(ICE[], MATCH(G$18 &amp; TEXT(Lts!$A23, "mmmyy"), ICE[LongCode], 0), MATCH("Settle", ICE[#Headers], 0))</f>
        <v>-3.9630000000000001</v>
      </c>
      <c r="H23" s="28">
        <f ca="1">INDEX(ICE[], MATCH(H$18 &amp; TEXT(Lts!$A23, "mmmyy"), ICE[LongCode], 0), MATCH("Settle", ICE[#Headers], 0))</f>
        <v>2</v>
      </c>
      <c r="I23" s="397" t="str">
        <f ca="1">IFERROR(INDEX(ICE[], MATCH("napbrxbbl" &amp; TEXT(Crd!$A23, "mmmyy"), ICE[LongCode], 0), MATCH("ICE Theoretical Price", ICE[#Headers], 0)), "")</f>
        <v/>
      </c>
      <c r="J23" s="364" t="str">
        <f ca="1">IFERROR(INDEX(ICE[], MATCH("napbrx" &amp; TEXT(Lts!$A23, "mmmyy"), ICE[LongCode], 0), MATCH("Text", ICE[#Headers], 0)), "")</f>
        <v xml:space="preserve"> / -1.04  |89x</v>
      </c>
      <c r="K23" s="46" t="str">
        <f t="shared" ca="1" si="76"/>
        <v/>
      </c>
      <c r="L23" s="47" t="str">
        <f t="shared" ca="1" si="77"/>
        <v/>
      </c>
      <c r="M23" s="46" t="str">
        <f t="shared" ca="1" si="92"/>
        <v/>
      </c>
      <c r="N23" s="141" t="str">
        <f ca="1">IFERROR(IF(AND(ISNUMBER(Futs!$CC23), ISNUMBER($I23)), (Futs!$CC23 + $I23)*8.9, ""), "")</f>
        <v/>
      </c>
      <c r="O23" s="46" t="str">
        <f ca="1">IFERROR(IF(AND(ISNUMBER(Futs!$CD23), ISNUMBER($K23)), (Futs!$CD23 + $K23)*8.9, ""), "")</f>
        <v/>
      </c>
      <c r="P23" s="47" t="str">
        <f t="shared" ca="1" si="93"/>
        <v/>
      </c>
      <c r="Q23" s="111" t="str">
        <f t="shared" ca="1" si="94"/>
        <v/>
      </c>
      <c r="R23" s="397" t="str">
        <f ca="1">IFERROR(INDEX(ICE[], MATCH("ebobbrxbbl" &amp; TEXT(Crd!$A23, "mmmyy"), ICE[LongCode], 0), MATCH("ICE Theoretical Price", ICE[#Headers], 0)), "")</f>
        <v/>
      </c>
      <c r="S23" s="364" t="str">
        <f ca="1">IFERROR(INDEX(ICE[], MATCH("ebobbrx" &amp; TEXT(Lts!$A23, "mmmyy"), ICE[LongCode], 0), MATCH("Text", ICE[#Headers], 0)), "")</f>
        <v xml:space="preserve"> / 19.75 {18.90} |85x</v>
      </c>
      <c r="T23" s="46" t="str">
        <f t="shared" ca="1" si="78"/>
        <v/>
      </c>
      <c r="U23" s="47" t="str">
        <f t="shared" ca="1" si="95"/>
        <v/>
      </c>
      <c r="V23" s="46" t="str">
        <f t="shared" ca="1" si="96"/>
        <v/>
      </c>
      <c r="W23" s="141" t="str">
        <f ca="1">IFERROR(IF(AND(ISNUMBER(Futs!$CC23), ISNUMBER($R23)), (Futs!$CC23 + $R23)*8.33, ""), "")</f>
        <v/>
      </c>
      <c r="X23" s="46" t="str">
        <f ca="1">IFERROR(IF(AND(ISNUMBER(Futs!$CD23), ISNUMBER($T23)), (Futs!$CD23 + $T23)*8.33, ""), "")</f>
        <v/>
      </c>
      <c r="Y23" s="47" t="str">
        <f t="shared" ca="1" si="97"/>
        <v/>
      </c>
      <c r="Z23" s="46" t="str">
        <f t="shared" ca="1" si="98"/>
        <v/>
      </c>
      <c r="AA23" s="141" t="str">
        <f t="shared" ca="1" si="79"/>
        <v/>
      </c>
      <c r="AB23" s="46" t="str">
        <f t="shared" ca="1" si="80"/>
        <v/>
      </c>
      <c r="AC23" s="47" t="str">
        <f t="shared" ca="1" si="99"/>
        <v/>
      </c>
      <c r="AD23" s="46" t="str">
        <f t="shared" ca="1" si="100"/>
        <v/>
      </c>
      <c r="AE23" s="141" t="str">
        <f ca="1">IFERROR(IF(AND(ISNUMBER(Futs!$CO23), ISNUMBER($W23)), Futs!$CO23 - $W23/8.33/42*100, ""), "")</f>
        <v/>
      </c>
      <c r="AF23" s="46" t="str">
        <f ca="1">IFERROR(IF(AND(ISNUMBER(Futs!$CP23), ISNUMBER($X23)), Futs!$CP23 - $X23/8.33/42*100, ""), "")</f>
        <v/>
      </c>
      <c r="AG23" s="47" t="str">
        <f t="shared" ca="1" si="101"/>
        <v/>
      </c>
      <c r="AH23" s="111" t="str">
        <f t="shared" ca="1" si="102"/>
        <v/>
      </c>
      <c r="AI23" s="397" t="str">
        <f ca="1">IFERROR(INDEX(ICE[], MATCH("napew" &amp; TEXT(Crd!$A23, "mmmyy"), ICE[LongCode], 0), MATCH("ICE Theoretical Price", ICE[#Headers], 0)), "")</f>
        <v/>
      </c>
      <c r="AJ23" s="364" t="str">
        <f ca="1">IFERROR(INDEX(ICE[], MATCH("napew" &amp; TEXT(Lts!$A23, "mmmyy"), ICE[LongCode], 0), MATCH("Text", ICE[#Headers], 0)), "")</f>
        <v>20.50 / 68.50  |11x</v>
      </c>
      <c r="AK23" s="46" t="str">
        <f t="shared" ca="1" si="81"/>
        <v/>
      </c>
      <c r="AL23" s="47" t="str">
        <f t="shared" ca="1" si="103"/>
        <v/>
      </c>
      <c r="AM23" s="46" t="str">
        <f t="shared" ca="1" si="104"/>
        <v/>
      </c>
      <c r="AN23" s="141" t="str">
        <f t="shared" ca="1" si="82"/>
        <v/>
      </c>
      <c r="AO23" s="46" t="str">
        <f t="shared" ca="1" si="83"/>
        <v/>
      </c>
      <c r="AP23" s="47" t="str">
        <f t="shared" ca="1" si="84"/>
        <v/>
      </c>
      <c r="AQ23" s="46" t="str">
        <f t="shared" ca="1" si="105"/>
        <v/>
      </c>
      <c r="AR23" s="141" t="str">
        <f ca="1">IFERROR(IF(AND(ISNUMBER($AN23), ISNUMBER(Futs!$CC23)), $AN23/8.9 - Futs!$CC23, ""), "")</f>
        <v/>
      </c>
      <c r="AS23" s="46" t="str">
        <f ca="1">IFERROR(IF(AND(ISNUMBER($AO23), ISNUMBER(Futs!$CD23)), $AO23/8.9 - Futs!$CD23, ""), "")</f>
        <v/>
      </c>
      <c r="AT23" s="47" t="str">
        <f t="shared" ca="1" si="106"/>
        <v/>
      </c>
      <c r="AU23" s="111" t="str">
        <f t="shared" ca="1" si="107"/>
        <v/>
      </c>
      <c r="AV23" s="397" t="str">
        <f ca="1">IFERROR(INDEX(ICE[], MATCH("mg92ebob" &amp; TEXT(Crd!$A23, "mmmyy"), ICE[LongCode], 0), MATCH("ICE Theoretical Price", ICE[#Headers], 0)), "")</f>
        <v/>
      </c>
      <c r="AW23" s="364" t="str">
        <f ca="1">IFERROR(INDEX(ICE[], MATCH("mg92ebob" &amp; TEXT(Lts!$A23, "mmmyy"), ICE[LongCode], 0), MATCH("Text", ICE[#Headers], 0)), "")</f>
        <v>-4.30 / -3.10 {-2.80} |215x</v>
      </c>
      <c r="AX23" s="46" t="str">
        <f t="shared" ca="1" si="85"/>
        <v/>
      </c>
      <c r="AY23" s="47" t="str">
        <f t="shared" ca="1" si="108"/>
        <v/>
      </c>
      <c r="AZ23" s="46" t="str">
        <f t="shared" ca="1" si="109"/>
        <v/>
      </c>
      <c r="BA23" s="141" t="str">
        <f t="shared" ca="1" si="86"/>
        <v/>
      </c>
      <c r="BB23" s="46" t="str">
        <f t="shared" ca="1" si="87"/>
        <v/>
      </c>
      <c r="BC23" s="47" t="str">
        <f t="shared" ca="1" si="110"/>
        <v/>
      </c>
      <c r="BD23" s="46" t="str">
        <f t="shared" ca="1" si="111"/>
        <v/>
      </c>
      <c r="BE23" s="141" t="str">
        <f ca="1">IFERROR(IF(AND(ISNUMBER($BA23), ISNUMBER(Futs!$CC23)), $BA23 - Futs!$CC23, ""), "")</f>
        <v/>
      </c>
      <c r="BF23" s="46" t="str">
        <f ca="1">IFERROR(IF(AND(ISNUMBER($BB23), ISNUMBER(Futs!$CD23)), $BB23 - Futs!$CD23, ""), "")</f>
        <v/>
      </c>
      <c r="BG23" s="47" t="str">
        <f t="shared" ca="1" si="112"/>
        <v/>
      </c>
      <c r="BH23" s="111" t="str">
        <f t="shared" ca="1" si="113"/>
        <v/>
      </c>
      <c r="BI23" s="397" t="str">
        <f ca="1">IFERROR(INDEX(ICE[], MATCH("mg9592" &amp; TEXT(Crd!$A23, "mmmyy"), ICE[LongCode], 0), MATCH("ICE Theoretical Price", ICE[#Headers], 0)), "")</f>
        <v/>
      </c>
      <c r="BJ23" s="364" t="str">
        <f ca="1">IFERROR(INDEX(ICE[], MATCH("mg9592" &amp; TEXT(Lts!$A23, "mmmyy"), ICE[LongCode], 0), MATCH("Text", ICE[#Headers], 0)), "")</f>
        <v xml:space="preserve"> /  </v>
      </c>
      <c r="BK23" s="46" t="str">
        <f t="shared" ca="1" si="88"/>
        <v/>
      </c>
      <c r="BL23" s="47" t="str">
        <f t="shared" ca="1" si="114"/>
        <v/>
      </c>
      <c r="BM23" s="46" t="str">
        <f t="shared" ca="1" si="115"/>
        <v/>
      </c>
      <c r="BN23" s="141" t="str">
        <f t="shared" ca="1" si="89"/>
        <v/>
      </c>
      <c r="BO23" s="46" t="str">
        <f t="shared" ca="1" si="90"/>
        <v/>
      </c>
      <c r="BP23" s="47" t="str">
        <f t="shared" ca="1" si="116"/>
        <v/>
      </c>
      <c r="BQ23" s="46" t="str">
        <f t="shared" ca="1" si="117"/>
        <v/>
      </c>
      <c r="BR23" s="141" t="str">
        <f ca="1">IFERROR(IF(AND(ISNUMBER($BN23), ISNUMBER(Futs!$CC23)), $BN23 - Futs!$CC23, ""), "")</f>
        <v/>
      </c>
      <c r="BS23" s="46" t="str">
        <f ca="1">IFERROR(IF(AND(ISNUMBER($BO23), ISNUMBER(Futs!$CD23)), $BO23 - Futs!$CD23, ""), "")</f>
        <v/>
      </c>
      <c r="BT23" s="47" t="str">
        <f t="shared" ca="1" si="118"/>
        <v/>
      </c>
      <c r="BU23" s="111" t="str">
        <f t="shared" ca="1" si="119"/>
        <v/>
      </c>
    </row>
    <row r="24" spans="1:73" x14ac:dyDescent="0.25">
      <c r="A24" s="58">
        <f t="shared" ca="1" si="91"/>
        <v>46419</v>
      </c>
      <c r="B24" s="6">
        <f t="shared" ca="1" si="74"/>
        <v>2027</v>
      </c>
      <c r="C24" s="6" t="str">
        <f t="shared" ca="1" si="75"/>
        <v>Q127</v>
      </c>
      <c r="D24" s="28">
        <f ca="1">INDEX(ICE[], MATCH(D$18 &amp; TEXT(Lts!$A24, "mmmyy"), ICE[LongCode], 0), MATCH("Settle", ICE[#Headers], 0))</f>
        <v>-4.9880000000000004</v>
      </c>
      <c r="E24" s="28">
        <f ca="1">INDEX(ICE[], MATCH(E$18 &amp; TEXT(Lts!$A24, "mmmyy"), ICE[LongCode], 0), MATCH("Settle", ICE[#Headers], 0))</f>
        <v>19.260999999999999</v>
      </c>
      <c r="F24" s="28">
        <f ca="1">INDEX(ICE[], MATCH(F$18 &amp; TEXT(Lts!$A24, "mmmyy"), ICE[LongCode], 0), MATCH("Settle", ICE[#Headers], 0))</f>
        <v>39.75</v>
      </c>
      <c r="G24" s="28">
        <f ca="1">INDEX(ICE[], MATCH(G$18 &amp; TEXT(Lts!$A24, "mmmyy"), ICE[LongCode], 0), MATCH("Settle", ICE[#Headers], 0))</f>
        <v>-4.2330000000000005</v>
      </c>
      <c r="H24" s="28">
        <f ca="1">INDEX(ICE[], MATCH(H$18 &amp; TEXT(Lts!$A24, "mmmyy"), ICE[LongCode], 0), MATCH("Settle", ICE[#Headers], 0))</f>
        <v>2</v>
      </c>
      <c r="I24" s="397" t="str">
        <f ca="1">IFERROR(INDEX(ICE[], MATCH("napbrxbbl" &amp; TEXT(Crd!$A24, "mmmyy"), ICE[LongCode], 0), MATCH("ICE Theoretical Price", ICE[#Headers], 0)), "")</f>
        <v/>
      </c>
      <c r="J24" s="364" t="str">
        <f ca="1">IFERROR(INDEX(ICE[], MATCH("napbrx" &amp; TEXT(Lts!$A24, "mmmyy"), ICE[LongCode], 0), MATCH("Text", ICE[#Headers], 0)), "")</f>
        <v xml:space="preserve"> / -1.41  |89x</v>
      </c>
      <c r="K24" s="46" t="str">
        <f t="shared" ca="1" si="76"/>
        <v/>
      </c>
      <c r="L24" s="47" t="str">
        <f t="shared" ca="1" si="77"/>
        <v/>
      </c>
      <c r="M24" s="46" t="str">
        <f t="shared" ca="1" si="92"/>
        <v/>
      </c>
      <c r="N24" s="141" t="str">
        <f ca="1">IFERROR(IF(AND(ISNUMBER(Futs!$CC24), ISNUMBER($I24)), (Futs!$CC24 + $I24)*8.9, ""), "")</f>
        <v/>
      </c>
      <c r="O24" s="46" t="str">
        <f ca="1">IFERROR(IF(AND(ISNUMBER(Futs!$CD24), ISNUMBER($K24)), (Futs!$CD24 + $K24)*8.9, ""), "")</f>
        <v/>
      </c>
      <c r="P24" s="47" t="str">
        <f t="shared" ca="1" si="93"/>
        <v/>
      </c>
      <c r="Q24" s="111" t="str">
        <f t="shared" ca="1" si="94"/>
        <v/>
      </c>
      <c r="R24" s="397" t="str">
        <f ca="1">IFERROR(INDEX(ICE[], MATCH("ebobbrxbbl" &amp; TEXT(Crd!$A24, "mmmyy"), ICE[LongCode], 0), MATCH("ICE Theoretical Price", ICE[#Headers], 0)), "")</f>
        <v/>
      </c>
      <c r="S24" s="364" t="str">
        <f ca="1">IFERROR(INDEX(ICE[], MATCH("ebobbrx" &amp; TEXT(Lts!$A24, "mmmyy"), ICE[LongCode], 0), MATCH("Text", ICE[#Headers], 0)), "")</f>
        <v xml:space="preserve"> / 20.45  |60x</v>
      </c>
      <c r="T24" s="46" t="str">
        <f t="shared" ca="1" si="78"/>
        <v/>
      </c>
      <c r="U24" s="47" t="str">
        <f t="shared" ca="1" si="95"/>
        <v/>
      </c>
      <c r="V24" s="46" t="str">
        <f t="shared" ca="1" si="96"/>
        <v/>
      </c>
      <c r="W24" s="141" t="str">
        <f ca="1">IFERROR(IF(AND(ISNUMBER(Futs!$CC24), ISNUMBER($R24)), (Futs!$CC24 + $R24)*8.33, ""), "")</f>
        <v/>
      </c>
      <c r="X24" s="46" t="str">
        <f ca="1">IFERROR(IF(AND(ISNUMBER(Futs!$CD24), ISNUMBER($T24)), (Futs!$CD24 + $T24)*8.33, ""), "")</f>
        <v/>
      </c>
      <c r="Y24" s="47" t="str">
        <f t="shared" ca="1" si="97"/>
        <v/>
      </c>
      <c r="Z24" s="46" t="str">
        <f t="shared" ca="1" si="98"/>
        <v/>
      </c>
      <c r="AA24" s="141" t="str">
        <f t="shared" ca="1" si="79"/>
        <v/>
      </c>
      <c r="AB24" s="46" t="str">
        <f t="shared" ca="1" si="80"/>
        <v/>
      </c>
      <c r="AC24" s="47" t="str">
        <f t="shared" ca="1" si="99"/>
        <v/>
      </c>
      <c r="AD24" s="46" t="str">
        <f t="shared" ca="1" si="100"/>
        <v/>
      </c>
      <c r="AE24" s="141" t="str">
        <f ca="1">IFERROR(IF(AND(ISNUMBER(Futs!$CO24), ISNUMBER($W24)), Futs!$CO24 - $W24/8.33/42*100, ""), "")</f>
        <v/>
      </c>
      <c r="AF24" s="46" t="str">
        <f ca="1">IFERROR(IF(AND(ISNUMBER(Futs!$CP24), ISNUMBER($X24)), Futs!$CP24 - $X24/8.33/42*100, ""), "")</f>
        <v/>
      </c>
      <c r="AG24" s="47" t="str">
        <f t="shared" ca="1" si="101"/>
        <v/>
      </c>
      <c r="AH24" s="111" t="str">
        <f t="shared" ca="1" si="102"/>
        <v/>
      </c>
      <c r="AI24" s="397" t="str">
        <f ca="1">IFERROR(INDEX(ICE[], MATCH("napew" &amp; TEXT(Crd!$A24, "mmmyy"), ICE[LongCode], 0), MATCH("ICE Theoretical Price", ICE[#Headers], 0)), "")</f>
        <v/>
      </c>
      <c r="AJ24" s="364" t="str">
        <f ca="1">IFERROR(INDEX(ICE[], MATCH("napew" &amp; TEXT(Lts!$A24, "mmmyy"), ICE[LongCode], 0), MATCH("Text", ICE[#Headers], 0)), "")</f>
        <v>17.00 / 65.00  |11x</v>
      </c>
      <c r="AK24" s="46" t="str">
        <f t="shared" ca="1" si="81"/>
        <v/>
      </c>
      <c r="AL24" s="47" t="str">
        <f t="shared" ca="1" si="103"/>
        <v/>
      </c>
      <c r="AM24" s="46" t="str">
        <f t="shared" ca="1" si="104"/>
        <v/>
      </c>
      <c r="AN24" s="141" t="str">
        <f t="shared" ca="1" si="82"/>
        <v/>
      </c>
      <c r="AO24" s="46" t="str">
        <f t="shared" ca="1" si="83"/>
        <v/>
      </c>
      <c r="AP24" s="47" t="str">
        <f t="shared" ca="1" si="84"/>
        <v/>
      </c>
      <c r="AQ24" s="46" t="str">
        <f t="shared" ca="1" si="105"/>
        <v/>
      </c>
      <c r="AR24" s="141" t="str">
        <f ca="1">IFERROR(IF(AND(ISNUMBER($AN24), ISNUMBER(Futs!$CC24)), $AN24/8.9 - Futs!$CC24, ""), "")</f>
        <v/>
      </c>
      <c r="AS24" s="46" t="str">
        <f ca="1">IFERROR(IF(AND(ISNUMBER($AO24), ISNUMBER(Futs!$CD24)), $AO24/8.9 - Futs!$CD24, ""), "")</f>
        <v/>
      </c>
      <c r="AT24" s="47" t="str">
        <f t="shared" ca="1" si="106"/>
        <v/>
      </c>
      <c r="AU24" s="111" t="str">
        <f t="shared" ca="1" si="107"/>
        <v/>
      </c>
      <c r="AV24" s="397" t="str">
        <f ca="1">IFERROR(INDEX(ICE[], MATCH("mg92ebob" &amp; TEXT(Crd!$A24, "mmmyy"), ICE[LongCode], 0), MATCH("ICE Theoretical Price", ICE[#Headers], 0)), "")</f>
        <v/>
      </c>
      <c r="AW24" s="364" t="str">
        <f ca="1">IFERROR(INDEX(ICE[], MATCH("mg92ebob" &amp; TEXT(Lts!$A24, "mmmyy"), ICE[LongCode], 0), MATCH("Text", ICE[#Headers], 0)), "")</f>
        <v xml:space="preserve">-4.85 / -3.65 </v>
      </c>
      <c r="AX24" s="46" t="str">
        <f t="shared" ca="1" si="85"/>
        <v/>
      </c>
      <c r="AY24" s="47" t="str">
        <f t="shared" ca="1" si="108"/>
        <v/>
      </c>
      <c r="AZ24" s="46" t="str">
        <f t="shared" ca="1" si="109"/>
        <v/>
      </c>
      <c r="BA24" s="141" t="str">
        <f t="shared" ca="1" si="86"/>
        <v/>
      </c>
      <c r="BB24" s="46" t="str">
        <f t="shared" ca="1" si="87"/>
        <v/>
      </c>
      <c r="BC24" s="47" t="str">
        <f t="shared" ca="1" si="110"/>
        <v/>
      </c>
      <c r="BD24" s="46" t="str">
        <f t="shared" ca="1" si="111"/>
        <v/>
      </c>
      <c r="BE24" s="141" t="str">
        <f ca="1">IFERROR(IF(AND(ISNUMBER($BA24), ISNUMBER(Futs!$CC24)), $BA24 - Futs!$CC24, ""), "")</f>
        <v/>
      </c>
      <c r="BF24" s="46" t="str">
        <f ca="1">IFERROR(IF(AND(ISNUMBER($BB24), ISNUMBER(Futs!$CD24)), $BB24 - Futs!$CD24, ""), "")</f>
        <v/>
      </c>
      <c r="BG24" s="47" t="str">
        <f t="shared" ca="1" si="112"/>
        <v/>
      </c>
      <c r="BH24" s="111" t="str">
        <f t="shared" ca="1" si="113"/>
        <v/>
      </c>
      <c r="BI24" s="397" t="str">
        <f ca="1">IFERROR(INDEX(ICE[], MATCH("mg9592" &amp; TEXT(Crd!$A24, "mmmyy"), ICE[LongCode], 0), MATCH("ICE Theoretical Price", ICE[#Headers], 0)), "")</f>
        <v/>
      </c>
      <c r="BJ24" s="364" t="str">
        <f ca="1">IFERROR(INDEX(ICE[], MATCH("mg9592" &amp; TEXT(Lts!$A24, "mmmyy"), ICE[LongCode], 0), MATCH("Text", ICE[#Headers], 0)), "")</f>
        <v xml:space="preserve"> /  </v>
      </c>
      <c r="BK24" s="46" t="str">
        <f t="shared" ca="1" si="88"/>
        <v/>
      </c>
      <c r="BL24" s="47" t="str">
        <f t="shared" ca="1" si="114"/>
        <v/>
      </c>
      <c r="BM24" s="46" t="str">
        <f t="shared" ca="1" si="115"/>
        <v/>
      </c>
      <c r="BN24" s="141" t="str">
        <f t="shared" ca="1" si="89"/>
        <v/>
      </c>
      <c r="BO24" s="46" t="str">
        <f t="shared" ca="1" si="90"/>
        <v/>
      </c>
      <c r="BP24" s="47" t="str">
        <f t="shared" ca="1" si="116"/>
        <v/>
      </c>
      <c r="BQ24" s="46" t="str">
        <f t="shared" ca="1" si="117"/>
        <v/>
      </c>
      <c r="BR24" s="141" t="str">
        <f ca="1">IFERROR(IF(AND(ISNUMBER($BN24), ISNUMBER(Futs!$CC24)), $BN24 - Futs!$CC24, ""), "")</f>
        <v/>
      </c>
      <c r="BS24" s="46" t="str">
        <f ca="1">IFERROR(IF(AND(ISNUMBER($BO24), ISNUMBER(Futs!$CD24)), $BO24 - Futs!$CD24, ""), "")</f>
        <v/>
      </c>
      <c r="BT24" s="47" t="str">
        <f t="shared" ca="1" si="118"/>
        <v/>
      </c>
      <c r="BU24" s="111" t="str">
        <f t="shared" ca="1" si="119"/>
        <v/>
      </c>
    </row>
    <row r="25" spans="1:73" x14ac:dyDescent="0.25">
      <c r="A25" s="58">
        <f t="shared" ca="1" si="91"/>
        <v>46447</v>
      </c>
      <c r="B25" s="6">
        <f t="shared" ca="1" si="74"/>
        <v>2027</v>
      </c>
      <c r="C25" s="6" t="str">
        <f t="shared" ca="1" si="75"/>
        <v>Q127</v>
      </c>
      <c r="D25" s="28">
        <f ca="1">INDEX(ICE[], MATCH(D$18 &amp; TEXT(Lts!$A25, "mmmyy"), ICE[LongCode], 0), MATCH("Settle", ICE[#Headers], 0))</f>
        <v>-5.7309999999999999</v>
      </c>
      <c r="E25" s="28">
        <f ca="1">INDEX(ICE[], MATCH(E$18 &amp; TEXT(Lts!$A25, "mmmyy"), ICE[LongCode], 0), MATCH("Settle", ICE[#Headers], 0))</f>
        <v>20.215</v>
      </c>
      <c r="F25" s="28">
        <f ca="1">INDEX(ICE[], MATCH(F$18 &amp; TEXT(Lts!$A25, "mmmyy"), ICE[LongCode], 0), MATCH("Settle", ICE[#Headers], 0))</f>
        <v>36.5</v>
      </c>
      <c r="G25" s="28">
        <f ca="1">INDEX(ICE[], MATCH(G$18 &amp; TEXT(Lts!$A25, "mmmyy"), ICE[LongCode], 0), MATCH("Settle", ICE[#Headers], 0))</f>
        <v>-4.8920000000000003</v>
      </c>
      <c r="H25" s="28">
        <f ca="1">INDEX(ICE[], MATCH(H$18 &amp; TEXT(Lts!$A25, "mmmyy"), ICE[LongCode], 0), MATCH("Settle", ICE[#Headers], 0))</f>
        <v>2</v>
      </c>
      <c r="I25" s="397" t="str">
        <f ca="1">IFERROR(INDEX(ICE[], MATCH("napbrxbbl" &amp; TEXT(Crd!$A25, "mmmyy"), ICE[LongCode], 0), MATCH("ICE Theoretical Price", ICE[#Headers], 0)), "")</f>
        <v/>
      </c>
      <c r="J25" s="364" t="str">
        <f ca="1">IFERROR(INDEX(ICE[], MATCH("napbrx" &amp; TEXT(Lts!$A25, "mmmyy"), ICE[LongCode], 0), MATCH("Text", ICE[#Headers], 0)), "")</f>
        <v xml:space="preserve"> / -2.10 {-5.50} |294x</v>
      </c>
      <c r="K25" s="46" t="str">
        <f t="shared" ca="1" si="76"/>
        <v/>
      </c>
      <c r="L25" s="47" t="str">
        <f t="shared" ca="1" si="77"/>
        <v/>
      </c>
      <c r="M25" s="46" t="str">
        <f t="shared" ca="1" si="92"/>
        <v/>
      </c>
      <c r="N25" s="141" t="str">
        <f ca="1">IFERROR(IF(AND(ISNUMBER(Futs!$CC25), ISNUMBER($I25)), (Futs!$CC25 + $I25)*8.9, ""), "")</f>
        <v/>
      </c>
      <c r="O25" s="46" t="str">
        <f ca="1">IFERROR(IF(AND(ISNUMBER(Futs!$CD25), ISNUMBER($K25)), (Futs!$CD25 + $K25)*8.9, ""), "")</f>
        <v/>
      </c>
      <c r="P25" s="47" t="str">
        <f t="shared" ca="1" si="93"/>
        <v/>
      </c>
      <c r="Q25" s="111" t="str">
        <f t="shared" ca="1" si="94"/>
        <v/>
      </c>
      <c r="R25" s="397" t="str">
        <f ca="1">IFERROR(INDEX(ICE[], MATCH("ebobbrxbbl" &amp; TEXT(Crd!$A25, "mmmyy"), ICE[LongCode], 0), MATCH("ICE Theoretical Price", ICE[#Headers], 0)), "")</f>
        <v/>
      </c>
      <c r="S25" s="364" t="str">
        <f ca="1">IFERROR(INDEX(ICE[], MATCH("ebobbrx" &amp; TEXT(Lts!$A25, "mmmyy"), ICE[LongCode], 0), MATCH("Text", ICE[#Headers], 0)), "")</f>
        <v xml:space="preserve"> / 21.30  |60x</v>
      </c>
      <c r="T25" s="46" t="str">
        <f t="shared" ca="1" si="78"/>
        <v/>
      </c>
      <c r="U25" s="47" t="str">
        <f t="shared" ca="1" si="95"/>
        <v/>
      </c>
      <c r="V25" s="46" t="str">
        <f t="shared" ca="1" si="96"/>
        <v/>
      </c>
      <c r="W25" s="141" t="str">
        <f ca="1">IFERROR(IF(AND(ISNUMBER(Futs!$CC25), ISNUMBER($R25)), (Futs!$CC25 + $R25)*8.33, ""), "")</f>
        <v/>
      </c>
      <c r="X25" s="46" t="str">
        <f ca="1">IFERROR(IF(AND(ISNUMBER(Futs!$CD25), ISNUMBER($T25)), (Futs!$CD25 + $T25)*8.33, ""), "")</f>
        <v/>
      </c>
      <c r="Y25" s="47" t="str">
        <f t="shared" ca="1" si="97"/>
        <v/>
      </c>
      <c r="Z25" s="46" t="str">
        <f t="shared" ca="1" si="98"/>
        <v/>
      </c>
      <c r="AA25" s="141" t="str">
        <f t="shared" ca="1" si="79"/>
        <v/>
      </c>
      <c r="AB25" s="46" t="str">
        <f t="shared" ca="1" si="80"/>
        <v/>
      </c>
      <c r="AC25" s="47" t="str">
        <f t="shared" ca="1" si="99"/>
        <v/>
      </c>
      <c r="AD25" s="46" t="str">
        <f t="shared" ca="1" si="100"/>
        <v/>
      </c>
      <c r="AE25" s="141" t="str">
        <f ca="1">IFERROR(IF(AND(ISNUMBER(Futs!$CO25), ISNUMBER($W25)), Futs!$CO25 - $W25/8.33/42*100, ""), "")</f>
        <v/>
      </c>
      <c r="AF25" s="46" t="str">
        <f ca="1">IFERROR(IF(AND(ISNUMBER(Futs!$CP25), ISNUMBER($X25)), Futs!$CP25 - $X25/8.33/42*100, ""), "")</f>
        <v/>
      </c>
      <c r="AG25" s="47" t="str">
        <f t="shared" ca="1" si="101"/>
        <v/>
      </c>
      <c r="AH25" s="111" t="str">
        <f t="shared" ca="1" si="102"/>
        <v/>
      </c>
      <c r="AI25" s="397" t="str">
        <f ca="1">IFERROR(INDEX(ICE[], MATCH("napew" &amp; TEXT(Crd!$A25, "mmmyy"), ICE[LongCode], 0), MATCH("ICE Theoretical Price", ICE[#Headers], 0)), "")</f>
        <v/>
      </c>
      <c r="AJ25" s="364" t="str">
        <f ca="1">IFERROR(INDEX(ICE[], MATCH("napew" &amp; TEXT(Lts!$A25, "mmmyy"), ICE[LongCode], 0), MATCH("Text", ICE[#Headers], 0)), "")</f>
        <v>13.50 / 61.50  |11x</v>
      </c>
      <c r="AK25" s="46" t="str">
        <f t="shared" ca="1" si="81"/>
        <v/>
      </c>
      <c r="AL25" s="47" t="str">
        <f t="shared" ca="1" si="103"/>
        <v/>
      </c>
      <c r="AM25" s="46" t="str">
        <f t="shared" ca="1" si="104"/>
        <v/>
      </c>
      <c r="AN25" s="141" t="str">
        <f t="shared" ca="1" si="82"/>
        <v/>
      </c>
      <c r="AO25" s="46" t="str">
        <f t="shared" ca="1" si="83"/>
        <v/>
      </c>
      <c r="AP25" s="47" t="str">
        <f t="shared" ca="1" si="84"/>
        <v/>
      </c>
      <c r="AQ25" s="46" t="str">
        <f t="shared" ca="1" si="105"/>
        <v/>
      </c>
      <c r="AR25" s="141" t="str">
        <f ca="1">IFERROR(IF(AND(ISNUMBER($AN25), ISNUMBER(Futs!$CC25)), $AN25/8.9 - Futs!$CC25, ""), "")</f>
        <v/>
      </c>
      <c r="AS25" s="46" t="str">
        <f ca="1">IFERROR(IF(AND(ISNUMBER($AO25), ISNUMBER(Futs!$CD25)), $AO25/8.9 - Futs!$CD25, ""), "")</f>
        <v/>
      </c>
      <c r="AT25" s="47" t="str">
        <f t="shared" ca="1" si="106"/>
        <v/>
      </c>
      <c r="AU25" s="111" t="str">
        <f t="shared" ca="1" si="107"/>
        <v/>
      </c>
      <c r="AV25" s="397" t="str">
        <f ca="1">IFERROR(INDEX(ICE[], MATCH("mg92ebob" &amp; TEXT(Crd!$A25, "mmmyy"), ICE[LongCode], 0), MATCH("ICE Theoretical Price", ICE[#Headers], 0)), "")</f>
        <v/>
      </c>
      <c r="AW25" s="364" t="str">
        <f ca="1">IFERROR(INDEX(ICE[], MATCH("mg92ebob" &amp; TEXT(Lts!$A25, "mmmyy"), ICE[LongCode], 0), MATCH("Text", ICE[#Headers], 0)), "")</f>
        <v xml:space="preserve">-5.55 / -4.35 </v>
      </c>
      <c r="AX25" s="46" t="str">
        <f t="shared" ca="1" si="85"/>
        <v/>
      </c>
      <c r="AY25" s="47" t="str">
        <f t="shared" ca="1" si="108"/>
        <v/>
      </c>
      <c r="AZ25" s="46" t="str">
        <f t="shared" ca="1" si="109"/>
        <v/>
      </c>
      <c r="BA25" s="141" t="str">
        <f t="shared" ca="1" si="86"/>
        <v/>
      </c>
      <c r="BB25" s="46" t="str">
        <f t="shared" ca="1" si="87"/>
        <v/>
      </c>
      <c r="BC25" s="47" t="str">
        <f t="shared" ca="1" si="110"/>
        <v/>
      </c>
      <c r="BD25" s="46" t="str">
        <f t="shared" ca="1" si="111"/>
        <v/>
      </c>
      <c r="BE25" s="141" t="str">
        <f ca="1">IFERROR(IF(AND(ISNUMBER($BA25), ISNUMBER(Futs!$CC25)), $BA25 - Futs!$CC25, ""), "")</f>
        <v/>
      </c>
      <c r="BF25" s="46" t="str">
        <f ca="1">IFERROR(IF(AND(ISNUMBER($BB25), ISNUMBER(Futs!$CD25)), $BB25 - Futs!$CD25, ""), "")</f>
        <v/>
      </c>
      <c r="BG25" s="47" t="str">
        <f t="shared" ca="1" si="112"/>
        <v/>
      </c>
      <c r="BH25" s="111" t="str">
        <f t="shared" ca="1" si="113"/>
        <v/>
      </c>
      <c r="BI25" s="397" t="str">
        <f ca="1">IFERROR(INDEX(ICE[], MATCH("mg9592" &amp; TEXT(Crd!$A25, "mmmyy"), ICE[LongCode], 0), MATCH("ICE Theoretical Price", ICE[#Headers], 0)), "")</f>
        <v/>
      </c>
      <c r="BJ25" s="364" t="str">
        <f ca="1">IFERROR(INDEX(ICE[], MATCH("mg9592" &amp; TEXT(Lts!$A25, "mmmyy"), ICE[LongCode], 0), MATCH("Text", ICE[#Headers], 0)), "")</f>
        <v xml:space="preserve"> /  </v>
      </c>
      <c r="BK25" s="46" t="str">
        <f t="shared" ca="1" si="88"/>
        <v/>
      </c>
      <c r="BL25" s="47" t="str">
        <f t="shared" ca="1" si="114"/>
        <v/>
      </c>
      <c r="BM25" s="46" t="str">
        <f t="shared" ca="1" si="115"/>
        <v/>
      </c>
      <c r="BN25" s="141" t="str">
        <f t="shared" ca="1" si="89"/>
        <v/>
      </c>
      <c r="BO25" s="46" t="str">
        <f t="shared" ca="1" si="90"/>
        <v/>
      </c>
      <c r="BP25" s="47" t="str">
        <f t="shared" ca="1" si="116"/>
        <v/>
      </c>
      <c r="BQ25" s="46" t="str">
        <f t="shared" ca="1" si="117"/>
        <v/>
      </c>
      <c r="BR25" s="141" t="str">
        <f ca="1">IFERROR(IF(AND(ISNUMBER($BN25), ISNUMBER(Futs!$CC25)), $BN25 - Futs!$CC25, ""), "")</f>
        <v/>
      </c>
      <c r="BS25" s="46" t="str">
        <f ca="1">IFERROR(IF(AND(ISNUMBER($BO25), ISNUMBER(Futs!$CD25)), $BO25 - Futs!$CD25, ""), "")</f>
        <v/>
      </c>
      <c r="BT25" s="47" t="str">
        <f t="shared" ca="1" si="118"/>
        <v/>
      </c>
      <c r="BU25" s="111" t="str">
        <f t="shared" ca="1" si="119"/>
        <v/>
      </c>
    </row>
    <row r="26" spans="1:73" x14ac:dyDescent="0.25">
      <c r="A26" s="58">
        <f t="shared" ca="1" si="91"/>
        <v>46478</v>
      </c>
      <c r="B26" s="6">
        <f t="shared" ca="1" si="74"/>
        <v>2027</v>
      </c>
      <c r="C26" s="6" t="str">
        <f t="shared" ca="1" si="75"/>
        <v>Q227</v>
      </c>
      <c r="D26" s="28">
        <f ca="1">INDEX(ICE[], MATCH(D$18 &amp; TEXT(Lts!$A26, "mmmyy"), ICE[LongCode], 0), MATCH("Settle", ICE[#Headers], 0))</f>
        <v>-6.6020000000000003</v>
      </c>
      <c r="E26" s="28">
        <f ca="1">INDEX(ICE[], MATCH(E$18 &amp; TEXT(Lts!$A26, "mmmyy"), ICE[LongCode], 0), MATCH("Settle", ICE[#Headers], 0))</f>
        <v>24.59</v>
      </c>
      <c r="F26" s="28">
        <f ca="1">INDEX(ICE[], MATCH(F$18 &amp; TEXT(Lts!$A26, "mmmyy"), ICE[LongCode], 0), MATCH("Settle", ICE[#Headers], 0))</f>
        <v>33.25</v>
      </c>
      <c r="G26" s="28">
        <f ca="1">INDEX(ICE[], MATCH(G$18 &amp; TEXT(Lts!$A26, "mmmyy"), ICE[LongCode], 0), MATCH("Settle", ICE[#Headers], 0))</f>
        <v>-9.3840000000000003</v>
      </c>
      <c r="H26" s="28">
        <f ca="1">INDEX(ICE[], MATCH(H$18 &amp; TEXT(Lts!$A26, "mmmyy"), ICE[LongCode], 0), MATCH("Settle", ICE[#Headers], 0))</f>
        <v>2</v>
      </c>
      <c r="I26" s="397" t="str">
        <f ca="1">IFERROR(INDEX(ICE[], MATCH("napbrxbbl" &amp; TEXT(Crd!$A26, "mmmyy"), ICE[LongCode], 0), MATCH("ICE Theoretical Price", ICE[#Headers], 0)), "")</f>
        <v/>
      </c>
      <c r="J26" s="364" t="str">
        <f ca="1">IFERROR(INDEX(ICE[], MATCH("napbrx" &amp; TEXT(Lts!$A26, "mmmyy"), ICE[LongCode], 0), MATCH("Text", ICE[#Headers], 0)), "")</f>
        <v xml:space="preserve"> / -3.01 {-6.40} |359x</v>
      </c>
      <c r="K26" s="46" t="str">
        <f t="shared" ca="1" si="76"/>
        <v/>
      </c>
      <c r="L26" s="47" t="str">
        <f t="shared" ca="1" si="77"/>
        <v/>
      </c>
      <c r="M26" s="46" t="str">
        <f t="shared" ca="1" si="92"/>
        <v/>
      </c>
      <c r="N26" s="141" t="str">
        <f ca="1">IFERROR(IF(AND(ISNUMBER(Futs!$CC26), ISNUMBER($I26)), (Futs!$CC26 + $I26)*8.9, ""), "")</f>
        <v/>
      </c>
      <c r="O26" s="46" t="str">
        <f ca="1">IFERROR(IF(AND(ISNUMBER(Futs!$CD26), ISNUMBER($K26)), (Futs!$CD26 + $K26)*8.9, ""), "")</f>
        <v/>
      </c>
      <c r="P26" s="47" t="str">
        <f t="shared" ca="1" si="93"/>
        <v/>
      </c>
      <c r="Q26" s="111" t="str">
        <f t="shared" ca="1" si="94"/>
        <v/>
      </c>
      <c r="R26" s="397" t="str">
        <f ca="1">IFERROR(INDEX(ICE[], MATCH("ebobbrxbbl" &amp; TEXT(Crd!$A26, "mmmyy"), ICE[LongCode], 0), MATCH("ICE Theoretical Price", ICE[#Headers], 0)), "")</f>
        <v/>
      </c>
      <c r="S26" s="364" t="str">
        <f ca="1">IFERROR(INDEX(ICE[], MATCH("ebobbrx" &amp; TEXT(Lts!$A26, "mmmyy"), ICE[LongCode], 0), MATCH("Text", ICE[#Headers], 0)), "")</f>
        <v xml:space="preserve"> / 25.60 {24.70} |100x</v>
      </c>
      <c r="T26" s="46" t="str">
        <f t="shared" ca="1" si="78"/>
        <v/>
      </c>
      <c r="U26" s="47" t="str">
        <f t="shared" ca="1" si="95"/>
        <v/>
      </c>
      <c r="V26" s="46" t="str">
        <f t="shared" ca="1" si="96"/>
        <v/>
      </c>
      <c r="W26" s="141" t="str">
        <f ca="1">IFERROR(IF(AND(ISNUMBER(Futs!$CC26), ISNUMBER($R26)), (Futs!$CC26 + $R26)*8.33, ""), "")</f>
        <v/>
      </c>
      <c r="X26" s="46" t="str">
        <f ca="1">IFERROR(IF(AND(ISNUMBER(Futs!$CD26), ISNUMBER($T26)), (Futs!$CD26 + $T26)*8.33, ""), "")</f>
        <v/>
      </c>
      <c r="Y26" s="47" t="str">
        <f t="shared" ca="1" si="97"/>
        <v/>
      </c>
      <c r="Z26" s="46" t="str">
        <f t="shared" ca="1" si="98"/>
        <v/>
      </c>
      <c r="AA26" s="141" t="str">
        <f t="shared" ca="1" si="79"/>
        <v/>
      </c>
      <c r="AB26" s="46" t="str">
        <f t="shared" ca="1" si="80"/>
        <v/>
      </c>
      <c r="AC26" s="47" t="str">
        <f t="shared" ca="1" si="99"/>
        <v/>
      </c>
      <c r="AD26" s="46" t="str">
        <f t="shared" ca="1" si="100"/>
        <v/>
      </c>
      <c r="AE26" s="141" t="str">
        <f ca="1">IFERROR(IF(AND(ISNUMBER(Futs!$CO26), ISNUMBER($W26)), Futs!$CO26 - $W26/8.33/42*100, ""), "")</f>
        <v/>
      </c>
      <c r="AF26" s="46" t="str">
        <f ca="1">IFERROR(IF(AND(ISNUMBER(Futs!$CP26), ISNUMBER($X26)), Futs!$CP26 - $X26/8.33/42*100, ""), "")</f>
        <v/>
      </c>
      <c r="AG26" s="47" t="str">
        <f t="shared" ca="1" si="101"/>
        <v/>
      </c>
      <c r="AH26" s="111" t="str">
        <f t="shared" ca="1" si="102"/>
        <v/>
      </c>
      <c r="AI26" s="397" t="str">
        <f ca="1">IFERROR(INDEX(ICE[], MATCH("napew" &amp; TEXT(Crd!$A26, "mmmyy"), ICE[LongCode], 0), MATCH("ICE Theoretical Price", ICE[#Headers], 0)), "")</f>
        <v/>
      </c>
      <c r="AJ26" s="364" t="str">
        <f ca="1">IFERROR(INDEX(ICE[], MATCH("napew" &amp; TEXT(Lts!$A26, "mmmyy"), ICE[LongCode], 0), MATCH("Text", ICE[#Headers], 0)), "")</f>
        <v>10.00 / 58.00  |11x</v>
      </c>
      <c r="AK26" s="46" t="str">
        <f t="shared" ca="1" si="81"/>
        <v/>
      </c>
      <c r="AL26" s="47" t="str">
        <f t="shared" ca="1" si="103"/>
        <v/>
      </c>
      <c r="AM26" s="46" t="str">
        <f t="shared" ca="1" si="104"/>
        <v/>
      </c>
      <c r="AN26" s="141" t="str">
        <f t="shared" ca="1" si="82"/>
        <v/>
      </c>
      <c r="AO26" s="46" t="str">
        <f t="shared" ca="1" si="83"/>
        <v/>
      </c>
      <c r="AP26" s="47" t="str">
        <f t="shared" ca="1" si="84"/>
        <v/>
      </c>
      <c r="AQ26" s="46" t="str">
        <f t="shared" ca="1" si="105"/>
        <v/>
      </c>
      <c r="AR26" s="141" t="str">
        <f ca="1">IFERROR(IF(AND(ISNUMBER($AN26), ISNUMBER(Futs!$CC26)), $AN26/8.9 - Futs!$CC26, ""), "")</f>
        <v/>
      </c>
      <c r="AS26" s="46" t="str">
        <f ca="1">IFERROR(IF(AND(ISNUMBER($AO26), ISNUMBER(Futs!$CD26)), $AO26/8.9 - Futs!$CD26, ""), "")</f>
        <v/>
      </c>
      <c r="AT26" s="47" t="str">
        <f t="shared" ca="1" si="106"/>
        <v/>
      </c>
      <c r="AU26" s="111" t="str">
        <f t="shared" ca="1" si="107"/>
        <v/>
      </c>
      <c r="AV26" s="397" t="str">
        <f ca="1">IFERROR(INDEX(ICE[], MATCH("mg92ebob" &amp; TEXT(Crd!$A26, "mmmyy"), ICE[LongCode], 0), MATCH("ICE Theoretical Price", ICE[#Headers], 0)), "")</f>
        <v/>
      </c>
      <c r="AW26" s="364" t="str">
        <f ca="1">IFERROR(INDEX(ICE[], MATCH("mg92ebob" &amp; TEXT(Lts!$A26, "mmmyy"), ICE[LongCode], 0), MATCH("Text", ICE[#Headers], 0)), "")</f>
        <v xml:space="preserve">-10.95 / -8.25 </v>
      </c>
      <c r="AX26" s="46" t="str">
        <f t="shared" ca="1" si="85"/>
        <v/>
      </c>
      <c r="AY26" s="47" t="str">
        <f t="shared" ca="1" si="108"/>
        <v/>
      </c>
      <c r="AZ26" s="46" t="str">
        <f t="shared" ca="1" si="109"/>
        <v/>
      </c>
      <c r="BA26" s="141" t="str">
        <f t="shared" ca="1" si="86"/>
        <v/>
      </c>
      <c r="BB26" s="46" t="str">
        <f t="shared" ca="1" si="87"/>
        <v/>
      </c>
      <c r="BC26" s="47" t="str">
        <f t="shared" ca="1" si="110"/>
        <v/>
      </c>
      <c r="BD26" s="46" t="str">
        <f t="shared" ca="1" si="111"/>
        <v/>
      </c>
      <c r="BE26" s="141" t="str">
        <f ca="1">IFERROR(IF(AND(ISNUMBER($BA26), ISNUMBER(Futs!$CC26)), $BA26 - Futs!$CC26, ""), "")</f>
        <v/>
      </c>
      <c r="BF26" s="46" t="str">
        <f ca="1">IFERROR(IF(AND(ISNUMBER($BB26), ISNUMBER(Futs!$CD26)), $BB26 - Futs!$CD26, ""), "")</f>
        <v/>
      </c>
      <c r="BG26" s="47" t="str">
        <f t="shared" ca="1" si="112"/>
        <v/>
      </c>
      <c r="BH26" s="111" t="str">
        <f t="shared" ca="1" si="113"/>
        <v/>
      </c>
      <c r="BI26" s="397" t="str">
        <f ca="1">IFERROR(INDEX(ICE[], MATCH("mg9592" &amp; TEXT(Crd!$A26, "mmmyy"), ICE[LongCode], 0), MATCH("ICE Theoretical Price", ICE[#Headers], 0)), "")</f>
        <v/>
      </c>
      <c r="BJ26" s="364" t="str">
        <f ca="1">IFERROR(INDEX(ICE[], MATCH("mg9592" &amp; TEXT(Lts!$A26, "mmmyy"), ICE[LongCode], 0), MATCH("Text", ICE[#Headers], 0)), "")</f>
        <v xml:space="preserve"> /  </v>
      </c>
      <c r="BK26" s="46" t="str">
        <f t="shared" ca="1" si="88"/>
        <v/>
      </c>
      <c r="BL26" s="47" t="str">
        <f t="shared" ca="1" si="114"/>
        <v/>
      </c>
      <c r="BM26" s="46" t="str">
        <f t="shared" ca="1" si="115"/>
        <v/>
      </c>
      <c r="BN26" s="141" t="str">
        <f t="shared" ca="1" si="89"/>
        <v/>
      </c>
      <c r="BO26" s="46" t="str">
        <f t="shared" ca="1" si="90"/>
        <v/>
      </c>
      <c r="BP26" s="47" t="str">
        <f t="shared" ca="1" si="116"/>
        <v/>
      </c>
      <c r="BQ26" s="46" t="str">
        <f t="shared" ca="1" si="117"/>
        <v/>
      </c>
      <c r="BR26" s="141" t="str">
        <f ca="1">IFERROR(IF(AND(ISNUMBER($BN26), ISNUMBER(Futs!$CC26)), $BN26 - Futs!$CC26, ""), "")</f>
        <v/>
      </c>
      <c r="BS26" s="46" t="str">
        <f ca="1">IFERROR(IF(AND(ISNUMBER($BO26), ISNUMBER(Futs!$CD26)), $BO26 - Futs!$CD26, ""), "")</f>
        <v/>
      </c>
      <c r="BT26" s="47" t="str">
        <f t="shared" ca="1" si="118"/>
        <v/>
      </c>
      <c r="BU26" s="111" t="str">
        <f t="shared" ca="1" si="119"/>
        <v/>
      </c>
    </row>
    <row r="27" spans="1:73" x14ac:dyDescent="0.25">
      <c r="A27" s="58">
        <f t="shared" ca="1" si="91"/>
        <v>46508</v>
      </c>
      <c r="B27" s="6">
        <f t="shared" ca="1" si="74"/>
        <v>2027</v>
      </c>
      <c r="C27" s="6" t="str">
        <f t="shared" ca="1" si="75"/>
        <v>Q227</v>
      </c>
      <c r="D27" s="28">
        <f ca="1">INDEX(ICE[], MATCH(D$18 &amp; TEXT(Lts!$A27, "mmmyy"), ICE[LongCode], 0), MATCH("Settle", ICE[#Headers], 0))</f>
        <v>-7.0340000000000007</v>
      </c>
      <c r="E27" s="28">
        <f ca="1">INDEX(ICE[], MATCH(E$18 &amp; TEXT(Lts!$A27, "mmmyy"), ICE[LongCode], 0), MATCH("Settle", ICE[#Headers], 0))</f>
        <v>24.309000000000001</v>
      </c>
      <c r="F27" s="28">
        <f ca="1">INDEX(ICE[], MATCH(F$18 &amp; TEXT(Lts!$A27, "mmmyy"), ICE[LongCode], 0), MATCH("Settle", ICE[#Headers], 0))</f>
        <v>31.5</v>
      </c>
      <c r="G27" s="28">
        <f ca="1">INDEX(ICE[], MATCH(G$18 &amp; TEXT(Lts!$A27, "mmmyy"), ICE[LongCode], 0), MATCH("Settle", ICE[#Headers], 0))</f>
        <v>-9.4429999999999996</v>
      </c>
      <c r="H27" s="28">
        <f ca="1">INDEX(ICE[], MATCH(H$18 &amp; TEXT(Lts!$A27, "mmmyy"), ICE[LongCode], 0), MATCH("Settle", ICE[#Headers], 0))</f>
        <v>2</v>
      </c>
      <c r="I27" s="397" t="str">
        <f ca="1">IFERROR(INDEX(ICE[], MATCH("napbrxbbl" &amp; TEXT(Crd!$A27, "mmmyy"), ICE[LongCode], 0), MATCH("ICE Theoretical Price", ICE[#Headers], 0)), "")</f>
        <v/>
      </c>
      <c r="J27" s="364" t="str">
        <f ca="1">IFERROR(INDEX(ICE[], MATCH("napbrx" &amp; TEXT(Lts!$A27, "mmmyy"), ICE[LongCode], 0), MATCH("Text", ICE[#Headers], 0)), "")</f>
        <v xml:space="preserve"> / -3.42  |154x</v>
      </c>
      <c r="K27" s="46" t="str">
        <f t="shared" ca="1" si="76"/>
        <v/>
      </c>
      <c r="L27" s="47" t="str">
        <f t="shared" ca="1" si="77"/>
        <v/>
      </c>
      <c r="M27" s="46" t="str">
        <f t="shared" ca="1" si="92"/>
        <v/>
      </c>
      <c r="N27" s="141" t="str">
        <f ca="1">IFERROR(IF(AND(ISNUMBER(Futs!$CC27), ISNUMBER($I27)), (Futs!$CC27 + $I27)*8.9, ""), "")</f>
        <v/>
      </c>
      <c r="O27" s="46" t="str">
        <f ca="1">IFERROR(IF(AND(ISNUMBER(Futs!$CD27), ISNUMBER($K27)), (Futs!$CD27 + $K27)*8.9, ""), "")</f>
        <v/>
      </c>
      <c r="P27" s="47" t="str">
        <f t="shared" ca="1" si="93"/>
        <v/>
      </c>
      <c r="Q27" s="111" t="str">
        <f t="shared" ca="1" si="94"/>
        <v/>
      </c>
      <c r="R27" s="397" t="str">
        <f ca="1">IFERROR(INDEX(ICE[], MATCH("ebobbrxbbl" &amp; TEXT(Crd!$A27, "mmmyy"), ICE[LongCode], 0), MATCH("ICE Theoretical Price", ICE[#Headers], 0)), "")</f>
        <v/>
      </c>
      <c r="S27" s="364" t="str">
        <f ca="1">IFERROR(INDEX(ICE[], MATCH("ebobbrx" &amp; TEXT(Lts!$A27, "mmmyy"), ICE[LongCode], 0), MATCH("Text", ICE[#Headers], 0)), "")</f>
        <v xml:space="preserve"> / 25.35  |75x</v>
      </c>
      <c r="T27" s="46" t="str">
        <f t="shared" ca="1" si="78"/>
        <v/>
      </c>
      <c r="U27" s="47" t="str">
        <f t="shared" ca="1" si="95"/>
        <v/>
      </c>
      <c r="V27" s="46" t="str">
        <f t="shared" ca="1" si="96"/>
        <v/>
      </c>
      <c r="W27" s="141" t="str">
        <f ca="1">IFERROR(IF(AND(ISNUMBER(Futs!$CC27), ISNUMBER($R27)), (Futs!$CC27 + $R27)*8.33, ""), "")</f>
        <v/>
      </c>
      <c r="X27" s="46" t="str">
        <f ca="1">IFERROR(IF(AND(ISNUMBER(Futs!$CD27), ISNUMBER($T27)), (Futs!$CD27 + $T27)*8.33, ""), "")</f>
        <v/>
      </c>
      <c r="Y27" s="47" t="str">
        <f t="shared" ca="1" si="97"/>
        <v/>
      </c>
      <c r="Z27" s="46" t="str">
        <f t="shared" ca="1" si="98"/>
        <v/>
      </c>
      <c r="AA27" s="141" t="str">
        <f t="shared" ca="1" si="79"/>
        <v/>
      </c>
      <c r="AB27" s="46" t="str">
        <f t="shared" ca="1" si="80"/>
        <v/>
      </c>
      <c r="AC27" s="47" t="str">
        <f t="shared" ca="1" si="99"/>
        <v/>
      </c>
      <c r="AD27" s="46" t="str">
        <f t="shared" ca="1" si="100"/>
        <v/>
      </c>
      <c r="AE27" s="141" t="str">
        <f ca="1">IFERROR(IF(AND(ISNUMBER(Futs!$CO27), ISNUMBER($W27)), Futs!$CO27 - $W27/8.33/42*100, ""), "")</f>
        <v/>
      </c>
      <c r="AF27" s="46" t="str">
        <f ca="1">IFERROR(IF(AND(ISNUMBER(Futs!$CP27), ISNUMBER($X27)), Futs!$CP27 - $X27/8.33/42*100, ""), "")</f>
        <v/>
      </c>
      <c r="AG27" s="47" t="str">
        <f t="shared" ca="1" si="101"/>
        <v/>
      </c>
      <c r="AH27" s="111" t="str">
        <f t="shared" ca="1" si="102"/>
        <v/>
      </c>
      <c r="AI27" s="397" t="str">
        <f ca="1">IFERROR(INDEX(ICE[], MATCH("napew" &amp; TEXT(Crd!$A27, "mmmyy"), ICE[LongCode], 0), MATCH("ICE Theoretical Price", ICE[#Headers], 0)), "")</f>
        <v/>
      </c>
      <c r="AJ27" s="364" t="str">
        <f ca="1">IFERROR(INDEX(ICE[], MATCH("napew" &amp; TEXT(Lts!$A27, "mmmyy"), ICE[LongCode], 0), MATCH("Text", ICE[#Headers], 0)), "")</f>
        <v>7.75 / 55.75  |11x</v>
      </c>
      <c r="AK27" s="46" t="str">
        <f t="shared" ca="1" si="81"/>
        <v/>
      </c>
      <c r="AL27" s="47" t="str">
        <f t="shared" ca="1" si="103"/>
        <v/>
      </c>
      <c r="AM27" s="46" t="str">
        <f t="shared" ca="1" si="104"/>
        <v/>
      </c>
      <c r="AN27" s="141" t="str">
        <f t="shared" ca="1" si="82"/>
        <v/>
      </c>
      <c r="AO27" s="46" t="str">
        <f t="shared" ca="1" si="83"/>
        <v/>
      </c>
      <c r="AP27" s="47" t="str">
        <f t="shared" ca="1" si="84"/>
        <v/>
      </c>
      <c r="AQ27" s="46" t="str">
        <f t="shared" ca="1" si="105"/>
        <v/>
      </c>
      <c r="AR27" s="141" t="str">
        <f ca="1">IFERROR(IF(AND(ISNUMBER($AN27), ISNUMBER(Futs!$CC27)), $AN27/8.9 - Futs!$CC27, ""), "")</f>
        <v/>
      </c>
      <c r="AS27" s="46" t="str">
        <f ca="1">IFERROR(IF(AND(ISNUMBER($AO27), ISNUMBER(Futs!$CD27)), $AO27/8.9 - Futs!$CD27, ""), "")</f>
        <v/>
      </c>
      <c r="AT27" s="47" t="str">
        <f t="shared" ca="1" si="106"/>
        <v/>
      </c>
      <c r="AU27" s="111" t="str">
        <f t="shared" ca="1" si="107"/>
        <v/>
      </c>
      <c r="AV27" s="397" t="str">
        <f ca="1">IFERROR(INDEX(ICE[], MATCH("mg92ebob" &amp; TEXT(Crd!$A27, "mmmyy"), ICE[LongCode], 0), MATCH("ICE Theoretical Price", ICE[#Headers], 0)), "")</f>
        <v/>
      </c>
      <c r="AW27" s="364" t="str">
        <f ca="1">IFERROR(INDEX(ICE[], MATCH("mg92ebob" &amp; TEXT(Lts!$A27, "mmmyy"), ICE[LongCode], 0), MATCH("Text", ICE[#Headers], 0)), "")</f>
        <v xml:space="preserve">-10.40 / -9.20 </v>
      </c>
      <c r="AX27" s="46" t="str">
        <f t="shared" ca="1" si="85"/>
        <v/>
      </c>
      <c r="AY27" s="47" t="str">
        <f t="shared" ca="1" si="108"/>
        <v/>
      </c>
      <c r="AZ27" s="46" t="str">
        <f t="shared" ca="1" si="109"/>
        <v/>
      </c>
      <c r="BA27" s="141" t="str">
        <f t="shared" ca="1" si="86"/>
        <v/>
      </c>
      <c r="BB27" s="46" t="str">
        <f t="shared" ca="1" si="87"/>
        <v/>
      </c>
      <c r="BC27" s="47" t="str">
        <f t="shared" ca="1" si="110"/>
        <v/>
      </c>
      <c r="BD27" s="46" t="str">
        <f t="shared" ca="1" si="111"/>
        <v/>
      </c>
      <c r="BE27" s="141" t="str">
        <f ca="1">IFERROR(IF(AND(ISNUMBER($BA27), ISNUMBER(Futs!$CC27)), $BA27 - Futs!$CC27, ""), "")</f>
        <v/>
      </c>
      <c r="BF27" s="46" t="str">
        <f ca="1">IFERROR(IF(AND(ISNUMBER($BB27), ISNUMBER(Futs!$CD27)), $BB27 - Futs!$CD27, ""), "")</f>
        <v/>
      </c>
      <c r="BG27" s="47" t="str">
        <f t="shared" ca="1" si="112"/>
        <v/>
      </c>
      <c r="BH27" s="111" t="str">
        <f t="shared" ca="1" si="113"/>
        <v/>
      </c>
      <c r="BI27" s="397" t="str">
        <f ca="1">IFERROR(INDEX(ICE[], MATCH("mg9592" &amp; TEXT(Crd!$A27, "mmmyy"), ICE[LongCode], 0), MATCH("ICE Theoretical Price", ICE[#Headers], 0)), "")</f>
        <v/>
      </c>
      <c r="BJ27" s="364" t="str">
        <f ca="1">IFERROR(INDEX(ICE[], MATCH("mg9592" &amp; TEXT(Lts!$A27, "mmmyy"), ICE[LongCode], 0), MATCH("Text", ICE[#Headers], 0)), "")</f>
        <v xml:space="preserve"> /  </v>
      </c>
      <c r="BK27" s="46" t="str">
        <f t="shared" ca="1" si="88"/>
        <v/>
      </c>
      <c r="BL27" s="47" t="str">
        <f t="shared" ca="1" si="114"/>
        <v/>
      </c>
      <c r="BM27" s="46" t="str">
        <f t="shared" ca="1" si="115"/>
        <v/>
      </c>
      <c r="BN27" s="141" t="str">
        <f t="shared" ca="1" si="89"/>
        <v/>
      </c>
      <c r="BO27" s="46" t="str">
        <f t="shared" ca="1" si="90"/>
        <v/>
      </c>
      <c r="BP27" s="47" t="str">
        <f t="shared" ca="1" si="116"/>
        <v/>
      </c>
      <c r="BQ27" s="46" t="str">
        <f t="shared" ca="1" si="117"/>
        <v/>
      </c>
      <c r="BR27" s="141" t="str">
        <f ca="1">IFERROR(IF(AND(ISNUMBER($BN27), ISNUMBER(Futs!$CC27)), $BN27 - Futs!$CC27, ""), "")</f>
        <v/>
      </c>
      <c r="BS27" s="46" t="str">
        <f ca="1">IFERROR(IF(AND(ISNUMBER($BO27), ISNUMBER(Futs!$CD27)), $BO27 - Futs!$CD27, ""), "")</f>
        <v/>
      </c>
      <c r="BT27" s="47" t="str">
        <f t="shared" ca="1" si="118"/>
        <v/>
      </c>
      <c r="BU27" s="111" t="str">
        <f t="shared" ca="1" si="119"/>
        <v/>
      </c>
    </row>
    <row r="28" spans="1:73" x14ac:dyDescent="0.25">
      <c r="A28" s="58">
        <f t="shared" ca="1" si="91"/>
        <v>46539</v>
      </c>
      <c r="B28" s="6">
        <f t="shared" ca="1" si="74"/>
        <v>2027</v>
      </c>
      <c r="C28" s="6" t="str">
        <f t="shared" ca="1" si="75"/>
        <v>Q227</v>
      </c>
      <c r="D28" s="28">
        <f ca="1">INDEX(ICE[], MATCH(D$18 &amp; TEXT(Lts!$A28, "mmmyy"), ICE[LongCode], 0), MATCH("Settle", ICE[#Headers], 0))</f>
        <v>-7.431</v>
      </c>
      <c r="E28" s="28">
        <f ca="1">INDEX(ICE[], MATCH(E$18 &amp; TEXT(Lts!$A28, "mmmyy"), ICE[LongCode], 0), MATCH("Settle", ICE[#Headers], 0))</f>
        <v>23.388999999999999</v>
      </c>
      <c r="F28" s="28">
        <f ca="1">INDEX(ICE[], MATCH(F$18 &amp; TEXT(Lts!$A28, "mmmyy"), ICE[LongCode], 0), MATCH("Settle", ICE[#Headers], 0))</f>
        <v>29.75</v>
      </c>
      <c r="G28" s="28">
        <f ca="1">INDEX(ICE[], MATCH(G$18 &amp; TEXT(Lts!$A28, "mmmyy"), ICE[LongCode], 0), MATCH("Settle", ICE[#Headers], 0))</f>
        <v>-9.1029999999999998</v>
      </c>
      <c r="H28" s="28">
        <f ca="1">INDEX(ICE[], MATCH(H$18 &amp; TEXT(Lts!$A28, "mmmyy"), ICE[LongCode], 0), MATCH("Settle", ICE[#Headers], 0))</f>
        <v>2</v>
      </c>
      <c r="I28" s="397" t="str">
        <f ca="1">IFERROR(INDEX(ICE[], MATCH("napbrxbbl" &amp; TEXT(Crd!$A28, "mmmyy"), ICE[LongCode], 0), MATCH("ICE Theoretical Price", ICE[#Headers], 0)), "")</f>
        <v/>
      </c>
      <c r="J28" s="364" t="str">
        <f ca="1">IFERROR(INDEX(ICE[], MATCH("napbrx" &amp; TEXT(Lts!$A28, "mmmyy"), ICE[LongCode], 0), MATCH("Text", ICE[#Headers], 0)), "")</f>
        <v xml:space="preserve"> / -3.79  |154x</v>
      </c>
      <c r="K28" s="46" t="str">
        <f t="shared" ca="1" si="76"/>
        <v/>
      </c>
      <c r="L28" s="47" t="str">
        <f t="shared" ref="L28:L66" ca="1" si="120">IF(AND(ISNUMBER($I27), ISNUMBER($I28)), $I27 - $I28, "")</f>
        <v/>
      </c>
      <c r="M28" s="46" t="str">
        <f t="shared" ca="1" si="92"/>
        <v/>
      </c>
      <c r="N28" s="141" t="str">
        <f ca="1">IFERROR(IF(AND(ISNUMBER(Futs!$CC28), ISNUMBER($I28)), (Futs!$CC28 + $I28)*8.9, ""), "")</f>
        <v/>
      </c>
      <c r="O28" s="46" t="str">
        <f ca="1">IFERROR(IF(AND(ISNUMBER(Futs!$CD28), ISNUMBER($K28)), (Futs!$CD28 + $K28)*8.9, ""), "")</f>
        <v/>
      </c>
      <c r="P28" s="47" t="str">
        <f t="shared" ca="1" si="93"/>
        <v/>
      </c>
      <c r="Q28" s="111" t="str">
        <f t="shared" ca="1" si="94"/>
        <v/>
      </c>
      <c r="R28" s="397" t="str">
        <f ca="1">IFERROR(INDEX(ICE[], MATCH("ebobbrxbbl" &amp; TEXT(Crd!$A28, "mmmyy"), ICE[LongCode], 0), MATCH("ICE Theoretical Price", ICE[#Headers], 0)), "")</f>
        <v/>
      </c>
      <c r="S28" s="364" t="str">
        <f ca="1">IFERROR(INDEX(ICE[], MATCH("ebobbrx" &amp; TEXT(Lts!$A28, "mmmyy"), ICE[LongCode], 0), MATCH("Text", ICE[#Headers], 0)), "")</f>
        <v xml:space="preserve"> / 24.50  |75x</v>
      </c>
      <c r="T28" s="46" t="str">
        <f t="shared" ca="1" si="78"/>
        <v/>
      </c>
      <c r="U28" s="47" t="str">
        <f t="shared" ca="1" si="95"/>
        <v/>
      </c>
      <c r="V28" s="46" t="str">
        <f t="shared" ca="1" si="96"/>
        <v/>
      </c>
      <c r="W28" s="141" t="str">
        <f ca="1">IFERROR(IF(AND(ISNUMBER(Futs!$CC28), ISNUMBER($R28)), (Futs!$CC28 + $R28)*8.33, ""), "")</f>
        <v/>
      </c>
      <c r="X28" s="46" t="str">
        <f ca="1">IFERROR(IF(AND(ISNUMBER(Futs!$CD28), ISNUMBER($T28)), (Futs!$CD28 + $T28)*8.33, ""), "")</f>
        <v/>
      </c>
      <c r="Y28" s="47" t="str">
        <f t="shared" ca="1" si="97"/>
        <v/>
      </c>
      <c r="Z28" s="46" t="str">
        <f t="shared" ca="1" si="98"/>
        <v/>
      </c>
      <c r="AA28" s="141" t="str">
        <f t="shared" ca="1" si="79"/>
        <v/>
      </c>
      <c r="AB28" s="46" t="str">
        <f t="shared" ca="1" si="80"/>
        <v/>
      </c>
      <c r="AC28" s="47" t="str">
        <f t="shared" ca="1" si="99"/>
        <v/>
      </c>
      <c r="AD28" s="46" t="str">
        <f t="shared" ca="1" si="100"/>
        <v/>
      </c>
      <c r="AE28" s="141" t="str">
        <f ca="1">IFERROR(IF(AND(ISNUMBER(Futs!$CO28), ISNUMBER($W28)), Futs!$CO28 - $W28/8.33/42*100, ""), "")</f>
        <v/>
      </c>
      <c r="AF28" s="46" t="str">
        <f ca="1">IFERROR(IF(AND(ISNUMBER(Futs!$CP28), ISNUMBER($X28)), Futs!$CP28 - $X28/8.33/42*100, ""), "")</f>
        <v/>
      </c>
      <c r="AG28" s="47" t="str">
        <f t="shared" ca="1" si="101"/>
        <v/>
      </c>
      <c r="AH28" s="111" t="str">
        <f t="shared" ca="1" si="102"/>
        <v/>
      </c>
      <c r="AI28" s="397" t="str">
        <f ca="1">IFERROR(INDEX(ICE[], MATCH("napew" &amp; TEXT(Crd!$A28, "mmmyy"), ICE[LongCode], 0), MATCH("ICE Theoretical Price", ICE[#Headers], 0)), "")</f>
        <v/>
      </c>
      <c r="AJ28" s="364" t="str">
        <f ca="1">IFERROR(INDEX(ICE[], MATCH("napew" &amp; TEXT(Lts!$A28, "mmmyy"), ICE[LongCode], 0), MATCH("Text", ICE[#Headers], 0)), "")</f>
        <v>6.00 / 54.00  |11x</v>
      </c>
      <c r="AK28" s="46" t="str">
        <f t="shared" ca="1" si="81"/>
        <v/>
      </c>
      <c r="AL28" s="47" t="str">
        <f t="shared" ca="1" si="103"/>
        <v/>
      </c>
      <c r="AM28" s="46" t="str">
        <f t="shared" ca="1" si="104"/>
        <v/>
      </c>
      <c r="AN28" s="141" t="str">
        <f t="shared" ca="1" si="82"/>
        <v/>
      </c>
      <c r="AO28" s="46" t="str">
        <f t="shared" ca="1" si="83"/>
        <v/>
      </c>
      <c r="AP28" s="47" t="str">
        <f t="shared" ca="1" si="84"/>
        <v/>
      </c>
      <c r="AQ28" s="46" t="str">
        <f t="shared" ca="1" si="105"/>
        <v/>
      </c>
      <c r="AR28" s="141" t="str">
        <f ca="1">IFERROR(IF(AND(ISNUMBER($AN28), ISNUMBER(Futs!$CC28)), $AN28/8.9 - Futs!$CC28, ""), "")</f>
        <v/>
      </c>
      <c r="AS28" s="46" t="str">
        <f ca="1">IFERROR(IF(AND(ISNUMBER($AO28), ISNUMBER(Futs!$CD28)), $AO28/8.9 - Futs!$CD28, ""), "")</f>
        <v/>
      </c>
      <c r="AT28" s="47" t="str">
        <f t="shared" ca="1" si="106"/>
        <v/>
      </c>
      <c r="AU28" s="111" t="str">
        <f t="shared" ca="1" si="107"/>
        <v/>
      </c>
      <c r="AV28" s="397" t="str">
        <f ca="1">IFERROR(INDEX(ICE[], MATCH("mg92ebob" &amp; TEXT(Crd!$A28, "mmmyy"), ICE[LongCode], 0), MATCH("ICE Theoretical Price", ICE[#Headers], 0)), "")</f>
        <v/>
      </c>
      <c r="AW28" s="364" t="str">
        <f ca="1">IFERROR(INDEX(ICE[], MATCH("mg92ebob" &amp; TEXT(Lts!$A28, "mmmyy"), ICE[LongCode], 0), MATCH("Text", ICE[#Headers], 0)), "")</f>
        <v xml:space="preserve">-10.25 / -9.05 </v>
      </c>
      <c r="AX28" s="46" t="str">
        <f t="shared" ca="1" si="85"/>
        <v/>
      </c>
      <c r="AY28" s="47" t="str">
        <f t="shared" ca="1" si="108"/>
        <v/>
      </c>
      <c r="AZ28" s="46" t="str">
        <f t="shared" ca="1" si="109"/>
        <v/>
      </c>
      <c r="BA28" s="141" t="str">
        <f t="shared" ca="1" si="86"/>
        <v/>
      </c>
      <c r="BB28" s="46" t="str">
        <f t="shared" ca="1" si="87"/>
        <v/>
      </c>
      <c r="BC28" s="47" t="str">
        <f t="shared" ca="1" si="110"/>
        <v/>
      </c>
      <c r="BD28" s="46" t="str">
        <f t="shared" ca="1" si="111"/>
        <v/>
      </c>
      <c r="BE28" s="141" t="str">
        <f ca="1">IFERROR(IF(AND(ISNUMBER($BA28), ISNUMBER(Futs!$CC28)), $BA28 - Futs!$CC28, ""), "")</f>
        <v/>
      </c>
      <c r="BF28" s="46" t="str">
        <f ca="1">IFERROR(IF(AND(ISNUMBER($BB28), ISNUMBER(Futs!$CD28)), $BB28 - Futs!$CD28, ""), "")</f>
        <v/>
      </c>
      <c r="BG28" s="47" t="str">
        <f t="shared" ca="1" si="112"/>
        <v/>
      </c>
      <c r="BH28" s="111" t="str">
        <f t="shared" ca="1" si="113"/>
        <v/>
      </c>
      <c r="BI28" s="397" t="str">
        <f ca="1">IFERROR(INDEX(ICE[], MATCH("mg9592" &amp; TEXT(Crd!$A28, "mmmyy"), ICE[LongCode], 0), MATCH("ICE Theoretical Price", ICE[#Headers], 0)), "")</f>
        <v/>
      </c>
      <c r="BJ28" s="364" t="str">
        <f ca="1">IFERROR(INDEX(ICE[], MATCH("mg9592" &amp; TEXT(Lts!$A28, "mmmyy"), ICE[LongCode], 0), MATCH("Text", ICE[#Headers], 0)), "")</f>
        <v xml:space="preserve"> /  </v>
      </c>
      <c r="BK28" s="46" t="str">
        <f t="shared" ca="1" si="88"/>
        <v/>
      </c>
      <c r="BL28" s="47" t="str">
        <f t="shared" ca="1" si="114"/>
        <v/>
      </c>
      <c r="BM28" s="46" t="str">
        <f t="shared" ca="1" si="115"/>
        <v/>
      </c>
      <c r="BN28" s="141" t="str">
        <f t="shared" ca="1" si="89"/>
        <v/>
      </c>
      <c r="BO28" s="46" t="str">
        <f t="shared" ca="1" si="90"/>
        <v/>
      </c>
      <c r="BP28" s="47" t="str">
        <f t="shared" ca="1" si="116"/>
        <v/>
      </c>
      <c r="BQ28" s="46" t="str">
        <f t="shared" ca="1" si="117"/>
        <v/>
      </c>
      <c r="BR28" s="141" t="str">
        <f ca="1">IFERROR(IF(AND(ISNUMBER($BN28), ISNUMBER(Futs!$CC28)), $BN28 - Futs!$CC28, ""), "")</f>
        <v/>
      </c>
      <c r="BS28" s="46" t="str">
        <f ca="1">IFERROR(IF(AND(ISNUMBER($BO28), ISNUMBER(Futs!$CD28)), $BO28 - Futs!$CD28, ""), "")</f>
        <v/>
      </c>
      <c r="BT28" s="47" t="str">
        <f t="shared" ca="1" si="118"/>
        <v/>
      </c>
      <c r="BU28" s="111" t="str">
        <f t="shared" ca="1" si="119"/>
        <v/>
      </c>
    </row>
    <row r="29" spans="1:73" x14ac:dyDescent="0.25">
      <c r="A29" s="58">
        <f t="shared" ca="1" si="91"/>
        <v>46569</v>
      </c>
      <c r="B29" s="6">
        <f t="shared" ca="1" si="74"/>
        <v>2027</v>
      </c>
      <c r="C29" s="6" t="str">
        <f t="shared" ca="1" si="75"/>
        <v>Q327</v>
      </c>
      <c r="D29" s="28">
        <f ca="1">INDEX(ICE[], MATCH(D$18 &amp; TEXT(Lts!$A29, "mmmyy"), ICE[LongCode], 0), MATCH("Settle", ICE[#Headers], 0))</f>
        <v>-7.7130000000000001</v>
      </c>
      <c r="E29" s="28">
        <f ca="1">INDEX(ICE[], MATCH(E$18 &amp; TEXT(Lts!$A29, "mmmyy"), ICE[LongCode], 0), MATCH("Settle", ICE[#Headers], 0))</f>
        <v>22.205000000000002</v>
      </c>
      <c r="F29" s="28">
        <f ca="1">INDEX(ICE[], MATCH(F$18 &amp; TEXT(Lts!$A29, "mmmyy"), ICE[LongCode], 0), MATCH("Settle", ICE[#Headers], 0))</f>
        <v>28</v>
      </c>
      <c r="G29" s="28">
        <f ca="1">INDEX(ICE[], MATCH(G$18 &amp; TEXT(Lts!$A29, "mmmyy"), ICE[LongCode], 0), MATCH("Settle", ICE[#Headers], 0))</f>
        <v>-8.6020000000000003</v>
      </c>
      <c r="H29" s="28">
        <f ca="1">INDEX(ICE[], MATCH(H$18 &amp; TEXT(Lts!$A29, "mmmyy"), ICE[LongCode], 0), MATCH("Settle", ICE[#Headers], 0))</f>
        <v>2</v>
      </c>
      <c r="I29" s="397" t="str">
        <f ca="1">IFERROR(INDEX(ICE[], MATCH("napbrxbbl" &amp; TEXT(Crd!$A29, "mmmyy"), ICE[LongCode], 0), MATCH("ICE Theoretical Price", ICE[#Headers], 0)), "")</f>
        <v/>
      </c>
      <c r="J29" s="364" t="str">
        <f ca="1">IFERROR(INDEX(ICE[], MATCH("napbrx" &amp; TEXT(Lts!$A29, "mmmyy"), ICE[LongCode], 0), MATCH("Text", ICE[#Headers], 0)), "")</f>
        <v xml:space="preserve"> / -4.05  |123x</v>
      </c>
      <c r="K29" s="46" t="str">
        <f t="shared" ca="1" si="76"/>
        <v/>
      </c>
      <c r="L29" s="47" t="str">
        <f t="shared" ca="1" si="120"/>
        <v/>
      </c>
      <c r="M29" s="46" t="str">
        <f t="shared" ca="1" si="92"/>
        <v/>
      </c>
      <c r="N29" s="141" t="str">
        <f ca="1">IFERROR(IF(AND(ISNUMBER(Futs!$CC29), ISNUMBER($I29)), (Futs!$CC29 + $I29)*8.9, ""), "")</f>
        <v/>
      </c>
      <c r="O29" s="46" t="str">
        <f ca="1">IFERROR(IF(AND(ISNUMBER(Futs!$CD29), ISNUMBER($K29)), (Futs!$CD29 + $K29)*8.9, ""), "")</f>
        <v/>
      </c>
      <c r="P29" s="47" t="str">
        <f t="shared" ca="1" si="93"/>
        <v/>
      </c>
      <c r="Q29" s="111" t="str">
        <f t="shared" ca="1" si="94"/>
        <v/>
      </c>
      <c r="R29" s="397" t="str">
        <f ca="1">IFERROR(INDEX(ICE[], MATCH("ebobbrxbbl" &amp; TEXT(Crd!$A29, "mmmyy"), ICE[LongCode], 0), MATCH("ICE Theoretical Price", ICE[#Headers], 0)), "")</f>
        <v/>
      </c>
      <c r="S29" s="364" t="str">
        <f ca="1">IFERROR(INDEX(ICE[], MATCH("ebobbrx" &amp; TEXT(Lts!$A29, "mmmyy"), ICE[LongCode], 0), MATCH("Text", ICE[#Headers], 0)), "")</f>
        <v xml:space="preserve"> / 23.25  |50x</v>
      </c>
      <c r="T29" s="46" t="str">
        <f t="shared" ca="1" si="78"/>
        <v/>
      </c>
      <c r="U29" s="47" t="str">
        <f t="shared" ca="1" si="95"/>
        <v/>
      </c>
      <c r="V29" s="46" t="str">
        <f t="shared" ca="1" si="96"/>
        <v/>
      </c>
      <c r="W29" s="141" t="str">
        <f ca="1">IFERROR(IF(AND(ISNUMBER(Futs!$CC29), ISNUMBER($R29)), (Futs!$CC29 + $R29)*8.33, ""), "")</f>
        <v/>
      </c>
      <c r="X29" s="46" t="str">
        <f ca="1">IFERROR(IF(AND(ISNUMBER(Futs!$CD29), ISNUMBER($T29)), (Futs!$CD29 + $T29)*8.33, ""), "")</f>
        <v/>
      </c>
      <c r="Y29" s="47" t="str">
        <f t="shared" ca="1" si="97"/>
        <v/>
      </c>
      <c r="Z29" s="46" t="str">
        <f t="shared" ca="1" si="98"/>
        <v/>
      </c>
      <c r="AA29" s="141" t="str">
        <f t="shared" ca="1" si="79"/>
        <v/>
      </c>
      <c r="AB29" s="46" t="str">
        <f t="shared" ca="1" si="80"/>
        <v/>
      </c>
      <c r="AC29" s="47" t="str">
        <f t="shared" ca="1" si="99"/>
        <v/>
      </c>
      <c r="AD29" s="46" t="str">
        <f t="shared" ca="1" si="100"/>
        <v/>
      </c>
      <c r="AE29" s="141" t="str">
        <f ca="1">IFERROR(IF(AND(ISNUMBER(Futs!$CO29), ISNUMBER($W29)), Futs!$CO29 - $W29/8.33/42*100, ""), "")</f>
        <v/>
      </c>
      <c r="AF29" s="46" t="str">
        <f ca="1">IFERROR(IF(AND(ISNUMBER(Futs!$CP29), ISNUMBER($X29)), Futs!$CP29 - $X29/8.33/42*100, ""), "")</f>
        <v/>
      </c>
      <c r="AG29" s="47" t="str">
        <f t="shared" ca="1" si="101"/>
        <v/>
      </c>
      <c r="AH29" s="111" t="str">
        <f t="shared" ca="1" si="102"/>
        <v/>
      </c>
      <c r="AI29" s="397" t="str">
        <f ca="1">IFERROR(INDEX(ICE[], MATCH("napew" &amp; TEXT(Crd!$A29, "mmmyy"), ICE[LongCode], 0), MATCH("ICE Theoretical Price", ICE[#Headers], 0)), "")</f>
        <v/>
      </c>
      <c r="AJ29" s="364" t="str">
        <f ca="1">IFERROR(INDEX(ICE[], MATCH("napew" &amp; TEXT(Lts!$A29, "mmmyy"), ICE[LongCode], 0), MATCH("Text", ICE[#Headers], 0)), "")</f>
        <v>4.25 / 52.25  |6x</v>
      </c>
      <c r="AK29" s="46" t="str">
        <f t="shared" ca="1" si="81"/>
        <v/>
      </c>
      <c r="AL29" s="47" t="str">
        <f t="shared" ca="1" si="103"/>
        <v/>
      </c>
      <c r="AM29" s="46" t="str">
        <f t="shared" ca="1" si="104"/>
        <v/>
      </c>
      <c r="AN29" s="141" t="str">
        <f t="shared" ca="1" si="82"/>
        <v/>
      </c>
      <c r="AO29" s="46" t="str">
        <f t="shared" ca="1" si="83"/>
        <v/>
      </c>
      <c r="AP29" s="47" t="str">
        <f t="shared" ca="1" si="84"/>
        <v/>
      </c>
      <c r="AQ29" s="46" t="str">
        <f t="shared" ca="1" si="105"/>
        <v/>
      </c>
      <c r="AR29" s="141" t="str">
        <f ca="1">IFERROR(IF(AND(ISNUMBER($AN29), ISNUMBER(Futs!$CC29)), $AN29/8.9 - Futs!$CC29, ""), "")</f>
        <v/>
      </c>
      <c r="AS29" s="46" t="str">
        <f ca="1">IFERROR(IF(AND(ISNUMBER($AO29), ISNUMBER(Futs!$CD29)), $AO29/8.9 - Futs!$CD29, ""), "")</f>
        <v/>
      </c>
      <c r="AT29" s="47" t="str">
        <f t="shared" ca="1" si="106"/>
        <v/>
      </c>
      <c r="AU29" s="111" t="str">
        <f t="shared" ca="1" si="107"/>
        <v/>
      </c>
      <c r="AV29" s="397" t="str">
        <f ca="1">IFERROR(INDEX(ICE[], MATCH("mg92ebob" &amp; TEXT(Crd!$A29, "mmmyy"), ICE[LongCode], 0), MATCH("ICE Theoretical Price", ICE[#Headers], 0)), "")</f>
        <v/>
      </c>
      <c r="AW29" s="364" t="str">
        <f ca="1">IFERROR(INDEX(ICE[], MATCH("mg92ebob" &amp; TEXT(Lts!$A29, "mmmyy"), ICE[LongCode], 0), MATCH("Text", ICE[#Headers], 0)), "")</f>
        <v xml:space="preserve">-9.75 / -8.55 </v>
      </c>
      <c r="AX29" s="46" t="str">
        <f t="shared" ca="1" si="85"/>
        <v/>
      </c>
      <c r="AY29" s="47" t="str">
        <f t="shared" ca="1" si="108"/>
        <v/>
      </c>
      <c r="AZ29" s="46" t="str">
        <f t="shared" ca="1" si="109"/>
        <v/>
      </c>
      <c r="BA29" s="141" t="str">
        <f t="shared" ca="1" si="86"/>
        <v/>
      </c>
      <c r="BB29" s="46" t="str">
        <f t="shared" ca="1" si="87"/>
        <v/>
      </c>
      <c r="BC29" s="47" t="str">
        <f t="shared" ca="1" si="110"/>
        <v/>
      </c>
      <c r="BD29" s="46" t="str">
        <f t="shared" ca="1" si="111"/>
        <v/>
      </c>
      <c r="BE29" s="141" t="str">
        <f ca="1">IFERROR(IF(AND(ISNUMBER($BA29), ISNUMBER(Futs!$CC29)), $BA29 - Futs!$CC29, ""), "")</f>
        <v/>
      </c>
      <c r="BF29" s="46" t="str">
        <f ca="1">IFERROR(IF(AND(ISNUMBER($BB29), ISNUMBER(Futs!$CD29)), $BB29 - Futs!$CD29, ""), "")</f>
        <v/>
      </c>
      <c r="BG29" s="47" t="str">
        <f t="shared" ca="1" si="112"/>
        <v/>
      </c>
      <c r="BH29" s="111" t="str">
        <f t="shared" ca="1" si="113"/>
        <v/>
      </c>
      <c r="BI29" s="397" t="str">
        <f ca="1">IFERROR(INDEX(ICE[], MATCH("mg9592" &amp; TEXT(Crd!$A29, "mmmyy"), ICE[LongCode], 0), MATCH("ICE Theoretical Price", ICE[#Headers], 0)), "")</f>
        <v/>
      </c>
      <c r="BJ29" s="364" t="str">
        <f ca="1">IFERROR(INDEX(ICE[], MATCH("mg9592" &amp; TEXT(Lts!$A29, "mmmyy"), ICE[LongCode], 0), MATCH("Text", ICE[#Headers], 0)), "")</f>
        <v xml:space="preserve"> /  </v>
      </c>
      <c r="BK29" s="46" t="str">
        <f t="shared" ca="1" si="88"/>
        <v/>
      </c>
      <c r="BL29" s="47" t="str">
        <f t="shared" ca="1" si="114"/>
        <v/>
      </c>
      <c r="BM29" s="46" t="str">
        <f t="shared" ca="1" si="115"/>
        <v/>
      </c>
      <c r="BN29" s="141" t="str">
        <f t="shared" ca="1" si="89"/>
        <v/>
      </c>
      <c r="BO29" s="46" t="str">
        <f t="shared" ca="1" si="90"/>
        <v/>
      </c>
      <c r="BP29" s="47" t="str">
        <f t="shared" ca="1" si="116"/>
        <v/>
      </c>
      <c r="BQ29" s="46" t="str">
        <f t="shared" ca="1" si="117"/>
        <v/>
      </c>
      <c r="BR29" s="141" t="str">
        <f ca="1">IFERROR(IF(AND(ISNUMBER($BN29), ISNUMBER(Futs!$CC29)), $BN29 - Futs!$CC29, ""), "")</f>
        <v/>
      </c>
      <c r="BS29" s="46" t="str">
        <f ca="1">IFERROR(IF(AND(ISNUMBER($BO29), ISNUMBER(Futs!$CD29)), $BO29 - Futs!$CD29, ""), "")</f>
        <v/>
      </c>
      <c r="BT29" s="47" t="str">
        <f t="shared" ca="1" si="118"/>
        <v/>
      </c>
      <c r="BU29" s="111" t="str">
        <f t="shared" ca="1" si="119"/>
        <v/>
      </c>
    </row>
    <row r="30" spans="1:73" x14ac:dyDescent="0.25">
      <c r="A30" s="58">
        <f t="shared" ca="1" si="91"/>
        <v>46600</v>
      </c>
      <c r="B30" s="6">
        <f t="shared" ca="1" si="74"/>
        <v>2027</v>
      </c>
      <c r="C30" s="6" t="str">
        <f t="shared" ca="1" si="75"/>
        <v>Q327</v>
      </c>
      <c r="D30" s="28">
        <f ca="1">INDEX(ICE[], MATCH(D$18 &amp; TEXT(Lts!$A30, "mmmyy"), ICE[LongCode], 0), MATCH("Settle", ICE[#Headers], 0))</f>
        <v>-7.907</v>
      </c>
      <c r="E30" s="28">
        <f ca="1">INDEX(ICE[], MATCH(E$18 &amp; TEXT(Lts!$A30, "mmmyy"), ICE[LongCode], 0), MATCH("Settle", ICE[#Headers], 0))</f>
        <v>20.881</v>
      </c>
      <c r="F30" s="28">
        <f ca="1">INDEX(ICE[], MATCH(F$18 &amp; TEXT(Lts!$A30, "mmmyy"), ICE[LongCode], 0), MATCH("Settle", ICE[#Headers], 0))</f>
        <v>26.25</v>
      </c>
      <c r="G30" s="28">
        <f ca="1">INDEX(ICE[], MATCH(G$18 &amp; TEXT(Lts!$A30, "mmmyy"), ICE[LongCode], 0), MATCH("Settle", ICE[#Headers], 0))</f>
        <v>-8.0910000000000011</v>
      </c>
      <c r="H30" s="28">
        <f ca="1">INDEX(ICE[], MATCH(H$18 &amp; TEXT(Lts!$A30, "mmmyy"), ICE[LongCode], 0), MATCH("Settle", ICE[#Headers], 0))</f>
        <v>2</v>
      </c>
      <c r="I30" s="397" t="str">
        <f ca="1">IFERROR(INDEX(ICE[], MATCH("napbrxbbl" &amp; TEXT(Crd!$A30, "mmmyy"), ICE[LongCode], 0), MATCH("ICE Theoretical Price", ICE[#Headers], 0)), "")</f>
        <v/>
      </c>
      <c r="J30" s="364" t="str">
        <f ca="1">IFERROR(INDEX(ICE[], MATCH("napbrx" &amp; TEXT(Lts!$A30, "mmmyy"), ICE[LongCode], 0), MATCH("Text", ICE[#Headers], 0)), "")</f>
        <v xml:space="preserve"> / -4.22  |123x</v>
      </c>
      <c r="K30" s="46" t="str">
        <f t="shared" ca="1" si="76"/>
        <v/>
      </c>
      <c r="L30" s="47" t="str">
        <f t="shared" ca="1" si="120"/>
        <v/>
      </c>
      <c r="M30" s="46" t="str">
        <f t="shared" ca="1" si="92"/>
        <v/>
      </c>
      <c r="N30" s="141" t="str">
        <f ca="1">IFERROR(IF(AND(ISNUMBER(Futs!$CC30), ISNUMBER($I30)), (Futs!$CC30 + $I30)*8.9, ""), "")</f>
        <v/>
      </c>
      <c r="O30" s="46" t="str">
        <f ca="1">IFERROR(IF(AND(ISNUMBER(Futs!$CD30), ISNUMBER($K30)), (Futs!$CD30 + $K30)*8.9, ""), "")</f>
        <v/>
      </c>
      <c r="P30" s="47" t="str">
        <f t="shared" ca="1" si="93"/>
        <v/>
      </c>
      <c r="Q30" s="111" t="str">
        <f t="shared" ca="1" si="94"/>
        <v/>
      </c>
      <c r="R30" s="397" t="str">
        <f ca="1">IFERROR(INDEX(ICE[], MATCH("ebobbrxbbl" &amp; TEXT(Crd!$A30, "mmmyy"), ICE[LongCode], 0), MATCH("ICE Theoretical Price", ICE[#Headers], 0)), "")</f>
        <v/>
      </c>
      <c r="S30" s="364" t="str">
        <f ca="1">IFERROR(INDEX(ICE[], MATCH("ebobbrx" &amp; TEXT(Lts!$A30, "mmmyy"), ICE[LongCode], 0), MATCH("Text", ICE[#Headers], 0)), "")</f>
        <v xml:space="preserve"> / 21.75  |50x</v>
      </c>
      <c r="T30" s="46" t="str">
        <f t="shared" ca="1" si="78"/>
        <v/>
      </c>
      <c r="U30" s="47" t="str">
        <f t="shared" ca="1" si="95"/>
        <v/>
      </c>
      <c r="V30" s="46" t="str">
        <f t="shared" ca="1" si="96"/>
        <v/>
      </c>
      <c r="W30" s="141" t="str">
        <f ca="1">IFERROR(IF(AND(ISNUMBER(Futs!$CC30), ISNUMBER($R30)), (Futs!$CC30 + $R30)*8.33, ""), "")</f>
        <v/>
      </c>
      <c r="X30" s="46" t="str">
        <f ca="1">IFERROR(IF(AND(ISNUMBER(Futs!$CD30), ISNUMBER($T30)), (Futs!$CD30 + $T30)*8.33, ""), "")</f>
        <v/>
      </c>
      <c r="Y30" s="47" t="str">
        <f t="shared" ca="1" si="97"/>
        <v/>
      </c>
      <c r="Z30" s="46" t="str">
        <f t="shared" ca="1" si="98"/>
        <v/>
      </c>
      <c r="AA30" s="141" t="str">
        <f t="shared" ca="1" si="79"/>
        <v/>
      </c>
      <c r="AB30" s="46" t="str">
        <f t="shared" ca="1" si="80"/>
        <v/>
      </c>
      <c r="AC30" s="47" t="str">
        <f t="shared" ca="1" si="99"/>
        <v/>
      </c>
      <c r="AD30" s="46" t="str">
        <f t="shared" ca="1" si="100"/>
        <v/>
      </c>
      <c r="AE30" s="141" t="str">
        <f ca="1">IFERROR(IF(AND(ISNUMBER(Futs!$CO30), ISNUMBER($W30)), Futs!$CO30 - $W30/8.33/42*100, ""), "")</f>
        <v/>
      </c>
      <c r="AF30" s="46" t="str">
        <f ca="1">IFERROR(IF(AND(ISNUMBER(Futs!$CP30), ISNUMBER($X30)), Futs!$CP30 - $X30/8.33/42*100, ""), "")</f>
        <v/>
      </c>
      <c r="AG30" s="47" t="str">
        <f t="shared" ca="1" si="101"/>
        <v/>
      </c>
      <c r="AH30" s="111" t="str">
        <f t="shared" ca="1" si="102"/>
        <v/>
      </c>
      <c r="AI30" s="397" t="str">
        <f ca="1">IFERROR(INDEX(ICE[], MATCH("napew" &amp; TEXT(Crd!$A30, "mmmyy"), ICE[LongCode], 0), MATCH("ICE Theoretical Price", ICE[#Headers], 0)), "")</f>
        <v/>
      </c>
      <c r="AJ30" s="364" t="str">
        <f ca="1">IFERROR(INDEX(ICE[], MATCH("napew" &amp; TEXT(Lts!$A30, "mmmyy"), ICE[LongCode], 0), MATCH("Text", ICE[#Headers], 0)), "")</f>
        <v>2.50 / 50.50  |6x</v>
      </c>
      <c r="AK30" s="46" t="str">
        <f t="shared" ca="1" si="81"/>
        <v/>
      </c>
      <c r="AL30" s="47" t="str">
        <f t="shared" ca="1" si="103"/>
        <v/>
      </c>
      <c r="AM30" s="46" t="str">
        <f t="shared" ca="1" si="104"/>
        <v/>
      </c>
      <c r="AN30" s="141" t="str">
        <f t="shared" ca="1" si="82"/>
        <v/>
      </c>
      <c r="AO30" s="46" t="str">
        <f t="shared" ca="1" si="83"/>
        <v/>
      </c>
      <c r="AP30" s="47" t="str">
        <f t="shared" ca="1" si="84"/>
        <v/>
      </c>
      <c r="AQ30" s="46" t="str">
        <f t="shared" ca="1" si="105"/>
        <v/>
      </c>
      <c r="AR30" s="141" t="str">
        <f ca="1">IFERROR(IF(AND(ISNUMBER($AN30), ISNUMBER(Futs!$CC30)), $AN30/8.9 - Futs!$CC30, ""), "")</f>
        <v/>
      </c>
      <c r="AS30" s="46" t="str">
        <f ca="1">IFERROR(IF(AND(ISNUMBER($AO30), ISNUMBER(Futs!$CD30)), $AO30/8.9 - Futs!$CD30, ""), "")</f>
        <v/>
      </c>
      <c r="AT30" s="47" t="str">
        <f t="shared" ca="1" si="106"/>
        <v/>
      </c>
      <c r="AU30" s="111" t="str">
        <f t="shared" ca="1" si="107"/>
        <v/>
      </c>
      <c r="AV30" s="397" t="str">
        <f ca="1">IFERROR(INDEX(ICE[], MATCH("mg92ebob" &amp; TEXT(Crd!$A30, "mmmyy"), ICE[LongCode], 0), MATCH("ICE Theoretical Price", ICE[#Headers], 0)), "")</f>
        <v/>
      </c>
      <c r="AW30" s="364" t="str">
        <f ca="1">IFERROR(INDEX(ICE[], MATCH("mg92ebob" &amp; TEXT(Lts!$A30, "mmmyy"), ICE[LongCode], 0), MATCH("Text", ICE[#Headers], 0)), "")</f>
        <v xml:space="preserve">-9.15 / -7.95 </v>
      </c>
      <c r="AX30" s="46" t="str">
        <f t="shared" ca="1" si="85"/>
        <v/>
      </c>
      <c r="AY30" s="47" t="str">
        <f t="shared" ca="1" si="108"/>
        <v/>
      </c>
      <c r="AZ30" s="46" t="str">
        <f t="shared" ca="1" si="109"/>
        <v/>
      </c>
      <c r="BA30" s="141" t="str">
        <f t="shared" ca="1" si="86"/>
        <v/>
      </c>
      <c r="BB30" s="46" t="str">
        <f t="shared" ca="1" si="87"/>
        <v/>
      </c>
      <c r="BC30" s="47" t="str">
        <f t="shared" ca="1" si="110"/>
        <v/>
      </c>
      <c r="BD30" s="46" t="str">
        <f t="shared" ca="1" si="111"/>
        <v/>
      </c>
      <c r="BE30" s="141" t="str">
        <f ca="1">IFERROR(IF(AND(ISNUMBER($BA30), ISNUMBER(Futs!$CC30)), $BA30 - Futs!$CC30, ""), "")</f>
        <v/>
      </c>
      <c r="BF30" s="46" t="str">
        <f ca="1">IFERROR(IF(AND(ISNUMBER($BB30), ISNUMBER(Futs!$CD30)), $BB30 - Futs!$CD30, ""), "")</f>
        <v/>
      </c>
      <c r="BG30" s="47" t="str">
        <f t="shared" ca="1" si="112"/>
        <v/>
      </c>
      <c r="BH30" s="111" t="str">
        <f t="shared" ca="1" si="113"/>
        <v/>
      </c>
      <c r="BI30" s="397" t="str">
        <f ca="1">IFERROR(INDEX(ICE[], MATCH("mg9592" &amp; TEXT(Crd!$A30, "mmmyy"), ICE[LongCode], 0), MATCH("ICE Theoretical Price", ICE[#Headers], 0)), "")</f>
        <v/>
      </c>
      <c r="BJ30" s="364" t="str">
        <f ca="1">IFERROR(INDEX(ICE[], MATCH("mg9592" &amp; TEXT(Lts!$A30, "mmmyy"), ICE[LongCode], 0), MATCH("Text", ICE[#Headers], 0)), "")</f>
        <v xml:space="preserve"> /  </v>
      </c>
      <c r="BK30" s="46" t="str">
        <f t="shared" ca="1" si="88"/>
        <v/>
      </c>
      <c r="BL30" s="47" t="str">
        <f t="shared" ca="1" si="114"/>
        <v/>
      </c>
      <c r="BM30" s="46" t="str">
        <f t="shared" ca="1" si="115"/>
        <v/>
      </c>
      <c r="BN30" s="141" t="str">
        <f t="shared" ca="1" si="89"/>
        <v/>
      </c>
      <c r="BO30" s="46" t="str">
        <f t="shared" ca="1" si="90"/>
        <v/>
      </c>
      <c r="BP30" s="47" t="str">
        <f t="shared" ca="1" si="116"/>
        <v/>
      </c>
      <c r="BQ30" s="46" t="str">
        <f t="shared" ca="1" si="117"/>
        <v/>
      </c>
      <c r="BR30" s="141" t="str">
        <f ca="1">IFERROR(IF(AND(ISNUMBER($BN30), ISNUMBER(Futs!$CC30)), $BN30 - Futs!$CC30, ""), "")</f>
        <v/>
      </c>
      <c r="BS30" s="46" t="str">
        <f ca="1">IFERROR(IF(AND(ISNUMBER($BO30), ISNUMBER(Futs!$CD30)), $BO30 - Futs!$CD30, ""), "")</f>
        <v/>
      </c>
      <c r="BT30" s="47" t="str">
        <f t="shared" ca="1" si="118"/>
        <v/>
      </c>
      <c r="BU30" s="111" t="str">
        <f t="shared" ca="1" si="119"/>
        <v/>
      </c>
    </row>
    <row r="31" spans="1:73" x14ac:dyDescent="0.25">
      <c r="A31" s="58">
        <f t="shared" ca="1" si="91"/>
        <v>46631</v>
      </c>
      <c r="B31" s="6">
        <f t="shared" ca="1" si="74"/>
        <v>2027</v>
      </c>
      <c r="C31" s="6" t="str">
        <f t="shared" ca="1" si="75"/>
        <v>Q327</v>
      </c>
      <c r="D31" s="28">
        <f ca="1">INDEX(ICE[], MATCH(D$18 &amp; TEXT(Lts!$A31, "mmmyy"), ICE[LongCode], 0), MATCH("Settle", ICE[#Headers], 0))</f>
        <v>-7.99</v>
      </c>
      <c r="E31" s="28">
        <f ca="1">INDEX(ICE[], MATCH(E$18 &amp; TEXT(Lts!$A31, "mmmyy"), ICE[LongCode], 0), MATCH("Settle", ICE[#Headers], 0))</f>
        <v>18.988</v>
      </c>
      <c r="F31" s="28">
        <f ca="1">INDEX(ICE[], MATCH(F$18 &amp; TEXT(Lts!$A31, "mmmyy"), ICE[LongCode], 0), MATCH("Settle", ICE[#Headers], 0))</f>
        <v>25.25</v>
      </c>
      <c r="G31" s="28">
        <f ca="1">INDEX(ICE[], MATCH(G$18 &amp; TEXT(Lts!$A31, "mmmyy"), ICE[LongCode], 0), MATCH("Settle", ICE[#Headers], 0))</f>
        <v>-7.12</v>
      </c>
      <c r="H31" s="28">
        <f ca="1">INDEX(ICE[], MATCH(H$18 &amp; TEXT(Lts!$A31, "mmmyy"), ICE[LongCode], 0), MATCH("Settle", ICE[#Headers], 0))</f>
        <v>2</v>
      </c>
      <c r="I31" s="397" t="str">
        <f ca="1">IFERROR(INDEX(ICE[], MATCH("napbrxbbl" &amp; TEXT(Crd!$A31, "mmmyy"), ICE[LongCode], 0), MATCH("ICE Theoretical Price", ICE[#Headers], 0)), "")</f>
        <v/>
      </c>
      <c r="J31" s="364" t="str">
        <f ca="1">IFERROR(INDEX(ICE[], MATCH("napbrx" &amp; TEXT(Lts!$A31, "mmmyy"), ICE[LongCode], 0), MATCH("Text", ICE[#Headers], 0)), "")</f>
        <v xml:space="preserve"> / -4.30  |123x</v>
      </c>
      <c r="K31" s="46" t="str">
        <f t="shared" ca="1" si="76"/>
        <v/>
      </c>
      <c r="L31" s="47" t="str">
        <f t="shared" ca="1" si="120"/>
        <v/>
      </c>
      <c r="M31" s="46" t="str">
        <f t="shared" ca="1" si="92"/>
        <v/>
      </c>
      <c r="N31" s="141" t="str">
        <f ca="1">IFERROR(IF(AND(ISNUMBER(Futs!$CC31), ISNUMBER($I31)), (Futs!$CC31 + $I31)*8.9, ""), "")</f>
        <v/>
      </c>
      <c r="O31" s="46" t="str">
        <f ca="1">IFERROR(IF(AND(ISNUMBER(Futs!$CD31), ISNUMBER($K31)), (Futs!$CD31 + $K31)*8.9, ""), "")</f>
        <v/>
      </c>
      <c r="P31" s="47" t="str">
        <f t="shared" ca="1" si="93"/>
        <v/>
      </c>
      <c r="Q31" s="111" t="str">
        <f t="shared" ca="1" si="94"/>
        <v/>
      </c>
      <c r="R31" s="397" t="str">
        <f ca="1">IFERROR(INDEX(ICE[], MATCH("ebobbrxbbl" &amp; TEXT(Crd!$A31, "mmmyy"), ICE[LongCode], 0), MATCH("ICE Theoretical Price", ICE[#Headers], 0)), "")</f>
        <v/>
      </c>
      <c r="S31" s="364" t="str">
        <f ca="1">IFERROR(INDEX(ICE[], MATCH("ebobbrx" &amp; TEXT(Lts!$A31, "mmmyy"), ICE[LongCode], 0), MATCH("Text", ICE[#Headers], 0)), "")</f>
        <v xml:space="preserve"> / 19.75  |50x</v>
      </c>
      <c r="T31" s="46" t="str">
        <f t="shared" ca="1" si="78"/>
        <v/>
      </c>
      <c r="U31" s="47" t="str">
        <f t="shared" ca="1" si="95"/>
        <v/>
      </c>
      <c r="V31" s="46" t="str">
        <f t="shared" ca="1" si="96"/>
        <v/>
      </c>
      <c r="W31" s="141" t="str">
        <f ca="1">IFERROR(IF(AND(ISNUMBER(Futs!$CC31), ISNUMBER($R31)), (Futs!$CC31 + $R31)*8.33, ""), "")</f>
        <v/>
      </c>
      <c r="X31" s="46" t="str">
        <f ca="1">IFERROR(IF(AND(ISNUMBER(Futs!$CD31), ISNUMBER($T31)), (Futs!$CD31 + $T31)*8.33, ""), "")</f>
        <v/>
      </c>
      <c r="Y31" s="47" t="str">
        <f t="shared" ca="1" si="97"/>
        <v/>
      </c>
      <c r="Z31" s="46" t="str">
        <f t="shared" ca="1" si="98"/>
        <v/>
      </c>
      <c r="AA31" s="141" t="str">
        <f t="shared" ca="1" si="79"/>
        <v/>
      </c>
      <c r="AB31" s="46" t="str">
        <f t="shared" ca="1" si="80"/>
        <v/>
      </c>
      <c r="AC31" s="47" t="str">
        <f t="shared" ca="1" si="99"/>
        <v/>
      </c>
      <c r="AD31" s="46" t="str">
        <f t="shared" ca="1" si="100"/>
        <v/>
      </c>
      <c r="AE31" s="141" t="str">
        <f ca="1">IFERROR(IF(AND(ISNUMBER(Futs!$CO31), ISNUMBER($W31)), Futs!$CO31 - $W31/8.33/42*100, ""), "")</f>
        <v/>
      </c>
      <c r="AF31" s="46" t="str">
        <f ca="1">IFERROR(IF(AND(ISNUMBER(Futs!$CP31), ISNUMBER($X31)), Futs!$CP31 - $X31/8.33/42*100, ""), "")</f>
        <v/>
      </c>
      <c r="AG31" s="47" t="str">
        <f t="shared" ca="1" si="101"/>
        <v/>
      </c>
      <c r="AH31" s="111" t="str">
        <f t="shared" ca="1" si="102"/>
        <v/>
      </c>
      <c r="AI31" s="397" t="str">
        <f ca="1">IFERROR(INDEX(ICE[], MATCH("napew" &amp; TEXT(Crd!$A31, "mmmyy"), ICE[LongCode], 0), MATCH("ICE Theoretical Price", ICE[#Headers], 0)), "")</f>
        <v/>
      </c>
      <c r="AJ31" s="364" t="str">
        <f ca="1">IFERROR(INDEX(ICE[], MATCH("napew" &amp; TEXT(Lts!$A31, "mmmyy"), ICE[LongCode], 0), MATCH("Text", ICE[#Headers], 0)), "")</f>
        <v>1.25 / 49.25  |6x</v>
      </c>
      <c r="AK31" s="46" t="str">
        <f t="shared" ca="1" si="81"/>
        <v/>
      </c>
      <c r="AL31" s="47" t="str">
        <f t="shared" ca="1" si="103"/>
        <v/>
      </c>
      <c r="AM31" s="46" t="str">
        <f t="shared" ca="1" si="104"/>
        <v/>
      </c>
      <c r="AN31" s="141" t="str">
        <f t="shared" ca="1" si="82"/>
        <v/>
      </c>
      <c r="AO31" s="46" t="str">
        <f t="shared" ca="1" si="83"/>
        <v/>
      </c>
      <c r="AP31" s="47" t="str">
        <f t="shared" ca="1" si="84"/>
        <v/>
      </c>
      <c r="AQ31" s="46" t="str">
        <f t="shared" ca="1" si="105"/>
        <v/>
      </c>
      <c r="AR31" s="141" t="str">
        <f ca="1">IFERROR(IF(AND(ISNUMBER($AN31), ISNUMBER(Futs!$CC31)), $AN31/8.9 - Futs!$CC31, ""), "")</f>
        <v/>
      </c>
      <c r="AS31" s="46" t="str">
        <f ca="1">IFERROR(IF(AND(ISNUMBER($AO31), ISNUMBER(Futs!$CD31)), $AO31/8.9 - Futs!$CD31, ""), "")</f>
        <v/>
      </c>
      <c r="AT31" s="47" t="str">
        <f t="shared" ca="1" si="106"/>
        <v/>
      </c>
      <c r="AU31" s="111" t="str">
        <f t="shared" ca="1" si="107"/>
        <v/>
      </c>
      <c r="AV31" s="397" t="str">
        <f ca="1">IFERROR(INDEX(ICE[], MATCH("mg92ebob" &amp; TEXT(Crd!$A31, "mmmyy"), ICE[LongCode], 0), MATCH("ICE Theoretical Price", ICE[#Headers], 0)), "")</f>
        <v/>
      </c>
      <c r="AW31" s="364" t="str">
        <f ca="1">IFERROR(INDEX(ICE[], MATCH("mg92ebob" &amp; TEXT(Lts!$A31, "mmmyy"), ICE[LongCode], 0), MATCH("Text", ICE[#Headers], 0)), "")</f>
        <v xml:space="preserve">-8.10 / -6.90 </v>
      </c>
      <c r="AX31" s="46" t="str">
        <f t="shared" ca="1" si="85"/>
        <v/>
      </c>
      <c r="AY31" s="47" t="str">
        <f t="shared" ca="1" si="108"/>
        <v/>
      </c>
      <c r="AZ31" s="46" t="str">
        <f t="shared" ca="1" si="109"/>
        <v/>
      </c>
      <c r="BA31" s="141" t="str">
        <f t="shared" ca="1" si="86"/>
        <v/>
      </c>
      <c r="BB31" s="46" t="str">
        <f t="shared" ca="1" si="87"/>
        <v/>
      </c>
      <c r="BC31" s="47" t="str">
        <f t="shared" ca="1" si="110"/>
        <v/>
      </c>
      <c r="BD31" s="46" t="str">
        <f t="shared" ca="1" si="111"/>
        <v/>
      </c>
      <c r="BE31" s="141" t="str">
        <f ca="1">IFERROR(IF(AND(ISNUMBER($BA31), ISNUMBER(Futs!$CC31)), $BA31 - Futs!$CC31, ""), "")</f>
        <v/>
      </c>
      <c r="BF31" s="46" t="str">
        <f ca="1">IFERROR(IF(AND(ISNUMBER($BB31), ISNUMBER(Futs!$CD31)), $BB31 - Futs!$CD31, ""), "")</f>
        <v/>
      </c>
      <c r="BG31" s="47" t="str">
        <f t="shared" ca="1" si="112"/>
        <v/>
      </c>
      <c r="BH31" s="111" t="str">
        <f t="shared" ca="1" si="113"/>
        <v/>
      </c>
      <c r="BI31" s="397" t="str">
        <f ca="1">IFERROR(INDEX(ICE[], MATCH("mg9592" &amp; TEXT(Crd!$A31, "mmmyy"), ICE[LongCode], 0), MATCH("ICE Theoretical Price", ICE[#Headers], 0)), "")</f>
        <v/>
      </c>
      <c r="BJ31" s="364" t="str">
        <f ca="1">IFERROR(INDEX(ICE[], MATCH("mg9592" &amp; TEXT(Lts!$A31, "mmmyy"), ICE[LongCode], 0), MATCH("Text", ICE[#Headers], 0)), "")</f>
        <v xml:space="preserve"> /  </v>
      </c>
      <c r="BK31" s="46" t="str">
        <f t="shared" ca="1" si="88"/>
        <v/>
      </c>
      <c r="BL31" s="47" t="str">
        <f t="shared" ca="1" si="114"/>
        <v/>
      </c>
      <c r="BM31" s="46" t="str">
        <f t="shared" ca="1" si="115"/>
        <v/>
      </c>
      <c r="BN31" s="141" t="str">
        <f t="shared" ca="1" si="89"/>
        <v/>
      </c>
      <c r="BO31" s="46" t="str">
        <f t="shared" ca="1" si="90"/>
        <v/>
      </c>
      <c r="BP31" s="47" t="str">
        <f t="shared" ca="1" si="116"/>
        <v/>
      </c>
      <c r="BQ31" s="46" t="str">
        <f t="shared" ca="1" si="117"/>
        <v/>
      </c>
      <c r="BR31" s="141" t="str">
        <f ca="1">IFERROR(IF(AND(ISNUMBER($BN31), ISNUMBER(Futs!$CC31)), $BN31 - Futs!$CC31, ""), "")</f>
        <v/>
      </c>
      <c r="BS31" s="46" t="str">
        <f ca="1">IFERROR(IF(AND(ISNUMBER($BO31), ISNUMBER(Futs!$CD31)), $BO31 - Futs!$CD31, ""), "")</f>
        <v/>
      </c>
      <c r="BT31" s="47" t="str">
        <f t="shared" ca="1" si="118"/>
        <v/>
      </c>
      <c r="BU31" s="111" t="str">
        <f t="shared" ca="1" si="119"/>
        <v/>
      </c>
    </row>
    <row r="32" spans="1:73" x14ac:dyDescent="0.25">
      <c r="A32" s="58">
        <f t="shared" ca="1" si="91"/>
        <v>46661</v>
      </c>
      <c r="B32" s="6">
        <f t="shared" ca="1" si="74"/>
        <v>2027</v>
      </c>
      <c r="C32" s="6" t="str">
        <f t="shared" ca="1" si="75"/>
        <v>Q427</v>
      </c>
      <c r="D32" s="28">
        <f ca="1">INDEX(ICE[], MATCH(D$18 &amp; TEXT(Lts!$A32, "mmmyy"), ICE[LongCode], 0), MATCH("Settle", ICE[#Headers], 0))</f>
        <v>-7.9720000000000004</v>
      </c>
      <c r="E32" s="28">
        <f ca="1">INDEX(ICE[], MATCH(E$18 &amp; TEXT(Lts!$A32, "mmmyy"), ICE[LongCode], 0), MATCH("Settle", ICE[#Headers], 0))</f>
        <v>14.266</v>
      </c>
      <c r="F32" s="28">
        <f ca="1">INDEX(ICE[], MATCH(F$18 &amp; TEXT(Lts!$A32, "mmmyy"), ICE[LongCode], 0), MATCH("Settle", ICE[#Headers], 0))</f>
        <v>23.75</v>
      </c>
      <c r="G32" s="28">
        <f ca="1">INDEX(ICE[], MATCH(G$18 &amp; TEXT(Lts!$A32, "mmmyy"), ICE[LongCode], 0), MATCH("Settle", ICE[#Headers], 0))</f>
        <v>-3.3080000000000003</v>
      </c>
      <c r="H32" s="28">
        <f ca="1">INDEX(ICE[], MATCH(H$18 &amp; TEXT(Lts!$A32, "mmmyy"), ICE[LongCode], 0), MATCH("Settle", ICE[#Headers], 0))</f>
        <v>2</v>
      </c>
      <c r="I32" s="397" t="str">
        <f ca="1">IFERROR(INDEX(ICE[], MATCH("napbrxbbl" &amp; TEXT(Crd!$A32, "mmmyy"), ICE[LongCode], 0), MATCH("ICE Theoretical Price", ICE[#Headers], 0)), "")</f>
        <v/>
      </c>
      <c r="J32" s="364" t="str">
        <f ca="1">IFERROR(INDEX(ICE[], MATCH("napbrx" &amp; TEXT(Lts!$A32, "mmmyy"), ICE[LongCode], 0), MATCH("Text", ICE[#Headers], 0)), "")</f>
        <v xml:space="preserve"> / -4.29  |58x</v>
      </c>
      <c r="K32" s="46" t="str">
        <f t="shared" ca="1" si="76"/>
        <v/>
      </c>
      <c r="L32" s="47" t="str">
        <f t="shared" ca="1" si="120"/>
        <v/>
      </c>
      <c r="M32" s="46" t="str">
        <f t="shared" ca="1" si="92"/>
        <v/>
      </c>
      <c r="N32" s="141" t="str">
        <f ca="1">IFERROR(IF(AND(ISNUMBER(Futs!$CC32), ISNUMBER($I32)), (Futs!$CC32 + $I32)*8.9, ""), "")</f>
        <v/>
      </c>
      <c r="O32" s="46" t="str">
        <f ca="1">IFERROR(IF(AND(ISNUMBER(Futs!$CD32), ISNUMBER($K32)), (Futs!$CD32 + $K32)*8.9, ""), "")</f>
        <v/>
      </c>
      <c r="P32" s="47" t="str">
        <f t="shared" ca="1" si="93"/>
        <v/>
      </c>
      <c r="Q32" s="111" t="str">
        <f t="shared" ca="1" si="94"/>
        <v/>
      </c>
      <c r="R32" s="397" t="str">
        <f ca="1">IFERROR(INDEX(ICE[], MATCH("ebobbrxbbl" &amp; TEXT(Crd!$A32, "mmmyy"), ICE[LongCode], 0), MATCH("ICE Theoretical Price", ICE[#Headers], 0)), "")</f>
        <v/>
      </c>
      <c r="S32" s="364" t="str">
        <f ca="1">IFERROR(INDEX(ICE[], MATCH("ebobbrx" &amp; TEXT(Lts!$A32, "mmmyy"), ICE[LongCode], 0), MATCH("Text", ICE[#Headers], 0)), "")</f>
        <v xml:space="preserve"> / 14.90 </v>
      </c>
      <c r="T32" s="46" t="str">
        <f t="shared" ca="1" si="78"/>
        <v/>
      </c>
      <c r="U32" s="47" t="str">
        <f t="shared" ca="1" si="95"/>
        <v/>
      </c>
      <c r="V32" s="46" t="str">
        <f t="shared" ca="1" si="96"/>
        <v/>
      </c>
      <c r="W32" s="141" t="str">
        <f ca="1">IFERROR(IF(AND(ISNUMBER(Futs!$CC32), ISNUMBER($R32)), (Futs!$CC32 + $R32)*8.33, ""), "")</f>
        <v/>
      </c>
      <c r="X32" s="46" t="str">
        <f ca="1">IFERROR(IF(AND(ISNUMBER(Futs!$CD32), ISNUMBER($T32)), (Futs!$CD32 + $T32)*8.33, ""), "")</f>
        <v/>
      </c>
      <c r="Y32" s="47" t="str">
        <f t="shared" ca="1" si="97"/>
        <v/>
      </c>
      <c r="Z32" s="46" t="str">
        <f t="shared" ca="1" si="98"/>
        <v/>
      </c>
      <c r="AA32" s="141" t="str">
        <f t="shared" ca="1" si="79"/>
        <v/>
      </c>
      <c r="AB32" s="46" t="str">
        <f t="shared" ca="1" si="80"/>
        <v/>
      </c>
      <c r="AC32" s="47" t="str">
        <f t="shared" ca="1" si="99"/>
        <v/>
      </c>
      <c r="AD32" s="46" t="str">
        <f t="shared" ca="1" si="100"/>
        <v/>
      </c>
      <c r="AE32" s="141" t="str">
        <f ca="1">IFERROR(IF(AND(ISNUMBER(Futs!$CO32), ISNUMBER($W32)), Futs!$CO32 - $W32/8.33/42*100, ""), "")</f>
        <v/>
      </c>
      <c r="AF32" s="46" t="str">
        <f ca="1">IFERROR(IF(AND(ISNUMBER(Futs!$CP32), ISNUMBER($X32)), Futs!$CP32 - $X32/8.33/42*100, ""), "")</f>
        <v/>
      </c>
      <c r="AG32" s="47" t="str">
        <f t="shared" ca="1" si="101"/>
        <v/>
      </c>
      <c r="AH32" s="111" t="str">
        <f t="shared" ca="1" si="102"/>
        <v/>
      </c>
      <c r="AI32" s="397" t="str">
        <f ca="1">IFERROR(INDEX(ICE[], MATCH("napew" &amp; TEXT(Crd!$A32, "mmmyy"), ICE[LongCode], 0), MATCH("ICE Theoretical Price", ICE[#Headers], 0)), "")</f>
        <v/>
      </c>
      <c r="AJ32" s="364" t="str">
        <f ca="1">IFERROR(INDEX(ICE[], MATCH("napew" &amp; TEXT(Lts!$A32, "mmmyy"), ICE[LongCode], 0), MATCH("Text", ICE[#Headers], 0)), "")</f>
        <v>-0.25 / 47.75  |1x</v>
      </c>
      <c r="AK32" s="46" t="str">
        <f t="shared" ca="1" si="81"/>
        <v/>
      </c>
      <c r="AL32" s="47" t="str">
        <f t="shared" ca="1" si="103"/>
        <v/>
      </c>
      <c r="AM32" s="46" t="str">
        <f t="shared" ca="1" si="104"/>
        <v/>
      </c>
      <c r="AN32" s="141" t="str">
        <f t="shared" ca="1" si="82"/>
        <v/>
      </c>
      <c r="AO32" s="46" t="str">
        <f t="shared" ca="1" si="83"/>
        <v/>
      </c>
      <c r="AP32" s="47" t="str">
        <f t="shared" ca="1" si="84"/>
        <v/>
      </c>
      <c r="AQ32" s="46" t="str">
        <f t="shared" ca="1" si="105"/>
        <v/>
      </c>
      <c r="AR32" s="141" t="str">
        <f ca="1">IFERROR(IF(AND(ISNUMBER($AN32), ISNUMBER(Futs!$CC32)), $AN32/8.9 - Futs!$CC32, ""), "")</f>
        <v/>
      </c>
      <c r="AS32" s="46" t="str">
        <f ca="1">IFERROR(IF(AND(ISNUMBER($AO32), ISNUMBER(Futs!$CD32)), $AO32/8.9 - Futs!$CD32, ""), "")</f>
        <v/>
      </c>
      <c r="AT32" s="47" t="str">
        <f t="shared" ca="1" si="106"/>
        <v/>
      </c>
      <c r="AU32" s="111" t="str">
        <f t="shared" ca="1" si="107"/>
        <v/>
      </c>
      <c r="AV32" s="397" t="str">
        <f ca="1">IFERROR(INDEX(ICE[], MATCH("mg92ebob" &amp; TEXT(Crd!$A32, "mmmyy"), ICE[LongCode], 0), MATCH("ICE Theoretical Price", ICE[#Headers], 0)), "")</f>
        <v/>
      </c>
      <c r="AW32" s="364" t="str">
        <f ca="1">IFERROR(INDEX(ICE[], MATCH("mg92ebob" &amp; TEXT(Lts!$A32, "mmmyy"), ICE[LongCode], 0), MATCH("Text", ICE[#Headers], 0)), "")</f>
        <v xml:space="preserve">-4.30 / -3.10 </v>
      </c>
      <c r="AX32" s="46" t="str">
        <f t="shared" ca="1" si="85"/>
        <v/>
      </c>
      <c r="AY32" s="47" t="str">
        <f t="shared" ca="1" si="108"/>
        <v/>
      </c>
      <c r="AZ32" s="46" t="str">
        <f t="shared" ca="1" si="109"/>
        <v/>
      </c>
      <c r="BA32" s="141" t="str">
        <f t="shared" ca="1" si="86"/>
        <v/>
      </c>
      <c r="BB32" s="46" t="str">
        <f t="shared" ca="1" si="87"/>
        <v/>
      </c>
      <c r="BC32" s="47" t="str">
        <f t="shared" ca="1" si="110"/>
        <v/>
      </c>
      <c r="BD32" s="46" t="str">
        <f t="shared" ca="1" si="111"/>
        <v/>
      </c>
      <c r="BE32" s="141" t="str">
        <f ca="1">IFERROR(IF(AND(ISNUMBER($BA32), ISNUMBER(Futs!$CC32)), $BA32 - Futs!$CC32, ""), "")</f>
        <v/>
      </c>
      <c r="BF32" s="46" t="str">
        <f ca="1">IFERROR(IF(AND(ISNUMBER($BB32), ISNUMBER(Futs!$CD32)), $BB32 - Futs!$CD32, ""), "")</f>
        <v/>
      </c>
      <c r="BG32" s="47" t="str">
        <f t="shared" ca="1" si="112"/>
        <v/>
      </c>
      <c r="BH32" s="111" t="str">
        <f t="shared" ca="1" si="113"/>
        <v/>
      </c>
      <c r="BI32" s="397" t="str">
        <f ca="1">IFERROR(INDEX(ICE[], MATCH("mg9592" &amp; TEXT(Crd!$A32, "mmmyy"), ICE[LongCode], 0), MATCH("ICE Theoretical Price", ICE[#Headers], 0)), "")</f>
        <v/>
      </c>
      <c r="BJ32" s="364" t="str">
        <f ca="1">IFERROR(INDEX(ICE[], MATCH("mg9592" &amp; TEXT(Lts!$A32, "mmmyy"), ICE[LongCode], 0), MATCH("Text", ICE[#Headers], 0)), "")</f>
        <v xml:space="preserve"> /  </v>
      </c>
      <c r="BK32" s="46" t="str">
        <f t="shared" ca="1" si="88"/>
        <v/>
      </c>
      <c r="BL32" s="47" t="str">
        <f t="shared" ca="1" si="114"/>
        <v/>
      </c>
      <c r="BM32" s="46" t="str">
        <f t="shared" ca="1" si="115"/>
        <v/>
      </c>
      <c r="BN32" s="141" t="str">
        <f t="shared" ca="1" si="89"/>
        <v/>
      </c>
      <c r="BO32" s="46" t="str">
        <f t="shared" ca="1" si="90"/>
        <v/>
      </c>
      <c r="BP32" s="47" t="str">
        <f t="shared" ca="1" si="116"/>
        <v/>
      </c>
      <c r="BQ32" s="46" t="str">
        <f t="shared" ca="1" si="117"/>
        <v/>
      </c>
      <c r="BR32" s="141" t="str">
        <f ca="1">IFERROR(IF(AND(ISNUMBER($BN32), ISNUMBER(Futs!$CC32)), $BN32 - Futs!$CC32, ""), "")</f>
        <v/>
      </c>
      <c r="BS32" s="46" t="str">
        <f ca="1">IFERROR(IF(AND(ISNUMBER($BO32), ISNUMBER(Futs!$CD32)), $BO32 - Futs!$CD32, ""), "")</f>
        <v/>
      </c>
      <c r="BT32" s="47" t="str">
        <f t="shared" ca="1" si="118"/>
        <v/>
      </c>
      <c r="BU32" s="111" t="str">
        <f t="shared" ca="1" si="119"/>
        <v/>
      </c>
    </row>
    <row r="33" spans="1:73" x14ac:dyDescent="0.25">
      <c r="A33" s="58">
        <f t="shared" ca="1" si="91"/>
        <v>46692</v>
      </c>
      <c r="B33" s="6">
        <f t="shared" ca="1" si="74"/>
        <v>2027</v>
      </c>
      <c r="C33" s="6" t="str">
        <f t="shared" ca="1" si="75"/>
        <v>Q427</v>
      </c>
      <c r="D33" s="28">
        <f ca="1">INDEX(ICE[], MATCH(D$18 &amp; TEXT(Lts!$A33, "mmmyy"), ICE[LongCode], 0), MATCH("Settle", ICE[#Headers], 0))</f>
        <v>-8.0590000000000011</v>
      </c>
      <c r="E33" s="28">
        <f ca="1">INDEX(ICE[], MATCH(E$18 &amp; TEXT(Lts!$A33, "mmmyy"), ICE[LongCode], 0), MATCH("Settle", ICE[#Headers], 0))</f>
        <v>12.013</v>
      </c>
      <c r="F33" s="28">
        <f ca="1">INDEX(ICE[], MATCH(F$18 &amp; TEXT(Lts!$A33, "mmmyy"), ICE[LongCode], 0), MATCH("Settle", ICE[#Headers], 0))</f>
        <v>22.5</v>
      </c>
      <c r="G33" s="28">
        <f ca="1">INDEX(ICE[], MATCH(G$18 &amp; TEXT(Lts!$A33, "mmmyy"), ICE[LongCode], 0), MATCH("Settle", ICE[#Headers], 0))</f>
        <v>-1.5370000000000001</v>
      </c>
      <c r="H33" s="28">
        <f ca="1">INDEX(ICE[], MATCH(H$18 &amp; TEXT(Lts!$A33, "mmmyy"), ICE[LongCode], 0), MATCH("Settle", ICE[#Headers], 0))</f>
        <v>2</v>
      </c>
      <c r="I33" s="397" t="str">
        <f ca="1">IFERROR(INDEX(ICE[], MATCH("napbrxbbl" &amp; TEXT(Crd!$A33, "mmmyy"), ICE[LongCode], 0), MATCH("ICE Theoretical Price", ICE[#Headers], 0)), "")</f>
        <v/>
      </c>
      <c r="J33" s="364" t="str">
        <f ca="1">IFERROR(INDEX(ICE[], MATCH("napbrx" &amp; TEXT(Lts!$A33, "mmmyy"), ICE[LongCode], 0), MATCH("Text", ICE[#Headers], 0)), "")</f>
        <v xml:space="preserve"> / -4.38  |58x</v>
      </c>
      <c r="K33" s="46" t="str">
        <f t="shared" ca="1" si="76"/>
        <v/>
      </c>
      <c r="L33" s="47" t="str">
        <f t="shared" ca="1" si="120"/>
        <v/>
      </c>
      <c r="M33" s="46" t="str">
        <f t="shared" ca="1" si="92"/>
        <v/>
      </c>
      <c r="N33" s="141" t="str">
        <f ca="1">IFERROR(IF(AND(ISNUMBER(Futs!$CC33), ISNUMBER($I33)), (Futs!$CC33 + $I33)*8.9, ""), "")</f>
        <v/>
      </c>
      <c r="O33" s="46" t="str">
        <f ca="1">IFERROR(IF(AND(ISNUMBER(Futs!$CD33), ISNUMBER($K33)), (Futs!$CD33 + $K33)*8.9, ""), "")</f>
        <v/>
      </c>
      <c r="P33" s="47" t="str">
        <f t="shared" ca="1" si="93"/>
        <v/>
      </c>
      <c r="Q33" s="111" t="str">
        <f t="shared" ca="1" si="94"/>
        <v/>
      </c>
      <c r="R33" s="397" t="str">
        <f ca="1">IFERROR(INDEX(ICE[], MATCH("ebobbrxbbl" &amp; TEXT(Crd!$A33, "mmmyy"), ICE[LongCode], 0), MATCH("ICE Theoretical Price", ICE[#Headers], 0)), "")</f>
        <v/>
      </c>
      <c r="S33" s="364" t="str">
        <f ca="1">IFERROR(INDEX(ICE[], MATCH("ebobbrx" &amp; TEXT(Lts!$A33, "mmmyy"), ICE[LongCode], 0), MATCH("Text", ICE[#Headers], 0)), "")</f>
        <v xml:space="preserve"> / 12.60 </v>
      </c>
      <c r="T33" s="46" t="str">
        <f t="shared" ca="1" si="78"/>
        <v/>
      </c>
      <c r="U33" s="47" t="str">
        <f t="shared" ca="1" si="95"/>
        <v/>
      </c>
      <c r="V33" s="46" t="str">
        <f t="shared" ca="1" si="96"/>
        <v/>
      </c>
      <c r="W33" s="141" t="str">
        <f ca="1">IFERROR(IF(AND(ISNUMBER(Futs!$CC33), ISNUMBER($R33)), (Futs!$CC33 + $R33)*8.33, ""), "")</f>
        <v/>
      </c>
      <c r="X33" s="46" t="str">
        <f ca="1">IFERROR(IF(AND(ISNUMBER(Futs!$CD33), ISNUMBER($T33)), (Futs!$CD33 + $T33)*8.33, ""), "")</f>
        <v/>
      </c>
      <c r="Y33" s="47" t="str">
        <f t="shared" ca="1" si="97"/>
        <v/>
      </c>
      <c r="Z33" s="46" t="str">
        <f t="shared" ca="1" si="98"/>
        <v/>
      </c>
      <c r="AA33" s="141" t="str">
        <f t="shared" ca="1" si="79"/>
        <v/>
      </c>
      <c r="AB33" s="46" t="str">
        <f t="shared" ca="1" si="80"/>
        <v/>
      </c>
      <c r="AC33" s="47" t="str">
        <f t="shared" ca="1" si="99"/>
        <v/>
      </c>
      <c r="AD33" s="46" t="str">
        <f t="shared" ca="1" si="100"/>
        <v/>
      </c>
      <c r="AE33" s="141" t="str">
        <f ca="1">IFERROR(IF(AND(ISNUMBER(Futs!$CO33), ISNUMBER($W33)), Futs!$CO33 - $W33/8.33/42*100, ""), "")</f>
        <v/>
      </c>
      <c r="AF33" s="46" t="str">
        <f ca="1">IFERROR(IF(AND(ISNUMBER(Futs!$CP33), ISNUMBER($X33)), Futs!$CP33 - $X33/8.33/42*100, ""), "")</f>
        <v/>
      </c>
      <c r="AG33" s="47" t="str">
        <f t="shared" ca="1" si="101"/>
        <v/>
      </c>
      <c r="AH33" s="111" t="str">
        <f t="shared" ca="1" si="102"/>
        <v/>
      </c>
      <c r="AI33" s="397" t="str">
        <f ca="1">IFERROR(INDEX(ICE[], MATCH("napew" &amp; TEXT(Crd!$A33, "mmmyy"), ICE[LongCode], 0), MATCH("ICE Theoretical Price", ICE[#Headers], 0)), "")</f>
        <v/>
      </c>
      <c r="AJ33" s="364" t="str">
        <f ca="1">IFERROR(INDEX(ICE[], MATCH("napew" &amp; TEXT(Lts!$A33, "mmmyy"), ICE[LongCode], 0), MATCH("Text", ICE[#Headers], 0)), "")</f>
        <v>-1.50 / 46.50  |1x</v>
      </c>
      <c r="AK33" s="46" t="str">
        <f t="shared" ca="1" si="81"/>
        <v/>
      </c>
      <c r="AL33" s="47" t="str">
        <f t="shared" ca="1" si="103"/>
        <v/>
      </c>
      <c r="AM33" s="46" t="str">
        <f t="shared" ca="1" si="104"/>
        <v/>
      </c>
      <c r="AN33" s="141" t="str">
        <f t="shared" ca="1" si="82"/>
        <v/>
      </c>
      <c r="AO33" s="46" t="str">
        <f t="shared" ca="1" si="83"/>
        <v/>
      </c>
      <c r="AP33" s="47" t="str">
        <f t="shared" ca="1" si="84"/>
        <v/>
      </c>
      <c r="AQ33" s="46" t="str">
        <f t="shared" ca="1" si="105"/>
        <v/>
      </c>
      <c r="AR33" s="141" t="str">
        <f ca="1">IFERROR(IF(AND(ISNUMBER($AN33), ISNUMBER(Futs!$CC33)), $AN33/8.9 - Futs!$CC33, ""), "")</f>
        <v/>
      </c>
      <c r="AS33" s="46" t="str">
        <f ca="1">IFERROR(IF(AND(ISNUMBER($AO33), ISNUMBER(Futs!$CD33)), $AO33/8.9 - Futs!$CD33, ""), "")</f>
        <v/>
      </c>
      <c r="AT33" s="47" t="str">
        <f t="shared" ca="1" si="106"/>
        <v/>
      </c>
      <c r="AU33" s="111" t="str">
        <f t="shared" ca="1" si="107"/>
        <v/>
      </c>
      <c r="AV33" s="397" t="str">
        <f ca="1">IFERROR(INDEX(ICE[], MATCH("mg92ebob" &amp; TEXT(Crd!$A33, "mmmyy"), ICE[LongCode], 0), MATCH("ICE Theoretical Price", ICE[#Headers], 0)), "")</f>
        <v/>
      </c>
      <c r="AW33" s="364" t="str">
        <f ca="1">IFERROR(INDEX(ICE[], MATCH("mg92ebob" &amp; TEXT(Lts!$A33, "mmmyy"), ICE[LongCode], 0), MATCH("Text", ICE[#Headers], 0)), "")</f>
        <v xml:space="preserve">-3.45 / -0.75 </v>
      </c>
      <c r="AX33" s="46" t="str">
        <f t="shared" ca="1" si="85"/>
        <v/>
      </c>
      <c r="AY33" s="47" t="str">
        <f t="shared" ca="1" si="108"/>
        <v/>
      </c>
      <c r="AZ33" s="46" t="str">
        <f t="shared" ca="1" si="109"/>
        <v/>
      </c>
      <c r="BA33" s="141" t="str">
        <f t="shared" ca="1" si="86"/>
        <v/>
      </c>
      <c r="BB33" s="46" t="str">
        <f t="shared" ca="1" si="87"/>
        <v/>
      </c>
      <c r="BC33" s="47" t="str">
        <f t="shared" ca="1" si="110"/>
        <v/>
      </c>
      <c r="BD33" s="46" t="str">
        <f t="shared" ca="1" si="111"/>
        <v/>
      </c>
      <c r="BE33" s="141" t="str">
        <f ca="1">IFERROR(IF(AND(ISNUMBER($BA33), ISNUMBER(Futs!$CC33)), $BA33 - Futs!$CC33, ""), "")</f>
        <v/>
      </c>
      <c r="BF33" s="46" t="str">
        <f ca="1">IFERROR(IF(AND(ISNUMBER($BB33), ISNUMBER(Futs!$CD33)), $BB33 - Futs!$CD33, ""), "")</f>
        <v/>
      </c>
      <c r="BG33" s="47" t="str">
        <f t="shared" ca="1" si="112"/>
        <v/>
      </c>
      <c r="BH33" s="111" t="str">
        <f t="shared" ca="1" si="113"/>
        <v/>
      </c>
      <c r="BI33" s="397" t="str">
        <f ca="1">IFERROR(INDEX(ICE[], MATCH("mg9592" &amp; TEXT(Crd!$A33, "mmmyy"), ICE[LongCode], 0), MATCH("ICE Theoretical Price", ICE[#Headers], 0)), "")</f>
        <v/>
      </c>
      <c r="BJ33" s="364" t="str">
        <f ca="1">IFERROR(INDEX(ICE[], MATCH("mg9592" &amp; TEXT(Lts!$A33, "mmmyy"), ICE[LongCode], 0), MATCH("Text", ICE[#Headers], 0)), "")</f>
        <v xml:space="preserve"> /  </v>
      </c>
      <c r="BK33" s="46" t="str">
        <f t="shared" ca="1" si="88"/>
        <v/>
      </c>
      <c r="BL33" s="47" t="str">
        <f t="shared" ca="1" si="114"/>
        <v/>
      </c>
      <c r="BM33" s="46" t="str">
        <f t="shared" ca="1" si="115"/>
        <v/>
      </c>
      <c r="BN33" s="141" t="str">
        <f t="shared" ca="1" si="89"/>
        <v/>
      </c>
      <c r="BO33" s="46" t="str">
        <f t="shared" ca="1" si="90"/>
        <v/>
      </c>
      <c r="BP33" s="47" t="str">
        <f t="shared" ca="1" si="116"/>
        <v/>
      </c>
      <c r="BQ33" s="46" t="str">
        <f t="shared" ca="1" si="117"/>
        <v/>
      </c>
      <c r="BR33" s="141" t="str">
        <f ca="1">IFERROR(IF(AND(ISNUMBER($BN33), ISNUMBER(Futs!$CC33)), $BN33 - Futs!$CC33, ""), "")</f>
        <v/>
      </c>
      <c r="BS33" s="46" t="str">
        <f ca="1">IFERROR(IF(AND(ISNUMBER($BO33), ISNUMBER(Futs!$CD33)), $BO33 - Futs!$CD33, ""), "")</f>
        <v/>
      </c>
      <c r="BT33" s="47" t="str">
        <f t="shared" ca="1" si="118"/>
        <v/>
      </c>
      <c r="BU33" s="111" t="str">
        <f t="shared" ca="1" si="119"/>
        <v/>
      </c>
    </row>
    <row r="34" spans="1:73" x14ac:dyDescent="0.25">
      <c r="A34" s="58">
        <f t="shared" ca="1" si="91"/>
        <v>46722</v>
      </c>
      <c r="B34" s="6">
        <f t="shared" ca="1" si="74"/>
        <v>2027</v>
      </c>
      <c r="C34" s="6" t="str">
        <f t="shared" ca="1" si="75"/>
        <v>Q427</v>
      </c>
      <c r="D34" s="28">
        <f ca="1">INDEX(ICE[], MATCH(D$18 &amp; TEXT(Lts!$A34, "mmmyy"), ICE[LongCode], 0), MATCH("Settle", ICE[#Headers], 0))</f>
        <v>-8.1910000000000007</v>
      </c>
      <c r="E34" s="28">
        <f ca="1">INDEX(ICE[], MATCH(E$18 &amp; TEXT(Lts!$A34, "mmmyy"), ICE[LongCode], 0), MATCH("Settle", ICE[#Headers], 0))</f>
        <v>10.735000000000001</v>
      </c>
      <c r="F34" s="28">
        <f ca="1">INDEX(ICE[], MATCH(F$18 &amp; TEXT(Lts!$A34, "mmmyy"), ICE[LongCode], 0), MATCH("Settle", ICE[#Headers], 0))</f>
        <v>21.75</v>
      </c>
      <c r="G34" s="28" t="e">
        <f ca="1">INDEX(ICE[], MATCH(G$18 &amp; TEXT(Lts!$A34, "mmmyy"), ICE[LongCode], 0), MATCH("Settle", ICE[#Headers], 0))</f>
        <v>#N/A</v>
      </c>
      <c r="H34" s="28">
        <f ca="1">INDEX(ICE[], MATCH(H$18 &amp; TEXT(Lts!$A34, "mmmyy"), ICE[LongCode], 0), MATCH("Settle", ICE[#Headers], 0))</f>
        <v>2</v>
      </c>
      <c r="I34" s="397" t="str">
        <f ca="1">IFERROR(INDEX(ICE[], MATCH("napbrxbbl" &amp; TEXT(Crd!$A34, "mmmyy"), ICE[LongCode], 0), MATCH("ICE Theoretical Price", ICE[#Headers], 0)), "")</f>
        <v/>
      </c>
      <c r="J34" s="364" t="str">
        <f ca="1">IFERROR(INDEX(ICE[], MATCH("napbrx" &amp; TEXT(Lts!$A34, "mmmyy"), ICE[LongCode], 0), MATCH("Text", ICE[#Headers], 0)), "")</f>
        <v xml:space="preserve"> / -4.50  |58x</v>
      </c>
      <c r="K34" s="46" t="str">
        <f t="shared" ca="1" si="76"/>
        <v/>
      </c>
      <c r="L34" s="47" t="str">
        <f t="shared" ca="1" si="120"/>
        <v/>
      </c>
      <c r="M34" s="46" t="str">
        <f t="shared" ca="1" si="92"/>
        <v/>
      </c>
      <c r="N34" s="141" t="str">
        <f ca="1">IFERROR(IF(AND(ISNUMBER(Futs!$CC34), ISNUMBER($I34)), (Futs!$CC34 + $I34)*8.9, ""), "")</f>
        <v/>
      </c>
      <c r="O34" s="46" t="str">
        <f ca="1">IFERROR(IF(AND(ISNUMBER(Futs!$CD34), ISNUMBER($K34)), (Futs!$CD34 + $K34)*8.9, ""), "")</f>
        <v/>
      </c>
      <c r="P34" s="47" t="str">
        <f t="shared" ca="1" si="93"/>
        <v/>
      </c>
      <c r="Q34" s="111" t="str">
        <f t="shared" ca="1" si="94"/>
        <v/>
      </c>
      <c r="R34" s="397" t="str">
        <f ca="1">IFERROR(INDEX(ICE[], MATCH("ebobbrxbbl" &amp; TEXT(Crd!$A34, "mmmyy"), ICE[LongCode], 0), MATCH("ICE Theoretical Price", ICE[#Headers], 0)), "")</f>
        <v/>
      </c>
      <c r="S34" s="364" t="str">
        <f ca="1">IFERROR(INDEX(ICE[], MATCH("ebobbrx" &amp; TEXT(Lts!$A34, "mmmyy"), ICE[LongCode], 0), MATCH("Text", ICE[#Headers], 0)), "")</f>
        <v xml:space="preserve"> / 11.30 </v>
      </c>
      <c r="T34" s="46" t="str">
        <f t="shared" ca="1" si="78"/>
        <v/>
      </c>
      <c r="U34" s="47" t="str">
        <f t="shared" ca="1" si="95"/>
        <v/>
      </c>
      <c r="V34" s="46" t="str">
        <f t="shared" ca="1" si="96"/>
        <v/>
      </c>
      <c r="W34" s="141" t="str">
        <f ca="1">IFERROR(IF(AND(ISNUMBER(Futs!$CC34), ISNUMBER($R34)), (Futs!$CC34 + $R34)*8.33, ""), "")</f>
        <v/>
      </c>
      <c r="X34" s="46" t="str">
        <f ca="1">IFERROR(IF(AND(ISNUMBER(Futs!$CD34), ISNUMBER($T34)), (Futs!$CD34 + $T34)*8.33, ""), "")</f>
        <v/>
      </c>
      <c r="Y34" s="47" t="str">
        <f t="shared" ca="1" si="97"/>
        <v/>
      </c>
      <c r="Z34" s="46" t="str">
        <f t="shared" ca="1" si="98"/>
        <v/>
      </c>
      <c r="AA34" s="141" t="str">
        <f t="shared" ca="1" si="79"/>
        <v/>
      </c>
      <c r="AB34" s="46" t="str">
        <f t="shared" ca="1" si="80"/>
        <v/>
      </c>
      <c r="AC34" s="47" t="str">
        <f t="shared" ca="1" si="99"/>
        <v/>
      </c>
      <c r="AD34" s="46" t="str">
        <f t="shared" ca="1" si="100"/>
        <v/>
      </c>
      <c r="AE34" s="141" t="str">
        <f ca="1">IFERROR(IF(AND(ISNUMBER(Futs!$CO34), ISNUMBER($W34)), Futs!$CO34 - $W34/8.33/42*100, ""), "")</f>
        <v/>
      </c>
      <c r="AF34" s="46" t="str">
        <f ca="1">IFERROR(IF(AND(ISNUMBER(Futs!$CP34), ISNUMBER($X34)), Futs!$CP34 - $X34/8.33/42*100, ""), "")</f>
        <v/>
      </c>
      <c r="AG34" s="47" t="str">
        <f t="shared" ca="1" si="101"/>
        <v/>
      </c>
      <c r="AH34" s="111" t="str">
        <f t="shared" ca="1" si="102"/>
        <v/>
      </c>
      <c r="AI34" s="397" t="str">
        <f ca="1">IFERROR(INDEX(ICE[], MATCH("napew" &amp; TEXT(Crd!$A34, "mmmyy"), ICE[LongCode], 0), MATCH("ICE Theoretical Price", ICE[#Headers], 0)), "")</f>
        <v/>
      </c>
      <c r="AJ34" s="364" t="str">
        <f ca="1">IFERROR(INDEX(ICE[], MATCH("napew" &amp; TEXT(Lts!$A34, "mmmyy"), ICE[LongCode], 0), MATCH("Text", ICE[#Headers], 0)), "")</f>
        <v>-2.25 / 45.75  |1x</v>
      </c>
      <c r="AK34" s="46" t="str">
        <f t="shared" ca="1" si="81"/>
        <v/>
      </c>
      <c r="AL34" s="47" t="str">
        <f t="shared" ca="1" si="103"/>
        <v/>
      </c>
      <c r="AM34" s="46" t="str">
        <f t="shared" ca="1" si="104"/>
        <v/>
      </c>
      <c r="AN34" s="141" t="str">
        <f t="shared" ca="1" si="82"/>
        <v/>
      </c>
      <c r="AO34" s="46" t="str">
        <f t="shared" ca="1" si="83"/>
        <v/>
      </c>
      <c r="AP34" s="47" t="str">
        <f t="shared" ca="1" si="84"/>
        <v/>
      </c>
      <c r="AQ34" s="46" t="str">
        <f t="shared" ca="1" si="105"/>
        <v/>
      </c>
      <c r="AR34" s="141" t="str">
        <f ca="1">IFERROR(IF(AND(ISNUMBER($AN34), ISNUMBER(Futs!$CC34)), $AN34/8.9 - Futs!$CC34, ""), "")</f>
        <v/>
      </c>
      <c r="AS34" s="46" t="str">
        <f ca="1">IFERROR(IF(AND(ISNUMBER($AO34), ISNUMBER(Futs!$CD34)), $AO34/8.9 - Futs!$CD34, ""), "")</f>
        <v/>
      </c>
      <c r="AT34" s="47" t="str">
        <f t="shared" ca="1" si="106"/>
        <v/>
      </c>
      <c r="AU34" s="111" t="str">
        <f t="shared" ca="1" si="107"/>
        <v/>
      </c>
      <c r="AV34" s="397" t="str">
        <f ca="1">IFERROR(INDEX(ICE[], MATCH("mg92ebob" &amp; TEXT(Crd!$A34, "mmmyy"), ICE[LongCode], 0), MATCH("ICE Theoretical Price", ICE[#Headers], 0)), "")</f>
        <v/>
      </c>
      <c r="AW34" s="364" t="str">
        <f ca="1">IFERROR(INDEX(ICE[], MATCH("mg92ebob" &amp; TEXT(Lts!$A34, "mmmyy"), ICE[LongCode], 0), MATCH("Text", ICE[#Headers], 0)), "")</f>
        <v/>
      </c>
      <c r="AX34" s="46" t="str">
        <f t="shared" ca="1" si="85"/>
        <v/>
      </c>
      <c r="AY34" s="47" t="str">
        <f t="shared" ca="1" si="108"/>
        <v/>
      </c>
      <c r="AZ34" s="46" t="str">
        <f t="shared" ca="1" si="109"/>
        <v/>
      </c>
      <c r="BA34" s="141" t="str">
        <f t="shared" ca="1" si="86"/>
        <v/>
      </c>
      <c r="BB34" s="46" t="str">
        <f t="shared" ca="1" si="87"/>
        <v/>
      </c>
      <c r="BC34" s="47" t="str">
        <f t="shared" ca="1" si="110"/>
        <v/>
      </c>
      <c r="BD34" s="46" t="str">
        <f t="shared" ca="1" si="111"/>
        <v/>
      </c>
      <c r="BE34" s="141" t="str">
        <f ca="1">IFERROR(IF(AND(ISNUMBER($BA34), ISNUMBER(Futs!$CC34)), $BA34 - Futs!$CC34, ""), "")</f>
        <v/>
      </c>
      <c r="BF34" s="46" t="str">
        <f ca="1">IFERROR(IF(AND(ISNUMBER($BB34), ISNUMBER(Futs!$CD34)), $BB34 - Futs!$CD34, ""), "")</f>
        <v/>
      </c>
      <c r="BG34" s="47" t="str">
        <f t="shared" ca="1" si="112"/>
        <v/>
      </c>
      <c r="BH34" s="111" t="str">
        <f t="shared" ca="1" si="113"/>
        <v/>
      </c>
      <c r="BI34" s="397" t="str">
        <f ca="1">IFERROR(INDEX(ICE[], MATCH("mg9592" &amp; TEXT(Crd!$A34, "mmmyy"), ICE[LongCode], 0), MATCH("ICE Theoretical Price", ICE[#Headers], 0)), "")</f>
        <v/>
      </c>
      <c r="BJ34" s="364" t="str">
        <f ca="1">IFERROR(INDEX(ICE[], MATCH("mg9592" &amp; TEXT(Lts!$A34, "mmmyy"), ICE[LongCode], 0), MATCH("Text", ICE[#Headers], 0)), "")</f>
        <v xml:space="preserve"> /  </v>
      </c>
      <c r="BK34" s="46" t="str">
        <f t="shared" ca="1" si="88"/>
        <v/>
      </c>
      <c r="BL34" s="47" t="str">
        <f t="shared" ca="1" si="114"/>
        <v/>
      </c>
      <c r="BM34" s="46" t="str">
        <f t="shared" ca="1" si="115"/>
        <v/>
      </c>
      <c r="BN34" s="141" t="str">
        <f t="shared" ca="1" si="89"/>
        <v/>
      </c>
      <c r="BO34" s="46" t="str">
        <f t="shared" ca="1" si="90"/>
        <v/>
      </c>
      <c r="BP34" s="47" t="str">
        <f t="shared" ca="1" si="116"/>
        <v/>
      </c>
      <c r="BQ34" s="46" t="str">
        <f t="shared" ca="1" si="117"/>
        <v/>
      </c>
      <c r="BR34" s="141" t="str">
        <f ca="1">IFERROR(IF(AND(ISNUMBER($BN34), ISNUMBER(Futs!$CC34)), $BN34 - Futs!$CC34, ""), "")</f>
        <v/>
      </c>
      <c r="BS34" s="46" t="str">
        <f ca="1">IFERROR(IF(AND(ISNUMBER($BO34), ISNUMBER(Futs!$CD34)), $BO34 - Futs!$CD34, ""), "")</f>
        <v/>
      </c>
      <c r="BT34" s="47" t="str">
        <f t="shared" ca="1" si="118"/>
        <v/>
      </c>
      <c r="BU34" s="111" t="str">
        <f t="shared" ca="1" si="119"/>
        <v/>
      </c>
    </row>
    <row r="35" spans="1:73" x14ac:dyDescent="0.25">
      <c r="A35" s="58">
        <f t="shared" ca="1" si="91"/>
        <v>46753</v>
      </c>
      <c r="B35" s="6">
        <f t="shared" ca="1" si="74"/>
        <v>2028</v>
      </c>
      <c r="C35" s="6" t="str">
        <f t="shared" ca="1" si="75"/>
        <v>Q128</v>
      </c>
      <c r="D35" s="28">
        <f ca="1">INDEX(ICE[], MATCH(D$18 &amp; TEXT(Lts!$A35, "mmmyy"), ICE[LongCode], 0), MATCH("Settle", ICE[#Headers], 0))</f>
        <v>-8.0630000000000006</v>
      </c>
      <c r="E35" s="28">
        <f ca="1">INDEX(ICE[], MATCH(E$18 &amp; TEXT(Lts!$A35, "mmmyy"), ICE[LongCode], 0), MATCH("Settle", ICE[#Headers], 0))</f>
        <v>10.549000000000001</v>
      </c>
      <c r="F35" s="28">
        <f ca="1">INDEX(ICE[], MATCH(F$18 &amp; TEXT(Lts!$A35, "mmmyy"), ICE[LongCode], 0), MATCH("Settle", ICE[#Headers], 0))</f>
        <v>19.75</v>
      </c>
      <c r="G35" s="28" t="e">
        <f ca="1">INDEX(ICE[], MATCH(G$18 &amp; TEXT(Lts!$A35, "mmmyy"), ICE[LongCode], 0), MATCH("Settle", ICE[#Headers], 0))</f>
        <v>#N/A</v>
      </c>
      <c r="H35" s="28">
        <f ca="1">INDEX(ICE[], MATCH(H$18 &amp; TEXT(Lts!$A35, "mmmyy"), ICE[LongCode], 0), MATCH("Settle", ICE[#Headers], 0))</f>
        <v>2</v>
      </c>
      <c r="I35" s="397" t="str">
        <f ca="1">IFERROR(INDEX(ICE[], MATCH("napbrxbbl" &amp; TEXT(Crd!$A35, "mmmyy"), ICE[LongCode], 0), MATCH("ICE Theoretical Price", ICE[#Headers], 0)), "")</f>
        <v/>
      </c>
      <c r="J35" s="364" t="str">
        <f ca="1">IFERROR(INDEX(ICE[], MATCH("napbrx" &amp; TEXT(Lts!$A35, "mmmyy"), ICE[LongCode], 0), MATCH("Text", ICE[#Headers], 0)), "")</f>
        <v xml:space="preserve"> /   |40x</v>
      </c>
      <c r="K35" s="46" t="str">
        <f t="shared" ca="1" si="76"/>
        <v/>
      </c>
      <c r="L35" s="47" t="str">
        <f t="shared" ca="1" si="120"/>
        <v/>
      </c>
      <c r="M35" s="46" t="str">
        <f t="shared" ca="1" si="92"/>
        <v/>
      </c>
      <c r="N35" s="141" t="str">
        <f ca="1">IFERROR(IF(AND(ISNUMBER(Futs!$CC35), ISNUMBER($I35)), (Futs!$CC35 + $I35)*8.9, ""), "")</f>
        <v/>
      </c>
      <c r="O35" s="46" t="str">
        <f ca="1">IFERROR(IF(AND(ISNUMBER(Futs!$CD35), ISNUMBER($K35)), (Futs!$CD35 + $K35)*8.9, ""), "")</f>
        <v/>
      </c>
      <c r="P35" s="47" t="str">
        <f t="shared" ca="1" si="93"/>
        <v/>
      </c>
      <c r="Q35" s="111" t="str">
        <f t="shared" ca="1" si="94"/>
        <v/>
      </c>
      <c r="R35" s="397" t="str">
        <f ca="1">IFERROR(INDEX(ICE[], MATCH("ebobbrxbbl" &amp; TEXT(Crd!$A35, "mmmyy"), ICE[LongCode], 0), MATCH("ICE Theoretical Price", ICE[#Headers], 0)), "")</f>
        <v/>
      </c>
      <c r="S35" s="364" t="str">
        <f ca="1">IFERROR(INDEX(ICE[], MATCH("ebobbrx" &amp; TEXT(Lts!$A35, "mmmyy"), ICE[LongCode], 0), MATCH("Text", ICE[#Headers], 0)), "")</f>
        <v xml:space="preserve"> /  </v>
      </c>
      <c r="T35" s="46" t="str">
        <f t="shared" ca="1" si="78"/>
        <v/>
      </c>
      <c r="U35" s="47" t="str">
        <f t="shared" ca="1" si="95"/>
        <v/>
      </c>
      <c r="V35" s="46" t="str">
        <f t="shared" ca="1" si="96"/>
        <v/>
      </c>
      <c r="W35" s="141" t="str">
        <f ca="1">IFERROR(IF(AND(ISNUMBER(Futs!$CC35), ISNUMBER($R35)), (Futs!$CC35 + $R35)*8.33, ""), "")</f>
        <v/>
      </c>
      <c r="X35" s="46" t="str">
        <f ca="1">IFERROR(IF(AND(ISNUMBER(Futs!$CD35), ISNUMBER($T35)), (Futs!$CD35 + $T35)*8.33, ""), "")</f>
        <v/>
      </c>
      <c r="Y35" s="47" t="str">
        <f t="shared" ca="1" si="97"/>
        <v/>
      </c>
      <c r="Z35" s="46" t="str">
        <f t="shared" ca="1" si="98"/>
        <v/>
      </c>
      <c r="AA35" s="141" t="str">
        <f t="shared" ca="1" si="79"/>
        <v/>
      </c>
      <c r="AB35" s="46" t="str">
        <f t="shared" ca="1" si="80"/>
        <v/>
      </c>
      <c r="AC35" s="47" t="str">
        <f t="shared" ca="1" si="99"/>
        <v/>
      </c>
      <c r="AD35" s="46" t="str">
        <f t="shared" ca="1" si="100"/>
        <v/>
      </c>
      <c r="AE35" s="141" t="str">
        <f ca="1">IFERROR(IF(AND(ISNUMBER(Futs!$CO35), ISNUMBER($W35)), Futs!$CO35 - $W35/8.33/42*100, ""), "")</f>
        <v/>
      </c>
      <c r="AF35" s="46" t="str">
        <f ca="1">IFERROR(IF(AND(ISNUMBER(Futs!$CP35), ISNUMBER($X35)), Futs!$CP35 - $X35/8.33/42*100, ""), "")</f>
        <v/>
      </c>
      <c r="AG35" s="47" t="str">
        <f t="shared" ca="1" si="101"/>
        <v/>
      </c>
      <c r="AH35" s="111" t="str">
        <f t="shared" ca="1" si="102"/>
        <v/>
      </c>
      <c r="AI35" s="397" t="str">
        <f ca="1">IFERROR(INDEX(ICE[], MATCH("napew" &amp; TEXT(Crd!$A35, "mmmyy"), ICE[LongCode], 0), MATCH("ICE Theoretical Price", ICE[#Headers], 0)), "")</f>
        <v/>
      </c>
      <c r="AJ35" s="364" t="str">
        <f ca="1">IFERROR(INDEX(ICE[], MATCH("napew" &amp; TEXT(Lts!$A35, "mmmyy"), ICE[LongCode], 0), MATCH("Text", ICE[#Headers], 0)), "")</f>
        <v xml:space="preserve"> /  </v>
      </c>
      <c r="AK35" s="46" t="str">
        <f t="shared" ca="1" si="81"/>
        <v/>
      </c>
      <c r="AL35" s="47" t="str">
        <f t="shared" ca="1" si="103"/>
        <v/>
      </c>
      <c r="AM35" s="46" t="str">
        <f t="shared" ca="1" si="104"/>
        <v/>
      </c>
      <c r="AN35" s="141" t="str">
        <f t="shared" ca="1" si="82"/>
        <v/>
      </c>
      <c r="AO35" s="46" t="str">
        <f t="shared" ca="1" si="83"/>
        <v/>
      </c>
      <c r="AP35" s="47" t="str">
        <f t="shared" ca="1" si="84"/>
        <v/>
      </c>
      <c r="AQ35" s="46" t="str">
        <f t="shared" ca="1" si="105"/>
        <v/>
      </c>
      <c r="AR35" s="141" t="str">
        <f ca="1">IFERROR(IF(AND(ISNUMBER($AN35), ISNUMBER(Futs!$CC35)), $AN35/8.9 - Futs!$CC35, ""), "")</f>
        <v/>
      </c>
      <c r="AS35" s="46" t="str">
        <f ca="1">IFERROR(IF(AND(ISNUMBER($AO35), ISNUMBER(Futs!$CD35)), $AO35/8.9 - Futs!$CD35, ""), "")</f>
        <v/>
      </c>
      <c r="AT35" s="47" t="str">
        <f t="shared" ca="1" si="106"/>
        <v/>
      </c>
      <c r="AU35" s="111" t="str">
        <f t="shared" ca="1" si="107"/>
        <v/>
      </c>
      <c r="AV35" s="397" t="str">
        <f ca="1">IFERROR(INDEX(ICE[], MATCH("mg92ebob" &amp; TEXT(Crd!$A35, "mmmyy"), ICE[LongCode], 0), MATCH("ICE Theoretical Price", ICE[#Headers], 0)), "")</f>
        <v/>
      </c>
      <c r="AW35" s="364" t="str">
        <f ca="1">IFERROR(INDEX(ICE[], MATCH("mg92ebob" &amp; TEXT(Lts!$A35, "mmmyy"), ICE[LongCode], 0), MATCH("Text", ICE[#Headers], 0)), "")</f>
        <v/>
      </c>
      <c r="AX35" s="46" t="str">
        <f t="shared" ca="1" si="85"/>
        <v/>
      </c>
      <c r="AY35" s="47" t="str">
        <f t="shared" ca="1" si="108"/>
        <v/>
      </c>
      <c r="AZ35" s="46" t="str">
        <f t="shared" ca="1" si="109"/>
        <v/>
      </c>
      <c r="BA35" s="141" t="str">
        <f t="shared" ca="1" si="86"/>
        <v/>
      </c>
      <c r="BB35" s="46" t="str">
        <f t="shared" ca="1" si="87"/>
        <v/>
      </c>
      <c r="BC35" s="47" t="str">
        <f t="shared" ca="1" si="110"/>
        <v/>
      </c>
      <c r="BD35" s="46" t="str">
        <f t="shared" ca="1" si="111"/>
        <v/>
      </c>
      <c r="BE35" s="141" t="str">
        <f ca="1">IFERROR(IF(AND(ISNUMBER($BA35), ISNUMBER(Futs!$CC35)), $BA35 - Futs!$CC35, ""), "")</f>
        <v/>
      </c>
      <c r="BF35" s="46" t="str">
        <f ca="1">IFERROR(IF(AND(ISNUMBER($BB35), ISNUMBER(Futs!$CD35)), $BB35 - Futs!$CD35, ""), "")</f>
        <v/>
      </c>
      <c r="BG35" s="47" t="str">
        <f t="shared" ca="1" si="112"/>
        <v/>
      </c>
      <c r="BH35" s="111" t="str">
        <f t="shared" ca="1" si="113"/>
        <v/>
      </c>
      <c r="BI35" s="397" t="str">
        <f ca="1">IFERROR(INDEX(ICE[], MATCH("mg9592" &amp; TEXT(Crd!$A35, "mmmyy"), ICE[LongCode], 0), MATCH("ICE Theoretical Price", ICE[#Headers], 0)), "")</f>
        <v/>
      </c>
      <c r="BJ35" s="364" t="str">
        <f ca="1">IFERROR(INDEX(ICE[], MATCH("mg9592" &amp; TEXT(Lts!$A35, "mmmyy"), ICE[LongCode], 0), MATCH("Text", ICE[#Headers], 0)), "")</f>
        <v xml:space="preserve"> /  </v>
      </c>
      <c r="BK35" s="46" t="str">
        <f t="shared" ca="1" si="88"/>
        <v/>
      </c>
      <c r="BL35" s="47" t="str">
        <f t="shared" ca="1" si="114"/>
        <v/>
      </c>
      <c r="BM35" s="46" t="str">
        <f t="shared" ca="1" si="115"/>
        <v/>
      </c>
      <c r="BN35" s="141" t="str">
        <f t="shared" ca="1" si="89"/>
        <v/>
      </c>
      <c r="BO35" s="46" t="str">
        <f t="shared" ca="1" si="90"/>
        <v/>
      </c>
      <c r="BP35" s="47" t="str">
        <f t="shared" ca="1" si="116"/>
        <v/>
      </c>
      <c r="BQ35" s="46" t="str">
        <f t="shared" ca="1" si="117"/>
        <v/>
      </c>
      <c r="BR35" s="141" t="str">
        <f ca="1">IFERROR(IF(AND(ISNUMBER($BN35), ISNUMBER(Futs!$CC35)), $BN35 - Futs!$CC35, ""), "")</f>
        <v/>
      </c>
      <c r="BS35" s="46" t="str">
        <f ca="1">IFERROR(IF(AND(ISNUMBER($BO35), ISNUMBER(Futs!$CD35)), $BO35 - Futs!$CD35, ""), "")</f>
        <v/>
      </c>
      <c r="BT35" s="47" t="str">
        <f t="shared" ca="1" si="118"/>
        <v/>
      </c>
      <c r="BU35" s="111" t="str">
        <f t="shared" ca="1" si="119"/>
        <v/>
      </c>
    </row>
    <row r="36" spans="1:73" x14ac:dyDescent="0.25">
      <c r="A36" s="58">
        <f t="shared" ca="1" si="91"/>
        <v>46784</v>
      </c>
      <c r="B36" s="6">
        <f t="shared" ca="1" si="74"/>
        <v>2028</v>
      </c>
      <c r="C36" s="6" t="str">
        <f t="shared" ca="1" si="75"/>
        <v>Q128</v>
      </c>
      <c r="D36" s="28">
        <f ca="1">INDEX(ICE[], MATCH(D$18 &amp; TEXT(Lts!$A36, "mmmyy"), ICE[LongCode], 0), MATCH("Settle", ICE[#Headers], 0))</f>
        <v>-8.1750000000000007</v>
      </c>
      <c r="E36" s="28">
        <f ca="1">INDEX(ICE[], MATCH(E$18 &amp; TEXT(Lts!$A36, "mmmyy"), ICE[LongCode], 0), MATCH("Settle", ICE[#Headers], 0))</f>
        <v>10.558</v>
      </c>
      <c r="F36" s="28">
        <f ca="1">INDEX(ICE[], MATCH(F$18 &amp; TEXT(Lts!$A36, "mmmyy"), ICE[LongCode], 0), MATCH("Settle", ICE[#Headers], 0))</f>
        <v>19.25</v>
      </c>
      <c r="G36" s="28" t="e">
        <f ca="1">INDEX(ICE[], MATCH(G$18 &amp; TEXT(Lts!$A36, "mmmyy"), ICE[LongCode], 0), MATCH("Settle", ICE[#Headers], 0))</f>
        <v>#N/A</v>
      </c>
      <c r="H36" s="28">
        <f ca="1">INDEX(ICE[], MATCH(H$18 &amp; TEXT(Lts!$A36, "mmmyy"), ICE[LongCode], 0), MATCH("Settle", ICE[#Headers], 0))</f>
        <v>2</v>
      </c>
      <c r="I36" s="397" t="str">
        <f ca="1">IFERROR(INDEX(ICE[], MATCH("napbrxbbl" &amp; TEXT(Crd!$A36, "mmmyy"), ICE[LongCode], 0), MATCH("ICE Theoretical Price", ICE[#Headers], 0)), "")</f>
        <v/>
      </c>
      <c r="J36" s="364" t="str">
        <f ca="1">IFERROR(INDEX(ICE[], MATCH("napbrx" &amp; TEXT(Lts!$A36, "mmmyy"), ICE[LongCode], 0), MATCH("Text", ICE[#Headers], 0)), "")</f>
        <v xml:space="preserve"> /   |40x</v>
      </c>
      <c r="K36" s="46" t="str">
        <f t="shared" ca="1" si="76"/>
        <v/>
      </c>
      <c r="L36" s="47" t="str">
        <f t="shared" ca="1" si="120"/>
        <v/>
      </c>
      <c r="M36" s="46" t="str">
        <f t="shared" ca="1" si="92"/>
        <v/>
      </c>
      <c r="N36" s="141" t="str">
        <f ca="1">IFERROR(IF(AND(ISNUMBER(Futs!$CC36), ISNUMBER($I36)), (Futs!$CC36 + $I36)*8.9, ""), "")</f>
        <v/>
      </c>
      <c r="O36" s="46" t="str">
        <f ca="1">IFERROR(IF(AND(ISNUMBER(Futs!$CD36), ISNUMBER($K36)), (Futs!$CD36 + $K36)*8.9, ""), "")</f>
        <v/>
      </c>
      <c r="P36" s="47" t="str">
        <f t="shared" ca="1" si="93"/>
        <v/>
      </c>
      <c r="Q36" s="111" t="str">
        <f t="shared" ca="1" si="94"/>
        <v/>
      </c>
      <c r="R36" s="397" t="str">
        <f ca="1">IFERROR(INDEX(ICE[], MATCH("ebobbrxbbl" &amp; TEXT(Crd!$A36, "mmmyy"), ICE[LongCode], 0), MATCH("ICE Theoretical Price", ICE[#Headers], 0)), "")</f>
        <v/>
      </c>
      <c r="S36" s="364" t="str">
        <f ca="1">IFERROR(INDEX(ICE[], MATCH("ebobbrx" &amp; TEXT(Lts!$A36, "mmmyy"), ICE[LongCode], 0), MATCH("Text", ICE[#Headers], 0)), "")</f>
        <v xml:space="preserve"> /  </v>
      </c>
      <c r="T36" s="46" t="str">
        <f t="shared" ca="1" si="78"/>
        <v/>
      </c>
      <c r="U36" s="47" t="str">
        <f t="shared" ca="1" si="95"/>
        <v/>
      </c>
      <c r="V36" s="46" t="str">
        <f t="shared" ca="1" si="96"/>
        <v/>
      </c>
      <c r="W36" s="141" t="str">
        <f ca="1">IFERROR(IF(AND(ISNUMBER(Futs!$CC36), ISNUMBER($R36)), (Futs!$CC36 + $R36)*8.33, ""), "")</f>
        <v/>
      </c>
      <c r="X36" s="46" t="str">
        <f ca="1">IFERROR(IF(AND(ISNUMBER(Futs!$CD36), ISNUMBER($T36)), (Futs!$CD36 + $T36)*8.33, ""), "")</f>
        <v/>
      </c>
      <c r="Y36" s="47" t="str">
        <f t="shared" ca="1" si="97"/>
        <v/>
      </c>
      <c r="Z36" s="46" t="str">
        <f t="shared" ca="1" si="98"/>
        <v/>
      </c>
      <c r="AA36" s="141" t="str">
        <f t="shared" ca="1" si="79"/>
        <v/>
      </c>
      <c r="AB36" s="46" t="str">
        <f t="shared" ca="1" si="80"/>
        <v/>
      </c>
      <c r="AC36" s="47" t="str">
        <f t="shared" ca="1" si="99"/>
        <v/>
      </c>
      <c r="AD36" s="46" t="str">
        <f t="shared" ca="1" si="100"/>
        <v/>
      </c>
      <c r="AE36" s="141" t="str">
        <f ca="1">IFERROR(IF(AND(ISNUMBER(Futs!$CO36), ISNUMBER($W36)), Futs!$CO36 - $W36/8.33/42*100, ""), "")</f>
        <v/>
      </c>
      <c r="AF36" s="46" t="str">
        <f ca="1">IFERROR(IF(AND(ISNUMBER(Futs!$CP36), ISNUMBER($X36)), Futs!$CP36 - $X36/8.33/42*100, ""), "")</f>
        <v/>
      </c>
      <c r="AG36" s="47" t="str">
        <f t="shared" ca="1" si="101"/>
        <v/>
      </c>
      <c r="AH36" s="111" t="str">
        <f t="shared" ca="1" si="102"/>
        <v/>
      </c>
      <c r="AI36" s="397" t="str">
        <f ca="1">IFERROR(INDEX(ICE[], MATCH("napew" &amp; TEXT(Crd!$A36, "mmmyy"), ICE[LongCode], 0), MATCH("ICE Theoretical Price", ICE[#Headers], 0)), "")</f>
        <v/>
      </c>
      <c r="AJ36" s="364" t="str">
        <f ca="1">IFERROR(INDEX(ICE[], MATCH("napew" &amp; TEXT(Lts!$A36, "mmmyy"), ICE[LongCode], 0), MATCH("Text", ICE[#Headers], 0)), "")</f>
        <v xml:space="preserve"> /  </v>
      </c>
      <c r="AK36" s="46" t="str">
        <f t="shared" ca="1" si="81"/>
        <v/>
      </c>
      <c r="AL36" s="47" t="str">
        <f t="shared" ca="1" si="103"/>
        <v/>
      </c>
      <c r="AM36" s="46" t="str">
        <f t="shared" ca="1" si="104"/>
        <v/>
      </c>
      <c r="AN36" s="141" t="str">
        <f t="shared" ca="1" si="82"/>
        <v/>
      </c>
      <c r="AO36" s="46" t="str">
        <f t="shared" ca="1" si="83"/>
        <v/>
      </c>
      <c r="AP36" s="47" t="str">
        <f t="shared" ca="1" si="84"/>
        <v/>
      </c>
      <c r="AQ36" s="46" t="str">
        <f t="shared" ca="1" si="105"/>
        <v/>
      </c>
      <c r="AR36" s="141" t="str">
        <f ca="1">IFERROR(IF(AND(ISNUMBER($AN36), ISNUMBER(Futs!$CC36)), $AN36/8.9 - Futs!$CC36, ""), "")</f>
        <v/>
      </c>
      <c r="AS36" s="46" t="str">
        <f ca="1">IFERROR(IF(AND(ISNUMBER($AO36), ISNUMBER(Futs!$CD36)), $AO36/8.9 - Futs!$CD36, ""), "")</f>
        <v/>
      </c>
      <c r="AT36" s="47" t="str">
        <f t="shared" ca="1" si="106"/>
        <v/>
      </c>
      <c r="AU36" s="111" t="str">
        <f t="shared" ca="1" si="107"/>
        <v/>
      </c>
      <c r="AV36" s="397" t="str">
        <f ca="1">IFERROR(INDEX(ICE[], MATCH("mg92ebob" &amp; TEXT(Crd!$A36, "mmmyy"), ICE[LongCode], 0), MATCH("ICE Theoretical Price", ICE[#Headers], 0)), "")</f>
        <v/>
      </c>
      <c r="AW36" s="364" t="str">
        <f ca="1">IFERROR(INDEX(ICE[], MATCH("mg92ebob" &amp; TEXT(Lts!$A36, "mmmyy"), ICE[LongCode], 0), MATCH("Text", ICE[#Headers], 0)), "")</f>
        <v/>
      </c>
      <c r="AX36" s="46" t="str">
        <f t="shared" ca="1" si="85"/>
        <v/>
      </c>
      <c r="AY36" s="47" t="str">
        <f t="shared" ca="1" si="108"/>
        <v/>
      </c>
      <c r="AZ36" s="46" t="str">
        <f t="shared" ca="1" si="109"/>
        <v/>
      </c>
      <c r="BA36" s="141" t="str">
        <f t="shared" ca="1" si="86"/>
        <v/>
      </c>
      <c r="BB36" s="46" t="str">
        <f t="shared" ca="1" si="87"/>
        <v/>
      </c>
      <c r="BC36" s="47" t="str">
        <f t="shared" ca="1" si="110"/>
        <v/>
      </c>
      <c r="BD36" s="46" t="str">
        <f t="shared" ca="1" si="111"/>
        <v/>
      </c>
      <c r="BE36" s="141" t="str">
        <f ca="1">IFERROR(IF(AND(ISNUMBER($BA36), ISNUMBER(Futs!$CC36)), $BA36 - Futs!$CC36, ""), "")</f>
        <v/>
      </c>
      <c r="BF36" s="46" t="str">
        <f ca="1">IFERROR(IF(AND(ISNUMBER($BB36), ISNUMBER(Futs!$CD36)), $BB36 - Futs!$CD36, ""), "")</f>
        <v/>
      </c>
      <c r="BG36" s="47" t="str">
        <f t="shared" ca="1" si="112"/>
        <v/>
      </c>
      <c r="BH36" s="111" t="str">
        <f t="shared" ca="1" si="113"/>
        <v/>
      </c>
      <c r="BI36" s="397" t="str">
        <f ca="1">IFERROR(INDEX(ICE[], MATCH("mg9592" &amp; TEXT(Crd!$A36, "mmmyy"), ICE[LongCode], 0), MATCH("ICE Theoretical Price", ICE[#Headers], 0)), "")</f>
        <v/>
      </c>
      <c r="BJ36" s="364" t="str">
        <f ca="1">IFERROR(INDEX(ICE[], MATCH("mg9592" &amp; TEXT(Lts!$A36, "mmmyy"), ICE[LongCode], 0), MATCH("Text", ICE[#Headers], 0)), "")</f>
        <v xml:space="preserve"> /  </v>
      </c>
      <c r="BK36" s="46" t="str">
        <f t="shared" ca="1" si="88"/>
        <v/>
      </c>
      <c r="BL36" s="47" t="str">
        <f t="shared" ca="1" si="114"/>
        <v/>
      </c>
      <c r="BM36" s="46" t="str">
        <f t="shared" ca="1" si="115"/>
        <v/>
      </c>
      <c r="BN36" s="141" t="str">
        <f t="shared" ca="1" si="89"/>
        <v/>
      </c>
      <c r="BO36" s="46" t="str">
        <f t="shared" ca="1" si="90"/>
        <v/>
      </c>
      <c r="BP36" s="47" t="str">
        <f t="shared" ca="1" si="116"/>
        <v/>
      </c>
      <c r="BQ36" s="46" t="str">
        <f t="shared" ca="1" si="117"/>
        <v/>
      </c>
      <c r="BR36" s="141" t="str">
        <f ca="1">IFERROR(IF(AND(ISNUMBER($BN36), ISNUMBER(Futs!$CC36)), $BN36 - Futs!$CC36, ""), "")</f>
        <v/>
      </c>
      <c r="BS36" s="46" t="str">
        <f ca="1">IFERROR(IF(AND(ISNUMBER($BO36), ISNUMBER(Futs!$CD36)), $BO36 - Futs!$CD36, ""), "")</f>
        <v/>
      </c>
      <c r="BT36" s="47" t="str">
        <f t="shared" ca="1" si="118"/>
        <v/>
      </c>
      <c r="BU36" s="111" t="str">
        <f t="shared" ca="1" si="119"/>
        <v/>
      </c>
    </row>
    <row r="37" spans="1:73" x14ac:dyDescent="0.25">
      <c r="A37" s="58">
        <f t="shared" ca="1" si="91"/>
        <v>46813</v>
      </c>
      <c r="B37" s="6">
        <f t="shared" ca="1" si="74"/>
        <v>2028</v>
      </c>
      <c r="C37" s="6" t="str">
        <f t="shared" ca="1" si="75"/>
        <v>Q128</v>
      </c>
      <c r="D37" s="28">
        <f ca="1">INDEX(ICE[], MATCH(D$18 &amp; TEXT(Lts!$A37, "mmmyy"), ICE[LongCode], 0), MATCH("Settle", ICE[#Headers], 0))</f>
        <v>-8.4390000000000001</v>
      </c>
      <c r="E37" s="28">
        <f ca="1">INDEX(ICE[], MATCH(E$18 &amp; TEXT(Lts!$A37, "mmmyy"), ICE[LongCode], 0), MATCH("Settle", ICE[#Headers], 0))</f>
        <v>10.826000000000001</v>
      </c>
      <c r="F37" s="28">
        <f ca="1">INDEX(ICE[], MATCH(F$18 &amp; TEXT(Lts!$A37, "mmmyy"), ICE[LongCode], 0), MATCH("Settle", ICE[#Headers], 0))</f>
        <v>19</v>
      </c>
      <c r="G37" s="28" t="e">
        <f ca="1">INDEX(ICE[], MATCH(G$18 &amp; TEXT(Lts!$A37, "mmmyy"), ICE[LongCode], 0), MATCH("Settle", ICE[#Headers], 0))</f>
        <v>#N/A</v>
      </c>
      <c r="H37" s="28">
        <f ca="1">INDEX(ICE[], MATCH(H$18 &amp; TEXT(Lts!$A37, "mmmyy"), ICE[LongCode], 0), MATCH("Settle", ICE[#Headers], 0))</f>
        <v>2</v>
      </c>
      <c r="I37" s="397" t="str">
        <f ca="1">IFERROR(INDEX(ICE[], MATCH("napbrxbbl" &amp; TEXT(Crd!$A37, "mmmyy"), ICE[LongCode], 0), MATCH("ICE Theoretical Price", ICE[#Headers], 0)), "")</f>
        <v/>
      </c>
      <c r="J37" s="364" t="str">
        <f ca="1">IFERROR(INDEX(ICE[], MATCH("napbrx" &amp; TEXT(Lts!$A37, "mmmyy"), ICE[LongCode], 0), MATCH("Text", ICE[#Headers], 0)), "")</f>
        <v xml:space="preserve"> /   |40x</v>
      </c>
      <c r="K37" s="46" t="str">
        <f t="shared" ca="1" si="76"/>
        <v/>
      </c>
      <c r="L37" s="47" t="str">
        <f t="shared" ca="1" si="120"/>
        <v/>
      </c>
      <c r="M37" s="46" t="str">
        <f t="shared" ca="1" si="92"/>
        <v/>
      </c>
      <c r="N37" s="141" t="str">
        <f ca="1">IFERROR(IF(AND(ISNUMBER(Futs!$CC37), ISNUMBER($I37)), (Futs!$CC37 + $I37)*8.9, ""), "")</f>
        <v/>
      </c>
      <c r="O37" s="46" t="str">
        <f ca="1">IFERROR(IF(AND(ISNUMBER(Futs!$CD37), ISNUMBER($K37)), (Futs!$CD37 + $K37)*8.9, ""), "")</f>
        <v/>
      </c>
      <c r="P37" s="47" t="str">
        <f t="shared" ca="1" si="93"/>
        <v/>
      </c>
      <c r="Q37" s="111" t="str">
        <f t="shared" ca="1" si="94"/>
        <v/>
      </c>
      <c r="R37" s="397" t="str">
        <f ca="1">IFERROR(INDEX(ICE[], MATCH("ebobbrxbbl" &amp; TEXT(Crd!$A37, "mmmyy"), ICE[LongCode], 0), MATCH("ICE Theoretical Price", ICE[#Headers], 0)), "")</f>
        <v/>
      </c>
      <c r="S37" s="364" t="str">
        <f ca="1">IFERROR(INDEX(ICE[], MATCH("ebobbrx" &amp; TEXT(Lts!$A37, "mmmyy"), ICE[LongCode], 0), MATCH("Text", ICE[#Headers], 0)), "")</f>
        <v xml:space="preserve"> /  </v>
      </c>
      <c r="T37" s="46" t="str">
        <f t="shared" ca="1" si="78"/>
        <v/>
      </c>
      <c r="U37" s="47" t="str">
        <f t="shared" ca="1" si="95"/>
        <v/>
      </c>
      <c r="V37" s="46" t="str">
        <f t="shared" ca="1" si="96"/>
        <v/>
      </c>
      <c r="W37" s="141" t="str">
        <f ca="1">IFERROR(IF(AND(ISNUMBER(Futs!$CC37), ISNUMBER($R37)), (Futs!$CC37 + $R37)*8.33, ""), "")</f>
        <v/>
      </c>
      <c r="X37" s="46" t="str">
        <f ca="1">IFERROR(IF(AND(ISNUMBER(Futs!$CD37), ISNUMBER($T37)), (Futs!$CD37 + $T37)*8.33, ""), "")</f>
        <v/>
      </c>
      <c r="Y37" s="47" t="str">
        <f t="shared" ca="1" si="97"/>
        <v/>
      </c>
      <c r="Z37" s="46" t="str">
        <f t="shared" ca="1" si="98"/>
        <v/>
      </c>
      <c r="AA37" s="141" t="str">
        <f t="shared" ca="1" si="79"/>
        <v/>
      </c>
      <c r="AB37" s="46" t="str">
        <f t="shared" ca="1" si="80"/>
        <v/>
      </c>
      <c r="AC37" s="47" t="str">
        <f t="shared" ca="1" si="99"/>
        <v/>
      </c>
      <c r="AD37" s="46" t="str">
        <f t="shared" ca="1" si="100"/>
        <v/>
      </c>
      <c r="AE37" s="141" t="str">
        <f ca="1">IFERROR(IF(AND(ISNUMBER(Futs!$CO37), ISNUMBER($W37)), Futs!$CO37 - $W37/8.33/42*100, ""), "")</f>
        <v/>
      </c>
      <c r="AF37" s="46" t="str">
        <f ca="1">IFERROR(IF(AND(ISNUMBER(Futs!$CP37), ISNUMBER($X37)), Futs!$CP37 - $X37/8.33/42*100, ""), "")</f>
        <v/>
      </c>
      <c r="AG37" s="47" t="str">
        <f t="shared" ca="1" si="101"/>
        <v/>
      </c>
      <c r="AH37" s="111" t="str">
        <f t="shared" ca="1" si="102"/>
        <v/>
      </c>
      <c r="AI37" s="397" t="str">
        <f ca="1">IFERROR(INDEX(ICE[], MATCH("napew" &amp; TEXT(Crd!$A37, "mmmyy"), ICE[LongCode], 0), MATCH("ICE Theoretical Price", ICE[#Headers], 0)), "")</f>
        <v/>
      </c>
      <c r="AJ37" s="364" t="str">
        <f ca="1">IFERROR(INDEX(ICE[], MATCH("napew" &amp; TEXT(Lts!$A37, "mmmyy"), ICE[LongCode], 0), MATCH("Text", ICE[#Headers], 0)), "")</f>
        <v xml:space="preserve"> /  </v>
      </c>
      <c r="AK37" s="46" t="str">
        <f t="shared" ca="1" si="81"/>
        <v/>
      </c>
      <c r="AL37" s="47" t="str">
        <f t="shared" ca="1" si="103"/>
        <v/>
      </c>
      <c r="AM37" s="46" t="str">
        <f t="shared" ca="1" si="104"/>
        <v/>
      </c>
      <c r="AN37" s="141" t="str">
        <f t="shared" ca="1" si="82"/>
        <v/>
      </c>
      <c r="AO37" s="46" t="str">
        <f t="shared" ca="1" si="83"/>
        <v/>
      </c>
      <c r="AP37" s="47" t="str">
        <f t="shared" ca="1" si="84"/>
        <v/>
      </c>
      <c r="AQ37" s="46" t="str">
        <f t="shared" ca="1" si="105"/>
        <v/>
      </c>
      <c r="AR37" s="141" t="str">
        <f ca="1">IFERROR(IF(AND(ISNUMBER($AN37), ISNUMBER(Futs!$CC37)), $AN37/8.9 - Futs!$CC37, ""), "")</f>
        <v/>
      </c>
      <c r="AS37" s="46" t="str">
        <f ca="1">IFERROR(IF(AND(ISNUMBER($AO37), ISNUMBER(Futs!$CD37)), $AO37/8.9 - Futs!$CD37, ""), "")</f>
        <v/>
      </c>
      <c r="AT37" s="47" t="str">
        <f t="shared" ca="1" si="106"/>
        <v/>
      </c>
      <c r="AU37" s="111" t="str">
        <f t="shared" ca="1" si="107"/>
        <v/>
      </c>
      <c r="AV37" s="397" t="str">
        <f ca="1">IFERROR(INDEX(ICE[], MATCH("mg92ebob" &amp; TEXT(Crd!$A37, "mmmyy"), ICE[LongCode], 0), MATCH("ICE Theoretical Price", ICE[#Headers], 0)), "")</f>
        <v/>
      </c>
      <c r="AW37" s="364" t="str">
        <f ca="1">IFERROR(INDEX(ICE[], MATCH("mg92ebob" &amp; TEXT(Lts!$A37, "mmmyy"), ICE[LongCode], 0), MATCH("Text", ICE[#Headers], 0)), "")</f>
        <v/>
      </c>
      <c r="AX37" s="46" t="str">
        <f t="shared" ca="1" si="85"/>
        <v/>
      </c>
      <c r="AY37" s="47" t="str">
        <f t="shared" ca="1" si="108"/>
        <v/>
      </c>
      <c r="AZ37" s="46" t="str">
        <f t="shared" ca="1" si="109"/>
        <v/>
      </c>
      <c r="BA37" s="141" t="str">
        <f t="shared" ca="1" si="86"/>
        <v/>
      </c>
      <c r="BB37" s="46" t="str">
        <f t="shared" ca="1" si="87"/>
        <v/>
      </c>
      <c r="BC37" s="47" t="str">
        <f t="shared" ca="1" si="110"/>
        <v/>
      </c>
      <c r="BD37" s="46" t="str">
        <f t="shared" ca="1" si="111"/>
        <v/>
      </c>
      <c r="BE37" s="141" t="str">
        <f ca="1">IFERROR(IF(AND(ISNUMBER($BA37), ISNUMBER(Futs!$CC37)), $BA37 - Futs!$CC37, ""), "")</f>
        <v/>
      </c>
      <c r="BF37" s="46" t="str">
        <f ca="1">IFERROR(IF(AND(ISNUMBER($BB37), ISNUMBER(Futs!$CD37)), $BB37 - Futs!$CD37, ""), "")</f>
        <v/>
      </c>
      <c r="BG37" s="47" t="str">
        <f t="shared" ca="1" si="112"/>
        <v/>
      </c>
      <c r="BH37" s="111" t="str">
        <f t="shared" ca="1" si="113"/>
        <v/>
      </c>
      <c r="BI37" s="397" t="str">
        <f ca="1">IFERROR(INDEX(ICE[], MATCH("mg9592" &amp; TEXT(Crd!$A37, "mmmyy"), ICE[LongCode], 0), MATCH("ICE Theoretical Price", ICE[#Headers], 0)), "")</f>
        <v/>
      </c>
      <c r="BJ37" s="364" t="str">
        <f ca="1">IFERROR(INDEX(ICE[], MATCH("mg9592" &amp; TEXT(Lts!$A37, "mmmyy"), ICE[LongCode], 0), MATCH("Text", ICE[#Headers], 0)), "")</f>
        <v xml:space="preserve"> /  </v>
      </c>
      <c r="BK37" s="46" t="str">
        <f t="shared" ca="1" si="88"/>
        <v/>
      </c>
      <c r="BL37" s="47" t="str">
        <f t="shared" ca="1" si="114"/>
        <v/>
      </c>
      <c r="BM37" s="46" t="str">
        <f t="shared" ca="1" si="115"/>
        <v/>
      </c>
      <c r="BN37" s="141" t="str">
        <f t="shared" ca="1" si="89"/>
        <v/>
      </c>
      <c r="BO37" s="46" t="str">
        <f t="shared" ca="1" si="90"/>
        <v/>
      </c>
      <c r="BP37" s="47" t="str">
        <f t="shared" ca="1" si="116"/>
        <v/>
      </c>
      <c r="BQ37" s="46" t="str">
        <f t="shared" ca="1" si="117"/>
        <v/>
      </c>
      <c r="BR37" s="141" t="str">
        <f ca="1">IFERROR(IF(AND(ISNUMBER($BN37), ISNUMBER(Futs!$CC37)), $BN37 - Futs!$CC37, ""), "")</f>
        <v/>
      </c>
      <c r="BS37" s="46" t="str">
        <f ca="1">IFERROR(IF(AND(ISNUMBER($BO37), ISNUMBER(Futs!$CD37)), $BO37 - Futs!$CD37, ""), "")</f>
        <v/>
      </c>
      <c r="BT37" s="47" t="str">
        <f t="shared" ca="1" si="118"/>
        <v/>
      </c>
      <c r="BU37" s="111" t="str">
        <f t="shared" ca="1" si="119"/>
        <v/>
      </c>
    </row>
    <row r="38" spans="1:73" x14ac:dyDescent="0.25">
      <c r="A38" s="58">
        <f t="shared" ca="1" si="91"/>
        <v>46844</v>
      </c>
      <c r="B38" s="6">
        <f t="shared" ca="1" si="74"/>
        <v>2028</v>
      </c>
      <c r="C38" s="6" t="str">
        <f t="shared" ca="1" si="75"/>
        <v>Q228</v>
      </c>
      <c r="D38" s="28">
        <f ca="1">INDEX(ICE[], MATCH(D$18 &amp; TEXT(Lts!$A38, "mmmyy"), ICE[LongCode], 0), MATCH("Settle", ICE[#Headers], 0))</f>
        <v>-8.8580000000000005</v>
      </c>
      <c r="E38" s="28">
        <f ca="1">INDEX(ICE[], MATCH(E$18 &amp; TEXT(Lts!$A38, "mmmyy"), ICE[LongCode], 0), MATCH("Settle", ICE[#Headers], 0))</f>
        <v>14.741000000000001</v>
      </c>
      <c r="F38" s="28">
        <f ca="1">INDEX(ICE[], MATCH(F$18 &amp; TEXT(Lts!$A38, "mmmyy"), ICE[LongCode], 0), MATCH("Settle", ICE[#Headers], 0))</f>
        <v>19</v>
      </c>
      <c r="G38" s="28" t="e">
        <f ca="1">INDEX(ICE[], MATCH(G$18 &amp; TEXT(Lts!$A38, "mmmyy"), ICE[LongCode], 0), MATCH("Settle", ICE[#Headers], 0))</f>
        <v>#N/A</v>
      </c>
      <c r="H38" s="28">
        <f ca="1">INDEX(ICE[], MATCH(H$18 &amp; TEXT(Lts!$A38, "mmmyy"), ICE[LongCode], 0), MATCH("Settle", ICE[#Headers], 0))</f>
        <v>2</v>
      </c>
      <c r="I38" s="397" t="str">
        <f ca="1">IFERROR(INDEX(ICE[], MATCH("napbrxbbl" &amp; TEXT(Crd!$A38, "mmmyy"), ICE[LongCode], 0), MATCH("ICE Theoretical Price", ICE[#Headers], 0)), "")</f>
        <v/>
      </c>
      <c r="J38" s="364" t="str">
        <f ca="1">IFERROR(INDEX(ICE[], MATCH("napbrx" &amp; TEXT(Lts!$A38, "mmmyy"), ICE[LongCode], 0), MATCH("Text", ICE[#Headers], 0)), "")</f>
        <v xml:space="preserve"> /   |40x</v>
      </c>
      <c r="K38" s="46" t="str">
        <f t="shared" ca="1" si="76"/>
        <v/>
      </c>
      <c r="L38" s="47" t="str">
        <f t="shared" ca="1" si="120"/>
        <v/>
      </c>
      <c r="M38" s="46" t="str">
        <f t="shared" ca="1" si="92"/>
        <v/>
      </c>
      <c r="N38" s="141" t="str">
        <f ca="1">IFERROR(IF(AND(ISNUMBER(Futs!$CC38), ISNUMBER($I38)), (Futs!$CC38 + $I38)*8.9, ""), "")</f>
        <v/>
      </c>
      <c r="O38" s="46" t="str">
        <f ca="1">IFERROR(IF(AND(ISNUMBER(Futs!$CD38), ISNUMBER($K38)), (Futs!$CD38 + $K38)*8.9, ""), "")</f>
        <v/>
      </c>
      <c r="P38" s="47" t="str">
        <f t="shared" ca="1" si="93"/>
        <v/>
      </c>
      <c r="Q38" s="111" t="str">
        <f t="shared" ca="1" si="94"/>
        <v/>
      </c>
      <c r="R38" s="397" t="str">
        <f ca="1">IFERROR(INDEX(ICE[], MATCH("ebobbrxbbl" &amp; TEXT(Crd!$A38, "mmmyy"), ICE[LongCode], 0), MATCH("ICE Theoretical Price", ICE[#Headers], 0)), "")</f>
        <v/>
      </c>
      <c r="S38" s="364" t="str">
        <f ca="1">IFERROR(INDEX(ICE[], MATCH("ebobbrx" &amp; TEXT(Lts!$A38, "mmmyy"), ICE[LongCode], 0), MATCH("Text", ICE[#Headers], 0)), "")</f>
        <v xml:space="preserve"> /  </v>
      </c>
      <c r="T38" s="46" t="str">
        <f t="shared" ca="1" si="78"/>
        <v/>
      </c>
      <c r="U38" s="47" t="str">
        <f t="shared" ca="1" si="95"/>
        <v/>
      </c>
      <c r="V38" s="46" t="str">
        <f t="shared" ca="1" si="96"/>
        <v/>
      </c>
      <c r="W38" s="141" t="str">
        <f ca="1">IFERROR(IF(AND(ISNUMBER(Futs!$CC38), ISNUMBER($R38)), (Futs!$CC38 + $R38)*8.33, ""), "")</f>
        <v/>
      </c>
      <c r="X38" s="46" t="str">
        <f ca="1">IFERROR(IF(AND(ISNUMBER(Futs!$CD38), ISNUMBER($T38)), (Futs!$CD38 + $T38)*8.33, ""), "")</f>
        <v/>
      </c>
      <c r="Y38" s="47" t="str">
        <f t="shared" ca="1" si="97"/>
        <v/>
      </c>
      <c r="Z38" s="46" t="str">
        <f t="shared" ca="1" si="98"/>
        <v/>
      </c>
      <c r="AA38" s="141" t="str">
        <f t="shared" ca="1" si="79"/>
        <v/>
      </c>
      <c r="AB38" s="46" t="str">
        <f t="shared" ca="1" si="80"/>
        <v/>
      </c>
      <c r="AC38" s="47" t="str">
        <f t="shared" ca="1" si="99"/>
        <v/>
      </c>
      <c r="AD38" s="46" t="str">
        <f t="shared" ca="1" si="100"/>
        <v/>
      </c>
      <c r="AE38" s="141" t="str">
        <f ca="1">IFERROR(IF(AND(ISNUMBER(Futs!$CO38), ISNUMBER($W38)), Futs!$CO38 - $W38/8.33/42*100, ""), "")</f>
        <v/>
      </c>
      <c r="AF38" s="46" t="str">
        <f ca="1">IFERROR(IF(AND(ISNUMBER(Futs!$CP38), ISNUMBER($X38)), Futs!$CP38 - $X38/8.33/42*100, ""), "")</f>
        <v/>
      </c>
      <c r="AG38" s="47" t="str">
        <f t="shared" ca="1" si="101"/>
        <v/>
      </c>
      <c r="AH38" s="111" t="str">
        <f t="shared" ca="1" si="102"/>
        <v/>
      </c>
      <c r="AI38" s="397" t="str">
        <f ca="1">IFERROR(INDEX(ICE[], MATCH("napew" &amp; TEXT(Crd!$A38, "mmmyy"), ICE[LongCode], 0), MATCH("ICE Theoretical Price", ICE[#Headers], 0)), "")</f>
        <v/>
      </c>
      <c r="AJ38" s="364" t="str">
        <f ca="1">IFERROR(INDEX(ICE[], MATCH("napew" &amp; TEXT(Lts!$A38, "mmmyy"), ICE[LongCode], 0), MATCH("Text", ICE[#Headers], 0)), "")</f>
        <v xml:space="preserve"> /  </v>
      </c>
      <c r="AK38" s="46" t="str">
        <f t="shared" ca="1" si="81"/>
        <v/>
      </c>
      <c r="AL38" s="47" t="str">
        <f t="shared" ca="1" si="103"/>
        <v/>
      </c>
      <c r="AM38" s="46" t="str">
        <f t="shared" ca="1" si="104"/>
        <v/>
      </c>
      <c r="AN38" s="141" t="str">
        <f t="shared" ca="1" si="82"/>
        <v/>
      </c>
      <c r="AO38" s="46" t="str">
        <f t="shared" ca="1" si="83"/>
        <v/>
      </c>
      <c r="AP38" s="47" t="str">
        <f t="shared" ca="1" si="84"/>
        <v/>
      </c>
      <c r="AQ38" s="46" t="str">
        <f t="shared" ca="1" si="105"/>
        <v/>
      </c>
      <c r="AR38" s="141" t="str">
        <f ca="1">IFERROR(IF(AND(ISNUMBER($AN38), ISNUMBER(Futs!$CC38)), $AN38/8.9 - Futs!$CC38, ""), "")</f>
        <v/>
      </c>
      <c r="AS38" s="46" t="str">
        <f ca="1">IFERROR(IF(AND(ISNUMBER($AO38), ISNUMBER(Futs!$CD38)), $AO38/8.9 - Futs!$CD38, ""), "")</f>
        <v/>
      </c>
      <c r="AT38" s="47" t="str">
        <f t="shared" ca="1" si="106"/>
        <v/>
      </c>
      <c r="AU38" s="111" t="str">
        <f t="shared" ca="1" si="107"/>
        <v/>
      </c>
      <c r="AV38" s="397" t="str">
        <f ca="1">IFERROR(INDEX(ICE[], MATCH("mg92ebob" &amp; TEXT(Crd!$A38, "mmmyy"), ICE[LongCode], 0), MATCH("ICE Theoretical Price", ICE[#Headers], 0)), "")</f>
        <v/>
      </c>
      <c r="AW38" s="364" t="str">
        <f ca="1">IFERROR(INDEX(ICE[], MATCH("mg92ebob" &amp; TEXT(Lts!$A38, "mmmyy"), ICE[LongCode], 0), MATCH("Text", ICE[#Headers], 0)), "")</f>
        <v/>
      </c>
      <c r="AX38" s="46" t="str">
        <f t="shared" ca="1" si="85"/>
        <v/>
      </c>
      <c r="AY38" s="47" t="str">
        <f t="shared" ca="1" si="108"/>
        <v/>
      </c>
      <c r="AZ38" s="46" t="str">
        <f t="shared" ca="1" si="109"/>
        <v/>
      </c>
      <c r="BA38" s="141" t="str">
        <f t="shared" ca="1" si="86"/>
        <v/>
      </c>
      <c r="BB38" s="46" t="str">
        <f t="shared" ca="1" si="87"/>
        <v/>
      </c>
      <c r="BC38" s="47" t="str">
        <f t="shared" ca="1" si="110"/>
        <v/>
      </c>
      <c r="BD38" s="46" t="str">
        <f t="shared" ca="1" si="111"/>
        <v/>
      </c>
      <c r="BE38" s="141" t="str">
        <f ca="1">IFERROR(IF(AND(ISNUMBER($BA38), ISNUMBER(Futs!$CC38)), $BA38 - Futs!$CC38, ""), "")</f>
        <v/>
      </c>
      <c r="BF38" s="46" t="str">
        <f ca="1">IFERROR(IF(AND(ISNUMBER($BB38), ISNUMBER(Futs!$CD38)), $BB38 - Futs!$CD38, ""), "")</f>
        <v/>
      </c>
      <c r="BG38" s="47" t="str">
        <f t="shared" ca="1" si="112"/>
        <v/>
      </c>
      <c r="BH38" s="111" t="str">
        <f t="shared" ca="1" si="113"/>
        <v/>
      </c>
      <c r="BI38" s="397" t="str">
        <f ca="1">IFERROR(INDEX(ICE[], MATCH("mg9592" &amp; TEXT(Crd!$A38, "mmmyy"), ICE[LongCode], 0), MATCH("ICE Theoretical Price", ICE[#Headers], 0)), "")</f>
        <v/>
      </c>
      <c r="BJ38" s="364" t="str">
        <f ca="1">IFERROR(INDEX(ICE[], MATCH("mg9592" &amp; TEXT(Lts!$A38, "mmmyy"), ICE[LongCode], 0), MATCH("Text", ICE[#Headers], 0)), "")</f>
        <v xml:space="preserve"> /  </v>
      </c>
      <c r="BK38" s="46" t="str">
        <f t="shared" ca="1" si="88"/>
        <v/>
      </c>
      <c r="BL38" s="47" t="str">
        <f t="shared" ca="1" si="114"/>
        <v/>
      </c>
      <c r="BM38" s="46" t="str">
        <f t="shared" ca="1" si="115"/>
        <v/>
      </c>
      <c r="BN38" s="141" t="str">
        <f t="shared" ca="1" si="89"/>
        <v/>
      </c>
      <c r="BO38" s="46" t="str">
        <f t="shared" ca="1" si="90"/>
        <v/>
      </c>
      <c r="BP38" s="47" t="str">
        <f t="shared" ca="1" si="116"/>
        <v/>
      </c>
      <c r="BQ38" s="46" t="str">
        <f t="shared" ca="1" si="117"/>
        <v/>
      </c>
      <c r="BR38" s="141" t="str">
        <f ca="1">IFERROR(IF(AND(ISNUMBER($BN38), ISNUMBER(Futs!$CC38)), $BN38 - Futs!$CC38, ""), "")</f>
        <v/>
      </c>
      <c r="BS38" s="46" t="str">
        <f ca="1">IFERROR(IF(AND(ISNUMBER($BO38), ISNUMBER(Futs!$CD38)), $BO38 - Futs!$CD38, ""), "")</f>
        <v/>
      </c>
      <c r="BT38" s="47" t="str">
        <f t="shared" ca="1" si="118"/>
        <v/>
      </c>
      <c r="BU38" s="111" t="str">
        <f t="shared" ca="1" si="119"/>
        <v/>
      </c>
    </row>
    <row r="39" spans="1:73" x14ac:dyDescent="0.25">
      <c r="A39" s="58">
        <f t="shared" ca="1" si="91"/>
        <v>46874</v>
      </c>
      <c r="B39" s="6">
        <f t="shared" ca="1" si="74"/>
        <v>2028</v>
      </c>
      <c r="C39" s="6" t="str">
        <f t="shared" ca="1" si="75"/>
        <v>Q228</v>
      </c>
      <c r="D39" s="28">
        <f ca="1">INDEX(ICE[], MATCH(D$18 &amp; TEXT(Lts!$A39, "mmmyy"), ICE[LongCode], 0), MATCH("Settle", ICE[#Headers], 0))</f>
        <v>-9.1159999999999997</v>
      </c>
      <c r="E39" s="28">
        <f ca="1">INDEX(ICE[], MATCH(E$18 &amp; TEXT(Lts!$A39, "mmmyy"), ICE[LongCode], 0), MATCH("Settle", ICE[#Headers], 0))</f>
        <v>14.867000000000001</v>
      </c>
      <c r="F39" s="28">
        <f ca="1">INDEX(ICE[], MATCH(F$18 &amp; TEXT(Lts!$A39, "mmmyy"), ICE[LongCode], 0), MATCH("Settle", ICE[#Headers], 0))</f>
        <v>19</v>
      </c>
      <c r="G39" s="28" t="e">
        <f ca="1">INDEX(ICE[], MATCH(G$18 &amp; TEXT(Lts!$A39, "mmmyy"), ICE[LongCode], 0), MATCH("Settle", ICE[#Headers], 0))</f>
        <v>#N/A</v>
      </c>
      <c r="H39" s="28">
        <f ca="1">INDEX(ICE[], MATCH(H$18 &amp; TEXT(Lts!$A39, "mmmyy"), ICE[LongCode], 0), MATCH("Settle", ICE[#Headers], 0))</f>
        <v>2</v>
      </c>
      <c r="I39" s="397" t="str">
        <f ca="1">IFERROR(INDEX(ICE[], MATCH("napbrxbbl" &amp; TEXT(Crd!$A39, "mmmyy"), ICE[LongCode], 0), MATCH("ICE Theoretical Price", ICE[#Headers], 0)), "")</f>
        <v/>
      </c>
      <c r="J39" s="364" t="str">
        <f ca="1">IFERROR(INDEX(ICE[], MATCH("napbrx" &amp; TEXT(Lts!$A39, "mmmyy"), ICE[LongCode], 0), MATCH("Text", ICE[#Headers], 0)), "")</f>
        <v xml:space="preserve"> /   |40x</v>
      </c>
      <c r="K39" s="46" t="str">
        <f t="shared" ca="1" si="76"/>
        <v/>
      </c>
      <c r="L39" s="47" t="str">
        <f t="shared" ca="1" si="120"/>
        <v/>
      </c>
      <c r="M39" s="46" t="str">
        <f t="shared" ca="1" si="92"/>
        <v/>
      </c>
      <c r="N39" s="141" t="str">
        <f ca="1">IFERROR(IF(AND(ISNUMBER(Futs!$CC39), ISNUMBER($I39)), (Futs!$CC39 + $I39)*8.9, ""), "")</f>
        <v/>
      </c>
      <c r="O39" s="46" t="str">
        <f ca="1">IFERROR(IF(AND(ISNUMBER(Futs!$CD39), ISNUMBER($K39)), (Futs!$CD39 + $K39)*8.9, ""), "")</f>
        <v/>
      </c>
      <c r="P39" s="47" t="str">
        <f t="shared" ca="1" si="93"/>
        <v/>
      </c>
      <c r="Q39" s="111" t="str">
        <f t="shared" ca="1" si="94"/>
        <v/>
      </c>
      <c r="R39" s="397" t="str">
        <f ca="1">IFERROR(INDEX(ICE[], MATCH("ebobbrxbbl" &amp; TEXT(Crd!$A39, "mmmyy"), ICE[LongCode], 0), MATCH("ICE Theoretical Price", ICE[#Headers], 0)), "")</f>
        <v/>
      </c>
      <c r="S39" s="364" t="str">
        <f ca="1">IFERROR(INDEX(ICE[], MATCH("ebobbrx" &amp; TEXT(Lts!$A39, "mmmyy"), ICE[LongCode], 0), MATCH("Text", ICE[#Headers], 0)), "")</f>
        <v xml:space="preserve"> /  </v>
      </c>
      <c r="T39" s="46" t="str">
        <f t="shared" ca="1" si="78"/>
        <v/>
      </c>
      <c r="U39" s="47" t="str">
        <f t="shared" ca="1" si="95"/>
        <v/>
      </c>
      <c r="V39" s="46" t="str">
        <f t="shared" ca="1" si="96"/>
        <v/>
      </c>
      <c r="W39" s="141" t="str">
        <f ca="1">IFERROR(IF(AND(ISNUMBER(Futs!$CC39), ISNUMBER($R39)), (Futs!$CC39 + $R39)*8.33, ""), "")</f>
        <v/>
      </c>
      <c r="X39" s="46" t="str">
        <f ca="1">IFERROR(IF(AND(ISNUMBER(Futs!$CD39), ISNUMBER($T39)), (Futs!$CD39 + $T39)*8.33, ""), "")</f>
        <v/>
      </c>
      <c r="Y39" s="47" t="str">
        <f t="shared" ca="1" si="97"/>
        <v/>
      </c>
      <c r="Z39" s="46" t="str">
        <f t="shared" ca="1" si="98"/>
        <v/>
      </c>
      <c r="AA39" s="141" t="str">
        <f t="shared" ca="1" si="79"/>
        <v/>
      </c>
      <c r="AB39" s="46" t="str">
        <f t="shared" ca="1" si="80"/>
        <v/>
      </c>
      <c r="AC39" s="47" t="str">
        <f t="shared" ca="1" si="99"/>
        <v/>
      </c>
      <c r="AD39" s="46" t="str">
        <f t="shared" ca="1" si="100"/>
        <v/>
      </c>
      <c r="AE39" s="141" t="str">
        <f ca="1">IFERROR(IF(AND(ISNUMBER(Futs!$CO39), ISNUMBER($W39)), Futs!$CO39 - $W39/8.33/42*100, ""), "")</f>
        <v/>
      </c>
      <c r="AF39" s="46" t="str">
        <f ca="1">IFERROR(IF(AND(ISNUMBER(Futs!$CP39), ISNUMBER($X39)), Futs!$CP39 - $X39/8.33/42*100, ""), "")</f>
        <v/>
      </c>
      <c r="AG39" s="47" t="str">
        <f t="shared" ca="1" si="101"/>
        <v/>
      </c>
      <c r="AH39" s="111" t="str">
        <f t="shared" ca="1" si="102"/>
        <v/>
      </c>
      <c r="AI39" s="397" t="str">
        <f ca="1">IFERROR(INDEX(ICE[], MATCH("napew" &amp; TEXT(Crd!$A39, "mmmyy"), ICE[LongCode], 0), MATCH("ICE Theoretical Price", ICE[#Headers], 0)), "")</f>
        <v/>
      </c>
      <c r="AJ39" s="364" t="str">
        <f ca="1">IFERROR(INDEX(ICE[], MATCH("napew" &amp; TEXT(Lts!$A39, "mmmyy"), ICE[LongCode], 0), MATCH("Text", ICE[#Headers], 0)), "")</f>
        <v xml:space="preserve"> /  </v>
      </c>
      <c r="AK39" s="46" t="str">
        <f t="shared" ca="1" si="81"/>
        <v/>
      </c>
      <c r="AL39" s="47" t="str">
        <f t="shared" ca="1" si="103"/>
        <v/>
      </c>
      <c r="AM39" s="46" t="str">
        <f t="shared" ca="1" si="104"/>
        <v/>
      </c>
      <c r="AN39" s="141" t="str">
        <f t="shared" ca="1" si="82"/>
        <v/>
      </c>
      <c r="AO39" s="46" t="str">
        <f t="shared" ca="1" si="83"/>
        <v/>
      </c>
      <c r="AP39" s="47" t="str">
        <f t="shared" ca="1" si="84"/>
        <v/>
      </c>
      <c r="AQ39" s="46" t="str">
        <f t="shared" ca="1" si="105"/>
        <v/>
      </c>
      <c r="AR39" s="141" t="str">
        <f ca="1">IFERROR(IF(AND(ISNUMBER($AN39), ISNUMBER(Futs!$CC39)), $AN39/8.9 - Futs!$CC39, ""), "")</f>
        <v/>
      </c>
      <c r="AS39" s="46" t="str">
        <f ca="1">IFERROR(IF(AND(ISNUMBER($AO39), ISNUMBER(Futs!$CD39)), $AO39/8.9 - Futs!$CD39, ""), "")</f>
        <v/>
      </c>
      <c r="AT39" s="47" t="str">
        <f t="shared" ca="1" si="106"/>
        <v/>
      </c>
      <c r="AU39" s="111" t="str">
        <f t="shared" ca="1" si="107"/>
        <v/>
      </c>
      <c r="AV39" s="397" t="str">
        <f ca="1">IFERROR(INDEX(ICE[], MATCH("mg92ebob" &amp; TEXT(Crd!$A39, "mmmyy"), ICE[LongCode], 0), MATCH("ICE Theoretical Price", ICE[#Headers], 0)), "")</f>
        <v/>
      </c>
      <c r="AW39" s="364" t="str">
        <f ca="1">IFERROR(INDEX(ICE[], MATCH("mg92ebob" &amp; TEXT(Lts!$A39, "mmmyy"), ICE[LongCode], 0), MATCH("Text", ICE[#Headers], 0)), "")</f>
        <v/>
      </c>
      <c r="AX39" s="46" t="str">
        <f t="shared" ca="1" si="85"/>
        <v/>
      </c>
      <c r="AY39" s="47" t="str">
        <f t="shared" ca="1" si="108"/>
        <v/>
      </c>
      <c r="AZ39" s="46" t="str">
        <f t="shared" ca="1" si="109"/>
        <v/>
      </c>
      <c r="BA39" s="141" t="str">
        <f t="shared" ca="1" si="86"/>
        <v/>
      </c>
      <c r="BB39" s="46" t="str">
        <f t="shared" ca="1" si="87"/>
        <v/>
      </c>
      <c r="BC39" s="47" t="str">
        <f t="shared" ca="1" si="110"/>
        <v/>
      </c>
      <c r="BD39" s="46" t="str">
        <f t="shared" ca="1" si="111"/>
        <v/>
      </c>
      <c r="BE39" s="141" t="str">
        <f ca="1">IFERROR(IF(AND(ISNUMBER($BA39), ISNUMBER(Futs!$CC39)), $BA39 - Futs!$CC39, ""), "")</f>
        <v/>
      </c>
      <c r="BF39" s="46" t="str">
        <f ca="1">IFERROR(IF(AND(ISNUMBER($BB39), ISNUMBER(Futs!$CD39)), $BB39 - Futs!$CD39, ""), "")</f>
        <v/>
      </c>
      <c r="BG39" s="47" t="str">
        <f t="shared" ca="1" si="112"/>
        <v/>
      </c>
      <c r="BH39" s="111" t="str">
        <f t="shared" ca="1" si="113"/>
        <v/>
      </c>
      <c r="BI39" s="397" t="str">
        <f ca="1">IFERROR(INDEX(ICE[], MATCH("mg9592" &amp; TEXT(Crd!$A39, "mmmyy"), ICE[LongCode], 0), MATCH("ICE Theoretical Price", ICE[#Headers], 0)), "")</f>
        <v/>
      </c>
      <c r="BJ39" s="364" t="str">
        <f ca="1">IFERROR(INDEX(ICE[], MATCH("mg9592" &amp; TEXT(Lts!$A39, "mmmyy"), ICE[LongCode], 0), MATCH("Text", ICE[#Headers], 0)), "")</f>
        <v xml:space="preserve"> /  </v>
      </c>
      <c r="BK39" s="46" t="str">
        <f t="shared" ca="1" si="88"/>
        <v/>
      </c>
      <c r="BL39" s="47" t="str">
        <f t="shared" ca="1" si="114"/>
        <v/>
      </c>
      <c r="BM39" s="46" t="str">
        <f t="shared" ca="1" si="115"/>
        <v/>
      </c>
      <c r="BN39" s="141" t="str">
        <f t="shared" ca="1" si="89"/>
        <v/>
      </c>
      <c r="BO39" s="46" t="str">
        <f t="shared" ca="1" si="90"/>
        <v/>
      </c>
      <c r="BP39" s="47" t="str">
        <f t="shared" ca="1" si="116"/>
        <v/>
      </c>
      <c r="BQ39" s="46" t="str">
        <f t="shared" ca="1" si="117"/>
        <v/>
      </c>
      <c r="BR39" s="141" t="str">
        <f ca="1">IFERROR(IF(AND(ISNUMBER($BN39), ISNUMBER(Futs!$CC39)), $BN39 - Futs!$CC39, ""), "")</f>
        <v/>
      </c>
      <c r="BS39" s="46" t="str">
        <f ca="1">IFERROR(IF(AND(ISNUMBER($BO39), ISNUMBER(Futs!$CD39)), $BO39 - Futs!$CD39, ""), "")</f>
        <v/>
      </c>
      <c r="BT39" s="47" t="str">
        <f t="shared" ca="1" si="118"/>
        <v/>
      </c>
      <c r="BU39" s="111" t="str">
        <f t="shared" ca="1" si="119"/>
        <v/>
      </c>
    </row>
    <row r="40" spans="1:73" x14ac:dyDescent="0.25">
      <c r="A40" s="58">
        <f t="shared" ca="1" si="91"/>
        <v>46905</v>
      </c>
      <c r="B40" s="6">
        <f t="shared" ca="1" si="74"/>
        <v>2028</v>
      </c>
      <c r="C40" s="6" t="str">
        <f t="shared" ca="1" si="75"/>
        <v>Q228</v>
      </c>
      <c r="D40" s="28">
        <f ca="1">INDEX(ICE[], MATCH(D$18 &amp; TEXT(Lts!$A40, "mmmyy"), ICE[LongCode], 0), MATCH("Settle", ICE[#Headers], 0))</f>
        <v>-9.2490000000000006</v>
      </c>
      <c r="E40" s="28">
        <f ca="1">INDEX(ICE[], MATCH(E$18 &amp; TEXT(Lts!$A40, "mmmyy"), ICE[LongCode], 0), MATCH("Settle", ICE[#Headers], 0))</f>
        <v>14.616000000000001</v>
      </c>
      <c r="F40" s="28">
        <f ca="1">INDEX(ICE[], MATCH(F$18 &amp; TEXT(Lts!$A40, "mmmyy"), ICE[LongCode], 0), MATCH("Settle", ICE[#Headers], 0))</f>
        <v>19</v>
      </c>
      <c r="G40" s="28" t="e">
        <f ca="1">INDEX(ICE[], MATCH(G$18 &amp; TEXT(Lts!$A40, "mmmyy"), ICE[LongCode], 0), MATCH("Settle", ICE[#Headers], 0))</f>
        <v>#N/A</v>
      </c>
      <c r="H40" s="28">
        <f ca="1">INDEX(ICE[], MATCH(H$18 &amp; TEXT(Lts!$A40, "mmmyy"), ICE[LongCode], 0), MATCH("Settle", ICE[#Headers], 0))</f>
        <v>2</v>
      </c>
      <c r="I40" s="397" t="str">
        <f ca="1">IFERROR(INDEX(ICE[], MATCH("napbrxbbl" &amp; TEXT(Crd!$A40, "mmmyy"), ICE[LongCode], 0), MATCH("ICE Theoretical Price", ICE[#Headers], 0)), "")</f>
        <v/>
      </c>
      <c r="J40" s="364" t="str">
        <f ca="1">IFERROR(INDEX(ICE[], MATCH("napbrx" &amp; TEXT(Lts!$A40, "mmmyy"), ICE[LongCode], 0), MATCH("Text", ICE[#Headers], 0)), "")</f>
        <v xml:space="preserve"> /   |40x</v>
      </c>
      <c r="K40" s="46" t="str">
        <f t="shared" ca="1" si="76"/>
        <v/>
      </c>
      <c r="L40" s="47" t="str">
        <f t="shared" ca="1" si="120"/>
        <v/>
      </c>
      <c r="M40" s="46" t="str">
        <f t="shared" ca="1" si="92"/>
        <v/>
      </c>
      <c r="N40" s="141" t="str">
        <f ca="1">IFERROR(IF(AND(ISNUMBER(Futs!$CC40), ISNUMBER($I40)), (Futs!$CC40 + $I40)*8.9, ""), "")</f>
        <v/>
      </c>
      <c r="O40" s="46" t="str">
        <f ca="1">IFERROR(IF(AND(ISNUMBER(Futs!$CD40), ISNUMBER($K40)), (Futs!$CD40 + $K40)*8.9, ""), "")</f>
        <v/>
      </c>
      <c r="P40" s="47" t="str">
        <f t="shared" ca="1" si="93"/>
        <v/>
      </c>
      <c r="Q40" s="111" t="str">
        <f t="shared" ca="1" si="94"/>
        <v/>
      </c>
      <c r="R40" s="397" t="str">
        <f ca="1">IFERROR(INDEX(ICE[], MATCH("ebobbrxbbl" &amp; TEXT(Crd!$A40, "mmmyy"), ICE[LongCode], 0), MATCH("ICE Theoretical Price", ICE[#Headers], 0)), "")</f>
        <v/>
      </c>
      <c r="S40" s="364" t="str">
        <f ca="1">IFERROR(INDEX(ICE[], MATCH("ebobbrx" &amp; TEXT(Lts!$A40, "mmmyy"), ICE[LongCode], 0), MATCH("Text", ICE[#Headers], 0)), "")</f>
        <v xml:space="preserve"> /  </v>
      </c>
      <c r="T40" s="46" t="str">
        <f t="shared" ca="1" si="78"/>
        <v/>
      </c>
      <c r="U40" s="47" t="str">
        <f t="shared" ca="1" si="95"/>
        <v/>
      </c>
      <c r="V40" s="46" t="str">
        <f t="shared" ca="1" si="96"/>
        <v/>
      </c>
      <c r="W40" s="141" t="str">
        <f ca="1">IFERROR(IF(AND(ISNUMBER(Futs!$CC40), ISNUMBER($R40)), (Futs!$CC40 + $R40)*8.33, ""), "")</f>
        <v/>
      </c>
      <c r="X40" s="46" t="str">
        <f ca="1">IFERROR(IF(AND(ISNUMBER(Futs!$CD40), ISNUMBER($T40)), (Futs!$CD40 + $T40)*8.33, ""), "")</f>
        <v/>
      </c>
      <c r="Y40" s="47" t="str">
        <f t="shared" ca="1" si="97"/>
        <v/>
      </c>
      <c r="Z40" s="46" t="str">
        <f t="shared" ca="1" si="98"/>
        <v/>
      </c>
      <c r="AA40" s="141" t="str">
        <f t="shared" ca="1" si="79"/>
        <v/>
      </c>
      <c r="AB40" s="46" t="str">
        <f t="shared" ca="1" si="80"/>
        <v/>
      </c>
      <c r="AC40" s="47" t="str">
        <f t="shared" ca="1" si="99"/>
        <v/>
      </c>
      <c r="AD40" s="46" t="str">
        <f t="shared" ca="1" si="100"/>
        <v/>
      </c>
      <c r="AE40" s="141" t="str">
        <f ca="1">IFERROR(IF(AND(ISNUMBER(Futs!$CO40), ISNUMBER($W40)), Futs!$CO40 - $W40/8.33/42*100, ""), "")</f>
        <v/>
      </c>
      <c r="AF40" s="46" t="str">
        <f ca="1">IFERROR(IF(AND(ISNUMBER(Futs!$CP40), ISNUMBER($X40)), Futs!$CP40 - $X40/8.33/42*100, ""), "")</f>
        <v/>
      </c>
      <c r="AG40" s="47" t="str">
        <f t="shared" ca="1" si="101"/>
        <v/>
      </c>
      <c r="AH40" s="111" t="str">
        <f t="shared" ca="1" si="102"/>
        <v/>
      </c>
      <c r="AI40" s="397" t="str">
        <f ca="1">IFERROR(INDEX(ICE[], MATCH("napew" &amp; TEXT(Crd!$A40, "mmmyy"), ICE[LongCode], 0), MATCH("ICE Theoretical Price", ICE[#Headers], 0)), "")</f>
        <v/>
      </c>
      <c r="AJ40" s="364" t="str">
        <f ca="1">IFERROR(INDEX(ICE[], MATCH("napew" &amp; TEXT(Lts!$A40, "mmmyy"), ICE[LongCode], 0), MATCH("Text", ICE[#Headers], 0)), "")</f>
        <v xml:space="preserve"> /  </v>
      </c>
      <c r="AK40" s="46" t="str">
        <f t="shared" ca="1" si="81"/>
        <v/>
      </c>
      <c r="AL40" s="47" t="str">
        <f t="shared" ca="1" si="103"/>
        <v/>
      </c>
      <c r="AM40" s="46" t="str">
        <f t="shared" ca="1" si="104"/>
        <v/>
      </c>
      <c r="AN40" s="141" t="str">
        <f t="shared" ca="1" si="82"/>
        <v/>
      </c>
      <c r="AO40" s="46" t="str">
        <f t="shared" ca="1" si="83"/>
        <v/>
      </c>
      <c r="AP40" s="47" t="str">
        <f t="shared" ca="1" si="84"/>
        <v/>
      </c>
      <c r="AQ40" s="46" t="str">
        <f t="shared" ca="1" si="105"/>
        <v/>
      </c>
      <c r="AR40" s="141" t="str">
        <f ca="1">IFERROR(IF(AND(ISNUMBER($AN40), ISNUMBER(Futs!$CC40)), $AN40/8.9 - Futs!$CC40, ""), "")</f>
        <v/>
      </c>
      <c r="AS40" s="46" t="str">
        <f ca="1">IFERROR(IF(AND(ISNUMBER($AO40), ISNUMBER(Futs!$CD40)), $AO40/8.9 - Futs!$CD40, ""), "")</f>
        <v/>
      </c>
      <c r="AT40" s="47" t="str">
        <f t="shared" ca="1" si="106"/>
        <v/>
      </c>
      <c r="AU40" s="111" t="str">
        <f t="shared" ca="1" si="107"/>
        <v/>
      </c>
      <c r="AV40" s="397" t="str">
        <f ca="1">IFERROR(INDEX(ICE[], MATCH("mg92ebob" &amp; TEXT(Crd!$A40, "mmmyy"), ICE[LongCode], 0), MATCH("ICE Theoretical Price", ICE[#Headers], 0)), "")</f>
        <v/>
      </c>
      <c r="AW40" s="364" t="str">
        <f ca="1">IFERROR(INDEX(ICE[], MATCH("mg92ebob" &amp; TEXT(Lts!$A40, "mmmyy"), ICE[LongCode], 0), MATCH("Text", ICE[#Headers], 0)), "")</f>
        <v/>
      </c>
      <c r="AX40" s="46" t="str">
        <f t="shared" ca="1" si="85"/>
        <v/>
      </c>
      <c r="AY40" s="47" t="str">
        <f t="shared" ca="1" si="108"/>
        <v/>
      </c>
      <c r="AZ40" s="46" t="str">
        <f t="shared" ca="1" si="109"/>
        <v/>
      </c>
      <c r="BA40" s="141" t="str">
        <f t="shared" ca="1" si="86"/>
        <v/>
      </c>
      <c r="BB40" s="46" t="str">
        <f t="shared" ca="1" si="87"/>
        <v/>
      </c>
      <c r="BC40" s="47" t="str">
        <f t="shared" ca="1" si="110"/>
        <v/>
      </c>
      <c r="BD40" s="46" t="str">
        <f t="shared" ca="1" si="111"/>
        <v/>
      </c>
      <c r="BE40" s="141" t="str">
        <f ca="1">IFERROR(IF(AND(ISNUMBER($BA40), ISNUMBER(Futs!$CC40)), $BA40 - Futs!$CC40, ""), "")</f>
        <v/>
      </c>
      <c r="BF40" s="46" t="str">
        <f ca="1">IFERROR(IF(AND(ISNUMBER($BB40), ISNUMBER(Futs!$CD40)), $BB40 - Futs!$CD40, ""), "")</f>
        <v/>
      </c>
      <c r="BG40" s="47" t="str">
        <f t="shared" ca="1" si="112"/>
        <v/>
      </c>
      <c r="BH40" s="111" t="str">
        <f t="shared" ca="1" si="113"/>
        <v/>
      </c>
      <c r="BI40" s="397" t="str">
        <f ca="1">IFERROR(INDEX(ICE[], MATCH("mg9592" &amp; TEXT(Crd!$A40, "mmmyy"), ICE[LongCode], 0), MATCH("ICE Theoretical Price", ICE[#Headers], 0)), "")</f>
        <v/>
      </c>
      <c r="BJ40" s="364" t="str">
        <f ca="1">IFERROR(INDEX(ICE[], MATCH("mg9592" &amp; TEXT(Lts!$A40, "mmmyy"), ICE[LongCode], 0), MATCH("Text", ICE[#Headers], 0)), "")</f>
        <v xml:space="preserve"> /  </v>
      </c>
      <c r="BK40" s="46" t="str">
        <f t="shared" ca="1" si="88"/>
        <v/>
      </c>
      <c r="BL40" s="47" t="str">
        <f t="shared" ca="1" si="114"/>
        <v/>
      </c>
      <c r="BM40" s="46" t="str">
        <f t="shared" ca="1" si="115"/>
        <v/>
      </c>
      <c r="BN40" s="141" t="str">
        <f t="shared" ca="1" si="89"/>
        <v/>
      </c>
      <c r="BO40" s="46" t="str">
        <f t="shared" ca="1" si="90"/>
        <v/>
      </c>
      <c r="BP40" s="47" t="str">
        <f t="shared" ca="1" si="116"/>
        <v/>
      </c>
      <c r="BQ40" s="46" t="str">
        <f t="shared" ca="1" si="117"/>
        <v/>
      </c>
      <c r="BR40" s="141" t="str">
        <f ca="1">IFERROR(IF(AND(ISNUMBER($BN40), ISNUMBER(Futs!$CC40)), $BN40 - Futs!$CC40, ""), "")</f>
        <v/>
      </c>
      <c r="BS40" s="46" t="str">
        <f ca="1">IFERROR(IF(AND(ISNUMBER($BO40), ISNUMBER(Futs!$CD40)), $BO40 - Futs!$CD40, ""), "")</f>
        <v/>
      </c>
      <c r="BT40" s="47" t="str">
        <f t="shared" ca="1" si="118"/>
        <v/>
      </c>
      <c r="BU40" s="111" t="str">
        <f t="shared" ca="1" si="119"/>
        <v/>
      </c>
    </row>
    <row r="41" spans="1:73" x14ac:dyDescent="0.25">
      <c r="A41" s="58">
        <f t="shared" ca="1" si="91"/>
        <v>46935</v>
      </c>
      <c r="B41" s="6">
        <f t="shared" ca="1" si="74"/>
        <v>2028</v>
      </c>
      <c r="C41" s="6" t="str">
        <f t="shared" ca="1" si="75"/>
        <v>Q328</v>
      </c>
      <c r="D41" s="28">
        <f ca="1">INDEX(ICE[], MATCH(D$18 &amp; TEXT(Lts!$A41, "mmmyy"), ICE[LongCode], 0), MATCH("Settle", ICE[#Headers], 0))</f>
        <v>-9.2520000000000007</v>
      </c>
      <c r="E41" s="28">
        <f ca="1">INDEX(ICE[], MATCH(E$18 &amp; TEXT(Lts!$A41, "mmmyy"), ICE[LongCode], 0), MATCH("Settle", ICE[#Headers], 0))</f>
        <v>14.056000000000001</v>
      </c>
      <c r="F41" s="28">
        <f ca="1">INDEX(ICE[], MATCH(F$18 &amp; TEXT(Lts!$A41, "mmmyy"), ICE[LongCode], 0), MATCH("Settle", ICE[#Headers], 0))</f>
        <v>19</v>
      </c>
      <c r="G41" s="28" t="e">
        <f ca="1">INDEX(ICE[], MATCH(G$18 &amp; TEXT(Lts!$A41, "mmmyy"), ICE[LongCode], 0), MATCH("Settle", ICE[#Headers], 0))</f>
        <v>#N/A</v>
      </c>
      <c r="H41" s="28">
        <f ca="1">INDEX(ICE[], MATCH(H$18 &amp; TEXT(Lts!$A41, "mmmyy"), ICE[LongCode], 0), MATCH("Settle", ICE[#Headers], 0))</f>
        <v>2</v>
      </c>
      <c r="I41" s="397" t="str">
        <f ca="1">IFERROR(INDEX(ICE[], MATCH("napbrxbbl" &amp; TEXT(Crd!$A41, "mmmyy"), ICE[LongCode], 0), MATCH("ICE Theoretical Price", ICE[#Headers], 0)), "")</f>
        <v/>
      </c>
      <c r="J41" s="364" t="str">
        <f ca="1">IFERROR(INDEX(ICE[], MATCH("napbrx" &amp; TEXT(Lts!$A41, "mmmyy"), ICE[LongCode], 0), MATCH("Text", ICE[#Headers], 0)), "")</f>
        <v xml:space="preserve"> /   |40x</v>
      </c>
      <c r="K41" s="46" t="str">
        <f t="shared" ca="1" si="76"/>
        <v/>
      </c>
      <c r="L41" s="47" t="str">
        <f t="shared" ca="1" si="120"/>
        <v/>
      </c>
      <c r="M41" s="46" t="str">
        <f t="shared" ca="1" si="92"/>
        <v/>
      </c>
      <c r="N41" s="141" t="str">
        <f ca="1">IFERROR(IF(AND(ISNUMBER(Futs!$CC41), ISNUMBER($I41)), (Futs!$CC41 + $I41)*8.9, ""), "")</f>
        <v/>
      </c>
      <c r="O41" s="46" t="str">
        <f ca="1">IFERROR(IF(AND(ISNUMBER(Futs!$CD41), ISNUMBER($K41)), (Futs!$CD41 + $K41)*8.9, ""), "")</f>
        <v/>
      </c>
      <c r="P41" s="47" t="str">
        <f t="shared" ca="1" si="93"/>
        <v/>
      </c>
      <c r="Q41" s="111" t="str">
        <f t="shared" ca="1" si="94"/>
        <v/>
      </c>
      <c r="R41" s="397" t="str">
        <f ca="1">IFERROR(INDEX(ICE[], MATCH("ebobbrxbbl" &amp; TEXT(Crd!$A41, "mmmyy"), ICE[LongCode], 0), MATCH("ICE Theoretical Price", ICE[#Headers], 0)), "")</f>
        <v/>
      </c>
      <c r="S41" s="364" t="str">
        <f ca="1">IFERROR(INDEX(ICE[], MATCH("ebobbrx" &amp; TEXT(Lts!$A41, "mmmyy"), ICE[LongCode], 0), MATCH("Text", ICE[#Headers], 0)), "")</f>
        <v xml:space="preserve"> /  </v>
      </c>
      <c r="T41" s="46" t="str">
        <f t="shared" ca="1" si="78"/>
        <v/>
      </c>
      <c r="U41" s="47" t="str">
        <f t="shared" ca="1" si="95"/>
        <v/>
      </c>
      <c r="V41" s="46" t="str">
        <f t="shared" ca="1" si="96"/>
        <v/>
      </c>
      <c r="W41" s="141" t="str">
        <f ca="1">IFERROR(IF(AND(ISNUMBER(Futs!$CC41), ISNUMBER($R41)), (Futs!$CC41 + $R41)*8.33, ""), "")</f>
        <v/>
      </c>
      <c r="X41" s="46" t="str">
        <f ca="1">IFERROR(IF(AND(ISNUMBER(Futs!$CD41), ISNUMBER($T41)), (Futs!$CD41 + $T41)*8.33, ""), "")</f>
        <v/>
      </c>
      <c r="Y41" s="47" t="str">
        <f t="shared" ca="1" si="97"/>
        <v/>
      </c>
      <c r="Z41" s="46" t="str">
        <f t="shared" ca="1" si="98"/>
        <v/>
      </c>
      <c r="AA41" s="141" t="str">
        <f t="shared" ca="1" si="79"/>
        <v/>
      </c>
      <c r="AB41" s="46" t="str">
        <f t="shared" ca="1" si="80"/>
        <v/>
      </c>
      <c r="AC41" s="47" t="str">
        <f t="shared" ca="1" si="99"/>
        <v/>
      </c>
      <c r="AD41" s="46" t="str">
        <f t="shared" ca="1" si="100"/>
        <v/>
      </c>
      <c r="AE41" s="141" t="str">
        <f ca="1">IFERROR(IF(AND(ISNUMBER(Futs!$CO41), ISNUMBER($W41)), Futs!$CO41 - $W41/8.33/42*100, ""), "")</f>
        <v/>
      </c>
      <c r="AF41" s="46" t="str">
        <f ca="1">IFERROR(IF(AND(ISNUMBER(Futs!$CP41), ISNUMBER($X41)), Futs!$CP41 - $X41/8.33/42*100, ""), "")</f>
        <v/>
      </c>
      <c r="AG41" s="47" t="str">
        <f t="shared" ca="1" si="101"/>
        <v/>
      </c>
      <c r="AH41" s="111" t="str">
        <f t="shared" ca="1" si="102"/>
        <v/>
      </c>
      <c r="AI41" s="397" t="str">
        <f ca="1">IFERROR(INDEX(ICE[], MATCH("napew" &amp; TEXT(Crd!$A41, "mmmyy"), ICE[LongCode], 0), MATCH("ICE Theoretical Price", ICE[#Headers], 0)), "")</f>
        <v/>
      </c>
      <c r="AJ41" s="364" t="str">
        <f ca="1">IFERROR(INDEX(ICE[], MATCH("napew" &amp; TEXT(Lts!$A41, "mmmyy"), ICE[LongCode], 0), MATCH("Text", ICE[#Headers], 0)), "")</f>
        <v xml:space="preserve"> /  </v>
      </c>
      <c r="AK41" s="46" t="str">
        <f t="shared" ca="1" si="81"/>
        <v/>
      </c>
      <c r="AL41" s="47" t="str">
        <f t="shared" ca="1" si="103"/>
        <v/>
      </c>
      <c r="AM41" s="46" t="str">
        <f t="shared" ca="1" si="104"/>
        <v/>
      </c>
      <c r="AN41" s="141" t="str">
        <f t="shared" ca="1" si="82"/>
        <v/>
      </c>
      <c r="AO41" s="46" t="str">
        <f t="shared" ca="1" si="83"/>
        <v/>
      </c>
      <c r="AP41" s="47" t="str">
        <f t="shared" ca="1" si="84"/>
        <v/>
      </c>
      <c r="AQ41" s="46" t="str">
        <f t="shared" ca="1" si="105"/>
        <v/>
      </c>
      <c r="AR41" s="141" t="str">
        <f ca="1">IFERROR(IF(AND(ISNUMBER($AN41), ISNUMBER(Futs!$CC41)), $AN41/8.9 - Futs!$CC41, ""), "")</f>
        <v/>
      </c>
      <c r="AS41" s="46" t="str">
        <f ca="1">IFERROR(IF(AND(ISNUMBER($AO41), ISNUMBER(Futs!$CD41)), $AO41/8.9 - Futs!$CD41, ""), "")</f>
        <v/>
      </c>
      <c r="AT41" s="47" t="str">
        <f t="shared" ca="1" si="106"/>
        <v/>
      </c>
      <c r="AU41" s="111" t="str">
        <f t="shared" ca="1" si="107"/>
        <v/>
      </c>
      <c r="AV41" s="397" t="str">
        <f ca="1">IFERROR(INDEX(ICE[], MATCH("mg92ebob" &amp; TEXT(Crd!$A41, "mmmyy"), ICE[LongCode], 0), MATCH("ICE Theoretical Price", ICE[#Headers], 0)), "")</f>
        <v/>
      </c>
      <c r="AW41" s="364" t="str">
        <f ca="1">IFERROR(INDEX(ICE[], MATCH("mg92ebob" &amp; TEXT(Lts!$A41, "mmmyy"), ICE[LongCode], 0), MATCH("Text", ICE[#Headers], 0)), "")</f>
        <v/>
      </c>
      <c r="AX41" s="46" t="str">
        <f t="shared" ca="1" si="85"/>
        <v/>
      </c>
      <c r="AY41" s="47" t="str">
        <f t="shared" ca="1" si="108"/>
        <v/>
      </c>
      <c r="AZ41" s="46" t="str">
        <f t="shared" ca="1" si="109"/>
        <v/>
      </c>
      <c r="BA41" s="141" t="str">
        <f t="shared" ca="1" si="86"/>
        <v/>
      </c>
      <c r="BB41" s="46" t="str">
        <f t="shared" ca="1" si="87"/>
        <v/>
      </c>
      <c r="BC41" s="47" t="str">
        <f t="shared" ca="1" si="110"/>
        <v/>
      </c>
      <c r="BD41" s="46" t="str">
        <f t="shared" ca="1" si="111"/>
        <v/>
      </c>
      <c r="BE41" s="141" t="str">
        <f ca="1">IFERROR(IF(AND(ISNUMBER($BA41), ISNUMBER(Futs!$CC41)), $BA41 - Futs!$CC41, ""), "")</f>
        <v/>
      </c>
      <c r="BF41" s="46" t="str">
        <f ca="1">IFERROR(IF(AND(ISNUMBER($BB41), ISNUMBER(Futs!$CD41)), $BB41 - Futs!$CD41, ""), "")</f>
        <v/>
      </c>
      <c r="BG41" s="47" t="str">
        <f t="shared" ca="1" si="112"/>
        <v/>
      </c>
      <c r="BH41" s="111" t="str">
        <f t="shared" ca="1" si="113"/>
        <v/>
      </c>
      <c r="BI41" s="397" t="str">
        <f ca="1">IFERROR(INDEX(ICE[], MATCH("mg9592" &amp; TEXT(Crd!$A41, "mmmyy"), ICE[LongCode], 0), MATCH("ICE Theoretical Price", ICE[#Headers], 0)), "")</f>
        <v/>
      </c>
      <c r="BJ41" s="364" t="str">
        <f ca="1">IFERROR(INDEX(ICE[], MATCH("mg9592" &amp; TEXT(Lts!$A41, "mmmyy"), ICE[LongCode], 0), MATCH("Text", ICE[#Headers], 0)), "")</f>
        <v xml:space="preserve"> /  </v>
      </c>
      <c r="BK41" s="46" t="str">
        <f t="shared" ca="1" si="88"/>
        <v/>
      </c>
      <c r="BL41" s="47" t="str">
        <f t="shared" ca="1" si="114"/>
        <v/>
      </c>
      <c r="BM41" s="46" t="str">
        <f t="shared" ca="1" si="115"/>
        <v/>
      </c>
      <c r="BN41" s="141" t="str">
        <f t="shared" ca="1" si="89"/>
        <v/>
      </c>
      <c r="BO41" s="46" t="str">
        <f t="shared" ca="1" si="90"/>
        <v/>
      </c>
      <c r="BP41" s="47" t="str">
        <f t="shared" ca="1" si="116"/>
        <v/>
      </c>
      <c r="BQ41" s="46" t="str">
        <f t="shared" ca="1" si="117"/>
        <v/>
      </c>
      <c r="BR41" s="141" t="str">
        <f ca="1">IFERROR(IF(AND(ISNUMBER($BN41), ISNUMBER(Futs!$CC41)), $BN41 - Futs!$CC41, ""), "")</f>
        <v/>
      </c>
      <c r="BS41" s="46" t="str">
        <f ca="1">IFERROR(IF(AND(ISNUMBER($BO41), ISNUMBER(Futs!$CD41)), $BO41 - Futs!$CD41, ""), "")</f>
        <v/>
      </c>
      <c r="BT41" s="47" t="str">
        <f t="shared" ca="1" si="118"/>
        <v/>
      </c>
      <c r="BU41" s="111" t="str">
        <f t="shared" ca="1" si="119"/>
        <v/>
      </c>
    </row>
    <row r="42" spans="1:73" x14ac:dyDescent="0.25">
      <c r="A42" s="58">
        <f t="shared" ca="1" si="91"/>
        <v>46966</v>
      </c>
      <c r="B42" s="6">
        <f t="shared" ca="1" si="74"/>
        <v>2028</v>
      </c>
      <c r="C42" s="6" t="str">
        <f t="shared" ca="1" si="75"/>
        <v>Q328</v>
      </c>
      <c r="D42" s="28">
        <f ca="1">INDEX(ICE[], MATCH(D$18 &amp; TEXT(Lts!$A42, "mmmyy"), ICE[LongCode], 0), MATCH("Settle", ICE[#Headers], 0))</f>
        <v>-9.1810000000000009</v>
      </c>
      <c r="E42" s="28">
        <f ca="1">INDEX(ICE[], MATCH(E$18 &amp; TEXT(Lts!$A42, "mmmyy"), ICE[LongCode], 0), MATCH("Settle", ICE[#Headers], 0))</f>
        <v>13.365</v>
      </c>
      <c r="F42" s="28">
        <f ca="1">INDEX(ICE[], MATCH(F$18 &amp; TEXT(Lts!$A42, "mmmyy"), ICE[LongCode], 0), MATCH("Settle", ICE[#Headers], 0))</f>
        <v>19</v>
      </c>
      <c r="G42" s="28" t="e">
        <f ca="1">INDEX(ICE[], MATCH(G$18 &amp; TEXT(Lts!$A42, "mmmyy"), ICE[LongCode], 0), MATCH("Settle", ICE[#Headers], 0))</f>
        <v>#N/A</v>
      </c>
      <c r="H42" s="28">
        <f ca="1">INDEX(ICE[], MATCH(H$18 &amp; TEXT(Lts!$A42, "mmmyy"), ICE[LongCode], 0), MATCH("Settle", ICE[#Headers], 0))</f>
        <v>2</v>
      </c>
      <c r="I42" s="397" t="str">
        <f ca="1">IFERROR(INDEX(ICE[], MATCH("napbrxbbl" &amp; TEXT(Crd!$A42, "mmmyy"), ICE[LongCode], 0), MATCH("ICE Theoretical Price", ICE[#Headers], 0)), "")</f>
        <v/>
      </c>
      <c r="J42" s="364" t="str">
        <f ca="1">IFERROR(INDEX(ICE[], MATCH("napbrx" &amp; TEXT(Lts!$A42, "mmmyy"), ICE[LongCode], 0), MATCH("Text", ICE[#Headers], 0)), "")</f>
        <v xml:space="preserve"> /   |40x</v>
      </c>
      <c r="K42" s="46" t="str">
        <f t="shared" ca="1" si="76"/>
        <v/>
      </c>
      <c r="L42" s="47" t="str">
        <f t="shared" ca="1" si="120"/>
        <v/>
      </c>
      <c r="M42" s="46" t="str">
        <f t="shared" ca="1" si="92"/>
        <v/>
      </c>
      <c r="N42" s="141" t="str">
        <f ca="1">IFERROR(IF(AND(ISNUMBER(Futs!$CC42), ISNUMBER($I42)), (Futs!$CC42 + $I42)*8.9, ""), "")</f>
        <v/>
      </c>
      <c r="O42" s="46" t="str">
        <f ca="1">IFERROR(IF(AND(ISNUMBER(Futs!$CD42), ISNUMBER($K42)), (Futs!$CD42 + $K42)*8.9, ""), "")</f>
        <v/>
      </c>
      <c r="P42" s="47" t="str">
        <f t="shared" ca="1" si="93"/>
        <v/>
      </c>
      <c r="Q42" s="111" t="str">
        <f t="shared" ca="1" si="94"/>
        <v/>
      </c>
      <c r="R42" s="397" t="str">
        <f ca="1">IFERROR(INDEX(ICE[], MATCH("ebobbrxbbl" &amp; TEXT(Crd!$A42, "mmmyy"), ICE[LongCode], 0), MATCH("ICE Theoretical Price", ICE[#Headers], 0)), "")</f>
        <v/>
      </c>
      <c r="S42" s="364" t="str">
        <f ca="1">IFERROR(INDEX(ICE[], MATCH("ebobbrx" &amp; TEXT(Lts!$A42, "mmmyy"), ICE[LongCode], 0), MATCH("Text", ICE[#Headers], 0)), "")</f>
        <v xml:space="preserve"> /  </v>
      </c>
      <c r="T42" s="46" t="str">
        <f t="shared" ca="1" si="78"/>
        <v/>
      </c>
      <c r="U42" s="47" t="str">
        <f t="shared" ca="1" si="95"/>
        <v/>
      </c>
      <c r="V42" s="46" t="str">
        <f t="shared" ca="1" si="96"/>
        <v/>
      </c>
      <c r="W42" s="141" t="str">
        <f ca="1">IFERROR(IF(AND(ISNUMBER(Futs!$CC42), ISNUMBER($R42)), (Futs!$CC42 + $R42)*8.33, ""), "")</f>
        <v/>
      </c>
      <c r="X42" s="46" t="str">
        <f ca="1">IFERROR(IF(AND(ISNUMBER(Futs!$CD42), ISNUMBER($T42)), (Futs!$CD42 + $T42)*8.33, ""), "")</f>
        <v/>
      </c>
      <c r="Y42" s="47" t="str">
        <f t="shared" ca="1" si="97"/>
        <v/>
      </c>
      <c r="Z42" s="46" t="str">
        <f t="shared" ca="1" si="98"/>
        <v/>
      </c>
      <c r="AA42" s="141" t="str">
        <f t="shared" ca="1" si="79"/>
        <v/>
      </c>
      <c r="AB42" s="46" t="str">
        <f t="shared" ca="1" si="80"/>
        <v/>
      </c>
      <c r="AC42" s="47" t="str">
        <f t="shared" ca="1" si="99"/>
        <v/>
      </c>
      <c r="AD42" s="46" t="str">
        <f t="shared" ca="1" si="100"/>
        <v/>
      </c>
      <c r="AE42" s="141" t="str">
        <f ca="1">IFERROR(IF(AND(ISNUMBER(Futs!$CO42), ISNUMBER($W42)), Futs!$CO42 - $W42/8.33/42*100, ""), "")</f>
        <v/>
      </c>
      <c r="AF42" s="46" t="str">
        <f ca="1">IFERROR(IF(AND(ISNUMBER(Futs!$CP42), ISNUMBER($X42)), Futs!$CP42 - $X42/8.33/42*100, ""), "")</f>
        <v/>
      </c>
      <c r="AG42" s="47" t="str">
        <f t="shared" ca="1" si="101"/>
        <v/>
      </c>
      <c r="AH42" s="111" t="str">
        <f t="shared" ca="1" si="102"/>
        <v/>
      </c>
      <c r="AI42" s="397" t="str">
        <f ca="1">IFERROR(INDEX(ICE[], MATCH("napew" &amp; TEXT(Crd!$A42, "mmmyy"), ICE[LongCode], 0), MATCH("ICE Theoretical Price", ICE[#Headers], 0)), "")</f>
        <v/>
      </c>
      <c r="AJ42" s="364" t="str">
        <f ca="1">IFERROR(INDEX(ICE[], MATCH("napew" &amp; TEXT(Lts!$A42, "mmmyy"), ICE[LongCode], 0), MATCH("Text", ICE[#Headers], 0)), "")</f>
        <v xml:space="preserve"> /  </v>
      </c>
      <c r="AK42" s="46" t="str">
        <f t="shared" ca="1" si="81"/>
        <v/>
      </c>
      <c r="AL42" s="47" t="str">
        <f t="shared" ca="1" si="103"/>
        <v/>
      </c>
      <c r="AM42" s="46" t="str">
        <f t="shared" ca="1" si="104"/>
        <v/>
      </c>
      <c r="AN42" s="141" t="str">
        <f t="shared" ca="1" si="82"/>
        <v/>
      </c>
      <c r="AO42" s="46" t="str">
        <f t="shared" ca="1" si="83"/>
        <v/>
      </c>
      <c r="AP42" s="47" t="str">
        <f t="shared" ca="1" si="84"/>
        <v/>
      </c>
      <c r="AQ42" s="46" t="str">
        <f t="shared" ca="1" si="105"/>
        <v/>
      </c>
      <c r="AR42" s="141" t="str">
        <f ca="1">IFERROR(IF(AND(ISNUMBER($AN42), ISNUMBER(Futs!$CC42)), $AN42/8.9 - Futs!$CC42, ""), "")</f>
        <v/>
      </c>
      <c r="AS42" s="46" t="str">
        <f ca="1">IFERROR(IF(AND(ISNUMBER($AO42), ISNUMBER(Futs!$CD42)), $AO42/8.9 - Futs!$CD42, ""), "")</f>
        <v/>
      </c>
      <c r="AT42" s="47" t="str">
        <f t="shared" ca="1" si="106"/>
        <v/>
      </c>
      <c r="AU42" s="111" t="str">
        <f t="shared" ca="1" si="107"/>
        <v/>
      </c>
      <c r="AV42" s="397" t="str">
        <f ca="1">IFERROR(INDEX(ICE[], MATCH("mg92ebob" &amp; TEXT(Crd!$A42, "mmmyy"), ICE[LongCode], 0), MATCH("ICE Theoretical Price", ICE[#Headers], 0)), "")</f>
        <v/>
      </c>
      <c r="AW42" s="364" t="str">
        <f ca="1">IFERROR(INDEX(ICE[], MATCH("mg92ebob" &amp; TEXT(Lts!$A42, "mmmyy"), ICE[LongCode], 0), MATCH("Text", ICE[#Headers], 0)), "")</f>
        <v/>
      </c>
      <c r="AX42" s="46" t="str">
        <f t="shared" ca="1" si="85"/>
        <v/>
      </c>
      <c r="AY42" s="47" t="str">
        <f t="shared" ca="1" si="108"/>
        <v/>
      </c>
      <c r="AZ42" s="46" t="str">
        <f t="shared" ca="1" si="109"/>
        <v/>
      </c>
      <c r="BA42" s="141" t="str">
        <f t="shared" ca="1" si="86"/>
        <v/>
      </c>
      <c r="BB42" s="46" t="str">
        <f t="shared" ca="1" si="87"/>
        <v/>
      </c>
      <c r="BC42" s="47" t="str">
        <f t="shared" ca="1" si="110"/>
        <v/>
      </c>
      <c r="BD42" s="46" t="str">
        <f t="shared" ca="1" si="111"/>
        <v/>
      </c>
      <c r="BE42" s="141" t="str">
        <f ca="1">IFERROR(IF(AND(ISNUMBER($BA42), ISNUMBER(Futs!$CC42)), $BA42 - Futs!$CC42, ""), "")</f>
        <v/>
      </c>
      <c r="BF42" s="46" t="str">
        <f ca="1">IFERROR(IF(AND(ISNUMBER($BB42), ISNUMBER(Futs!$CD42)), $BB42 - Futs!$CD42, ""), "")</f>
        <v/>
      </c>
      <c r="BG42" s="47" t="str">
        <f t="shared" ca="1" si="112"/>
        <v/>
      </c>
      <c r="BH42" s="111" t="str">
        <f t="shared" ca="1" si="113"/>
        <v/>
      </c>
      <c r="BI42" s="397" t="str">
        <f ca="1">IFERROR(INDEX(ICE[], MATCH("mg9592" &amp; TEXT(Crd!$A42, "mmmyy"), ICE[LongCode], 0), MATCH("ICE Theoretical Price", ICE[#Headers], 0)), "")</f>
        <v/>
      </c>
      <c r="BJ42" s="364" t="str">
        <f ca="1">IFERROR(INDEX(ICE[], MATCH("mg9592" &amp; TEXT(Lts!$A42, "mmmyy"), ICE[LongCode], 0), MATCH("Text", ICE[#Headers], 0)), "")</f>
        <v xml:space="preserve"> /  </v>
      </c>
      <c r="BK42" s="46" t="str">
        <f t="shared" ca="1" si="88"/>
        <v/>
      </c>
      <c r="BL42" s="47" t="str">
        <f t="shared" ca="1" si="114"/>
        <v/>
      </c>
      <c r="BM42" s="46" t="str">
        <f t="shared" ca="1" si="115"/>
        <v/>
      </c>
      <c r="BN42" s="141" t="str">
        <f t="shared" ca="1" si="89"/>
        <v/>
      </c>
      <c r="BO42" s="46" t="str">
        <f t="shared" ca="1" si="90"/>
        <v/>
      </c>
      <c r="BP42" s="47" t="str">
        <f t="shared" ca="1" si="116"/>
        <v/>
      </c>
      <c r="BQ42" s="46" t="str">
        <f t="shared" ca="1" si="117"/>
        <v/>
      </c>
      <c r="BR42" s="141" t="str">
        <f ca="1">IFERROR(IF(AND(ISNUMBER($BN42), ISNUMBER(Futs!$CC42)), $BN42 - Futs!$CC42, ""), "")</f>
        <v/>
      </c>
      <c r="BS42" s="46" t="str">
        <f ca="1">IFERROR(IF(AND(ISNUMBER($BO42), ISNUMBER(Futs!$CD42)), $BO42 - Futs!$CD42, ""), "")</f>
        <v/>
      </c>
      <c r="BT42" s="47" t="str">
        <f t="shared" ca="1" si="118"/>
        <v/>
      </c>
      <c r="BU42" s="111" t="str">
        <f t="shared" ca="1" si="119"/>
        <v/>
      </c>
    </row>
    <row r="43" spans="1:73" x14ac:dyDescent="0.25">
      <c r="A43" s="58">
        <f t="shared" ca="1" si="91"/>
        <v>46997</v>
      </c>
      <c r="B43" s="6">
        <f t="shared" ca="1" si="74"/>
        <v>2028</v>
      </c>
      <c r="C43" s="6" t="str">
        <f t="shared" ca="1" si="75"/>
        <v>Q328</v>
      </c>
      <c r="D43" s="28">
        <f ca="1">INDEX(ICE[], MATCH(D$18 &amp; TEXT(Lts!$A43, "mmmyy"), ICE[LongCode], 0), MATCH("Settle", ICE[#Headers], 0))</f>
        <v>-9.0530000000000008</v>
      </c>
      <c r="E43" s="28">
        <f ca="1">INDEX(ICE[], MATCH(E$18 &amp; TEXT(Lts!$A43, "mmmyy"), ICE[LongCode], 0), MATCH("Settle", ICE[#Headers], 0))</f>
        <v>12.105</v>
      </c>
      <c r="F43" s="28">
        <f ca="1">INDEX(ICE[], MATCH(F$18 &amp; TEXT(Lts!$A43, "mmmyy"), ICE[LongCode], 0), MATCH("Settle", ICE[#Headers], 0))</f>
        <v>19</v>
      </c>
      <c r="G43" s="28" t="e">
        <f ca="1">INDEX(ICE[], MATCH(G$18 &amp; TEXT(Lts!$A43, "mmmyy"), ICE[LongCode], 0), MATCH("Settle", ICE[#Headers], 0))</f>
        <v>#N/A</v>
      </c>
      <c r="H43" s="28">
        <f ca="1">INDEX(ICE[], MATCH(H$18 &amp; TEXT(Lts!$A43, "mmmyy"), ICE[LongCode], 0), MATCH("Settle", ICE[#Headers], 0))</f>
        <v>2</v>
      </c>
      <c r="I43" s="397"/>
      <c r="J43" s="364" t="str">
        <f ca="1">IFERROR(INDEX(ICE[], MATCH("napbrx" &amp; TEXT(Lts!$A43, "mmmyy"), ICE[LongCode], 0), MATCH("Text", ICE[#Headers], 0)), "")</f>
        <v xml:space="preserve"> /   |40x</v>
      </c>
      <c r="K43" s="46" t="str">
        <f t="shared" ca="1" si="76"/>
        <v/>
      </c>
      <c r="L43" s="47" t="str">
        <f t="shared" ca="1" si="120"/>
        <v/>
      </c>
      <c r="M43" s="46" t="str">
        <f t="shared" ca="1" si="92"/>
        <v/>
      </c>
      <c r="N43" s="141" t="str">
        <f ca="1">IFERROR(IF(AND(ISNUMBER(Futs!$CC43), ISNUMBER($I43)), (Futs!$CC43 + $I43)*8.9, ""), "")</f>
        <v/>
      </c>
      <c r="O43" s="46" t="str">
        <f ca="1">IFERROR(IF(AND(ISNUMBER(Futs!$CD43), ISNUMBER($K43)), (Futs!$CD43 + $K43)*8.9, ""), "")</f>
        <v/>
      </c>
      <c r="P43" s="47" t="str">
        <f t="shared" ca="1" si="93"/>
        <v/>
      </c>
      <c r="Q43" s="111" t="str">
        <f t="shared" ca="1" si="94"/>
        <v/>
      </c>
      <c r="R43" s="397"/>
      <c r="S43" s="364" t="str">
        <f ca="1">IFERROR(INDEX(ICE[], MATCH("ebobbrx" &amp; TEXT(Lts!$A43, "mmmyy"), ICE[LongCode], 0), MATCH("Text", ICE[#Headers], 0)), "")</f>
        <v xml:space="preserve"> /  </v>
      </c>
      <c r="T43" s="46" t="str">
        <f t="shared" ca="1" si="78"/>
        <v/>
      </c>
      <c r="U43" s="47" t="str">
        <f t="shared" ca="1" si="95"/>
        <v/>
      </c>
      <c r="V43" s="46" t="str">
        <f t="shared" ca="1" si="96"/>
        <v/>
      </c>
      <c r="W43" s="141" t="str">
        <f ca="1">IFERROR(IF(AND(ISNUMBER(Futs!$CC43), ISNUMBER($R43)), (Futs!$CC43 + $R43)*8.33, ""), "")</f>
        <v/>
      </c>
      <c r="X43" s="46" t="str">
        <f ca="1">IFERROR(IF(AND(ISNUMBER(Futs!$CD43), ISNUMBER($T43)), (Futs!$CD43 + $T43)*8.33, ""), "")</f>
        <v/>
      </c>
      <c r="Y43" s="47" t="str">
        <f t="shared" ca="1" si="97"/>
        <v/>
      </c>
      <c r="Z43" s="46" t="str">
        <f t="shared" ca="1" si="98"/>
        <v/>
      </c>
      <c r="AA43" s="141" t="str">
        <f t="shared" ca="1" si="79"/>
        <v/>
      </c>
      <c r="AB43" s="46" t="str">
        <f t="shared" ca="1" si="80"/>
        <v/>
      </c>
      <c r="AC43" s="47" t="str">
        <f t="shared" ca="1" si="99"/>
        <v/>
      </c>
      <c r="AD43" s="46" t="str">
        <f t="shared" ca="1" si="100"/>
        <v/>
      </c>
      <c r="AE43" s="141" t="str">
        <f ca="1">IFERROR(IF(AND(ISNUMBER(Futs!$CO43), ISNUMBER($W43)), Futs!$CO43 - $W43/8.33/42*100, ""), "")</f>
        <v/>
      </c>
      <c r="AF43" s="46" t="str">
        <f ca="1">IFERROR(IF(AND(ISNUMBER(Futs!$CP43), ISNUMBER($X43)), Futs!$CP43 - $X43/8.33/42*100, ""), "")</f>
        <v/>
      </c>
      <c r="AG43" s="47" t="str">
        <f t="shared" ca="1" si="101"/>
        <v/>
      </c>
      <c r="AH43" s="111" t="str">
        <f t="shared" ca="1" si="102"/>
        <v/>
      </c>
      <c r="AI43" s="397"/>
      <c r="AJ43" s="364" t="str">
        <f ca="1">IFERROR(INDEX(ICE[], MATCH("napew" &amp; TEXT(Lts!$A43, "mmmyy"), ICE[LongCode], 0), MATCH("Text", ICE[#Headers], 0)), "")</f>
        <v xml:space="preserve"> /  </v>
      </c>
      <c r="AK43" s="46" t="str">
        <f t="shared" ca="1" si="81"/>
        <v/>
      </c>
      <c r="AL43" s="47" t="str">
        <f t="shared" ca="1" si="103"/>
        <v/>
      </c>
      <c r="AM43" s="46" t="str">
        <f t="shared" ca="1" si="104"/>
        <v/>
      </c>
      <c r="AN43" s="141" t="str">
        <f t="shared" ca="1" si="82"/>
        <v/>
      </c>
      <c r="AO43" s="46" t="str">
        <f t="shared" ca="1" si="83"/>
        <v/>
      </c>
      <c r="AP43" s="47" t="str">
        <f t="shared" ca="1" si="84"/>
        <v/>
      </c>
      <c r="AQ43" s="46" t="str">
        <f t="shared" ca="1" si="105"/>
        <v/>
      </c>
      <c r="AR43" s="141" t="str">
        <f ca="1">IFERROR(IF(AND(ISNUMBER($AN43), ISNUMBER(Futs!$CC43)), $AN43/8.9 - Futs!$CC43, ""), "")</f>
        <v/>
      </c>
      <c r="AS43" s="46" t="str">
        <f ca="1">IFERROR(IF(AND(ISNUMBER($AO43), ISNUMBER(Futs!$CD43)), $AO43/8.9 - Futs!$CD43, ""), "")</f>
        <v/>
      </c>
      <c r="AT43" s="47" t="str">
        <f t="shared" ca="1" si="106"/>
        <v/>
      </c>
      <c r="AU43" s="111" t="str">
        <f t="shared" ca="1" si="107"/>
        <v/>
      </c>
      <c r="AV43" s="397"/>
      <c r="AW43" s="364" t="str">
        <f ca="1">IFERROR(INDEX(ICE[], MATCH("mg92ebob" &amp; TEXT(Lts!$A43, "mmmyy"), ICE[LongCode], 0), MATCH("Text", ICE[#Headers], 0)), "")</f>
        <v/>
      </c>
      <c r="AX43" s="46" t="str">
        <f t="shared" ca="1" si="85"/>
        <v/>
      </c>
      <c r="AY43" s="47" t="str">
        <f t="shared" ca="1" si="108"/>
        <v/>
      </c>
      <c r="AZ43" s="46" t="str">
        <f t="shared" ca="1" si="109"/>
        <v/>
      </c>
      <c r="BA43" s="141" t="str">
        <f t="shared" ca="1" si="86"/>
        <v/>
      </c>
      <c r="BB43" s="46" t="str">
        <f t="shared" ca="1" si="87"/>
        <v/>
      </c>
      <c r="BC43" s="47" t="str">
        <f t="shared" ca="1" si="110"/>
        <v/>
      </c>
      <c r="BD43" s="46" t="str">
        <f t="shared" ca="1" si="111"/>
        <v/>
      </c>
      <c r="BE43" s="141" t="str">
        <f ca="1">IFERROR(IF(AND(ISNUMBER($BA43), ISNUMBER(Futs!$CC43)), $BA43 - Futs!$CC43, ""), "")</f>
        <v/>
      </c>
      <c r="BF43" s="46" t="str">
        <f ca="1">IFERROR(IF(AND(ISNUMBER($BB43), ISNUMBER(Futs!$CD43)), $BB43 - Futs!$CD43, ""), "")</f>
        <v/>
      </c>
      <c r="BG43" s="47" t="str">
        <f t="shared" ca="1" si="112"/>
        <v/>
      </c>
      <c r="BH43" s="111" t="str">
        <f t="shared" ca="1" si="113"/>
        <v/>
      </c>
      <c r="BI43" s="397"/>
      <c r="BJ43" s="364" t="str">
        <f ca="1">IFERROR(INDEX(ICE[], MATCH("mg9592" &amp; TEXT(Lts!$A43, "mmmyy"), ICE[LongCode], 0), MATCH("Text", ICE[#Headers], 0)), "")</f>
        <v xml:space="preserve"> /  </v>
      </c>
      <c r="BK43" s="46" t="str">
        <f t="shared" ca="1" si="88"/>
        <v/>
      </c>
      <c r="BL43" s="47" t="str">
        <f t="shared" ca="1" si="114"/>
        <v/>
      </c>
      <c r="BM43" s="46" t="str">
        <f t="shared" ca="1" si="115"/>
        <v/>
      </c>
      <c r="BN43" s="141" t="str">
        <f t="shared" ca="1" si="89"/>
        <v/>
      </c>
      <c r="BO43" s="46" t="str">
        <f t="shared" ca="1" si="90"/>
        <v/>
      </c>
      <c r="BP43" s="47" t="str">
        <f t="shared" ca="1" si="116"/>
        <v/>
      </c>
      <c r="BQ43" s="46" t="str">
        <f t="shared" ca="1" si="117"/>
        <v/>
      </c>
      <c r="BR43" s="141" t="str">
        <f ca="1">IFERROR(IF(AND(ISNUMBER($BN43), ISNUMBER(Futs!$CC43)), $BN43 - Futs!$CC43, ""), "")</f>
        <v/>
      </c>
      <c r="BS43" s="46" t="str">
        <f ca="1">IFERROR(IF(AND(ISNUMBER($BO43), ISNUMBER(Futs!$CD43)), $BO43 - Futs!$CD43, ""), "")</f>
        <v/>
      </c>
      <c r="BT43" s="47" t="str">
        <f t="shared" ca="1" si="118"/>
        <v/>
      </c>
      <c r="BU43" s="111" t="str">
        <f t="shared" ca="1" si="119"/>
        <v/>
      </c>
    </row>
    <row r="44" spans="1:73" x14ac:dyDescent="0.25">
      <c r="A44" s="58">
        <f t="shared" ca="1" si="91"/>
        <v>47027</v>
      </c>
      <c r="B44" s="6">
        <f t="shared" ca="1" si="74"/>
        <v>2028</v>
      </c>
      <c r="C44" s="6" t="str">
        <f t="shared" ca="1" si="75"/>
        <v>Q428</v>
      </c>
      <c r="D44" s="28" t="e">
        <f ca="1">INDEX(ICE[], MATCH(D$18 &amp; TEXT(Lts!$A44, "mmmyy"), ICE[LongCode], 0), MATCH("Settle", ICE[#Headers], 0))</f>
        <v>#N/A</v>
      </c>
      <c r="E44" s="28" t="e">
        <f ca="1">INDEX(ICE[], MATCH(E$18 &amp; TEXT(Lts!$A44, "mmmyy"), ICE[LongCode], 0), MATCH("Settle", ICE[#Headers], 0))</f>
        <v>#N/A</v>
      </c>
      <c r="F44" s="28" t="e">
        <f ca="1">INDEX(ICE[], MATCH(F$18 &amp; TEXT(Lts!$A44, "mmmyy"), ICE[LongCode], 0), MATCH("Settle", ICE[#Headers], 0))</f>
        <v>#N/A</v>
      </c>
      <c r="G44" s="28" t="e">
        <f ca="1">INDEX(ICE[], MATCH(G$18 &amp; TEXT(Lts!$A44, "mmmyy"), ICE[LongCode], 0), MATCH("Settle", ICE[#Headers], 0))</f>
        <v>#N/A</v>
      </c>
      <c r="H44" s="28" t="e">
        <f ca="1">INDEX(ICE[], MATCH(H$18 &amp; TEXT(Lts!$A44, "mmmyy"), ICE[LongCode], 0), MATCH("Settle", ICE[#Headers], 0))</f>
        <v>#N/A</v>
      </c>
      <c r="I44" s="397"/>
      <c r="J44" s="364" t="str">
        <f ca="1">IFERROR(INDEX(ICE[], MATCH("napbrx" &amp; TEXT(Lts!$A44, "mmmyy"), ICE[LongCode], 0), MATCH("Text", ICE[#Headers], 0)), "")</f>
        <v/>
      </c>
      <c r="K44" s="46" t="str">
        <f t="shared" ca="1" si="76"/>
        <v/>
      </c>
      <c r="L44" s="47" t="str">
        <f t="shared" si="120"/>
        <v/>
      </c>
      <c r="M44" s="46" t="str">
        <f t="shared" ca="1" si="92"/>
        <v/>
      </c>
      <c r="N44" s="141" t="str">
        <f ca="1">IFERROR(IF(AND(ISNUMBER(Futs!$CC44), ISNUMBER($I44)), (Futs!$CC44 + $I44)*8.9, ""), "")</f>
        <v/>
      </c>
      <c r="O44" s="46" t="str">
        <f ca="1">IFERROR(IF(AND(ISNUMBER(Futs!$CD44), ISNUMBER($K44)), (Futs!$CD44 + $K44)*8.9, ""), "")</f>
        <v/>
      </c>
      <c r="P44" s="47" t="str">
        <f t="shared" ca="1" si="93"/>
        <v/>
      </c>
      <c r="Q44" s="111" t="str">
        <f t="shared" ca="1" si="94"/>
        <v/>
      </c>
      <c r="R44" s="397"/>
      <c r="S44" s="364" t="str">
        <f ca="1">IFERROR(INDEX(ICE[], MATCH("ebobbrx" &amp; TEXT(Lts!$A44, "mmmyy"), ICE[LongCode], 0), MATCH("Text", ICE[#Headers], 0)), "")</f>
        <v/>
      </c>
      <c r="T44" s="46" t="str">
        <f t="shared" ca="1" si="78"/>
        <v/>
      </c>
      <c r="U44" s="47" t="str">
        <f t="shared" si="95"/>
        <v/>
      </c>
      <c r="V44" s="46" t="str">
        <f t="shared" ca="1" si="96"/>
        <v/>
      </c>
      <c r="W44" s="141" t="str">
        <f ca="1">IFERROR(IF(AND(ISNUMBER(Futs!$CC44), ISNUMBER($R44)), (Futs!$CC44 + $R44)*8.33, ""), "")</f>
        <v/>
      </c>
      <c r="X44" s="46" t="str">
        <f ca="1">IFERROR(IF(AND(ISNUMBER(Futs!$CD44), ISNUMBER($T44)), (Futs!$CD44 + $T44)*8.33, ""), "")</f>
        <v/>
      </c>
      <c r="Y44" s="47" t="str">
        <f t="shared" ca="1" si="97"/>
        <v/>
      </c>
      <c r="Z44" s="46" t="str">
        <f t="shared" ca="1" si="98"/>
        <v/>
      </c>
      <c r="AA44" s="141" t="str">
        <f t="shared" ca="1" si="79"/>
        <v/>
      </c>
      <c r="AB44" s="46" t="str">
        <f t="shared" ca="1" si="80"/>
        <v/>
      </c>
      <c r="AC44" s="47" t="str">
        <f t="shared" ca="1" si="99"/>
        <v/>
      </c>
      <c r="AD44" s="46" t="str">
        <f t="shared" ca="1" si="100"/>
        <v/>
      </c>
      <c r="AE44" s="141" t="str">
        <f ca="1">IFERROR(IF(AND(ISNUMBER(Futs!$CO44), ISNUMBER($W44)), Futs!$CO44 - $W44/8.33/42*100, ""), "")</f>
        <v/>
      </c>
      <c r="AF44" s="46" t="str">
        <f ca="1">IFERROR(IF(AND(ISNUMBER(Futs!$CP44), ISNUMBER($X44)), Futs!$CP44 - $X44/8.33/42*100, ""), "")</f>
        <v/>
      </c>
      <c r="AG44" s="47" t="str">
        <f t="shared" ca="1" si="101"/>
        <v/>
      </c>
      <c r="AH44" s="111" t="str">
        <f t="shared" ca="1" si="102"/>
        <v/>
      </c>
      <c r="AI44" s="397"/>
      <c r="AJ44" s="364" t="str">
        <f ca="1">IFERROR(INDEX(ICE[], MATCH("napew" &amp; TEXT(Lts!$A44, "mmmyy"), ICE[LongCode], 0), MATCH("Text", ICE[#Headers], 0)), "")</f>
        <v/>
      </c>
      <c r="AK44" s="46" t="str">
        <f t="shared" ca="1" si="81"/>
        <v/>
      </c>
      <c r="AL44" s="47" t="str">
        <f t="shared" si="103"/>
        <v/>
      </c>
      <c r="AM44" s="46" t="str">
        <f t="shared" ca="1" si="104"/>
        <v/>
      </c>
      <c r="AN44" s="141" t="str">
        <f t="shared" ca="1" si="82"/>
        <v/>
      </c>
      <c r="AO44" s="46" t="str">
        <f t="shared" ca="1" si="83"/>
        <v/>
      </c>
      <c r="AP44" s="47" t="str">
        <f t="shared" ca="1" si="84"/>
        <v/>
      </c>
      <c r="AQ44" s="46" t="str">
        <f t="shared" ca="1" si="105"/>
        <v/>
      </c>
      <c r="AR44" s="141" t="str">
        <f ca="1">IFERROR(IF(AND(ISNUMBER($AN44), ISNUMBER(Futs!$CC44)), $AN44/8.9 - Futs!$CC44, ""), "")</f>
        <v/>
      </c>
      <c r="AS44" s="46" t="str">
        <f ca="1">IFERROR(IF(AND(ISNUMBER($AO44), ISNUMBER(Futs!$CD44)), $AO44/8.9 - Futs!$CD44, ""), "")</f>
        <v/>
      </c>
      <c r="AT44" s="47" t="str">
        <f t="shared" ca="1" si="106"/>
        <v/>
      </c>
      <c r="AU44" s="111" t="str">
        <f t="shared" ca="1" si="107"/>
        <v/>
      </c>
      <c r="AV44" s="397"/>
      <c r="AW44" s="364" t="str">
        <f ca="1">IFERROR(INDEX(ICE[], MATCH("mg92ebob" &amp; TEXT(Lts!$A44, "mmmyy"), ICE[LongCode], 0), MATCH("Text", ICE[#Headers], 0)), "")</f>
        <v/>
      </c>
      <c r="AX44" s="46" t="str">
        <f t="shared" ca="1" si="85"/>
        <v/>
      </c>
      <c r="AY44" s="47" t="str">
        <f t="shared" si="108"/>
        <v/>
      </c>
      <c r="AZ44" s="46" t="str">
        <f t="shared" ca="1" si="109"/>
        <v/>
      </c>
      <c r="BA44" s="141" t="str">
        <f t="shared" ca="1" si="86"/>
        <v/>
      </c>
      <c r="BB44" s="46" t="str">
        <f t="shared" ca="1" si="87"/>
        <v/>
      </c>
      <c r="BC44" s="47" t="str">
        <f t="shared" ca="1" si="110"/>
        <v/>
      </c>
      <c r="BD44" s="46" t="str">
        <f t="shared" ca="1" si="111"/>
        <v/>
      </c>
      <c r="BE44" s="141" t="str">
        <f ca="1">IFERROR(IF(AND(ISNUMBER($BA44), ISNUMBER(Futs!$CC44)), $BA44 - Futs!$CC44, ""), "")</f>
        <v/>
      </c>
      <c r="BF44" s="46" t="str">
        <f ca="1">IFERROR(IF(AND(ISNUMBER($BB44), ISNUMBER(Futs!$CD44)), $BB44 - Futs!$CD44, ""), "")</f>
        <v/>
      </c>
      <c r="BG44" s="47" t="str">
        <f t="shared" ca="1" si="112"/>
        <v/>
      </c>
      <c r="BH44" s="111" t="str">
        <f t="shared" ca="1" si="113"/>
        <v/>
      </c>
      <c r="BI44" s="397"/>
      <c r="BJ44" s="364" t="str">
        <f ca="1">IFERROR(INDEX(ICE[], MATCH("mg9592" &amp; TEXT(Lts!$A44, "mmmyy"), ICE[LongCode], 0), MATCH("Text", ICE[#Headers], 0)), "")</f>
        <v/>
      </c>
      <c r="BK44" s="46" t="str">
        <f t="shared" ca="1" si="88"/>
        <v/>
      </c>
      <c r="BL44" s="47" t="str">
        <f t="shared" si="114"/>
        <v/>
      </c>
      <c r="BM44" s="46" t="str">
        <f t="shared" ca="1" si="115"/>
        <v/>
      </c>
      <c r="BN44" s="141" t="str">
        <f t="shared" ca="1" si="89"/>
        <v/>
      </c>
      <c r="BO44" s="46" t="str">
        <f t="shared" ca="1" si="90"/>
        <v/>
      </c>
      <c r="BP44" s="47" t="str">
        <f t="shared" ca="1" si="116"/>
        <v/>
      </c>
      <c r="BQ44" s="46" t="str">
        <f t="shared" ca="1" si="117"/>
        <v/>
      </c>
      <c r="BR44" s="141" t="str">
        <f ca="1">IFERROR(IF(AND(ISNUMBER($BN44), ISNUMBER(Futs!$CC44)), $BN44 - Futs!$CC44, ""), "")</f>
        <v/>
      </c>
      <c r="BS44" s="46" t="str">
        <f ca="1">IFERROR(IF(AND(ISNUMBER($BO44), ISNUMBER(Futs!$CD44)), $BO44 - Futs!$CD44, ""), "")</f>
        <v/>
      </c>
      <c r="BT44" s="47" t="str">
        <f t="shared" ca="1" si="118"/>
        <v/>
      </c>
      <c r="BU44" s="111" t="str">
        <f t="shared" ca="1" si="119"/>
        <v/>
      </c>
    </row>
    <row r="45" spans="1:73" x14ac:dyDescent="0.25">
      <c r="A45" s="58">
        <f t="shared" ca="1" si="91"/>
        <v>47058</v>
      </c>
      <c r="B45" s="6">
        <f t="shared" ca="1" si="74"/>
        <v>2028</v>
      </c>
      <c r="C45" s="6" t="str">
        <f t="shared" ca="1" si="75"/>
        <v>Q428</v>
      </c>
      <c r="D45" s="28" t="e">
        <f ca="1">INDEX(ICE[], MATCH(D$18 &amp; TEXT(Lts!$A45, "mmmyy"), ICE[LongCode], 0), MATCH("Settle", ICE[#Headers], 0))</f>
        <v>#N/A</v>
      </c>
      <c r="E45" s="28" t="e">
        <f ca="1">INDEX(ICE[], MATCH(E$18 &amp; TEXT(Lts!$A45, "mmmyy"), ICE[LongCode], 0), MATCH("Settle", ICE[#Headers], 0))</f>
        <v>#N/A</v>
      </c>
      <c r="F45" s="28" t="e">
        <f ca="1">INDEX(ICE[], MATCH(F$18 &amp; TEXT(Lts!$A45, "mmmyy"), ICE[LongCode], 0), MATCH("Settle", ICE[#Headers], 0))</f>
        <v>#N/A</v>
      </c>
      <c r="G45" s="28" t="e">
        <f ca="1">INDEX(ICE[], MATCH(G$18 &amp; TEXT(Lts!$A45, "mmmyy"), ICE[LongCode], 0), MATCH("Settle", ICE[#Headers], 0))</f>
        <v>#N/A</v>
      </c>
      <c r="H45" s="28" t="e">
        <f ca="1">INDEX(ICE[], MATCH(H$18 &amp; TEXT(Lts!$A45, "mmmyy"), ICE[LongCode], 0), MATCH("Settle", ICE[#Headers], 0))</f>
        <v>#N/A</v>
      </c>
      <c r="I45" s="397"/>
      <c r="J45" s="364" t="str">
        <f ca="1">IFERROR(INDEX(ICE[], MATCH("napbrx" &amp; TEXT(Lts!$A45, "mmmyy"), ICE[LongCode], 0), MATCH("Text", ICE[#Headers], 0)), "")</f>
        <v/>
      </c>
      <c r="K45" s="46" t="str">
        <f t="shared" ca="1" si="76"/>
        <v/>
      </c>
      <c r="L45" s="47" t="str">
        <f t="shared" si="120"/>
        <v/>
      </c>
      <c r="M45" s="46" t="str">
        <f t="shared" ca="1" si="92"/>
        <v/>
      </c>
      <c r="N45" s="141" t="str">
        <f ca="1">IFERROR(IF(AND(ISNUMBER(Futs!$CC45), ISNUMBER($I45)), (Futs!$CC45 + $I45)*8.9, ""), "")</f>
        <v/>
      </c>
      <c r="O45" s="46" t="str">
        <f ca="1">IFERROR(IF(AND(ISNUMBER(Futs!$CD45), ISNUMBER($K45)), (Futs!$CD45 + $K45)*8.9, ""), "")</f>
        <v/>
      </c>
      <c r="P45" s="47" t="str">
        <f t="shared" ca="1" si="93"/>
        <v/>
      </c>
      <c r="Q45" s="111" t="str">
        <f t="shared" ca="1" si="94"/>
        <v/>
      </c>
      <c r="R45" s="397"/>
      <c r="S45" s="364" t="str">
        <f ca="1">IFERROR(INDEX(ICE[], MATCH("ebobbrx" &amp; TEXT(Lts!$A45, "mmmyy"), ICE[LongCode], 0), MATCH("Text", ICE[#Headers], 0)), "")</f>
        <v/>
      </c>
      <c r="T45" s="46" t="str">
        <f t="shared" ca="1" si="78"/>
        <v/>
      </c>
      <c r="U45" s="47" t="str">
        <f t="shared" si="95"/>
        <v/>
      </c>
      <c r="V45" s="46" t="str">
        <f t="shared" ca="1" si="96"/>
        <v/>
      </c>
      <c r="W45" s="141" t="str">
        <f ca="1">IFERROR(IF(AND(ISNUMBER(Futs!$CC45), ISNUMBER($R45)), (Futs!$CC45 + $R45)*8.33, ""), "")</f>
        <v/>
      </c>
      <c r="X45" s="46" t="str">
        <f ca="1">IFERROR(IF(AND(ISNUMBER(Futs!$CD45), ISNUMBER($T45)), (Futs!$CD45 + $T45)*8.33, ""), "")</f>
        <v/>
      </c>
      <c r="Y45" s="47" t="str">
        <f t="shared" ca="1" si="97"/>
        <v/>
      </c>
      <c r="Z45" s="46" t="str">
        <f t="shared" ca="1" si="98"/>
        <v/>
      </c>
      <c r="AA45" s="141" t="str">
        <f t="shared" ca="1" si="79"/>
        <v/>
      </c>
      <c r="AB45" s="46" t="str">
        <f t="shared" ca="1" si="80"/>
        <v/>
      </c>
      <c r="AC45" s="47" t="str">
        <f t="shared" ca="1" si="99"/>
        <v/>
      </c>
      <c r="AD45" s="46" t="str">
        <f t="shared" ca="1" si="100"/>
        <v/>
      </c>
      <c r="AE45" s="141" t="str">
        <f ca="1">IFERROR(IF(AND(ISNUMBER(Futs!$CO45), ISNUMBER($W45)), Futs!$CO45 - $W45/8.33/42*100, ""), "")</f>
        <v/>
      </c>
      <c r="AF45" s="46" t="str">
        <f ca="1">IFERROR(IF(AND(ISNUMBER(Futs!$CP45), ISNUMBER($X45)), Futs!$CP45 - $X45/8.33/42*100, ""), "")</f>
        <v/>
      </c>
      <c r="AG45" s="47" t="str">
        <f t="shared" ca="1" si="101"/>
        <v/>
      </c>
      <c r="AH45" s="111" t="str">
        <f t="shared" ca="1" si="102"/>
        <v/>
      </c>
      <c r="AI45" s="397"/>
      <c r="AJ45" s="364" t="str">
        <f ca="1">IFERROR(INDEX(ICE[], MATCH("napew" &amp; TEXT(Lts!$A45, "mmmyy"), ICE[LongCode], 0), MATCH("Text", ICE[#Headers], 0)), "")</f>
        <v/>
      </c>
      <c r="AK45" s="46" t="str">
        <f t="shared" ca="1" si="81"/>
        <v/>
      </c>
      <c r="AL45" s="47" t="str">
        <f t="shared" si="103"/>
        <v/>
      </c>
      <c r="AM45" s="46" t="str">
        <f t="shared" ca="1" si="104"/>
        <v/>
      </c>
      <c r="AN45" s="141" t="str">
        <f t="shared" ca="1" si="82"/>
        <v/>
      </c>
      <c r="AO45" s="46" t="str">
        <f t="shared" ca="1" si="83"/>
        <v/>
      </c>
      <c r="AP45" s="47" t="str">
        <f t="shared" ca="1" si="84"/>
        <v/>
      </c>
      <c r="AQ45" s="46" t="str">
        <f t="shared" ca="1" si="105"/>
        <v/>
      </c>
      <c r="AR45" s="141" t="str">
        <f ca="1">IFERROR(IF(AND(ISNUMBER($AN45), ISNUMBER(Futs!$CC45)), $AN45/8.9 - Futs!$CC45, ""), "")</f>
        <v/>
      </c>
      <c r="AS45" s="46" t="str">
        <f ca="1">IFERROR(IF(AND(ISNUMBER($AO45), ISNUMBER(Futs!$CD45)), $AO45/8.9 - Futs!$CD45, ""), "")</f>
        <v/>
      </c>
      <c r="AT45" s="47" t="str">
        <f t="shared" ca="1" si="106"/>
        <v/>
      </c>
      <c r="AU45" s="111" t="str">
        <f t="shared" ca="1" si="107"/>
        <v/>
      </c>
      <c r="AV45" s="397"/>
      <c r="AW45" s="364" t="str">
        <f ca="1">IFERROR(INDEX(ICE[], MATCH("mg92ebob" &amp; TEXT(Lts!$A45, "mmmyy"), ICE[LongCode], 0), MATCH("Text", ICE[#Headers], 0)), "")</f>
        <v/>
      </c>
      <c r="AX45" s="46" t="str">
        <f t="shared" ca="1" si="85"/>
        <v/>
      </c>
      <c r="AY45" s="47" t="str">
        <f t="shared" si="108"/>
        <v/>
      </c>
      <c r="AZ45" s="46" t="str">
        <f t="shared" ca="1" si="109"/>
        <v/>
      </c>
      <c r="BA45" s="141" t="str">
        <f t="shared" ca="1" si="86"/>
        <v/>
      </c>
      <c r="BB45" s="46" t="str">
        <f t="shared" ca="1" si="87"/>
        <v/>
      </c>
      <c r="BC45" s="47" t="str">
        <f t="shared" ca="1" si="110"/>
        <v/>
      </c>
      <c r="BD45" s="46" t="str">
        <f t="shared" ca="1" si="111"/>
        <v/>
      </c>
      <c r="BE45" s="141" t="str">
        <f ca="1">IFERROR(IF(AND(ISNUMBER($BA45), ISNUMBER(Futs!$CC45)), $BA45 - Futs!$CC45, ""), "")</f>
        <v/>
      </c>
      <c r="BF45" s="46" t="str">
        <f ca="1">IFERROR(IF(AND(ISNUMBER($BB45), ISNUMBER(Futs!$CD45)), $BB45 - Futs!$CD45, ""), "")</f>
        <v/>
      </c>
      <c r="BG45" s="47" t="str">
        <f t="shared" ca="1" si="112"/>
        <v/>
      </c>
      <c r="BH45" s="111" t="str">
        <f t="shared" ca="1" si="113"/>
        <v/>
      </c>
      <c r="BI45" s="397"/>
      <c r="BJ45" s="364" t="str">
        <f ca="1">IFERROR(INDEX(ICE[], MATCH("mg9592" &amp; TEXT(Lts!$A45, "mmmyy"), ICE[LongCode], 0), MATCH("Text", ICE[#Headers], 0)), "")</f>
        <v/>
      </c>
      <c r="BK45" s="46" t="str">
        <f t="shared" ca="1" si="88"/>
        <v/>
      </c>
      <c r="BL45" s="47" t="str">
        <f t="shared" si="114"/>
        <v/>
      </c>
      <c r="BM45" s="46" t="str">
        <f t="shared" si="115"/>
        <v/>
      </c>
      <c r="BN45" s="141" t="str">
        <f t="shared" ca="1" si="89"/>
        <v/>
      </c>
      <c r="BO45" s="46" t="str">
        <f t="shared" ca="1" si="90"/>
        <v/>
      </c>
      <c r="BP45" s="47" t="str">
        <f t="shared" ca="1" si="116"/>
        <v/>
      </c>
      <c r="BQ45" s="46" t="str">
        <f t="shared" ca="1" si="117"/>
        <v/>
      </c>
      <c r="BR45" s="141" t="str">
        <f ca="1">IFERROR(IF(AND(ISNUMBER($BN45), ISNUMBER(Futs!$CC45)), $BN45 - Futs!$CC45, ""), "")</f>
        <v/>
      </c>
      <c r="BS45" s="46" t="str">
        <f ca="1">IFERROR(IF(AND(ISNUMBER($BO45), ISNUMBER(Futs!$CD45)), $BO45 - Futs!$CD45, ""), "")</f>
        <v/>
      </c>
      <c r="BT45" s="47" t="str">
        <f t="shared" ca="1" si="118"/>
        <v/>
      </c>
      <c r="BU45" s="111" t="str">
        <f t="shared" ca="1" si="119"/>
        <v/>
      </c>
    </row>
    <row r="46" spans="1:73" x14ac:dyDescent="0.25">
      <c r="A46" s="58">
        <f t="shared" ca="1" si="91"/>
        <v>47088</v>
      </c>
      <c r="B46" s="6">
        <f t="shared" ca="1" si="74"/>
        <v>2028</v>
      </c>
      <c r="C46" s="6" t="str">
        <f t="shared" ca="1" si="75"/>
        <v>Q428</v>
      </c>
      <c r="D46" s="28" t="e">
        <f ca="1">INDEX(ICE[], MATCH(D$18 &amp; TEXT(Lts!$A46, "mmmyy"), ICE[LongCode], 0), MATCH("Settle", ICE[#Headers], 0))</f>
        <v>#N/A</v>
      </c>
      <c r="E46" s="28" t="e">
        <f ca="1">INDEX(ICE[], MATCH(E$18 &amp; TEXT(Lts!$A46, "mmmyy"), ICE[LongCode], 0), MATCH("Settle", ICE[#Headers], 0))</f>
        <v>#N/A</v>
      </c>
      <c r="F46" s="28" t="e">
        <f ca="1">INDEX(ICE[], MATCH(F$18 &amp; TEXT(Lts!$A46, "mmmyy"), ICE[LongCode], 0), MATCH("Settle", ICE[#Headers], 0))</f>
        <v>#N/A</v>
      </c>
      <c r="G46" s="28" t="e">
        <f ca="1">INDEX(ICE[], MATCH(G$18 &amp; TEXT(Lts!$A46, "mmmyy"), ICE[LongCode], 0), MATCH("Settle", ICE[#Headers], 0))</f>
        <v>#N/A</v>
      </c>
      <c r="H46" s="28" t="e">
        <f ca="1">INDEX(ICE[], MATCH(H$18 &amp; TEXT(Lts!$A46, "mmmyy"), ICE[LongCode], 0), MATCH("Settle", ICE[#Headers], 0))</f>
        <v>#N/A</v>
      </c>
      <c r="I46" s="397"/>
      <c r="J46" s="364" t="str">
        <f ca="1">IFERROR(INDEX(ICE[], MATCH("napbrx" &amp; TEXT(Lts!$A46, "mmmyy"), ICE[LongCode], 0), MATCH("Text", ICE[#Headers], 0)), "")</f>
        <v/>
      </c>
      <c r="K46" s="46" t="str">
        <f t="shared" ca="1" si="76"/>
        <v/>
      </c>
      <c r="L46" s="47" t="str">
        <f t="shared" si="120"/>
        <v/>
      </c>
      <c r="M46" s="46" t="str">
        <f t="shared" ca="1" si="92"/>
        <v/>
      </c>
      <c r="N46" s="141" t="str">
        <f ca="1">IFERROR(IF(AND(ISNUMBER(Futs!$CC46), ISNUMBER($I46)), (Futs!$CC46 + $I46)*8.9, ""), "")</f>
        <v/>
      </c>
      <c r="O46" s="46" t="str">
        <f ca="1">IFERROR(IF(AND(ISNUMBER(Futs!$CD46), ISNUMBER($K46)), (Futs!$CD46 + $K46)*8.9, ""), "")</f>
        <v/>
      </c>
      <c r="P46" s="47" t="str">
        <f t="shared" ca="1" si="93"/>
        <v/>
      </c>
      <c r="Q46" s="111" t="str">
        <f t="shared" ca="1" si="94"/>
        <v/>
      </c>
      <c r="R46" s="397"/>
      <c r="S46" s="364" t="str">
        <f ca="1">IFERROR(INDEX(ICE[], MATCH("ebobbrx" &amp; TEXT(Lts!$A46, "mmmyy"), ICE[LongCode], 0), MATCH("Text", ICE[#Headers], 0)), "")</f>
        <v/>
      </c>
      <c r="T46" s="46" t="str">
        <f t="shared" ca="1" si="78"/>
        <v/>
      </c>
      <c r="U46" s="47" t="str">
        <f t="shared" si="95"/>
        <v/>
      </c>
      <c r="V46" s="46" t="str">
        <f t="shared" ca="1" si="96"/>
        <v/>
      </c>
      <c r="W46" s="141" t="str">
        <f ca="1">IFERROR(IF(AND(ISNUMBER(Futs!$CC46), ISNUMBER($R46)), (Futs!$CC46 + $R46)*8.33, ""), "")</f>
        <v/>
      </c>
      <c r="X46" s="46" t="str">
        <f ca="1">IFERROR(IF(AND(ISNUMBER(Futs!$CD46), ISNUMBER($T46)), (Futs!$CD46 + $T46)*8.33, ""), "")</f>
        <v/>
      </c>
      <c r="Y46" s="47" t="str">
        <f t="shared" ca="1" si="97"/>
        <v/>
      </c>
      <c r="Z46" s="46" t="str">
        <f t="shared" ca="1" si="98"/>
        <v/>
      </c>
      <c r="AA46" s="141" t="str">
        <f t="shared" ca="1" si="79"/>
        <v/>
      </c>
      <c r="AB46" s="46" t="str">
        <f t="shared" ca="1" si="80"/>
        <v/>
      </c>
      <c r="AC46" s="47" t="str">
        <f t="shared" ca="1" si="99"/>
        <v/>
      </c>
      <c r="AD46" s="46" t="str">
        <f t="shared" ca="1" si="100"/>
        <v/>
      </c>
      <c r="AE46" s="141" t="str">
        <f ca="1">IFERROR(IF(AND(ISNUMBER(Futs!$CO46), ISNUMBER($W46)), Futs!$CO46 - $W46/8.33/42*100, ""), "")</f>
        <v/>
      </c>
      <c r="AF46" s="46" t="str">
        <f ca="1">IFERROR(IF(AND(ISNUMBER(Futs!$CP46), ISNUMBER($X46)), Futs!$CP46 - $X46/8.33/42*100, ""), "")</f>
        <v/>
      </c>
      <c r="AG46" s="47" t="str">
        <f t="shared" ca="1" si="101"/>
        <v/>
      </c>
      <c r="AH46" s="111" t="str">
        <f t="shared" ca="1" si="102"/>
        <v/>
      </c>
      <c r="AI46" s="397"/>
      <c r="AJ46" s="364" t="str">
        <f ca="1">IFERROR(INDEX(ICE[], MATCH("napew" &amp; TEXT(Lts!$A46, "mmmyy"), ICE[LongCode], 0), MATCH("Text", ICE[#Headers], 0)), "")</f>
        <v/>
      </c>
      <c r="AK46" s="46" t="str">
        <f t="shared" ca="1" si="81"/>
        <v/>
      </c>
      <c r="AL46" s="47" t="str">
        <f t="shared" si="103"/>
        <v/>
      </c>
      <c r="AM46" s="46" t="str">
        <f t="shared" ca="1" si="104"/>
        <v/>
      </c>
      <c r="AN46" s="141" t="str">
        <f t="shared" ca="1" si="82"/>
        <v/>
      </c>
      <c r="AO46" s="46" t="str">
        <f t="shared" ca="1" si="83"/>
        <v/>
      </c>
      <c r="AP46" s="47" t="str">
        <f t="shared" ca="1" si="84"/>
        <v/>
      </c>
      <c r="AQ46" s="46" t="str">
        <f t="shared" ca="1" si="105"/>
        <v/>
      </c>
      <c r="AR46" s="141" t="str">
        <f ca="1">IFERROR(IF(AND(ISNUMBER($AN46), ISNUMBER(Futs!$CC46)), $AN46/8.9 - Futs!$CC46, ""), "")</f>
        <v/>
      </c>
      <c r="AS46" s="46" t="str">
        <f ca="1">IFERROR(IF(AND(ISNUMBER($AO46), ISNUMBER(Futs!$CD46)), $AO46/8.9 - Futs!$CD46, ""), "")</f>
        <v/>
      </c>
      <c r="AT46" s="47" t="str">
        <f t="shared" ca="1" si="106"/>
        <v/>
      </c>
      <c r="AU46" s="111" t="str">
        <f t="shared" ca="1" si="107"/>
        <v/>
      </c>
      <c r="AV46" s="397"/>
      <c r="AW46" s="364" t="str">
        <f ca="1">IFERROR(INDEX(ICE[], MATCH("mg92ebob" &amp; TEXT(Lts!$A46, "mmmyy"), ICE[LongCode], 0), MATCH("Text", ICE[#Headers], 0)), "")</f>
        <v/>
      </c>
      <c r="AX46" s="46" t="str">
        <f t="shared" ca="1" si="85"/>
        <v/>
      </c>
      <c r="AY46" s="47" t="str">
        <f t="shared" si="108"/>
        <v/>
      </c>
      <c r="AZ46" s="46" t="str">
        <f t="shared" ca="1" si="109"/>
        <v/>
      </c>
      <c r="BA46" s="141" t="str">
        <f t="shared" ca="1" si="86"/>
        <v/>
      </c>
      <c r="BB46" s="46" t="str">
        <f t="shared" ca="1" si="87"/>
        <v/>
      </c>
      <c r="BC46" s="47" t="str">
        <f t="shared" ca="1" si="110"/>
        <v/>
      </c>
      <c r="BD46" s="46" t="str">
        <f t="shared" ca="1" si="111"/>
        <v/>
      </c>
      <c r="BE46" s="141" t="str">
        <f ca="1">IFERROR(IF(AND(ISNUMBER($BA46), ISNUMBER(Futs!$CC46)), $BA46 - Futs!$CC46, ""), "")</f>
        <v/>
      </c>
      <c r="BF46" s="46" t="str">
        <f ca="1">IFERROR(IF(AND(ISNUMBER($BB46), ISNUMBER(Futs!$CD46)), $BB46 - Futs!$CD46, ""), "")</f>
        <v/>
      </c>
      <c r="BG46" s="47" t="str">
        <f t="shared" ca="1" si="112"/>
        <v/>
      </c>
      <c r="BH46" s="111" t="str">
        <f t="shared" ca="1" si="113"/>
        <v/>
      </c>
      <c r="BI46" s="397"/>
      <c r="BJ46" s="364" t="str">
        <f ca="1">IFERROR(INDEX(ICE[], MATCH("mg9592" &amp; TEXT(Lts!$A46, "mmmyy"), ICE[LongCode], 0), MATCH("Text", ICE[#Headers], 0)), "")</f>
        <v/>
      </c>
      <c r="BK46" s="46" t="str">
        <f t="shared" ca="1" si="88"/>
        <v/>
      </c>
      <c r="BL46" s="47" t="str">
        <f t="shared" si="114"/>
        <v/>
      </c>
      <c r="BM46" s="46" t="str">
        <f t="shared" si="115"/>
        <v/>
      </c>
      <c r="BN46" s="141" t="str">
        <f t="shared" ca="1" si="89"/>
        <v/>
      </c>
      <c r="BO46" s="46" t="str">
        <f t="shared" ca="1" si="90"/>
        <v/>
      </c>
      <c r="BP46" s="47" t="str">
        <f t="shared" ca="1" si="116"/>
        <v/>
      </c>
      <c r="BQ46" s="46" t="str">
        <f t="shared" ca="1" si="117"/>
        <v/>
      </c>
      <c r="BR46" s="141" t="str">
        <f ca="1">IFERROR(IF(AND(ISNUMBER($BN46), ISNUMBER(Futs!$CC46)), $BN46 - Futs!$CC46, ""), "")</f>
        <v/>
      </c>
      <c r="BS46" s="46" t="str">
        <f ca="1">IFERROR(IF(AND(ISNUMBER($BO46), ISNUMBER(Futs!$CD46)), $BO46 - Futs!$CD46, ""), "")</f>
        <v/>
      </c>
      <c r="BT46" s="47" t="str">
        <f t="shared" ca="1" si="118"/>
        <v/>
      </c>
      <c r="BU46" s="111" t="str">
        <f t="shared" ca="1" si="119"/>
        <v/>
      </c>
    </row>
    <row r="47" spans="1:73" x14ac:dyDescent="0.25">
      <c r="A47" s="58">
        <f t="shared" ca="1" si="91"/>
        <v>47119</v>
      </c>
      <c r="B47" s="6">
        <f t="shared" ca="1" si="74"/>
        <v>2029</v>
      </c>
      <c r="C47" s="6" t="str">
        <f t="shared" ca="1" si="75"/>
        <v>Q129</v>
      </c>
      <c r="D47" s="28" t="e">
        <f ca="1">INDEX(ICE[], MATCH(D$18 &amp; TEXT(Lts!$A47, "mmmyy"), ICE[LongCode], 0), MATCH("Settle", ICE[#Headers], 0))</f>
        <v>#N/A</v>
      </c>
      <c r="E47" s="28" t="e">
        <f ca="1">INDEX(ICE[], MATCH(E$18 &amp; TEXT(Lts!$A47, "mmmyy"), ICE[LongCode], 0), MATCH("Settle", ICE[#Headers], 0))</f>
        <v>#N/A</v>
      </c>
      <c r="F47" s="28" t="e">
        <f ca="1">INDEX(ICE[], MATCH(F$18 &amp; TEXT(Lts!$A47, "mmmyy"), ICE[LongCode], 0), MATCH("Settle", ICE[#Headers], 0))</f>
        <v>#N/A</v>
      </c>
      <c r="G47" s="28" t="e">
        <f ca="1">INDEX(ICE[], MATCH(G$18 &amp; TEXT(Lts!$A47, "mmmyy"), ICE[LongCode], 0), MATCH("Settle", ICE[#Headers], 0))</f>
        <v>#N/A</v>
      </c>
      <c r="H47" s="28" t="e">
        <f ca="1">INDEX(ICE[], MATCH(H$18 &amp; TEXT(Lts!$A47, "mmmyy"), ICE[LongCode], 0), MATCH("Settle", ICE[#Headers], 0))</f>
        <v>#N/A</v>
      </c>
      <c r="I47" s="397"/>
      <c r="J47" s="364" t="str">
        <f ca="1">IFERROR(INDEX(ICE[], MATCH("napbrx" &amp; TEXT(Lts!$A47, "mmmyy"), ICE[LongCode], 0), MATCH("Text", ICE[#Headers], 0)), "")</f>
        <v/>
      </c>
      <c r="K47" s="46" t="str">
        <f t="shared" ca="1" si="76"/>
        <v/>
      </c>
      <c r="L47" s="47" t="str">
        <f t="shared" si="120"/>
        <v/>
      </c>
      <c r="M47" s="46" t="str">
        <f t="shared" ca="1" si="92"/>
        <v/>
      </c>
      <c r="N47" s="141" t="str">
        <f ca="1">IFERROR(IF(AND(ISNUMBER(Futs!$CC47), ISNUMBER($I47)), (Futs!$CC47 + $I47)*8.9, ""), "")</f>
        <v/>
      </c>
      <c r="O47" s="46" t="str">
        <f ca="1">IFERROR(IF(AND(ISNUMBER(Futs!$CD47), ISNUMBER($K47)), (Futs!$CD47 + $K47)*8.9, ""), "")</f>
        <v/>
      </c>
      <c r="P47" s="47" t="str">
        <f t="shared" ca="1" si="93"/>
        <v/>
      </c>
      <c r="Q47" s="111" t="str">
        <f t="shared" ca="1" si="94"/>
        <v/>
      </c>
      <c r="R47" s="397"/>
      <c r="S47" s="364" t="str">
        <f ca="1">IFERROR(INDEX(ICE[], MATCH("ebobbrx" &amp; TEXT(Lts!$A47, "mmmyy"), ICE[LongCode], 0), MATCH("Text", ICE[#Headers], 0)), "")</f>
        <v/>
      </c>
      <c r="T47" s="46" t="str">
        <f t="shared" ca="1" si="78"/>
        <v/>
      </c>
      <c r="U47" s="47" t="str">
        <f t="shared" si="95"/>
        <v/>
      </c>
      <c r="V47" s="46" t="str">
        <f t="shared" ca="1" si="96"/>
        <v/>
      </c>
      <c r="W47" s="141" t="str">
        <f ca="1">IFERROR(IF(AND(ISNUMBER(Futs!$CC47), ISNUMBER($R47)), (Futs!$CC47 + $R47)*8.33, ""), "")</f>
        <v/>
      </c>
      <c r="X47" s="46" t="str">
        <f ca="1">IFERROR(IF(AND(ISNUMBER(Futs!$CD47), ISNUMBER($T47)), (Futs!$CD47 + $T47)*8.33, ""), "")</f>
        <v/>
      </c>
      <c r="Y47" s="47" t="str">
        <f t="shared" ca="1" si="97"/>
        <v/>
      </c>
      <c r="Z47" s="46" t="str">
        <f t="shared" ca="1" si="98"/>
        <v/>
      </c>
      <c r="AA47" s="141" t="str">
        <f t="shared" ca="1" si="79"/>
        <v/>
      </c>
      <c r="AB47" s="46" t="str">
        <f t="shared" ca="1" si="80"/>
        <v/>
      </c>
      <c r="AC47" s="47" t="str">
        <f t="shared" ca="1" si="99"/>
        <v/>
      </c>
      <c r="AD47" s="46" t="str">
        <f t="shared" ca="1" si="100"/>
        <v/>
      </c>
      <c r="AE47" s="141" t="str">
        <f ca="1">IFERROR(IF(AND(ISNUMBER(Futs!$CO47), ISNUMBER($W47)), Futs!$CO47 - $W47/8.33/42*100, ""), "")</f>
        <v/>
      </c>
      <c r="AF47" s="46" t="str">
        <f ca="1">IFERROR(IF(AND(ISNUMBER(Futs!$CP47), ISNUMBER($X47)), Futs!$CP47 - $X47/8.33/42*100, ""), "")</f>
        <v/>
      </c>
      <c r="AG47" s="47" t="str">
        <f t="shared" ca="1" si="101"/>
        <v/>
      </c>
      <c r="AH47" s="111" t="str">
        <f t="shared" ca="1" si="102"/>
        <v/>
      </c>
      <c r="AI47" s="397"/>
      <c r="AJ47" s="364" t="str">
        <f ca="1">IFERROR(INDEX(ICE[], MATCH("napew" &amp; TEXT(Lts!$A47, "mmmyy"), ICE[LongCode], 0), MATCH("Text", ICE[#Headers], 0)), "")</f>
        <v/>
      </c>
      <c r="AK47" s="46" t="str">
        <f t="shared" ca="1" si="81"/>
        <v/>
      </c>
      <c r="AL47" s="47" t="str">
        <f t="shared" si="103"/>
        <v/>
      </c>
      <c r="AM47" s="46" t="str">
        <f t="shared" ca="1" si="104"/>
        <v/>
      </c>
      <c r="AN47" s="141" t="str">
        <f t="shared" ca="1" si="82"/>
        <v/>
      </c>
      <c r="AO47" s="46" t="str">
        <f t="shared" ca="1" si="83"/>
        <v/>
      </c>
      <c r="AP47" s="47" t="str">
        <f t="shared" ca="1" si="84"/>
        <v/>
      </c>
      <c r="AQ47" s="46" t="str">
        <f t="shared" ca="1" si="105"/>
        <v/>
      </c>
      <c r="AR47" s="141" t="str">
        <f ca="1">IFERROR(IF(AND(ISNUMBER($AN47), ISNUMBER(Futs!$CC47)), $AN47/8.9 - Futs!$CC47, ""), "")</f>
        <v/>
      </c>
      <c r="AS47" s="46" t="str">
        <f ca="1">IFERROR(IF(AND(ISNUMBER($AO47), ISNUMBER(Futs!$CD47)), $AO47/8.9 - Futs!$CD47, ""), "")</f>
        <v/>
      </c>
      <c r="AT47" s="47" t="str">
        <f t="shared" ca="1" si="106"/>
        <v/>
      </c>
      <c r="AU47" s="111" t="str">
        <f t="shared" ca="1" si="107"/>
        <v/>
      </c>
      <c r="AV47" s="397"/>
      <c r="AW47" s="364" t="str">
        <f ca="1">IFERROR(INDEX(ICE[], MATCH("mg92ebob" &amp; TEXT(Lts!$A47, "mmmyy"), ICE[LongCode], 0), MATCH("Text", ICE[#Headers], 0)), "")</f>
        <v/>
      </c>
      <c r="AX47" s="46" t="str">
        <f t="shared" ca="1" si="85"/>
        <v/>
      </c>
      <c r="AY47" s="47" t="str">
        <f t="shared" si="108"/>
        <v/>
      </c>
      <c r="AZ47" s="46" t="str">
        <f t="shared" ca="1" si="109"/>
        <v/>
      </c>
      <c r="BA47" s="141" t="str">
        <f t="shared" ca="1" si="86"/>
        <v/>
      </c>
      <c r="BB47" s="46" t="str">
        <f t="shared" ca="1" si="87"/>
        <v/>
      </c>
      <c r="BC47" s="47" t="str">
        <f t="shared" ca="1" si="110"/>
        <v/>
      </c>
      <c r="BD47" s="46" t="str">
        <f t="shared" ca="1" si="111"/>
        <v/>
      </c>
      <c r="BE47" s="141" t="str">
        <f ca="1">IFERROR(IF(AND(ISNUMBER($BA47), ISNUMBER(Futs!$CC47)), $BA47 - Futs!$CC47, ""), "")</f>
        <v/>
      </c>
      <c r="BF47" s="46" t="str">
        <f ca="1">IFERROR(IF(AND(ISNUMBER($BB47), ISNUMBER(Futs!$CD47)), $BB47 - Futs!$CD47, ""), "")</f>
        <v/>
      </c>
      <c r="BG47" s="47" t="str">
        <f t="shared" ca="1" si="112"/>
        <v/>
      </c>
      <c r="BH47" s="111" t="str">
        <f t="shared" ca="1" si="113"/>
        <v/>
      </c>
      <c r="BI47" s="397"/>
      <c r="BJ47" s="364" t="str">
        <f ca="1">IFERROR(INDEX(ICE[], MATCH("mg9592" &amp; TEXT(Lts!$A47, "mmmyy"), ICE[LongCode], 0), MATCH("Text", ICE[#Headers], 0)), "")</f>
        <v/>
      </c>
      <c r="BK47" s="46" t="str">
        <f t="shared" ca="1" si="88"/>
        <v/>
      </c>
      <c r="BL47" s="47" t="str">
        <f t="shared" si="114"/>
        <v/>
      </c>
      <c r="BM47" s="46" t="str">
        <f t="shared" si="115"/>
        <v/>
      </c>
      <c r="BN47" s="141" t="str">
        <f t="shared" ca="1" si="89"/>
        <v/>
      </c>
      <c r="BO47" s="46" t="str">
        <f t="shared" ca="1" si="90"/>
        <v/>
      </c>
      <c r="BP47" s="47" t="str">
        <f t="shared" ca="1" si="116"/>
        <v/>
      </c>
      <c r="BQ47" s="46" t="str">
        <f t="shared" ca="1" si="117"/>
        <v/>
      </c>
      <c r="BR47" s="141" t="str">
        <f ca="1">IFERROR(IF(AND(ISNUMBER($BN47), ISNUMBER(Futs!$CC47)), $BN47 - Futs!$CC47, ""), "")</f>
        <v/>
      </c>
      <c r="BS47" s="46" t="str">
        <f ca="1">IFERROR(IF(AND(ISNUMBER($BO47), ISNUMBER(Futs!$CD47)), $BO47 - Futs!$CD47, ""), "")</f>
        <v/>
      </c>
      <c r="BT47" s="47" t="str">
        <f t="shared" ca="1" si="118"/>
        <v/>
      </c>
      <c r="BU47" s="111" t="str">
        <f t="shared" ca="1" si="119"/>
        <v/>
      </c>
    </row>
    <row r="48" spans="1:73" x14ac:dyDescent="0.25">
      <c r="A48" s="58">
        <f t="shared" ca="1" si="91"/>
        <v>47150</v>
      </c>
      <c r="B48" s="6">
        <f t="shared" ca="1" si="74"/>
        <v>2029</v>
      </c>
      <c r="C48" s="6" t="str">
        <f t="shared" ca="1" si="75"/>
        <v>Q129</v>
      </c>
      <c r="D48" s="28" t="e">
        <f ca="1">INDEX(ICE[], MATCH(D$18 &amp; TEXT(Lts!$A48, "mmmyy"), ICE[LongCode], 0), MATCH("Settle", ICE[#Headers], 0))</f>
        <v>#N/A</v>
      </c>
      <c r="E48" s="28" t="e">
        <f ca="1">INDEX(ICE[], MATCH(E$18 &amp; TEXT(Lts!$A48, "mmmyy"), ICE[LongCode], 0), MATCH("Settle", ICE[#Headers], 0))</f>
        <v>#N/A</v>
      </c>
      <c r="F48" s="28" t="e">
        <f ca="1">INDEX(ICE[], MATCH(F$18 &amp; TEXT(Lts!$A48, "mmmyy"), ICE[LongCode], 0), MATCH("Settle", ICE[#Headers], 0))</f>
        <v>#N/A</v>
      </c>
      <c r="G48" s="28" t="e">
        <f ca="1">INDEX(ICE[], MATCH(G$18 &amp; TEXT(Lts!$A48, "mmmyy"), ICE[LongCode], 0), MATCH("Settle", ICE[#Headers], 0))</f>
        <v>#N/A</v>
      </c>
      <c r="H48" s="28" t="e">
        <f ca="1">INDEX(ICE[], MATCH(H$18 &amp; TEXT(Lts!$A48, "mmmyy"), ICE[LongCode], 0), MATCH("Settle", ICE[#Headers], 0))</f>
        <v>#N/A</v>
      </c>
      <c r="I48" s="397"/>
      <c r="J48" s="364" t="str">
        <f ca="1">IFERROR(INDEX(ICE[], MATCH("napbrx" &amp; TEXT(Lts!$A48, "mmmyy"), ICE[LongCode], 0), MATCH("Text", ICE[#Headers], 0)), "")</f>
        <v/>
      </c>
      <c r="K48" s="46" t="str">
        <f t="shared" ca="1" si="76"/>
        <v/>
      </c>
      <c r="L48" s="47" t="str">
        <f t="shared" si="120"/>
        <v/>
      </c>
      <c r="M48" s="46" t="str">
        <f t="shared" ca="1" si="92"/>
        <v/>
      </c>
      <c r="N48" s="141" t="str">
        <f ca="1">IFERROR(IF(AND(ISNUMBER(Futs!$CC48), ISNUMBER($I48)), (Futs!$CC48 + $I48)*8.9, ""), "")</f>
        <v/>
      </c>
      <c r="O48" s="46" t="str">
        <f ca="1">IFERROR(IF(AND(ISNUMBER(Futs!$CD48), ISNUMBER($K48)), (Futs!$CD48 + $K48)*8.9, ""), "")</f>
        <v/>
      </c>
      <c r="P48" s="47" t="str">
        <f t="shared" ca="1" si="93"/>
        <v/>
      </c>
      <c r="Q48" s="111" t="str">
        <f t="shared" ca="1" si="94"/>
        <v/>
      </c>
      <c r="R48" s="397"/>
      <c r="S48" s="364" t="str">
        <f ca="1">IFERROR(INDEX(ICE[], MATCH("ebobbrx" &amp; TEXT(Lts!$A48, "mmmyy"), ICE[LongCode], 0), MATCH("Text", ICE[#Headers], 0)), "")</f>
        <v/>
      </c>
      <c r="T48" s="46" t="str">
        <f t="shared" ca="1" si="78"/>
        <v/>
      </c>
      <c r="U48" s="47" t="str">
        <f t="shared" si="95"/>
        <v/>
      </c>
      <c r="V48" s="46" t="str">
        <f t="shared" ca="1" si="96"/>
        <v/>
      </c>
      <c r="W48" s="141" t="str">
        <f ca="1">IFERROR(IF(AND(ISNUMBER(Futs!$CC48), ISNUMBER($R48)), (Futs!$CC48 + $R48)*8.33, ""), "")</f>
        <v/>
      </c>
      <c r="X48" s="46" t="str">
        <f ca="1">IFERROR(IF(AND(ISNUMBER(Futs!$CD48), ISNUMBER($T48)), (Futs!$CD48 + $T48)*8.33, ""), "")</f>
        <v/>
      </c>
      <c r="Y48" s="47" t="str">
        <f t="shared" ca="1" si="97"/>
        <v/>
      </c>
      <c r="Z48" s="46" t="str">
        <f t="shared" ca="1" si="98"/>
        <v/>
      </c>
      <c r="AA48" s="141" t="str">
        <f t="shared" ca="1" si="79"/>
        <v/>
      </c>
      <c r="AB48" s="46" t="str">
        <f t="shared" ca="1" si="80"/>
        <v/>
      </c>
      <c r="AC48" s="47" t="str">
        <f t="shared" ca="1" si="99"/>
        <v/>
      </c>
      <c r="AD48" s="46" t="str">
        <f t="shared" ca="1" si="100"/>
        <v/>
      </c>
      <c r="AE48" s="141" t="str">
        <f ca="1">IFERROR(IF(AND(ISNUMBER(Futs!$CO48), ISNUMBER($W48)), Futs!$CO48 - $W48/8.33/42*100, ""), "")</f>
        <v/>
      </c>
      <c r="AF48" s="46" t="str">
        <f ca="1">IFERROR(IF(AND(ISNUMBER(Futs!$CP48), ISNUMBER($X48)), Futs!$CP48 - $X48/8.33/42*100, ""), "")</f>
        <v/>
      </c>
      <c r="AG48" s="47" t="str">
        <f t="shared" ca="1" si="101"/>
        <v/>
      </c>
      <c r="AH48" s="111" t="str">
        <f t="shared" ca="1" si="102"/>
        <v/>
      </c>
      <c r="AI48" s="397"/>
      <c r="AJ48" s="364" t="str">
        <f ca="1">IFERROR(INDEX(ICE[], MATCH("napew" &amp; TEXT(Lts!$A48, "mmmyy"), ICE[LongCode], 0), MATCH("Text", ICE[#Headers], 0)), "")</f>
        <v/>
      </c>
      <c r="AK48" s="46" t="str">
        <f t="shared" ca="1" si="81"/>
        <v/>
      </c>
      <c r="AL48" s="47" t="str">
        <f t="shared" si="103"/>
        <v/>
      </c>
      <c r="AM48" s="46" t="str">
        <f t="shared" ca="1" si="104"/>
        <v/>
      </c>
      <c r="AN48" s="141" t="str">
        <f t="shared" ca="1" si="82"/>
        <v/>
      </c>
      <c r="AO48" s="46" t="str">
        <f t="shared" ca="1" si="83"/>
        <v/>
      </c>
      <c r="AP48" s="47" t="str">
        <f t="shared" ca="1" si="84"/>
        <v/>
      </c>
      <c r="AQ48" s="46" t="str">
        <f t="shared" ca="1" si="105"/>
        <v/>
      </c>
      <c r="AR48" s="141" t="str">
        <f ca="1">IFERROR(IF(AND(ISNUMBER($AN48), ISNUMBER(Futs!$CC48)), $AN48/8.9 - Futs!$CC48, ""), "")</f>
        <v/>
      </c>
      <c r="AS48" s="46" t="str">
        <f ca="1">IFERROR(IF(AND(ISNUMBER($AO48), ISNUMBER(Futs!$CD48)), $AO48/8.9 - Futs!$CD48, ""), "")</f>
        <v/>
      </c>
      <c r="AT48" s="47" t="str">
        <f t="shared" ca="1" si="106"/>
        <v/>
      </c>
      <c r="AU48" s="111" t="str">
        <f t="shared" ca="1" si="107"/>
        <v/>
      </c>
      <c r="AV48" s="397"/>
      <c r="AW48" s="364" t="str">
        <f ca="1">IFERROR(INDEX(ICE[], MATCH("mg92ebob" &amp; TEXT(Lts!$A48, "mmmyy"), ICE[LongCode], 0), MATCH("Text", ICE[#Headers], 0)), "")</f>
        <v/>
      </c>
      <c r="AX48" s="46" t="str">
        <f t="shared" ca="1" si="85"/>
        <v/>
      </c>
      <c r="AY48" s="47" t="str">
        <f t="shared" si="108"/>
        <v/>
      </c>
      <c r="AZ48" s="46" t="str">
        <f t="shared" ca="1" si="109"/>
        <v/>
      </c>
      <c r="BA48" s="141" t="str">
        <f t="shared" ca="1" si="86"/>
        <v/>
      </c>
      <c r="BB48" s="46" t="str">
        <f t="shared" ca="1" si="87"/>
        <v/>
      </c>
      <c r="BC48" s="47" t="str">
        <f t="shared" ca="1" si="110"/>
        <v/>
      </c>
      <c r="BD48" s="46" t="str">
        <f t="shared" ca="1" si="111"/>
        <v/>
      </c>
      <c r="BE48" s="141" t="str">
        <f ca="1">IFERROR(IF(AND(ISNUMBER($BA48), ISNUMBER(Futs!$CC48)), $BA48 - Futs!$CC48, ""), "")</f>
        <v/>
      </c>
      <c r="BF48" s="46" t="str">
        <f ca="1">IFERROR(IF(AND(ISNUMBER($BB48), ISNUMBER(Futs!$CD48)), $BB48 - Futs!$CD48, ""), "")</f>
        <v/>
      </c>
      <c r="BG48" s="47" t="str">
        <f t="shared" ca="1" si="112"/>
        <v/>
      </c>
      <c r="BH48" s="111" t="str">
        <f t="shared" ca="1" si="113"/>
        <v/>
      </c>
      <c r="BI48" s="397"/>
      <c r="BJ48" s="364" t="str">
        <f ca="1">IFERROR(INDEX(ICE[], MATCH("mg9592" &amp; TEXT(Lts!$A48, "mmmyy"), ICE[LongCode], 0), MATCH("Text", ICE[#Headers], 0)), "")</f>
        <v/>
      </c>
      <c r="BK48" s="46" t="str">
        <f t="shared" ca="1" si="88"/>
        <v/>
      </c>
      <c r="BL48" s="47" t="str">
        <f t="shared" si="114"/>
        <v/>
      </c>
      <c r="BM48" s="46" t="str">
        <f t="shared" si="115"/>
        <v/>
      </c>
      <c r="BN48" s="141" t="str">
        <f t="shared" ca="1" si="89"/>
        <v/>
      </c>
      <c r="BO48" s="46" t="str">
        <f t="shared" ca="1" si="90"/>
        <v/>
      </c>
      <c r="BP48" s="47" t="str">
        <f t="shared" ca="1" si="116"/>
        <v/>
      </c>
      <c r="BQ48" s="46" t="str">
        <f t="shared" ca="1" si="117"/>
        <v/>
      </c>
      <c r="BR48" s="141" t="str">
        <f ca="1">IFERROR(IF(AND(ISNUMBER($BN48), ISNUMBER(Futs!$CC48)), $BN48 - Futs!$CC48, ""), "")</f>
        <v/>
      </c>
      <c r="BS48" s="46" t="str">
        <f ca="1">IFERROR(IF(AND(ISNUMBER($BO48), ISNUMBER(Futs!$CD48)), $BO48 - Futs!$CD48, ""), "")</f>
        <v/>
      </c>
      <c r="BT48" s="47" t="str">
        <f t="shared" ca="1" si="118"/>
        <v/>
      </c>
      <c r="BU48" s="111" t="str">
        <f t="shared" ca="1" si="119"/>
        <v/>
      </c>
    </row>
    <row r="49" spans="1:73" x14ac:dyDescent="0.25">
      <c r="A49" s="58">
        <f t="shared" ca="1" si="91"/>
        <v>47178</v>
      </c>
      <c r="B49" s="6">
        <f t="shared" ca="1" si="74"/>
        <v>2029</v>
      </c>
      <c r="C49" s="6" t="str">
        <f t="shared" ca="1" si="75"/>
        <v>Q129</v>
      </c>
      <c r="D49" s="28" t="e">
        <f ca="1">INDEX(ICE[], MATCH(D$18 &amp; TEXT(Lts!$A49, "mmmyy"), ICE[LongCode], 0), MATCH("Settle", ICE[#Headers], 0))</f>
        <v>#N/A</v>
      </c>
      <c r="E49" s="28" t="e">
        <f ca="1">INDEX(ICE[], MATCH(E$18 &amp; TEXT(Lts!$A49, "mmmyy"), ICE[LongCode], 0), MATCH("Settle", ICE[#Headers], 0))</f>
        <v>#N/A</v>
      </c>
      <c r="F49" s="28" t="e">
        <f ca="1">INDEX(ICE[], MATCH(F$18 &amp; TEXT(Lts!$A49, "mmmyy"), ICE[LongCode], 0), MATCH("Settle", ICE[#Headers], 0))</f>
        <v>#N/A</v>
      </c>
      <c r="G49" s="28" t="e">
        <f ca="1">INDEX(ICE[], MATCH(G$18 &amp; TEXT(Lts!$A49, "mmmyy"), ICE[LongCode], 0), MATCH("Settle", ICE[#Headers], 0))</f>
        <v>#N/A</v>
      </c>
      <c r="H49" s="28" t="e">
        <f ca="1">INDEX(ICE[], MATCH(H$18 &amp; TEXT(Lts!$A49, "mmmyy"), ICE[LongCode], 0), MATCH("Settle", ICE[#Headers], 0))</f>
        <v>#N/A</v>
      </c>
      <c r="I49" s="397"/>
      <c r="J49" s="364" t="str">
        <f ca="1">IFERROR(INDEX(ICE[], MATCH("napbrx" &amp; TEXT(Lts!$A49, "mmmyy"), ICE[LongCode], 0), MATCH("Text", ICE[#Headers], 0)), "")</f>
        <v/>
      </c>
      <c r="K49" s="46" t="str">
        <f t="shared" ca="1" si="76"/>
        <v/>
      </c>
      <c r="L49" s="47" t="str">
        <f t="shared" si="120"/>
        <v/>
      </c>
      <c r="M49" s="46" t="str">
        <f t="shared" ca="1" si="92"/>
        <v/>
      </c>
      <c r="N49" s="141" t="str">
        <f ca="1">IFERROR(IF(AND(ISNUMBER(Futs!$CC49), ISNUMBER($I49)), (Futs!$CC49 + $I49)*8.9, ""), "")</f>
        <v/>
      </c>
      <c r="O49" s="46" t="str">
        <f ca="1">IFERROR(IF(AND(ISNUMBER(Futs!$CD49), ISNUMBER($K49)), (Futs!$CD49 + $K49)*8.9, ""), "")</f>
        <v/>
      </c>
      <c r="P49" s="47" t="str">
        <f t="shared" ca="1" si="93"/>
        <v/>
      </c>
      <c r="Q49" s="111" t="str">
        <f t="shared" ca="1" si="94"/>
        <v/>
      </c>
      <c r="R49" s="397"/>
      <c r="S49" s="364" t="str">
        <f ca="1">IFERROR(INDEX(ICE[], MATCH("ebobbrx" &amp; TEXT(Lts!$A49, "mmmyy"), ICE[LongCode], 0), MATCH("Text", ICE[#Headers], 0)), "")</f>
        <v/>
      </c>
      <c r="T49" s="46" t="str">
        <f t="shared" ca="1" si="78"/>
        <v/>
      </c>
      <c r="U49" s="47" t="str">
        <f t="shared" si="95"/>
        <v/>
      </c>
      <c r="V49" s="46" t="str">
        <f t="shared" ca="1" si="96"/>
        <v/>
      </c>
      <c r="W49" s="141" t="str">
        <f ca="1">IFERROR(IF(AND(ISNUMBER(Futs!$CC49), ISNUMBER($R49)), (Futs!$CC49 + $R49)*8.33, ""), "")</f>
        <v/>
      </c>
      <c r="X49" s="46" t="str">
        <f ca="1">IFERROR(IF(AND(ISNUMBER(Futs!$CD49), ISNUMBER($T49)), (Futs!$CD49 + $T49)*8.33, ""), "")</f>
        <v/>
      </c>
      <c r="Y49" s="47" t="str">
        <f t="shared" ca="1" si="97"/>
        <v/>
      </c>
      <c r="Z49" s="46" t="str">
        <f t="shared" ca="1" si="98"/>
        <v/>
      </c>
      <c r="AA49" s="141" t="str">
        <f t="shared" ca="1" si="79"/>
        <v/>
      </c>
      <c r="AB49" s="46" t="str">
        <f t="shared" ca="1" si="80"/>
        <v/>
      </c>
      <c r="AC49" s="47" t="str">
        <f t="shared" ca="1" si="99"/>
        <v/>
      </c>
      <c r="AD49" s="46" t="str">
        <f t="shared" ca="1" si="100"/>
        <v/>
      </c>
      <c r="AE49" s="141" t="str">
        <f ca="1">IFERROR(IF(AND(ISNUMBER(Futs!$CO49), ISNUMBER($W49)), Futs!$CO49 - $W49/8.33/42*100, ""), "")</f>
        <v/>
      </c>
      <c r="AF49" s="46" t="str">
        <f ca="1">IFERROR(IF(AND(ISNUMBER(Futs!$CP49), ISNUMBER($X49)), Futs!$CP49 - $X49/8.33/42*100, ""), "")</f>
        <v/>
      </c>
      <c r="AG49" s="47" t="str">
        <f t="shared" ca="1" si="101"/>
        <v/>
      </c>
      <c r="AH49" s="111" t="str">
        <f t="shared" ca="1" si="102"/>
        <v/>
      </c>
      <c r="AI49" s="397"/>
      <c r="AJ49" s="364" t="str">
        <f ca="1">IFERROR(INDEX(ICE[], MATCH("napew" &amp; TEXT(Lts!$A49, "mmmyy"), ICE[LongCode], 0), MATCH("Text", ICE[#Headers], 0)), "")</f>
        <v/>
      </c>
      <c r="AK49" s="46" t="str">
        <f t="shared" ca="1" si="81"/>
        <v/>
      </c>
      <c r="AL49" s="47" t="str">
        <f t="shared" si="103"/>
        <v/>
      </c>
      <c r="AM49" s="46" t="str">
        <f t="shared" ca="1" si="104"/>
        <v/>
      </c>
      <c r="AN49" s="141" t="str">
        <f t="shared" ca="1" si="82"/>
        <v/>
      </c>
      <c r="AO49" s="46" t="str">
        <f t="shared" ca="1" si="83"/>
        <v/>
      </c>
      <c r="AP49" s="47" t="str">
        <f t="shared" ca="1" si="84"/>
        <v/>
      </c>
      <c r="AQ49" s="46" t="str">
        <f t="shared" ca="1" si="105"/>
        <v/>
      </c>
      <c r="AR49" s="141" t="str">
        <f ca="1">IFERROR(IF(AND(ISNUMBER($AN49), ISNUMBER(Futs!$CC49)), $AN49/8.9 - Futs!$CC49, ""), "")</f>
        <v/>
      </c>
      <c r="AS49" s="46" t="str">
        <f ca="1">IFERROR(IF(AND(ISNUMBER($AO49), ISNUMBER(Futs!$CD49)), $AO49/8.9 - Futs!$CD49, ""), "")</f>
        <v/>
      </c>
      <c r="AT49" s="47" t="str">
        <f t="shared" ca="1" si="106"/>
        <v/>
      </c>
      <c r="AU49" s="111" t="str">
        <f t="shared" ca="1" si="107"/>
        <v/>
      </c>
      <c r="AV49" s="397"/>
      <c r="AW49" s="364" t="str">
        <f ca="1">IFERROR(INDEX(ICE[], MATCH("mg92ebob" &amp; TEXT(Lts!$A49, "mmmyy"), ICE[LongCode], 0), MATCH("Text", ICE[#Headers], 0)), "")</f>
        <v/>
      </c>
      <c r="AX49" s="46" t="str">
        <f t="shared" ca="1" si="85"/>
        <v/>
      </c>
      <c r="AY49" s="47" t="str">
        <f t="shared" si="108"/>
        <v/>
      </c>
      <c r="AZ49" s="46" t="str">
        <f t="shared" ca="1" si="109"/>
        <v/>
      </c>
      <c r="BA49" s="141" t="str">
        <f t="shared" ca="1" si="86"/>
        <v/>
      </c>
      <c r="BB49" s="46" t="str">
        <f t="shared" ca="1" si="87"/>
        <v/>
      </c>
      <c r="BC49" s="47" t="str">
        <f t="shared" ca="1" si="110"/>
        <v/>
      </c>
      <c r="BD49" s="46" t="str">
        <f t="shared" ca="1" si="111"/>
        <v/>
      </c>
      <c r="BE49" s="141" t="str">
        <f ca="1">IFERROR(IF(AND(ISNUMBER($BA49), ISNUMBER(Futs!$CC49)), $BA49 - Futs!$CC49, ""), "")</f>
        <v/>
      </c>
      <c r="BF49" s="46" t="str">
        <f ca="1">IFERROR(IF(AND(ISNUMBER($BB49), ISNUMBER(Futs!$CD49)), $BB49 - Futs!$CD49, ""), "")</f>
        <v/>
      </c>
      <c r="BG49" s="47" t="str">
        <f t="shared" ca="1" si="112"/>
        <v/>
      </c>
      <c r="BH49" s="111" t="str">
        <f t="shared" ca="1" si="113"/>
        <v/>
      </c>
      <c r="BI49" s="397"/>
      <c r="BJ49" s="364" t="str">
        <f ca="1">IFERROR(INDEX(ICE[], MATCH("mg9592" &amp; TEXT(Lts!$A49, "mmmyy"), ICE[LongCode], 0), MATCH("Text", ICE[#Headers], 0)), "")</f>
        <v/>
      </c>
      <c r="BK49" s="46" t="str">
        <f t="shared" ca="1" si="88"/>
        <v/>
      </c>
      <c r="BL49" s="47" t="str">
        <f t="shared" si="114"/>
        <v/>
      </c>
      <c r="BM49" s="46" t="str">
        <f t="shared" si="115"/>
        <v/>
      </c>
      <c r="BN49" s="141" t="str">
        <f t="shared" ca="1" si="89"/>
        <v/>
      </c>
      <c r="BO49" s="46" t="str">
        <f t="shared" ca="1" si="90"/>
        <v/>
      </c>
      <c r="BP49" s="47" t="str">
        <f t="shared" ca="1" si="116"/>
        <v/>
      </c>
      <c r="BQ49" s="46" t="str">
        <f t="shared" ca="1" si="117"/>
        <v/>
      </c>
      <c r="BR49" s="141" t="str">
        <f ca="1">IFERROR(IF(AND(ISNUMBER($BN49), ISNUMBER(Futs!$CC49)), $BN49 - Futs!$CC49, ""), "")</f>
        <v/>
      </c>
      <c r="BS49" s="46" t="str">
        <f ca="1">IFERROR(IF(AND(ISNUMBER($BO49), ISNUMBER(Futs!$CD49)), $BO49 - Futs!$CD49, ""), "")</f>
        <v/>
      </c>
      <c r="BT49" s="47" t="str">
        <f t="shared" ca="1" si="118"/>
        <v/>
      </c>
      <c r="BU49" s="111" t="str">
        <f t="shared" ca="1" si="119"/>
        <v/>
      </c>
    </row>
    <row r="50" spans="1:73" x14ac:dyDescent="0.25">
      <c r="A50" s="58">
        <f t="shared" ca="1" si="91"/>
        <v>47209</v>
      </c>
      <c r="B50" s="6">
        <f t="shared" ca="1" si="74"/>
        <v>2029</v>
      </c>
      <c r="C50" s="6" t="str">
        <f t="shared" ca="1" si="75"/>
        <v>Q229</v>
      </c>
      <c r="D50" s="28" t="e">
        <f ca="1">INDEX(ICE[], MATCH(D$18 &amp; TEXT(Lts!$A50, "mmmyy"), ICE[LongCode], 0), MATCH("Settle", ICE[#Headers], 0))</f>
        <v>#N/A</v>
      </c>
      <c r="E50" s="28" t="e">
        <f ca="1">INDEX(ICE[], MATCH(E$18 &amp; TEXT(Lts!$A50, "mmmyy"), ICE[LongCode], 0), MATCH("Settle", ICE[#Headers], 0))</f>
        <v>#N/A</v>
      </c>
      <c r="F50" s="28" t="e">
        <f ca="1">INDEX(ICE[], MATCH(F$18 &amp; TEXT(Lts!$A50, "mmmyy"), ICE[LongCode], 0), MATCH("Settle", ICE[#Headers], 0))</f>
        <v>#N/A</v>
      </c>
      <c r="G50" s="28" t="e">
        <f ca="1">INDEX(ICE[], MATCH(G$18 &amp; TEXT(Lts!$A50, "mmmyy"), ICE[LongCode], 0), MATCH("Settle", ICE[#Headers], 0))</f>
        <v>#N/A</v>
      </c>
      <c r="H50" s="28" t="e">
        <f ca="1">INDEX(ICE[], MATCH(H$18 &amp; TEXT(Lts!$A50, "mmmyy"), ICE[LongCode], 0), MATCH("Settle", ICE[#Headers], 0))</f>
        <v>#N/A</v>
      </c>
      <c r="I50" s="397"/>
      <c r="J50" s="364" t="str">
        <f ca="1">IFERROR(INDEX(ICE[], MATCH("napbrx" &amp; TEXT(Lts!$A50, "mmmyy"), ICE[LongCode], 0), MATCH("Text", ICE[#Headers], 0)), "")</f>
        <v/>
      </c>
      <c r="K50" s="46" t="str">
        <f t="shared" ca="1" si="76"/>
        <v/>
      </c>
      <c r="L50" s="47" t="str">
        <f t="shared" si="120"/>
        <v/>
      </c>
      <c r="M50" s="46" t="str">
        <f t="shared" ca="1" si="92"/>
        <v/>
      </c>
      <c r="N50" s="141" t="str">
        <f ca="1">IFERROR(IF(AND(ISNUMBER(Futs!$CC50), ISNUMBER($I50)), (Futs!$CC50 + $I50)*8.9, ""), "")</f>
        <v/>
      </c>
      <c r="O50" s="46" t="str">
        <f ca="1">IFERROR(IF(AND(ISNUMBER(Futs!$CD50), ISNUMBER($K50)), (Futs!$CD50 + $K50)*8.9, ""), "")</f>
        <v/>
      </c>
      <c r="P50" s="47" t="str">
        <f t="shared" ca="1" si="93"/>
        <v/>
      </c>
      <c r="Q50" s="111" t="str">
        <f t="shared" ca="1" si="94"/>
        <v/>
      </c>
      <c r="R50" s="397"/>
      <c r="S50" s="364" t="str">
        <f ca="1">IFERROR(INDEX(ICE[], MATCH("ebobbrx" &amp; TEXT(Lts!$A50, "mmmyy"), ICE[LongCode], 0), MATCH("Text", ICE[#Headers], 0)), "")</f>
        <v/>
      </c>
      <c r="T50" s="46" t="str">
        <f t="shared" ca="1" si="78"/>
        <v/>
      </c>
      <c r="U50" s="47" t="str">
        <f t="shared" si="95"/>
        <v/>
      </c>
      <c r="V50" s="46" t="str">
        <f t="shared" ca="1" si="96"/>
        <v/>
      </c>
      <c r="W50" s="141" t="str">
        <f ca="1">IFERROR(IF(AND(ISNUMBER(Futs!$CC50), ISNUMBER($R50)), (Futs!$CC50 + $R50)*8.33, ""), "")</f>
        <v/>
      </c>
      <c r="X50" s="46" t="str">
        <f ca="1">IFERROR(IF(AND(ISNUMBER(Futs!$CD50), ISNUMBER($T50)), (Futs!$CD50 + $T50)*8.33, ""), "")</f>
        <v/>
      </c>
      <c r="Y50" s="47" t="str">
        <f t="shared" ca="1" si="97"/>
        <v/>
      </c>
      <c r="Z50" s="46" t="str">
        <f t="shared" ca="1" si="98"/>
        <v/>
      </c>
      <c r="AA50" s="141" t="str">
        <f t="shared" ca="1" si="79"/>
        <v/>
      </c>
      <c r="AB50" s="46" t="str">
        <f t="shared" ca="1" si="80"/>
        <v/>
      </c>
      <c r="AC50" s="47" t="str">
        <f t="shared" ca="1" si="99"/>
        <v/>
      </c>
      <c r="AD50" s="46" t="str">
        <f t="shared" ca="1" si="100"/>
        <v/>
      </c>
      <c r="AE50" s="141" t="str">
        <f ca="1">IFERROR(IF(AND(ISNUMBER(Futs!$CO50), ISNUMBER($W50)), Futs!$CO50 - $W50/8.33/42*100, ""), "")</f>
        <v/>
      </c>
      <c r="AF50" s="46" t="str">
        <f ca="1">IFERROR(IF(AND(ISNUMBER(Futs!$CP50), ISNUMBER($X50)), Futs!$CP50 - $X50/8.33/42*100, ""), "")</f>
        <v/>
      </c>
      <c r="AG50" s="47" t="str">
        <f t="shared" ca="1" si="101"/>
        <v/>
      </c>
      <c r="AH50" s="111" t="str">
        <f t="shared" ca="1" si="102"/>
        <v/>
      </c>
      <c r="AI50" s="397"/>
      <c r="AJ50" s="364" t="str">
        <f ca="1">IFERROR(INDEX(ICE[], MATCH("napew" &amp; TEXT(Lts!$A50, "mmmyy"), ICE[LongCode], 0), MATCH("Text", ICE[#Headers], 0)), "")</f>
        <v/>
      </c>
      <c r="AK50" s="46" t="str">
        <f t="shared" ca="1" si="81"/>
        <v/>
      </c>
      <c r="AL50" s="47" t="str">
        <f t="shared" si="103"/>
        <v/>
      </c>
      <c r="AM50" s="46" t="str">
        <f t="shared" ca="1" si="104"/>
        <v/>
      </c>
      <c r="AN50" s="141" t="str">
        <f t="shared" ca="1" si="82"/>
        <v/>
      </c>
      <c r="AO50" s="46" t="str">
        <f t="shared" ca="1" si="83"/>
        <v/>
      </c>
      <c r="AP50" s="47" t="str">
        <f t="shared" ca="1" si="84"/>
        <v/>
      </c>
      <c r="AQ50" s="46" t="str">
        <f t="shared" ca="1" si="105"/>
        <v/>
      </c>
      <c r="AR50" s="141" t="str">
        <f ca="1">IFERROR(IF(AND(ISNUMBER($AN50), ISNUMBER(Futs!$CC50)), $AN50/8.9 - Futs!$CC50, ""), "")</f>
        <v/>
      </c>
      <c r="AS50" s="46" t="str">
        <f ca="1">IFERROR(IF(AND(ISNUMBER($AO50), ISNUMBER(Futs!$CD50)), $AO50/8.9 - Futs!$CD50, ""), "")</f>
        <v/>
      </c>
      <c r="AT50" s="47" t="str">
        <f t="shared" ca="1" si="106"/>
        <v/>
      </c>
      <c r="AU50" s="111" t="str">
        <f t="shared" ca="1" si="107"/>
        <v/>
      </c>
      <c r="AV50" s="397"/>
      <c r="AW50" s="364" t="str">
        <f ca="1">IFERROR(INDEX(ICE[], MATCH("mg92ebob" &amp; TEXT(Lts!$A50, "mmmyy"), ICE[LongCode], 0), MATCH("Text", ICE[#Headers], 0)), "")</f>
        <v/>
      </c>
      <c r="AX50" s="46" t="str">
        <f t="shared" ca="1" si="85"/>
        <v/>
      </c>
      <c r="AY50" s="47" t="str">
        <f t="shared" si="108"/>
        <v/>
      </c>
      <c r="AZ50" s="46" t="str">
        <f t="shared" ca="1" si="109"/>
        <v/>
      </c>
      <c r="BA50" s="141" t="str">
        <f t="shared" ca="1" si="86"/>
        <v/>
      </c>
      <c r="BB50" s="46" t="str">
        <f t="shared" ca="1" si="87"/>
        <v/>
      </c>
      <c r="BC50" s="47" t="str">
        <f t="shared" ca="1" si="110"/>
        <v/>
      </c>
      <c r="BD50" s="46" t="str">
        <f t="shared" ca="1" si="111"/>
        <v/>
      </c>
      <c r="BE50" s="141" t="str">
        <f ca="1">IFERROR(IF(AND(ISNUMBER($BA50), ISNUMBER(Futs!$CC50)), $BA50 - Futs!$CC50, ""), "")</f>
        <v/>
      </c>
      <c r="BF50" s="46" t="str">
        <f ca="1">IFERROR(IF(AND(ISNUMBER($BB50), ISNUMBER(Futs!$CD50)), $BB50 - Futs!$CD50, ""), "")</f>
        <v/>
      </c>
      <c r="BG50" s="47" t="str">
        <f t="shared" ca="1" si="112"/>
        <v/>
      </c>
      <c r="BH50" s="111" t="str">
        <f t="shared" ca="1" si="113"/>
        <v/>
      </c>
      <c r="BI50" s="397"/>
      <c r="BJ50" s="364" t="str">
        <f ca="1">IFERROR(INDEX(ICE[], MATCH("mg9592" &amp; TEXT(Lts!$A50, "mmmyy"), ICE[LongCode], 0), MATCH("Text", ICE[#Headers], 0)), "")</f>
        <v/>
      </c>
      <c r="BK50" s="46" t="str">
        <f t="shared" ca="1" si="88"/>
        <v/>
      </c>
      <c r="BL50" s="47" t="str">
        <f t="shared" si="114"/>
        <v/>
      </c>
      <c r="BM50" s="46" t="str">
        <f t="shared" si="115"/>
        <v/>
      </c>
      <c r="BN50" s="141" t="str">
        <f t="shared" ca="1" si="89"/>
        <v/>
      </c>
      <c r="BO50" s="46" t="str">
        <f t="shared" ca="1" si="90"/>
        <v/>
      </c>
      <c r="BP50" s="47" t="str">
        <f t="shared" ca="1" si="116"/>
        <v/>
      </c>
      <c r="BQ50" s="46" t="str">
        <f t="shared" ca="1" si="117"/>
        <v/>
      </c>
      <c r="BR50" s="141" t="str">
        <f ca="1">IFERROR(IF(AND(ISNUMBER($BN50), ISNUMBER(Futs!$CC50)), $BN50 - Futs!$CC50, ""), "")</f>
        <v/>
      </c>
      <c r="BS50" s="46" t="str">
        <f ca="1">IFERROR(IF(AND(ISNUMBER($BO50), ISNUMBER(Futs!$CD50)), $BO50 - Futs!$CD50, ""), "")</f>
        <v/>
      </c>
      <c r="BT50" s="47" t="str">
        <f t="shared" ca="1" si="118"/>
        <v/>
      </c>
      <c r="BU50" s="111" t="str">
        <f t="shared" ca="1" si="119"/>
        <v/>
      </c>
    </row>
    <row r="51" spans="1:73" x14ac:dyDescent="0.25">
      <c r="A51" s="58">
        <f t="shared" ca="1" si="91"/>
        <v>47239</v>
      </c>
      <c r="B51" s="6">
        <f t="shared" ca="1" si="74"/>
        <v>2029</v>
      </c>
      <c r="C51" s="6" t="str">
        <f t="shared" ca="1" si="75"/>
        <v>Q229</v>
      </c>
      <c r="D51" s="28" t="e">
        <f ca="1">INDEX(ICE[], MATCH(D$18 &amp; TEXT(Lts!$A51, "mmmyy"), ICE[LongCode], 0), MATCH("Settle", ICE[#Headers], 0))</f>
        <v>#N/A</v>
      </c>
      <c r="E51" s="28" t="e">
        <f ca="1">INDEX(ICE[], MATCH(E$18 &amp; TEXT(Lts!$A51, "mmmyy"), ICE[LongCode], 0), MATCH("Settle", ICE[#Headers], 0))</f>
        <v>#N/A</v>
      </c>
      <c r="F51" s="28" t="e">
        <f ca="1">INDEX(ICE[], MATCH(F$18 &amp; TEXT(Lts!$A51, "mmmyy"), ICE[LongCode], 0), MATCH("Settle", ICE[#Headers], 0))</f>
        <v>#N/A</v>
      </c>
      <c r="G51" s="28" t="e">
        <f ca="1">INDEX(ICE[], MATCH(G$18 &amp; TEXT(Lts!$A51, "mmmyy"), ICE[LongCode], 0), MATCH("Settle", ICE[#Headers], 0))</f>
        <v>#N/A</v>
      </c>
      <c r="H51" s="28" t="e">
        <f ca="1">INDEX(ICE[], MATCH(H$18 &amp; TEXT(Lts!$A51, "mmmyy"), ICE[LongCode], 0), MATCH("Settle", ICE[#Headers], 0))</f>
        <v>#N/A</v>
      </c>
      <c r="I51" s="397"/>
      <c r="J51" s="364" t="str">
        <f ca="1">IFERROR(INDEX(ICE[], MATCH("napbrx" &amp; TEXT(Lts!$A51, "mmmyy"), ICE[LongCode], 0), MATCH("Text", ICE[#Headers], 0)), "")</f>
        <v/>
      </c>
      <c r="K51" s="46" t="str">
        <f t="shared" ca="1" si="76"/>
        <v/>
      </c>
      <c r="L51" s="47" t="str">
        <f t="shared" si="120"/>
        <v/>
      </c>
      <c r="M51" s="46" t="str">
        <f t="shared" ca="1" si="92"/>
        <v/>
      </c>
      <c r="N51" s="141" t="str">
        <f ca="1">IFERROR(IF(AND(ISNUMBER(Futs!$CC51), ISNUMBER($I51)), (Futs!$CC51 + $I51)*8.9, ""), "")</f>
        <v/>
      </c>
      <c r="O51" s="46" t="str">
        <f ca="1">IFERROR(IF(AND(ISNUMBER(Futs!$CD51), ISNUMBER($K51)), (Futs!$CD51 + $K51)*8.9, ""), "")</f>
        <v/>
      </c>
      <c r="P51" s="47" t="str">
        <f t="shared" ca="1" si="93"/>
        <v/>
      </c>
      <c r="Q51" s="111" t="str">
        <f t="shared" ca="1" si="94"/>
        <v/>
      </c>
      <c r="R51" s="397"/>
      <c r="S51" s="364" t="str">
        <f ca="1">IFERROR(INDEX(ICE[], MATCH("ebobbrx" &amp; TEXT(Lts!$A51, "mmmyy"), ICE[LongCode], 0), MATCH("Text", ICE[#Headers], 0)), "")</f>
        <v/>
      </c>
      <c r="T51" s="46" t="str">
        <f t="shared" ca="1" si="78"/>
        <v/>
      </c>
      <c r="U51" s="47" t="str">
        <f t="shared" si="95"/>
        <v/>
      </c>
      <c r="V51" s="46" t="str">
        <f t="shared" ca="1" si="96"/>
        <v/>
      </c>
      <c r="W51" s="141" t="str">
        <f ca="1">IFERROR(IF(AND(ISNUMBER(Futs!$CC51), ISNUMBER($R51)), (Futs!$CC51 + $R51)*8.33, ""), "")</f>
        <v/>
      </c>
      <c r="X51" s="46" t="str">
        <f ca="1">IFERROR(IF(AND(ISNUMBER(Futs!$CD51), ISNUMBER($T51)), (Futs!$CD51 + $T51)*8.33, ""), "")</f>
        <v/>
      </c>
      <c r="Y51" s="47" t="str">
        <f t="shared" ca="1" si="97"/>
        <v/>
      </c>
      <c r="Z51" s="46" t="str">
        <f t="shared" ca="1" si="98"/>
        <v/>
      </c>
      <c r="AA51" s="141" t="str">
        <f t="shared" ca="1" si="79"/>
        <v/>
      </c>
      <c r="AB51" s="46" t="str">
        <f t="shared" ca="1" si="80"/>
        <v/>
      </c>
      <c r="AC51" s="47" t="str">
        <f t="shared" ca="1" si="99"/>
        <v/>
      </c>
      <c r="AD51" s="46" t="str">
        <f t="shared" ca="1" si="100"/>
        <v/>
      </c>
      <c r="AE51" s="141" t="str">
        <f ca="1">IFERROR(IF(AND(ISNUMBER(Futs!$CO51), ISNUMBER($W51)), Futs!$CO51 - $W51/8.33/42*100, ""), "")</f>
        <v/>
      </c>
      <c r="AF51" s="46" t="str">
        <f ca="1">IFERROR(IF(AND(ISNUMBER(Futs!$CP51), ISNUMBER($X51)), Futs!$CP51 - $X51/8.33/42*100, ""), "")</f>
        <v/>
      </c>
      <c r="AG51" s="47" t="str">
        <f t="shared" ca="1" si="101"/>
        <v/>
      </c>
      <c r="AH51" s="111" t="str">
        <f t="shared" ca="1" si="102"/>
        <v/>
      </c>
      <c r="AI51" s="397"/>
      <c r="AJ51" s="364" t="str">
        <f ca="1">IFERROR(INDEX(ICE[], MATCH("napew" &amp; TEXT(Lts!$A51, "mmmyy"), ICE[LongCode], 0), MATCH("Text", ICE[#Headers], 0)), "")</f>
        <v/>
      </c>
      <c r="AK51" s="46" t="str">
        <f t="shared" ca="1" si="81"/>
        <v/>
      </c>
      <c r="AL51" s="47" t="str">
        <f t="shared" si="103"/>
        <v/>
      </c>
      <c r="AM51" s="46" t="str">
        <f t="shared" ca="1" si="104"/>
        <v/>
      </c>
      <c r="AN51" s="141" t="str">
        <f t="shared" ca="1" si="82"/>
        <v/>
      </c>
      <c r="AO51" s="46" t="str">
        <f t="shared" ca="1" si="83"/>
        <v/>
      </c>
      <c r="AP51" s="47" t="str">
        <f t="shared" ca="1" si="84"/>
        <v/>
      </c>
      <c r="AQ51" s="46" t="str">
        <f t="shared" ca="1" si="105"/>
        <v/>
      </c>
      <c r="AR51" s="141" t="str">
        <f ca="1">IFERROR(IF(AND(ISNUMBER($AN51), ISNUMBER(Futs!$CC51)), $AN51/8.9 - Futs!$CC51, ""), "")</f>
        <v/>
      </c>
      <c r="AS51" s="46" t="str">
        <f ca="1">IFERROR(IF(AND(ISNUMBER($AO51), ISNUMBER(Futs!$CD51)), $AO51/8.9 - Futs!$CD51, ""), "")</f>
        <v/>
      </c>
      <c r="AT51" s="47" t="str">
        <f t="shared" ca="1" si="106"/>
        <v/>
      </c>
      <c r="AU51" s="111" t="str">
        <f t="shared" ca="1" si="107"/>
        <v/>
      </c>
      <c r="AV51" s="397"/>
      <c r="AW51" s="364" t="str">
        <f ca="1">IFERROR(INDEX(ICE[], MATCH("mg92ebob" &amp; TEXT(Lts!$A51, "mmmyy"), ICE[LongCode], 0), MATCH("Text", ICE[#Headers], 0)), "")</f>
        <v/>
      </c>
      <c r="AX51" s="46" t="str">
        <f t="shared" ca="1" si="85"/>
        <v/>
      </c>
      <c r="AY51" s="47" t="str">
        <f t="shared" si="108"/>
        <v/>
      </c>
      <c r="AZ51" s="46" t="str">
        <f t="shared" ca="1" si="109"/>
        <v/>
      </c>
      <c r="BA51" s="141" t="str">
        <f t="shared" ca="1" si="86"/>
        <v/>
      </c>
      <c r="BB51" s="46" t="str">
        <f t="shared" ca="1" si="87"/>
        <v/>
      </c>
      <c r="BC51" s="47" t="str">
        <f t="shared" ca="1" si="110"/>
        <v/>
      </c>
      <c r="BD51" s="46" t="str">
        <f t="shared" ca="1" si="111"/>
        <v/>
      </c>
      <c r="BE51" s="141" t="str">
        <f ca="1">IFERROR(IF(AND(ISNUMBER($BA51), ISNUMBER(Futs!$CC51)), $BA51 - Futs!$CC51, ""), "")</f>
        <v/>
      </c>
      <c r="BF51" s="46" t="str">
        <f ca="1">IFERROR(IF(AND(ISNUMBER($BB51), ISNUMBER(Futs!$CD51)), $BB51 - Futs!$CD51, ""), "")</f>
        <v/>
      </c>
      <c r="BG51" s="47" t="str">
        <f t="shared" ca="1" si="112"/>
        <v/>
      </c>
      <c r="BH51" s="111" t="str">
        <f t="shared" ca="1" si="113"/>
        <v/>
      </c>
      <c r="BI51" s="397"/>
      <c r="BJ51" s="364" t="str">
        <f ca="1">IFERROR(INDEX(ICE[], MATCH("mg9592" &amp; TEXT(Lts!$A51, "mmmyy"), ICE[LongCode], 0), MATCH("Text", ICE[#Headers], 0)), "")</f>
        <v/>
      </c>
      <c r="BK51" s="46" t="str">
        <f t="shared" ca="1" si="88"/>
        <v/>
      </c>
      <c r="BL51" s="47" t="str">
        <f t="shared" si="114"/>
        <v/>
      </c>
      <c r="BM51" s="46" t="str">
        <f t="shared" si="115"/>
        <v/>
      </c>
      <c r="BN51" s="141" t="str">
        <f t="shared" ca="1" si="89"/>
        <v/>
      </c>
      <c r="BO51" s="46" t="str">
        <f t="shared" ca="1" si="90"/>
        <v/>
      </c>
      <c r="BP51" s="47" t="str">
        <f t="shared" ca="1" si="116"/>
        <v/>
      </c>
      <c r="BQ51" s="46" t="str">
        <f t="shared" ca="1" si="117"/>
        <v/>
      </c>
      <c r="BR51" s="141" t="str">
        <f ca="1">IFERROR(IF(AND(ISNUMBER($BN51), ISNUMBER(Futs!$CC51)), $BN51 - Futs!$CC51, ""), "")</f>
        <v/>
      </c>
      <c r="BS51" s="46" t="str">
        <f ca="1">IFERROR(IF(AND(ISNUMBER($BO51), ISNUMBER(Futs!$CD51)), $BO51 - Futs!$CD51, ""), "")</f>
        <v/>
      </c>
      <c r="BT51" s="47" t="str">
        <f t="shared" ca="1" si="118"/>
        <v/>
      </c>
      <c r="BU51" s="111" t="str">
        <f t="shared" ca="1" si="119"/>
        <v/>
      </c>
    </row>
    <row r="52" spans="1:73" x14ac:dyDescent="0.25">
      <c r="A52" s="58">
        <f t="shared" ca="1" si="91"/>
        <v>47270</v>
      </c>
      <c r="B52" s="6">
        <f t="shared" ca="1" si="74"/>
        <v>2029</v>
      </c>
      <c r="C52" s="6" t="str">
        <f t="shared" ca="1" si="75"/>
        <v>Q229</v>
      </c>
      <c r="D52" s="28" t="e">
        <f ca="1">INDEX(ICE[], MATCH(D$18 &amp; TEXT(Lts!$A52, "mmmyy"), ICE[LongCode], 0), MATCH("Settle", ICE[#Headers], 0))</f>
        <v>#N/A</v>
      </c>
      <c r="E52" s="28" t="e">
        <f ca="1">INDEX(ICE[], MATCH(E$18 &amp; TEXT(Lts!$A52, "mmmyy"), ICE[LongCode], 0), MATCH("Settle", ICE[#Headers], 0))</f>
        <v>#N/A</v>
      </c>
      <c r="F52" s="28" t="e">
        <f ca="1">INDEX(ICE[], MATCH(F$18 &amp; TEXT(Lts!$A52, "mmmyy"), ICE[LongCode], 0), MATCH("Settle", ICE[#Headers], 0))</f>
        <v>#N/A</v>
      </c>
      <c r="G52" s="28" t="e">
        <f ca="1">INDEX(ICE[], MATCH(G$18 &amp; TEXT(Lts!$A52, "mmmyy"), ICE[LongCode], 0), MATCH("Settle", ICE[#Headers], 0))</f>
        <v>#N/A</v>
      </c>
      <c r="H52" s="28" t="e">
        <f ca="1">INDEX(ICE[], MATCH(H$18 &amp; TEXT(Lts!$A52, "mmmyy"), ICE[LongCode], 0), MATCH("Settle", ICE[#Headers], 0))</f>
        <v>#N/A</v>
      </c>
      <c r="I52" s="397"/>
      <c r="J52" s="364" t="str">
        <f ca="1">IFERROR(INDEX(ICE[], MATCH("napbrx" &amp; TEXT(Lts!$A52, "mmmyy"), ICE[LongCode], 0), MATCH("Text", ICE[#Headers], 0)), "")</f>
        <v/>
      </c>
      <c r="K52" s="46" t="str">
        <f t="shared" ca="1" si="76"/>
        <v/>
      </c>
      <c r="L52" s="47" t="str">
        <f t="shared" si="120"/>
        <v/>
      </c>
      <c r="M52" s="46" t="str">
        <f t="shared" ca="1" si="92"/>
        <v/>
      </c>
      <c r="N52" s="141" t="str">
        <f ca="1">IFERROR(IF(AND(ISNUMBER(Futs!$CC52), ISNUMBER($I52)), (Futs!$CC52 + $I52)*8.9, ""), "")</f>
        <v/>
      </c>
      <c r="O52" s="46" t="str">
        <f ca="1">IFERROR(IF(AND(ISNUMBER(Futs!$CD52), ISNUMBER($K52)), (Futs!$CD52 + $K52)*8.9, ""), "")</f>
        <v/>
      </c>
      <c r="P52" s="47" t="str">
        <f t="shared" ca="1" si="93"/>
        <v/>
      </c>
      <c r="Q52" s="111" t="str">
        <f t="shared" ca="1" si="94"/>
        <v/>
      </c>
      <c r="R52" s="397"/>
      <c r="S52" s="364" t="str">
        <f ca="1">IFERROR(INDEX(ICE[], MATCH("ebobbrx" &amp; TEXT(Lts!$A52, "mmmyy"), ICE[LongCode], 0), MATCH("Text", ICE[#Headers], 0)), "")</f>
        <v/>
      </c>
      <c r="T52" s="46" t="str">
        <f t="shared" ca="1" si="78"/>
        <v/>
      </c>
      <c r="U52" s="47" t="str">
        <f t="shared" si="95"/>
        <v/>
      </c>
      <c r="V52" s="46" t="str">
        <f t="shared" ca="1" si="96"/>
        <v/>
      </c>
      <c r="W52" s="141" t="str">
        <f ca="1">IFERROR(IF(AND(ISNUMBER(Futs!$CC52), ISNUMBER($R52)), (Futs!$CC52 + $R52)*8.33, ""), "")</f>
        <v/>
      </c>
      <c r="X52" s="46" t="str">
        <f ca="1">IFERROR(IF(AND(ISNUMBER(Futs!$CD52), ISNUMBER($T52)), (Futs!$CD52 + $T52)*8.33, ""), "")</f>
        <v/>
      </c>
      <c r="Y52" s="47" t="str">
        <f t="shared" ca="1" si="97"/>
        <v/>
      </c>
      <c r="Z52" s="46" t="str">
        <f t="shared" ca="1" si="98"/>
        <v/>
      </c>
      <c r="AA52" s="141" t="str">
        <f t="shared" ca="1" si="79"/>
        <v/>
      </c>
      <c r="AB52" s="46" t="str">
        <f t="shared" ca="1" si="80"/>
        <v/>
      </c>
      <c r="AC52" s="47" t="str">
        <f t="shared" ca="1" si="99"/>
        <v/>
      </c>
      <c r="AD52" s="46" t="str">
        <f t="shared" ca="1" si="100"/>
        <v/>
      </c>
      <c r="AE52" s="141" t="str">
        <f ca="1">IFERROR(IF(AND(ISNUMBER(Futs!$CO52), ISNUMBER($W52)), Futs!$CO52 - $W52/8.33/42*100, ""), "")</f>
        <v/>
      </c>
      <c r="AF52" s="46" t="str">
        <f ca="1">IFERROR(IF(AND(ISNUMBER(Futs!$CP52), ISNUMBER($X52)), Futs!$CP52 - $X52/8.33/42*100, ""), "")</f>
        <v/>
      </c>
      <c r="AG52" s="47" t="str">
        <f t="shared" ca="1" si="101"/>
        <v/>
      </c>
      <c r="AH52" s="111" t="str">
        <f t="shared" ca="1" si="102"/>
        <v/>
      </c>
      <c r="AI52" s="397"/>
      <c r="AJ52" s="364" t="str">
        <f ca="1">IFERROR(INDEX(ICE[], MATCH("napew" &amp; TEXT(Lts!$A52, "mmmyy"), ICE[LongCode], 0), MATCH("Text", ICE[#Headers], 0)), "")</f>
        <v/>
      </c>
      <c r="AK52" s="46" t="str">
        <f t="shared" ca="1" si="81"/>
        <v/>
      </c>
      <c r="AL52" s="47" t="str">
        <f t="shared" si="103"/>
        <v/>
      </c>
      <c r="AM52" s="46" t="str">
        <f t="shared" ca="1" si="104"/>
        <v/>
      </c>
      <c r="AN52" s="141" t="str">
        <f t="shared" ca="1" si="82"/>
        <v/>
      </c>
      <c r="AO52" s="46" t="str">
        <f t="shared" ca="1" si="83"/>
        <v/>
      </c>
      <c r="AP52" s="47" t="str">
        <f t="shared" ca="1" si="84"/>
        <v/>
      </c>
      <c r="AQ52" s="46" t="str">
        <f t="shared" ca="1" si="105"/>
        <v/>
      </c>
      <c r="AR52" s="141" t="str">
        <f ca="1">IFERROR(IF(AND(ISNUMBER($AN52), ISNUMBER(Futs!$CC52)), $AN52/8.9 - Futs!$CC52, ""), "")</f>
        <v/>
      </c>
      <c r="AS52" s="46" t="str">
        <f ca="1">IFERROR(IF(AND(ISNUMBER($AO52), ISNUMBER(Futs!$CD52)), $AO52/8.9 - Futs!$CD52, ""), "")</f>
        <v/>
      </c>
      <c r="AT52" s="47" t="str">
        <f t="shared" ca="1" si="106"/>
        <v/>
      </c>
      <c r="AU52" s="111" t="str">
        <f t="shared" ca="1" si="107"/>
        <v/>
      </c>
      <c r="AV52" s="397"/>
      <c r="AW52" s="364" t="str">
        <f ca="1">IFERROR(INDEX(ICE[], MATCH("mg92ebob" &amp; TEXT(Lts!$A52, "mmmyy"), ICE[LongCode], 0), MATCH("Text", ICE[#Headers], 0)), "")</f>
        <v/>
      </c>
      <c r="AX52" s="46" t="str">
        <f t="shared" ca="1" si="85"/>
        <v/>
      </c>
      <c r="AY52" s="47" t="str">
        <f t="shared" si="108"/>
        <v/>
      </c>
      <c r="AZ52" s="46" t="str">
        <f t="shared" ca="1" si="109"/>
        <v/>
      </c>
      <c r="BA52" s="141" t="str">
        <f t="shared" ca="1" si="86"/>
        <v/>
      </c>
      <c r="BB52" s="46" t="str">
        <f t="shared" ca="1" si="87"/>
        <v/>
      </c>
      <c r="BC52" s="47" t="str">
        <f t="shared" ca="1" si="110"/>
        <v/>
      </c>
      <c r="BD52" s="46" t="str">
        <f t="shared" ca="1" si="111"/>
        <v/>
      </c>
      <c r="BE52" s="141" t="str">
        <f ca="1">IFERROR(IF(AND(ISNUMBER($BA52), ISNUMBER(Futs!$CC52)), $BA52 - Futs!$CC52, ""), "")</f>
        <v/>
      </c>
      <c r="BF52" s="46" t="str">
        <f ca="1">IFERROR(IF(AND(ISNUMBER($BB52), ISNUMBER(Futs!$CD52)), $BB52 - Futs!$CD52, ""), "")</f>
        <v/>
      </c>
      <c r="BG52" s="47" t="str">
        <f t="shared" ca="1" si="112"/>
        <v/>
      </c>
      <c r="BH52" s="111" t="str">
        <f t="shared" ca="1" si="113"/>
        <v/>
      </c>
      <c r="BI52" s="397"/>
      <c r="BJ52" s="364" t="str">
        <f ca="1">IFERROR(INDEX(ICE[], MATCH("mg9592" &amp; TEXT(Lts!$A52, "mmmyy"), ICE[LongCode], 0), MATCH("Text", ICE[#Headers], 0)), "")</f>
        <v/>
      </c>
      <c r="BK52" s="46" t="str">
        <f t="shared" ca="1" si="88"/>
        <v/>
      </c>
      <c r="BL52" s="47" t="str">
        <f t="shared" si="114"/>
        <v/>
      </c>
      <c r="BM52" s="46" t="str">
        <f t="shared" si="115"/>
        <v/>
      </c>
      <c r="BN52" s="141" t="str">
        <f t="shared" ca="1" si="89"/>
        <v/>
      </c>
      <c r="BO52" s="46" t="str">
        <f t="shared" ca="1" si="90"/>
        <v/>
      </c>
      <c r="BP52" s="47" t="str">
        <f t="shared" ca="1" si="116"/>
        <v/>
      </c>
      <c r="BQ52" s="46" t="str">
        <f t="shared" ca="1" si="117"/>
        <v/>
      </c>
      <c r="BR52" s="141" t="str">
        <f ca="1">IFERROR(IF(AND(ISNUMBER($BN52), ISNUMBER(Futs!$CC52)), $BN52 - Futs!$CC52, ""), "")</f>
        <v/>
      </c>
      <c r="BS52" s="46" t="str">
        <f ca="1">IFERROR(IF(AND(ISNUMBER($BO52), ISNUMBER(Futs!$CD52)), $BO52 - Futs!$CD52, ""), "")</f>
        <v/>
      </c>
      <c r="BT52" s="47" t="str">
        <f t="shared" ca="1" si="118"/>
        <v/>
      </c>
      <c r="BU52" s="111" t="str">
        <f t="shared" ca="1" si="119"/>
        <v/>
      </c>
    </row>
    <row r="53" spans="1:73" x14ac:dyDescent="0.25">
      <c r="A53" s="58">
        <f t="shared" ca="1" si="91"/>
        <v>47300</v>
      </c>
      <c r="B53" s="6">
        <f t="shared" ca="1" si="74"/>
        <v>2029</v>
      </c>
      <c r="C53" s="6" t="str">
        <f t="shared" ca="1" si="75"/>
        <v>Q329</v>
      </c>
      <c r="D53" s="28" t="e">
        <f ca="1">INDEX(ICE[], MATCH(D$18 &amp; TEXT(Lts!$A53, "mmmyy"), ICE[LongCode], 0), MATCH("Settle", ICE[#Headers], 0))</f>
        <v>#N/A</v>
      </c>
      <c r="E53" s="28" t="e">
        <f ca="1">INDEX(ICE[], MATCH(E$18 &amp; TEXT(Lts!$A53, "mmmyy"), ICE[LongCode], 0), MATCH("Settle", ICE[#Headers], 0))</f>
        <v>#N/A</v>
      </c>
      <c r="F53" s="28" t="e">
        <f ca="1">INDEX(ICE[], MATCH(F$18 &amp; TEXT(Lts!$A53, "mmmyy"), ICE[LongCode], 0), MATCH("Settle", ICE[#Headers], 0))</f>
        <v>#N/A</v>
      </c>
      <c r="G53" s="28" t="e">
        <f ca="1">INDEX(ICE[], MATCH(G$18 &amp; TEXT(Lts!$A53, "mmmyy"), ICE[LongCode], 0), MATCH("Settle", ICE[#Headers], 0))</f>
        <v>#N/A</v>
      </c>
      <c r="H53" s="28" t="e">
        <f ca="1">INDEX(ICE[], MATCH(H$18 &amp; TEXT(Lts!$A53, "mmmyy"), ICE[LongCode], 0), MATCH("Settle", ICE[#Headers], 0))</f>
        <v>#N/A</v>
      </c>
      <c r="I53" s="397"/>
      <c r="J53" s="364" t="str">
        <f ca="1">IFERROR(INDEX(ICE[], MATCH("napbrx" &amp; TEXT(Lts!$A53, "mmmyy"), ICE[LongCode], 0), MATCH("Text", ICE[#Headers], 0)), "")</f>
        <v/>
      </c>
      <c r="K53" s="46" t="str">
        <f t="shared" ca="1" si="76"/>
        <v/>
      </c>
      <c r="L53" s="47" t="str">
        <f t="shared" si="120"/>
        <v/>
      </c>
      <c r="M53" s="46" t="str">
        <f t="shared" ca="1" si="92"/>
        <v/>
      </c>
      <c r="N53" s="141" t="str">
        <f ca="1">IFERROR(IF(AND(ISNUMBER(Futs!$CC53), ISNUMBER($I53)), (Futs!$CC53 + $I53)*8.9, ""), "")</f>
        <v/>
      </c>
      <c r="O53" s="46" t="str">
        <f ca="1">IFERROR(IF(AND(ISNUMBER(Futs!$CD53), ISNUMBER($K53)), (Futs!$CD53 + $K53)*8.9, ""), "")</f>
        <v/>
      </c>
      <c r="P53" s="47" t="str">
        <f t="shared" ca="1" si="93"/>
        <v/>
      </c>
      <c r="Q53" s="111" t="str">
        <f t="shared" ca="1" si="94"/>
        <v/>
      </c>
      <c r="R53" s="397"/>
      <c r="S53" s="364" t="str">
        <f ca="1">IFERROR(INDEX(ICE[], MATCH("ebobbrx" &amp; TEXT(Lts!$A53, "mmmyy"), ICE[LongCode], 0), MATCH("Text", ICE[#Headers], 0)), "")</f>
        <v/>
      </c>
      <c r="T53" s="46" t="str">
        <f t="shared" ca="1" si="78"/>
        <v/>
      </c>
      <c r="U53" s="47" t="str">
        <f t="shared" si="95"/>
        <v/>
      </c>
      <c r="V53" s="46" t="str">
        <f t="shared" ca="1" si="96"/>
        <v/>
      </c>
      <c r="W53" s="141" t="str">
        <f ca="1">IFERROR(IF(AND(ISNUMBER(Futs!$CC53), ISNUMBER($R53)), (Futs!$CC53 + $R53)*8.33, ""), "")</f>
        <v/>
      </c>
      <c r="X53" s="46" t="str">
        <f ca="1">IFERROR(IF(AND(ISNUMBER(Futs!$CD53), ISNUMBER($T53)), (Futs!$CD53 + $T53)*8.33, ""), "")</f>
        <v/>
      </c>
      <c r="Y53" s="47" t="str">
        <f t="shared" ca="1" si="97"/>
        <v/>
      </c>
      <c r="Z53" s="46" t="str">
        <f t="shared" ca="1" si="98"/>
        <v/>
      </c>
      <c r="AA53" s="141" t="str">
        <f t="shared" ca="1" si="79"/>
        <v/>
      </c>
      <c r="AB53" s="46" t="str">
        <f t="shared" ca="1" si="80"/>
        <v/>
      </c>
      <c r="AC53" s="47" t="str">
        <f t="shared" ca="1" si="99"/>
        <v/>
      </c>
      <c r="AD53" s="46" t="str">
        <f t="shared" ca="1" si="100"/>
        <v/>
      </c>
      <c r="AE53" s="141" t="str">
        <f ca="1">IFERROR(IF(AND(ISNUMBER(Futs!$CO53), ISNUMBER($W53)), Futs!$CO53 - $W53/8.33/42*100, ""), "")</f>
        <v/>
      </c>
      <c r="AF53" s="46" t="str">
        <f ca="1">IFERROR(IF(AND(ISNUMBER(Futs!$CP53), ISNUMBER($X53)), Futs!$CP53 - $X53/8.33/42*100, ""), "")</f>
        <v/>
      </c>
      <c r="AG53" s="47" t="str">
        <f t="shared" ca="1" si="101"/>
        <v/>
      </c>
      <c r="AH53" s="111" t="str">
        <f t="shared" ca="1" si="102"/>
        <v/>
      </c>
      <c r="AI53" s="397"/>
      <c r="AJ53" s="364" t="str">
        <f ca="1">IFERROR(INDEX(ICE[], MATCH("napew" &amp; TEXT(Lts!$A53, "mmmyy"), ICE[LongCode], 0), MATCH("Text", ICE[#Headers], 0)), "")</f>
        <v/>
      </c>
      <c r="AK53" s="46" t="str">
        <f t="shared" ca="1" si="81"/>
        <v/>
      </c>
      <c r="AL53" s="47" t="str">
        <f t="shared" si="103"/>
        <v/>
      </c>
      <c r="AM53" s="46" t="str">
        <f t="shared" ca="1" si="104"/>
        <v/>
      </c>
      <c r="AN53" s="141" t="str">
        <f t="shared" ca="1" si="82"/>
        <v/>
      </c>
      <c r="AO53" s="46" t="str">
        <f t="shared" ca="1" si="83"/>
        <v/>
      </c>
      <c r="AP53" s="47" t="str">
        <f t="shared" ca="1" si="84"/>
        <v/>
      </c>
      <c r="AQ53" s="46" t="str">
        <f t="shared" ca="1" si="105"/>
        <v/>
      </c>
      <c r="AR53" s="141" t="str">
        <f ca="1">IFERROR(IF(AND(ISNUMBER($AN53), ISNUMBER(Futs!$CC53)), $AN53/8.9 - Futs!$CC53, ""), "")</f>
        <v/>
      </c>
      <c r="AS53" s="46" t="str">
        <f ca="1">IFERROR(IF(AND(ISNUMBER($AO53), ISNUMBER(Futs!$CD53)), $AO53/8.9 - Futs!$CD53, ""), "")</f>
        <v/>
      </c>
      <c r="AT53" s="47" t="str">
        <f t="shared" ca="1" si="106"/>
        <v/>
      </c>
      <c r="AU53" s="111" t="str">
        <f t="shared" ca="1" si="107"/>
        <v/>
      </c>
      <c r="AV53" s="397"/>
      <c r="AW53" s="364" t="str">
        <f ca="1">IFERROR(INDEX(ICE[], MATCH("mg92ebob" &amp; TEXT(Lts!$A53, "mmmyy"), ICE[LongCode], 0), MATCH("Text", ICE[#Headers], 0)), "")</f>
        <v/>
      </c>
      <c r="AX53" s="46" t="str">
        <f t="shared" ca="1" si="85"/>
        <v/>
      </c>
      <c r="AY53" s="47" t="str">
        <f t="shared" si="108"/>
        <v/>
      </c>
      <c r="AZ53" s="46" t="str">
        <f t="shared" ca="1" si="109"/>
        <v/>
      </c>
      <c r="BA53" s="141" t="str">
        <f t="shared" ca="1" si="86"/>
        <v/>
      </c>
      <c r="BB53" s="46" t="str">
        <f t="shared" ca="1" si="87"/>
        <v/>
      </c>
      <c r="BC53" s="47" t="str">
        <f t="shared" ca="1" si="110"/>
        <v/>
      </c>
      <c r="BD53" s="46" t="str">
        <f t="shared" ca="1" si="111"/>
        <v/>
      </c>
      <c r="BE53" s="141" t="str">
        <f ca="1">IFERROR(IF(AND(ISNUMBER($BA53), ISNUMBER(Futs!$CC53)), $BA53 - Futs!$CC53, ""), "")</f>
        <v/>
      </c>
      <c r="BF53" s="46" t="str">
        <f ca="1">IFERROR(IF(AND(ISNUMBER($BB53), ISNUMBER(Futs!$CD53)), $BB53 - Futs!$CD53, ""), "")</f>
        <v/>
      </c>
      <c r="BG53" s="47" t="str">
        <f t="shared" ca="1" si="112"/>
        <v/>
      </c>
      <c r="BH53" s="111" t="str">
        <f t="shared" ca="1" si="113"/>
        <v/>
      </c>
      <c r="BI53" s="397"/>
      <c r="BJ53" s="364" t="str">
        <f ca="1">IFERROR(INDEX(ICE[], MATCH("mg9592" &amp; TEXT(Lts!$A53, "mmmyy"), ICE[LongCode], 0), MATCH("Text", ICE[#Headers], 0)), "")</f>
        <v/>
      </c>
      <c r="BK53" s="46" t="str">
        <f t="shared" ca="1" si="88"/>
        <v/>
      </c>
      <c r="BL53" s="47" t="str">
        <f t="shared" si="114"/>
        <v/>
      </c>
      <c r="BM53" s="46" t="str">
        <f t="shared" si="115"/>
        <v/>
      </c>
      <c r="BN53" s="141" t="str">
        <f t="shared" ca="1" si="89"/>
        <v/>
      </c>
      <c r="BO53" s="46" t="str">
        <f t="shared" ca="1" si="90"/>
        <v/>
      </c>
      <c r="BP53" s="47" t="str">
        <f t="shared" ca="1" si="116"/>
        <v/>
      </c>
      <c r="BQ53" s="46" t="str">
        <f t="shared" ca="1" si="117"/>
        <v/>
      </c>
      <c r="BR53" s="141" t="str">
        <f ca="1">IFERROR(IF(AND(ISNUMBER($BN53), ISNUMBER(Futs!$CC53)), $BN53 - Futs!$CC53, ""), "")</f>
        <v/>
      </c>
      <c r="BS53" s="46" t="str">
        <f ca="1">IFERROR(IF(AND(ISNUMBER($BO53), ISNUMBER(Futs!$CD53)), $BO53 - Futs!$CD53, ""), "")</f>
        <v/>
      </c>
      <c r="BT53" s="47" t="str">
        <f t="shared" ca="1" si="118"/>
        <v/>
      </c>
      <c r="BU53" s="111" t="str">
        <f t="shared" ca="1" si="119"/>
        <v/>
      </c>
    </row>
    <row r="54" spans="1:73" x14ac:dyDescent="0.25">
      <c r="A54" s="58">
        <f t="shared" ca="1" si="91"/>
        <v>47331</v>
      </c>
      <c r="B54" s="6">
        <f t="shared" ca="1" si="74"/>
        <v>2029</v>
      </c>
      <c r="C54" s="6" t="str">
        <f t="shared" ca="1" si="75"/>
        <v>Q329</v>
      </c>
      <c r="D54" s="28" t="e">
        <f ca="1">INDEX(ICE[], MATCH(D$18 &amp; TEXT(Lts!$A54, "mmmyy"), ICE[LongCode], 0), MATCH("Settle", ICE[#Headers], 0))</f>
        <v>#N/A</v>
      </c>
      <c r="E54" s="28" t="e">
        <f ca="1">INDEX(ICE[], MATCH(E$18 &amp; TEXT(Lts!$A54, "mmmyy"), ICE[LongCode], 0), MATCH("Settle", ICE[#Headers], 0))</f>
        <v>#N/A</v>
      </c>
      <c r="F54" s="28" t="e">
        <f ca="1">INDEX(ICE[], MATCH(F$18 &amp; TEXT(Lts!$A54, "mmmyy"), ICE[LongCode], 0), MATCH("Settle", ICE[#Headers], 0))</f>
        <v>#N/A</v>
      </c>
      <c r="G54" s="28" t="e">
        <f ca="1">INDEX(ICE[], MATCH(G$18 &amp; TEXT(Lts!$A54, "mmmyy"), ICE[LongCode], 0), MATCH("Settle", ICE[#Headers], 0))</f>
        <v>#N/A</v>
      </c>
      <c r="H54" s="28" t="e">
        <f ca="1">INDEX(ICE[], MATCH(H$18 &amp; TEXT(Lts!$A54, "mmmyy"), ICE[LongCode], 0), MATCH("Settle", ICE[#Headers], 0))</f>
        <v>#N/A</v>
      </c>
      <c r="I54" s="397"/>
      <c r="J54" s="364" t="str">
        <f ca="1">IFERROR(INDEX(ICE[], MATCH("napbrx" &amp; TEXT(Lts!$A54, "mmmyy"), ICE[LongCode], 0), MATCH("Text", ICE[#Headers], 0)), "")</f>
        <v/>
      </c>
      <c r="K54" s="46" t="str">
        <f t="shared" ca="1" si="76"/>
        <v/>
      </c>
      <c r="L54" s="47" t="str">
        <f t="shared" si="120"/>
        <v/>
      </c>
      <c r="M54" s="46" t="str">
        <f t="shared" ca="1" si="92"/>
        <v/>
      </c>
      <c r="N54" s="141" t="str">
        <f ca="1">IFERROR(IF(AND(ISNUMBER(Futs!$CC54), ISNUMBER($I54)), (Futs!$CC54 + $I54)*8.9, ""), "")</f>
        <v/>
      </c>
      <c r="O54" s="46" t="str">
        <f ca="1">IFERROR(IF(AND(ISNUMBER(Futs!$CD54), ISNUMBER($K54)), (Futs!$CD54 + $K54)*8.9, ""), "")</f>
        <v/>
      </c>
      <c r="P54" s="47" t="str">
        <f t="shared" ca="1" si="93"/>
        <v/>
      </c>
      <c r="Q54" s="111" t="str">
        <f t="shared" ca="1" si="94"/>
        <v/>
      </c>
      <c r="R54" s="397"/>
      <c r="S54" s="364" t="str">
        <f ca="1">IFERROR(INDEX(ICE[], MATCH("ebobbrx" &amp; TEXT(Lts!$A54, "mmmyy"), ICE[LongCode], 0), MATCH("Text", ICE[#Headers], 0)), "")</f>
        <v/>
      </c>
      <c r="T54" s="46" t="str">
        <f t="shared" ca="1" si="78"/>
        <v/>
      </c>
      <c r="U54" s="47" t="str">
        <f t="shared" si="95"/>
        <v/>
      </c>
      <c r="V54" s="46" t="str">
        <f t="shared" ca="1" si="96"/>
        <v/>
      </c>
      <c r="W54" s="141" t="str">
        <f ca="1">IFERROR(IF(AND(ISNUMBER(Futs!$CC54), ISNUMBER($R54)), (Futs!$CC54 + $R54)*8.33, ""), "")</f>
        <v/>
      </c>
      <c r="X54" s="46" t="str">
        <f ca="1">IFERROR(IF(AND(ISNUMBER(Futs!$CD54), ISNUMBER($T54)), (Futs!$CD54 + $T54)*8.33, ""), "")</f>
        <v/>
      </c>
      <c r="Y54" s="47" t="str">
        <f t="shared" ca="1" si="97"/>
        <v/>
      </c>
      <c r="Z54" s="46" t="str">
        <f t="shared" ca="1" si="98"/>
        <v/>
      </c>
      <c r="AA54" s="141" t="str">
        <f t="shared" ca="1" si="79"/>
        <v/>
      </c>
      <c r="AB54" s="46" t="str">
        <f t="shared" ca="1" si="80"/>
        <v/>
      </c>
      <c r="AC54" s="47" t="str">
        <f t="shared" ca="1" si="99"/>
        <v/>
      </c>
      <c r="AD54" s="46" t="str">
        <f t="shared" ca="1" si="100"/>
        <v/>
      </c>
      <c r="AE54" s="141" t="str">
        <f ca="1">IFERROR(IF(AND(ISNUMBER(Futs!$CO54), ISNUMBER($W54)), Futs!$CO54 - $W54/8.33/42*100, ""), "")</f>
        <v/>
      </c>
      <c r="AF54" s="46" t="str">
        <f ca="1">IFERROR(IF(AND(ISNUMBER(Futs!$CP54), ISNUMBER($X54)), Futs!$CP54 - $X54/8.33/42*100, ""), "")</f>
        <v/>
      </c>
      <c r="AG54" s="47" t="str">
        <f t="shared" ca="1" si="101"/>
        <v/>
      </c>
      <c r="AH54" s="111" t="str">
        <f t="shared" ca="1" si="102"/>
        <v/>
      </c>
      <c r="AI54" s="397"/>
      <c r="AJ54" s="364" t="str">
        <f ca="1">IFERROR(INDEX(ICE[], MATCH("napew" &amp; TEXT(Lts!$A54, "mmmyy"), ICE[LongCode], 0), MATCH("Text", ICE[#Headers], 0)), "")</f>
        <v/>
      </c>
      <c r="AK54" s="46" t="str">
        <f t="shared" ca="1" si="81"/>
        <v/>
      </c>
      <c r="AL54" s="47" t="str">
        <f t="shared" si="103"/>
        <v/>
      </c>
      <c r="AM54" s="46" t="str">
        <f t="shared" ca="1" si="104"/>
        <v/>
      </c>
      <c r="AN54" s="141" t="str">
        <f t="shared" ca="1" si="82"/>
        <v/>
      </c>
      <c r="AO54" s="46" t="str">
        <f t="shared" ca="1" si="83"/>
        <v/>
      </c>
      <c r="AP54" s="47" t="str">
        <f t="shared" ca="1" si="84"/>
        <v/>
      </c>
      <c r="AQ54" s="46" t="str">
        <f t="shared" ca="1" si="105"/>
        <v/>
      </c>
      <c r="AR54" s="141" t="str">
        <f ca="1">IFERROR(IF(AND(ISNUMBER($AN54), ISNUMBER(Futs!$CC54)), $AN54/8.9 - Futs!$CC54, ""), "")</f>
        <v/>
      </c>
      <c r="AS54" s="46" t="str">
        <f ca="1">IFERROR(IF(AND(ISNUMBER($AO54), ISNUMBER(Futs!$CD54)), $AO54/8.9 - Futs!$CD54, ""), "")</f>
        <v/>
      </c>
      <c r="AT54" s="47" t="str">
        <f t="shared" ca="1" si="106"/>
        <v/>
      </c>
      <c r="AU54" s="111" t="str">
        <f t="shared" ca="1" si="107"/>
        <v/>
      </c>
      <c r="AV54" s="397"/>
      <c r="AW54" s="364" t="str">
        <f ca="1">IFERROR(INDEX(ICE[], MATCH("mg92ebob" &amp; TEXT(Lts!$A54, "mmmyy"), ICE[LongCode], 0), MATCH("Text", ICE[#Headers], 0)), "")</f>
        <v/>
      </c>
      <c r="AX54" s="46" t="str">
        <f t="shared" ca="1" si="85"/>
        <v/>
      </c>
      <c r="AY54" s="47" t="str">
        <f t="shared" si="108"/>
        <v/>
      </c>
      <c r="AZ54" s="46" t="str">
        <f t="shared" ca="1" si="109"/>
        <v/>
      </c>
      <c r="BA54" s="141" t="str">
        <f t="shared" ca="1" si="86"/>
        <v/>
      </c>
      <c r="BB54" s="46" t="str">
        <f t="shared" ca="1" si="87"/>
        <v/>
      </c>
      <c r="BC54" s="47" t="str">
        <f t="shared" ca="1" si="110"/>
        <v/>
      </c>
      <c r="BD54" s="46" t="str">
        <f t="shared" ca="1" si="111"/>
        <v/>
      </c>
      <c r="BE54" s="141" t="str">
        <f ca="1">IFERROR(IF(AND(ISNUMBER($BA54), ISNUMBER(Futs!$CC54)), $BA54 - Futs!$CC54, ""), "")</f>
        <v/>
      </c>
      <c r="BF54" s="46" t="str">
        <f ca="1">IFERROR(IF(AND(ISNUMBER($BB54), ISNUMBER(Futs!$CD54)), $BB54 - Futs!$CD54, ""), "")</f>
        <v/>
      </c>
      <c r="BG54" s="47" t="str">
        <f t="shared" ca="1" si="112"/>
        <v/>
      </c>
      <c r="BH54" s="111" t="str">
        <f t="shared" ca="1" si="113"/>
        <v/>
      </c>
      <c r="BI54" s="397"/>
      <c r="BJ54" s="364" t="str">
        <f ca="1">IFERROR(INDEX(ICE[], MATCH("mg9592" &amp; TEXT(Lts!$A54, "mmmyy"), ICE[LongCode], 0), MATCH("Text", ICE[#Headers], 0)), "")</f>
        <v/>
      </c>
      <c r="BK54" s="46" t="str">
        <f t="shared" ca="1" si="88"/>
        <v/>
      </c>
      <c r="BL54" s="47" t="str">
        <f t="shared" si="114"/>
        <v/>
      </c>
      <c r="BM54" s="46" t="str">
        <f t="shared" si="115"/>
        <v/>
      </c>
      <c r="BN54" s="141" t="str">
        <f t="shared" ca="1" si="89"/>
        <v/>
      </c>
      <c r="BO54" s="46" t="str">
        <f t="shared" ca="1" si="90"/>
        <v/>
      </c>
      <c r="BP54" s="47" t="str">
        <f t="shared" ca="1" si="116"/>
        <v/>
      </c>
      <c r="BQ54" s="46" t="str">
        <f t="shared" ca="1" si="117"/>
        <v/>
      </c>
      <c r="BR54" s="141" t="str">
        <f ca="1">IFERROR(IF(AND(ISNUMBER($BN54), ISNUMBER(Futs!$CC54)), $BN54 - Futs!$CC54, ""), "")</f>
        <v/>
      </c>
      <c r="BS54" s="46" t="str">
        <f ca="1">IFERROR(IF(AND(ISNUMBER($BO54), ISNUMBER(Futs!$CD54)), $BO54 - Futs!$CD54, ""), "")</f>
        <v/>
      </c>
      <c r="BT54" s="47" t="str">
        <f t="shared" ca="1" si="118"/>
        <v/>
      </c>
      <c r="BU54" s="111" t="str">
        <f t="shared" ca="1" si="119"/>
        <v/>
      </c>
    </row>
    <row r="55" spans="1:73" x14ac:dyDescent="0.25">
      <c r="A55" s="58">
        <f t="shared" ca="1" si="91"/>
        <v>47362</v>
      </c>
      <c r="B55" s="6">
        <f t="shared" ca="1" si="74"/>
        <v>2029</v>
      </c>
      <c r="C55" s="6" t="str">
        <f t="shared" ca="1" si="75"/>
        <v>Q329</v>
      </c>
      <c r="D55" s="28" t="e">
        <f ca="1">INDEX(ICE[], MATCH(D$18 &amp; TEXT(Lts!$A55, "mmmyy"), ICE[LongCode], 0), MATCH("Settle", ICE[#Headers], 0))</f>
        <v>#N/A</v>
      </c>
      <c r="E55" s="28" t="e">
        <f ca="1">INDEX(ICE[], MATCH(E$18 &amp; TEXT(Lts!$A55, "mmmyy"), ICE[LongCode], 0), MATCH("Settle", ICE[#Headers], 0))</f>
        <v>#N/A</v>
      </c>
      <c r="F55" s="28" t="e">
        <f ca="1">INDEX(ICE[], MATCH(F$18 &amp; TEXT(Lts!$A55, "mmmyy"), ICE[LongCode], 0), MATCH("Settle", ICE[#Headers], 0))</f>
        <v>#N/A</v>
      </c>
      <c r="G55" s="28" t="e">
        <f ca="1">INDEX(ICE[], MATCH(G$18 &amp; TEXT(Lts!$A55, "mmmyy"), ICE[LongCode], 0), MATCH("Settle", ICE[#Headers], 0))</f>
        <v>#N/A</v>
      </c>
      <c r="H55" s="28" t="e">
        <f ca="1">INDEX(ICE[], MATCH(H$18 &amp; TEXT(Lts!$A55, "mmmyy"), ICE[LongCode], 0), MATCH("Settle", ICE[#Headers], 0))</f>
        <v>#N/A</v>
      </c>
      <c r="I55" s="397"/>
      <c r="J55" s="364" t="str">
        <f ca="1">IFERROR(INDEX(ICE[], MATCH("napbrx" &amp; TEXT(Lts!$A55, "mmmyy"), ICE[LongCode], 0), MATCH("Text", ICE[#Headers], 0)), "")</f>
        <v/>
      </c>
      <c r="K55" s="46" t="str">
        <f t="shared" ca="1" si="76"/>
        <v/>
      </c>
      <c r="L55" s="47" t="str">
        <f t="shared" si="120"/>
        <v/>
      </c>
      <c r="M55" s="46" t="str">
        <f t="shared" ca="1" si="92"/>
        <v/>
      </c>
      <c r="N55" s="141" t="str">
        <f ca="1">IFERROR(IF(AND(ISNUMBER(Futs!$CC55), ISNUMBER($I55)), (Futs!$CC55 + $I55)*8.9, ""), "")</f>
        <v/>
      </c>
      <c r="O55" s="46" t="str">
        <f ca="1">IFERROR(IF(AND(ISNUMBER(Futs!$CD55), ISNUMBER($K55)), (Futs!$CD55 + $K55)*8.9, ""), "")</f>
        <v/>
      </c>
      <c r="P55" s="47" t="str">
        <f t="shared" ca="1" si="93"/>
        <v/>
      </c>
      <c r="Q55" s="111" t="str">
        <f t="shared" ca="1" si="94"/>
        <v/>
      </c>
      <c r="R55" s="397"/>
      <c r="S55" s="364" t="str">
        <f ca="1">IFERROR(INDEX(ICE[], MATCH("ebobbrx" &amp; TEXT(Lts!$A55, "mmmyy"), ICE[LongCode], 0), MATCH("Text", ICE[#Headers], 0)), "")</f>
        <v/>
      </c>
      <c r="T55" s="46" t="str">
        <f t="shared" ca="1" si="78"/>
        <v/>
      </c>
      <c r="U55" s="47" t="str">
        <f t="shared" si="95"/>
        <v/>
      </c>
      <c r="V55" s="46" t="str">
        <f t="shared" ca="1" si="96"/>
        <v/>
      </c>
      <c r="W55" s="141" t="str">
        <f ca="1">IFERROR(IF(AND(ISNUMBER(Futs!$CC55), ISNUMBER($R55)), (Futs!$CC55 + $R55)*8.33, ""), "")</f>
        <v/>
      </c>
      <c r="X55" s="46" t="str">
        <f ca="1">IFERROR(IF(AND(ISNUMBER(Futs!$CD55), ISNUMBER($T55)), (Futs!$CD55 + $T55)*8.33, ""), "")</f>
        <v/>
      </c>
      <c r="Y55" s="47" t="str">
        <f t="shared" ca="1" si="97"/>
        <v/>
      </c>
      <c r="Z55" s="46" t="str">
        <f t="shared" ca="1" si="98"/>
        <v/>
      </c>
      <c r="AA55" s="141" t="str">
        <f t="shared" ca="1" si="79"/>
        <v/>
      </c>
      <c r="AB55" s="46" t="str">
        <f t="shared" ca="1" si="80"/>
        <v/>
      </c>
      <c r="AC55" s="47" t="str">
        <f t="shared" ca="1" si="99"/>
        <v/>
      </c>
      <c r="AD55" s="46" t="str">
        <f t="shared" ca="1" si="100"/>
        <v/>
      </c>
      <c r="AE55" s="141" t="str">
        <f ca="1">IFERROR(IF(AND(ISNUMBER(Futs!$CO55), ISNUMBER($W55)), Futs!$CO55 - $W55/8.33/42*100, ""), "")</f>
        <v/>
      </c>
      <c r="AF55" s="46" t="str">
        <f ca="1">IFERROR(IF(AND(ISNUMBER(Futs!$CP55), ISNUMBER($X55)), Futs!$CP55 - $X55/8.33/42*100, ""), "")</f>
        <v/>
      </c>
      <c r="AG55" s="47" t="str">
        <f t="shared" ca="1" si="101"/>
        <v/>
      </c>
      <c r="AH55" s="111" t="str">
        <f t="shared" ca="1" si="102"/>
        <v/>
      </c>
      <c r="AI55" s="397"/>
      <c r="AJ55" s="364" t="str">
        <f ca="1">IFERROR(INDEX(ICE[], MATCH("napew" &amp; TEXT(Lts!$A55, "mmmyy"), ICE[LongCode], 0), MATCH("Text", ICE[#Headers], 0)), "")</f>
        <v/>
      </c>
      <c r="AK55" s="46" t="str">
        <f t="shared" ca="1" si="81"/>
        <v/>
      </c>
      <c r="AL55" s="47" t="str">
        <f t="shared" si="103"/>
        <v/>
      </c>
      <c r="AM55" s="46" t="str">
        <f t="shared" ca="1" si="104"/>
        <v/>
      </c>
      <c r="AN55" s="141" t="str">
        <f t="shared" ca="1" si="82"/>
        <v/>
      </c>
      <c r="AO55" s="46" t="str">
        <f t="shared" ca="1" si="83"/>
        <v/>
      </c>
      <c r="AP55" s="47" t="str">
        <f t="shared" ca="1" si="84"/>
        <v/>
      </c>
      <c r="AQ55" s="46" t="str">
        <f t="shared" ca="1" si="105"/>
        <v/>
      </c>
      <c r="AR55" s="141" t="str">
        <f ca="1">IFERROR(IF(AND(ISNUMBER($AN55), ISNUMBER(Futs!$CC55)), $AN55/8.9 - Futs!$CC55, ""), "")</f>
        <v/>
      </c>
      <c r="AS55" s="46" t="str">
        <f ca="1">IFERROR(IF(AND(ISNUMBER($AO55), ISNUMBER(Futs!$CD55)), $AO55/8.9 - Futs!$CD55, ""), "")</f>
        <v/>
      </c>
      <c r="AT55" s="47" t="str">
        <f t="shared" ca="1" si="106"/>
        <v/>
      </c>
      <c r="AU55" s="111" t="str">
        <f t="shared" ca="1" si="107"/>
        <v/>
      </c>
      <c r="AV55" s="397"/>
      <c r="AW55" s="364" t="str">
        <f ca="1">IFERROR(INDEX(ICE[], MATCH("mg92ebob" &amp; TEXT(Lts!$A55, "mmmyy"), ICE[LongCode], 0), MATCH("Text", ICE[#Headers], 0)), "")</f>
        <v/>
      </c>
      <c r="AX55" s="46" t="str">
        <f t="shared" ca="1" si="85"/>
        <v/>
      </c>
      <c r="AY55" s="47" t="str">
        <f t="shared" si="108"/>
        <v/>
      </c>
      <c r="AZ55" s="46" t="str">
        <f t="shared" ca="1" si="109"/>
        <v/>
      </c>
      <c r="BA55" s="141" t="str">
        <f t="shared" ca="1" si="86"/>
        <v/>
      </c>
      <c r="BB55" s="46" t="str">
        <f t="shared" ca="1" si="87"/>
        <v/>
      </c>
      <c r="BC55" s="47" t="str">
        <f t="shared" ca="1" si="110"/>
        <v/>
      </c>
      <c r="BD55" s="46" t="str">
        <f t="shared" ca="1" si="111"/>
        <v/>
      </c>
      <c r="BE55" s="141" t="str">
        <f ca="1">IFERROR(IF(AND(ISNUMBER($BA55), ISNUMBER(Futs!$CC55)), $BA55 - Futs!$CC55, ""), "")</f>
        <v/>
      </c>
      <c r="BF55" s="46" t="str">
        <f ca="1">IFERROR(IF(AND(ISNUMBER($BB55), ISNUMBER(Futs!$CD55)), $BB55 - Futs!$CD55, ""), "")</f>
        <v/>
      </c>
      <c r="BG55" s="47" t="str">
        <f t="shared" ca="1" si="112"/>
        <v/>
      </c>
      <c r="BH55" s="111" t="str">
        <f t="shared" ca="1" si="113"/>
        <v/>
      </c>
      <c r="BI55" s="397"/>
      <c r="BJ55" s="364" t="str">
        <f ca="1">IFERROR(INDEX(ICE[], MATCH("mg9592" &amp; TEXT(Lts!$A55, "mmmyy"), ICE[LongCode], 0), MATCH("Text", ICE[#Headers], 0)), "")</f>
        <v/>
      </c>
      <c r="BK55" s="46" t="str">
        <f t="shared" ca="1" si="88"/>
        <v/>
      </c>
      <c r="BL55" s="47" t="str">
        <f t="shared" si="114"/>
        <v/>
      </c>
      <c r="BM55" s="46" t="str">
        <f t="shared" si="115"/>
        <v/>
      </c>
      <c r="BN55" s="141" t="str">
        <f t="shared" ca="1" si="89"/>
        <v/>
      </c>
      <c r="BO55" s="46" t="str">
        <f t="shared" ca="1" si="90"/>
        <v/>
      </c>
      <c r="BP55" s="47" t="str">
        <f t="shared" ca="1" si="116"/>
        <v/>
      </c>
      <c r="BQ55" s="46" t="str">
        <f t="shared" ca="1" si="117"/>
        <v/>
      </c>
      <c r="BR55" s="141" t="str">
        <f ca="1">IFERROR(IF(AND(ISNUMBER($BN55), ISNUMBER(Futs!$CC55)), $BN55 - Futs!$CC55, ""), "")</f>
        <v/>
      </c>
      <c r="BS55" s="46" t="str">
        <f ca="1">IFERROR(IF(AND(ISNUMBER($BO55), ISNUMBER(Futs!$CD55)), $BO55 - Futs!$CD55, ""), "")</f>
        <v/>
      </c>
      <c r="BT55" s="47" t="str">
        <f t="shared" ca="1" si="118"/>
        <v/>
      </c>
      <c r="BU55" s="111" t="str">
        <f t="shared" ca="1" si="119"/>
        <v/>
      </c>
    </row>
    <row r="56" spans="1:73" x14ac:dyDescent="0.25">
      <c r="A56" s="58">
        <f t="shared" ca="1" si="91"/>
        <v>47392</v>
      </c>
      <c r="B56" s="6">
        <f t="shared" ca="1" si="74"/>
        <v>2029</v>
      </c>
      <c r="C56" s="6" t="str">
        <f t="shared" ca="1" si="75"/>
        <v>Q429</v>
      </c>
      <c r="D56" s="28" t="e">
        <f ca="1">INDEX(ICE[], MATCH(D$18 &amp; TEXT(Lts!$A56, "mmmyy"), ICE[LongCode], 0), MATCH("Settle", ICE[#Headers], 0))</f>
        <v>#N/A</v>
      </c>
      <c r="E56" s="28" t="e">
        <f ca="1">INDEX(ICE[], MATCH(E$18 &amp; TEXT(Lts!$A56, "mmmyy"), ICE[LongCode], 0), MATCH("Settle", ICE[#Headers], 0))</f>
        <v>#N/A</v>
      </c>
      <c r="F56" s="28" t="e">
        <f ca="1">INDEX(ICE[], MATCH(F$18 &amp; TEXT(Lts!$A56, "mmmyy"), ICE[LongCode], 0), MATCH("Settle", ICE[#Headers], 0))</f>
        <v>#N/A</v>
      </c>
      <c r="G56" s="28" t="e">
        <f ca="1">INDEX(ICE[], MATCH(G$18 &amp; TEXT(Lts!$A56, "mmmyy"), ICE[LongCode], 0), MATCH("Settle", ICE[#Headers], 0))</f>
        <v>#N/A</v>
      </c>
      <c r="H56" s="28" t="e">
        <f ca="1">INDEX(ICE[], MATCH(H$18 &amp; TEXT(Lts!$A56, "mmmyy"), ICE[LongCode], 0), MATCH("Settle", ICE[#Headers], 0))</f>
        <v>#N/A</v>
      </c>
      <c r="I56" s="397"/>
      <c r="J56" s="364" t="str">
        <f ca="1">IFERROR(INDEX(ICE[], MATCH("napbrx" &amp; TEXT(Lts!$A56, "mmmyy"), ICE[LongCode], 0), MATCH("Text", ICE[#Headers], 0)), "")</f>
        <v/>
      </c>
      <c r="K56" s="46" t="str">
        <f t="shared" ca="1" si="76"/>
        <v/>
      </c>
      <c r="L56" s="47" t="str">
        <f t="shared" si="120"/>
        <v/>
      </c>
      <c r="M56" s="46" t="str">
        <f t="shared" ca="1" si="92"/>
        <v/>
      </c>
      <c r="N56" s="141" t="str">
        <f ca="1">IFERROR(IF(AND(ISNUMBER(Futs!$CC56), ISNUMBER($I56)), (Futs!$CC56 + $I56)*8.9, ""), "")</f>
        <v/>
      </c>
      <c r="O56" s="46" t="str">
        <f ca="1">IFERROR(IF(AND(ISNUMBER(Futs!$CD56), ISNUMBER($K56)), (Futs!$CD56 + $K56)*8.9, ""), "")</f>
        <v/>
      </c>
      <c r="P56" s="47" t="str">
        <f t="shared" ca="1" si="93"/>
        <v/>
      </c>
      <c r="Q56" s="111" t="str">
        <f t="shared" ca="1" si="94"/>
        <v/>
      </c>
      <c r="R56" s="397"/>
      <c r="S56" s="364" t="str">
        <f ca="1">IFERROR(INDEX(ICE[], MATCH("ebobbrx" &amp; TEXT(Lts!$A56, "mmmyy"), ICE[LongCode], 0), MATCH("Text", ICE[#Headers], 0)), "")</f>
        <v/>
      </c>
      <c r="T56" s="46" t="str">
        <f t="shared" ca="1" si="78"/>
        <v/>
      </c>
      <c r="U56" s="47" t="str">
        <f t="shared" si="95"/>
        <v/>
      </c>
      <c r="V56" s="46" t="str">
        <f t="shared" ca="1" si="96"/>
        <v/>
      </c>
      <c r="W56" s="141" t="str">
        <f ca="1">IFERROR(IF(AND(ISNUMBER(Futs!$CC56), ISNUMBER($R56)), (Futs!$CC56 + $R56)*8.33, ""), "")</f>
        <v/>
      </c>
      <c r="X56" s="46" t="str">
        <f ca="1">IFERROR(IF(AND(ISNUMBER(Futs!$CD56), ISNUMBER($T56)), (Futs!$CD56 + $T56)*8.33, ""), "")</f>
        <v/>
      </c>
      <c r="Y56" s="47" t="str">
        <f t="shared" ca="1" si="97"/>
        <v/>
      </c>
      <c r="Z56" s="46" t="str">
        <f t="shared" ca="1" si="98"/>
        <v/>
      </c>
      <c r="AA56" s="141" t="str">
        <f t="shared" ca="1" si="79"/>
        <v/>
      </c>
      <c r="AB56" s="46" t="str">
        <f t="shared" ca="1" si="80"/>
        <v/>
      </c>
      <c r="AC56" s="47" t="str">
        <f t="shared" ca="1" si="99"/>
        <v/>
      </c>
      <c r="AD56" s="46" t="str">
        <f t="shared" ca="1" si="100"/>
        <v/>
      </c>
      <c r="AE56" s="141" t="str">
        <f ca="1">IFERROR(IF(AND(ISNUMBER(Futs!$CO56), ISNUMBER($W56)), Futs!$CO56 - $W56/8.33/42*100, ""), "")</f>
        <v/>
      </c>
      <c r="AF56" s="46" t="str">
        <f ca="1">IFERROR(IF(AND(ISNUMBER(Futs!$CP56), ISNUMBER($X56)), Futs!$CP56 - $X56/8.33/42*100, ""), "")</f>
        <v/>
      </c>
      <c r="AG56" s="47" t="str">
        <f t="shared" ca="1" si="101"/>
        <v/>
      </c>
      <c r="AH56" s="111" t="str">
        <f t="shared" ca="1" si="102"/>
        <v/>
      </c>
      <c r="AI56" s="397"/>
      <c r="AJ56" s="364" t="str">
        <f ca="1">IFERROR(INDEX(ICE[], MATCH("napew" &amp; TEXT(Lts!$A56, "mmmyy"), ICE[LongCode], 0), MATCH("Text", ICE[#Headers], 0)), "")</f>
        <v/>
      </c>
      <c r="AK56" s="46" t="str">
        <f t="shared" ca="1" si="81"/>
        <v/>
      </c>
      <c r="AL56" s="47" t="str">
        <f t="shared" si="103"/>
        <v/>
      </c>
      <c r="AM56" s="46" t="str">
        <f t="shared" ca="1" si="104"/>
        <v/>
      </c>
      <c r="AN56" s="141" t="str">
        <f t="shared" ca="1" si="82"/>
        <v/>
      </c>
      <c r="AO56" s="46" t="str">
        <f t="shared" ca="1" si="83"/>
        <v/>
      </c>
      <c r="AP56" s="47" t="str">
        <f t="shared" ca="1" si="84"/>
        <v/>
      </c>
      <c r="AQ56" s="46" t="str">
        <f t="shared" ca="1" si="105"/>
        <v/>
      </c>
      <c r="AR56" s="141" t="str">
        <f ca="1">IFERROR(IF(AND(ISNUMBER($AN56), ISNUMBER(Futs!$CC56)), $AN56/8.9 - Futs!$CC56, ""), "")</f>
        <v/>
      </c>
      <c r="AS56" s="46" t="str">
        <f ca="1">IFERROR(IF(AND(ISNUMBER($AO56), ISNUMBER(Futs!$CD56)), $AO56/8.9 - Futs!$CD56, ""), "")</f>
        <v/>
      </c>
      <c r="AT56" s="47" t="str">
        <f t="shared" ca="1" si="106"/>
        <v/>
      </c>
      <c r="AU56" s="111" t="str">
        <f t="shared" ca="1" si="107"/>
        <v/>
      </c>
      <c r="AV56" s="397"/>
      <c r="AW56" s="364" t="str">
        <f ca="1">IFERROR(INDEX(ICE[], MATCH("mg92ebob" &amp; TEXT(Lts!$A56, "mmmyy"), ICE[LongCode], 0), MATCH("Text", ICE[#Headers], 0)), "")</f>
        <v/>
      </c>
      <c r="AX56" s="46" t="str">
        <f t="shared" ca="1" si="85"/>
        <v/>
      </c>
      <c r="AY56" s="47" t="str">
        <f t="shared" si="108"/>
        <v/>
      </c>
      <c r="AZ56" s="46" t="str">
        <f t="shared" ca="1" si="109"/>
        <v/>
      </c>
      <c r="BA56" s="141" t="str">
        <f t="shared" ca="1" si="86"/>
        <v/>
      </c>
      <c r="BB56" s="46" t="str">
        <f t="shared" ca="1" si="87"/>
        <v/>
      </c>
      <c r="BC56" s="47" t="str">
        <f t="shared" ca="1" si="110"/>
        <v/>
      </c>
      <c r="BD56" s="46" t="str">
        <f t="shared" ca="1" si="111"/>
        <v/>
      </c>
      <c r="BE56" s="141" t="str">
        <f ca="1">IFERROR(IF(AND(ISNUMBER($BA56), ISNUMBER(Futs!$CC56)), $BA56 - Futs!$CC56, ""), "")</f>
        <v/>
      </c>
      <c r="BF56" s="46" t="str">
        <f ca="1">IFERROR(IF(AND(ISNUMBER($BB56), ISNUMBER(Futs!$CD56)), $BB56 - Futs!$CD56, ""), "")</f>
        <v/>
      </c>
      <c r="BG56" s="47" t="str">
        <f t="shared" ca="1" si="112"/>
        <v/>
      </c>
      <c r="BH56" s="111" t="str">
        <f t="shared" ca="1" si="113"/>
        <v/>
      </c>
      <c r="BI56" s="397"/>
      <c r="BJ56" s="364" t="str">
        <f ca="1">IFERROR(INDEX(ICE[], MATCH("mg9592" &amp; TEXT(Lts!$A56, "mmmyy"), ICE[LongCode], 0), MATCH("Text", ICE[#Headers], 0)), "")</f>
        <v/>
      </c>
      <c r="BK56" s="46" t="str">
        <f t="shared" ca="1" si="88"/>
        <v/>
      </c>
      <c r="BL56" s="47" t="str">
        <f t="shared" si="114"/>
        <v/>
      </c>
      <c r="BM56" s="46" t="str">
        <f t="shared" si="115"/>
        <v/>
      </c>
      <c r="BN56" s="141" t="str">
        <f t="shared" ca="1" si="89"/>
        <v/>
      </c>
      <c r="BO56" s="46" t="str">
        <f t="shared" ca="1" si="90"/>
        <v/>
      </c>
      <c r="BP56" s="47" t="str">
        <f t="shared" ca="1" si="116"/>
        <v/>
      </c>
      <c r="BQ56" s="46" t="str">
        <f t="shared" ca="1" si="117"/>
        <v/>
      </c>
      <c r="BR56" s="141" t="str">
        <f ca="1">IFERROR(IF(AND(ISNUMBER($BN56), ISNUMBER(Futs!$CC56)), $BN56 - Futs!$CC56, ""), "")</f>
        <v/>
      </c>
      <c r="BS56" s="46" t="str">
        <f ca="1">IFERROR(IF(AND(ISNUMBER($BO56), ISNUMBER(Futs!$CD56)), $BO56 - Futs!$CD56, ""), "")</f>
        <v/>
      </c>
      <c r="BT56" s="47" t="str">
        <f t="shared" ca="1" si="118"/>
        <v/>
      </c>
      <c r="BU56" s="111" t="str">
        <f t="shared" ca="1" si="119"/>
        <v/>
      </c>
    </row>
    <row r="57" spans="1:73" x14ac:dyDescent="0.25">
      <c r="A57" s="58">
        <f t="shared" ca="1" si="91"/>
        <v>47423</v>
      </c>
      <c r="B57" s="6">
        <f t="shared" ca="1" si="74"/>
        <v>2029</v>
      </c>
      <c r="C57" s="6" t="str">
        <f t="shared" ca="1" si="75"/>
        <v>Q429</v>
      </c>
      <c r="D57" s="28" t="e">
        <f ca="1">INDEX(ICE[], MATCH(D$18 &amp; TEXT(Lts!$A57, "mmmyy"), ICE[LongCode], 0), MATCH("Settle", ICE[#Headers], 0))</f>
        <v>#N/A</v>
      </c>
      <c r="E57" s="28" t="e">
        <f ca="1">INDEX(ICE[], MATCH(E$18 &amp; TEXT(Lts!$A57, "mmmyy"), ICE[LongCode], 0), MATCH("Settle", ICE[#Headers], 0))</f>
        <v>#N/A</v>
      </c>
      <c r="F57" s="28" t="e">
        <f ca="1">INDEX(ICE[], MATCH(F$18 &amp; TEXT(Lts!$A57, "mmmyy"), ICE[LongCode], 0), MATCH("Settle", ICE[#Headers], 0))</f>
        <v>#N/A</v>
      </c>
      <c r="G57" s="28" t="e">
        <f ca="1">INDEX(ICE[], MATCH(G$18 &amp; TEXT(Lts!$A57, "mmmyy"), ICE[LongCode], 0), MATCH("Settle", ICE[#Headers], 0))</f>
        <v>#N/A</v>
      </c>
      <c r="H57" s="28" t="e">
        <f ca="1">INDEX(ICE[], MATCH(H$18 &amp; TEXT(Lts!$A57, "mmmyy"), ICE[LongCode], 0), MATCH("Settle", ICE[#Headers], 0))</f>
        <v>#N/A</v>
      </c>
      <c r="I57" s="397"/>
      <c r="J57" s="364" t="str">
        <f ca="1">IFERROR(INDEX(ICE[], MATCH("napbrx" &amp; TEXT(Lts!$A57, "mmmyy"), ICE[LongCode], 0), MATCH("Text", ICE[#Headers], 0)), "")</f>
        <v/>
      </c>
      <c r="K57" s="46" t="str">
        <f t="shared" ca="1" si="76"/>
        <v/>
      </c>
      <c r="L57" s="47" t="str">
        <f t="shared" si="120"/>
        <v/>
      </c>
      <c r="M57" s="46" t="str">
        <f t="shared" ca="1" si="92"/>
        <v/>
      </c>
      <c r="N57" s="141" t="str">
        <f ca="1">IFERROR(IF(AND(ISNUMBER(Futs!$CC57), ISNUMBER($I57)), (Futs!$CC57 + $I57)*8.9, ""), "")</f>
        <v/>
      </c>
      <c r="O57" s="46" t="str">
        <f ca="1">IFERROR(IF(AND(ISNUMBER(Futs!$CD57), ISNUMBER($K57)), (Futs!$CD57 + $K57)*8.9, ""), "")</f>
        <v/>
      </c>
      <c r="P57" s="47" t="str">
        <f t="shared" ca="1" si="93"/>
        <v/>
      </c>
      <c r="Q57" s="111" t="str">
        <f t="shared" ca="1" si="94"/>
        <v/>
      </c>
      <c r="R57" s="397"/>
      <c r="S57" s="364" t="str">
        <f ca="1">IFERROR(INDEX(ICE[], MATCH("ebobbrx" &amp; TEXT(Lts!$A57, "mmmyy"), ICE[LongCode], 0), MATCH("Text", ICE[#Headers], 0)), "")</f>
        <v/>
      </c>
      <c r="T57" s="46" t="str">
        <f t="shared" ca="1" si="78"/>
        <v/>
      </c>
      <c r="U57" s="47" t="str">
        <f t="shared" si="95"/>
        <v/>
      </c>
      <c r="V57" s="46" t="str">
        <f t="shared" ca="1" si="96"/>
        <v/>
      </c>
      <c r="W57" s="141" t="str">
        <f ca="1">IFERROR(IF(AND(ISNUMBER(Futs!$CC57), ISNUMBER($R57)), (Futs!$CC57 + $R57)*8.33, ""), "")</f>
        <v/>
      </c>
      <c r="X57" s="46" t="str">
        <f ca="1">IFERROR(IF(AND(ISNUMBER(Futs!$CD57), ISNUMBER($T57)), (Futs!$CD57 + $T57)*8.33, ""), "")</f>
        <v/>
      </c>
      <c r="Y57" s="47" t="str">
        <f t="shared" ca="1" si="97"/>
        <v/>
      </c>
      <c r="Z57" s="46" t="str">
        <f t="shared" ca="1" si="98"/>
        <v/>
      </c>
      <c r="AA57" s="141" t="str">
        <f t="shared" ca="1" si="79"/>
        <v/>
      </c>
      <c r="AB57" s="46" t="str">
        <f t="shared" ca="1" si="80"/>
        <v/>
      </c>
      <c r="AC57" s="47" t="str">
        <f t="shared" ca="1" si="99"/>
        <v/>
      </c>
      <c r="AD57" s="46" t="str">
        <f t="shared" ca="1" si="100"/>
        <v/>
      </c>
      <c r="AE57" s="141" t="str">
        <f ca="1">IFERROR(IF(AND(ISNUMBER(Futs!$CO57), ISNUMBER($W57)), Futs!$CO57 - $W57/8.33/42*100, ""), "")</f>
        <v/>
      </c>
      <c r="AF57" s="46" t="str">
        <f ca="1">IFERROR(IF(AND(ISNUMBER(Futs!$CP57), ISNUMBER($X57)), Futs!$CP57 - $X57/8.33/42*100, ""), "")</f>
        <v/>
      </c>
      <c r="AG57" s="47" t="str">
        <f t="shared" ca="1" si="101"/>
        <v/>
      </c>
      <c r="AH57" s="111" t="str">
        <f t="shared" ca="1" si="102"/>
        <v/>
      </c>
      <c r="AI57" s="397"/>
      <c r="AJ57" s="364" t="str">
        <f ca="1">IFERROR(INDEX(ICE[], MATCH("napew" &amp; TEXT(Lts!$A57, "mmmyy"), ICE[LongCode], 0), MATCH("Text", ICE[#Headers], 0)), "")</f>
        <v/>
      </c>
      <c r="AK57" s="46" t="str">
        <f t="shared" ca="1" si="81"/>
        <v/>
      </c>
      <c r="AL57" s="47" t="str">
        <f t="shared" si="103"/>
        <v/>
      </c>
      <c r="AM57" s="46" t="str">
        <f t="shared" ca="1" si="104"/>
        <v/>
      </c>
      <c r="AN57" s="141" t="str">
        <f t="shared" ca="1" si="82"/>
        <v/>
      </c>
      <c r="AO57" s="46" t="str">
        <f t="shared" ca="1" si="83"/>
        <v/>
      </c>
      <c r="AP57" s="47" t="str">
        <f t="shared" ca="1" si="84"/>
        <v/>
      </c>
      <c r="AQ57" s="46" t="str">
        <f t="shared" ca="1" si="105"/>
        <v/>
      </c>
      <c r="AR57" s="141" t="str">
        <f ca="1">IFERROR(IF(AND(ISNUMBER($AN57), ISNUMBER(Futs!$CC57)), $AN57/8.9 - Futs!$CC57, ""), "")</f>
        <v/>
      </c>
      <c r="AS57" s="46" t="str">
        <f ca="1">IFERROR(IF(AND(ISNUMBER($AO57), ISNUMBER(Futs!$CD57)), $AO57/8.9 - Futs!$CD57, ""), "")</f>
        <v/>
      </c>
      <c r="AT57" s="47" t="str">
        <f t="shared" ca="1" si="106"/>
        <v/>
      </c>
      <c r="AU57" s="111" t="str">
        <f t="shared" ca="1" si="107"/>
        <v/>
      </c>
      <c r="AV57" s="397"/>
      <c r="AW57" s="364" t="str">
        <f ca="1">IFERROR(INDEX(ICE[], MATCH("mg92ebob" &amp; TEXT(Lts!$A57, "mmmyy"), ICE[LongCode], 0), MATCH("Text", ICE[#Headers], 0)), "")</f>
        <v/>
      </c>
      <c r="AX57" s="46" t="str">
        <f t="shared" ca="1" si="85"/>
        <v/>
      </c>
      <c r="AY57" s="47" t="str">
        <f t="shared" si="108"/>
        <v/>
      </c>
      <c r="AZ57" s="46" t="str">
        <f t="shared" ca="1" si="109"/>
        <v/>
      </c>
      <c r="BA57" s="141" t="str">
        <f t="shared" ca="1" si="86"/>
        <v/>
      </c>
      <c r="BB57" s="46" t="str">
        <f t="shared" ca="1" si="87"/>
        <v/>
      </c>
      <c r="BC57" s="47" t="str">
        <f t="shared" ca="1" si="110"/>
        <v/>
      </c>
      <c r="BD57" s="46" t="str">
        <f t="shared" ca="1" si="111"/>
        <v/>
      </c>
      <c r="BE57" s="141" t="str">
        <f ca="1">IFERROR(IF(AND(ISNUMBER($BA57), ISNUMBER(Futs!$CC57)), $BA57 - Futs!$CC57, ""), "")</f>
        <v/>
      </c>
      <c r="BF57" s="46" t="str">
        <f ca="1">IFERROR(IF(AND(ISNUMBER($BB57), ISNUMBER(Futs!$CD57)), $BB57 - Futs!$CD57, ""), "")</f>
        <v/>
      </c>
      <c r="BG57" s="47" t="str">
        <f t="shared" ca="1" si="112"/>
        <v/>
      </c>
      <c r="BH57" s="111" t="str">
        <f t="shared" ca="1" si="113"/>
        <v/>
      </c>
      <c r="BI57" s="397"/>
      <c r="BJ57" s="364" t="str">
        <f ca="1">IFERROR(INDEX(ICE[], MATCH("mg9592" &amp; TEXT(Lts!$A57, "mmmyy"), ICE[LongCode], 0), MATCH("Text", ICE[#Headers], 0)), "")</f>
        <v/>
      </c>
      <c r="BK57" s="46" t="str">
        <f t="shared" ca="1" si="88"/>
        <v/>
      </c>
      <c r="BL57" s="47" t="str">
        <f t="shared" si="114"/>
        <v/>
      </c>
      <c r="BM57" s="46" t="str">
        <f t="shared" si="115"/>
        <v/>
      </c>
      <c r="BN57" s="141" t="str">
        <f t="shared" ca="1" si="89"/>
        <v/>
      </c>
      <c r="BO57" s="46" t="str">
        <f t="shared" ca="1" si="90"/>
        <v/>
      </c>
      <c r="BP57" s="47" t="str">
        <f t="shared" ca="1" si="116"/>
        <v/>
      </c>
      <c r="BQ57" s="46" t="str">
        <f t="shared" ca="1" si="117"/>
        <v/>
      </c>
      <c r="BR57" s="141" t="str">
        <f ca="1">IFERROR(IF(AND(ISNUMBER($BN57), ISNUMBER(Futs!$CC57)), $BN57 - Futs!$CC57, ""), "")</f>
        <v/>
      </c>
      <c r="BS57" s="46" t="str">
        <f ca="1">IFERROR(IF(AND(ISNUMBER($BO57), ISNUMBER(Futs!$CD57)), $BO57 - Futs!$CD57, ""), "")</f>
        <v/>
      </c>
      <c r="BT57" s="47" t="str">
        <f t="shared" ca="1" si="118"/>
        <v/>
      </c>
      <c r="BU57" s="111" t="str">
        <f t="shared" ca="1" si="119"/>
        <v/>
      </c>
    </row>
    <row r="58" spans="1:73" x14ac:dyDescent="0.25">
      <c r="A58" s="58">
        <f t="shared" ca="1" si="91"/>
        <v>47453</v>
      </c>
      <c r="B58" s="6">
        <f t="shared" ca="1" si="74"/>
        <v>2029</v>
      </c>
      <c r="C58" s="6" t="str">
        <f t="shared" ca="1" si="75"/>
        <v>Q429</v>
      </c>
      <c r="D58" s="28" t="e">
        <f ca="1">INDEX(ICE[], MATCH(D$18 &amp; TEXT(Lts!$A58, "mmmyy"), ICE[LongCode], 0), MATCH("Settle", ICE[#Headers], 0))</f>
        <v>#N/A</v>
      </c>
      <c r="E58" s="28" t="e">
        <f ca="1">INDEX(ICE[], MATCH(E$18 &amp; TEXT(Lts!$A58, "mmmyy"), ICE[LongCode], 0), MATCH("Settle", ICE[#Headers], 0))</f>
        <v>#N/A</v>
      </c>
      <c r="F58" s="28" t="e">
        <f ca="1">INDEX(ICE[], MATCH(F$18 &amp; TEXT(Lts!$A58, "mmmyy"), ICE[LongCode], 0), MATCH("Settle", ICE[#Headers], 0))</f>
        <v>#N/A</v>
      </c>
      <c r="G58" s="28" t="e">
        <f ca="1">INDEX(ICE[], MATCH(G$18 &amp; TEXT(Lts!$A58, "mmmyy"), ICE[LongCode], 0), MATCH("Settle", ICE[#Headers], 0))</f>
        <v>#N/A</v>
      </c>
      <c r="H58" s="28" t="e">
        <f ca="1">INDEX(ICE[], MATCH(H$18 &amp; TEXT(Lts!$A58, "mmmyy"), ICE[LongCode], 0), MATCH("Settle", ICE[#Headers], 0))</f>
        <v>#N/A</v>
      </c>
      <c r="I58" s="397"/>
      <c r="J58" s="364" t="str">
        <f ca="1">IFERROR(INDEX(ICE[], MATCH("napbrx" &amp; TEXT(Lts!$A58, "mmmyy"), ICE[LongCode], 0), MATCH("Text", ICE[#Headers], 0)), "")</f>
        <v/>
      </c>
      <c r="K58" s="46" t="str">
        <f t="shared" ca="1" si="76"/>
        <v/>
      </c>
      <c r="L58" s="47" t="str">
        <f t="shared" si="120"/>
        <v/>
      </c>
      <c r="M58" s="46" t="str">
        <f t="shared" ca="1" si="92"/>
        <v/>
      </c>
      <c r="N58" s="141" t="str">
        <f ca="1">IFERROR(IF(AND(ISNUMBER(Futs!$CC58), ISNUMBER($I58)), (Futs!$CC58 + $I58)*8.9, ""), "")</f>
        <v/>
      </c>
      <c r="O58" s="46" t="str">
        <f ca="1">IFERROR(IF(AND(ISNUMBER(Futs!$CD58), ISNUMBER($K58)), (Futs!$CD58 + $K58)*8.9, ""), "")</f>
        <v/>
      </c>
      <c r="P58" s="47" t="str">
        <f t="shared" ca="1" si="93"/>
        <v/>
      </c>
      <c r="Q58" s="111" t="str">
        <f t="shared" ca="1" si="94"/>
        <v/>
      </c>
      <c r="R58" s="397"/>
      <c r="S58" s="364" t="str">
        <f ca="1">IFERROR(INDEX(ICE[], MATCH("ebobbrx" &amp; TEXT(Lts!$A58, "mmmyy"), ICE[LongCode], 0), MATCH("Text", ICE[#Headers], 0)), "")</f>
        <v/>
      </c>
      <c r="T58" s="46" t="str">
        <f t="shared" ca="1" si="78"/>
        <v/>
      </c>
      <c r="U58" s="47" t="str">
        <f t="shared" si="95"/>
        <v/>
      </c>
      <c r="V58" s="46" t="str">
        <f t="shared" ca="1" si="96"/>
        <v/>
      </c>
      <c r="W58" s="141" t="str">
        <f ca="1">IFERROR(IF(AND(ISNUMBER(Futs!$CC58), ISNUMBER($R58)), (Futs!$CC58 + $R58)*8.33, ""), "")</f>
        <v/>
      </c>
      <c r="X58" s="46" t="str">
        <f ca="1">IFERROR(IF(AND(ISNUMBER(Futs!$CD58), ISNUMBER($T58)), (Futs!$CD58 + $T58)*8.33, ""), "")</f>
        <v/>
      </c>
      <c r="Y58" s="47" t="str">
        <f t="shared" ca="1" si="97"/>
        <v/>
      </c>
      <c r="Z58" s="46" t="str">
        <f t="shared" ca="1" si="98"/>
        <v/>
      </c>
      <c r="AA58" s="141" t="str">
        <f t="shared" ca="1" si="79"/>
        <v/>
      </c>
      <c r="AB58" s="46" t="str">
        <f t="shared" ca="1" si="80"/>
        <v/>
      </c>
      <c r="AC58" s="47" t="str">
        <f t="shared" ca="1" si="99"/>
        <v/>
      </c>
      <c r="AD58" s="46" t="str">
        <f t="shared" ca="1" si="100"/>
        <v/>
      </c>
      <c r="AE58" s="141" t="str">
        <f ca="1">IFERROR(IF(AND(ISNUMBER(Futs!$CO58), ISNUMBER($W58)), Futs!$CO58 - $W58/8.33/42*100, ""), "")</f>
        <v/>
      </c>
      <c r="AF58" s="46" t="str">
        <f ca="1">IFERROR(IF(AND(ISNUMBER(Futs!$CP58), ISNUMBER($X58)), Futs!$CP58 - $X58/8.33/42*100, ""), "")</f>
        <v/>
      </c>
      <c r="AG58" s="47" t="str">
        <f t="shared" ca="1" si="101"/>
        <v/>
      </c>
      <c r="AH58" s="111" t="str">
        <f t="shared" ca="1" si="102"/>
        <v/>
      </c>
      <c r="AI58" s="397"/>
      <c r="AJ58" s="364" t="str">
        <f ca="1">IFERROR(INDEX(ICE[], MATCH("napew" &amp; TEXT(Lts!$A58, "mmmyy"), ICE[LongCode], 0), MATCH("Text", ICE[#Headers], 0)), "")</f>
        <v/>
      </c>
      <c r="AK58" s="46" t="str">
        <f t="shared" ca="1" si="81"/>
        <v/>
      </c>
      <c r="AL58" s="47" t="str">
        <f t="shared" si="103"/>
        <v/>
      </c>
      <c r="AM58" s="46" t="str">
        <f t="shared" ca="1" si="104"/>
        <v/>
      </c>
      <c r="AN58" s="141" t="str">
        <f t="shared" ca="1" si="82"/>
        <v/>
      </c>
      <c r="AO58" s="46" t="str">
        <f t="shared" ca="1" si="83"/>
        <v/>
      </c>
      <c r="AP58" s="47" t="str">
        <f t="shared" ca="1" si="84"/>
        <v/>
      </c>
      <c r="AQ58" s="46" t="str">
        <f t="shared" ca="1" si="105"/>
        <v/>
      </c>
      <c r="AR58" s="141" t="str">
        <f ca="1">IFERROR(IF(AND(ISNUMBER($AN58), ISNUMBER(Futs!$CC58)), $AN58/8.9 - Futs!$CC58, ""), "")</f>
        <v/>
      </c>
      <c r="AS58" s="46" t="str">
        <f ca="1">IFERROR(IF(AND(ISNUMBER($AO58), ISNUMBER(Futs!$CD58)), $AO58/8.9 - Futs!$CD58, ""), "")</f>
        <v/>
      </c>
      <c r="AT58" s="47" t="str">
        <f t="shared" ca="1" si="106"/>
        <v/>
      </c>
      <c r="AU58" s="111" t="str">
        <f t="shared" ca="1" si="107"/>
        <v/>
      </c>
      <c r="AV58" s="397"/>
      <c r="AW58" s="364" t="str">
        <f ca="1">IFERROR(INDEX(ICE[], MATCH("mg92ebob" &amp; TEXT(Lts!$A58, "mmmyy"), ICE[LongCode], 0), MATCH("Text", ICE[#Headers], 0)), "")</f>
        <v/>
      </c>
      <c r="AX58" s="46" t="str">
        <f t="shared" ca="1" si="85"/>
        <v/>
      </c>
      <c r="AY58" s="47" t="str">
        <f t="shared" si="108"/>
        <v/>
      </c>
      <c r="AZ58" s="46" t="str">
        <f t="shared" ca="1" si="109"/>
        <v/>
      </c>
      <c r="BA58" s="141" t="str">
        <f t="shared" ca="1" si="86"/>
        <v/>
      </c>
      <c r="BB58" s="46" t="str">
        <f t="shared" ca="1" si="87"/>
        <v/>
      </c>
      <c r="BC58" s="47" t="str">
        <f t="shared" ca="1" si="110"/>
        <v/>
      </c>
      <c r="BD58" s="46" t="str">
        <f t="shared" ca="1" si="111"/>
        <v/>
      </c>
      <c r="BE58" s="141" t="str">
        <f ca="1">IFERROR(IF(AND(ISNUMBER($BA58), ISNUMBER(Futs!$CC58)), $BA58 - Futs!$CC58, ""), "")</f>
        <v/>
      </c>
      <c r="BF58" s="46" t="str">
        <f ca="1">IFERROR(IF(AND(ISNUMBER($BB58), ISNUMBER(Futs!$CD58)), $BB58 - Futs!$CD58, ""), "")</f>
        <v/>
      </c>
      <c r="BG58" s="47" t="str">
        <f t="shared" ca="1" si="112"/>
        <v/>
      </c>
      <c r="BH58" s="111" t="str">
        <f t="shared" ca="1" si="113"/>
        <v/>
      </c>
      <c r="BI58" s="397"/>
      <c r="BJ58" s="364" t="str">
        <f ca="1">IFERROR(INDEX(ICE[], MATCH("mg9592" &amp; TEXT(Lts!$A58, "mmmyy"), ICE[LongCode], 0), MATCH("Text", ICE[#Headers], 0)), "")</f>
        <v/>
      </c>
      <c r="BK58" s="46" t="str">
        <f t="shared" ca="1" si="88"/>
        <v/>
      </c>
      <c r="BL58" s="47" t="str">
        <f t="shared" si="114"/>
        <v/>
      </c>
      <c r="BM58" s="46" t="str">
        <f t="shared" si="115"/>
        <v/>
      </c>
      <c r="BN58" s="141" t="str">
        <f t="shared" ca="1" si="89"/>
        <v/>
      </c>
      <c r="BO58" s="46" t="str">
        <f t="shared" ca="1" si="90"/>
        <v/>
      </c>
      <c r="BP58" s="47" t="str">
        <f t="shared" ca="1" si="116"/>
        <v/>
      </c>
      <c r="BQ58" s="46" t="str">
        <f t="shared" ca="1" si="117"/>
        <v/>
      </c>
      <c r="BR58" s="141" t="str">
        <f ca="1">IFERROR(IF(AND(ISNUMBER($BN58), ISNUMBER(Futs!$CC58)), $BN58 - Futs!$CC58, ""), "")</f>
        <v/>
      </c>
      <c r="BS58" s="46" t="str">
        <f ca="1">IFERROR(IF(AND(ISNUMBER($BO58), ISNUMBER(Futs!$CD58)), $BO58 - Futs!$CD58, ""), "")</f>
        <v/>
      </c>
      <c r="BT58" s="47" t="str">
        <f t="shared" ca="1" si="118"/>
        <v/>
      </c>
      <c r="BU58" s="111" t="str">
        <f t="shared" ca="1" si="119"/>
        <v/>
      </c>
    </row>
    <row r="59" spans="1:73" x14ac:dyDescent="0.25">
      <c r="A59" s="58">
        <f t="shared" ca="1" si="91"/>
        <v>47484</v>
      </c>
      <c r="B59" s="6">
        <f t="shared" ca="1" si="74"/>
        <v>2030</v>
      </c>
      <c r="C59" s="6" t="str">
        <f t="shared" ca="1" si="75"/>
        <v>Q130</v>
      </c>
      <c r="D59" s="28" t="e">
        <f ca="1">INDEX(ICE[], MATCH(D$18 &amp; TEXT(Lts!$A59, "mmmyy"), ICE[LongCode], 0), MATCH("Settle", ICE[#Headers], 0))</f>
        <v>#N/A</v>
      </c>
      <c r="E59" s="28" t="e">
        <f ca="1">INDEX(ICE[], MATCH(E$18 &amp; TEXT(Lts!$A59, "mmmyy"), ICE[LongCode], 0), MATCH("Settle", ICE[#Headers], 0))</f>
        <v>#N/A</v>
      </c>
      <c r="F59" s="28" t="e">
        <f ca="1">INDEX(ICE[], MATCH(F$18 &amp; TEXT(Lts!$A59, "mmmyy"), ICE[LongCode], 0), MATCH("Settle", ICE[#Headers], 0))</f>
        <v>#N/A</v>
      </c>
      <c r="G59" s="28" t="e">
        <f ca="1">INDEX(ICE[], MATCH(G$18 &amp; TEXT(Lts!$A59, "mmmyy"), ICE[LongCode], 0), MATCH("Settle", ICE[#Headers], 0))</f>
        <v>#N/A</v>
      </c>
      <c r="H59" s="28" t="e">
        <f ca="1">INDEX(ICE[], MATCH(H$18 &amp; TEXT(Lts!$A59, "mmmyy"), ICE[LongCode], 0), MATCH("Settle", ICE[#Headers], 0))</f>
        <v>#N/A</v>
      </c>
      <c r="I59" s="397"/>
      <c r="J59" s="364" t="str">
        <f ca="1">IFERROR(INDEX(ICE[], MATCH("napbrx" &amp; TEXT(Lts!$A59, "mmmyy"), ICE[LongCode], 0), MATCH("Text", ICE[#Headers], 0)), "")</f>
        <v/>
      </c>
      <c r="K59" s="46" t="str">
        <f t="shared" ca="1" si="76"/>
        <v/>
      </c>
      <c r="L59" s="47" t="str">
        <f t="shared" si="120"/>
        <v/>
      </c>
      <c r="M59" s="46" t="str">
        <f t="shared" ca="1" si="92"/>
        <v/>
      </c>
      <c r="N59" s="141" t="str">
        <f ca="1">IFERROR(IF(AND(ISNUMBER(Futs!$CC59), ISNUMBER($I59)), (Futs!$CC59 + $I59)*8.9, ""), "")</f>
        <v/>
      </c>
      <c r="O59" s="46" t="str">
        <f ca="1">IFERROR(IF(AND(ISNUMBER(Futs!$CD59), ISNUMBER($K59)), (Futs!$CD59 + $K59)*8.9, ""), "")</f>
        <v/>
      </c>
      <c r="P59" s="47" t="str">
        <f t="shared" ca="1" si="93"/>
        <v/>
      </c>
      <c r="Q59" s="111" t="str">
        <f t="shared" ca="1" si="94"/>
        <v/>
      </c>
      <c r="R59" s="397"/>
      <c r="S59" s="364" t="str">
        <f ca="1">IFERROR(INDEX(ICE[], MATCH("ebobbrx" &amp; TEXT(Lts!$A59, "mmmyy"), ICE[LongCode], 0), MATCH("Text", ICE[#Headers], 0)), "")</f>
        <v/>
      </c>
      <c r="T59" s="46" t="str">
        <f t="shared" ca="1" si="78"/>
        <v/>
      </c>
      <c r="U59" s="47" t="str">
        <f t="shared" si="95"/>
        <v/>
      </c>
      <c r="V59" s="46" t="str">
        <f t="shared" ca="1" si="96"/>
        <v/>
      </c>
      <c r="W59" s="141" t="str">
        <f ca="1">IFERROR(IF(AND(ISNUMBER(Futs!$CC59), ISNUMBER($R59)), (Futs!$CC59 + $R59)*8.33, ""), "")</f>
        <v/>
      </c>
      <c r="X59" s="46" t="str">
        <f ca="1">IFERROR(IF(AND(ISNUMBER(Futs!$CD59), ISNUMBER($T59)), (Futs!$CD59 + $T59)*8.33, ""), "")</f>
        <v/>
      </c>
      <c r="Y59" s="47" t="str">
        <f t="shared" ca="1" si="97"/>
        <v/>
      </c>
      <c r="Z59" s="46" t="str">
        <f t="shared" ca="1" si="98"/>
        <v/>
      </c>
      <c r="AA59" s="141" t="str">
        <f t="shared" ca="1" si="79"/>
        <v/>
      </c>
      <c r="AB59" s="46" t="str">
        <f t="shared" ca="1" si="80"/>
        <v/>
      </c>
      <c r="AC59" s="47" t="str">
        <f t="shared" ca="1" si="99"/>
        <v/>
      </c>
      <c r="AD59" s="46" t="str">
        <f t="shared" ca="1" si="100"/>
        <v/>
      </c>
      <c r="AE59" s="141" t="str">
        <f ca="1">IFERROR(IF(AND(ISNUMBER(Futs!$CO59), ISNUMBER($W59)), Futs!$CO59 - $W59/8.33/42*100, ""), "")</f>
        <v/>
      </c>
      <c r="AF59" s="46" t="str">
        <f ca="1">IFERROR(IF(AND(ISNUMBER(Futs!$CP59), ISNUMBER($X59)), Futs!$CP59 - $X59/8.33/42*100, ""), "")</f>
        <v/>
      </c>
      <c r="AG59" s="47" t="str">
        <f t="shared" ca="1" si="101"/>
        <v/>
      </c>
      <c r="AH59" s="111" t="str">
        <f t="shared" ca="1" si="102"/>
        <v/>
      </c>
      <c r="AI59" s="397"/>
      <c r="AJ59" s="364" t="str">
        <f ca="1">IFERROR(INDEX(ICE[], MATCH("napew" &amp; TEXT(Lts!$A59, "mmmyy"), ICE[LongCode], 0), MATCH("Text", ICE[#Headers], 0)), "")</f>
        <v/>
      </c>
      <c r="AK59" s="46" t="str">
        <f t="shared" ca="1" si="81"/>
        <v/>
      </c>
      <c r="AL59" s="47" t="str">
        <f t="shared" si="103"/>
        <v/>
      </c>
      <c r="AM59" s="46" t="str">
        <f t="shared" ca="1" si="104"/>
        <v/>
      </c>
      <c r="AN59" s="141" t="str">
        <f t="shared" ca="1" si="82"/>
        <v/>
      </c>
      <c r="AO59" s="46" t="str">
        <f t="shared" ca="1" si="83"/>
        <v/>
      </c>
      <c r="AP59" s="47" t="str">
        <f t="shared" ca="1" si="84"/>
        <v/>
      </c>
      <c r="AQ59" s="46" t="str">
        <f t="shared" ca="1" si="105"/>
        <v/>
      </c>
      <c r="AR59" s="141" t="str">
        <f ca="1">IFERROR(IF(AND(ISNUMBER($AN59), ISNUMBER(Futs!$CC59)), $AN59/8.9 - Futs!$CC59, ""), "")</f>
        <v/>
      </c>
      <c r="AS59" s="46" t="str">
        <f ca="1">IFERROR(IF(AND(ISNUMBER($AO59), ISNUMBER(Futs!$CD59)), $AO59/8.9 - Futs!$CD59, ""), "")</f>
        <v/>
      </c>
      <c r="AT59" s="47" t="str">
        <f t="shared" ca="1" si="106"/>
        <v/>
      </c>
      <c r="AU59" s="111" t="str">
        <f t="shared" ca="1" si="107"/>
        <v/>
      </c>
      <c r="AV59" s="397"/>
      <c r="AW59" s="364" t="str">
        <f ca="1">IFERROR(INDEX(ICE[], MATCH("mg92ebob" &amp; TEXT(Lts!$A59, "mmmyy"), ICE[LongCode], 0), MATCH("Text", ICE[#Headers], 0)), "")</f>
        <v/>
      </c>
      <c r="AX59" s="46" t="str">
        <f t="shared" ca="1" si="85"/>
        <v/>
      </c>
      <c r="AY59" s="47" t="str">
        <f t="shared" si="108"/>
        <v/>
      </c>
      <c r="AZ59" s="46" t="str">
        <f t="shared" ca="1" si="109"/>
        <v/>
      </c>
      <c r="BA59" s="141" t="str">
        <f t="shared" ca="1" si="86"/>
        <v/>
      </c>
      <c r="BB59" s="46" t="str">
        <f t="shared" ca="1" si="87"/>
        <v/>
      </c>
      <c r="BC59" s="47" t="str">
        <f t="shared" ca="1" si="110"/>
        <v/>
      </c>
      <c r="BD59" s="46" t="str">
        <f t="shared" ca="1" si="111"/>
        <v/>
      </c>
      <c r="BE59" s="141" t="str">
        <f ca="1">IFERROR(IF(AND(ISNUMBER($BA59), ISNUMBER(Futs!$CC59)), $BA59 - Futs!$CC59, ""), "")</f>
        <v/>
      </c>
      <c r="BF59" s="46" t="str">
        <f ca="1">IFERROR(IF(AND(ISNUMBER($BB59), ISNUMBER(Futs!$CD59)), $BB59 - Futs!$CD59, ""), "")</f>
        <v/>
      </c>
      <c r="BG59" s="47" t="str">
        <f t="shared" ca="1" si="112"/>
        <v/>
      </c>
      <c r="BH59" s="111" t="str">
        <f t="shared" ca="1" si="113"/>
        <v/>
      </c>
      <c r="BI59" s="397"/>
      <c r="BJ59" s="364" t="str">
        <f ca="1">IFERROR(INDEX(ICE[], MATCH("mg9592" &amp; TEXT(Lts!$A59, "mmmyy"), ICE[LongCode], 0), MATCH("Text", ICE[#Headers], 0)), "")</f>
        <v/>
      </c>
      <c r="BK59" s="46" t="str">
        <f t="shared" ca="1" si="88"/>
        <v/>
      </c>
      <c r="BL59" s="47" t="str">
        <f t="shared" si="114"/>
        <v/>
      </c>
      <c r="BM59" s="46" t="str">
        <f t="shared" si="115"/>
        <v/>
      </c>
      <c r="BN59" s="141" t="str">
        <f t="shared" ca="1" si="89"/>
        <v/>
      </c>
      <c r="BO59" s="46" t="str">
        <f t="shared" ca="1" si="90"/>
        <v/>
      </c>
      <c r="BP59" s="47" t="str">
        <f t="shared" ca="1" si="116"/>
        <v/>
      </c>
      <c r="BQ59" s="46" t="str">
        <f t="shared" ca="1" si="117"/>
        <v/>
      </c>
      <c r="BR59" s="141" t="str">
        <f ca="1">IFERROR(IF(AND(ISNUMBER($BN59), ISNUMBER(Futs!$CC59)), $BN59 - Futs!$CC59, ""), "")</f>
        <v/>
      </c>
      <c r="BS59" s="46" t="str">
        <f ca="1">IFERROR(IF(AND(ISNUMBER($BO59), ISNUMBER(Futs!$CD59)), $BO59 - Futs!$CD59, ""), "")</f>
        <v/>
      </c>
      <c r="BT59" s="47" t="str">
        <f t="shared" ca="1" si="118"/>
        <v/>
      </c>
      <c r="BU59" s="111" t="str">
        <f t="shared" ca="1" si="119"/>
        <v/>
      </c>
    </row>
    <row r="60" spans="1:73" x14ac:dyDescent="0.25">
      <c r="A60" s="58">
        <f t="shared" ca="1" si="91"/>
        <v>47515</v>
      </c>
      <c r="B60" s="6">
        <f t="shared" ca="1" si="74"/>
        <v>2030</v>
      </c>
      <c r="C60" s="6" t="str">
        <f t="shared" ca="1" si="75"/>
        <v>Q130</v>
      </c>
      <c r="D60" s="28" t="e">
        <f ca="1">INDEX(ICE[], MATCH(D$18 &amp; TEXT(Lts!$A60, "mmmyy"), ICE[LongCode], 0), MATCH("Settle", ICE[#Headers], 0))</f>
        <v>#N/A</v>
      </c>
      <c r="E60" s="28" t="e">
        <f ca="1">INDEX(ICE[], MATCH(E$18 &amp; TEXT(Lts!$A60, "mmmyy"), ICE[LongCode], 0), MATCH("Settle", ICE[#Headers], 0))</f>
        <v>#N/A</v>
      </c>
      <c r="F60" s="28" t="e">
        <f ca="1">INDEX(ICE[], MATCH(F$18 &amp; TEXT(Lts!$A60, "mmmyy"), ICE[LongCode], 0), MATCH("Settle", ICE[#Headers], 0))</f>
        <v>#N/A</v>
      </c>
      <c r="G60" s="28" t="e">
        <f ca="1">INDEX(ICE[], MATCH(G$18 &amp; TEXT(Lts!$A60, "mmmyy"), ICE[LongCode], 0), MATCH("Settle", ICE[#Headers], 0))</f>
        <v>#N/A</v>
      </c>
      <c r="H60" s="28" t="e">
        <f ca="1">INDEX(ICE[], MATCH(H$18 &amp; TEXT(Lts!$A60, "mmmyy"), ICE[LongCode], 0), MATCH("Settle", ICE[#Headers], 0))</f>
        <v>#N/A</v>
      </c>
      <c r="I60" s="397"/>
      <c r="J60" s="364" t="str">
        <f ca="1">IFERROR(INDEX(ICE[], MATCH("napbrx" &amp; TEXT(Lts!$A60, "mmmyy"), ICE[LongCode], 0), MATCH("Text", ICE[#Headers], 0)), "")</f>
        <v/>
      </c>
      <c r="K60" s="46" t="str">
        <f t="shared" ca="1" si="76"/>
        <v/>
      </c>
      <c r="L60" s="47" t="str">
        <f t="shared" si="120"/>
        <v/>
      </c>
      <c r="M60" s="46" t="str">
        <f t="shared" ca="1" si="92"/>
        <v/>
      </c>
      <c r="N60" s="141" t="str">
        <f ca="1">IFERROR(IF(AND(ISNUMBER(Futs!$CC60), ISNUMBER($I60)), (Futs!$CC60 + $I60)*8.9, ""), "")</f>
        <v/>
      </c>
      <c r="O60" s="46" t="str">
        <f ca="1">IFERROR(IF(AND(ISNUMBER(Futs!$CD60), ISNUMBER($K60)), (Futs!$CD60 + $K60)*8.9, ""), "")</f>
        <v/>
      </c>
      <c r="P60" s="47" t="str">
        <f t="shared" ca="1" si="93"/>
        <v/>
      </c>
      <c r="Q60" s="111" t="str">
        <f t="shared" ca="1" si="94"/>
        <v/>
      </c>
      <c r="R60" s="397"/>
      <c r="S60" s="364" t="str">
        <f ca="1">IFERROR(INDEX(ICE[], MATCH("ebobbrx" &amp; TEXT(Lts!$A60, "mmmyy"), ICE[LongCode], 0), MATCH("Text", ICE[#Headers], 0)), "")</f>
        <v/>
      </c>
      <c r="T60" s="46" t="str">
        <f t="shared" ca="1" si="78"/>
        <v/>
      </c>
      <c r="U60" s="47" t="str">
        <f t="shared" si="95"/>
        <v/>
      </c>
      <c r="V60" s="46" t="str">
        <f t="shared" ca="1" si="96"/>
        <v/>
      </c>
      <c r="W60" s="141" t="str">
        <f ca="1">IFERROR(IF(AND(ISNUMBER(Futs!$CC60), ISNUMBER($R60)), (Futs!$CC60 + $R60)*8.33, ""), "")</f>
        <v/>
      </c>
      <c r="X60" s="46" t="str">
        <f ca="1">IFERROR(IF(AND(ISNUMBER(Futs!$CD60), ISNUMBER($T60)), (Futs!$CD60 + $T60)*8.33, ""), "")</f>
        <v/>
      </c>
      <c r="Y60" s="47" t="str">
        <f t="shared" ca="1" si="97"/>
        <v/>
      </c>
      <c r="Z60" s="46" t="str">
        <f t="shared" ca="1" si="98"/>
        <v/>
      </c>
      <c r="AA60" s="141" t="str">
        <f t="shared" ca="1" si="79"/>
        <v/>
      </c>
      <c r="AB60" s="46" t="str">
        <f t="shared" ca="1" si="80"/>
        <v/>
      </c>
      <c r="AC60" s="47" t="str">
        <f t="shared" ca="1" si="99"/>
        <v/>
      </c>
      <c r="AD60" s="46" t="str">
        <f t="shared" ca="1" si="100"/>
        <v/>
      </c>
      <c r="AE60" s="141" t="str">
        <f ca="1">IFERROR(IF(AND(ISNUMBER(Futs!$CO60), ISNUMBER($W60)), Futs!$CO60 - $W60/8.33/42*100, ""), "")</f>
        <v/>
      </c>
      <c r="AF60" s="46" t="str">
        <f ca="1">IFERROR(IF(AND(ISNUMBER(Futs!$CP60), ISNUMBER($X60)), Futs!$CP60 - $X60/8.33/42*100, ""), "")</f>
        <v/>
      </c>
      <c r="AG60" s="47" t="str">
        <f t="shared" ca="1" si="101"/>
        <v/>
      </c>
      <c r="AH60" s="111" t="str">
        <f t="shared" ca="1" si="102"/>
        <v/>
      </c>
      <c r="AI60" s="397"/>
      <c r="AJ60" s="364" t="str">
        <f ca="1">IFERROR(INDEX(ICE[], MATCH("napew" &amp; TEXT(Lts!$A60, "mmmyy"), ICE[LongCode], 0), MATCH("Text", ICE[#Headers], 0)), "")</f>
        <v/>
      </c>
      <c r="AK60" s="46" t="str">
        <f t="shared" ca="1" si="81"/>
        <v/>
      </c>
      <c r="AL60" s="47" t="str">
        <f t="shared" si="103"/>
        <v/>
      </c>
      <c r="AM60" s="46" t="str">
        <f t="shared" ca="1" si="104"/>
        <v/>
      </c>
      <c r="AN60" s="141" t="str">
        <f t="shared" ca="1" si="82"/>
        <v/>
      </c>
      <c r="AO60" s="46" t="str">
        <f t="shared" ca="1" si="83"/>
        <v/>
      </c>
      <c r="AP60" s="47" t="str">
        <f t="shared" ca="1" si="84"/>
        <v/>
      </c>
      <c r="AQ60" s="46" t="str">
        <f t="shared" ca="1" si="105"/>
        <v/>
      </c>
      <c r="AR60" s="141" t="str">
        <f ca="1">IFERROR(IF(AND(ISNUMBER($AN60), ISNUMBER(Futs!$CC60)), $AN60/8.9 - Futs!$CC60, ""), "")</f>
        <v/>
      </c>
      <c r="AS60" s="46" t="str">
        <f ca="1">IFERROR(IF(AND(ISNUMBER($AO60), ISNUMBER(Futs!$CD60)), $AO60/8.9 - Futs!$CD60, ""), "")</f>
        <v/>
      </c>
      <c r="AT60" s="47" t="str">
        <f t="shared" ca="1" si="106"/>
        <v/>
      </c>
      <c r="AU60" s="111" t="str">
        <f t="shared" ca="1" si="107"/>
        <v/>
      </c>
      <c r="AV60" s="397"/>
      <c r="AW60" s="364" t="str">
        <f ca="1">IFERROR(INDEX(ICE[], MATCH("mg92ebob" &amp; TEXT(Lts!$A60, "mmmyy"), ICE[LongCode], 0), MATCH("Text", ICE[#Headers], 0)), "")</f>
        <v/>
      </c>
      <c r="AX60" s="46" t="str">
        <f t="shared" ca="1" si="85"/>
        <v/>
      </c>
      <c r="AY60" s="47" t="str">
        <f t="shared" si="108"/>
        <v/>
      </c>
      <c r="AZ60" s="46" t="str">
        <f t="shared" ca="1" si="109"/>
        <v/>
      </c>
      <c r="BA60" s="141" t="str">
        <f t="shared" ca="1" si="86"/>
        <v/>
      </c>
      <c r="BB60" s="46" t="str">
        <f t="shared" ca="1" si="87"/>
        <v/>
      </c>
      <c r="BC60" s="47" t="str">
        <f t="shared" ca="1" si="110"/>
        <v/>
      </c>
      <c r="BD60" s="46" t="str">
        <f t="shared" ca="1" si="111"/>
        <v/>
      </c>
      <c r="BE60" s="141" t="str">
        <f ca="1">IFERROR(IF(AND(ISNUMBER($BA60), ISNUMBER(Futs!$CC60)), $BA60 - Futs!$CC60, ""), "")</f>
        <v/>
      </c>
      <c r="BF60" s="46" t="str">
        <f ca="1">IFERROR(IF(AND(ISNUMBER($BB60), ISNUMBER(Futs!$CD60)), $BB60 - Futs!$CD60, ""), "")</f>
        <v/>
      </c>
      <c r="BG60" s="47" t="str">
        <f t="shared" ca="1" si="112"/>
        <v/>
      </c>
      <c r="BH60" s="111" t="str">
        <f t="shared" ca="1" si="113"/>
        <v/>
      </c>
      <c r="BI60" s="397"/>
      <c r="BJ60" s="364" t="str">
        <f ca="1">IFERROR(INDEX(ICE[], MATCH("mg9592" &amp; TEXT(Lts!$A60, "mmmyy"), ICE[LongCode], 0), MATCH("Text", ICE[#Headers], 0)), "")</f>
        <v/>
      </c>
      <c r="BK60" s="46" t="str">
        <f t="shared" ca="1" si="88"/>
        <v/>
      </c>
      <c r="BL60" s="47" t="str">
        <f t="shared" si="114"/>
        <v/>
      </c>
      <c r="BM60" s="46" t="str">
        <f t="shared" si="115"/>
        <v/>
      </c>
      <c r="BN60" s="141" t="str">
        <f t="shared" ca="1" si="89"/>
        <v/>
      </c>
      <c r="BO60" s="46" t="str">
        <f t="shared" ca="1" si="90"/>
        <v/>
      </c>
      <c r="BP60" s="47" t="str">
        <f t="shared" ca="1" si="116"/>
        <v/>
      </c>
      <c r="BQ60" s="46" t="str">
        <f t="shared" ca="1" si="117"/>
        <v/>
      </c>
      <c r="BR60" s="141" t="str">
        <f ca="1">IFERROR(IF(AND(ISNUMBER($BN60), ISNUMBER(Futs!$CC60)), $BN60 - Futs!$CC60, ""), "")</f>
        <v/>
      </c>
      <c r="BS60" s="46" t="str">
        <f ca="1">IFERROR(IF(AND(ISNUMBER($BO60), ISNUMBER(Futs!$CD60)), $BO60 - Futs!$CD60, ""), "")</f>
        <v/>
      </c>
      <c r="BT60" s="47" t="str">
        <f t="shared" ca="1" si="118"/>
        <v/>
      </c>
      <c r="BU60" s="111" t="str">
        <f t="shared" ca="1" si="119"/>
        <v/>
      </c>
    </row>
    <row r="61" spans="1:73" x14ac:dyDescent="0.25">
      <c r="A61" s="58">
        <f t="shared" ca="1" si="91"/>
        <v>47543</v>
      </c>
      <c r="B61" s="6">
        <f t="shared" ca="1" si="74"/>
        <v>2030</v>
      </c>
      <c r="C61" s="6" t="str">
        <f t="shared" ca="1" si="75"/>
        <v>Q130</v>
      </c>
      <c r="D61" s="28" t="e">
        <f ca="1">INDEX(ICE[], MATCH(D$18 &amp; TEXT(Lts!$A61, "mmmyy"), ICE[LongCode], 0), MATCH("Settle", ICE[#Headers], 0))</f>
        <v>#N/A</v>
      </c>
      <c r="E61" s="28" t="e">
        <f ca="1">INDEX(ICE[], MATCH(E$18 &amp; TEXT(Lts!$A61, "mmmyy"), ICE[LongCode], 0), MATCH("Settle", ICE[#Headers], 0))</f>
        <v>#N/A</v>
      </c>
      <c r="F61" s="28" t="e">
        <f ca="1">INDEX(ICE[], MATCH(F$18 &amp; TEXT(Lts!$A61, "mmmyy"), ICE[LongCode], 0), MATCH("Settle", ICE[#Headers], 0))</f>
        <v>#N/A</v>
      </c>
      <c r="G61" s="28" t="e">
        <f ca="1">INDEX(ICE[], MATCH(G$18 &amp; TEXT(Lts!$A61, "mmmyy"), ICE[LongCode], 0), MATCH("Settle", ICE[#Headers], 0))</f>
        <v>#N/A</v>
      </c>
      <c r="H61" s="28" t="e">
        <f ca="1">INDEX(ICE[], MATCH(H$18 &amp; TEXT(Lts!$A61, "mmmyy"), ICE[LongCode], 0), MATCH("Settle", ICE[#Headers], 0))</f>
        <v>#N/A</v>
      </c>
      <c r="I61" s="397"/>
      <c r="J61" s="364" t="str">
        <f ca="1">IFERROR(INDEX(ICE[], MATCH("napbrx" &amp; TEXT(Lts!$A61, "mmmyy"), ICE[LongCode], 0), MATCH("Text", ICE[#Headers], 0)), "")</f>
        <v/>
      </c>
      <c r="K61" s="46" t="str">
        <f t="shared" ca="1" si="76"/>
        <v/>
      </c>
      <c r="L61" s="47" t="str">
        <f t="shared" si="120"/>
        <v/>
      </c>
      <c r="M61" s="46" t="str">
        <f t="shared" ca="1" si="92"/>
        <v/>
      </c>
      <c r="N61" s="141" t="str">
        <f ca="1">IFERROR(IF(AND(ISNUMBER(Futs!$CC61), ISNUMBER($I61)), (Futs!$CC61 + $I61)*8.9, ""), "")</f>
        <v/>
      </c>
      <c r="O61" s="46" t="str">
        <f ca="1">IFERROR(IF(AND(ISNUMBER(Futs!$CD61), ISNUMBER($K61)), (Futs!$CD61 + $K61)*8.9, ""), "")</f>
        <v/>
      </c>
      <c r="P61" s="47" t="str">
        <f t="shared" ca="1" si="93"/>
        <v/>
      </c>
      <c r="Q61" s="111" t="str">
        <f t="shared" ca="1" si="94"/>
        <v/>
      </c>
      <c r="R61" s="397"/>
      <c r="S61" s="364" t="str">
        <f ca="1">IFERROR(INDEX(ICE[], MATCH("ebobbrx" &amp; TEXT(Lts!$A61, "mmmyy"), ICE[LongCode], 0), MATCH("Text", ICE[#Headers], 0)), "")</f>
        <v/>
      </c>
      <c r="T61" s="46" t="str">
        <f t="shared" ca="1" si="78"/>
        <v/>
      </c>
      <c r="U61" s="47" t="str">
        <f t="shared" si="95"/>
        <v/>
      </c>
      <c r="V61" s="46" t="str">
        <f t="shared" ca="1" si="96"/>
        <v/>
      </c>
      <c r="W61" s="141" t="str">
        <f ca="1">IFERROR(IF(AND(ISNUMBER(Futs!$CC61), ISNUMBER($R61)), (Futs!$CC61 + $R61)*8.33, ""), "")</f>
        <v/>
      </c>
      <c r="X61" s="46" t="str">
        <f ca="1">IFERROR(IF(AND(ISNUMBER(Futs!$CD61), ISNUMBER($T61)), (Futs!$CD61 + $T61)*8.33, ""), "")</f>
        <v/>
      </c>
      <c r="Y61" s="47" t="str">
        <f t="shared" ca="1" si="97"/>
        <v/>
      </c>
      <c r="Z61" s="46" t="str">
        <f t="shared" ca="1" si="98"/>
        <v/>
      </c>
      <c r="AA61" s="141" t="str">
        <f t="shared" ca="1" si="79"/>
        <v/>
      </c>
      <c r="AB61" s="46" t="str">
        <f t="shared" ca="1" si="80"/>
        <v/>
      </c>
      <c r="AC61" s="47" t="str">
        <f t="shared" ca="1" si="99"/>
        <v/>
      </c>
      <c r="AD61" s="46" t="str">
        <f t="shared" ca="1" si="100"/>
        <v/>
      </c>
      <c r="AE61" s="141" t="str">
        <f ca="1">IFERROR(IF(AND(ISNUMBER(Futs!$CO61), ISNUMBER($W61)), Futs!$CO61 - $W61/8.33/42*100, ""), "")</f>
        <v/>
      </c>
      <c r="AF61" s="46" t="str">
        <f ca="1">IFERROR(IF(AND(ISNUMBER(Futs!$CP61), ISNUMBER($X61)), Futs!$CP61 - $X61/8.33/42*100, ""), "")</f>
        <v/>
      </c>
      <c r="AG61" s="47" t="str">
        <f t="shared" ca="1" si="101"/>
        <v/>
      </c>
      <c r="AH61" s="111" t="str">
        <f t="shared" ca="1" si="102"/>
        <v/>
      </c>
      <c r="AI61" s="397"/>
      <c r="AJ61" s="364" t="str">
        <f ca="1">IFERROR(INDEX(ICE[], MATCH("napew" &amp; TEXT(Lts!$A61, "mmmyy"), ICE[LongCode], 0), MATCH("Text", ICE[#Headers], 0)), "")</f>
        <v/>
      </c>
      <c r="AK61" s="46" t="str">
        <f t="shared" ca="1" si="81"/>
        <v/>
      </c>
      <c r="AL61" s="47" t="str">
        <f t="shared" si="103"/>
        <v/>
      </c>
      <c r="AM61" s="46" t="str">
        <f t="shared" ca="1" si="104"/>
        <v/>
      </c>
      <c r="AN61" s="141" t="str">
        <f t="shared" ca="1" si="82"/>
        <v/>
      </c>
      <c r="AO61" s="46" t="str">
        <f t="shared" ca="1" si="83"/>
        <v/>
      </c>
      <c r="AP61" s="47" t="str">
        <f t="shared" ca="1" si="84"/>
        <v/>
      </c>
      <c r="AQ61" s="46" t="str">
        <f t="shared" ca="1" si="105"/>
        <v/>
      </c>
      <c r="AR61" s="141" t="str">
        <f ca="1">IFERROR(IF(AND(ISNUMBER($AN61), ISNUMBER(Futs!$CC61)), $AN61/8.9 - Futs!$CC61, ""), "")</f>
        <v/>
      </c>
      <c r="AS61" s="46" t="str">
        <f ca="1">IFERROR(IF(AND(ISNUMBER($AO61), ISNUMBER(Futs!$CD61)), $AO61/8.9 - Futs!$CD61, ""), "")</f>
        <v/>
      </c>
      <c r="AT61" s="47" t="str">
        <f t="shared" ca="1" si="106"/>
        <v/>
      </c>
      <c r="AU61" s="111" t="str">
        <f t="shared" ca="1" si="107"/>
        <v/>
      </c>
      <c r="AV61" s="397"/>
      <c r="AW61" s="364" t="str">
        <f ca="1">IFERROR(INDEX(ICE[], MATCH("mg92ebob" &amp; TEXT(Lts!$A61, "mmmyy"), ICE[LongCode], 0), MATCH("Text", ICE[#Headers], 0)), "")</f>
        <v/>
      </c>
      <c r="AX61" s="46" t="str">
        <f t="shared" ca="1" si="85"/>
        <v/>
      </c>
      <c r="AY61" s="47" t="str">
        <f t="shared" si="108"/>
        <v/>
      </c>
      <c r="AZ61" s="46" t="str">
        <f t="shared" ca="1" si="109"/>
        <v/>
      </c>
      <c r="BA61" s="141" t="str">
        <f t="shared" ca="1" si="86"/>
        <v/>
      </c>
      <c r="BB61" s="46" t="str">
        <f t="shared" ca="1" si="87"/>
        <v/>
      </c>
      <c r="BC61" s="47" t="str">
        <f t="shared" ca="1" si="110"/>
        <v/>
      </c>
      <c r="BD61" s="46" t="str">
        <f t="shared" ca="1" si="111"/>
        <v/>
      </c>
      <c r="BE61" s="141" t="str">
        <f ca="1">IFERROR(IF(AND(ISNUMBER($BA61), ISNUMBER(Futs!$CC61)), $BA61 - Futs!$CC61, ""), "")</f>
        <v/>
      </c>
      <c r="BF61" s="46" t="str">
        <f ca="1">IFERROR(IF(AND(ISNUMBER($BB61), ISNUMBER(Futs!$CD61)), $BB61 - Futs!$CD61, ""), "")</f>
        <v/>
      </c>
      <c r="BG61" s="47" t="str">
        <f t="shared" ca="1" si="112"/>
        <v/>
      </c>
      <c r="BH61" s="111" t="str">
        <f t="shared" ca="1" si="113"/>
        <v/>
      </c>
      <c r="BI61" s="397"/>
      <c r="BJ61" s="364" t="str">
        <f ca="1">IFERROR(INDEX(ICE[], MATCH("mg9592" &amp; TEXT(Lts!$A61, "mmmyy"), ICE[LongCode], 0), MATCH("Text", ICE[#Headers], 0)), "")</f>
        <v/>
      </c>
      <c r="BK61" s="46" t="str">
        <f t="shared" ca="1" si="88"/>
        <v/>
      </c>
      <c r="BL61" s="47" t="str">
        <f t="shared" si="114"/>
        <v/>
      </c>
      <c r="BM61" s="46" t="str">
        <f t="shared" si="115"/>
        <v/>
      </c>
      <c r="BN61" s="141" t="str">
        <f t="shared" ca="1" si="89"/>
        <v/>
      </c>
      <c r="BO61" s="46" t="str">
        <f t="shared" ca="1" si="90"/>
        <v/>
      </c>
      <c r="BP61" s="47" t="str">
        <f t="shared" ca="1" si="116"/>
        <v/>
      </c>
      <c r="BQ61" s="46" t="str">
        <f t="shared" ca="1" si="117"/>
        <v/>
      </c>
      <c r="BR61" s="141" t="str">
        <f ca="1">IFERROR(IF(AND(ISNUMBER($BN61), ISNUMBER(Futs!$CC61)), $BN61 - Futs!$CC61, ""), "")</f>
        <v/>
      </c>
      <c r="BS61" s="46" t="str">
        <f ca="1">IFERROR(IF(AND(ISNUMBER($BO61), ISNUMBER(Futs!$CD61)), $BO61 - Futs!$CD61, ""), "")</f>
        <v/>
      </c>
      <c r="BT61" s="47" t="str">
        <f t="shared" ca="1" si="118"/>
        <v/>
      </c>
      <c r="BU61" s="111" t="str">
        <f t="shared" ca="1" si="119"/>
        <v/>
      </c>
    </row>
    <row r="62" spans="1:73" x14ac:dyDescent="0.25">
      <c r="A62" s="58">
        <f t="shared" ca="1" si="91"/>
        <v>47574</v>
      </c>
      <c r="B62" s="6">
        <f t="shared" ca="1" si="74"/>
        <v>2030</v>
      </c>
      <c r="C62" s="6" t="str">
        <f t="shared" ca="1" si="75"/>
        <v>Q230</v>
      </c>
      <c r="D62" s="28" t="e">
        <f ca="1">INDEX(ICE[], MATCH(D$18 &amp; TEXT(Lts!$A62, "mmmyy"), ICE[LongCode], 0), MATCH("Settle", ICE[#Headers], 0))</f>
        <v>#N/A</v>
      </c>
      <c r="E62" s="28" t="e">
        <f ca="1">INDEX(ICE[], MATCH(E$18 &amp; TEXT(Lts!$A62, "mmmyy"), ICE[LongCode], 0), MATCH("Settle", ICE[#Headers], 0))</f>
        <v>#N/A</v>
      </c>
      <c r="F62" s="28" t="e">
        <f ca="1">INDEX(ICE[], MATCH(F$18 &amp; TEXT(Lts!$A62, "mmmyy"), ICE[LongCode], 0), MATCH("Settle", ICE[#Headers], 0))</f>
        <v>#N/A</v>
      </c>
      <c r="G62" s="28" t="e">
        <f ca="1">INDEX(ICE[], MATCH(G$18 &amp; TEXT(Lts!$A62, "mmmyy"), ICE[LongCode], 0), MATCH("Settle", ICE[#Headers], 0))</f>
        <v>#N/A</v>
      </c>
      <c r="H62" s="28" t="e">
        <f ca="1">INDEX(ICE[], MATCH(H$18 &amp; TEXT(Lts!$A62, "mmmyy"), ICE[LongCode], 0), MATCH("Settle", ICE[#Headers], 0))</f>
        <v>#N/A</v>
      </c>
      <c r="I62" s="397"/>
      <c r="J62" s="364" t="str">
        <f ca="1">IFERROR(INDEX(ICE[], MATCH("napbrx" &amp; TEXT(Lts!$A62, "mmmyy"), ICE[LongCode], 0), MATCH("Text", ICE[#Headers], 0)), "")</f>
        <v/>
      </c>
      <c r="K62" s="46" t="str">
        <f t="shared" ca="1" si="76"/>
        <v/>
      </c>
      <c r="L62" s="47" t="str">
        <f t="shared" si="120"/>
        <v/>
      </c>
      <c r="M62" s="46" t="str">
        <f t="shared" ca="1" si="92"/>
        <v/>
      </c>
      <c r="N62" s="141" t="str">
        <f ca="1">IFERROR(IF(AND(ISNUMBER(Futs!$CC62), ISNUMBER($I62)), (Futs!$CC62 + $I62)*8.9, ""), "")</f>
        <v/>
      </c>
      <c r="O62" s="46" t="str">
        <f ca="1">IFERROR(IF(AND(ISNUMBER(Futs!$CD62), ISNUMBER($K62)), (Futs!$CD62 + $K62)*8.9, ""), "")</f>
        <v/>
      </c>
      <c r="P62" s="47" t="str">
        <f t="shared" ca="1" si="93"/>
        <v/>
      </c>
      <c r="Q62" s="111" t="str">
        <f t="shared" ca="1" si="94"/>
        <v/>
      </c>
      <c r="R62" s="397"/>
      <c r="S62" s="364" t="str">
        <f ca="1">IFERROR(INDEX(ICE[], MATCH("ebobbrx" &amp; TEXT(Lts!$A62, "mmmyy"), ICE[LongCode], 0), MATCH("Text", ICE[#Headers], 0)), "")</f>
        <v/>
      </c>
      <c r="T62" s="46" t="str">
        <f t="shared" ca="1" si="78"/>
        <v/>
      </c>
      <c r="U62" s="47" t="str">
        <f t="shared" si="95"/>
        <v/>
      </c>
      <c r="V62" s="46" t="str">
        <f t="shared" ca="1" si="96"/>
        <v/>
      </c>
      <c r="W62" s="141" t="str">
        <f ca="1">IFERROR(IF(AND(ISNUMBER(Futs!$CC62), ISNUMBER($R62)), (Futs!$CC62 + $R62)*8.33, ""), "")</f>
        <v/>
      </c>
      <c r="X62" s="46" t="str">
        <f ca="1">IFERROR(IF(AND(ISNUMBER(Futs!$CD62), ISNUMBER($T62)), (Futs!$CD62 + $T62)*8.33, ""), "")</f>
        <v/>
      </c>
      <c r="Y62" s="47" t="str">
        <f t="shared" ca="1" si="97"/>
        <v/>
      </c>
      <c r="Z62" s="46" t="str">
        <f t="shared" ca="1" si="98"/>
        <v/>
      </c>
      <c r="AA62" s="141" t="str">
        <f t="shared" ca="1" si="79"/>
        <v/>
      </c>
      <c r="AB62" s="46" t="str">
        <f t="shared" ca="1" si="80"/>
        <v/>
      </c>
      <c r="AC62" s="47" t="str">
        <f t="shared" ca="1" si="99"/>
        <v/>
      </c>
      <c r="AD62" s="46" t="str">
        <f t="shared" ca="1" si="100"/>
        <v/>
      </c>
      <c r="AE62" s="141" t="str">
        <f ca="1">IFERROR(IF(AND(ISNUMBER(Futs!$CO62), ISNUMBER($W62)), Futs!$CO62 - $W62/8.33/42*100, ""), "")</f>
        <v/>
      </c>
      <c r="AF62" s="46" t="str">
        <f ca="1">IFERROR(IF(AND(ISNUMBER(Futs!$CP62), ISNUMBER($X62)), Futs!$CP62 - $X62/8.33/42*100, ""), "")</f>
        <v/>
      </c>
      <c r="AG62" s="47" t="str">
        <f t="shared" ca="1" si="101"/>
        <v/>
      </c>
      <c r="AH62" s="111" t="str">
        <f t="shared" ca="1" si="102"/>
        <v/>
      </c>
      <c r="AI62" s="397"/>
      <c r="AJ62" s="364" t="str">
        <f ca="1">IFERROR(INDEX(ICE[], MATCH("napew" &amp; TEXT(Lts!$A62, "mmmyy"), ICE[LongCode], 0), MATCH("Text", ICE[#Headers], 0)), "")</f>
        <v/>
      </c>
      <c r="AK62" s="46" t="str">
        <f t="shared" ca="1" si="81"/>
        <v/>
      </c>
      <c r="AL62" s="47" t="str">
        <f t="shared" si="103"/>
        <v/>
      </c>
      <c r="AM62" s="46" t="str">
        <f t="shared" ca="1" si="104"/>
        <v/>
      </c>
      <c r="AN62" s="141" t="str">
        <f t="shared" ca="1" si="82"/>
        <v/>
      </c>
      <c r="AO62" s="46" t="str">
        <f t="shared" ca="1" si="83"/>
        <v/>
      </c>
      <c r="AP62" s="47" t="str">
        <f t="shared" ca="1" si="84"/>
        <v/>
      </c>
      <c r="AQ62" s="46" t="str">
        <f t="shared" ca="1" si="105"/>
        <v/>
      </c>
      <c r="AR62" s="141" t="str">
        <f ca="1">IFERROR(IF(AND(ISNUMBER($AN62), ISNUMBER(Futs!$CC62)), $AN62/8.9 - Futs!$CC62, ""), "")</f>
        <v/>
      </c>
      <c r="AS62" s="46" t="str">
        <f ca="1">IFERROR(IF(AND(ISNUMBER($AO62), ISNUMBER(Futs!$CD62)), $AO62/8.9 - Futs!$CD62, ""), "")</f>
        <v/>
      </c>
      <c r="AT62" s="47" t="str">
        <f t="shared" ca="1" si="106"/>
        <v/>
      </c>
      <c r="AU62" s="111" t="str">
        <f t="shared" ca="1" si="107"/>
        <v/>
      </c>
      <c r="AV62" s="397"/>
      <c r="AW62" s="364" t="str">
        <f ca="1">IFERROR(INDEX(ICE[], MATCH("mg92ebob" &amp; TEXT(Lts!$A62, "mmmyy"), ICE[LongCode], 0), MATCH("Text", ICE[#Headers], 0)), "")</f>
        <v/>
      </c>
      <c r="AX62" s="46" t="str">
        <f t="shared" ca="1" si="85"/>
        <v/>
      </c>
      <c r="AY62" s="47" t="str">
        <f t="shared" si="108"/>
        <v/>
      </c>
      <c r="AZ62" s="46" t="str">
        <f t="shared" ca="1" si="109"/>
        <v/>
      </c>
      <c r="BA62" s="141" t="str">
        <f t="shared" ca="1" si="86"/>
        <v/>
      </c>
      <c r="BB62" s="46" t="str">
        <f t="shared" ca="1" si="87"/>
        <v/>
      </c>
      <c r="BC62" s="47" t="str">
        <f t="shared" ca="1" si="110"/>
        <v/>
      </c>
      <c r="BD62" s="46" t="str">
        <f t="shared" ca="1" si="111"/>
        <v/>
      </c>
      <c r="BE62" s="141" t="str">
        <f ca="1">IFERROR(IF(AND(ISNUMBER($BA62), ISNUMBER(Futs!$CC62)), $BA62 - Futs!$CC62, ""), "")</f>
        <v/>
      </c>
      <c r="BF62" s="46" t="str">
        <f ca="1">IFERROR(IF(AND(ISNUMBER($BB62), ISNUMBER(Futs!$CD62)), $BB62 - Futs!$CD62, ""), "")</f>
        <v/>
      </c>
      <c r="BG62" s="47" t="str">
        <f t="shared" ca="1" si="112"/>
        <v/>
      </c>
      <c r="BH62" s="111" t="str">
        <f t="shared" ca="1" si="113"/>
        <v/>
      </c>
      <c r="BI62" s="397"/>
      <c r="BJ62" s="364" t="str">
        <f ca="1">IFERROR(INDEX(ICE[], MATCH("mg9592" &amp; TEXT(Lts!$A62, "mmmyy"), ICE[LongCode], 0), MATCH("Text", ICE[#Headers], 0)), "")</f>
        <v/>
      </c>
      <c r="BK62" s="46" t="str">
        <f t="shared" ca="1" si="88"/>
        <v/>
      </c>
      <c r="BL62" s="47" t="str">
        <f t="shared" si="114"/>
        <v/>
      </c>
      <c r="BM62" s="46" t="str">
        <f t="shared" si="115"/>
        <v/>
      </c>
      <c r="BN62" s="141" t="str">
        <f t="shared" ca="1" si="89"/>
        <v/>
      </c>
      <c r="BO62" s="46" t="str">
        <f t="shared" ca="1" si="90"/>
        <v/>
      </c>
      <c r="BP62" s="47" t="str">
        <f t="shared" ca="1" si="116"/>
        <v/>
      </c>
      <c r="BQ62" s="46" t="str">
        <f t="shared" ca="1" si="117"/>
        <v/>
      </c>
      <c r="BR62" s="141" t="str">
        <f ca="1">IFERROR(IF(AND(ISNUMBER($BN62), ISNUMBER(Futs!$CC62)), $BN62 - Futs!$CC62, ""), "")</f>
        <v/>
      </c>
      <c r="BS62" s="46" t="str">
        <f ca="1">IFERROR(IF(AND(ISNUMBER($BO62), ISNUMBER(Futs!$CD62)), $BO62 - Futs!$CD62, ""), "")</f>
        <v/>
      </c>
      <c r="BT62" s="47" t="str">
        <f t="shared" ca="1" si="118"/>
        <v/>
      </c>
      <c r="BU62" s="111" t="str">
        <f t="shared" ca="1" si="119"/>
        <v/>
      </c>
    </row>
    <row r="63" spans="1:73" x14ac:dyDescent="0.25">
      <c r="A63" s="58">
        <f t="shared" ca="1" si="91"/>
        <v>47604</v>
      </c>
      <c r="B63" s="6">
        <f t="shared" ca="1" si="74"/>
        <v>2030</v>
      </c>
      <c r="C63" s="6" t="str">
        <f t="shared" ca="1" si="75"/>
        <v>Q230</v>
      </c>
      <c r="D63" s="28" t="e">
        <f ca="1">INDEX(ICE[], MATCH(D$18 &amp; TEXT(Lts!$A63, "mmmyy"), ICE[LongCode], 0), MATCH("Settle", ICE[#Headers], 0))</f>
        <v>#N/A</v>
      </c>
      <c r="E63" s="28" t="e">
        <f ca="1">INDEX(ICE[], MATCH(E$18 &amp; TEXT(Lts!$A63, "mmmyy"), ICE[LongCode], 0), MATCH("Settle", ICE[#Headers], 0))</f>
        <v>#N/A</v>
      </c>
      <c r="F63" s="28" t="e">
        <f ca="1">INDEX(ICE[], MATCH(F$18 &amp; TEXT(Lts!$A63, "mmmyy"), ICE[LongCode], 0), MATCH("Settle", ICE[#Headers], 0))</f>
        <v>#N/A</v>
      </c>
      <c r="G63" s="28" t="e">
        <f ca="1">INDEX(ICE[], MATCH(G$18 &amp; TEXT(Lts!$A63, "mmmyy"), ICE[LongCode], 0), MATCH("Settle", ICE[#Headers], 0))</f>
        <v>#N/A</v>
      </c>
      <c r="H63" s="28" t="e">
        <f ca="1">INDEX(ICE[], MATCH(H$18 &amp; TEXT(Lts!$A63, "mmmyy"), ICE[LongCode], 0), MATCH("Settle", ICE[#Headers], 0))</f>
        <v>#N/A</v>
      </c>
      <c r="I63" s="397"/>
      <c r="J63" s="364" t="str">
        <f ca="1">IFERROR(INDEX(ICE[], MATCH("napbrx" &amp; TEXT(Lts!$A63, "mmmyy"), ICE[LongCode], 0), MATCH("Text", ICE[#Headers], 0)), "")</f>
        <v/>
      </c>
      <c r="K63" s="46" t="str">
        <f t="shared" ca="1" si="76"/>
        <v/>
      </c>
      <c r="L63" s="47" t="str">
        <f t="shared" si="120"/>
        <v/>
      </c>
      <c r="M63" s="46" t="str">
        <f t="shared" ca="1" si="92"/>
        <v/>
      </c>
      <c r="N63" s="141" t="str">
        <f ca="1">IFERROR(IF(AND(ISNUMBER(Futs!$CC63), ISNUMBER($I63)), (Futs!$CC63 + $I63)*8.9, ""), "")</f>
        <v/>
      </c>
      <c r="O63" s="46" t="str">
        <f ca="1">IFERROR(IF(AND(ISNUMBER(Futs!$CD63), ISNUMBER($K63)), (Futs!$CD63 + $K63)*8.9, ""), "")</f>
        <v/>
      </c>
      <c r="P63" s="47" t="str">
        <f t="shared" ca="1" si="93"/>
        <v/>
      </c>
      <c r="Q63" s="111" t="str">
        <f t="shared" ca="1" si="94"/>
        <v/>
      </c>
      <c r="R63" s="397"/>
      <c r="S63" s="364" t="str">
        <f ca="1">IFERROR(INDEX(ICE[], MATCH("ebobbrx" &amp; TEXT(Lts!$A63, "mmmyy"), ICE[LongCode], 0), MATCH("Text", ICE[#Headers], 0)), "")</f>
        <v/>
      </c>
      <c r="T63" s="46" t="str">
        <f t="shared" ca="1" si="78"/>
        <v/>
      </c>
      <c r="U63" s="47" t="str">
        <f t="shared" si="95"/>
        <v/>
      </c>
      <c r="V63" s="46" t="str">
        <f t="shared" ca="1" si="96"/>
        <v/>
      </c>
      <c r="W63" s="141" t="str">
        <f ca="1">IFERROR(IF(AND(ISNUMBER(Futs!$CC63), ISNUMBER($R63)), (Futs!$CC63 + $R63)*8.33, ""), "")</f>
        <v/>
      </c>
      <c r="X63" s="46" t="str">
        <f ca="1">IFERROR(IF(AND(ISNUMBER(Futs!$CD63), ISNUMBER($T63)), (Futs!$CD63 + $T63)*8.33, ""), "")</f>
        <v/>
      </c>
      <c r="Y63" s="47" t="str">
        <f t="shared" ca="1" si="97"/>
        <v/>
      </c>
      <c r="Z63" s="46" t="str">
        <f t="shared" ca="1" si="98"/>
        <v/>
      </c>
      <c r="AA63" s="141" t="str">
        <f t="shared" ca="1" si="79"/>
        <v/>
      </c>
      <c r="AB63" s="46" t="str">
        <f t="shared" ca="1" si="80"/>
        <v/>
      </c>
      <c r="AC63" s="47" t="str">
        <f t="shared" ca="1" si="99"/>
        <v/>
      </c>
      <c r="AD63" s="46" t="str">
        <f t="shared" ca="1" si="100"/>
        <v/>
      </c>
      <c r="AE63" s="141" t="str">
        <f ca="1">IFERROR(IF(AND(ISNUMBER(Futs!$CO63), ISNUMBER($W63)), Futs!$CO63 - $W63/8.33/42*100, ""), "")</f>
        <v/>
      </c>
      <c r="AF63" s="46" t="str">
        <f ca="1">IFERROR(IF(AND(ISNUMBER(Futs!$CP63), ISNUMBER($X63)), Futs!$CP63 - $X63/8.33/42*100, ""), "")</f>
        <v/>
      </c>
      <c r="AG63" s="47" t="str">
        <f t="shared" ca="1" si="101"/>
        <v/>
      </c>
      <c r="AH63" s="111" t="str">
        <f t="shared" ca="1" si="102"/>
        <v/>
      </c>
      <c r="AI63" s="397"/>
      <c r="AJ63" s="364" t="str">
        <f ca="1">IFERROR(INDEX(ICE[], MATCH("napew" &amp; TEXT(Lts!$A63, "mmmyy"), ICE[LongCode], 0), MATCH("Text", ICE[#Headers], 0)), "")</f>
        <v/>
      </c>
      <c r="AK63" s="46" t="str">
        <f t="shared" ca="1" si="81"/>
        <v/>
      </c>
      <c r="AL63" s="47" t="str">
        <f t="shared" si="103"/>
        <v/>
      </c>
      <c r="AM63" s="46" t="str">
        <f t="shared" ca="1" si="104"/>
        <v/>
      </c>
      <c r="AN63" s="141" t="str">
        <f t="shared" ca="1" si="82"/>
        <v/>
      </c>
      <c r="AO63" s="46" t="str">
        <f t="shared" ca="1" si="83"/>
        <v/>
      </c>
      <c r="AP63" s="47" t="str">
        <f t="shared" ca="1" si="84"/>
        <v/>
      </c>
      <c r="AQ63" s="46" t="str">
        <f t="shared" ca="1" si="105"/>
        <v/>
      </c>
      <c r="AR63" s="141" t="str">
        <f ca="1">IFERROR(IF(AND(ISNUMBER($AN63), ISNUMBER(Futs!$CC63)), $AN63/8.9 - Futs!$CC63, ""), "")</f>
        <v/>
      </c>
      <c r="AS63" s="46" t="str">
        <f ca="1">IFERROR(IF(AND(ISNUMBER($AO63), ISNUMBER(Futs!$CD63)), $AO63/8.9 - Futs!$CD63, ""), "")</f>
        <v/>
      </c>
      <c r="AT63" s="47" t="str">
        <f t="shared" ca="1" si="106"/>
        <v/>
      </c>
      <c r="AU63" s="111" t="str">
        <f t="shared" ca="1" si="107"/>
        <v/>
      </c>
      <c r="AV63" s="397"/>
      <c r="AW63" s="364" t="str">
        <f ca="1">IFERROR(INDEX(ICE[], MATCH("mg92ebob" &amp; TEXT(Lts!$A63, "mmmyy"), ICE[LongCode], 0), MATCH("Text", ICE[#Headers], 0)), "")</f>
        <v/>
      </c>
      <c r="AX63" s="46" t="str">
        <f t="shared" ca="1" si="85"/>
        <v/>
      </c>
      <c r="AY63" s="47" t="str">
        <f t="shared" si="108"/>
        <v/>
      </c>
      <c r="AZ63" s="46" t="str">
        <f t="shared" ca="1" si="109"/>
        <v/>
      </c>
      <c r="BA63" s="141" t="str">
        <f t="shared" ca="1" si="86"/>
        <v/>
      </c>
      <c r="BB63" s="46" t="str">
        <f t="shared" ca="1" si="87"/>
        <v/>
      </c>
      <c r="BC63" s="47" t="str">
        <f t="shared" ca="1" si="110"/>
        <v/>
      </c>
      <c r="BD63" s="46" t="str">
        <f t="shared" ca="1" si="111"/>
        <v/>
      </c>
      <c r="BE63" s="141" t="str">
        <f ca="1">IFERROR(IF(AND(ISNUMBER($BA63), ISNUMBER(Futs!$CC63)), $BA63 - Futs!$CC63, ""), "")</f>
        <v/>
      </c>
      <c r="BF63" s="46" t="str">
        <f ca="1">IFERROR(IF(AND(ISNUMBER($BB63), ISNUMBER(Futs!$CD63)), $BB63 - Futs!$CD63, ""), "")</f>
        <v/>
      </c>
      <c r="BG63" s="47" t="str">
        <f t="shared" ca="1" si="112"/>
        <v/>
      </c>
      <c r="BH63" s="111" t="str">
        <f t="shared" ca="1" si="113"/>
        <v/>
      </c>
      <c r="BI63" s="397"/>
      <c r="BJ63" s="364" t="str">
        <f ca="1">IFERROR(INDEX(ICE[], MATCH("mg9592" &amp; TEXT(Lts!$A63, "mmmyy"), ICE[LongCode], 0), MATCH("Text", ICE[#Headers], 0)), "")</f>
        <v/>
      </c>
      <c r="BK63" s="46" t="str">
        <f t="shared" ca="1" si="88"/>
        <v/>
      </c>
      <c r="BL63" s="47" t="str">
        <f t="shared" si="114"/>
        <v/>
      </c>
      <c r="BM63" s="46" t="str">
        <f t="shared" si="115"/>
        <v/>
      </c>
      <c r="BN63" s="141" t="str">
        <f t="shared" ca="1" si="89"/>
        <v/>
      </c>
      <c r="BO63" s="46" t="str">
        <f t="shared" ca="1" si="90"/>
        <v/>
      </c>
      <c r="BP63" s="47" t="str">
        <f t="shared" ca="1" si="116"/>
        <v/>
      </c>
      <c r="BQ63" s="46" t="str">
        <f t="shared" ca="1" si="117"/>
        <v/>
      </c>
      <c r="BR63" s="141" t="str">
        <f ca="1">IFERROR(IF(AND(ISNUMBER($BN63), ISNUMBER(Futs!$CC63)), $BN63 - Futs!$CC63, ""), "")</f>
        <v/>
      </c>
      <c r="BS63" s="46" t="str">
        <f ca="1">IFERROR(IF(AND(ISNUMBER($BO63), ISNUMBER(Futs!$CD63)), $BO63 - Futs!$CD63, ""), "")</f>
        <v/>
      </c>
      <c r="BT63" s="47" t="str">
        <f t="shared" ca="1" si="118"/>
        <v/>
      </c>
      <c r="BU63" s="111" t="str">
        <f t="shared" ca="1" si="119"/>
        <v/>
      </c>
    </row>
    <row r="64" spans="1:73" x14ac:dyDescent="0.25">
      <c r="A64" s="58">
        <f t="shared" ca="1" si="91"/>
        <v>47635</v>
      </c>
      <c r="B64" s="6">
        <f t="shared" ca="1" si="74"/>
        <v>2030</v>
      </c>
      <c r="C64" s="6" t="str">
        <f t="shared" ca="1" si="75"/>
        <v>Q230</v>
      </c>
      <c r="D64" s="28" t="e">
        <f ca="1">INDEX(ICE[], MATCH(D$18 &amp; TEXT(Lts!$A64, "mmmyy"), ICE[LongCode], 0), MATCH("Settle", ICE[#Headers], 0))</f>
        <v>#N/A</v>
      </c>
      <c r="E64" s="28" t="e">
        <f ca="1">INDEX(ICE[], MATCH(E$18 &amp; TEXT(Lts!$A64, "mmmyy"), ICE[LongCode], 0), MATCH("Settle", ICE[#Headers], 0))</f>
        <v>#N/A</v>
      </c>
      <c r="F64" s="28" t="e">
        <f ca="1">INDEX(ICE[], MATCH(F$18 &amp; TEXT(Lts!$A64, "mmmyy"), ICE[LongCode], 0), MATCH("Settle", ICE[#Headers], 0))</f>
        <v>#N/A</v>
      </c>
      <c r="G64" s="28" t="e">
        <f ca="1">INDEX(ICE[], MATCH(G$18 &amp; TEXT(Lts!$A64, "mmmyy"), ICE[LongCode], 0), MATCH("Settle", ICE[#Headers], 0))</f>
        <v>#N/A</v>
      </c>
      <c r="H64" s="28" t="e">
        <f ca="1">INDEX(ICE[], MATCH(H$18 &amp; TEXT(Lts!$A64, "mmmyy"), ICE[LongCode], 0), MATCH("Settle", ICE[#Headers], 0))</f>
        <v>#N/A</v>
      </c>
      <c r="I64" s="397"/>
      <c r="J64" s="364" t="str">
        <f ca="1">IFERROR(INDEX(ICE[], MATCH("napbrx" &amp; TEXT(Lts!$A64, "mmmyy"), ICE[LongCode], 0), MATCH("Text", ICE[#Headers], 0)), "")</f>
        <v/>
      </c>
      <c r="K64" s="46" t="str">
        <f t="shared" ca="1" si="76"/>
        <v/>
      </c>
      <c r="L64" s="47" t="str">
        <f t="shared" si="120"/>
        <v/>
      </c>
      <c r="M64" s="46" t="str">
        <f t="shared" ca="1" si="92"/>
        <v/>
      </c>
      <c r="N64" s="141" t="str">
        <f ca="1">IFERROR(IF(AND(ISNUMBER(Futs!$CC64), ISNUMBER($I64)), (Futs!$CC64 + $I64)*8.9, ""), "")</f>
        <v/>
      </c>
      <c r="O64" s="46" t="str">
        <f ca="1">IFERROR(IF(AND(ISNUMBER(Futs!$CD64), ISNUMBER($K64)), (Futs!$CD64 + $K64)*8.9, ""), "")</f>
        <v/>
      </c>
      <c r="P64" s="47" t="str">
        <f t="shared" ca="1" si="93"/>
        <v/>
      </c>
      <c r="Q64" s="111" t="str">
        <f t="shared" ca="1" si="94"/>
        <v/>
      </c>
      <c r="R64" s="397"/>
      <c r="S64" s="364" t="str">
        <f ca="1">IFERROR(INDEX(ICE[], MATCH("ebobbrx" &amp; TEXT(Lts!$A64, "mmmyy"), ICE[LongCode], 0), MATCH("Text", ICE[#Headers], 0)), "")</f>
        <v/>
      </c>
      <c r="T64" s="46" t="str">
        <f t="shared" ca="1" si="78"/>
        <v/>
      </c>
      <c r="U64" s="47" t="str">
        <f t="shared" si="95"/>
        <v/>
      </c>
      <c r="V64" s="46" t="str">
        <f t="shared" ca="1" si="96"/>
        <v/>
      </c>
      <c r="W64" s="141" t="str">
        <f ca="1">IFERROR(IF(AND(ISNUMBER(Futs!$CC64), ISNUMBER($R64)), (Futs!$CC64 + $R64)*8.33, ""), "")</f>
        <v/>
      </c>
      <c r="X64" s="46" t="str">
        <f ca="1">IFERROR(IF(AND(ISNUMBER(Futs!$CD64), ISNUMBER($T64)), (Futs!$CD64 + $T64)*8.33, ""), "")</f>
        <v/>
      </c>
      <c r="Y64" s="47" t="str">
        <f t="shared" ca="1" si="97"/>
        <v/>
      </c>
      <c r="Z64" s="46" t="str">
        <f t="shared" ca="1" si="98"/>
        <v/>
      </c>
      <c r="AA64" s="141" t="str">
        <f t="shared" ca="1" si="79"/>
        <v/>
      </c>
      <c r="AB64" s="46" t="str">
        <f t="shared" ca="1" si="80"/>
        <v/>
      </c>
      <c r="AC64" s="47" t="str">
        <f t="shared" ca="1" si="99"/>
        <v/>
      </c>
      <c r="AD64" s="46" t="str">
        <f t="shared" ca="1" si="100"/>
        <v/>
      </c>
      <c r="AE64" s="141" t="str">
        <f ca="1">IFERROR(IF(AND(ISNUMBER(Futs!$CO64), ISNUMBER($W64)), Futs!$CO64 - $W64/8.33/42*100, ""), "")</f>
        <v/>
      </c>
      <c r="AF64" s="46" t="str">
        <f ca="1">IFERROR(IF(AND(ISNUMBER(Futs!$CP64), ISNUMBER($X64)), Futs!$CP64 - $X64/8.33/42*100, ""), "")</f>
        <v/>
      </c>
      <c r="AG64" s="47" t="str">
        <f t="shared" ca="1" si="101"/>
        <v/>
      </c>
      <c r="AH64" s="111" t="str">
        <f t="shared" ca="1" si="102"/>
        <v/>
      </c>
      <c r="AI64" s="397"/>
      <c r="AJ64" s="364" t="str">
        <f ca="1">IFERROR(INDEX(ICE[], MATCH("napew" &amp; TEXT(Lts!$A64, "mmmyy"), ICE[LongCode], 0), MATCH("Text", ICE[#Headers], 0)), "")</f>
        <v/>
      </c>
      <c r="AK64" s="46" t="str">
        <f t="shared" ca="1" si="81"/>
        <v/>
      </c>
      <c r="AL64" s="47" t="str">
        <f t="shared" si="103"/>
        <v/>
      </c>
      <c r="AM64" s="46" t="str">
        <f t="shared" ca="1" si="104"/>
        <v/>
      </c>
      <c r="AN64" s="141" t="str">
        <f t="shared" ca="1" si="82"/>
        <v/>
      </c>
      <c r="AO64" s="46" t="str">
        <f t="shared" ca="1" si="83"/>
        <v/>
      </c>
      <c r="AP64" s="47" t="str">
        <f t="shared" ca="1" si="84"/>
        <v/>
      </c>
      <c r="AQ64" s="46" t="str">
        <f t="shared" ca="1" si="105"/>
        <v/>
      </c>
      <c r="AR64" s="141" t="str">
        <f ca="1">IFERROR(IF(AND(ISNUMBER($AN64), ISNUMBER(Futs!$CC64)), $AN64/8.9 - Futs!$CC64, ""), "")</f>
        <v/>
      </c>
      <c r="AS64" s="46" t="str">
        <f ca="1">IFERROR(IF(AND(ISNUMBER($AO64), ISNUMBER(Futs!$CD64)), $AO64/8.9 - Futs!$CD64, ""), "")</f>
        <v/>
      </c>
      <c r="AT64" s="47" t="str">
        <f t="shared" ca="1" si="106"/>
        <v/>
      </c>
      <c r="AU64" s="111" t="str">
        <f t="shared" ca="1" si="107"/>
        <v/>
      </c>
      <c r="AV64" s="397"/>
      <c r="AW64" s="364" t="str">
        <f ca="1">IFERROR(INDEX(ICE[], MATCH("mg92ebob" &amp; TEXT(Lts!$A64, "mmmyy"), ICE[LongCode], 0), MATCH("Text", ICE[#Headers], 0)), "")</f>
        <v/>
      </c>
      <c r="AX64" s="46" t="str">
        <f t="shared" ca="1" si="85"/>
        <v/>
      </c>
      <c r="AY64" s="47" t="str">
        <f t="shared" si="108"/>
        <v/>
      </c>
      <c r="AZ64" s="46" t="str">
        <f t="shared" ca="1" si="109"/>
        <v/>
      </c>
      <c r="BA64" s="141" t="str">
        <f t="shared" ca="1" si="86"/>
        <v/>
      </c>
      <c r="BB64" s="46" t="str">
        <f t="shared" ca="1" si="87"/>
        <v/>
      </c>
      <c r="BC64" s="47" t="str">
        <f t="shared" ca="1" si="110"/>
        <v/>
      </c>
      <c r="BD64" s="46" t="str">
        <f t="shared" ca="1" si="111"/>
        <v/>
      </c>
      <c r="BE64" s="141" t="str">
        <f ca="1">IFERROR(IF(AND(ISNUMBER($BA64), ISNUMBER(Futs!$CC64)), $BA64 - Futs!$CC64, ""), "")</f>
        <v/>
      </c>
      <c r="BF64" s="46" t="str">
        <f ca="1">IFERROR(IF(AND(ISNUMBER($BB64), ISNUMBER(Futs!$CD64)), $BB64 - Futs!$CD64, ""), "")</f>
        <v/>
      </c>
      <c r="BG64" s="47" t="str">
        <f t="shared" ca="1" si="112"/>
        <v/>
      </c>
      <c r="BH64" s="111" t="str">
        <f t="shared" ca="1" si="113"/>
        <v/>
      </c>
      <c r="BI64" s="397"/>
      <c r="BJ64" s="364" t="str">
        <f ca="1">IFERROR(INDEX(ICE[], MATCH("mg9592" &amp; TEXT(Lts!$A64, "mmmyy"), ICE[LongCode], 0), MATCH("Text", ICE[#Headers], 0)), "")</f>
        <v/>
      </c>
      <c r="BK64" s="46" t="str">
        <f t="shared" ca="1" si="88"/>
        <v/>
      </c>
      <c r="BL64" s="47" t="str">
        <f t="shared" si="114"/>
        <v/>
      </c>
      <c r="BM64" s="46" t="str">
        <f t="shared" si="115"/>
        <v/>
      </c>
      <c r="BN64" s="141" t="str">
        <f t="shared" ca="1" si="89"/>
        <v/>
      </c>
      <c r="BO64" s="46" t="str">
        <f t="shared" ca="1" si="90"/>
        <v/>
      </c>
      <c r="BP64" s="47" t="str">
        <f t="shared" ca="1" si="116"/>
        <v/>
      </c>
      <c r="BQ64" s="46" t="str">
        <f t="shared" ca="1" si="117"/>
        <v/>
      </c>
      <c r="BR64" s="141" t="str">
        <f ca="1">IFERROR(IF(AND(ISNUMBER($BN64), ISNUMBER(Futs!$CC64)), $BN64 - Futs!$CC64, ""), "")</f>
        <v/>
      </c>
      <c r="BS64" s="46" t="str">
        <f ca="1">IFERROR(IF(AND(ISNUMBER($BO64), ISNUMBER(Futs!$CD64)), $BO64 - Futs!$CD64, ""), "")</f>
        <v/>
      </c>
      <c r="BT64" s="47" t="str">
        <f t="shared" ca="1" si="118"/>
        <v/>
      </c>
      <c r="BU64" s="111" t="str">
        <f t="shared" ca="1" si="119"/>
        <v/>
      </c>
    </row>
    <row r="65" spans="1:73" x14ac:dyDescent="0.25">
      <c r="A65" s="58">
        <f t="shared" ca="1" si="91"/>
        <v>47665</v>
      </c>
      <c r="B65" s="6">
        <f t="shared" ca="1" si="74"/>
        <v>2030</v>
      </c>
      <c r="C65" s="6" t="str">
        <f t="shared" ca="1" si="75"/>
        <v>Q330</v>
      </c>
      <c r="D65" s="28" t="e">
        <f ca="1">INDEX(ICE[], MATCH(D$18 &amp; TEXT(Lts!$A65, "mmmyy"), ICE[LongCode], 0), MATCH("Settle", ICE[#Headers], 0))</f>
        <v>#N/A</v>
      </c>
      <c r="E65" s="28" t="e">
        <f ca="1">INDEX(ICE[], MATCH(E$18 &amp; TEXT(Lts!$A65, "mmmyy"), ICE[LongCode], 0), MATCH("Settle", ICE[#Headers], 0))</f>
        <v>#N/A</v>
      </c>
      <c r="F65" s="28" t="e">
        <f ca="1">INDEX(ICE[], MATCH(F$18 &amp; TEXT(Lts!$A65, "mmmyy"), ICE[LongCode], 0), MATCH("Settle", ICE[#Headers], 0))</f>
        <v>#N/A</v>
      </c>
      <c r="G65" s="28" t="e">
        <f ca="1">INDEX(ICE[], MATCH(G$18 &amp; TEXT(Lts!$A65, "mmmyy"), ICE[LongCode], 0), MATCH("Settle", ICE[#Headers], 0))</f>
        <v>#N/A</v>
      </c>
      <c r="H65" s="28" t="e">
        <f ca="1">INDEX(ICE[], MATCH(H$18 &amp; TEXT(Lts!$A65, "mmmyy"), ICE[LongCode], 0), MATCH("Settle", ICE[#Headers], 0))</f>
        <v>#N/A</v>
      </c>
      <c r="I65" s="397"/>
      <c r="J65" s="364" t="str">
        <f ca="1">IFERROR(INDEX(ICE[], MATCH("napbrx" &amp; TEXT(Lts!$A65, "mmmyy"), ICE[LongCode], 0), MATCH("Text", ICE[#Headers], 0)), "")</f>
        <v/>
      </c>
      <c r="K65" s="46" t="str">
        <f t="shared" ca="1" si="76"/>
        <v/>
      </c>
      <c r="L65" s="47" t="str">
        <f t="shared" si="120"/>
        <v/>
      </c>
      <c r="M65" s="46" t="str">
        <f t="shared" ca="1" si="92"/>
        <v/>
      </c>
      <c r="N65" s="141" t="str">
        <f ca="1">IFERROR(IF(AND(ISNUMBER(Futs!$CC65), ISNUMBER($I65)), (Futs!$CC65 + $I65)*8.9, ""), "")</f>
        <v/>
      </c>
      <c r="O65" s="46" t="str">
        <f ca="1">IFERROR(IF(AND(ISNUMBER(Futs!$CD65), ISNUMBER($K65)), (Futs!$CD65 + $K65)*8.9, ""), "")</f>
        <v/>
      </c>
      <c r="P65" s="47" t="str">
        <f t="shared" ca="1" si="93"/>
        <v/>
      </c>
      <c r="Q65" s="111" t="str">
        <f t="shared" ca="1" si="94"/>
        <v/>
      </c>
      <c r="R65" s="397"/>
      <c r="S65" s="364" t="str">
        <f ca="1">IFERROR(INDEX(ICE[], MATCH("ebobbrx" &amp; TEXT(Lts!$A65, "mmmyy"), ICE[LongCode], 0), MATCH("Text", ICE[#Headers], 0)), "")</f>
        <v/>
      </c>
      <c r="T65" s="46" t="str">
        <f t="shared" ca="1" si="78"/>
        <v/>
      </c>
      <c r="U65" s="47" t="str">
        <f t="shared" si="95"/>
        <v/>
      </c>
      <c r="V65" s="46" t="str">
        <f t="shared" ca="1" si="96"/>
        <v/>
      </c>
      <c r="W65" s="141" t="str">
        <f ca="1">IFERROR(IF(AND(ISNUMBER(Futs!$CC65), ISNUMBER($R65)), (Futs!$CC65 + $R65)*8.33, ""), "")</f>
        <v/>
      </c>
      <c r="X65" s="46" t="str">
        <f ca="1">IFERROR(IF(AND(ISNUMBER(Futs!$CD65), ISNUMBER($T65)), (Futs!$CD65 + $T65)*8.33, ""), "")</f>
        <v/>
      </c>
      <c r="Y65" s="47" t="str">
        <f t="shared" ca="1" si="97"/>
        <v/>
      </c>
      <c r="Z65" s="46" t="str">
        <f t="shared" ca="1" si="98"/>
        <v/>
      </c>
      <c r="AA65" s="141" t="str">
        <f t="shared" ca="1" si="79"/>
        <v/>
      </c>
      <c r="AB65" s="46" t="str">
        <f t="shared" ca="1" si="80"/>
        <v/>
      </c>
      <c r="AC65" s="47" t="str">
        <f t="shared" ca="1" si="99"/>
        <v/>
      </c>
      <c r="AD65" s="46" t="str">
        <f t="shared" ca="1" si="100"/>
        <v/>
      </c>
      <c r="AE65" s="141" t="str">
        <f ca="1">IFERROR(IF(AND(ISNUMBER(Futs!$CO65), ISNUMBER($W65)), Futs!$CO65 - $W65/8.33/42*100, ""), "")</f>
        <v/>
      </c>
      <c r="AF65" s="46" t="str">
        <f ca="1">IFERROR(IF(AND(ISNUMBER(Futs!$CP65), ISNUMBER($X65)), Futs!$CP65 - $X65/8.33/42*100, ""), "")</f>
        <v/>
      </c>
      <c r="AG65" s="47" t="str">
        <f t="shared" ca="1" si="101"/>
        <v/>
      </c>
      <c r="AH65" s="111" t="str">
        <f t="shared" ca="1" si="102"/>
        <v/>
      </c>
      <c r="AI65" s="397"/>
      <c r="AJ65" s="364" t="str">
        <f ca="1">IFERROR(INDEX(ICE[], MATCH("napew" &amp; TEXT(Lts!$A65, "mmmyy"), ICE[LongCode], 0), MATCH("Text", ICE[#Headers], 0)), "")</f>
        <v/>
      </c>
      <c r="AK65" s="46" t="str">
        <f t="shared" ca="1" si="81"/>
        <v/>
      </c>
      <c r="AL65" s="47" t="str">
        <f t="shared" si="103"/>
        <v/>
      </c>
      <c r="AM65" s="46" t="str">
        <f t="shared" ca="1" si="104"/>
        <v/>
      </c>
      <c r="AN65" s="141" t="str">
        <f t="shared" ca="1" si="82"/>
        <v/>
      </c>
      <c r="AO65" s="46" t="str">
        <f t="shared" ca="1" si="83"/>
        <v/>
      </c>
      <c r="AP65" s="47" t="str">
        <f t="shared" ca="1" si="84"/>
        <v/>
      </c>
      <c r="AQ65" s="46" t="str">
        <f t="shared" ca="1" si="105"/>
        <v/>
      </c>
      <c r="AR65" s="141" t="str">
        <f ca="1">IFERROR(IF(AND(ISNUMBER($AN65), ISNUMBER(Futs!$CC65)), $AN65/8.9 - Futs!$CC65, ""), "")</f>
        <v/>
      </c>
      <c r="AS65" s="46" t="str">
        <f ca="1">IFERROR(IF(AND(ISNUMBER($AO65), ISNUMBER(Futs!$CD65)), $AO65/8.9 - Futs!$CD65, ""), "")</f>
        <v/>
      </c>
      <c r="AT65" s="47" t="str">
        <f t="shared" ca="1" si="106"/>
        <v/>
      </c>
      <c r="AU65" s="111" t="str">
        <f t="shared" ca="1" si="107"/>
        <v/>
      </c>
      <c r="AV65" s="397"/>
      <c r="AW65" s="364" t="str">
        <f ca="1">IFERROR(INDEX(ICE[], MATCH("mg92ebob" &amp; TEXT(Lts!$A65, "mmmyy"), ICE[LongCode], 0), MATCH("Text", ICE[#Headers], 0)), "")</f>
        <v/>
      </c>
      <c r="AX65" s="46" t="str">
        <f t="shared" ca="1" si="85"/>
        <v/>
      </c>
      <c r="AY65" s="47" t="str">
        <f t="shared" si="108"/>
        <v/>
      </c>
      <c r="AZ65" s="46" t="str">
        <f t="shared" ca="1" si="109"/>
        <v/>
      </c>
      <c r="BA65" s="141" t="str">
        <f t="shared" ca="1" si="86"/>
        <v/>
      </c>
      <c r="BB65" s="46" t="str">
        <f t="shared" ca="1" si="87"/>
        <v/>
      </c>
      <c r="BC65" s="47" t="str">
        <f t="shared" ca="1" si="110"/>
        <v/>
      </c>
      <c r="BD65" s="46" t="str">
        <f t="shared" ca="1" si="111"/>
        <v/>
      </c>
      <c r="BE65" s="141" t="str">
        <f ca="1">IFERROR(IF(AND(ISNUMBER($BA65), ISNUMBER(Futs!$CC65)), $BA65 - Futs!$CC65, ""), "")</f>
        <v/>
      </c>
      <c r="BF65" s="46" t="str">
        <f ca="1">IFERROR(IF(AND(ISNUMBER($BB65), ISNUMBER(Futs!$CD65)), $BB65 - Futs!$CD65, ""), "")</f>
        <v/>
      </c>
      <c r="BG65" s="47" t="str">
        <f t="shared" ca="1" si="112"/>
        <v/>
      </c>
      <c r="BH65" s="111" t="str">
        <f t="shared" ca="1" si="113"/>
        <v/>
      </c>
      <c r="BI65" s="397"/>
      <c r="BJ65" s="364" t="str">
        <f ca="1">IFERROR(INDEX(ICE[], MATCH("mg9592" &amp; TEXT(Lts!$A65, "mmmyy"), ICE[LongCode], 0), MATCH("Text", ICE[#Headers], 0)), "")</f>
        <v/>
      </c>
      <c r="BK65" s="46" t="str">
        <f t="shared" ca="1" si="88"/>
        <v/>
      </c>
      <c r="BL65" s="47" t="str">
        <f t="shared" si="114"/>
        <v/>
      </c>
      <c r="BM65" s="46" t="str">
        <f t="shared" si="115"/>
        <v/>
      </c>
      <c r="BN65" s="141" t="str">
        <f t="shared" ca="1" si="89"/>
        <v/>
      </c>
      <c r="BO65" s="46" t="str">
        <f t="shared" ca="1" si="90"/>
        <v/>
      </c>
      <c r="BP65" s="47" t="str">
        <f t="shared" ca="1" si="116"/>
        <v/>
      </c>
      <c r="BQ65" s="46" t="str">
        <f t="shared" ca="1" si="117"/>
        <v/>
      </c>
      <c r="BR65" s="141" t="str">
        <f ca="1">IFERROR(IF(AND(ISNUMBER($BN65), ISNUMBER(Futs!$CC65)), $BN65 - Futs!$CC65, ""), "")</f>
        <v/>
      </c>
      <c r="BS65" s="46" t="str">
        <f ca="1">IFERROR(IF(AND(ISNUMBER($BO65), ISNUMBER(Futs!$CD65)), $BO65 - Futs!$CD65, ""), "")</f>
        <v/>
      </c>
      <c r="BT65" s="47" t="str">
        <f t="shared" ca="1" si="118"/>
        <v/>
      </c>
      <c r="BU65" s="111" t="str">
        <f t="shared" ca="1" si="119"/>
        <v/>
      </c>
    </row>
    <row r="66" spans="1:73" ht="15.75" thickBot="1" x14ac:dyDescent="0.3">
      <c r="A66" s="58">
        <f t="shared" ca="1" si="91"/>
        <v>47696</v>
      </c>
      <c r="B66" s="6">
        <f t="shared" ca="1" si="74"/>
        <v>2030</v>
      </c>
      <c r="C66" s="6" t="str">
        <f t="shared" ca="1" si="75"/>
        <v>Q330</v>
      </c>
      <c r="D66" s="28" t="e">
        <f ca="1">INDEX(ICE[], MATCH(D$18 &amp; TEXT(Lts!$A66, "mmmyy"), ICE[LongCode], 0), MATCH("Settle", ICE[#Headers], 0))</f>
        <v>#N/A</v>
      </c>
      <c r="E66" s="28" t="e">
        <f ca="1">INDEX(ICE[], MATCH(E$18 &amp; TEXT(Lts!$A66, "mmmyy"), ICE[LongCode], 0), MATCH("Settle", ICE[#Headers], 0))</f>
        <v>#N/A</v>
      </c>
      <c r="F66" s="28" t="e">
        <f ca="1">INDEX(ICE[], MATCH(F$18 &amp; TEXT(Lts!$A66, "mmmyy"), ICE[LongCode], 0), MATCH("Settle", ICE[#Headers], 0))</f>
        <v>#N/A</v>
      </c>
      <c r="G66" s="28" t="e">
        <f ca="1">INDEX(ICE[], MATCH(G$18 &amp; TEXT(Lts!$A66, "mmmyy"), ICE[LongCode], 0), MATCH("Settle", ICE[#Headers], 0))</f>
        <v>#N/A</v>
      </c>
      <c r="H66" s="28" t="e">
        <f ca="1">INDEX(ICE[], MATCH(H$18 &amp; TEXT(Lts!$A66, "mmmyy"), ICE[LongCode], 0), MATCH("Settle", ICE[#Headers], 0))</f>
        <v>#N/A</v>
      </c>
      <c r="I66" s="398"/>
      <c r="J66" s="366" t="str">
        <f ca="1">IFERROR(INDEX(ICE[], MATCH("napbrx" &amp; TEXT(Lts!$A66, "mmmyy"), ICE[LongCode], 0), MATCH("Text", ICE[#Headers], 0)), "")</f>
        <v/>
      </c>
      <c r="K66" s="133" t="str">
        <f t="shared" ca="1" si="76"/>
        <v/>
      </c>
      <c r="L66" s="142" t="str">
        <f t="shared" si="120"/>
        <v/>
      </c>
      <c r="M66" s="133" t="str">
        <f t="shared" ca="1" si="92"/>
        <v/>
      </c>
      <c r="N66" s="144" t="str">
        <f ca="1">IFERROR(IF(AND(ISNUMBER(Futs!$CC66), ISNUMBER($I66)), (Futs!$CC66 + $I66)*8.9, ""), "")</f>
        <v/>
      </c>
      <c r="O66" s="133" t="str">
        <f ca="1">IFERROR(IF(AND(ISNUMBER(Futs!$CD66), ISNUMBER($K66)), (Futs!$CD66 + $K66)*8.9, ""), "")</f>
        <v/>
      </c>
      <c r="P66" s="142" t="str">
        <f t="shared" ca="1" si="93"/>
        <v/>
      </c>
      <c r="Q66" s="135" t="str">
        <f t="shared" ca="1" si="94"/>
        <v/>
      </c>
      <c r="R66" s="398"/>
      <c r="S66" s="366" t="str">
        <f ca="1">IFERROR(INDEX(ICE[], MATCH("ebobbrx" &amp; TEXT(Lts!$A66, "mmmyy"), ICE[LongCode], 0), MATCH("Text", ICE[#Headers], 0)), "")</f>
        <v/>
      </c>
      <c r="T66" s="133" t="str">
        <f t="shared" ca="1" si="78"/>
        <v/>
      </c>
      <c r="U66" s="142" t="str">
        <f t="shared" si="95"/>
        <v/>
      </c>
      <c r="V66" s="133" t="str">
        <f t="shared" ca="1" si="96"/>
        <v/>
      </c>
      <c r="W66" s="144" t="str">
        <f ca="1">IFERROR(IF(AND(ISNUMBER(Futs!$CC66), ISNUMBER($R66)), (Futs!$CC66 + $R66)*8.33, ""), "")</f>
        <v/>
      </c>
      <c r="X66" s="133" t="str">
        <f ca="1">IFERROR(IF(AND(ISNUMBER(Futs!$CD66), ISNUMBER($T66)), (Futs!$CD66 + $T66)*8.33, ""), "")</f>
        <v/>
      </c>
      <c r="Y66" s="142" t="str">
        <f t="shared" ca="1" si="97"/>
        <v/>
      </c>
      <c r="Z66" s="133" t="str">
        <f t="shared" ca="1" si="98"/>
        <v/>
      </c>
      <c r="AA66" s="144" t="str">
        <f t="shared" ca="1" si="79"/>
        <v/>
      </c>
      <c r="AB66" s="133" t="str">
        <f t="shared" ca="1" si="80"/>
        <v/>
      </c>
      <c r="AC66" s="142" t="str">
        <f t="shared" ca="1" si="99"/>
        <v/>
      </c>
      <c r="AD66" s="133" t="str">
        <f t="shared" ca="1" si="100"/>
        <v/>
      </c>
      <c r="AE66" s="144" t="str">
        <f ca="1">IFERROR(IF(AND(ISNUMBER(Futs!$CO66), ISNUMBER($W66)), Futs!$CO66 - $W66/8.33/42*100, ""), "")</f>
        <v/>
      </c>
      <c r="AF66" s="133" t="str">
        <f ca="1">IFERROR(IF(AND(ISNUMBER(Futs!$CP66), ISNUMBER($X66)), Futs!$CP66 - $X66/8.33/42*100, ""), "")</f>
        <v/>
      </c>
      <c r="AG66" s="142" t="str">
        <f t="shared" ca="1" si="101"/>
        <v/>
      </c>
      <c r="AH66" s="135" t="str">
        <f t="shared" ca="1" si="102"/>
        <v/>
      </c>
      <c r="AI66" s="398"/>
      <c r="AJ66" s="366" t="str">
        <f ca="1">IFERROR(INDEX(ICE[], MATCH("napew" &amp; TEXT(Lts!$A66, "mmmyy"), ICE[LongCode], 0), MATCH("Text", ICE[#Headers], 0)), "")</f>
        <v/>
      </c>
      <c r="AK66" s="133" t="str">
        <f t="shared" ca="1" si="81"/>
        <v/>
      </c>
      <c r="AL66" s="142" t="str">
        <f t="shared" si="103"/>
        <v/>
      </c>
      <c r="AM66" s="133" t="str">
        <f t="shared" ca="1" si="104"/>
        <v/>
      </c>
      <c r="AN66" s="144" t="str">
        <f t="shared" ca="1" si="82"/>
        <v/>
      </c>
      <c r="AO66" s="133" t="str">
        <f t="shared" ca="1" si="83"/>
        <v/>
      </c>
      <c r="AP66" s="142" t="str">
        <f t="shared" ca="1" si="84"/>
        <v/>
      </c>
      <c r="AQ66" s="133" t="str">
        <f t="shared" ca="1" si="105"/>
        <v/>
      </c>
      <c r="AR66" s="144" t="str">
        <f ca="1">IFERROR(IF(AND(ISNUMBER($AN66), ISNUMBER(Futs!$CC66)), $AN66/8.9 - Futs!$CC66, ""), "")</f>
        <v/>
      </c>
      <c r="AS66" s="133" t="str">
        <f ca="1">IFERROR(IF(AND(ISNUMBER($AO66), ISNUMBER(Futs!$CD66)), $AO66/8.9 - Futs!$CD66, ""), "")</f>
        <v/>
      </c>
      <c r="AT66" s="142" t="str">
        <f t="shared" ca="1" si="106"/>
        <v/>
      </c>
      <c r="AU66" s="135" t="str">
        <f t="shared" ca="1" si="107"/>
        <v/>
      </c>
      <c r="AV66" s="398"/>
      <c r="AW66" s="366" t="str">
        <f ca="1">IFERROR(INDEX(ICE[], MATCH("mg92ebob" &amp; TEXT(Lts!$A66, "mmmyy"), ICE[LongCode], 0), MATCH("Text", ICE[#Headers], 0)), "")</f>
        <v/>
      </c>
      <c r="AX66" s="133" t="str">
        <f t="shared" ca="1" si="85"/>
        <v/>
      </c>
      <c r="AY66" s="142" t="str">
        <f t="shared" si="108"/>
        <v/>
      </c>
      <c r="AZ66" s="133" t="str">
        <f t="shared" ca="1" si="109"/>
        <v/>
      </c>
      <c r="BA66" s="144" t="str">
        <f t="shared" ca="1" si="86"/>
        <v/>
      </c>
      <c r="BB66" s="133" t="str">
        <f t="shared" ca="1" si="87"/>
        <v/>
      </c>
      <c r="BC66" s="142" t="str">
        <f t="shared" ca="1" si="110"/>
        <v/>
      </c>
      <c r="BD66" s="133" t="str">
        <f t="shared" ca="1" si="111"/>
        <v/>
      </c>
      <c r="BE66" s="144" t="str">
        <f ca="1">IFERROR(IF(AND(ISNUMBER($BA66), ISNUMBER(Futs!$CC66)), $BA66 - Futs!$CC66, ""), "")</f>
        <v/>
      </c>
      <c r="BF66" s="133" t="str">
        <f ca="1">IFERROR(IF(AND(ISNUMBER($BB66), ISNUMBER(Futs!$CD66)), $BB66 - Futs!$CD66, ""), "")</f>
        <v/>
      </c>
      <c r="BG66" s="142" t="str">
        <f t="shared" ca="1" si="112"/>
        <v/>
      </c>
      <c r="BH66" s="135" t="str">
        <f t="shared" ca="1" si="113"/>
        <v/>
      </c>
      <c r="BI66" s="398"/>
      <c r="BJ66" s="366" t="str">
        <f ca="1">IFERROR(INDEX(ICE[], MATCH("mg9592" &amp; TEXT(Lts!$A66, "mmmyy"), ICE[LongCode], 0), MATCH("Text", ICE[#Headers], 0)), "")</f>
        <v/>
      </c>
      <c r="BK66" s="133" t="str">
        <f t="shared" ca="1" si="88"/>
        <v/>
      </c>
      <c r="BL66" s="142" t="str">
        <f t="shared" si="114"/>
        <v/>
      </c>
      <c r="BM66" s="133" t="str">
        <f t="shared" si="115"/>
        <v/>
      </c>
      <c r="BN66" s="144" t="str">
        <f t="shared" ca="1" si="89"/>
        <v/>
      </c>
      <c r="BO66" s="133" t="str">
        <f t="shared" ca="1" si="90"/>
        <v/>
      </c>
      <c r="BP66" s="142" t="str">
        <f t="shared" ca="1" si="116"/>
        <v/>
      </c>
      <c r="BQ66" s="133" t="str">
        <f t="shared" ca="1" si="117"/>
        <v/>
      </c>
      <c r="BR66" s="144" t="str">
        <f ca="1">IFERROR(IF(AND(ISNUMBER($BN66), ISNUMBER(Futs!$CC66)), $BN66 - Futs!$CC66, ""), "")</f>
        <v/>
      </c>
      <c r="BS66" s="133" t="str">
        <f ca="1">IFERROR(IF(AND(ISNUMBER($BO66), ISNUMBER(Futs!$CD66)), $BO66 - Futs!$CD66, ""), "")</f>
        <v/>
      </c>
      <c r="BT66" s="142" t="str">
        <f t="shared" ca="1" si="118"/>
        <v/>
      </c>
      <c r="BU66" s="135" t="str">
        <f t="shared" ca="1" si="119"/>
        <v/>
      </c>
    </row>
    <row r="67" spans="1:73" x14ac:dyDescent="0.25">
      <c r="A67" s="60"/>
      <c r="I67" s="48"/>
      <c r="J67" s="48"/>
      <c r="K67" s="53"/>
      <c r="L67" s="62"/>
      <c r="M67" s="53"/>
      <c r="N67" s="49"/>
      <c r="P67" s="62"/>
      <c r="Q67" s="53"/>
      <c r="R67" s="48"/>
      <c r="S67" s="48"/>
      <c r="T67" s="53"/>
      <c r="U67" s="62"/>
      <c r="V67" s="53"/>
      <c r="W67" s="49"/>
      <c r="Y67" s="62"/>
      <c r="Z67" s="53"/>
      <c r="AA67" s="49"/>
      <c r="AC67" s="62"/>
      <c r="AD67" s="53"/>
      <c r="AE67" s="49"/>
      <c r="AG67" s="62"/>
      <c r="AH67" s="53"/>
      <c r="AI67" s="48"/>
      <c r="AJ67" s="48"/>
      <c r="AK67" s="53"/>
      <c r="AL67" s="62"/>
      <c r="AM67" s="53"/>
      <c r="AN67" s="49"/>
      <c r="AP67" s="62"/>
      <c r="AQ67" s="53"/>
      <c r="AR67" s="49"/>
      <c r="AT67" s="62"/>
      <c r="AU67" s="53"/>
      <c r="AV67" s="48"/>
      <c r="AW67" s="48"/>
      <c r="AX67" s="53"/>
      <c r="AY67" s="62"/>
      <c r="AZ67" s="53"/>
      <c r="BA67" s="49"/>
      <c r="BC67" s="62"/>
      <c r="BD67" s="53"/>
      <c r="BE67" s="49"/>
      <c r="BG67" s="62"/>
      <c r="BH67" s="53"/>
      <c r="BI67" s="48"/>
      <c r="BJ67" s="48"/>
      <c r="BK67" s="53"/>
      <c r="BL67" s="62"/>
      <c r="BM67" s="53"/>
      <c r="BN67" s="49"/>
      <c r="BP67" s="62"/>
      <c r="BQ67" s="53"/>
      <c r="BR67" s="49"/>
      <c r="BT67" s="62"/>
      <c r="BU67" s="53"/>
    </row>
    <row r="68" spans="1:73" x14ac:dyDescent="0.25">
      <c r="A68" s="60"/>
      <c r="I68" s="48"/>
      <c r="J68" s="48"/>
      <c r="K68" s="53"/>
      <c r="L68" s="47"/>
      <c r="M68" s="53"/>
      <c r="P68" s="47"/>
      <c r="Q68" s="53"/>
      <c r="R68" s="48"/>
      <c r="S68" s="48"/>
      <c r="T68" s="53"/>
      <c r="U68" s="47"/>
      <c r="V68" s="53"/>
      <c r="Y68" s="47"/>
      <c r="Z68" s="53"/>
      <c r="AC68" s="47"/>
      <c r="AD68" s="53"/>
      <c r="AG68" s="47"/>
      <c r="AH68" s="53"/>
      <c r="AI68" s="48"/>
      <c r="AJ68" s="48"/>
      <c r="AK68" s="53"/>
      <c r="AL68" s="47"/>
      <c r="AM68" s="53"/>
      <c r="AP68" s="47"/>
      <c r="AQ68" s="53"/>
      <c r="AT68" s="47"/>
      <c r="AU68" s="53"/>
      <c r="AV68" s="48"/>
      <c r="AW68" s="48"/>
      <c r="AX68" s="53"/>
      <c r="AY68" s="47"/>
      <c r="AZ68" s="53"/>
      <c r="BC68" s="47"/>
      <c r="BD68" s="53"/>
      <c r="BG68" s="47"/>
      <c r="BH68" s="53"/>
      <c r="BI68" s="48"/>
      <c r="BJ68" s="48"/>
      <c r="BK68" s="53"/>
      <c r="BL68" s="47"/>
      <c r="BM68" s="53"/>
      <c r="BP68" s="47"/>
      <c r="BQ68" s="53"/>
      <c r="BT68" s="47"/>
      <c r="BU68" s="53"/>
    </row>
    <row r="69" spans="1:73" x14ac:dyDescent="0.25">
      <c r="A69" s="60"/>
      <c r="I69" s="48"/>
      <c r="J69" s="48"/>
      <c r="K69" s="53"/>
      <c r="L69" s="47"/>
      <c r="M69" s="53"/>
      <c r="P69" s="47"/>
      <c r="Q69" s="53"/>
      <c r="R69" s="48"/>
      <c r="S69" s="48"/>
      <c r="T69" s="53"/>
      <c r="U69" s="47"/>
      <c r="V69" s="53"/>
      <c r="Y69" s="47"/>
      <c r="Z69" s="53"/>
      <c r="AC69" s="47"/>
      <c r="AD69" s="53"/>
      <c r="AG69" s="47"/>
      <c r="AH69" s="53"/>
      <c r="AI69" s="48"/>
      <c r="AJ69" s="48"/>
      <c r="AK69" s="53"/>
      <c r="AL69" s="47"/>
      <c r="AM69" s="53"/>
      <c r="AP69" s="47"/>
      <c r="AQ69" s="53"/>
      <c r="AT69" s="47"/>
      <c r="AU69" s="53"/>
      <c r="AV69" s="48"/>
      <c r="AW69" s="48"/>
      <c r="AX69" s="53"/>
      <c r="AY69" s="47"/>
      <c r="AZ69" s="53"/>
      <c r="BC69" s="47"/>
      <c r="BD69" s="53"/>
      <c r="BG69" s="47"/>
      <c r="BH69" s="53"/>
      <c r="BI69" s="48"/>
      <c r="BJ69" s="48"/>
      <c r="BK69" s="53"/>
      <c r="BL69" s="47"/>
      <c r="BM69" s="53"/>
      <c r="BP69" s="47"/>
      <c r="BQ69" s="53"/>
      <c r="BT69" s="47"/>
      <c r="BU69" s="53"/>
    </row>
    <row r="70" spans="1:73" x14ac:dyDescent="0.25">
      <c r="A70" s="60"/>
      <c r="I70" s="48"/>
      <c r="J70" s="48"/>
      <c r="K70" s="53"/>
      <c r="L70" s="47"/>
      <c r="M70" s="53"/>
      <c r="P70" s="47"/>
      <c r="Q70" s="53"/>
      <c r="R70" s="48"/>
      <c r="S70" s="48"/>
      <c r="T70" s="53"/>
      <c r="U70" s="47"/>
      <c r="V70" s="53"/>
      <c r="Y70" s="47"/>
      <c r="Z70" s="53"/>
      <c r="AC70" s="47"/>
      <c r="AD70" s="53"/>
      <c r="AG70" s="47"/>
      <c r="AH70" s="53"/>
      <c r="AI70" s="48"/>
      <c r="AJ70" s="48"/>
      <c r="AK70" s="53"/>
      <c r="AL70" s="47"/>
      <c r="AM70" s="53"/>
      <c r="AP70" s="47"/>
      <c r="AQ70" s="53"/>
      <c r="AT70" s="47"/>
      <c r="AU70" s="53"/>
      <c r="AV70" s="48"/>
      <c r="AW70" s="48"/>
      <c r="AX70" s="53"/>
      <c r="AY70" s="47"/>
      <c r="AZ70" s="53"/>
      <c r="BC70" s="47"/>
      <c r="BD70" s="53"/>
      <c r="BG70" s="47"/>
      <c r="BH70" s="53"/>
      <c r="BI70" s="48"/>
      <c r="BJ70" s="48"/>
      <c r="BK70" s="53"/>
      <c r="BL70" s="47"/>
      <c r="BM70" s="53"/>
      <c r="BP70" s="47"/>
      <c r="BQ70" s="53"/>
      <c r="BT70" s="47"/>
      <c r="BU70" s="53"/>
    </row>
    <row r="71" spans="1:73" x14ac:dyDescent="0.25">
      <c r="A71" s="60"/>
      <c r="I71" s="48"/>
      <c r="J71" s="48"/>
      <c r="K71" s="53"/>
      <c r="L71" s="47"/>
      <c r="M71" s="53"/>
      <c r="P71" s="47"/>
      <c r="Q71" s="53"/>
      <c r="R71" s="48"/>
      <c r="S71" s="48"/>
      <c r="T71" s="53"/>
      <c r="U71" s="47"/>
      <c r="V71" s="53"/>
      <c r="Y71" s="47"/>
      <c r="Z71" s="53"/>
      <c r="AC71" s="47"/>
      <c r="AD71" s="53"/>
      <c r="AG71" s="47"/>
      <c r="AH71" s="53"/>
      <c r="AI71" s="48"/>
      <c r="AJ71" s="48"/>
      <c r="AK71" s="53"/>
      <c r="AL71" s="47"/>
      <c r="AM71" s="53"/>
      <c r="AP71" s="47"/>
      <c r="AQ71" s="53"/>
      <c r="AT71" s="47"/>
      <c r="AU71" s="53"/>
      <c r="AV71" s="48"/>
      <c r="AW71" s="48"/>
      <c r="AX71" s="53"/>
      <c r="AY71" s="47"/>
      <c r="AZ71" s="53"/>
      <c r="BC71" s="47"/>
      <c r="BD71" s="53"/>
      <c r="BG71" s="47"/>
      <c r="BH71" s="53"/>
      <c r="BI71" s="48"/>
      <c r="BJ71" s="48"/>
      <c r="BK71" s="53"/>
      <c r="BL71" s="47"/>
      <c r="BM71" s="53"/>
      <c r="BP71" s="47"/>
      <c r="BQ71" s="53"/>
      <c r="BT71" s="47"/>
      <c r="BU71" s="53"/>
    </row>
    <row r="72" spans="1:73" x14ac:dyDescent="0.25">
      <c r="A72" s="60"/>
      <c r="I72" s="48"/>
      <c r="J72" s="48"/>
      <c r="K72" s="53"/>
      <c r="L72" s="47"/>
      <c r="M72" s="53"/>
      <c r="P72" s="47"/>
      <c r="Q72" s="53"/>
      <c r="R72" s="48"/>
      <c r="S72" s="48"/>
      <c r="T72" s="53"/>
      <c r="U72" s="47"/>
      <c r="V72" s="53"/>
      <c r="Y72" s="47"/>
      <c r="Z72" s="53"/>
      <c r="AC72" s="47"/>
      <c r="AD72" s="53"/>
      <c r="AG72" s="47"/>
      <c r="AH72" s="53"/>
      <c r="AI72" s="48"/>
      <c r="AJ72" s="48"/>
      <c r="AK72" s="53"/>
      <c r="AL72" s="47"/>
      <c r="AM72" s="53"/>
      <c r="AP72" s="47"/>
      <c r="AQ72" s="53"/>
      <c r="AT72" s="47"/>
      <c r="AU72" s="53"/>
      <c r="AV72" s="48"/>
      <c r="AW72" s="48"/>
      <c r="AX72" s="53"/>
      <c r="AY72" s="47"/>
      <c r="AZ72" s="53"/>
      <c r="BC72" s="47"/>
      <c r="BD72" s="53"/>
      <c r="BG72" s="47"/>
      <c r="BH72" s="53"/>
      <c r="BI72" s="48"/>
      <c r="BJ72" s="48"/>
      <c r="BK72" s="53"/>
      <c r="BL72" s="47"/>
      <c r="BM72" s="53"/>
      <c r="BP72" s="47"/>
      <c r="BQ72" s="53"/>
      <c r="BT72" s="47"/>
      <c r="BU72" s="53"/>
    </row>
    <row r="73" spans="1:73" x14ac:dyDescent="0.25">
      <c r="A73" s="60"/>
      <c r="I73" s="48"/>
      <c r="J73" s="48"/>
      <c r="K73" s="53"/>
      <c r="L73" s="47"/>
      <c r="M73" s="53"/>
      <c r="P73" s="47"/>
      <c r="Q73" s="53"/>
      <c r="R73" s="48"/>
      <c r="S73" s="48"/>
      <c r="T73" s="53"/>
      <c r="U73" s="47"/>
      <c r="V73" s="53"/>
      <c r="Y73" s="47"/>
      <c r="Z73" s="53"/>
      <c r="AC73" s="47"/>
      <c r="AD73" s="53"/>
      <c r="AG73" s="47"/>
      <c r="AH73" s="53"/>
      <c r="AI73" s="48"/>
      <c r="AJ73" s="48"/>
      <c r="AK73" s="53"/>
      <c r="AL73" s="47"/>
      <c r="AM73" s="53"/>
      <c r="AP73" s="47"/>
      <c r="AQ73" s="53"/>
      <c r="AT73" s="47"/>
      <c r="AU73" s="53"/>
      <c r="AV73" s="48"/>
      <c r="AW73" s="48"/>
      <c r="AX73" s="53"/>
      <c r="AY73" s="47"/>
      <c r="AZ73" s="53"/>
      <c r="BC73" s="47"/>
      <c r="BD73" s="53"/>
      <c r="BG73" s="47"/>
      <c r="BH73" s="53"/>
      <c r="BI73" s="48"/>
      <c r="BJ73" s="48"/>
      <c r="BK73" s="53"/>
      <c r="BL73" s="47"/>
      <c r="BM73" s="53"/>
      <c r="BP73" s="47"/>
      <c r="BQ73" s="53"/>
      <c r="BT73" s="47"/>
      <c r="BU73" s="53"/>
    </row>
  </sheetData>
  <conditionalFormatting sqref="K19:K66 M19:M66 O19:O66 Q19:Q66 K5:K14 O5:O14 T19:T66 T5:T14 X5:X14 V19:V66 X19:X66 AB5:AB14 Z19:Z66 AB19:AB66 AD19:AD66 AF19:AF66 AH19:AH66 AK19:AK66 AK5:AK14 AO5:AO14 AM19:AM66 AO19:AO66 AQ19:AQ66 AS19:AS66 AX5:AX14 AX19:AX66 AZ19:AZ66 BB5:BB14 BB19:BB66 BD19:BD66 BF19:BF66 BK19:BK66 BK5:BK14 BO5:BO14 BM19:BM66 BO19:BO66 BQ19:BQ66 BS19:BS66 M5:M14 Q5:Q14 V5:V14 Z5:Z14 AD5:AD14 AF5:AF14 AH5:AH14 AM5:AM14 AQ5:AQ14 AS5:AS14 AZ5:AZ14 BD5:BD14 BF5:BF14 BM5:BM14 BQ5:BQ14 BS5:BS14 AU5:AU14 AU19:AU66 BH19:BH66 BH5:BH14 BU5:BU14 BU19:BU66">
    <cfRule type="cellIs" dxfId="107" priority="37" operator="lessThan">
      <formula>0</formula>
    </cfRule>
    <cfRule type="cellIs" dxfId="106" priority="38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4C00-F71A-40F2-B373-451805CAC143}">
  <sheetPr codeName="Sheet5">
    <tabColor theme="5"/>
    <pageSetUpPr autoPageBreaks="0"/>
  </sheetPr>
  <dimension ref="A1:DW73"/>
  <sheetViews>
    <sheetView zoomScaleNormal="100" workbookViewId="0">
      <pane xSplit="1" ySplit="18" topLeftCell="O19" activePane="bottomRight" state="frozen"/>
      <selection pane="topRight" activeCell="B1" sqref="B1"/>
      <selection pane="bottomLeft" activeCell="A19" sqref="A19"/>
      <selection pane="bottomRight" activeCell="V34" sqref="V34"/>
    </sheetView>
  </sheetViews>
  <sheetFormatPr defaultColWidth="9.140625" defaultRowHeight="15" x14ac:dyDescent="0.25"/>
  <cols>
    <col min="1" max="1" width="12.140625" style="57" customWidth="1"/>
    <col min="2" max="3" width="9.42578125" style="57" hidden="1" customWidth="1"/>
    <col min="4" max="14" width="9.42578125" style="49" hidden="1" customWidth="1"/>
    <col min="15" max="15" width="8.140625" style="51" customWidth="1"/>
    <col min="16" max="16" width="29.28515625" style="51" customWidth="1"/>
    <col min="17" max="17" width="5.7109375" style="51" customWidth="1"/>
    <col min="18" max="18" width="8.140625" style="66" customWidth="1"/>
    <col min="19" max="19" width="5.7109375" style="52" customWidth="1"/>
    <col min="20" max="20" width="8.140625" style="51" customWidth="1"/>
    <col min="21" max="21" width="6.5703125" style="67" customWidth="1"/>
    <col min="22" max="22" width="8.140625" style="66" customWidth="1"/>
    <col min="23" max="23" width="5.7109375" style="52" customWidth="1"/>
    <col min="24" max="24" width="8.140625" style="51" customWidth="1"/>
    <col min="25" max="25" width="5.7109375" style="67" customWidth="1"/>
    <col min="26" max="26" width="8.140625" style="66" customWidth="1"/>
    <col min="27" max="27" width="5.7109375" style="52" customWidth="1"/>
    <col min="28" max="28" width="8.140625" style="68" customWidth="1"/>
    <col min="29" max="29" width="31.140625" style="51" customWidth="1"/>
    <col min="30" max="30" width="5.7109375" style="67" customWidth="1"/>
    <col min="31" max="31" width="8.140625" style="68" customWidth="1"/>
    <col min="32" max="32" width="5.7109375" style="67" customWidth="1"/>
    <col min="33" max="33" width="8.140625" style="264" customWidth="1"/>
    <col min="34" max="34" width="8.140625" style="68" customWidth="1"/>
    <col min="35" max="35" width="5.7109375" style="67" customWidth="1"/>
    <col min="36" max="36" width="8.140625" style="68" customWidth="1"/>
    <col min="37" max="37" width="31.85546875" style="51" customWidth="1"/>
    <col min="38" max="38" width="5.7109375" style="67" customWidth="1"/>
    <col min="39" max="39" width="8.140625" style="51" customWidth="1"/>
    <col min="40" max="40" width="5.7109375" style="67" customWidth="1"/>
    <col min="41" max="41" width="8.140625" style="66" customWidth="1"/>
    <col min="42" max="42" width="5.7109375" style="52" customWidth="1"/>
    <col min="43" max="43" width="8.140625" style="68" customWidth="1"/>
    <col min="44" max="44" width="5.7109375" style="67" customWidth="1"/>
    <col min="45" max="45" width="8.140625" style="68" customWidth="1"/>
    <col min="46" max="46" width="5.7109375" style="67" customWidth="1"/>
    <col min="47" max="47" width="8.140625" style="68" customWidth="1"/>
    <col min="48" max="48" width="5.7109375" style="67" customWidth="1"/>
    <col min="49" max="49" width="8.140625" style="68" customWidth="1"/>
    <col min="50" max="50" width="5.7109375" style="67" customWidth="1"/>
    <col min="51" max="51" width="8.140625" style="68" customWidth="1"/>
    <col min="52" max="52" width="25.85546875" style="51" customWidth="1"/>
    <col min="53" max="53" width="5.7109375" style="67" customWidth="1"/>
    <col min="54" max="54" width="8.140625" style="68" customWidth="1"/>
    <col min="55" max="55" width="5.7109375" style="67" customWidth="1"/>
    <col min="56" max="56" width="8.140625" style="68" customWidth="1"/>
    <col min="57" max="57" width="5.7109375" style="67" customWidth="1"/>
    <col min="58" max="58" width="8.140625" style="68" customWidth="1"/>
    <col min="59" max="59" width="5.7109375" style="67" customWidth="1"/>
    <col min="60" max="60" width="8.140625" style="68" customWidth="1"/>
    <col min="61" max="61" width="5.7109375" style="67" customWidth="1"/>
    <col min="62" max="62" width="8.140625" style="68" customWidth="1"/>
    <col min="63" max="63" width="5.7109375" style="67" customWidth="1"/>
    <col min="64" max="64" width="8.140625" style="68" customWidth="1"/>
    <col min="65" max="65" width="25.85546875" style="51" customWidth="1"/>
    <col min="66" max="66" width="5.7109375" style="67" customWidth="1"/>
    <col min="67" max="67" width="8.140625" style="68" customWidth="1"/>
    <col min="68" max="68" width="5.7109375" style="67" customWidth="1"/>
    <col min="69" max="69" width="9.42578125" style="68" customWidth="1"/>
    <col min="70" max="70" width="5.7109375" style="67" customWidth="1"/>
    <col min="71" max="71" width="8.140625" style="68" customWidth="1"/>
    <col min="72" max="72" width="5.7109375" style="67" customWidth="1"/>
    <col min="73" max="73" width="8.140625" style="68" customWidth="1"/>
    <col min="74" max="74" width="25.85546875" style="51" customWidth="1"/>
    <col min="75" max="75" width="5.7109375" style="67" customWidth="1"/>
    <col min="76" max="76" width="8.140625" style="68" customWidth="1"/>
    <col min="77" max="77" width="5.7109375" style="67" customWidth="1"/>
    <col min="78" max="78" width="8.140625" style="68" customWidth="1"/>
    <col min="79" max="79" width="5.7109375" style="67" customWidth="1"/>
    <col min="80" max="80" width="8.140625" style="68" customWidth="1"/>
    <col min="81" max="81" width="5.7109375" style="67" customWidth="1"/>
    <col min="82" max="82" width="8.140625" style="68" customWidth="1"/>
    <col min="83" max="83" width="25.85546875" style="51" customWidth="1"/>
    <col min="84" max="84" width="5.7109375" style="67" customWidth="1"/>
    <col min="85" max="85" width="8.140625" style="68" customWidth="1"/>
    <col min="86" max="86" width="5.7109375" style="67" customWidth="1"/>
    <col min="87" max="87" width="8.140625" style="68" customWidth="1"/>
    <col min="88" max="88" width="5.7109375" style="67" customWidth="1"/>
    <col min="89" max="89" width="8.140625" style="68" customWidth="1"/>
    <col min="90" max="90" width="5.7109375" style="67" customWidth="1"/>
    <col min="91" max="91" width="8.140625" style="68" customWidth="1"/>
    <col min="92" max="92" width="25.85546875" style="51" customWidth="1"/>
    <col min="93" max="93" width="5.7109375" style="67" customWidth="1"/>
    <col min="94" max="94" width="8.140625" style="68" customWidth="1"/>
    <col min="95" max="95" width="5.7109375" style="67" customWidth="1"/>
    <col min="96" max="96" width="8.140625" style="68" customWidth="1"/>
    <col min="97" max="97" width="5.7109375" style="67" customWidth="1"/>
    <col min="98" max="98" width="8.140625" style="68" customWidth="1"/>
    <col min="99" max="99" width="5.7109375" style="67" customWidth="1"/>
    <col min="100" max="100" width="8.140625" style="68" customWidth="1"/>
    <col min="101" max="101" width="25.85546875" style="51" customWidth="1"/>
    <col min="102" max="102" width="5.7109375" style="67" customWidth="1"/>
    <col min="103" max="103" width="8.140625" style="68" customWidth="1"/>
    <col min="104" max="104" width="5.7109375" style="67" customWidth="1"/>
    <col min="105" max="105" width="8.140625" style="68" customWidth="1"/>
    <col min="106" max="106" width="5.7109375" style="67" customWidth="1"/>
    <col min="107" max="107" width="8.140625" style="68" customWidth="1"/>
    <col min="108" max="108" width="5.7109375" style="67" customWidth="1"/>
    <col min="109" max="109" width="8.140625" style="68" customWidth="1"/>
    <col min="110" max="110" width="25.85546875" style="51" customWidth="1"/>
    <col min="111" max="111" width="5.7109375" style="67" customWidth="1"/>
    <col min="112" max="112" width="8.140625" style="68" customWidth="1"/>
    <col min="113" max="113" width="5.7109375" style="67" customWidth="1"/>
    <col min="114" max="114" width="8.140625" style="68" customWidth="1"/>
    <col min="115" max="115" width="5.7109375" style="67" customWidth="1"/>
    <col min="116" max="116" width="8.140625" style="68" customWidth="1"/>
    <col min="117" max="117" width="5.7109375" style="67" customWidth="1"/>
    <col min="118" max="118" width="8.140625" style="68" customWidth="1"/>
    <col min="119" max="119" width="25.85546875" style="51" customWidth="1"/>
    <col min="120" max="120" width="5.7109375" style="67" customWidth="1"/>
    <col min="121" max="121" width="8.140625" style="68" customWidth="1"/>
    <col min="122" max="122" width="5.7109375" style="67" customWidth="1"/>
    <col min="123" max="123" width="8.140625" style="68" customWidth="1"/>
    <col min="124" max="124" width="5.7109375" style="67" customWidth="1"/>
    <col min="125" max="125" width="8.140625" style="68" customWidth="1"/>
    <col min="126" max="126" width="5.7109375" style="67" customWidth="1"/>
    <col min="127" max="16384" width="9.140625" style="51"/>
  </cols>
  <sheetData>
    <row r="1" spans="1:127" x14ac:dyDescent="0.25">
      <c r="A1" s="106">
        <f ca="1">INT(TimeLDN)</f>
        <v>46267</v>
      </c>
      <c r="B1" s="6"/>
      <c r="C1" s="25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R1" s="51"/>
      <c r="S1" s="51"/>
      <c r="V1" s="51"/>
      <c r="W1" s="51"/>
      <c r="Z1" s="51"/>
      <c r="AA1" s="51"/>
      <c r="AO1" s="51"/>
      <c r="AP1" s="51"/>
    </row>
    <row r="2" spans="1:127" ht="15.75" thickBot="1" x14ac:dyDescent="0.3">
      <c r="A2" s="107">
        <f ca="1">TimeLDN</f>
        <v>46267.465217013887</v>
      </c>
      <c r="B2" s="6"/>
      <c r="C2" s="6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R2" s="51"/>
      <c r="S2" s="51"/>
      <c r="V2" s="51"/>
      <c r="W2" s="51"/>
      <c r="Z2" s="51"/>
      <c r="AA2" s="51"/>
      <c r="AO2" s="51"/>
      <c r="AP2" s="51"/>
    </row>
    <row r="3" spans="1:127" ht="15.75" thickBot="1" x14ac:dyDescent="0.3">
      <c r="A3" s="54"/>
      <c r="B3" s="6"/>
      <c r="C3" s="6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310" t="s">
        <v>397</v>
      </c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20"/>
      <c r="AB3" s="310" t="s">
        <v>398</v>
      </c>
      <c r="AC3" s="311"/>
      <c r="AD3" s="311"/>
      <c r="AE3" s="311"/>
      <c r="AF3" s="311"/>
      <c r="AG3" s="375"/>
      <c r="AH3" s="311"/>
      <c r="AI3" s="311"/>
      <c r="AJ3" s="311"/>
      <c r="AK3" s="311"/>
      <c r="AL3" s="311"/>
      <c r="AM3" s="311"/>
      <c r="AN3" s="311"/>
      <c r="AO3" s="311"/>
      <c r="AP3" s="320"/>
      <c r="AQ3" s="310" t="s">
        <v>399</v>
      </c>
      <c r="AR3" s="311"/>
      <c r="AS3" s="311"/>
      <c r="AT3" s="311"/>
      <c r="AU3" s="311"/>
      <c r="AV3" s="311"/>
      <c r="AW3" s="311"/>
      <c r="AX3" s="320"/>
      <c r="AY3" s="310" t="s">
        <v>400</v>
      </c>
      <c r="AZ3" s="311"/>
      <c r="BA3" s="311"/>
      <c r="BB3" s="311"/>
      <c r="BC3" s="311"/>
      <c r="BD3" s="311"/>
      <c r="BE3" s="311"/>
      <c r="BF3" s="311"/>
      <c r="BG3" s="320"/>
      <c r="BH3" s="311"/>
      <c r="BI3" s="311"/>
      <c r="BJ3" s="311"/>
      <c r="BK3" s="320"/>
      <c r="BL3" s="310" t="s">
        <v>401</v>
      </c>
      <c r="BM3" s="311"/>
      <c r="BN3" s="311"/>
      <c r="BO3" s="311"/>
      <c r="BP3" s="311"/>
      <c r="BQ3" s="311"/>
      <c r="BR3" s="311"/>
      <c r="BS3" s="311"/>
      <c r="BT3" s="320"/>
      <c r="BU3" s="310" t="s">
        <v>1361</v>
      </c>
      <c r="BV3" s="311"/>
      <c r="BW3" s="311"/>
      <c r="BX3" s="311"/>
      <c r="BY3" s="311"/>
      <c r="BZ3" s="311"/>
      <c r="CA3" s="311"/>
      <c r="CB3" s="311"/>
      <c r="CC3" s="311"/>
      <c r="CD3" s="310" t="s">
        <v>402</v>
      </c>
      <c r="CE3" s="311"/>
      <c r="CF3" s="311"/>
      <c r="CG3" s="311"/>
      <c r="CH3" s="311"/>
      <c r="CI3" s="311"/>
      <c r="CJ3" s="311"/>
      <c r="CK3" s="311"/>
      <c r="CL3" s="311"/>
      <c r="CM3" s="310" t="s">
        <v>403</v>
      </c>
      <c r="CN3" s="311"/>
      <c r="CO3" s="311"/>
      <c r="CP3" s="311"/>
      <c r="CQ3" s="311"/>
      <c r="CR3" s="311"/>
      <c r="CS3" s="311"/>
      <c r="CT3" s="311"/>
      <c r="CU3" s="311"/>
      <c r="CV3" s="310" t="s">
        <v>404</v>
      </c>
      <c r="CW3" s="311"/>
      <c r="CX3" s="311"/>
      <c r="CY3" s="311"/>
      <c r="CZ3" s="311"/>
      <c r="DA3" s="311"/>
      <c r="DB3" s="311"/>
      <c r="DC3" s="311"/>
      <c r="DD3" s="311"/>
      <c r="DE3" s="310" t="s">
        <v>405</v>
      </c>
      <c r="DF3" s="311"/>
      <c r="DG3" s="311"/>
      <c r="DH3" s="311"/>
      <c r="DI3" s="311"/>
      <c r="DJ3" s="311"/>
      <c r="DK3" s="311"/>
      <c r="DL3" s="311"/>
      <c r="DM3" s="320"/>
      <c r="DN3" s="310" t="s">
        <v>406</v>
      </c>
      <c r="DO3" s="311"/>
      <c r="DP3" s="311"/>
      <c r="DQ3" s="311"/>
      <c r="DR3" s="311"/>
      <c r="DS3" s="311"/>
      <c r="DT3" s="311"/>
      <c r="DU3" s="311"/>
      <c r="DV3" s="320"/>
    </row>
    <row r="4" spans="1:127" x14ac:dyDescent="0.25">
      <c r="A4" s="54"/>
      <c r="B4" s="6"/>
      <c r="C4" s="6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302" t="s">
        <v>407</v>
      </c>
      <c r="P4" s="321"/>
      <c r="Q4" s="321"/>
      <c r="R4" s="321"/>
      <c r="S4" s="321"/>
      <c r="T4" s="304" t="s">
        <v>367</v>
      </c>
      <c r="U4" s="321"/>
      <c r="V4" s="321"/>
      <c r="W4" s="321"/>
      <c r="X4" s="425" t="s">
        <v>368</v>
      </c>
      <c r="Y4" s="321"/>
      <c r="Z4" s="321"/>
      <c r="AA4" s="327"/>
      <c r="AB4" s="324" t="s">
        <v>408</v>
      </c>
      <c r="AC4" s="303"/>
      <c r="AD4" s="325"/>
      <c r="AE4" s="325"/>
      <c r="AF4" s="325"/>
      <c r="AG4" s="308" t="s">
        <v>350</v>
      </c>
      <c r="AH4" s="308" t="s">
        <v>367</v>
      </c>
      <c r="AI4" s="321"/>
      <c r="AJ4" s="325"/>
      <c r="AK4" s="307"/>
      <c r="AL4" s="325"/>
      <c r="AM4" s="425" t="s">
        <v>368</v>
      </c>
      <c r="AN4" s="321"/>
      <c r="AO4" s="321"/>
      <c r="AP4" s="327"/>
      <c r="AQ4" s="324" t="s">
        <v>409</v>
      </c>
      <c r="AR4" s="325"/>
      <c r="AS4" s="325"/>
      <c r="AT4" s="325"/>
      <c r="AU4" s="378" t="s">
        <v>367</v>
      </c>
      <c r="AV4" s="321"/>
      <c r="AW4" s="325"/>
      <c r="AX4" s="377"/>
      <c r="AY4" s="324" t="s">
        <v>410</v>
      </c>
      <c r="AZ4" s="303"/>
      <c r="BA4" s="325"/>
      <c r="BB4" s="325"/>
      <c r="BC4" s="330"/>
      <c r="BD4" s="326" t="s">
        <v>367</v>
      </c>
      <c r="BE4" s="330"/>
      <c r="BF4" s="325"/>
      <c r="BG4" s="377"/>
      <c r="BH4" s="326" t="s">
        <v>367</v>
      </c>
      <c r="BI4" s="330"/>
      <c r="BJ4" s="325"/>
      <c r="BK4" s="377"/>
      <c r="BL4" s="324" t="s">
        <v>407</v>
      </c>
      <c r="BM4" s="303"/>
      <c r="BN4" s="325"/>
      <c r="BO4" s="325"/>
      <c r="BP4" s="325"/>
      <c r="BQ4" s="326" t="s">
        <v>367</v>
      </c>
      <c r="BR4" s="325"/>
      <c r="BS4" s="325"/>
      <c r="BT4" s="377"/>
      <c r="BU4" s="324" t="s">
        <v>407</v>
      </c>
      <c r="BV4" s="303"/>
      <c r="BW4" s="325"/>
      <c r="BX4" s="325"/>
      <c r="BY4" s="325"/>
      <c r="BZ4" s="326" t="s">
        <v>367</v>
      </c>
      <c r="CA4" s="325"/>
      <c r="CB4" s="325"/>
      <c r="CC4" s="325"/>
      <c r="CD4" s="324" t="s">
        <v>407</v>
      </c>
      <c r="CE4" s="303"/>
      <c r="CF4" s="325"/>
      <c r="CG4" s="325"/>
      <c r="CH4" s="325"/>
      <c r="CI4" s="326" t="s">
        <v>367</v>
      </c>
      <c r="CJ4" s="325"/>
      <c r="CK4" s="325"/>
      <c r="CL4" s="325"/>
      <c r="CM4" s="324" t="s">
        <v>407</v>
      </c>
      <c r="CN4" s="303"/>
      <c r="CO4" s="325"/>
      <c r="CP4" s="325"/>
      <c r="CQ4" s="325"/>
      <c r="CR4" s="307" t="s">
        <v>367</v>
      </c>
      <c r="CS4" s="325"/>
      <c r="CT4" s="325"/>
      <c r="CU4" s="325"/>
      <c r="CV4" s="324" t="s">
        <v>407</v>
      </c>
      <c r="CW4" s="303"/>
      <c r="CX4" s="325"/>
      <c r="CY4" s="325"/>
      <c r="CZ4" s="325"/>
      <c r="DA4" s="326" t="s">
        <v>367</v>
      </c>
      <c r="DB4" s="325"/>
      <c r="DC4" s="325"/>
      <c r="DD4" s="325"/>
      <c r="DE4" s="324" t="s">
        <v>407</v>
      </c>
      <c r="DF4" s="303"/>
      <c r="DG4" s="325"/>
      <c r="DH4" s="325"/>
      <c r="DI4" s="325"/>
      <c r="DJ4" s="379" t="s">
        <v>367</v>
      </c>
      <c r="DK4" s="325"/>
      <c r="DL4" s="325"/>
      <c r="DM4" s="377"/>
      <c r="DN4" s="324" t="s">
        <v>407</v>
      </c>
      <c r="DO4" s="303"/>
      <c r="DP4" s="325"/>
      <c r="DQ4" s="325"/>
      <c r="DR4" s="325"/>
      <c r="DS4" s="379" t="s">
        <v>367</v>
      </c>
      <c r="DT4" s="325"/>
      <c r="DU4" s="325"/>
      <c r="DV4" s="377"/>
    </row>
    <row r="5" spans="1:127" x14ac:dyDescent="0.25">
      <c r="A5" s="54" t="str">
        <f ca="1">"Q" &amp; INT((MONTH($A$1) + 2) / 3) &amp; TEXT($A$1, "yy")</f>
        <v>Q326</v>
      </c>
      <c r="B5" s="6"/>
      <c r="C5" s="6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160" t="str">
        <f t="shared" ref="O5:O11" ca="1" si="0">IFERROR(AVERAGEIF($C$19:$C$66, $A5, O$19:O$66), "")</f>
        <v/>
      </c>
      <c r="P5" s="371" t="str">
        <f ca="1">IFERROR(INDEX(ICE[], MATCH("jetccndiff" &amp; LEFT(Mid!$A5, 2) &amp; " " &amp; RIGHT(Mid!$A5, 2), ICE[LongCode], 0), MATCH("Text", ICE[#Headers], 0)), "")</f>
        <v/>
      </c>
      <c r="Q5" s="115" t="str">
        <f t="shared" ref="Q5:Q11" ca="1" si="1">IFERROR(AVERAGEIF($C$19:$C$66, $A5, Q$19:Q$66), "")</f>
        <v/>
      </c>
      <c r="R5" s="161"/>
      <c r="S5" s="162"/>
      <c r="T5" s="112" t="str">
        <f t="shared" ref="T5:U11" ca="1" si="2">IFERROR(AVERAGEIF($C$19:$C$66, $A5, T$19:T$66), "")</f>
        <v/>
      </c>
      <c r="U5" s="115" t="str">
        <f t="shared" ca="1" si="2"/>
        <v/>
      </c>
      <c r="V5" s="161"/>
      <c r="W5" s="163"/>
      <c r="X5" s="268" t="str">
        <f t="shared" ref="X5:Y11" ca="1" si="3">IFERROR(AVERAGEIF($C$19:$C$66, $A5, X$19:X$66), "")</f>
        <v/>
      </c>
      <c r="Y5" s="115" t="str">
        <f t="shared" ca="1" si="3"/>
        <v/>
      </c>
      <c r="Z5" s="161"/>
      <c r="AA5" s="164"/>
      <c r="AB5" s="160" t="str">
        <f t="shared" ref="AB5:AB11" ca="1" si="4">IFERROR(AVERAGEIF($C$19:$C$66, $A5, AB$19:AB$66), "")</f>
        <v/>
      </c>
      <c r="AC5" s="371" t="str">
        <f ca="1">IFERROR(INDEX(ICE[], MATCH("goew" &amp; LEFT(Mid!$A5, 2) &amp; " " &amp; RIGHT(Mid!$A5, 2), ICE[LongCode], 0), MATCH("Text", ICE[#Headers], 0)), "")</f>
        <v/>
      </c>
      <c r="AD5" s="115" t="str">
        <f t="shared" ref="AD5:AD11" ca="1" si="5">IFERROR(AVERAGEIF($C$19:$C$66, $A5, AD$19:AD$66), "")</f>
        <v/>
      </c>
      <c r="AE5" s="161"/>
      <c r="AF5" s="163"/>
      <c r="AG5" s="186" t="str">
        <f t="shared" ref="AG5:AI11" ca="1" si="6">IFERROR(AVERAGEIF($C$19:$C$66, $A5, AG$19:AG$66), "")</f>
        <v/>
      </c>
      <c r="AH5" s="112" t="str">
        <f t="shared" ca="1" si="6"/>
        <v/>
      </c>
      <c r="AI5" s="115" t="str">
        <f t="shared" ca="1" si="6"/>
        <v/>
      </c>
      <c r="AJ5" s="161"/>
      <c r="AK5" s="363"/>
      <c r="AL5" s="163"/>
      <c r="AM5" s="268" t="str">
        <f t="shared" ref="AM5:AN11" ca="1" si="7">IFERROR(AVERAGEIF($C$19:$C$66, $A5, AM$19:AM$66), "")</f>
        <v/>
      </c>
      <c r="AN5" s="115" t="str">
        <f t="shared" ca="1" si="7"/>
        <v/>
      </c>
      <c r="AO5" s="161"/>
      <c r="AP5" s="164"/>
      <c r="AQ5" s="160">
        <f t="shared" ref="AQ5:AV11" ca="1" si="8">IFERROR(AVERAGEIF($C$19:$C$66, $A5, AQ$19:AQ$66), "")</f>
        <v>-9.9679999999999893</v>
      </c>
      <c r="AR5" s="115">
        <f t="shared" ca="1" si="8"/>
        <v>0</v>
      </c>
      <c r="AS5" s="161"/>
      <c r="AT5" s="163"/>
      <c r="AU5" s="268" t="str">
        <f t="shared" ca="1" si="8"/>
        <v/>
      </c>
      <c r="AV5" s="115" t="str">
        <f t="shared" ca="1" si="8"/>
        <v/>
      </c>
      <c r="AW5" s="161"/>
      <c r="AX5" s="164"/>
      <c r="AY5" s="160" t="str">
        <f t="shared" ref="AY5:AY11" ca="1" si="9">IFERROR(AVERAGEIF($C$19:$C$66, $A5, AY$19:AY$66), "")</f>
        <v/>
      </c>
      <c r="AZ5" s="371" t="str">
        <f ca="1">IFERROR(INDEX(ICE[], MATCH("regrade" &amp; LEFT(Mid!$A5, 2) &amp; " " &amp; RIGHT(Mid!$A5, 2), ICE[LongCode], 0), MATCH("Text", ICE[#Headers], 0)), "")</f>
        <v/>
      </c>
      <c r="BA5" s="115" t="str">
        <f t="shared" ref="BA5:BA11" ca="1" si="10">IFERROR(AVERAGEIF($C$19:$C$66, $A5, BA$19:BA$66), "")</f>
        <v/>
      </c>
      <c r="BB5" s="161"/>
      <c r="BC5" s="163"/>
      <c r="BD5" s="112" t="str">
        <f t="shared" ref="BD5:BE11" ca="1" si="11">IFERROR(AVERAGEIF($C$19:$C$66, $A5, BD$19:BD$66), "")</f>
        <v/>
      </c>
      <c r="BE5" s="115" t="str">
        <f t="shared" ca="1" si="11"/>
        <v/>
      </c>
      <c r="BF5" s="161"/>
      <c r="BG5" s="164"/>
      <c r="BH5" s="112" t="str">
        <f t="shared" ref="BH5:BI11" ca="1" si="12">IFERROR(AVERAGEIF($C$19:$C$66, $A5, BH$19:BH$66), "")</f>
        <v/>
      </c>
      <c r="BI5" s="115" t="str">
        <f t="shared" ca="1" si="12"/>
        <v/>
      </c>
      <c r="BJ5" s="161"/>
      <c r="BK5" s="164"/>
      <c r="BL5" s="160" t="str">
        <f t="shared" ref="BL5:BL11" ca="1" si="13">IFERROR(AVERAGEIF($C$19:$C$66, $A5, BL$19:BL$66), "")</f>
        <v/>
      </c>
      <c r="BM5" s="371" t="str">
        <f ca="1">IFERROR(INDEX(ICE[], MATCH("ulsdaradiff" &amp; LEFT(Mid!$A5, 2) &amp; " " &amp; RIGHT(Mid!$A5, 2), ICE[LongCode], 0), MATCH("Text", ICE[#Headers], 0)), "")</f>
        <v/>
      </c>
      <c r="BN5" s="115" t="str">
        <f t="shared" ref="BN5:BN11" ca="1" si="14">IFERROR(AVERAGEIF($C$19:$C$66, $A5, BN$19:BN$66), "")</f>
        <v/>
      </c>
      <c r="BO5" s="161"/>
      <c r="BP5" s="163"/>
      <c r="BQ5" s="112" t="str">
        <f t="shared" ref="BQ5:BR11" ca="1" si="15">IFERROR(AVERAGEIF($C$19:$C$66, $A5, BQ$19:BQ$66), "")</f>
        <v/>
      </c>
      <c r="BR5" s="115" t="str">
        <f t="shared" ca="1" si="15"/>
        <v/>
      </c>
      <c r="BS5" s="161"/>
      <c r="BT5" s="164"/>
      <c r="BU5" s="160" t="str">
        <f t="shared" ref="BU5:BU11" ca="1" si="16">IFERROR(AVERAGEIF($C$19:$C$66, $A5, BU$19:BU$66), "")</f>
        <v/>
      </c>
      <c r="BV5" s="371" t="str">
        <f ca="1">IFERROR(INDEX(ICE[], MATCH("ulsdccndiff" &amp; LEFT(Mid!$A5, 2) &amp; " " &amp; RIGHT(Mid!$A5, 2), ICE[LongCode], 0), MATCH("Text", ICE[#Headers], 0)), "")</f>
        <v/>
      </c>
      <c r="BW5" s="115" t="str">
        <f t="shared" ref="BW5:BW11" ca="1" si="17">IFERROR(AVERAGEIF($C$19:$C$66, $A5, BW$19:BW$66), "")</f>
        <v/>
      </c>
      <c r="BX5" s="161"/>
      <c r="BY5" s="163"/>
      <c r="BZ5" s="112" t="str">
        <f t="shared" ref="BZ5:CA11" ca="1" si="18">IFERROR(AVERAGEIF($C$19:$C$66, $A5, BZ$19:BZ$66), "")</f>
        <v/>
      </c>
      <c r="CA5" s="115" t="str">
        <f t="shared" ca="1" si="18"/>
        <v/>
      </c>
      <c r="CB5" s="161"/>
      <c r="CC5" s="163"/>
      <c r="CD5" s="160" t="str">
        <f t="shared" ref="CD5:CD11" ca="1" si="19">IFERROR(AVERAGEIF($C$19:$C$66, $A5, CD$19:CD$66), "")</f>
        <v/>
      </c>
      <c r="CE5" s="371" t="str">
        <f ca="1">IFERROR(INDEX(ICE[], MATCH("ulsdccmdiff" &amp; LEFT(Mid!$A5, 2) &amp; " " &amp; RIGHT(Mid!$A5, 2), ICE[LongCode], 0), MATCH("Text", ICE[#Headers], 0)), "")</f>
        <v/>
      </c>
      <c r="CF5" s="115" t="str">
        <f t="shared" ref="CF5:CF11" ca="1" si="20">IFERROR(AVERAGEIF($C$19:$C$66, $A5, CF$19:CF$66), "")</f>
        <v/>
      </c>
      <c r="CG5" s="161"/>
      <c r="CH5" s="163"/>
      <c r="CI5" s="112" t="str">
        <f t="shared" ref="CI5:CJ11" ca="1" si="21">IFERROR(AVERAGEIF($C$19:$C$66, $A5, CI$19:CI$66), "")</f>
        <v/>
      </c>
      <c r="CJ5" s="115" t="str">
        <f t="shared" ca="1" si="21"/>
        <v/>
      </c>
      <c r="CK5" s="161"/>
      <c r="CL5" s="163"/>
      <c r="CM5" s="160" t="str">
        <f t="shared" ref="CM5:CM11" ca="1" si="22">IFERROR(AVERAGEIF($C$19:$C$66, $A5, CM$19:CM$66), "")</f>
        <v/>
      </c>
      <c r="CN5" s="371" t="str">
        <f ca="1">IFERROR(INDEX(ICE[], MATCH("go01bfrdiff" &amp; LEFT(Mid!$A5, 2) &amp; " " &amp; RIGHT(Mid!$A5, 2), ICE[LongCode], 0), MATCH("Text", ICE[#Headers], 0)), "")</f>
        <v/>
      </c>
      <c r="CO5" s="115" t="str">
        <f t="shared" ref="CO5:CO11" ca="1" si="23">IFERROR(AVERAGEIF($C$19:$C$66, $A5, CO$19:CO$66), "")</f>
        <v/>
      </c>
      <c r="CP5" s="161"/>
      <c r="CQ5" s="163"/>
      <c r="CR5" s="112" t="str">
        <f t="shared" ref="CR5:CS11" ca="1" si="24">IFERROR(AVERAGEIF($C$19:$C$66, $A5, CR$19:CR$66), "")</f>
        <v/>
      </c>
      <c r="CS5" s="115" t="str">
        <f t="shared" ca="1" si="24"/>
        <v/>
      </c>
      <c r="CT5" s="161"/>
      <c r="CU5" s="163"/>
      <c r="CV5" s="160" t="str">
        <f t="shared" ref="CV5:CV11" ca="1" si="25">IFERROR(AVERAGEIF($C$19:$C$66, $A5, CV$19:CV$66), "")</f>
        <v/>
      </c>
      <c r="CW5" s="371" t="str">
        <f ca="1">IFERROR(INDEX(ICE[], MATCH("go01ccndiff" &amp; LEFT(Mid!$A5, 2) &amp; " " &amp; RIGHT(Mid!$A5, 2), ICE[LongCode], 0), MATCH("Text", ICE[#Headers], 0)), "")</f>
        <v/>
      </c>
      <c r="CX5" s="115" t="str">
        <f t="shared" ref="CX5:CX11" ca="1" si="26">IFERROR(AVERAGEIF($C$19:$C$66, $A5, CX$19:CX$66), "")</f>
        <v/>
      </c>
      <c r="CY5" s="161"/>
      <c r="CZ5" s="163"/>
      <c r="DA5" s="112" t="str">
        <f t="shared" ref="DA5:DB11" ca="1" si="27">IFERROR(AVERAGEIF($C$19:$C$66, $A5, DA$19:DA$66), "")</f>
        <v/>
      </c>
      <c r="DB5" s="115" t="str">
        <f t="shared" ca="1" si="27"/>
        <v/>
      </c>
      <c r="DC5" s="161"/>
      <c r="DD5" s="163"/>
      <c r="DE5" s="160" t="str">
        <f t="shared" ref="DE5:DE11" ca="1" si="28">IFERROR(AVERAGEIF($C$19:$C$66, $A5, DE$19:DE$66), "")</f>
        <v/>
      </c>
      <c r="DF5" s="371" t="str">
        <f ca="1">IFERROR(INDEX(ICE[], MATCH("go01ccmdiff" &amp; LEFT(Mid!$A5, 2) &amp; " " &amp; RIGHT(Mid!$A5, 2), ICE[LongCode], 0), MATCH("Text", ICE[#Headers], 0)), "")</f>
        <v/>
      </c>
      <c r="DG5" s="115" t="str">
        <f t="shared" ref="DG5:DG11" ca="1" si="29">IFERROR(AVERAGEIF($C$19:$C$66, $A5, DG$19:DG$66), "")</f>
        <v/>
      </c>
      <c r="DH5" s="161"/>
      <c r="DI5" s="163"/>
      <c r="DJ5" s="112" t="str">
        <f t="shared" ref="DJ5:DK11" ca="1" si="30">IFERROR(AVERAGEIF($C$19:$C$66, $A5, DJ$19:DJ$66), "")</f>
        <v/>
      </c>
      <c r="DK5" s="115" t="str">
        <f t="shared" ca="1" si="30"/>
        <v/>
      </c>
      <c r="DL5" s="161"/>
      <c r="DM5" s="164"/>
      <c r="DN5" s="160" t="str">
        <f t="shared" ref="DN5:DN11" ca="1" si="31">IFERROR(AVERAGEIF($C$19:$C$66, $A5, DN$19:DN$66), "")</f>
        <v/>
      </c>
      <c r="DO5" s="371" t="str">
        <f ca="1">IFERROR(INDEX(ICE[], MATCH("ulsdgc" &amp; LEFT(Mid!$A5, 2) &amp; " " &amp; RIGHT(Mid!$A5, 2), ICE[LongCode], 0), MATCH("Text", ICE[#Headers], 0)), "")</f>
        <v/>
      </c>
      <c r="DP5" s="115" t="str">
        <f t="shared" ref="DP5:DP11" ca="1" si="32">IFERROR(AVERAGEIF($C$19:$C$66, $A5, DP$19:DP$66), "")</f>
        <v/>
      </c>
      <c r="DQ5" s="161"/>
      <c r="DR5" s="163"/>
      <c r="DS5" s="112" t="str">
        <f t="shared" ref="DS5:DT11" ca="1" si="33">IFERROR(AVERAGEIF($C$19:$C$66, $A5, DS$19:DS$66), "")</f>
        <v/>
      </c>
      <c r="DT5" s="115" t="str">
        <f t="shared" ca="1" si="33"/>
        <v/>
      </c>
      <c r="DU5" s="161"/>
      <c r="DV5" s="164"/>
    </row>
    <row r="6" spans="1:127" x14ac:dyDescent="0.25">
      <c r="A6" s="54" t="str">
        <f ca="1">IF(LEFT($A5, 2) = "Q4", "Q1" &amp; TEXT(RIGHT($A5, 2) + 1, "00"), "Q" &amp; MID($A5, 2, 1) + 1 &amp; RIGHT($A5, 2))</f>
        <v>Q426</v>
      </c>
      <c r="B6" s="6"/>
      <c r="C6" s="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109" t="str">
        <f t="shared" ca="1" si="0"/>
        <v/>
      </c>
      <c r="P6" s="372" t="str">
        <f ca="1">IFERROR(INDEX(ICE[], MATCH("jetccndiff" &amp; LEFT(Mid!$A6, 2) &amp; " " &amp; RIGHT(Mid!$A6, 2), ICE[LongCode], 0), MATCH("Text", ICE[#Headers], 0)), "")</f>
        <v xml:space="preserve"> /  </v>
      </c>
      <c r="Q6" s="46" t="str">
        <f t="shared" ca="1" si="1"/>
        <v/>
      </c>
      <c r="R6" s="47" t="str">
        <f t="shared" ref="R6:R11" ca="1" si="34">IF(AND(ISNUMBER($O5), ISNUMBER($O6)), $O5 - $O6, "")</f>
        <v/>
      </c>
      <c r="S6" s="114" t="str">
        <f ca="1">IF(AND(ISNUMBER($Q5), ISNUMBER($Q6)), $Q5 - $Q6, "")</f>
        <v/>
      </c>
      <c r="T6" s="110" t="str">
        <f t="shared" ca="1" si="2"/>
        <v/>
      </c>
      <c r="U6" s="46" t="str">
        <f t="shared" ca="1" si="2"/>
        <v/>
      </c>
      <c r="V6" s="47" t="str">
        <f ca="1">IF(AND(ISNUMBER($T5), ISNUMBER($T6)), $T5 - $T6, "")</f>
        <v/>
      </c>
      <c r="W6" s="46" t="str">
        <f ca="1">IF(AND(ISNUMBER($U5), ISNUMBER($U6)), $U5 - $U6, "")</f>
        <v/>
      </c>
      <c r="X6" s="269" t="str">
        <f t="shared" ca="1" si="3"/>
        <v/>
      </c>
      <c r="Y6" s="46" t="str">
        <f t="shared" ca="1" si="3"/>
        <v/>
      </c>
      <c r="Z6" s="47" t="str">
        <f ca="1">IF(AND(ISNUMBER($X5), ISNUMBER($X6)), $X5 - $X6, "")</f>
        <v/>
      </c>
      <c r="AA6" s="111" t="str">
        <f ca="1">IF(AND(ISNUMBER($Y5), ISNUMBER($Y6)), $Y5 - $Y6, "")</f>
        <v/>
      </c>
      <c r="AB6" s="109" t="str">
        <f t="shared" ca="1" si="4"/>
        <v/>
      </c>
      <c r="AC6" s="372" t="str">
        <f ca="1">IFERROR(INDEX(ICE[], MATCH("goew" &amp; LEFT(Mid!$A6, 2) &amp; " " &amp; RIGHT(Mid!$A6, 2), ICE[LongCode], 0), MATCH("Text", ICE[#Headers], 0)), "")</f>
        <v xml:space="preserve"> / -80.25 {-93.50} |22x</v>
      </c>
      <c r="AD6" s="46" t="str">
        <f t="shared" ca="1" si="5"/>
        <v/>
      </c>
      <c r="AE6" s="47" t="str">
        <f ca="1">IF(AND(ISNUMBER($AB5), ISNUMBER($AB6)), $AB5 - $AB6, "")</f>
        <v/>
      </c>
      <c r="AF6" s="46" t="str">
        <f ca="1">IF(AND(ISNUMBER($AD5), ISNUMBER($AD6)), $AD5 - $AD6, "")</f>
        <v/>
      </c>
      <c r="AG6" s="141" t="str">
        <f t="shared" ca="1" si="6"/>
        <v/>
      </c>
      <c r="AH6" s="110" t="str">
        <f t="shared" ca="1" si="6"/>
        <v/>
      </c>
      <c r="AI6" s="46" t="str">
        <f t="shared" ca="1" si="6"/>
        <v/>
      </c>
      <c r="AJ6" s="47" t="str">
        <f ca="1">IF(AND(ISNUMBER($AH5), ISNUMBER($AH6)), $AH5 - $AH6, "")</f>
        <v/>
      </c>
      <c r="AK6" s="364"/>
      <c r="AL6" s="46" t="str">
        <f ca="1">IF(AND(ISNUMBER($AI5), ISNUMBER($AI6)), $AI5 - $AI6, "")</f>
        <v/>
      </c>
      <c r="AM6" s="269" t="str">
        <f t="shared" ca="1" si="7"/>
        <v/>
      </c>
      <c r="AN6" s="46" t="str">
        <f t="shared" ca="1" si="7"/>
        <v/>
      </c>
      <c r="AO6" s="47" t="str">
        <f ca="1">IF(AND(ISNUMBER($AM5), ISNUMBER($AM6)), $AM5 - $AM6, "")</f>
        <v/>
      </c>
      <c r="AP6" s="111" t="str">
        <f ca="1">IF(AND(ISNUMBER($AN5), ISNUMBER($AN6)), $AN5 - $AN6, "")</f>
        <v/>
      </c>
      <c r="AQ6" s="109">
        <f t="shared" ca="1" si="8"/>
        <v>-9.1</v>
      </c>
      <c r="AR6" s="46">
        <f t="shared" ca="1" si="8"/>
        <v>0</v>
      </c>
      <c r="AS6" s="47">
        <f ca="1">IF(AND(ISNUMBER($AQ5), ISNUMBER($AQ6)), $AQ5 - $AQ6, "")</f>
        <v>-0.86799999999998967</v>
      </c>
      <c r="AT6" s="46">
        <f ca="1">IF(AND(ISNUMBER($AR5), ISNUMBER($AR6)), $AR5 - $AR6, "")</f>
        <v>0</v>
      </c>
      <c r="AU6" s="269" t="str">
        <f t="shared" ca="1" si="8"/>
        <v/>
      </c>
      <c r="AV6" s="46" t="str">
        <f t="shared" ca="1" si="8"/>
        <v/>
      </c>
      <c r="AW6" s="47" t="str">
        <f ca="1">IF(AND(ISNUMBER($AU5), ISNUMBER($AU6)), $AU5 - $AU6, "")</f>
        <v/>
      </c>
      <c r="AX6" s="111" t="str">
        <f ca="1">IF(AND(ISNUMBER($AV5), ISNUMBER($AV6)), $AV5 - $AV6, "")</f>
        <v/>
      </c>
      <c r="AY6" s="109" t="str">
        <f t="shared" ca="1" si="9"/>
        <v/>
      </c>
      <c r="AZ6" s="372" t="str">
        <f ca="1">IFERROR(INDEX(ICE[], MATCH("regrade" &amp; LEFT(Mid!$A6, 2) &amp; " " &amp; RIGHT(Mid!$A6, 2), ICE[LongCode], 0), MATCH("Text", ICE[#Headers], 0)), "")</f>
        <v xml:space="preserve">-0.90 / 2.40 </v>
      </c>
      <c r="BA6" s="46" t="str">
        <f t="shared" ca="1" si="10"/>
        <v/>
      </c>
      <c r="BB6" s="47" t="str">
        <f ca="1">IF(AND(ISNUMBER($AY5), ISNUMBER($AY6)), $AY5 - $AY6, "")</f>
        <v/>
      </c>
      <c r="BC6" s="46" t="str">
        <f ca="1">IF(AND(ISNUMBER($BA5), ISNUMBER($BA6)), $BA5 - $BA6, "")</f>
        <v/>
      </c>
      <c r="BD6" s="110" t="str">
        <f t="shared" ca="1" si="11"/>
        <v/>
      </c>
      <c r="BE6" s="46" t="str">
        <f t="shared" ca="1" si="11"/>
        <v/>
      </c>
      <c r="BF6" s="47" t="str">
        <f ca="1">IF(AND(ISNUMBER($BD5), ISNUMBER($BD6)), $BD5 - $BD6, "")</f>
        <v/>
      </c>
      <c r="BG6" s="111" t="str">
        <f ca="1">IF(AND(ISNUMBER($BE5), ISNUMBER($BE6)), $BE5 - $BE6, "")</f>
        <v/>
      </c>
      <c r="BH6" s="110" t="str">
        <f t="shared" ca="1" si="12"/>
        <v/>
      </c>
      <c r="BI6" s="46" t="str">
        <f t="shared" ca="1" si="12"/>
        <v/>
      </c>
      <c r="BJ6" s="47" t="str">
        <f ca="1">IF(AND(ISNUMBER($BD5), ISNUMBER($BD6)), $BD5 - $BD6, "")</f>
        <v/>
      </c>
      <c r="BK6" s="111" t="str">
        <f ca="1">IF(AND(ISNUMBER($BE5), ISNUMBER($BE6)), $BE5 - $BE6, "")</f>
        <v/>
      </c>
      <c r="BL6" s="109" t="str">
        <f t="shared" ca="1" si="13"/>
        <v/>
      </c>
      <c r="BM6" s="372" t="str">
        <f ca="1">IFERROR(INDEX(ICE[], MATCH("ulsdaradiff" &amp; LEFT(Mid!$A6, 2) &amp; " " &amp; RIGHT(Mid!$A6, 2), ICE[LongCode], 0), MATCH("Text", ICE[#Headers], 0)), "")</f>
        <v xml:space="preserve"> /  </v>
      </c>
      <c r="BN6" s="46" t="str">
        <f t="shared" ca="1" si="14"/>
        <v/>
      </c>
      <c r="BO6" s="47" t="str">
        <f ca="1">IF(AND(ISNUMBER($BL5), ISNUMBER($BL6)), $BL5 - $BL6, "")</f>
        <v/>
      </c>
      <c r="BP6" s="46" t="str">
        <f ca="1">IF(AND(ISNUMBER($BN5), ISNUMBER($BN6)), $BN5 - $BN6, "")</f>
        <v/>
      </c>
      <c r="BQ6" s="110" t="str">
        <f t="shared" ca="1" si="15"/>
        <v/>
      </c>
      <c r="BR6" s="46" t="str">
        <f t="shared" ca="1" si="15"/>
        <v/>
      </c>
      <c r="BS6" s="47" t="str">
        <f ca="1">IF(AND(ISNUMBER($BQ5), ISNUMBER($BQ6)), $BQ5 - $BQ6, "")</f>
        <v/>
      </c>
      <c r="BT6" s="111" t="str">
        <f ca="1">IF(AND(ISNUMBER($BR5), ISNUMBER($BR6)), $BR5 - $BR6, "")</f>
        <v/>
      </c>
      <c r="BU6" s="109" t="str">
        <f t="shared" ca="1" si="16"/>
        <v/>
      </c>
      <c r="BV6" s="372" t="str">
        <f ca="1">IFERROR(INDEX(ICE[], MATCH("ulsdccndiff" &amp; LEFT(Mid!$A6, 2) &amp; " " &amp; RIGHT(Mid!$A6, 2), ICE[LongCode], 0), MATCH("Text", ICE[#Headers], 0)), "")</f>
        <v xml:space="preserve"> /  </v>
      </c>
      <c r="BW6" s="46" t="str">
        <f t="shared" ca="1" si="17"/>
        <v/>
      </c>
      <c r="BX6" s="47" t="str">
        <f ca="1">IF(AND(ISNUMBER($BU5), ISNUMBER($BU6)), $BU5 - $BU6, "")</f>
        <v/>
      </c>
      <c r="BY6" s="46" t="str">
        <f ca="1">IF(AND(ISNUMBER($BW5), ISNUMBER($BW6)), $BW5 - $BW6, "")</f>
        <v/>
      </c>
      <c r="BZ6" s="110" t="str">
        <f t="shared" ca="1" si="18"/>
        <v/>
      </c>
      <c r="CA6" s="46" t="str">
        <f t="shared" ca="1" si="18"/>
        <v/>
      </c>
      <c r="CB6" s="47" t="str">
        <f ca="1">IF(AND(ISNUMBER($BZ5), ISNUMBER($BZ6)), $BZ5 - $BZ6, "")</f>
        <v/>
      </c>
      <c r="CC6" s="46" t="str">
        <f ca="1">IF(AND(ISNUMBER($CA5), ISNUMBER($CA6)), $CA5 - $CA6, "")</f>
        <v/>
      </c>
      <c r="CD6" s="109" t="str">
        <f t="shared" ca="1" si="19"/>
        <v/>
      </c>
      <c r="CE6" s="372" t="str">
        <f ca="1">IFERROR(INDEX(ICE[], MATCH("ulsdccmdiff" &amp; LEFT(Mid!$A6, 2) &amp; " " &amp; RIGHT(Mid!$A6, 2), ICE[LongCode], 0), MATCH("Text", ICE[#Headers], 0)), "")</f>
        <v xml:space="preserve"> /  </v>
      </c>
      <c r="CF6" s="46" t="str">
        <f t="shared" ca="1" si="20"/>
        <v/>
      </c>
      <c r="CG6" s="47" t="str">
        <f ca="1">IF(AND(ISNUMBER($CD5), ISNUMBER($CD6)), $CD5 - $CD6, "")</f>
        <v/>
      </c>
      <c r="CH6" s="46" t="str">
        <f ca="1">IF(AND(ISNUMBER($CF5), ISNUMBER($CF6)), $CF5 - $CF6, "")</f>
        <v/>
      </c>
      <c r="CI6" s="110" t="str">
        <f t="shared" ca="1" si="21"/>
        <v/>
      </c>
      <c r="CJ6" s="46" t="str">
        <f t="shared" ca="1" si="21"/>
        <v/>
      </c>
      <c r="CK6" s="47" t="str">
        <f ca="1">IF(AND(ISNUMBER($CI5), ISNUMBER($CI6)), $CI5 - $CI6, "")</f>
        <v/>
      </c>
      <c r="CL6" s="46" t="str">
        <f ca="1">IF(AND(ISNUMBER($CJ5), ISNUMBER($CJ6)), $CJ5 - $CJ6, "")</f>
        <v/>
      </c>
      <c r="CM6" s="109" t="str">
        <f t="shared" ca="1" si="22"/>
        <v/>
      </c>
      <c r="CN6" s="372" t="str">
        <f ca="1">IFERROR(INDEX(ICE[], MATCH("go01bfrdiff" &amp; LEFT(Mid!$A6, 2) &amp; " " &amp; RIGHT(Mid!$A6, 2), ICE[LongCode], 0), MATCH("Text", ICE[#Headers], 0)), "")</f>
        <v xml:space="preserve"> / -34.00 </v>
      </c>
      <c r="CO6" s="46" t="str">
        <f t="shared" ca="1" si="23"/>
        <v/>
      </c>
      <c r="CP6" s="47" t="str">
        <f ca="1">IF(AND(ISNUMBER($CM5), ISNUMBER($CM6)), $CM5 - $CM6, "")</f>
        <v/>
      </c>
      <c r="CQ6" s="46" t="str">
        <f ca="1">IF(AND(ISNUMBER($CO5), ISNUMBER($CO6)), $CO5 - $CO6, "")</f>
        <v/>
      </c>
      <c r="CR6" s="110" t="str">
        <f t="shared" ca="1" si="24"/>
        <v/>
      </c>
      <c r="CS6" s="46" t="str">
        <f t="shared" ca="1" si="24"/>
        <v/>
      </c>
      <c r="CT6" s="47" t="str">
        <f ca="1">IF(AND(ISNUMBER($CR5), ISNUMBER($CR6)), $CR5 - $CR6, "")</f>
        <v/>
      </c>
      <c r="CU6" s="46" t="str">
        <f ca="1">IF(AND(ISNUMBER($CS5), ISNUMBER($CS6)), $CS5 - $CS6, "")</f>
        <v/>
      </c>
      <c r="CV6" s="109" t="str">
        <f t="shared" ca="1" si="25"/>
        <v/>
      </c>
      <c r="CW6" s="372" t="str">
        <f ca="1">IFERROR(INDEX(ICE[], MATCH("go01ccndiff" &amp; LEFT(Mid!$A6, 2) &amp; " " &amp; RIGHT(Mid!$A6, 2), ICE[LongCode], 0), MATCH("Text", ICE[#Headers], 0)), "")</f>
        <v xml:space="preserve"> /  </v>
      </c>
      <c r="CX6" s="46" t="str">
        <f t="shared" ca="1" si="26"/>
        <v/>
      </c>
      <c r="CY6" s="47" t="str">
        <f ca="1">IF(AND(ISNUMBER($CV5), ISNUMBER($CV6)), $CV5 - $CV6, "")</f>
        <v/>
      </c>
      <c r="CZ6" s="46" t="str">
        <f ca="1">IF(AND(ISNUMBER($CX5), ISNUMBER($CX6)), $CX5 - $CX6, "")</f>
        <v/>
      </c>
      <c r="DA6" s="110" t="str">
        <f t="shared" ca="1" si="27"/>
        <v/>
      </c>
      <c r="DB6" s="46" t="str">
        <f t="shared" ca="1" si="27"/>
        <v/>
      </c>
      <c r="DC6" s="47" t="str">
        <f ca="1">IF(AND(ISNUMBER($DA5), ISNUMBER($DA6)), $DA5 - $DA6, "")</f>
        <v/>
      </c>
      <c r="DD6" s="46" t="str">
        <f ca="1">IF(AND(ISNUMBER($DB5), ISNUMBER($DB6)), $DB5 - $DB6, "")</f>
        <v/>
      </c>
      <c r="DE6" s="109" t="str">
        <f t="shared" ca="1" si="28"/>
        <v/>
      </c>
      <c r="DF6" s="372" t="str">
        <f ca="1">IFERROR(INDEX(ICE[], MATCH("go01ccmdiff" &amp; LEFT(Mid!$A6, 2) &amp; " " &amp; RIGHT(Mid!$A6, 2), ICE[LongCode], 0), MATCH("Text", ICE[#Headers], 0)), "")</f>
        <v xml:space="preserve"> /  </v>
      </c>
      <c r="DG6" s="46" t="str">
        <f t="shared" ca="1" si="29"/>
        <v/>
      </c>
      <c r="DH6" s="47" t="str">
        <f ca="1">IF(AND(ISNUMBER($DE5), ISNUMBER($DE6)), $DE5 - $DE6, "")</f>
        <v/>
      </c>
      <c r="DI6" s="46" t="str">
        <f ca="1">IF(AND(ISNUMBER($DG5), ISNUMBER($DG6)), $DG5 - $DG6, "")</f>
        <v/>
      </c>
      <c r="DJ6" s="110" t="str">
        <f t="shared" ca="1" si="30"/>
        <v/>
      </c>
      <c r="DK6" s="46" t="str">
        <f t="shared" ca="1" si="30"/>
        <v/>
      </c>
      <c r="DL6" s="47" t="str">
        <f ca="1">IF(AND(ISNUMBER($DJ5), ISNUMBER($DJ6)), $DJ5 - $DJ6, "")</f>
        <v/>
      </c>
      <c r="DM6" s="111" t="str">
        <f ca="1">IF(AND(ISNUMBER($DK5), ISNUMBER($DK6)), $DK5 - $DK6, "")</f>
        <v/>
      </c>
      <c r="DN6" s="109" t="str">
        <f t="shared" ca="1" si="31"/>
        <v/>
      </c>
      <c r="DO6" s="372" t="str">
        <f ca="1">IFERROR(INDEX(ICE[], MATCH("ulsdgc" &amp; LEFT(Mid!$A6, 2) &amp; " " &amp; RIGHT(Mid!$A6, 2), ICE[LongCode], 0), MATCH("Text", ICE[#Headers], 0)), "")</f>
        <v xml:space="preserve"> /  </v>
      </c>
      <c r="DP6" s="46" t="str">
        <f t="shared" ca="1" si="32"/>
        <v/>
      </c>
      <c r="DQ6" s="47" t="str">
        <f ca="1">IF(AND(ISNUMBER($DN5), ISNUMBER($DN6)), $DN5 - $DN6, "")</f>
        <v/>
      </c>
      <c r="DR6" s="46" t="str">
        <f ca="1">IF(AND(ISNUMBER($DP5), ISNUMBER($DP6)), $DP5 - $DP6, "")</f>
        <v/>
      </c>
      <c r="DS6" s="110" t="str">
        <f t="shared" ca="1" si="33"/>
        <v/>
      </c>
      <c r="DT6" s="46" t="str">
        <f t="shared" ca="1" si="33"/>
        <v/>
      </c>
      <c r="DU6" s="47" t="str">
        <f ca="1">IF(AND(ISNUMBER($DS5), ISNUMBER($DS6)), $DS5 - $DS6, "")</f>
        <v/>
      </c>
      <c r="DV6" s="111" t="str">
        <f ca="1">IF(AND(ISNUMBER($DT5), ISNUMBER($DT6)), $DT5 - $DT6, "")</f>
        <v/>
      </c>
    </row>
    <row r="7" spans="1:127" x14ac:dyDescent="0.25">
      <c r="A7" s="54" t="str">
        <f t="shared" ref="A7:A11" ca="1" si="35">IF(LEFT($A6, 2) = "Q4", "Q1" &amp; TEXT(RIGHT($A6, 2) + 1, "00"), "Q" &amp; MID($A6, 2, 1) + 1 &amp; RIGHT($A6, 2))</f>
        <v>Q127</v>
      </c>
      <c r="B7" s="6"/>
      <c r="C7" s="6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109" t="str">
        <f t="shared" ca="1" si="0"/>
        <v/>
      </c>
      <c r="P7" s="372" t="str">
        <f ca="1">IFERROR(INDEX(ICE[], MATCH("jetccndiff" &amp; LEFT(Mid!$A7, 2) &amp; " " &amp; RIGHT(Mid!$A7, 2), ICE[LongCode], 0), MATCH("Text", ICE[#Headers], 0)), "")</f>
        <v xml:space="preserve"> /  </v>
      </c>
      <c r="Q7" s="46" t="str">
        <f t="shared" ca="1" si="1"/>
        <v/>
      </c>
      <c r="R7" s="47" t="str">
        <f t="shared" ca="1" si="34"/>
        <v/>
      </c>
      <c r="S7" s="114" t="str">
        <f t="shared" ref="S7:S14" ca="1" si="36">IF(AND(ISNUMBER($Q6), ISNUMBER($Q7)), $Q6 - $Q7, "")</f>
        <v/>
      </c>
      <c r="T7" s="110" t="str">
        <f t="shared" ca="1" si="2"/>
        <v/>
      </c>
      <c r="U7" s="46" t="str">
        <f t="shared" ca="1" si="2"/>
        <v/>
      </c>
      <c r="V7" s="47" t="str">
        <f t="shared" ref="V7:V14" ca="1" si="37">IF(AND(ISNUMBER($T6), ISNUMBER($T7)), $T6 - $T7, "")</f>
        <v/>
      </c>
      <c r="W7" s="46" t="str">
        <f t="shared" ref="W7:W11" ca="1" si="38">IF(AND(ISNUMBER($U6), ISNUMBER($U7)), $U6 - $U7, "")</f>
        <v/>
      </c>
      <c r="X7" s="269" t="str">
        <f t="shared" ca="1" si="3"/>
        <v/>
      </c>
      <c r="Y7" s="46" t="str">
        <f t="shared" ca="1" si="3"/>
        <v/>
      </c>
      <c r="Z7" s="47" t="str">
        <f t="shared" ref="Z7:Z11" ca="1" si="39">IF(AND(ISNUMBER($X6), ISNUMBER($X7)), $X6 - $X7, "")</f>
        <v/>
      </c>
      <c r="AA7" s="111" t="str">
        <f t="shared" ref="AA7:AA11" ca="1" si="40">IF(AND(ISNUMBER($Y6), ISNUMBER($Y7)), $Y6 - $Y7, "")</f>
        <v/>
      </c>
      <c r="AB7" s="109" t="str">
        <f t="shared" ca="1" si="4"/>
        <v/>
      </c>
      <c r="AC7" s="372" t="str">
        <f ca="1">IFERROR(INDEX(ICE[], MATCH("goew" &amp; LEFT(Mid!$A7, 2) &amp; " " &amp; RIGHT(Mid!$A7, 2), ICE[LongCode], 0), MATCH("Text", ICE[#Headers], 0)), "")</f>
        <v xml:space="preserve"> /  </v>
      </c>
      <c r="AD7" s="46" t="str">
        <f t="shared" ca="1" si="5"/>
        <v/>
      </c>
      <c r="AE7" s="47" t="str">
        <f t="shared" ref="AE7:AE11" ca="1" si="41">IF(AND(ISNUMBER($AB6), ISNUMBER($AB7)), $AB6 - $AB7, "")</f>
        <v/>
      </c>
      <c r="AF7" s="46" t="str">
        <f t="shared" ref="AF7:AF14" ca="1" si="42">IF(AND(ISNUMBER($AD6), ISNUMBER($AD7)), $AD6 - $AD7, "")</f>
        <v/>
      </c>
      <c r="AG7" s="141" t="str">
        <f t="shared" ca="1" si="6"/>
        <v/>
      </c>
      <c r="AH7" s="110" t="str">
        <f t="shared" ca="1" si="6"/>
        <v/>
      </c>
      <c r="AI7" s="46" t="str">
        <f t="shared" ca="1" si="6"/>
        <v/>
      </c>
      <c r="AJ7" s="47" t="str">
        <f t="shared" ref="AJ7:AJ10" ca="1" si="43">IF(AND(ISNUMBER($AH6), ISNUMBER($AH7)), $AH6 - $AH7, "")</f>
        <v/>
      </c>
      <c r="AK7" s="364" t="str">
        <f ca="1">IFERROR(INDEX(ICE[], MATCH("gosing" &amp; LEFT($A6, 2) &amp; " " &amp; RIGHT($A6, 2) &amp; "/" &amp; LEFT($A7, 2) &amp; " " &amp; RIGHT($A7, 2), ICE[LongCode], 0), MATCH("Text", ICE[#Headers], 0)), "")</f>
        <v xml:space="preserve"> /  </v>
      </c>
      <c r="AL7" s="46" t="str">
        <f t="shared" ref="AL7:AL14" ca="1" si="44">IF(AND(ISNUMBER($AI6), ISNUMBER($AI7)), $AI6 - $AI7, "")</f>
        <v/>
      </c>
      <c r="AM7" s="269" t="str">
        <f t="shared" ca="1" si="7"/>
        <v/>
      </c>
      <c r="AN7" s="46" t="str">
        <f t="shared" ca="1" si="7"/>
        <v/>
      </c>
      <c r="AO7" s="47" t="str">
        <f t="shared" ref="AO7:AO11" ca="1" si="45">IF(AND(ISNUMBER($AM6), ISNUMBER($AM7)), $AM6 - $AM7, "")</f>
        <v/>
      </c>
      <c r="AP7" s="111" t="str">
        <f t="shared" ref="AP7:AP11" ca="1" si="46">IF(AND(ISNUMBER($AN6), ISNUMBER($AN7)), $AN6 - $AN7, "")</f>
        <v/>
      </c>
      <c r="AQ7" s="109">
        <f t="shared" ca="1" si="8"/>
        <v>-7.62</v>
      </c>
      <c r="AR7" s="46">
        <f t="shared" ca="1" si="8"/>
        <v>0</v>
      </c>
      <c r="AS7" s="47">
        <f t="shared" ref="AS7:AS11" ca="1" si="47">IF(AND(ISNUMBER($AQ6), ISNUMBER($AQ7)), $AQ6 - $AQ7, "")</f>
        <v>-1.4799999999999995</v>
      </c>
      <c r="AT7" s="46">
        <f t="shared" ref="AT7:AT11" ca="1" si="48">IF(AND(ISNUMBER($AR6), ISNUMBER($AR7)), $AR6 - $AR7, "")</f>
        <v>0</v>
      </c>
      <c r="AU7" s="269" t="str">
        <f t="shared" ca="1" si="8"/>
        <v/>
      </c>
      <c r="AV7" s="46" t="str">
        <f t="shared" ca="1" si="8"/>
        <v/>
      </c>
      <c r="AW7" s="47" t="str">
        <f t="shared" ref="AW7:AW11" ca="1" si="49">IF(AND(ISNUMBER($AU6), ISNUMBER($AU7)), $AU6 - $AU7, "")</f>
        <v/>
      </c>
      <c r="AX7" s="111" t="str">
        <f t="shared" ref="AX7:AX11" ca="1" si="50">IF(AND(ISNUMBER($AV6), ISNUMBER($AV7)), $AV6 - $AV7, "")</f>
        <v/>
      </c>
      <c r="AY7" s="109" t="str">
        <f t="shared" ca="1" si="9"/>
        <v/>
      </c>
      <c r="AZ7" s="372" t="str">
        <f ca="1">IFERROR(INDEX(ICE[], MATCH("regrade" &amp; LEFT(Mid!$A7, 2) &amp; " " &amp; RIGHT(Mid!$A7, 2), ICE[LongCode], 0), MATCH("Text", ICE[#Headers], 0)), "")</f>
        <v xml:space="preserve">0.30 / 3.00 </v>
      </c>
      <c r="BA7" s="46" t="str">
        <f t="shared" ca="1" si="10"/>
        <v/>
      </c>
      <c r="BB7" s="47" t="str">
        <f t="shared" ref="BB7:BB14" ca="1" si="51">IF(AND(ISNUMBER($AY6), ISNUMBER($AY7)), $AY6 - $AY7, "")</f>
        <v/>
      </c>
      <c r="BC7" s="46" t="str">
        <f t="shared" ref="BC7:BC14" ca="1" si="52">IF(AND(ISNUMBER($BA6), ISNUMBER($BA7)), $BA6 - $BA7, "")</f>
        <v/>
      </c>
      <c r="BD7" s="110" t="str">
        <f t="shared" ca="1" si="11"/>
        <v/>
      </c>
      <c r="BE7" s="46" t="str">
        <f t="shared" ca="1" si="11"/>
        <v/>
      </c>
      <c r="BF7" s="47" t="str">
        <f t="shared" ref="BF7:BF11" ca="1" si="53">IF(AND(ISNUMBER($BD6), ISNUMBER($BD7)), $BD6 - $BD7, "")</f>
        <v/>
      </c>
      <c r="BG7" s="111" t="str">
        <f t="shared" ref="BG7:BG14" ca="1" si="54">IF(AND(ISNUMBER($BE6), ISNUMBER($BE7)), $BE6 - $BE7, "")</f>
        <v/>
      </c>
      <c r="BH7" s="110" t="str">
        <f t="shared" ca="1" si="12"/>
        <v/>
      </c>
      <c r="BI7" s="46" t="str">
        <f t="shared" ca="1" si="12"/>
        <v/>
      </c>
      <c r="BJ7" s="47" t="str">
        <f t="shared" ref="BJ7:BJ11" ca="1" si="55">IF(AND(ISNUMBER($BD6), ISNUMBER($BD7)), $BD6 - $BD7, "")</f>
        <v/>
      </c>
      <c r="BK7" s="111" t="str">
        <f t="shared" ref="BK7:BK14" ca="1" si="56">IF(AND(ISNUMBER($BE6), ISNUMBER($BE7)), $BE6 - $BE7, "")</f>
        <v/>
      </c>
      <c r="BL7" s="109" t="str">
        <f t="shared" ca="1" si="13"/>
        <v/>
      </c>
      <c r="BM7" s="372" t="str">
        <f ca="1">IFERROR(INDEX(ICE[], MATCH("ulsdaradiff" &amp; LEFT(Mid!$A7, 2) &amp; " " &amp; RIGHT(Mid!$A7, 2), ICE[LongCode], 0), MATCH("Text", ICE[#Headers], 0)), "")</f>
        <v xml:space="preserve"> /  </v>
      </c>
      <c r="BN7" s="46" t="str">
        <f t="shared" ca="1" si="14"/>
        <v/>
      </c>
      <c r="BO7" s="47" t="str">
        <f t="shared" ref="BO7:BO14" ca="1" si="57">IF(AND(ISNUMBER($BL6), ISNUMBER($BL7)), $BL6 - $BL7, "")</f>
        <v/>
      </c>
      <c r="BP7" s="46" t="str">
        <f t="shared" ref="BP7:BP14" ca="1" si="58">IF(AND(ISNUMBER($BN6), ISNUMBER($BN7)), $BN6 - $BN7, "")</f>
        <v/>
      </c>
      <c r="BQ7" s="110" t="str">
        <f t="shared" ca="1" si="15"/>
        <v/>
      </c>
      <c r="BR7" s="46" t="str">
        <f t="shared" ca="1" si="15"/>
        <v/>
      </c>
      <c r="BS7" s="47" t="str">
        <f t="shared" ref="BS7:BS14" ca="1" si="59">IF(AND(ISNUMBER($BQ6), ISNUMBER($BQ7)), $BQ6 - $BQ7, "")</f>
        <v/>
      </c>
      <c r="BT7" s="111" t="str">
        <f t="shared" ref="BT7:BT14" ca="1" si="60">IF(AND(ISNUMBER($BR6), ISNUMBER($BR7)), $BR6 - $BR7, "")</f>
        <v/>
      </c>
      <c r="BU7" s="109" t="str">
        <f t="shared" ca="1" si="16"/>
        <v/>
      </c>
      <c r="BV7" s="372" t="str">
        <f ca="1">IFERROR(INDEX(ICE[], MATCH("ulsdccndiff" &amp; LEFT(Mid!$A7, 2) &amp; " " &amp; RIGHT(Mid!$A7, 2), ICE[LongCode], 0), MATCH("Text", ICE[#Headers], 0)), "")</f>
        <v xml:space="preserve"> /  </v>
      </c>
      <c r="BW7" s="46" t="str">
        <f t="shared" ca="1" si="17"/>
        <v/>
      </c>
      <c r="BX7" s="47" t="str">
        <f t="shared" ref="BX7:BX11" ca="1" si="61">IF(AND(ISNUMBER($BU6), ISNUMBER($BU7)), $BU6 - $BU7, "")</f>
        <v/>
      </c>
      <c r="BY7" s="46" t="str">
        <f t="shared" ref="BY7:BY14" ca="1" si="62">IF(AND(ISNUMBER($BW6), ISNUMBER($BW7)), $BW6 - $BW7, "")</f>
        <v/>
      </c>
      <c r="BZ7" s="110" t="str">
        <f t="shared" ca="1" si="18"/>
        <v/>
      </c>
      <c r="CA7" s="46" t="str">
        <f t="shared" ca="1" si="18"/>
        <v/>
      </c>
      <c r="CB7" s="47" t="str">
        <f t="shared" ref="CB7:CB14" ca="1" si="63">IF(AND(ISNUMBER($BZ6), ISNUMBER($BZ7)), $BZ6 - $BZ7, "")</f>
        <v/>
      </c>
      <c r="CC7" s="46" t="str">
        <f t="shared" ref="CC7:CC14" ca="1" si="64">IF(AND(ISNUMBER($CA6), ISNUMBER($CA7)), $CA6 - $CA7, "")</f>
        <v/>
      </c>
      <c r="CD7" s="109" t="str">
        <f t="shared" ca="1" si="19"/>
        <v/>
      </c>
      <c r="CE7" s="372" t="str">
        <f ca="1">IFERROR(INDEX(ICE[], MATCH("ulsdccmdiff" &amp; LEFT(Mid!$A7, 2) &amp; " " &amp; RIGHT(Mid!$A7, 2), ICE[LongCode], 0), MATCH("Text", ICE[#Headers], 0)), "")</f>
        <v xml:space="preserve"> /  </v>
      </c>
      <c r="CF7" s="46" t="str">
        <f t="shared" ca="1" si="20"/>
        <v/>
      </c>
      <c r="CG7" s="47" t="str">
        <f t="shared" ref="CG7:CG11" ca="1" si="65">IF(AND(ISNUMBER($CD6), ISNUMBER($CD7)), $CD6 - $CD7, "")</f>
        <v/>
      </c>
      <c r="CH7" s="46" t="str">
        <f t="shared" ref="CH7:CH14" ca="1" si="66">IF(AND(ISNUMBER($CF6), ISNUMBER($CF7)), $CF6 - $CF7, "")</f>
        <v/>
      </c>
      <c r="CI7" s="110" t="str">
        <f t="shared" ca="1" si="21"/>
        <v/>
      </c>
      <c r="CJ7" s="46" t="str">
        <f t="shared" ca="1" si="21"/>
        <v/>
      </c>
      <c r="CK7" s="47" t="str">
        <f t="shared" ref="CK7:CK14" ca="1" si="67">IF(AND(ISNUMBER($CI6), ISNUMBER($CI7)), $CI6 - $CI7, "")</f>
        <v/>
      </c>
      <c r="CL7" s="46" t="str">
        <f t="shared" ref="CL7:CL14" ca="1" si="68">IF(AND(ISNUMBER($CJ6), ISNUMBER($CJ7)), $CJ6 - $CJ7, "")</f>
        <v/>
      </c>
      <c r="CM7" s="109" t="str">
        <f t="shared" ca="1" si="22"/>
        <v/>
      </c>
      <c r="CN7" s="372" t="str">
        <f ca="1">IFERROR(INDEX(ICE[], MATCH("go01bfrdiff" &amp; LEFT(Mid!$A7, 2) &amp; " " &amp; RIGHT(Mid!$A7, 2), ICE[LongCode], 0), MATCH("Text", ICE[#Headers], 0)), "")</f>
        <v xml:space="preserve"> /  </v>
      </c>
      <c r="CO7" s="46" t="str">
        <f t="shared" ca="1" si="23"/>
        <v/>
      </c>
      <c r="CP7" s="47" t="str">
        <f t="shared" ref="CP7:CP14" ca="1" si="69">IF(AND(ISNUMBER($CM6), ISNUMBER($CM7)), $CM6 - $CM7, "")</f>
        <v/>
      </c>
      <c r="CQ7" s="46" t="str">
        <f t="shared" ref="CQ7:CQ14" ca="1" si="70">IF(AND(ISNUMBER($CO6), ISNUMBER($CO7)), $CO6 - $CO7, "")</f>
        <v/>
      </c>
      <c r="CR7" s="110" t="str">
        <f t="shared" ca="1" si="24"/>
        <v/>
      </c>
      <c r="CS7" s="46" t="str">
        <f t="shared" ca="1" si="24"/>
        <v/>
      </c>
      <c r="CT7" s="47" t="str">
        <f t="shared" ref="CT7:CT14" ca="1" si="71">IF(AND(ISNUMBER($CR6), ISNUMBER($CR7)), $CR6 - $CR7, "")</f>
        <v/>
      </c>
      <c r="CU7" s="46" t="str">
        <f t="shared" ref="CU7:CU14" ca="1" si="72">IF(AND(ISNUMBER($CS6), ISNUMBER($CS7)), $CS6 - $CS7, "")</f>
        <v/>
      </c>
      <c r="CV7" s="109" t="str">
        <f t="shared" ca="1" si="25"/>
        <v/>
      </c>
      <c r="CW7" s="372" t="str">
        <f ca="1">IFERROR(INDEX(ICE[], MATCH("go01ccndiff" &amp; LEFT(Mid!$A7, 2) &amp; " " &amp; RIGHT(Mid!$A7, 2), ICE[LongCode], 0), MATCH("Text", ICE[#Headers], 0)), "")</f>
        <v xml:space="preserve"> /  </v>
      </c>
      <c r="CX7" s="46" t="str">
        <f t="shared" ca="1" si="26"/>
        <v/>
      </c>
      <c r="CY7" s="47" t="str">
        <f t="shared" ref="CY7:CY14" ca="1" si="73">IF(AND(ISNUMBER($CV6), ISNUMBER($CV7)), $CV6 - $CV7, "")</f>
        <v/>
      </c>
      <c r="CZ7" s="46" t="str">
        <f t="shared" ref="CZ7:CZ14" ca="1" si="74">IF(AND(ISNUMBER($CX6), ISNUMBER($CX7)), $CX6 - $CX7, "")</f>
        <v/>
      </c>
      <c r="DA7" s="110" t="str">
        <f t="shared" ca="1" si="27"/>
        <v/>
      </c>
      <c r="DB7" s="46" t="str">
        <f t="shared" ca="1" si="27"/>
        <v/>
      </c>
      <c r="DC7" s="47" t="str">
        <f t="shared" ref="DC7:DC14" ca="1" si="75">IF(AND(ISNUMBER($DA6), ISNUMBER($DA7)), $DA6 - $DA7, "")</f>
        <v/>
      </c>
      <c r="DD7" s="46" t="str">
        <f t="shared" ref="DD7:DD14" ca="1" si="76">IF(AND(ISNUMBER($DB6), ISNUMBER($DB7)), $DB6 - $DB7, "")</f>
        <v/>
      </c>
      <c r="DE7" s="109" t="str">
        <f t="shared" ca="1" si="28"/>
        <v/>
      </c>
      <c r="DF7" s="372" t="str">
        <f ca="1">IFERROR(INDEX(ICE[], MATCH("go01ccmdiff" &amp; LEFT(Mid!$A7, 2) &amp; " " &amp; RIGHT(Mid!$A7, 2), ICE[LongCode], 0), MATCH("Text", ICE[#Headers], 0)), "")</f>
        <v xml:space="preserve"> /  </v>
      </c>
      <c r="DG7" s="46" t="str">
        <f t="shared" ca="1" si="29"/>
        <v/>
      </c>
      <c r="DH7" s="47" t="str">
        <f t="shared" ref="DH7:DH14" ca="1" si="77">IF(AND(ISNUMBER($DE6), ISNUMBER($DE7)), $DE6 - $DE7, "")</f>
        <v/>
      </c>
      <c r="DI7" s="46" t="str">
        <f t="shared" ref="DI7:DI14" ca="1" si="78">IF(AND(ISNUMBER($DG6), ISNUMBER($DG7)), $DG6 - $DG7, "")</f>
        <v/>
      </c>
      <c r="DJ7" s="110" t="str">
        <f t="shared" ca="1" si="30"/>
        <v/>
      </c>
      <c r="DK7" s="46" t="str">
        <f t="shared" ca="1" si="30"/>
        <v/>
      </c>
      <c r="DL7" s="47" t="str">
        <f t="shared" ref="DL7:DL14" ca="1" si="79">IF(AND(ISNUMBER($DJ6), ISNUMBER($DJ7)), $DJ6 - $DJ7, "")</f>
        <v/>
      </c>
      <c r="DM7" s="111" t="str">
        <f t="shared" ref="DM7:DM14" ca="1" si="80">IF(AND(ISNUMBER($DK6), ISNUMBER($DK7)), $DK6 - $DK7, "")</f>
        <v/>
      </c>
      <c r="DN7" s="109" t="str">
        <f t="shared" ca="1" si="31"/>
        <v/>
      </c>
      <c r="DO7" s="372" t="str">
        <f ca="1">IFERROR(INDEX(ICE[], MATCH("ulsdgc" &amp; LEFT(Mid!$A7, 2) &amp; " " &amp; RIGHT(Mid!$A7, 2), ICE[LongCode], 0), MATCH("Text", ICE[#Headers], 0)), "")</f>
        <v xml:space="preserve"> /  </v>
      </c>
      <c r="DP7" s="46" t="str">
        <f t="shared" ca="1" si="32"/>
        <v/>
      </c>
      <c r="DQ7" s="47" t="str">
        <f t="shared" ref="DQ7:DQ11" ca="1" si="81">IF(AND(ISNUMBER($DN6), ISNUMBER($DN7)), $DN6 - $DN7, "")</f>
        <v/>
      </c>
      <c r="DR7" s="46" t="str">
        <f t="shared" ref="DR7:DR11" ca="1" si="82">IF(AND(ISNUMBER($DP6), ISNUMBER($DP7)), $DP6 - $DP7, "")</f>
        <v/>
      </c>
      <c r="DS7" s="110" t="str">
        <f t="shared" ca="1" si="33"/>
        <v/>
      </c>
      <c r="DT7" s="46" t="str">
        <f t="shared" ca="1" si="33"/>
        <v/>
      </c>
      <c r="DU7" s="47" t="str">
        <f t="shared" ref="DU7:DU11" ca="1" si="83">IF(AND(ISNUMBER($DS6), ISNUMBER($DS7)), $DS6 - $DS7, "")</f>
        <v/>
      </c>
      <c r="DV7" s="111" t="str">
        <f t="shared" ref="DV7:DV11" ca="1" si="84">IF(AND(ISNUMBER($DT6), ISNUMBER($DT7)), $DT6 - $DT7, "")</f>
        <v/>
      </c>
    </row>
    <row r="8" spans="1:127" x14ac:dyDescent="0.25">
      <c r="A8" s="54" t="str">
        <f t="shared" ca="1" si="35"/>
        <v>Q227</v>
      </c>
      <c r="B8" s="6"/>
      <c r="C8" s="6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109" t="str">
        <f t="shared" ca="1" si="0"/>
        <v/>
      </c>
      <c r="P8" s="372" t="str">
        <f ca="1">IFERROR(INDEX(ICE[], MATCH("jetccndiff" &amp; LEFT(Mid!$A8, 2) &amp; " " &amp; RIGHT(Mid!$A8, 2), ICE[LongCode], 0), MATCH("Text", ICE[#Headers], 0)), "")</f>
        <v xml:space="preserve"> /  </v>
      </c>
      <c r="Q8" s="46" t="str">
        <f t="shared" ca="1" si="1"/>
        <v/>
      </c>
      <c r="R8" s="47" t="str">
        <f t="shared" ca="1" si="34"/>
        <v/>
      </c>
      <c r="S8" s="114" t="str">
        <f t="shared" ca="1" si="36"/>
        <v/>
      </c>
      <c r="T8" s="110" t="str">
        <f t="shared" ca="1" si="2"/>
        <v/>
      </c>
      <c r="U8" s="46" t="str">
        <f t="shared" ca="1" si="2"/>
        <v/>
      </c>
      <c r="V8" s="47" t="str">
        <f t="shared" ca="1" si="37"/>
        <v/>
      </c>
      <c r="W8" s="46" t="str">
        <f t="shared" ca="1" si="38"/>
        <v/>
      </c>
      <c r="X8" s="269" t="str">
        <f t="shared" ca="1" si="3"/>
        <v/>
      </c>
      <c r="Y8" s="46" t="str">
        <f t="shared" ca="1" si="3"/>
        <v/>
      </c>
      <c r="Z8" s="47" t="str">
        <f t="shared" ca="1" si="39"/>
        <v/>
      </c>
      <c r="AA8" s="111" t="str">
        <f t="shared" ca="1" si="40"/>
        <v/>
      </c>
      <c r="AB8" s="109" t="str">
        <f t="shared" ca="1" si="4"/>
        <v/>
      </c>
      <c r="AC8" s="372" t="str">
        <f ca="1">IFERROR(INDEX(ICE[], MATCH("goew" &amp; LEFT(Mid!$A8, 2) &amp; " " &amp; RIGHT(Mid!$A8, 2), ICE[LongCode], 0), MATCH("Text", ICE[#Headers], 0)), "")</f>
        <v xml:space="preserve"> /  </v>
      </c>
      <c r="AD8" s="46" t="str">
        <f t="shared" ca="1" si="5"/>
        <v/>
      </c>
      <c r="AE8" s="47" t="str">
        <f t="shared" ca="1" si="41"/>
        <v/>
      </c>
      <c r="AF8" s="46" t="str">
        <f t="shared" ca="1" si="42"/>
        <v/>
      </c>
      <c r="AG8" s="141" t="str">
        <f t="shared" ca="1" si="6"/>
        <v/>
      </c>
      <c r="AH8" s="110" t="str">
        <f t="shared" ca="1" si="6"/>
        <v/>
      </c>
      <c r="AI8" s="46" t="str">
        <f t="shared" ca="1" si="6"/>
        <v/>
      </c>
      <c r="AJ8" s="47" t="str">
        <f t="shared" ca="1" si="43"/>
        <v/>
      </c>
      <c r="AK8" s="364" t="str">
        <f ca="1">IFERROR(INDEX(ICE[], MATCH("gosing" &amp; LEFT($A7, 2) &amp; " " &amp; RIGHT($A7, 2) &amp; "/" &amp; LEFT($A8, 2) &amp; " " &amp; RIGHT($A8, 2), ICE[LongCode], 0), MATCH("Text", ICE[#Headers], 0)), "")</f>
        <v xml:space="preserve"> /  </v>
      </c>
      <c r="AL8" s="46" t="str">
        <f t="shared" ca="1" si="44"/>
        <v/>
      </c>
      <c r="AM8" s="269" t="str">
        <f t="shared" ca="1" si="7"/>
        <v/>
      </c>
      <c r="AN8" s="46" t="str">
        <f t="shared" ca="1" si="7"/>
        <v/>
      </c>
      <c r="AO8" s="47" t="str">
        <f t="shared" ca="1" si="45"/>
        <v/>
      </c>
      <c r="AP8" s="111" t="str">
        <f t="shared" ca="1" si="46"/>
        <v/>
      </c>
      <c r="AQ8" s="109">
        <f t="shared" ca="1" si="8"/>
        <v>-6.32</v>
      </c>
      <c r="AR8" s="46">
        <f t="shared" ca="1" si="8"/>
        <v>0</v>
      </c>
      <c r="AS8" s="47">
        <f t="shared" ca="1" si="47"/>
        <v>-1.2999999999999998</v>
      </c>
      <c r="AT8" s="46">
        <f t="shared" ca="1" si="48"/>
        <v>0</v>
      </c>
      <c r="AU8" s="269" t="str">
        <f t="shared" ca="1" si="8"/>
        <v/>
      </c>
      <c r="AV8" s="46" t="str">
        <f t="shared" ca="1" si="8"/>
        <v/>
      </c>
      <c r="AW8" s="47" t="str">
        <f t="shared" ca="1" si="49"/>
        <v/>
      </c>
      <c r="AX8" s="111" t="str">
        <f t="shared" ca="1" si="50"/>
        <v/>
      </c>
      <c r="AY8" s="109" t="str">
        <f t="shared" ca="1" si="9"/>
        <v/>
      </c>
      <c r="AZ8" s="372" t="str">
        <f ca="1">IFERROR(INDEX(ICE[], MATCH("regrade" &amp; LEFT(Mid!$A8, 2) &amp; " " &amp; RIGHT(Mid!$A8, 2), ICE[LongCode], 0), MATCH("Text", ICE[#Headers], 0)), "")</f>
        <v xml:space="preserve">0.90 / 2.00 </v>
      </c>
      <c r="BA8" s="46" t="str">
        <f t="shared" ca="1" si="10"/>
        <v/>
      </c>
      <c r="BB8" s="47" t="str">
        <f t="shared" ca="1" si="51"/>
        <v/>
      </c>
      <c r="BC8" s="46" t="str">
        <f t="shared" ca="1" si="52"/>
        <v/>
      </c>
      <c r="BD8" s="110" t="str">
        <f t="shared" ca="1" si="11"/>
        <v/>
      </c>
      <c r="BE8" s="46" t="str">
        <f t="shared" ca="1" si="11"/>
        <v/>
      </c>
      <c r="BF8" s="47" t="str">
        <f t="shared" ca="1" si="53"/>
        <v/>
      </c>
      <c r="BG8" s="111" t="str">
        <f t="shared" ca="1" si="54"/>
        <v/>
      </c>
      <c r="BH8" s="110" t="str">
        <f t="shared" ca="1" si="12"/>
        <v/>
      </c>
      <c r="BI8" s="46" t="str">
        <f t="shared" ca="1" si="12"/>
        <v/>
      </c>
      <c r="BJ8" s="47" t="str">
        <f t="shared" ca="1" si="55"/>
        <v/>
      </c>
      <c r="BK8" s="111" t="str">
        <f t="shared" ca="1" si="56"/>
        <v/>
      </c>
      <c r="BL8" s="109" t="str">
        <f t="shared" ca="1" si="13"/>
        <v/>
      </c>
      <c r="BM8" s="372" t="str">
        <f ca="1">IFERROR(INDEX(ICE[], MATCH("ulsdaradiff" &amp; LEFT(Mid!$A8, 2) &amp; " " &amp; RIGHT(Mid!$A8, 2), ICE[LongCode], 0), MATCH("Text", ICE[#Headers], 0)), "")</f>
        <v xml:space="preserve"> /  </v>
      </c>
      <c r="BN8" s="46" t="str">
        <f t="shared" ca="1" si="14"/>
        <v/>
      </c>
      <c r="BO8" s="47" t="str">
        <f t="shared" ca="1" si="57"/>
        <v/>
      </c>
      <c r="BP8" s="46" t="str">
        <f t="shared" ca="1" si="58"/>
        <v/>
      </c>
      <c r="BQ8" s="110" t="str">
        <f t="shared" ca="1" si="15"/>
        <v/>
      </c>
      <c r="BR8" s="46" t="str">
        <f t="shared" ca="1" si="15"/>
        <v/>
      </c>
      <c r="BS8" s="47" t="str">
        <f t="shared" ca="1" si="59"/>
        <v/>
      </c>
      <c r="BT8" s="111" t="str">
        <f t="shared" ca="1" si="60"/>
        <v/>
      </c>
      <c r="BU8" s="109" t="str">
        <f t="shared" ca="1" si="16"/>
        <v/>
      </c>
      <c r="BV8" s="372" t="str">
        <f ca="1">IFERROR(INDEX(ICE[], MATCH("ulsdccndiff" &amp; LEFT(Mid!$A8, 2) &amp; " " &amp; RIGHT(Mid!$A8, 2), ICE[LongCode], 0), MATCH("Text", ICE[#Headers], 0)), "")</f>
        <v xml:space="preserve"> /  </v>
      </c>
      <c r="BW8" s="46" t="str">
        <f t="shared" ca="1" si="17"/>
        <v/>
      </c>
      <c r="BX8" s="47" t="str">
        <f t="shared" ca="1" si="61"/>
        <v/>
      </c>
      <c r="BY8" s="46" t="str">
        <f t="shared" ca="1" si="62"/>
        <v/>
      </c>
      <c r="BZ8" s="110" t="str">
        <f t="shared" ca="1" si="18"/>
        <v/>
      </c>
      <c r="CA8" s="46" t="str">
        <f t="shared" ca="1" si="18"/>
        <v/>
      </c>
      <c r="CB8" s="47" t="str">
        <f t="shared" ca="1" si="63"/>
        <v/>
      </c>
      <c r="CC8" s="46" t="str">
        <f t="shared" ca="1" si="64"/>
        <v/>
      </c>
      <c r="CD8" s="109" t="str">
        <f t="shared" ca="1" si="19"/>
        <v/>
      </c>
      <c r="CE8" s="372" t="str">
        <f ca="1">IFERROR(INDEX(ICE[], MATCH("ulsdccmdiff" &amp; LEFT(Mid!$A8, 2) &amp; " " &amp; RIGHT(Mid!$A8, 2), ICE[LongCode], 0), MATCH("Text", ICE[#Headers], 0)), "")</f>
        <v xml:space="preserve"> /  </v>
      </c>
      <c r="CF8" s="46" t="str">
        <f t="shared" ca="1" si="20"/>
        <v/>
      </c>
      <c r="CG8" s="47" t="str">
        <f t="shared" ca="1" si="65"/>
        <v/>
      </c>
      <c r="CH8" s="46" t="str">
        <f t="shared" ca="1" si="66"/>
        <v/>
      </c>
      <c r="CI8" s="110" t="str">
        <f t="shared" ca="1" si="21"/>
        <v/>
      </c>
      <c r="CJ8" s="46" t="str">
        <f t="shared" ca="1" si="21"/>
        <v/>
      </c>
      <c r="CK8" s="47" t="str">
        <f t="shared" ca="1" si="67"/>
        <v/>
      </c>
      <c r="CL8" s="46" t="str">
        <f t="shared" ca="1" si="68"/>
        <v/>
      </c>
      <c r="CM8" s="109" t="str">
        <f t="shared" ca="1" si="22"/>
        <v/>
      </c>
      <c r="CN8" s="372" t="str">
        <f ca="1">IFERROR(INDEX(ICE[], MATCH("go01bfrdiff" &amp; LEFT(Mid!$A8, 2) &amp; " " &amp; RIGHT(Mid!$A8, 2), ICE[LongCode], 0), MATCH("Text", ICE[#Headers], 0)), "")</f>
        <v xml:space="preserve"> /  </v>
      </c>
      <c r="CO8" s="46" t="str">
        <f t="shared" ca="1" si="23"/>
        <v/>
      </c>
      <c r="CP8" s="47" t="str">
        <f t="shared" ca="1" si="69"/>
        <v/>
      </c>
      <c r="CQ8" s="46" t="str">
        <f t="shared" ca="1" si="70"/>
        <v/>
      </c>
      <c r="CR8" s="110" t="str">
        <f t="shared" ca="1" si="24"/>
        <v/>
      </c>
      <c r="CS8" s="46" t="str">
        <f t="shared" ca="1" si="24"/>
        <v/>
      </c>
      <c r="CT8" s="47" t="str">
        <f t="shared" ca="1" si="71"/>
        <v/>
      </c>
      <c r="CU8" s="46" t="str">
        <f t="shared" ca="1" si="72"/>
        <v/>
      </c>
      <c r="CV8" s="109" t="str">
        <f t="shared" ca="1" si="25"/>
        <v/>
      </c>
      <c r="CW8" s="372" t="str">
        <f ca="1">IFERROR(INDEX(ICE[], MATCH("go01ccndiff" &amp; LEFT(Mid!$A8, 2) &amp; " " &amp; RIGHT(Mid!$A8, 2), ICE[LongCode], 0), MATCH("Text", ICE[#Headers], 0)), "")</f>
        <v xml:space="preserve"> /  </v>
      </c>
      <c r="CX8" s="46" t="str">
        <f t="shared" ca="1" si="26"/>
        <v/>
      </c>
      <c r="CY8" s="47" t="str">
        <f t="shared" ca="1" si="73"/>
        <v/>
      </c>
      <c r="CZ8" s="46" t="str">
        <f t="shared" ca="1" si="74"/>
        <v/>
      </c>
      <c r="DA8" s="110" t="str">
        <f t="shared" ca="1" si="27"/>
        <v/>
      </c>
      <c r="DB8" s="46" t="str">
        <f t="shared" ca="1" si="27"/>
        <v/>
      </c>
      <c r="DC8" s="47" t="str">
        <f t="shared" ca="1" si="75"/>
        <v/>
      </c>
      <c r="DD8" s="46" t="str">
        <f t="shared" ca="1" si="76"/>
        <v/>
      </c>
      <c r="DE8" s="109" t="str">
        <f t="shared" ca="1" si="28"/>
        <v/>
      </c>
      <c r="DF8" s="372" t="str">
        <f ca="1">IFERROR(INDEX(ICE[], MATCH("go01ccmdiff" &amp; LEFT(Mid!$A8, 2) &amp; " " &amp; RIGHT(Mid!$A8, 2), ICE[LongCode], 0), MATCH("Text", ICE[#Headers], 0)), "")</f>
        <v xml:space="preserve"> /  </v>
      </c>
      <c r="DG8" s="46" t="str">
        <f t="shared" ca="1" si="29"/>
        <v/>
      </c>
      <c r="DH8" s="47" t="str">
        <f t="shared" ca="1" si="77"/>
        <v/>
      </c>
      <c r="DI8" s="46" t="str">
        <f t="shared" ca="1" si="78"/>
        <v/>
      </c>
      <c r="DJ8" s="110" t="str">
        <f t="shared" ca="1" si="30"/>
        <v/>
      </c>
      <c r="DK8" s="46" t="str">
        <f t="shared" ca="1" si="30"/>
        <v/>
      </c>
      <c r="DL8" s="47" t="str">
        <f t="shared" ca="1" si="79"/>
        <v/>
      </c>
      <c r="DM8" s="111" t="str">
        <f t="shared" ca="1" si="80"/>
        <v/>
      </c>
      <c r="DN8" s="109" t="str">
        <f t="shared" ca="1" si="31"/>
        <v/>
      </c>
      <c r="DO8" s="372" t="str">
        <f ca="1">IFERROR(INDEX(ICE[], MATCH("ulsdgc" &amp; LEFT(Mid!$A8, 2) &amp; " " &amp; RIGHT(Mid!$A8, 2), ICE[LongCode], 0), MATCH("Text", ICE[#Headers], 0)), "")</f>
        <v xml:space="preserve"> /  </v>
      </c>
      <c r="DP8" s="46" t="str">
        <f t="shared" ca="1" si="32"/>
        <v/>
      </c>
      <c r="DQ8" s="47" t="str">
        <f t="shared" ca="1" si="81"/>
        <v/>
      </c>
      <c r="DR8" s="46" t="str">
        <f t="shared" ca="1" si="82"/>
        <v/>
      </c>
      <c r="DS8" s="110" t="str">
        <f t="shared" ca="1" si="33"/>
        <v/>
      </c>
      <c r="DT8" s="46" t="str">
        <f t="shared" ca="1" si="33"/>
        <v/>
      </c>
      <c r="DU8" s="47" t="str">
        <f t="shared" ca="1" si="83"/>
        <v/>
      </c>
      <c r="DV8" s="111" t="str">
        <f t="shared" ca="1" si="84"/>
        <v/>
      </c>
    </row>
    <row r="9" spans="1:127" x14ac:dyDescent="0.25">
      <c r="A9" s="54" t="str">
        <f t="shared" ca="1" si="35"/>
        <v>Q327</v>
      </c>
      <c r="B9" s="6"/>
      <c r="C9" s="6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109" t="str">
        <f t="shared" ca="1" si="0"/>
        <v/>
      </c>
      <c r="P9" s="372" t="str">
        <f ca="1">IFERROR(INDEX(ICE[], MATCH("jetccndiff" &amp; LEFT(Mid!$A9, 2) &amp; " " &amp; RIGHT(Mid!$A9, 2), ICE[LongCode], 0), MATCH("Text", ICE[#Headers], 0)), "")</f>
        <v xml:space="preserve"> / 130.00 </v>
      </c>
      <c r="Q9" s="46" t="str">
        <f t="shared" ca="1" si="1"/>
        <v/>
      </c>
      <c r="R9" s="47" t="str">
        <f t="shared" ca="1" si="34"/>
        <v/>
      </c>
      <c r="S9" s="114" t="str">
        <f t="shared" ca="1" si="36"/>
        <v/>
      </c>
      <c r="T9" s="110" t="str">
        <f t="shared" ca="1" si="2"/>
        <v/>
      </c>
      <c r="U9" s="46" t="str">
        <f t="shared" ca="1" si="2"/>
        <v/>
      </c>
      <c r="V9" s="47" t="str">
        <f t="shared" ca="1" si="37"/>
        <v/>
      </c>
      <c r="W9" s="46" t="str">
        <f t="shared" ca="1" si="38"/>
        <v/>
      </c>
      <c r="X9" s="269" t="str">
        <f t="shared" ca="1" si="3"/>
        <v/>
      </c>
      <c r="Y9" s="46" t="str">
        <f t="shared" ca="1" si="3"/>
        <v/>
      </c>
      <c r="Z9" s="47" t="str">
        <f t="shared" ca="1" si="39"/>
        <v/>
      </c>
      <c r="AA9" s="111" t="str">
        <f t="shared" ca="1" si="40"/>
        <v/>
      </c>
      <c r="AB9" s="109" t="str">
        <f t="shared" ca="1" si="4"/>
        <v/>
      </c>
      <c r="AC9" s="372" t="str">
        <f ca="1">IFERROR(INDEX(ICE[], MATCH("goew" &amp; LEFT(Mid!$A9, 2) &amp; " " &amp; RIGHT(Mid!$A9, 2), ICE[LongCode], 0), MATCH("Text", ICE[#Headers], 0)), "")</f>
        <v xml:space="preserve"> /  </v>
      </c>
      <c r="AD9" s="46" t="str">
        <f t="shared" ca="1" si="5"/>
        <v/>
      </c>
      <c r="AE9" s="47" t="str">
        <f t="shared" ca="1" si="41"/>
        <v/>
      </c>
      <c r="AF9" s="46" t="str">
        <f t="shared" ca="1" si="42"/>
        <v/>
      </c>
      <c r="AG9" s="141" t="str">
        <f t="shared" ca="1" si="6"/>
        <v/>
      </c>
      <c r="AH9" s="110" t="str">
        <f t="shared" ca="1" si="6"/>
        <v/>
      </c>
      <c r="AI9" s="46" t="str">
        <f t="shared" ca="1" si="6"/>
        <v/>
      </c>
      <c r="AJ9" s="47" t="str">
        <f t="shared" ca="1" si="43"/>
        <v/>
      </c>
      <c r="AK9" s="364" t="str">
        <f ca="1">IFERROR(INDEX(ICE[], MATCH("gosing" &amp; LEFT($A8, 2) &amp; " " &amp; RIGHT($A8, 2) &amp; "/" &amp; LEFT($A9, 2) &amp; " " &amp; RIGHT($A9, 2), ICE[LongCode], 0), MATCH("Text", ICE[#Headers], 0)), "")</f>
        <v/>
      </c>
      <c r="AL9" s="46" t="str">
        <f t="shared" ca="1" si="44"/>
        <v/>
      </c>
      <c r="AM9" s="269" t="str">
        <f t="shared" ca="1" si="7"/>
        <v/>
      </c>
      <c r="AN9" s="46" t="str">
        <f t="shared" ca="1" si="7"/>
        <v/>
      </c>
      <c r="AO9" s="47" t="str">
        <f t="shared" ca="1" si="45"/>
        <v/>
      </c>
      <c r="AP9" s="111" t="str">
        <f t="shared" ca="1" si="46"/>
        <v/>
      </c>
      <c r="AQ9" s="109">
        <f t="shared" ca="1" si="8"/>
        <v>-5.0200000000000005</v>
      </c>
      <c r="AR9" s="46">
        <f t="shared" ca="1" si="8"/>
        <v>0</v>
      </c>
      <c r="AS9" s="47">
        <f t="shared" ca="1" si="47"/>
        <v>-1.2999999999999998</v>
      </c>
      <c r="AT9" s="46">
        <f t="shared" ca="1" si="48"/>
        <v>0</v>
      </c>
      <c r="AU9" s="269" t="str">
        <f t="shared" ca="1" si="8"/>
        <v/>
      </c>
      <c r="AV9" s="46" t="str">
        <f t="shared" ca="1" si="8"/>
        <v/>
      </c>
      <c r="AW9" s="47" t="str">
        <f t="shared" ca="1" si="49"/>
        <v/>
      </c>
      <c r="AX9" s="111" t="str">
        <f t="shared" ca="1" si="50"/>
        <v/>
      </c>
      <c r="AY9" s="109" t="str">
        <f t="shared" ca="1" si="9"/>
        <v/>
      </c>
      <c r="AZ9" s="372" t="str">
        <f ca="1">IFERROR(INDEX(ICE[], MATCH("regrade" &amp; LEFT(Mid!$A9, 2) &amp; " " &amp; RIGHT(Mid!$A9, 2), ICE[LongCode], 0), MATCH("Text", ICE[#Headers], 0)), "")</f>
        <v xml:space="preserve"> / 3.95 </v>
      </c>
      <c r="BA9" s="46" t="str">
        <f t="shared" ca="1" si="10"/>
        <v/>
      </c>
      <c r="BB9" s="47" t="str">
        <f t="shared" ca="1" si="51"/>
        <v/>
      </c>
      <c r="BC9" s="46" t="str">
        <f t="shared" ca="1" si="52"/>
        <v/>
      </c>
      <c r="BD9" s="110" t="str">
        <f t="shared" ca="1" si="11"/>
        <v/>
      </c>
      <c r="BE9" s="46" t="str">
        <f t="shared" ca="1" si="11"/>
        <v/>
      </c>
      <c r="BF9" s="47" t="str">
        <f t="shared" ca="1" si="53"/>
        <v/>
      </c>
      <c r="BG9" s="111" t="str">
        <f t="shared" ca="1" si="54"/>
        <v/>
      </c>
      <c r="BH9" s="110" t="str">
        <f t="shared" ca="1" si="12"/>
        <v/>
      </c>
      <c r="BI9" s="46" t="str">
        <f t="shared" ca="1" si="12"/>
        <v/>
      </c>
      <c r="BJ9" s="47" t="str">
        <f t="shared" ca="1" si="55"/>
        <v/>
      </c>
      <c r="BK9" s="111" t="str">
        <f t="shared" ca="1" si="56"/>
        <v/>
      </c>
      <c r="BL9" s="109" t="str">
        <f t="shared" ca="1" si="13"/>
        <v/>
      </c>
      <c r="BM9" s="372" t="str">
        <f ca="1">IFERROR(INDEX(ICE[], MATCH("ulsdaradiff" &amp; LEFT(Mid!$A9, 2) &amp; " " &amp; RIGHT(Mid!$A9, 2), ICE[LongCode], 0), MATCH("Text", ICE[#Headers], 0)), "")</f>
        <v xml:space="preserve"> /  </v>
      </c>
      <c r="BN9" s="46" t="str">
        <f t="shared" ca="1" si="14"/>
        <v/>
      </c>
      <c r="BO9" s="47" t="str">
        <f t="shared" ca="1" si="57"/>
        <v/>
      </c>
      <c r="BP9" s="46" t="str">
        <f t="shared" ca="1" si="58"/>
        <v/>
      </c>
      <c r="BQ9" s="110" t="str">
        <f t="shared" ca="1" si="15"/>
        <v/>
      </c>
      <c r="BR9" s="46" t="str">
        <f t="shared" ca="1" si="15"/>
        <v/>
      </c>
      <c r="BS9" s="47" t="str">
        <f t="shared" ca="1" si="59"/>
        <v/>
      </c>
      <c r="BT9" s="111" t="str">
        <f t="shared" ca="1" si="60"/>
        <v/>
      </c>
      <c r="BU9" s="109" t="str">
        <f t="shared" ca="1" si="16"/>
        <v/>
      </c>
      <c r="BV9" s="372" t="str">
        <f ca="1">IFERROR(INDEX(ICE[], MATCH("ulsdccndiff" &amp; LEFT(Mid!$A9, 2) &amp; " " &amp; RIGHT(Mid!$A9, 2), ICE[LongCode], 0), MATCH("Text", ICE[#Headers], 0)), "")</f>
        <v xml:space="preserve"> /  </v>
      </c>
      <c r="BW9" s="46" t="str">
        <f t="shared" ca="1" si="17"/>
        <v/>
      </c>
      <c r="BX9" s="47" t="str">
        <f t="shared" ca="1" si="61"/>
        <v/>
      </c>
      <c r="BY9" s="46" t="str">
        <f t="shared" ca="1" si="62"/>
        <v/>
      </c>
      <c r="BZ9" s="110" t="str">
        <f t="shared" ca="1" si="18"/>
        <v/>
      </c>
      <c r="CA9" s="46" t="str">
        <f t="shared" ca="1" si="18"/>
        <v/>
      </c>
      <c r="CB9" s="47" t="str">
        <f t="shared" ca="1" si="63"/>
        <v/>
      </c>
      <c r="CC9" s="46" t="str">
        <f t="shared" ca="1" si="64"/>
        <v/>
      </c>
      <c r="CD9" s="109" t="str">
        <f t="shared" ca="1" si="19"/>
        <v/>
      </c>
      <c r="CE9" s="372" t="str">
        <f ca="1">IFERROR(INDEX(ICE[], MATCH("ulsdccmdiff" &amp; LEFT(Mid!$A9, 2) &amp; " " &amp; RIGHT(Mid!$A9, 2), ICE[LongCode], 0), MATCH("Text", ICE[#Headers], 0)), "")</f>
        <v xml:space="preserve"> /  </v>
      </c>
      <c r="CF9" s="46" t="str">
        <f t="shared" ca="1" si="20"/>
        <v/>
      </c>
      <c r="CG9" s="47" t="str">
        <f t="shared" ca="1" si="65"/>
        <v/>
      </c>
      <c r="CH9" s="46" t="str">
        <f t="shared" ca="1" si="66"/>
        <v/>
      </c>
      <c r="CI9" s="110" t="str">
        <f t="shared" ca="1" si="21"/>
        <v/>
      </c>
      <c r="CJ9" s="46" t="str">
        <f t="shared" ca="1" si="21"/>
        <v/>
      </c>
      <c r="CK9" s="47" t="str">
        <f t="shared" ca="1" si="67"/>
        <v/>
      </c>
      <c r="CL9" s="46" t="str">
        <f t="shared" ca="1" si="68"/>
        <v/>
      </c>
      <c r="CM9" s="109" t="str">
        <f t="shared" ca="1" si="22"/>
        <v/>
      </c>
      <c r="CN9" s="372" t="str">
        <f ca="1">IFERROR(INDEX(ICE[], MATCH("go01bfrdiff" &amp; LEFT(Mid!$A9, 2) &amp; " " &amp; RIGHT(Mid!$A9, 2), ICE[LongCode], 0), MATCH("Text", ICE[#Headers], 0)), "")</f>
        <v xml:space="preserve"> /  </v>
      </c>
      <c r="CO9" s="46" t="str">
        <f t="shared" ca="1" si="23"/>
        <v/>
      </c>
      <c r="CP9" s="47" t="str">
        <f t="shared" ca="1" si="69"/>
        <v/>
      </c>
      <c r="CQ9" s="46" t="str">
        <f t="shared" ca="1" si="70"/>
        <v/>
      </c>
      <c r="CR9" s="110" t="str">
        <f t="shared" ca="1" si="24"/>
        <v/>
      </c>
      <c r="CS9" s="46" t="str">
        <f t="shared" ca="1" si="24"/>
        <v/>
      </c>
      <c r="CT9" s="47" t="str">
        <f t="shared" ca="1" si="71"/>
        <v/>
      </c>
      <c r="CU9" s="46" t="str">
        <f t="shared" ca="1" si="72"/>
        <v/>
      </c>
      <c r="CV9" s="109" t="str">
        <f t="shared" ca="1" si="25"/>
        <v/>
      </c>
      <c r="CW9" s="372" t="str">
        <f ca="1">IFERROR(INDEX(ICE[], MATCH("go01ccndiff" &amp; LEFT(Mid!$A9, 2) &amp; " " &amp; RIGHT(Mid!$A9, 2), ICE[LongCode], 0), MATCH("Text", ICE[#Headers], 0)), "")</f>
        <v xml:space="preserve"> /  </v>
      </c>
      <c r="CX9" s="46" t="str">
        <f t="shared" ca="1" si="26"/>
        <v/>
      </c>
      <c r="CY9" s="47" t="str">
        <f t="shared" ca="1" si="73"/>
        <v/>
      </c>
      <c r="CZ9" s="46" t="str">
        <f t="shared" ca="1" si="74"/>
        <v/>
      </c>
      <c r="DA9" s="110" t="str">
        <f t="shared" ca="1" si="27"/>
        <v/>
      </c>
      <c r="DB9" s="46" t="str">
        <f t="shared" ca="1" si="27"/>
        <v/>
      </c>
      <c r="DC9" s="47" t="str">
        <f t="shared" ca="1" si="75"/>
        <v/>
      </c>
      <c r="DD9" s="46" t="str">
        <f t="shared" ca="1" si="76"/>
        <v/>
      </c>
      <c r="DE9" s="109" t="str">
        <f t="shared" ca="1" si="28"/>
        <v/>
      </c>
      <c r="DF9" s="372" t="str">
        <f ca="1">IFERROR(INDEX(ICE[], MATCH("go01ccmdiff" &amp; LEFT(Mid!$A9, 2) &amp; " " &amp; RIGHT(Mid!$A9, 2), ICE[LongCode], 0), MATCH("Text", ICE[#Headers], 0)), "")</f>
        <v xml:space="preserve"> /  </v>
      </c>
      <c r="DG9" s="46" t="str">
        <f t="shared" ca="1" si="29"/>
        <v/>
      </c>
      <c r="DH9" s="47" t="str">
        <f t="shared" ca="1" si="77"/>
        <v/>
      </c>
      <c r="DI9" s="46" t="str">
        <f t="shared" ca="1" si="78"/>
        <v/>
      </c>
      <c r="DJ9" s="110" t="str">
        <f t="shared" ca="1" si="30"/>
        <v/>
      </c>
      <c r="DK9" s="46" t="str">
        <f t="shared" ca="1" si="30"/>
        <v/>
      </c>
      <c r="DL9" s="47" t="str">
        <f t="shared" ca="1" si="79"/>
        <v/>
      </c>
      <c r="DM9" s="111" t="str">
        <f t="shared" ca="1" si="80"/>
        <v/>
      </c>
      <c r="DN9" s="109" t="str">
        <f t="shared" ca="1" si="31"/>
        <v/>
      </c>
      <c r="DO9" s="372" t="str">
        <f ca="1">IFERROR(INDEX(ICE[], MATCH("ulsdgc" &amp; LEFT(Mid!$A9, 2) &amp; " " &amp; RIGHT(Mid!$A9, 2), ICE[LongCode], 0), MATCH("Text", ICE[#Headers], 0)), "")</f>
        <v xml:space="preserve"> /  </v>
      </c>
      <c r="DP9" s="46" t="str">
        <f t="shared" ca="1" si="32"/>
        <v/>
      </c>
      <c r="DQ9" s="47" t="str">
        <f t="shared" ca="1" si="81"/>
        <v/>
      </c>
      <c r="DR9" s="46" t="str">
        <f t="shared" ca="1" si="82"/>
        <v/>
      </c>
      <c r="DS9" s="110" t="str">
        <f t="shared" ca="1" si="33"/>
        <v/>
      </c>
      <c r="DT9" s="46" t="str">
        <f t="shared" ca="1" si="33"/>
        <v/>
      </c>
      <c r="DU9" s="47" t="str">
        <f t="shared" ca="1" si="83"/>
        <v/>
      </c>
      <c r="DV9" s="111" t="str">
        <f t="shared" ca="1" si="84"/>
        <v/>
      </c>
    </row>
    <row r="10" spans="1:127" x14ac:dyDescent="0.25">
      <c r="A10" s="54" t="str">
        <f t="shared" ca="1" si="35"/>
        <v>Q427</v>
      </c>
      <c r="B10" s="6"/>
      <c r="C10" s="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109" t="str">
        <f t="shared" ca="1" si="0"/>
        <v/>
      </c>
      <c r="P10" s="372" t="str">
        <f ca="1">IFERROR(INDEX(ICE[], MATCH("jetccndiff" &amp; LEFT(Mid!$A10, 2) &amp; " " &amp; RIGHT(Mid!$A10, 2), ICE[LongCode], 0), MATCH("Text", ICE[#Headers], 0)), "")</f>
        <v xml:space="preserve"> / 130.00 </v>
      </c>
      <c r="Q10" s="46" t="str">
        <f t="shared" ca="1" si="1"/>
        <v/>
      </c>
      <c r="R10" s="47" t="str">
        <f t="shared" ca="1" si="34"/>
        <v/>
      </c>
      <c r="S10" s="114" t="str">
        <f t="shared" ca="1" si="36"/>
        <v/>
      </c>
      <c r="T10" s="110" t="str">
        <f t="shared" ca="1" si="2"/>
        <v/>
      </c>
      <c r="U10" s="46" t="str">
        <f t="shared" ca="1" si="2"/>
        <v/>
      </c>
      <c r="V10" s="47" t="str">
        <f t="shared" ca="1" si="37"/>
        <v/>
      </c>
      <c r="W10" s="46" t="str">
        <f t="shared" ca="1" si="38"/>
        <v/>
      </c>
      <c r="X10" s="269" t="str">
        <f t="shared" ca="1" si="3"/>
        <v/>
      </c>
      <c r="Y10" s="46" t="str">
        <f t="shared" ca="1" si="3"/>
        <v/>
      </c>
      <c r="Z10" s="47" t="str">
        <f t="shared" ca="1" si="39"/>
        <v/>
      </c>
      <c r="AA10" s="111" t="str">
        <f t="shared" ca="1" si="40"/>
        <v/>
      </c>
      <c r="AB10" s="109" t="str">
        <f t="shared" ca="1" si="4"/>
        <v/>
      </c>
      <c r="AC10" s="372" t="str">
        <f ca="1">IFERROR(INDEX(ICE[], MATCH("goew" &amp; LEFT(Mid!$A10, 2) &amp; " " &amp; RIGHT(Mid!$A10, 2), ICE[LongCode], 0), MATCH("Text", ICE[#Headers], 0)), "")</f>
        <v xml:space="preserve"> /  </v>
      </c>
      <c r="AD10" s="46" t="str">
        <f t="shared" ca="1" si="5"/>
        <v/>
      </c>
      <c r="AE10" s="47" t="str">
        <f t="shared" ca="1" si="41"/>
        <v/>
      </c>
      <c r="AF10" s="46" t="str">
        <f t="shared" ca="1" si="42"/>
        <v/>
      </c>
      <c r="AG10" s="141" t="str">
        <f t="shared" ca="1" si="6"/>
        <v/>
      </c>
      <c r="AH10" s="110" t="str">
        <f t="shared" ca="1" si="6"/>
        <v/>
      </c>
      <c r="AI10" s="46" t="str">
        <f t="shared" ca="1" si="6"/>
        <v/>
      </c>
      <c r="AJ10" s="47" t="str">
        <f t="shared" ca="1" si="43"/>
        <v/>
      </c>
      <c r="AK10" s="364" t="str">
        <f ca="1">IFERROR(INDEX(ICE[], MATCH("gosing" &amp; LEFT($A9, 2) &amp; " " &amp; RIGHT($A9, 2) &amp; "/" &amp; LEFT($A10, 2) &amp; " " &amp; RIGHT($A10, 2), ICE[LongCode], 0), MATCH("Text", ICE[#Headers], 0)), "")</f>
        <v/>
      </c>
      <c r="AL10" s="46" t="str">
        <f t="shared" ca="1" si="44"/>
        <v/>
      </c>
      <c r="AM10" s="269" t="str">
        <f t="shared" ca="1" si="7"/>
        <v/>
      </c>
      <c r="AN10" s="46" t="str">
        <f t="shared" ca="1" si="7"/>
        <v/>
      </c>
      <c r="AO10" s="47" t="str">
        <f t="shared" ca="1" si="45"/>
        <v/>
      </c>
      <c r="AP10" s="111" t="str">
        <f t="shared" ca="1" si="46"/>
        <v/>
      </c>
      <c r="AQ10" s="109">
        <f t="shared" ca="1" si="8"/>
        <v>-5.26</v>
      </c>
      <c r="AR10" s="46">
        <f t="shared" ca="1" si="8"/>
        <v>0</v>
      </c>
      <c r="AS10" s="47">
        <f t="shared" ca="1" si="47"/>
        <v>0.23999999999999932</v>
      </c>
      <c r="AT10" s="46">
        <f t="shared" ca="1" si="48"/>
        <v>0</v>
      </c>
      <c r="AU10" s="269" t="str">
        <f t="shared" ca="1" si="8"/>
        <v/>
      </c>
      <c r="AV10" s="46" t="str">
        <f t="shared" ca="1" si="8"/>
        <v/>
      </c>
      <c r="AW10" s="47" t="str">
        <f t="shared" ca="1" si="49"/>
        <v/>
      </c>
      <c r="AX10" s="111" t="str">
        <f t="shared" ca="1" si="50"/>
        <v/>
      </c>
      <c r="AY10" s="109" t="str">
        <f t="shared" ca="1" si="9"/>
        <v/>
      </c>
      <c r="AZ10" s="372" t="str">
        <f ca="1">IFERROR(INDEX(ICE[], MATCH("regrade" &amp; LEFT(Mid!$A10, 2) &amp; " " &amp; RIGHT(Mid!$A10, 2), ICE[LongCode], 0), MATCH("Text", ICE[#Headers], 0)), "")</f>
        <v xml:space="preserve"> / 3.95 </v>
      </c>
      <c r="BA10" s="46" t="str">
        <f t="shared" ca="1" si="10"/>
        <v/>
      </c>
      <c r="BB10" s="47" t="str">
        <f t="shared" ca="1" si="51"/>
        <v/>
      </c>
      <c r="BC10" s="46" t="str">
        <f t="shared" ca="1" si="52"/>
        <v/>
      </c>
      <c r="BD10" s="110" t="str">
        <f t="shared" ca="1" si="11"/>
        <v/>
      </c>
      <c r="BE10" s="46" t="str">
        <f t="shared" ca="1" si="11"/>
        <v/>
      </c>
      <c r="BF10" s="47" t="str">
        <f t="shared" ca="1" si="53"/>
        <v/>
      </c>
      <c r="BG10" s="111" t="str">
        <f t="shared" ca="1" si="54"/>
        <v/>
      </c>
      <c r="BH10" s="110" t="str">
        <f t="shared" ca="1" si="12"/>
        <v/>
      </c>
      <c r="BI10" s="46" t="str">
        <f t="shared" ca="1" si="12"/>
        <v/>
      </c>
      <c r="BJ10" s="47" t="str">
        <f t="shared" ca="1" si="55"/>
        <v/>
      </c>
      <c r="BK10" s="111" t="str">
        <f t="shared" ca="1" si="56"/>
        <v/>
      </c>
      <c r="BL10" s="109" t="str">
        <f t="shared" ca="1" si="13"/>
        <v/>
      </c>
      <c r="BM10" s="372" t="str">
        <f ca="1">IFERROR(INDEX(ICE[], MATCH("ulsdaradiff" &amp; LEFT(Mid!$A10, 2) &amp; " " &amp; RIGHT(Mid!$A10, 2), ICE[LongCode], 0), MATCH("Text", ICE[#Headers], 0)), "")</f>
        <v xml:space="preserve"> /  </v>
      </c>
      <c r="BN10" s="46" t="str">
        <f t="shared" ca="1" si="14"/>
        <v/>
      </c>
      <c r="BO10" s="47" t="str">
        <f t="shared" ca="1" si="57"/>
        <v/>
      </c>
      <c r="BP10" s="46" t="str">
        <f t="shared" ca="1" si="58"/>
        <v/>
      </c>
      <c r="BQ10" s="110" t="str">
        <f t="shared" ca="1" si="15"/>
        <v/>
      </c>
      <c r="BR10" s="46" t="str">
        <f t="shared" ca="1" si="15"/>
        <v/>
      </c>
      <c r="BS10" s="47" t="str">
        <f t="shared" ca="1" si="59"/>
        <v/>
      </c>
      <c r="BT10" s="111" t="str">
        <f t="shared" ca="1" si="60"/>
        <v/>
      </c>
      <c r="BU10" s="109" t="str">
        <f t="shared" ca="1" si="16"/>
        <v/>
      </c>
      <c r="BV10" s="372" t="str">
        <f ca="1">IFERROR(INDEX(ICE[], MATCH("ulsdccndiff" &amp; LEFT(Mid!$A10, 2) &amp; " " &amp; RIGHT(Mid!$A10, 2), ICE[LongCode], 0), MATCH("Text", ICE[#Headers], 0)), "")</f>
        <v xml:space="preserve"> /  </v>
      </c>
      <c r="BW10" s="46" t="str">
        <f t="shared" ca="1" si="17"/>
        <v/>
      </c>
      <c r="BX10" s="47" t="str">
        <f t="shared" ca="1" si="61"/>
        <v/>
      </c>
      <c r="BY10" s="46" t="str">
        <f t="shared" ca="1" si="62"/>
        <v/>
      </c>
      <c r="BZ10" s="110" t="str">
        <f t="shared" ca="1" si="18"/>
        <v/>
      </c>
      <c r="CA10" s="46" t="str">
        <f t="shared" ca="1" si="18"/>
        <v/>
      </c>
      <c r="CB10" s="47" t="str">
        <f t="shared" ca="1" si="63"/>
        <v/>
      </c>
      <c r="CC10" s="46" t="str">
        <f t="shared" ca="1" si="64"/>
        <v/>
      </c>
      <c r="CD10" s="109" t="str">
        <f t="shared" ca="1" si="19"/>
        <v/>
      </c>
      <c r="CE10" s="372" t="str">
        <f ca="1">IFERROR(INDEX(ICE[], MATCH("ulsdccmdiff" &amp; LEFT(Mid!$A10, 2) &amp; " " &amp; RIGHT(Mid!$A10, 2), ICE[LongCode], 0), MATCH("Text", ICE[#Headers], 0)), "")</f>
        <v xml:space="preserve"> /  </v>
      </c>
      <c r="CF10" s="46" t="str">
        <f t="shared" ca="1" si="20"/>
        <v/>
      </c>
      <c r="CG10" s="47" t="str">
        <f t="shared" ca="1" si="65"/>
        <v/>
      </c>
      <c r="CH10" s="46" t="str">
        <f t="shared" ca="1" si="66"/>
        <v/>
      </c>
      <c r="CI10" s="110" t="str">
        <f t="shared" ca="1" si="21"/>
        <v/>
      </c>
      <c r="CJ10" s="46" t="str">
        <f t="shared" ca="1" si="21"/>
        <v/>
      </c>
      <c r="CK10" s="47" t="str">
        <f t="shared" ca="1" si="67"/>
        <v/>
      </c>
      <c r="CL10" s="46" t="str">
        <f t="shared" ca="1" si="68"/>
        <v/>
      </c>
      <c r="CM10" s="109" t="str">
        <f t="shared" ca="1" si="22"/>
        <v/>
      </c>
      <c r="CN10" s="372" t="str">
        <f ca="1">IFERROR(INDEX(ICE[], MATCH("go01bfrdiff" &amp; LEFT(Mid!$A10, 2) &amp; " " &amp; RIGHT(Mid!$A10, 2), ICE[LongCode], 0), MATCH("Text", ICE[#Headers], 0)), "")</f>
        <v xml:space="preserve"> /  </v>
      </c>
      <c r="CO10" s="46" t="str">
        <f t="shared" ca="1" si="23"/>
        <v/>
      </c>
      <c r="CP10" s="47" t="str">
        <f t="shared" ca="1" si="69"/>
        <v/>
      </c>
      <c r="CQ10" s="46" t="str">
        <f t="shared" ca="1" si="70"/>
        <v/>
      </c>
      <c r="CR10" s="110" t="str">
        <f t="shared" ca="1" si="24"/>
        <v/>
      </c>
      <c r="CS10" s="46" t="str">
        <f t="shared" ca="1" si="24"/>
        <v/>
      </c>
      <c r="CT10" s="47" t="str">
        <f t="shared" ca="1" si="71"/>
        <v/>
      </c>
      <c r="CU10" s="46" t="str">
        <f t="shared" ca="1" si="72"/>
        <v/>
      </c>
      <c r="CV10" s="109" t="str">
        <f t="shared" ca="1" si="25"/>
        <v/>
      </c>
      <c r="CW10" s="372" t="str">
        <f ca="1">IFERROR(INDEX(ICE[], MATCH("go01ccndiff" &amp; LEFT(Mid!$A10, 2) &amp; " " &amp; RIGHT(Mid!$A10, 2), ICE[LongCode], 0), MATCH("Text", ICE[#Headers], 0)), "")</f>
        <v xml:space="preserve"> /  </v>
      </c>
      <c r="CX10" s="46" t="str">
        <f t="shared" ca="1" si="26"/>
        <v/>
      </c>
      <c r="CY10" s="47" t="str">
        <f t="shared" ca="1" si="73"/>
        <v/>
      </c>
      <c r="CZ10" s="46" t="str">
        <f t="shared" ca="1" si="74"/>
        <v/>
      </c>
      <c r="DA10" s="110" t="str">
        <f t="shared" ca="1" si="27"/>
        <v/>
      </c>
      <c r="DB10" s="46" t="str">
        <f t="shared" ca="1" si="27"/>
        <v/>
      </c>
      <c r="DC10" s="47" t="str">
        <f t="shared" ca="1" si="75"/>
        <v/>
      </c>
      <c r="DD10" s="46" t="str">
        <f t="shared" ca="1" si="76"/>
        <v/>
      </c>
      <c r="DE10" s="109" t="str">
        <f t="shared" ca="1" si="28"/>
        <v/>
      </c>
      <c r="DF10" s="372" t="str">
        <f ca="1">IFERROR(INDEX(ICE[], MATCH("go01ccmdiff" &amp; LEFT(Mid!$A10, 2) &amp; " " &amp; RIGHT(Mid!$A10, 2), ICE[LongCode], 0), MATCH("Text", ICE[#Headers], 0)), "")</f>
        <v xml:space="preserve"> /  </v>
      </c>
      <c r="DG10" s="46" t="str">
        <f t="shared" ca="1" si="29"/>
        <v/>
      </c>
      <c r="DH10" s="47" t="str">
        <f t="shared" ca="1" si="77"/>
        <v/>
      </c>
      <c r="DI10" s="46" t="str">
        <f t="shared" ca="1" si="78"/>
        <v/>
      </c>
      <c r="DJ10" s="110" t="str">
        <f t="shared" ca="1" si="30"/>
        <v/>
      </c>
      <c r="DK10" s="46" t="str">
        <f t="shared" ca="1" si="30"/>
        <v/>
      </c>
      <c r="DL10" s="47" t="str">
        <f t="shared" ca="1" si="79"/>
        <v/>
      </c>
      <c r="DM10" s="111" t="str">
        <f t="shared" ca="1" si="80"/>
        <v/>
      </c>
      <c r="DN10" s="109" t="str">
        <f t="shared" ca="1" si="31"/>
        <v/>
      </c>
      <c r="DO10" s="372" t="str">
        <f ca="1">IFERROR(INDEX(ICE[], MATCH("ulsdgc" &amp; LEFT(Mid!$A10, 2) &amp; " " &amp; RIGHT(Mid!$A10, 2), ICE[LongCode], 0), MATCH("Text", ICE[#Headers], 0)), "")</f>
        <v xml:space="preserve"> /  </v>
      </c>
      <c r="DP10" s="46" t="str">
        <f t="shared" ca="1" si="32"/>
        <v/>
      </c>
      <c r="DQ10" s="47" t="str">
        <f t="shared" ca="1" si="81"/>
        <v/>
      </c>
      <c r="DR10" s="46" t="str">
        <f t="shared" ca="1" si="82"/>
        <v/>
      </c>
      <c r="DS10" s="110" t="str">
        <f t="shared" ca="1" si="33"/>
        <v/>
      </c>
      <c r="DT10" s="46" t="str">
        <f t="shared" ca="1" si="33"/>
        <v/>
      </c>
      <c r="DU10" s="47" t="str">
        <f t="shared" ca="1" si="83"/>
        <v/>
      </c>
      <c r="DV10" s="111" t="str">
        <f t="shared" ca="1" si="84"/>
        <v/>
      </c>
    </row>
    <row r="11" spans="1:127" x14ac:dyDescent="0.25">
      <c r="A11" s="54" t="str">
        <f t="shared" ca="1" si="35"/>
        <v>Q128</v>
      </c>
      <c r="B11" s="6"/>
      <c r="C11" s="6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109" t="str">
        <f t="shared" ca="1" si="0"/>
        <v/>
      </c>
      <c r="P11" s="372" t="str">
        <f ca="1">IFERROR(INDEX(ICE[], MATCH("jetccndiff" &amp; LEFT(Mid!$A11, 2) &amp; " " &amp; RIGHT(Mid!$A11, 2), ICE[LongCode], 0), MATCH("Text", ICE[#Headers], 0)), "")</f>
        <v xml:space="preserve"> /  </v>
      </c>
      <c r="Q11" s="46" t="str">
        <f t="shared" ca="1" si="1"/>
        <v/>
      </c>
      <c r="R11" s="47" t="str">
        <f t="shared" ca="1" si="34"/>
        <v/>
      </c>
      <c r="S11" s="114" t="str">
        <f t="shared" ca="1" si="36"/>
        <v/>
      </c>
      <c r="T11" s="110" t="str">
        <f t="shared" ca="1" si="2"/>
        <v/>
      </c>
      <c r="U11" s="46" t="str">
        <f t="shared" ca="1" si="2"/>
        <v/>
      </c>
      <c r="V11" s="47" t="str">
        <f t="shared" ca="1" si="37"/>
        <v/>
      </c>
      <c r="W11" s="46" t="str">
        <f t="shared" ca="1" si="38"/>
        <v/>
      </c>
      <c r="X11" s="269" t="str">
        <f t="shared" ca="1" si="3"/>
        <v/>
      </c>
      <c r="Y11" s="46" t="str">
        <f t="shared" ca="1" si="3"/>
        <v/>
      </c>
      <c r="Z11" s="47" t="str">
        <f t="shared" ca="1" si="39"/>
        <v/>
      </c>
      <c r="AA11" s="111" t="str">
        <f t="shared" ca="1" si="40"/>
        <v/>
      </c>
      <c r="AB11" s="109" t="str">
        <f t="shared" ca="1" si="4"/>
        <v/>
      </c>
      <c r="AC11" s="372" t="str">
        <f ca="1">IFERROR(INDEX(ICE[], MATCH("goew" &amp; LEFT(Mid!$A11, 2) &amp; " " &amp; RIGHT(Mid!$A11, 2), ICE[LongCode], 0), MATCH("Text", ICE[#Headers], 0)), "")</f>
        <v xml:space="preserve"> /  </v>
      </c>
      <c r="AD11" s="46" t="str">
        <f t="shared" ca="1" si="5"/>
        <v/>
      </c>
      <c r="AE11" s="47" t="str">
        <f t="shared" ca="1" si="41"/>
        <v/>
      </c>
      <c r="AF11" s="46" t="str">
        <f t="shared" ca="1" si="42"/>
        <v/>
      </c>
      <c r="AG11" s="141" t="str">
        <f t="shared" ca="1" si="6"/>
        <v/>
      </c>
      <c r="AH11" s="110" t="str">
        <f t="shared" ca="1" si="6"/>
        <v/>
      </c>
      <c r="AI11" s="46" t="str">
        <f t="shared" ca="1" si="6"/>
        <v/>
      </c>
      <c r="AJ11" s="47" t="str">
        <f ca="1">IF(AND(ISNUMBER($AH10), ISNUMBER($AH11)), $AH10 - $AH11, "")</f>
        <v/>
      </c>
      <c r="AK11" s="365" t="str">
        <f ca="1">IFERROR(INDEX(ICE[], MATCH("gosing" &amp; LEFT($A10, 2) &amp; " " &amp; RIGHT($A10, 2) &amp; "/" &amp; LEFT($A11, 2) &amp; " " &amp; RIGHT($A11, 2), ICE[LongCode], 0), MATCH("Text", ICE[#Headers], 0)), "")</f>
        <v/>
      </c>
      <c r="AL11" s="46" t="str">
        <f t="shared" ca="1" si="44"/>
        <v/>
      </c>
      <c r="AM11" s="269" t="str">
        <f t="shared" ca="1" si="7"/>
        <v/>
      </c>
      <c r="AN11" s="46" t="str">
        <f t="shared" ca="1" si="7"/>
        <v/>
      </c>
      <c r="AO11" s="47" t="str">
        <f t="shared" ca="1" si="45"/>
        <v/>
      </c>
      <c r="AP11" s="111" t="str">
        <f t="shared" ca="1" si="46"/>
        <v/>
      </c>
      <c r="AQ11" s="109" t="str">
        <f t="shared" ca="1" si="8"/>
        <v/>
      </c>
      <c r="AR11" s="46" t="str">
        <f t="shared" ca="1" si="8"/>
        <v/>
      </c>
      <c r="AS11" s="47" t="str">
        <f t="shared" ca="1" si="47"/>
        <v/>
      </c>
      <c r="AT11" s="46" t="str">
        <f t="shared" ca="1" si="48"/>
        <v/>
      </c>
      <c r="AU11" s="269" t="str">
        <f t="shared" ca="1" si="8"/>
        <v/>
      </c>
      <c r="AV11" s="46" t="str">
        <f t="shared" ca="1" si="8"/>
        <v/>
      </c>
      <c r="AW11" s="47" t="str">
        <f t="shared" ca="1" si="49"/>
        <v/>
      </c>
      <c r="AX11" s="111" t="str">
        <f t="shared" ca="1" si="50"/>
        <v/>
      </c>
      <c r="AY11" s="109" t="str">
        <f t="shared" ca="1" si="9"/>
        <v/>
      </c>
      <c r="AZ11" s="372" t="str">
        <f ca="1">IFERROR(INDEX(ICE[], MATCH("regrade" &amp; LEFT(Mid!$A11, 2) &amp; " " &amp; RIGHT(Mid!$A11, 2), ICE[LongCode], 0), MATCH("Text", ICE[#Headers], 0)), "")</f>
        <v xml:space="preserve"> /  </v>
      </c>
      <c r="BA11" s="46" t="str">
        <f t="shared" ca="1" si="10"/>
        <v/>
      </c>
      <c r="BB11" s="47" t="str">
        <f t="shared" ca="1" si="51"/>
        <v/>
      </c>
      <c r="BC11" s="46" t="str">
        <f t="shared" ca="1" si="52"/>
        <v/>
      </c>
      <c r="BD11" s="110" t="str">
        <f t="shared" ca="1" si="11"/>
        <v/>
      </c>
      <c r="BE11" s="46" t="str">
        <f t="shared" ca="1" si="11"/>
        <v/>
      </c>
      <c r="BF11" s="47" t="str">
        <f t="shared" ca="1" si="53"/>
        <v/>
      </c>
      <c r="BG11" s="111" t="str">
        <f t="shared" ca="1" si="54"/>
        <v/>
      </c>
      <c r="BH11" s="110" t="str">
        <f t="shared" ca="1" si="12"/>
        <v/>
      </c>
      <c r="BI11" s="46" t="str">
        <f t="shared" ca="1" si="12"/>
        <v/>
      </c>
      <c r="BJ11" s="47" t="str">
        <f t="shared" ca="1" si="55"/>
        <v/>
      </c>
      <c r="BK11" s="111" t="str">
        <f t="shared" ca="1" si="56"/>
        <v/>
      </c>
      <c r="BL11" s="119" t="str">
        <f t="shared" ca="1" si="13"/>
        <v/>
      </c>
      <c r="BM11" s="374" t="str">
        <f ca="1">IFERROR(INDEX(ICE[], MATCH("ulsdaradiff" &amp; LEFT(Mid!$A11, 2) &amp; " " &amp; RIGHT(Mid!$A11, 2), ICE[LongCode], 0), MATCH("Text", ICE[#Headers], 0)), "")</f>
        <v xml:space="preserve"> /  </v>
      </c>
      <c r="BN11" s="122" t="str">
        <f t="shared" ca="1" si="14"/>
        <v/>
      </c>
      <c r="BO11" s="47" t="str">
        <f t="shared" ca="1" si="57"/>
        <v/>
      </c>
      <c r="BP11" s="46" t="str">
        <f t="shared" ca="1" si="58"/>
        <v/>
      </c>
      <c r="BQ11" s="123" t="str">
        <f t="shared" ca="1" si="15"/>
        <v/>
      </c>
      <c r="BR11" s="122" t="str">
        <f t="shared" ca="1" si="15"/>
        <v/>
      </c>
      <c r="BS11" s="47" t="str">
        <f t="shared" ca="1" si="59"/>
        <v/>
      </c>
      <c r="BT11" s="111" t="str">
        <f t="shared" ca="1" si="60"/>
        <v/>
      </c>
      <c r="BU11" s="119" t="str">
        <f t="shared" ca="1" si="16"/>
        <v/>
      </c>
      <c r="BV11" s="374" t="str">
        <f ca="1">IFERROR(INDEX(ICE[], MATCH("ulsdccndiff" &amp; LEFT(Mid!$A11, 2) &amp; " " &amp; RIGHT(Mid!$A11, 2), ICE[LongCode], 0), MATCH("Text", ICE[#Headers], 0)), "")</f>
        <v xml:space="preserve"> /  </v>
      </c>
      <c r="BW11" s="122" t="str">
        <f t="shared" ca="1" si="17"/>
        <v/>
      </c>
      <c r="BX11" s="47" t="str">
        <f t="shared" ca="1" si="61"/>
        <v/>
      </c>
      <c r="BY11" s="46" t="str">
        <f t="shared" ca="1" si="62"/>
        <v/>
      </c>
      <c r="BZ11" s="123" t="str">
        <f t="shared" ca="1" si="18"/>
        <v/>
      </c>
      <c r="CA11" s="122" t="str">
        <f t="shared" ca="1" si="18"/>
        <v/>
      </c>
      <c r="CB11" s="47" t="str">
        <f t="shared" ca="1" si="63"/>
        <v/>
      </c>
      <c r="CC11" s="46" t="str">
        <f t="shared" ca="1" si="64"/>
        <v/>
      </c>
      <c r="CD11" s="119" t="str">
        <f t="shared" ca="1" si="19"/>
        <v/>
      </c>
      <c r="CE11" s="374" t="str">
        <f ca="1">IFERROR(INDEX(ICE[], MATCH("ulsdccmdiff" &amp; LEFT(Mid!$A11, 2) &amp; " " &amp; RIGHT(Mid!$A11, 2), ICE[LongCode], 0), MATCH("Text", ICE[#Headers], 0)), "")</f>
        <v xml:space="preserve"> /  </v>
      </c>
      <c r="CF11" s="122" t="str">
        <f t="shared" ca="1" si="20"/>
        <v/>
      </c>
      <c r="CG11" s="47" t="str">
        <f t="shared" ca="1" si="65"/>
        <v/>
      </c>
      <c r="CH11" s="46" t="str">
        <f t="shared" ca="1" si="66"/>
        <v/>
      </c>
      <c r="CI11" s="123" t="str">
        <f t="shared" ca="1" si="21"/>
        <v/>
      </c>
      <c r="CJ11" s="122" t="str">
        <f t="shared" ca="1" si="21"/>
        <v/>
      </c>
      <c r="CK11" s="47" t="str">
        <f t="shared" ca="1" si="67"/>
        <v/>
      </c>
      <c r="CL11" s="46" t="str">
        <f t="shared" ca="1" si="68"/>
        <v/>
      </c>
      <c r="CM11" s="119" t="str">
        <f t="shared" ca="1" si="22"/>
        <v/>
      </c>
      <c r="CN11" s="374" t="str">
        <f ca="1">IFERROR(INDEX(ICE[], MATCH("go01bfrdiff" &amp; LEFT(Mid!$A11, 2) &amp; " " &amp; RIGHT(Mid!$A11, 2), ICE[LongCode], 0), MATCH("Text", ICE[#Headers], 0)), "")</f>
        <v xml:space="preserve"> /  </v>
      </c>
      <c r="CO11" s="122" t="str">
        <f t="shared" ca="1" si="23"/>
        <v/>
      </c>
      <c r="CP11" s="47" t="str">
        <f t="shared" ca="1" si="69"/>
        <v/>
      </c>
      <c r="CQ11" s="46" t="str">
        <f t="shared" ca="1" si="70"/>
        <v/>
      </c>
      <c r="CR11" s="123" t="str">
        <f t="shared" ca="1" si="24"/>
        <v/>
      </c>
      <c r="CS11" s="122" t="str">
        <f t="shared" ca="1" si="24"/>
        <v/>
      </c>
      <c r="CT11" s="47" t="str">
        <f t="shared" ca="1" si="71"/>
        <v/>
      </c>
      <c r="CU11" s="46" t="str">
        <f t="shared" ca="1" si="72"/>
        <v/>
      </c>
      <c r="CV11" s="119" t="str">
        <f t="shared" ca="1" si="25"/>
        <v/>
      </c>
      <c r="CW11" s="374" t="str">
        <f ca="1">IFERROR(INDEX(ICE[], MATCH("go01ccndiff" &amp; LEFT(Mid!$A11, 2) &amp; " " &amp; RIGHT(Mid!$A11, 2), ICE[LongCode], 0), MATCH("Text", ICE[#Headers], 0)), "")</f>
        <v xml:space="preserve"> /  </v>
      </c>
      <c r="CX11" s="122" t="str">
        <f t="shared" ca="1" si="26"/>
        <v/>
      </c>
      <c r="CY11" s="47" t="str">
        <f t="shared" ca="1" si="73"/>
        <v/>
      </c>
      <c r="CZ11" s="46" t="str">
        <f t="shared" ca="1" si="74"/>
        <v/>
      </c>
      <c r="DA11" s="123" t="str">
        <f t="shared" ca="1" si="27"/>
        <v/>
      </c>
      <c r="DB11" s="122" t="str">
        <f t="shared" ca="1" si="27"/>
        <v/>
      </c>
      <c r="DC11" s="47" t="str">
        <f t="shared" ca="1" si="75"/>
        <v/>
      </c>
      <c r="DD11" s="46" t="str">
        <f t="shared" ca="1" si="76"/>
        <v/>
      </c>
      <c r="DE11" s="119" t="str">
        <f t="shared" ca="1" si="28"/>
        <v/>
      </c>
      <c r="DF11" s="374" t="str">
        <f ca="1">IFERROR(INDEX(ICE[], MATCH("go01ccmdiff" &amp; LEFT(Mid!$A11, 2) &amp; " " &amp; RIGHT(Mid!$A11, 2), ICE[LongCode], 0), MATCH("Text", ICE[#Headers], 0)), "")</f>
        <v xml:space="preserve"> /  </v>
      </c>
      <c r="DG11" s="122" t="str">
        <f t="shared" ca="1" si="29"/>
        <v/>
      </c>
      <c r="DH11" s="47" t="str">
        <f t="shared" ca="1" si="77"/>
        <v/>
      </c>
      <c r="DI11" s="46" t="str">
        <f t="shared" ca="1" si="78"/>
        <v/>
      </c>
      <c r="DJ11" s="123" t="str">
        <f t="shared" ca="1" si="30"/>
        <v/>
      </c>
      <c r="DK11" s="122" t="str">
        <f t="shared" ca="1" si="30"/>
        <v/>
      </c>
      <c r="DL11" s="47" t="str">
        <f t="shared" ca="1" si="79"/>
        <v/>
      </c>
      <c r="DM11" s="111" t="str">
        <f t="shared" ca="1" si="80"/>
        <v/>
      </c>
      <c r="DN11" s="119" t="str">
        <f t="shared" ca="1" si="31"/>
        <v/>
      </c>
      <c r="DO11" s="374" t="str">
        <f ca="1">IFERROR(INDEX(ICE[], MATCH("ulsdgc" &amp; LEFT(Mid!$A11, 2) &amp; " " &amp; RIGHT(Mid!$A11, 2), ICE[LongCode], 0), MATCH("Text", ICE[#Headers], 0)), "")</f>
        <v/>
      </c>
      <c r="DP11" s="122" t="str">
        <f t="shared" ca="1" si="32"/>
        <v/>
      </c>
      <c r="DQ11" s="47" t="str">
        <f t="shared" ca="1" si="81"/>
        <v/>
      </c>
      <c r="DR11" s="46" t="str">
        <f t="shared" ca="1" si="82"/>
        <v/>
      </c>
      <c r="DS11" s="123" t="str">
        <f t="shared" ca="1" si="33"/>
        <v/>
      </c>
      <c r="DT11" s="122" t="str">
        <f t="shared" ca="1" si="33"/>
        <v/>
      </c>
      <c r="DU11" s="47" t="str">
        <f t="shared" ca="1" si="83"/>
        <v/>
      </c>
      <c r="DV11" s="111" t="str">
        <f t="shared" ca="1" si="84"/>
        <v/>
      </c>
    </row>
    <row r="12" spans="1:127" x14ac:dyDescent="0.25">
      <c r="A12" s="55">
        <f ca="1">YEAR($A$1)</f>
        <v>2026</v>
      </c>
      <c r="B12" s="6"/>
      <c r="C12" s="6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160" t="str">
        <f ca="1">IFERROR(AVERAGEIF($B$19:$B$66, $A12, O$19:O$66), "")</f>
        <v/>
      </c>
      <c r="P12" s="371" t="str">
        <f ca="1">IFERROR(INDEX(ICE[], MATCH("jetccndiff" &amp; "Cal" &amp; " " &amp; RIGHT(Mid!$A12, 2), ICE[LongCode], 0), MATCH("Text", ICE[#Headers], 0)), "")</f>
        <v/>
      </c>
      <c r="Q12" s="115" t="str">
        <f ca="1">IFERROR(AVERAGEIF($B$19:$B$66, $A12, Q$19:Q$66), "")</f>
        <v/>
      </c>
      <c r="R12" s="161"/>
      <c r="S12" s="172"/>
      <c r="T12" s="112" t="str">
        <f t="shared" ref="T12:U14" ca="1" si="85">IFERROR(AVERAGEIF($B$19:$B$66, $A12, T$19:T$66), "")</f>
        <v/>
      </c>
      <c r="U12" s="115" t="str">
        <f t="shared" ca="1" si="85"/>
        <v/>
      </c>
      <c r="V12" s="161"/>
      <c r="W12" s="115"/>
      <c r="X12" s="268" t="str">
        <f t="shared" ref="X12:Y14" ca="1" si="86">IFERROR(AVERAGEIF($B$19:$B$66, $A12, X$19:X$66), "")</f>
        <v/>
      </c>
      <c r="Y12" s="115" t="str">
        <f t="shared" ca="1" si="86"/>
        <v/>
      </c>
      <c r="Z12" s="161"/>
      <c r="AA12" s="173"/>
      <c r="AB12" s="160" t="str">
        <f ca="1">IFERROR(AVERAGEIF($B$19:$B$66, $A12, AB$19:AB$66), "")</f>
        <v/>
      </c>
      <c r="AC12" s="371" t="str">
        <f ca="1">IFERROR(INDEX(ICE[], MATCH("goew" &amp; "Cal" &amp; " " &amp; RIGHT(Mid!$A12, 2), ICE[LongCode], 0), MATCH("Text", ICE[#Headers], 0)), "")</f>
        <v/>
      </c>
      <c r="AD12" s="115" t="str">
        <f ca="1">IFERROR(AVERAGEIF($B$19:$B$66, $A12, AD$19:AD$66), "")</f>
        <v/>
      </c>
      <c r="AE12" s="161"/>
      <c r="AF12" s="115"/>
      <c r="AG12" s="186" t="str">
        <f t="shared" ref="AG12:AI14" ca="1" si="87">IFERROR(AVERAGEIF($B$19:$B$66, $A12, AG$19:AG$66), "")</f>
        <v/>
      </c>
      <c r="AH12" s="112" t="str">
        <f t="shared" ca="1" si="87"/>
        <v/>
      </c>
      <c r="AI12" s="115" t="str">
        <f t="shared" ca="1" si="87"/>
        <v/>
      </c>
      <c r="AJ12" s="161"/>
      <c r="AK12" s="364"/>
      <c r="AL12" s="115"/>
      <c r="AM12" s="268" t="str">
        <f t="shared" ref="AM12:AN14" ca="1" si="88">IFERROR(AVERAGEIF($B$19:$B$66, $A12, AM$19:AM$66), "")</f>
        <v/>
      </c>
      <c r="AN12" s="115" t="str">
        <f t="shared" ca="1" si="88"/>
        <v/>
      </c>
      <c r="AO12" s="161"/>
      <c r="AP12" s="173"/>
      <c r="AQ12" s="160">
        <f t="shared" ref="AQ12:AR14" ca="1" si="89">IFERROR(AVERAGEIF($B$19:$B$66, $A12, AQ$19:AQ$66), "")</f>
        <v>-9.3169999999999984</v>
      </c>
      <c r="AR12" s="115">
        <f t="shared" ca="1" si="89"/>
        <v>0</v>
      </c>
      <c r="AS12" s="161"/>
      <c r="AT12" s="115"/>
      <c r="AU12" s="268" t="str">
        <f t="shared" ref="AU12:AV14" ca="1" si="90">IFERROR(AVERAGEIF($B$19:$B$66, $A12, AU$19:AU$66), "")</f>
        <v/>
      </c>
      <c r="AV12" s="115" t="str">
        <f t="shared" ca="1" si="90"/>
        <v/>
      </c>
      <c r="AW12" s="161"/>
      <c r="AX12" s="173"/>
      <c r="AY12" s="160" t="str">
        <f ca="1">IFERROR(AVERAGEIF($B$19:$B$66, $A12, AY$19:AY$66), "")</f>
        <v/>
      </c>
      <c r="AZ12" s="371" t="str">
        <f ca="1">IFERROR(INDEX(ICE[], MATCH("regrade" &amp; "Cal" &amp; " " &amp; RIGHT(Mid!$A12, 2), ICE[LongCode], 0), MATCH("Text", ICE[#Headers], 0)), "")</f>
        <v/>
      </c>
      <c r="BA12" s="115" t="str">
        <f ca="1">IFERROR(AVERAGEIF($B$19:$B$66, $A12, BA$19:BA$66), "")</f>
        <v/>
      </c>
      <c r="BB12" s="161"/>
      <c r="BC12" s="115"/>
      <c r="BD12" s="112" t="str">
        <f t="shared" ref="BD12:BE14" ca="1" si="91">IFERROR(AVERAGEIF($B$19:$B$66, $A12, BD$19:BD$66), "")</f>
        <v/>
      </c>
      <c r="BE12" s="115" t="str">
        <f t="shared" ca="1" si="91"/>
        <v/>
      </c>
      <c r="BF12" s="161"/>
      <c r="BG12" s="173"/>
      <c r="BH12" s="112" t="str">
        <f t="shared" ref="BH12:BI14" ca="1" si="92">IFERROR(AVERAGEIF($B$19:$B$66, $A12, BH$19:BH$66), "")</f>
        <v/>
      </c>
      <c r="BI12" s="115" t="str">
        <f t="shared" ca="1" si="92"/>
        <v/>
      </c>
      <c r="BJ12" s="161"/>
      <c r="BK12" s="173"/>
      <c r="BL12" s="109" t="str">
        <f ca="1">IFERROR(AVERAGEIF($B$19:$B$66, $A12, BL$19:BL$66), "")</f>
        <v/>
      </c>
      <c r="BM12" s="372" t="str">
        <f ca="1">IFERROR(INDEX(ICE[], MATCH("ulsdaradiff" &amp; "Cal" &amp; " " &amp; RIGHT(Mid!$A12, 2), ICE[LongCode], 0), MATCH("Text", ICE[#Headers], 0)), "")</f>
        <v/>
      </c>
      <c r="BN12" s="46" t="str">
        <f ca="1">IFERROR(AVERAGEIF($B$19:$B$66, $A12, BN$19:BN$66), "")</f>
        <v/>
      </c>
      <c r="BO12" s="161"/>
      <c r="BP12" s="115"/>
      <c r="BQ12" s="110" t="str">
        <f t="shared" ref="BQ12:BR14" ca="1" si="93">IFERROR(AVERAGEIF($B$19:$B$66, $A12, BQ$19:BQ$66), "")</f>
        <v/>
      </c>
      <c r="BR12" s="46" t="str">
        <f t="shared" ca="1" si="93"/>
        <v/>
      </c>
      <c r="BS12" s="161"/>
      <c r="BT12" s="173"/>
      <c r="BU12" s="109" t="str">
        <f ca="1">IFERROR(AVERAGEIF($B$19:$B$66, $A12, BU$19:BU$66), "")</f>
        <v/>
      </c>
      <c r="BV12" s="372" t="str">
        <f ca="1">IFERROR(INDEX(ICE[], MATCH("ulsdccndiff" &amp; "Cal" &amp; " " &amp; RIGHT(Mid!$A12, 2), ICE[LongCode], 0), MATCH("Text", ICE[#Headers], 0)), "")</f>
        <v/>
      </c>
      <c r="BW12" s="46" t="str">
        <f ca="1">IFERROR(AVERAGEIF($B$19:$B$66, $A12, BW$19:BW$66), "")</f>
        <v/>
      </c>
      <c r="BX12" s="161"/>
      <c r="BY12" s="115"/>
      <c r="BZ12" s="110" t="str">
        <f t="shared" ref="BZ12:CA14" ca="1" si="94">IFERROR(AVERAGEIF($B$19:$B$66, $A12, BZ$19:BZ$66), "")</f>
        <v/>
      </c>
      <c r="CA12" s="46" t="str">
        <f t="shared" ca="1" si="94"/>
        <v/>
      </c>
      <c r="CB12" s="161"/>
      <c r="CC12" s="115"/>
      <c r="CD12" s="109" t="str">
        <f ca="1">IFERROR(AVERAGEIF($B$19:$B$66, $A12, CD$19:CD$66), "")</f>
        <v/>
      </c>
      <c r="CE12" s="372" t="str">
        <f ca="1">IFERROR(INDEX(ICE[], MATCH("ulsdccmdiff" &amp; "Cal" &amp; " " &amp; RIGHT(Mid!$A12, 2), ICE[LongCode], 0), MATCH("Text", ICE[#Headers], 0)), "")</f>
        <v/>
      </c>
      <c r="CF12" s="46" t="str">
        <f ca="1">IFERROR(AVERAGEIF($B$19:$B$66, $A12, CF$19:CF$66), "")</f>
        <v/>
      </c>
      <c r="CG12" s="161"/>
      <c r="CH12" s="115"/>
      <c r="CI12" s="110" t="str">
        <f t="shared" ref="CI12:CJ14" ca="1" si="95">IFERROR(AVERAGEIF($B$19:$B$66, $A12, CI$19:CI$66), "")</f>
        <v/>
      </c>
      <c r="CJ12" s="46" t="str">
        <f t="shared" ca="1" si="95"/>
        <v/>
      </c>
      <c r="CK12" s="161"/>
      <c r="CL12" s="115"/>
      <c r="CM12" s="109" t="str">
        <f ca="1">IFERROR(AVERAGEIF($B$19:$B$66, $A12, CM$19:CM$66), "")</f>
        <v/>
      </c>
      <c r="CN12" s="372" t="str">
        <f ca="1">IFERROR(INDEX(ICE[], MATCH("go01bfrdiff" &amp; "Cal" &amp; " " &amp; RIGHT(Mid!$A12, 2), ICE[LongCode], 0), MATCH("Text", ICE[#Headers], 0)), "")</f>
        <v/>
      </c>
      <c r="CO12" s="46" t="str">
        <f ca="1">IFERROR(AVERAGEIF($B$19:$B$66, $A12, CO$19:CO$66), "")</f>
        <v/>
      </c>
      <c r="CP12" s="161"/>
      <c r="CQ12" s="115"/>
      <c r="CR12" s="110" t="str">
        <f t="shared" ref="CR12:CS14" ca="1" si="96">IFERROR(AVERAGEIF($B$19:$B$66, $A12, CR$19:CR$66), "")</f>
        <v/>
      </c>
      <c r="CS12" s="46" t="str">
        <f t="shared" ca="1" si="96"/>
        <v/>
      </c>
      <c r="CT12" s="161"/>
      <c r="CU12" s="115"/>
      <c r="CV12" s="109" t="str">
        <f ca="1">IFERROR(AVERAGEIF($B$19:$B$66, $A12, CV$19:CV$66), "")</f>
        <v/>
      </c>
      <c r="CW12" s="372" t="str">
        <f ca="1">IFERROR(INDEX(ICE[], MATCH("go01ccndiff" &amp; "Cal" &amp; " " &amp; RIGHT(Mid!$A12, 2), ICE[LongCode], 0), MATCH("Text", ICE[#Headers], 0)), "")</f>
        <v/>
      </c>
      <c r="CX12" s="46" t="str">
        <f ca="1">IFERROR(AVERAGEIF($B$19:$B$66, $A12, CX$19:CX$66), "")</f>
        <v/>
      </c>
      <c r="CY12" s="161"/>
      <c r="CZ12" s="115"/>
      <c r="DA12" s="110" t="str">
        <f t="shared" ref="DA12:DB14" ca="1" si="97">IFERROR(AVERAGEIF($B$19:$B$66, $A12, DA$19:DA$66), "")</f>
        <v/>
      </c>
      <c r="DB12" s="46" t="str">
        <f t="shared" ca="1" si="97"/>
        <v/>
      </c>
      <c r="DC12" s="161"/>
      <c r="DD12" s="115"/>
      <c r="DE12" s="109" t="str">
        <f ca="1">IFERROR(AVERAGEIF($B$19:$B$66, $A12, DE$19:DE$66), "")</f>
        <v/>
      </c>
      <c r="DF12" s="372" t="str">
        <f ca="1">IFERROR(INDEX(ICE[], MATCH("go01ccmdiff" &amp; "Cal" &amp; " " &amp; RIGHT(Mid!$A12, 2), ICE[LongCode], 0), MATCH("Text", ICE[#Headers], 0)), "")</f>
        <v/>
      </c>
      <c r="DG12" s="46" t="str">
        <f ca="1">IFERROR(AVERAGEIF($B$19:$B$66, $A12, DG$19:DG$66), "")</f>
        <v/>
      </c>
      <c r="DH12" s="161"/>
      <c r="DI12" s="115"/>
      <c r="DJ12" s="110" t="str">
        <f t="shared" ref="DJ12:DK14" ca="1" si="98">IFERROR(AVERAGEIF($B$19:$B$66, $A12, DJ$19:DJ$66), "")</f>
        <v/>
      </c>
      <c r="DK12" s="46" t="str">
        <f t="shared" ca="1" si="98"/>
        <v/>
      </c>
      <c r="DL12" s="161"/>
      <c r="DM12" s="173"/>
      <c r="DN12" s="109" t="str">
        <f ca="1">IFERROR(AVERAGEIF($B$19:$B$66, $A12, DN$19:DN$66), "")</f>
        <v/>
      </c>
      <c r="DO12" s="372" t="str">
        <f ca="1">IFERROR(INDEX(ICE[], MATCH("ulsdgc" &amp; "Cal" &amp; " " &amp; RIGHT(Mid!$A12, 2), ICE[LongCode], 0), MATCH("Text", ICE[#Headers], 0)), "")</f>
        <v/>
      </c>
      <c r="DP12" s="46" t="str">
        <f ca="1">IFERROR(AVERAGEIF($B$19:$B$66, $A12, DP$19:DP$66), "")</f>
        <v/>
      </c>
      <c r="DQ12" s="161"/>
      <c r="DR12" s="115"/>
      <c r="DS12" s="110" t="str">
        <f t="shared" ref="DS12:DT14" ca="1" si="99">IFERROR(AVERAGEIF($B$19:$B$66, $A12, DS$19:DS$66), "")</f>
        <v/>
      </c>
      <c r="DT12" s="46" t="str">
        <f t="shared" ca="1" si="99"/>
        <v/>
      </c>
      <c r="DU12" s="161"/>
      <c r="DV12" s="173"/>
    </row>
    <row r="13" spans="1:127" x14ac:dyDescent="0.25">
      <c r="A13" s="55">
        <f ca="1">$A12 + 1</f>
        <v>2027</v>
      </c>
      <c r="B13" s="6"/>
      <c r="C13" s="6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109" t="str">
        <f ca="1">IFERROR(AVERAGEIF($B$19:$B$66, $A13, O$19:O$66), "")</f>
        <v/>
      </c>
      <c r="P13" s="372" t="str">
        <f ca="1">IFERROR(INDEX(ICE[], MATCH("jetccndiff" &amp; "Cal" &amp; " " &amp; RIGHT(Mid!$A13, 2), ICE[LongCode], 0), MATCH("Text", ICE[#Headers], 0)), "")</f>
        <v xml:space="preserve"> /  </v>
      </c>
      <c r="Q13" s="46" t="str">
        <f ca="1">IFERROR(AVERAGEIF($B$19:$B$66, $A13, Q$19:Q$66), "")</f>
        <v/>
      </c>
      <c r="R13" s="47" t="str">
        <f ca="1">IF(AND(ISNUMBER($O12), ISNUMBER($O13)), $O12 - $O13, "")</f>
        <v/>
      </c>
      <c r="S13" s="114" t="str">
        <f t="shared" ca="1" si="36"/>
        <v/>
      </c>
      <c r="T13" s="110" t="str">
        <f t="shared" ca="1" si="85"/>
        <v/>
      </c>
      <c r="U13" s="46" t="str">
        <f t="shared" ca="1" si="85"/>
        <v/>
      </c>
      <c r="V13" s="47" t="str">
        <f ca="1">IF(AND(ISNUMBER($T12), ISNUMBER($T13)), $T12 - $T13, "")</f>
        <v/>
      </c>
      <c r="W13" s="46" t="str">
        <f ca="1">IF(AND(ISNUMBER($U12), ISNUMBER($U13)), $U12 - $U13, "")</f>
        <v/>
      </c>
      <c r="X13" s="269" t="str">
        <f t="shared" ca="1" si="86"/>
        <v/>
      </c>
      <c r="Y13" s="46" t="str">
        <f t="shared" ca="1" si="86"/>
        <v/>
      </c>
      <c r="Z13" s="47" t="str">
        <f t="shared" ref="Z13:Z14" ca="1" si="100">IF(AND(ISNUMBER($T12), ISNUMBER($T13)), $T12 - $T13, "")</f>
        <v/>
      </c>
      <c r="AA13" s="111" t="str">
        <f ca="1">IF(AND(ISNUMBER($Y12), ISNUMBER($Y13)), $Y12 - $Y13, "")</f>
        <v/>
      </c>
      <c r="AB13" s="109" t="str">
        <f ca="1">IFERROR(AVERAGEIF($B$19:$B$66, $A13, AB$19:AB$66), "")</f>
        <v/>
      </c>
      <c r="AC13" s="372" t="str">
        <f ca="1">IFERROR(INDEX(ICE[], MATCH("goew" &amp; "Cal" &amp; " " &amp; RIGHT(Mid!$A13, 2), ICE[LongCode], 0), MATCH("Text", ICE[#Headers], 0)), "")</f>
        <v xml:space="preserve"> /  {-49.50} |20x</v>
      </c>
      <c r="AD13" s="46" t="str">
        <f ca="1">IFERROR(AVERAGEIF($B$19:$B$66, $A13, AD$19:AD$66), "")</f>
        <v/>
      </c>
      <c r="AE13" s="47" t="str">
        <f ca="1">IF(AND(ISNUMBER($AB12), ISNUMBER($AB13)), $AB12 - $AB13, "")</f>
        <v/>
      </c>
      <c r="AF13" s="46" t="str">
        <f t="shared" ca="1" si="42"/>
        <v/>
      </c>
      <c r="AG13" s="141" t="str">
        <f t="shared" ca="1" si="87"/>
        <v/>
      </c>
      <c r="AH13" s="110" t="str">
        <f t="shared" ca="1" si="87"/>
        <v/>
      </c>
      <c r="AI13" s="46" t="str">
        <f t="shared" ca="1" si="87"/>
        <v/>
      </c>
      <c r="AJ13" s="47" t="str">
        <f t="shared" ref="AJ13:AJ14" ca="1" si="101">IF(AND(ISNUMBER($AH12), ISNUMBER($AH13)), $AH12 - $AH13, "")</f>
        <v/>
      </c>
      <c r="AK13" s="364"/>
      <c r="AL13" s="46" t="str">
        <f t="shared" ca="1" si="44"/>
        <v/>
      </c>
      <c r="AM13" s="269" t="str">
        <f t="shared" ca="1" si="88"/>
        <v/>
      </c>
      <c r="AN13" s="46" t="str">
        <f t="shared" ca="1" si="88"/>
        <v/>
      </c>
      <c r="AO13" s="47" t="str">
        <f ca="1">IF(AND(ISNUMBER($AM12), ISNUMBER($AM13)), $AM12 - $AM13, "")</f>
        <v/>
      </c>
      <c r="AP13" s="111" t="str">
        <f ca="1">IF(AND(ISNUMBER($AN12), ISNUMBER($AN13)), $AN12 - $AN13, "")</f>
        <v/>
      </c>
      <c r="AQ13" s="109">
        <f t="shared" ca="1" si="89"/>
        <v>-6.1272727272727279</v>
      </c>
      <c r="AR13" s="46">
        <f t="shared" ca="1" si="89"/>
        <v>0</v>
      </c>
      <c r="AS13" s="47">
        <f ca="1">IF(AND(ISNUMBER($AQ12), ISNUMBER($AQ13)), $AQ12 - $AQ13, "")</f>
        <v>-3.1897272727272705</v>
      </c>
      <c r="AT13" s="46">
        <f ca="1">IF(AND(ISNUMBER($AR12), ISNUMBER($AR13)), $AR12 - $AR13, "")</f>
        <v>0</v>
      </c>
      <c r="AU13" s="269" t="str">
        <f t="shared" ca="1" si="90"/>
        <v/>
      </c>
      <c r="AV13" s="46" t="str">
        <f t="shared" ca="1" si="90"/>
        <v/>
      </c>
      <c r="AW13" s="47" t="str">
        <f ca="1">IF(AND(ISNUMBER($AU12), ISNUMBER($AU13)), $AU12 - $AU13, "")</f>
        <v/>
      </c>
      <c r="AX13" s="111" t="str">
        <f ca="1">IF(AND(ISNUMBER($AV12), ISNUMBER($AV13)), $AV12 - $AV13, "")</f>
        <v/>
      </c>
      <c r="AY13" s="109" t="str">
        <f ca="1">IFERROR(AVERAGEIF($B$19:$B$66, $A13, AY$19:AY$66), "")</f>
        <v/>
      </c>
      <c r="AZ13" s="372" t="str">
        <f ca="1">IFERROR(INDEX(ICE[], MATCH("regrade" &amp; "Cal" &amp; " " &amp; RIGHT(Mid!$A13, 2), ICE[LongCode], 0), MATCH("Text", ICE[#Headers], 0)), "")</f>
        <v xml:space="preserve"> /  </v>
      </c>
      <c r="BA13" s="46" t="str">
        <f ca="1">IFERROR(AVERAGEIF($B$19:$B$66, $A13, BA$19:BA$66), "")</f>
        <v/>
      </c>
      <c r="BB13" s="47" t="str">
        <f t="shared" ca="1" si="51"/>
        <v/>
      </c>
      <c r="BC13" s="46" t="str">
        <f t="shared" ca="1" si="52"/>
        <v/>
      </c>
      <c r="BD13" s="110" t="str">
        <f t="shared" ca="1" si="91"/>
        <v/>
      </c>
      <c r="BE13" s="46" t="str">
        <f t="shared" ca="1" si="91"/>
        <v/>
      </c>
      <c r="BF13" s="47" t="str">
        <f ca="1">IF(AND(ISNUMBER($BD12), ISNUMBER($BD13)), $BD12 - $BD13, "")</f>
        <v/>
      </c>
      <c r="BG13" s="111" t="str">
        <f t="shared" ca="1" si="54"/>
        <v/>
      </c>
      <c r="BH13" s="110" t="str">
        <f t="shared" ca="1" si="92"/>
        <v/>
      </c>
      <c r="BI13" s="46" t="str">
        <f t="shared" ca="1" si="92"/>
        <v/>
      </c>
      <c r="BJ13" s="47" t="str">
        <f ca="1">IF(AND(ISNUMBER($BD12), ISNUMBER($BD13)), $BD12 - $BD13, "")</f>
        <v/>
      </c>
      <c r="BK13" s="111" t="str">
        <f t="shared" ca="1" si="56"/>
        <v/>
      </c>
      <c r="BL13" s="109" t="str">
        <f ca="1">IFERROR(AVERAGEIF($B$19:$B$66, $A13, BL$19:BL$66), "")</f>
        <v/>
      </c>
      <c r="BM13" s="372" t="str">
        <f ca="1">IFERROR(INDEX(ICE[], MATCH("ulsdaradiff" &amp; "Cal" &amp; " " &amp; RIGHT(Mid!$A13, 2), ICE[LongCode], 0), MATCH("Text", ICE[#Headers], 0)), "")</f>
        <v xml:space="preserve"> /  </v>
      </c>
      <c r="BN13" s="46" t="str">
        <f ca="1">IFERROR(AVERAGEIF($B$19:$B$66, $A13, BN$19:BN$66), "")</f>
        <v/>
      </c>
      <c r="BO13" s="47" t="str">
        <f t="shared" ca="1" si="57"/>
        <v/>
      </c>
      <c r="BP13" s="46" t="str">
        <f t="shared" ca="1" si="58"/>
        <v/>
      </c>
      <c r="BQ13" s="110" t="str">
        <f t="shared" ca="1" si="93"/>
        <v/>
      </c>
      <c r="BR13" s="46" t="str">
        <f t="shared" ca="1" si="93"/>
        <v/>
      </c>
      <c r="BS13" s="47" t="str">
        <f t="shared" ca="1" si="59"/>
        <v/>
      </c>
      <c r="BT13" s="111" t="str">
        <f t="shared" ca="1" si="60"/>
        <v/>
      </c>
      <c r="BU13" s="109" t="str">
        <f ca="1">IFERROR(AVERAGEIF($B$19:$B$66, $A13, BU$19:BU$66), "")</f>
        <v/>
      </c>
      <c r="BV13" s="372" t="str">
        <f ca="1">IFERROR(INDEX(ICE[], MATCH("ulsdccndiff" &amp; "Cal" &amp; " " &amp; RIGHT(Mid!$A13, 2), ICE[LongCode], 0), MATCH("Text", ICE[#Headers], 0)), "")</f>
        <v xml:space="preserve"> /  </v>
      </c>
      <c r="BW13" s="46" t="str">
        <f ca="1">IFERROR(AVERAGEIF($B$19:$B$66, $A13, BW$19:BW$66), "")</f>
        <v/>
      </c>
      <c r="BX13" s="47" t="str">
        <f ca="1">IF(AND(ISNUMBER($BU12), ISNUMBER($BU13)), $BU12 - $BU13, "")</f>
        <v/>
      </c>
      <c r="BY13" s="46" t="str">
        <f t="shared" ca="1" si="62"/>
        <v/>
      </c>
      <c r="BZ13" s="110" t="str">
        <f t="shared" ca="1" si="94"/>
        <v/>
      </c>
      <c r="CA13" s="46" t="str">
        <f t="shared" ca="1" si="94"/>
        <v/>
      </c>
      <c r="CB13" s="47" t="str">
        <f t="shared" ca="1" si="63"/>
        <v/>
      </c>
      <c r="CC13" s="46" t="str">
        <f t="shared" ca="1" si="64"/>
        <v/>
      </c>
      <c r="CD13" s="109" t="str">
        <f ca="1">IFERROR(AVERAGEIF($B$19:$B$66, $A13, CD$19:CD$66), "")</f>
        <v/>
      </c>
      <c r="CE13" s="372" t="str">
        <f ca="1">IFERROR(INDEX(ICE[], MATCH("ulsdccmdiff" &amp; "Cal" &amp; " " &amp; RIGHT(Mid!$A13, 2), ICE[LongCode], 0), MATCH("Text", ICE[#Headers], 0)), "")</f>
        <v xml:space="preserve"> /  </v>
      </c>
      <c r="CF13" s="46" t="str">
        <f ca="1">IFERROR(AVERAGEIF($B$19:$B$66, $A13, CF$19:CF$66), "")</f>
        <v/>
      </c>
      <c r="CG13" s="47" t="str">
        <f ca="1">IF(AND(ISNUMBER($CD12), ISNUMBER($CD13)), $CD12 - $CD13, "")</f>
        <v/>
      </c>
      <c r="CH13" s="46" t="str">
        <f t="shared" ca="1" si="66"/>
        <v/>
      </c>
      <c r="CI13" s="110" t="str">
        <f t="shared" ca="1" si="95"/>
        <v/>
      </c>
      <c r="CJ13" s="46" t="str">
        <f t="shared" ca="1" si="95"/>
        <v/>
      </c>
      <c r="CK13" s="47" t="str">
        <f t="shared" ca="1" si="67"/>
        <v/>
      </c>
      <c r="CL13" s="46" t="str">
        <f t="shared" ca="1" si="68"/>
        <v/>
      </c>
      <c r="CM13" s="109" t="str">
        <f ca="1">IFERROR(AVERAGEIF($B$19:$B$66, $A13, CM$19:CM$66), "")</f>
        <v/>
      </c>
      <c r="CN13" s="372" t="str">
        <f ca="1">IFERROR(INDEX(ICE[], MATCH("go01bfrdiff" &amp; "Cal" &amp; " " &amp; RIGHT(Mid!$A13, 2), ICE[LongCode], 0), MATCH("Text", ICE[#Headers], 0)), "")</f>
        <v xml:space="preserve"> /  </v>
      </c>
      <c r="CO13" s="46" t="str">
        <f ca="1">IFERROR(AVERAGEIF($B$19:$B$66, $A13, CO$19:CO$66), "")</f>
        <v/>
      </c>
      <c r="CP13" s="47" t="str">
        <f t="shared" ca="1" si="69"/>
        <v/>
      </c>
      <c r="CQ13" s="46" t="str">
        <f t="shared" ca="1" si="70"/>
        <v/>
      </c>
      <c r="CR13" s="110" t="str">
        <f t="shared" ca="1" si="96"/>
        <v/>
      </c>
      <c r="CS13" s="46" t="str">
        <f t="shared" ca="1" si="96"/>
        <v/>
      </c>
      <c r="CT13" s="47" t="str">
        <f t="shared" ca="1" si="71"/>
        <v/>
      </c>
      <c r="CU13" s="46" t="str">
        <f t="shared" ca="1" si="72"/>
        <v/>
      </c>
      <c r="CV13" s="109" t="str">
        <f ca="1">IFERROR(AVERAGEIF($B$19:$B$66, $A13, CV$19:CV$66), "")</f>
        <v/>
      </c>
      <c r="CW13" s="372" t="str">
        <f ca="1">IFERROR(INDEX(ICE[], MATCH("go01ccndiff" &amp; "Cal" &amp; " " &amp; RIGHT(Mid!$A13, 2), ICE[LongCode], 0), MATCH("Text", ICE[#Headers], 0)), "")</f>
        <v xml:space="preserve"> /  </v>
      </c>
      <c r="CX13" s="46" t="str">
        <f ca="1">IFERROR(AVERAGEIF($B$19:$B$66, $A13, CX$19:CX$66), "")</f>
        <v/>
      </c>
      <c r="CY13" s="47" t="str">
        <f t="shared" ca="1" si="73"/>
        <v/>
      </c>
      <c r="CZ13" s="46" t="str">
        <f t="shared" ca="1" si="74"/>
        <v/>
      </c>
      <c r="DA13" s="110" t="str">
        <f t="shared" ca="1" si="97"/>
        <v/>
      </c>
      <c r="DB13" s="46" t="str">
        <f t="shared" ca="1" si="97"/>
        <v/>
      </c>
      <c r="DC13" s="47" t="str">
        <f t="shared" ca="1" si="75"/>
        <v/>
      </c>
      <c r="DD13" s="46" t="str">
        <f t="shared" ca="1" si="76"/>
        <v/>
      </c>
      <c r="DE13" s="109" t="str">
        <f ca="1">IFERROR(AVERAGEIF($B$19:$B$66, $A13, DE$19:DE$66), "")</f>
        <v/>
      </c>
      <c r="DF13" s="372" t="str">
        <f ca="1">IFERROR(INDEX(ICE[], MATCH("go01ccmdiff" &amp; "Cal" &amp; " " &amp; RIGHT(Mid!$A13, 2), ICE[LongCode], 0), MATCH("Text", ICE[#Headers], 0)), "")</f>
        <v xml:space="preserve"> /  </v>
      </c>
      <c r="DG13" s="46" t="str">
        <f ca="1">IFERROR(AVERAGEIF($B$19:$B$66, $A13, DG$19:DG$66), "")</f>
        <v/>
      </c>
      <c r="DH13" s="47" t="str">
        <f t="shared" ca="1" si="77"/>
        <v/>
      </c>
      <c r="DI13" s="46" t="str">
        <f t="shared" ca="1" si="78"/>
        <v/>
      </c>
      <c r="DJ13" s="110" t="str">
        <f t="shared" ca="1" si="98"/>
        <v/>
      </c>
      <c r="DK13" s="46" t="str">
        <f t="shared" ca="1" si="98"/>
        <v/>
      </c>
      <c r="DL13" s="47" t="str">
        <f t="shared" ca="1" si="79"/>
        <v/>
      </c>
      <c r="DM13" s="111" t="str">
        <f t="shared" ca="1" si="80"/>
        <v/>
      </c>
      <c r="DN13" s="109" t="str">
        <f ca="1">IFERROR(AVERAGEIF($B$19:$B$66, $A13, DN$19:DN$66), "")</f>
        <v/>
      </c>
      <c r="DO13" s="372" t="str">
        <f ca="1">IFERROR(INDEX(ICE[], MATCH("ulsdgc" &amp; "Cal" &amp; " " &amp; RIGHT(Mid!$A13, 2), ICE[LongCode], 0), MATCH("Text", ICE[#Headers], 0)), "")</f>
        <v xml:space="preserve"> /  </v>
      </c>
      <c r="DP13" s="46" t="str">
        <f ca="1">IFERROR(AVERAGEIF($B$19:$B$66, $A13, DP$19:DP$66), "")</f>
        <v/>
      </c>
      <c r="DQ13" s="47" t="str">
        <f ca="1">IF(AND(ISNUMBER($DN12), ISNUMBER($DN13)), $DN12 - $DN13, "")</f>
        <v/>
      </c>
      <c r="DR13" s="46" t="str">
        <f ca="1">IF(AND(ISNUMBER($DP12), ISNUMBER($DP13)), $DP12 - $DP13, "")</f>
        <v/>
      </c>
      <c r="DS13" s="110" t="str">
        <f t="shared" ca="1" si="99"/>
        <v/>
      </c>
      <c r="DT13" s="46" t="str">
        <f t="shared" ca="1" si="99"/>
        <v/>
      </c>
      <c r="DU13" s="47" t="str">
        <f ca="1">IF(AND(ISNUMBER($DS12), ISNUMBER($DS13)), $DS12 - $DS13, "")</f>
        <v/>
      </c>
      <c r="DV13" s="111" t="str">
        <f ca="1">IF(AND(ISNUMBER($DT12), ISNUMBER($DT13)), $DT12 - $DT13, "")</f>
        <v/>
      </c>
    </row>
    <row r="14" spans="1:127" ht="15.75" thickBot="1" x14ac:dyDescent="0.3">
      <c r="A14" s="55">
        <f ca="1">$A13 + 1</f>
        <v>2028</v>
      </c>
      <c r="B14" s="6"/>
      <c r="C14" s="6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130" t="str">
        <f ca="1">IFERROR(AVERAGEIF($B$19:$B$66, $A14, O$19:O$66), "")</f>
        <v/>
      </c>
      <c r="P14" s="373" t="str">
        <f ca="1">IFERROR(INDEX(ICE[], MATCH("jetccndiff" &amp; "Cal" &amp; " " &amp; RIGHT(Mid!$A14, 2), ICE[LongCode], 0), MATCH("Text", ICE[#Headers], 0)), "")</f>
        <v xml:space="preserve"> /  </v>
      </c>
      <c r="Q14" s="133" t="str">
        <f ca="1">IFERROR(AVERAGEIF($B$19:$B$66, $A14, Q$19:Q$66), "")</f>
        <v/>
      </c>
      <c r="R14" s="142" t="str">
        <f ca="1">IF(AND(ISNUMBER($O13), ISNUMBER($O14)), $O13 - $O14, "")</f>
        <v/>
      </c>
      <c r="S14" s="137" t="str">
        <f t="shared" ca="1" si="36"/>
        <v/>
      </c>
      <c r="T14" s="134" t="str">
        <f t="shared" ca="1" si="85"/>
        <v/>
      </c>
      <c r="U14" s="133" t="str">
        <f t="shared" ca="1" si="85"/>
        <v/>
      </c>
      <c r="V14" s="142" t="str">
        <f t="shared" ca="1" si="37"/>
        <v/>
      </c>
      <c r="W14" s="133" t="str">
        <f ca="1">IF(AND(ISNUMBER($U13), ISNUMBER($U14)), $U13 - $U14, "")</f>
        <v/>
      </c>
      <c r="X14" s="270" t="str">
        <f t="shared" ca="1" si="86"/>
        <v/>
      </c>
      <c r="Y14" s="133" t="str">
        <f t="shared" ca="1" si="86"/>
        <v/>
      </c>
      <c r="Z14" s="142" t="str">
        <f t="shared" ca="1" si="100"/>
        <v/>
      </c>
      <c r="AA14" s="135" t="str">
        <f ca="1">IF(AND(ISNUMBER($Y13), ISNUMBER($Y14)), $Y13 - $Y14, "")</f>
        <v/>
      </c>
      <c r="AB14" s="130" t="str">
        <f ca="1">IFERROR(AVERAGEIF($B$19:$B$66, $A14, AB$19:AB$66), "")</f>
        <v/>
      </c>
      <c r="AC14" s="373" t="str">
        <f ca="1">IFERROR(INDEX(ICE[], MATCH("goew" &amp; "Cal" &amp; " " &amp; RIGHT(Mid!$A14, 2), ICE[LongCode], 0), MATCH("Text", ICE[#Headers], 0)), "")</f>
        <v xml:space="preserve"> /  </v>
      </c>
      <c r="AD14" s="133" t="str">
        <f ca="1">IFERROR(AVERAGEIF($B$19:$B$66, $A14, AD$19:AD$66), "")</f>
        <v/>
      </c>
      <c r="AE14" s="142" t="str">
        <f ca="1">IF(AND(ISNUMBER($AB13), ISNUMBER($AB14)), $AB13 - $AB14, "")</f>
        <v/>
      </c>
      <c r="AF14" s="133" t="str">
        <f t="shared" ca="1" si="42"/>
        <v/>
      </c>
      <c r="AG14" s="144" t="str">
        <f t="shared" ca="1" si="87"/>
        <v/>
      </c>
      <c r="AH14" s="134" t="str">
        <f t="shared" ca="1" si="87"/>
        <v/>
      </c>
      <c r="AI14" s="133" t="str">
        <f t="shared" ca="1" si="87"/>
        <v/>
      </c>
      <c r="AJ14" s="142" t="str">
        <f t="shared" ca="1" si="101"/>
        <v/>
      </c>
      <c r="AK14" s="366" t="str">
        <f ca="1">IFERROR(INDEX(ICE[], MATCH("gosing" &amp; "Cal" &amp; " " &amp; RIGHT(Crd!$A13, 2) &amp; "/" &amp; "Cal" &amp; " " &amp; RIGHT(Crd!$A14, 2), ICE[LongCode], 0), MATCH("Text", ICE[#Headers], 0)), "")</f>
        <v xml:space="preserve"> /  </v>
      </c>
      <c r="AL14" s="133" t="str">
        <f t="shared" ca="1" si="44"/>
        <v/>
      </c>
      <c r="AM14" s="270" t="str">
        <f t="shared" ca="1" si="88"/>
        <v/>
      </c>
      <c r="AN14" s="133" t="str">
        <f t="shared" ca="1" si="88"/>
        <v/>
      </c>
      <c r="AO14" s="142" t="str">
        <f ca="1">IF(AND(ISNUMBER($AM13), ISNUMBER($AM14)), $AM13 - $AM14, "")</f>
        <v/>
      </c>
      <c r="AP14" s="135" t="str">
        <f ca="1">IF(AND(ISNUMBER($AN13), ISNUMBER($AN14)), $AN13 - $AN14, "")</f>
        <v/>
      </c>
      <c r="AQ14" s="130" t="str">
        <f t="shared" ca="1" si="89"/>
        <v/>
      </c>
      <c r="AR14" s="133" t="str">
        <f t="shared" ca="1" si="89"/>
        <v/>
      </c>
      <c r="AS14" s="142" t="str">
        <f ca="1">IF(AND(ISNUMBER($AQ13), ISNUMBER($AQ14)), $AQ13 - $AQ14, "")</f>
        <v/>
      </c>
      <c r="AT14" s="133" t="str">
        <f ca="1">IF(AND(ISNUMBER($AR13), ISNUMBER($AR14)), $AR13 - $AR14, "")</f>
        <v/>
      </c>
      <c r="AU14" s="270" t="str">
        <f t="shared" ca="1" si="90"/>
        <v/>
      </c>
      <c r="AV14" s="133" t="str">
        <f t="shared" ca="1" si="90"/>
        <v/>
      </c>
      <c r="AW14" s="142" t="str">
        <f ca="1">IF(AND(ISNUMBER($AU13), ISNUMBER($AU14)), $AU13 - $AU14, "")</f>
        <v/>
      </c>
      <c r="AX14" s="135" t="str">
        <f ca="1">IF(AND(ISNUMBER($AV13), ISNUMBER($AV14)), $AV13 - $AV14, "")</f>
        <v/>
      </c>
      <c r="AY14" s="130" t="str">
        <f ca="1">IFERROR(AVERAGEIF($B$19:$B$66, $A14, AY$19:AY$66), "")</f>
        <v/>
      </c>
      <c r="AZ14" s="373" t="str">
        <f ca="1">IFERROR(INDEX(ICE[], MATCH("regrade" &amp; "Cal" &amp; " " &amp; RIGHT(Mid!$A14, 2), ICE[LongCode], 0), MATCH("Text", ICE[#Headers], 0)), "")</f>
        <v xml:space="preserve"> /  </v>
      </c>
      <c r="BA14" s="133" t="str">
        <f ca="1">IFERROR(AVERAGEIF($B$19:$B$66, $A14, BA$19:BA$66), "")</f>
        <v/>
      </c>
      <c r="BB14" s="142" t="str">
        <f t="shared" ca="1" si="51"/>
        <v/>
      </c>
      <c r="BC14" s="133" t="str">
        <f t="shared" ca="1" si="52"/>
        <v/>
      </c>
      <c r="BD14" s="134" t="str">
        <f t="shared" ca="1" si="91"/>
        <v/>
      </c>
      <c r="BE14" s="133" t="str">
        <f t="shared" ca="1" si="91"/>
        <v/>
      </c>
      <c r="BF14" s="142" t="str">
        <f ca="1">IF(AND(ISNUMBER($BD13), ISNUMBER($BD14)), $BD13 - $BD14, "")</f>
        <v/>
      </c>
      <c r="BG14" s="135" t="str">
        <f t="shared" ca="1" si="54"/>
        <v/>
      </c>
      <c r="BH14" s="134" t="str">
        <f t="shared" ca="1" si="92"/>
        <v/>
      </c>
      <c r="BI14" s="133" t="str">
        <f t="shared" ca="1" si="92"/>
        <v/>
      </c>
      <c r="BJ14" s="142" t="str">
        <f ca="1">IF(AND(ISNUMBER($BD13), ISNUMBER($BD14)), $BD13 - $BD14, "")</f>
        <v/>
      </c>
      <c r="BK14" s="135" t="str">
        <f t="shared" ca="1" si="56"/>
        <v/>
      </c>
      <c r="BL14" s="130" t="str">
        <f ca="1">IFERROR(AVERAGEIF($B$19:$B$66, $A14, BL$19:BL$66), "")</f>
        <v/>
      </c>
      <c r="BM14" s="373" t="str">
        <f ca="1">IFERROR(INDEX(ICE[], MATCH("ulsdaradiff" &amp; "Cal" &amp; " " &amp; RIGHT(Mid!$A14, 2), ICE[LongCode], 0), MATCH("Text", ICE[#Headers], 0)), "")</f>
        <v xml:space="preserve"> /  </v>
      </c>
      <c r="BN14" s="133" t="str">
        <f ca="1">IFERROR(AVERAGEIF($B$19:$B$66, $A14, BN$19:BN$66), "")</f>
        <v/>
      </c>
      <c r="BO14" s="142" t="str">
        <f t="shared" ca="1" si="57"/>
        <v/>
      </c>
      <c r="BP14" s="133" t="str">
        <f t="shared" ca="1" si="58"/>
        <v/>
      </c>
      <c r="BQ14" s="134" t="str">
        <f t="shared" ca="1" si="93"/>
        <v/>
      </c>
      <c r="BR14" s="133" t="str">
        <f t="shared" ca="1" si="93"/>
        <v/>
      </c>
      <c r="BS14" s="142" t="str">
        <f t="shared" ca="1" si="59"/>
        <v/>
      </c>
      <c r="BT14" s="135" t="str">
        <f t="shared" ca="1" si="60"/>
        <v/>
      </c>
      <c r="BU14" s="130" t="str">
        <f ca="1">IFERROR(AVERAGEIF($B$19:$B$66, $A14, BU$19:BU$66), "")</f>
        <v/>
      </c>
      <c r="BV14" s="373" t="str">
        <f ca="1">IFERROR(INDEX(ICE[], MATCH("ulsdccndiff" &amp; "Cal" &amp; " " &amp; RIGHT(Mid!$A14, 2), ICE[LongCode], 0), MATCH("Text", ICE[#Headers], 0)), "")</f>
        <v xml:space="preserve"> /  </v>
      </c>
      <c r="BW14" s="133" t="str">
        <f ca="1">IFERROR(AVERAGEIF($B$19:$B$66, $A14, BW$19:BW$66), "")</f>
        <v/>
      </c>
      <c r="BX14" s="142" t="str">
        <f ca="1">IF(AND(ISNUMBER($BU13), ISNUMBER($BU14)), $BU13 - $BU14, "")</f>
        <v/>
      </c>
      <c r="BY14" s="133" t="str">
        <f t="shared" ca="1" si="62"/>
        <v/>
      </c>
      <c r="BZ14" s="134" t="str">
        <f t="shared" ca="1" si="94"/>
        <v/>
      </c>
      <c r="CA14" s="133" t="str">
        <f t="shared" ca="1" si="94"/>
        <v/>
      </c>
      <c r="CB14" s="142" t="str">
        <f t="shared" ca="1" si="63"/>
        <v/>
      </c>
      <c r="CC14" s="133" t="str">
        <f t="shared" ca="1" si="64"/>
        <v/>
      </c>
      <c r="CD14" s="130" t="str">
        <f ca="1">IFERROR(AVERAGEIF($B$19:$B$66, $A14, CD$19:CD$66), "")</f>
        <v/>
      </c>
      <c r="CE14" s="373" t="str">
        <f ca="1">IFERROR(INDEX(ICE[], MATCH("ulsdccmdiff" &amp; "Cal" &amp; " " &amp; RIGHT(Mid!$A14, 2), ICE[LongCode], 0), MATCH("Text", ICE[#Headers], 0)), "")</f>
        <v xml:space="preserve"> /  </v>
      </c>
      <c r="CF14" s="133" t="str">
        <f ca="1">IFERROR(AVERAGEIF($B$19:$B$66, $A14, CF$19:CF$66), "")</f>
        <v/>
      </c>
      <c r="CG14" s="142" t="str">
        <f ca="1">IF(AND(ISNUMBER($CD13), ISNUMBER($CD14)), $CD13 - $CD14, "")</f>
        <v/>
      </c>
      <c r="CH14" s="133" t="str">
        <f t="shared" ca="1" si="66"/>
        <v/>
      </c>
      <c r="CI14" s="134" t="str">
        <f t="shared" ca="1" si="95"/>
        <v/>
      </c>
      <c r="CJ14" s="133" t="str">
        <f t="shared" ca="1" si="95"/>
        <v/>
      </c>
      <c r="CK14" s="142" t="str">
        <f t="shared" ca="1" si="67"/>
        <v/>
      </c>
      <c r="CL14" s="133" t="str">
        <f t="shared" ca="1" si="68"/>
        <v/>
      </c>
      <c r="CM14" s="130" t="str">
        <f ca="1">IFERROR(AVERAGEIF($B$19:$B$66, $A14, CM$19:CM$66), "")</f>
        <v/>
      </c>
      <c r="CN14" s="373" t="str">
        <f ca="1">IFERROR(INDEX(ICE[], MATCH("go01bfrdiff" &amp; "Cal" &amp; " " &amp; RIGHT(Mid!$A14, 2), ICE[LongCode], 0), MATCH("Text", ICE[#Headers], 0)), "")</f>
        <v xml:space="preserve"> /  </v>
      </c>
      <c r="CO14" s="133" t="str">
        <f ca="1">IFERROR(AVERAGEIF($B$19:$B$66, $A14, CO$19:CO$66), "")</f>
        <v/>
      </c>
      <c r="CP14" s="142" t="str">
        <f t="shared" ca="1" si="69"/>
        <v/>
      </c>
      <c r="CQ14" s="133" t="str">
        <f t="shared" ca="1" si="70"/>
        <v/>
      </c>
      <c r="CR14" s="134" t="str">
        <f t="shared" ca="1" si="96"/>
        <v/>
      </c>
      <c r="CS14" s="133" t="str">
        <f t="shared" ca="1" si="96"/>
        <v/>
      </c>
      <c r="CT14" s="142" t="str">
        <f t="shared" ca="1" si="71"/>
        <v/>
      </c>
      <c r="CU14" s="133" t="str">
        <f t="shared" ca="1" si="72"/>
        <v/>
      </c>
      <c r="CV14" s="130" t="str">
        <f ca="1">IFERROR(AVERAGEIF($B$19:$B$66, $A14, CV$19:CV$66), "")</f>
        <v/>
      </c>
      <c r="CW14" s="373" t="str">
        <f ca="1">IFERROR(INDEX(ICE[], MATCH("go01ccndiff" &amp; "Cal" &amp; " " &amp; RIGHT(Mid!$A14, 2), ICE[LongCode], 0), MATCH("Text", ICE[#Headers], 0)), "")</f>
        <v xml:space="preserve"> /  </v>
      </c>
      <c r="CX14" s="133" t="str">
        <f ca="1">IFERROR(AVERAGEIF($B$19:$B$66, $A14, CX$19:CX$66), "")</f>
        <v/>
      </c>
      <c r="CY14" s="142" t="str">
        <f t="shared" ca="1" si="73"/>
        <v/>
      </c>
      <c r="CZ14" s="133" t="str">
        <f t="shared" ca="1" si="74"/>
        <v/>
      </c>
      <c r="DA14" s="134" t="str">
        <f t="shared" ca="1" si="97"/>
        <v/>
      </c>
      <c r="DB14" s="133" t="str">
        <f t="shared" ca="1" si="97"/>
        <v/>
      </c>
      <c r="DC14" s="142" t="str">
        <f t="shared" ca="1" si="75"/>
        <v/>
      </c>
      <c r="DD14" s="133" t="str">
        <f t="shared" ca="1" si="76"/>
        <v/>
      </c>
      <c r="DE14" s="130" t="str">
        <f ca="1">IFERROR(AVERAGEIF($B$19:$B$66, $A14, DE$19:DE$66), "")</f>
        <v/>
      </c>
      <c r="DF14" s="373" t="str">
        <f ca="1">IFERROR(INDEX(ICE[], MATCH("go01ccmdiff" &amp; "Cal" &amp; " " &amp; RIGHT(Mid!$A14, 2), ICE[LongCode], 0), MATCH("Text", ICE[#Headers], 0)), "")</f>
        <v xml:space="preserve"> /  </v>
      </c>
      <c r="DG14" s="133" t="str">
        <f ca="1">IFERROR(AVERAGEIF($B$19:$B$66, $A14, DG$19:DG$66), "")</f>
        <v/>
      </c>
      <c r="DH14" s="142" t="str">
        <f t="shared" ca="1" si="77"/>
        <v/>
      </c>
      <c r="DI14" s="133" t="str">
        <f t="shared" ca="1" si="78"/>
        <v/>
      </c>
      <c r="DJ14" s="134" t="str">
        <f t="shared" ca="1" si="98"/>
        <v/>
      </c>
      <c r="DK14" s="133" t="str">
        <f t="shared" ca="1" si="98"/>
        <v/>
      </c>
      <c r="DL14" s="142" t="str">
        <f t="shared" ca="1" si="79"/>
        <v/>
      </c>
      <c r="DM14" s="135" t="str">
        <f t="shared" ca="1" si="80"/>
        <v/>
      </c>
      <c r="DN14" s="130" t="str">
        <f ca="1">IFERROR(AVERAGEIF($B$19:$B$66, $A14, DN$19:DN$66), "")</f>
        <v/>
      </c>
      <c r="DO14" s="373" t="str">
        <f ca="1">IFERROR(INDEX(ICE[], MATCH("ulsdgc" &amp; "Cal" &amp; " " &amp; RIGHT(Mid!$A14, 2), ICE[LongCode], 0), MATCH("Text", ICE[#Headers], 0)), "")</f>
        <v/>
      </c>
      <c r="DP14" s="133" t="str">
        <f ca="1">IFERROR(AVERAGEIF($B$19:$B$66, $A14, DP$19:DP$66), "")</f>
        <v/>
      </c>
      <c r="DQ14" s="142" t="str">
        <f ca="1">IF(AND(ISNUMBER($DN13), ISNUMBER($DN14)), $DN13 - $DN14, "")</f>
        <v/>
      </c>
      <c r="DR14" s="133" t="str">
        <f ca="1">IF(AND(ISNUMBER($DP13), ISNUMBER($DP14)), $DP13 - $DP14, "")</f>
        <v/>
      </c>
      <c r="DS14" s="134" t="str">
        <f t="shared" ca="1" si="99"/>
        <v/>
      </c>
      <c r="DT14" s="133" t="str">
        <f t="shared" ca="1" si="99"/>
        <v/>
      </c>
      <c r="DU14" s="142" t="str">
        <f ca="1">IF(AND(ISNUMBER($DS13), ISNUMBER($DS14)), $DS13 - $DS14, "")</f>
        <v/>
      </c>
      <c r="DV14" s="135" t="str">
        <f ca="1">IF(AND(ISNUMBER($DT13), ISNUMBER($DT14)), $DT13 - $DT14, "")</f>
        <v/>
      </c>
    </row>
    <row r="15" spans="1:127" x14ac:dyDescent="0.25">
      <c r="A15" s="56"/>
      <c r="B15" s="6"/>
      <c r="C15" s="6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R15" s="51"/>
      <c r="S15" s="51"/>
      <c r="W15" s="51"/>
      <c r="AA15" s="51"/>
      <c r="AB15" s="69"/>
      <c r="AP15" s="51"/>
      <c r="AQ15" s="69"/>
      <c r="AY15" s="69"/>
      <c r="BL15" s="69"/>
      <c r="BU15" s="69"/>
      <c r="CD15" s="69"/>
      <c r="CM15" s="69"/>
      <c r="CV15" s="69"/>
      <c r="DE15" s="69"/>
      <c r="DN15" s="69"/>
    </row>
    <row r="16" spans="1:127" ht="15.75" thickBot="1" x14ac:dyDescent="0.3">
      <c r="B16" s="6"/>
      <c r="C16" s="6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R16" s="51"/>
      <c r="S16" s="51"/>
      <c r="W16" s="70"/>
      <c r="AA16" s="70"/>
      <c r="AB16" s="100"/>
      <c r="AC16" s="94"/>
      <c r="AP16" s="70"/>
      <c r="AQ16" s="100"/>
      <c r="DW16" s="48"/>
    </row>
    <row r="17" spans="1:126" ht="15.75" thickBot="1" x14ac:dyDescent="0.3">
      <c r="B17" s="6"/>
      <c r="C17" s="6"/>
      <c r="D17" s="44" t="s">
        <v>279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310" t="s">
        <v>397</v>
      </c>
      <c r="P17" s="311"/>
      <c r="Q17" s="311"/>
      <c r="R17" s="312"/>
      <c r="S17" s="313"/>
      <c r="T17" s="311"/>
      <c r="U17" s="311"/>
      <c r="V17" s="312"/>
      <c r="W17" s="313"/>
      <c r="X17" s="311"/>
      <c r="Y17" s="311"/>
      <c r="Z17" s="312"/>
      <c r="AA17" s="314"/>
      <c r="AB17" s="315" t="s">
        <v>398</v>
      </c>
      <c r="AC17" s="311"/>
      <c r="AD17" s="316"/>
      <c r="AE17" s="317"/>
      <c r="AF17" s="316"/>
      <c r="AG17" s="376"/>
      <c r="AH17" s="318"/>
      <c r="AI17" s="316"/>
      <c r="AJ17" s="317"/>
      <c r="AK17" s="311"/>
      <c r="AL17" s="316"/>
      <c r="AM17" s="311"/>
      <c r="AN17" s="311"/>
      <c r="AO17" s="312"/>
      <c r="AP17" s="314"/>
      <c r="AQ17" s="315" t="s">
        <v>399</v>
      </c>
      <c r="AR17" s="316"/>
      <c r="AS17" s="317"/>
      <c r="AT17" s="316"/>
      <c r="AU17" s="318"/>
      <c r="AV17" s="316"/>
      <c r="AW17" s="317"/>
      <c r="AX17" s="319"/>
      <c r="AY17" s="315" t="s">
        <v>400</v>
      </c>
      <c r="AZ17" s="311"/>
      <c r="BA17" s="316"/>
      <c r="BB17" s="317"/>
      <c r="BC17" s="316"/>
      <c r="BD17" s="318"/>
      <c r="BE17" s="316"/>
      <c r="BF17" s="317"/>
      <c r="BG17" s="316"/>
      <c r="BH17" s="318"/>
      <c r="BI17" s="316"/>
      <c r="BJ17" s="317"/>
      <c r="BK17" s="319"/>
      <c r="BL17" s="315" t="s">
        <v>401</v>
      </c>
      <c r="BM17" s="311"/>
      <c r="BN17" s="316"/>
      <c r="BO17" s="317"/>
      <c r="BP17" s="316"/>
      <c r="BQ17" s="318"/>
      <c r="BR17" s="316"/>
      <c r="BS17" s="317"/>
      <c r="BT17" s="319"/>
      <c r="BU17" s="315" t="s">
        <v>1361</v>
      </c>
      <c r="BV17" s="311"/>
      <c r="BW17" s="316"/>
      <c r="BX17" s="317"/>
      <c r="BY17" s="316"/>
      <c r="BZ17" s="318"/>
      <c r="CA17" s="316"/>
      <c r="CB17" s="317"/>
      <c r="CC17" s="319"/>
      <c r="CD17" s="315" t="s">
        <v>402</v>
      </c>
      <c r="CE17" s="311"/>
      <c r="CF17" s="316"/>
      <c r="CG17" s="317"/>
      <c r="CH17" s="316"/>
      <c r="CI17" s="318"/>
      <c r="CJ17" s="316"/>
      <c r="CK17" s="317"/>
      <c r="CL17" s="319"/>
      <c r="CM17" s="315" t="s">
        <v>403</v>
      </c>
      <c r="CN17" s="311"/>
      <c r="CO17" s="316"/>
      <c r="CP17" s="317"/>
      <c r="CQ17" s="316"/>
      <c r="CR17" s="318"/>
      <c r="CS17" s="316"/>
      <c r="CT17" s="317"/>
      <c r="CU17" s="319"/>
      <c r="CV17" s="315" t="s">
        <v>404</v>
      </c>
      <c r="CW17" s="311"/>
      <c r="CX17" s="316"/>
      <c r="CY17" s="317"/>
      <c r="CZ17" s="316"/>
      <c r="DA17" s="318"/>
      <c r="DB17" s="316"/>
      <c r="DC17" s="317"/>
      <c r="DD17" s="319"/>
      <c r="DE17" s="315" t="s">
        <v>405</v>
      </c>
      <c r="DF17" s="311"/>
      <c r="DG17" s="316"/>
      <c r="DH17" s="317"/>
      <c r="DI17" s="316"/>
      <c r="DJ17" s="318"/>
      <c r="DK17" s="316"/>
      <c r="DL17" s="317"/>
      <c r="DM17" s="319"/>
      <c r="DN17" s="315" t="s">
        <v>406</v>
      </c>
      <c r="DO17" s="311"/>
      <c r="DP17" s="316"/>
      <c r="DQ17" s="317"/>
      <c r="DR17" s="316"/>
      <c r="DS17" s="318"/>
      <c r="DT17" s="316"/>
      <c r="DU17" s="317"/>
      <c r="DV17" s="319"/>
    </row>
    <row r="18" spans="1:126" x14ac:dyDescent="0.25">
      <c r="A18" s="55"/>
      <c r="B18" s="8" t="s">
        <v>285</v>
      </c>
      <c r="C18" s="8" t="s">
        <v>286</v>
      </c>
      <c r="D18" s="45" t="s">
        <v>411</v>
      </c>
      <c r="E18" s="45" t="s">
        <v>412</v>
      </c>
      <c r="F18" s="45" t="s">
        <v>413</v>
      </c>
      <c r="G18" s="45" t="s">
        <v>414</v>
      </c>
      <c r="H18" s="45" t="s">
        <v>415</v>
      </c>
      <c r="I18" s="45" t="s">
        <v>416</v>
      </c>
      <c r="J18" s="45" t="s">
        <v>417</v>
      </c>
      <c r="K18" s="45" t="s">
        <v>418</v>
      </c>
      <c r="L18" s="45" t="s">
        <v>419</v>
      </c>
      <c r="M18" s="45" t="s">
        <v>420</v>
      </c>
      <c r="N18" s="45" t="s">
        <v>421</v>
      </c>
      <c r="O18" s="302" t="s">
        <v>407</v>
      </c>
      <c r="P18" s="303"/>
      <c r="Q18" s="303"/>
      <c r="R18" s="303"/>
      <c r="S18" s="385"/>
      <c r="T18" s="303" t="s">
        <v>367</v>
      </c>
      <c r="U18" s="303"/>
      <c r="V18" s="303"/>
      <c r="W18" s="303"/>
      <c r="X18" s="425" t="s">
        <v>368</v>
      </c>
      <c r="Y18" s="303"/>
      <c r="Z18" s="303"/>
      <c r="AA18" s="305"/>
      <c r="AB18" s="306" t="s">
        <v>77</v>
      </c>
      <c r="AC18" s="303"/>
      <c r="AD18" s="307"/>
      <c r="AE18" s="307"/>
      <c r="AF18" s="307"/>
      <c r="AG18" s="308" t="s">
        <v>350</v>
      </c>
      <c r="AH18" s="308" t="s">
        <v>367</v>
      </c>
      <c r="AI18" s="307"/>
      <c r="AJ18" s="307"/>
      <c r="AK18" s="303"/>
      <c r="AL18" s="307"/>
      <c r="AM18" s="425" t="s">
        <v>368</v>
      </c>
      <c r="AN18" s="303"/>
      <c r="AO18" s="303"/>
      <c r="AP18" s="305"/>
      <c r="AQ18" s="306" t="s">
        <v>409</v>
      </c>
      <c r="AR18" s="307"/>
      <c r="AS18" s="307"/>
      <c r="AT18" s="307"/>
      <c r="AU18" s="378" t="s">
        <v>367</v>
      </c>
      <c r="AV18" s="307"/>
      <c r="AW18" s="307"/>
      <c r="AX18" s="309"/>
      <c r="AY18" s="306" t="s">
        <v>410</v>
      </c>
      <c r="AZ18" s="303"/>
      <c r="BA18" s="307"/>
      <c r="BB18" s="307"/>
      <c r="BC18" s="380"/>
      <c r="BD18" s="307" t="s">
        <v>367</v>
      </c>
      <c r="BE18" s="307"/>
      <c r="BF18" s="307"/>
      <c r="BG18" s="309"/>
      <c r="BH18" s="307" t="s">
        <v>1297</v>
      </c>
      <c r="BI18" s="307"/>
      <c r="BJ18" s="307"/>
      <c r="BK18" s="309"/>
      <c r="BL18" s="306" t="s">
        <v>407</v>
      </c>
      <c r="BM18" s="303"/>
      <c r="BN18" s="307"/>
      <c r="BO18" s="307"/>
      <c r="BP18" s="380"/>
      <c r="BQ18" s="307" t="s">
        <v>367</v>
      </c>
      <c r="BR18" s="307"/>
      <c r="BS18" s="307"/>
      <c r="BT18" s="309"/>
      <c r="BU18" s="306" t="s">
        <v>407</v>
      </c>
      <c r="BV18" s="303"/>
      <c r="BW18" s="307"/>
      <c r="BX18" s="307"/>
      <c r="BY18" s="380"/>
      <c r="BZ18" s="307" t="s">
        <v>367</v>
      </c>
      <c r="CA18" s="307"/>
      <c r="CB18" s="307"/>
      <c r="CC18" s="309"/>
      <c r="CD18" s="306" t="s">
        <v>407</v>
      </c>
      <c r="CE18" s="303"/>
      <c r="CF18" s="307"/>
      <c r="CG18" s="307"/>
      <c r="CH18" s="380"/>
      <c r="CI18" s="307" t="s">
        <v>367</v>
      </c>
      <c r="CJ18" s="307"/>
      <c r="CK18" s="307"/>
      <c r="CL18" s="309"/>
      <c r="CM18" s="306" t="s">
        <v>407</v>
      </c>
      <c r="CN18" s="303"/>
      <c r="CO18" s="307"/>
      <c r="CP18" s="307"/>
      <c r="CQ18" s="380"/>
      <c r="CR18" s="307" t="s">
        <v>367</v>
      </c>
      <c r="CS18" s="307"/>
      <c r="CT18" s="307"/>
      <c r="CU18" s="309"/>
      <c r="CV18" s="306" t="s">
        <v>407</v>
      </c>
      <c r="CW18" s="303"/>
      <c r="CX18" s="307"/>
      <c r="CY18" s="307"/>
      <c r="CZ18" s="380"/>
      <c r="DA18" s="307" t="s">
        <v>367</v>
      </c>
      <c r="DB18" s="307"/>
      <c r="DC18" s="307"/>
      <c r="DD18" s="309"/>
      <c r="DE18" s="306" t="s">
        <v>407</v>
      </c>
      <c r="DF18" s="303"/>
      <c r="DG18" s="307"/>
      <c r="DH18" s="307"/>
      <c r="DI18" s="380"/>
      <c r="DJ18" s="307" t="s">
        <v>367</v>
      </c>
      <c r="DK18" s="307"/>
      <c r="DL18" s="307"/>
      <c r="DM18" s="309"/>
      <c r="DN18" s="306" t="s">
        <v>407</v>
      </c>
      <c r="DO18" s="303"/>
      <c r="DP18" s="307"/>
      <c r="DQ18" s="307"/>
      <c r="DR18" s="380"/>
      <c r="DS18" s="307" t="s">
        <v>367</v>
      </c>
      <c r="DT18" s="307"/>
      <c r="DU18" s="307"/>
      <c r="DV18" s="309"/>
    </row>
    <row r="19" spans="1:126" x14ac:dyDescent="0.25">
      <c r="A19" s="58">
        <f ca="1">EOMONTH(TimeLDN, -1) + 1</f>
        <v>46266</v>
      </c>
      <c r="B19" s="6">
        <f t="shared" ref="B19:B66" ca="1" si="102">YEAR($A19)</f>
        <v>2026</v>
      </c>
      <c r="C19" s="6" t="str">
        <f ca="1">"Q" &amp; INT((MONTH($A19) + 2) / 3)  &amp; TEXT($A19, "yy")</f>
        <v>Q326</v>
      </c>
      <c r="D19" s="28">
        <f>INDEX(ICE[], MATCH(D$18 &amp; "Bal Month", ICE[LongCode], 0), MATCH("Settle", ICE[#Headers], 0))</f>
        <v>61</v>
      </c>
      <c r="E19" s="28">
        <f>INDEX(ICE[], MATCH(E$18 &amp; "Bal Month", ICE[LongCode], 0), MATCH("Settle", ICE[#Headers], 0))</f>
        <v>-140.547</v>
      </c>
      <c r="F19" s="28">
        <f>INDEX(ICE[], MATCH(F$18 &amp; "Bal Month", ICE[LongCode], 0), MATCH("Settle", ICE[#Headers], 0))</f>
        <v>-5.7469999999999999</v>
      </c>
      <c r="G19" s="28">
        <f>INDEX(ICE[], MATCH(G$18 &amp; "Bal Month", ICE[LongCode], 0), MATCH("Settle", ICE[#Headers], 0))</f>
        <v>24.306000000000001</v>
      </c>
      <c r="H19" s="28">
        <f>INDEX(ICE[], MATCH(H$18 &amp; "Bal Month", ICE[LongCode], 0), MATCH("Settle", ICE[#Headers], 0))</f>
        <v>43</v>
      </c>
      <c r="I19" s="28">
        <f>INDEX(ICE[], MATCH(I$18 &amp; "Bal Month", ICE[LongCode], 0), MATCH("Settle", ICE[#Headers], 0))</f>
        <v>46</v>
      </c>
      <c r="J19" s="28">
        <f>INDEX(ICE[], MATCH(J$18 &amp; "Bal Month", ICE[LongCode], 0), MATCH("Settle", ICE[#Headers], 0))</f>
        <v>-52</v>
      </c>
      <c r="K19" s="28">
        <f>INDEX(ICE[], MATCH(K$18 &amp; "Bal Month", ICE[LongCode], 0), MATCH("Settle", ICE[#Headers], 0))</f>
        <v>-22.5</v>
      </c>
      <c r="L19" s="28">
        <f>INDEX(ICE[], MATCH(L$18 &amp; "Bal Month", ICE[LongCode], 0), MATCH("Settle", ICE[#Headers], 0))</f>
        <v>18</v>
      </c>
      <c r="M19" s="267">
        <f>INDEX(ICE[], MATCH("mopag" &amp; "Bal Month", ICE[LongCode], 0), MATCH("Settle", ICE[#Headers], 0))-INDEX(ICE[], MATCH("gosing" &amp; "Bal Month", ICE[LongCode], 0), MATCH("Settle", ICE[#Headers], 0))</f>
        <v>-9.9679999999999893</v>
      </c>
      <c r="N19" s="28">
        <f>INDEX(ICE[], MATCH(N$18 &amp; "Bal Month", ICE[LongCode], 0), MATCH("Settle", ICE[#Headers], 0))*100</f>
        <v>2</v>
      </c>
      <c r="O19" s="396" t="str">
        <f>IFERROR(INDEX(ICE[], MATCH("jetccndiff" &amp; "Bal Month", ICE[LongCode], 0), MATCH("ICE Theoretical Price", ICE[#Headers], 0)), "")</f>
        <v/>
      </c>
      <c r="P19" s="371" t="str">
        <f>IFERROR(INDEX(ICE[], MATCH("jetccndiff" &amp; "Bal Month", ICE[LongCode], 0), MATCH("Text", ICE[#Headers], 0)), "")</f>
        <v xml:space="preserve"> /  </v>
      </c>
      <c r="Q19" s="115" t="str">
        <f t="shared" ref="Q19:Q66" si="103">IFERROR(IF(AND(ISNUMBER($O19), ISNUMBER($D19)), $O19 - $D19, ""), "")</f>
        <v/>
      </c>
      <c r="R19" s="185"/>
      <c r="S19" s="172"/>
      <c r="T19" s="192" t="str">
        <f ca="1">IFERROR(IF(AND(ISNUMBER(Futs!$CG19), ISNUMBER($O19)), Futs!$CG19 + $O19, ""), "")</f>
        <v/>
      </c>
      <c r="U19" s="115" t="str">
        <f ca="1">IFERROR(IF(AND(ISNUMBER(Futs!$CH19), ISNUMBER($Q19)), Futs!$CH19 + $Q19, ""), "")</f>
        <v/>
      </c>
      <c r="V19" s="185"/>
      <c r="W19" s="115"/>
      <c r="X19" s="426" t="str">
        <f ca="1">IFERROR(IF(AND(ISNUMBER(Futs!$CC19), ISNUMBER($T19)), $T19/7.88 - Futs!$CC19, ""), "")</f>
        <v/>
      </c>
      <c r="Y19" s="115" t="str">
        <f ca="1">IFERROR(IF(AND(ISNUMBER(Futs!$DV19), ISNUMBER($Q19)), Futs!$DV19 + $Q19/7.88, ""), "")</f>
        <v/>
      </c>
      <c r="Z19" s="185"/>
      <c r="AA19" s="173"/>
      <c r="AB19" s="400" t="str">
        <f>IFERROR(INDEX(ICE[], MATCH("goew" &amp; "Bal Month", ICE[LongCode], 0), MATCH("ICE Theoretical Price", ICE[#Headers], 0)), "")</f>
        <v/>
      </c>
      <c r="AC19" s="371" t="str">
        <f>IFERROR(INDEX(ICE[], MATCH("goew" &amp; "Bal Month", ICE[LongCode], 0), MATCH("Text", ICE[#Headers], 0)), "")</f>
        <v>-141.00 /  {-139.00} |1,062x</v>
      </c>
      <c r="AD19" s="46" t="str">
        <f t="shared" ref="AD19:AD66" si="104">IFERROR(IF(AND(ISNUMBER($AB19), ISNUMBER($E19)), $AB19 - $E19, ""), "")</f>
        <v/>
      </c>
      <c r="AF19" s="46"/>
      <c r="AG19" s="265" t="str">
        <f ca="1">IFERROR(IF(AND(ISNUMBER(Futs!$BM19), ISNUMBER($AH19)), $AH19*7.45 - Futs!$BM19, ""), "")</f>
        <v/>
      </c>
      <c r="AH19" s="187" t="str">
        <f ca="1">IFERROR(IF(AND(ISNUMBER(Futs!$CG19), ISNUMBER($AB19)), (Futs!$CG19 + $AB19)/7.45, ""), "")</f>
        <v/>
      </c>
      <c r="AI19" s="46" t="str">
        <f ca="1">IFERROR(IF(AND(ISNUMBER(Futs!$CH19), ISNUMBER($AD19)), (Futs!$CH19 + $AD19)/7.45, ""), "")</f>
        <v/>
      </c>
      <c r="AK19" s="363"/>
      <c r="AL19" s="46"/>
      <c r="AM19" s="426" t="str">
        <f ca="1">IFERROR(IF(AND(ISNUMBER(Futs!$CC19), ISNUMBER($AH19)), $AH19 - Futs!$CC19, ""), "")</f>
        <v/>
      </c>
      <c r="AN19" s="115" t="str">
        <f ca="1">IFERROR(IF(AND(ISNUMBER(Futs!$DV19), ISNUMBER($AD19)), $AD19/7.45 + Futs!$DV19, ""), "")</f>
        <v/>
      </c>
      <c r="AO19" s="185"/>
      <c r="AP19" s="173"/>
      <c r="AQ19" s="400">
        <f t="shared" ref="AQ19:AQ33" si="105">M19</f>
        <v>-9.9679999999999893</v>
      </c>
      <c r="AR19" s="46">
        <f t="shared" ref="AR19:AR66" si="106">IFERROR(IF(AND(ISNUMBER($AQ19), ISNUMBER($M19)), $AQ19 - $M19, ""), "")</f>
        <v>0</v>
      </c>
      <c r="AT19" s="46"/>
      <c r="AU19" s="271" t="str">
        <f t="shared" ref="AU19:AU66" ca="1" si="107">IFERROR(IF(AND(ISNUMBER($AH19), ISNUMBER($AQ19)), $AH19 + $AQ19, ""), "")</f>
        <v/>
      </c>
      <c r="AV19" s="46" t="str">
        <f t="shared" ref="AV19:AV66" ca="1" si="108">IFERROR(IF(AND(ISNUMBER($AI19), ISNUMBER($AR19)), $AI19 + $AR19, ""), "")</f>
        <v/>
      </c>
      <c r="AX19" s="111"/>
      <c r="AY19" s="400" t="str">
        <f>IFERROR(INDEX(ICE[], MATCH("regrade" &amp; "Bal Month", ICE[LongCode], 0), MATCH("ICE Theoretical Price", ICE[#Headers], 0)), "")</f>
        <v/>
      </c>
      <c r="AZ19" s="371" t="str">
        <f>IFERROR(INDEX(ICE[], MATCH("regrade" &amp; "Bal Month", ICE[LongCode], 0), MATCH("Text", ICE[#Headers], 0)), "")</f>
        <v>-7.00 /  {-5.50} |215x</v>
      </c>
      <c r="BA19" s="46" t="str">
        <f t="shared" ref="BA19:BA66" si="109">IFERROR(IF(AND(ISNUMBER($AY19), ISNUMBER($F19)), $AY19 - $F19, ""), "")</f>
        <v/>
      </c>
      <c r="BC19" s="114"/>
      <c r="BD19" s="68" t="str">
        <f t="shared" ref="BD19:BD66" ca="1" si="110">IFERROR(IF(AND(ISNUMBER($AH19), ISNUMBER($AY19)), $AH19 + $AY19, ""), "")</f>
        <v/>
      </c>
      <c r="BE19" s="46" t="str">
        <f t="shared" ref="BE19:BE66" ca="1" si="111">IFERROR(IF(AND(ISNUMBER($AI19), ISNUMBER($BA19)), $AI19 + $BA19, ""), "")</f>
        <v/>
      </c>
      <c r="BG19" s="111"/>
      <c r="BH19" s="68" t="str">
        <f ca="1">IFERROR(IF(AND(ISNUMBER($BD19), ISNUMBER($T19)), $BD19 - $T19/7.88, ""), "")</f>
        <v/>
      </c>
      <c r="BI19" s="46" t="str">
        <f t="shared" ref="BI19:BI66" ca="1" si="112">IFERROR(IF(AND(ISNUMBER($AI19), ISNUMBER($BA19)), $AI19 + $BA19, ""), "")</f>
        <v/>
      </c>
      <c r="BK19" s="111"/>
      <c r="BL19" s="400" t="str">
        <f>IFERROR(INDEX(ICE[], MATCH("ulsdaradiff" &amp; "Bal Month", ICE[LongCode], 0), MATCH("ICE Theoretical Price", ICE[#Headers], 0)), "")</f>
        <v/>
      </c>
      <c r="BM19" s="371" t="str">
        <f>IFERROR(INDEX(ICE[], MATCH("ulsdaradiff" &amp; "Bal Month", ICE[LongCode], 0), MATCH("Text", ICE[#Headers], 0)), "")</f>
        <v xml:space="preserve"> /  </v>
      </c>
      <c r="BN19" s="46" t="str">
        <f t="shared" ref="BN19:BN66" si="113">IFERROR(IF(AND(ISNUMBER($BL19), ISNUMBER($G19)), $BL19 - $G19, ""), "")</f>
        <v/>
      </c>
      <c r="BP19" s="114"/>
      <c r="BQ19" s="68" t="str">
        <f ca="1">IFERROR(IF(AND(ISNUMBER(Futs!$CG19), ISNUMBER($BL19)), Futs!$CG19 + $BL19, ""), "")</f>
        <v/>
      </c>
      <c r="BR19" s="46" t="str">
        <f ca="1">IFERROR(IF(AND(ISNUMBER(Futs!$CH19), ISNUMBER($BN19)), Futs!$CH19 + $BN19, ""), "")</f>
        <v/>
      </c>
      <c r="BT19" s="111"/>
      <c r="BU19" s="400" t="str">
        <f>IFERROR(INDEX(ICE[], MATCH("ulsdccndiff" &amp; "Bal Month", ICE[LongCode], 0), MATCH("ICE Theoretical Price", ICE[#Headers], 0)), "")</f>
        <v/>
      </c>
      <c r="BV19" s="371" t="str">
        <f>IFERROR(INDEX(ICE[], MATCH("ulsdccndiff" &amp; "Bal Month", ICE[LongCode], 0), MATCH("Text", ICE[#Headers], 0)), "")</f>
        <v xml:space="preserve"> /  </v>
      </c>
      <c r="BW19" s="46" t="str">
        <f t="shared" ref="BW19:BW66" si="114">IFERROR(IF(AND(ISNUMBER($BU19), ISNUMBER($H19)), $BU19 - $H19, ""), "")</f>
        <v/>
      </c>
      <c r="BY19" s="114"/>
      <c r="BZ19" s="68" t="str">
        <f ca="1">IFERROR(IF(AND(ISNUMBER(Futs!$CG19), ISNUMBER($BU19)), Futs!$CG19 + $BU19, ""), "")</f>
        <v/>
      </c>
      <c r="CA19" s="46" t="str">
        <f ca="1">IFERROR(IF(AND(ISNUMBER(Futs!$CH19), ISNUMBER($BW19)), Futs!$CH19 + $BW19, ""), "")</f>
        <v/>
      </c>
      <c r="CC19" s="111"/>
      <c r="CD19" s="400" t="str">
        <f>IFERROR(INDEX(ICE[], MATCH("ulsdccmdiff" &amp; "Bal Month", ICE[LongCode], 0), MATCH("ICE Theoretical Price", ICE[#Headers], 0)), "")</f>
        <v/>
      </c>
      <c r="CE19" s="371" t="str">
        <f>IFERROR(INDEX(ICE[], MATCH("ulsdccmdiff" &amp; "Bal Month", ICE[LongCode], 0), MATCH("Text", ICE[#Headers], 0)), "")</f>
        <v xml:space="preserve"> /  {47.00} |20x</v>
      </c>
      <c r="CF19" s="46" t="str">
        <f t="shared" ref="CF19:CF66" si="115">IFERROR(IF(AND(ISNUMBER($CD19), ISNUMBER($I19)), $CD19 - $I19, ""), "")</f>
        <v/>
      </c>
      <c r="CH19" s="114"/>
      <c r="CI19" s="68" t="str">
        <f ca="1">IFERROR(IF(AND(ISNUMBER(Futs!$CG19), ISNUMBER($CD19)), Futs!$CG19 + $CD19, ""), "")</f>
        <v/>
      </c>
      <c r="CJ19" s="46" t="str">
        <f ca="1">IFERROR(IF(AND(ISNUMBER(Futs!$CH19), ISNUMBER($CF19)), Futs!$CH19 + $CF19, ""), "")</f>
        <v/>
      </c>
      <c r="CL19" s="111"/>
      <c r="CM19" s="400" t="str">
        <f>IFERROR(INDEX(ICE[], MATCH("go01bfrdiff" &amp; "Bal Month", ICE[LongCode], 0), MATCH("ICE Theoretical Price", ICE[#Headers], 0)), "")</f>
        <v/>
      </c>
      <c r="CN19" s="371" t="str">
        <f>IFERROR(INDEX(ICE[], MATCH("go01bfrdiff" &amp; "Bal Month", ICE[LongCode], 0), MATCH("Text", ICE[#Headers], 0)), "")</f>
        <v xml:space="preserve"> /  </v>
      </c>
      <c r="CO19" s="46" t="str">
        <f t="shared" ref="CO19:CO66" si="116">IFERROR(IF(AND(ISNUMBER($CM19), ISNUMBER($J19)), $CM19 - $J19, ""), "")</f>
        <v/>
      </c>
      <c r="CQ19" s="114"/>
      <c r="CR19" s="68" t="str">
        <f ca="1">IFERROR(IF(AND(ISNUMBER(Futs!$CG19), ISNUMBER($CM19)), Futs!$CG19 + $CM19, ""), "")</f>
        <v/>
      </c>
      <c r="CS19" s="46" t="str">
        <f ca="1">IFERROR(IF(AND(ISNUMBER(Futs!$CH19), ISNUMBER($CO19)), Futs!$CH19 + $CO19, ""), "")</f>
        <v/>
      </c>
      <c r="CU19" s="111"/>
      <c r="CV19" s="400" t="str">
        <f>IFERROR(INDEX(ICE[], MATCH("go01ccndiff" &amp; "Bal Month", ICE[LongCode], 0), MATCH("ICE Theoretical Price", ICE[#Headers], 0)), "")</f>
        <v/>
      </c>
      <c r="CW19" s="371" t="str">
        <f>IFERROR(INDEX(ICE[], MATCH("go01ccndiff" &amp; "Bal Month", ICE[LongCode], 0), MATCH("Text", ICE[#Headers], 0)), "")</f>
        <v xml:space="preserve"> /  </v>
      </c>
      <c r="CX19" s="46" t="str">
        <f t="shared" ref="CX19:CX66" si="117">IFERROR(IF(AND(ISNUMBER($CV19), ISNUMBER($K19)), $CV19 - $K19, ""), "")</f>
        <v/>
      </c>
      <c r="CZ19" s="114"/>
      <c r="DA19" s="68" t="str">
        <f ca="1">IFERROR(IF(AND(ISNUMBER(Futs!$CG19), ISNUMBER($CV19)), Futs!$CG19 + $CV19, ""), "")</f>
        <v/>
      </c>
      <c r="DB19" s="46" t="str">
        <f ca="1">IFERROR(IF(AND(ISNUMBER(Futs!$CH19), ISNUMBER($CX19)), Futs!$CH19 + $CX19, ""), "")</f>
        <v/>
      </c>
      <c r="DD19" s="111"/>
      <c r="DE19" s="400" t="str">
        <f>IFERROR(INDEX(ICE[], MATCH("go01ccmdiff" &amp; "Bal Month", ICE[LongCode], 0), MATCH("ICE Theoretical Price", ICE[#Headers], 0)), "")</f>
        <v/>
      </c>
      <c r="DF19" s="371" t="str">
        <f>IFERROR(INDEX(ICE[], MATCH("go01ccmdiff" &amp; "Bal Month", ICE[LongCode], 0), MATCH("Text", ICE[#Headers], 0)), "")</f>
        <v xml:space="preserve"> /  {16.00} |4x</v>
      </c>
      <c r="DG19" s="46" t="str">
        <f t="shared" ref="DG19:DG66" si="118">IFERROR(IF(AND(ISNUMBER($DE19), ISNUMBER($L19)), $DE19 - $L19, ""), "")</f>
        <v/>
      </c>
      <c r="DI19" s="114"/>
      <c r="DJ19" s="68" t="str">
        <f ca="1">IFERROR(IF(AND(ISNUMBER(Futs!$CG19), ISNUMBER($DE19)), Futs!$CG19 + $DE19, ""), "")</f>
        <v/>
      </c>
      <c r="DK19" s="46" t="str">
        <f ca="1">IFERROR(IF(AND(ISNUMBER(Futs!$CH19), ISNUMBER($DG19)), Futs!$CH19 + $DG19, ""), "")</f>
        <v/>
      </c>
      <c r="DM19" s="111"/>
      <c r="DN19" s="400" t="str">
        <f>IFERROR(INDEX(ICE[], MATCH("ulsdgc" &amp; "Bal Month", ICE[LongCode], 0), MATCH("ICE Theoretical Price", ICE[#Headers], 0))*100, "")</f>
        <v/>
      </c>
      <c r="DO19" s="371" t="str">
        <f>IFERROR(INDEX(ICE[], MATCH("ulsdgc" &amp; "Bal Month", ICE[LongCode], 0), MATCH("Text", ICE[#Headers], 0)), "")</f>
        <v xml:space="preserve"> /  </v>
      </c>
      <c r="DP19" s="46" t="str">
        <f t="shared" ref="DP19:DP66" si="119">IFERROR(IF(AND(ISNUMBER($DN19), ISNUMBER($N19)), $DN19 - $N19, ""), "")</f>
        <v/>
      </c>
      <c r="DR19" s="114"/>
      <c r="DS19" s="68" t="str">
        <f ca="1">IFERROR(IF(AND(ISNUMBER(Futs!$CK19), ISNUMBER($DN19)), Futs!$CK19 + $DN19, ""), "")</f>
        <v/>
      </c>
      <c r="DT19" s="46" t="str">
        <f ca="1">IFERROR(IF(AND(ISNUMBER(Futs!$CL19), ISNUMBER($DP19)), Futs!$CL19 + $DP19, ""), "")</f>
        <v/>
      </c>
      <c r="DV19" s="111"/>
    </row>
    <row r="20" spans="1:126" x14ac:dyDescent="0.25">
      <c r="A20" s="58">
        <f ca="1">EOMONTH($A19, 0) + 1</f>
        <v>46296</v>
      </c>
      <c r="B20" s="6">
        <f t="shared" ca="1" si="102"/>
        <v>2026</v>
      </c>
      <c r="C20" s="6" t="str">
        <f t="shared" ref="C20:C66" ca="1" si="120">"Q" &amp; INT((MONTH($A20) + 2) / 3)  &amp; TEXT($A20, "yy")</f>
        <v>Q426</v>
      </c>
      <c r="D20" s="28">
        <f ca="1">INDEX(ICE[], MATCH(D$18 &amp; TEXT(Mid!$A20, "mmmyy"), ICE[LongCode], 0), MATCH("Settle", ICE[#Headers], 0))</f>
        <v>79</v>
      </c>
      <c r="E20" s="28">
        <f ca="1">INDEX(ICE[], MATCH(E$18 &amp; TEXT(Mid!$A20, "mmmyy"), ICE[LongCode], 0), MATCH("Settle", ICE[#Headers], 0))</f>
        <v>-105.004</v>
      </c>
      <c r="F20" s="28">
        <f ca="1">INDEX(ICE[], MATCH(F$18 &amp; TEXT(Mid!$A20, "mmmyy"), ICE[LongCode], 0), MATCH("Settle", ICE[#Headers], 0))</f>
        <v>-2.25</v>
      </c>
      <c r="G20" s="28">
        <f ca="1">INDEX(ICE[], MATCH(G$18 &amp; TEXT(Mid!$A20, "mmmyy"), ICE[LongCode], 0), MATCH("Settle", ICE[#Headers], 0))</f>
        <v>28</v>
      </c>
      <c r="H20" s="28">
        <f ca="1">INDEX(ICE[], MATCH(H$18 &amp; TEXT(Mid!$A20, "mmmyy"), ICE[LongCode], 0), MATCH("Settle", ICE[#Headers], 0))</f>
        <v>41</v>
      </c>
      <c r="I20" s="28">
        <f ca="1">INDEX(ICE[], MATCH(I$18 &amp; TEXT(Mid!$A20, "mmmyy"), ICE[LongCode], 0), MATCH("Settle", ICE[#Headers], 0))</f>
        <v>44</v>
      </c>
      <c r="J20" s="28">
        <f ca="1">INDEX(ICE[], MATCH(J$18 &amp; TEXT(Mid!$A20, "mmmyy"), ICE[LongCode], 0), MATCH("Settle", ICE[#Headers], 0))</f>
        <v>-50</v>
      </c>
      <c r="K20" s="28">
        <f ca="1">INDEX(ICE[], MATCH(K$18 &amp; TEXT(Mid!$A20, "mmmyy"), ICE[LongCode], 0), MATCH("Settle", ICE[#Headers], 0))</f>
        <v>-14</v>
      </c>
      <c r="L20" s="28">
        <f ca="1">INDEX(ICE[], MATCH(L$18 &amp; TEXT(Mid!$A20, "mmmyy"), ICE[LongCode], 0), MATCH("Settle", ICE[#Headers], 0))</f>
        <v>15</v>
      </c>
      <c r="M20" s="28">
        <f ca="1">INDEX(ICE[], MATCH(M$18 &amp; TEXT(Mid!$A20, "mmmyy"), ICE[LongCode], 0), MATCH("Settle", ICE[#Headers], 0))</f>
        <v>-9.56</v>
      </c>
      <c r="N20" s="28">
        <f ca="1">INDEX(ICE[], MATCH(N$18 &amp; TEXT(Mid!$A20, "mmmyy"), ICE[LongCode], 0), MATCH("Settle", ICE[#Headers], 0))*100</f>
        <v>-10.500000000000002</v>
      </c>
      <c r="O20" s="397" t="str">
        <f ca="1">IFERROR(INDEX(ICE[], MATCH("jetccndiff" &amp; TEXT(Crd!$A20, "mmmyy"), ICE[LongCode], 0), MATCH("ICE Theoretical Price", ICE[#Headers], 0)), "")</f>
        <v/>
      </c>
      <c r="P20" s="372" t="str">
        <f ca="1">IFERROR(INDEX(ICE[], MATCH("jetccndiff" &amp; TEXT(Mid!$A20, "mmmyy"), ICE[LongCode], 0), MATCH("Text", ICE[#Headers], 0)), "")</f>
        <v>76.50 / 88.00 {87.00} |140x</v>
      </c>
      <c r="Q20" s="46" t="str">
        <f t="shared" ca="1" si="103"/>
        <v/>
      </c>
      <c r="R20" s="47" t="str">
        <f t="shared" ref="R20:R66" ca="1" si="121">IF(AND(ISNUMBER($O19), ISNUMBER($O20)), $O19 - $O20, "")</f>
        <v/>
      </c>
      <c r="S20" s="114" t="str">
        <f ca="1">IF(AND(ISNUMBER($Q19), ISNUMBER($Q20)), $Q19 - $Q20, "")</f>
        <v/>
      </c>
      <c r="T20" s="49" t="str">
        <f ca="1">IFERROR(IF(AND(ISNUMBER(Futs!$CG20), ISNUMBER($O20)), Futs!$CG20 + $O20, ""), "")</f>
        <v/>
      </c>
      <c r="U20" s="46" t="str">
        <f ca="1">IFERROR(IF(AND(ISNUMBER(Futs!$CH20), ISNUMBER($Q20)), Futs!$CH20 + $Q20, ""), "")</f>
        <v/>
      </c>
      <c r="V20" s="47" t="str">
        <f ca="1">IF(AND(ISNUMBER($T19), ISNUMBER($T20)), $T19 - $T20, "")</f>
        <v/>
      </c>
      <c r="W20" s="46" t="str">
        <f ca="1">IF(AND(ISNUMBER($U19), ISNUMBER($U20)), $U19 - $U20, "")</f>
        <v/>
      </c>
      <c r="X20" s="427" t="str">
        <f ca="1">IFERROR(IF(AND(ISNUMBER(Futs!$CC20), ISNUMBER($T20)), $T20/7.88 - Futs!$CC20, ""), "")</f>
        <v/>
      </c>
      <c r="Y20" s="46" t="str">
        <f ca="1">IFERROR(IF(AND(ISNUMBER(Futs!$DV20), ISNUMBER($Q20)), Futs!$DV20 + $Q20/7.88, ""), "")</f>
        <v/>
      </c>
      <c r="Z20" s="47" t="str">
        <f ca="1">IF(AND(ISNUMBER($X19), ISNUMBER($X20)), $X19 - $X20, "")</f>
        <v/>
      </c>
      <c r="AA20" s="111" t="str">
        <f ca="1">IF(AND(ISNUMBER($Y19), ISNUMBER($Y20)), $Y19 - $Y20, "")</f>
        <v/>
      </c>
      <c r="AB20" s="400" t="str">
        <f ca="1">IFERROR(INDEX(ICE[], MATCH("goew" &amp; TEXT(Crd!$A20, "mmmyy"), ICE[LongCode], 0), MATCH("ICE Theoretical Price", ICE[#Headers], 0)), "")</f>
        <v/>
      </c>
      <c r="AC20" s="372" t="str">
        <f ca="1">IFERROR(INDEX(ICE[], MATCH("goew" &amp; TEXT(Mid!$A20, "mmmyy"), ICE[LongCode], 0), MATCH("Text", ICE[#Headers], 0)), "")</f>
        <v>-109.00 / -104.50 {-105.25} |1,124x</v>
      </c>
      <c r="AD20" s="46" t="str">
        <f t="shared" ca="1" si="104"/>
        <v/>
      </c>
      <c r="AE20" s="68" t="str">
        <f ca="1">IF(AND(ISNUMBER($AB19), ISNUMBER($AB20)), $AB19 - $AB20, "")</f>
        <v/>
      </c>
      <c r="AF20" s="46" t="str">
        <f ca="1">IF(AND(ISNUMBER($AD19), ISNUMBER($AD20)), $AD19 - $AD20, "")</f>
        <v/>
      </c>
      <c r="AG20" s="265" t="str">
        <f ca="1">IFERROR(IF(AND(ISNUMBER(Futs!$BM20), ISNUMBER($AH20)), $AH20*7.45 - Futs!$BM20, ""), "")</f>
        <v/>
      </c>
      <c r="AH20" s="187" t="str">
        <f ca="1">IFERROR(IF(AND(ISNUMBER(Futs!$CG20), ISNUMBER($AB20)), (Futs!$CG20 + $AB20)/7.45, ""), "")</f>
        <v/>
      </c>
      <c r="AI20" s="46" t="str">
        <f ca="1">IFERROR(IF(AND(ISNUMBER(Futs!$CH20), ISNUMBER($AD20)), (Futs!$CH20 + $AD20)/7.45, ""), "")</f>
        <v/>
      </c>
      <c r="AJ20" s="68" t="str">
        <f ca="1">IF(AND(ISNUMBER($AH19), ISNUMBER($AH20)), $AH19 - $AH20, "")</f>
        <v/>
      </c>
      <c r="AK20" s="364" t="str">
        <f ca="1">IFERROR(INDEX(ICE[], MATCH("gosing" &amp; "Bal Month" &amp; "/" &amp; TEXT(Crd!$A20, "mmmyy"), ICE[LongCode], 0), MATCH("Text", ICE[#Headers], 0)), "")</f>
        <v/>
      </c>
      <c r="AL20" s="46" t="str">
        <f ca="1">IF(AND(ISNUMBER($AI19), ISNUMBER($AI20)), $AI19 - $AI20, "")</f>
        <v/>
      </c>
      <c r="AM20" s="427" t="str">
        <f ca="1">IFERROR(IF(AND(ISNUMBER(Futs!$CC20), ISNUMBER($AH20)), $AH20 - Futs!$CC20, ""), "")</f>
        <v/>
      </c>
      <c r="AN20" s="46" t="str">
        <f ca="1">IFERROR(IF(AND(ISNUMBER(Futs!$DV20), ISNUMBER($AD20)), $AD20/7.45 + Futs!$DV20, ""), "")</f>
        <v/>
      </c>
      <c r="AO20" s="47" t="str">
        <f ca="1">IF(AND(ISNUMBER($AM19), ISNUMBER($AM20)), $AM19 - $AM20, "")</f>
        <v/>
      </c>
      <c r="AP20" s="111" t="str">
        <f ca="1">IF(AND(ISNUMBER($AN19), ISNUMBER($AN20)), $AN19 - $AN20, "")</f>
        <v/>
      </c>
      <c r="AQ20" s="400">
        <f t="shared" ca="1" si="105"/>
        <v>-9.56</v>
      </c>
      <c r="AR20" s="46">
        <f t="shared" ca="1" si="106"/>
        <v>0</v>
      </c>
      <c r="AS20" s="68">
        <f ca="1">IF(AND(ISNUMBER($AQ19), ISNUMBER($AQ20)), $AQ19 - $AQ20, "")</f>
        <v>-0.40799999999998882</v>
      </c>
      <c r="AT20" s="46">
        <f ca="1">IF(AND(ISNUMBER($AR19), ISNUMBER($AR20)), $AR19 - $AR20, "")</f>
        <v>0</v>
      </c>
      <c r="AU20" s="271" t="str">
        <f t="shared" ca="1" si="107"/>
        <v/>
      </c>
      <c r="AV20" s="46" t="str">
        <f t="shared" ca="1" si="108"/>
        <v/>
      </c>
      <c r="AW20" s="68" t="str">
        <f ca="1">IF(AND(ISNUMBER($AU19), ISNUMBER($AU20)), $AU19 - $AU20, "")</f>
        <v/>
      </c>
      <c r="AX20" s="111" t="str">
        <f ca="1">IF(AND(ISNUMBER($AV19), ISNUMBER($AV20)), $AV19 - $AV20, "")</f>
        <v/>
      </c>
      <c r="AY20" s="400" t="str">
        <f ca="1">IFERROR(INDEX(ICE[], MATCH("regrade" &amp; TEXT(Crd!$A20, "mmmyy"), ICE[LongCode], 0), MATCH("ICE Theoretical Price", ICE[#Headers], 0)), "")</f>
        <v/>
      </c>
      <c r="AZ20" s="372" t="str">
        <f ca="1">IFERROR(INDEX(ICE[], MATCH("regrade" &amp; TEXT(Mid!$A20, "mmmyy"), ICE[LongCode], 0), MATCH("Text", ICE[#Headers], 0)), "")</f>
        <v>-1.95 / -1.60 {-1.60} |470x</v>
      </c>
      <c r="BA20" s="46" t="str">
        <f t="shared" ca="1" si="109"/>
        <v/>
      </c>
      <c r="BB20" s="68" t="str">
        <f ca="1">IF(AND(ISNUMBER($AY19), ISNUMBER($AY20)), $AY19 - $AY20, "")</f>
        <v/>
      </c>
      <c r="BC20" s="114" t="str">
        <f ca="1">IF(AND(ISNUMBER($BA19), ISNUMBER($BA20)), $BA19 - $BA20, "")</f>
        <v/>
      </c>
      <c r="BD20" s="68" t="str">
        <f t="shared" ca="1" si="110"/>
        <v/>
      </c>
      <c r="BE20" s="46" t="str">
        <f t="shared" ca="1" si="111"/>
        <v/>
      </c>
      <c r="BF20" s="68" t="str">
        <f ca="1">IF(AND(ISNUMBER($BD19), ISNUMBER($BD20)), $BD19 - $BD20, "")</f>
        <v/>
      </c>
      <c r="BG20" s="111" t="str">
        <f ca="1">IF(AND(ISNUMBER($BE19), ISNUMBER($BE20)), $BE19 - $BE20, "")</f>
        <v/>
      </c>
      <c r="BH20" s="68" t="str">
        <f t="shared" ref="BH20:BH66" ca="1" si="122">IFERROR(IF(AND(ISNUMBER($BD20), ISNUMBER($T20)), $BD20 - $T20/7.88, ""), "")</f>
        <v/>
      </c>
      <c r="BI20" s="46" t="str">
        <f t="shared" ca="1" si="112"/>
        <v/>
      </c>
      <c r="BJ20" s="68" t="str">
        <f ca="1">IF(AND(ISNUMBER($BD19), ISNUMBER($BD20)), $BD19 - $BD20, "")</f>
        <v/>
      </c>
      <c r="BK20" s="111" t="str">
        <f ca="1">IF(AND(ISNUMBER($BE19), ISNUMBER($BE20)), $BE19 - $BE20, "")</f>
        <v/>
      </c>
      <c r="BL20" s="400" t="str">
        <f ca="1">IFERROR(INDEX(ICE[], MATCH("ulsdaradiff" &amp; TEXT(Crd!$A20, "mmmyy"), ICE[LongCode], 0), MATCH("ICE Theoretical Price", ICE[#Headers], 0)), "")</f>
        <v/>
      </c>
      <c r="BM20" s="372" t="str">
        <f ca="1">IFERROR(INDEX(ICE[], MATCH("ulsdaradiff" &amp; TEXT(Mid!$A20, "mmmyy"), ICE[LongCode], 0), MATCH("Text", ICE[#Headers], 0)), "")</f>
        <v xml:space="preserve"> /  {30.75} |5x</v>
      </c>
      <c r="BN20" s="46" t="str">
        <f t="shared" ca="1" si="113"/>
        <v/>
      </c>
      <c r="BO20" s="68" t="str">
        <f ca="1">IF(AND(ISNUMBER($BL19), ISNUMBER($BL20)), $BL19 - $BL20, "")</f>
        <v/>
      </c>
      <c r="BP20" s="114" t="str">
        <f ca="1">IF(AND(ISNUMBER($BN19), ISNUMBER($BN20)), $BN19 - $BN20, "")</f>
        <v/>
      </c>
      <c r="BQ20" s="68" t="str">
        <f ca="1">IFERROR(IF(AND(ISNUMBER(Futs!$CG20), ISNUMBER($BL20)), Futs!$CG20 + $BL20, ""), "")</f>
        <v/>
      </c>
      <c r="BR20" s="46" t="str">
        <f ca="1">IFERROR(IF(AND(ISNUMBER(Futs!$CH20), ISNUMBER($BN20)), Futs!$CH20 + $BN20, ""), "")</f>
        <v/>
      </c>
      <c r="BS20" s="68" t="str">
        <f ca="1">IF(AND(ISNUMBER($BQ19), ISNUMBER($BQ20)), $BQ19 - $BQ20, "")</f>
        <v/>
      </c>
      <c r="BT20" s="111" t="str">
        <f ca="1">IF(AND(ISNUMBER($BR19), ISNUMBER($BR20)), $BR19 - $BR20, "")</f>
        <v/>
      </c>
      <c r="BU20" s="400" t="str">
        <f ca="1">IFERROR(INDEX(ICE[], MATCH("ulsdccndiff" &amp; TEXT(Crd!$A20, "mmmyy"), ICE[LongCode], 0), MATCH("ICE Theoretical Price", ICE[#Headers], 0)), "")</f>
        <v/>
      </c>
      <c r="BV20" s="372" t="str">
        <f ca="1">IFERROR(INDEX(ICE[], MATCH("ulsdccndiff" &amp; TEXT(Mid!$A20, "mmmyy"), ICE[LongCode], 0), MATCH("Text", ICE[#Headers], 0)), "")</f>
        <v xml:space="preserve"> /  {41.75} |23x</v>
      </c>
      <c r="BW20" s="46" t="str">
        <f t="shared" ca="1" si="114"/>
        <v/>
      </c>
      <c r="BX20" s="68" t="str">
        <f ca="1">IF(AND(ISNUMBER($BU19), ISNUMBER($BU20)), $BU19 - $BU20, "")</f>
        <v/>
      </c>
      <c r="BY20" s="114" t="str">
        <f ca="1">IF(AND(ISNUMBER($BW19), ISNUMBER($BW20)), $BW19 - $BW20, "")</f>
        <v/>
      </c>
      <c r="BZ20" s="68" t="str">
        <f ca="1">IFERROR(IF(AND(ISNUMBER(Futs!$CG20), ISNUMBER($BU20)), Futs!$CG20 + $BU20, ""), "")</f>
        <v/>
      </c>
      <c r="CA20" s="46" t="str">
        <f ca="1">IFERROR(IF(AND(ISNUMBER(Futs!$CH20), ISNUMBER($BW20)), Futs!$CH20 + $BW20, ""), "")</f>
        <v/>
      </c>
      <c r="CB20" s="68" t="str">
        <f ca="1">IF(AND(ISNUMBER($BZ19), ISNUMBER($BZ20)), $BZ19 - $BZ20, "")</f>
        <v/>
      </c>
      <c r="CC20" s="111" t="str">
        <f ca="1">IF(AND(ISNUMBER($CA19), ISNUMBER($CA20)), $CA19 - $CA20, "")</f>
        <v/>
      </c>
      <c r="CD20" s="400" t="str">
        <f ca="1">IFERROR(INDEX(ICE[], MATCH("ulsdccmdiff" &amp; TEXT(Crd!$A20, "mmmyy"), ICE[LongCode], 0), MATCH("ICE Theoretical Price", ICE[#Headers], 0)), "")</f>
        <v/>
      </c>
      <c r="CE20" s="372" t="str">
        <f ca="1">IFERROR(INDEX(ICE[], MATCH("ulsdccmdiff" &amp; TEXT(Mid!$A20, "mmmyy"), ICE[LongCode], 0), MATCH("Text", ICE[#Headers], 0)), "")</f>
        <v xml:space="preserve"> /  </v>
      </c>
      <c r="CF20" s="46" t="str">
        <f t="shared" ca="1" si="115"/>
        <v/>
      </c>
      <c r="CG20" s="68" t="str">
        <f ca="1">IF(AND(ISNUMBER($CD19), ISNUMBER($CD20)), $CD19 - $CD20, "")</f>
        <v/>
      </c>
      <c r="CH20" s="114" t="str">
        <f ca="1">IF(AND(ISNUMBER($CF19), ISNUMBER($CF20)), $CF19 - $CF20, "")</f>
        <v/>
      </c>
      <c r="CI20" s="68" t="str">
        <f ca="1">IFERROR(IF(AND(ISNUMBER(Futs!$CG20), ISNUMBER($CD20)), Futs!$CG20 + $CD20, ""), "")</f>
        <v/>
      </c>
      <c r="CJ20" s="67" t="str">
        <f ca="1">IFERROR(IF(AND(ISNUMBER(Futs!$CH20), ISNUMBER($CF20)), Futs!$CH20 + $CF20, ""), "")</f>
        <v/>
      </c>
      <c r="CK20" s="68" t="str">
        <f ca="1">IF(AND(ISNUMBER($CI19), ISNUMBER($CI20)), $CI19 - $CI20, "")</f>
        <v/>
      </c>
      <c r="CL20" s="111" t="str">
        <f ca="1">IF(AND(ISNUMBER($CJ19), ISNUMBER($CJ20)), $CJ19 - $CJ20, "")</f>
        <v/>
      </c>
      <c r="CM20" s="400" t="str">
        <f ca="1">IFERROR(INDEX(ICE[], MATCH("go01bfrdiff" &amp; TEXT(Crd!$A20, "mmmyy"), ICE[LongCode], 0), MATCH("ICE Theoretical Price", ICE[#Headers], 0)), "")</f>
        <v/>
      </c>
      <c r="CN20" s="372" t="str">
        <f ca="1">IFERROR(INDEX(ICE[], MATCH("go01bfrdiff" &amp; TEXT(Mid!$A20, "mmmyy"), ICE[LongCode], 0), MATCH("Text", ICE[#Headers], 0)), "")</f>
        <v xml:space="preserve"> /  </v>
      </c>
      <c r="CO20" s="46" t="str">
        <f t="shared" ca="1" si="116"/>
        <v/>
      </c>
      <c r="CP20" s="68" t="str">
        <f ca="1">IF(AND(ISNUMBER($CM19), ISNUMBER($CM20)), $CM19 - $CM20, "")</f>
        <v/>
      </c>
      <c r="CQ20" s="114" t="str">
        <f ca="1">IF(AND(ISNUMBER($CO19), ISNUMBER($CO20)), $CO19 - $CO20, "")</f>
        <v/>
      </c>
      <c r="CR20" s="68" t="str">
        <f ca="1">IFERROR(IF(AND(ISNUMBER(Futs!$CG20), ISNUMBER($CM20)), Futs!$CG20 + $CM20, ""), "")</f>
        <v/>
      </c>
      <c r="CS20" s="46" t="str">
        <f ca="1">IFERROR(IF(AND(ISNUMBER(Futs!$CH20), ISNUMBER($CO20)), Futs!$CH20 + $CO20, ""), "")</f>
        <v/>
      </c>
      <c r="CT20" s="68" t="str">
        <f ca="1">IF(AND(ISNUMBER($CR19), ISNUMBER($CR20)), $CR19 - $CR20, "")</f>
        <v/>
      </c>
      <c r="CU20" s="111" t="str">
        <f ca="1">IF(AND(ISNUMBER($CS19), ISNUMBER($CS20)), $CS19 - $CS20, "")</f>
        <v/>
      </c>
      <c r="CV20" s="400" t="str">
        <f ca="1">IFERROR(INDEX(ICE[], MATCH("go01ccndiff" &amp; TEXT(Crd!$A20, "mmmyy"), ICE[LongCode], 0), MATCH("ICE Theoretical Price", ICE[#Headers], 0)), "")</f>
        <v/>
      </c>
      <c r="CW20" s="372" t="str">
        <f ca="1">IFERROR(INDEX(ICE[], MATCH("go01ccndiff" &amp; TEXT(Mid!$A20, "mmmyy"), ICE[LongCode], 0), MATCH("Text", ICE[#Headers], 0)), "")</f>
        <v xml:space="preserve"> /  </v>
      </c>
      <c r="CX20" s="46" t="str">
        <f t="shared" ca="1" si="117"/>
        <v/>
      </c>
      <c r="CY20" s="68" t="str">
        <f ca="1">IF(AND(ISNUMBER($CV19), ISNUMBER($CV20)), $CV19 - $CV20, "")</f>
        <v/>
      </c>
      <c r="CZ20" s="114" t="str">
        <f ca="1">IF(AND(ISNUMBER($CX19), ISNUMBER($CX20)), $CX19 - $CX20, "")</f>
        <v/>
      </c>
      <c r="DA20" s="68" t="str">
        <f ca="1">IFERROR(IF(AND(ISNUMBER(Futs!$CG20), ISNUMBER($CV20)), Futs!$CG20 + $CV20, ""), "")</f>
        <v/>
      </c>
      <c r="DB20" s="46" t="str">
        <f ca="1">IFERROR(IF(AND(ISNUMBER(Futs!$CH20), ISNUMBER($CX20)), Futs!$CH20 + $CX20, ""), "")</f>
        <v/>
      </c>
      <c r="DC20" s="68" t="str">
        <f ca="1">IF(AND(ISNUMBER($DA19), ISNUMBER($DA20)), $DA19 - $DA20, "")</f>
        <v/>
      </c>
      <c r="DD20" s="111" t="str">
        <f ca="1">IF(AND(ISNUMBER($DB19), ISNUMBER($DB20)), $DB19 - $DB20, "")</f>
        <v/>
      </c>
      <c r="DE20" s="400" t="str">
        <f ca="1">IFERROR(INDEX(ICE[], MATCH("go01ccmdiff" &amp; TEXT(Crd!$A20, "mmmyy"), ICE[LongCode], 0), MATCH("ICE Theoretical Price", ICE[#Headers], 0)), "")</f>
        <v/>
      </c>
      <c r="DF20" s="372" t="str">
        <f ca="1">IFERROR(INDEX(ICE[], MATCH("go01ccmdiff" &amp; TEXT(Mid!$A20, "mmmyy"), ICE[LongCode], 0), MATCH("Text", ICE[#Headers], 0)), "")</f>
        <v xml:space="preserve"> /  {12.00} |4x</v>
      </c>
      <c r="DG20" s="46" t="str">
        <f t="shared" ca="1" si="118"/>
        <v/>
      </c>
      <c r="DH20" s="68" t="str">
        <f ca="1">IF(AND(ISNUMBER($DE19), ISNUMBER($DE20)), $DE19 - $DE20, "")</f>
        <v/>
      </c>
      <c r="DI20" s="114" t="str">
        <f ca="1">IF(AND(ISNUMBER($DG19), ISNUMBER($DG20)), $DG19 - $DG20, "")</f>
        <v/>
      </c>
      <c r="DJ20" s="68" t="str">
        <f ca="1">IFERROR(IF(AND(ISNUMBER(Futs!$CG20), ISNUMBER($DE20)), Futs!$CG20 + $DE20, ""), "")</f>
        <v/>
      </c>
      <c r="DK20" s="46" t="str">
        <f ca="1">IFERROR(IF(AND(ISNUMBER(Futs!$CH20), ISNUMBER($DG20)), Futs!$CH20 + $DG20, ""), "")</f>
        <v/>
      </c>
      <c r="DL20" s="68" t="str">
        <f ca="1">IF(AND(ISNUMBER($DJ19), ISNUMBER($DJ20)), $DJ19 - $DJ20, "")</f>
        <v/>
      </c>
      <c r="DM20" s="111" t="str">
        <f ca="1">IF(AND(ISNUMBER($DK19), ISNUMBER($DK20)), $DK19 - $DK20, "")</f>
        <v/>
      </c>
      <c r="DN20" s="400" t="str">
        <f ca="1">IFERROR(INDEX(ICE[], MATCH("ulsdgc" &amp; TEXT(Crd!$A20, "mmmyy"), ICE[LongCode], 0), MATCH("ICE Theoretical Price", ICE[#Headers], 0))*100, "")</f>
        <v/>
      </c>
      <c r="DO20" s="372" t="str">
        <f ca="1">IFERROR(INDEX(ICE[], MATCH("ulsdgc" &amp; TEXT(Mid!$A20, "mmmyy"), ICE[LongCode], 0), MATCH("Text", ICE[#Headers], 0)), "")</f>
        <v xml:space="preserve"> /  </v>
      </c>
      <c r="DP20" s="46" t="str">
        <f t="shared" ca="1" si="119"/>
        <v/>
      </c>
      <c r="DQ20" s="68" t="str">
        <f ca="1">IF(AND(ISNUMBER($DN19), ISNUMBER($DN20)), $DN19 - $DN20, "")</f>
        <v/>
      </c>
      <c r="DR20" s="114" t="str">
        <f ca="1">IF(AND(ISNUMBER($DP19), ISNUMBER($DP20)), $DP19 - $DP20, "")</f>
        <v/>
      </c>
      <c r="DS20" s="68" t="str">
        <f ca="1">IFERROR(IF(AND(ISNUMBER(Futs!$CK20), ISNUMBER($DN20)), Futs!$CK20 + $DN20, ""), "")</f>
        <v/>
      </c>
      <c r="DT20" s="46" t="str">
        <f ca="1">IFERROR(IF(AND(ISNUMBER(Futs!$CL20), ISNUMBER($DP20)), Futs!$CL20 + $DP20, ""), "")</f>
        <v/>
      </c>
      <c r="DU20" s="68" t="str">
        <f ca="1">IF(AND(ISNUMBER($DS19), ISNUMBER($DS20)), $DS19 - $DS20, "")</f>
        <v/>
      </c>
      <c r="DV20" s="111" t="str">
        <f ca="1">IF(AND(ISNUMBER($DT19), ISNUMBER($DT20)), $DT19 - $DT20, "")</f>
        <v/>
      </c>
    </row>
    <row r="21" spans="1:126" x14ac:dyDescent="0.25">
      <c r="A21" s="58">
        <f t="shared" ref="A21:A66" ca="1" si="123">EOMONTH($A20, 0) + 1</f>
        <v>46327</v>
      </c>
      <c r="B21" s="6">
        <f t="shared" ca="1" si="102"/>
        <v>2026</v>
      </c>
      <c r="C21" s="6" t="str">
        <f t="shared" ca="1" si="120"/>
        <v>Q426</v>
      </c>
      <c r="D21" s="28">
        <f ca="1">INDEX(ICE[], MATCH(D$18 &amp; TEXT(Mid!$A21, "mmmyy"), ICE[LongCode], 0), MATCH("Settle", ICE[#Headers], 0))</f>
        <v>102</v>
      </c>
      <c r="E21" s="28">
        <f ca="1">INDEX(ICE[], MATCH(E$18 &amp; TEXT(Mid!$A21, "mmmyy"), ICE[LongCode], 0), MATCH("Settle", ICE[#Headers], 0))</f>
        <v>-86.994</v>
      </c>
      <c r="F21" s="28">
        <f ca="1">INDEX(ICE[], MATCH(F$18 &amp; TEXT(Mid!$A21, "mmmyy"), ICE[LongCode], 0), MATCH("Settle", ICE[#Headers], 0))</f>
        <v>0.5</v>
      </c>
      <c r="G21" s="28">
        <f ca="1">INDEX(ICE[], MATCH(G$18 &amp; TEXT(Mid!$A21, "mmmyy"), ICE[LongCode], 0), MATCH("Settle", ICE[#Headers], 0))</f>
        <v>26.5</v>
      </c>
      <c r="H21" s="28">
        <f ca="1">INDEX(ICE[], MATCH(H$18 &amp; TEXT(Mid!$A21, "mmmyy"), ICE[LongCode], 0), MATCH("Settle", ICE[#Headers], 0))</f>
        <v>38.5</v>
      </c>
      <c r="I21" s="28">
        <f ca="1">INDEX(ICE[], MATCH(I$18 &amp; TEXT(Mid!$A21, "mmmyy"), ICE[LongCode], 0), MATCH("Settle", ICE[#Headers], 0))</f>
        <v>44</v>
      </c>
      <c r="J21" s="28">
        <f ca="1">INDEX(ICE[], MATCH(J$18 &amp; TEXT(Mid!$A21, "mmmyy"), ICE[LongCode], 0), MATCH("Settle", ICE[#Headers], 0))</f>
        <v>-45</v>
      </c>
      <c r="K21" s="28">
        <f ca="1">INDEX(ICE[], MATCH(K$18 &amp; TEXT(Mid!$A21, "mmmyy"), ICE[LongCode], 0), MATCH("Settle", ICE[#Headers], 0))</f>
        <v>-14</v>
      </c>
      <c r="L21" s="28">
        <f ca="1">INDEX(ICE[], MATCH(L$18 &amp; TEXT(Mid!$A21, "mmmyy"), ICE[LongCode], 0), MATCH("Settle", ICE[#Headers], 0))</f>
        <v>13</v>
      </c>
      <c r="M21" s="28">
        <f ca="1">INDEX(ICE[], MATCH(M$18 &amp; TEXT(Mid!$A21, "mmmyy"), ICE[LongCode], 0), MATCH("Settle", ICE[#Headers], 0))</f>
        <v>-9.1</v>
      </c>
      <c r="N21" s="28">
        <f ca="1">INDEX(ICE[], MATCH(N$18 &amp; TEXT(Mid!$A21, "mmmyy"), ICE[LongCode], 0), MATCH("Settle", ICE[#Headers], 0))*100</f>
        <v>-14.500000000000002</v>
      </c>
      <c r="O21" s="397" t="str">
        <f ca="1">IFERROR(INDEX(ICE[], MATCH("jetccndiff" &amp; TEXT(Crd!$A21, "mmmyy"), ICE[LongCode], 0), MATCH("ICE Theoretical Price", ICE[#Headers], 0)), "")</f>
        <v/>
      </c>
      <c r="P21" s="372" t="str">
        <f ca="1">IFERROR(INDEX(ICE[], MATCH("jetccndiff" &amp; TEXT(Mid!$A21, "mmmyy"), ICE[LongCode], 0), MATCH("Text", ICE[#Headers], 0)), "")</f>
        <v xml:space="preserve">82.00 /  </v>
      </c>
      <c r="Q21" s="46" t="str">
        <f t="shared" ca="1" si="103"/>
        <v/>
      </c>
      <c r="R21" s="47" t="str">
        <f t="shared" ca="1" si="121"/>
        <v/>
      </c>
      <c r="S21" s="114" t="str">
        <f t="shared" ref="S21:S66" ca="1" si="124">IF(AND(ISNUMBER($Q20), ISNUMBER($Q21)), $Q20 - $Q21, "")</f>
        <v/>
      </c>
      <c r="T21" s="49" t="str">
        <f ca="1">IFERROR(IF(AND(ISNUMBER(Futs!$CG21), ISNUMBER($O21)), Futs!$CG21 + $O21, ""), "")</f>
        <v/>
      </c>
      <c r="U21" s="46" t="str">
        <f ca="1">IFERROR(IF(AND(ISNUMBER(Futs!$CH21), ISNUMBER($Q21)), Futs!$CH21 + $Q21, ""), "")</f>
        <v/>
      </c>
      <c r="V21" s="47" t="str">
        <f t="shared" ref="V21:V66" ca="1" si="125">IF(AND(ISNUMBER($T20), ISNUMBER($T21)), $T20 - $T21, "")</f>
        <v/>
      </c>
      <c r="W21" s="46" t="str">
        <f t="shared" ref="W21:W66" ca="1" si="126">IF(AND(ISNUMBER($U20), ISNUMBER($U21)), $U20 - $U21, "")</f>
        <v/>
      </c>
      <c r="X21" s="427" t="str">
        <f ca="1">IFERROR(IF(AND(ISNUMBER(Futs!$CC21), ISNUMBER($T21)), $T21/7.88 - Futs!$CC21, ""), "")</f>
        <v/>
      </c>
      <c r="Y21" s="46" t="str">
        <f ca="1">IFERROR(IF(AND(ISNUMBER(Futs!$DV21), ISNUMBER($Q21)), Futs!$DV21 + $Q21/7.88, ""), "")</f>
        <v/>
      </c>
      <c r="Z21" s="47" t="str">
        <f t="shared" ref="Z21:Z66" ca="1" si="127">IF(AND(ISNUMBER($X20), ISNUMBER($X21)), $X20 - $X21, "")</f>
        <v/>
      </c>
      <c r="AA21" s="111" t="str">
        <f t="shared" ref="AA21:AA66" ca="1" si="128">IF(AND(ISNUMBER($Y20), ISNUMBER($Y21)), $Y20 - $Y21, "")</f>
        <v/>
      </c>
      <c r="AB21" s="400" t="str">
        <f ca="1">IFERROR(INDEX(ICE[], MATCH("goew" &amp; TEXT(Crd!$A21, "mmmyy"), ICE[LongCode], 0), MATCH("ICE Theoretical Price", ICE[#Headers], 0)), "")</f>
        <v/>
      </c>
      <c r="AC21" s="372" t="str">
        <f ca="1">IFERROR(INDEX(ICE[], MATCH("goew" &amp; TEXT(Mid!$A21, "mmmyy"), ICE[LongCode], 0), MATCH("Text", ICE[#Headers], 0)), "")</f>
        <v>-95.00 / -87.00 {-92.50} |602x</v>
      </c>
      <c r="AD21" s="46" t="str">
        <f t="shared" ca="1" si="104"/>
        <v/>
      </c>
      <c r="AE21" s="68" t="str">
        <f t="shared" ref="AE21:AE66" ca="1" si="129">IF(AND(ISNUMBER($AB20), ISNUMBER($AB21)), $AB20 - $AB21, "")</f>
        <v/>
      </c>
      <c r="AF21" s="46" t="str">
        <f t="shared" ref="AF21:AF66" ca="1" si="130">IF(AND(ISNUMBER($AD20), ISNUMBER($AD21)), $AD20 - $AD21, "")</f>
        <v/>
      </c>
      <c r="AG21" s="265" t="str">
        <f ca="1">IFERROR(IF(AND(ISNUMBER(Futs!$BM21), ISNUMBER($AH21)), $AH21*7.45 - Futs!$BM21, ""), "")</f>
        <v/>
      </c>
      <c r="AH21" s="187" t="str">
        <f ca="1">IFERROR(IF(AND(ISNUMBER(Futs!$CG21), ISNUMBER($AB21)), (Futs!$CG21 + $AB21)/7.45, ""), "")</f>
        <v/>
      </c>
      <c r="AI21" s="46" t="str">
        <f ca="1">IFERROR(IF(AND(ISNUMBER(Futs!$CH21), ISNUMBER($AD21)), (Futs!$CH21 + $AD21)/7.45, ""), "")</f>
        <v/>
      </c>
      <c r="AJ21" s="68" t="str">
        <f t="shared" ref="AJ21:AJ66" ca="1" si="131">IF(AND(ISNUMBER($AH20), ISNUMBER($AH21)), $AH20 - $AH21, "")</f>
        <v/>
      </c>
      <c r="AK21" s="364" t="str">
        <f ca="1">IFERROR(INDEX(ICE[], MATCH("gosing" &amp; TEXT(Crd!$A20, "mmmyy") &amp; "/" &amp; TEXT(Crd!$A21, "mmmyy"), ICE[LongCode], 0), MATCH("Text", ICE[#Headers], 0)), "")</f>
        <v>6.25 / 6.40 {6.30} |885x</v>
      </c>
      <c r="AL21" s="46" t="str">
        <f t="shared" ref="AL21:AL66" ca="1" si="132">IF(AND(ISNUMBER($AI20), ISNUMBER($AI21)), $AI20 - $AI21, "")</f>
        <v/>
      </c>
      <c r="AM21" s="427" t="str">
        <f ca="1">IFERROR(IF(AND(ISNUMBER(Futs!$CC21), ISNUMBER($AH21)), $AH21 - Futs!$CC21, ""), "")</f>
        <v/>
      </c>
      <c r="AN21" s="46" t="str">
        <f ca="1">IFERROR(IF(AND(ISNUMBER(Futs!$DV21), ISNUMBER($AD21)), $AD21/7.45 + Futs!$DV21, ""), "")</f>
        <v/>
      </c>
      <c r="AO21" s="47" t="str">
        <f t="shared" ref="AO21:AO66" ca="1" si="133">IF(AND(ISNUMBER($AM20), ISNUMBER($AM21)), $AM20 - $AM21, "")</f>
        <v/>
      </c>
      <c r="AP21" s="111" t="str">
        <f t="shared" ref="AP21:AP66" ca="1" si="134">IF(AND(ISNUMBER($AN20), ISNUMBER($AN21)), $AN20 - $AN21, "")</f>
        <v/>
      </c>
      <c r="AQ21" s="400">
        <f t="shared" ca="1" si="105"/>
        <v>-9.1</v>
      </c>
      <c r="AR21" s="46">
        <f t="shared" ca="1" si="106"/>
        <v>0</v>
      </c>
      <c r="AS21" s="68">
        <f t="shared" ref="AS21:AS66" ca="1" si="135">IF(AND(ISNUMBER($AQ20), ISNUMBER($AQ21)), $AQ20 - $AQ21, "")</f>
        <v>-0.46000000000000085</v>
      </c>
      <c r="AT21" s="46">
        <f t="shared" ref="AT21:AT66" ca="1" si="136">IF(AND(ISNUMBER($AR20), ISNUMBER($AR21)), $AR20 - $AR21, "")</f>
        <v>0</v>
      </c>
      <c r="AU21" s="271" t="str">
        <f t="shared" ca="1" si="107"/>
        <v/>
      </c>
      <c r="AV21" s="46" t="str">
        <f t="shared" ca="1" si="108"/>
        <v/>
      </c>
      <c r="AW21" s="68" t="str">
        <f t="shared" ref="AW21:AW66" ca="1" si="137">IF(AND(ISNUMBER($AU20), ISNUMBER($AU21)), $AU20 - $AU21, "")</f>
        <v/>
      </c>
      <c r="AX21" s="111" t="str">
        <f t="shared" ref="AX21:AX66" ca="1" si="138">IF(AND(ISNUMBER($AV20), ISNUMBER($AV21)), $AV20 - $AV21, "")</f>
        <v/>
      </c>
      <c r="AY21" s="400" t="str">
        <f ca="1">IFERROR(INDEX(ICE[], MATCH("regrade" &amp; TEXT(Crd!$A21, "mmmyy"), ICE[LongCode], 0), MATCH("ICE Theoretical Price", ICE[#Headers], 0)), "")</f>
        <v/>
      </c>
      <c r="AZ21" s="372" t="str">
        <f ca="1">IFERROR(INDEX(ICE[], MATCH("regrade" &amp; TEXT(Mid!$A21, "mmmyy"), ICE[LongCode], 0), MATCH("Text", ICE[#Headers], 0)), "")</f>
        <v>0.15 / 1.65 {0.50} |100x</v>
      </c>
      <c r="BA21" s="46" t="str">
        <f t="shared" ca="1" si="109"/>
        <v/>
      </c>
      <c r="BB21" s="68" t="str">
        <f ca="1">IF(AND(ISNUMBER($AY20), ISNUMBER($AY21)), $AY20 - $AY21, "")</f>
        <v/>
      </c>
      <c r="BC21" s="114" t="str">
        <f t="shared" ref="BC21:BC66" ca="1" si="139">IF(AND(ISNUMBER($BA20), ISNUMBER($BA21)), $BA20 - $BA21, "")</f>
        <v/>
      </c>
      <c r="BD21" s="68" t="str">
        <f t="shared" ca="1" si="110"/>
        <v/>
      </c>
      <c r="BE21" s="46" t="str">
        <f t="shared" ca="1" si="111"/>
        <v/>
      </c>
      <c r="BF21" s="68" t="str">
        <f t="shared" ref="BF21:BF66" ca="1" si="140">IF(AND(ISNUMBER($BD20), ISNUMBER($BD21)), $BD20 - $BD21, "")</f>
        <v/>
      </c>
      <c r="BG21" s="111" t="str">
        <f t="shared" ref="BG21:BG66" ca="1" si="141">IF(AND(ISNUMBER($BE20), ISNUMBER($BE21)), $BE20 - $BE21, "")</f>
        <v/>
      </c>
      <c r="BH21" s="68" t="str">
        <f t="shared" ca="1" si="122"/>
        <v/>
      </c>
      <c r="BI21" s="46" t="str">
        <f t="shared" ca="1" si="112"/>
        <v/>
      </c>
      <c r="BJ21" s="68" t="str">
        <f t="shared" ref="BJ21:BJ66" ca="1" si="142">IF(AND(ISNUMBER($BD20), ISNUMBER($BD21)), $BD20 - $BD21, "")</f>
        <v/>
      </c>
      <c r="BK21" s="111" t="str">
        <f t="shared" ref="BK21:BK66" ca="1" si="143">IF(AND(ISNUMBER($BE20), ISNUMBER($BE21)), $BE20 - $BE21, "")</f>
        <v/>
      </c>
      <c r="BL21" s="400" t="str">
        <f ca="1">IFERROR(INDEX(ICE[], MATCH("ulsdaradiff" &amp; TEXT(Crd!$A21, "mmmyy"), ICE[LongCode], 0), MATCH("ICE Theoretical Price", ICE[#Headers], 0)), "")</f>
        <v/>
      </c>
      <c r="BM21" s="372" t="str">
        <f ca="1">IFERROR(INDEX(ICE[], MATCH("ulsdaradiff" &amp; TEXT(Mid!$A21, "mmmyy"), ICE[LongCode], 0), MATCH("Text", ICE[#Headers], 0)), "")</f>
        <v xml:space="preserve"> /  </v>
      </c>
      <c r="BN21" s="46" t="str">
        <f t="shared" ca="1" si="113"/>
        <v/>
      </c>
      <c r="BO21" s="68" t="str">
        <f t="shared" ref="BO21:BO66" ca="1" si="144">IF(AND(ISNUMBER($BL20), ISNUMBER($BL21)), $BL20 - $BL21, "")</f>
        <v/>
      </c>
      <c r="BP21" s="114" t="str">
        <f t="shared" ref="BP21:BP66" ca="1" si="145">IF(AND(ISNUMBER($BN20), ISNUMBER($BN21)), $BN20 - $BN21, "")</f>
        <v/>
      </c>
      <c r="BQ21" s="68" t="str">
        <f ca="1">IFERROR(IF(AND(ISNUMBER(Futs!$CG21), ISNUMBER($BL21)), Futs!$CG21 + $BL21, ""), "")</f>
        <v/>
      </c>
      <c r="BR21" s="46" t="str">
        <f ca="1">IFERROR(IF(AND(ISNUMBER(Futs!$CH21), ISNUMBER($BN21)), Futs!$CH21 + $BN21, ""), "")</f>
        <v/>
      </c>
      <c r="BS21" s="68" t="str">
        <f t="shared" ref="BS21:BS66" ca="1" si="146">IF(AND(ISNUMBER($BQ20), ISNUMBER($BQ21)), $BQ20 - $BQ21, "")</f>
        <v/>
      </c>
      <c r="BT21" s="111" t="str">
        <f t="shared" ref="BT21:BT66" ca="1" si="147">IF(AND(ISNUMBER($BR20), ISNUMBER($BR21)), $BR20 - $BR21, "")</f>
        <v/>
      </c>
      <c r="BU21" s="400" t="str">
        <f ca="1">IFERROR(INDEX(ICE[], MATCH("ulsdccndiff" &amp; TEXT(Crd!$A21, "mmmyy"), ICE[LongCode], 0), MATCH("ICE Theoretical Price", ICE[#Headers], 0)), "")</f>
        <v/>
      </c>
      <c r="BV21" s="372" t="str">
        <f ca="1">IFERROR(INDEX(ICE[], MATCH("ulsdccndiff" &amp; TEXT(Mid!$A21, "mmmyy"), ICE[LongCode], 0), MATCH("Text", ICE[#Headers], 0)), "")</f>
        <v xml:space="preserve"> /  {39.00} |5x</v>
      </c>
      <c r="BW21" s="46" t="str">
        <f t="shared" ca="1" si="114"/>
        <v/>
      </c>
      <c r="BX21" s="68" t="str">
        <f t="shared" ref="BX21:BX66" ca="1" si="148">IF(AND(ISNUMBER($BU20), ISNUMBER($BU21)), $BU20 - $BU21, "")</f>
        <v/>
      </c>
      <c r="BY21" s="114" t="str">
        <f t="shared" ref="BY21:BY66" ca="1" si="149">IF(AND(ISNUMBER($BW20), ISNUMBER($BW21)), $BW20 - $BW21, "")</f>
        <v/>
      </c>
      <c r="BZ21" s="68" t="str">
        <f ca="1">IFERROR(IF(AND(ISNUMBER(Futs!$CG21), ISNUMBER($BU21)), Futs!$CG21 + $BU21, ""), "")</f>
        <v/>
      </c>
      <c r="CA21" s="46" t="str">
        <f ca="1">IFERROR(IF(AND(ISNUMBER(Futs!$CH21), ISNUMBER($BW21)), Futs!$CH21 + $BW21, ""), "")</f>
        <v/>
      </c>
      <c r="CB21" s="68" t="str">
        <f t="shared" ref="CB21:CB66" ca="1" si="150">IF(AND(ISNUMBER($BZ20), ISNUMBER($BZ21)), $BZ20 - $BZ21, "")</f>
        <v/>
      </c>
      <c r="CC21" s="111" t="str">
        <f t="shared" ref="CC21:CC66" ca="1" si="151">IF(AND(ISNUMBER($CA20), ISNUMBER($CA21)), $CA20 - $CA21, "")</f>
        <v/>
      </c>
      <c r="CD21" s="400" t="str">
        <f ca="1">IFERROR(INDEX(ICE[], MATCH("ulsdccmdiff" &amp; TEXT(Crd!$A21, "mmmyy"), ICE[LongCode], 0), MATCH("ICE Theoretical Price", ICE[#Headers], 0)), "")</f>
        <v/>
      </c>
      <c r="CE21" s="372" t="str">
        <f ca="1">IFERROR(INDEX(ICE[], MATCH("ulsdccmdiff" &amp; TEXT(Mid!$A21, "mmmyy"), ICE[LongCode], 0), MATCH("Text", ICE[#Headers], 0)), "")</f>
        <v xml:space="preserve"> /  </v>
      </c>
      <c r="CF21" s="46" t="str">
        <f t="shared" ca="1" si="115"/>
        <v/>
      </c>
      <c r="CG21" s="68" t="str">
        <f t="shared" ref="CG21:CG66" ca="1" si="152">IF(AND(ISNUMBER($CD20), ISNUMBER($CD21)), $CD20 - $CD21, "")</f>
        <v/>
      </c>
      <c r="CH21" s="114" t="str">
        <f t="shared" ref="CH21:CH66" ca="1" si="153">IF(AND(ISNUMBER($CF20), ISNUMBER($CF21)), $CF20 - $CF21, "")</f>
        <v/>
      </c>
      <c r="CI21" s="68" t="str">
        <f ca="1">IFERROR(IF(AND(ISNUMBER(Futs!$CG21), ISNUMBER($CD21)), Futs!$CG21 + $CD21, ""), "")</f>
        <v/>
      </c>
      <c r="CJ21" s="67" t="str">
        <f ca="1">IFERROR(IF(AND(ISNUMBER(Futs!$CH21), ISNUMBER($CF21)), Futs!$CH21 + $CF21, ""), "")</f>
        <v/>
      </c>
      <c r="CK21" s="68" t="str">
        <f t="shared" ref="CK21:CK66" ca="1" si="154">IF(AND(ISNUMBER($CI20), ISNUMBER($CI21)), $CI20 - $CI21, "")</f>
        <v/>
      </c>
      <c r="CL21" s="111" t="str">
        <f t="shared" ref="CL21:CL66" ca="1" si="155">IF(AND(ISNUMBER($CJ20), ISNUMBER($CJ21)), $CJ20 - $CJ21, "")</f>
        <v/>
      </c>
      <c r="CM21" s="400" t="str">
        <f ca="1">IFERROR(INDEX(ICE[], MATCH("go01bfrdiff" &amp; TEXT(Crd!$A21, "mmmyy"), ICE[LongCode], 0), MATCH("ICE Theoretical Price", ICE[#Headers], 0)), "")</f>
        <v/>
      </c>
      <c r="CN21" s="372" t="str">
        <f ca="1">IFERROR(INDEX(ICE[], MATCH("go01bfrdiff" &amp; TEXT(Mid!$A21, "mmmyy"), ICE[LongCode], 0), MATCH("Text", ICE[#Headers], 0)), "")</f>
        <v xml:space="preserve"> /  </v>
      </c>
      <c r="CO21" s="46" t="str">
        <f t="shared" ca="1" si="116"/>
        <v/>
      </c>
      <c r="CP21" s="68" t="str">
        <f t="shared" ref="CP21:CP66" ca="1" si="156">IF(AND(ISNUMBER($CM20), ISNUMBER($CM21)), $CM20 - $CM21, "")</f>
        <v/>
      </c>
      <c r="CQ21" s="114" t="str">
        <f t="shared" ref="CQ21:CQ66" ca="1" si="157">IF(AND(ISNUMBER($CO20), ISNUMBER($CO21)), $CO20 - $CO21, "")</f>
        <v/>
      </c>
      <c r="CR21" s="68" t="str">
        <f ca="1">IFERROR(IF(AND(ISNUMBER(Futs!$CG21), ISNUMBER($CM21)), Futs!$CG21 + $CM21, ""), "")</f>
        <v/>
      </c>
      <c r="CS21" s="46" t="str">
        <f ca="1">IFERROR(IF(AND(ISNUMBER(Futs!$CH21), ISNUMBER($CO21)), Futs!$CH21 + $CO21, ""), "")</f>
        <v/>
      </c>
      <c r="CT21" s="68" t="str">
        <f t="shared" ref="CT21:CT66" ca="1" si="158">IF(AND(ISNUMBER($CR20), ISNUMBER($CR21)), $CR20 - $CR21, "")</f>
        <v/>
      </c>
      <c r="CU21" s="111" t="str">
        <f t="shared" ref="CU21:CU66" ca="1" si="159">IF(AND(ISNUMBER($CS20), ISNUMBER($CS21)), $CS20 - $CS21, "")</f>
        <v/>
      </c>
      <c r="CV21" s="400" t="str">
        <f ca="1">IFERROR(INDEX(ICE[], MATCH("go01ccndiff" &amp; TEXT(Crd!$A21, "mmmyy"), ICE[LongCode], 0), MATCH("ICE Theoretical Price", ICE[#Headers], 0)), "")</f>
        <v/>
      </c>
      <c r="CW21" s="372" t="str">
        <f ca="1">IFERROR(INDEX(ICE[], MATCH("go01ccndiff" &amp; TEXT(Mid!$A21, "mmmyy"), ICE[LongCode], 0), MATCH("Text", ICE[#Headers], 0)), "")</f>
        <v xml:space="preserve"> /  </v>
      </c>
      <c r="CX21" s="46" t="str">
        <f t="shared" ca="1" si="117"/>
        <v/>
      </c>
      <c r="CY21" s="68" t="str">
        <f t="shared" ref="CY21:CY66" ca="1" si="160">IF(AND(ISNUMBER($CV20), ISNUMBER($CV21)), $CV20 - $CV21, "")</f>
        <v/>
      </c>
      <c r="CZ21" s="114" t="str">
        <f t="shared" ref="CZ21:CZ66" ca="1" si="161">IF(AND(ISNUMBER($CX20), ISNUMBER($CX21)), $CX20 - $CX21, "")</f>
        <v/>
      </c>
      <c r="DA21" s="68" t="str">
        <f ca="1">IFERROR(IF(AND(ISNUMBER(Futs!$CG21), ISNUMBER($CV21)), Futs!$CG21 + $CV21, ""), "")</f>
        <v/>
      </c>
      <c r="DB21" s="46" t="str">
        <f ca="1">IFERROR(IF(AND(ISNUMBER(Futs!$CH21), ISNUMBER($CX21)), Futs!$CH21 + $CX21, ""), "")</f>
        <v/>
      </c>
      <c r="DC21" s="68" t="str">
        <f t="shared" ref="DC21:DC66" ca="1" si="162">IF(AND(ISNUMBER($DA20), ISNUMBER($DA21)), $DA20 - $DA21, "")</f>
        <v/>
      </c>
      <c r="DD21" s="111" t="str">
        <f t="shared" ref="DD21:DD66" ca="1" si="163">IF(AND(ISNUMBER($DB20), ISNUMBER($DB21)), $DB20 - $DB21, "")</f>
        <v/>
      </c>
      <c r="DE21" s="400" t="str">
        <f ca="1">IFERROR(INDEX(ICE[], MATCH("go01ccmdiff" &amp; TEXT(Crd!$A21, "mmmyy"), ICE[LongCode], 0), MATCH("ICE Theoretical Price", ICE[#Headers], 0)), "")</f>
        <v/>
      </c>
      <c r="DF21" s="372" t="str">
        <f ca="1">IFERROR(INDEX(ICE[], MATCH("go01ccmdiff" &amp; TEXT(Mid!$A21, "mmmyy"), ICE[LongCode], 0), MATCH("Text", ICE[#Headers], 0)), "")</f>
        <v xml:space="preserve"> /  </v>
      </c>
      <c r="DG21" s="46" t="str">
        <f t="shared" ca="1" si="118"/>
        <v/>
      </c>
      <c r="DH21" s="68" t="str">
        <f t="shared" ref="DH21:DH66" ca="1" si="164">IF(AND(ISNUMBER($DE20), ISNUMBER($DE21)), $DE20 - $DE21, "")</f>
        <v/>
      </c>
      <c r="DI21" s="114" t="str">
        <f t="shared" ref="DI21:DI66" ca="1" si="165">IF(AND(ISNUMBER($DG20), ISNUMBER($DG21)), $DG20 - $DG21, "")</f>
        <v/>
      </c>
      <c r="DJ21" s="68" t="str">
        <f ca="1">IFERROR(IF(AND(ISNUMBER(Futs!$CG21), ISNUMBER($DE21)), Futs!$CG21 + $DE21, ""), "")</f>
        <v/>
      </c>
      <c r="DK21" s="46" t="str">
        <f ca="1">IFERROR(IF(AND(ISNUMBER(Futs!$CH21), ISNUMBER($DG21)), Futs!$CH21 + $DG21, ""), "")</f>
        <v/>
      </c>
      <c r="DL21" s="68" t="str">
        <f t="shared" ref="DL21:DL66" ca="1" si="166">IF(AND(ISNUMBER($DJ20), ISNUMBER($DJ21)), $DJ20 - $DJ21, "")</f>
        <v/>
      </c>
      <c r="DM21" s="111" t="str">
        <f t="shared" ref="DM21:DM66" ca="1" si="167">IF(AND(ISNUMBER($DK20), ISNUMBER($DK21)), $DK20 - $DK21, "")</f>
        <v/>
      </c>
      <c r="DN21" s="400" t="str">
        <f ca="1">IFERROR(INDEX(ICE[], MATCH("ulsdgc" &amp; TEXT(Crd!$A21, "mmmyy"), ICE[LongCode], 0), MATCH("ICE Theoretical Price", ICE[#Headers], 0))*100, "")</f>
        <v/>
      </c>
      <c r="DO21" s="372" t="str">
        <f ca="1">IFERROR(INDEX(ICE[], MATCH("ulsdgc" &amp; TEXT(Mid!$A21, "mmmyy"), ICE[LongCode], 0), MATCH("Text", ICE[#Headers], 0)), "")</f>
        <v xml:space="preserve"> /  </v>
      </c>
      <c r="DP21" s="46" t="str">
        <f t="shared" ca="1" si="119"/>
        <v/>
      </c>
      <c r="DQ21" s="68" t="str">
        <f t="shared" ref="DQ21:DQ66" ca="1" si="168">IF(AND(ISNUMBER($DN20), ISNUMBER($DN21)), $DN20 - $DN21, "")</f>
        <v/>
      </c>
      <c r="DR21" s="114" t="str">
        <f t="shared" ref="DR21:DR66" ca="1" si="169">IF(AND(ISNUMBER($DP20), ISNUMBER($DP21)), $DP20 - $DP21, "")</f>
        <v/>
      </c>
      <c r="DS21" s="68" t="str">
        <f ca="1">IFERROR(IF(AND(ISNUMBER(Futs!$CK21), ISNUMBER($DN21)), Futs!$CK21 + $DN21, ""), "")</f>
        <v/>
      </c>
      <c r="DT21" s="46" t="str">
        <f ca="1">IFERROR(IF(AND(ISNUMBER(Futs!$CL21), ISNUMBER($DP21)), Futs!$CL21 + $DP21, ""), "")</f>
        <v/>
      </c>
      <c r="DU21" s="68" t="str">
        <f t="shared" ref="DU21:DU66" ca="1" si="170">IF(AND(ISNUMBER($DS20), ISNUMBER($DS21)), $DS20 - $DS21, "")</f>
        <v/>
      </c>
      <c r="DV21" s="111" t="str">
        <f t="shared" ref="DV21:DV66" ca="1" si="171">IF(AND(ISNUMBER($DT20), ISNUMBER($DT21)), $DT20 - $DT21, "")</f>
        <v/>
      </c>
    </row>
    <row r="22" spans="1:126" x14ac:dyDescent="0.25">
      <c r="A22" s="58">
        <f t="shared" ca="1" si="123"/>
        <v>46357</v>
      </c>
      <c r="B22" s="6">
        <f t="shared" ca="1" si="102"/>
        <v>2026</v>
      </c>
      <c r="C22" s="6" t="str">
        <f t="shared" ca="1" si="120"/>
        <v>Q426</v>
      </c>
      <c r="D22" s="28">
        <f ca="1">INDEX(ICE[], MATCH(D$18 &amp; TEXT(Mid!$A22, "mmmyy"), ICE[LongCode], 0), MATCH("Settle", ICE[#Headers], 0))</f>
        <v>112</v>
      </c>
      <c r="E22" s="28">
        <f ca="1">INDEX(ICE[], MATCH(E$18 &amp; TEXT(Mid!$A22, "mmmyy"), ICE[LongCode], 0), MATCH("Settle", ICE[#Headers], 0))</f>
        <v>-75.866</v>
      </c>
      <c r="F22" s="28">
        <f ca="1">INDEX(ICE[], MATCH(F$18 &amp; TEXT(Mid!$A22, "mmmyy"), ICE[LongCode], 0), MATCH("Settle", ICE[#Headers], 0))</f>
        <v>2.8000000000000003</v>
      </c>
      <c r="G22" s="28">
        <f ca="1">INDEX(ICE[], MATCH(G$18 &amp; TEXT(Mid!$A22, "mmmyy"), ICE[LongCode], 0), MATCH("Settle", ICE[#Headers], 0))</f>
        <v>23.5</v>
      </c>
      <c r="H22" s="28">
        <f ca="1">INDEX(ICE[], MATCH(H$18 &amp; TEXT(Mid!$A22, "mmmyy"), ICE[LongCode], 0), MATCH("Settle", ICE[#Headers], 0))</f>
        <v>34.5</v>
      </c>
      <c r="I22" s="28">
        <f ca="1">INDEX(ICE[], MATCH(I$18 &amp; TEXT(Mid!$A22, "mmmyy"), ICE[LongCode], 0), MATCH("Settle", ICE[#Headers], 0))</f>
        <v>38</v>
      </c>
      <c r="J22" s="28">
        <f ca="1">INDEX(ICE[], MATCH(J$18 &amp; TEXT(Mid!$A22, "mmmyy"), ICE[LongCode], 0), MATCH("Settle", ICE[#Headers], 0))</f>
        <v>-40</v>
      </c>
      <c r="K22" s="28">
        <f ca="1">INDEX(ICE[], MATCH(K$18 &amp; TEXT(Mid!$A22, "mmmyy"), ICE[LongCode], 0), MATCH("Settle", ICE[#Headers], 0))</f>
        <v>-12</v>
      </c>
      <c r="L22" s="28">
        <f ca="1">INDEX(ICE[], MATCH(L$18 &amp; TEXT(Mid!$A22, "mmmyy"), ICE[LongCode], 0), MATCH("Settle", ICE[#Headers], 0))</f>
        <v>7</v>
      </c>
      <c r="M22" s="28">
        <f ca="1">INDEX(ICE[], MATCH(M$18 &amp; TEXT(Mid!$A22, "mmmyy"), ICE[LongCode], 0), MATCH("Settle", ICE[#Headers], 0))</f>
        <v>-8.64</v>
      </c>
      <c r="N22" s="28">
        <f ca="1">INDEX(ICE[], MATCH(N$18 &amp; TEXT(Mid!$A22, "mmmyy"), ICE[LongCode], 0), MATCH("Settle", ICE[#Headers], 0))*100</f>
        <v>-17.750000000000004</v>
      </c>
      <c r="O22" s="397" t="str">
        <f ca="1">IFERROR(INDEX(ICE[], MATCH("jetccndiff" &amp; TEXT(Crd!$A22, "mmmyy"), ICE[LongCode], 0), MATCH("ICE Theoretical Price", ICE[#Headers], 0)), "")</f>
        <v/>
      </c>
      <c r="P22" s="372" t="str">
        <f ca="1">IFERROR(INDEX(ICE[], MATCH("jetccndiff" &amp; TEXT(Mid!$A22, "mmmyy"), ICE[LongCode], 0), MATCH("Text", ICE[#Headers], 0)), "")</f>
        <v>103.00 /  {111.00} |56x</v>
      </c>
      <c r="Q22" s="46" t="str">
        <f t="shared" ca="1" si="103"/>
        <v/>
      </c>
      <c r="R22" s="47" t="str">
        <f t="shared" ca="1" si="121"/>
        <v/>
      </c>
      <c r="S22" s="114" t="str">
        <f t="shared" ca="1" si="124"/>
        <v/>
      </c>
      <c r="T22" s="49" t="str">
        <f ca="1">IFERROR(IF(AND(ISNUMBER(Futs!$CG22), ISNUMBER($O22)), Futs!$CG22 + $O22, ""), "")</f>
        <v/>
      </c>
      <c r="U22" s="46" t="str">
        <f ca="1">IFERROR(IF(AND(ISNUMBER(Futs!$CH22), ISNUMBER($Q22)), Futs!$CH22 + $Q22, ""), "")</f>
        <v/>
      </c>
      <c r="V22" s="47" t="str">
        <f t="shared" ca="1" si="125"/>
        <v/>
      </c>
      <c r="W22" s="46" t="str">
        <f t="shared" ca="1" si="126"/>
        <v/>
      </c>
      <c r="X22" s="427" t="str">
        <f ca="1">IFERROR(IF(AND(ISNUMBER(Futs!$CC22), ISNUMBER($T22)), $T22/7.88 - Futs!$CC22, ""), "")</f>
        <v/>
      </c>
      <c r="Y22" s="46" t="str">
        <f ca="1">IFERROR(IF(AND(ISNUMBER(Futs!$DV22), ISNUMBER($Q22)), Futs!$DV22 + $Q22/7.88, ""), "")</f>
        <v/>
      </c>
      <c r="Z22" s="47" t="str">
        <f t="shared" ca="1" si="127"/>
        <v/>
      </c>
      <c r="AA22" s="111" t="str">
        <f t="shared" ca="1" si="128"/>
        <v/>
      </c>
      <c r="AB22" s="400" t="str">
        <f ca="1">IFERROR(INDEX(ICE[], MATCH("goew" &amp; TEXT(Crd!$A22, "mmmyy"), ICE[LongCode], 0), MATCH("ICE Theoretical Price", ICE[#Headers], 0)), "")</f>
        <v/>
      </c>
      <c r="AC22" s="372" t="str">
        <f ca="1">IFERROR(INDEX(ICE[], MATCH("goew" &amp; TEXT(Mid!$A22, "mmmyy"), ICE[LongCode], 0), MATCH("Text", ICE[#Headers], 0)), "")</f>
        <v>-79.00 / -72.00 {-75.50} |1,062x</v>
      </c>
      <c r="AD22" s="46" t="str">
        <f t="shared" ca="1" si="104"/>
        <v/>
      </c>
      <c r="AE22" s="68" t="str">
        <f t="shared" ca="1" si="129"/>
        <v/>
      </c>
      <c r="AF22" s="46" t="str">
        <f t="shared" ca="1" si="130"/>
        <v/>
      </c>
      <c r="AG22" s="265" t="str">
        <f ca="1">IFERROR(IF(AND(ISNUMBER(Futs!$BM22), ISNUMBER($AH22)), $AH22*7.45 - Futs!$BM22, ""), "")</f>
        <v/>
      </c>
      <c r="AH22" s="187" t="str">
        <f ca="1">IFERROR(IF(AND(ISNUMBER(Futs!$CG22), ISNUMBER($AB22)), (Futs!$CG22 + $AB22)/7.45, ""), "")</f>
        <v/>
      </c>
      <c r="AI22" s="46" t="str">
        <f ca="1">IFERROR(IF(AND(ISNUMBER(Futs!$CH22), ISNUMBER($AD22)), (Futs!$CH22 + $AD22)/7.45, ""), "")</f>
        <v/>
      </c>
      <c r="AJ22" s="68" t="str">
        <f t="shared" ca="1" si="131"/>
        <v/>
      </c>
      <c r="AK22" s="364" t="str">
        <f ca="1">IFERROR(INDEX(ICE[], MATCH("gosing" &amp; TEXT(Crd!$A21, "mmmyy") &amp; "/" &amp; TEXT(Crd!$A22, "mmmyy"), ICE[LongCode], 0), MATCH("Text", ICE[#Headers], 0)), "")</f>
        <v>4.91 / 5.30 {5.20} |1,190x</v>
      </c>
      <c r="AL22" s="46" t="str">
        <f t="shared" ca="1" si="132"/>
        <v/>
      </c>
      <c r="AM22" s="427" t="str">
        <f ca="1">IFERROR(IF(AND(ISNUMBER(Futs!$CC22), ISNUMBER($AH22)), $AH22 - Futs!$CC22, ""), "")</f>
        <v/>
      </c>
      <c r="AN22" s="46" t="str">
        <f ca="1">IFERROR(IF(AND(ISNUMBER(Futs!$DV22), ISNUMBER($AD22)), $AD22/7.45 + Futs!$DV22, ""), "")</f>
        <v/>
      </c>
      <c r="AO22" s="47" t="str">
        <f t="shared" ca="1" si="133"/>
        <v/>
      </c>
      <c r="AP22" s="111" t="str">
        <f t="shared" ca="1" si="134"/>
        <v/>
      </c>
      <c r="AQ22" s="400">
        <f t="shared" ca="1" si="105"/>
        <v>-8.64</v>
      </c>
      <c r="AR22" s="46">
        <f t="shared" ca="1" si="106"/>
        <v>0</v>
      </c>
      <c r="AS22" s="68">
        <f t="shared" ca="1" si="135"/>
        <v>-0.45999999999999908</v>
      </c>
      <c r="AT22" s="46">
        <f t="shared" ca="1" si="136"/>
        <v>0</v>
      </c>
      <c r="AU22" s="271" t="str">
        <f t="shared" ca="1" si="107"/>
        <v/>
      </c>
      <c r="AV22" s="46" t="str">
        <f t="shared" ca="1" si="108"/>
        <v/>
      </c>
      <c r="AW22" s="68" t="str">
        <f t="shared" ca="1" si="137"/>
        <v/>
      </c>
      <c r="AX22" s="111" t="str">
        <f t="shared" ca="1" si="138"/>
        <v/>
      </c>
      <c r="AY22" s="400" t="str">
        <f ca="1">IFERROR(INDEX(ICE[], MATCH("regrade" &amp; TEXT(Crd!$A22, "mmmyy"), ICE[LongCode], 0), MATCH("ICE Theoretical Price", ICE[#Headers], 0)), "")</f>
        <v/>
      </c>
      <c r="AZ22" s="372" t="str">
        <f ca="1">IFERROR(INDEX(ICE[], MATCH("regrade" &amp; TEXT(Mid!$A22, "mmmyy"), ICE[LongCode], 0), MATCH("Text", ICE[#Headers], 0)), "")</f>
        <v>2.25 / 3.00 {2.70} |50x</v>
      </c>
      <c r="BA22" s="46" t="str">
        <f t="shared" ca="1" si="109"/>
        <v/>
      </c>
      <c r="BB22" s="68" t="str">
        <f t="shared" ref="BB22:BB66" ca="1" si="172">IF(AND(ISNUMBER($AY21), ISNUMBER($AY22)), $AY21 - $AY22, "")</f>
        <v/>
      </c>
      <c r="BC22" s="114" t="str">
        <f t="shared" ca="1" si="139"/>
        <v/>
      </c>
      <c r="BD22" s="68" t="str">
        <f t="shared" ca="1" si="110"/>
        <v/>
      </c>
      <c r="BE22" s="46" t="str">
        <f t="shared" ca="1" si="111"/>
        <v/>
      </c>
      <c r="BF22" s="68" t="str">
        <f t="shared" ca="1" si="140"/>
        <v/>
      </c>
      <c r="BG22" s="111" t="str">
        <f t="shared" ca="1" si="141"/>
        <v/>
      </c>
      <c r="BH22" s="68" t="str">
        <f t="shared" ca="1" si="122"/>
        <v/>
      </c>
      <c r="BI22" s="46" t="str">
        <f t="shared" ca="1" si="112"/>
        <v/>
      </c>
      <c r="BJ22" s="68" t="str">
        <f t="shared" ca="1" si="142"/>
        <v/>
      </c>
      <c r="BK22" s="111" t="str">
        <f t="shared" ca="1" si="143"/>
        <v/>
      </c>
      <c r="BL22" s="400" t="str">
        <f ca="1">IFERROR(INDEX(ICE[], MATCH("ulsdaradiff" &amp; TEXT(Crd!$A22, "mmmyy"), ICE[LongCode], 0), MATCH("ICE Theoretical Price", ICE[#Headers], 0)), "")</f>
        <v/>
      </c>
      <c r="BM22" s="372" t="str">
        <f ca="1">IFERROR(INDEX(ICE[], MATCH("ulsdaradiff" &amp; TEXT(Mid!$A22, "mmmyy"), ICE[LongCode], 0), MATCH("Text", ICE[#Headers], 0)), "")</f>
        <v xml:space="preserve"> /  {25.00} |17x</v>
      </c>
      <c r="BN22" s="46" t="str">
        <f t="shared" ca="1" si="113"/>
        <v/>
      </c>
      <c r="BO22" s="68" t="str">
        <f t="shared" ca="1" si="144"/>
        <v/>
      </c>
      <c r="BP22" s="114" t="str">
        <f t="shared" ca="1" si="145"/>
        <v/>
      </c>
      <c r="BQ22" s="68" t="str">
        <f ca="1">IFERROR(IF(AND(ISNUMBER(Futs!$CG22), ISNUMBER($BL22)), Futs!$CG22 + $BL22, ""), "")</f>
        <v/>
      </c>
      <c r="BR22" s="46" t="str">
        <f ca="1">IFERROR(IF(AND(ISNUMBER(Futs!$CH22), ISNUMBER($BN22)), Futs!$CH22 + $BN22, ""), "")</f>
        <v/>
      </c>
      <c r="BS22" s="68" t="str">
        <f t="shared" ca="1" si="146"/>
        <v/>
      </c>
      <c r="BT22" s="111" t="str">
        <f t="shared" ca="1" si="147"/>
        <v/>
      </c>
      <c r="BU22" s="400" t="str">
        <f ca="1">IFERROR(INDEX(ICE[], MATCH("ulsdccndiff" &amp; TEXT(Crd!$A22, "mmmyy"), ICE[LongCode], 0), MATCH("ICE Theoretical Price", ICE[#Headers], 0)), "")</f>
        <v/>
      </c>
      <c r="BV22" s="372" t="str">
        <f ca="1">IFERROR(INDEX(ICE[], MATCH("ulsdccndiff" &amp; TEXT(Mid!$A22, "mmmyy"), ICE[LongCode], 0), MATCH("Text", ICE[#Headers], 0)), "")</f>
        <v xml:space="preserve"> /  {33.75} |10x</v>
      </c>
      <c r="BW22" s="46" t="str">
        <f t="shared" ca="1" si="114"/>
        <v/>
      </c>
      <c r="BX22" s="68" t="str">
        <f t="shared" ca="1" si="148"/>
        <v/>
      </c>
      <c r="BY22" s="114" t="str">
        <f t="shared" ca="1" si="149"/>
        <v/>
      </c>
      <c r="BZ22" s="68" t="str">
        <f ca="1">IFERROR(IF(AND(ISNUMBER(Futs!$CG22), ISNUMBER($BU22)), Futs!$CG22 + $BU22, ""), "")</f>
        <v/>
      </c>
      <c r="CA22" s="46" t="str">
        <f ca="1">IFERROR(IF(AND(ISNUMBER(Futs!$CH22), ISNUMBER($BW22)), Futs!$CH22 + $BW22, ""), "")</f>
        <v/>
      </c>
      <c r="CB22" s="68" t="str">
        <f t="shared" ca="1" si="150"/>
        <v/>
      </c>
      <c r="CC22" s="111" t="str">
        <f t="shared" ca="1" si="151"/>
        <v/>
      </c>
      <c r="CD22" s="400" t="str">
        <f ca="1">IFERROR(INDEX(ICE[], MATCH("ulsdccmdiff" &amp; TEXT(Crd!$A22, "mmmyy"), ICE[LongCode], 0), MATCH("ICE Theoretical Price", ICE[#Headers], 0)), "")</f>
        <v/>
      </c>
      <c r="CE22" s="372" t="str">
        <f ca="1">IFERROR(INDEX(ICE[], MATCH("ulsdccmdiff" &amp; TEXT(Mid!$A22, "mmmyy"), ICE[LongCode], 0), MATCH("Text", ICE[#Headers], 0)), "")</f>
        <v xml:space="preserve"> /  </v>
      </c>
      <c r="CF22" s="46" t="str">
        <f t="shared" ca="1" si="115"/>
        <v/>
      </c>
      <c r="CG22" s="68" t="str">
        <f t="shared" ca="1" si="152"/>
        <v/>
      </c>
      <c r="CH22" s="114" t="str">
        <f t="shared" ca="1" si="153"/>
        <v/>
      </c>
      <c r="CI22" s="68" t="str">
        <f ca="1">IFERROR(IF(AND(ISNUMBER(Futs!$CG22), ISNUMBER($CD22)), Futs!$CG22 + $CD22, ""), "")</f>
        <v/>
      </c>
      <c r="CJ22" s="67" t="str">
        <f ca="1">IFERROR(IF(AND(ISNUMBER(Futs!$CH22), ISNUMBER($CF22)), Futs!$CH22 + $CF22, ""), "")</f>
        <v/>
      </c>
      <c r="CK22" s="68" t="str">
        <f t="shared" ca="1" si="154"/>
        <v/>
      </c>
      <c r="CL22" s="111" t="str">
        <f t="shared" ca="1" si="155"/>
        <v/>
      </c>
      <c r="CM22" s="400" t="str">
        <f ca="1">IFERROR(INDEX(ICE[], MATCH("go01bfrdiff" &amp; TEXT(Crd!$A22, "mmmyy"), ICE[LongCode], 0), MATCH("ICE Theoretical Price", ICE[#Headers], 0)), "")</f>
        <v/>
      </c>
      <c r="CN22" s="372" t="str">
        <f ca="1">IFERROR(INDEX(ICE[], MATCH("go01bfrdiff" &amp; TEXT(Mid!$A22, "mmmyy"), ICE[LongCode], 0), MATCH("Text", ICE[#Headers], 0)), "")</f>
        <v xml:space="preserve"> /  </v>
      </c>
      <c r="CO22" s="46" t="str">
        <f t="shared" ca="1" si="116"/>
        <v/>
      </c>
      <c r="CP22" s="68" t="str">
        <f t="shared" ca="1" si="156"/>
        <v/>
      </c>
      <c r="CQ22" s="114" t="str">
        <f t="shared" ca="1" si="157"/>
        <v/>
      </c>
      <c r="CR22" s="68" t="str">
        <f ca="1">IFERROR(IF(AND(ISNUMBER(Futs!$CG22), ISNUMBER($CM22)), Futs!$CG22 + $CM22, ""), "")</f>
        <v/>
      </c>
      <c r="CS22" s="46" t="str">
        <f ca="1">IFERROR(IF(AND(ISNUMBER(Futs!$CH22), ISNUMBER($CO22)), Futs!$CH22 + $CO22, ""), "")</f>
        <v/>
      </c>
      <c r="CT22" s="68" t="str">
        <f t="shared" ca="1" si="158"/>
        <v/>
      </c>
      <c r="CU22" s="111" t="str">
        <f t="shared" ca="1" si="159"/>
        <v/>
      </c>
      <c r="CV22" s="400" t="str">
        <f ca="1">IFERROR(INDEX(ICE[], MATCH("go01ccndiff" &amp; TEXT(Crd!$A22, "mmmyy"), ICE[LongCode], 0), MATCH("ICE Theoretical Price", ICE[#Headers], 0)), "")</f>
        <v/>
      </c>
      <c r="CW22" s="372" t="str">
        <f ca="1">IFERROR(INDEX(ICE[], MATCH("go01ccndiff" &amp; TEXT(Mid!$A22, "mmmyy"), ICE[LongCode], 0), MATCH("Text", ICE[#Headers], 0)), "")</f>
        <v xml:space="preserve"> /  </v>
      </c>
      <c r="CX22" s="46" t="str">
        <f t="shared" ca="1" si="117"/>
        <v/>
      </c>
      <c r="CY22" s="68" t="str">
        <f t="shared" ca="1" si="160"/>
        <v/>
      </c>
      <c r="CZ22" s="114" t="str">
        <f t="shared" ca="1" si="161"/>
        <v/>
      </c>
      <c r="DA22" s="68" t="str">
        <f ca="1">IFERROR(IF(AND(ISNUMBER(Futs!$CG22), ISNUMBER($CV22)), Futs!$CG22 + $CV22, ""), "")</f>
        <v/>
      </c>
      <c r="DB22" s="46" t="str">
        <f ca="1">IFERROR(IF(AND(ISNUMBER(Futs!$CH22), ISNUMBER($CX22)), Futs!$CH22 + $CX22, ""), "")</f>
        <v/>
      </c>
      <c r="DC22" s="68" t="str">
        <f t="shared" ca="1" si="162"/>
        <v/>
      </c>
      <c r="DD22" s="111" t="str">
        <f t="shared" ca="1" si="163"/>
        <v/>
      </c>
      <c r="DE22" s="400" t="str">
        <f ca="1">IFERROR(INDEX(ICE[], MATCH("go01ccmdiff" &amp; TEXT(Crd!$A22, "mmmyy"), ICE[LongCode], 0), MATCH("ICE Theoretical Price", ICE[#Headers], 0)), "")</f>
        <v/>
      </c>
      <c r="DF22" s="372" t="str">
        <f ca="1">IFERROR(INDEX(ICE[], MATCH("go01ccmdiff" &amp; TEXT(Mid!$A22, "mmmyy"), ICE[LongCode], 0), MATCH("Text", ICE[#Headers], 0)), "")</f>
        <v xml:space="preserve"> /  </v>
      </c>
      <c r="DG22" s="46" t="str">
        <f t="shared" ca="1" si="118"/>
        <v/>
      </c>
      <c r="DH22" s="68" t="str">
        <f t="shared" ca="1" si="164"/>
        <v/>
      </c>
      <c r="DI22" s="114" t="str">
        <f t="shared" ca="1" si="165"/>
        <v/>
      </c>
      <c r="DJ22" s="68" t="str">
        <f ca="1">IFERROR(IF(AND(ISNUMBER(Futs!$CG22), ISNUMBER($DE22)), Futs!$CG22 + $DE22, ""), "")</f>
        <v/>
      </c>
      <c r="DK22" s="46" t="str">
        <f ca="1">IFERROR(IF(AND(ISNUMBER(Futs!$CH22), ISNUMBER($DG22)), Futs!$CH22 + $DG22, ""), "")</f>
        <v/>
      </c>
      <c r="DL22" s="68" t="str">
        <f t="shared" ca="1" si="166"/>
        <v/>
      </c>
      <c r="DM22" s="111" t="str">
        <f t="shared" ca="1" si="167"/>
        <v/>
      </c>
      <c r="DN22" s="400" t="str">
        <f ca="1">IFERROR(INDEX(ICE[], MATCH("ulsdgc" &amp; TEXT(Crd!$A22, "mmmyy"), ICE[LongCode], 0), MATCH("ICE Theoretical Price", ICE[#Headers], 0))*100, "")</f>
        <v/>
      </c>
      <c r="DO22" s="372" t="str">
        <f ca="1">IFERROR(INDEX(ICE[], MATCH("ulsdgc" &amp; TEXT(Mid!$A22, "mmmyy"), ICE[LongCode], 0), MATCH("Text", ICE[#Headers], 0)), "")</f>
        <v xml:space="preserve"> /  </v>
      </c>
      <c r="DP22" s="46" t="str">
        <f t="shared" ca="1" si="119"/>
        <v/>
      </c>
      <c r="DQ22" s="68" t="str">
        <f t="shared" ca="1" si="168"/>
        <v/>
      </c>
      <c r="DR22" s="114" t="str">
        <f t="shared" ca="1" si="169"/>
        <v/>
      </c>
      <c r="DS22" s="68" t="str">
        <f ca="1">IFERROR(IF(AND(ISNUMBER(Futs!$CK22), ISNUMBER($DN22)), Futs!$CK22 + $DN22, ""), "")</f>
        <v/>
      </c>
      <c r="DT22" s="46" t="str">
        <f ca="1">IFERROR(IF(AND(ISNUMBER(Futs!$CL22), ISNUMBER($DP22)), Futs!$CL22 + $DP22, ""), "")</f>
        <v/>
      </c>
      <c r="DU22" s="68" t="str">
        <f t="shared" ca="1" si="170"/>
        <v/>
      </c>
      <c r="DV22" s="111" t="str">
        <f t="shared" ca="1" si="171"/>
        <v/>
      </c>
    </row>
    <row r="23" spans="1:126" x14ac:dyDescent="0.25">
      <c r="A23" s="58">
        <f t="shared" ca="1" si="123"/>
        <v>46388</v>
      </c>
      <c r="B23" s="6">
        <f t="shared" ca="1" si="102"/>
        <v>2027</v>
      </c>
      <c r="C23" s="6" t="str">
        <f t="shared" ca="1" si="120"/>
        <v>Q127</v>
      </c>
      <c r="D23" s="28">
        <f ca="1">INDEX(ICE[], MATCH(D$18 &amp; TEXT(Mid!$A23, "mmmyy"), ICE[LongCode], 0), MATCH("Settle", ICE[#Headers], 0))</f>
        <v>102</v>
      </c>
      <c r="E23" s="28">
        <f ca="1">INDEX(ICE[], MATCH(E$18 &amp; TEXT(Mid!$A23, "mmmyy"), ICE[LongCode], 0), MATCH("Settle", ICE[#Headers], 0))</f>
        <v>-70.965000000000003</v>
      </c>
      <c r="F23" s="28">
        <f ca="1">INDEX(ICE[], MATCH(F$18 &amp; TEXT(Mid!$A23, "mmmyy"), ICE[LongCode], 0), MATCH("Settle", ICE[#Headers], 0))</f>
        <v>3.25</v>
      </c>
      <c r="G23" s="28">
        <f ca="1">INDEX(ICE[], MATCH(G$18 &amp; TEXT(Mid!$A23, "mmmyy"), ICE[LongCode], 0), MATCH("Settle", ICE[#Headers], 0))</f>
        <v>18.5</v>
      </c>
      <c r="H23" s="28">
        <f ca="1">INDEX(ICE[], MATCH(H$18 &amp; TEXT(Mid!$A23, "mmmyy"), ICE[LongCode], 0), MATCH("Settle", ICE[#Headers], 0))</f>
        <v>29.5</v>
      </c>
      <c r="I23" s="28">
        <f ca="1">INDEX(ICE[], MATCH(I$18 &amp; TEXT(Mid!$A23, "mmmyy"), ICE[LongCode], 0), MATCH("Settle", ICE[#Headers], 0))</f>
        <v>27</v>
      </c>
      <c r="J23" s="28">
        <f ca="1">INDEX(ICE[], MATCH(J$18 &amp; TEXT(Mid!$A23, "mmmyy"), ICE[LongCode], 0), MATCH("Settle", ICE[#Headers], 0))</f>
        <v>-31</v>
      </c>
      <c r="K23" s="28">
        <f ca="1">INDEX(ICE[], MATCH(K$18 &amp; TEXT(Mid!$A23, "mmmyy"), ICE[LongCode], 0), MATCH("Settle", ICE[#Headers], 0))</f>
        <v>-9</v>
      </c>
      <c r="L23" s="28">
        <f ca="1">INDEX(ICE[], MATCH(L$18 &amp; TEXT(Mid!$A23, "mmmyy"), ICE[LongCode], 0), MATCH("Settle", ICE[#Headers], 0))</f>
        <v>2.5</v>
      </c>
      <c r="M23" s="28">
        <f ca="1">INDEX(ICE[], MATCH(M$18 &amp; TEXT(Mid!$A23, "mmmyy"), ICE[LongCode], 0), MATCH("Settle", ICE[#Headers], 0))</f>
        <v>-7.78</v>
      </c>
      <c r="N23" s="28">
        <f ca="1">INDEX(ICE[], MATCH(N$18 &amp; TEXT(Mid!$A23, "mmmyy"), ICE[LongCode], 0), MATCH("Settle", ICE[#Headers], 0))*100</f>
        <v>-12.879999999999999</v>
      </c>
      <c r="O23" s="397" t="str">
        <f ca="1">IFERROR(INDEX(ICE[], MATCH("jetccndiff" &amp; TEXT(Crd!$A23, "mmmyy"), ICE[LongCode], 0), MATCH("ICE Theoretical Price", ICE[#Headers], 0)), "")</f>
        <v/>
      </c>
      <c r="P23" s="372" t="str">
        <f ca="1">IFERROR(INDEX(ICE[], MATCH("jetccndiff" &amp; TEXT(Mid!$A23, "mmmyy"), ICE[LongCode], 0), MATCH("Text", ICE[#Headers], 0)), "")</f>
        <v xml:space="preserve"> /  </v>
      </c>
      <c r="Q23" s="46" t="str">
        <f t="shared" ca="1" si="103"/>
        <v/>
      </c>
      <c r="R23" s="47" t="str">
        <f t="shared" ca="1" si="121"/>
        <v/>
      </c>
      <c r="S23" s="114" t="str">
        <f t="shared" ca="1" si="124"/>
        <v/>
      </c>
      <c r="T23" s="49" t="str">
        <f ca="1">IFERROR(IF(AND(ISNUMBER(Futs!$CG23), ISNUMBER($O23)), Futs!$CG23 + $O23, ""), "")</f>
        <v/>
      </c>
      <c r="U23" s="46" t="str">
        <f ca="1">IFERROR(IF(AND(ISNUMBER(Futs!$CH23), ISNUMBER($Q23)), Futs!$CH23 + $Q23, ""), "")</f>
        <v/>
      </c>
      <c r="V23" s="47" t="str">
        <f t="shared" ca="1" si="125"/>
        <v/>
      </c>
      <c r="W23" s="46" t="str">
        <f t="shared" ca="1" si="126"/>
        <v/>
      </c>
      <c r="X23" s="427" t="str">
        <f ca="1">IFERROR(IF(AND(ISNUMBER(Futs!$CC23), ISNUMBER($T23)), $T23/7.88 - Futs!$CC23, ""), "")</f>
        <v/>
      </c>
      <c r="Y23" s="46" t="str">
        <f ca="1">IFERROR(IF(AND(ISNUMBER(Futs!$DV23), ISNUMBER($Q23)), Futs!$DV23 + $Q23/7.88, ""), "")</f>
        <v/>
      </c>
      <c r="Z23" s="47" t="str">
        <f t="shared" ca="1" si="127"/>
        <v/>
      </c>
      <c r="AA23" s="111" t="str">
        <f t="shared" ca="1" si="128"/>
        <v/>
      </c>
      <c r="AB23" s="400" t="str">
        <f ca="1">IFERROR(INDEX(ICE[], MATCH("goew" &amp; TEXT(Crd!$A23, "mmmyy"), ICE[LongCode], 0), MATCH("ICE Theoretical Price", ICE[#Headers], 0)), "")</f>
        <v/>
      </c>
      <c r="AC23" s="372" t="str">
        <f ca="1">IFERROR(INDEX(ICE[], MATCH("goew" &amp; TEXT(Mid!$A23, "mmmyy"), ICE[LongCode], 0), MATCH("Text", ICE[#Headers], 0)), "")</f>
        <v>-77.00 / -61.50 {-69.25} |620x</v>
      </c>
      <c r="AD23" s="46" t="str">
        <f t="shared" ca="1" si="104"/>
        <v/>
      </c>
      <c r="AE23" s="68" t="str">
        <f t="shared" ca="1" si="129"/>
        <v/>
      </c>
      <c r="AF23" s="46" t="str">
        <f t="shared" ca="1" si="130"/>
        <v/>
      </c>
      <c r="AG23" s="265" t="str">
        <f ca="1">IFERROR(IF(AND(ISNUMBER(Futs!$BM23), ISNUMBER($AH23)), $AH23*7.45 - Futs!$BM23, ""), "")</f>
        <v/>
      </c>
      <c r="AH23" s="187" t="str">
        <f ca="1">IFERROR(IF(AND(ISNUMBER(Futs!$CG23), ISNUMBER($AB23)), (Futs!$CG23 + $AB23)/7.45, ""), "")</f>
        <v/>
      </c>
      <c r="AI23" s="46" t="str">
        <f ca="1">IFERROR(IF(AND(ISNUMBER(Futs!$CH23), ISNUMBER($AD23)), (Futs!$CH23 + $AD23)/7.45, ""), "")</f>
        <v/>
      </c>
      <c r="AJ23" s="68" t="str">
        <f t="shared" ca="1" si="131"/>
        <v/>
      </c>
      <c r="AK23" s="364" t="str">
        <f ca="1">IFERROR(INDEX(ICE[], MATCH("gosing" &amp; TEXT(Crd!$A22, "mmmyy") &amp; "/" &amp; TEXT(Crd!$A23, "mmmyy"), ICE[LongCode], 0), MATCH("Text", ICE[#Headers], 0)), "")</f>
        <v/>
      </c>
      <c r="AL23" s="46" t="str">
        <f t="shared" ca="1" si="132"/>
        <v/>
      </c>
      <c r="AM23" s="427" t="str">
        <f ca="1">IFERROR(IF(AND(ISNUMBER(Futs!$CC23), ISNUMBER($AH23)), $AH23 - Futs!$CC23, ""), "")</f>
        <v/>
      </c>
      <c r="AN23" s="46" t="str">
        <f ca="1">IFERROR(IF(AND(ISNUMBER(Futs!$DV23), ISNUMBER($AD23)), $AD23/7.45 + Futs!$DV23, ""), "")</f>
        <v/>
      </c>
      <c r="AO23" s="47" t="str">
        <f t="shared" ca="1" si="133"/>
        <v/>
      </c>
      <c r="AP23" s="111" t="str">
        <f t="shared" ca="1" si="134"/>
        <v/>
      </c>
      <c r="AQ23" s="400">
        <f t="shared" ca="1" si="105"/>
        <v>-7.78</v>
      </c>
      <c r="AR23" s="46">
        <f t="shared" ca="1" si="106"/>
        <v>0</v>
      </c>
      <c r="AS23" s="68">
        <f t="shared" ca="1" si="135"/>
        <v>-0.86000000000000032</v>
      </c>
      <c r="AT23" s="46">
        <f t="shared" ca="1" si="136"/>
        <v>0</v>
      </c>
      <c r="AU23" s="271" t="str">
        <f t="shared" ca="1" si="107"/>
        <v/>
      </c>
      <c r="AV23" s="46" t="str">
        <f t="shared" ca="1" si="108"/>
        <v/>
      </c>
      <c r="AW23" s="68" t="str">
        <f t="shared" ca="1" si="137"/>
        <v/>
      </c>
      <c r="AX23" s="111" t="str">
        <f t="shared" ca="1" si="138"/>
        <v/>
      </c>
      <c r="AY23" s="400" t="str">
        <f ca="1">IFERROR(INDEX(ICE[], MATCH("regrade" &amp; TEXT(Crd!$A23, "mmmyy"), ICE[LongCode], 0), MATCH("ICE Theoretical Price", ICE[#Headers], 0)), "")</f>
        <v/>
      </c>
      <c r="AZ23" s="372" t="str">
        <f ca="1">IFERROR(INDEX(ICE[], MATCH("regrade" &amp; TEXT(Mid!$A23, "mmmyy"), ICE[LongCode], 0), MATCH("Text", ICE[#Headers], 0)), "")</f>
        <v xml:space="preserve"> /  {3.08} |50x</v>
      </c>
      <c r="BA23" s="46" t="str">
        <f t="shared" ca="1" si="109"/>
        <v/>
      </c>
      <c r="BB23" s="68" t="str">
        <f t="shared" ca="1" si="172"/>
        <v/>
      </c>
      <c r="BC23" s="114" t="str">
        <f t="shared" ca="1" si="139"/>
        <v/>
      </c>
      <c r="BD23" s="68" t="str">
        <f t="shared" ca="1" si="110"/>
        <v/>
      </c>
      <c r="BE23" s="46" t="str">
        <f t="shared" ca="1" si="111"/>
        <v/>
      </c>
      <c r="BF23" s="68" t="str">
        <f t="shared" ca="1" si="140"/>
        <v/>
      </c>
      <c r="BG23" s="111" t="str">
        <f t="shared" ca="1" si="141"/>
        <v/>
      </c>
      <c r="BH23" s="68" t="str">
        <f t="shared" ca="1" si="122"/>
        <v/>
      </c>
      <c r="BI23" s="46" t="str">
        <f t="shared" ca="1" si="112"/>
        <v/>
      </c>
      <c r="BJ23" s="68" t="str">
        <f t="shared" ca="1" si="142"/>
        <v/>
      </c>
      <c r="BK23" s="111" t="str">
        <f t="shared" ca="1" si="143"/>
        <v/>
      </c>
      <c r="BL23" s="400" t="str">
        <f ca="1">IFERROR(INDEX(ICE[], MATCH("ulsdaradiff" &amp; TEXT(Crd!$A23, "mmmyy"), ICE[LongCode], 0), MATCH("ICE Theoretical Price", ICE[#Headers], 0)), "")</f>
        <v/>
      </c>
      <c r="BM23" s="372" t="str">
        <f ca="1">IFERROR(INDEX(ICE[], MATCH("ulsdaradiff" &amp; TEXT(Mid!$A23, "mmmyy"), ICE[LongCode], 0), MATCH("Text", ICE[#Headers], 0)), "")</f>
        <v xml:space="preserve"> /  </v>
      </c>
      <c r="BN23" s="46" t="str">
        <f t="shared" ca="1" si="113"/>
        <v/>
      </c>
      <c r="BO23" s="68" t="str">
        <f t="shared" ca="1" si="144"/>
        <v/>
      </c>
      <c r="BP23" s="114" t="str">
        <f t="shared" ca="1" si="145"/>
        <v/>
      </c>
      <c r="BQ23" s="68" t="str">
        <f ca="1">IFERROR(IF(AND(ISNUMBER(Futs!$CG23), ISNUMBER($BL23)), Futs!$CG23 + $BL23, ""), "")</f>
        <v/>
      </c>
      <c r="BR23" s="46" t="str">
        <f ca="1">IFERROR(IF(AND(ISNUMBER(Futs!$CH23), ISNUMBER($BN23)), Futs!$CH23 + $BN23, ""), "")</f>
        <v/>
      </c>
      <c r="BS23" s="68" t="str">
        <f t="shared" ca="1" si="146"/>
        <v/>
      </c>
      <c r="BT23" s="111" t="str">
        <f t="shared" ca="1" si="147"/>
        <v/>
      </c>
      <c r="BU23" s="400" t="str">
        <f ca="1">IFERROR(INDEX(ICE[], MATCH("ulsdccndiff" &amp; TEXT(Crd!$A23, "mmmyy"), ICE[LongCode], 0), MATCH("ICE Theoretical Price", ICE[#Headers], 0)), "")</f>
        <v/>
      </c>
      <c r="BV23" s="372" t="str">
        <f ca="1">IFERROR(INDEX(ICE[], MATCH("ulsdccndiff" &amp; TEXT(Mid!$A23, "mmmyy"), ICE[LongCode], 0), MATCH("Text", ICE[#Headers], 0)), "")</f>
        <v xml:space="preserve"> /  </v>
      </c>
      <c r="BW23" s="46" t="str">
        <f t="shared" ca="1" si="114"/>
        <v/>
      </c>
      <c r="BX23" s="68" t="str">
        <f t="shared" ca="1" si="148"/>
        <v/>
      </c>
      <c r="BY23" s="114" t="str">
        <f t="shared" ca="1" si="149"/>
        <v/>
      </c>
      <c r="BZ23" s="68" t="str">
        <f ca="1">IFERROR(IF(AND(ISNUMBER(Futs!$CG23), ISNUMBER($BU23)), Futs!$CG23 + $BU23, ""), "")</f>
        <v/>
      </c>
      <c r="CA23" s="46" t="str">
        <f ca="1">IFERROR(IF(AND(ISNUMBER(Futs!$CH23), ISNUMBER($BW23)), Futs!$CH23 + $BW23, ""), "")</f>
        <v/>
      </c>
      <c r="CB23" s="68" t="str">
        <f t="shared" ca="1" si="150"/>
        <v/>
      </c>
      <c r="CC23" s="111" t="str">
        <f t="shared" ca="1" si="151"/>
        <v/>
      </c>
      <c r="CD23" s="400" t="str">
        <f ca="1">IFERROR(INDEX(ICE[], MATCH("ulsdccmdiff" &amp; TEXT(Crd!$A23, "mmmyy"), ICE[LongCode], 0), MATCH("ICE Theoretical Price", ICE[#Headers], 0)), "")</f>
        <v/>
      </c>
      <c r="CE23" s="372" t="str">
        <f ca="1">IFERROR(INDEX(ICE[], MATCH("ulsdccmdiff" &amp; TEXT(Mid!$A23, "mmmyy"), ICE[LongCode], 0), MATCH("Text", ICE[#Headers], 0)), "")</f>
        <v xml:space="preserve"> /  </v>
      </c>
      <c r="CF23" s="46" t="str">
        <f t="shared" ca="1" si="115"/>
        <v/>
      </c>
      <c r="CG23" s="68" t="str">
        <f t="shared" ca="1" si="152"/>
        <v/>
      </c>
      <c r="CH23" s="114" t="str">
        <f t="shared" ca="1" si="153"/>
        <v/>
      </c>
      <c r="CI23" s="68" t="str">
        <f ca="1">IFERROR(IF(AND(ISNUMBER(Futs!$CG23), ISNUMBER($CD23)), Futs!$CG23 + $CD23, ""), "")</f>
        <v/>
      </c>
      <c r="CJ23" s="67" t="str">
        <f ca="1">IFERROR(IF(AND(ISNUMBER(Futs!$CH23), ISNUMBER($CF23)), Futs!$CH23 + $CF23, ""), "")</f>
        <v/>
      </c>
      <c r="CK23" s="68" t="str">
        <f t="shared" ca="1" si="154"/>
        <v/>
      </c>
      <c r="CL23" s="111" t="str">
        <f t="shared" ca="1" si="155"/>
        <v/>
      </c>
      <c r="CM23" s="400" t="str">
        <f ca="1">IFERROR(INDEX(ICE[], MATCH("go01bfrdiff" &amp; TEXT(Crd!$A23, "mmmyy"), ICE[LongCode], 0), MATCH("ICE Theoretical Price", ICE[#Headers], 0)), "")</f>
        <v/>
      </c>
      <c r="CN23" s="372" t="str">
        <f ca="1">IFERROR(INDEX(ICE[], MATCH("go01bfrdiff" &amp; TEXT(Mid!$A23, "mmmyy"), ICE[LongCode], 0), MATCH("Text", ICE[#Headers], 0)), "")</f>
        <v xml:space="preserve"> /  </v>
      </c>
      <c r="CO23" s="46" t="str">
        <f t="shared" ca="1" si="116"/>
        <v/>
      </c>
      <c r="CP23" s="68" t="str">
        <f t="shared" ca="1" si="156"/>
        <v/>
      </c>
      <c r="CQ23" s="114" t="str">
        <f t="shared" ca="1" si="157"/>
        <v/>
      </c>
      <c r="CR23" s="68" t="str">
        <f ca="1">IFERROR(IF(AND(ISNUMBER(Futs!$CG23), ISNUMBER($CM23)), Futs!$CG23 + $CM23, ""), "")</f>
        <v/>
      </c>
      <c r="CS23" s="46" t="str">
        <f ca="1">IFERROR(IF(AND(ISNUMBER(Futs!$CH23), ISNUMBER($CO23)), Futs!$CH23 + $CO23, ""), "")</f>
        <v/>
      </c>
      <c r="CT23" s="68" t="str">
        <f t="shared" ca="1" si="158"/>
        <v/>
      </c>
      <c r="CU23" s="111" t="str">
        <f t="shared" ca="1" si="159"/>
        <v/>
      </c>
      <c r="CV23" s="400" t="str">
        <f ca="1">IFERROR(INDEX(ICE[], MATCH("go01ccndiff" &amp; TEXT(Crd!$A23, "mmmyy"), ICE[LongCode], 0), MATCH("ICE Theoretical Price", ICE[#Headers], 0)), "")</f>
        <v/>
      </c>
      <c r="CW23" s="372" t="str">
        <f ca="1">IFERROR(INDEX(ICE[], MATCH("go01ccndiff" &amp; TEXT(Mid!$A23, "mmmyy"), ICE[LongCode], 0), MATCH("Text", ICE[#Headers], 0)), "")</f>
        <v xml:space="preserve"> /  </v>
      </c>
      <c r="CX23" s="46" t="str">
        <f t="shared" ca="1" si="117"/>
        <v/>
      </c>
      <c r="CY23" s="68" t="str">
        <f t="shared" ca="1" si="160"/>
        <v/>
      </c>
      <c r="CZ23" s="114" t="str">
        <f t="shared" ca="1" si="161"/>
        <v/>
      </c>
      <c r="DA23" s="68" t="str">
        <f ca="1">IFERROR(IF(AND(ISNUMBER(Futs!$CG23), ISNUMBER($CV23)), Futs!$CG23 + $CV23, ""), "")</f>
        <v/>
      </c>
      <c r="DB23" s="46" t="str">
        <f ca="1">IFERROR(IF(AND(ISNUMBER(Futs!$CH23), ISNUMBER($CX23)), Futs!$CH23 + $CX23, ""), "")</f>
        <v/>
      </c>
      <c r="DC23" s="68" t="str">
        <f t="shared" ca="1" si="162"/>
        <v/>
      </c>
      <c r="DD23" s="111" t="str">
        <f t="shared" ca="1" si="163"/>
        <v/>
      </c>
      <c r="DE23" s="400" t="str">
        <f ca="1">IFERROR(INDEX(ICE[], MATCH("go01ccmdiff" &amp; TEXT(Crd!$A23, "mmmyy"), ICE[LongCode], 0), MATCH("ICE Theoretical Price", ICE[#Headers], 0)), "")</f>
        <v/>
      </c>
      <c r="DF23" s="372" t="str">
        <f ca="1">IFERROR(INDEX(ICE[], MATCH("go01ccmdiff" &amp; TEXT(Mid!$A23, "mmmyy"), ICE[LongCode], 0), MATCH("Text", ICE[#Headers], 0)), "")</f>
        <v xml:space="preserve"> /  </v>
      </c>
      <c r="DG23" s="46" t="str">
        <f t="shared" ca="1" si="118"/>
        <v/>
      </c>
      <c r="DH23" s="68" t="str">
        <f t="shared" ca="1" si="164"/>
        <v/>
      </c>
      <c r="DI23" s="114" t="str">
        <f t="shared" ca="1" si="165"/>
        <v/>
      </c>
      <c r="DJ23" s="68" t="str">
        <f ca="1">IFERROR(IF(AND(ISNUMBER(Futs!$CG23), ISNUMBER($DE23)), Futs!$CG23 + $DE23, ""), "")</f>
        <v/>
      </c>
      <c r="DK23" s="46" t="str">
        <f ca="1">IFERROR(IF(AND(ISNUMBER(Futs!$CH23), ISNUMBER($DG23)), Futs!$CH23 + $DG23, ""), "")</f>
        <v/>
      </c>
      <c r="DL23" s="68" t="str">
        <f t="shared" ca="1" si="166"/>
        <v/>
      </c>
      <c r="DM23" s="111" t="str">
        <f t="shared" ca="1" si="167"/>
        <v/>
      </c>
      <c r="DN23" s="400" t="str">
        <f ca="1">IFERROR(INDEX(ICE[], MATCH("ulsdgc" &amp; TEXT(Crd!$A23, "mmmyy"), ICE[LongCode], 0), MATCH("ICE Theoretical Price", ICE[#Headers], 0))*100, "")</f>
        <v/>
      </c>
      <c r="DO23" s="372" t="str">
        <f ca="1">IFERROR(INDEX(ICE[], MATCH("ulsdgc" &amp; TEXT(Mid!$A23, "mmmyy"), ICE[LongCode], 0), MATCH("Text", ICE[#Headers], 0)), "")</f>
        <v xml:space="preserve"> /  </v>
      </c>
      <c r="DP23" s="46" t="str">
        <f t="shared" ca="1" si="119"/>
        <v/>
      </c>
      <c r="DQ23" s="68" t="str">
        <f t="shared" ca="1" si="168"/>
        <v/>
      </c>
      <c r="DR23" s="114" t="str">
        <f t="shared" ca="1" si="169"/>
        <v/>
      </c>
      <c r="DS23" s="68" t="str">
        <f ca="1">IFERROR(IF(AND(ISNUMBER(Futs!$CK23), ISNUMBER($DN23)), Futs!$CK23 + $DN23, ""), "")</f>
        <v/>
      </c>
      <c r="DT23" s="46" t="str">
        <f ca="1">IFERROR(IF(AND(ISNUMBER(Futs!$CL23), ISNUMBER($DP23)), Futs!$CL23 + $DP23, ""), "")</f>
        <v/>
      </c>
      <c r="DU23" s="68" t="str">
        <f t="shared" ca="1" si="170"/>
        <v/>
      </c>
      <c r="DV23" s="111" t="str">
        <f t="shared" ca="1" si="171"/>
        <v/>
      </c>
    </row>
    <row r="24" spans="1:126" x14ac:dyDescent="0.25">
      <c r="A24" s="58">
        <f t="shared" ca="1" si="123"/>
        <v>46419</v>
      </c>
      <c r="B24" s="6">
        <f t="shared" ca="1" si="102"/>
        <v>2027</v>
      </c>
      <c r="C24" s="6" t="str">
        <f t="shared" ca="1" si="120"/>
        <v>Q127</v>
      </c>
      <c r="D24" s="28">
        <f ca="1">INDEX(ICE[], MATCH(D$18 &amp; TEXT(Mid!$A24, "mmmyy"), ICE[LongCode], 0), MATCH("Settle", ICE[#Headers], 0))</f>
        <v>101</v>
      </c>
      <c r="E24" s="28">
        <f ca="1">INDEX(ICE[], MATCH(E$18 &amp; TEXT(Mid!$A24, "mmmyy"), ICE[LongCode], 0), MATCH("Settle", ICE[#Headers], 0))</f>
        <v>-68.070000000000007</v>
      </c>
      <c r="F24" s="28">
        <f ca="1">INDEX(ICE[], MATCH(F$18 &amp; TEXT(Mid!$A24, "mmmyy"), ICE[LongCode], 0), MATCH("Settle", ICE[#Headers], 0))</f>
        <v>2.8000000000000003</v>
      </c>
      <c r="G24" s="28">
        <f ca="1">INDEX(ICE[], MATCH(G$18 &amp; TEXT(Mid!$A24, "mmmyy"), ICE[LongCode], 0), MATCH("Settle", ICE[#Headers], 0))</f>
        <v>17.5</v>
      </c>
      <c r="H24" s="28">
        <f ca="1">INDEX(ICE[], MATCH(H$18 &amp; TEXT(Mid!$A24, "mmmyy"), ICE[LongCode], 0), MATCH("Settle", ICE[#Headers], 0))</f>
        <v>27</v>
      </c>
      <c r="I24" s="28">
        <f ca="1">INDEX(ICE[], MATCH(I$18 &amp; TEXT(Mid!$A24, "mmmyy"), ICE[LongCode], 0), MATCH("Settle", ICE[#Headers], 0))</f>
        <v>24.5</v>
      </c>
      <c r="J24" s="28">
        <f ca="1">INDEX(ICE[], MATCH(J$18 &amp; TEXT(Mid!$A24, "mmmyy"), ICE[LongCode], 0), MATCH("Settle", ICE[#Headers], 0))</f>
        <v>-31</v>
      </c>
      <c r="K24" s="28">
        <f ca="1">INDEX(ICE[], MATCH(K$18 &amp; TEXT(Mid!$A24, "mmmyy"), ICE[LongCode], 0), MATCH("Settle", ICE[#Headers], 0))</f>
        <v>-9</v>
      </c>
      <c r="L24" s="28">
        <f ca="1">INDEX(ICE[], MATCH(L$18 &amp; TEXT(Mid!$A24, "mmmyy"), ICE[LongCode], 0), MATCH("Settle", ICE[#Headers], 0))</f>
        <v>2</v>
      </c>
      <c r="M24" s="28">
        <f ca="1">INDEX(ICE[], MATCH(M$18 &amp; TEXT(Mid!$A24, "mmmyy"), ICE[LongCode], 0), MATCH("Settle", ICE[#Headers], 0))</f>
        <v>-7.62</v>
      </c>
      <c r="N24" s="28">
        <f ca="1">INDEX(ICE[], MATCH(N$18 &amp; TEXT(Mid!$A24, "mmmyy"), ICE[LongCode], 0), MATCH("Settle", ICE[#Headers], 0))*100</f>
        <v>-12.13</v>
      </c>
      <c r="O24" s="397" t="str">
        <f ca="1">IFERROR(INDEX(ICE[], MATCH("jetccndiff" &amp; TEXT(Crd!$A24, "mmmyy"), ICE[LongCode], 0), MATCH("ICE Theoretical Price", ICE[#Headers], 0)), "")</f>
        <v/>
      </c>
      <c r="P24" s="372" t="str">
        <f ca="1">IFERROR(INDEX(ICE[], MATCH("jetccndiff" &amp; TEXT(Mid!$A24, "mmmyy"), ICE[LongCode], 0), MATCH("Text", ICE[#Headers], 0)), "")</f>
        <v xml:space="preserve"> /  </v>
      </c>
      <c r="Q24" s="46" t="str">
        <f t="shared" ca="1" si="103"/>
        <v/>
      </c>
      <c r="R24" s="47" t="str">
        <f t="shared" ca="1" si="121"/>
        <v/>
      </c>
      <c r="S24" s="114" t="str">
        <f t="shared" ca="1" si="124"/>
        <v/>
      </c>
      <c r="T24" s="49" t="str">
        <f ca="1">IFERROR(IF(AND(ISNUMBER(Futs!$CG24), ISNUMBER($O24)), Futs!$CG24 + $O24, ""), "")</f>
        <v/>
      </c>
      <c r="U24" s="46" t="str">
        <f ca="1">IFERROR(IF(AND(ISNUMBER(Futs!$CH24), ISNUMBER($Q24)), Futs!$CH24 + $Q24, ""), "")</f>
        <v/>
      </c>
      <c r="V24" s="47" t="str">
        <f t="shared" ca="1" si="125"/>
        <v/>
      </c>
      <c r="W24" s="46" t="str">
        <f t="shared" ca="1" si="126"/>
        <v/>
      </c>
      <c r="X24" s="427" t="str">
        <f ca="1">IFERROR(IF(AND(ISNUMBER(Futs!$CC24), ISNUMBER($T24)), $T24/7.88 - Futs!$CC24, ""), "")</f>
        <v/>
      </c>
      <c r="Y24" s="46" t="str">
        <f ca="1">IFERROR(IF(AND(ISNUMBER(Futs!$DV24), ISNUMBER($Q24)), Futs!$DV24 + $Q24/7.88, ""), "")</f>
        <v/>
      </c>
      <c r="Z24" s="47" t="str">
        <f t="shared" ca="1" si="127"/>
        <v/>
      </c>
      <c r="AA24" s="111" t="str">
        <f t="shared" ca="1" si="128"/>
        <v/>
      </c>
      <c r="AB24" s="400" t="str">
        <f ca="1">IFERROR(INDEX(ICE[], MATCH("goew" &amp; TEXT(Crd!$A24, "mmmyy"), ICE[LongCode], 0), MATCH("ICE Theoretical Price", ICE[#Headers], 0)), "")</f>
        <v/>
      </c>
      <c r="AC24" s="372" t="str">
        <f ca="1">IFERROR(INDEX(ICE[], MATCH("goew" &amp; TEXT(Mid!$A24, "mmmyy"), ICE[LongCode], 0), MATCH("Text", ICE[#Headers], 0)), "")</f>
        <v xml:space="preserve"> /   |20x</v>
      </c>
      <c r="AD24" s="46" t="str">
        <f t="shared" ca="1" si="104"/>
        <v/>
      </c>
      <c r="AE24" s="68" t="str">
        <f t="shared" ca="1" si="129"/>
        <v/>
      </c>
      <c r="AF24" s="46" t="str">
        <f t="shared" ca="1" si="130"/>
        <v/>
      </c>
      <c r="AG24" s="265" t="str">
        <f ca="1">IFERROR(IF(AND(ISNUMBER(Futs!$BM24), ISNUMBER($AH24)), $AH24*7.45 - Futs!$BM24, ""), "")</f>
        <v/>
      </c>
      <c r="AH24" s="187" t="str">
        <f ca="1">IFERROR(IF(AND(ISNUMBER(Futs!$CG24), ISNUMBER($AB24)), (Futs!$CG24 + $AB24)/7.45, ""), "")</f>
        <v/>
      </c>
      <c r="AI24" s="46" t="str">
        <f ca="1">IFERROR(IF(AND(ISNUMBER(Futs!$CH24), ISNUMBER($AD24)), (Futs!$CH24 + $AD24)/7.45, ""), "")</f>
        <v/>
      </c>
      <c r="AJ24" s="68" t="str">
        <f t="shared" ca="1" si="131"/>
        <v/>
      </c>
      <c r="AK24" s="364" t="str">
        <f ca="1">IFERROR(INDEX(ICE[], MATCH("gosing" &amp; TEXT(Crd!$A23, "mmmyy") &amp; "/" &amp; TEXT(Crd!$A24, "mmmyy"), ICE[LongCode], 0), MATCH("Text", ICE[#Headers], 0)), "")</f>
        <v/>
      </c>
      <c r="AL24" s="46" t="str">
        <f t="shared" ca="1" si="132"/>
        <v/>
      </c>
      <c r="AM24" s="427" t="str">
        <f ca="1">IFERROR(IF(AND(ISNUMBER(Futs!$CC24), ISNUMBER($AH24)), $AH24 - Futs!$CC24, ""), "")</f>
        <v/>
      </c>
      <c r="AN24" s="46" t="str">
        <f ca="1">IFERROR(IF(AND(ISNUMBER(Futs!$DV24), ISNUMBER($AD24)), $AD24/7.45 + Futs!$DV24, ""), "")</f>
        <v/>
      </c>
      <c r="AO24" s="47" t="str">
        <f t="shared" ca="1" si="133"/>
        <v/>
      </c>
      <c r="AP24" s="111" t="str">
        <f t="shared" ca="1" si="134"/>
        <v/>
      </c>
      <c r="AQ24" s="400">
        <f t="shared" ca="1" si="105"/>
        <v>-7.62</v>
      </c>
      <c r="AR24" s="46">
        <f t="shared" ca="1" si="106"/>
        <v>0</v>
      </c>
      <c r="AS24" s="68">
        <f t="shared" ca="1" si="135"/>
        <v>-0.16000000000000014</v>
      </c>
      <c r="AT24" s="46">
        <f t="shared" ca="1" si="136"/>
        <v>0</v>
      </c>
      <c r="AU24" s="271" t="str">
        <f t="shared" ca="1" si="107"/>
        <v/>
      </c>
      <c r="AV24" s="46" t="str">
        <f t="shared" ca="1" si="108"/>
        <v/>
      </c>
      <c r="AW24" s="68" t="str">
        <f t="shared" ca="1" si="137"/>
        <v/>
      </c>
      <c r="AX24" s="111" t="str">
        <f t="shared" ca="1" si="138"/>
        <v/>
      </c>
      <c r="AY24" s="400" t="str">
        <f ca="1">IFERROR(INDEX(ICE[], MATCH("regrade" &amp; TEXT(Crd!$A24, "mmmyy"), ICE[LongCode], 0), MATCH("ICE Theoretical Price", ICE[#Headers], 0)), "")</f>
        <v/>
      </c>
      <c r="AZ24" s="372" t="str">
        <f ca="1">IFERROR(INDEX(ICE[], MATCH("regrade" &amp; TEXT(Mid!$A24, "mmmyy"), ICE[LongCode], 0), MATCH("Text", ICE[#Headers], 0)), "")</f>
        <v xml:space="preserve"> /  </v>
      </c>
      <c r="BA24" s="46" t="str">
        <f t="shared" ca="1" si="109"/>
        <v/>
      </c>
      <c r="BB24" s="68" t="str">
        <f t="shared" ca="1" si="172"/>
        <v/>
      </c>
      <c r="BC24" s="114" t="str">
        <f t="shared" ca="1" si="139"/>
        <v/>
      </c>
      <c r="BD24" s="68" t="str">
        <f t="shared" ca="1" si="110"/>
        <v/>
      </c>
      <c r="BE24" s="46" t="str">
        <f t="shared" ca="1" si="111"/>
        <v/>
      </c>
      <c r="BF24" s="68" t="str">
        <f t="shared" ca="1" si="140"/>
        <v/>
      </c>
      <c r="BG24" s="111" t="str">
        <f t="shared" ca="1" si="141"/>
        <v/>
      </c>
      <c r="BH24" s="68" t="str">
        <f t="shared" ca="1" si="122"/>
        <v/>
      </c>
      <c r="BI24" s="46" t="str">
        <f t="shared" ca="1" si="112"/>
        <v/>
      </c>
      <c r="BJ24" s="68" t="str">
        <f t="shared" ca="1" si="142"/>
        <v/>
      </c>
      <c r="BK24" s="111" t="str">
        <f t="shared" ca="1" si="143"/>
        <v/>
      </c>
      <c r="BL24" s="400" t="str">
        <f ca="1">IFERROR(INDEX(ICE[], MATCH("ulsdaradiff" &amp; TEXT(Crd!$A24, "mmmyy"), ICE[LongCode], 0), MATCH("ICE Theoretical Price", ICE[#Headers], 0)), "")</f>
        <v/>
      </c>
      <c r="BM24" s="372" t="str">
        <f ca="1">IFERROR(INDEX(ICE[], MATCH("ulsdaradiff" &amp; TEXT(Mid!$A24, "mmmyy"), ICE[LongCode], 0), MATCH("Text", ICE[#Headers], 0)), "")</f>
        <v xml:space="preserve"> /  </v>
      </c>
      <c r="BN24" s="46" t="str">
        <f t="shared" ca="1" si="113"/>
        <v/>
      </c>
      <c r="BO24" s="68" t="str">
        <f t="shared" ca="1" si="144"/>
        <v/>
      </c>
      <c r="BP24" s="114" t="str">
        <f t="shared" ca="1" si="145"/>
        <v/>
      </c>
      <c r="BQ24" s="68" t="str">
        <f ca="1">IFERROR(IF(AND(ISNUMBER(Futs!$CG24), ISNUMBER($BL24)), Futs!$CG24 + $BL24, ""), "")</f>
        <v/>
      </c>
      <c r="BR24" s="46" t="str">
        <f ca="1">IFERROR(IF(AND(ISNUMBER(Futs!$CH24), ISNUMBER($BN24)), Futs!$CH24 + $BN24, ""), "")</f>
        <v/>
      </c>
      <c r="BS24" s="68" t="str">
        <f t="shared" ca="1" si="146"/>
        <v/>
      </c>
      <c r="BT24" s="111" t="str">
        <f t="shared" ca="1" si="147"/>
        <v/>
      </c>
      <c r="BU24" s="400" t="str">
        <f ca="1">IFERROR(INDEX(ICE[], MATCH("ulsdccndiff" &amp; TEXT(Crd!$A24, "mmmyy"), ICE[LongCode], 0), MATCH("ICE Theoretical Price", ICE[#Headers], 0)), "")</f>
        <v/>
      </c>
      <c r="BV24" s="372" t="str">
        <f ca="1">IFERROR(INDEX(ICE[], MATCH("ulsdccndiff" &amp; TEXT(Mid!$A24, "mmmyy"), ICE[LongCode], 0), MATCH("Text", ICE[#Headers], 0)), "")</f>
        <v xml:space="preserve"> /  </v>
      </c>
      <c r="BW24" s="46" t="str">
        <f t="shared" ca="1" si="114"/>
        <v/>
      </c>
      <c r="BX24" s="68" t="str">
        <f t="shared" ca="1" si="148"/>
        <v/>
      </c>
      <c r="BY24" s="114" t="str">
        <f t="shared" ca="1" si="149"/>
        <v/>
      </c>
      <c r="BZ24" s="68" t="str">
        <f ca="1">IFERROR(IF(AND(ISNUMBER(Futs!$CG24), ISNUMBER($BU24)), Futs!$CG24 + $BU24, ""), "")</f>
        <v/>
      </c>
      <c r="CA24" s="46" t="str">
        <f ca="1">IFERROR(IF(AND(ISNUMBER(Futs!$CH24), ISNUMBER($BW24)), Futs!$CH24 + $BW24, ""), "")</f>
        <v/>
      </c>
      <c r="CB24" s="68" t="str">
        <f t="shared" ca="1" si="150"/>
        <v/>
      </c>
      <c r="CC24" s="111" t="str">
        <f t="shared" ca="1" si="151"/>
        <v/>
      </c>
      <c r="CD24" s="400" t="str">
        <f ca="1">IFERROR(INDEX(ICE[], MATCH("ulsdccmdiff" &amp; TEXT(Crd!$A24, "mmmyy"), ICE[LongCode], 0), MATCH("ICE Theoretical Price", ICE[#Headers], 0)), "")</f>
        <v/>
      </c>
      <c r="CE24" s="372" t="str">
        <f ca="1">IFERROR(INDEX(ICE[], MATCH("ulsdccmdiff" &amp; TEXT(Mid!$A24, "mmmyy"), ICE[LongCode], 0), MATCH("Text", ICE[#Headers], 0)), "")</f>
        <v xml:space="preserve"> /  </v>
      </c>
      <c r="CF24" s="46" t="str">
        <f t="shared" ca="1" si="115"/>
        <v/>
      </c>
      <c r="CG24" s="68" t="str">
        <f t="shared" ca="1" si="152"/>
        <v/>
      </c>
      <c r="CH24" s="114" t="str">
        <f t="shared" ca="1" si="153"/>
        <v/>
      </c>
      <c r="CI24" s="68" t="str">
        <f ca="1">IFERROR(IF(AND(ISNUMBER(Futs!$CG24), ISNUMBER($CD24)), Futs!$CG24 + $CD24, ""), "")</f>
        <v/>
      </c>
      <c r="CJ24" s="67" t="str">
        <f ca="1">IFERROR(IF(AND(ISNUMBER(Futs!$CH24), ISNUMBER($CF24)), Futs!$CH24 + $CF24, ""), "")</f>
        <v/>
      </c>
      <c r="CK24" s="68" t="str">
        <f t="shared" ca="1" si="154"/>
        <v/>
      </c>
      <c r="CL24" s="111" t="str">
        <f t="shared" ca="1" si="155"/>
        <v/>
      </c>
      <c r="CM24" s="400" t="str">
        <f ca="1">IFERROR(INDEX(ICE[], MATCH("go01bfrdiff" &amp; TEXT(Crd!$A24, "mmmyy"), ICE[LongCode], 0), MATCH("ICE Theoretical Price", ICE[#Headers], 0)), "")</f>
        <v/>
      </c>
      <c r="CN24" s="372" t="str">
        <f ca="1">IFERROR(INDEX(ICE[], MATCH("go01bfrdiff" &amp; TEXT(Mid!$A24, "mmmyy"), ICE[LongCode], 0), MATCH("Text", ICE[#Headers], 0)), "")</f>
        <v xml:space="preserve"> /  </v>
      </c>
      <c r="CO24" s="46" t="str">
        <f t="shared" ca="1" si="116"/>
        <v/>
      </c>
      <c r="CP24" s="68" t="str">
        <f t="shared" ca="1" si="156"/>
        <v/>
      </c>
      <c r="CQ24" s="114" t="str">
        <f t="shared" ca="1" si="157"/>
        <v/>
      </c>
      <c r="CR24" s="68" t="str">
        <f ca="1">IFERROR(IF(AND(ISNUMBER(Futs!$CG24), ISNUMBER($CM24)), Futs!$CG24 + $CM24, ""), "")</f>
        <v/>
      </c>
      <c r="CS24" s="46" t="str">
        <f ca="1">IFERROR(IF(AND(ISNUMBER(Futs!$CH24), ISNUMBER($CO24)), Futs!$CH24 + $CO24, ""), "")</f>
        <v/>
      </c>
      <c r="CT24" s="68" t="str">
        <f t="shared" ca="1" si="158"/>
        <v/>
      </c>
      <c r="CU24" s="111" t="str">
        <f t="shared" ca="1" si="159"/>
        <v/>
      </c>
      <c r="CV24" s="400" t="str">
        <f ca="1">IFERROR(INDEX(ICE[], MATCH("go01ccndiff" &amp; TEXT(Crd!$A24, "mmmyy"), ICE[LongCode], 0), MATCH("ICE Theoretical Price", ICE[#Headers], 0)), "")</f>
        <v/>
      </c>
      <c r="CW24" s="372" t="str">
        <f ca="1">IFERROR(INDEX(ICE[], MATCH("go01ccndiff" &amp; TEXT(Mid!$A24, "mmmyy"), ICE[LongCode], 0), MATCH("Text", ICE[#Headers], 0)), "")</f>
        <v xml:space="preserve"> /  </v>
      </c>
      <c r="CX24" s="46" t="str">
        <f t="shared" ca="1" si="117"/>
        <v/>
      </c>
      <c r="CY24" s="68" t="str">
        <f t="shared" ca="1" si="160"/>
        <v/>
      </c>
      <c r="CZ24" s="114" t="str">
        <f t="shared" ca="1" si="161"/>
        <v/>
      </c>
      <c r="DA24" s="68" t="str">
        <f ca="1">IFERROR(IF(AND(ISNUMBER(Futs!$CG24), ISNUMBER($CV24)), Futs!$CG24 + $CV24, ""), "")</f>
        <v/>
      </c>
      <c r="DB24" s="46" t="str">
        <f ca="1">IFERROR(IF(AND(ISNUMBER(Futs!$CH24), ISNUMBER($CX24)), Futs!$CH24 + $CX24, ""), "")</f>
        <v/>
      </c>
      <c r="DC24" s="68" t="str">
        <f t="shared" ca="1" si="162"/>
        <v/>
      </c>
      <c r="DD24" s="111" t="str">
        <f t="shared" ca="1" si="163"/>
        <v/>
      </c>
      <c r="DE24" s="400" t="str">
        <f ca="1">IFERROR(INDEX(ICE[], MATCH("go01ccmdiff" &amp; TEXT(Crd!$A24, "mmmyy"), ICE[LongCode], 0), MATCH("ICE Theoretical Price", ICE[#Headers], 0)), "")</f>
        <v/>
      </c>
      <c r="DF24" s="372" t="str">
        <f ca="1">IFERROR(INDEX(ICE[], MATCH("go01ccmdiff" &amp; TEXT(Mid!$A24, "mmmyy"), ICE[LongCode], 0), MATCH("Text", ICE[#Headers], 0)), "")</f>
        <v xml:space="preserve"> /  </v>
      </c>
      <c r="DG24" s="46" t="str">
        <f t="shared" ca="1" si="118"/>
        <v/>
      </c>
      <c r="DH24" s="68" t="str">
        <f t="shared" ca="1" si="164"/>
        <v/>
      </c>
      <c r="DI24" s="114" t="str">
        <f t="shared" ca="1" si="165"/>
        <v/>
      </c>
      <c r="DJ24" s="68" t="str">
        <f ca="1">IFERROR(IF(AND(ISNUMBER(Futs!$CG24), ISNUMBER($DE24)), Futs!$CG24 + $DE24, ""), "")</f>
        <v/>
      </c>
      <c r="DK24" s="46" t="str">
        <f ca="1">IFERROR(IF(AND(ISNUMBER(Futs!$CH24), ISNUMBER($DG24)), Futs!$CH24 + $DG24, ""), "")</f>
        <v/>
      </c>
      <c r="DL24" s="68" t="str">
        <f t="shared" ca="1" si="166"/>
        <v/>
      </c>
      <c r="DM24" s="111" t="str">
        <f t="shared" ca="1" si="167"/>
        <v/>
      </c>
      <c r="DN24" s="400" t="str">
        <f ca="1">IFERROR(INDEX(ICE[], MATCH("ulsdgc" &amp; TEXT(Crd!$A24, "mmmyy"), ICE[LongCode], 0), MATCH("ICE Theoretical Price", ICE[#Headers], 0))*100, "")</f>
        <v/>
      </c>
      <c r="DO24" s="372" t="str">
        <f ca="1">IFERROR(INDEX(ICE[], MATCH("ulsdgc" &amp; TEXT(Mid!$A24, "mmmyy"), ICE[LongCode], 0), MATCH("Text", ICE[#Headers], 0)), "")</f>
        <v xml:space="preserve"> /  </v>
      </c>
      <c r="DP24" s="46" t="str">
        <f t="shared" ca="1" si="119"/>
        <v/>
      </c>
      <c r="DQ24" s="68" t="str">
        <f t="shared" ca="1" si="168"/>
        <v/>
      </c>
      <c r="DR24" s="114" t="str">
        <f t="shared" ca="1" si="169"/>
        <v/>
      </c>
      <c r="DS24" s="68" t="str">
        <f ca="1">IFERROR(IF(AND(ISNUMBER(Futs!$CK24), ISNUMBER($DN24)), Futs!$CK24 + $DN24, ""), "")</f>
        <v/>
      </c>
      <c r="DT24" s="46" t="str">
        <f ca="1">IFERROR(IF(AND(ISNUMBER(Futs!$CL24), ISNUMBER($DP24)), Futs!$CL24 + $DP24, ""), "")</f>
        <v/>
      </c>
      <c r="DU24" s="68" t="str">
        <f t="shared" ca="1" si="170"/>
        <v/>
      </c>
      <c r="DV24" s="111" t="str">
        <f t="shared" ca="1" si="171"/>
        <v/>
      </c>
    </row>
    <row r="25" spans="1:126" x14ac:dyDescent="0.25">
      <c r="A25" s="58">
        <f t="shared" ca="1" si="123"/>
        <v>46447</v>
      </c>
      <c r="B25" s="6">
        <f t="shared" ca="1" si="102"/>
        <v>2027</v>
      </c>
      <c r="C25" s="6" t="str">
        <f t="shared" ca="1" si="120"/>
        <v>Q127</v>
      </c>
      <c r="D25" s="28">
        <f ca="1">INDEX(ICE[], MATCH(D$18 &amp; TEXT(Mid!$A25, "mmmyy"), ICE[LongCode], 0), MATCH("Settle", ICE[#Headers], 0))</f>
        <v>100</v>
      </c>
      <c r="E25" s="28">
        <f ca="1">INDEX(ICE[], MATCH(E$18 &amp; TEXT(Mid!$A25, "mmmyy"), ICE[LongCode], 0), MATCH("Settle", ICE[#Headers], 0))</f>
        <v>-60.702000000000005</v>
      </c>
      <c r="F25" s="28">
        <f ca="1">INDEX(ICE[], MATCH(F$18 &amp; TEXT(Mid!$A25, "mmmyy"), ICE[LongCode], 0), MATCH("Settle", ICE[#Headers], 0))</f>
        <v>2.35</v>
      </c>
      <c r="G25" s="28">
        <f ca="1">INDEX(ICE[], MATCH(G$18 &amp; TEXT(Mid!$A25, "mmmyy"), ICE[LongCode], 0), MATCH("Settle", ICE[#Headers], 0))</f>
        <v>16.5</v>
      </c>
      <c r="H25" s="28">
        <f ca="1">INDEX(ICE[], MATCH(H$18 &amp; TEXT(Mid!$A25, "mmmyy"), ICE[LongCode], 0), MATCH("Settle", ICE[#Headers], 0))</f>
        <v>24.5</v>
      </c>
      <c r="I25" s="28">
        <f ca="1">INDEX(ICE[], MATCH(I$18 &amp; TEXT(Mid!$A25, "mmmyy"), ICE[LongCode], 0), MATCH("Settle", ICE[#Headers], 0))</f>
        <v>22</v>
      </c>
      <c r="J25" s="28">
        <f ca="1">INDEX(ICE[], MATCH(J$18 &amp; TEXT(Mid!$A25, "mmmyy"), ICE[LongCode], 0), MATCH("Settle", ICE[#Headers], 0))</f>
        <v>-31</v>
      </c>
      <c r="K25" s="28">
        <f ca="1">INDEX(ICE[], MATCH(K$18 &amp; TEXT(Mid!$A25, "mmmyy"), ICE[LongCode], 0), MATCH("Settle", ICE[#Headers], 0))</f>
        <v>-9</v>
      </c>
      <c r="L25" s="28">
        <f ca="1">INDEX(ICE[], MATCH(L$18 &amp; TEXT(Mid!$A25, "mmmyy"), ICE[LongCode], 0), MATCH("Settle", ICE[#Headers], 0))</f>
        <v>1.5</v>
      </c>
      <c r="M25" s="28">
        <f ca="1">INDEX(ICE[], MATCH(M$18 &amp; TEXT(Mid!$A25, "mmmyy"), ICE[LongCode], 0), MATCH("Settle", ICE[#Headers], 0))</f>
        <v>-7.46</v>
      </c>
      <c r="N25" s="28">
        <f ca="1">INDEX(ICE[], MATCH(N$18 &amp; TEXT(Mid!$A25, "mmmyy"), ICE[LongCode], 0), MATCH("Settle", ICE[#Headers], 0))*100</f>
        <v>-10.63</v>
      </c>
      <c r="O25" s="397" t="str">
        <f ca="1">IFERROR(INDEX(ICE[], MATCH("jetccndiff" &amp; TEXT(Crd!$A25, "mmmyy"), ICE[LongCode], 0), MATCH("ICE Theoretical Price", ICE[#Headers], 0)), "")</f>
        <v/>
      </c>
      <c r="P25" s="372" t="str">
        <f ca="1">IFERROR(INDEX(ICE[], MATCH("jetccndiff" &amp; TEXT(Mid!$A25, "mmmyy"), ICE[LongCode], 0), MATCH("Text", ICE[#Headers], 0)), "")</f>
        <v xml:space="preserve"> /  </v>
      </c>
      <c r="Q25" s="46" t="str">
        <f t="shared" ca="1" si="103"/>
        <v/>
      </c>
      <c r="R25" s="47" t="str">
        <f t="shared" ca="1" si="121"/>
        <v/>
      </c>
      <c r="S25" s="114" t="str">
        <f t="shared" ca="1" si="124"/>
        <v/>
      </c>
      <c r="T25" s="49" t="str">
        <f ca="1">IFERROR(IF(AND(ISNUMBER(Futs!$CG25), ISNUMBER($O25)), Futs!$CG25 + $O25, ""), "")</f>
        <v/>
      </c>
      <c r="U25" s="46" t="str">
        <f ca="1">IFERROR(IF(AND(ISNUMBER(Futs!$CH25), ISNUMBER($Q25)), Futs!$CH25 + $Q25, ""), "")</f>
        <v/>
      </c>
      <c r="V25" s="47" t="str">
        <f t="shared" ca="1" si="125"/>
        <v/>
      </c>
      <c r="W25" s="46" t="str">
        <f t="shared" ca="1" si="126"/>
        <v/>
      </c>
      <c r="X25" s="427" t="str">
        <f ca="1">IFERROR(IF(AND(ISNUMBER(Futs!$CC25), ISNUMBER($T25)), $T25/7.88 - Futs!$CC25, ""), "")</f>
        <v/>
      </c>
      <c r="Y25" s="46" t="str">
        <f ca="1">IFERROR(IF(AND(ISNUMBER(Futs!$DV25), ISNUMBER($Q25)), Futs!$DV25 + $Q25/7.88, ""), "")</f>
        <v/>
      </c>
      <c r="Z25" s="47" t="str">
        <f t="shared" ca="1" si="127"/>
        <v/>
      </c>
      <c r="AA25" s="111" t="str">
        <f t="shared" ca="1" si="128"/>
        <v/>
      </c>
      <c r="AB25" s="400" t="str">
        <f ca="1">IFERROR(INDEX(ICE[], MATCH("goew" &amp; TEXT(Crd!$A25, "mmmyy"), ICE[LongCode], 0), MATCH("ICE Theoretical Price", ICE[#Headers], 0)), "")</f>
        <v/>
      </c>
      <c r="AC25" s="372" t="str">
        <f ca="1">IFERROR(INDEX(ICE[], MATCH("goew" &amp; TEXT(Mid!$A25, "mmmyy"), ICE[LongCode], 0), MATCH("Text", ICE[#Headers], 0)), "")</f>
        <v xml:space="preserve"> /   |20x</v>
      </c>
      <c r="AD25" s="46" t="str">
        <f t="shared" ca="1" si="104"/>
        <v/>
      </c>
      <c r="AE25" s="68" t="str">
        <f t="shared" ca="1" si="129"/>
        <v/>
      </c>
      <c r="AF25" s="46" t="str">
        <f t="shared" ca="1" si="130"/>
        <v/>
      </c>
      <c r="AG25" s="265" t="str">
        <f ca="1">IFERROR(IF(AND(ISNUMBER(Futs!$BM25), ISNUMBER($AH25)), $AH25*7.45 - Futs!$BM25, ""), "")</f>
        <v/>
      </c>
      <c r="AH25" s="187" t="str">
        <f ca="1">IFERROR(IF(AND(ISNUMBER(Futs!$CG25), ISNUMBER($AB25)), (Futs!$CG25 + $AB25)/7.45, ""), "")</f>
        <v/>
      </c>
      <c r="AI25" s="46" t="str">
        <f ca="1">IFERROR(IF(AND(ISNUMBER(Futs!$CH25), ISNUMBER($AD25)), (Futs!$CH25 + $AD25)/7.45, ""), "")</f>
        <v/>
      </c>
      <c r="AJ25" s="68" t="str">
        <f t="shared" ca="1" si="131"/>
        <v/>
      </c>
      <c r="AK25" s="364" t="str">
        <f ca="1">IFERROR(INDEX(ICE[], MATCH("gosing" &amp; TEXT(Crd!$A24, "mmmyy") &amp; "/" &amp; TEXT(Crd!$A25, "mmmyy"), ICE[LongCode], 0), MATCH("Text", ICE[#Headers], 0)), "")</f>
        <v/>
      </c>
      <c r="AL25" s="46" t="str">
        <f t="shared" ca="1" si="132"/>
        <v/>
      </c>
      <c r="AM25" s="427" t="str">
        <f ca="1">IFERROR(IF(AND(ISNUMBER(Futs!$CC25), ISNUMBER($AH25)), $AH25 - Futs!$CC25, ""), "")</f>
        <v/>
      </c>
      <c r="AN25" s="46" t="str">
        <f ca="1">IFERROR(IF(AND(ISNUMBER(Futs!$DV25), ISNUMBER($AD25)), $AD25/7.45 + Futs!$DV25, ""), "")</f>
        <v/>
      </c>
      <c r="AO25" s="47" t="str">
        <f t="shared" ca="1" si="133"/>
        <v/>
      </c>
      <c r="AP25" s="111" t="str">
        <f t="shared" ca="1" si="134"/>
        <v/>
      </c>
      <c r="AQ25" s="400">
        <f t="shared" ca="1" si="105"/>
        <v>-7.46</v>
      </c>
      <c r="AR25" s="46">
        <f t="shared" ca="1" si="106"/>
        <v>0</v>
      </c>
      <c r="AS25" s="68">
        <f t="shared" ca="1" si="135"/>
        <v>-0.16000000000000014</v>
      </c>
      <c r="AT25" s="46">
        <f t="shared" ca="1" si="136"/>
        <v>0</v>
      </c>
      <c r="AU25" s="271" t="str">
        <f t="shared" ca="1" si="107"/>
        <v/>
      </c>
      <c r="AV25" s="46" t="str">
        <f t="shared" ca="1" si="108"/>
        <v/>
      </c>
      <c r="AW25" s="68" t="str">
        <f t="shared" ca="1" si="137"/>
        <v/>
      </c>
      <c r="AX25" s="111" t="str">
        <f t="shared" ca="1" si="138"/>
        <v/>
      </c>
      <c r="AY25" s="400" t="str">
        <f ca="1">IFERROR(INDEX(ICE[], MATCH("regrade" &amp; TEXT(Crd!$A25, "mmmyy"), ICE[LongCode], 0), MATCH("ICE Theoretical Price", ICE[#Headers], 0)), "")</f>
        <v/>
      </c>
      <c r="AZ25" s="372" t="str">
        <f ca="1">IFERROR(INDEX(ICE[], MATCH("regrade" &amp; TEXT(Mid!$A25, "mmmyy"), ICE[LongCode], 0), MATCH("Text", ICE[#Headers], 0)), "")</f>
        <v xml:space="preserve"> /  </v>
      </c>
      <c r="BA25" s="46" t="str">
        <f t="shared" ca="1" si="109"/>
        <v/>
      </c>
      <c r="BB25" s="68" t="str">
        <f t="shared" ca="1" si="172"/>
        <v/>
      </c>
      <c r="BC25" s="114" t="str">
        <f t="shared" ca="1" si="139"/>
        <v/>
      </c>
      <c r="BD25" s="68" t="str">
        <f t="shared" ca="1" si="110"/>
        <v/>
      </c>
      <c r="BE25" s="46" t="str">
        <f t="shared" ca="1" si="111"/>
        <v/>
      </c>
      <c r="BF25" s="68" t="str">
        <f t="shared" ca="1" si="140"/>
        <v/>
      </c>
      <c r="BG25" s="111" t="str">
        <f t="shared" ca="1" si="141"/>
        <v/>
      </c>
      <c r="BH25" s="68" t="str">
        <f t="shared" ca="1" si="122"/>
        <v/>
      </c>
      <c r="BI25" s="46" t="str">
        <f t="shared" ca="1" si="112"/>
        <v/>
      </c>
      <c r="BJ25" s="68" t="str">
        <f t="shared" ca="1" si="142"/>
        <v/>
      </c>
      <c r="BK25" s="111" t="str">
        <f t="shared" ca="1" si="143"/>
        <v/>
      </c>
      <c r="BL25" s="400" t="str">
        <f ca="1">IFERROR(INDEX(ICE[], MATCH("ulsdaradiff" &amp; TEXT(Crd!$A25, "mmmyy"), ICE[LongCode], 0), MATCH("ICE Theoretical Price", ICE[#Headers], 0)), "")</f>
        <v/>
      </c>
      <c r="BM25" s="372" t="str">
        <f ca="1">IFERROR(INDEX(ICE[], MATCH("ulsdaradiff" &amp; TEXT(Mid!$A25, "mmmyy"), ICE[LongCode], 0), MATCH("Text", ICE[#Headers], 0)), "")</f>
        <v xml:space="preserve"> /  </v>
      </c>
      <c r="BN25" s="46" t="str">
        <f t="shared" ca="1" si="113"/>
        <v/>
      </c>
      <c r="BO25" s="68" t="str">
        <f t="shared" ca="1" si="144"/>
        <v/>
      </c>
      <c r="BP25" s="114" t="str">
        <f t="shared" ca="1" si="145"/>
        <v/>
      </c>
      <c r="BQ25" s="68" t="str">
        <f ca="1">IFERROR(IF(AND(ISNUMBER(Futs!$CG25), ISNUMBER($BL25)), Futs!$CG25 + $BL25, ""), "")</f>
        <v/>
      </c>
      <c r="BR25" s="46" t="str">
        <f ca="1">IFERROR(IF(AND(ISNUMBER(Futs!$CH25), ISNUMBER($BN25)), Futs!$CH25 + $BN25, ""), "")</f>
        <v/>
      </c>
      <c r="BS25" s="68" t="str">
        <f t="shared" ca="1" si="146"/>
        <v/>
      </c>
      <c r="BT25" s="111" t="str">
        <f t="shared" ca="1" si="147"/>
        <v/>
      </c>
      <c r="BU25" s="400" t="str">
        <f ca="1">IFERROR(INDEX(ICE[], MATCH("ulsdccndiff" &amp; TEXT(Crd!$A25, "mmmyy"), ICE[LongCode], 0), MATCH("ICE Theoretical Price", ICE[#Headers], 0)), "")</f>
        <v/>
      </c>
      <c r="BV25" s="372" t="str">
        <f ca="1">IFERROR(INDEX(ICE[], MATCH("ulsdccndiff" &amp; TEXT(Mid!$A25, "mmmyy"), ICE[LongCode], 0), MATCH("Text", ICE[#Headers], 0)), "")</f>
        <v xml:space="preserve"> /  </v>
      </c>
      <c r="BW25" s="46" t="str">
        <f t="shared" ca="1" si="114"/>
        <v/>
      </c>
      <c r="BX25" s="68" t="str">
        <f t="shared" ca="1" si="148"/>
        <v/>
      </c>
      <c r="BY25" s="114" t="str">
        <f t="shared" ca="1" si="149"/>
        <v/>
      </c>
      <c r="BZ25" s="68" t="str">
        <f ca="1">IFERROR(IF(AND(ISNUMBER(Futs!$CG25), ISNUMBER($BU25)), Futs!$CG25 + $BU25, ""), "")</f>
        <v/>
      </c>
      <c r="CA25" s="46" t="str">
        <f ca="1">IFERROR(IF(AND(ISNUMBER(Futs!$CH25), ISNUMBER($BW25)), Futs!$CH25 + $BW25, ""), "")</f>
        <v/>
      </c>
      <c r="CB25" s="68" t="str">
        <f t="shared" ca="1" si="150"/>
        <v/>
      </c>
      <c r="CC25" s="111" t="str">
        <f t="shared" ca="1" si="151"/>
        <v/>
      </c>
      <c r="CD25" s="400" t="str">
        <f ca="1">IFERROR(INDEX(ICE[], MATCH("ulsdccmdiff" &amp; TEXT(Crd!$A25, "mmmyy"), ICE[LongCode], 0), MATCH("ICE Theoretical Price", ICE[#Headers], 0)), "")</f>
        <v/>
      </c>
      <c r="CE25" s="372" t="str">
        <f ca="1">IFERROR(INDEX(ICE[], MATCH("ulsdccmdiff" &amp; TEXT(Mid!$A25, "mmmyy"), ICE[LongCode], 0), MATCH("Text", ICE[#Headers], 0)), "")</f>
        <v xml:space="preserve"> /  </v>
      </c>
      <c r="CF25" s="46" t="str">
        <f t="shared" ca="1" si="115"/>
        <v/>
      </c>
      <c r="CG25" s="68" t="str">
        <f t="shared" ca="1" si="152"/>
        <v/>
      </c>
      <c r="CH25" s="114" t="str">
        <f t="shared" ca="1" si="153"/>
        <v/>
      </c>
      <c r="CI25" s="68" t="str">
        <f ca="1">IFERROR(IF(AND(ISNUMBER(Futs!$CG25), ISNUMBER($CD25)), Futs!$CG25 + $CD25, ""), "")</f>
        <v/>
      </c>
      <c r="CJ25" s="67" t="str">
        <f ca="1">IFERROR(IF(AND(ISNUMBER(Futs!$CH25), ISNUMBER($CF25)), Futs!$CH25 + $CF25, ""), "")</f>
        <v/>
      </c>
      <c r="CK25" s="68" t="str">
        <f t="shared" ca="1" si="154"/>
        <v/>
      </c>
      <c r="CL25" s="111" t="str">
        <f t="shared" ca="1" si="155"/>
        <v/>
      </c>
      <c r="CM25" s="400" t="str">
        <f ca="1">IFERROR(INDEX(ICE[], MATCH("go01bfrdiff" &amp; TEXT(Crd!$A25, "mmmyy"), ICE[LongCode], 0), MATCH("ICE Theoretical Price", ICE[#Headers], 0)), "")</f>
        <v/>
      </c>
      <c r="CN25" s="372" t="str">
        <f ca="1">IFERROR(INDEX(ICE[], MATCH("go01bfrdiff" &amp; TEXT(Mid!$A25, "mmmyy"), ICE[LongCode], 0), MATCH("Text", ICE[#Headers], 0)), "")</f>
        <v xml:space="preserve"> /  </v>
      </c>
      <c r="CO25" s="46" t="str">
        <f t="shared" ca="1" si="116"/>
        <v/>
      </c>
      <c r="CP25" s="68" t="str">
        <f t="shared" ca="1" si="156"/>
        <v/>
      </c>
      <c r="CQ25" s="114" t="str">
        <f t="shared" ca="1" si="157"/>
        <v/>
      </c>
      <c r="CR25" s="68" t="str">
        <f ca="1">IFERROR(IF(AND(ISNUMBER(Futs!$CG25), ISNUMBER($CM25)), Futs!$CG25 + $CM25, ""), "")</f>
        <v/>
      </c>
      <c r="CS25" s="46" t="str">
        <f ca="1">IFERROR(IF(AND(ISNUMBER(Futs!$CH25), ISNUMBER($CO25)), Futs!$CH25 + $CO25, ""), "")</f>
        <v/>
      </c>
      <c r="CT25" s="68" t="str">
        <f t="shared" ca="1" si="158"/>
        <v/>
      </c>
      <c r="CU25" s="111" t="str">
        <f t="shared" ca="1" si="159"/>
        <v/>
      </c>
      <c r="CV25" s="400" t="str">
        <f ca="1">IFERROR(INDEX(ICE[], MATCH("go01ccndiff" &amp; TEXT(Crd!$A25, "mmmyy"), ICE[LongCode], 0), MATCH("ICE Theoretical Price", ICE[#Headers], 0)), "")</f>
        <v/>
      </c>
      <c r="CW25" s="372" t="str">
        <f ca="1">IFERROR(INDEX(ICE[], MATCH("go01ccndiff" &amp; TEXT(Mid!$A25, "mmmyy"), ICE[LongCode], 0), MATCH("Text", ICE[#Headers], 0)), "")</f>
        <v xml:space="preserve"> /  </v>
      </c>
      <c r="CX25" s="46" t="str">
        <f t="shared" ca="1" si="117"/>
        <v/>
      </c>
      <c r="CY25" s="68" t="str">
        <f t="shared" ca="1" si="160"/>
        <v/>
      </c>
      <c r="CZ25" s="114" t="str">
        <f t="shared" ca="1" si="161"/>
        <v/>
      </c>
      <c r="DA25" s="68" t="str">
        <f ca="1">IFERROR(IF(AND(ISNUMBER(Futs!$CG25), ISNUMBER($CV25)), Futs!$CG25 + $CV25, ""), "")</f>
        <v/>
      </c>
      <c r="DB25" s="46" t="str">
        <f ca="1">IFERROR(IF(AND(ISNUMBER(Futs!$CH25), ISNUMBER($CX25)), Futs!$CH25 + $CX25, ""), "")</f>
        <v/>
      </c>
      <c r="DC25" s="68" t="str">
        <f t="shared" ca="1" si="162"/>
        <v/>
      </c>
      <c r="DD25" s="111" t="str">
        <f t="shared" ca="1" si="163"/>
        <v/>
      </c>
      <c r="DE25" s="400" t="str">
        <f ca="1">IFERROR(INDEX(ICE[], MATCH("go01ccmdiff" &amp; TEXT(Crd!$A25, "mmmyy"), ICE[LongCode], 0), MATCH("ICE Theoretical Price", ICE[#Headers], 0)), "")</f>
        <v/>
      </c>
      <c r="DF25" s="372" t="str">
        <f ca="1">IFERROR(INDEX(ICE[], MATCH("go01ccmdiff" &amp; TEXT(Mid!$A25, "mmmyy"), ICE[LongCode], 0), MATCH("Text", ICE[#Headers], 0)), "")</f>
        <v xml:space="preserve"> /  </v>
      </c>
      <c r="DG25" s="46" t="str">
        <f t="shared" ca="1" si="118"/>
        <v/>
      </c>
      <c r="DH25" s="68" t="str">
        <f t="shared" ca="1" si="164"/>
        <v/>
      </c>
      <c r="DI25" s="114" t="str">
        <f t="shared" ca="1" si="165"/>
        <v/>
      </c>
      <c r="DJ25" s="68" t="str">
        <f ca="1">IFERROR(IF(AND(ISNUMBER(Futs!$CG25), ISNUMBER($DE25)), Futs!$CG25 + $DE25, ""), "")</f>
        <v/>
      </c>
      <c r="DK25" s="46" t="str">
        <f ca="1">IFERROR(IF(AND(ISNUMBER(Futs!$CH25), ISNUMBER($DG25)), Futs!$CH25 + $DG25, ""), "")</f>
        <v/>
      </c>
      <c r="DL25" s="68" t="str">
        <f t="shared" ca="1" si="166"/>
        <v/>
      </c>
      <c r="DM25" s="111" t="str">
        <f t="shared" ca="1" si="167"/>
        <v/>
      </c>
      <c r="DN25" s="400" t="str">
        <f ca="1">IFERROR(INDEX(ICE[], MATCH("ulsdgc" &amp; TEXT(Crd!$A25, "mmmyy"), ICE[LongCode], 0), MATCH("ICE Theoretical Price", ICE[#Headers], 0))*100, "")</f>
        <v/>
      </c>
      <c r="DO25" s="372" t="str">
        <f ca="1">IFERROR(INDEX(ICE[], MATCH("ulsdgc" &amp; TEXT(Mid!$A25, "mmmyy"), ICE[LongCode], 0), MATCH("Text", ICE[#Headers], 0)), "")</f>
        <v xml:space="preserve"> /  </v>
      </c>
      <c r="DP25" s="46" t="str">
        <f t="shared" ca="1" si="119"/>
        <v/>
      </c>
      <c r="DQ25" s="68" t="str">
        <f t="shared" ca="1" si="168"/>
        <v/>
      </c>
      <c r="DR25" s="114" t="str">
        <f t="shared" ca="1" si="169"/>
        <v/>
      </c>
      <c r="DS25" s="68" t="str">
        <f ca="1">IFERROR(IF(AND(ISNUMBER(Futs!$CK25), ISNUMBER($DN25)), Futs!$CK25 + $DN25, ""), "")</f>
        <v/>
      </c>
      <c r="DT25" s="46" t="str">
        <f ca="1">IFERROR(IF(AND(ISNUMBER(Futs!$CL25), ISNUMBER($DP25)), Futs!$CL25 + $DP25, ""), "")</f>
        <v/>
      </c>
      <c r="DU25" s="68" t="str">
        <f t="shared" ca="1" si="170"/>
        <v/>
      </c>
      <c r="DV25" s="111" t="str">
        <f t="shared" ca="1" si="171"/>
        <v/>
      </c>
    </row>
    <row r="26" spans="1:126" x14ac:dyDescent="0.25">
      <c r="A26" s="58">
        <f t="shared" ca="1" si="123"/>
        <v>46478</v>
      </c>
      <c r="B26" s="6">
        <f t="shared" ca="1" si="102"/>
        <v>2027</v>
      </c>
      <c r="C26" s="6" t="str">
        <f t="shared" ca="1" si="120"/>
        <v>Q227</v>
      </c>
      <c r="D26" s="28">
        <f ca="1">INDEX(ICE[], MATCH(D$18 &amp; TEXT(Mid!$A26, "mmmyy"), ICE[LongCode], 0), MATCH("Settle", ICE[#Headers], 0))</f>
        <v>98</v>
      </c>
      <c r="E26" s="28">
        <f ca="1">INDEX(ICE[], MATCH(E$18 &amp; TEXT(Mid!$A26, "mmmyy"), ICE[LongCode], 0), MATCH("Settle", ICE[#Headers], 0))</f>
        <v>-54.024000000000001</v>
      </c>
      <c r="F26" s="28">
        <f ca="1">INDEX(ICE[], MATCH(F$18 &amp; TEXT(Mid!$A26, "mmmyy"), ICE[LongCode], 0), MATCH("Settle", ICE[#Headers], 0))</f>
        <v>2</v>
      </c>
      <c r="G26" s="28">
        <f ca="1">INDEX(ICE[], MATCH(G$18 &amp; TEXT(Mid!$A26, "mmmyy"), ICE[LongCode], 0), MATCH("Settle", ICE[#Headers], 0))</f>
        <v>11.5</v>
      </c>
      <c r="H26" s="28">
        <f ca="1">INDEX(ICE[], MATCH(H$18 &amp; TEXT(Mid!$A26, "mmmyy"), ICE[LongCode], 0), MATCH("Settle", ICE[#Headers], 0))</f>
        <v>20</v>
      </c>
      <c r="I26" s="28">
        <f ca="1">INDEX(ICE[], MATCH(I$18 &amp; TEXT(Mid!$A26, "mmmyy"), ICE[LongCode], 0), MATCH("Settle", ICE[#Headers], 0))</f>
        <v>17.5</v>
      </c>
      <c r="J26" s="28">
        <f ca="1">INDEX(ICE[], MATCH(J$18 &amp; TEXT(Mid!$A26, "mmmyy"), ICE[LongCode], 0), MATCH("Settle", ICE[#Headers], 0))</f>
        <v>-29</v>
      </c>
      <c r="K26" s="28">
        <f ca="1">INDEX(ICE[], MATCH(K$18 &amp; TEXT(Mid!$A26, "mmmyy"), ICE[LongCode], 0), MATCH("Settle", ICE[#Headers], 0))</f>
        <v>-5</v>
      </c>
      <c r="L26" s="28">
        <f ca="1">INDEX(ICE[], MATCH(L$18 &amp; TEXT(Mid!$A26, "mmmyy"), ICE[LongCode], 0), MATCH("Settle", ICE[#Headers], 0))</f>
        <v>1</v>
      </c>
      <c r="M26" s="28">
        <f ca="1">INDEX(ICE[], MATCH(M$18 &amp; TEXT(Mid!$A26, "mmmyy"), ICE[LongCode], 0), MATCH("Settle", ICE[#Headers], 0))</f>
        <v>-6.32</v>
      </c>
      <c r="N26" s="28">
        <f ca="1">INDEX(ICE[], MATCH(N$18 &amp; TEXT(Mid!$A26, "mmmyy"), ICE[LongCode], 0), MATCH("Settle", ICE[#Headers], 0))*100</f>
        <v>-9.75</v>
      </c>
      <c r="O26" s="397" t="str">
        <f ca="1">IFERROR(INDEX(ICE[], MATCH("jetccndiff" &amp; TEXT(Crd!$A26, "mmmyy"), ICE[LongCode], 0), MATCH("ICE Theoretical Price", ICE[#Headers], 0)), "")</f>
        <v/>
      </c>
      <c r="P26" s="372" t="str">
        <f ca="1">IFERROR(INDEX(ICE[], MATCH("jetccndiff" &amp; TEXT(Mid!$A26, "mmmyy"), ICE[LongCode], 0), MATCH("Text", ICE[#Headers], 0)), "")</f>
        <v xml:space="preserve"> /  </v>
      </c>
      <c r="Q26" s="46" t="str">
        <f t="shared" ca="1" si="103"/>
        <v/>
      </c>
      <c r="R26" s="47" t="str">
        <f t="shared" ca="1" si="121"/>
        <v/>
      </c>
      <c r="S26" s="114" t="str">
        <f t="shared" ca="1" si="124"/>
        <v/>
      </c>
      <c r="T26" s="49" t="str">
        <f ca="1">IFERROR(IF(AND(ISNUMBER(Futs!$CG26), ISNUMBER($O26)), Futs!$CG26 + $O26, ""), "")</f>
        <v/>
      </c>
      <c r="U26" s="46" t="str">
        <f ca="1">IFERROR(IF(AND(ISNUMBER(Futs!$CH26), ISNUMBER($Q26)), Futs!$CH26 + $Q26, ""), "")</f>
        <v/>
      </c>
      <c r="V26" s="47" t="str">
        <f t="shared" ca="1" si="125"/>
        <v/>
      </c>
      <c r="W26" s="46" t="str">
        <f t="shared" ca="1" si="126"/>
        <v/>
      </c>
      <c r="X26" s="427" t="str">
        <f ca="1">IFERROR(IF(AND(ISNUMBER(Futs!$CC26), ISNUMBER($T26)), $T26/7.88 - Futs!$CC26, ""), "")</f>
        <v/>
      </c>
      <c r="Y26" s="46" t="str">
        <f ca="1">IFERROR(IF(AND(ISNUMBER(Futs!$DV26), ISNUMBER($Q26)), Futs!$DV26 + $Q26/7.88, ""), "")</f>
        <v/>
      </c>
      <c r="Z26" s="47" t="str">
        <f t="shared" ca="1" si="127"/>
        <v/>
      </c>
      <c r="AA26" s="111" t="str">
        <f t="shared" ca="1" si="128"/>
        <v/>
      </c>
      <c r="AB26" s="400" t="str">
        <f ca="1">IFERROR(INDEX(ICE[], MATCH("goew" &amp; TEXT(Crd!$A26, "mmmyy"), ICE[LongCode], 0), MATCH("ICE Theoretical Price", ICE[#Headers], 0)), "")</f>
        <v/>
      </c>
      <c r="AC26" s="372" t="str">
        <f ca="1">IFERROR(INDEX(ICE[], MATCH("goew" &amp; TEXT(Mid!$A26, "mmmyy"), ICE[LongCode], 0), MATCH("Text", ICE[#Headers], 0)), "")</f>
        <v xml:space="preserve"> /  {-48.50} |170x</v>
      </c>
      <c r="AD26" s="46" t="str">
        <f t="shared" ca="1" si="104"/>
        <v/>
      </c>
      <c r="AE26" s="68" t="str">
        <f t="shared" ca="1" si="129"/>
        <v/>
      </c>
      <c r="AF26" s="46" t="str">
        <f t="shared" ca="1" si="130"/>
        <v/>
      </c>
      <c r="AG26" s="265" t="str">
        <f ca="1">IFERROR(IF(AND(ISNUMBER(Futs!$BM26), ISNUMBER($AH26)), $AH26*7.45 - Futs!$BM26, ""), "")</f>
        <v/>
      </c>
      <c r="AH26" s="187" t="str">
        <f ca="1">IFERROR(IF(AND(ISNUMBER(Futs!$CG26), ISNUMBER($AB26)), (Futs!$CG26 + $AB26)/7.45, ""), "")</f>
        <v/>
      </c>
      <c r="AI26" s="46" t="str">
        <f ca="1">IFERROR(IF(AND(ISNUMBER(Futs!$CH26), ISNUMBER($AD26)), (Futs!$CH26 + $AD26)/7.45, ""), "")</f>
        <v/>
      </c>
      <c r="AJ26" s="68" t="str">
        <f t="shared" ca="1" si="131"/>
        <v/>
      </c>
      <c r="AK26" s="364" t="str">
        <f ca="1">IFERROR(INDEX(ICE[], MATCH("gosing" &amp; TEXT(Crd!$A25, "mmmyy") &amp; "/" &amp; TEXT(Crd!$A26, "mmmyy"), ICE[LongCode], 0), MATCH("Text", ICE[#Headers], 0)), "")</f>
        <v/>
      </c>
      <c r="AL26" s="46" t="str">
        <f t="shared" ca="1" si="132"/>
        <v/>
      </c>
      <c r="AM26" s="427" t="str">
        <f ca="1">IFERROR(IF(AND(ISNUMBER(Futs!$CC26), ISNUMBER($AH26)), $AH26 - Futs!$CC26, ""), "")</f>
        <v/>
      </c>
      <c r="AN26" s="46" t="str">
        <f ca="1">IFERROR(IF(AND(ISNUMBER(Futs!$DV26), ISNUMBER($AD26)), $AD26/7.45 + Futs!$DV26, ""), "")</f>
        <v/>
      </c>
      <c r="AO26" s="47" t="str">
        <f t="shared" ca="1" si="133"/>
        <v/>
      </c>
      <c r="AP26" s="111" t="str">
        <f t="shared" ca="1" si="134"/>
        <v/>
      </c>
      <c r="AQ26" s="400">
        <f t="shared" ca="1" si="105"/>
        <v>-6.32</v>
      </c>
      <c r="AR26" s="46">
        <f t="shared" ca="1" si="106"/>
        <v>0</v>
      </c>
      <c r="AS26" s="68">
        <f t="shared" ca="1" si="135"/>
        <v>-1.1399999999999997</v>
      </c>
      <c r="AT26" s="46">
        <f t="shared" ca="1" si="136"/>
        <v>0</v>
      </c>
      <c r="AU26" s="271" t="str">
        <f t="shared" ca="1" si="107"/>
        <v/>
      </c>
      <c r="AV26" s="46" t="str">
        <f t="shared" ca="1" si="108"/>
        <v/>
      </c>
      <c r="AW26" s="68" t="str">
        <f t="shared" ca="1" si="137"/>
        <v/>
      </c>
      <c r="AX26" s="111" t="str">
        <f t="shared" ca="1" si="138"/>
        <v/>
      </c>
      <c r="AY26" s="400" t="str">
        <f ca="1">IFERROR(INDEX(ICE[], MATCH("regrade" &amp; TEXT(Crd!$A26, "mmmyy"), ICE[LongCode], 0), MATCH("ICE Theoretical Price", ICE[#Headers], 0)), "")</f>
        <v/>
      </c>
      <c r="AZ26" s="372" t="str">
        <f ca="1">IFERROR(INDEX(ICE[], MATCH("regrade" &amp; TEXT(Mid!$A26, "mmmyy"), ICE[LongCode], 0), MATCH("Text", ICE[#Headers], 0)), "")</f>
        <v xml:space="preserve"> /  </v>
      </c>
      <c r="BA26" s="46" t="str">
        <f t="shared" ca="1" si="109"/>
        <v/>
      </c>
      <c r="BB26" s="68" t="str">
        <f t="shared" ca="1" si="172"/>
        <v/>
      </c>
      <c r="BC26" s="114" t="str">
        <f t="shared" ca="1" si="139"/>
        <v/>
      </c>
      <c r="BD26" s="68" t="str">
        <f t="shared" ca="1" si="110"/>
        <v/>
      </c>
      <c r="BE26" s="46" t="str">
        <f t="shared" ca="1" si="111"/>
        <v/>
      </c>
      <c r="BF26" s="68" t="str">
        <f t="shared" ca="1" si="140"/>
        <v/>
      </c>
      <c r="BG26" s="111" t="str">
        <f t="shared" ca="1" si="141"/>
        <v/>
      </c>
      <c r="BH26" s="68" t="str">
        <f t="shared" ca="1" si="122"/>
        <v/>
      </c>
      <c r="BI26" s="46" t="str">
        <f t="shared" ca="1" si="112"/>
        <v/>
      </c>
      <c r="BJ26" s="68" t="str">
        <f t="shared" ca="1" si="142"/>
        <v/>
      </c>
      <c r="BK26" s="111" t="str">
        <f t="shared" ca="1" si="143"/>
        <v/>
      </c>
      <c r="BL26" s="400" t="str">
        <f ca="1">IFERROR(INDEX(ICE[], MATCH("ulsdaradiff" &amp; TEXT(Crd!$A26, "mmmyy"), ICE[LongCode], 0), MATCH("ICE Theoretical Price", ICE[#Headers], 0)), "")</f>
        <v/>
      </c>
      <c r="BM26" s="372" t="str">
        <f ca="1">IFERROR(INDEX(ICE[], MATCH("ulsdaradiff" &amp; TEXT(Mid!$A26, "mmmyy"), ICE[LongCode], 0), MATCH("Text", ICE[#Headers], 0)), "")</f>
        <v xml:space="preserve"> /  </v>
      </c>
      <c r="BN26" s="46" t="str">
        <f t="shared" ca="1" si="113"/>
        <v/>
      </c>
      <c r="BO26" s="68" t="str">
        <f t="shared" ca="1" si="144"/>
        <v/>
      </c>
      <c r="BP26" s="114" t="str">
        <f t="shared" ca="1" si="145"/>
        <v/>
      </c>
      <c r="BQ26" s="68" t="str">
        <f ca="1">IFERROR(IF(AND(ISNUMBER(Futs!$CG26), ISNUMBER($BL26)), Futs!$CG26 + $BL26, ""), "")</f>
        <v/>
      </c>
      <c r="BR26" s="46" t="str">
        <f ca="1">IFERROR(IF(AND(ISNUMBER(Futs!$CH26), ISNUMBER($BN26)), Futs!$CH26 + $BN26, ""), "")</f>
        <v/>
      </c>
      <c r="BS26" s="68" t="str">
        <f t="shared" ca="1" si="146"/>
        <v/>
      </c>
      <c r="BT26" s="111" t="str">
        <f t="shared" ca="1" si="147"/>
        <v/>
      </c>
      <c r="BU26" s="400" t="str">
        <f ca="1">IFERROR(INDEX(ICE[], MATCH("ulsdccndiff" &amp; TEXT(Crd!$A26, "mmmyy"), ICE[LongCode], 0), MATCH("ICE Theoretical Price", ICE[#Headers], 0)), "")</f>
        <v/>
      </c>
      <c r="BV26" s="372" t="str">
        <f ca="1">IFERROR(INDEX(ICE[], MATCH("ulsdccndiff" &amp; TEXT(Mid!$A26, "mmmyy"), ICE[LongCode], 0), MATCH("Text", ICE[#Headers], 0)), "")</f>
        <v xml:space="preserve"> /  </v>
      </c>
      <c r="BW26" s="46" t="str">
        <f t="shared" ca="1" si="114"/>
        <v/>
      </c>
      <c r="BX26" s="68" t="str">
        <f t="shared" ca="1" si="148"/>
        <v/>
      </c>
      <c r="BY26" s="114" t="str">
        <f t="shared" ca="1" si="149"/>
        <v/>
      </c>
      <c r="BZ26" s="68" t="str">
        <f ca="1">IFERROR(IF(AND(ISNUMBER(Futs!$CG26), ISNUMBER($BU26)), Futs!$CG26 + $BU26, ""), "")</f>
        <v/>
      </c>
      <c r="CA26" s="46" t="str">
        <f ca="1">IFERROR(IF(AND(ISNUMBER(Futs!$CH26), ISNUMBER($BW26)), Futs!$CH26 + $BW26, ""), "")</f>
        <v/>
      </c>
      <c r="CB26" s="68" t="str">
        <f t="shared" ca="1" si="150"/>
        <v/>
      </c>
      <c r="CC26" s="111" t="str">
        <f t="shared" ca="1" si="151"/>
        <v/>
      </c>
      <c r="CD26" s="400" t="str">
        <f ca="1">IFERROR(INDEX(ICE[], MATCH("ulsdccmdiff" &amp; TEXT(Crd!$A26, "mmmyy"), ICE[LongCode], 0), MATCH("ICE Theoretical Price", ICE[#Headers], 0)), "")</f>
        <v/>
      </c>
      <c r="CE26" s="372" t="str">
        <f ca="1">IFERROR(INDEX(ICE[], MATCH("ulsdccmdiff" &amp; TEXT(Mid!$A26, "mmmyy"), ICE[LongCode], 0), MATCH("Text", ICE[#Headers], 0)), "")</f>
        <v xml:space="preserve"> /  </v>
      </c>
      <c r="CF26" s="46" t="str">
        <f t="shared" ca="1" si="115"/>
        <v/>
      </c>
      <c r="CG26" s="68" t="str">
        <f t="shared" ca="1" si="152"/>
        <v/>
      </c>
      <c r="CH26" s="114" t="str">
        <f t="shared" ca="1" si="153"/>
        <v/>
      </c>
      <c r="CI26" s="68" t="str">
        <f ca="1">IFERROR(IF(AND(ISNUMBER(Futs!$CG26), ISNUMBER($CD26)), Futs!$CG26 + $CD26, ""), "")</f>
        <v/>
      </c>
      <c r="CJ26" s="67" t="str">
        <f ca="1">IFERROR(IF(AND(ISNUMBER(Futs!$CH26), ISNUMBER($CF26)), Futs!$CH26 + $CF26, ""), "")</f>
        <v/>
      </c>
      <c r="CK26" s="68" t="str">
        <f t="shared" ca="1" si="154"/>
        <v/>
      </c>
      <c r="CL26" s="111" t="str">
        <f t="shared" ca="1" si="155"/>
        <v/>
      </c>
      <c r="CM26" s="400" t="str">
        <f ca="1">IFERROR(INDEX(ICE[], MATCH("go01bfrdiff" &amp; TEXT(Crd!$A26, "mmmyy"), ICE[LongCode], 0), MATCH("ICE Theoretical Price", ICE[#Headers], 0)), "")</f>
        <v/>
      </c>
      <c r="CN26" s="372" t="str">
        <f ca="1">IFERROR(INDEX(ICE[], MATCH("go01bfrdiff" &amp; TEXT(Mid!$A26, "mmmyy"), ICE[LongCode], 0), MATCH("Text", ICE[#Headers], 0)), "")</f>
        <v xml:space="preserve"> /  </v>
      </c>
      <c r="CO26" s="46" t="str">
        <f t="shared" ca="1" si="116"/>
        <v/>
      </c>
      <c r="CP26" s="68" t="str">
        <f t="shared" ca="1" si="156"/>
        <v/>
      </c>
      <c r="CQ26" s="114" t="str">
        <f t="shared" ca="1" si="157"/>
        <v/>
      </c>
      <c r="CR26" s="68" t="str">
        <f ca="1">IFERROR(IF(AND(ISNUMBER(Futs!$CG26), ISNUMBER($CM26)), Futs!$CG26 + $CM26, ""), "")</f>
        <v/>
      </c>
      <c r="CS26" s="46" t="str">
        <f ca="1">IFERROR(IF(AND(ISNUMBER(Futs!$CH26), ISNUMBER($CO26)), Futs!$CH26 + $CO26, ""), "")</f>
        <v/>
      </c>
      <c r="CT26" s="68" t="str">
        <f t="shared" ca="1" si="158"/>
        <v/>
      </c>
      <c r="CU26" s="111" t="str">
        <f t="shared" ca="1" si="159"/>
        <v/>
      </c>
      <c r="CV26" s="400" t="str">
        <f ca="1">IFERROR(INDEX(ICE[], MATCH("go01ccndiff" &amp; TEXT(Crd!$A26, "mmmyy"), ICE[LongCode], 0), MATCH("ICE Theoretical Price", ICE[#Headers], 0)), "")</f>
        <v/>
      </c>
      <c r="CW26" s="372" t="str">
        <f ca="1">IFERROR(INDEX(ICE[], MATCH("go01ccndiff" &amp; TEXT(Mid!$A26, "mmmyy"), ICE[LongCode], 0), MATCH("Text", ICE[#Headers], 0)), "")</f>
        <v xml:space="preserve"> /  </v>
      </c>
      <c r="CX26" s="46" t="str">
        <f t="shared" ca="1" si="117"/>
        <v/>
      </c>
      <c r="CY26" s="68" t="str">
        <f t="shared" ca="1" si="160"/>
        <v/>
      </c>
      <c r="CZ26" s="114" t="str">
        <f t="shared" ca="1" si="161"/>
        <v/>
      </c>
      <c r="DA26" s="68" t="str">
        <f ca="1">IFERROR(IF(AND(ISNUMBER(Futs!$CG26), ISNUMBER($CV26)), Futs!$CG26 + $CV26, ""), "")</f>
        <v/>
      </c>
      <c r="DB26" s="46" t="str">
        <f ca="1">IFERROR(IF(AND(ISNUMBER(Futs!$CH26), ISNUMBER($CX26)), Futs!$CH26 + $CX26, ""), "")</f>
        <v/>
      </c>
      <c r="DC26" s="68" t="str">
        <f t="shared" ca="1" si="162"/>
        <v/>
      </c>
      <c r="DD26" s="111" t="str">
        <f t="shared" ca="1" si="163"/>
        <v/>
      </c>
      <c r="DE26" s="400" t="str">
        <f ca="1">IFERROR(INDEX(ICE[], MATCH("go01ccmdiff" &amp; TEXT(Crd!$A26, "mmmyy"), ICE[LongCode], 0), MATCH("ICE Theoretical Price", ICE[#Headers], 0)), "")</f>
        <v/>
      </c>
      <c r="DF26" s="372" t="str">
        <f ca="1">IFERROR(INDEX(ICE[], MATCH("go01ccmdiff" &amp; TEXT(Mid!$A26, "mmmyy"), ICE[LongCode], 0), MATCH("Text", ICE[#Headers], 0)), "")</f>
        <v xml:space="preserve"> /  </v>
      </c>
      <c r="DG26" s="46" t="str">
        <f t="shared" ca="1" si="118"/>
        <v/>
      </c>
      <c r="DH26" s="68" t="str">
        <f t="shared" ca="1" si="164"/>
        <v/>
      </c>
      <c r="DI26" s="114" t="str">
        <f t="shared" ca="1" si="165"/>
        <v/>
      </c>
      <c r="DJ26" s="68" t="str">
        <f ca="1">IFERROR(IF(AND(ISNUMBER(Futs!$CG26), ISNUMBER($DE26)), Futs!$CG26 + $DE26, ""), "")</f>
        <v/>
      </c>
      <c r="DK26" s="46" t="str">
        <f ca="1">IFERROR(IF(AND(ISNUMBER(Futs!$CH26), ISNUMBER($DG26)), Futs!$CH26 + $DG26, ""), "")</f>
        <v/>
      </c>
      <c r="DL26" s="68" t="str">
        <f t="shared" ca="1" si="166"/>
        <v/>
      </c>
      <c r="DM26" s="111" t="str">
        <f t="shared" ca="1" si="167"/>
        <v/>
      </c>
      <c r="DN26" s="400" t="str">
        <f ca="1">IFERROR(INDEX(ICE[], MATCH("ulsdgc" &amp; TEXT(Crd!$A26, "mmmyy"), ICE[LongCode], 0), MATCH("ICE Theoretical Price", ICE[#Headers], 0))*100, "")</f>
        <v/>
      </c>
      <c r="DO26" s="372" t="str">
        <f ca="1">IFERROR(INDEX(ICE[], MATCH("ulsdgc" &amp; TEXT(Mid!$A26, "mmmyy"), ICE[LongCode], 0), MATCH("Text", ICE[#Headers], 0)), "")</f>
        <v xml:space="preserve"> /  </v>
      </c>
      <c r="DP26" s="46" t="str">
        <f t="shared" ca="1" si="119"/>
        <v/>
      </c>
      <c r="DQ26" s="68" t="str">
        <f t="shared" ca="1" si="168"/>
        <v/>
      </c>
      <c r="DR26" s="114" t="str">
        <f t="shared" ca="1" si="169"/>
        <v/>
      </c>
      <c r="DS26" s="68" t="str">
        <f ca="1">IFERROR(IF(AND(ISNUMBER(Futs!$CK26), ISNUMBER($DN26)), Futs!$CK26 + $DN26, ""), "")</f>
        <v/>
      </c>
      <c r="DT26" s="46" t="str">
        <f ca="1">IFERROR(IF(AND(ISNUMBER(Futs!$CL26), ISNUMBER($DP26)), Futs!$CL26 + $DP26, ""), "")</f>
        <v/>
      </c>
      <c r="DU26" s="68" t="str">
        <f t="shared" ca="1" si="170"/>
        <v/>
      </c>
      <c r="DV26" s="111" t="str">
        <f t="shared" ca="1" si="171"/>
        <v/>
      </c>
    </row>
    <row r="27" spans="1:126" x14ac:dyDescent="0.25">
      <c r="A27" s="58">
        <f t="shared" ca="1" si="123"/>
        <v>46508</v>
      </c>
      <c r="B27" s="6">
        <f t="shared" ca="1" si="102"/>
        <v>2027</v>
      </c>
      <c r="C27" s="6" t="str">
        <f t="shared" ca="1" si="120"/>
        <v>Q227</v>
      </c>
      <c r="D27" s="28">
        <f ca="1">INDEX(ICE[], MATCH(D$18 &amp; TEXT(Mid!$A27, "mmmyy"), ICE[LongCode], 0), MATCH("Settle", ICE[#Headers], 0))</f>
        <v>97</v>
      </c>
      <c r="E27" s="28">
        <f ca="1">INDEX(ICE[], MATCH(E$18 &amp; TEXT(Mid!$A27, "mmmyy"), ICE[LongCode], 0), MATCH("Settle", ICE[#Headers], 0))</f>
        <v>-50.528000000000006</v>
      </c>
      <c r="F27" s="28">
        <f ca="1">INDEX(ICE[], MATCH(F$18 &amp; TEXT(Mid!$A27, "mmmyy"), ICE[LongCode], 0), MATCH("Settle", ICE[#Headers], 0))</f>
        <v>1.9000000000000001</v>
      </c>
      <c r="G27" s="28">
        <f ca="1">INDEX(ICE[], MATCH(G$18 &amp; TEXT(Mid!$A27, "mmmyy"), ICE[LongCode], 0), MATCH("Settle", ICE[#Headers], 0))</f>
        <v>10.5</v>
      </c>
      <c r="H27" s="28">
        <f ca="1">INDEX(ICE[], MATCH(H$18 &amp; TEXT(Mid!$A27, "mmmyy"), ICE[LongCode], 0), MATCH("Settle", ICE[#Headers], 0))</f>
        <v>19</v>
      </c>
      <c r="I27" s="28">
        <f ca="1">INDEX(ICE[], MATCH(I$18 &amp; TEXT(Mid!$A27, "mmmyy"), ICE[LongCode], 0), MATCH("Settle", ICE[#Headers], 0))</f>
        <v>16.5</v>
      </c>
      <c r="J27" s="28">
        <f ca="1">INDEX(ICE[], MATCH(J$18 &amp; TEXT(Mid!$A27, "mmmyy"), ICE[LongCode], 0), MATCH("Settle", ICE[#Headers], 0))</f>
        <v>-29</v>
      </c>
      <c r="K27" s="28">
        <f ca="1">INDEX(ICE[], MATCH(K$18 &amp; TEXT(Mid!$A27, "mmmyy"), ICE[LongCode], 0), MATCH("Settle", ICE[#Headers], 0))</f>
        <v>-5</v>
      </c>
      <c r="L27" s="28">
        <f ca="1">INDEX(ICE[], MATCH(L$18 &amp; TEXT(Mid!$A27, "mmmyy"), ICE[LongCode], 0), MATCH("Settle", ICE[#Headers], 0))</f>
        <v>1</v>
      </c>
      <c r="M27" s="28">
        <f ca="1">INDEX(ICE[], MATCH(M$18 &amp; TEXT(Mid!$A27, "mmmyy"), ICE[LongCode], 0), MATCH("Settle", ICE[#Headers], 0))</f>
        <v>-6.32</v>
      </c>
      <c r="N27" s="28">
        <f ca="1">INDEX(ICE[], MATCH(N$18 &amp; TEXT(Mid!$A27, "mmmyy"), ICE[LongCode], 0), MATCH("Settle", ICE[#Headers], 0))*100</f>
        <v>-9</v>
      </c>
      <c r="O27" s="397" t="str">
        <f ca="1">IFERROR(INDEX(ICE[], MATCH("jetccndiff" &amp; TEXT(Crd!$A27, "mmmyy"), ICE[LongCode], 0), MATCH("ICE Theoretical Price", ICE[#Headers], 0)), "")</f>
        <v/>
      </c>
      <c r="P27" s="372" t="str">
        <f ca="1">IFERROR(INDEX(ICE[], MATCH("jetccndiff" &amp; TEXT(Mid!$A27, "mmmyy"), ICE[LongCode], 0), MATCH("Text", ICE[#Headers], 0)), "")</f>
        <v xml:space="preserve">93.00 /  </v>
      </c>
      <c r="Q27" s="46" t="str">
        <f t="shared" ca="1" si="103"/>
        <v/>
      </c>
      <c r="R27" s="47" t="str">
        <f t="shared" ca="1" si="121"/>
        <v/>
      </c>
      <c r="S27" s="114" t="str">
        <f t="shared" ca="1" si="124"/>
        <v/>
      </c>
      <c r="T27" s="49" t="str">
        <f ca="1">IFERROR(IF(AND(ISNUMBER(Futs!$CG27), ISNUMBER($O27)), Futs!$CG27 + $O27, ""), "")</f>
        <v/>
      </c>
      <c r="U27" s="46" t="str">
        <f ca="1">IFERROR(IF(AND(ISNUMBER(Futs!$CH27), ISNUMBER($Q27)), Futs!$CH27 + $Q27, ""), "")</f>
        <v/>
      </c>
      <c r="V27" s="47" t="str">
        <f t="shared" ca="1" si="125"/>
        <v/>
      </c>
      <c r="W27" s="46" t="str">
        <f t="shared" ca="1" si="126"/>
        <v/>
      </c>
      <c r="X27" s="427" t="str">
        <f ca="1">IFERROR(IF(AND(ISNUMBER(Futs!$CC27), ISNUMBER($T27)), $T27/7.88 - Futs!$CC27, ""), "")</f>
        <v/>
      </c>
      <c r="Y27" s="46" t="str">
        <f ca="1">IFERROR(IF(AND(ISNUMBER(Futs!$DV27), ISNUMBER($Q27)), Futs!$DV27 + $Q27/7.88, ""), "")</f>
        <v/>
      </c>
      <c r="Z27" s="47" t="str">
        <f t="shared" ca="1" si="127"/>
        <v/>
      </c>
      <c r="AA27" s="111" t="str">
        <f t="shared" ca="1" si="128"/>
        <v/>
      </c>
      <c r="AB27" s="400" t="str">
        <f ca="1">IFERROR(INDEX(ICE[], MATCH("goew" &amp; TEXT(Crd!$A27, "mmmyy"), ICE[LongCode], 0), MATCH("ICE Theoretical Price", ICE[#Headers], 0)), "")</f>
        <v/>
      </c>
      <c r="AC27" s="372" t="str">
        <f ca="1">IFERROR(INDEX(ICE[], MATCH("goew" &amp; TEXT(Mid!$A27, "mmmyy"), ICE[LongCode], 0), MATCH("Text", ICE[#Headers], 0)), "")</f>
        <v xml:space="preserve"> /   |20x</v>
      </c>
      <c r="AD27" s="46" t="str">
        <f t="shared" ca="1" si="104"/>
        <v/>
      </c>
      <c r="AE27" s="68" t="str">
        <f t="shared" ca="1" si="129"/>
        <v/>
      </c>
      <c r="AF27" s="46" t="str">
        <f t="shared" ca="1" si="130"/>
        <v/>
      </c>
      <c r="AG27" s="265" t="str">
        <f ca="1">IFERROR(IF(AND(ISNUMBER(Futs!$BM27), ISNUMBER($AH27)), $AH27*7.45 - Futs!$BM27, ""), "")</f>
        <v/>
      </c>
      <c r="AH27" s="187" t="str">
        <f ca="1">IFERROR(IF(AND(ISNUMBER(Futs!$CG27), ISNUMBER($AB27)), (Futs!$CG27 + $AB27)/7.45, ""), "")</f>
        <v/>
      </c>
      <c r="AI27" s="46" t="str">
        <f ca="1">IFERROR(IF(AND(ISNUMBER(Futs!$CH27), ISNUMBER($AD27)), (Futs!$CH27 + $AD27)/7.45, ""), "")</f>
        <v/>
      </c>
      <c r="AJ27" s="68" t="str">
        <f t="shared" ca="1" si="131"/>
        <v/>
      </c>
      <c r="AK27" s="364" t="str">
        <f ca="1">IFERROR(INDEX(ICE[], MATCH("gosing" &amp; TEXT(Crd!$A26, "mmmyy") &amp; "/" &amp; TEXT(Crd!$A27, "mmmyy"), ICE[LongCode], 0), MATCH("Text", ICE[#Headers], 0)), "")</f>
        <v/>
      </c>
      <c r="AL27" s="46" t="str">
        <f t="shared" ca="1" si="132"/>
        <v/>
      </c>
      <c r="AM27" s="427" t="str">
        <f ca="1">IFERROR(IF(AND(ISNUMBER(Futs!$CC27), ISNUMBER($AH27)), $AH27 - Futs!$CC27, ""), "")</f>
        <v/>
      </c>
      <c r="AN27" s="46" t="str">
        <f ca="1">IFERROR(IF(AND(ISNUMBER(Futs!$DV27), ISNUMBER($AD27)), $AD27/7.45 + Futs!$DV27, ""), "")</f>
        <v/>
      </c>
      <c r="AO27" s="47" t="str">
        <f t="shared" ca="1" si="133"/>
        <v/>
      </c>
      <c r="AP27" s="111" t="str">
        <f t="shared" ca="1" si="134"/>
        <v/>
      </c>
      <c r="AQ27" s="400">
        <f t="shared" ca="1" si="105"/>
        <v>-6.32</v>
      </c>
      <c r="AR27" s="46">
        <f t="shared" ca="1" si="106"/>
        <v>0</v>
      </c>
      <c r="AS27" s="68">
        <f t="shared" ca="1" si="135"/>
        <v>0</v>
      </c>
      <c r="AT27" s="46">
        <f t="shared" ca="1" si="136"/>
        <v>0</v>
      </c>
      <c r="AU27" s="271" t="str">
        <f t="shared" ca="1" si="107"/>
        <v/>
      </c>
      <c r="AV27" s="46" t="str">
        <f t="shared" ca="1" si="108"/>
        <v/>
      </c>
      <c r="AW27" s="68" t="str">
        <f t="shared" ca="1" si="137"/>
        <v/>
      </c>
      <c r="AX27" s="111" t="str">
        <f t="shared" ca="1" si="138"/>
        <v/>
      </c>
      <c r="AY27" s="400" t="str">
        <f ca="1">IFERROR(INDEX(ICE[], MATCH("regrade" &amp; TEXT(Crd!$A27, "mmmyy"), ICE[LongCode], 0), MATCH("ICE Theoretical Price", ICE[#Headers], 0)), "")</f>
        <v/>
      </c>
      <c r="AZ27" s="372" t="str">
        <f ca="1">IFERROR(INDEX(ICE[], MATCH("regrade" &amp; TEXT(Mid!$A27, "mmmyy"), ICE[LongCode], 0), MATCH("Text", ICE[#Headers], 0)), "")</f>
        <v xml:space="preserve"> /  </v>
      </c>
      <c r="BA27" s="46" t="str">
        <f t="shared" ca="1" si="109"/>
        <v/>
      </c>
      <c r="BB27" s="68" t="str">
        <f t="shared" ca="1" si="172"/>
        <v/>
      </c>
      <c r="BC27" s="114" t="str">
        <f t="shared" ca="1" si="139"/>
        <v/>
      </c>
      <c r="BD27" s="68" t="str">
        <f t="shared" ca="1" si="110"/>
        <v/>
      </c>
      <c r="BE27" s="46" t="str">
        <f t="shared" ca="1" si="111"/>
        <v/>
      </c>
      <c r="BF27" s="68" t="str">
        <f t="shared" ca="1" si="140"/>
        <v/>
      </c>
      <c r="BG27" s="111" t="str">
        <f t="shared" ca="1" si="141"/>
        <v/>
      </c>
      <c r="BH27" s="68" t="str">
        <f t="shared" ca="1" si="122"/>
        <v/>
      </c>
      <c r="BI27" s="46" t="str">
        <f t="shared" ca="1" si="112"/>
        <v/>
      </c>
      <c r="BJ27" s="68" t="str">
        <f t="shared" ca="1" si="142"/>
        <v/>
      </c>
      <c r="BK27" s="111" t="str">
        <f t="shared" ca="1" si="143"/>
        <v/>
      </c>
      <c r="BL27" s="400" t="str">
        <f ca="1">IFERROR(INDEX(ICE[], MATCH("ulsdaradiff" &amp; TEXT(Crd!$A27, "mmmyy"), ICE[LongCode], 0), MATCH("ICE Theoretical Price", ICE[#Headers], 0)), "")</f>
        <v/>
      </c>
      <c r="BM27" s="372" t="str">
        <f ca="1">IFERROR(INDEX(ICE[], MATCH("ulsdaradiff" &amp; TEXT(Mid!$A27, "mmmyy"), ICE[LongCode], 0), MATCH("Text", ICE[#Headers], 0)), "")</f>
        <v xml:space="preserve"> /  </v>
      </c>
      <c r="BN27" s="46" t="str">
        <f t="shared" ca="1" si="113"/>
        <v/>
      </c>
      <c r="BO27" s="68" t="str">
        <f t="shared" ca="1" si="144"/>
        <v/>
      </c>
      <c r="BP27" s="114" t="str">
        <f t="shared" ca="1" si="145"/>
        <v/>
      </c>
      <c r="BQ27" s="68" t="str">
        <f ca="1">IFERROR(IF(AND(ISNUMBER(Futs!$CG27), ISNUMBER($BL27)), Futs!$CG27 + $BL27, ""), "")</f>
        <v/>
      </c>
      <c r="BR27" s="46" t="str">
        <f ca="1">IFERROR(IF(AND(ISNUMBER(Futs!$CH27), ISNUMBER($BN27)), Futs!$CH27 + $BN27, ""), "")</f>
        <v/>
      </c>
      <c r="BS27" s="68" t="str">
        <f t="shared" ca="1" si="146"/>
        <v/>
      </c>
      <c r="BT27" s="111" t="str">
        <f t="shared" ca="1" si="147"/>
        <v/>
      </c>
      <c r="BU27" s="400" t="str">
        <f ca="1">IFERROR(INDEX(ICE[], MATCH("ulsdccndiff" &amp; TEXT(Crd!$A27, "mmmyy"), ICE[LongCode], 0), MATCH("ICE Theoretical Price", ICE[#Headers], 0)), "")</f>
        <v/>
      </c>
      <c r="BV27" s="372" t="str">
        <f ca="1">IFERROR(INDEX(ICE[], MATCH("ulsdccndiff" &amp; TEXT(Mid!$A27, "mmmyy"), ICE[LongCode], 0), MATCH("Text", ICE[#Headers], 0)), "")</f>
        <v xml:space="preserve"> /  </v>
      </c>
      <c r="BW27" s="46" t="str">
        <f t="shared" ca="1" si="114"/>
        <v/>
      </c>
      <c r="BX27" s="68" t="str">
        <f t="shared" ca="1" si="148"/>
        <v/>
      </c>
      <c r="BY27" s="114" t="str">
        <f t="shared" ca="1" si="149"/>
        <v/>
      </c>
      <c r="BZ27" s="68" t="str">
        <f ca="1">IFERROR(IF(AND(ISNUMBER(Futs!$CG27), ISNUMBER($BU27)), Futs!$CG27 + $BU27, ""), "")</f>
        <v/>
      </c>
      <c r="CA27" s="46" t="str">
        <f ca="1">IFERROR(IF(AND(ISNUMBER(Futs!$CH27), ISNUMBER($BW27)), Futs!$CH27 + $BW27, ""), "")</f>
        <v/>
      </c>
      <c r="CB27" s="68" t="str">
        <f t="shared" ca="1" si="150"/>
        <v/>
      </c>
      <c r="CC27" s="111" t="str">
        <f t="shared" ca="1" si="151"/>
        <v/>
      </c>
      <c r="CD27" s="400" t="str">
        <f ca="1">IFERROR(INDEX(ICE[], MATCH("ulsdccmdiff" &amp; TEXT(Crd!$A27, "mmmyy"), ICE[LongCode], 0), MATCH("ICE Theoretical Price", ICE[#Headers], 0)), "")</f>
        <v/>
      </c>
      <c r="CE27" s="372" t="str">
        <f ca="1">IFERROR(INDEX(ICE[], MATCH("ulsdccmdiff" &amp; TEXT(Mid!$A27, "mmmyy"), ICE[LongCode], 0), MATCH("Text", ICE[#Headers], 0)), "")</f>
        <v xml:space="preserve"> /  </v>
      </c>
      <c r="CF27" s="46" t="str">
        <f t="shared" ca="1" si="115"/>
        <v/>
      </c>
      <c r="CG27" s="68" t="str">
        <f t="shared" ca="1" si="152"/>
        <v/>
      </c>
      <c r="CH27" s="114" t="str">
        <f t="shared" ca="1" si="153"/>
        <v/>
      </c>
      <c r="CI27" s="68" t="str">
        <f ca="1">IFERROR(IF(AND(ISNUMBER(Futs!$CG27), ISNUMBER($CD27)), Futs!$CG27 + $CD27, ""), "")</f>
        <v/>
      </c>
      <c r="CJ27" s="67" t="str">
        <f ca="1">IFERROR(IF(AND(ISNUMBER(Futs!$CH27), ISNUMBER($CF27)), Futs!$CH27 + $CF27, ""), "")</f>
        <v/>
      </c>
      <c r="CK27" s="68" t="str">
        <f t="shared" ca="1" si="154"/>
        <v/>
      </c>
      <c r="CL27" s="111" t="str">
        <f t="shared" ca="1" si="155"/>
        <v/>
      </c>
      <c r="CM27" s="400" t="str">
        <f ca="1">IFERROR(INDEX(ICE[], MATCH("go01bfrdiff" &amp; TEXT(Crd!$A27, "mmmyy"), ICE[LongCode], 0), MATCH("ICE Theoretical Price", ICE[#Headers], 0)), "")</f>
        <v/>
      </c>
      <c r="CN27" s="372" t="str">
        <f ca="1">IFERROR(INDEX(ICE[], MATCH("go01bfrdiff" &amp; TEXT(Mid!$A27, "mmmyy"), ICE[LongCode], 0), MATCH("Text", ICE[#Headers], 0)), "")</f>
        <v xml:space="preserve"> /  </v>
      </c>
      <c r="CO27" s="46" t="str">
        <f t="shared" ca="1" si="116"/>
        <v/>
      </c>
      <c r="CP27" s="68" t="str">
        <f t="shared" ca="1" si="156"/>
        <v/>
      </c>
      <c r="CQ27" s="114" t="str">
        <f t="shared" ca="1" si="157"/>
        <v/>
      </c>
      <c r="CR27" s="68" t="str">
        <f ca="1">IFERROR(IF(AND(ISNUMBER(Futs!$CG27), ISNUMBER($CM27)), Futs!$CG27 + $CM27, ""), "")</f>
        <v/>
      </c>
      <c r="CS27" s="46" t="str">
        <f ca="1">IFERROR(IF(AND(ISNUMBER(Futs!$CH27), ISNUMBER($CO27)), Futs!$CH27 + $CO27, ""), "")</f>
        <v/>
      </c>
      <c r="CT27" s="68" t="str">
        <f t="shared" ca="1" si="158"/>
        <v/>
      </c>
      <c r="CU27" s="111" t="str">
        <f t="shared" ca="1" si="159"/>
        <v/>
      </c>
      <c r="CV27" s="400" t="str">
        <f ca="1">IFERROR(INDEX(ICE[], MATCH("go01ccndiff" &amp; TEXT(Crd!$A27, "mmmyy"), ICE[LongCode], 0), MATCH("ICE Theoretical Price", ICE[#Headers], 0)), "")</f>
        <v/>
      </c>
      <c r="CW27" s="372" t="str">
        <f ca="1">IFERROR(INDEX(ICE[], MATCH("go01ccndiff" &amp; TEXT(Mid!$A27, "mmmyy"), ICE[LongCode], 0), MATCH("Text", ICE[#Headers], 0)), "")</f>
        <v xml:space="preserve"> /  </v>
      </c>
      <c r="CX27" s="46" t="str">
        <f t="shared" ca="1" si="117"/>
        <v/>
      </c>
      <c r="CY27" s="68" t="str">
        <f t="shared" ca="1" si="160"/>
        <v/>
      </c>
      <c r="CZ27" s="114" t="str">
        <f t="shared" ca="1" si="161"/>
        <v/>
      </c>
      <c r="DA27" s="68" t="str">
        <f ca="1">IFERROR(IF(AND(ISNUMBER(Futs!$CG27), ISNUMBER($CV27)), Futs!$CG27 + $CV27, ""), "")</f>
        <v/>
      </c>
      <c r="DB27" s="46" t="str">
        <f ca="1">IFERROR(IF(AND(ISNUMBER(Futs!$CH27), ISNUMBER($CX27)), Futs!$CH27 + $CX27, ""), "")</f>
        <v/>
      </c>
      <c r="DC27" s="68" t="str">
        <f t="shared" ca="1" si="162"/>
        <v/>
      </c>
      <c r="DD27" s="111" t="str">
        <f t="shared" ca="1" si="163"/>
        <v/>
      </c>
      <c r="DE27" s="400" t="str">
        <f ca="1">IFERROR(INDEX(ICE[], MATCH("go01ccmdiff" &amp; TEXT(Crd!$A27, "mmmyy"), ICE[LongCode], 0), MATCH("ICE Theoretical Price", ICE[#Headers], 0)), "")</f>
        <v/>
      </c>
      <c r="DF27" s="372" t="str">
        <f ca="1">IFERROR(INDEX(ICE[], MATCH("go01ccmdiff" &amp; TEXT(Mid!$A27, "mmmyy"), ICE[LongCode], 0), MATCH("Text", ICE[#Headers], 0)), "")</f>
        <v xml:space="preserve"> /  </v>
      </c>
      <c r="DG27" s="46" t="str">
        <f t="shared" ca="1" si="118"/>
        <v/>
      </c>
      <c r="DH27" s="68" t="str">
        <f t="shared" ca="1" si="164"/>
        <v/>
      </c>
      <c r="DI27" s="114" t="str">
        <f t="shared" ca="1" si="165"/>
        <v/>
      </c>
      <c r="DJ27" s="68" t="str">
        <f ca="1">IFERROR(IF(AND(ISNUMBER(Futs!$CG27), ISNUMBER($DE27)), Futs!$CG27 + $DE27, ""), "")</f>
        <v/>
      </c>
      <c r="DK27" s="46" t="str">
        <f ca="1">IFERROR(IF(AND(ISNUMBER(Futs!$CH27), ISNUMBER($DG27)), Futs!$CH27 + $DG27, ""), "")</f>
        <v/>
      </c>
      <c r="DL27" s="68" t="str">
        <f t="shared" ca="1" si="166"/>
        <v/>
      </c>
      <c r="DM27" s="111" t="str">
        <f t="shared" ca="1" si="167"/>
        <v/>
      </c>
      <c r="DN27" s="400" t="str">
        <f ca="1">IFERROR(INDEX(ICE[], MATCH("ulsdgc" &amp; TEXT(Crd!$A27, "mmmyy"), ICE[LongCode], 0), MATCH("ICE Theoretical Price", ICE[#Headers], 0))*100, "")</f>
        <v/>
      </c>
      <c r="DO27" s="372" t="str">
        <f ca="1">IFERROR(INDEX(ICE[], MATCH("ulsdgc" &amp; TEXT(Mid!$A27, "mmmyy"), ICE[LongCode], 0), MATCH("Text", ICE[#Headers], 0)), "")</f>
        <v xml:space="preserve"> /  </v>
      </c>
      <c r="DP27" s="46" t="str">
        <f t="shared" ca="1" si="119"/>
        <v/>
      </c>
      <c r="DQ27" s="68" t="str">
        <f t="shared" ca="1" si="168"/>
        <v/>
      </c>
      <c r="DR27" s="114" t="str">
        <f t="shared" ca="1" si="169"/>
        <v/>
      </c>
      <c r="DS27" s="68" t="str">
        <f ca="1">IFERROR(IF(AND(ISNUMBER(Futs!$CK27), ISNUMBER($DN27)), Futs!$CK27 + $DN27, ""), "")</f>
        <v/>
      </c>
      <c r="DT27" s="46" t="str">
        <f ca="1">IFERROR(IF(AND(ISNUMBER(Futs!$CL27), ISNUMBER($DP27)), Futs!$CL27 + $DP27, ""), "")</f>
        <v/>
      </c>
      <c r="DU27" s="68" t="str">
        <f t="shared" ca="1" si="170"/>
        <v/>
      </c>
      <c r="DV27" s="111" t="str">
        <f t="shared" ca="1" si="171"/>
        <v/>
      </c>
    </row>
    <row r="28" spans="1:126" x14ac:dyDescent="0.25">
      <c r="A28" s="58">
        <f t="shared" ca="1" si="123"/>
        <v>46539</v>
      </c>
      <c r="B28" s="6">
        <f t="shared" ca="1" si="102"/>
        <v>2027</v>
      </c>
      <c r="C28" s="6" t="str">
        <f t="shared" ca="1" si="120"/>
        <v>Q227</v>
      </c>
      <c r="D28" s="28">
        <f ca="1">INDEX(ICE[], MATCH(D$18 &amp; TEXT(Mid!$A28, "mmmyy"), ICE[LongCode], 0), MATCH("Settle", ICE[#Headers], 0))</f>
        <v>96</v>
      </c>
      <c r="E28" s="28">
        <f ca="1">INDEX(ICE[], MATCH(E$18 &amp; TEXT(Mid!$A28, "mmmyy"), ICE[LongCode], 0), MATCH("Settle", ICE[#Headers], 0))</f>
        <v>-47.062000000000005</v>
      </c>
      <c r="F28" s="28">
        <f ca="1">INDEX(ICE[], MATCH(F$18 &amp; TEXT(Mid!$A28, "mmmyy"), ICE[LongCode], 0), MATCH("Settle", ICE[#Headers], 0))</f>
        <v>1.8</v>
      </c>
      <c r="G28" s="28">
        <f ca="1">INDEX(ICE[], MATCH(G$18 &amp; TEXT(Mid!$A28, "mmmyy"), ICE[LongCode], 0), MATCH("Settle", ICE[#Headers], 0))</f>
        <v>9.5</v>
      </c>
      <c r="H28" s="28">
        <f ca="1">INDEX(ICE[], MATCH(H$18 &amp; TEXT(Mid!$A28, "mmmyy"), ICE[LongCode], 0), MATCH("Settle", ICE[#Headers], 0))</f>
        <v>18</v>
      </c>
      <c r="I28" s="28">
        <f ca="1">INDEX(ICE[], MATCH(I$18 &amp; TEXT(Mid!$A28, "mmmyy"), ICE[LongCode], 0), MATCH("Settle", ICE[#Headers], 0))</f>
        <v>15.5</v>
      </c>
      <c r="J28" s="28">
        <f ca="1">INDEX(ICE[], MATCH(J$18 &amp; TEXT(Mid!$A28, "mmmyy"), ICE[LongCode], 0), MATCH("Settle", ICE[#Headers], 0))</f>
        <v>-29</v>
      </c>
      <c r="K28" s="28">
        <f ca="1">INDEX(ICE[], MATCH(K$18 &amp; TEXT(Mid!$A28, "mmmyy"), ICE[LongCode], 0), MATCH("Settle", ICE[#Headers], 0))</f>
        <v>-5</v>
      </c>
      <c r="L28" s="28">
        <f ca="1">INDEX(ICE[], MATCH(L$18 &amp; TEXT(Mid!$A28, "mmmyy"), ICE[LongCode], 0), MATCH("Settle", ICE[#Headers], 0))</f>
        <v>1</v>
      </c>
      <c r="M28" s="28">
        <f ca="1">INDEX(ICE[], MATCH(M$18 &amp; TEXT(Mid!$A28, "mmmyy"), ICE[LongCode], 0), MATCH("Settle", ICE[#Headers], 0))</f>
        <v>-6.32</v>
      </c>
      <c r="N28" s="28">
        <f ca="1">INDEX(ICE[], MATCH(N$18 &amp; TEXT(Mid!$A28, "mmmyy"), ICE[LongCode], 0), MATCH("Settle", ICE[#Headers], 0))*100</f>
        <v>-9.1300000000000008</v>
      </c>
      <c r="O28" s="397" t="str">
        <f ca="1">IFERROR(INDEX(ICE[], MATCH("jetccndiff" &amp; TEXT(Crd!$A28, "mmmyy"), ICE[LongCode], 0), MATCH("ICE Theoretical Price", ICE[#Headers], 0)), "")</f>
        <v/>
      </c>
      <c r="P28" s="372" t="str">
        <f ca="1">IFERROR(INDEX(ICE[], MATCH("jetccndiff" &amp; TEXT(Mid!$A28, "mmmyy"), ICE[LongCode], 0), MATCH("Text", ICE[#Headers], 0)), "")</f>
        <v xml:space="preserve">92.00 /  </v>
      </c>
      <c r="Q28" s="46" t="str">
        <f t="shared" ca="1" si="103"/>
        <v/>
      </c>
      <c r="R28" s="47" t="str">
        <f t="shared" ca="1" si="121"/>
        <v/>
      </c>
      <c r="S28" s="114" t="str">
        <f t="shared" ca="1" si="124"/>
        <v/>
      </c>
      <c r="T28" s="49" t="str">
        <f ca="1">IFERROR(IF(AND(ISNUMBER(Futs!$CG28), ISNUMBER($O28)), Futs!$CG28 + $O28, ""), "")</f>
        <v/>
      </c>
      <c r="U28" s="46" t="str">
        <f ca="1">IFERROR(IF(AND(ISNUMBER(Futs!$CH28), ISNUMBER($Q28)), Futs!$CH28 + $Q28, ""), "")</f>
        <v/>
      </c>
      <c r="V28" s="47" t="str">
        <f t="shared" ca="1" si="125"/>
        <v/>
      </c>
      <c r="W28" s="46" t="str">
        <f t="shared" ca="1" si="126"/>
        <v/>
      </c>
      <c r="X28" s="427" t="str">
        <f ca="1">IFERROR(IF(AND(ISNUMBER(Futs!$CC28), ISNUMBER($T28)), $T28/7.88 - Futs!$CC28, ""), "")</f>
        <v/>
      </c>
      <c r="Y28" s="46" t="str">
        <f ca="1">IFERROR(IF(AND(ISNUMBER(Futs!$DV28), ISNUMBER($Q28)), Futs!$DV28 + $Q28/7.88, ""), "")</f>
        <v/>
      </c>
      <c r="Z28" s="47" t="str">
        <f t="shared" ca="1" si="127"/>
        <v/>
      </c>
      <c r="AA28" s="111" t="str">
        <f t="shared" ca="1" si="128"/>
        <v/>
      </c>
      <c r="AB28" s="400" t="str">
        <f ca="1">IFERROR(INDEX(ICE[], MATCH("goew" &amp; TEXT(Crd!$A28, "mmmyy"), ICE[LongCode], 0), MATCH("ICE Theoretical Price", ICE[#Headers], 0)), "")</f>
        <v/>
      </c>
      <c r="AC28" s="372" t="str">
        <f ca="1">IFERROR(INDEX(ICE[], MATCH("goew" &amp; TEXT(Mid!$A28, "mmmyy"), ICE[LongCode], 0), MATCH("Text", ICE[#Headers], 0)), "")</f>
        <v xml:space="preserve"> /   |20x</v>
      </c>
      <c r="AD28" s="46" t="str">
        <f t="shared" ca="1" si="104"/>
        <v/>
      </c>
      <c r="AE28" s="68" t="str">
        <f t="shared" ca="1" si="129"/>
        <v/>
      </c>
      <c r="AF28" s="46" t="str">
        <f t="shared" ca="1" si="130"/>
        <v/>
      </c>
      <c r="AG28" s="265" t="str">
        <f ca="1">IFERROR(IF(AND(ISNUMBER(Futs!$BM28), ISNUMBER($AH28)), $AH28*7.45 - Futs!$BM28, ""), "")</f>
        <v/>
      </c>
      <c r="AH28" s="187" t="str">
        <f ca="1">IFERROR(IF(AND(ISNUMBER(Futs!$CG28), ISNUMBER($AB28)), (Futs!$CG28 + $AB28)/7.45, ""), "")</f>
        <v/>
      </c>
      <c r="AI28" s="46" t="str">
        <f ca="1">IFERROR(IF(AND(ISNUMBER(Futs!$CH28), ISNUMBER($AD28)), (Futs!$CH28 + $AD28)/7.45, ""), "")</f>
        <v/>
      </c>
      <c r="AJ28" s="68" t="str">
        <f t="shared" ca="1" si="131"/>
        <v/>
      </c>
      <c r="AK28" s="364" t="str">
        <f ca="1">IFERROR(INDEX(ICE[], MATCH("gosing" &amp; TEXT(Crd!$A27, "mmmyy") &amp; "/" &amp; TEXT(Crd!$A28, "mmmyy"), ICE[LongCode], 0), MATCH("Text", ICE[#Headers], 0)), "")</f>
        <v/>
      </c>
      <c r="AL28" s="46" t="str">
        <f t="shared" ca="1" si="132"/>
        <v/>
      </c>
      <c r="AM28" s="427" t="str">
        <f ca="1">IFERROR(IF(AND(ISNUMBER(Futs!$CC28), ISNUMBER($AH28)), $AH28 - Futs!$CC28, ""), "")</f>
        <v/>
      </c>
      <c r="AN28" s="46" t="str">
        <f ca="1">IFERROR(IF(AND(ISNUMBER(Futs!$DV28), ISNUMBER($AD28)), $AD28/7.45 + Futs!$DV28, ""), "")</f>
        <v/>
      </c>
      <c r="AO28" s="47" t="str">
        <f t="shared" ca="1" si="133"/>
        <v/>
      </c>
      <c r="AP28" s="111" t="str">
        <f t="shared" ca="1" si="134"/>
        <v/>
      </c>
      <c r="AQ28" s="400">
        <f t="shared" ca="1" si="105"/>
        <v>-6.32</v>
      </c>
      <c r="AR28" s="46">
        <f t="shared" ca="1" si="106"/>
        <v>0</v>
      </c>
      <c r="AS28" s="68">
        <f t="shared" ca="1" si="135"/>
        <v>0</v>
      </c>
      <c r="AT28" s="46">
        <f t="shared" ca="1" si="136"/>
        <v>0</v>
      </c>
      <c r="AU28" s="271" t="str">
        <f t="shared" ca="1" si="107"/>
        <v/>
      </c>
      <c r="AV28" s="46" t="str">
        <f t="shared" ca="1" si="108"/>
        <v/>
      </c>
      <c r="AW28" s="68" t="str">
        <f t="shared" ca="1" si="137"/>
        <v/>
      </c>
      <c r="AX28" s="111" t="str">
        <f t="shared" ca="1" si="138"/>
        <v/>
      </c>
      <c r="AY28" s="400" t="str">
        <f ca="1">IFERROR(INDEX(ICE[], MATCH("regrade" &amp; TEXT(Crd!$A28, "mmmyy"), ICE[LongCode], 0), MATCH("ICE Theoretical Price", ICE[#Headers], 0)), "")</f>
        <v/>
      </c>
      <c r="AZ28" s="372" t="str">
        <f ca="1">IFERROR(INDEX(ICE[], MATCH("regrade" &amp; TEXT(Mid!$A28, "mmmyy"), ICE[LongCode], 0), MATCH("Text", ICE[#Headers], 0)), "")</f>
        <v xml:space="preserve"> /  </v>
      </c>
      <c r="BA28" s="46" t="str">
        <f t="shared" ca="1" si="109"/>
        <v/>
      </c>
      <c r="BB28" s="68" t="str">
        <f t="shared" ca="1" si="172"/>
        <v/>
      </c>
      <c r="BC28" s="114" t="str">
        <f t="shared" ca="1" si="139"/>
        <v/>
      </c>
      <c r="BD28" s="68" t="str">
        <f t="shared" ca="1" si="110"/>
        <v/>
      </c>
      <c r="BE28" s="46" t="str">
        <f t="shared" ca="1" si="111"/>
        <v/>
      </c>
      <c r="BF28" s="68" t="str">
        <f t="shared" ca="1" si="140"/>
        <v/>
      </c>
      <c r="BG28" s="111" t="str">
        <f t="shared" ca="1" si="141"/>
        <v/>
      </c>
      <c r="BH28" s="68" t="str">
        <f t="shared" ca="1" si="122"/>
        <v/>
      </c>
      <c r="BI28" s="46" t="str">
        <f t="shared" ca="1" si="112"/>
        <v/>
      </c>
      <c r="BJ28" s="68" t="str">
        <f t="shared" ca="1" si="142"/>
        <v/>
      </c>
      <c r="BK28" s="111" t="str">
        <f t="shared" ca="1" si="143"/>
        <v/>
      </c>
      <c r="BL28" s="400" t="str">
        <f ca="1">IFERROR(INDEX(ICE[], MATCH("ulsdaradiff" &amp; TEXT(Crd!$A28, "mmmyy"), ICE[LongCode], 0), MATCH("ICE Theoretical Price", ICE[#Headers], 0)), "")</f>
        <v/>
      </c>
      <c r="BM28" s="372" t="str">
        <f ca="1">IFERROR(INDEX(ICE[], MATCH("ulsdaradiff" &amp; TEXT(Mid!$A28, "mmmyy"), ICE[LongCode], 0), MATCH("Text", ICE[#Headers], 0)), "")</f>
        <v xml:space="preserve"> /  </v>
      </c>
      <c r="BN28" s="46" t="str">
        <f t="shared" ca="1" si="113"/>
        <v/>
      </c>
      <c r="BO28" s="68" t="str">
        <f t="shared" ca="1" si="144"/>
        <v/>
      </c>
      <c r="BP28" s="114" t="str">
        <f t="shared" ca="1" si="145"/>
        <v/>
      </c>
      <c r="BQ28" s="68" t="str">
        <f ca="1">IFERROR(IF(AND(ISNUMBER(Futs!$CG28), ISNUMBER($BL28)), Futs!$CG28 + $BL28, ""), "")</f>
        <v/>
      </c>
      <c r="BR28" s="46" t="str">
        <f ca="1">IFERROR(IF(AND(ISNUMBER(Futs!$CH28), ISNUMBER($BN28)), Futs!$CH28 + $BN28, ""), "")</f>
        <v/>
      </c>
      <c r="BS28" s="68" t="str">
        <f t="shared" ca="1" si="146"/>
        <v/>
      </c>
      <c r="BT28" s="111" t="str">
        <f t="shared" ca="1" si="147"/>
        <v/>
      </c>
      <c r="BU28" s="400" t="str">
        <f ca="1">IFERROR(INDEX(ICE[], MATCH("ulsdccndiff" &amp; TEXT(Crd!$A28, "mmmyy"), ICE[LongCode], 0), MATCH("ICE Theoretical Price", ICE[#Headers], 0)), "")</f>
        <v/>
      </c>
      <c r="BV28" s="372" t="str">
        <f ca="1">IFERROR(INDEX(ICE[], MATCH("ulsdccndiff" &amp; TEXT(Mid!$A28, "mmmyy"), ICE[LongCode], 0), MATCH("Text", ICE[#Headers], 0)), "")</f>
        <v xml:space="preserve"> /  </v>
      </c>
      <c r="BW28" s="46" t="str">
        <f t="shared" ca="1" si="114"/>
        <v/>
      </c>
      <c r="BX28" s="68" t="str">
        <f t="shared" ca="1" si="148"/>
        <v/>
      </c>
      <c r="BY28" s="114" t="str">
        <f t="shared" ca="1" si="149"/>
        <v/>
      </c>
      <c r="BZ28" s="68" t="str">
        <f ca="1">IFERROR(IF(AND(ISNUMBER(Futs!$CG28), ISNUMBER($BU28)), Futs!$CG28 + $BU28, ""), "")</f>
        <v/>
      </c>
      <c r="CA28" s="46" t="str">
        <f ca="1">IFERROR(IF(AND(ISNUMBER(Futs!$CH28), ISNUMBER($BW28)), Futs!$CH28 + $BW28, ""), "")</f>
        <v/>
      </c>
      <c r="CB28" s="68" t="str">
        <f t="shared" ca="1" si="150"/>
        <v/>
      </c>
      <c r="CC28" s="111" t="str">
        <f t="shared" ca="1" si="151"/>
        <v/>
      </c>
      <c r="CD28" s="400" t="str">
        <f ca="1">IFERROR(INDEX(ICE[], MATCH("ulsdccmdiff" &amp; TEXT(Crd!$A28, "mmmyy"), ICE[LongCode], 0), MATCH("ICE Theoretical Price", ICE[#Headers], 0)), "")</f>
        <v/>
      </c>
      <c r="CE28" s="372" t="str">
        <f ca="1">IFERROR(INDEX(ICE[], MATCH("ulsdccmdiff" &amp; TEXT(Mid!$A28, "mmmyy"), ICE[LongCode], 0), MATCH("Text", ICE[#Headers], 0)), "")</f>
        <v xml:space="preserve"> /  </v>
      </c>
      <c r="CF28" s="46" t="str">
        <f t="shared" ca="1" si="115"/>
        <v/>
      </c>
      <c r="CG28" s="68" t="str">
        <f t="shared" ca="1" si="152"/>
        <v/>
      </c>
      <c r="CH28" s="114" t="str">
        <f t="shared" ca="1" si="153"/>
        <v/>
      </c>
      <c r="CI28" s="68" t="str">
        <f ca="1">IFERROR(IF(AND(ISNUMBER(Futs!$CG28), ISNUMBER($CD28)), Futs!$CG28 + $CD28, ""), "")</f>
        <v/>
      </c>
      <c r="CJ28" s="67" t="str">
        <f ca="1">IFERROR(IF(AND(ISNUMBER(Futs!$CH28), ISNUMBER($CF28)), Futs!$CH28 + $CF28, ""), "")</f>
        <v/>
      </c>
      <c r="CK28" s="68" t="str">
        <f t="shared" ca="1" si="154"/>
        <v/>
      </c>
      <c r="CL28" s="111" t="str">
        <f t="shared" ca="1" si="155"/>
        <v/>
      </c>
      <c r="CM28" s="400" t="str">
        <f ca="1">IFERROR(INDEX(ICE[], MATCH("go01bfrdiff" &amp; TEXT(Crd!$A28, "mmmyy"), ICE[LongCode], 0), MATCH("ICE Theoretical Price", ICE[#Headers], 0)), "")</f>
        <v/>
      </c>
      <c r="CN28" s="372" t="str">
        <f ca="1">IFERROR(INDEX(ICE[], MATCH("go01bfrdiff" &amp; TEXT(Mid!$A28, "mmmyy"), ICE[LongCode], 0), MATCH("Text", ICE[#Headers], 0)), "")</f>
        <v xml:space="preserve"> /  </v>
      </c>
      <c r="CO28" s="46" t="str">
        <f t="shared" ca="1" si="116"/>
        <v/>
      </c>
      <c r="CP28" s="68" t="str">
        <f t="shared" ca="1" si="156"/>
        <v/>
      </c>
      <c r="CQ28" s="114" t="str">
        <f t="shared" ca="1" si="157"/>
        <v/>
      </c>
      <c r="CR28" s="68" t="str">
        <f ca="1">IFERROR(IF(AND(ISNUMBER(Futs!$CG28), ISNUMBER($CM28)), Futs!$CG28 + $CM28, ""), "")</f>
        <v/>
      </c>
      <c r="CS28" s="46" t="str">
        <f ca="1">IFERROR(IF(AND(ISNUMBER(Futs!$CH28), ISNUMBER($CO28)), Futs!$CH28 + $CO28, ""), "")</f>
        <v/>
      </c>
      <c r="CT28" s="68" t="str">
        <f t="shared" ca="1" si="158"/>
        <v/>
      </c>
      <c r="CU28" s="111" t="str">
        <f t="shared" ca="1" si="159"/>
        <v/>
      </c>
      <c r="CV28" s="400" t="str">
        <f ca="1">IFERROR(INDEX(ICE[], MATCH("go01ccndiff" &amp; TEXT(Crd!$A28, "mmmyy"), ICE[LongCode], 0), MATCH("ICE Theoretical Price", ICE[#Headers], 0)), "")</f>
        <v/>
      </c>
      <c r="CW28" s="372" t="str">
        <f ca="1">IFERROR(INDEX(ICE[], MATCH("go01ccndiff" &amp; TEXT(Mid!$A28, "mmmyy"), ICE[LongCode], 0), MATCH("Text", ICE[#Headers], 0)), "")</f>
        <v xml:space="preserve"> /  </v>
      </c>
      <c r="CX28" s="46" t="str">
        <f t="shared" ca="1" si="117"/>
        <v/>
      </c>
      <c r="CY28" s="68" t="str">
        <f t="shared" ca="1" si="160"/>
        <v/>
      </c>
      <c r="CZ28" s="114" t="str">
        <f t="shared" ca="1" si="161"/>
        <v/>
      </c>
      <c r="DA28" s="68" t="str">
        <f ca="1">IFERROR(IF(AND(ISNUMBER(Futs!$CG28), ISNUMBER($CV28)), Futs!$CG28 + $CV28, ""), "")</f>
        <v/>
      </c>
      <c r="DB28" s="46" t="str">
        <f ca="1">IFERROR(IF(AND(ISNUMBER(Futs!$CH28), ISNUMBER($CX28)), Futs!$CH28 + $CX28, ""), "")</f>
        <v/>
      </c>
      <c r="DC28" s="68" t="str">
        <f t="shared" ca="1" si="162"/>
        <v/>
      </c>
      <c r="DD28" s="111" t="str">
        <f t="shared" ca="1" si="163"/>
        <v/>
      </c>
      <c r="DE28" s="400" t="str">
        <f ca="1">IFERROR(INDEX(ICE[], MATCH("go01ccmdiff" &amp; TEXT(Crd!$A28, "mmmyy"), ICE[LongCode], 0), MATCH("ICE Theoretical Price", ICE[#Headers], 0)), "")</f>
        <v/>
      </c>
      <c r="DF28" s="372" t="str">
        <f ca="1">IFERROR(INDEX(ICE[], MATCH("go01ccmdiff" &amp; TEXT(Mid!$A28, "mmmyy"), ICE[LongCode], 0), MATCH("Text", ICE[#Headers], 0)), "")</f>
        <v xml:space="preserve"> /  </v>
      </c>
      <c r="DG28" s="46" t="str">
        <f t="shared" ca="1" si="118"/>
        <v/>
      </c>
      <c r="DH28" s="68" t="str">
        <f t="shared" ca="1" si="164"/>
        <v/>
      </c>
      <c r="DI28" s="114" t="str">
        <f t="shared" ca="1" si="165"/>
        <v/>
      </c>
      <c r="DJ28" s="68" t="str">
        <f ca="1">IFERROR(IF(AND(ISNUMBER(Futs!$CG28), ISNUMBER($DE28)), Futs!$CG28 + $DE28, ""), "")</f>
        <v/>
      </c>
      <c r="DK28" s="46" t="str">
        <f ca="1">IFERROR(IF(AND(ISNUMBER(Futs!$CH28), ISNUMBER($DG28)), Futs!$CH28 + $DG28, ""), "")</f>
        <v/>
      </c>
      <c r="DL28" s="68" t="str">
        <f t="shared" ca="1" si="166"/>
        <v/>
      </c>
      <c r="DM28" s="111" t="str">
        <f t="shared" ca="1" si="167"/>
        <v/>
      </c>
      <c r="DN28" s="400" t="str">
        <f ca="1">IFERROR(INDEX(ICE[], MATCH("ulsdgc" &amp; TEXT(Crd!$A28, "mmmyy"), ICE[LongCode], 0), MATCH("ICE Theoretical Price", ICE[#Headers], 0))*100, "")</f>
        <v/>
      </c>
      <c r="DO28" s="372" t="str">
        <f ca="1">IFERROR(INDEX(ICE[], MATCH("ulsdgc" &amp; TEXT(Mid!$A28, "mmmyy"), ICE[LongCode], 0), MATCH("Text", ICE[#Headers], 0)), "")</f>
        <v xml:space="preserve"> /  </v>
      </c>
      <c r="DP28" s="46" t="str">
        <f t="shared" ca="1" si="119"/>
        <v/>
      </c>
      <c r="DQ28" s="68" t="str">
        <f t="shared" ca="1" si="168"/>
        <v/>
      </c>
      <c r="DR28" s="114" t="str">
        <f t="shared" ca="1" si="169"/>
        <v/>
      </c>
      <c r="DS28" s="68" t="str">
        <f ca="1">IFERROR(IF(AND(ISNUMBER(Futs!$CK28), ISNUMBER($DN28)), Futs!$CK28 + $DN28, ""), "")</f>
        <v/>
      </c>
      <c r="DT28" s="46" t="str">
        <f ca="1">IFERROR(IF(AND(ISNUMBER(Futs!$CL28), ISNUMBER($DP28)), Futs!$CL28 + $DP28, ""), "")</f>
        <v/>
      </c>
      <c r="DU28" s="68" t="str">
        <f t="shared" ca="1" si="170"/>
        <v/>
      </c>
      <c r="DV28" s="111" t="str">
        <f t="shared" ca="1" si="171"/>
        <v/>
      </c>
    </row>
    <row r="29" spans="1:126" x14ac:dyDescent="0.25">
      <c r="A29" s="58">
        <f t="shared" ca="1" si="123"/>
        <v>46569</v>
      </c>
      <c r="B29" s="6">
        <f t="shared" ca="1" si="102"/>
        <v>2027</v>
      </c>
      <c r="C29" s="6" t="str">
        <f t="shared" ca="1" si="120"/>
        <v>Q327</v>
      </c>
      <c r="D29" s="28">
        <f ca="1">INDEX(ICE[], MATCH(D$18 &amp; TEXT(Mid!$A29, "mmmyy"), ICE[LongCode], 0), MATCH("Settle", ICE[#Headers], 0))</f>
        <v>94</v>
      </c>
      <c r="E29" s="28">
        <f ca="1">INDEX(ICE[], MATCH(E$18 &amp; TEXT(Mid!$A29, "mmmyy"), ICE[LongCode], 0), MATCH("Settle", ICE[#Headers], 0))</f>
        <v>-45.012</v>
      </c>
      <c r="F29" s="28">
        <f ca="1">INDEX(ICE[], MATCH(F$18 &amp; TEXT(Mid!$A29, "mmmyy"), ICE[LongCode], 0), MATCH("Settle", ICE[#Headers], 0))</f>
        <v>1.9000000000000001</v>
      </c>
      <c r="G29" s="28">
        <f ca="1">INDEX(ICE[], MATCH(G$18 &amp; TEXT(Mid!$A29, "mmmyy"), ICE[LongCode], 0), MATCH("Settle", ICE[#Headers], 0))</f>
        <v>7</v>
      </c>
      <c r="H29" s="28">
        <f ca="1">INDEX(ICE[], MATCH(H$18 &amp; TEXT(Mid!$A29, "mmmyy"), ICE[LongCode], 0), MATCH("Settle", ICE[#Headers], 0))</f>
        <v>15.5</v>
      </c>
      <c r="I29" s="28">
        <f ca="1">INDEX(ICE[], MATCH(I$18 &amp; TEXT(Mid!$A29, "mmmyy"), ICE[LongCode], 0), MATCH("Settle", ICE[#Headers], 0))</f>
        <v>14.5</v>
      </c>
      <c r="J29" s="28">
        <f ca="1">INDEX(ICE[], MATCH(J$18 &amp; TEXT(Mid!$A29, "mmmyy"), ICE[LongCode], 0), MATCH("Settle", ICE[#Headers], 0))</f>
        <v>-27</v>
      </c>
      <c r="K29" s="28">
        <f ca="1">INDEX(ICE[], MATCH(K$18 &amp; TEXT(Mid!$A29, "mmmyy"), ICE[LongCode], 0), MATCH("Settle", ICE[#Headers], 0))</f>
        <v>-5</v>
      </c>
      <c r="L29" s="28">
        <f ca="1">INDEX(ICE[], MATCH(L$18 &amp; TEXT(Mid!$A29, "mmmyy"), ICE[LongCode], 0), MATCH("Settle", ICE[#Headers], 0))</f>
        <v>0.5</v>
      </c>
      <c r="M29" s="28">
        <f ca="1">INDEX(ICE[], MATCH(M$18 &amp; TEXT(Mid!$A29, "mmmyy"), ICE[LongCode], 0), MATCH("Settle", ICE[#Headers], 0))</f>
        <v>-5.0200000000000005</v>
      </c>
      <c r="N29" s="28">
        <f ca="1">INDEX(ICE[], MATCH(N$18 &amp; TEXT(Mid!$A29, "mmmyy"), ICE[LongCode], 0), MATCH("Settle", ICE[#Headers], 0))*100</f>
        <v>-8.35</v>
      </c>
      <c r="O29" s="397" t="str">
        <f ca="1">IFERROR(INDEX(ICE[], MATCH("jetccndiff" &amp; TEXT(Crd!$A29, "mmmyy"), ICE[LongCode], 0), MATCH("ICE Theoretical Price", ICE[#Headers], 0)), "")</f>
        <v/>
      </c>
      <c r="P29" s="372" t="str">
        <f ca="1">IFERROR(INDEX(ICE[], MATCH("jetccndiff" &amp; TEXT(Mid!$A29, "mmmyy"), ICE[LongCode], 0), MATCH("Text", ICE[#Headers], 0)), "")</f>
        <v xml:space="preserve">91.50 /  </v>
      </c>
      <c r="Q29" s="46" t="str">
        <f t="shared" ca="1" si="103"/>
        <v/>
      </c>
      <c r="R29" s="47" t="str">
        <f t="shared" ca="1" si="121"/>
        <v/>
      </c>
      <c r="S29" s="114" t="str">
        <f t="shared" ca="1" si="124"/>
        <v/>
      </c>
      <c r="T29" s="49" t="str">
        <f ca="1">IFERROR(IF(AND(ISNUMBER(Futs!$CG29), ISNUMBER($O29)), Futs!$CG29 + $O29, ""), "")</f>
        <v/>
      </c>
      <c r="U29" s="46" t="str">
        <f ca="1">IFERROR(IF(AND(ISNUMBER(Futs!$CH29), ISNUMBER($Q29)), Futs!$CH29 + $Q29, ""), "")</f>
        <v/>
      </c>
      <c r="V29" s="47" t="str">
        <f t="shared" ca="1" si="125"/>
        <v/>
      </c>
      <c r="W29" s="46" t="str">
        <f t="shared" ca="1" si="126"/>
        <v/>
      </c>
      <c r="X29" s="427" t="str">
        <f ca="1">IFERROR(IF(AND(ISNUMBER(Futs!$CC29), ISNUMBER($T29)), $T29/7.88 - Futs!$CC29, ""), "")</f>
        <v/>
      </c>
      <c r="Y29" s="46" t="str">
        <f ca="1">IFERROR(IF(AND(ISNUMBER(Futs!$DV29), ISNUMBER($Q29)), Futs!$DV29 + $Q29/7.88, ""), "")</f>
        <v/>
      </c>
      <c r="Z29" s="47" t="str">
        <f t="shared" ca="1" si="127"/>
        <v/>
      </c>
      <c r="AA29" s="111" t="str">
        <f t="shared" ca="1" si="128"/>
        <v/>
      </c>
      <c r="AB29" s="400" t="str">
        <f ca="1">IFERROR(INDEX(ICE[], MATCH("goew" &amp; TEXT(Crd!$A29, "mmmyy"), ICE[LongCode], 0), MATCH("ICE Theoretical Price", ICE[#Headers], 0)), "")</f>
        <v/>
      </c>
      <c r="AC29" s="372" t="str">
        <f ca="1">IFERROR(INDEX(ICE[], MATCH("goew" &amp; TEXT(Mid!$A29, "mmmyy"), ICE[LongCode], 0), MATCH("Text", ICE[#Headers], 0)), "")</f>
        <v xml:space="preserve"> /   |20x</v>
      </c>
      <c r="AD29" s="46" t="str">
        <f t="shared" ca="1" si="104"/>
        <v/>
      </c>
      <c r="AE29" s="68" t="str">
        <f t="shared" ca="1" si="129"/>
        <v/>
      </c>
      <c r="AF29" s="46" t="str">
        <f t="shared" ca="1" si="130"/>
        <v/>
      </c>
      <c r="AG29" s="265" t="str">
        <f ca="1">IFERROR(IF(AND(ISNUMBER(Futs!$BM29), ISNUMBER($AH29)), $AH29*7.45 - Futs!$BM29, ""), "")</f>
        <v/>
      </c>
      <c r="AH29" s="187" t="str">
        <f ca="1">IFERROR(IF(AND(ISNUMBER(Futs!$CG29), ISNUMBER($AB29)), (Futs!$CG29 + $AB29)/7.45, ""), "")</f>
        <v/>
      </c>
      <c r="AI29" s="46" t="str">
        <f ca="1">IFERROR(IF(AND(ISNUMBER(Futs!$CH29), ISNUMBER($AD29)), (Futs!$CH29 + $AD29)/7.45, ""), "")</f>
        <v/>
      </c>
      <c r="AJ29" s="68" t="str">
        <f t="shared" ca="1" si="131"/>
        <v/>
      </c>
      <c r="AK29" s="364" t="str">
        <f ca="1">IFERROR(INDEX(ICE[], MATCH("gosing" &amp; TEXT(Crd!$A28, "mmmyy") &amp; "/" &amp; TEXT(Crd!$A29, "mmmyy"), ICE[LongCode], 0), MATCH("Text", ICE[#Headers], 0)), "")</f>
        <v/>
      </c>
      <c r="AL29" s="46" t="str">
        <f t="shared" ca="1" si="132"/>
        <v/>
      </c>
      <c r="AM29" s="427" t="str">
        <f ca="1">IFERROR(IF(AND(ISNUMBER(Futs!$CC29), ISNUMBER($AH29)), $AH29 - Futs!$CC29, ""), "")</f>
        <v/>
      </c>
      <c r="AN29" s="46" t="str">
        <f ca="1">IFERROR(IF(AND(ISNUMBER(Futs!$DV29), ISNUMBER($AD29)), $AD29/7.45 + Futs!$DV29, ""), "")</f>
        <v/>
      </c>
      <c r="AO29" s="47" t="str">
        <f t="shared" ca="1" si="133"/>
        <v/>
      </c>
      <c r="AP29" s="111" t="str">
        <f t="shared" ca="1" si="134"/>
        <v/>
      </c>
      <c r="AQ29" s="400">
        <f t="shared" ca="1" si="105"/>
        <v>-5.0200000000000005</v>
      </c>
      <c r="AR29" s="46">
        <f t="shared" ca="1" si="106"/>
        <v>0</v>
      </c>
      <c r="AS29" s="68">
        <f t="shared" ca="1" si="135"/>
        <v>-1.2999999999999998</v>
      </c>
      <c r="AT29" s="46">
        <f t="shared" ca="1" si="136"/>
        <v>0</v>
      </c>
      <c r="AU29" s="271" t="str">
        <f t="shared" ca="1" si="107"/>
        <v/>
      </c>
      <c r="AV29" s="46" t="str">
        <f t="shared" ca="1" si="108"/>
        <v/>
      </c>
      <c r="AW29" s="68" t="str">
        <f t="shared" ca="1" si="137"/>
        <v/>
      </c>
      <c r="AX29" s="111" t="str">
        <f t="shared" ca="1" si="138"/>
        <v/>
      </c>
      <c r="AY29" s="400" t="str">
        <f ca="1">IFERROR(INDEX(ICE[], MATCH("regrade" &amp; TEXT(Crd!$A29, "mmmyy"), ICE[LongCode], 0), MATCH("ICE Theoretical Price", ICE[#Headers], 0)), "")</f>
        <v/>
      </c>
      <c r="AZ29" s="372" t="str">
        <f ca="1">IFERROR(INDEX(ICE[], MATCH("regrade" &amp; TEXT(Mid!$A29, "mmmyy"), ICE[LongCode], 0), MATCH("Text", ICE[#Headers], 0)), "")</f>
        <v xml:space="preserve"> /  </v>
      </c>
      <c r="BA29" s="46" t="str">
        <f t="shared" ca="1" si="109"/>
        <v/>
      </c>
      <c r="BB29" s="68" t="str">
        <f t="shared" ca="1" si="172"/>
        <v/>
      </c>
      <c r="BC29" s="114" t="str">
        <f t="shared" ca="1" si="139"/>
        <v/>
      </c>
      <c r="BD29" s="68" t="str">
        <f t="shared" ca="1" si="110"/>
        <v/>
      </c>
      <c r="BE29" s="46" t="str">
        <f t="shared" ca="1" si="111"/>
        <v/>
      </c>
      <c r="BF29" s="68" t="str">
        <f t="shared" ca="1" si="140"/>
        <v/>
      </c>
      <c r="BG29" s="111" t="str">
        <f t="shared" ca="1" si="141"/>
        <v/>
      </c>
      <c r="BH29" s="68" t="str">
        <f t="shared" ca="1" si="122"/>
        <v/>
      </c>
      <c r="BI29" s="46" t="str">
        <f t="shared" ca="1" si="112"/>
        <v/>
      </c>
      <c r="BJ29" s="68" t="str">
        <f t="shared" ca="1" si="142"/>
        <v/>
      </c>
      <c r="BK29" s="111" t="str">
        <f t="shared" ca="1" si="143"/>
        <v/>
      </c>
      <c r="BL29" s="400" t="str">
        <f ca="1">IFERROR(INDEX(ICE[], MATCH("ulsdaradiff" &amp; TEXT(Crd!$A29, "mmmyy"), ICE[LongCode], 0), MATCH("ICE Theoretical Price", ICE[#Headers], 0)), "")</f>
        <v/>
      </c>
      <c r="BM29" s="372" t="str">
        <f ca="1">IFERROR(INDEX(ICE[], MATCH("ulsdaradiff" &amp; TEXT(Mid!$A29, "mmmyy"), ICE[LongCode], 0), MATCH("Text", ICE[#Headers], 0)), "")</f>
        <v xml:space="preserve"> /  </v>
      </c>
      <c r="BN29" s="46" t="str">
        <f t="shared" ca="1" si="113"/>
        <v/>
      </c>
      <c r="BO29" s="68" t="str">
        <f t="shared" ca="1" si="144"/>
        <v/>
      </c>
      <c r="BP29" s="114" t="str">
        <f t="shared" ca="1" si="145"/>
        <v/>
      </c>
      <c r="BQ29" s="68" t="str">
        <f ca="1">IFERROR(IF(AND(ISNUMBER(Futs!$CG29), ISNUMBER($BL29)), Futs!$CG29 + $BL29, ""), "")</f>
        <v/>
      </c>
      <c r="BR29" s="46" t="str">
        <f ca="1">IFERROR(IF(AND(ISNUMBER(Futs!$CH29), ISNUMBER($BN29)), Futs!$CH29 + $BN29, ""), "")</f>
        <v/>
      </c>
      <c r="BS29" s="68" t="str">
        <f t="shared" ca="1" si="146"/>
        <v/>
      </c>
      <c r="BT29" s="111" t="str">
        <f t="shared" ca="1" si="147"/>
        <v/>
      </c>
      <c r="BU29" s="400" t="str">
        <f ca="1">IFERROR(INDEX(ICE[], MATCH("ulsdccndiff" &amp; TEXT(Crd!$A29, "mmmyy"), ICE[LongCode], 0), MATCH("ICE Theoretical Price", ICE[#Headers], 0)), "")</f>
        <v/>
      </c>
      <c r="BV29" s="372" t="str">
        <f ca="1">IFERROR(INDEX(ICE[], MATCH("ulsdccndiff" &amp; TEXT(Mid!$A29, "mmmyy"), ICE[LongCode], 0), MATCH("Text", ICE[#Headers], 0)), "")</f>
        <v xml:space="preserve"> /  </v>
      </c>
      <c r="BW29" s="46" t="str">
        <f t="shared" ca="1" si="114"/>
        <v/>
      </c>
      <c r="BX29" s="68" t="str">
        <f t="shared" ca="1" si="148"/>
        <v/>
      </c>
      <c r="BY29" s="114" t="str">
        <f t="shared" ca="1" si="149"/>
        <v/>
      </c>
      <c r="BZ29" s="68" t="str">
        <f ca="1">IFERROR(IF(AND(ISNUMBER(Futs!$CG29), ISNUMBER($BU29)), Futs!$CG29 + $BU29, ""), "")</f>
        <v/>
      </c>
      <c r="CA29" s="46" t="str">
        <f ca="1">IFERROR(IF(AND(ISNUMBER(Futs!$CH29), ISNUMBER($BW29)), Futs!$CH29 + $BW29, ""), "")</f>
        <v/>
      </c>
      <c r="CB29" s="68" t="str">
        <f t="shared" ca="1" si="150"/>
        <v/>
      </c>
      <c r="CC29" s="111" t="str">
        <f t="shared" ca="1" si="151"/>
        <v/>
      </c>
      <c r="CD29" s="400" t="str">
        <f ca="1">IFERROR(INDEX(ICE[], MATCH("ulsdccmdiff" &amp; TEXT(Crd!$A29, "mmmyy"), ICE[LongCode], 0), MATCH("ICE Theoretical Price", ICE[#Headers], 0)), "")</f>
        <v/>
      </c>
      <c r="CE29" s="372" t="str">
        <f ca="1">IFERROR(INDEX(ICE[], MATCH("ulsdccmdiff" &amp; TEXT(Mid!$A29, "mmmyy"), ICE[LongCode], 0), MATCH("Text", ICE[#Headers], 0)), "")</f>
        <v xml:space="preserve"> /  </v>
      </c>
      <c r="CF29" s="46" t="str">
        <f t="shared" ca="1" si="115"/>
        <v/>
      </c>
      <c r="CG29" s="68" t="str">
        <f t="shared" ca="1" si="152"/>
        <v/>
      </c>
      <c r="CH29" s="114" t="str">
        <f t="shared" ca="1" si="153"/>
        <v/>
      </c>
      <c r="CI29" s="68" t="str">
        <f ca="1">IFERROR(IF(AND(ISNUMBER(Futs!$CG29), ISNUMBER($CD29)), Futs!$CG29 + $CD29, ""), "")</f>
        <v/>
      </c>
      <c r="CJ29" s="67" t="str">
        <f ca="1">IFERROR(IF(AND(ISNUMBER(Futs!$CH29), ISNUMBER($CF29)), Futs!$CH29 + $CF29, ""), "")</f>
        <v/>
      </c>
      <c r="CK29" s="68" t="str">
        <f t="shared" ca="1" si="154"/>
        <v/>
      </c>
      <c r="CL29" s="111" t="str">
        <f t="shared" ca="1" si="155"/>
        <v/>
      </c>
      <c r="CM29" s="400" t="str">
        <f ca="1">IFERROR(INDEX(ICE[], MATCH("go01bfrdiff" &amp; TEXT(Crd!$A29, "mmmyy"), ICE[LongCode], 0), MATCH("ICE Theoretical Price", ICE[#Headers], 0)), "")</f>
        <v/>
      </c>
      <c r="CN29" s="372" t="str">
        <f ca="1">IFERROR(INDEX(ICE[], MATCH("go01bfrdiff" &amp; TEXT(Mid!$A29, "mmmyy"), ICE[LongCode], 0), MATCH("Text", ICE[#Headers], 0)), "")</f>
        <v xml:space="preserve"> /  </v>
      </c>
      <c r="CO29" s="46" t="str">
        <f t="shared" ca="1" si="116"/>
        <v/>
      </c>
      <c r="CP29" s="68" t="str">
        <f t="shared" ca="1" si="156"/>
        <v/>
      </c>
      <c r="CQ29" s="114" t="str">
        <f t="shared" ca="1" si="157"/>
        <v/>
      </c>
      <c r="CR29" s="68" t="str">
        <f ca="1">IFERROR(IF(AND(ISNUMBER(Futs!$CG29), ISNUMBER($CM29)), Futs!$CG29 + $CM29, ""), "")</f>
        <v/>
      </c>
      <c r="CS29" s="46" t="str">
        <f ca="1">IFERROR(IF(AND(ISNUMBER(Futs!$CH29), ISNUMBER($CO29)), Futs!$CH29 + $CO29, ""), "")</f>
        <v/>
      </c>
      <c r="CT29" s="68" t="str">
        <f t="shared" ca="1" si="158"/>
        <v/>
      </c>
      <c r="CU29" s="111" t="str">
        <f t="shared" ca="1" si="159"/>
        <v/>
      </c>
      <c r="CV29" s="400" t="str">
        <f ca="1">IFERROR(INDEX(ICE[], MATCH("go01ccndiff" &amp; TEXT(Crd!$A29, "mmmyy"), ICE[LongCode], 0), MATCH("ICE Theoretical Price", ICE[#Headers], 0)), "")</f>
        <v/>
      </c>
      <c r="CW29" s="372" t="str">
        <f ca="1">IFERROR(INDEX(ICE[], MATCH("go01ccndiff" &amp; TEXT(Mid!$A29, "mmmyy"), ICE[LongCode], 0), MATCH("Text", ICE[#Headers], 0)), "")</f>
        <v xml:space="preserve"> /  </v>
      </c>
      <c r="CX29" s="46" t="str">
        <f t="shared" ca="1" si="117"/>
        <v/>
      </c>
      <c r="CY29" s="68" t="str">
        <f t="shared" ca="1" si="160"/>
        <v/>
      </c>
      <c r="CZ29" s="114" t="str">
        <f t="shared" ca="1" si="161"/>
        <v/>
      </c>
      <c r="DA29" s="68" t="str">
        <f ca="1">IFERROR(IF(AND(ISNUMBER(Futs!$CG29), ISNUMBER($CV29)), Futs!$CG29 + $CV29, ""), "")</f>
        <v/>
      </c>
      <c r="DB29" s="46" t="str">
        <f ca="1">IFERROR(IF(AND(ISNUMBER(Futs!$CH29), ISNUMBER($CX29)), Futs!$CH29 + $CX29, ""), "")</f>
        <v/>
      </c>
      <c r="DC29" s="68" t="str">
        <f t="shared" ca="1" si="162"/>
        <v/>
      </c>
      <c r="DD29" s="111" t="str">
        <f t="shared" ca="1" si="163"/>
        <v/>
      </c>
      <c r="DE29" s="400" t="str">
        <f ca="1">IFERROR(INDEX(ICE[], MATCH("go01ccmdiff" &amp; TEXT(Crd!$A29, "mmmyy"), ICE[LongCode], 0), MATCH("ICE Theoretical Price", ICE[#Headers], 0)), "")</f>
        <v/>
      </c>
      <c r="DF29" s="372" t="str">
        <f ca="1">IFERROR(INDEX(ICE[], MATCH("go01ccmdiff" &amp; TEXT(Mid!$A29, "mmmyy"), ICE[LongCode], 0), MATCH("Text", ICE[#Headers], 0)), "")</f>
        <v xml:space="preserve"> /  </v>
      </c>
      <c r="DG29" s="46" t="str">
        <f t="shared" ca="1" si="118"/>
        <v/>
      </c>
      <c r="DH29" s="68" t="str">
        <f t="shared" ca="1" si="164"/>
        <v/>
      </c>
      <c r="DI29" s="114" t="str">
        <f t="shared" ca="1" si="165"/>
        <v/>
      </c>
      <c r="DJ29" s="68" t="str">
        <f ca="1">IFERROR(IF(AND(ISNUMBER(Futs!$CG29), ISNUMBER($DE29)), Futs!$CG29 + $DE29, ""), "")</f>
        <v/>
      </c>
      <c r="DK29" s="46" t="str">
        <f ca="1">IFERROR(IF(AND(ISNUMBER(Futs!$CH29), ISNUMBER($DG29)), Futs!$CH29 + $DG29, ""), "")</f>
        <v/>
      </c>
      <c r="DL29" s="68" t="str">
        <f t="shared" ca="1" si="166"/>
        <v/>
      </c>
      <c r="DM29" s="111" t="str">
        <f t="shared" ca="1" si="167"/>
        <v/>
      </c>
      <c r="DN29" s="400" t="str">
        <f ca="1">IFERROR(INDEX(ICE[], MATCH("ulsdgc" &amp; TEXT(Crd!$A29, "mmmyy"), ICE[LongCode], 0), MATCH("ICE Theoretical Price", ICE[#Headers], 0))*100, "")</f>
        <v/>
      </c>
      <c r="DO29" s="372" t="str">
        <f ca="1">IFERROR(INDEX(ICE[], MATCH("ulsdgc" &amp; TEXT(Mid!$A29, "mmmyy"), ICE[LongCode], 0), MATCH("Text", ICE[#Headers], 0)), "")</f>
        <v xml:space="preserve"> /  </v>
      </c>
      <c r="DP29" s="46" t="str">
        <f t="shared" ca="1" si="119"/>
        <v/>
      </c>
      <c r="DQ29" s="68" t="str">
        <f t="shared" ca="1" si="168"/>
        <v/>
      </c>
      <c r="DR29" s="114" t="str">
        <f t="shared" ca="1" si="169"/>
        <v/>
      </c>
      <c r="DS29" s="68" t="str">
        <f ca="1">IFERROR(IF(AND(ISNUMBER(Futs!$CK29), ISNUMBER($DN29)), Futs!$CK29 + $DN29, ""), "")</f>
        <v/>
      </c>
      <c r="DT29" s="46" t="str">
        <f ca="1">IFERROR(IF(AND(ISNUMBER(Futs!$CL29), ISNUMBER($DP29)), Futs!$CL29 + $DP29, ""), "")</f>
        <v/>
      </c>
      <c r="DU29" s="68" t="str">
        <f t="shared" ca="1" si="170"/>
        <v/>
      </c>
      <c r="DV29" s="111" t="str">
        <f t="shared" ca="1" si="171"/>
        <v/>
      </c>
    </row>
    <row r="30" spans="1:126" x14ac:dyDescent="0.25">
      <c r="A30" s="58">
        <f t="shared" ca="1" si="123"/>
        <v>46600</v>
      </c>
      <c r="B30" s="6">
        <f t="shared" ca="1" si="102"/>
        <v>2027</v>
      </c>
      <c r="C30" s="6" t="str">
        <f t="shared" ca="1" si="120"/>
        <v>Q327</v>
      </c>
      <c r="D30" s="28">
        <f ca="1">INDEX(ICE[], MATCH(D$18 &amp; TEXT(Mid!$A30, "mmmyy"), ICE[LongCode], 0), MATCH("Settle", ICE[#Headers], 0))</f>
        <v>93</v>
      </c>
      <c r="E30" s="28">
        <f ca="1">INDEX(ICE[], MATCH(E$18 &amp; TEXT(Mid!$A30, "mmmyy"), ICE[LongCode], 0), MATCH("Settle", ICE[#Headers], 0))</f>
        <v>-44.606999999999999</v>
      </c>
      <c r="F30" s="28">
        <f ca="1">INDEX(ICE[], MATCH(F$18 &amp; TEXT(Mid!$A30, "mmmyy"), ICE[LongCode], 0), MATCH("Settle", ICE[#Headers], 0))</f>
        <v>2.1</v>
      </c>
      <c r="G30" s="28">
        <f ca="1">INDEX(ICE[], MATCH(G$18 &amp; TEXT(Mid!$A30, "mmmyy"), ICE[LongCode], 0), MATCH("Settle", ICE[#Headers], 0))</f>
        <v>7</v>
      </c>
      <c r="H30" s="28">
        <f ca="1">INDEX(ICE[], MATCH(H$18 &amp; TEXT(Mid!$A30, "mmmyy"), ICE[LongCode], 0), MATCH("Settle", ICE[#Headers], 0))</f>
        <v>15.5</v>
      </c>
      <c r="I30" s="28">
        <f ca="1">INDEX(ICE[], MATCH(I$18 &amp; TEXT(Mid!$A30, "mmmyy"), ICE[LongCode], 0), MATCH("Settle", ICE[#Headers], 0))</f>
        <v>14.5</v>
      </c>
      <c r="J30" s="28">
        <f ca="1">INDEX(ICE[], MATCH(J$18 &amp; TEXT(Mid!$A30, "mmmyy"), ICE[LongCode], 0), MATCH("Settle", ICE[#Headers], 0))</f>
        <v>-27</v>
      </c>
      <c r="K30" s="28">
        <f ca="1">INDEX(ICE[], MATCH(K$18 &amp; TEXT(Mid!$A30, "mmmyy"), ICE[LongCode], 0), MATCH("Settle", ICE[#Headers], 0))</f>
        <v>-5</v>
      </c>
      <c r="L30" s="28">
        <f ca="1">INDEX(ICE[], MATCH(L$18 &amp; TEXT(Mid!$A30, "mmmyy"), ICE[LongCode], 0), MATCH("Settle", ICE[#Headers], 0))</f>
        <v>0.5</v>
      </c>
      <c r="M30" s="28">
        <f ca="1">INDEX(ICE[], MATCH(M$18 &amp; TEXT(Mid!$A30, "mmmyy"), ICE[LongCode], 0), MATCH("Settle", ICE[#Headers], 0))</f>
        <v>-5.0200000000000005</v>
      </c>
      <c r="N30" s="28">
        <f ca="1">INDEX(ICE[], MATCH(N$18 &amp; TEXT(Mid!$A30, "mmmyy"), ICE[LongCode], 0), MATCH("Settle", ICE[#Headers], 0))*100</f>
        <v>-8.2799999999999994</v>
      </c>
      <c r="O30" s="397" t="str">
        <f ca="1">IFERROR(INDEX(ICE[], MATCH("jetccndiff" &amp; TEXT(Crd!$A30, "mmmyy"), ICE[LongCode], 0), MATCH("ICE Theoretical Price", ICE[#Headers], 0)), "")</f>
        <v/>
      </c>
      <c r="P30" s="372" t="str">
        <f ca="1">IFERROR(INDEX(ICE[], MATCH("jetccndiff" &amp; TEXT(Mid!$A30, "mmmyy"), ICE[LongCode], 0), MATCH("Text", ICE[#Headers], 0)), "")</f>
        <v xml:space="preserve"> /  </v>
      </c>
      <c r="Q30" s="46" t="str">
        <f t="shared" ca="1" si="103"/>
        <v/>
      </c>
      <c r="R30" s="47" t="str">
        <f t="shared" ca="1" si="121"/>
        <v/>
      </c>
      <c r="S30" s="114" t="str">
        <f t="shared" ca="1" si="124"/>
        <v/>
      </c>
      <c r="T30" s="49" t="str">
        <f ca="1">IFERROR(IF(AND(ISNUMBER(Futs!$CG30), ISNUMBER($O30)), Futs!$CG30 + $O30, ""), "")</f>
        <v/>
      </c>
      <c r="U30" s="46" t="str">
        <f ca="1">IFERROR(IF(AND(ISNUMBER(Futs!$CH30), ISNUMBER($Q30)), Futs!$CH30 + $Q30, ""), "")</f>
        <v/>
      </c>
      <c r="V30" s="47" t="str">
        <f t="shared" ca="1" si="125"/>
        <v/>
      </c>
      <c r="W30" s="46" t="str">
        <f t="shared" ca="1" si="126"/>
        <v/>
      </c>
      <c r="X30" s="427" t="str">
        <f ca="1">IFERROR(IF(AND(ISNUMBER(Futs!$CC30), ISNUMBER($T30)), $T30/7.88 - Futs!$CC30, ""), "")</f>
        <v/>
      </c>
      <c r="Y30" s="46" t="str">
        <f ca="1">IFERROR(IF(AND(ISNUMBER(Futs!$DV30), ISNUMBER($Q30)), Futs!$DV30 + $Q30/7.88, ""), "")</f>
        <v/>
      </c>
      <c r="Z30" s="47" t="str">
        <f t="shared" ca="1" si="127"/>
        <v/>
      </c>
      <c r="AA30" s="111" t="str">
        <f t="shared" ca="1" si="128"/>
        <v/>
      </c>
      <c r="AB30" s="400" t="str">
        <f ca="1">IFERROR(INDEX(ICE[], MATCH("goew" &amp; TEXT(Crd!$A30, "mmmyy"), ICE[LongCode], 0), MATCH("ICE Theoretical Price", ICE[#Headers], 0)), "")</f>
        <v/>
      </c>
      <c r="AC30" s="372" t="str">
        <f ca="1">IFERROR(INDEX(ICE[], MATCH("goew" &amp; TEXT(Mid!$A30, "mmmyy"), ICE[LongCode], 0), MATCH("Text", ICE[#Headers], 0)), "")</f>
        <v xml:space="preserve"> /   |20x</v>
      </c>
      <c r="AD30" s="46" t="str">
        <f t="shared" ca="1" si="104"/>
        <v/>
      </c>
      <c r="AE30" s="68" t="str">
        <f t="shared" ca="1" si="129"/>
        <v/>
      </c>
      <c r="AF30" s="46" t="str">
        <f t="shared" ca="1" si="130"/>
        <v/>
      </c>
      <c r="AG30" s="265" t="str">
        <f ca="1">IFERROR(IF(AND(ISNUMBER(Futs!$BM30), ISNUMBER($AH30)), $AH30*7.45 - Futs!$BM30, ""), "")</f>
        <v/>
      </c>
      <c r="AH30" s="187" t="str">
        <f ca="1">IFERROR(IF(AND(ISNUMBER(Futs!$CG30), ISNUMBER($AB30)), (Futs!$CG30 + $AB30)/7.45, ""), "")</f>
        <v/>
      </c>
      <c r="AI30" s="46" t="str">
        <f ca="1">IFERROR(IF(AND(ISNUMBER(Futs!$CH30), ISNUMBER($AD30)), (Futs!$CH30 + $AD30)/7.45, ""), "")</f>
        <v/>
      </c>
      <c r="AJ30" s="68" t="str">
        <f t="shared" ca="1" si="131"/>
        <v/>
      </c>
      <c r="AK30" s="364" t="str">
        <f ca="1">IFERROR(INDEX(ICE[], MATCH("gosing" &amp; TEXT(Crd!$A29, "mmmyy") &amp; "/" &amp; TEXT(Crd!$A30, "mmmyy"), ICE[LongCode], 0), MATCH("Text", ICE[#Headers], 0)), "")</f>
        <v/>
      </c>
      <c r="AL30" s="46" t="str">
        <f t="shared" ca="1" si="132"/>
        <v/>
      </c>
      <c r="AM30" s="427" t="str">
        <f ca="1">IFERROR(IF(AND(ISNUMBER(Futs!$CC30), ISNUMBER($AH30)), $AH30 - Futs!$CC30, ""), "")</f>
        <v/>
      </c>
      <c r="AN30" s="46" t="str">
        <f ca="1">IFERROR(IF(AND(ISNUMBER(Futs!$DV30), ISNUMBER($AD30)), $AD30/7.45 + Futs!$DV30, ""), "")</f>
        <v/>
      </c>
      <c r="AO30" s="47" t="str">
        <f t="shared" ca="1" si="133"/>
        <v/>
      </c>
      <c r="AP30" s="111" t="str">
        <f t="shared" ca="1" si="134"/>
        <v/>
      </c>
      <c r="AQ30" s="400">
        <f t="shared" ca="1" si="105"/>
        <v>-5.0200000000000005</v>
      </c>
      <c r="AR30" s="46">
        <f t="shared" ca="1" si="106"/>
        <v>0</v>
      </c>
      <c r="AS30" s="68">
        <f t="shared" ca="1" si="135"/>
        <v>0</v>
      </c>
      <c r="AT30" s="46">
        <f t="shared" ca="1" si="136"/>
        <v>0</v>
      </c>
      <c r="AU30" s="271" t="str">
        <f t="shared" ca="1" si="107"/>
        <v/>
      </c>
      <c r="AV30" s="46" t="str">
        <f t="shared" ca="1" si="108"/>
        <v/>
      </c>
      <c r="AW30" s="68" t="str">
        <f t="shared" ca="1" si="137"/>
        <v/>
      </c>
      <c r="AX30" s="111" t="str">
        <f t="shared" ca="1" si="138"/>
        <v/>
      </c>
      <c r="AY30" s="400" t="str">
        <f ca="1">IFERROR(INDEX(ICE[], MATCH("regrade" &amp; TEXT(Crd!$A30, "mmmyy"), ICE[LongCode], 0), MATCH("ICE Theoretical Price", ICE[#Headers], 0)), "")</f>
        <v/>
      </c>
      <c r="AZ30" s="372" t="str">
        <f ca="1">IFERROR(INDEX(ICE[], MATCH("regrade" &amp; TEXT(Mid!$A30, "mmmyy"), ICE[LongCode], 0), MATCH("Text", ICE[#Headers], 0)), "")</f>
        <v xml:space="preserve"> /  </v>
      </c>
      <c r="BA30" s="46" t="str">
        <f t="shared" ca="1" si="109"/>
        <v/>
      </c>
      <c r="BB30" s="68" t="str">
        <f t="shared" ca="1" si="172"/>
        <v/>
      </c>
      <c r="BC30" s="114" t="str">
        <f t="shared" ca="1" si="139"/>
        <v/>
      </c>
      <c r="BD30" s="68" t="str">
        <f t="shared" ca="1" si="110"/>
        <v/>
      </c>
      <c r="BE30" s="46" t="str">
        <f t="shared" ca="1" si="111"/>
        <v/>
      </c>
      <c r="BF30" s="68" t="str">
        <f t="shared" ca="1" si="140"/>
        <v/>
      </c>
      <c r="BG30" s="111" t="str">
        <f t="shared" ca="1" si="141"/>
        <v/>
      </c>
      <c r="BH30" s="68" t="str">
        <f t="shared" ca="1" si="122"/>
        <v/>
      </c>
      <c r="BI30" s="46" t="str">
        <f t="shared" ca="1" si="112"/>
        <v/>
      </c>
      <c r="BJ30" s="68" t="str">
        <f t="shared" ca="1" si="142"/>
        <v/>
      </c>
      <c r="BK30" s="111" t="str">
        <f t="shared" ca="1" si="143"/>
        <v/>
      </c>
      <c r="BL30" s="400" t="str">
        <f ca="1">IFERROR(INDEX(ICE[], MATCH("ulsdaradiff" &amp; TEXT(Crd!$A30, "mmmyy"), ICE[LongCode], 0), MATCH("ICE Theoretical Price", ICE[#Headers], 0)), "")</f>
        <v/>
      </c>
      <c r="BM30" s="372" t="str">
        <f ca="1">IFERROR(INDEX(ICE[], MATCH("ulsdaradiff" &amp; TEXT(Mid!$A30, "mmmyy"), ICE[LongCode], 0), MATCH("Text", ICE[#Headers], 0)), "")</f>
        <v xml:space="preserve"> /  </v>
      </c>
      <c r="BN30" s="46" t="str">
        <f t="shared" ca="1" si="113"/>
        <v/>
      </c>
      <c r="BO30" s="68" t="str">
        <f t="shared" ca="1" si="144"/>
        <v/>
      </c>
      <c r="BP30" s="114" t="str">
        <f t="shared" ca="1" si="145"/>
        <v/>
      </c>
      <c r="BQ30" s="68" t="str">
        <f ca="1">IFERROR(IF(AND(ISNUMBER(Futs!$CG30), ISNUMBER($BL30)), Futs!$CG30 + $BL30, ""), "")</f>
        <v/>
      </c>
      <c r="BR30" s="46" t="str">
        <f ca="1">IFERROR(IF(AND(ISNUMBER(Futs!$CH30), ISNUMBER($BN30)), Futs!$CH30 + $BN30, ""), "")</f>
        <v/>
      </c>
      <c r="BS30" s="68" t="str">
        <f t="shared" ca="1" si="146"/>
        <v/>
      </c>
      <c r="BT30" s="111" t="str">
        <f t="shared" ca="1" si="147"/>
        <v/>
      </c>
      <c r="BU30" s="400" t="str">
        <f ca="1">IFERROR(INDEX(ICE[], MATCH("ulsdccndiff" &amp; TEXT(Crd!$A30, "mmmyy"), ICE[LongCode], 0), MATCH("ICE Theoretical Price", ICE[#Headers], 0)), "")</f>
        <v/>
      </c>
      <c r="BV30" s="372" t="str">
        <f ca="1">IFERROR(INDEX(ICE[], MATCH("ulsdccndiff" &amp; TEXT(Mid!$A30, "mmmyy"), ICE[LongCode], 0), MATCH("Text", ICE[#Headers], 0)), "")</f>
        <v xml:space="preserve"> /  </v>
      </c>
      <c r="BW30" s="46" t="str">
        <f t="shared" ca="1" si="114"/>
        <v/>
      </c>
      <c r="BX30" s="68" t="str">
        <f t="shared" ca="1" si="148"/>
        <v/>
      </c>
      <c r="BY30" s="114" t="str">
        <f t="shared" ca="1" si="149"/>
        <v/>
      </c>
      <c r="BZ30" s="68" t="str">
        <f ca="1">IFERROR(IF(AND(ISNUMBER(Futs!$CG30), ISNUMBER($BU30)), Futs!$CG30 + $BU30, ""), "")</f>
        <v/>
      </c>
      <c r="CA30" s="46" t="str">
        <f ca="1">IFERROR(IF(AND(ISNUMBER(Futs!$CH30), ISNUMBER($BW30)), Futs!$CH30 + $BW30, ""), "")</f>
        <v/>
      </c>
      <c r="CB30" s="68" t="str">
        <f t="shared" ca="1" si="150"/>
        <v/>
      </c>
      <c r="CC30" s="111" t="str">
        <f t="shared" ca="1" si="151"/>
        <v/>
      </c>
      <c r="CD30" s="400" t="str">
        <f ca="1">IFERROR(INDEX(ICE[], MATCH("ulsdccmdiff" &amp; TEXT(Crd!$A30, "mmmyy"), ICE[LongCode], 0), MATCH("ICE Theoretical Price", ICE[#Headers], 0)), "")</f>
        <v/>
      </c>
      <c r="CE30" s="372" t="str">
        <f ca="1">IFERROR(INDEX(ICE[], MATCH("ulsdccmdiff" &amp; TEXT(Mid!$A30, "mmmyy"), ICE[LongCode], 0), MATCH("Text", ICE[#Headers], 0)), "")</f>
        <v xml:space="preserve"> /  </v>
      </c>
      <c r="CF30" s="46" t="str">
        <f t="shared" ca="1" si="115"/>
        <v/>
      </c>
      <c r="CG30" s="68" t="str">
        <f t="shared" ca="1" si="152"/>
        <v/>
      </c>
      <c r="CH30" s="114" t="str">
        <f t="shared" ca="1" si="153"/>
        <v/>
      </c>
      <c r="CI30" s="68" t="str">
        <f ca="1">IFERROR(IF(AND(ISNUMBER(Futs!$CG30), ISNUMBER($CD30)), Futs!$CG30 + $CD30, ""), "")</f>
        <v/>
      </c>
      <c r="CJ30" s="67" t="str">
        <f ca="1">IFERROR(IF(AND(ISNUMBER(Futs!$CH30), ISNUMBER($CF30)), Futs!$CH30 + $CF30, ""), "")</f>
        <v/>
      </c>
      <c r="CK30" s="68" t="str">
        <f t="shared" ca="1" si="154"/>
        <v/>
      </c>
      <c r="CL30" s="111" t="str">
        <f t="shared" ca="1" si="155"/>
        <v/>
      </c>
      <c r="CM30" s="400" t="str">
        <f ca="1">IFERROR(INDEX(ICE[], MATCH("go01bfrdiff" &amp; TEXT(Crd!$A30, "mmmyy"), ICE[LongCode], 0), MATCH("ICE Theoretical Price", ICE[#Headers], 0)), "")</f>
        <v/>
      </c>
      <c r="CN30" s="372" t="str">
        <f ca="1">IFERROR(INDEX(ICE[], MATCH("go01bfrdiff" &amp; TEXT(Mid!$A30, "mmmyy"), ICE[LongCode], 0), MATCH("Text", ICE[#Headers], 0)), "")</f>
        <v xml:space="preserve"> /  </v>
      </c>
      <c r="CO30" s="46" t="str">
        <f t="shared" ca="1" si="116"/>
        <v/>
      </c>
      <c r="CP30" s="68" t="str">
        <f t="shared" ca="1" si="156"/>
        <v/>
      </c>
      <c r="CQ30" s="114" t="str">
        <f t="shared" ca="1" si="157"/>
        <v/>
      </c>
      <c r="CR30" s="68" t="str">
        <f ca="1">IFERROR(IF(AND(ISNUMBER(Futs!$CG30), ISNUMBER($CM30)), Futs!$CG30 + $CM30, ""), "")</f>
        <v/>
      </c>
      <c r="CS30" s="46" t="str">
        <f ca="1">IFERROR(IF(AND(ISNUMBER(Futs!$CH30), ISNUMBER($CO30)), Futs!$CH30 + $CO30, ""), "")</f>
        <v/>
      </c>
      <c r="CT30" s="68" t="str">
        <f t="shared" ca="1" si="158"/>
        <v/>
      </c>
      <c r="CU30" s="111" t="str">
        <f t="shared" ca="1" si="159"/>
        <v/>
      </c>
      <c r="CV30" s="400" t="str">
        <f ca="1">IFERROR(INDEX(ICE[], MATCH("go01ccndiff" &amp; TEXT(Crd!$A30, "mmmyy"), ICE[LongCode], 0), MATCH("ICE Theoretical Price", ICE[#Headers], 0)), "")</f>
        <v/>
      </c>
      <c r="CW30" s="372" t="str">
        <f ca="1">IFERROR(INDEX(ICE[], MATCH("go01ccndiff" &amp; TEXT(Mid!$A30, "mmmyy"), ICE[LongCode], 0), MATCH("Text", ICE[#Headers], 0)), "")</f>
        <v xml:space="preserve"> /  </v>
      </c>
      <c r="CX30" s="46" t="str">
        <f t="shared" ca="1" si="117"/>
        <v/>
      </c>
      <c r="CY30" s="68" t="str">
        <f t="shared" ca="1" si="160"/>
        <v/>
      </c>
      <c r="CZ30" s="114" t="str">
        <f t="shared" ca="1" si="161"/>
        <v/>
      </c>
      <c r="DA30" s="68" t="str">
        <f ca="1">IFERROR(IF(AND(ISNUMBER(Futs!$CG30), ISNUMBER($CV30)), Futs!$CG30 + $CV30, ""), "")</f>
        <v/>
      </c>
      <c r="DB30" s="46" t="str">
        <f ca="1">IFERROR(IF(AND(ISNUMBER(Futs!$CH30), ISNUMBER($CX30)), Futs!$CH30 + $CX30, ""), "")</f>
        <v/>
      </c>
      <c r="DC30" s="68" t="str">
        <f t="shared" ca="1" si="162"/>
        <v/>
      </c>
      <c r="DD30" s="111" t="str">
        <f t="shared" ca="1" si="163"/>
        <v/>
      </c>
      <c r="DE30" s="400" t="str">
        <f ca="1">IFERROR(INDEX(ICE[], MATCH("go01ccmdiff" &amp; TEXT(Crd!$A30, "mmmyy"), ICE[LongCode], 0), MATCH("ICE Theoretical Price", ICE[#Headers], 0)), "")</f>
        <v/>
      </c>
      <c r="DF30" s="372" t="str">
        <f ca="1">IFERROR(INDEX(ICE[], MATCH("go01ccmdiff" &amp; TEXT(Mid!$A30, "mmmyy"), ICE[LongCode], 0), MATCH("Text", ICE[#Headers], 0)), "")</f>
        <v xml:space="preserve"> /  </v>
      </c>
      <c r="DG30" s="46" t="str">
        <f t="shared" ca="1" si="118"/>
        <v/>
      </c>
      <c r="DH30" s="68" t="str">
        <f t="shared" ca="1" si="164"/>
        <v/>
      </c>
      <c r="DI30" s="114" t="str">
        <f t="shared" ca="1" si="165"/>
        <v/>
      </c>
      <c r="DJ30" s="68" t="str">
        <f ca="1">IFERROR(IF(AND(ISNUMBER(Futs!$CG30), ISNUMBER($DE30)), Futs!$CG30 + $DE30, ""), "")</f>
        <v/>
      </c>
      <c r="DK30" s="46" t="str">
        <f ca="1">IFERROR(IF(AND(ISNUMBER(Futs!$CH30), ISNUMBER($DG30)), Futs!$CH30 + $DG30, ""), "")</f>
        <v/>
      </c>
      <c r="DL30" s="68" t="str">
        <f t="shared" ca="1" si="166"/>
        <v/>
      </c>
      <c r="DM30" s="111" t="str">
        <f t="shared" ca="1" si="167"/>
        <v/>
      </c>
      <c r="DN30" s="400" t="str">
        <f ca="1">IFERROR(INDEX(ICE[], MATCH("ulsdgc" &amp; TEXT(Crd!$A30, "mmmyy"), ICE[LongCode], 0), MATCH("ICE Theoretical Price", ICE[#Headers], 0))*100, "")</f>
        <v/>
      </c>
      <c r="DO30" s="372" t="str">
        <f ca="1">IFERROR(INDEX(ICE[], MATCH("ulsdgc" &amp; TEXT(Mid!$A30, "mmmyy"), ICE[LongCode], 0), MATCH("Text", ICE[#Headers], 0)), "")</f>
        <v xml:space="preserve"> /  </v>
      </c>
      <c r="DP30" s="46" t="str">
        <f t="shared" ca="1" si="119"/>
        <v/>
      </c>
      <c r="DQ30" s="68" t="str">
        <f t="shared" ca="1" si="168"/>
        <v/>
      </c>
      <c r="DR30" s="114" t="str">
        <f t="shared" ca="1" si="169"/>
        <v/>
      </c>
      <c r="DS30" s="68" t="str">
        <f ca="1">IFERROR(IF(AND(ISNUMBER(Futs!$CK30), ISNUMBER($DN30)), Futs!$CK30 + $DN30, ""), "")</f>
        <v/>
      </c>
      <c r="DT30" s="46" t="str">
        <f ca="1">IFERROR(IF(AND(ISNUMBER(Futs!$CL30), ISNUMBER($DP30)), Futs!$CL30 + $DP30, ""), "")</f>
        <v/>
      </c>
      <c r="DU30" s="68" t="str">
        <f t="shared" ca="1" si="170"/>
        <v/>
      </c>
      <c r="DV30" s="111" t="str">
        <f t="shared" ca="1" si="171"/>
        <v/>
      </c>
    </row>
    <row r="31" spans="1:126" x14ac:dyDescent="0.25">
      <c r="A31" s="58">
        <f t="shared" ca="1" si="123"/>
        <v>46631</v>
      </c>
      <c r="B31" s="6">
        <f t="shared" ca="1" si="102"/>
        <v>2027</v>
      </c>
      <c r="C31" s="6" t="str">
        <f t="shared" ca="1" si="120"/>
        <v>Q327</v>
      </c>
      <c r="D31" s="28">
        <f ca="1">INDEX(ICE[], MATCH(D$18 &amp; TEXT(Mid!$A31, "mmmyy"), ICE[LongCode], 0), MATCH("Settle", ICE[#Headers], 0))</f>
        <v>92</v>
      </c>
      <c r="E31" s="28">
        <f ca="1">INDEX(ICE[], MATCH(E$18 &amp; TEXT(Mid!$A31, "mmmyy"), ICE[LongCode], 0), MATCH("Settle", ICE[#Headers], 0))</f>
        <v>-44.724000000000004</v>
      </c>
      <c r="F31" s="28">
        <f ca="1">INDEX(ICE[], MATCH(F$18 &amp; TEXT(Mid!$A31, "mmmyy"), ICE[LongCode], 0), MATCH("Settle", ICE[#Headers], 0))</f>
        <v>2.3000000000000003</v>
      </c>
      <c r="G31" s="28">
        <f ca="1">INDEX(ICE[], MATCH(G$18 &amp; TEXT(Mid!$A31, "mmmyy"), ICE[LongCode], 0), MATCH("Settle", ICE[#Headers], 0))</f>
        <v>7</v>
      </c>
      <c r="H31" s="28">
        <f ca="1">INDEX(ICE[], MATCH(H$18 &amp; TEXT(Mid!$A31, "mmmyy"), ICE[LongCode], 0), MATCH("Settle", ICE[#Headers], 0))</f>
        <v>15.5</v>
      </c>
      <c r="I31" s="28">
        <f ca="1">INDEX(ICE[], MATCH(I$18 &amp; TEXT(Mid!$A31, "mmmyy"), ICE[LongCode], 0), MATCH("Settle", ICE[#Headers], 0))</f>
        <v>14.5</v>
      </c>
      <c r="J31" s="28">
        <f ca="1">INDEX(ICE[], MATCH(J$18 &amp; TEXT(Mid!$A31, "mmmyy"), ICE[LongCode], 0), MATCH("Settle", ICE[#Headers], 0))</f>
        <v>-27</v>
      </c>
      <c r="K31" s="28">
        <f ca="1">INDEX(ICE[], MATCH(K$18 &amp; TEXT(Mid!$A31, "mmmyy"), ICE[LongCode], 0), MATCH("Settle", ICE[#Headers], 0))</f>
        <v>-5</v>
      </c>
      <c r="L31" s="28">
        <f ca="1">INDEX(ICE[], MATCH(L$18 &amp; TEXT(Mid!$A31, "mmmyy"), ICE[LongCode], 0), MATCH("Settle", ICE[#Headers], 0))</f>
        <v>0.5</v>
      </c>
      <c r="M31" s="28">
        <f ca="1">INDEX(ICE[], MATCH(M$18 &amp; TEXT(Mid!$A31, "mmmyy"), ICE[LongCode], 0), MATCH("Settle", ICE[#Headers], 0))</f>
        <v>-5.0200000000000005</v>
      </c>
      <c r="N31" s="28">
        <f ca="1">INDEX(ICE[], MATCH(N$18 &amp; TEXT(Mid!$A31, "mmmyy"), ICE[LongCode], 0), MATCH("Settle", ICE[#Headers], 0))*100</f>
        <v>-7.55</v>
      </c>
      <c r="O31" s="397" t="str">
        <f ca="1">IFERROR(INDEX(ICE[], MATCH("jetccndiff" &amp; TEXT(Crd!$A31, "mmmyy"), ICE[LongCode], 0), MATCH("ICE Theoretical Price", ICE[#Headers], 0)), "")</f>
        <v/>
      </c>
      <c r="P31" s="372" t="str">
        <f ca="1">IFERROR(INDEX(ICE[], MATCH("jetccndiff" &amp; TEXT(Mid!$A31, "mmmyy"), ICE[LongCode], 0), MATCH("Text", ICE[#Headers], 0)), "")</f>
        <v xml:space="preserve"> /  </v>
      </c>
      <c r="Q31" s="46" t="str">
        <f t="shared" ca="1" si="103"/>
        <v/>
      </c>
      <c r="R31" s="47" t="str">
        <f t="shared" ca="1" si="121"/>
        <v/>
      </c>
      <c r="S31" s="114" t="str">
        <f t="shared" ca="1" si="124"/>
        <v/>
      </c>
      <c r="T31" s="49" t="str">
        <f ca="1">IFERROR(IF(AND(ISNUMBER(Futs!$CG31), ISNUMBER($O31)), Futs!$CG31 + $O31, ""), "")</f>
        <v/>
      </c>
      <c r="U31" s="46" t="str">
        <f ca="1">IFERROR(IF(AND(ISNUMBER(Futs!$CH31), ISNUMBER($Q31)), Futs!$CH31 + $Q31, ""), "")</f>
        <v/>
      </c>
      <c r="V31" s="47" t="str">
        <f t="shared" ca="1" si="125"/>
        <v/>
      </c>
      <c r="W31" s="46" t="str">
        <f t="shared" ca="1" si="126"/>
        <v/>
      </c>
      <c r="X31" s="427" t="str">
        <f ca="1">IFERROR(IF(AND(ISNUMBER(Futs!$CC31), ISNUMBER($T31)), $T31/7.88 - Futs!$CC31, ""), "")</f>
        <v/>
      </c>
      <c r="Y31" s="46" t="str">
        <f ca="1">IFERROR(IF(AND(ISNUMBER(Futs!$DV31), ISNUMBER($Q31)), Futs!$DV31 + $Q31/7.88, ""), "")</f>
        <v/>
      </c>
      <c r="Z31" s="47" t="str">
        <f t="shared" ca="1" si="127"/>
        <v/>
      </c>
      <c r="AA31" s="111" t="str">
        <f t="shared" ca="1" si="128"/>
        <v/>
      </c>
      <c r="AB31" s="400" t="str">
        <f ca="1">IFERROR(INDEX(ICE[], MATCH("goew" &amp; TEXT(Crd!$A31, "mmmyy"), ICE[LongCode], 0), MATCH("ICE Theoretical Price", ICE[#Headers], 0)), "")</f>
        <v/>
      </c>
      <c r="AC31" s="372" t="str">
        <f ca="1">IFERROR(INDEX(ICE[], MATCH("goew" &amp; TEXT(Mid!$A31, "mmmyy"), ICE[LongCode], 0), MATCH("Text", ICE[#Headers], 0)), "")</f>
        <v xml:space="preserve"> /   |20x</v>
      </c>
      <c r="AD31" s="46" t="str">
        <f t="shared" ca="1" si="104"/>
        <v/>
      </c>
      <c r="AE31" s="68" t="str">
        <f t="shared" ca="1" si="129"/>
        <v/>
      </c>
      <c r="AF31" s="46" t="str">
        <f t="shared" ca="1" si="130"/>
        <v/>
      </c>
      <c r="AG31" s="265" t="str">
        <f ca="1">IFERROR(IF(AND(ISNUMBER(Futs!$BM31), ISNUMBER($AH31)), $AH31*7.45 - Futs!$BM31, ""), "")</f>
        <v/>
      </c>
      <c r="AH31" s="187" t="str">
        <f ca="1">IFERROR(IF(AND(ISNUMBER(Futs!$CG31), ISNUMBER($AB31)), (Futs!$CG31 + $AB31)/7.45, ""), "")</f>
        <v/>
      </c>
      <c r="AI31" s="46" t="str">
        <f ca="1">IFERROR(IF(AND(ISNUMBER(Futs!$CH31), ISNUMBER($AD31)), (Futs!$CH31 + $AD31)/7.45, ""), "")</f>
        <v/>
      </c>
      <c r="AJ31" s="68" t="str">
        <f t="shared" ca="1" si="131"/>
        <v/>
      </c>
      <c r="AK31" s="364" t="str">
        <f ca="1">IFERROR(INDEX(ICE[], MATCH("gosing" &amp; TEXT(Crd!$A30, "mmmyy") &amp; "/" &amp; TEXT(Crd!$A31, "mmmyy"), ICE[LongCode], 0), MATCH("Text", ICE[#Headers], 0)), "")</f>
        <v/>
      </c>
      <c r="AL31" s="46" t="str">
        <f t="shared" ca="1" si="132"/>
        <v/>
      </c>
      <c r="AM31" s="427" t="str">
        <f ca="1">IFERROR(IF(AND(ISNUMBER(Futs!$CC31), ISNUMBER($AH31)), $AH31 - Futs!$CC31, ""), "")</f>
        <v/>
      </c>
      <c r="AN31" s="46" t="str">
        <f ca="1">IFERROR(IF(AND(ISNUMBER(Futs!$DV31), ISNUMBER($AD31)), $AD31/7.45 + Futs!$DV31, ""), "")</f>
        <v/>
      </c>
      <c r="AO31" s="47" t="str">
        <f t="shared" ca="1" si="133"/>
        <v/>
      </c>
      <c r="AP31" s="111" t="str">
        <f t="shared" ca="1" si="134"/>
        <v/>
      </c>
      <c r="AQ31" s="400">
        <f t="shared" ca="1" si="105"/>
        <v>-5.0200000000000005</v>
      </c>
      <c r="AR31" s="46">
        <f t="shared" ca="1" si="106"/>
        <v>0</v>
      </c>
      <c r="AS31" s="68">
        <f t="shared" ca="1" si="135"/>
        <v>0</v>
      </c>
      <c r="AT31" s="46">
        <f t="shared" ca="1" si="136"/>
        <v>0</v>
      </c>
      <c r="AU31" s="271" t="str">
        <f t="shared" ca="1" si="107"/>
        <v/>
      </c>
      <c r="AV31" s="46" t="str">
        <f t="shared" ca="1" si="108"/>
        <v/>
      </c>
      <c r="AW31" s="68" t="str">
        <f t="shared" ca="1" si="137"/>
        <v/>
      </c>
      <c r="AX31" s="111" t="str">
        <f t="shared" ca="1" si="138"/>
        <v/>
      </c>
      <c r="AY31" s="400" t="str">
        <f ca="1">IFERROR(INDEX(ICE[], MATCH("regrade" &amp; TEXT(Crd!$A31, "mmmyy"), ICE[LongCode], 0), MATCH("ICE Theoretical Price", ICE[#Headers], 0)), "")</f>
        <v/>
      </c>
      <c r="AZ31" s="372" t="str">
        <f ca="1">IFERROR(INDEX(ICE[], MATCH("regrade" &amp; TEXT(Mid!$A31, "mmmyy"), ICE[LongCode], 0), MATCH("Text", ICE[#Headers], 0)), "")</f>
        <v xml:space="preserve"> /  </v>
      </c>
      <c r="BA31" s="46" t="str">
        <f t="shared" ca="1" si="109"/>
        <v/>
      </c>
      <c r="BB31" s="68" t="str">
        <f t="shared" ca="1" si="172"/>
        <v/>
      </c>
      <c r="BC31" s="114" t="str">
        <f t="shared" ca="1" si="139"/>
        <v/>
      </c>
      <c r="BD31" s="68" t="str">
        <f t="shared" ca="1" si="110"/>
        <v/>
      </c>
      <c r="BE31" s="46" t="str">
        <f t="shared" ca="1" si="111"/>
        <v/>
      </c>
      <c r="BF31" s="68" t="str">
        <f t="shared" ca="1" si="140"/>
        <v/>
      </c>
      <c r="BG31" s="111" t="str">
        <f t="shared" ca="1" si="141"/>
        <v/>
      </c>
      <c r="BH31" s="68" t="str">
        <f t="shared" ca="1" si="122"/>
        <v/>
      </c>
      <c r="BI31" s="46" t="str">
        <f t="shared" ca="1" si="112"/>
        <v/>
      </c>
      <c r="BJ31" s="68" t="str">
        <f t="shared" ca="1" si="142"/>
        <v/>
      </c>
      <c r="BK31" s="111" t="str">
        <f t="shared" ca="1" si="143"/>
        <v/>
      </c>
      <c r="BL31" s="400" t="str">
        <f ca="1">IFERROR(INDEX(ICE[], MATCH("ulsdaradiff" &amp; TEXT(Crd!$A31, "mmmyy"), ICE[LongCode], 0), MATCH("ICE Theoretical Price", ICE[#Headers], 0)), "")</f>
        <v/>
      </c>
      <c r="BM31" s="372" t="str">
        <f ca="1">IFERROR(INDEX(ICE[], MATCH("ulsdaradiff" &amp; TEXT(Mid!$A31, "mmmyy"), ICE[LongCode], 0), MATCH("Text", ICE[#Headers], 0)), "")</f>
        <v xml:space="preserve"> /  </v>
      </c>
      <c r="BN31" s="46" t="str">
        <f t="shared" ca="1" si="113"/>
        <v/>
      </c>
      <c r="BO31" s="68" t="str">
        <f t="shared" ca="1" si="144"/>
        <v/>
      </c>
      <c r="BP31" s="114" t="str">
        <f t="shared" ca="1" si="145"/>
        <v/>
      </c>
      <c r="BQ31" s="68" t="str">
        <f ca="1">IFERROR(IF(AND(ISNUMBER(Futs!$CG31), ISNUMBER($BL31)), Futs!$CG31 + $BL31, ""), "")</f>
        <v/>
      </c>
      <c r="BR31" s="46" t="str">
        <f ca="1">IFERROR(IF(AND(ISNUMBER(Futs!$CH31), ISNUMBER($BN31)), Futs!$CH31 + $BN31, ""), "")</f>
        <v/>
      </c>
      <c r="BS31" s="68" t="str">
        <f t="shared" ca="1" si="146"/>
        <v/>
      </c>
      <c r="BT31" s="111" t="str">
        <f t="shared" ca="1" si="147"/>
        <v/>
      </c>
      <c r="BU31" s="400" t="str">
        <f ca="1">IFERROR(INDEX(ICE[], MATCH("ulsdccndiff" &amp; TEXT(Crd!$A31, "mmmyy"), ICE[LongCode], 0), MATCH("ICE Theoretical Price", ICE[#Headers], 0)), "")</f>
        <v/>
      </c>
      <c r="BV31" s="372" t="str">
        <f ca="1">IFERROR(INDEX(ICE[], MATCH("ulsdccndiff" &amp; TEXT(Mid!$A31, "mmmyy"), ICE[LongCode], 0), MATCH("Text", ICE[#Headers], 0)), "")</f>
        <v xml:space="preserve"> /  </v>
      </c>
      <c r="BW31" s="46" t="str">
        <f t="shared" ca="1" si="114"/>
        <v/>
      </c>
      <c r="BX31" s="68" t="str">
        <f t="shared" ca="1" si="148"/>
        <v/>
      </c>
      <c r="BY31" s="114" t="str">
        <f t="shared" ca="1" si="149"/>
        <v/>
      </c>
      <c r="BZ31" s="68" t="str">
        <f ca="1">IFERROR(IF(AND(ISNUMBER(Futs!$CG31), ISNUMBER($BU31)), Futs!$CG31 + $BU31, ""), "")</f>
        <v/>
      </c>
      <c r="CA31" s="46" t="str">
        <f ca="1">IFERROR(IF(AND(ISNUMBER(Futs!$CH31), ISNUMBER($BW31)), Futs!$CH31 + $BW31, ""), "")</f>
        <v/>
      </c>
      <c r="CB31" s="68" t="str">
        <f t="shared" ca="1" si="150"/>
        <v/>
      </c>
      <c r="CC31" s="111" t="str">
        <f t="shared" ca="1" si="151"/>
        <v/>
      </c>
      <c r="CD31" s="400" t="str">
        <f ca="1">IFERROR(INDEX(ICE[], MATCH("ulsdccmdiff" &amp; TEXT(Crd!$A31, "mmmyy"), ICE[LongCode], 0), MATCH("ICE Theoretical Price", ICE[#Headers], 0)), "")</f>
        <v/>
      </c>
      <c r="CE31" s="372" t="str">
        <f ca="1">IFERROR(INDEX(ICE[], MATCH("ulsdccmdiff" &amp; TEXT(Mid!$A31, "mmmyy"), ICE[LongCode], 0), MATCH("Text", ICE[#Headers], 0)), "")</f>
        <v xml:space="preserve"> /  </v>
      </c>
      <c r="CF31" s="46" t="str">
        <f t="shared" ca="1" si="115"/>
        <v/>
      </c>
      <c r="CG31" s="68" t="str">
        <f t="shared" ca="1" si="152"/>
        <v/>
      </c>
      <c r="CH31" s="114" t="str">
        <f t="shared" ca="1" si="153"/>
        <v/>
      </c>
      <c r="CI31" s="68" t="str">
        <f ca="1">IFERROR(IF(AND(ISNUMBER(Futs!$CG31), ISNUMBER($CD31)), Futs!$CG31 + $CD31, ""), "")</f>
        <v/>
      </c>
      <c r="CJ31" s="67" t="str">
        <f ca="1">IFERROR(IF(AND(ISNUMBER(Futs!$CH31), ISNUMBER($CF31)), Futs!$CH31 + $CF31, ""), "")</f>
        <v/>
      </c>
      <c r="CK31" s="68" t="str">
        <f t="shared" ca="1" si="154"/>
        <v/>
      </c>
      <c r="CL31" s="111" t="str">
        <f t="shared" ca="1" si="155"/>
        <v/>
      </c>
      <c r="CM31" s="400" t="str">
        <f ca="1">IFERROR(INDEX(ICE[], MATCH("go01bfrdiff" &amp; TEXT(Crd!$A31, "mmmyy"), ICE[LongCode], 0), MATCH("ICE Theoretical Price", ICE[#Headers], 0)), "")</f>
        <v/>
      </c>
      <c r="CN31" s="372" t="str">
        <f ca="1">IFERROR(INDEX(ICE[], MATCH("go01bfrdiff" &amp; TEXT(Mid!$A31, "mmmyy"), ICE[LongCode], 0), MATCH("Text", ICE[#Headers], 0)), "")</f>
        <v xml:space="preserve"> /  </v>
      </c>
      <c r="CO31" s="46" t="str">
        <f t="shared" ca="1" si="116"/>
        <v/>
      </c>
      <c r="CP31" s="68" t="str">
        <f t="shared" ca="1" si="156"/>
        <v/>
      </c>
      <c r="CQ31" s="114" t="str">
        <f t="shared" ca="1" si="157"/>
        <v/>
      </c>
      <c r="CR31" s="68" t="str">
        <f ca="1">IFERROR(IF(AND(ISNUMBER(Futs!$CG31), ISNUMBER($CM31)), Futs!$CG31 + $CM31, ""), "")</f>
        <v/>
      </c>
      <c r="CS31" s="46" t="str">
        <f ca="1">IFERROR(IF(AND(ISNUMBER(Futs!$CH31), ISNUMBER($CO31)), Futs!$CH31 + $CO31, ""), "")</f>
        <v/>
      </c>
      <c r="CT31" s="68" t="str">
        <f t="shared" ca="1" si="158"/>
        <v/>
      </c>
      <c r="CU31" s="111" t="str">
        <f t="shared" ca="1" si="159"/>
        <v/>
      </c>
      <c r="CV31" s="400" t="str">
        <f ca="1">IFERROR(INDEX(ICE[], MATCH("go01ccndiff" &amp; TEXT(Crd!$A31, "mmmyy"), ICE[LongCode], 0), MATCH("ICE Theoretical Price", ICE[#Headers], 0)), "")</f>
        <v/>
      </c>
      <c r="CW31" s="372" t="str">
        <f ca="1">IFERROR(INDEX(ICE[], MATCH("go01ccndiff" &amp; TEXT(Mid!$A31, "mmmyy"), ICE[LongCode], 0), MATCH("Text", ICE[#Headers], 0)), "")</f>
        <v xml:space="preserve"> /  </v>
      </c>
      <c r="CX31" s="46" t="str">
        <f t="shared" ca="1" si="117"/>
        <v/>
      </c>
      <c r="CY31" s="68" t="str">
        <f t="shared" ca="1" si="160"/>
        <v/>
      </c>
      <c r="CZ31" s="114" t="str">
        <f t="shared" ca="1" si="161"/>
        <v/>
      </c>
      <c r="DA31" s="68" t="str">
        <f ca="1">IFERROR(IF(AND(ISNUMBER(Futs!$CG31), ISNUMBER($CV31)), Futs!$CG31 + $CV31, ""), "")</f>
        <v/>
      </c>
      <c r="DB31" s="46" t="str">
        <f ca="1">IFERROR(IF(AND(ISNUMBER(Futs!$CH31), ISNUMBER($CX31)), Futs!$CH31 + $CX31, ""), "")</f>
        <v/>
      </c>
      <c r="DC31" s="68" t="str">
        <f t="shared" ca="1" si="162"/>
        <v/>
      </c>
      <c r="DD31" s="111" t="str">
        <f t="shared" ca="1" si="163"/>
        <v/>
      </c>
      <c r="DE31" s="400" t="str">
        <f ca="1">IFERROR(INDEX(ICE[], MATCH("go01ccmdiff" &amp; TEXT(Crd!$A31, "mmmyy"), ICE[LongCode], 0), MATCH("ICE Theoretical Price", ICE[#Headers], 0)), "")</f>
        <v/>
      </c>
      <c r="DF31" s="372" t="str">
        <f ca="1">IFERROR(INDEX(ICE[], MATCH("go01ccmdiff" &amp; TEXT(Mid!$A31, "mmmyy"), ICE[LongCode], 0), MATCH("Text", ICE[#Headers], 0)), "")</f>
        <v xml:space="preserve"> /  </v>
      </c>
      <c r="DG31" s="46" t="str">
        <f t="shared" ca="1" si="118"/>
        <v/>
      </c>
      <c r="DH31" s="68" t="str">
        <f t="shared" ca="1" si="164"/>
        <v/>
      </c>
      <c r="DI31" s="114" t="str">
        <f t="shared" ca="1" si="165"/>
        <v/>
      </c>
      <c r="DJ31" s="68" t="str">
        <f ca="1">IFERROR(IF(AND(ISNUMBER(Futs!$CG31), ISNUMBER($DE31)), Futs!$CG31 + $DE31, ""), "")</f>
        <v/>
      </c>
      <c r="DK31" s="46" t="str">
        <f ca="1">IFERROR(IF(AND(ISNUMBER(Futs!$CH31), ISNUMBER($DG31)), Futs!$CH31 + $DG31, ""), "")</f>
        <v/>
      </c>
      <c r="DL31" s="68" t="str">
        <f t="shared" ca="1" si="166"/>
        <v/>
      </c>
      <c r="DM31" s="111" t="str">
        <f t="shared" ca="1" si="167"/>
        <v/>
      </c>
      <c r="DN31" s="400" t="str">
        <f ca="1">IFERROR(INDEX(ICE[], MATCH("ulsdgc" &amp; TEXT(Crd!$A31, "mmmyy"), ICE[LongCode], 0), MATCH("ICE Theoretical Price", ICE[#Headers], 0))*100, "")</f>
        <v/>
      </c>
      <c r="DO31" s="372" t="str">
        <f ca="1">IFERROR(INDEX(ICE[], MATCH("ulsdgc" &amp; TEXT(Mid!$A31, "mmmyy"), ICE[LongCode], 0), MATCH("Text", ICE[#Headers], 0)), "")</f>
        <v xml:space="preserve"> /  </v>
      </c>
      <c r="DP31" s="46" t="str">
        <f t="shared" ca="1" si="119"/>
        <v/>
      </c>
      <c r="DQ31" s="68" t="str">
        <f t="shared" ca="1" si="168"/>
        <v/>
      </c>
      <c r="DR31" s="114" t="str">
        <f t="shared" ca="1" si="169"/>
        <v/>
      </c>
      <c r="DS31" s="68" t="str">
        <f ca="1">IFERROR(IF(AND(ISNUMBER(Futs!$CK31), ISNUMBER($DN31)), Futs!$CK31 + $DN31, ""), "")</f>
        <v/>
      </c>
      <c r="DT31" s="46" t="str">
        <f ca="1">IFERROR(IF(AND(ISNUMBER(Futs!$CL31), ISNUMBER($DP31)), Futs!$CL31 + $DP31, ""), "")</f>
        <v/>
      </c>
      <c r="DU31" s="68" t="str">
        <f t="shared" ca="1" si="170"/>
        <v/>
      </c>
      <c r="DV31" s="111" t="str">
        <f t="shared" ca="1" si="171"/>
        <v/>
      </c>
    </row>
    <row r="32" spans="1:126" x14ac:dyDescent="0.25">
      <c r="A32" s="58">
        <f t="shared" ca="1" si="123"/>
        <v>46661</v>
      </c>
      <c r="B32" s="6">
        <f t="shared" ca="1" si="102"/>
        <v>2027</v>
      </c>
      <c r="C32" s="6" t="str">
        <f t="shared" ca="1" si="120"/>
        <v>Q427</v>
      </c>
      <c r="D32" s="28">
        <f ca="1">INDEX(ICE[], MATCH(D$18 &amp; TEXT(Mid!$A32, "mmmyy"), ICE[LongCode], 0), MATCH("Settle", ICE[#Headers], 0))</f>
        <v>89</v>
      </c>
      <c r="E32" s="28">
        <f ca="1">INDEX(ICE[], MATCH(E$18 &amp; TEXT(Mid!$A32, "mmmyy"), ICE[LongCode], 0), MATCH("Settle", ICE[#Headers], 0))</f>
        <v>-44.023000000000003</v>
      </c>
      <c r="F32" s="28">
        <f ca="1">INDEX(ICE[], MATCH(F$18 &amp; TEXT(Mid!$A32, "mmmyy"), ICE[LongCode], 0), MATCH("Settle", ICE[#Headers], 0))</f>
        <v>2.5500000000000003</v>
      </c>
      <c r="G32" s="28">
        <f ca="1">INDEX(ICE[], MATCH(G$18 &amp; TEXT(Mid!$A32, "mmmyy"), ICE[LongCode], 0), MATCH("Settle", ICE[#Headers], 0))</f>
        <v>7</v>
      </c>
      <c r="H32" s="28">
        <f ca="1">INDEX(ICE[], MATCH(H$18 &amp; TEXT(Mid!$A32, "mmmyy"), ICE[LongCode], 0), MATCH("Settle", ICE[#Headers], 0))</f>
        <v>15.75</v>
      </c>
      <c r="I32" s="28">
        <f ca="1">INDEX(ICE[], MATCH(I$18 &amp; TEXT(Mid!$A32, "mmmyy"), ICE[LongCode], 0), MATCH("Settle", ICE[#Headers], 0))</f>
        <v>14.5</v>
      </c>
      <c r="J32" s="28">
        <f ca="1">INDEX(ICE[], MATCH(J$18 &amp; TEXT(Mid!$A32, "mmmyy"), ICE[LongCode], 0), MATCH("Settle", ICE[#Headers], 0))</f>
        <v>-25</v>
      </c>
      <c r="K32" s="28">
        <f ca="1">INDEX(ICE[], MATCH(K$18 &amp; TEXT(Mid!$A32, "mmmyy"), ICE[LongCode], 0), MATCH("Settle", ICE[#Headers], 0))</f>
        <v>-5</v>
      </c>
      <c r="L32" s="28">
        <f ca="1">INDEX(ICE[], MATCH(L$18 &amp; TEXT(Mid!$A32, "mmmyy"), ICE[LongCode], 0), MATCH("Settle", ICE[#Headers], 0))</f>
        <v>1.25</v>
      </c>
      <c r="M32" s="28">
        <f ca="1">INDEX(ICE[], MATCH(M$18 &amp; TEXT(Mid!$A32, "mmmyy"), ICE[LongCode], 0), MATCH("Settle", ICE[#Headers], 0))</f>
        <v>-5.26</v>
      </c>
      <c r="N32" s="28">
        <f ca="1">INDEX(ICE[], MATCH(N$18 &amp; TEXT(Mid!$A32, "mmmyy"), ICE[LongCode], 0), MATCH("Settle", ICE[#Headers], 0))*100</f>
        <v>-11.05</v>
      </c>
      <c r="O32" s="397" t="str">
        <f ca="1">IFERROR(INDEX(ICE[], MATCH("jetccndiff" &amp; TEXT(Crd!$A32, "mmmyy"), ICE[LongCode], 0), MATCH("ICE Theoretical Price", ICE[#Headers], 0)), "")</f>
        <v/>
      </c>
      <c r="P32" s="372" t="str">
        <f ca="1">IFERROR(INDEX(ICE[], MATCH("jetccndiff" &amp; TEXT(Mid!$A32, "mmmyy"), ICE[LongCode], 0), MATCH("Text", ICE[#Headers], 0)), "")</f>
        <v xml:space="preserve"> /  </v>
      </c>
      <c r="Q32" s="46" t="str">
        <f t="shared" ca="1" si="103"/>
        <v/>
      </c>
      <c r="R32" s="47" t="str">
        <f t="shared" ca="1" si="121"/>
        <v/>
      </c>
      <c r="S32" s="114" t="str">
        <f t="shared" ca="1" si="124"/>
        <v/>
      </c>
      <c r="T32" s="49" t="str">
        <f ca="1">IFERROR(IF(AND(ISNUMBER(Futs!$CG32), ISNUMBER($O32)), Futs!$CG32 + $O32, ""), "")</f>
        <v/>
      </c>
      <c r="U32" s="46" t="str">
        <f ca="1">IFERROR(IF(AND(ISNUMBER(Futs!$CH32), ISNUMBER($Q32)), Futs!$CH32 + $Q32, ""), "")</f>
        <v/>
      </c>
      <c r="V32" s="47" t="str">
        <f t="shared" ca="1" si="125"/>
        <v/>
      </c>
      <c r="W32" s="46" t="str">
        <f t="shared" ca="1" si="126"/>
        <v/>
      </c>
      <c r="X32" s="427" t="str">
        <f ca="1">IFERROR(IF(AND(ISNUMBER(Futs!$CC32), ISNUMBER($T32)), $T32/7.88 - Futs!$CC32, ""), "")</f>
        <v/>
      </c>
      <c r="Y32" s="46" t="str">
        <f ca="1">IFERROR(IF(AND(ISNUMBER(Futs!$DV32), ISNUMBER($Q32)), Futs!$DV32 + $Q32/7.88, ""), "")</f>
        <v/>
      </c>
      <c r="Z32" s="47" t="str">
        <f t="shared" ca="1" si="127"/>
        <v/>
      </c>
      <c r="AA32" s="111" t="str">
        <f t="shared" ca="1" si="128"/>
        <v/>
      </c>
      <c r="AB32" s="400" t="str">
        <f ca="1">IFERROR(INDEX(ICE[], MATCH("goew" &amp; TEXT(Crd!$A32, "mmmyy"), ICE[LongCode], 0), MATCH("ICE Theoretical Price", ICE[#Headers], 0)), "")</f>
        <v/>
      </c>
      <c r="AC32" s="372" t="str">
        <f ca="1">IFERROR(INDEX(ICE[], MATCH("goew" &amp; TEXT(Mid!$A32, "mmmyy"), ICE[LongCode], 0), MATCH("Text", ICE[#Headers], 0)), "")</f>
        <v xml:space="preserve"> /   |20x</v>
      </c>
      <c r="AD32" s="46" t="str">
        <f t="shared" ca="1" si="104"/>
        <v/>
      </c>
      <c r="AE32" s="68" t="str">
        <f t="shared" ca="1" si="129"/>
        <v/>
      </c>
      <c r="AF32" s="46" t="str">
        <f t="shared" ca="1" si="130"/>
        <v/>
      </c>
      <c r="AG32" s="265" t="str">
        <f ca="1">IFERROR(IF(AND(ISNUMBER(Futs!$BM32), ISNUMBER($AH32)), $AH32*7.45 - Futs!$BM32, ""), "")</f>
        <v/>
      </c>
      <c r="AH32" s="187" t="str">
        <f ca="1">IFERROR(IF(AND(ISNUMBER(Futs!$CG32), ISNUMBER($AB32)), (Futs!$CG32 + $AB32)/7.45, ""), "")</f>
        <v/>
      </c>
      <c r="AI32" s="46" t="str">
        <f ca="1">IFERROR(IF(AND(ISNUMBER(Futs!$CH32), ISNUMBER($AD32)), (Futs!$CH32 + $AD32)/7.45, ""), "")</f>
        <v/>
      </c>
      <c r="AJ32" s="68" t="str">
        <f t="shared" ca="1" si="131"/>
        <v/>
      </c>
      <c r="AK32" s="364" t="str">
        <f ca="1">IFERROR(INDEX(ICE[], MATCH("gosing" &amp; TEXT(Crd!$A31, "mmmyy") &amp; "/" &amp; TEXT(Crd!$A32, "mmmyy"), ICE[LongCode], 0), MATCH("Text", ICE[#Headers], 0)), "")</f>
        <v/>
      </c>
      <c r="AL32" s="46" t="str">
        <f t="shared" ca="1" si="132"/>
        <v/>
      </c>
      <c r="AM32" s="427" t="str">
        <f ca="1">IFERROR(IF(AND(ISNUMBER(Futs!$CC32), ISNUMBER($AH32)), $AH32 - Futs!$CC32, ""), "")</f>
        <v/>
      </c>
      <c r="AN32" s="46" t="str">
        <f ca="1">IFERROR(IF(AND(ISNUMBER(Futs!$DV32), ISNUMBER($AD32)), $AD32/7.45 + Futs!$DV32, ""), "")</f>
        <v/>
      </c>
      <c r="AO32" s="47" t="str">
        <f t="shared" ca="1" si="133"/>
        <v/>
      </c>
      <c r="AP32" s="111" t="str">
        <f t="shared" ca="1" si="134"/>
        <v/>
      </c>
      <c r="AQ32" s="400">
        <f t="shared" ca="1" si="105"/>
        <v>-5.26</v>
      </c>
      <c r="AR32" s="46">
        <f t="shared" ca="1" si="106"/>
        <v>0</v>
      </c>
      <c r="AS32" s="68">
        <f t="shared" ca="1" si="135"/>
        <v>0.23999999999999932</v>
      </c>
      <c r="AT32" s="46">
        <f t="shared" ca="1" si="136"/>
        <v>0</v>
      </c>
      <c r="AU32" s="271" t="str">
        <f t="shared" ca="1" si="107"/>
        <v/>
      </c>
      <c r="AV32" s="46" t="str">
        <f t="shared" ca="1" si="108"/>
        <v/>
      </c>
      <c r="AW32" s="68" t="str">
        <f t="shared" ca="1" si="137"/>
        <v/>
      </c>
      <c r="AX32" s="111" t="str">
        <f t="shared" ca="1" si="138"/>
        <v/>
      </c>
      <c r="AY32" s="400" t="str">
        <f ca="1">IFERROR(INDEX(ICE[], MATCH("regrade" &amp; TEXT(Crd!$A32, "mmmyy"), ICE[LongCode], 0), MATCH("ICE Theoretical Price", ICE[#Headers], 0)), "")</f>
        <v/>
      </c>
      <c r="AZ32" s="372" t="str">
        <f ca="1">IFERROR(INDEX(ICE[], MATCH("regrade" &amp; TEXT(Mid!$A32, "mmmyy"), ICE[LongCode], 0), MATCH("Text", ICE[#Headers], 0)), "")</f>
        <v xml:space="preserve"> /  </v>
      </c>
      <c r="BA32" s="46" t="str">
        <f t="shared" ca="1" si="109"/>
        <v/>
      </c>
      <c r="BB32" s="68" t="str">
        <f t="shared" ca="1" si="172"/>
        <v/>
      </c>
      <c r="BC32" s="114" t="str">
        <f t="shared" ca="1" si="139"/>
        <v/>
      </c>
      <c r="BD32" s="68" t="str">
        <f t="shared" ca="1" si="110"/>
        <v/>
      </c>
      <c r="BE32" s="46" t="str">
        <f t="shared" ca="1" si="111"/>
        <v/>
      </c>
      <c r="BF32" s="68" t="str">
        <f t="shared" ca="1" si="140"/>
        <v/>
      </c>
      <c r="BG32" s="111" t="str">
        <f t="shared" ca="1" si="141"/>
        <v/>
      </c>
      <c r="BH32" s="68" t="str">
        <f t="shared" ca="1" si="122"/>
        <v/>
      </c>
      <c r="BI32" s="46" t="str">
        <f t="shared" ca="1" si="112"/>
        <v/>
      </c>
      <c r="BJ32" s="68" t="str">
        <f t="shared" ca="1" si="142"/>
        <v/>
      </c>
      <c r="BK32" s="111" t="str">
        <f t="shared" ca="1" si="143"/>
        <v/>
      </c>
      <c r="BL32" s="400" t="str">
        <f ca="1">IFERROR(INDEX(ICE[], MATCH("ulsdaradiff" &amp; TEXT(Crd!$A32, "mmmyy"), ICE[LongCode], 0), MATCH("ICE Theoretical Price", ICE[#Headers], 0)), "")</f>
        <v/>
      </c>
      <c r="BM32" s="372" t="str">
        <f ca="1">IFERROR(INDEX(ICE[], MATCH("ulsdaradiff" &amp; TEXT(Mid!$A32, "mmmyy"), ICE[LongCode], 0), MATCH("Text", ICE[#Headers], 0)), "")</f>
        <v xml:space="preserve"> /  </v>
      </c>
      <c r="BN32" s="46" t="str">
        <f t="shared" ca="1" si="113"/>
        <v/>
      </c>
      <c r="BO32" s="68" t="str">
        <f t="shared" ca="1" si="144"/>
        <v/>
      </c>
      <c r="BP32" s="114" t="str">
        <f t="shared" ca="1" si="145"/>
        <v/>
      </c>
      <c r="BQ32" s="68" t="str">
        <f ca="1">IFERROR(IF(AND(ISNUMBER(Futs!$CG32), ISNUMBER($BL32)), Futs!$CG32 + $BL32, ""), "")</f>
        <v/>
      </c>
      <c r="BR32" s="46" t="str">
        <f ca="1">IFERROR(IF(AND(ISNUMBER(Futs!$CH32), ISNUMBER($BN32)), Futs!$CH32 + $BN32, ""), "")</f>
        <v/>
      </c>
      <c r="BS32" s="68" t="str">
        <f t="shared" ca="1" si="146"/>
        <v/>
      </c>
      <c r="BT32" s="111" t="str">
        <f t="shared" ca="1" si="147"/>
        <v/>
      </c>
      <c r="BU32" s="400" t="str">
        <f ca="1">IFERROR(INDEX(ICE[], MATCH("ulsdccndiff" &amp; TEXT(Crd!$A32, "mmmyy"), ICE[LongCode], 0), MATCH("ICE Theoretical Price", ICE[#Headers], 0)), "")</f>
        <v/>
      </c>
      <c r="BV32" s="372" t="str">
        <f ca="1">IFERROR(INDEX(ICE[], MATCH("ulsdccndiff" &amp; TEXT(Mid!$A32, "mmmyy"), ICE[LongCode], 0), MATCH("Text", ICE[#Headers], 0)), "")</f>
        <v xml:space="preserve"> /  </v>
      </c>
      <c r="BW32" s="46" t="str">
        <f t="shared" ca="1" si="114"/>
        <v/>
      </c>
      <c r="BX32" s="68" t="str">
        <f t="shared" ca="1" si="148"/>
        <v/>
      </c>
      <c r="BY32" s="114" t="str">
        <f t="shared" ca="1" si="149"/>
        <v/>
      </c>
      <c r="BZ32" s="68" t="str">
        <f ca="1">IFERROR(IF(AND(ISNUMBER(Futs!$CG32), ISNUMBER($BU32)), Futs!$CG32 + $BU32, ""), "")</f>
        <v/>
      </c>
      <c r="CA32" s="46" t="str">
        <f ca="1">IFERROR(IF(AND(ISNUMBER(Futs!$CH32), ISNUMBER($BW32)), Futs!$CH32 + $BW32, ""), "")</f>
        <v/>
      </c>
      <c r="CB32" s="68" t="str">
        <f t="shared" ca="1" si="150"/>
        <v/>
      </c>
      <c r="CC32" s="111" t="str">
        <f t="shared" ca="1" si="151"/>
        <v/>
      </c>
      <c r="CD32" s="400" t="str">
        <f ca="1">IFERROR(INDEX(ICE[], MATCH("ulsdccmdiff" &amp; TEXT(Crd!$A32, "mmmyy"), ICE[LongCode], 0), MATCH("ICE Theoretical Price", ICE[#Headers], 0)), "")</f>
        <v/>
      </c>
      <c r="CE32" s="372" t="str">
        <f ca="1">IFERROR(INDEX(ICE[], MATCH("ulsdccmdiff" &amp; TEXT(Mid!$A32, "mmmyy"), ICE[LongCode], 0), MATCH("Text", ICE[#Headers], 0)), "")</f>
        <v xml:space="preserve"> /  </v>
      </c>
      <c r="CF32" s="46" t="str">
        <f t="shared" ca="1" si="115"/>
        <v/>
      </c>
      <c r="CG32" s="68" t="str">
        <f t="shared" ca="1" si="152"/>
        <v/>
      </c>
      <c r="CH32" s="114" t="str">
        <f t="shared" ca="1" si="153"/>
        <v/>
      </c>
      <c r="CI32" s="68" t="str">
        <f ca="1">IFERROR(IF(AND(ISNUMBER(Futs!$CG32), ISNUMBER($CD32)), Futs!$CG32 + $CD32, ""), "")</f>
        <v/>
      </c>
      <c r="CJ32" s="67" t="str">
        <f ca="1">IFERROR(IF(AND(ISNUMBER(Futs!$CH32), ISNUMBER($CF32)), Futs!$CH32 + $CF32, ""), "")</f>
        <v/>
      </c>
      <c r="CK32" s="68" t="str">
        <f t="shared" ca="1" si="154"/>
        <v/>
      </c>
      <c r="CL32" s="111" t="str">
        <f t="shared" ca="1" si="155"/>
        <v/>
      </c>
      <c r="CM32" s="400" t="str">
        <f ca="1">IFERROR(INDEX(ICE[], MATCH("go01bfrdiff" &amp; TEXT(Crd!$A32, "mmmyy"), ICE[LongCode], 0), MATCH("ICE Theoretical Price", ICE[#Headers], 0)), "")</f>
        <v/>
      </c>
      <c r="CN32" s="372" t="str">
        <f ca="1">IFERROR(INDEX(ICE[], MATCH("go01bfrdiff" &amp; TEXT(Mid!$A32, "mmmyy"), ICE[LongCode], 0), MATCH("Text", ICE[#Headers], 0)), "")</f>
        <v xml:space="preserve"> /  </v>
      </c>
      <c r="CO32" s="46" t="str">
        <f t="shared" ca="1" si="116"/>
        <v/>
      </c>
      <c r="CP32" s="68" t="str">
        <f t="shared" ca="1" si="156"/>
        <v/>
      </c>
      <c r="CQ32" s="114" t="str">
        <f t="shared" ca="1" si="157"/>
        <v/>
      </c>
      <c r="CR32" s="68" t="str">
        <f ca="1">IFERROR(IF(AND(ISNUMBER(Futs!$CG32), ISNUMBER($CM32)), Futs!$CG32 + $CM32, ""), "")</f>
        <v/>
      </c>
      <c r="CS32" s="46" t="str">
        <f ca="1">IFERROR(IF(AND(ISNUMBER(Futs!$CH32), ISNUMBER($CO32)), Futs!$CH32 + $CO32, ""), "")</f>
        <v/>
      </c>
      <c r="CT32" s="68" t="str">
        <f t="shared" ca="1" si="158"/>
        <v/>
      </c>
      <c r="CU32" s="111" t="str">
        <f t="shared" ca="1" si="159"/>
        <v/>
      </c>
      <c r="CV32" s="400" t="str">
        <f ca="1">IFERROR(INDEX(ICE[], MATCH("go01ccndiff" &amp; TEXT(Crd!$A32, "mmmyy"), ICE[LongCode], 0), MATCH("ICE Theoretical Price", ICE[#Headers], 0)), "")</f>
        <v/>
      </c>
      <c r="CW32" s="372" t="str">
        <f ca="1">IFERROR(INDEX(ICE[], MATCH("go01ccndiff" &amp; TEXT(Mid!$A32, "mmmyy"), ICE[LongCode], 0), MATCH("Text", ICE[#Headers], 0)), "")</f>
        <v xml:space="preserve"> /  </v>
      </c>
      <c r="CX32" s="46" t="str">
        <f t="shared" ca="1" si="117"/>
        <v/>
      </c>
      <c r="CY32" s="68" t="str">
        <f t="shared" ca="1" si="160"/>
        <v/>
      </c>
      <c r="CZ32" s="114" t="str">
        <f t="shared" ca="1" si="161"/>
        <v/>
      </c>
      <c r="DA32" s="68" t="str">
        <f ca="1">IFERROR(IF(AND(ISNUMBER(Futs!$CG32), ISNUMBER($CV32)), Futs!$CG32 + $CV32, ""), "")</f>
        <v/>
      </c>
      <c r="DB32" s="46" t="str">
        <f ca="1">IFERROR(IF(AND(ISNUMBER(Futs!$CH32), ISNUMBER($CX32)), Futs!$CH32 + $CX32, ""), "")</f>
        <v/>
      </c>
      <c r="DC32" s="68" t="str">
        <f t="shared" ca="1" si="162"/>
        <v/>
      </c>
      <c r="DD32" s="111" t="str">
        <f t="shared" ca="1" si="163"/>
        <v/>
      </c>
      <c r="DE32" s="400" t="str">
        <f ca="1">IFERROR(INDEX(ICE[], MATCH("go01ccmdiff" &amp; TEXT(Crd!$A32, "mmmyy"), ICE[LongCode], 0), MATCH("ICE Theoretical Price", ICE[#Headers], 0)), "")</f>
        <v/>
      </c>
      <c r="DF32" s="372" t="str">
        <f ca="1">IFERROR(INDEX(ICE[], MATCH("go01ccmdiff" &amp; TEXT(Mid!$A32, "mmmyy"), ICE[LongCode], 0), MATCH("Text", ICE[#Headers], 0)), "")</f>
        <v xml:space="preserve"> /  </v>
      </c>
      <c r="DG32" s="46" t="str">
        <f t="shared" ca="1" si="118"/>
        <v/>
      </c>
      <c r="DH32" s="68" t="str">
        <f t="shared" ca="1" si="164"/>
        <v/>
      </c>
      <c r="DI32" s="114" t="str">
        <f t="shared" ca="1" si="165"/>
        <v/>
      </c>
      <c r="DJ32" s="68" t="str">
        <f ca="1">IFERROR(IF(AND(ISNUMBER(Futs!$CG32), ISNUMBER($DE32)), Futs!$CG32 + $DE32, ""), "")</f>
        <v/>
      </c>
      <c r="DK32" s="46" t="str">
        <f ca="1">IFERROR(IF(AND(ISNUMBER(Futs!$CH32), ISNUMBER($DG32)), Futs!$CH32 + $DG32, ""), "")</f>
        <v/>
      </c>
      <c r="DL32" s="68" t="str">
        <f t="shared" ca="1" si="166"/>
        <v/>
      </c>
      <c r="DM32" s="111" t="str">
        <f t="shared" ca="1" si="167"/>
        <v/>
      </c>
      <c r="DN32" s="400" t="str">
        <f ca="1">IFERROR(INDEX(ICE[], MATCH("ulsdgc" &amp; TEXT(Crd!$A32, "mmmyy"), ICE[LongCode], 0), MATCH("ICE Theoretical Price", ICE[#Headers], 0))*100, "")</f>
        <v/>
      </c>
      <c r="DO32" s="372" t="str">
        <f ca="1">IFERROR(INDEX(ICE[], MATCH("ulsdgc" &amp; TEXT(Mid!$A32, "mmmyy"), ICE[LongCode], 0), MATCH("Text", ICE[#Headers], 0)), "")</f>
        <v xml:space="preserve"> /  </v>
      </c>
      <c r="DP32" s="46" t="str">
        <f t="shared" ca="1" si="119"/>
        <v/>
      </c>
      <c r="DQ32" s="68" t="str">
        <f t="shared" ca="1" si="168"/>
        <v/>
      </c>
      <c r="DR32" s="114" t="str">
        <f t="shared" ca="1" si="169"/>
        <v/>
      </c>
      <c r="DS32" s="68" t="str">
        <f ca="1">IFERROR(IF(AND(ISNUMBER(Futs!$CK32), ISNUMBER($DN32)), Futs!$CK32 + $DN32, ""), "")</f>
        <v/>
      </c>
      <c r="DT32" s="46" t="str">
        <f ca="1">IFERROR(IF(AND(ISNUMBER(Futs!$CL32), ISNUMBER($DP32)), Futs!$CL32 + $DP32, ""), "")</f>
        <v/>
      </c>
      <c r="DU32" s="68" t="str">
        <f t="shared" ca="1" si="170"/>
        <v/>
      </c>
      <c r="DV32" s="111" t="str">
        <f t="shared" ca="1" si="171"/>
        <v/>
      </c>
    </row>
    <row r="33" spans="1:126" x14ac:dyDescent="0.25">
      <c r="A33" s="58">
        <f t="shared" ca="1" si="123"/>
        <v>46692</v>
      </c>
      <c r="B33" s="6">
        <f t="shared" ca="1" si="102"/>
        <v>2027</v>
      </c>
      <c r="C33" s="6" t="str">
        <f t="shared" ca="1" si="120"/>
        <v>Q427</v>
      </c>
      <c r="D33" s="28">
        <f ca="1">INDEX(ICE[], MATCH(D$18 &amp; TEXT(Mid!$A33, "mmmyy"), ICE[LongCode], 0), MATCH("Settle", ICE[#Headers], 0))</f>
        <v>88</v>
      </c>
      <c r="E33" s="28">
        <f ca="1">INDEX(ICE[], MATCH(E$18 &amp; TEXT(Mid!$A33, "mmmyy"), ICE[LongCode], 0), MATCH("Settle", ICE[#Headers], 0))</f>
        <v>-42.251000000000005</v>
      </c>
      <c r="F33" s="28">
        <f ca="1">INDEX(ICE[], MATCH(F$18 &amp; TEXT(Mid!$A33, "mmmyy"), ICE[LongCode], 0), MATCH("Settle", ICE[#Headers], 0))</f>
        <v>2.75</v>
      </c>
      <c r="G33" s="28">
        <f ca="1">INDEX(ICE[], MATCH(G$18 &amp; TEXT(Mid!$A33, "mmmyy"), ICE[LongCode], 0), MATCH("Settle", ICE[#Headers], 0))</f>
        <v>7</v>
      </c>
      <c r="H33" s="28">
        <f ca="1">INDEX(ICE[], MATCH(H$18 &amp; TEXT(Mid!$A33, "mmmyy"), ICE[LongCode], 0), MATCH("Settle", ICE[#Headers], 0))</f>
        <v>15.75</v>
      </c>
      <c r="I33" s="28">
        <f ca="1">INDEX(ICE[], MATCH(I$18 &amp; TEXT(Mid!$A33, "mmmyy"), ICE[LongCode], 0), MATCH("Settle", ICE[#Headers], 0))</f>
        <v>14.5</v>
      </c>
      <c r="J33" s="28">
        <f ca="1">INDEX(ICE[], MATCH(J$18 &amp; TEXT(Mid!$A33, "mmmyy"), ICE[LongCode], 0), MATCH("Settle", ICE[#Headers], 0))</f>
        <v>-25</v>
      </c>
      <c r="K33" s="28">
        <f ca="1">INDEX(ICE[], MATCH(K$18 &amp; TEXT(Mid!$A33, "mmmyy"), ICE[LongCode], 0), MATCH("Settle", ICE[#Headers], 0))</f>
        <v>-5</v>
      </c>
      <c r="L33" s="28">
        <f ca="1">INDEX(ICE[], MATCH(L$18 &amp; TEXT(Mid!$A33, "mmmyy"), ICE[LongCode], 0), MATCH("Settle", ICE[#Headers], 0))</f>
        <v>1.25</v>
      </c>
      <c r="M33" s="28">
        <f ca="1">INDEX(ICE[], MATCH(M$18 &amp; TEXT(Mid!$A33, "mmmyy"), ICE[LongCode], 0), MATCH("Settle", ICE[#Headers], 0))</f>
        <v>-5.26</v>
      </c>
      <c r="N33" s="28">
        <f ca="1">INDEX(ICE[], MATCH(N$18 &amp; TEXT(Mid!$A33, "mmmyy"), ICE[LongCode], 0), MATCH("Settle", ICE[#Headers], 0))*100</f>
        <v>-12.8</v>
      </c>
      <c r="O33" s="397" t="str">
        <f ca="1">IFERROR(INDEX(ICE[], MATCH("jetccndiff" &amp; TEXT(Crd!$A33, "mmmyy"), ICE[LongCode], 0), MATCH("ICE Theoretical Price", ICE[#Headers], 0)), "")</f>
        <v/>
      </c>
      <c r="P33" s="372" t="str">
        <f ca="1">IFERROR(INDEX(ICE[], MATCH("jetccndiff" &amp; TEXT(Mid!$A33, "mmmyy"), ICE[LongCode], 0), MATCH("Text", ICE[#Headers], 0)), "")</f>
        <v xml:space="preserve"> /  </v>
      </c>
      <c r="Q33" s="46" t="str">
        <f t="shared" ca="1" si="103"/>
        <v/>
      </c>
      <c r="R33" s="47" t="str">
        <f t="shared" ca="1" si="121"/>
        <v/>
      </c>
      <c r="S33" s="114" t="str">
        <f t="shared" ca="1" si="124"/>
        <v/>
      </c>
      <c r="T33" s="49" t="str">
        <f ca="1">IFERROR(IF(AND(ISNUMBER(Futs!$CG33), ISNUMBER($O33)), Futs!$CG33 + $O33, ""), "")</f>
        <v/>
      </c>
      <c r="U33" s="46" t="str">
        <f ca="1">IFERROR(IF(AND(ISNUMBER(Futs!$CH33), ISNUMBER($Q33)), Futs!$CH33 + $Q33, ""), "")</f>
        <v/>
      </c>
      <c r="V33" s="47" t="str">
        <f t="shared" ca="1" si="125"/>
        <v/>
      </c>
      <c r="W33" s="46" t="str">
        <f t="shared" ca="1" si="126"/>
        <v/>
      </c>
      <c r="X33" s="427" t="str">
        <f ca="1">IFERROR(IF(AND(ISNUMBER(Futs!$CC33), ISNUMBER($T33)), $T33/7.88 - Futs!$CC33, ""), "")</f>
        <v/>
      </c>
      <c r="Y33" s="46" t="str">
        <f ca="1">IFERROR(IF(AND(ISNUMBER(Futs!$DV33), ISNUMBER($Q33)), Futs!$DV33 + $Q33/7.88, ""), "")</f>
        <v/>
      </c>
      <c r="Z33" s="47" t="str">
        <f t="shared" ca="1" si="127"/>
        <v/>
      </c>
      <c r="AA33" s="111" t="str">
        <f t="shared" ca="1" si="128"/>
        <v/>
      </c>
      <c r="AB33" s="400" t="str">
        <f ca="1">IFERROR(INDEX(ICE[], MATCH("goew" &amp; TEXT(Crd!$A33, "mmmyy"), ICE[LongCode], 0), MATCH("ICE Theoretical Price", ICE[#Headers], 0)), "")</f>
        <v/>
      </c>
      <c r="AC33" s="372" t="str">
        <f ca="1">IFERROR(INDEX(ICE[], MATCH("goew" &amp; TEXT(Mid!$A33, "mmmyy"), ICE[LongCode], 0), MATCH("Text", ICE[#Headers], 0)), "")</f>
        <v xml:space="preserve"> /   |20x</v>
      </c>
      <c r="AD33" s="46" t="str">
        <f t="shared" ca="1" si="104"/>
        <v/>
      </c>
      <c r="AE33" s="68" t="str">
        <f t="shared" ca="1" si="129"/>
        <v/>
      </c>
      <c r="AF33" s="46" t="str">
        <f t="shared" ca="1" si="130"/>
        <v/>
      </c>
      <c r="AG33" s="265" t="str">
        <f ca="1">IFERROR(IF(AND(ISNUMBER(Futs!$BM33), ISNUMBER($AH33)), $AH33*7.45 - Futs!$BM33, ""), "")</f>
        <v/>
      </c>
      <c r="AH33" s="187" t="str">
        <f ca="1">IFERROR(IF(AND(ISNUMBER(Futs!$CG33), ISNUMBER($AB33)), (Futs!$CG33 + $AB33)/7.45, ""), "")</f>
        <v/>
      </c>
      <c r="AI33" s="46" t="str">
        <f ca="1">IFERROR(IF(AND(ISNUMBER(Futs!$CH33), ISNUMBER($AD33)), (Futs!$CH33 + $AD33)/7.45, ""), "")</f>
        <v/>
      </c>
      <c r="AJ33" s="68" t="str">
        <f t="shared" ca="1" si="131"/>
        <v/>
      </c>
      <c r="AK33" s="364" t="str">
        <f ca="1">IFERROR(INDEX(ICE[], MATCH("gosing" &amp; TEXT(Crd!$A32, "mmmyy") &amp; "/" &amp; TEXT(Crd!$A33, "mmmyy"), ICE[LongCode], 0), MATCH("Text", ICE[#Headers], 0)), "")</f>
        <v/>
      </c>
      <c r="AL33" s="46" t="str">
        <f t="shared" ca="1" si="132"/>
        <v/>
      </c>
      <c r="AM33" s="427" t="str">
        <f ca="1">IFERROR(IF(AND(ISNUMBER(Futs!$CC33), ISNUMBER($AH33)), $AH33 - Futs!$CC33, ""), "")</f>
        <v/>
      </c>
      <c r="AN33" s="46" t="str">
        <f ca="1">IFERROR(IF(AND(ISNUMBER(Futs!$DV33), ISNUMBER($AD33)), $AD33/7.45 + Futs!$DV33, ""), "")</f>
        <v/>
      </c>
      <c r="AO33" s="47" t="str">
        <f t="shared" ca="1" si="133"/>
        <v/>
      </c>
      <c r="AP33" s="111" t="str">
        <f t="shared" ca="1" si="134"/>
        <v/>
      </c>
      <c r="AQ33" s="400">
        <f t="shared" ca="1" si="105"/>
        <v>-5.26</v>
      </c>
      <c r="AR33" s="46">
        <f t="shared" ca="1" si="106"/>
        <v>0</v>
      </c>
      <c r="AS33" s="68">
        <f t="shared" ca="1" si="135"/>
        <v>0</v>
      </c>
      <c r="AT33" s="46">
        <f t="shared" ca="1" si="136"/>
        <v>0</v>
      </c>
      <c r="AU33" s="271" t="str">
        <f t="shared" ca="1" si="107"/>
        <v/>
      </c>
      <c r="AV33" s="46" t="str">
        <f t="shared" ca="1" si="108"/>
        <v/>
      </c>
      <c r="AW33" s="68" t="str">
        <f t="shared" ca="1" si="137"/>
        <v/>
      </c>
      <c r="AX33" s="111" t="str">
        <f t="shared" ca="1" si="138"/>
        <v/>
      </c>
      <c r="AY33" s="400" t="str">
        <f ca="1">IFERROR(INDEX(ICE[], MATCH("regrade" &amp; TEXT(Crd!$A33, "mmmyy"), ICE[LongCode], 0), MATCH("ICE Theoretical Price", ICE[#Headers], 0)), "")</f>
        <v/>
      </c>
      <c r="AZ33" s="372" t="str">
        <f ca="1">IFERROR(INDEX(ICE[], MATCH("regrade" &amp; TEXT(Mid!$A33, "mmmyy"), ICE[LongCode], 0), MATCH("Text", ICE[#Headers], 0)), "")</f>
        <v xml:space="preserve"> /  </v>
      </c>
      <c r="BA33" s="46" t="str">
        <f t="shared" ca="1" si="109"/>
        <v/>
      </c>
      <c r="BB33" s="68" t="str">
        <f t="shared" ca="1" si="172"/>
        <v/>
      </c>
      <c r="BC33" s="114" t="str">
        <f t="shared" ca="1" si="139"/>
        <v/>
      </c>
      <c r="BD33" s="68" t="str">
        <f t="shared" ca="1" si="110"/>
        <v/>
      </c>
      <c r="BE33" s="46" t="str">
        <f t="shared" ca="1" si="111"/>
        <v/>
      </c>
      <c r="BF33" s="68" t="str">
        <f t="shared" ca="1" si="140"/>
        <v/>
      </c>
      <c r="BG33" s="111" t="str">
        <f t="shared" ca="1" si="141"/>
        <v/>
      </c>
      <c r="BH33" s="68" t="str">
        <f t="shared" ca="1" si="122"/>
        <v/>
      </c>
      <c r="BI33" s="46" t="str">
        <f t="shared" ca="1" si="112"/>
        <v/>
      </c>
      <c r="BJ33" s="68" t="str">
        <f t="shared" ca="1" si="142"/>
        <v/>
      </c>
      <c r="BK33" s="111" t="str">
        <f t="shared" ca="1" si="143"/>
        <v/>
      </c>
      <c r="BL33" s="400" t="str">
        <f ca="1">IFERROR(INDEX(ICE[], MATCH("ulsdaradiff" &amp; TEXT(Crd!$A33, "mmmyy"), ICE[LongCode], 0), MATCH("ICE Theoretical Price", ICE[#Headers], 0)), "")</f>
        <v/>
      </c>
      <c r="BM33" s="372" t="str">
        <f ca="1">IFERROR(INDEX(ICE[], MATCH("ulsdaradiff" &amp; TEXT(Mid!$A33, "mmmyy"), ICE[LongCode], 0), MATCH("Text", ICE[#Headers], 0)), "")</f>
        <v xml:space="preserve"> /  </v>
      </c>
      <c r="BN33" s="46" t="str">
        <f t="shared" ca="1" si="113"/>
        <v/>
      </c>
      <c r="BO33" s="68" t="str">
        <f t="shared" ca="1" si="144"/>
        <v/>
      </c>
      <c r="BP33" s="114" t="str">
        <f t="shared" ca="1" si="145"/>
        <v/>
      </c>
      <c r="BQ33" s="68" t="str">
        <f ca="1">IFERROR(IF(AND(ISNUMBER(Futs!$CG33), ISNUMBER($BL33)), Futs!$CG33 + $BL33, ""), "")</f>
        <v/>
      </c>
      <c r="BR33" s="46" t="str">
        <f ca="1">IFERROR(IF(AND(ISNUMBER(Futs!$CH33), ISNUMBER($BN33)), Futs!$CH33 + $BN33, ""), "")</f>
        <v/>
      </c>
      <c r="BS33" s="68" t="str">
        <f t="shared" ca="1" si="146"/>
        <v/>
      </c>
      <c r="BT33" s="111" t="str">
        <f t="shared" ca="1" si="147"/>
        <v/>
      </c>
      <c r="BU33" s="400" t="str">
        <f ca="1">IFERROR(INDEX(ICE[], MATCH("ulsdccndiff" &amp; TEXT(Crd!$A33, "mmmyy"), ICE[LongCode], 0), MATCH("ICE Theoretical Price", ICE[#Headers], 0)), "")</f>
        <v/>
      </c>
      <c r="BV33" s="372" t="str">
        <f ca="1">IFERROR(INDEX(ICE[], MATCH("ulsdccndiff" &amp; TEXT(Mid!$A33, "mmmyy"), ICE[LongCode], 0), MATCH("Text", ICE[#Headers], 0)), "")</f>
        <v xml:space="preserve"> /  </v>
      </c>
      <c r="BW33" s="46" t="str">
        <f t="shared" ca="1" si="114"/>
        <v/>
      </c>
      <c r="BX33" s="68" t="str">
        <f t="shared" ca="1" si="148"/>
        <v/>
      </c>
      <c r="BY33" s="114" t="str">
        <f t="shared" ca="1" si="149"/>
        <v/>
      </c>
      <c r="BZ33" s="68" t="str">
        <f ca="1">IFERROR(IF(AND(ISNUMBER(Futs!$CG33), ISNUMBER($BU33)), Futs!$CG33 + $BU33, ""), "")</f>
        <v/>
      </c>
      <c r="CA33" s="46" t="str">
        <f ca="1">IFERROR(IF(AND(ISNUMBER(Futs!$CH33), ISNUMBER($BW33)), Futs!$CH33 + $BW33, ""), "")</f>
        <v/>
      </c>
      <c r="CB33" s="68" t="str">
        <f t="shared" ca="1" si="150"/>
        <v/>
      </c>
      <c r="CC33" s="111" t="str">
        <f t="shared" ca="1" si="151"/>
        <v/>
      </c>
      <c r="CD33" s="400" t="str">
        <f ca="1">IFERROR(INDEX(ICE[], MATCH("ulsdccmdiff" &amp; TEXT(Crd!$A33, "mmmyy"), ICE[LongCode], 0), MATCH("ICE Theoretical Price", ICE[#Headers], 0)), "")</f>
        <v/>
      </c>
      <c r="CE33" s="372" t="str">
        <f ca="1">IFERROR(INDEX(ICE[], MATCH("ulsdccmdiff" &amp; TEXT(Mid!$A33, "mmmyy"), ICE[LongCode], 0), MATCH("Text", ICE[#Headers], 0)), "")</f>
        <v xml:space="preserve"> /  </v>
      </c>
      <c r="CF33" s="46" t="str">
        <f t="shared" ca="1" si="115"/>
        <v/>
      </c>
      <c r="CG33" s="68" t="str">
        <f t="shared" ca="1" si="152"/>
        <v/>
      </c>
      <c r="CH33" s="114" t="str">
        <f t="shared" ca="1" si="153"/>
        <v/>
      </c>
      <c r="CI33" s="68" t="str">
        <f ca="1">IFERROR(IF(AND(ISNUMBER(Futs!$CG33), ISNUMBER($CD33)), Futs!$CG33 + $CD33, ""), "")</f>
        <v/>
      </c>
      <c r="CJ33" s="67" t="str">
        <f ca="1">IFERROR(IF(AND(ISNUMBER(Futs!$CH33), ISNUMBER($CF33)), Futs!$CH33 + $CF33, ""), "")</f>
        <v/>
      </c>
      <c r="CK33" s="68" t="str">
        <f t="shared" ca="1" si="154"/>
        <v/>
      </c>
      <c r="CL33" s="111" t="str">
        <f t="shared" ca="1" si="155"/>
        <v/>
      </c>
      <c r="CM33" s="400" t="str">
        <f ca="1">IFERROR(INDEX(ICE[], MATCH("go01bfrdiff" &amp; TEXT(Crd!$A33, "mmmyy"), ICE[LongCode], 0), MATCH("ICE Theoretical Price", ICE[#Headers], 0)), "")</f>
        <v/>
      </c>
      <c r="CN33" s="372" t="str">
        <f ca="1">IFERROR(INDEX(ICE[], MATCH("go01bfrdiff" &amp; TEXT(Mid!$A33, "mmmyy"), ICE[LongCode], 0), MATCH("Text", ICE[#Headers], 0)), "")</f>
        <v xml:space="preserve"> /  </v>
      </c>
      <c r="CO33" s="46" t="str">
        <f t="shared" ca="1" si="116"/>
        <v/>
      </c>
      <c r="CP33" s="68" t="str">
        <f t="shared" ca="1" si="156"/>
        <v/>
      </c>
      <c r="CQ33" s="114" t="str">
        <f t="shared" ca="1" si="157"/>
        <v/>
      </c>
      <c r="CR33" s="68" t="str">
        <f ca="1">IFERROR(IF(AND(ISNUMBER(Futs!$CG33), ISNUMBER($CM33)), Futs!$CG33 + $CM33, ""), "")</f>
        <v/>
      </c>
      <c r="CS33" s="46" t="str">
        <f ca="1">IFERROR(IF(AND(ISNUMBER(Futs!$CH33), ISNUMBER($CO33)), Futs!$CH33 + $CO33, ""), "")</f>
        <v/>
      </c>
      <c r="CT33" s="68" t="str">
        <f t="shared" ca="1" si="158"/>
        <v/>
      </c>
      <c r="CU33" s="111" t="str">
        <f t="shared" ca="1" si="159"/>
        <v/>
      </c>
      <c r="CV33" s="400" t="str">
        <f ca="1">IFERROR(INDEX(ICE[], MATCH("go01ccndiff" &amp; TEXT(Crd!$A33, "mmmyy"), ICE[LongCode], 0), MATCH("ICE Theoretical Price", ICE[#Headers], 0)), "")</f>
        <v/>
      </c>
      <c r="CW33" s="372" t="str">
        <f ca="1">IFERROR(INDEX(ICE[], MATCH("go01ccndiff" &amp; TEXT(Mid!$A33, "mmmyy"), ICE[LongCode], 0), MATCH("Text", ICE[#Headers], 0)), "")</f>
        <v xml:space="preserve"> /  </v>
      </c>
      <c r="CX33" s="46" t="str">
        <f t="shared" ca="1" si="117"/>
        <v/>
      </c>
      <c r="CY33" s="68" t="str">
        <f t="shared" ca="1" si="160"/>
        <v/>
      </c>
      <c r="CZ33" s="114" t="str">
        <f t="shared" ca="1" si="161"/>
        <v/>
      </c>
      <c r="DA33" s="68" t="str">
        <f ca="1">IFERROR(IF(AND(ISNUMBER(Futs!$CG33), ISNUMBER($CV33)), Futs!$CG33 + $CV33, ""), "")</f>
        <v/>
      </c>
      <c r="DB33" s="46" t="str">
        <f ca="1">IFERROR(IF(AND(ISNUMBER(Futs!$CH33), ISNUMBER($CX33)), Futs!$CH33 + $CX33, ""), "")</f>
        <v/>
      </c>
      <c r="DC33" s="68" t="str">
        <f t="shared" ca="1" si="162"/>
        <v/>
      </c>
      <c r="DD33" s="111" t="str">
        <f t="shared" ca="1" si="163"/>
        <v/>
      </c>
      <c r="DE33" s="400" t="str">
        <f ca="1">IFERROR(INDEX(ICE[], MATCH("go01ccmdiff" &amp; TEXT(Crd!$A33, "mmmyy"), ICE[LongCode], 0), MATCH("ICE Theoretical Price", ICE[#Headers], 0)), "")</f>
        <v/>
      </c>
      <c r="DF33" s="372" t="str">
        <f ca="1">IFERROR(INDEX(ICE[], MATCH("go01ccmdiff" &amp; TEXT(Mid!$A33, "mmmyy"), ICE[LongCode], 0), MATCH("Text", ICE[#Headers], 0)), "")</f>
        <v xml:space="preserve"> /  </v>
      </c>
      <c r="DG33" s="46" t="str">
        <f t="shared" ca="1" si="118"/>
        <v/>
      </c>
      <c r="DH33" s="68" t="str">
        <f t="shared" ca="1" si="164"/>
        <v/>
      </c>
      <c r="DI33" s="114" t="str">
        <f t="shared" ca="1" si="165"/>
        <v/>
      </c>
      <c r="DJ33" s="68" t="str">
        <f ca="1">IFERROR(IF(AND(ISNUMBER(Futs!$CG33), ISNUMBER($DE33)), Futs!$CG33 + $DE33, ""), "")</f>
        <v/>
      </c>
      <c r="DK33" s="46" t="str">
        <f ca="1">IFERROR(IF(AND(ISNUMBER(Futs!$CH33), ISNUMBER($DG33)), Futs!$CH33 + $DG33, ""), "")</f>
        <v/>
      </c>
      <c r="DL33" s="68" t="str">
        <f t="shared" ca="1" si="166"/>
        <v/>
      </c>
      <c r="DM33" s="111" t="str">
        <f t="shared" ca="1" si="167"/>
        <v/>
      </c>
      <c r="DN33" s="400" t="str">
        <f ca="1">IFERROR(INDEX(ICE[], MATCH("ulsdgc" &amp; TEXT(Crd!$A33, "mmmyy"), ICE[LongCode], 0), MATCH("ICE Theoretical Price", ICE[#Headers], 0))*100, "")</f>
        <v/>
      </c>
      <c r="DO33" s="372" t="str">
        <f ca="1">IFERROR(INDEX(ICE[], MATCH("ulsdgc" &amp; TEXT(Mid!$A33, "mmmyy"), ICE[LongCode], 0), MATCH("Text", ICE[#Headers], 0)), "")</f>
        <v xml:space="preserve"> /  </v>
      </c>
      <c r="DP33" s="46" t="str">
        <f t="shared" ca="1" si="119"/>
        <v/>
      </c>
      <c r="DQ33" s="68" t="str">
        <f t="shared" ca="1" si="168"/>
        <v/>
      </c>
      <c r="DR33" s="114" t="str">
        <f t="shared" ca="1" si="169"/>
        <v/>
      </c>
      <c r="DS33" s="68" t="str">
        <f ca="1">IFERROR(IF(AND(ISNUMBER(Futs!$CK33), ISNUMBER($DN33)), Futs!$CK33 + $DN33, ""), "")</f>
        <v/>
      </c>
      <c r="DT33" s="46" t="str">
        <f ca="1">IFERROR(IF(AND(ISNUMBER(Futs!$CL33), ISNUMBER($DP33)), Futs!$CL33 + $DP33, ""), "")</f>
        <v/>
      </c>
      <c r="DU33" s="68" t="str">
        <f t="shared" ca="1" si="170"/>
        <v/>
      </c>
      <c r="DV33" s="111" t="str">
        <f t="shared" ca="1" si="171"/>
        <v/>
      </c>
    </row>
    <row r="34" spans="1:126" x14ac:dyDescent="0.25">
      <c r="A34" s="58">
        <f t="shared" ca="1" si="123"/>
        <v>46722</v>
      </c>
      <c r="B34" s="6">
        <f t="shared" ca="1" si="102"/>
        <v>2027</v>
      </c>
      <c r="C34" s="6" t="str">
        <f t="shared" ca="1" si="120"/>
        <v>Q427</v>
      </c>
      <c r="D34" s="28">
        <f ca="1">INDEX(ICE[], MATCH(D$18 &amp; TEXT(Mid!$A34, "mmmyy"), ICE[LongCode], 0), MATCH("Settle", ICE[#Headers], 0))</f>
        <v>87</v>
      </c>
      <c r="E34" s="28">
        <f ca="1">INDEX(ICE[], MATCH(E$18 &amp; TEXT(Mid!$A34, "mmmyy"), ICE[LongCode], 0), MATCH("Settle", ICE[#Headers], 0))</f>
        <v>-41.843000000000004</v>
      </c>
      <c r="F34" s="28">
        <f ca="1">INDEX(ICE[], MATCH(F$18 &amp; TEXT(Mid!$A34, "mmmyy"), ICE[LongCode], 0), MATCH("Settle", ICE[#Headers], 0))</f>
        <v>2.95</v>
      </c>
      <c r="G34" s="28">
        <f ca="1">INDEX(ICE[], MATCH(G$18 &amp; TEXT(Mid!$A34, "mmmyy"), ICE[LongCode], 0), MATCH("Settle", ICE[#Headers], 0))</f>
        <v>6.5</v>
      </c>
      <c r="H34" s="28">
        <f ca="1">INDEX(ICE[], MATCH(H$18 &amp; TEXT(Mid!$A34, "mmmyy"), ICE[LongCode], 0), MATCH("Settle", ICE[#Headers], 0))</f>
        <v>14.25</v>
      </c>
      <c r="I34" s="28">
        <f ca="1">INDEX(ICE[], MATCH(I$18 &amp; TEXT(Mid!$A34, "mmmyy"), ICE[LongCode], 0), MATCH("Settle", ICE[#Headers], 0))</f>
        <v>13.25</v>
      </c>
      <c r="J34" s="28">
        <f ca="1">INDEX(ICE[], MATCH(J$18 &amp; TEXT(Mid!$A34, "mmmyy"), ICE[LongCode], 0), MATCH("Settle", ICE[#Headers], 0))</f>
        <v>-25</v>
      </c>
      <c r="K34" s="28">
        <f ca="1">INDEX(ICE[], MATCH(K$18 &amp; TEXT(Mid!$A34, "mmmyy"), ICE[LongCode], 0), MATCH("Settle", ICE[#Headers], 0))</f>
        <v>-5</v>
      </c>
      <c r="L34" s="28">
        <f ca="1">INDEX(ICE[], MATCH(L$18 &amp; TEXT(Mid!$A34, "mmmyy"), ICE[LongCode], 0), MATCH("Settle", ICE[#Headers], 0))</f>
        <v>0.5</v>
      </c>
      <c r="M34" s="28" t="e">
        <f ca="1">INDEX(ICE[], MATCH(M$18 &amp; TEXT(Mid!$A34, "mmmyy"), ICE[LongCode], 0), MATCH("Settle", ICE[#Headers], 0))</f>
        <v>#N/A</v>
      </c>
      <c r="N34" s="28">
        <f ca="1">INDEX(ICE[], MATCH(N$18 &amp; TEXT(Mid!$A34, "mmmyy"), ICE[LongCode], 0), MATCH("Settle", ICE[#Headers], 0))*100</f>
        <v>-14.800000000000002</v>
      </c>
      <c r="O34" s="397" t="str">
        <f ca="1">IFERROR(INDEX(ICE[], MATCH("jetccndiff" &amp; TEXT(Crd!$A34, "mmmyy"), ICE[LongCode], 0), MATCH("ICE Theoretical Price", ICE[#Headers], 0)), "")</f>
        <v/>
      </c>
      <c r="P34" s="372" t="str">
        <f ca="1">IFERROR(INDEX(ICE[], MATCH("jetccndiff" &amp; TEXT(Mid!$A34, "mmmyy"), ICE[LongCode], 0), MATCH("Text", ICE[#Headers], 0)), "")</f>
        <v xml:space="preserve"> /  </v>
      </c>
      <c r="Q34" s="46" t="str">
        <f t="shared" ca="1" si="103"/>
        <v/>
      </c>
      <c r="R34" s="47" t="str">
        <f t="shared" ca="1" si="121"/>
        <v/>
      </c>
      <c r="S34" s="114" t="str">
        <f t="shared" ca="1" si="124"/>
        <v/>
      </c>
      <c r="T34" s="49" t="str">
        <f ca="1">IFERROR(IF(AND(ISNUMBER(Futs!$CG34), ISNUMBER($O34)), Futs!$CG34 + $O34, ""), "")</f>
        <v/>
      </c>
      <c r="U34" s="46" t="str">
        <f ca="1">IFERROR(IF(AND(ISNUMBER(Futs!$CH34), ISNUMBER($Q34)), Futs!$CH34 + $Q34, ""), "")</f>
        <v/>
      </c>
      <c r="V34" s="47" t="str">
        <f t="shared" ca="1" si="125"/>
        <v/>
      </c>
      <c r="W34" s="46" t="str">
        <f t="shared" ca="1" si="126"/>
        <v/>
      </c>
      <c r="X34" s="427" t="str">
        <f ca="1">IFERROR(IF(AND(ISNUMBER(Futs!$CC34), ISNUMBER($T34)), $T34/7.88 - Futs!$CC34, ""), "")</f>
        <v/>
      </c>
      <c r="Y34" s="46" t="str">
        <f ca="1">IFERROR(IF(AND(ISNUMBER(Futs!$DV34), ISNUMBER($Q34)), Futs!$DV34 + $Q34/7.88, ""), "")</f>
        <v/>
      </c>
      <c r="Z34" s="47" t="str">
        <f t="shared" ca="1" si="127"/>
        <v/>
      </c>
      <c r="AA34" s="111" t="str">
        <f t="shared" ca="1" si="128"/>
        <v/>
      </c>
      <c r="AB34" s="400" t="str">
        <f ca="1">IFERROR(INDEX(ICE[], MATCH("goew" &amp; TEXT(Crd!$A34, "mmmyy"), ICE[LongCode], 0), MATCH("ICE Theoretical Price", ICE[#Headers], 0)), "")</f>
        <v/>
      </c>
      <c r="AC34" s="372" t="str">
        <f ca="1">IFERROR(INDEX(ICE[], MATCH("goew" &amp; TEXT(Mid!$A34, "mmmyy"), ICE[LongCode], 0), MATCH("Text", ICE[#Headers], 0)), "")</f>
        <v xml:space="preserve"> /   |20x</v>
      </c>
      <c r="AD34" s="46" t="str">
        <f t="shared" ca="1" si="104"/>
        <v/>
      </c>
      <c r="AE34" s="68" t="str">
        <f t="shared" ca="1" si="129"/>
        <v/>
      </c>
      <c r="AF34" s="46" t="str">
        <f t="shared" ca="1" si="130"/>
        <v/>
      </c>
      <c r="AG34" s="265" t="str">
        <f ca="1">IFERROR(IF(AND(ISNUMBER(Futs!$BM34), ISNUMBER($AH34)), $AH34*7.45 - Futs!$BM34, ""), "")</f>
        <v/>
      </c>
      <c r="AH34" s="187" t="str">
        <f ca="1">IFERROR(IF(AND(ISNUMBER(Futs!$CG34), ISNUMBER($AB34)), (Futs!$CG34 + $AB34)/7.45, ""), "")</f>
        <v/>
      </c>
      <c r="AI34" s="46" t="str">
        <f ca="1">IFERROR(IF(AND(ISNUMBER(Futs!$CH34), ISNUMBER($AD34)), (Futs!$CH34 + $AD34)/7.45, ""), "")</f>
        <v/>
      </c>
      <c r="AJ34" s="68" t="str">
        <f t="shared" ca="1" si="131"/>
        <v/>
      </c>
      <c r="AK34" s="364" t="str">
        <f ca="1">IFERROR(INDEX(ICE[], MATCH("gosing" &amp; TEXT(Crd!$A33, "mmmyy") &amp; "/" &amp; TEXT(Crd!$A34, "mmmyy"), ICE[LongCode], 0), MATCH("Text", ICE[#Headers], 0)), "")</f>
        <v/>
      </c>
      <c r="AL34" s="46" t="str">
        <f t="shared" ca="1" si="132"/>
        <v/>
      </c>
      <c r="AM34" s="427" t="str">
        <f ca="1">IFERROR(IF(AND(ISNUMBER(Futs!$CC34), ISNUMBER($AH34)), $AH34 - Futs!$CC34, ""), "")</f>
        <v/>
      </c>
      <c r="AN34" s="46" t="str">
        <f ca="1">IFERROR(IF(AND(ISNUMBER(Futs!$DV34), ISNUMBER($AD34)), $AD34/7.45 + Futs!$DV34, ""), "")</f>
        <v/>
      </c>
      <c r="AO34" s="47" t="str">
        <f t="shared" ca="1" si="133"/>
        <v/>
      </c>
      <c r="AP34" s="111" t="str">
        <f t="shared" ca="1" si="134"/>
        <v/>
      </c>
      <c r="AQ34" s="400"/>
      <c r="AR34" s="46" t="str">
        <f t="shared" ca="1" si="106"/>
        <v/>
      </c>
      <c r="AS34" s="68" t="str">
        <f t="shared" ca="1" si="135"/>
        <v/>
      </c>
      <c r="AT34" s="46" t="str">
        <f t="shared" ca="1" si="136"/>
        <v/>
      </c>
      <c r="AU34" s="271" t="str">
        <f t="shared" ca="1" si="107"/>
        <v/>
      </c>
      <c r="AV34" s="46" t="str">
        <f t="shared" ca="1" si="108"/>
        <v/>
      </c>
      <c r="AW34" s="68" t="str">
        <f t="shared" ca="1" si="137"/>
        <v/>
      </c>
      <c r="AX34" s="111" t="str">
        <f t="shared" ca="1" si="138"/>
        <v/>
      </c>
      <c r="AY34" s="400" t="str">
        <f ca="1">IFERROR(INDEX(ICE[], MATCH("regrade" &amp; TEXT(Crd!$A34, "mmmyy"), ICE[LongCode], 0), MATCH("ICE Theoretical Price", ICE[#Headers], 0)), "")</f>
        <v/>
      </c>
      <c r="AZ34" s="372" t="str">
        <f ca="1">IFERROR(INDEX(ICE[], MATCH("regrade" &amp; TEXT(Mid!$A34, "mmmyy"), ICE[LongCode], 0), MATCH("Text", ICE[#Headers], 0)), "")</f>
        <v xml:space="preserve"> /  </v>
      </c>
      <c r="BA34" s="46" t="str">
        <f t="shared" ca="1" si="109"/>
        <v/>
      </c>
      <c r="BB34" s="68" t="str">
        <f t="shared" ca="1" si="172"/>
        <v/>
      </c>
      <c r="BC34" s="114" t="str">
        <f t="shared" ca="1" si="139"/>
        <v/>
      </c>
      <c r="BD34" s="68" t="str">
        <f t="shared" ca="1" si="110"/>
        <v/>
      </c>
      <c r="BE34" s="46" t="str">
        <f t="shared" ca="1" si="111"/>
        <v/>
      </c>
      <c r="BF34" s="68" t="str">
        <f t="shared" ca="1" si="140"/>
        <v/>
      </c>
      <c r="BG34" s="111" t="str">
        <f t="shared" ca="1" si="141"/>
        <v/>
      </c>
      <c r="BH34" s="68" t="str">
        <f t="shared" ca="1" si="122"/>
        <v/>
      </c>
      <c r="BI34" s="46" t="str">
        <f t="shared" ca="1" si="112"/>
        <v/>
      </c>
      <c r="BJ34" s="68" t="str">
        <f t="shared" ca="1" si="142"/>
        <v/>
      </c>
      <c r="BK34" s="111" t="str">
        <f t="shared" ca="1" si="143"/>
        <v/>
      </c>
      <c r="BL34" s="400" t="str">
        <f ca="1">IFERROR(INDEX(ICE[], MATCH("ulsdaradiff" &amp; TEXT(Crd!$A34, "mmmyy"), ICE[LongCode], 0), MATCH("ICE Theoretical Price", ICE[#Headers], 0)), "")</f>
        <v/>
      </c>
      <c r="BM34" s="372" t="str">
        <f ca="1">IFERROR(INDEX(ICE[], MATCH("ulsdaradiff" &amp; TEXT(Mid!$A34, "mmmyy"), ICE[LongCode], 0), MATCH("Text", ICE[#Headers], 0)), "")</f>
        <v xml:space="preserve"> /  </v>
      </c>
      <c r="BN34" s="46" t="str">
        <f t="shared" ca="1" si="113"/>
        <v/>
      </c>
      <c r="BO34" s="68" t="str">
        <f t="shared" ca="1" si="144"/>
        <v/>
      </c>
      <c r="BP34" s="114" t="str">
        <f t="shared" ca="1" si="145"/>
        <v/>
      </c>
      <c r="BQ34" s="68" t="str">
        <f ca="1">IFERROR(IF(AND(ISNUMBER(Futs!$CG34), ISNUMBER($BL34)), Futs!$CG34 + $BL34, ""), "")</f>
        <v/>
      </c>
      <c r="BR34" s="46" t="str">
        <f ca="1">IFERROR(IF(AND(ISNUMBER(Futs!$CH34), ISNUMBER($BN34)), Futs!$CH34 + $BN34, ""), "")</f>
        <v/>
      </c>
      <c r="BS34" s="68" t="str">
        <f t="shared" ca="1" si="146"/>
        <v/>
      </c>
      <c r="BT34" s="111" t="str">
        <f t="shared" ca="1" si="147"/>
        <v/>
      </c>
      <c r="BU34" s="400" t="str">
        <f ca="1">IFERROR(INDEX(ICE[], MATCH("ulsdccndiff" &amp; TEXT(Crd!$A34, "mmmyy"), ICE[LongCode], 0), MATCH("ICE Theoretical Price", ICE[#Headers], 0)), "")</f>
        <v/>
      </c>
      <c r="BV34" s="372" t="str">
        <f ca="1">IFERROR(INDEX(ICE[], MATCH("ulsdccndiff" &amp; TEXT(Mid!$A34, "mmmyy"), ICE[LongCode], 0), MATCH("Text", ICE[#Headers], 0)), "")</f>
        <v xml:space="preserve"> /  </v>
      </c>
      <c r="BW34" s="46" t="str">
        <f t="shared" ca="1" si="114"/>
        <v/>
      </c>
      <c r="BX34" s="68" t="str">
        <f t="shared" ca="1" si="148"/>
        <v/>
      </c>
      <c r="BY34" s="114" t="str">
        <f t="shared" ca="1" si="149"/>
        <v/>
      </c>
      <c r="BZ34" s="68" t="str">
        <f ca="1">IFERROR(IF(AND(ISNUMBER(Futs!$CG34), ISNUMBER($BU34)), Futs!$CG34 + $BU34, ""), "")</f>
        <v/>
      </c>
      <c r="CA34" s="46" t="str">
        <f ca="1">IFERROR(IF(AND(ISNUMBER(Futs!$CH34), ISNUMBER($BW34)), Futs!$CH34 + $BW34, ""), "")</f>
        <v/>
      </c>
      <c r="CB34" s="68" t="str">
        <f t="shared" ca="1" si="150"/>
        <v/>
      </c>
      <c r="CC34" s="111" t="str">
        <f t="shared" ca="1" si="151"/>
        <v/>
      </c>
      <c r="CD34" s="400" t="str">
        <f ca="1">IFERROR(INDEX(ICE[], MATCH("ulsdccmdiff" &amp; TEXT(Crd!$A34, "mmmyy"), ICE[LongCode], 0), MATCH("ICE Theoretical Price", ICE[#Headers], 0)), "")</f>
        <v/>
      </c>
      <c r="CE34" s="372" t="str">
        <f ca="1">IFERROR(INDEX(ICE[], MATCH("ulsdccmdiff" &amp; TEXT(Mid!$A34, "mmmyy"), ICE[LongCode], 0), MATCH("Text", ICE[#Headers], 0)), "")</f>
        <v xml:space="preserve"> /  </v>
      </c>
      <c r="CF34" s="46" t="str">
        <f t="shared" ca="1" si="115"/>
        <v/>
      </c>
      <c r="CG34" s="68" t="str">
        <f t="shared" ca="1" si="152"/>
        <v/>
      </c>
      <c r="CH34" s="114" t="str">
        <f t="shared" ca="1" si="153"/>
        <v/>
      </c>
      <c r="CI34" s="68" t="str">
        <f ca="1">IFERROR(IF(AND(ISNUMBER(Futs!$CG34), ISNUMBER($CD34)), Futs!$CG34 + $CD34, ""), "")</f>
        <v/>
      </c>
      <c r="CJ34" s="67" t="str">
        <f ca="1">IFERROR(IF(AND(ISNUMBER(Futs!$CH34), ISNUMBER($CF34)), Futs!$CH34 + $CF34, ""), "")</f>
        <v/>
      </c>
      <c r="CK34" s="68" t="str">
        <f t="shared" ca="1" si="154"/>
        <v/>
      </c>
      <c r="CL34" s="111" t="str">
        <f t="shared" ca="1" si="155"/>
        <v/>
      </c>
      <c r="CM34" s="400" t="str">
        <f ca="1">IFERROR(INDEX(ICE[], MATCH("go01bfrdiff" &amp; TEXT(Crd!$A34, "mmmyy"), ICE[LongCode], 0), MATCH("ICE Theoretical Price", ICE[#Headers], 0)), "")</f>
        <v/>
      </c>
      <c r="CN34" s="372" t="str">
        <f ca="1">IFERROR(INDEX(ICE[], MATCH("go01bfrdiff" &amp; TEXT(Mid!$A34, "mmmyy"), ICE[LongCode], 0), MATCH("Text", ICE[#Headers], 0)), "")</f>
        <v xml:space="preserve"> /  </v>
      </c>
      <c r="CO34" s="46" t="str">
        <f t="shared" ca="1" si="116"/>
        <v/>
      </c>
      <c r="CP34" s="68" t="str">
        <f t="shared" ca="1" si="156"/>
        <v/>
      </c>
      <c r="CQ34" s="114" t="str">
        <f t="shared" ca="1" si="157"/>
        <v/>
      </c>
      <c r="CR34" s="68" t="str">
        <f ca="1">IFERROR(IF(AND(ISNUMBER(Futs!$CG34), ISNUMBER($CM34)), Futs!$CG34 + $CM34, ""), "")</f>
        <v/>
      </c>
      <c r="CS34" s="46" t="str">
        <f ca="1">IFERROR(IF(AND(ISNUMBER(Futs!$CH34), ISNUMBER($CO34)), Futs!$CH34 + $CO34, ""), "")</f>
        <v/>
      </c>
      <c r="CT34" s="68" t="str">
        <f t="shared" ca="1" si="158"/>
        <v/>
      </c>
      <c r="CU34" s="111" t="str">
        <f t="shared" ca="1" si="159"/>
        <v/>
      </c>
      <c r="CV34" s="400" t="str">
        <f ca="1">IFERROR(INDEX(ICE[], MATCH("go01ccndiff" &amp; TEXT(Crd!$A34, "mmmyy"), ICE[LongCode], 0), MATCH("ICE Theoretical Price", ICE[#Headers], 0)), "")</f>
        <v/>
      </c>
      <c r="CW34" s="372" t="str">
        <f ca="1">IFERROR(INDEX(ICE[], MATCH("go01ccndiff" &amp; TEXT(Mid!$A34, "mmmyy"), ICE[LongCode], 0), MATCH("Text", ICE[#Headers], 0)), "")</f>
        <v xml:space="preserve"> /  </v>
      </c>
      <c r="CX34" s="46" t="str">
        <f t="shared" ca="1" si="117"/>
        <v/>
      </c>
      <c r="CY34" s="68" t="str">
        <f t="shared" ca="1" si="160"/>
        <v/>
      </c>
      <c r="CZ34" s="114" t="str">
        <f t="shared" ca="1" si="161"/>
        <v/>
      </c>
      <c r="DA34" s="68" t="str">
        <f ca="1">IFERROR(IF(AND(ISNUMBER(Futs!$CG34), ISNUMBER($CV34)), Futs!$CG34 + $CV34, ""), "")</f>
        <v/>
      </c>
      <c r="DB34" s="46" t="str">
        <f ca="1">IFERROR(IF(AND(ISNUMBER(Futs!$CH34), ISNUMBER($CX34)), Futs!$CH34 + $CX34, ""), "")</f>
        <v/>
      </c>
      <c r="DC34" s="68" t="str">
        <f t="shared" ca="1" si="162"/>
        <v/>
      </c>
      <c r="DD34" s="111" t="str">
        <f t="shared" ca="1" si="163"/>
        <v/>
      </c>
      <c r="DE34" s="400" t="str">
        <f ca="1">IFERROR(INDEX(ICE[], MATCH("go01ccmdiff" &amp; TEXT(Crd!$A34, "mmmyy"), ICE[LongCode], 0), MATCH("ICE Theoretical Price", ICE[#Headers], 0)), "")</f>
        <v/>
      </c>
      <c r="DF34" s="372" t="str">
        <f ca="1">IFERROR(INDEX(ICE[], MATCH("go01ccmdiff" &amp; TEXT(Mid!$A34, "mmmyy"), ICE[LongCode], 0), MATCH("Text", ICE[#Headers], 0)), "")</f>
        <v xml:space="preserve"> /  </v>
      </c>
      <c r="DG34" s="46" t="str">
        <f t="shared" ca="1" si="118"/>
        <v/>
      </c>
      <c r="DH34" s="68" t="str">
        <f t="shared" ca="1" si="164"/>
        <v/>
      </c>
      <c r="DI34" s="114" t="str">
        <f t="shared" ca="1" si="165"/>
        <v/>
      </c>
      <c r="DJ34" s="68" t="str">
        <f ca="1">IFERROR(IF(AND(ISNUMBER(Futs!$CG34), ISNUMBER($DE34)), Futs!$CG34 + $DE34, ""), "")</f>
        <v/>
      </c>
      <c r="DK34" s="46" t="str">
        <f ca="1">IFERROR(IF(AND(ISNUMBER(Futs!$CH34), ISNUMBER($DG34)), Futs!$CH34 + $DG34, ""), "")</f>
        <v/>
      </c>
      <c r="DL34" s="68" t="str">
        <f t="shared" ca="1" si="166"/>
        <v/>
      </c>
      <c r="DM34" s="111" t="str">
        <f t="shared" ca="1" si="167"/>
        <v/>
      </c>
      <c r="DN34" s="400" t="str">
        <f ca="1">IFERROR(INDEX(ICE[], MATCH("ulsdgc" &amp; TEXT(Crd!$A34, "mmmyy"), ICE[LongCode], 0), MATCH("ICE Theoretical Price", ICE[#Headers], 0))*100, "")</f>
        <v/>
      </c>
      <c r="DO34" s="372" t="str">
        <f ca="1">IFERROR(INDEX(ICE[], MATCH("ulsdgc" &amp; TEXT(Mid!$A34, "mmmyy"), ICE[LongCode], 0), MATCH("Text", ICE[#Headers], 0)), "")</f>
        <v xml:space="preserve"> /  </v>
      </c>
      <c r="DP34" s="46" t="str">
        <f t="shared" ca="1" si="119"/>
        <v/>
      </c>
      <c r="DQ34" s="68" t="str">
        <f t="shared" ca="1" si="168"/>
        <v/>
      </c>
      <c r="DR34" s="114" t="str">
        <f t="shared" ca="1" si="169"/>
        <v/>
      </c>
      <c r="DS34" s="68" t="str">
        <f ca="1">IFERROR(IF(AND(ISNUMBER(Futs!$CK34), ISNUMBER($DN34)), Futs!$CK34 + $DN34, ""), "")</f>
        <v/>
      </c>
      <c r="DT34" s="46" t="str">
        <f ca="1">IFERROR(IF(AND(ISNUMBER(Futs!$CL34), ISNUMBER($DP34)), Futs!$CL34 + $DP34, ""), "")</f>
        <v/>
      </c>
      <c r="DU34" s="68" t="str">
        <f t="shared" ca="1" si="170"/>
        <v/>
      </c>
      <c r="DV34" s="111" t="str">
        <f t="shared" ca="1" si="171"/>
        <v/>
      </c>
    </row>
    <row r="35" spans="1:126" x14ac:dyDescent="0.25">
      <c r="A35" s="58">
        <f t="shared" ca="1" si="123"/>
        <v>46753</v>
      </c>
      <c r="B35" s="6">
        <f t="shared" ca="1" si="102"/>
        <v>2028</v>
      </c>
      <c r="C35" s="6" t="str">
        <f t="shared" ca="1" si="120"/>
        <v>Q128</v>
      </c>
      <c r="D35" s="28">
        <f ca="1">INDEX(ICE[], MATCH(D$18 &amp; TEXT(Mid!$A35, "mmmyy"), ICE[LongCode], 0), MATCH("Settle", ICE[#Headers], 0))</f>
        <v>85</v>
      </c>
      <c r="E35" s="28">
        <f ca="1">INDEX(ICE[], MATCH(E$18 &amp; TEXT(Mid!$A35, "mmmyy"), ICE[LongCode], 0), MATCH("Settle", ICE[#Headers], 0))</f>
        <v>-43.185000000000002</v>
      </c>
      <c r="F35" s="28">
        <f ca="1">INDEX(ICE[], MATCH(F$18 &amp; TEXT(Mid!$A35, "mmmyy"), ICE[LongCode], 0), MATCH("Settle", ICE[#Headers], 0))</f>
        <v>2.95</v>
      </c>
      <c r="G35" s="28">
        <f ca="1">INDEX(ICE[], MATCH(G$18 &amp; TEXT(Mid!$A35, "mmmyy"), ICE[LongCode], 0), MATCH("Settle", ICE[#Headers], 0))</f>
        <v>3.5</v>
      </c>
      <c r="H35" s="28">
        <f ca="1">INDEX(ICE[], MATCH(H$18 &amp; TEXT(Mid!$A35, "mmmyy"), ICE[LongCode], 0), MATCH("Settle", ICE[#Headers], 0))</f>
        <v>15</v>
      </c>
      <c r="I35" s="28">
        <f ca="1">INDEX(ICE[], MATCH(I$18 &amp; TEXT(Mid!$A35, "mmmyy"), ICE[LongCode], 0), MATCH("Settle", ICE[#Headers], 0))</f>
        <v>13</v>
      </c>
      <c r="J35" s="28">
        <f ca="1">INDEX(ICE[], MATCH(J$18 &amp; TEXT(Mid!$A35, "mmmyy"), ICE[LongCode], 0), MATCH("Settle", ICE[#Headers], 0))</f>
        <v>-23</v>
      </c>
      <c r="K35" s="28">
        <f ca="1">INDEX(ICE[], MATCH(K$18 &amp; TEXT(Mid!$A35, "mmmyy"), ICE[LongCode], 0), MATCH("Settle", ICE[#Headers], 0))</f>
        <v>-3</v>
      </c>
      <c r="L35" s="28">
        <f ca="1">INDEX(ICE[], MATCH(L$18 &amp; TEXT(Mid!$A35, "mmmyy"), ICE[LongCode], 0), MATCH("Settle", ICE[#Headers], 0))</f>
        <v>1</v>
      </c>
      <c r="M35" s="28" t="e">
        <f ca="1">INDEX(ICE[], MATCH(M$18 &amp; TEXT(Mid!$A35, "mmmyy"), ICE[LongCode], 0), MATCH("Settle", ICE[#Headers], 0))</f>
        <v>#N/A</v>
      </c>
      <c r="N35" s="28" t="e">
        <f ca="1">INDEX(ICE[], MATCH(N$18 &amp; TEXT(Mid!$A35, "mmmyy"), ICE[LongCode], 0), MATCH("Settle", ICE[#Headers], 0))*100</f>
        <v>#N/A</v>
      </c>
      <c r="O35" s="397" t="str">
        <f ca="1">IFERROR(INDEX(ICE[], MATCH("jetccndiff" &amp; TEXT(Crd!$A35, "mmmyy"), ICE[LongCode], 0), MATCH("ICE Theoretical Price", ICE[#Headers], 0)), "")</f>
        <v/>
      </c>
      <c r="P35" s="372" t="str">
        <f ca="1">IFERROR(INDEX(ICE[], MATCH("jetccndiff" &amp; TEXT(Mid!$A35, "mmmyy"), ICE[LongCode], 0), MATCH("Text", ICE[#Headers], 0)), "")</f>
        <v xml:space="preserve"> /  </v>
      </c>
      <c r="Q35" s="46" t="str">
        <f t="shared" ca="1" si="103"/>
        <v/>
      </c>
      <c r="R35" s="47" t="str">
        <f t="shared" ca="1" si="121"/>
        <v/>
      </c>
      <c r="S35" s="114" t="str">
        <f t="shared" ca="1" si="124"/>
        <v/>
      </c>
      <c r="T35" s="49" t="str">
        <f ca="1">IFERROR(IF(AND(ISNUMBER(Futs!$CG35), ISNUMBER($O35)), Futs!$CG35 + $O35, ""), "")</f>
        <v/>
      </c>
      <c r="U35" s="46" t="str">
        <f ca="1">IFERROR(IF(AND(ISNUMBER(Futs!$CH35), ISNUMBER($Q35)), Futs!$CH35 + $Q35, ""), "")</f>
        <v/>
      </c>
      <c r="V35" s="47" t="str">
        <f t="shared" ca="1" si="125"/>
        <v/>
      </c>
      <c r="W35" s="46" t="str">
        <f t="shared" ca="1" si="126"/>
        <v/>
      </c>
      <c r="X35" s="427" t="str">
        <f ca="1">IFERROR(IF(AND(ISNUMBER(Futs!$CC35), ISNUMBER($T35)), $T35/7.88 - Futs!$CC35, ""), "")</f>
        <v/>
      </c>
      <c r="Y35" s="46" t="str">
        <f ca="1">IFERROR(IF(AND(ISNUMBER(Futs!$DV35), ISNUMBER($Q35)), Futs!$DV35 + $Q35/7.88, ""), "")</f>
        <v/>
      </c>
      <c r="Z35" s="47" t="str">
        <f t="shared" ca="1" si="127"/>
        <v/>
      </c>
      <c r="AA35" s="111" t="str">
        <f t="shared" ca="1" si="128"/>
        <v/>
      </c>
      <c r="AB35" s="400" t="str">
        <f ca="1">IFERROR(INDEX(ICE[], MATCH("goew" &amp; TEXT(Crd!$A35, "mmmyy"), ICE[LongCode], 0), MATCH("ICE Theoretical Price", ICE[#Headers], 0)), "")</f>
        <v/>
      </c>
      <c r="AC35" s="372" t="str">
        <f ca="1">IFERROR(INDEX(ICE[], MATCH("goew" &amp; TEXT(Mid!$A35, "mmmyy"), ICE[LongCode], 0), MATCH("Text", ICE[#Headers], 0)), "")</f>
        <v xml:space="preserve"> /  </v>
      </c>
      <c r="AD35" s="46" t="str">
        <f t="shared" ca="1" si="104"/>
        <v/>
      </c>
      <c r="AE35" s="68" t="str">
        <f t="shared" ca="1" si="129"/>
        <v/>
      </c>
      <c r="AF35" s="46" t="str">
        <f t="shared" ca="1" si="130"/>
        <v/>
      </c>
      <c r="AG35" s="265" t="str">
        <f ca="1">IFERROR(IF(AND(ISNUMBER(Futs!$BM35), ISNUMBER($AH35)), $AH35*7.45 - Futs!$BM35, ""), "")</f>
        <v/>
      </c>
      <c r="AH35" s="187" t="str">
        <f ca="1">IFERROR(IF(AND(ISNUMBER(Futs!$CG35), ISNUMBER($AB35)), (Futs!$CG35 + $AB35)/7.45, ""), "")</f>
        <v/>
      </c>
      <c r="AI35" s="46" t="str">
        <f ca="1">IFERROR(IF(AND(ISNUMBER(Futs!$CH35), ISNUMBER($AD35)), (Futs!$CH35 + $AD35)/7.45, ""), "")</f>
        <v/>
      </c>
      <c r="AJ35" s="68" t="str">
        <f t="shared" ca="1" si="131"/>
        <v/>
      </c>
      <c r="AK35" s="364" t="str">
        <f ca="1">IFERROR(INDEX(ICE[], MATCH("gosing" &amp; TEXT(Crd!$A34, "mmmyy") &amp; "/" &amp; TEXT(Crd!$A35, "mmmyy"), ICE[LongCode], 0), MATCH("Text", ICE[#Headers], 0)), "")</f>
        <v/>
      </c>
      <c r="AL35" s="46" t="str">
        <f t="shared" ca="1" si="132"/>
        <v/>
      </c>
      <c r="AM35" s="427" t="str">
        <f ca="1">IFERROR(IF(AND(ISNUMBER(Futs!$CC35), ISNUMBER($AH35)), $AH35 - Futs!$CC35, ""), "")</f>
        <v/>
      </c>
      <c r="AN35" s="46" t="str">
        <f ca="1">IFERROR(IF(AND(ISNUMBER(Futs!$DV35), ISNUMBER($AD35)), $AD35/7.45 + Futs!$DV35, ""), "")</f>
        <v/>
      </c>
      <c r="AO35" s="47" t="str">
        <f t="shared" ca="1" si="133"/>
        <v/>
      </c>
      <c r="AP35" s="111" t="str">
        <f t="shared" ca="1" si="134"/>
        <v/>
      </c>
      <c r="AQ35" s="400"/>
      <c r="AR35" s="46" t="str">
        <f t="shared" ca="1" si="106"/>
        <v/>
      </c>
      <c r="AS35" s="68" t="str">
        <f t="shared" si="135"/>
        <v/>
      </c>
      <c r="AT35" s="46" t="str">
        <f t="shared" ca="1" si="136"/>
        <v/>
      </c>
      <c r="AU35" s="271" t="str">
        <f t="shared" ca="1" si="107"/>
        <v/>
      </c>
      <c r="AV35" s="46" t="str">
        <f t="shared" ca="1" si="108"/>
        <v/>
      </c>
      <c r="AW35" s="68" t="str">
        <f t="shared" ca="1" si="137"/>
        <v/>
      </c>
      <c r="AX35" s="111" t="str">
        <f t="shared" ca="1" si="138"/>
        <v/>
      </c>
      <c r="AY35" s="400" t="str">
        <f ca="1">IFERROR(INDEX(ICE[], MATCH("regrade" &amp; TEXT(Crd!$A35, "mmmyy"), ICE[LongCode], 0), MATCH("ICE Theoretical Price", ICE[#Headers], 0)), "")</f>
        <v/>
      </c>
      <c r="AZ35" s="372" t="str">
        <f ca="1">IFERROR(INDEX(ICE[], MATCH("regrade" &amp; TEXT(Mid!$A35, "mmmyy"), ICE[LongCode], 0), MATCH("Text", ICE[#Headers], 0)), "")</f>
        <v xml:space="preserve"> /  </v>
      </c>
      <c r="BA35" s="46" t="str">
        <f t="shared" ca="1" si="109"/>
        <v/>
      </c>
      <c r="BB35" s="68" t="str">
        <f t="shared" ca="1" si="172"/>
        <v/>
      </c>
      <c r="BC35" s="114" t="str">
        <f t="shared" ca="1" si="139"/>
        <v/>
      </c>
      <c r="BD35" s="68" t="str">
        <f t="shared" ca="1" si="110"/>
        <v/>
      </c>
      <c r="BE35" s="46" t="str">
        <f t="shared" ca="1" si="111"/>
        <v/>
      </c>
      <c r="BF35" s="68" t="str">
        <f t="shared" ca="1" si="140"/>
        <v/>
      </c>
      <c r="BG35" s="111" t="str">
        <f t="shared" ca="1" si="141"/>
        <v/>
      </c>
      <c r="BH35" s="68" t="str">
        <f t="shared" ca="1" si="122"/>
        <v/>
      </c>
      <c r="BI35" s="46" t="str">
        <f t="shared" ca="1" si="112"/>
        <v/>
      </c>
      <c r="BJ35" s="68" t="str">
        <f t="shared" ca="1" si="142"/>
        <v/>
      </c>
      <c r="BK35" s="111" t="str">
        <f t="shared" ca="1" si="143"/>
        <v/>
      </c>
      <c r="BL35" s="400" t="str">
        <f ca="1">IFERROR(INDEX(ICE[], MATCH("ulsdaradiff" &amp; TEXT(Crd!$A35, "mmmyy"), ICE[LongCode], 0), MATCH("ICE Theoretical Price", ICE[#Headers], 0)), "")</f>
        <v/>
      </c>
      <c r="BM35" s="372" t="str">
        <f ca="1">IFERROR(INDEX(ICE[], MATCH("ulsdaradiff" &amp; TEXT(Mid!$A35, "mmmyy"), ICE[LongCode], 0), MATCH("Text", ICE[#Headers], 0)), "")</f>
        <v xml:space="preserve"> /  </v>
      </c>
      <c r="BN35" s="46" t="str">
        <f t="shared" ca="1" si="113"/>
        <v/>
      </c>
      <c r="BO35" s="68" t="str">
        <f t="shared" ca="1" si="144"/>
        <v/>
      </c>
      <c r="BP35" s="114" t="str">
        <f t="shared" ca="1" si="145"/>
        <v/>
      </c>
      <c r="BQ35" s="68" t="str">
        <f ca="1">IFERROR(IF(AND(ISNUMBER(Futs!$CG35), ISNUMBER($BL35)), Futs!$CG35 + $BL35, ""), "")</f>
        <v/>
      </c>
      <c r="BR35" s="46" t="str">
        <f ca="1">IFERROR(IF(AND(ISNUMBER(Futs!$CH35), ISNUMBER($BN35)), Futs!$CH35 + $BN35, ""), "")</f>
        <v/>
      </c>
      <c r="BS35" s="68" t="str">
        <f t="shared" ca="1" si="146"/>
        <v/>
      </c>
      <c r="BT35" s="111" t="str">
        <f t="shared" ca="1" si="147"/>
        <v/>
      </c>
      <c r="BU35" s="400" t="str">
        <f ca="1">IFERROR(INDEX(ICE[], MATCH("ulsdccndiff" &amp; TEXT(Crd!$A35, "mmmyy"), ICE[LongCode], 0), MATCH("ICE Theoretical Price", ICE[#Headers], 0)), "")</f>
        <v/>
      </c>
      <c r="BV35" s="372" t="str">
        <f ca="1">IFERROR(INDEX(ICE[], MATCH("ulsdccndiff" &amp; TEXT(Mid!$A35, "mmmyy"), ICE[LongCode], 0), MATCH("Text", ICE[#Headers], 0)), "")</f>
        <v xml:space="preserve"> /  </v>
      </c>
      <c r="BW35" s="46" t="str">
        <f t="shared" ca="1" si="114"/>
        <v/>
      </c>
      <c r="BX35" s="68" t="str">
        <f t="shared" ca="1" si="148"/>
        <v/>
      </c>
      <c r="BY35" s="114" t="str">
        <f t="shared" ca="1" si="149"/>
        <v/>
      </c>
      <c r="BZ35" s="68" t="str">
        <f ca="1">IFERROR(IF(AND(ISNUMBER(Futs!$CG35), ISNUMBER($BU35)), Futs!$CG35 + $BU35, ""), "")</f>
        <v/>
      </c>
      <c r="CA35" s="46" t="str">
        <f ca="1">IFERROR(IF(AND(ISNUMBER(Futs!$CH35), ISNUMBER($BW35)), Futs!$CH35 + $BW35, ""), "")</f>
        <v/>
      </c>
      <c r="CB35" s="68" t="str">
        <f t="shared" ca="1" si="150"/>
        <v/>
      </c>
      <c r="CC35" s="111" t="str">
        <f t="shared" ca="1" si="151"/>
        <v/>
      </c>
      <c r="CD35" s="400" t="str">
        <f ca="1">IFERROR(INDEX(ICE[], MATCH("ulsdccmdiff" &amp; TEXT(Crd!$A35, "mmmyy"), ICE[LongCode], 0), MATCH("ICE Theoretical Price", ICE[#Headers], 0)), "")</f>
        <v/>
      </c>
      <c r="CE35" s="372" t="str">
        <f ca="1">IFERROR(INDEX(ICE[], MATCH("ulsdccmdiff" &amp; TEXT(Mid!$A35, "mmmyy"), ICE[LongCode], 0), MATCH("Text", ICE[#Headers], 0)), "")</f>
        <v xml:space="preserve"> /  </v>
      </c>
      <c r="CF35" s="46" t="str">
        <f t="shared" ca="1" si="115"/>
        <v/>
      </c>
      <c r="CG35" s="68" t="str">
        <f t="shared" ca="1" si="152"/>
        <v/>
      </c>
      <c r="CH35" s="114" t="str">
        <f t="shared" ca="1" si="153"/>
        <v/>
      </c>
      <c r="CI35" s="68" t="str">
        <f ca="1">IFERROR(IF(AND(ISNUMBER(Futs!$CG35), ISNUMBER($CD35)), Futs!$CG35 + $CD35, ""), "")</f>
        <v/>
      </c>
      <c r="CJ35" s="67" t="str">
        <f ca="1">IFERROR(IF(AND(ISNUMBER(Futs!$CH35), ISNUMBER($CF35)), Futs!$CH35 + $CF35, ""), "")</f>
        <v/>
      </c>
      <c r="CK35" s="68" t="str">
        <f t="shared" ca="1" si="154"/>
        <v/>
      </c>
      <c r="CL35" s="111" t="str">
        <f t="shared" ca="1" si="155"/>
        <v/>
      </c>
      <c r="CM35" s="400" t="str">
        <f ca="1">IFERROR(INDEX(ICE[], MATCH("go01bfrdiff" &amp; TEXT(Crd!$A35, "mmmyy"), ICE[LongCode], 0), MATCH("ICE Theoretical Price", ICE[#Headers], 0)), "")</f>
        <v/>
      </c>
      <c r="CN35" s="372" t="str">
        <f ca="1">IFERROR(INDEX(ICE[], MATCH("go01bfrdiff" &amp; TEXT(Mid!$A35, "mmmyy"), ICE[LongCode], 0), MATCH("Text", ICE[#Headers], 0)), "")</f>
        <v xml:space="preserve"> /  </v>
      </c>
      <c r="CO35" s="46" t="str">
        <f t="shared" ca="1" si="116"/>
        <v/>
      </c>
      <c r="CP35" s="68" t="str">
        <f t="shared" ca="1" si="156"/>
        <v/>
      </c>
      <c r="CQ35" s="114" t="str">
        <f t="shared" ca="1" si="157"/>
        <v/>
      </c>
      <c r="CR35" s="68" t="str">
        <f ca="1">IFERROR(IF(AND(ISNUMBER(Futs!$CG35), ISNUMBER($CM35)), Futs!$CG35 + $CM35, ""), "")</f>
        <v/>
      </c>
      <c r="CS35" s="46" t="str">
        <f ca="1">IFERROR(IF(AND(ISNUMBER(Futs!$CH35), ISNUMBER($CO35)), Futs!$CH35 + $CO35, ""), "")</f>
        <v/>
      </c>
      <c r="CT35" s="68" t="str">
        <f t="shared" ca="1" si="158"/>
        <v/>
      </c>
      <c r="CU35" s="111" t="str">
        <f t="shared" ca="1" si="159"/>
        <v/>
      </c>
      <c r="CV35" s="400" t="str">
        <f ca="1">IFERROR(INDEX(ICE[], MATCH("go01ccndiff" &amp; TEXT(Crd!$A35, "mmmyy"), ICE[LongCode], 0), MATCH("ICE Theoretical Price", ICE[#Headers], 0)), "")</f>
        <v/>
      </c>
      <c r="CW35" s="372" t="str">
        <f ca="1">IFERROR(INDEX(ICE[], MATCH("go01ccndiff" &amp; TEXT(Mid!$A35, "mmmyy"), ICE[LongCode], 0), MATCH("Text", ICE[#Headers], 0)), "")</f>
        <v xml:space="preserve"> /  </v>
      </c>
      <c r="CX35" s="46" t="str">
        <f t="shared" ca="1" si="117"/>
        <v/>
      </c>
      <c r="CY35" s="68" t="str">
        <f t="shared" ca="1" si="160"/>
        <v/>
      </c>
      <c r="CZ35" s="114" t="str">
        <f t="shared" ca="1" si="161"/>
        <v/>
      </c>
      <c r="DA35" s="68" t="str">
        <f ca="1">IFERROR(IF(AND(ISNUMBER(Futs!$CG35), ISNUMBER($CV35)), Futs!$CG35 + $CV35, ""), "")</f>
        <v/>
      </c>
      <c r="DB35" s="46" t="str">
        <f ca="1">IFERROR(IF(AND(ISNUMBER(Futs!$CH35), ISNUMBER($CX35)), Futs!$CH35 + $CX35, ""), "")</f>
        <v/>
      </c>
      <c r="DC35" s="68" t="str">
        <f t="shared" ca="1" si="162"/>
        <v/>
      </c>
      <c r="DD35" s="111" t="str">
        <f t="shared" ca="1" si="163"/>
        <v/>
      </c>
      <c r="DE35" s="400" t="str">
        <f ca="1">IFERROR(INDEX(ICE[], MATCH("go01ccmdiff" &amp; TEXT(Crd!$A35, "mmmyy"), ICE[LongCode], 0), MATCH("ICE Theoretical Price", ICE[#Headers], 0)), "")</f>
        <v/>
      </c>
      <c r="DF35" s="372" t="str">
        <f ca="1">IFERROR(INDEX(ICE[], MATCH("go01ccmdiff" &amp; TEXT(Mid!$A35, "mmmyy"), ICE[LongCode], 0), MATCH("Text", ICE[#Headers], 0)), "")</f>
        <v xml:space="preserve">0.00 /  </v>
      </c>
      <c r="DG35" s="46" t="str">
        <f t="shared" ca="1" si="118"/>
        <v/>
      </c>
      <c r="DH35" s="68" t="str">
        <f t="shared" ca="1" si="164"/>
        <v/>
      </c>
      <c r="DI35" s="114" t="str">
        <f t="shared" ca="1" si="165"/>
        <v/>
      </c>
      <c r="DJ35" s="68" t="str">
        <f ca="1">IFERROR(IF(AND(ISNUMBER(Futs!$CG35), ISNUMBER($DE35)), Futs!$CG35 + $DE35, ""), "")</f>
        <v/>
      </c>
      <c r="DK35" s="46" t="str">
        <f ca="1">IFERROR(IF(AND(ISNUMBER(Futs!$CH35), ISNUMBER($DG35)), Futs!$CH35 + $DG35, ""), "")</f>
        <v/>
      </c>
      <c r="DL35" s="68" t="str">
        <f t="shared" ca="1" si="166"/>
        <v/>
      </c>
      <c r="DM35" s="111" t="str">
        <f t="shared" ca="1" si="167"/>
        <v/>
      </c>
      <c r="DN35" s="400" t="str">
        <f ca="1">IFERROR(INDEX(ICE[], MATCH("ulsdgc" &amp; TEXT(Crd!$A35, "mmmyy"), ICE[LongCode], 0), MATCH("ICE Theoretical Price", ICE[#Headers], 0))*100, "")</f>
        <v/>
      </c>
      <c r="DO35" s="372" t="str">
        <f ca="1">IFERROR(INDEX(ICE[], MATCH("ulsdgc" &amp; TEXT(Mid!$A35, "mmmyy"), ICE[LongCode], 0), MATCH("Text", ICE[#Headers], 0)), "")</f>
        <v/>
      </c>
      <c r="DP35" s="46" t="str">
        <f t="shared" ca="1" si="119"/>
        <v/>
      </c>
      <c r="DQ35" s="68" t="str">
        <f t="shared" ca="1" si="168"/>
        <v/>
      </c>
      <c r="DR35" s="114" t="str">
        <f t="shared" ca="1" si="169"/>
        <v/>
      </c>
      <c r="DS35" s="68" t="str">
        <f ca="1">IFERROR(IF(AND(ISNUMBER(Futs!$CK35), ISNUMBER($DN35)), Futs!$CK35 + $DN35, ""), "")</f>
        <v/>
      </c>
      <c r="DT35" s="46" t="str">
        <f ca="1">IFERROR(IF(AND(ISNUMBER(Futs!$CL35), ISNUMBER($DP35)), Futs!$CL35 + $DP35, ""), "")</f>
        <v/>
      </c>
      <c r="DU35" s="68" t="str">
        <f t="shared" ca="1" si="170"/>
        <v/>
      </c>
      <c r="DV35" s="111" t="str">
        <f t="shared" ca="1" si="171"/>
        <v/>
      </c>
    </row>
    <row r="36" spans="1:126" x14ac:dyDescent="0.25">
      <c r="A36" s="58">
        <f t="shared" ca="1" si="123"/>
        <v>46784</v>
      </c>
      <c r="B36" s="6">
        <f t="shared" ca="1" si="102"/>
        <v>2028</v>
      </c>
      <c r="C36" s="6" t="str">
        <f t="shared" ca="1" si="120"/>
        <v>Q128</v>
      </c>
      <c r="D36" s="28">
        <f ca="1">INDEX(ICE[], MATCH(D$18 &amp; TEXT(Mid!$A36, "mmmyy"), ICE[LongCode], 0), MATCH("Settle", ICE[#Headers], 0))</f>
        <v>85</v>
      </c>
      <c r="E36" s="28">
        <f ca="1">INDEX(ICE[], MATCH(E$18 &amp; TEXT(Mid!$A36, "mmmyy"), ICE[LongCode], 0), MATCH("Settle", ICE[#Headers], 0))</f>
        <v>-43.987000000000002</v>
      </c>
      <c r="F36" s="28">
        <f ca="1">INDEX(ICE[], MATCH(F$18 &amp; TEXT(Mid!$A36, "mmmyy"), ICE[LongCode], 0), MATCH("Settle", ICE[#Headers], 0))</f>
        <v>2.95</v>
      </c>
      <c r="G36" s="28">
        <f ca="1">INDEX(ICE[], MATCH(G$18 &amp; TEXT(Mid!$A36, "mmmyy"), ICE[LongCode], 0), MATCH("Settle", ICE[#Headers], 0))</f>
        <v>3.5</v>
      </c>
      <c r="H36" s="28">
        <f ca="1">INDEX(ICE[], MATCH(H$18 &amp; TEXT(Mid!$A36, "mmmyy"), ICE[LongCode], 0), MATCH("Settle", ICE[#Headers], 0))</f>
        <v>15</v>
      </c>
      <c r="I36" s="28">
        <f ca="1">INDEX(ICE[], MATCH(I$18 &amp; TEXT(Mid!$A36, "mmmyy"), ICE[LongCode], 0), MATCH("Settle", ICE[#Headers], 0))</f>
        <v>13</v>
      </c>
      <c r="J36" s="28">
        <f ca="1">INDEX(ICE[], MATCH(J$18 &amp; TEXT(Mid!$A36, "mmmyy"), ICE[LongCode], 0), MATCH("Settle", ICE[#Headers], 0))</f>
        <v>-23</v>
      </c>
      <c r="K36" s="28">
        <f ca="1">INDEX(ICE[], MATCH(K$18 &amp; TEXT(Mid!$A36, "mmmyy"), ICE[LongCode], 0), MATCH("Settle", ICE[#Headers], 0))</f>
        <v>-3</v>
      </c>
      <c r="L36" s="28">
        <f ca="1">INDEX(ICE[], MATCH(L$18 &amp; TEXT(Mid!$A36, "mmmyy"), ICE[LongCode], 0), MATCH("Settle", ICE[#Headers], 0))</f>
        <v>1</v>
      </c>
      <c r="M36" s="28" t="e">
        <f ca="1">INDEX(ICE[], MATCH(M$18 &amp; TEXT(Mid!$A36, "mmmyy"), ICE[LongCode], 0), MATCH("Settle", ICE[#Headers], 0))</f>
        <v>#N/A</v>
      </c>
      <c r="N36" s="28" t="e">
        <f ca="1">INDEX(ICE[], MATCH(N$18 &amp; TEXT(Mid!$A36, "mmmyy"), ICE[LongCode], 0), MATCH("Settle", ICE[#Headers], 0))*100</f>
        <v>#N/A</v>
      </c>
      <c r="O36" s="397" t="str">
        <f ca="1">IFERROR(INDEX(ICE[], MATCH("jetccndiff" &amp; TEXT(Crd!$A36, "mmmyy"), ICE[LongCode], 0), MATCH("ICE Theoretical Price", ICE[#Headers], 0)), "")</f>
        <v/>
      </c>
      <c r="P36" s="372" t="str">
        <f ca="1">IFERROR(INDEX(ICE[], MATCH("jetccndiff" &amp; TEXT(Mid!$A36, "mmmyy"), ICE[LongCode], 0), MATCH("Text", ICE[#Headers], 0)), "")</f>
        <v xml:space="preserve"> /  </v>
      </c>
      <c r="Q36" s="46" t="str">
        <f t="shared" ca="1" si="103"/>
        <v/>
      </c>
      <c r="R36" s="47" t="str">
        <f t="shared" ca="1" si="121"/>
        <v/>
      </c>
      <c r="S36" s="114" t="str">
        <f t="shared" ca="1" si="124"/>
        <v/>
      </c>
      <c r="T36" s="49" t="str">
        <f ca="1">IFERROR(IF(AND(ISNUMBER(Futs!$CG36), ISNUMBER($O36)), Futs!$CG36 + $O36, ""), "")</f>
        <v/>
      </c>
      <c r="U36" s="46" t="str">
        <f ca="1">IFERROR(IF(AND(ISNUMBER(Futs!$CH36), ISNUMBER($Q36)), Futs!$CH36 + $Q36, ""), "")</f>
        <v/>
      </c>
      <c r="V36" s="47" t="str">
        <f t="shared" ca="1" si="125"/>
        <v/>
      </c>
      <c r="W36" s="46" t="str">
        <f t="shared" ca="1" si="126"/>
        <v/>
      </c>
      <c r="X36" s="427" t="str">
        <f ca="1">IFERROR(IF(AND(ISNUMBER(Futs!$CC36), ISNUMBER($T36)), $T36/7.88 - Futs!$CC36, ""), "")</f>
        <v/>
      </c>
      <c r="Y36" s="46" t="str">
        <f ca="1">IFERROR(IF(AND(ISNUMBER(Futs!$DV36), ISNUMBER($Q36)), Futs!$DV36 + $Q36/7.88, ""), "")</f>
        <v/>
      </c>
      <c r="Z36" s="47" t="str">
        <f t="shared" ca="1" si="127"/>
        <v/>
      </c>
      <c r="AA36" s="111" t="str">
        <f t="shared" ca="1" si="128"/>
        <v/>
      </c>
      <c r="AB36" s="400" t="str">
        <f ca="1">IFERROR(INDEX(ICE[], MATCH("goew" &amp; TEXT(Crd!$A36, "mmmyy"), ICE[LongCode], 0), MATCH("ICE Theoretical Price", ICE[#Headers], 0)), "")</f>
        <v/>
      </c>
      <c r="AC36" s="372" t="str">
        <f ca="1">IFERROR(INDEX(ICE[], MATCH("goew" &amp; TEXT(Mid!$A36, "mmmyy"), ICE[LongCode], 0), MATCH("Text", ICE[#Headers], 0)), "")</f>
        <v xml:space="preserve"> /  </v>
      </c>
      <c r="AD36" s="46" t="str">
        <f t="shared" ca="1" si="104"/>
        <v/>
      </c>
      <c r="AE36" s="68" t="str">
        <f t="shared" ca="1" si="129"/>
        <v/>
      </c>
      <c r="AF36" s="46" t="str">
        <f t="shared" ca="1" si="130"/>
        <v/>
      </c>
      <c r="AG36" s="265" t="str">
        <f ca="1">IFERROR(IF(AND(ISNUMBER(Futs!$BM36), ISNUMBER($AH36)), $AH36*7.45 - Futs!$BM36, ""), "")</f>
        <v/>
      </c>
      <c r="AH36" s="187" t="str">
        <f ca="1">IFERROR(IF(AND(ISNUMBER(Futs!$CG36), ISNUMBER($AB36)), (Futs!$CG36 + $AB36)/7.45, ""), "")</f>
        <v/>
      </c>
      <c r="AI36" s="46" t="str">
        <f ca="1">IFERROR(IF(AND(ISNUMBER(Futs!$CH36), ISNUMBER($AD36)), (Futs!$CH36 + $AD36)/7.45, ""), "")</f>
        <v/>
      </c>
      <c r="AJ36" s="68" t="str">
        <f t="shared" ca="1" si="131"/>
        <v/>
      </c>
      <c r="AK36" s="364" t="str">
        <f ca="1">IFERROR(INDEX(ICE[], MATCH("gosing" &amp; TEXT(Crd!$A35, "mmmyy") &amp; "/" &amp; TEXT(Crd!$A36, "mmmyy"), ICE[LongCode], 0), MATCH("Text", ICE[#Headers], 0)), "")</f>
        <v/>
      </c>
      <c r="AL36" s="46" t="str">
        <f t="shared" ca="1" si="132"/>
        <v/>
      </c>
      <c r="AM36" s="427" t="str">
        <f ca="1">IFERROR(IF(AND(ISNUMBER(Futs!$CC36), ISNUMBER($AH36)), $AH36 - Futs!$CC36, ""), "")</f>
        <v/>
      </c>
      <c r="AN36" s="46" t="str">
        <f ca="1">IFERROR(IF(AND(ISNUMBER(Futs!$DV36), ISNUMBER($AD36)), $AD36/7.45 + Futs!$DV36, ""), "")</f>
        <v/>
      </c>
      <c r="AO36" s="47" t="str">
        <f t="shared" ca="1" si="133"/>
        <v/>
      </c>
      <c r="AP36" s="111" t="str">
        <f t="shared" ca="1" si="134"/>
        <v/>
      </c>
      <c r="AQ36" s="400"/>
      <c r="AR36" s="46" t="str">
        <f t="shared" ca="1" si="106"/>
        <v/>
      </c>
      <c r="AS36" s="68" t="str">
        <f t="shared" si="135"/>
        <v/>
      </c>
      <c r="AT36" s="46" t="str">
        <f t="shared" ca="1" si="136"/>
        <v/>
      </c>
      <c r="AU36" s="271" t="str">
        <f t="shared" ca="1" si="107"/>
        <v/>
      </c>
      <c r="AV36" s="46" t="str">
        <f t="shared" ca="1" si="108"/>
        <v/>
      </c>
      <c r="AW36" s="68" t="str">
        <f t="shared" ca="1" si="137"/>
        <v/>
      </c>
      <c r="AX36" s="111" t="str">
        <f t="shared" ca="1" si="138"/>
        <v/>
      </c>
      <c r="AY36" s="400" t="str">
        <f ca="1">IFERROR(INDEX(ICE[], MATCH("regrade" &amp; TEXT(Crd!$A36, "mmmyy"), ICE[LongCode], 0), MATCH("ICE Theoretical Price", ICE[#Headers], 0)), "")</f>
        <v/>
      </c>
      <c r="AZ36" s="372" t="str">
        <f ca="1">IFERROR(INDEX(ICE[], MATCH("regrade" &amp; TEXT(Mid!$A36, "mmmyy"), ICE[LongCode], 0), MATCH("Text", ICE[#Headers], 0)), "")</f>
        <v xml:space="preserve"> /  </v>
      </c>
      <c r="BA36" s="46" t="str">
        <f t="shared" ca="1" si="109"/>
        <v/>
      </c>
      <c r="BB36" s="68" t="str">
        <f t="shared" ca="1" si="172"/>
        <v/>
      </c>
      <c r="BC36" s="114" t="str">
        <f t="shared" ca="1" si="139"/>
        <v/>
      </c>
      <c r="BD36" s="68" t="str">
        <f t="shared" ca="1" si="110"/>
        <v/>
      </c>
      <c r="BE36" s="46" t="str">
        <f t="shared" ca="1" si="111"/>
        <v/>
      </c>
      <c r="BF36" s="68" t="str">
        <f t="shared" ca="1" si="140"/>
        <v/>
      </c>
      <c r="BG36" s="111" t="str">
        <f t="shared" ca="1" si="141"/>
        <v/>
      </c>
      <c r="BH36" s="68" t="str">
        <f t="shared" ca="1" si="122"/>
        <v/>
      </c>
      <c r="BI36" s="46" t="str">
        <f t="shared" ca="1" si="112"/>
        <v/>
      </c>
      <c r="BJ36" s="68" t="str">
        <f t="shared" ca="1" si="142"/>
        <v/>
      </c>
      <c r="BK36" s="111" t="str">
        <f t="shared" ca="1" si="143"/>
        <v/>
      </c>
      <c r="BL36" s="400" t="str">
        <f ca="1">IFERROR(INDEX(ICE[], MATCH("ulsdaradiff" &amp; TEXT(Crd!$A36, "mmmyy"), ICE[LongCode], 0), MATCH("ICE Theoretical Price", ICE[#Headers], 0)), "")</f>
        <v/>
      </c>
      <c r="BM36" s="372" t="str">
        <f ca="1">IFERROR(INDEX(ICE[], MATCH("ulsdaradiff" &amp; TEXT(Mid!$A36, "mmmyy"), ICE[LongCode], 0), MATCH("Text", ICE[#Headers], 0)), "")</f>
        <v xml:space="preserve"> /  </v>
      </c>
      <c r="BN36" s="46" t="str">
        <f t="shared" ca="1" si="113"/>
        <v/>
      </c>
      <c r="BO36" s="68" t="str">
        <f t="shared" ca="1" si="144"/>
        <v/>
      </c>
      <c r="BP36" s="114" t="str">
        <f t="shared" ca="1" si="145"/>
        <v/>
      </c>
      <c r="BQ36" s="68" t="str">
        <f ca="1">IFERROR(IF(AND(ISNUMBER(Futs!$CG36), ISNUMBER($BL36)), Futs!$CG36 + $BL36, ""), "")</f>
        <v/>
      </c>
      <c r="BR36" s="46" t="str">
        <f ca="1">IFERROR(IF(AND(ISNUMBER(Futs!$CH36), ISNUMBER($BN36)), Futs!$CH36 + $BN36, ""), "")</f>
        <v/>
      </c>
      <c r="BS36" s="68" t="str">
        <f t="shared" ca="1" si="146"/>
        <v/>
      </c>
      <c r="BT36" s="111" t="str">
        <f t="shared" ca="1" si="147"/>
        <v/>
      </c>
      <c r="BU36" s="400" t="str">
        <f ca="1">IFERROR(INDEX(ICE[], MATCH("ulsdccndiff" &amp; TEXT(Crd!$A36, "mmmyy"), ICE[LongCode], 0), MATCH("ICE Theoretical Price", ICE[#Headers], 0)), "")</f>
        <v/>
      </c>
      <c r="BV36" s="372" t="str">
        <f ca="1">IFERROR(INDEX(ICE[], MATCH("ulsdccndiff" &amp; TEXT(Mid!$A36, "mmmyy"), ICE[LongCode], 0), MATCH("Text", ICE[#Headers], 0)), "")</f>
        <v xml:space="preserve"> /  </v>
      </c>
      <c r="BW36" s="46" t="str">
        <f t="shared" ca="1" si="114"/>
        <v/>
      </c>
      <c r="BX36" s="68" t="str">
        <f t="shared" ca="1" si="148"/>
        <v/>
      </c>
      <c r="BY36" s="114" t="str">
        <f t="shared" ca="1" si="149"/>
        <v/>
      </c>
      <c r="BZ36" s="68" t="str">
        <f ca="1">IFERROR(IF(AND(ISNUMBER(Futs!$CG36), ISNUMBER($BU36)), Futs!$CG36 + $BU36, ""), "")</f>
        <v/>
      </c>
      <c r="CA36" s="46" t="str">
        <f ca="1">IFERROR(IF(AND(ISNUMBER(Futs!$CH36), ISNUMBER($BW36)), Futs!$CH36 + $BW36, ""), "")</f>
        <v/>
      </c>
      <c r="CB36" s="68" t="str">
        <f t="shared" ca="1" si="150"/>
        <v/>
      </c>
      <c r="CC36" s="111" t="str">
        <f t="shared" ca="1" si="151"/>
        <v/>
      </c>
      <c r="CD36" s="400" t="str">
        <f ca="1">IFERROR(INDEX(ICE[], MATCH("ulsdccmdiff" &amp; TEXT(Crd!$A36, "mmmyy"), ICE[LongCode], 0), MATCH("ICE Theoretical Price", ICE[#Headers], 0)), "")</f>
        <v/>
      </c>
      <c r="CE36" s="372" t="str">
        <f ca="1">IFERROR(INDEX(ICE[], MATCH("ulsdccmdiff" &amp; TEXT(Mid!$A36, "mmmyy"), ICE[LongCode], 0), MATCH("Text", ICE[#Headers], 0)), "")</f>
        <v xml:space="preserve"> /  </v>
      </c>
      <c r="CF36" s="46" t="str">
        <f t="shared" ca="1" si="115"/>
        <v/>
      </c>
      <c r="CG36" s="68" t="str">
        <f t="shared" ca="1" si="152"/>
        <v/>
      </c>
      <c r="CH36" s="114" t="str">
        <f t="shared" ca="1" si="153"/>
        <v/>
      </c>
      <c r="CI36" s="68" t="str">
        <f ca="1">IFERROR(IF(AND(ISNUMBER(Futs!$CG36), ISNUMBER($CD36)), Futs!$CG36 + $CD36, ""), "")</f>
        <v/>
      </c>
      <c r="CJ36" s="67" t="str">
        <f ca="1">IFERROR(IF(AND(ISNUMBER(Futs!$CH36), ISNUMBER($CF36)), Futs!$CH36 + $CF36, ""), "")</f>
        <v/>
      </c>
      <c r="CK36" s="68" t="str">
        <f t="shared" ca="1" si="154"/>
        <v/>
      </c>
      <c r="CL36" s="111" t="str">
        <f t="shared" ca="1" si="155"/>
        <v/>
      </c>
      <c r="CM36" s="400" t="str">
        <f ca="1">IFERROR(INDEX(ICE[], MATCH("go01bfrdiff" &amp; TEXT(Crd!$A36, "mmmyy"), ICE[LongCode], 0), MATCH("ICE Theoretical Price", ICE[#Headers], 0)), "")</f>
        <v/>
      </c>
      <c r="CN36" s="372" t="str">
        <f ca="1">IFERROR(INDEX(ICE[], MATCH("go01bfrdiff" &amp; TEXT(Mid!$A36, "mmmyy"), ICE[LongCode], 0), MATCH("Text", ICE[#Headers], 0)), "")</f>
        <v xml:space="preserve"> /  </v>
      </c>
      <c r="CO36" s="46" t="str">
        <f t="shared" ca="1" si="116"/>
        <v/>
      </c>
      <c r="CP36" s="68" t="str">
        <f t="shared" ca="1" si="156"/>
        <v/>
      </c>
      <c r="CQ36" s="114" t="str">
        <f t="shared" ca="1" si="157"/>
        <v/>
      </c>
      <c r="CR36" s="68" t="str">
        <f ca="1">IFERROR(IF(AND(ISNUMBER(Futs!$CG36), ISNUMBER($CM36)), Futs!$CG36 + $CM36, ""), "")</f>
        <v/>
      </c>
      <c r="CS36" s="46" t="str">
        <f ca="1">IFERROR(IF(AND(ISNUMBER(Futs!$CH36), ISNUMBER($CO36)), Futs!$CH36 + $CO36, ""), "")</f>
        <v/>
      </c>
      <c r="CT36" s="68" t="str">
        <f t="shared" ca="1" si="158"/>
        <v/>
      </c>
      <c r="CU36" s="111" t="str">
        <f t="shared" ca="1" si="159"/>
        <v/>
      </c>
      <c r="CV36" s="400" t="str">
        <f ca="1">IFERROR(INDEX(ICE[], MATCH("go01ccndiff" &amp; TEXT(Crd!$A36, "mmmyy"), ICE[LongCode], 0), MATCH("ICE Theoretical Price", ICE[#Headers], 0)), "")</f>
        <v/>
      </c>
      <c r="CW36" s="372" t="str">
        <f ca="1">IFERROR(INDEX(ICE[], MATCH("go01ccndiff" &amp; TEXT(Mid!$A36, "mmmyy"), ICE[LongCode], 0), MATCH("Text", ICE[#Headers], 0)), "")</f>
        <v xml:space="preserve"> /  </v>
      </c>
      <c r="CX36" s="46" t="str">
        <f t="shared" ca="1" si="117"/>
        <v/>
      </c>
      <c r="CY36" s="68" t="str">
        <f t="shared" ca="1" si="160"/>
        <v/>
      </c>
      <c r="CZ36" s="114" t="str">
        <f t="shared" ca="1" si="161"/>
        <v/>
      </c>
      <c r="DA36" s="68" t="str">
        <f ca="1">IFERROR(IF(AND(ISNUMBER(Futs!$CG36), ISNUMBER($CV36)), Futs!$CG36 + $CV36, ""), "")</f>
        <v/>
      </c>
      <c r="DB36" s="46" t="str">
        <f ca="1">IFERROR(IF(AND(ISNUMBER(Futs!$CH36), ISNUMBER($CX36)), Futs!$CH36 + $CX36, ""), "")</f>
        <v/>
      </c>
      <c r="DC36" s="68" t="str">
        <f t="shared" ca="1" si="162"/>
        <v/>
      </c>
      <c r="DD36" s="111" t="str">
        <f t="shared" ca="1" si="163"/>
        <v/>
      </c>
      <c r="DE36" s="400" t="str">
        <f ca="1">IFERROR(INDEX(ICE[], MATCH("go01ccmdiff" &amp; TEXT(Crd!$A36, "mmmyy"), ICE[LongCode], 0), MATCH("ICE Theoretical Price", ICE[#Headers], 0)), "")</f>
        <v/>
      </c>
      <c r="DF36" s="372" t="str">
        <f ca="1">IFERROR(INDEX(ICE[], MATCH("go01ccmdiff" &amp; TEXT(Mid!$A36, "mmmyy"), ICE[LongCode], 0), MATCH("Text", ICE[#Headers], 0)), "")</f>
        <v xml:space="preserve"> /  </v>
      </c>
      <c r="DG36" s="46" t="str">
        <f t="shared" ca="1" si="118"/>
        <v/>
      </c>
      <c r="DH36" s="68" t="str">
        <f t="shared" ca="1" si="164"/>
        <v/>
      </c>
      <c r="DI36" s="114" t="str">
        <f t="shared" ca="1" si="165"/>
        <v/>
      </c>
      <c r="DJ36" s="68" t="str">
        <f ca="1">IFERROR(IF(AND(ISNUMBER(Futs!$CG36), ISNUMBER($DE36)), Futs!$CG36 + $DE36, ""), "")</f>
        <v/>
      </c>
      <c r="DK36" s="46" t="str">
        <f ca="1">IFERROR(IF(AND(ISNUMBER(Futs!$CH36), ISNUMBER($DG36)), Futs!$CH36 + $DG36, ""), "")</f>
        <v/>
      </c>
      <c r="DL36" s="68" t="str">
        <f t="shared" ca="1" si="166"/>
        <v/>
      </c>
      <c r="DM36" s="111" t="str">
        <f t="shared" ca="1" si="167"/>
        <v/>
      </c>
      <c r="DN36" s="400" t="str">
        <f ca="1">IFERROR(INDEX(ICE[], MATCH("ulsdgc" &amp; TEXT(Crd!$A36, "mmmyy"), ICE[LongCode], 0), MATCH("ICE Theoretical Price", ICE[#Headers], 0))*100, "")</f>
        <v/>
      </c>
      <c r="DO36" s="372" t="str">
        <f ca="1">IFERROR(INDEX(ICE[], MATCH("ulsdgc" &amp; TEXT(Mid!$A36, "mmmyy"), ICE[LongCode], 0), MATCH("Text", ICE[#Headers], 0)), "")</f>
        <v/>
      </c>
      <c r="DP36" s="46" t="str">
        <f t="shared" ca="1" si="119"/>
        <v/>
      </c>
      <c r="DQ36" s="68" t="str">
        <f t="shared" ca="1" si="168"/>
        <v/>
      </c>
      <c r="DR36" s="114" t="str">
        <f t="shared" ca="1" si="169"/>
        <v/>
      </c>
      <c r="DS36" s="68" t="str">
        <f ca="1">IFERROR(IF(AND(ISNUMBER(Futs!$CK36), ISNUMBER($DN36)), Futs!$CK36 + $DN36, ""), "")</f>
        <v/>
      </c>
      <c r="DT36" s="46" t="str">
        <f ca="1">IFERROR(IF(AND(ISNUMBER(Futs!$CL36), ISNUMBER($DP36)), Futs!$CL36 + $DP36, ""), "")</f>
        <v/>
      </c>
      <c r="DU36" s="68" t="str">
        <f t="shared" ca="1" si="170"/>
        <v/>
      </c>
      <c r="DV36" s="111" t="str">
        <f t="shared" ca="1" si="171"/>
        <v/>
      </c>
    </row>
    <row r="37" spans="1:126" x14ac:dyDescent="0.25">
      <c r="A37" s="58">
        <f t="shared" ca="1" si="123"/>
        <v>46813</v>
      </c>
      <c r="B37" s="6">
        <f t="shared" ca="1" si="102"/>
        <v>2028</v>
      </c>
      <c r="C37" s="6" t="str">
        <f t="shared" ca="1" si="120"/>
        <v>Q128</v>
      </c>
      <c r="D37" s="28">
        <f ca="1">INDEX(ICE[], MATCH(D$18 &amp; TEXT(Mid!$A37, "mmmyy"), ICE[LongCode], 0), MATCH("Settle", ICE[#Headers], 0))</f>
        <v>85</v>
      </c>
      <c r="E37" s="28">
        <f ca="1">INDEX(ICE[], MATCH(E$18 &amp; TEXT(Mid!$A37, "mmmyy"), ICE[LongCode], 0), MATCH("Settle", ICE[#Headers], 0))</f>
        <v>-43.024999999999999</v>
      </c>
      <c r="F37" s="28">
        <f ca="1">INDEX(ICE[], MATCH(F$18 &amp; TEXT(Mid!$A37, "mmmyy"), ICE[LongCode], 0), MATCH("Settle", ICE[#Headers], 0))</f>
        <v>2.95</v>
      </c>
      <c r="G37" s="28">
        <f ca="1">INDEX(ICE[], MATCH(G$18 &amp; TEXT(Mid!$A37, "mmmyy"), ICE[LongCode], 0), MATCH("Settle", ICE[#Headers], 0))</f>
        <v>3.5</v>
      </c>
      <c r="H37" s="28">
        <f ca="1">INDEX(ICE[], MATCH(H$18 &amp; TEXT(Mid!$A37, "mmmyy"), ICE[LongCode], 0), MATCH("Settle", ICE[#Headers], 0))</f>
        <v>15</v>
      </c>
      <c r="I37" s="28">
        <f ca="1">INDEX(ICE[], MATCH(I$18 &amp; TEXT(Mid!$A37, "mmmyy"), ICE[LongCode], 0), MATCH("Settle", ICE[#Headers], 0))</f>
        <v>13</v>
      </c>
      <c r="J37" s="28">
        <f ca="1">INDEX(ICE[], MATCH(J$18 &amp; TEXT(Mid!$A37, "mmmyy"), ICE[LongCode], 0), MATCH("Settle", ICE[#Headers], 0))</f>
        <v>-23</v>
      </c>
      <c r="K37" s="28">
        <f ca="1">INDEX(ICE[], MATCH(K$18 &amp; TEXT(Mid!$A37, "mmmyy"), ICE[LongCode], 0), MATCH("Settle", ICE[#Headers], 0))</f>
        <v>-3</v>
      </c>
      <c r="L37" s="28">
        <f ca="1">INDEX(ICE[], MATCH(L$18 &amp; TEXT(Mid!$A37, "mmmyy"), ICE[LongCode], 0), MATCH("Settle", ICE[#Headers], 0))</f>
        <v>1</v>
      </c>
      <c r="M37" s="28" t="e">
        <f ca="1">INDEX(ICE[], MATCH(M$18 &amp; TEXT(Mid!$A37, "mmmyy"), ICE[LongCode], 0), MATCH("Settle", ICE[#Headers], 0))</f>
        <v>#N/A</v>
      </c>
      <c r="N37" s="28" t="e">
        <f ca="1">INDEX(ICE[], MATCH(N$18 &amp; TEXT(Mid!$A37, "mmmyy"), ICE[LongCode], 0), MATCH("Settle", ICE[#Headers], 0))*100</f>
        <v>#N/A</v>
      </c>
      <c r="O37" s="397" t="str">
        <f ca="1">IFERROR(INDEX(ICE[], MATCH("jetccndiff" &amp; TEXT(Crd!$A37, "mmmyy"), ICE[LongCode], 0), MATCH("ICE Theoretical Price", ICE[#Headers], 0)), "")</f>
        <v/>
      </c>
      <c r="P37" s="372" t="str">
        <f ca="1">IFERROR(INDEX(ICE[], MATCH("jetccndiff" &amp; TEXT(Mid!$A37, "mmmyy"), ICE[LongCode], 0), MATCH("Text", ICE[#Headers], 0)), "")</f>
        <v xml:space="preserve"> /  </v>
      </c>
      <c r="Q37" s="46" t="str">
        <f t="shared" ca="1" si="103"/>
        <v/>
      </c>
      <c r="R37" s="47" t="str">
        <f t="shared" ca="1" si="121"/>
        <v/>
      </c>
      <c r="S37" s="114" t="str">
        <f t="shared" ca="1" si="124"/>
        <v/>
      </c>
      <c r="T37" s="49" t="str">
        <f ca="1">IFERROR(IF(AND(ISNUMBER(Futs!$CG37), ISNUMBER($O37)), Futs!$CG37 + $O37, ""), "")</f>
        <v/>
      </c>
      <c r="U37" s="46" t="str">
        <f ca="1">IFERROR(IF(AND(ISNUMBER(Futs!$CH37), ISNUMBER($Q37)), Futs!$CH37 + $Q37, ""), "")</f>
        <v/>
      </c>
      <c r="V37" s="47" t="str">
        <f t="shared" ca="1" si="125"/>
        <v/>
      </c>
      <c r="W37" s="46" t="str">
        <f t="shared" ca="1" si="126"/>
        <v/>
      </c>
      <c r="X37" s="427" t="str">
        <f ca="1">IFERROR(IF(AND(ISNUMBER(Futs!$CC37), ISNUMBER($T37)), $T37/7.88 - Futs!$CC37, ""), "")</f>
        <v/>
      </c>
      <c r="Y37" s="46" t="str">
        <f ca="1">IFERROR(IF(AND(ISNUMBER(Futs!$DV37), ISNUMBER($Q37)), Futs!$DV37 + $Q37/7.88, ""), "")</f>
        <v/>
      </c>
      <c r="Z37" s="47" t="str">
        <f t="shared" ca="1" si="127"/>
        <v/>
      </c>
      <c r="AA37" s="111" t="str">
        <f t="shared" ca="1" si="128"/>
        <v/>
      </c>
      <c r="AB37" s="400" t="str">
        <f ca="1">IFERROR(INDEX(ICE[], MATCH("goew" &amp; TEXT(Crd!$A37, "mmmyy"), ICE[LongCode], 0), MATCH("ICE Theoretical Price", ICE[#Headers], 0)), "")</f>
        <v/>
      </c>
      <c r="AC37" s="372" t="str">
        <f ca="1">IFERROR(INDEX(ICE[], MATCH("goew" &amp; TEXT(Mid!$A37, "mmmyy"), ICE[LongCode], 0), MATCH("Text", ICE[#Headers], 0)), "")</f>
        <v xml:space="preserve"> /  </v>
      </c>
      <c r="AD37" s="46" t="str">
        <f t="shared" ca="1" si="104"/>
        <v/>
      </c>
      <c r="AE37" s="68" t="str">
        <f t="shared" ca="1" si="129"/>
        <v/>
      </c>
      <c r="AF37" s="46" t="str">
        <f t="shared" ca="1" si="130"/>
        <v/>
      </c>
      <c r="AG37" s="265" t="str">
        <f ca="1">IFERROR(IF(AND(ISNUMBER(Futs!$BM37), ISNUMBER($AH37)), $AH37*7.45 - Futs!$BM37, ""), "")</f>
        <v/>
      </c>
      <c r="AH37" s="187" t="str">
        <f ca="1">IFERROR(IF(AND(ISNUMBER(Futs!$CG37), ISNUMBER($AB37)), (Futs!$CG37 + $AB37)/7.45, ""), "")</f>
        <v/>
      </c>
      <c r="AI37" s="46" t="str">
        <f ca="1">IFERROR(IF(AND(ISNUMBER(Futs!$CH37), ISNUMBER($AD37)), (Futs!$CH37 + $AD37)/7.45, ""), "")</f>
        <v/>
      </c>
      <c r="AJ37" s="68" t="str">
        <f t="shared" ca="1" si="131"/>
        <v/>
      </c>
      <c r="AK37" s="364" t="str">
        <f ca="1">IFERROR(INDEX(ICE[], MATCH("gosing" &amp; TEXT(Crd!$A36, "mmmyy") &amp; "/" &amp; TEXT(Crd!$A37, "mmmyy"), ICE[LongCode], 0), MATCH("Text", ICE[#Headers], 0)), "")</f>
        <v/>
      </c>
      <c r="AL37" s="46" t="str">
        <f t="shared" ca="1" si="132"/>
        <v/>
      </c>
      <c r="AM37" s="427" t="str">
        <f ca="1">IFERROR(IF(AND(ISNUMBER(Futs!$CC37), ISNUMBER($AH37)), $AH37 - Futs!$CC37, ""), "")</f>
        <v/>
      </c>
      <c r="AN37" s="46" t="str">
        <f ca="1">IFERROR(IF(AND(ISNUMBER(Futs!$DV37), ISNUMBER($AD37)), $AD37/7.45 + Futs!$DV37, ""), "")</f>
        <v/>
      </c>
      <c r="AO37" s="47" t="str">
        <f t="shared" ca="1" si="133"/>
        <v/>
      </c>
      <c r="AP37" s="111" t="str">
        <f t="shared" ca="1" si="134"/>
        <v/>
      </c>
      <c r="AQ37" s="400"/>
      <c r="AR37" s="46" t="str">
        <f t="shared" ca="1" si="106"/>
        <v/>
      </c>
      <c r="AS37" s="68" t="str">
        <f t="shared" si="135"/>
        <v/>
      </c>
      <c r="AT37" s="46" t="str">
        <f t="shared" ca="1" si="136"/>
        <v/>
      </c>
      <c r="AU37" s="271" t="str">
        <f t="shared" ca="1" si="107"/>
        <v/>
      </c>
      <c r="AV37" s="46" t="str">
        <f t="shared" ca="1" si="108"/>
        <v/>
      </c>
      <c r="AW37" s="68" t="str">
        <f t="shared" ca="1" si="137"/>
        <v/>
      </c>
      <c r="AX37" s="111" t="str">
        <f t="shared" ca="1" si="138"/>
        <v/>
      </c>
      <c r="AY37" s="400" t="str">
        <f ca="1">IFERROR(INDEX(ICE[], MATCH("regrade" &amp; TEXT(Crd!$A37, "mmmyy"), ICE[LongCode], 0), MATCH("ICE Theoretical Price", ICE[#Headers], 0)), "")</f>
        <v/>
      </c>
      <c r="AZ37" s="372" t="str">
        <f ca="1">IFERROR(INDEX(ICE[], MATCH("regrade" &amp; TEXT(Mid!$A37, "mmmyy"), ICE[LongCode], 0), MATCH("Text", ICE[#Headers], 0)), "")</f>
        <v xml:space="preserve"> /  </v>
      </c>
      <c r="BA37" s="46" t="str">
        <f t="shared" ca="1" si="109"/>
        <v/>
      </c>
      <c r="BB37" s="68" t="str">
        <f t="shared" ca="1" si="172"/>
        <v/>
      </c>
      <c r="BC37" s="114" t="str">
        <f t="shared" ca="1" si="139"/>
        <v/>
      </c>
      <c r="BD37" s="68" t="str">
        <f t="shared" ca="1" si="110"/>
        <v/>
      </c>
      <c r="BE37" s="46" t="str">
        <f t="shared" ca="1" si="111"/>
        <v/>
      </c>
      <c r="BF37" s="68" t="str">
        <f t="shared" ca="1" si="140"/>
        <v/>
      </c>
      <c r="BG37" s="111" t="str">
        <f t="shared" ca="1" si="141"/>
        <v/>
      </c>
      <c r="BH37" s="68" t="str">
        <f t="shared" ca="1" si="122"/>
        <v/>
      </c>
      <c r="BI37" s="46" t="str">
        <f t="shared" ca="1" si="112"/>
        <v/>
      </c>
      <c r="BJ37" s="68" t="str">
        <f t="shared" ca="1" si="142"/>
        <v/>
      </c>
      <c r="BK37" s="111" t="str">
        <f t="shared" ca="1" si="143"/>
        <v/>
      </c>
      <c r="BL37" s="400" t="str">
        <f ca="1">IFERROR(INDEX(ICE[], MATCH("ulsdaradiff" &amp; TEXT(Crd!$A37, "mmmyy"), ICE[LongCode], 0), MATCH("ICE Theoretical Price", ICE[#Headers], 0)), "")</f>
        <v/>
      </c>
      <c r="BM37" s="372" t="str">
        <f ca="1">IFERROR(INDEX(ICE[], MATCH("ulsdaradiff" &amp; TEXT(Mid!$A37, "mmmyy"), ICE[LongCode], 0), MATCH("Text", ICE[#Headers], 0)), "")</f>
        <v xml:space="preserve"> /  </v>
      </c>
      <c r="BN37" s="46" t="str">
        <f t="shared" ca="1" si="113"/>
        <v/>
      </c>
      <c r="BO37" s="68" t="str">
        <f t="shared" ca="1" si="144"/>
        <v/>
      </c>
      <c r="BP37" s="114" t="str">
        <f t="shared" ca="1" si="145"/>
        <v/>
      </c>
      <c r="BQ37" s="68" t="str">
        <f ca="1">IFERROR(IF(AND(ISNUMBER(Futs!$CG37), ISNUMBER($BL37)), Futs!$CG37 + $BL37, ""), "")</f>
        <v/>
      </c>
      <c r="BR37" s="46" t="str">
        <f ca="1">IFERROR(IF(AND(ISNUMBER(Futs!$CH37), ISNUMBER($BN37)), Futs!$CH37 + $BN37, ""), "")</f>
        <v/>
      </c>
      <c r="BS37" s="68" t="str">
        <f t="shared" ca="1" si="146"/>
        <v/>
      </c>
      <c r="BT37" s="111" t="str">
        <f t="shared" ca="1" si="147"/>
        <v/>
      </c>
      <c r="BU37" s="400" t="str">
        <f ca="1">IFERROR(INDEX(ICE[], MATCH("ulsdccndiff" &amp; TEXT(Crd!$A37, "mmmyy"), ICE[LongCode], 0), MATCH("ICE Theoretical Price", ICE[#Headers], 0)), "")</f>
        <v/>
      </c>
      <c r="BV37" s="372" t="str">
        <f ca="1">IFERROR(INDEX(ICE[], MATCH("ulsdccndiff" &amp; TEXT(Mid!$A37, "mmmyy"), ICE[LongCode], 0), MATCH("Text", ICE[#Headers], 0)), "")</f>
        <v xml:space="preserve"> /  </v>
      </c>
      <c r="BW37" s="46" t="str">
        <f t="shared" ca="1" si="114"/>
        <v/>
      </c>
      <c r="BX37" s="68" t="str">
        <f t="shared" ca="1" si="148"/>
        <v/>
      </c>
      <c r="BY37" s="114" t="str">
        <f t="shared" ca="1" si="149"/>
        <v/>
      </c>
      <c r="BZ37" s="68" t="str">
        <f ca="1">IFERROR(IF(AND(ISNUMBER(Futs!$CG37), ISNUMBER($BU37)), Futs!$CG37 + $BU37, ""), "")</f>
        <v/>
      </c>
      <c r="CA37" s="46" t="str">
        <f ca="1">IFERROR(IF(AND(ISNUMBER(Futs!$CH37), ISNUMBER($BW37)), Futs!$CH37 + $BW37, ""), "")</f>
        <v/>
      </c>
      <c r="CB37" s="68" t="str">
        <f t="shared" ca="1" si="150"/>
        <v/>
      </c>
      <c r="CC37" s="111" t="str">
        <f t="shared" ca="1" si="151"/>
        <v/>
      </c>
      <c r="CD37" s="400" t="str">
        <f ca="1">IFERROR(INDEX(ICE[], MATCH("ulsdccmdiff" &amp; TEXT(Crd!$A37, "mmmyy"), ICE[LongCode], 0), MATCH("ICE Theoretical Price", ICE[#Headers], 0)), "")</f>
        <v/>
      </c>
      <c r="CE37" s="372" t="str">
        <f ca="1">IFERROR(INDEX(ICE[], MATCH("ulsdccmdiff" &amp; TEXT(Mid!$A37, "mmmyy"), ICE[LongCode], 0), MATCH("Text", ICE[#Headers], 0)), "")</f>
        <v xml:space="preserve"> /  </v>
      </c>
      <c r="CF37" s="46" t="str">
        <f t="shared" ca="1" si="115"/>
        <v/>
      </c>
      <c r="CG37" s="68" t="str">
        <f t="shared" ca="1" si="152"/>
        <v/>
      </c>
      <c r="CH37" s="114" t="str">
        <f t="shared" ca="1" si="153"/>
        <v/>
      </c>
      <c r="CI37" s="68" t="str">
        <f ca="1">IFERROR(IF(AND(ISNUMBER(Futs!$CG37), ISNUMBER($CD37)), Futs!$CG37 + $CD37, ""), "")</f>
        <v/>
      </c>
      <c r="CJ37" s="67" t="str">
        <f ca="1">IFERROR(IF(AND(ISNUMBER(Futs!$CH37), ISNUMBER($CF37)), Futs!$CH37 + $CF37, ""), "")</f>
        <v/>
      </c>
      <c r="CK37" s="68" t="str">
        <f t="shared" ca="1" si="154"/>
        <v/>
      </c>
      <c r="CL37" s="111" t="str">
        <f t="shared" ca="1" si="155"/>
        <v/>
      </c>
      <c r="CM37" s="400" t="str">
        <f ca="1">IFERROR(INDEX(ICE[], MATCH("go01bfrdiff" &amp; TEXT(Crd!$A37, "mmmyy"), ICE[LongCode], 0), MATCH("ICE Theoretical Price", ICE[#Headers], 0)), "")</f>
        <v/>
      </c>
      <c r="CN37" s="372" t="str">
        <f ca="1">IFERROR(INDEX(ICE[], MATCH("go01bfrdiff" &amp; TEXT(Mid!$A37, "mmmyy"), ICE[LongCode], 0), MATCH("Text", ICE[#Headers], 0)), "")</f>
        <v xml:space="preserve"> /  </v>
      </c>
      <c r="CO37" s="46" t="str">
        <f t="shared" ca="1" si="116"/>
        <v/>
      </c>
      <c r="CP37" s="68" t="str">
        <f t="shared" ca="1" si="156"/>
        <v/>
      </c>
      <c r="CQ37" s="114" t="str">
        <f t="shared" ca="1" si="157"/>
        <v/>
      </c>
      <c r="CR37" s="68" t="str">
        <f ca="1">IFERROR(IF(AND(ISNUMBER(Futs!$CG37), ISNUMBER($CM37)), Futs!$CG37 + $CM37, ""), "")</f>
        <v/>
      </c>
      <c r="CS37" s="46" t="str">
        <f ca="1">IFERROR(IF(AND(ISNUMBER(Futs!$CH37), ISNUMBER($CO37)), Futs!$CH37 + $CO37, ""), "")</f>
        <v/>
      </c>
      <c r="CT37" s="68" t="str">
        <f t="shared" ca="1" si="158"/>
        <v/>
      </c>
      <c r="CU37" s="111" t="str">
        <f t="shared" ca="1" si="159"/>
        <v/>
      </c>
      <c r="CV37" s="400" t="str">
        <f ca="1">IFERROR(INDEX(ICE[], MATCH("go01ccndiff" &amp; TEXT(Crd!$A37, "mmmyy"), ICE[LongCode], 0), MATCH("ICE Theoretical Price", ICE[#Headers], 0)), "")</f>
        <v/>
      </c>
      <c r="CW37" s="372" t="str">
        <f ca="1">IFERROR(INDEX(ICE[], MATCH("go01ccndiff" &amp; TEXT(Mid!$A37, "mmmyy"), ICE[LongCode], 0), MATCH("Text", ICE[#Headers], 0)), "")</f>
        <v xml:space="preserve"> /  </v>
      </c>
      <c r="CX37" s="46" t="str">
        <f t="shared" ca="1" si="117"/>
        <v/>
      </c>
      <c r="CY37" s="68" t="str">
        <f t="shared" ca="1" si="160"/>
        <v/>
      </c>
      <c r="CZ37" s="114" t="str">
        <f t="shared" ca="1" si="161"/>
        <v/>
      </c>
      <c r="DA37" s="68" t="str">
        <f ca="1">IFERROR(IF(AND(ISNUMBER(Futs!$CG37), ISNUMBER($CV37)), Futs!$CG37 + $CV37, ""), "")</f>
        <v/>
      </c>
      <c r="DB37" s="46" t="str">
        <f ca="1">IFERROR(IF(AND(ISNUMBER(Futs!$CH37), ISNUMBER($CX37)), Futs!$CH37 + $CX37, ""), "")</f>
        <v/>
      </c>
      <c r="DC37" s="68" t="str">
        <f t="shared" ca="1" si="162"/>
        <v/>
      </c>
      <c r="DD37" s="111" t="str">
        <f t="shared" ca="1" si="163"/>
        <v/>
      </c>
      <c r="DE37" s="400" t="str">
        <f ca="1">IFERROR(INDEX(ICE[], MATCH("go01ccmdiff" &amp; TEXT(Crd!$A37, "mmmyy"), ICE[LongCode], 0), MATCH("ICE Theoretical Price", ICE[#Headers], 0)), "")</f>
        <v/>
      </c>
      <c r="DF37" s="372" t="str">
        <f ca="1">IFERROR(INDEX(ICE[], MATCH("go01ccmdiff" &amp; TEXT(Mid!$A37, "mmmyy"), ICE[LongCode], 0), MATCH("Text", ICE[#Headers], 0)), "")</f>
        <v xml:space="preserve"> /  </v>
      </c>
      <c r="DG37" s="46" t="str">
        <f t="shared" ca="1" si="118"/>
        <v/>
      </c>
      <c r="DH37" s="68" t="str">
        <f t="shared" ca="1" si="164"/>
        <v/>
      </c>
      <c r="DI37" s="114" t="str">
        <f t="shared" ca="1" si="165"/>
        <v/>
      </c>
      <c r="DJ37" s="68" t="str">
        <f ca="1">IFERROR(IF(AND(ISNUMBER(Futs!$CG37), ISNUMBER($DE37)), Futs!$CG37 + $DE37, ""), "")</f>
        <v/>
      </c>
      <c r="DK37" s="46" t="str">
        <f ca="1">IFERROR(IF(AND(ISNUMBER(Futs!$CH37), ISNUMBER($DG37)), Futs!$CH37 + $DG37, ""), "")</f>
        <v/>
      </c>
      <c r="DL37" s="68" t="str">
        <f t="shared" ca="1" si="166"/>
        <v/>
      </c>
      <c r="DM37" s="111" t="str">
        <f t="shared" ca="1" si="167"/>
        <v/>
      </c>
      <c r="DN37" s="400" t="str">
        <f ca="1">IFERROR(INDEX(ICE[], MATCH("ulsdgc" &amp; TEXT(Crd!$A37, "mmmyy"), ICE[LongCode], 0), MATCH("ICE Theoretical Price", ICE[#Headers], 0))*100, "")</f>
        <v/>
      </c>
      <c r="DO37" s="372" t="str">
        <f ca="1">IFERROR(INDEX(ICE[], MATCH("ulsdgc" &amp; TEXT(Mid!$A37, "mmmyy"), ICE[LongCode], 0), MATCH("Text", ICE[#Headers], 0)), "")</f>
        <v/>
      </c>
      <c r="DP37" s="46" t="str">
        <f t="shared" ca="1" si="119"/>
        <v/>
      </c>
      <c r="DQ37" s="68" t="str">
        <f t="shared" ca="1" si="168"/>
        <v/>
      </c>
      <c r="DR37" s="114" t="str">
        <f t="shared" ca="1" si="169"/>
        <v/>
      </c>
      <c r="DS37" s="68" t="str">
        <f ca="1">IFERROR(IF(AND(ISNUMBER(Futs!$CK37), ISNUMBER($DN37)), Futs!$CK37 + $DN37, ""), "")</f>
        <v/>
      </c>
      <c r="DT37" s="46" t="str">
        <f ca="1">IFERROR(IF(AND(ISNUMBER(Futs!$CL37), ISNUMBER($DP37)), Futs!$CL37 + $DP37, ""), "")</f>
        <v/>
      </c>
      <c r="DU37" s="68" t="str">
        <f t="shared" ca="1" si="170"/>
        <v/>
      </c>
      <c r="DV37" s="111" t="str">
        <f t="shared" ca="1" si="171"/>
        <v/>
      </c>
    </row>
    <row r="38" spans="1:126" x14ac:dyDescent="0.25">
      <c r="A38" s="58">
        <f t="shared" ca="1" si="123"/>
        <v>46844</v>
      </c>
      <c r="B38" s="6">
        <f t="shared" ca="1" si="102"/>
        <v>2028</v>
      </c>
      <c r="C38" s="6" t="str">
        <f t="shared" ca="1" si="120"/>
        <v>Q228</v>
      </c>
      <c r="D38" s="28">
        <f ca="1">INDEX(ICE[], MATCH(D$18 &amp; TEXT(Mid!$A38, "mmmyy"), ICE[LongCode], 0), MATCH("Settle", ICE[#Headers], 0))</f>
        <v>85</v>
      </c>
      <c r="E38" s="28">
        <f ca="1">INDEX(ICE[], MATCH(E$18 &amp; TEXT(Mid!$A38, "mmmyy"), ICE[LongCode], 0), MATCH("Settle", ICE[#Headers], 0))</f>
        <v>-40.507000000000005</v>
      </c>
      <c r="F38" s="28">
        <f ca="1">INDEX(ICE[], MATCH(F$18 &amp; TEXT(Mid!$A38, "mmmyy"), ICE[LongCode], 0), MATCH("Settle", ICE[#Headers], 0))</f>
        <v>2.95</v>
      </c>
      <c r="G38" s="28">
        <f ca="1">INDEX(ICE[], MATCH(G$18 &amp; TEXT(Mid!$A38, "mmmyy"), ICE[LongCode], 0), MATCH("Settle", ICE[#Headers], 0))</f>
        <v>3.5</v>
      </c>
      <c r="H38" s="28">
        <f ca="1">INDEX(ICE[], MATCH(H$18 &amp; TEXT(Mid!$A38, "mmmyy"), ICE[LongCode], 0), MATCH("Settle", ICE[#Headers], 0))</f>
        <v>15</v>
      </c>
      <c r="I38" s="28">
        <f ca="1">INDEX(ICE[], MATCH(I$18 &amp; TEXT(Mid!$A38, "mmmyy"), ICE[LongCode], 0), MATCH("Settle", ICE[#Headers], 0))</f>
        <v>12</v>
      </c>
      <c r="J38" s="28">
        <f ca="1">INDEX(ICE[], MATCH(J$18 &amp; TEXT(Mid!$A38, "mmmyy"), ICE[LongCode], 0), MATCH("Settle", ICE[#Headers], 0))</f>
        <v>-22</v>
      </c>
      <c r="K38" s="28">
        <f ca="1">INDEX(ICE[], MATCH(K$18 &amp; TEXT(Mid!$A38, "mmmyy"), ICE[LongCode], 0), MATCH("Settle", ICE[#Headers], 0))</f>
        <v>-3</v>
      </c>
      <c r="L38" s="28">
        <f ca="1">INDEX(ICE[], MATCH(L$18 &amp; TEXT(Mid!$A38, "mmmyy"), ICE[LongCode], 0), MATCH("Settle", ICE[#Headers], 0))</f>
        <v>1</v>
      </c>
      <c r="M38" s="28" t="e">
        <f ca="1">INDEX(ICE[], MATCH(M$18 &amp; TEXT(Mid!$A38, "mmmyy"), ICE[LongCode], 0), MATCH("Settle", ICE[#Headers], 0))</f>
        <v>#N/A</v>
      </c>
      <c r="N38" s="28" t="e">
        <f ca="1">INDEX(ICE[], MATCH(N$18 &amp; TEXT(Mid!$A38, "mmmyy"), ICE[LongCode], 0), MATCH("Settle", ICE[#Headers], 0))*100</f>
        <v>#N/A</v>
      </c>
      <c r="O38" s="397" t="str">
        <f ca="1">IFERROR(INDEX(ICE[], MATCH("jetccndiff" &amp; TEXT(Crd!$A38, "mmmyy"), ICE[LongCode], 0), MATCH("ICE Theoretical Price", ICE[#Headers], 0)), "")</f>
        <v/>
      </c>
      <c r="P38" s="372" t="str">
        <f ca="1">IFERROR(INDEX(ICE[], MATCH("jetccndiff" &amp; TEXT(Mid!$A38, "mmmyy"), ICE[LongCode], 0), MATCH("Text", ICE[#Headers], 0)), "")</f>
        <v xml:space="preserve"> /  </v>
      </c>
      <c r="Q38" s="46" t="str">
        <f t="shared" ca="1" si="103"/>
        <v/>
      </c>
      <c r="R38" s="47" t="str">
        <f t="shared" ca="1" si="121"/>
        <v/>
      </c>
      <c r="S38" s="114" t="str">
        <f t="shared" ca="1" si="124"/>
        <v/>
      </c>
      <c r="T38" s="49" t="str">
        <f ca="1">IFERROR(IF(AND(ISNUMBER(Futs!$CG38), ISNUMBER($O38)), Futs!$CG38 + $O38, ""), "")</f>
        <v/>
      </c>
      <c r="U38" s="46" t="str">
        <f ca="1">IFERROR(IF(AND(ISNUMBER(Futs!$CH38), ISNUMBER($Q38)), Futs!$CH38 + $Q38, ""), "")</f>
        <v/>
      </c>
      <c r="V38" s="47" t="str">
        <f t="shared" ca="1" si="125"/>
        <v/>
      </c>
      <c r="W38" s="46" t="str">
        <f t="shared" ca="1" si="126"/>
        <v/>
      </c>
      <c r="X38" s="427" t="str">
        <f ca="1">IFERROR(IF(AND(ISNUMBER(Futs!$CC38), ISNUMBER($T38)), $T38/7.88 - Futs!$CC38, ""), "")</f>
        <v/>
      </c>
      <c r="Y38" s="46" t="str">
        <f ca="1">IFERROR(IF(AND(ISNUMBER(Futs!$DV38), ISNUMBER($Q38)), Futs!$DV38 + $Q38/7.88, ""), "")</f>
        <v/>
      </c>
      <c r="Z38" s="47" t="str">
        <f t="shared" ca="1" si="127"/>
        <v/>
      </c>
      <c r="AA38" s="111" t="str">
        <f t="shared" ca="1" si="128"/>
        <v/>
      </c>
      <c r="AB38" s="400" t="str">
        <f ca="1">IFERROR(INDEX(ICE[], MATCH("goew" &amp; TEXT(Crd!$A38, "mmmyy"), ICE[LongCode], 0), MATCH("ICE Theoretical Price", ICE[#Headers], 0)), "")</f>
        <v/>
      </c>
      <c r="AC38" s="372" t="str">
        <f ca="1">IFERROR(INDEX(ICE[], MATCH("goew" &amp; TEXT(Mid!$A38, "mmmyy"), ICE[LongCode], 0), MATCH("Text", ICE[#Headers], 0)), "")</f>
        <v xml:space="preserve"> /  </v>
      </c>
      <c r="AD38" s="46" t="str">
        <f t="shared" ca="1" si="104"/>
        <v/>
      </c>
      <c r="AE38" s="68" t="str">
        <f t="shared" ca="1" si="129"/>
        <v/>
      </c>
      <c r="AF38" s="46" t="str">
        <f t="shared" ca="1" si="130"/>
        <v/>
      </c>
      <c r="AG38" s="265" t="str">
        <f ca="1">IFERROR(IF(AND(ISNUMBER(Futs!$BM38), ISNUMBER($AH38)), $AH38*7.45 - Futs!$BM38, ""), "")</f>
        <v/>
      </c>
      <c r="AH38" s="187" t="str">
        <f ca="1">IFERROR(IF(AND(ISNUMBER(Futs!$CG38), ISNUMBER($AB38)), (Futs!$CG38 + $AB38)/7.45, ""), "")</f>
        <v/>
      </c>
      <c r="AI38" s="46" t="str">
        <f ca="1">IFERROR(IF(AND(ISNUMBER(Futs!$CH38), ISNUMBER($AD38)), (Futs!$CH38 + $AD38)/7.45, ""), "")</f>
        <v/>
      </c>
      <c r="AJ38" s="68" t="str">
        <f t="shared" ca="1" si="131"/>
        <v/>
      </c>
      <c r="AK38" s="364" t="str">
        <f ca="1">IFERROR(INDEX(ICE[], MATCH("gosing" &amp; TEXT(Crd!$A37, "mmmyy") &amp; "/" &amp; TEXT(Crd!$A38, "mmmyy"), ICE[LongCode], 0), MATCH("Text", ICE[#Headers], 0)), "")</f>
        <v/>
      </c>
      <c r="AL38" s="46" t="str">
        <f t="shared" ca="1" si="132"/>
        <v/>
      </c>
      <c r="AM38" s="427" t="str">
        <f ca="1">IFERROR(IF(AND(ISNUMBER(Futs!$CC38), ISNUMBER($AH38)), $AH38 - Futs!$CC38, ""), "")</f>
        <v/>
      </c>
      <c r="AN38" s="46" t="str">
        <f ca="1">IFERROR(IF(AND(ISNUMBER(Futs!$DV38), ISNUMBER($AD38)), $AD38/7.45 + Futs!$DV38, ""), "")</f>
        <v/>
      </c>
      <c r="AO38" s="47" t="str">
        <f t="shared" ca="1" si="133"/>
        <v/>
      </c>
      <c r="AP38" s="111" t="str">
        <f t="shared" ca="1" si="134"/>
        <v/>
      </c>
      <c r="AQ38" s="400"/>
      <c r="AR38" s="46" t="str">
        <f t="shared" ca="1" si="106"/>
        <v/>
      </c>
      <c r="AS38" s="68" t="str">
        <f t="shared" si="135"/>
        <v/>
      </c>
      <c r="AT38" s="46" t="str">
        <f t="shared" ca="1" si="136"/>
        <v/>
      </c>
      <c r="AU38" s="271" t="str">
        <f t="shared" ca="1" si="107"/>
        <v/>
      </c>
      <c r="AV38" s="46" t="str">
        <f t="shared" ca="1" si="108"/>
        <v/>
      </c>
      <c r="AW38" s="68" t="str">
        <f t="shared" ca="1" si="137"/>
        <v/>
      </c>
      <c r="AX38" s="111" t="str">
        <f t="shared" ca="1" si="138"/>
        <v/>
      </c>
      <c r="AY38" s="400" t="str">
        <f ca="1">IFERROR(INDEX(ICE[], MATCH("regrade" &amp; TEXT(Crd!$A38, "mmmyy"), ICE[LongCode], 0), MATCH("ICE Theoretical Price", ICE[#Headers], 0)), "")</f>
        <v/>
      </c>
      <c r="AZ38" s="372" t="str">
        <f ca="1">IFERROR(INDEX(ICE[], MATCH("regrade" &amp; TEXT(Mid!$A38, "mmmyy"), ICE[LongCode], 0), MATCH("Text", ICE[#Headers], 0)), "")</f>
        <v xml:space="preserve"> /  </v>
      </c>
      <c r="BA38" s="46" t="str">
        <f t="shared" ca="1" si="109"/>
        <v/>
      </c>
      <c r="BB38" s="68" t="str">
        <f t="shared" ca="1" si="172"/>
        <v/>
      </c>
      <c r="BC38" s="114" t="str">
        <f t="shared" ca="1" si="139"/>
        <v/>
      </c>
      <c r="BD38" s="68" t="str">
        <f t="shared" ca="1" si="110"/>
        <v/>
      </c>
      <c r="BE38" s="46" t="str">
        <f t="shared" ca="1" si="111"/>
        <v/>
      </c>
      <c r="BF38" s="68" t="str">
        <f t="shared" ca="1" si="140"/>
        <v/>
      </c>
      <c r="BG38" s="111" t="str">
        <f t="shared" ca="1" si="141"/>
        <v/>
      </c>
      <c r="BH38" s="68" t="str">
        <f t="shared" ca="1" si="122"/>
        <v/>
      </c>
      <c r="BI38" s="46" t="str">
        <f t="shared" ca="1" si="112"/>
        <v/>
      </c>
      <c r="BJ38" s="68" t="str">
        <f t="shared" ca="1" si="142"/>
        <v/>
      </c>
      <c r="BK38" s="111" t="str">
        <f t="shared" ca="1" si="143"/>
        <v/>
      </c>
      <c r="BL38" s="400" t="str">
        <f ca="1">IFERROR(INDEX(ICE[], MATCH("ulsdaradiff" &amp; TEXT(Crd!$A38, "mmmyy"), ICE[LongCode], 0), MATCH("ICE Theoretical Price", ICE[#Headers], 0)), "")</f>
        <v/>
      </c>
      <c r="BM38" s="372" t="str">
        <f ca="1">IFERROR(INDEX(ICE[], MATCH("ulsdaradiff" &amp; TEXT(Mid!$A38, "mmmyy"), ICE[LongCode], 0), MATCH("Text", ICE[#Headers], 0)), "")</f>
        <v xml:space="preserve"> /  </v>
      </c>
      <c r="BN38" s="46" t="str">
        <f t="shared" ca="1" si="113"/>
        <v/>
      </c>
      <c r="BO38" s="68" t="str">
        <f t="shared" ca="1" si="144"/>
        <v/>
      </c>
      <c r="BP38" s="114" t="str">
        <f t="shared" ca="1" si="145"/>
        <v/>
      </c>
      <c r="BQ38" s="68" t="str">
        <f ca="1">IFERROR(IF(AND(ISNUMBER(Futs!$CG38), ISNUMBER($BL38)), Futs!$CG38 + $BL38, ""), "")</f>
        <v/>
      </c>
      <c r="BR38" s="46" t="str">
        <f ca="1">IFERROR(IF(AND(ISNUMBER(Futs!$CH38), ISNUMBER($BN38)), Futs!$CH38 + $BN38, ""), "")</f>
        <v/>
      </c>
      <c r="BS38" s="68" t="str">
        <f t="shared" ca="1" si="146"/>
        <v/>
      </c>
      <c r="BT38" s="111" t="str">
        <f t="shared" ca="1" si="147"/>
        <v/>
      </c>
      <c r="BU38" s="400" t="str">
        <f ca="1">IFERROR(INDEX(ICE[], MATCH("ulsdccndiff" &amp; TEXT(Crd!$A38, "mmmyy"), ICE[LongCode], 0), MATCH("ICE Theoretical Price", ICE[#Headers], 0)), "")</f>
        <v/>
      </c>
      <c r="BV38" s="372" t="str">
        <f ca="1">IFERROR(INDEX(ICE[], MATCH("ulsdccndiff" &amp; TEXT(Mid!$A38, "mmmyy"), ICE[LongCode], 0), MATCH("Text", ICE[#Headers], 0)), "")</f>
        <v xml:space="preserve"> /  </v>
      </c>
      <c r="BW38" s="46" t="str">
        <f t="shared" ca="1" si="114"/>
        <v/>
      </c>
      <c r="BX38" s="68" t="str">
        <f t="shared" ca="1" si="148"/>
        <v/>
      </c>
      <c r="BY38" s="114" t="str">
        <f t="shared" ca="1" si="149"/>
        <v/>
      </c>
      <c r="BZ38" s="68" t="str">
        <f ca="1">IFERROR(IF(AND(ISNUMBER(Futs!$CG38), ISNUMBER($BU38)), Futs!$CG38 + $BU38, ""), "")</f>
        <v/>
      </c>
      <c r="CA38" s="46" t="str">
        <f ca="1">IFERROR(IF(AND(ISNUMBER(Futs!$CH38), ISNUMBER($BW38)), Futs!$CH38 + $BW38, ""), "")</f>
        <v/>
      </c>
      <c r="CB38" s="68" t="str">
        <f t="shared" ca="1" si="150"/>
        <v/>
      </c>
      <c r="CC38" s="111" t="str">
        <f t="shared" ca="1" si="151"/>
        <v/>
      </c>
      <c r="CD38" s="400" t="str">
        <f ca="1">IFERROR(INDEX(ICE[], MATCH("ulsdccmdiff" &amp; TEXT(Crd!$A38, "mmmyy"), ICE[LongCode], 0), MATCH("ICE Theoretical Price", ICE[#Headers], 0)), "")</f>
        <v/>
      </c>
      <c r="CE38" s="372" t="str">
        <f ca="1">IFERROR(INDEX(ICE[], MATCH("ulsdccmdiff" &amp; TEXT(Mid!$A38, "mmmyy"), ICE[LongCode], 0), MATCH("Text", ICE[#Headers], 0)), "")</f>
        <v xml:space="preserve"> /  </v>
      </c>
      <c r="CF38" s="46" t="str">
        <f t="shared" ca="1" si="115"/>
        <v/>
      </c>
      <c r="CG38" s="68" t="str">
        <f t="shared" ca="1" si="152"/>
        <v/>
      </c>
      <c r="CH38" s="114" t="str">
        <f t="shared" ca="1" si="153"/>
        <v/>
      </c>
      <c r="CI38" s="68" t="str">
        <f ca="1">IFERROR(IF(AND(ISNUMBER(Futs!$CG38), ISNUMBER($CD38)), Futs!$CG38 + $CD38, ""), "")</f>
        <v/>
      </c>
      <c r="CJ38" s="67" t="str">
        <f ca="1">IFERROR(IF(AND(ISNUMBER(Futs!$CH38), ISNUMBER($CF38)), Futs!$CH38 + $CF38, ""), "")</f>
        <v/>
      </c>
      <c r="CK38" s="68" t="str">
        <f t="shared" ca="1" si="154"/>
        <v/>
      </c>
      <c r="CL38" s="111" t="str">
        <f t="shared" ca="1" si="155"/>
        <v/>
      </c>
      <c r="CM38" s="400" t="str">
        <f ca="1">IFERROR(INDEX(ICE[], MATCH("go01bfrdiff" &amp; TEXT(Crd!$A38, "mmmyy"), ICE[LongCode], 0), MATCH("ICE Theoretical Price", ICE[#Headers], 0)), "")</f>
        <v/>
      </c>
      <c r="CN38" s="372" t="str">
        <f ca="1">IFERROR(INDEX(ICE[], MATCH("go01bfrdiff" &amp; TEXT(Mid!$A38, "mmmyy"), ICE[LongCode], 0), MATCH("Text", ICE[#Headers], 0)), "")</f>
        <v xml:space="preserve"> /  </v>
      </c>
      <c r="CO38" s="46" t="str">
        <f t="shared" ca="1" si="116"/>
        <v/>
      </c>
      <c r="CP38" s="68" t="str">
        <f t="shared" ca="1" si="156"/>
        <v/>
      </c>
      <c r="CQ38" s="114" t="str">
        <f t="shared" ca="1" si="157"/>
        <v/>
      </c>
      <c r="CR38" s="68" t="str">
        <f ca="1">IFERROR(IF(AND(ISNUMBER(Futs!$CG38), ISNUMBER($CM38)), Futs!$CG38 + $CM38, ""), "")</f>
        <v/>
      </c>
      <c r="CS38" s="46" t="str">
        <f ca="1">IFERROR(IF(AND(ISNUMBER(Futs!$CH38), ISNUMBER($CO38)), Futs!$CH38 + $CO38, ""), "")</f>
        <v/>
      </c>
      <c r="CT38" s="68" t="str">
        <f t="shared" ca="1" si="158"/>
        <v/>
      </c>
      <c r="CU38" s="111" t="str">
        <f t="shared" ca="1" si="159"/>
        <v/>
      </c>
      <c r="CV38" s="400" t="str">
        <f ca="1">IFERROR(INDEX(ICE[], MATCH("go01ccndiff" &amp; TEXT(Crd!$A38, "mmmyy"), ICE[LongCode], 0), MATCH("ICE Theoretical Price", ICE[#Headers], 0)), "")</f>
        <v/>
      </c>
      <c r="CW38" s="372" t="str">
        <f ca="1">IFERROR(INDEX(ICE[], MATCH("go01ccndiff" &amp; TEXT(Mid!$A38, "mmmyy"), ICE[LongCode], 0), MATCH("Text", ICE[#Headers], 0)), "")</f>
        <v xml:space="preserve"> /  </v>
      </c>
      <c r="CX38" s="46" t="str">
        <f t="shared" ca="1" si="117"/>
        <v/>
      </c>
      <c r="CY38" s="68" t="str">
        <f t="shared" ca="1" si="160"/>
        <v/>
      </c>
      <c r="CZ38" s="114" t="str">
        <f t="shared" ca="1" si="161"/>
        <v/>
      </c>
      <c r="DA38" s="68" t="str">
        <f ca="1">IFERROR(IF(AND(ISNUMBER(Futs!$CG38), ISNUMBER($CV38)), Futs!$CG38 + $CV38, ""), "")</f>
        <v/>
      </c>
      <c r="DB38" s="46" t="str">
        <f ca="1">IFERROR(IF(AND(ISNUMBER(Futs!$CH38), ISNUMBER($CX38)), Futs!$CH38 + $CX38, ""), "")</f>
        <v/>
      </c>
      <c r="DC38" s="68" t="str">
        <f t="shared" ca="1" si="162"/>
        <v/>
      </c>
      <c r="DD38" s="111" t="str">
        <f t="shared" ca="1" si="163"/>
        <v/>
      </c>
      <c r="DE38" s="400" t="str">
        <f ca="1">IFERROR(INDEX(ICE[], MATCH("go01ccmdiff" &amp; TEXT(Crd!$A38, "mmmyy"), ICE[LongCode], 0), MATCH("ICE Theoretical Price", ICE[#Headers], 0)), "")</f>
        <v/>
      </c>
      <c r="DF38" s="372" t="str">
        <f ca="1">IFERROR(INDEX(ICE[], MATCH("go01ccmdiff" &amp; TEXT(Mid!$A38, "mmmyy"), ICE[LongCode], 0), MATCH("Text", ICE[#Headers], 0)), "")</f>
        <v xml:space="preserve"> /  </v>
      </c>
      <c r="DG38" s="46" t="str">
        <f t="shared" ca="1" si="118"/>
        <v/>
      </c>
      <c r="DH38" s="68" t="str">
        <f t="shared" ca="1" si="164"/>
        <v/>
      </c>
      <c r="DI38" s="114" t="str">
        <f t="shared" ca="1" si="165"/>
        <v/>
      </c>
      <c r="DJ38" s="68" t="str">
        <f ca="1">IFERROR(IF(AND(ISNUMBER(Futs!$CG38), ISNUMBER($DE38)), Futs!$CG38 + $DE38, ""), "")</f>
        <v/>
      </c>
      <c r="DK38" s="46" t="str">
        <f ca="1">IFERROR(IF(AND(ISNUMBER(Futs!$CH38), ISNUMBER($DG38)), Futs!$CH38 + $DG38, ""), "")</f>
        <v/>
      </c>
      <c r="DL38" s="68" t="str">
        <f t="shared" ca="1" si="166"/>
        <v/>
      </c>
      <c r="DM38" s="111" t="str">
        <f t="shared" ca="1" si="167"/>
        <v/>
      </c>
      <c r="DN38" s="400" t="str">
        <f ca="1">IFERROR(INDEX(ICE[], MATCH("ulsdgc" &amp; TEXT(Crd!$A38, "mmmyy"), ICE[LongCode], 0), MATCH("ICE Theoretical Price", ICE[#Headers], 0))*100, "")</f>
        <v/>
      </c>
      <c r="DO38" s="372" t="str">
        <f ca="1">IFERROR(INDEX(ICE[], MATCH("ulsdgc" &amp; TEXT(Mid!$A38, "mmmyy"), ICE[LongCode], 0), MATCH("Text", ICE[#Headers], 0)), "")</f>
        <v/>
      </c>
      <c r="DP38" s="46" t="str">
        <f t="shared" ca="1" si="119"/>
        <v/>
      </c>
      <c r="DQ38" s="68" t="str">
        <f t="shared" ca="1" si="168"/>
        <v/>
      </c>
      <c r="DR38" s="114" t="str">
        <f t="shared" ca="1" si="169"/>
        <v/>
      </c>
      <c r="DS38" s="68" t="str">
        <f ca="1">IFERROR(IF(AND(ISNUMBER(Futs!$CK38), ISNUMBER($DN38)), Futs!$CK38 + $DN38, ""), "")</f>
        <v/>
      </c>
      <c r="DT38" s="46" t="str">
        <f ca="1">IFERROR(IF(AND(ISNUMBER(Futs!$CL38), ISNUMBER($DP38)), Futs!$CL38 + $DP38, ""), "")</f>
        <v/>
      </c>
      <c r="DU38" s="68" t="str">
        <f t="shared" ca="1" si="170"/>
        <v/>
      </c>
      <c r="DV38" s="111" t="str">
        <f t="shared" ca="1" si="171"/>
        <v/>
      </c>
    </row>
    <row r="39" spans="1:126" x14ac:dyDescent="0.25">
      <c r="A39" s="58">
        <f t="shared" ca="1" si="123"/>
        <v>46874</v>
      </c>
      <c r="B39" s="6">
        <f t="shared" ca="1" si="102"/>
        <v>2028</v>
      </c>
      <c r="C39" s="6" t="str">
        <f t="shared" ca="1" si="120"/>
        <v>Q228</v>
      </c>
      <c r="D39" s="28">
        <f ca="1">INDEX(ICE[], MATCH(D$18 &amp; TEXT(Mid!$A39, "mmmyy"), ICE[LongCode], 0), MATCH("Settle", ICE[#Headers], 0))</f>
        <v>85</v>
      </c>
      <c r="E39" s="28">
        <f ca="1">INDEX(ICE[], MATCH(E$18 &amp; TEXT(Mid!$A39, "mmmyy"), ICE[LongCode], 0), MATCH("Settle", ICE[#Headers], 0))</f>
        <v>-38.077000000000005</v>
      </c>
      <c r="F39" s="28">
        <f ca="1">INDEX(ICE[], MATCH(F$18 &amp; TEXT(Mid!$A39, "mmmyy"), ICE[LongCode], 0), MATCH("Settle", ICE[#Headers], 0))</f>
        <v>2.95</v>
      </c>
      <c r="G39" s="28">
        <f ca="1">INDEX(ICE[], MATCH(G$18 &amp; TEXT(Mid!$A39, "mmmyy"), ICE[LongCode], 0), MATCH("Settle", ICE[#Headers], 0))</f>
        <v>3.5</v>
      </c>
      <c r="H39" s="28">
        <f ca="1">INDEX(ICE[], MATCH(H$18 &amp; TEXT(Mid!$A39, "mmmyy"), ICE[LongCode], 0), MATCH("Settle", ICE[#Headers], 0))</f>
        <v>15</v>
      </c>
      <c r="I39" s="28">
        <f ca="1">INDEX(ICE[], MATCH(I$18 &amp; TEXT(Mid!$A39, "mmmyy"), ICE[LongCode], 0), MATCH("Settle", ICE[#Headers], 0))</f>
        <v>12</v>
      </c>
      <c r="J39" s="28">
        <f ca="1">INDEX(ICE[], MATCH(J$18 &amp; TEXT(Mid!$A39, "mmmyy"), ICE[LongCode], 0), MATCH("Settle", ICE[#Headers], 0))</f>
        <v>-22</v>
      </c>
      <c r="K39" s="28">
        <f ca="1">INDEX(ICE[], MATCH(K$18 &amp; TEXT(Mid!$A39, "mmmyy"), ICE[LongCode], 0), MATCH("Settle", ICE[#Headers], 0))</f>
        <v>-3</v>
      </c>
      <c r="L39" s="28">
        <f ca="1">INDEX(ICE[], MATCH(L$18 &amp; TEXT(Mid!$A39, "mmmyy"), ICE[LongCode], 0), MATCH("Settle", ICE[#Headers], 0))</f>
        <v>1</v>
      </c>
      <c r="M39" s="28" t="e">
        <f ca="1">INDEX(ICE[], MATCH(M$18 &amp; TEXT(Mid!$A39, "mmmyy"), ICE[LongCode], 0), MATCH("Settle", ICE[#Headers], 0))</f>
        <v>#N/A</v>
      </c>
      <c r="N39" s="28" t="e">
        <f ca="1">INDEX(ICE[], MATCH(N$18 &amp; TEXT(Mid!$A39, "mmmyy"), ICE[LongCode], 0), MATCH("Settle", ICE[#Headers], 0))*100</f>
        <v>#N/A</v>
      </c>
      <c r="O39" s="397" t="str">
        <f ca="1">IFERROR(INDEX(ICE[], MATCH("jetccndiff" &amp; TEXT(Crd!$A39, "mmmyy"), ICE[LongCode], 0), MATCH("ICE Theoretical Price", ICE[#Headers], 0)), "")</f>
        <v/>
      </c>
      <c r="P39" s="372" t="str">
        <f ca="1">IFERROR(INDEX(ICE[], MATCH("jetccndiff" &amp; TEXT(Mid!$A39, "mmmyy"), ICE[LongCode], 0), MATCH("Text", ICE[#Headers], 0)), "")</f>
        <v xml:space="preserve"> /  </v>
      </c>
      <c r="Q39" s="46" t="str">
        <f t="shared" ca="1" si="103"/>
        <v/>
      </c>
      <c r="R39" s="47" t="str">
        <f t="shared" ca="1" si="121"/>
        <v/>
      </c>
      <c r="S39" s="114" t="str">
        <f t="shared" ca="1" si="124"/>
        <v/>
      </c>
      <c r="T39" s="49" t="str">
        <f ca="1">IFERROR(IF(AND(ISNUMBER(Futs!$CG39), ISNUMBER($O39)), Futs!$CG39 + $O39, ""), "")</f>
        <v/>
      </c>
      <c r="U39" s="46" t="str">
        <f ca="1">IFERROR(IF(AND(ISNUMBER(Futs!$CH39), ISNUMBER($Q39)), Futs!$CH39 + $Q39, ""), "")</f>
        <v/>
      </c>
      <c r="V39" s="47" t="str">
        <f t="shared" ca="1" si="125"/>
        <v/>
      </c>
      <c r="W39" s="46" t="str">
        <f t="shared" ca="1" si="126"/>
        <v/>
      </c>
      <c r="X39" s="427" t="str">
        <f ca="1">IFERROR(IF(AND(ISNUMBER(Futs!$CC39), ISNUMBER($T39)), $T39/7.88 - Futs!$CC39, ""), "")</f>
        <v/>
      </c>
      <c r="Y39" s="46" t="str">
        <f ca="1">IFERROR(IF(AND(ISNUMBER(Futs!$DV39), ISNUMBER($Q39)), Futs!$DV39 + $Q39/7.88, ""), "")</f>
        <v/>
      </c>
      <c r="Z39" s="47" t="str">
        <f t="shared" ca="1" si="127"/>
        <v/>
      </c>
      <c r="AA39" s="111" t="str">
        <f t="shared" ca="1" si="128"/>
        <v/>
      </c>
      <c r="AB39" s="400" t="str">
        <f ca="1">IFERROR(INDEX(ICE[], MATCH("goew" &amp; TEXT(Crd!$A39, "mmmyy"), ICE[LongCode], 0), MATCH("ICE Theoretical Price", ICE[#Headers], 0)), "")</f>
        <v/>
      </c>
      <c r="AC39" s="372" t="str">
        <f ca="1">IFERROR(INDEX(ICE[], MATCH("goew" &amp; TEXT(Mid!$A39, "mmmyy"), ICE[LongCode], 0), MATCH("Text", ICE[#Headers], 0)), "")</f>
        <v xml:space="preserve"> /  </v>
      </c>
      <c r="AD39" s="46" t="str">
        <f t="shared" ca="1" si="104"/>
        <v/>
      </c>
      <c r="AE39" s="68" t="str">
        <f t="shared" ca="1" si="129"/>
        <v/>
      </c>
      <c r="AF39" s="46" t="str">
        <f t="shared" ca="1" si="130"/>
        <v/>
      </c>
      <c r="AG39" s="265" t="str">
        <f ca="1">IFERROR(IF(AND(ISNUMBER(Futs!$BM39), ISNUMBER($AH39)), $AH39*7.45 - Futs!$BM39, ""), "")</f>
        <v/>
      </c>
      <c r="AH39" s="187" t="str">
        <f ca="1">IFERROR(IF(AND(ISNUMBER(Futs!$CG39), ISNUMBER($AB39)), (Futs!$CG39 + $AB39)/7.45, ""), "")</f>
        <v/>
      </c>
      <c r="AI39" s="46" t="str">
        <f ca="1">IFERROR(IF(AND(ISNUMBER(Futs!$CH39), ISNUMBER($AD39)), (Futs!$CH39 + $AD39)/7.45, ""), "")</f>
        <v/>
      </c>
      <c r="AJ39" s="68" t="str">
        <f t="shared" ca="1" si="131"/>
        <v/>
      </c>
      <c r="AK39" s="364" t="str">
        <f ca="1">IFERROR(INDEX(ICE[], MATCH("gosing" &amp; TEXT(Crd!$A38, "mmmyy") &amp; "/" &amp; TEXT(Crd!$A39, "mmmyy"), ICE[LongCode], 0), MATCH("Text", ICE[#Headers], 0)), "")</f>
        <v/>
      </c>
      <c r="AL39" s="46" t="str">
        <f t="shared" ca="1" si="132"/>
        <v/>
      </c>
      <c r="AM39" s="427" t="str">
        <f ca="1">IFERROR(IF(AND(ISNUMBER(Futs!$CC39), ISNUMBER($AH39)), $AH39 - Futs!$CC39, ""), "")</f>
        <v/>
      </c>
      <c r="AN39" s="46" t="str">
        <f ca="1">IFERROR(IF(AND(ISNUMBER(Futs!$DV39), ISNUMBER($AD39)), $AD39/7.45 + Futs!$DV39, ""), "")</f>
        <v/>
      </c>
      <c r="AO39" s="47" t="str">
        <f t="shared" ca="1" si="133"/>
        <v/>
      </c>
      <c r="AP39" s="111" t="str">
        <f t="shared" ca="1" si="134"/>
        <v/>
      </c>
      <c r="AQ39" s="400"/>
      <c r="AR39" s="46" t="str">
        <f t="shared" ca="1" si="106"/>
        <v/>
      </c>
      <c r="AS39" s="68" t="str">
        <f t="shared" si="135"/>
        <v/>
      </c>
      <c r="AT39" s="46" t="str">
        <f t="shared" ca="1" si="136"/>
        <v/>
      </c>
      <c r="AU39" s="271" t="str">
        <f t="shared" ca="1" si="107"/>
        <v/>
      </c>
      <c r="AV39" s="46" t="str">
        <f t="shared" ca="1" si="108"/>
        <v/>
      </c>
      <c r="AW39" s="68" t="str">
        <f t="shared" ca="1" si="137"/>
        <v/>
      </c>
      <c r="AX39" s="111" t="str">
        <f t="shared" ca="1" si="138"/>
        <v/>
      </c>
      <c r="AY39" s="400" t="str">
        <f ca="1">IFERROR(INDEX(ICE[], MATCH("regrade" &amp; TEXT(Crd!$A39, "mmmyy"), ICE[LongCode], 0), MATCH("ICE Theoretical Price", ICE[#Headers], 0)), "")</f>
        <v/>
      </c>
      <c r="AZ39" s="372" t="str">
        <f ca="1">IFERROR(INDEX(ICE[], MATCH("regrade" &amp; TEXT(Mid!$A39, "mmmyy"), ICE[LongCode], 0), MATCH("Text", ICE[#Headers], 0)), "")</f>
        <v xml:space="preserve"> /  </v>
      </c>
      <c r="BA39" s="46" t="str">
        <f t="shared" ca="1" si="109"/>
        <v/>
      </c>
      <c r="BB39" s="68" t="str">
        <f t="shared" ca="1" si="172"/>
        <v/>
      </c>
      <c r="BC39" s="114" t="str">
        <f t="shared" ca="1" si="139"/>
        <v/>
      </c>
      <c r="BD39" s="68" t="str">
        <f t="shared" ca="1" si="110"/>
        <v/>
      </c>
      <c r="BE39" s="46" t="str">
        <f t="shared" ca="1" si="111"/>
        <v/>
      </c>
      <c r="BF39" s="68" t="str">
        <f t="shared" ca="1" si="140"/>
        <v/>
      </c>
      <c r="BG39" s="111" t="str">
        <f t="shared" ca="1" si="141"/>
        <v/>
      </c>
      <c r="BH39" s="68" t="str">
        <f t="shared" ca="1" si="122"/>
        <v/>
      </c>
      <c r="BI39" s="46" t="str">
        <f t="shared" ca="1" si="112"/>
        <v/>
      </c>
      <c r="BJ39" s="68" t="str">
        <f t="shared" ca="1" si="142"/>
        <v/>
      </c>
      <c r="BK39" s="111" t="str">
        <f t="shared" ca="1" si="143"/>
        <v/>
      </c>
      <c r="BL39" s="400" t="str">
        <f ca="1">IFERROR(INDEX(ICE[], MATCH("ulsdaradiff" &amp; TEXT(Crd!$A39, "mmmyy"), ICE[LongCode], 0), MATCH("ICE Theoretical Price", ICE[#Headers], 0)), "")</f>
        <v/>
      </c>
      <c r="BM39" s="372" t="str">
        <f ca="1">IFERROR(INDEX(ICE[], MATCH("ulsdaradiff" &amp; TEXT(Mid!$A39, "mmmyy"), ICE[LongCode], 0), MATCH("Text", ICE[#Headers], 0)), "")</f>
        <v xml:space="preserve"> /  </v>
      </c>
      <c r="BN39" s="46" t="str">
        <f t="shared" ca="1" si="113"/>
        <v/>
      </c>
      <c r="BO39" s="68" t="str">
        <f t="shared" ca="1" si="144"/>
        <v/>
      </c>
      <c r="BP39" s="114" t="str">
        <f t="shared" ca="1" si="145"/>
        <v/>
      </c>
      <c r="BQ39" s="68" t="str">
        <f ca="1">IFERROR(IF(AND(ISNUMBER(Futs!$CG39), ISNUMBER($BL39)), Futs!$CG39 + $BL39, ""), "")</f>
        <v/>
      </c>
      <c r="BR39" s="46" t="str">
        <f ca="1">IFERROR(IF(AND(ISNUMBER(Futs!$CH39), ISNUMBER($BN39)), Futs!$CH39 + $BN39, ""), "")</f>
        <v/>
      </c>
      <c r="BS39" s="68" t="str">
        <f t="shared" ca="1" si="146"/>
        <v/>
      </c>
      <c r="BT39" s="111" t="str">
        <f t="shared" ca="1" si="147"/>
        <v/>
      </c>
      <c r="BU39" s="400" t="str">
        <f ca="1">IFERROR(INDEX(ICE[], MATCH("ulsdccndiff" &amp; TEXT(Crd!$A39, "mmmyy"), ICE[LongCode], 0), MATCH("ICE Theoretical Price", ICE[#Headers], 0)), "")</f>
        <v/>
      </c>
      <c r="BV39" s="372" t="str">
        <f ca="1">IFERROR(INDEX(ICE[], MATCH("ulsdccndiff" &amp; TEXT(Mid!$A39, "mmmyy"), ICE[LongCode], 0), MATCH("Text", ICE[#Headers], 0)), "")</f>
        <v xml:space="preserve"> /  </v>
      </c>
      <c r="BW39" s="46" t="str">
        <f t="shared" ca="1" si="114"/>
        <v/>
      </c>
      <c r="BX39" s="68" t="str">
        <f t="shared" ca="1" si="148"/>
        <v/>
      </c>
      <c r="BY39" s="114" t="str">
        <f t="shared" ca="1" si="149"/>
        <v/>
      </c>
      <c r="BZ39" s="68" t="str">
        <f ca="1">IFERROR(IF(AND(ISNUMBER(Futs!$CG39), ISNUMBER($BU39)), Futs!$CG39 + $BU39, ""), "")</f>
        <v/>
      </c>
      <c r="CA39" s="46" t="str">
        <f ca="1">IFERROR(IF(AND(ISNUMBER(Futs!$CH39), ISNUMBER($BW39)), Futs!$CH39 + $BW39, ""), "")</f>
        <v/>
      </c>
      <c r="CB39" s="68" t="str">
        <f t="shared" ca="1" si="150"/>
        <v/>
      </c>
      <c r="CC39" s="111" t="str">
        <f t="shared" ca="1" si="151"/>
        <v/>
      </c>
      <c r="CD39" s="400" t="str">
        <f ca="1">IFERROR(INDEX(ICE[], MATCH("ulsdccmdiff" &amp; TEXT(Crd!$A39, "mmmyy"), ICE[LongCode], 0), MATCH("ICE Theoretical Price", ICE[#Headers], 0)), "")</f>
        <v/>
      </c>
      <c r="CE39" s="372" t="str">
        <f ca="1">IFERROR(INDEX(ICE[], MATCH("ulsdccmdiff" &amp; TEXT(Mid!$A39, "mmmyy"), ICE[LongCode], 0), MATCH("Text", ICE[#Headers], 0)), "")</f>
        <v xml:space="preserve"> /  </v>
      </c>
      <c r="CF39" s="46" t="str">
        <f t="shared" ca="1" si="115"/>
        <v/>
      </c>
      <c r="CG39" s="68" t="str">
        <f t="shared" ca="1" si="152"/>
        <v/>
      </c>
      <c r="CH39" s="114" t="str">
        <f t="shared" ca="1" si="153"/>
        <v/>
      </c>
      <c r="CI39" s="68" t="str">
        <f ca="1">IFERROR(IF(AND(ISNUMBER(Futs!$CG39), ISNUMBER($CD39)), Futs!$CG39 + $CD39, ""), "")</f>
        <v/>
      </c>
      <c r="CJ39" s="67" t="str">
        <f ca="1">IFERROR(IF(AND(ISNUMBER(Futs!$CH39), ISNUMBER($CF39)), Futs!$CH39 + $CF39, ""), "")</f>
        <v/>
      </c>
      <c r="CK39" s="68" t="str">
        <f t="shared" ca="1" si="154"/>
        <v/>
      </c>
      <c r="CL39" s="111" t="str">
        <f t="shared" ca="1" si="155"/>
        <v/>
      </c>
      <c r="CM39" s="400" t="str">
        <f ca="1">IFERROR(INDEX(ICE[], MATCH("go01bfrdiff" &amp; TEXT(Crd!$A39, "mmmyy"), ICE[LongCode], 0), MATCH("ICE Theoretical Price", ICE[#Headers], 0)), "")</f>
        <v/>
      </c>
      <c r="CN39" s="372" t="str">
        <f ca="1">IFERROR(INDEX(ICE[], MATCH("go01bfrdiff" &amp; TEXT(Mid!$A39, "mmmyy"), ICE[LongCode], 0), MATCH("Text", ICE[#Headers], 0)), "")</f>
        <v xml:space="preserve"> /  </v>
      </c>
      <c r="CO39" s="46" t="str">
        <f t="shared" ca="1" si="116"/>
        <v/>
      </c>
      <c r="CP39" s="68" t="str">
        <f t="shared" ca="1" si="156"/>
        <v/>
      </c>
      <c r="CQ39" s="114" t="str">
        <f t="shared" ca="1" si="157"/>
        <v/>
      </c>
      <c r="CR39" s="68" t="str">
        <f ca="1">IFERROR(IF(AND(ISNUMBER(Futs!$CG39), ISNUMBER($CM39)), Futs!$CG39 + $CM39, ""), "")</f>
        <v/>
      </c>
      <c r="CS39" s="46" t="str">
        <f ca="1">IFERROR(IF(AND(ISNUMBER(Futs!$CH39), ISNUMBER($CO39)), Futs!$CH39 + $CO39, ""), "")</f>
        <v/>
      </c>
      <c r="CT39" s="68" t="str">
        <f t="shared" ca="1" si="158"/>
        <v/>
      </c>
      <c r="CU39" s="111" t="str">
        <f t="shared" ca="1" si="159"/>
        <v/>
      </c>
      <c r="CV39" s="400" t="str">
        <f ca="1">IFERROR(INDEX(ICE[], MATCH("go01ccndiff" &amp; TEXT(Crd!$A39, "mmmyy"), ICE[LongCode], 0), MATCH("ICE Theoretical Price", ICE[#Headers], 0)), "")</f>
        <v/>
      </c>
      <c r="CW39" s="372" t="str">
        <f ca="1">IFERROR(INDEX(ICE[], MATCH("go01ccndiff" &amp; TEXT(Mid!$A39, "mmmyy"), ICE[LongCode], 0), MATCH("Text", ICE[#Headers], 0)), "")</f>
        <v xml:space="preserve"> /  </v>
      </c>
      <c r="CX39" s="46" t="str">
        <f t="shared" ca="1" si="117"/>
        <v/>
      </c>
      <c r="CY39" s="68" t="str">
        <f t="shared" ca="1" si="160"/>
        <v/>
      </c>
      <c r="CZ39" s="114" t="str">
        <f t="shared" ca="1" si="161"/>
        <v/>
      </c>
      <c r="DA39" s="68" t="str">
        <f ca="1">IFERROR(IF(AND(ISNUMBER(Futs!$CG39), ISNUMBER($CV39)), Futs!$CG39 + $CV39, ""), "")</f>
        <v/>
      </c>
      <c r="DB39" s="46" t="str">
        <f ca="1">IFERROR(IF(AND(ISNUMBER(Futs!$CH39), ISNUMBER($CX39)), Futs!$CH39 + $CX39, ""), "")</f>
        <v/>
      </c>
      <c r="DC39" s="68" t="str">
        <f t="shared" ca="1" si="162"/>
        <v/>
      </c>
      <c r="DD39" s="111" t="str">
        <f t="shared" ca="1" si="163"/>
        <v/>
      </c>
      <c r="DE39" s="400" t="str">
        <f ca="1">IFERROR(INDEX(ICE[], MATCH("go01ccmdiff" &amp; TEXT(Crd!$A39, "mmmyy"), ICE[LongCode], 0), MATCH("ICE Theoretical Price", ICE[#Headers], 0)), "")</f>
        <v/>
      </c>
      <c r="DF39" s="372" t="str">
        <f ca="1">IFERROR(INDEX(ICE[], MATCH("go01ccmdiff" &amp; TEXT(Mid!$A39, "mmmyy"), ICE[LongCode], 0), MATCH("Text", ICE[#Headers], 0)), "")</f>
        <v xml:space="preserve"> /  </v>
      </c>
      <c r="DG39" s="46" t="str">
        <f t="shared" ca="1" si="118"/>
        <v/>
      </c>
      <c r="DH39" s="68" t="str">
        <f t="shared" ca="1" si="164"/>
        <v/>
      </c>
      <c r="DI39" s="114" t="str">
        <f t="shared" ca="1" si="165"/>
        <v/>
      </c>
      <c r="DJ39" s="68" t="str">
        <f ca="1">IFERROR(IF(AND(ISNUMBER(Futs!$CG39), ISNUMBER($DE39)), Futs!$CG39 + $DE39, ""), "")</f>
        <v/>
      </c>
      <c r="DK39" s="46" t="str">
        <f ca="1">IFERROR(IF(AND(ISNUMBER(Futs!$CH39), ISNUMBER($DG39)), Futs!$CH39 + $DG39, ""), "")</f>
        <v/>
      </c>
      <c r="DL39" s="68" t="str">
        <f t="shared" ca="1" si="166"/>
        <v/>
      </c>
      <c r="DM39" s="111" t="str">
        <f t="shared" ca="1" si="167"/>
        <v/>
      </c>
      <c r="DN39" s="400" t="str">
        <f ca="1">IFERROR(INDEX(ICE[], MATCH("ulsdgc" &amp; TEXT(Crd!$A39, "mmmyy"), ICE[LongCode], 0), MATCH("ICE Theoretical Price", ICE[#Headers], 0))*100, "")</f>
        <v/>
      </c>
      <c r="DO39" s="372" t="str">
        <f ca="1">IFERROR(INDEX(ICE[], MATCH("ulsdgc" &amp; TEXT(Mid!$A39, "mmmyy"), ICE[LongCode], 0), MATCH("Text", ICE[#Headers], 0)), "")</f>
        <v/>
      </c>
      <c r="DP39" s="46" t="str">
        <f t="shared" ca="1" si="119"/>
        <v/>
      </c>
      <c r="DQ39" s="68" t="str">
        <f t="shared" ca="1" si="168"/>
        <v/>
      </c>
      <c r="DR39" s="114" t="str">
        <f t="shared" ca="1" si="169"/>
        <v/>
      </c>
      <c r="DS39" s="68" t="str">
        <f ca="1">IFERROR(IF(AND(ISNUMBER(Futs!$CK39), ISNUMBER($DN39)), Futs!$CK39 + $DN39, ""), "")</f>
        <v/>
      </c>
      <c r="DT39" s="46" t="str">
        <f ca="1">IFERROR(IF(AND(ISNUMBER(Futs!$CL39), ISNUMBER($DP39)), Futs!$CL39 + $DP39, ""), "")</f>
        <v/>
      </c>
      <c r="DU39" s="68" t="str">
        <f t="shared" ca="1" si="170"/>
        <v/>
      </c>
      <c r="DV39" s="111" t="str">
        <f t="shared" ca="1" si="171"/>
        <v/>
      </c>
    </row>
    <row r="40" spans="1:126" x14ac:dyDescent="0.25">
      <c r="A40" s="58">
        <f t="shared" ca="1" si="123"/>
        <v>46905</v>
      </c>
      <c r="B40" s="6">
        <f t="shared" ca="1" si="102"/>
        <v>2028</v>
      </c>
      <c r="C40" s="6" t="str">
        <f t="shared" ca="1" si="120"/>
        <v>Q228</v>
      </c>
      <c r="D40" s="28">
        <f ca="1">INDEX(ICE[], MATCH(D$18 &amp; TEXT(Mid!$A40, "mmmyy"), ICE[LongCode], 0), MATCH("Settle", ICE[#Headers], 0))</f>
        <v>85</v>
      </c>
      <c r="E40" s="28">
        <f ca="1">INDEX(ICE[], MATCH(E$18 &amp; TEXT(Mid!$A40, "mmmyy"), ICE[LongCode], 0), MATCH("Settle", ICE[#Headers], 0))</f>
        <v>-37.450000000000003</v>
      </c>
      <c r="F40" s="28">
        <f ca="1">INDEX(ICE[], MATCH(F$18 &amp; TEXT(Mid!$A40, "mmmyy"), ICE[LongCode], 0), MATCH("Settle", ICE[#Headers], 0))</f>
        <v>2.95</v>
      </c>
      <c r="G40" s="28">
        <f ca="1">INDEX(ICE[], MATCH(G$18 &amp; TEXT(Mid!$A40, "mmmyy"), ICE[LongCode], 0), MATCH("Settle", ICE[#Headers], 0))</f>
        <v>3.5</v>
      </c>
      <c r="H40" s="28">
        <f ca="1">INDEX(ICE[], MATCH(H$18 &amp; TEXT(Mid!$A40, "mmmyy"), ICE[LongCode], 0), MATCH("Settle", ICE[#Headers], 0))</f>
        <v>15</v>
      </c>
      <c r="I40" s="28">
        <f ca="1">INDEX(ICE[], MATCH(I$18 &amp; TEXT(Mid!$A40, "mmmyy"), ICE[LongCode], 0), MATCH("Settle", ICE[#Headers], 0))</f>
        <v>12</v>
      </c>
      <c r="J40" s="28">
        <f ca="1">INDEX(ICE[], MATCH(J$18 &amp; TEXT(Mid!$A40, "mmmyy"), ICE[LongCode], 0), MATCH("Settle", ICE[#Headers], 0))</f>
        <v>-22</v>
      </c>
      <c r="K40" s="28">
        <f ca="1">INDEX(ICE[], MATCH(K$18 &amp; TEXT(Mid!$A40, "mmmyy"), ICE[LongCode], 0), MATCH("Settle", ICE[#Headers], 0))</f>
        <v>-3</v>
      </c>
      <c r="L40" s="28">
        <f ca="1">INDEX(ICE[], MATCH(L$18 &amp; TEXT(Mid!$A40, "mmmyy"), ICE[LongCode], 0), MATCH("Settle", ICE[#Headers], 0))</f>
        <v>1</v>
      </c>
      <c r="M40" s="28" t="e">
        <f ca="1">INDEX(ICE[], MATCH(M$18 &amp; TEXT(Mid!$A40, "mmmyy"), ICE[LongCode], 0), MATCH("Settle", ICE[#Headers], 0))</f>
        <v>#N/A</v>
      </c>
      <c r="N40" s="28" t="e">
        <f ca="1">INDEX(ICE[], MATCH(N$18 &amp; TEXT(Mid!$A40, "mmmyy"), ICE[LongCode], 0), MATCH("Settle", ICE[#Headers], 0))*100</f>
        <v>#N/A</v>
      </c>
      <c r="O40" s="397" t="str">
        <f ca="1">IFERROR(INDEX(ICE[], MATCH("jetccndiff" &amp; TEXT(Crd!$A40, "mmmyy"), ICE[LongCode], 0), MATCH("ICE Theoretical Price", ICE[#Headers], 0)), "")</f>
        <v/>
      </c>
      <c r="P40" s="372" t="str">
        <f ca="1">IFERROR(INDEX(ICE[], MATCH("jetccndiff" &amp; TEXT(Mid!$A40, "mmmyy"), ICE[LongCode], 0), MATCH("Text", ICE[#Headers], 0)), "")</f>
        <v xml:space="preserve"> /  </v>
      </c>
      <c r="Q40" s="46" t="str">
        <f t="shared" ca="1" si="103"/>
        <v/>
      </c>
      <c r="R40" s="47" t="str">
        <f t="shared" ca="1" si="121"/>
        <v/>
      </c>
      <c r="S40" s="114" t="str">
        <f t="shared" ca="1" si="124"/>
        <v/>
      </c>
      <c r="T40" s="49" t="str">
        <f ca="1">IFERROR(IF(AND(ISNUMBER(Futs!$CG40), ISNUMBER($O40)), Futs!$CG40 + $O40, ""), "")</f>
        <v/>
      </c>
      <c r="U40" s="46" t="str">
        <f ca="1">IFERROR(IF(AND(ISNUMBER(Futs!$CH40), ISNUMBER($Q40)), Futs!$CH40 + $Q40, ""), "")</f>
        <v/>
      </c>
      <c r="V40" s="47" t="str">
        <f t="shared" ca="1" si="125"/>
        <v/>
      </c>
      <c r="W40" s="46" t="str">
        <f t="shared" ca="1" si="126"/>
        <v/>
      </c>
      <c r="X40" s="427" t="str">
        <f ca="1">IFERROR(IF(AND(ISNUMBER(Futs!$CC40), ISNUMBER($T40)), $T40/7.88 - Futs!$CC40, ""), "")</f>
        <v/>
      </c>
      <c r="Y40" s="46" t="str">
        <f ca="1">IFERROR(IF(AND(ISNUMBER(Futs!$DV40), ISNUMBER($Q40)), Futs!$DV40 + $Q40/7.88, ""), "")</f>
        <v/>
      </c>
      <c r="Z40" s="47" t="str">
        <f t="shared" ca="1" si="127"/>
        <v/>
      </c>
      <c r="AA40" s="111" t="str">
        <f t="shared" ca="1" si="128"/>
        <v/>
      </c>
      <c r="AB40" s="400" t="str">
        <f ca="1">IFERROR(INDEX(ICE[], MATCH("goew" &amp; TEXT(Crd!$A40, "mmmyy"), ICE[LongCode], 0), MATCH("ICE Theoretical Price", ICE[#Headers], 0)), "")</f>
        <v/>
      </c>
      <c r="AC40" s="372" t="str">
        <f ca="1">IFERROR(INDEX(ICE[], MATCH("goew" &amp; TEXT(Mid!$A40, "mmmyy"), ICE[LongCode], 0), MATCH("Text", ICE[#Headers], 0)), "")</f>
        <v xml:space="preserve"> /  </v>
      </c>
      <c r="AD40" s="46" t="str">
        <f t="shared" ca="1" si="104"/>
        <v/>
      </c>
      <c r="AE40" s="68" t="str">
        <f t="shared" ca="1" si="129"/>
        <v/>
      </c>
      <c r="AF40" s="46" t="str">
        <f t="shared" ca="1" si="130"/>
        <v/>
      </c>
      <c r="AG40" s="265" t="str">
        <f ca="1">IFERROR(IF(AND(ISNUMBER(Futs!$BM40), ISNUMBER($AH40)), $AH40*7.45 - Futs!$BM40, ""), "")</f>
        <v/>
      </c>
      <c r="AH40" s="187" t="str">
        <f ca="1">IFERROR(IF(AND(ISNUMBER(Futs!$CG40), ISNUMBER($AB40)), (Futs!$CG40 + $AB40)/7.45, ""), "")</f>
        <v/>
      </c>
      <c r="AI40" s="46" t="str">
        <f ca="1">IFERROR(IF(AND(ISNUMBER(Futs!$CH40), ISNUMBER($AD40)), (Futs!$CH40 + $AD40)/7.45, ""), "")</f>
        <v/>
      </c>
      <c r="AJ40" s="68" t="str">
        <f t="shared" ca="1" si="131"/>
        <v/>
      </c>
      <c r="AK40" s="364" t="str">
        <f ca="1">IFERROR(INDEX(ICE[], MATCH("gosing" &amp; TEXT(Crd!$A39, "mmmyy") &amp; "/" &amp; TEXT(Crd!$A40, "mmmyy"), ICE[LongCode], 0), MATCH("Text", ICE[#Headers], 0)), "")</f>
        <v/>
      </c>
      <c r="AL40" s="46" t="str">
        <f t="shared" ca="1" si="132"/>
        <v/>
      </c>
      <c r="AM40" s="427" t="str">
        <f ca="1">IFERROR(IF(AND(ISNUMBER(Futs!$CC40), ISNUMBER($AH40)), $AH40 - Futs!$CC40, ""), "")</f>
        <v/>
      </c>
      <c r="AN40" s="46" t="str">
        <f ca="1">IFERROR(IF(AND(ISNUMBER(Futs!$DV40), ISNUMBER($AD40)), $AD40/7.45 + Futs!$DV40, ""), "")</f>
        <v/>
      </c>
      <c r="AO40" s="47" t="str">
        <f t="shared" ca="1" si="133"/>
        <v/>
      </c>
      <c r="AP40" s="111" t="str">
        <f t="shared" ca="1" si="134"/>
        <v/>
      </c>
      <c r="AQ40" s="400"/>
      <c r="AR40" s="46" t="str">
        <f t="shared" ca="1" si="106"/>
        <v/>
      </c>
      <c r="AS40" s="68" t="str">
        <f t="shared" si="135"/>
        <v/>
      </c>
      <c r="AT40" s="46" t="str">
        <f t="shared" ca="1" si="136"/>
        <v/>
      </c>
      <c r="AU40" s="271" t="str">
        <f t="shared" ca="1" si="107"/>
        <v/>
      </c>
      <c r="AV40" s="46" t="str">
        <f t="shared" ca="1" si="108"/>
        <v/>
      </c>
      <c r="AW40" s="68" t="str">
        <f t="shared" ca="1" si="137"/>
        <v/>
      </c>
      <c r="AX40" s="111" t="str">
        <f t="shared" ca="1" si="138"/>
        <v/>
      </c>
      <c r="AY40" s="400" t="str">
        <f ca="1">IFERROR(INDEX(ICE[], MATCH("regrade" &amp; TEXT(Crd!$A40, "mmmyy"), ICE[LongCode], 0), MATCH("ICE Theoretical Price", ICE[#Headers], 0)), "")</f>
        <v/>
      </c>
      <c r="AZ40" s="372" t="str">
        <f ca="1">IFERROR(INDEX(ICE[], MATCH("regrade" &amp; TEXT(Mid!$A40, "mmmyy"), ICE[LongCode], 0), MATCH("Text", ICE[#Headers], 0)), "")</f>
        <v xml:space="preserve"> /  </v>
      </c>
      <c r="BA40" s="46" t="str">
        <f t="shared" ca="1" si="109"/>
        <v/>
      </c>
      <c r="BB40" s="68" t="str">
        <f t="shared" ca="1" si="172"/>
        <v/>
      </c>
      <c r="BC40" s="114" t="str">
        <f t="shared" ca="1" si="139"/>
        <v/>
      </c>
      <c r="BD40" s="68" t="str">
        <f t="shared" ca="1" si="110"/>
        <v/>
      </c>
      <c r="BE40" s="46" t="str">
        <f t="shared" ca="1" si="111"/>
        <v/>
      </c>
      <c r="BF40" s="68" t="str">
        <f t="shared" ca="1" si="140"/>
        <v/>
      </c>
      <c r="BG40" s="111" t="str">
        <f t="shared" ca="1" si="141"/>
        <v/>
      </c>
      <c r="BH40" s="68" t="str">
        <f t="shared" ca="1" si="122"/>
        <v/>
      </c>
      <c r="BI40" s="46" t="str">
        <f t="shared" ca="1" si="112"/>
        <v/>
      </c>
      <c r="BJ40" s="68" t="str">
        <f t="shared" ca="1" si="142"/>
        <v/>
      </c>
      <c r="BK40" s="111" t="str">
        <f t="shared" ca="1" si="143"/>
        <v/>
      </c>
      <c r="BL40" s="400" t="str">
        <f ca="1">IFERROR(INDEX(ICE[], MATCH("ulsdaradiff" &amp; TEXT(Crd!$A40, "mmmyy"), ICE[LongCode], 0), MATCH("ICE Theoretical Price", ICE[#Headers], 0)), "")</f>
        <v/>
      </c>
      <c r="BM40" s="372" t="str">
        <f ca="1">IFERROR(INDEX(ICE[], MATCH("ulsdaradiff" &amp; TEXT(Mid!$A40, "mmmyy"), ICE[LongCode], 0), MATCH("Text", ICE[#Headers], 0)), "")</f>
        <v xml:space="preserve"> /  </v>
      </c>
      <c r="BN40" s="46" t="str">
        <f t="shared" ca="1" si="113"/>
        <v/>
      </c>
      <c r="BO40" s="68" t="str">
        <f t="shared" ca="1" si="144"/>
        <v/>
      </c>
      <c r="BP40" s="114" t="str">
        <f t="shared" ca="1" si="145"/>
        <v/>
      </c>
      <c r="BQ40" s="68" t="str">
        <f ca="1">IFERROR(IF(AND(ISNUMBER(Futs!$CG40), ISNUMBER($BL40)), Futs!$CG40 + $BL40, ""), "")</f>
        <v/>
      </c>
      <c r="BR40" s="46" t="str">
        <f ca="1">IFERROR(IF(AND(ISNUMBER(Futs!$CH40), ISNUMBER($BN40)), Futs!$CH40 + $BN40, ""), "")</f>
        <v/>
      </c>
      <c r="BS40" s="68" t="str">
        <f t="shared" ca="1" si="146"/>
        <v/>
      </c>
      <c r="BT40" s="111" t="str">
        <f t="shared" ca="1" si="147"/>
        <v/>
      </c>
      <c r="BU40" s="400" t="str">
        <f ca="1">IFERROR(INDEX(ICE[], MATCH("ulsdccndiff" &amp; TEXT(Crd!$A40, "mmmyy"), ICE[LongCode], 0), MATCH("ICE Theoretical Price", ICE[#Headers], 0)), "")</f>
        <v/>
      </c>
      <c r="BV40" s="372" t="str">
        <f ca="1">IFERROR(INDEX(ICE[], MATCH("ulsdccndiff" &amp; TEXT(Mid!$A40, "mmmyy"), ICE[LongCode], 0), MATCH("Text", ICE[#Headers], 0)), "")</f>
        <v xml:space="preserve"> /  </v>
      </c>
      <c r="BW40" s="46" t="str">
        <f t="shared" ca="1" si="114"/>
        <v/>
      </c>
      <c r="BX40" s="68" t="str">
        <f t="shared" ca="1" si="148"/>
        <v/>
      </c>
      <c r="BY40" s="114" t="str">
        <f t="shared" ca="1" si="149"/>
        <v/>
      </c>
      <c r="BZ40" s="68" t="str">
        <f ca="1">IFERROR(IF(AND(ISNUMBER(Futs!$CG40), ISNUMBER($BU40)), Futs!$CG40 + $BU40, ""), "")</f>
        <v/>
      </c>
      <c r="CA40" s="46" t="str">
        <f ca="1">IFERROR(IF(AND(ISNUMBER(Futs!$CH40), ISNUMBER($BW40)), Futs!$CH40 + $BW40, ""), "")</f>
        <v/>
      </c>
      <c r="CB40" s="68" t="str">
        <f t="shared" ca="1" si="150"/>
        <v/>
      </c>
      <c r="CC40" s="111" t="str">
        <f t="shared" ca="1" si="151"/>
        <v/>
      </c>
      <c r="CD40" s="400" t="str">
        <f ca="1">IFERROR(INDEX(ICE[], MATCH("ulsdccmdiff" &amp; TEXT(Crd!$A40, "mmmyy"), ICE[LongCode], 0), MATCH("ICE Theoretical Price", ICE[#Headers], 0)), "")</f>
        <v/>
      </c>
      <c r="CE40" s="372" t="str">
        <f ca="1">IFERROR(INDEX(ICE[], MATCH("ulsdccmdiff" &amp; TEXT(Mid!$A40, "mmmyy"), ICE[LongCode], 0), MATCH("Text", ICE[#Headers], 0)), "")</f>
        <v xml:space="preserve"> /  </v>
      </c>
      <c r="CF40" s="46" t="str">
        <f t="shared" ca="1" si="115"/>
        <v/>
      </c>
      <c r="CG40" s="68" t="str">
        <f t="shared" ca="1" si="152"/>
        <v/>
      </c>
      <c r="CH40" s="114" t="str">
        <f t="shared" ca="1" si="153"/>
        <v/>
      </c>
      <c r="CI40" s="68" t="str">
        <f ca="1">IFERROR(IF(AND(ISNUMBER(Futs!$CG40), ISNUMBER($CD40)), Futs!$CG40 + $CD40, ""), "")</f>
        <v/>
      </c>
      <c r="CJ40" s="67" t="str">
        <f ca="1">IFERROR(IF(AND(ISNUMBER(Futs!$CH40), ISNUMBER($CF40)), Futs!$CH40 + $CF40, ""), "")</f>
        <v/>
      </c>
      <c r="CK40" s="68" t="str">
        <f t="shared" ca="1" si="154"/>
        <v/>
      </c>
      <c r="CL40" s="111" t="str">
        <f t="shared" ca="1" si="155"/>
        <v/>
      </c>
      <c r="CM40" s="400" t="str">
        <f ca="1">IFERROR(INDEX(ICE[], MATCH("go01bfrdiff" &amp; TEXT(Crd!$A40, "mmmyy"), ICE[LongCode], 0), MATCH("ICE Theoretical Price", ICE[#Headers], 0)), "")</f>
        <v/>
      </c>
      <c r="CN40" s="372" t="str">
        <f ca="1">IFERROR(INDEX(ICE[], MATCH("go01bfrdiff" &amp; TEXT(Mid!$A40, "mmmyy"), ICE[LongCode], 0), MATCH("Text", ICE[#Headers], 0)), "")</f>
        <v xml:space="preserve"> /  </v>
      </c>
      <c r="CO40" s="46" t="str">
        <f t="shared" ca="1" si="116"/>
        <v/>
      </c>
      <c r="CP40" s="68" t="str">
        <f t="shared" ca="1" si="156"/>
        <v/>
      </c>
      <c r="CQ40" s="114" t="str">
        <f t="shared" ca="1" si="157"/>
        <v/>
      </c>
      <c r="CR40" s="68" t="str">
        <f ca="1">IFERROR(IF(AND(ISNUMBER(Futs!$CG40), ISNUMBER($CM40)), Futs!$CG40 + $CM40, ""), "")</f>
        <v/>
      </c>
      <c r="CS40" s="46" t="str">
        <f ca="1">IFERROR(IF(AND(ISNUMBER(Futs!$CH40), ISNUMBER($CO40)), Futs!$CH40 + $CO40, ""), "")</f>
        <v/>
      </c>
      <c r="CT40" s="68" t="str">
        <f t="shared" ca="1" si="158"/>
        <v/>
      </c>
      <c r="CU40" s="111" t="str">
        <f t="shared" ca="1" si="159"/>
        <v/>
      </c>
      <c r="CV40" s="400" t="str">
        <f ca="1">IFERROR(INDEX(ICE[], MATCH("go01ccndiff" &amp; TEXT(Crd!$A40, "mmmyy"), ICE[LongCode], 0), MATCH("ICE Theoretical Price", ICE[#Headers], 0)), "")</f>
        <v/>
      </c>
      <c r="CW40" s="372" t="str">
        <f ca="1">IFERROR(INDEX(ICE[], MATCH("go01ccndiff" &amp; TEXT(Mid!$A40, "mmmyy"), ICE[LongCode], 0), MATCH("Text", ICE[#Headers], 0)), "")</f>
        <v xml:space="preserve"> /  </v>
      </c>
      <c r="CX40" s="46" t="str">
        <f t="shared" ca="1" si="117"/>
        <v/>
      </c>
      <c r="CY40" s="68" t="str">
        <f t="shared" ca="1" si="160"/>
        <v/>
      </c>
      <c r="CZ40" s="114" t="str">
        <f t="shared" ca="1" si="161"/>
        <v/>
      </c>
      <c r="DA40" s="68" t="str">
        <f ca="1">IFERROR(IF(AND(ISNUMBER(Futs!$CG40), ISNUMBER($CV40)), Futs!$CG40 + $CV40, ""), "")</f>
        <v/>
      </c>
      <c r="DB40" s="46" t="str">
        <f ca="1">IFERROR(IF(AND(ISNUMBER(Futs!$CH40), ISNUMBER($CX40)), Futs!$CH40 + $CX40, ""), "")</f>
        <v/>
      </c>
      <c r="DC40" s="68" t="str">
        <f t="shared" ca="1" si="162"/>
        <v/>
      </c>
      <c r="DD40" s="111" t="str">
        <f t="shared" ca="1" si="163"/>
        <v/>
      </c>
      <c r="DE40" s="400" t="str">
        <f ca="1">IFERROR(INDEX(ICE[], MATCH("go01ccmdiff" &amp; TEXT(Crd!$A40, "mmmyy"), ICE[LongCode], 0), MATCH("ICE Theoretical Price", ICE[#Headers], 0)), "")</f>
        <v/>
      </c>
      <c r="DF40" s="372" t="str">
        <f ca="1">IFERROR(INDEX(ICE[], MATCH("go01ccmdiff" &amp; TEXT(Mid!$A40, "mmmyy"), ICE[LongCode], 0), MATCH("Text", ICE[#Headers], 0)), "")</f>
        <v xml:space="preserve"> /  </v>
      </c>
      <c r="DG40" s="46" t="str">
        <f t="shared" ca="1" si="118"/>
        <v/>
      </c>
      <c r="DH40" s="68" t="str">
        <f t="shared" ca="1" si="164"/>
        <v/>
      </c>
      <c r="DI40" s="114" t="str">
        <f t="shared" ca="1" si="165"/>
        <v/>
      </c>
      <c r="DJ40" s="68" t="str">
        <f ca="1">IFERROR(IF(AND(ISNUMBER(Futs!$CG40), ISNUMBER($DE40)), Futs!$CG40 + $DE40, ""), "")</f>
        <v/>
      </c>
      <c r="DK40" s="46" t="str">
        <f ca="1">IFERROR(IF(AND(ISNUMBER(Futs!$CH40), ISNUMBER($DG40)), Futs!$CH40 + $DG40, ""), "")</f>
        <v/>
      </c>
      <c r="DL40" s="68" t="str">
        <f t="shared" ca="1" si="166"/>
        <v/>
      </c>
      <c r="DM40" s="111" t="str">
        <f t="shared" ca="1" si="167"/>
        <v/>
      </c>
      <c r="DN40" s="400" t="str">
        <f ca="1">IFERROR(INDEX(ICE[], MATCH("ulsdgc" &amp; TEXT(Crd!$A40, "mmmyy"), ICE[LongCode], 0), MATCH("ICE Theoretical Price", ICE[#Headers], 0))*100, "")</f>
        <v/>
      </c>
      <c r="DO40" s="372" t="str">
        <f ca="1">IFERROR(INDEX(ICE[], MATCH("ulsdgc" &amp; TEXT(Mid!$A40, "mmmyy"), ICE[LongCode], 0), MATCH("Text", ICE[#Headers], 0)), "")</f>
        <v/>
      </c>
      <c r="DP40" s="46" t="str">
        <f t="shared" ca="1" si="119"/>
        <v/>
      </c>
      <c r="DQ40" s="68" t="str">
        <f t="shared" ca="1" si="168"/>
        <v/>
      </c>
      <c r="DR40" s="114" t="str">
        <f t="shared" ca="1" si="169"/>
        <v/>
      </c>
      <c r="DS40" s="68" t="str">
        <f ca="1">IFERROR(IF(AND(ISNUMBER(Futs!$CK40), ISNUMBER($DN40)), Futs!$CK40 + $DN40, ""), "")</f>
        <v/>
      </c>
      <c r="DT40" s="46" t="str">
        <f ca="1">IFERROR(IF(AND(ISNUMBER(Futs!$CL40), ISNUMBER($DP40)), Futs!$CL40 + $DP40, ""), "")</f>
        <v/>
      </c>
      <c r="DU40" s="68" t="str">
        <f t="shared" ca="1" si="170"/>
        <v/>
      </c>
      <c r="DV40" s="111" t="str">
        <f t="shared" ca="1" si="171"/>
        <v/>
      </c>
    </row>
    <row r="41" spans="1:126" x14ac:dyDescent="0.25">
      <c r="A41" s="58">
        <f t="shared" ca="1" si="123"/>
        <v>46935</v>
      </c>
      <c r="B41" s="6">
        <f t="shared" ca="1" si="102"/>
        <v>2028</v>
      </c>
      <c r="C41" s="6" t="str">
        <f t="shared" ca="1" si="120"/>
        <v>Q328</v>
      </c>
      <c r="D41" s="28">
        <f ca="1">INDEX(ICE[], MATCH(D$18 &amp; TEXT(Mid!$A41, "mmmyy"), ICE[LongCode], 0), MATCH("Settle", ICE[#Headers], 0))</f>
        <v>85</v>
      </c>
      <c r="E41" s="28">
        <f ca="1">INDEX(ICE[], MATCH(E$18 &amp; TEXT(Mid!$A41, "mmmyy"), ICE[LongCode], 0), MATCH("Settle", ICE[#Headers], 0))</f>
        <v>-37.015999999999998</v>
      </c>
      <c r="F41" s="28">
        <f ca="1">INDEX(ICE[], MATCH(F$18 &amp; TEXT(Mid!$A41, "mmmyy"), ICE[LongCode], 0), MATCH("Settle", ICE[#Headers], 0))</f>
        <v>2.95</v>
      </c>
      <c r="G41" s="28">
        <f ca="1">INDEX(ICE[], MATCH(G$18 &amp; TEXT(Mid!$A41, "mmmyy"), ICE[LongCode], 0), MATCH("Settle", ICE[#Headers], 0))</f>
        <v>3.5</v>
      </c>
      <c r="H41" s="28">
        <f ca="1">INDEX(ICE[], MATCH(H$18 &amp; TEXT(Mid!$A41, "mmmyy"), ICE[LongCode], 0), MATCH("Settle", ICE[#Headers], 0))</f>
        <v>14</v>
      </c>
      <c r="I41" s="28">
        <f ca="1">INDEX(ICE[], MATCH(I$18 &amp; TEXT(Mid!$A41, "mmmyy"), ICE[LongCode], 0), MATCH("Settle", ICE[#Headers], 0))</f>
        <v>11.5</v>
      </c>
      <c r="J41" s="28">
        <f ca="1">INDEX(ICE[], MATCH(J$18 &amp; TEXT(Mid!$A41, "mmmyy"), ICE[LongCode], 0), MATCH("Settle", ICE[#Headers], 0))</f>
        <v>-21.5</v>
      </c>
      <c r="K41" s="28">
        <f ca="1">INDEX(ICE[], MATCH(K$18 &amp; TEXT(Mid!$A41, "mmmyy"), ICE[LongCode], 0), MATCH("Settle", ICE[#Headers], 0))</f>
        <v>-3</v>
      </c>
      <c r="L41" s="28">
        <f ca="1">INDEX(ICE[], MATCH(L$18 &amp; TEXT(Mid!$A41, "mmmyy"), ICE[LongCode], 0), MATCH("Settle", ICE[#Headers], 0))</f>
        <v>1</v>
      </c>
      <c r="M41" s="28" t="e">
        <f ca="1">INDEX(ICE[], MATCH(M$18 &amp; TEXT(Mid!$A41, "mmmyy"), ICE[LongCode], 0), MATCH("Settle", ICE[#Headers], 0))</f>
        <v>#N/A</v>
      </c>
      <c r="N41" s="28" t="e">
        <f ca="1">INDEX(ICE[], MATCH(N$18 &amp; TEXT(Mid!$A41, "mmmyy"), ICE[LongCode], 0), MATCH("Settle", ICE[#Headers], 0))*100</f>
        <v>#N/A</v>
      </c>
      <c r="O41" s="397" t="str">
        <f ca="1">IFERROR(INDEX(ICE[], MATCH("jetccndiff" &amp; TEXT(Crd!$A41, "mmmyy"), ICE[LongCode], 0), MATCH("ICE Theoretical Price", ICE[#Headers], 0)), "")</f>
        <v/>
      </c>
      <c r="P41" s="372" t="str">
        <f ca="1">IFERROR(INDEX(ICE[], MATCH("jetccndiff" &amp; TEXT(Mid!$A41, "mmmyy"), ICE[LongCode], 0), MATCH("Text", ICE[#Headers], 0)), "")</f>
        <v xml:space="preserve"> /  </v>
      </c>
      <c r="Q41" s="46" t="str">
        <f t="shared" ca="1" si="103"/>
        <v/>
      </c>
      <c r="R41" s="47" t="str">
        <f t="shared" ca="1" si="121"/>
        <v/>
      </c>
      <c r="S41" s="114" t="str">
        <f t="shared" ca="1" si="124"/>
        <v/>
      </c>
      <c r="T41" s="49" t="str">
        <f ca="1">IFERROR(IF(AND(ISNUMBER(Futs!$CG41), ISNUMBER($O41)), Futs!$CG41 + $O41, ""), "")</f>
        <v/>
      </c>
      <c r="U41" s="46" t="str">
        <f ca="1">IFERROR(IF(AND(ISNUMBER(Futs!$CH41), ISNUMBER($Q41)), Futs!$CH41 + $Q41, ""), "")</f>
        <v/>
      </c>
      <c r="V41" s="47" t="str">
        <f t="shared" ca="1" si="125"/>
        <v/>
      </c>
      <c r="W41" s="46" t="str">
        <f t="shared" ca="1" si="126"/>
        <v/>
      </c>
      <c r="X41" s="427" t="str">
        <f ca="1">IFERROR(IF(AND(ISNUMBER(Futs!$CC41), ISNUMBER($T41)), $T41/7.88 - Futs!$CC41, ""), "")</f>
        <v/>
      </c>
      <c r="Y41" s="46" t="str">
        <f ca="1">IFERROR(IF(AND(ISNUMBER(Futs!$DV41), ISNUMBER($Q41)), Futs!$DV41 + $Q41/7.88, ""), "")</f>
        <v/>
      </c>
      <c r="Z41" s="47" t="str">
        <f t="shared" ca="1" si="127"/>
        <v/>
      </c>
      <c r="AA41" s="111" t="str">
        <f t="shared" ca="1" si="128"/>
        <v/>
      </c>
      <c r="AB41" s="400" t="str">
        <f ca="1">IFERROR(INDEX(ICE[], MATCH("goew" &amp; TEXT(Crd!$A41, "mmmyy"), ICE[LongCode], 0), MATCH("ICE Theoretical Price", ICE[#Headers], 0)), "")</f>
        <v/>
      </c>
      <c r="AC41" s="372" t="str">
        <f ca="1">IFERROR(INDEX(ICE[], MATCH("goew" &amp; TEXT(Mid!$A41, "mmmyy"), ICE[LongCode], 0), MATCH("Text", ICE[#Headers], 0)), "")</f>
        <v xml:space="preserve"> /  </v>
      </c>
      <c r="AD41" s="46" t="str">
        <f t="shared" ca="1" si="104"/>
        <v/>
      </c>
      <c r="AE41" s="68" t="str">
        <f t="shared" ca="1" si="129"/>
        <v/>
      </c>
      <c r="AF41" s="46" t="str">
        <f t="shared" ca="1" si="130"/>
        <v/>
      </c>
      <c r="AG41" s="265" t="str">
        <f ca="1">IFERROR(IF(AND(ISNUMBER(Futs!$BM41), ISNUMBER($AH41)), $AH41*7.45 - Futs!$BM41, ""), "")</f>
        <v/>
      </c>
      <c r="AH41" s="187" t="str">
        <f ca="1">IFERROR(IF(AND(ISNUMBER(Futs!$CG41), ISNUMBER($AB41)), (Futs!$CG41 + $AB41)/7.45, ""), "")</f>
        <v/>
      </c>
      <c r="AI41" s="46" t="str">
        <f ca="1">IFERROR(IF(AND(ISNUMBER(Futs!$CH41), ISNUMBER($AD41)), (Futs!$CH41 + $AD41)/7.45, ""), "")</f>
        <v/>
      </c>
      <c r="AJ41" s="68" t="str">
        <f t="shared" ca="1" si="131"/>
        <v/>
      </c>
      <c r="AK41" s="364" t="str">
        <f ca="1">IFERROR(INDEX(ICE[], MATCH("gosing" &amp; TEXT(Crd!$A40, "mmmyy") &amp; "/" &amp; TEXT(Crd!$A41, "mmmyy"), ICE[LongCode], 0), MATCH("Text", ICE[#Headers], 0)), "")</f>
        <v/>
      </c>
      <c r="AL41" s="46" t="str">
        <f t="shared" ca="1" si="132"/>
        <v/>
      </c>
      <c r="AM41" s="427" t="str">
        <f ca="1">IFERROR(IF(AND(ISNUMBER(Futs!$CC41), ISNUMBER($AH41)), $AH41 - Futs!$CC41, ""), "")</f>
        <v/>
      </c>
      <c r="AN41" s="46" t="str">
        <f ca="1">IFERROR(IF(AND(ISNUMBER(Futs!$DV41), ISNUMBER($AD41)), $AD41/7.45 + Futs!$DV41, ""), "")</f>
        <v/>
      </c>
      <c r="AO41" s="47" t="str">
        <f t="shared" ca="1" si="133"/>
        <v/>
      </c>
      <c r="AP41" s="111" t="str">
        <f t="shared" ca="1" si="134"/>
        <v/>
      </c>
      <c r="AQ41" s="400"/>
      <c r="AR41" s="46" t="str">
        <f t="shared" ca="1" si="106"/>
        <v/>
      </c>
      <c r="AS41" s="68" t="str">
        <f t="shared" si="135"/>
        <v/>
      </c>
      <c r="AT41" s="46" t="str">
        <f t="shared" ca="1" si="136"/>
        <v/>
      </c>
      <c r="AU41" s="271" t="str">
        <f t="shared" ca="1" si="107"/>
        <v/>
      </c>
      <c r="AV41" s="46" t="str">
        <f t="shared" ca="1" si="108"/>
        <v/>
      </c>
      <c r="AW41" s="68" t="str">
        <f t="shared" ca="1" si="137"/>
        <v/>
      </c>
      <c r="AX41" s="111" t="str">
        <f t="shared" ca="1" si="138"/>
        <v/>
      </c>
      <c r="AY41" s="400" t="str">
        <f ca="1">IFERROR(INDEX(ICE[], MATCH("regrade" &amp; TEXT(Crd!$A41, "mmmyy"), ICE[LongCode], 0), MATCH("ICE Theoretical Price", ICE[#Headers], 0)), "")</f>
        <v/>
      </c>
      <c r="AZ41" s="372" t="str">
        <f ca="1">IFERROR(INDEX(ICE[], MATCH("regrade" &amp; TEXT(Mid!$A41, "mmmyy"), ICE[LongCode], 0), MATCH("Text", ICE[#Headers], 0)), "")</f>
        <v xml:space="preserve"> /  </v>
      </c>
      <c r="BA41" s="46" t="str">
        <f t="shared" ca="1" si="109"/>
        <v/>
      </c>
      <c r="BB41" s="68" t="str">
        <f t="shared" ca="1" si="172"/>
        <v/>
      </c>
      <c r="BC41" s="114" t="str">
        <f t="shared" ca="1" si="139"/>
        <v/>
      </c>
      <c r="BD41" s="68" t="str">
        <f t="shared" ca="1" si="110"/>
        <v/>
      </c>
      <c r="BE41" s="46" t="str">
        <f t="shared" ca="1" si="111"/>
        <v/>
      </c>
      <c r="BF41" s="68" t="str">
        <f t="shared" ca="1" si="140"/>
        <v/>
      </c>
      <c r="BG41" s="111" t="str">
        <f t="shared" ca="1" si="141"/>
        <v/>
      </c>
      <c r="BH41" s="68" t="str">
        <f t="shared" ca="1" si="122"/>
        <v/>
      </c>
      <c r="BI41" s="46" t="str">
        <f t="shared" ca="1" si="112"/>
        <v/>
      </c>
      <c r="BJ41" s="68" t="str">
        <f t="shared" ca="1" si="142"/>
        <v/>
      </c>
      <c r="BK41" s="111" t="str">
        <f t="shared" ca="1" si="143"/>
        <v/>
      </c>
      <c r="BL41" s="400" t="str">
        <f ca="1">IFERROR(INDEX(ICE[], MATCH("ulsdaradiff" &amp; TEXT(Crd!$A41, "mmmyy"), ICE[LongCode], 0), MATCH("ICE Theoretical Price", ICE[#Headers], 0)), "")</f>
        <v/>
      </c>
      <c r="BM41" s="372" t="str">
        <f ca="1">IFERROR(INDEX(ICE[], MATCH("ulsdaradiff" &amp; TEXT(Mid!$A41, "mmmyy"), ICE[LongCode], 0), MATCH("Text", ICE[#Headers], 0)), "")</f>
        <v xml:space="preserve"> /  </v>
      </c>
      <c r="BN41" s="46" t="str">
        <f t="shared" ca="1" si="113"/>
        <v/>
      </c>
      <c r="BO41" s="68" t="str">
        <f t="shared" ca="1" si="144"/>
        <v/>
      </c>
      <c r="BP41" s="114" t="str">
        <f t="shared" ca="1" si="145"/>
        <v/>
      </c>
      <c r="BQ41" s="68" t="str">
        <f ca="1">IFERROR(IF(AND(ISNUMBER(Futs!$CG41), ISNUMBER($BL41)), Futs!$CG41 + $BL41, ""), "")</f>
        <v/>
      </c>
      <c r="BR41" s="46" t="str">
        <f ca="1">IFERROR(IF(AND(ISNUMBER(Futs!$CH41), ISNUMBER($BN41)), Futs!$CH41 + $BN41, ""), "")</f>
        <v/>
      </c>
      <c r="BS41" s="68" t="str">
        <f t="shared" ca="1" si="146"/>
        <v/>
      </c>
      <c r="BT41" s="111" t="str">
        <f t="shared" ca="1" si="147"/>
        <v/>
      </c>
      <c r="BU41" s="400" t="str">
        <f ca="1">IFERROR(INDEX(ICE[], MATCH("ulsdccndiff" &amp; TEXT(Crd!$A41, "mmmyy"), ICE[LongCode], 0), MATCH("ICE Theoretical Price", ICE[#Headers], 0)), "")</f>
        <v/>
      </c>
      <c r="BV41" s="372" t="str">
        <f ca="1">IFERROR(INDEX(ICE[], MATCH("ulsdccndiff" &amp; TEXT(Mid!$A41, "mmmyy"), ICE[LongCode], 0), MATCH("Text", ICE[#Headers], 0)), "")</f>
        <v xml:space="preserve"> /  </v>
      </c>
      <c r="BW41" s="46" t="str">
        <f t="shared" ca="1" si="114"/>
        <v/>
      </c>
      <c r="BX41" s="68" t="str">
        <f t="shared" ca="1" si="148"/>
        <v/>
      </c>
      <c r="BY41" s="114" t="str">
        <f t="shared" ca="1" si="149"/>
        <v/>
      </c>
      <c r="BZ41" s="68" t="str">
        <f ca="1">IFERROR(IF(AND(ISNUMBER(Futs!$CG41), ISNUMBER($BU41)), Futs!$CG41 + $BU41, ""), "")</f>
        <v/>
      </c>
      <c r="CA41" s="46" t="str">
        <f ca="1">IFERROR(IF(AND(ISNUMBER(Futs!$CH41), ISNUMBER($BW41)), Futs!$CH41 + $BW41, ""), "")</f>
        <v/>
      </c>
      <c r="CB41" s="68" t="str">
        <f t="shared" ca="1" si="150"/>
        <v/>
      </c>
      <c r="CC41" s="111" t="str">
        <f t="shared" ca="1" si="151"/>
        <v/>
      </c>
      <c r="CD41" s="400" t="str">
        <f ca="1">IFERROR(INDEX(ICE[], MATCH("ulsdccmdiff" &amp; TEXT(Crd!$A41, "mmmyy"), ICE[LongCode], 0), MATCH("ICE Theoretical Price", ICE[#Headers], 0)), "")</f>
        <v/>
      </c>
      <c r="CE41" s="372" t="str">
        <f ca="1">IFERROR(INDEX(ICE[], MATCH("ulsdccmdiff" &amp; TEXT(Mid!$A41, "mmmyy"), ICE[LongCode], 0), MATCH("Text", ICE[#Headers], 0)), "")</f>
        <v xml:space="preserve"> /  </v>
      </c>
      <c r="CF41" s="46" t="str">
        <f t="shared" ca="1" si="115"/>
        <v/>
      </c>
      <c r="CG41" s="68" t="str">
        <f t="shared" ca="1" si="152"/>
        <v/>
      </c>
      <c r="CH41" s="114" t="str">
        <f t="shared" ca="1" si="153"/>
        <v/>
      </c>
      <c r="CI41" s="68" t="str">
        <f ca="1">IFERROR(IF(AND(ISNUMBER(Futs!$CG41), ISNUMBER($CD41)), Futs!$CG41 + $CD41, ""), "")</f>
        <v/>
      </c>
      <c r="CJ41" s="67" t="str">
        <f ca="1">IFERROR(IF(AND(ISNUMBER(Futs!$CH41), ISNUMBER($CF41)), Futs!$CH41 + $CF41, ""), "")</f>
        <v/>
      </c>
      <c r="CK41" s="68" t="str">
        <f t="shared" ca="1" si="154"/>
        <v/>
      </c>
      <c r="CL41" s="111" t="str">
        <f t="shared" ca="1" si="155"/>
        <v/>
      </c>
      <c r="CM41" s="400" t="str">
        <f ca="1">IFERROR(INDEX(ICE[], MATCH("go01bfrdiff" &amp; TEXT(Crd!$A41, "mmmyy"), ICE[LongCode], 0), MATCH("ICE Theoretical Price", ICE[#Headers], 0)), "")</f>
        <v/>
      </c>
      <c r="CN41" s="372" t="str">
        <f ca="1">IFERROR(INDEX(ICE[], MATCH("go01bfrdiff" &amp; TEXT(Mid!$A41, "mmmyy"), ICE[LongCode], 0), MATCH("Text", ICE[#Headers], 0)), "")</f>
        <v xml:space="preserve"> /  </v>
      </c>
      <c r="CO41" s="46" t="str">
        <f t="shared" ca="1" si="116"/>
        <v/>
      </c>
      <c r="CP41" s="68" t="str">
        <f t="shared" ca="1" si="156"/>
        <v/>
      </c>
      <c r="CQ41" s="114" t="str">
        <f t="shared" ca="1" si="157"/>
        <v/>
      </c>
      <c r="CR41" s="68" t="str">
        <f ca="1">IFERROR(IF(AND(ISNUMBER(Futs!$CG41), ISNUMBER($CM41)), Futs!$CG41 + $CM41, ""), "")</f>
        <v/>
      </c>
      <c r="CS41" s="46" t="str">
        <f ca="1">IFERROR(IF(AND(ISNUMBER(Futs!$CH41), ISNUMBER($CO41)), Futs!$CH41 + $CO41, ""), "")</f>
        <v/>
      </c>
      <c r="CT41" s="68" t="str">
        <f t="shared" ca="1" si="158"/>
        <v/>
      </c>
      <c r="CU41" s="111" t="str">
        <f t="shared" ca="1" si="159"/>
        <v/>
      </c>
      <c r="CV41" s="400" t="str">
        <f ca="1">IFERROR(INDEX(ICE[], MATCH("go01ccndiff" &amp; TEXT(Crd!$A41, "mmmyy"), ICE[LongCode], 0), MATCH("ICE Theoretical Price", ICE[#Headers], 0)), "")</f>
        <v/>
      </c>
      <c r="CW41" s="372" t="str">
        <f ca="1">IFERROR(INDEX(ICE[], MATCH("go01ccndiff" &amp; TEXT(Mid!$A41, "mmmyy"), ICE[LongCode], 0), MATCH("Text", ICE[#Headers], 0)), "")</f>
        <v xml:space="preserve"> /  </v>
      </c>
      <c r="CX41" s="46" t="str">
        <f t="shared" ca="1" si="117"/>
        <v/>
      </c>
      <c r="CY41" s="68" t="str">
        <f t="shared" ca="1" si="160"/>
        <v/>
      </c>
      <c r="CZ41" s="114" t="str">
        <f t="shared" ca="1" si="161"/>
        <v/>
      </c>
      <c r="DA41" s="68" t="str">
        <f ca="1">IFERROR(IF(AND(ISNUMBER(Futs!$CG41), ISNUMBER($CV41)), Futs!$CG41 + $CV41, ""), "")</f>
        <v/>
      </c>
      <c r="DB41" s="46" t="str">
        <f ca="1">IFERROR(IF(AND(ISNUMBER(Futs!$CH41), ISNUMBER($CX41)), Futs!$CH41 + $CX41, ""), "")</f>
        <v/>
      </c>
      <c r="DC41" s="68" t="str">
        <f t="shared" ca="1" si="162"/>
        <v/>
      </c>
      <c r="DD41" s="111" t="str">
        <f t="shared" ca="1" si="163"/>
        <v/>
      </c>
      <c r="DE41" s="400" t="str">
        <f ca="1">IFERROR(INDEX(ICE[], MATCH("go01ccmdiff" &amp; TEXT(Crd!$A41, "mmmyy"), ICE[LongCode], 0), MATCH("ICE Theoretical Price", ICE[#Headers], 0)), "")</f>
        <v/>
      </c>
      <c r="DF41" s="372" t="str">
        <f ca="1">IFERROR(INDEX(ICE[], MATCH("go01ccmdiff" &amp; TEXT(Mid!$A41, "mmmyy"), ICE[LongCode], 0), MATCH("Text", ICE[#Headers], 0)), "")</f>
        <v xml:space="preserve">0.00 /  </v>
      </c>
      <c r="DG41" s="46" t="str">
        <f t="shared" ca="1" si="118"/>
        <v/>
      </c>
      <c r="DH41" s="68" t="str">
        <f t="shared" ca="1" si="164"/>
        <v/>
      </c>
      <c r="DI41" s="114" t="str">
        <f t="shared" ca="1" si="165"/>
        <v/>
      </c>
      <c r="DJ41" s="68" t="str">
        <f ca="1">IFERROR(IF(AND(ISNUMBER(Futs!$CG41), ISNUMBER($DE41)), Futs!$CG41 + $DE41, ""), "")</f>
        <v/>
      </c>
      <c r="DK41" s="46" t="str">
        <f ca="1">IFERROR(IF(AND(ISNUMBER(Futs!$CH41), ISNUMBER($DG41)), Futs!$CH41 + $DG41, ""), "")</f>
        <v/>
      </c>
      <c r="DL41" s="68" t="str">
        <f t="shared" ca="1" si="166"/>
        <v/>
      </c>
      <c r="DM41" s="111" t="str">
        <f t="shared" ca="1" si="167"/>
        <v/>
      </c>
      <c r="DN41" s="400" t="str">
        <f ca="1">IFERROR(INDEX(ICE[], MATCH("ulsdgc" &amp; TEXT(Crd!$A41, "mmmyy"), ICE[LongCode], 0), MATCH("ICE Theoretical Price", ICE[#Headers], 0))*100, "")</f>
        <v/>
      </c>
      <c r="DO41" s="372" t="str">
        <f ca="1">IFERROR(INDEX(ICE[], MATCH("ulsdgc" &amp; TEXT(Mid!$A41, "mmmyy"), ICE[LongCode], 0), MATCH("Text", ICE[#Headers], 0)), "")</f>
        <v/>
      </c>
      <c r="DP41" s="46" t="str">
        <f t="shared" ca="1" si="119"/>
        <v/>
      </c>
      <c r="DQ41" s="68" t="str">
        <f t="shared" ca="1" si="168"/>
        <v/>
      </c>
      <c r="DR41" s="114" t="str">
        <f t="shared" ca="1" si="169"/>
        <v/>
      </c>
      <c r="DS41" s="68" t="str">
        <f ca="1">IFERROR(IF(AND(ISNUMBER(Futs!$CK41), ISNUMBER($DN41)), Futs!$CK41 + $DN41, ""), "")</f>
        <v/>
      </c>
      <c r="DT41" s="46" t="str">
        <f ca="1">IFERROR(IF(AND(ISNUMBER(Futs!$CL41), ISNUMBER($DP41)), Futs!$CL41 + $DP41, ""), "")</f>
        <v/>
      </c>
      <c r="DU41" s="68" t="str">
        <f t="shared" ca="1" si="170"/>
        <v/>
      </c>
      <c r="DV41" s="111" t="str">
        <f t="shared" ca="1" si="171"/>
        <v/>
      </c>
    </row>
    <row r="42" spans="1:126" x14ac:dyDescent="0.25">
      <c r="A42" s="58">
        <f t="shared" ca="1" si="123"/>
        <v>46966</v>
      </c>
      <c r="B42" s="6">
        <f t="shared" ca="1" si="102"/>
        <v>2028</v>
      </c>
      <c r="C42" s="6" t="str">
        <f t="shared" ca="1" si="120"/>
        <v>Q328</v>
      </c>
      <c r="D42" s="28">
        <f ca="1">INDEX(ICE[], MATCH(D$18 &amp; TEXT(Mid!$A42, "mmmyy"), ICE[LongCode], 0), MATCH("Settle", ICE[#Headers], 0))</f>
        <v>85</v>
      </c>
      <c r="E42" s="28">
        <f ca="1">INDEX(ICE[], MATCH(E$18 &amp; TEXT(Mid!$A42, "mmmyy"), ICE[LongCode], 0), MATCH("Settle", ICE[#Headers], 0))</f>
        <v>-37.241</v>
      </c>
      <c r="F42" s="28">
        <f ca="1">INDEX(ICE[], MATCH(F$18 &amp; TEXT(Mid!$A42, "mmmyy"), ICE[LongCode], 0), MATCH("Settle", ICE[#Headers], 0))</f>
        <v>2.97</v>
      </c>
      <c r="G42" s="28">
        <f ca="1">INDEX(ICE[], MATCH(G$18 &amp; TEXT(Mid!$A42, "mmmyy"), ICE[LongCode], 0), MATCH("Settle", ICE[#Headers], 0))</f>
        <v>3.5</v>
      </c>
      <c r="H42" s="28">
        <f ca="1">INDEX(ICE[], MATCH(H$18 &amp; TEXT(Mid!$A42, "mmmyy"), ICE[LongCode], 0), MATCH("Settle", ICE[#Headers], 0))</f>
        <v>14</v>
      </c>
      <c r="I42" s="28">
        <f ca="1">INDEX(ICE[], MATCH(I$18 &amp; TEXT(Mid!$A42, "mmmyy"), ICE[LongCode], 0), MATCH("Settle", ICE[#Headers], 0))</f>
        <v>11.5</v>
      </c>
      <c r="J42" s="28">
        <f ca="1">INDEX(ICE[], MATCH(J$18 &amp; TEXT(Mid!$A42, "mmmyy"), ICE[LongCode], 0), MATCH("Settle", ICE[#Headers], 0))</f>
        <v>-21.5</v>
      </c>
      <c r="K42" s="28">
        <f ca="1">INDEX(ICE[], MATCH(K$18 &amp; TEXT(Mid!$A42, "mmmyy"), ICE[LongCode], 0), MATCH("Settle", ICE[#Headers], 0))</f>
        <v>-3</v>
      </c>
      <c r="L42" s="28">
        <f ca="1">INDEX(ICE[], MATCH(L$18 &amp; TEXT(Mid!$A42, "mmmyy"), ICE[LongCode], 0), MATCH("Settle", ICE[#Headers], 0))</f>
        <v>1</v>
      </c>
      <c r="M42" s="28" t="e">
        <f ca="1">INDEX(ICE[], MATCH(M$18 &amp; TEXT(Mid!$A42, "mmmyy"), ICE[LongCode], 0), MATCH("Settle", ICE[#Headers], 0))</f>
        <v>#N/A</v>
      </c>
      <c r="N42" s="28" t="e">
        <f ca="1">INDEX(ICE[], MATCH(N$18 &amp; TEXT(Mid!$A42, "mmmyy"), ICE[LongCode], 0), MATCH("Settle", ICE[#Headers], 0))*100</f>
        <v>#N/A</v>
      </c>
      <c r="O42" s="397" t="str">
        <f ca="1">IFERROR(INDEX(ICE[], MATCH("jetccndiff" &amp; TEXT(Crd!$A42, "mmmyy"), ICE[LongCode], 0), MATCH("ICE Theoretical Price", ICE[#Headers], 0)), "")</f>
        <v/>
      </c>
      <c r="P42" s="372" t="str">
        <f ca="1">IFERROR(INDEX(ICE[], MATCH("jetccndiff" &amp; TEXT(Mid!$A42, "mmmyy"), ICE[LongCode], 0), MATCH("Text", ICE[#Headers], 0)), "")</f>
        <v xml:space="preserve"> /  </v>
      </c>
      <c r="Q42" s="46" t="str">
        <f t="shared" ca="1" si="103"/>
        <v/>
      </c>
      <c r="R42" s="47" t="str">
        <f t="shared" ca="1" si="121"/>
        <v/>
      </c>
      <c r="S42" s="114" t="str">
        <f t="shared" ca="1" si="124"/>
        <v/>
      </c>
      <c r="T42" s="49" t="str">
        <f ca="1">IFERROR(IF(AND(ISNUMBER(Futs!$CG42), ISNUMBER($O42)), Futs!$CG42 + $O42, ""), "")</f>
        <v/>
      </c>
      <c r="U42" s="46" t="str">
        <f ca="1">IFERROR(IF(AND(ISNUMBER(Futs!$CH42), ISNUMBER($Q42)), Futs!$CH42 + $Q42, ""), "")</f>
        <v/>
      </c>
      <c r="V42" s="47" t="str">
        <f t="shared" ca="1" si="125"/>
        <v/>
      </c>
      <c r="W42" s="46" t="str">
        <f t="shared" ca="1" si="126"/>
        <v/>
      </c>
      <c r="X42" s="427" t="str">
        <f ca="1">IFERROR(IF(AND(ISNUMBER(Futs!$CC42), ISNUMBER($T42)), $T42/7.88 - Futs!$CC42, ""), "")</f>
        <v/>
      </c>
      <c r="Y42" s="46" t="str">
        <f ca="1">IFERROR(IF(AND(ISNUMBER(Futs!$DV42), ISNUMBER($Q42)), Futs!$DV42 + $Q42/7.88, ""), "")</f>
        <v/>
      </c>
      <c r="Z42" s="47" t="str">
        <f t="shared" ca="1" si="127"/>
        <v/>
      </c>
      <c r="AA42" s="111" t="str">
        <f t="shared" ca="1" si="128"/>
        <v/>
      </c>
      <c r="AB42" s="400" t="str">
        <f ca="1">IFERROR(INDEX(ICE[], MATCH("goew" &amp; TEXT(Crd!$A42, "mmmyy"), ICE[LongCode], 0), MATCH("ICE Theoretical Price", ICE[#Headers], 0)), "")</f>
        <v/>
      </c>
      <c r="AC42" s="372" t="str">
        <f ca="1">IFERROR(INDEX(ICE[], MATCH("goew" &amp; TEXT(Mid!$A42, "mmmyy"), ICE[LongCode], 0), MATCH("Text", ICE[#Headers], 0)), "")</f>
        <v xml:space="preserve"> /  </v>
      </c>
      <c r="AD42" s="46" t="str">
        <f t="shared" ca="1" si="104"/>
        <v/>
      </c>
      <c r="AE42" s="68" t="str">
        <f t="shared" ca="1" si="129"/>
        <v/>
      </c>
      <c r="AF42" s="46" t="str">
        <f t="shared" ca="1" si="130"/>
        <v/>
      </c>
      <c r="AG42" s="265" t="str">
        <f ca="1">IFERROR(IF(AND(ISNUMBER(Futs!$BM42), ISNUMBER($AH42)), $AH42*7.45 - Futs!$BM42, ""), "")</f>
        <v/>
      </c>
      <c r="AH42" s="187" t="str">
        <f ca="1">IFERROR(IF(AND(ISNUMBER(Futs!$CG42), ISNUMBER($AB42)), (Futs!$CG42 + $AB42)/7.45, ""), "")</f>
        <v/>
      </c>
      <c r="AI42" s="46" t="str">
        <f ca="1">IFERROR(IF(AND(ISNUMBER(Futs!$CH42), ISNUMBER($AD42)), (Futs!$CH42 + $AD42)/7.45, ""), "")</f>
        <v/>
      </c>
      <c r="AJ42" s="68" t="str">
        <f t="shared" ca="1" si="131"/>
        <v/>
      </c>
      <c r="AK42" s="364" t="str">
        <f ca="1">IFERROR(INDEX(ICE[], MATCH("gosing" &amp; TEXT(Crd!$A41, "mmmyy") &amp; "/" &amp; TEXT(Crd!$A42, "mmmyy"), ICE[LongCode], 0), MATCH("Text", ICE[#Headers], 0)), "")</f>
        <v/>
      </c>
      <c r="AL42" s="46" t="str">
        <f t="shared" ca="1" si="132"/>
        <v/>
      </c>
      <c r="AM42" s="427" t="str">
        <f ca="1">IFERROR(IF(AND(ISNUMBER(Futs!$CC42), ISNUMBER($AH42)), $AH42 - Futs!$CC42, ""), "")</f>
        <v/>
      </c>
      <c r="AN42" s="46" t="str">
        <f ca="1">IFERROR(IF(AND(ISNUMBER(Futs!$DV42), ISNUMBER($AD42)), $AD42/7.45 + Futs!$DV42, ""), "")</f>
        <v/>
      </c>
      <c r="AO42" s="47" t="str">
        <f t="shared" ca="1" si="133"/>
        <v/>
      </c>
      <c r="AP42" s="111" t="str">
        <f t="shared" ca="1" si="134"/>
        <v/>
      </c>
      <c r="AQ42" s="400"/>
      <c r="AR42" s="46" t="str">
        <f t="shared" ca="1" si="106"/>
        <v/>
      </c>
      <c r="AS42" s="68" t="str">
        <f t="shared" si="135"/>
        <v/>
      </c>
      <c r="AT42" s="46" t="str">
        <f t="shared" ca="1" si="136"/>
        <v/>
      </c>
      <c r="AU42" s="271" t="str">
        <f t="shared" ca="1" si="107"/>
        <v/>
      </c>
      <c r="AV42" s="46" t="str">
        <f t="shared" ca="1" si="108"/>
        <v/>
      </c>
      <c r="AW42" s="68" t="str">
        <f t="shared" ca="1" si="137"/>
        <v/>
      </c>
      <c r="AX42" s="111" t="str">
        <f t="shared" ca="1" si="138"/>
        <v/>
      </c>
      <c r="AY42" s="400" t="str">
        <f ca="1">IFERROR(INDEX(ICE[], MATCH("regrade" &amp; TEXT(Crd!$A42, "mmmyy"), ICE[LongCode], 0), MATCH("ICE Theoretical Price", ICE[#Headers], 0)), "")</f>
        <v/>
      </c>
      <c r="AZ42" s="372" t="str">
        <f ca="1">IFERROR(INDEX(ICE[], MATCH("regrade" &amp; TEXT(Mid!$A42, "mmmyy"), ICE[LongCode], 0), MATCH("Text", ICE[#Headers], 0)), "")</f>
        <v xml:space="preserve"> /  </v>
      </c>
      <c r="BA42" s="46" t="str">
        <f t="shared" ca="1" si="109"/>
        <v/>
      </c>
      <c r="BB42" s="68" t="str">
        <f t="shared" ca="1" si="172"/>
        <v/>
      </c>
      <c r="BC42" s="114" t="str">
        <f t="shared" ca="1" si="139"/>
        <v/>
      </c>
      <c r="BD42" s="68" t="str">
        <f t="shared" ca="1" si="110"/>
        <v/>
      </c>
      <c r="BE42" s="46" t="str">
        <f t="shared" ca="1" si="111"/>
        <v/>
      </c>
      <c r="BF42" s="68" t="str">
        <f t="shared" ca="1" si="140"/>
        <v/>
      </c>
      <c r="BG42" s="111" t="str">
        <f t="shared" ca="1" si="141"/>
        <v/>
      </c>
      <c r="BH42" s="68" t="str">
        <f t="shared" ca="1" si="122"/>
        <v/>
      </c>
      <c r="BI42" s="46" t="str">
        <f t="shared" ca="1" si="112"/>
        <v/>
      </c>
      <c r="BJ42" s="68" t="str">
        <f t="shared" ca="1" si="142"/>
        <v/>
      </c>
      <c r="BK42" s="111" t="str">
        <f t="shared" ca="1" si="143"/>
        <v/>
      </c>
      <c r="BL42" s="400" t="str">
        <f ca="1">IFERROR(INDEX(ICE[], MATCH("ulsdaradiff" &amp; TEXT(Crd!$A42, "mmmyy"), ICE[LongCode], 0), MATCH("ICE Theoretical Price", ICE[#Headers], 0)), "")</f>
        <v/>
      </c>
      <c r="BM42" s="372" t="str">
        <f ca="1">IFERROR(INDEX(ICE[], MATCH("ulsdaradiff" &amp; TEXT(Mid!$A42, "mmmyy"), ICE[LongCode], 0), MATCH("Text", ICE[#Headers], 0)), "")</f>
        <v xml:space="preserve"> /  </v>
      </c>
      <c r="BN42" s="46" t="str">
        <f t="shared" ca="1" si="113"/>
        <v/>
      </c>
      <c r="BO42" s="68" t="str">
        <f t="shared" ca="1" si="144"/>
        <v/>
      </c>
      <c r="BP42" s="114" t="str">
        <f t="shared" ca="1" si="145"/>
        <v/>
      </c>
      <c r="BQ42" s="68" t="str">
        <f ca="1">IFERROR(IF(AND(ISNUMBER(Futs!$CG42), ISNUMBER($BL42)), Futs!$CG42 + $BL42, ""), "")</f>
        <v/>
      </c>
      <c r="BR42" s="46" t="str">
        <f ca="1">IFERROR(IF(AND(ISNUMBER(Futs!$CH42), ISNUMBER($BN42)), Futs!$CH42 + $BN42, ""), "")</f>
        <v/>
      </c>
      <c r="BS42" s="68" t="str">
        <f t="shared" ca="1" si="146"/>
        <v/>
      </c>
      <c r="BT42" s="111" t="str">
        <f t="shared" ca="1" si="147"/>
        <v/>
      </c>
      <c r="BU42" s="400" t="str">
        <f ca="1">IFERROR(INDEX(ICE[], MATCH("ulsdccndiff" &amp; TEXT(Crd!$A42, "mmmyy"), ICE[LongCode], 0), MATCH("ICE Theoretical Price", ICE[#Headers], 0)), "")</f>
        <v/>
      </c>
      <c r="BV42" s="372" t="str">
        <f ca="1">IFERROR(INDEX(ICE[], MATCH("ulsdccndiff" &amp; TEXT(Mid!$A42, "mmmyy"), ICE[LongCode], 0), MATCH("Text", ICE[#Headers], 0)), "")</f>
        <v xml:space="preserve"> /  </v>
      </c>
      <c r="BW42" s="46" t="str">
        <f t="shared" ca="1" si="114"/>
        <v/>
      </c>
      <c r="BX42" s="68" t="str">
        <f t="shared" ca="1" si="148"/>
        <v/>
      </c>
      <c r="BY42" s="114" t="str">
        <f t="shared" ca="1" si="149"/>
        <v/>
      </c>
      <c r="BZ42" s="68" t="str">
        <f ca="1">IFERROR(IF(AND(ISNUMBER(Futs!$CG42), ISNUMBER($BU42)), Futs!$CG42 + $BU42, ""), "")</f>
        <v/>
      </c>
      <c r="CA42" s="46" t="str">
        <f ca="1">IFERROR(IF(AND(ISNUMBER(Futs!$CH42), ISNUMBER($BW42)), Futs!$CH42 + $BW42, ""), "")</f>
        <v/>
      </c>
      <c r="CB42" s="68" t="str">
        <f t="shared" ca="1" si="150"/>
        <v/>
      </c>
      <c r="CC42" s="111" t="str">
        <f t="shared" ca="1" si="151"/>
        <v/>
      </c>
      <c r="CD42" s="400" t="str">
        <f ca="1">IFERROR(INDEX(ICE[], MATCH("ulsdccmdiff" &amp; TEXT(Crd!$A42, "mmmyy"), ICE[LongCode], 0), MATCH("ICE Theoretical Price", ICE[#Headers], 0)), "")</f>
        <v/>
      </c>
      <c r="CE42" s="372" t="str">
        <f ca="1">IFERROR(INDEX(ICE[], MATCH("ulsdccmdiff" &amp; TEXT(Mid!$A42, "mmmyy"), ICE[LongCode], 0), MATCH("Text", ICE[#Headers], 0)), "")</f>
        <v xml:space="preserve"> /  </v>
      </c>
      <c r="CF42" s="46" t="str">
        <f t="shared" ca="1" si="115"/>
        <v/>
      </c>
      <c r="CG42" s="68" t="str">
        <f t="shared" ca="1" si="152"/>
        <v/>
      </c>
      <c r="CH42" s="114" t="str">
        <f t="shared" ca="1" si="153"/>
        <v/>
      </c>
      <c r="CI42" s="68" t="str">
        <f ca="1">IFERROR(IF(AND(ISNUMBER(Futs!$CG42), ISNUMBER($CD42)), Futs!$CG42 + $CD42, ""), "")</f>
        <v/>
      </c>
      <c r="CJ42" s="67" t="str">
        <f ca="1">IFERROR(IF(AND(ISNUMBER(Futs!$CH42), ISNUMBER($CF42)), Futs!$CH42 + $CF42, ""), "")</f>
        <v/>
      </c>
      <c r="CK42" s="68" t="str">
        <f t="shared" ca="1" si="154"/>
        <v/>
      </c>
      <c r="CL42" s="111" t="str">
        <f t="shared" ca="1" si="155"/>
        <v/>
      </c>
      <c r="CM42" s="400" t="str">
        <f ca="1">IFERROR(INDEX(ICE[], MATCH("go01bfrdiff" &amp; TEXT(Crd!$A42, "mmmyy"), ICE[LongCode], 0), MATCH("ICE Theoretical Price", ICE[#Headers], 0)), "")</f>
        <v/>
      </c>
      <c r="CN42" s="372" t="str">
        <f ca="1">IFERROR(INDEX(ICE[], MATCH("go01bfrdiff" &amp; TEXT(Mid!$A42, "mmmyy"), ICE[LongCode], 0), MATCH("Text", ICE[#Headers], 0)), "")</f>
        <v xml:space="preserve"> /  </v>
      </c>
      <c r="CO42" s="46" t="str">
        <f t="shared" ca="1" si="116"/>
        <v/>
      </c>
      <c r="CP42" s="68" t="str">
        <f t="shared" ca="1" si="156"/>
        <v/>
      </c>
      <c r="CQ42" s="114" t="str">
        <f t="shared" ca="1" si="157"/>
        <v/>
      </c>
      <c r="CR42" s="68" t="str">
        <f ca="1">IFERROR(IF(AND(ISNUMBER(Futs!$CG42), ISNUMBER($CM42)), Futs!$CG42 + $CM42, ""), "")</f>
        <v/>
      </c>
      <c r="CS42" s="46" t="str">
        <f ca="1">IFERROR(IF(AND(ISNUMBER(Futs!$CH42), ISNUMBER($CO42)), Futs!$CH42 + $CO42, ""), "")</f>
        <v/>
      </c>
      <c r="CT42" s="68" t="str">
        <f t="shared" ca="1" si="158"/>
        <v/>
      </c>
      <c r="CU42" s="111" t="str">
        <f t="shared" ca="1" si="159"/>
        <v/>
      </c>
      <c r="CV42" s="400" t="str">
        <f ca="1">IFERROR(INDEX(ICE[], MATCH("go01ccndiff" &amp; TEXT(Crd!$A42, "mmmyy"), ICE[LongCode], 0), MATCH("ICE Theoretical Price", ICE[#Headers], 0)), "")</f>
        <v/>
      </c>
      <c r="CW42" s="372" t="str">
        <f ca="1">IFERROR(INDEX(ICE[], MATCH("go01ccndiff" &amp; TEXT(Mid!$A42, "mmmyy"), ICE[LongCode], 0), MATCH("Text", ICE[#Headers], 0)), "")</f>
        <v xml:space="preserve"> /  </v>
      </c>
      <c r="CX42" s="46" t="str">
        <f t="shared" ca="1" si="117"/>
        <v/>
      </c>
      <c r="CY42" s="68" t="str">
        <f t="shared" ca="1" si="160"/>
        <v/>
      </c>
      <c r="CZ42" s="114" t="str">
        <f t="shared" ca="1" si="161"/>
        <v/>
      </c>
      <c r="DA42" s="68" t="str">
        <f ca="1">IFERROR(IF(AND(ISNUMBER(Futs!$CG42), ISNUMBER($CV42)), Futs!$CG42 + $CV42, ""), "")</f>
        <v/>
      </c>
      <c r="DB42" s="46" t="str">
        <f ca="1">IFERROR(IF(AND(ISNUMBER(Futs!$CH42), ISNUMBER($CX42)), Futs!$CH42 + $CX42, ""), "")</f>
        <v/>
      </c>
      <c r="DC42" s="68" t="str">
        <f t="shared" ca="1" si="162"/>
        <v/>
      </c>
      <c r="DD42" s="111" t="str">
        <f t="shared" ca="1" si="163"/>
        <v/>
      </c>
      <c r="DE42" s="400" t="str">
        <f ca="1">IFERROR(INDEX(ICE[], MATCH("go01ccmdiff" &amp; TEXT(Crd!$A42, "mmmyy"), ICE[LongCode], 0), MATCH("ICE Theoretical Price", ICE[#Headers], 0)), "")</f>
        <v/>
      </c>
      <c r="DF42" s="372" t="str">
        <f ca="1">IFERROR(INDEX(ICE[], MATCH("go01ccmdiff" &amp; TEXT(Mid!$A42, "mmmyy"), ICE[LongCode], 0), MATCH("Text", ICE[#Headers], 0)), "")</f>
        <v xml:space="preserve"> /  </v>
      </c>
      <c r="DG42" s="46" t="str">
        <f t="shared" ca="1" si="118"/>
        <v/>
      </c>
      <c r="DH42" s="68" t="str">
        <f t="shared" ca="1" si="164"/>
        <v/>
      </c>
      <c r="DI42" s="114" t="str">
        <f t="shared" ca="1" si="165"/>
        <v/>
      </c>
      <c r="DJ42" s="68" t="str">
        <f ca="1">IFERROR(IF(AND(ISNUMBER(Futs!$CG42), ISNUMBER($DE42)), Futs!$CG42 + $DE42, ""), "")</f>
        <v/>
      </c>
      <c r="DK42" s="46" t="str">
        <f ca="1">IFERROR(IF(AND(ISNUMBER(Futs!$CH42), ISNUMBER($DG42)), Futs!$CH42 + $DG42, ""), "")</f>
        <v/>
      </c>
      <c r="DL42" s="68" t="str">
        <f t="shared" ca="1" si="166"/>
        <v/>
      </c>
      <c r="DM42" s="111" t="str">
        <f t="shared" ca="1" si="167"/>
        <v/>
      </c>
      <c r="DN42" s="400" t="str">
        <f ca="1">IFERROR(INDEX(ICE[], MATCH("ulsdgc" &amp; TEXT(Crd!$A42, "mmmyy"), ICE[LongCode], 0), MATCH("ICE Theoretical Price", ICE[#Headers], 0))*100, "")</f>
        <v/>
      </c>
      <c r="DO42" s="372" t="str">
        <f ca="1">IFERROR(INDEX(ICE[], MATCH("ulsdgc" &amp; TEXT(Mid!$A42, "mmmyy"), ICE[LongCode], 0), MATCH("Text", ICE[#Headers], 0)), "")</f>
        <v/>
      </c>
      <c r="DP42" s="46" t="str">
        <f t="shared" ca="1" si="119"/>
        <v/>
      </c>
      <c r="DQ42" s="68" t="str">
        <f t="shared" ca="1" si="168"/>
        <v/>
      </c>
      <c r="DR42" s="114" t="str">
        <f t="shared" ca="1" si="169"/>
        <v/>
      </c>
      <c r="DS42" s="68" t="str">
        <f ca="1">IFERROR(IF(AND(ISNUMBER(Futs!$CK42), ISNUMBER($DN42)), Futs!$CK42 + $DN42, ""), "")</f>
        <v/>
      </c>
      <c r="DT42" s="46" t="str">
        <f ca="1">IFERROR(IF(AND(ISNUMBER(Futs!$CL42), ISNUMBER($DP42)), Futs!$CL42 + $DP42, ""), "")</f>
        <v/>
      </c>
      <c r="DU42" s="68" t="str">
        <f t="shared" ca="1" si="170"/>
        <v/>
      </c>
      <c r="DV42" s="111" t="str">
        <f t="shared" ca="1" si="171"/>
        <v/>
      </c>
    </row>
    <row r="43" spans="1:126" x14ac:dyDescent="0.25">
      <c r="A43" s="58">
        <f t="shared" ca="1" si="123"/>
        <v>46997</v>
      </c>
      <c r="B43" s="6">
        <f t="shared" ca="1" si="102"/>
        <v>2028</v>
      </c>
      <c r="C43" s="6" t="str">
        <f t="shared" ca="1" si="120"/>
        <v>Q328</v>
      </c>
      <c r="D43" s="28">
        <f ca="1">INDEX(ICE[], MATCH(D$18 &amp; TEXT(Mid!$A43, "mmmyy"), ICE[LongCode], 0), MATCH("Settle", ICE[#Headers], 0))</f>
        <v>85</v>
      </c>
      <c r="E43" s="28">
        <f ca="1">INDEX(ICE[], MATCH(E$18 &amp; TEXT(Mid!$A43, "mmmyy"), ICE[LongCode], 0), MATCH("Settle", ICE[#Headers], 0))</f>
        <v>-38.563000000000002</v>
      </c>
      <c r="F43" s="28">
        <f ca="1">INDEX(ICE[], MATCH(F$18 &amp; TEXT(Mid!$A43, "mmmyy"), ICE[LongCode], 0), MATCH("Settle", ICE[#Headers], 0))</f>
        <v>2.99</v>
      </c>
      <c r="G43" s="28">
        <f ca="1">INDEX(ICE[], MATCH(G$18 &amp; TEXT(Mid!$A43, "mmmyy"), ICE[LongCode], 0), MATCH("Settle", ICE[#Headers], 0))</f>
        <v>3.5</v>
      </c>
      <c r="H43" s="28">
        <f ca="1">INDEX(ICE[], MATCH(H$18 &amp; TEXT(Mid!$A43, "mmmyy"), ICE[LongCode], 0), MATCH("Settle", ICE[#Headers], 0))</f>
        <v>14</v>
      </c>
      <c r="I43" s="28">
        <f ca="1">INDEX(ICE[], MATCH(I$18 &amp; TEXT(Mid!$A43, "mmmyy"), ICE[LongCode], 0), MATCH("Settle", ICE[#Headers], 0))</f>
        <v>11.5</v>
      </c>
      <c r="J43" s="28">
        <f ca="1">INDEX(ICE[], MATCH(J$18 &amp; TEXT(Mid!$A43, "mmmyy"), ICE[LongCode], 0), MATCH("Settle", ICE[#Headers], 0))</f>
        <v>-21.5</v>
      </c>
      <c r="K43" s="28">
        <f ca="1">INDEX(ICE[], MATCH(K$18 &amp; TEXT(Mid!$A43, "mmmyy"), ICE[LongCode], 0), MATCH("Settle", ICE[#Headers], 0))</f>
        <v>-3</v>
      </c>
      <c r="L43" s="28">
        <f ca="1">INDEX(ICE[], MATCH(L$18 &amp; TEXT(Mid!$A43, "mmmyy"), ICE[LongCode], 0), MATCH("Settle", ICE[#Headers], 0))</f>
        <v>1</v>
      </c>
      <c r="M43" s="28" t="e">
        <f ca="1">INDEX(ICE[], MATCH(M$18 &amp; TEXT(Mid!$A43, "mmmyy"), ICE[LongCode], 0), MATCH("Settle", ICE[#Headers], 0))</f>
        <v>#N/A</v>
      </c>
      <c r="N43" s="28" t="e">
        <f ca="1">INDEX(ICE[], MATCH(N$18 &amp; TEXT(Mid!$A43, "mmmyy"), ICE[LongCode], 0), MATCH("Settle", ICE[#Headers], 0))*100</f>
        <v>#N/A</v>
      </c>
      <c r="O43" s="397"/>
      <c r="P43" s="372" t="str">
        <f ca="1">IFERROR(INDEX(ICE[], MATCH("jetccndiff" &amp; TEXT(Mid!$A43, "mmmyy"), ICE[LongCode], 0), MATCH("Text", ICE[#Headers], 0)), "")</f>
        <v xml:space="preserve"> /  </v>
      </c>
      <c r="Q43" s="46" t="str">
        <f t="shared" ca="1" si="103"/>
        <v/>
      </c>
      <c r="R43" s="47" t="str">
        <f t="shared" ca="1" si="121"/>
        <v/>
      </c>
      <c r="S43" s="114" t="str">
        <f t="shared" ca="1" si="124"/>
        <v/>
      </c>
      <c r="T43" s="49" t="str">
        <f ca="1">IFERROR(IF(AND(ISNUMBER(Futs!$CG43), ISNUMBER($O43)), Futs!$CG43 + $O43, ""), "")</f>
        <v/>
      </c>
      <c r="U43" s="46" t="str">
        <f ca="1">IFERROR(IF(AND(ISNUMBER(Futs!$CH43), ISNUMBER($Q43)), Futs!$CH43 + $Q43, ""), "")</f>
        <v/>
      </c>
      <c r="V43" s="47" t="str">
        <f t="shared" ca="1" si="125"/>
        <v/>
      </c>
      <c r="W43" s="46" t="str">
        <f t="shared" ca="1" si="126"/>
        <v/>
      </c>
      <c r="X43" s="427" t="str">
        <f ca="1">IFERROR(IF(AND(ISNUMBER(Futs!$CC43), ISNUMBER($T43)), $T43/7.88 - Futs!$CC43, ""), "")</f>
        <v/>
      </c>
      <c r="Y43" s="46" t="str">
        <f ca="1">IFERROR(IF(AND(ISNUMBER(Futs!$DV43), ISNUMBER($Q43)), Futs!$DV43 + $Q43/7.88, ""), "")</f>
        <v/>
      </c>
      <c r="Z43" s="47" t="str">
        <f t="shared" ca="1" si="127"/>
        <v/>
      </c>
      <c r="AA43" s="111" t="str">
        <f t="shared" ca="1" si="128"/>
        <v/>
      </c>
      <c r="AB43" s="400" t="str">
        <f ca="1">IFERROR(INDEX(ICE[], MATCH("goew" &amp; TEXT(Crd!$A43, "mmmyy"), ICE[LongCode], 0), MATCH("ICE Theoretical Price", ICE[#Headers], 0)), "")</f>
        <v/>
      </c>
      <c r="AC43" s="372" t="str">
        <f ca="1">IFERROR(INDEX(ICE[], MATCH("goew" &amp; TEXT(Mid!$A43, "mmmyy"), ICE[LongCode], 0), MATCH("Text", ICE[#Headers], 0)), "")</f>
        <v xml:space="preserve"> /  </v>
      </c>
      <c r="AD43" s="46" t="str">
        <f t="shared" ca="1" si="104"/>
        <v/>
      </c>
      <c r="AE43" s="68" t="str">
        <f t="shared" ca="1" si="129"/>
        <v/>
      </c>
      <c r="AF43" s="46" t="str">
        <f t="shared" ca="1" si="130"/>
        <v/>
      </c>
      <c r="AG43" s="265" t="str">
        <f ca="1">IFERROR(IF(AND(ISNUMBER(Futs!$BM43), ISNUMBER($AH43)), $AH43*7.45 - Futs!$BM43, ""), "")</f>
        <v/>
      </c>
      <c r="AH43" s="187" t="str">
        <f ca="1">IFERROR(IF(AND(ISNUMBER(Futs!$CG43), ISNUMBER($AB43)), (Futs!$CG43 + $AB43)/7.45, ""), "")</f>
        <v/>
      </c>
      <c r="AI43" s="46" t="str">
        <f ca="1">IFERROR(IF(AND(ISNUMBER(Futs!$CH43), ISNUMBER($AD43)), (Futs!$CH43 + $AD43)/7.45, ""), "")</f>
        <v/>
      </c>
      <c r="AJ43" s="68" t="str">
        <f t="shared" ca="1" si="131"/>
        <v/>
      </c>
      <c r="AK43" s="364" t="str">
        <f ca="1">IFERROR(INDEX(ICE[], MATCH("gosing" &amp; TEXT(Crd!$A42, "mmmyy") &amp; "/" &amp; TEXT(Crd!$A43, "mmmyy"), ICE[LongCode], 0), MATCH("Text", ICE[#Headers], 0)), "")</f>
        <v/>
      </c>
      <c r="AL43" s="46" t="str">
        <f t="shared" ca="1" si="132"/>
        <v/>
      </c>
      <c r="AM43" s="427" t="str">
        <f ca="1">IFERROR(IF(AND(ISNUMBER(Futs!$CC43), ISNUMBER($AH43)), $AH43 - Futs!$CC43, ""), "")</f>
        <v/>
      </c>
      <c r="AN43" s="46" t="str">
        <f ca="1">IFERROR(IF(AND(ISNUMBER(Futs!$DV43), ISNUMBER($AD43)), $AD43/7.45 + Futs!$DV43, ""), "")</f>
        <v/>
      </c>
      <c r="AO43" s="47" t="str">
        <f t="shared" ca="1" si="133"/>
        <v/>
      </c>
      <c r="AP43" s="111" t="str">
        <f t="shared" ca="1" si="134"/>
        <v/>
      </c>
      <c r="AQ43" s="400"/>
      <c r="AR43" s="46" t="str">
        <f t="shared" ca="1" si="106"/>
        <v/>
      </c>
      <c r="AS43" s="68" t="str">
        <f t="shared" si="135"/>
        <v/>
      </c>
      <c r="AT43" s="46" t="str">
        <f t="shared" ca="1" si="136"/>
        <v/>
      </c>
      <c r="AU43" s="271" t="str">
        <f t="shared" ca="1" si="107"/>
        <v/>
      </c>
      <c r="AV43" s="46" t="str">
        <f t="shared" ca="1" si="108"/>
        <v/>
      </c>
      <c r="AW43" s="68" t="str">
        <f t="shared" ca="1" si="137"/>
        <v/>
      </c>
      <c r="AX43" s="111" t="str">
        <f t="shared" ca="1" si="138"/>
        <v/>
      </c>
      <c r="AY43" s="400"/>
      <c r="AZ43" s="372" t="str">
        <f ca="1">IFERROR(INDEX(ICE[], MATCH("regrade" &amp; TEXT(Mid!$A43, "mmmyy"), ICE[LongCode], 0), MATCH("Text", ICE[#Headers], 0)), "")</f>
        <v xml:space="preserve"> /  </v>
      </c>
      <c r="BA43" s="46" t="str">
        <f t="shared" ca="1" si="109"/>
        <v/>
      </c>
      <c r="BB43" s="68" t="str">
        <f t="shared" ca="1" si="172"/>
        <v/>
      </c>
      <c r="BC43" s="114" t="str">
        <f t="shared" ca="1" si="139"/>
        <v/>
      </c>
      <c r="BD43" s="68" t="str">
        <f t="shared" ca="1" si="110"/>
        <v/>
      </c>
      <c r="BE43" s="46" t="str">
        <f t="shared" ca="1" si="111"/>
        <v/>
      </c>
      <c r="BF43" s="68" t="str">
        <f t="shared" ca="1" si="140"/>
        <v/>
      </c>
      <c r="BG43" s="111" t="str">
        <f t="shared" ca="1" si="141"/>
        <v/>
      </c>
      <c r="BH43" s="68" t="str">
        <f t="shared" ca="1" si="122"/>
        <v/>
      </c>
      <c r="BI43" s="46" t="str">
        <f t="shared" ca="1" si="112"/>
        <v/>
      </c>
      <c r="BJ43" s="68" t="str">
        <f t="shared" ca="1" si="142"/>
        <v/>
      </c>
      <c r="BK43" s="111" t="str">
        <f t="shared" ca="1" si="143"/>
        <v/>
      </c>
      <c r="BL43" s="400"/>
      <c r="BM43" s="372" t="str">
        <f ca="1">IFERROR(INDEX(ICE[], MATCH("ulsdaradiff" &amp; TEXT(Mid!$A43, "mmmyy"), ICE[LongCode], 0), MATCH("Text", ICE[#Headers], 0)), "")</f>
        <v xml:space="preserve"> /  </v>
      </c>
      <c r="BN43" s="46" t="str">
        <f t="shared" ca="1" si="113"/>
        <v/>
      </c>
      <c r="BO43" s="68" t="str">
        <f t="shared" ca="1" si="144"/>
        <v/>
      </c>
      <c r="BP43" s="114" t="str">
        <f t="shared" ca="1" si="145"/>
        <v/>
      </c>
      <c r="BQ43" s="68" t="str">
        <f ca="1">IFERROR(IF(AND(ISNUMBER(Futs!$CG43), ISNUMBER($BL43)), Futs!$CG43 + $BL43, ""), "")</f>
        <v/>
      </c>
      <c r="BR43" s="46" t="str">
        <f ca="1">IFERROR(IF(AND(ISNUMBER(Futs!$CH43), ISNUMBER($BN43)), Futs!$CH43 + $BN43, ""), "")</f>
        <v/>
      </c>
      <c r="BS43" s="68" t="str">
        <f t="shared" ca="1" si="146"/>
        <v/>
      </c>
      <c r="BT43" s="111" t="str">
        <f t="shared" ca="1" si="147"/>
        <v/>
      </c>
      <c r="BU43" s="400"/>
      <c r="BV43" s="372" t="str">
        <f ca="1">IFERROR(INDEX(ICE[], MATCH("ulsdccndiff" &amp; TEXT(Mid!$A43, "mmmyy"), ICE[LongCode], 0), MATCH("Text", ICE[#Headers], 0)), "")</f>
        <v xml:space="preserve"> /  </v>
      </c>
      <c r="BW43" s="46" t="str">
        <f t="shared" ca="1" si="114"/>
        <v/>
      </c>
      <c r="BX43" s="68" t="str">
        <f t="shared" ca="1" si="148"/>
        <v/>
      </c>
      <c r="BY43" s="114" t="str">
        <f t="shared" ca="1" si="149"/>
        <v/>
      </c>
      <c r="BZ43" s="68" t="str">
        <f ca="1">IFERROR(IF(AND(ISNUMBER(Futs!$CG43), ISNUMBER($BU43)), Futs!$CG43 + $BU43, ""), "")</f>
        <v/>
      </c>
      <c r="CA43" s="46" t="str">
        <f ca="1">IFERROR(IF(AND(ISNUMBER(Futs!$CH43), ISNUMBER($BW43)), Futs!$CH43 + $BW43, ""), "")</f>
        <v/>
      </c>
      <c r="CB43" s="68" t="str">
        <f t="shared" ca="1" si="150"/>
        <v/>
      </c>
      <c r="CC43" s="111" t="str">
        <f t="shared" ca="1" si="151"/>
        <v/>
      </c>
      <c r="CD43" s="400"/>
      <c r="CE43" s="372" t="str">
        <f ca="1">IFERROR(INDEX(ICE[], MATCH("ulsdccmdiff" &amp; TEXT(Mid!$A43, "mmmyy"), ICE[LongCode], 0), MATCH("Text", ICE[#Headers], 0)), "")</f>
        <v xml:space="preserve"> /  </v>
      </c>
      <c r="CF43" s="46" t="str">
        <f t="shared" ca="1" si="115"/>
        <v/>
      </c>
      <c r="CG43" s="68" t="str">
        <f t="shared" ca="1" si="152"/>
        <v/>
      </c>
      <c r="CH43" s="114" t="str">
        <f t="shared" ca="1" si="153"/>
        <v/>
      </c>
      <c r="CI43" s="68" t="str">
        <f ca="1">IFERROR(IF(AND(ISNUMBER(Futs!$CG43), ISNUMBER($CD43)), Futs!$CG43 + $CD43, ""), "")</f>
        <v/>
      </c>
      <c r="CJ43" s="67" t="str">
        <f ca="1">IFERROR(IF(AND(ISNUMBER(Futs!$CH43), ISNUMBER($CF43)), Futs!$CH43 + $CF43, ""), "")</f>
        <v/>
      </c>
      <c r="CK43" s="68" t="str">
        <f t="shared" ca="1" si="154"/>
        <v/>
      </c>
      <c r="CL43" s="111" t="str">
        <f t="shared" ca="1" si="155"/>
        <v/>
      </c>
      <c r="CM43" s="400" t="str">
        <f ca="1">IFERROR(INDEX(ICE[], MATCH("go01bfrdiff" &amp; TEXT(Crd!$A43, "mmmyy"), ICE[LongCode], 0), MATCH("ICE Theoretical Price", ICE[#Headers], 0)), "")</f>
        <v/>
      </c>
      <c r="CN43" s="372" t="str">
        <f ca="1">IFERROR(INDEX(ICE[], MATCH("go01bfrdiff" &amp; TEXT(Mid!$A43, "mmmyy"), ICE[LongCode], 0), MATCH("Text", ICE[#Headers], 0)), "")</f>
        <v xml:space="preserve"> /  </v>
      </c>
      <c r="CO43" s="46" t="str">
        <f t="shared" ca="1" si="116"/>
        <v/>
      </c>
      <c r="CP43" s="68" t="str">
        <f t="shared" ca="1" si="156"/>
        <v/>
      </c>
      <c r="CQ43" s="114" t="str">
        <f t="shared" ca="1" si="157"/>
        <v/>
      </c>
      <c r="CR43" s="68" t="str">
        <f ca="1">IFERROR(IF(AND(ISNUMBER(Futs!$CG43), ISNUMBER($CM43)), Futs!$CG43 + $CM43, ""), "")</f>
        <v/>
      </c>
      <c r="CS43" s="46" t="str">
        <f ca="1">IFERROR(IF(AND(ISNUMBER(Futs!$CH43), ISNUMBER($CO43)), Futs!$CH43 + $CO43, ""), "")</f>
        <v/>
      </c>
      <c r="CT43" s="68" t="str">
        <f t="shared" ca="1" si="158"/>
        <v/>
      </c>
      <c r="CU43" s="111" t="str">
        <f t="shared" ca="1" si="159"/>
        <v/>
      </c>
      <c r="CV43" s="400"/>
      <c r="CW43" s="372" t="str">
        <f ca="1">IFERROR(INDEX(ICE[], MATCH("go01ccndiff" &amp; TEXT(Mid!$A43, "mmmyy"), ICE[LongCode], 0), MATCH("Text", ICE[#Headers], 0)), "")</f>
        <v xml:space="preserve"> /  </v>
      </c>
      <c r="CX43" s="46" t="str">
        <f t="shared" ca="1" si="117"/>
        <v/>
      </c>
      <c r="CY43" s="68" t="str">
        <f t="shared" ca="1" si="160"/>
        <v/>
      </c>
      <c r="CZ43" s="114" t="str">
        <f t="shared" ca="1" si="161"/>
        <v/>
      </c>
      <c r="DA43" s="68" t="str">
        <f ca="1">IFERROR(IF(AND(ISNUMBER(Futs!$CG43), ISNUMBER($CV43)), Futs!$CG43 + $CV43, ""), "")</f>
        <v/>
      </c>
      <c r="DB43" s="46" t="str">
        <f ca="1">IFERROR(IF(AND(ISNUMBER(Futs!$CH43), ISNUMBER($CX43)), Futs!$CH43 + $CX43, ""), "")</f>
        <v/>
      </c>
      <c r="DC43" s="68" t="str">
        <f t="shared" ca="1" si="162"/>
        <v/>
      </c>
      <c r="DD43" s="111" t="str">
        <f t="shared" ca="1" si="163"/>
        <v/>
      </c>
      <c r="DE43" s="400"/>
      <c r="DF43" s="372" t="str">
        <f ca="1">IFERROR(INDEX(ICE[], MATCH("go01ccmdiff" &amp; TEXT(Mid!$A43, "mmmyy"), ICE[LongCode], 0), MATCH("Text", ICE[#Headers], 0)), "")</f>
        <v xml:space="preserve"> /  </v>
      </c>
      <c r="DG43" s="46" t="str">
        <f t="shared" ca="1" si="118"/>
        <v/>
      </c>
      <c r="DH43" s="68" t="str">
        <f t="shared" ca="1" si="164"/>
        <v/>
      </c>
      <c r="DI43" s="114" t="str">
        <f t="shared" ca="1" si="165"/>
        <v/>
      </c>
      <c r="DJ43" s="68" t="str">
        <f ca="1">IFERROR(IF(AND(ISNUMBER(Futs!$CG43), ISNUMBER($DE43)), Futs!$CG43 + $DE43, ""), "")</f>
        <v/>
      </c>
      <c r="DK43" s="46" t="str">
        <f ca="1">IFERROR(IF(AND(ISNUMBER(Futs!$CH43), ISNUMBER($DG43)), Futs!$CH43 + $DG43, ""), "")</f>
        <v/>
      </c>
      <c r="DL43" s="68" t="str">
        <f t="shared" ca="1" si="166"/>
        <v/>
      </c>
      <c r="DM43" s="111" t="str">
        <f t="shared" ca="1" si="167"/>
        <v/>
      </c>
      <c r="DN43" s="400"/>
      <c r="DO43" s="372" t="str">
        <f ca="1">IFERROR(INDEX(ICE[], MATCH("ulsdgc" &amp; TEXT(Mid!$A43, "mmmyy"), ICE[LongCode], 0), MATCH("Text", ICE[#Headers], 0)), "")</f>
        <v/>
      </c>
      <c r="DP43" s="46" t="str">
        <f t="shared" ca="1" si="119"/>
        <v/>
      </c>
      <c r="DQ43" s="68" t="str">
        <f t="shared" ca="1" si="168"/>
        <v/>
      </c>
      <c r="DR43" s="114" t="str">
        <f t="shared" ca="1" si="169"/>
        <v/>
      </c>
      <c r="DS43" s="68" t="str">
        <f ca="1">IFERROR(IF(AND(ISNUMBER(Futs!$CK43), ISNUMBER($DN43)), Futs!$CK43 + $DN43, ""), "")</f>
        <v/>
      </c>
      <c r="DT43" s="46" t="str">
        <f ca="1">IFERROR(IF(AND(ISNUMBER(Futs!$CL43), ISNUMBER($DP43)), Futs!$CL43 + $DP43, ""), "")</f>
        <v/>
      </c>
      <c r="DU43" s="68" t="str">
        <f t="shared" ca="1" si="170"/>
        <v/>
      </c>
      <c r="DV43" s="111" t="str">
        <f t="shared" ca="1" si="171"/>
        <v/>
      </c>
    </row>
    <row r="44" spans="1:126" x14ac:dyDescent="0.25">
      <c r="A44" s="58">
        <f t="shared" ca="1" si="123"/>
        <v>47027</v>
      </c>
      <c r="B44" s="6">
        <f t="shared" ca="1" si="102"/>
        <v>2028</v>
      </c>
      <c r="C44" s="6" t="str">
        <f t="shared" ca="1" si="120"/>
        <v>Q428</v>
      </c>
      <c r="D44" s="28" t="e">
        <f ca="1">INDEX(ICE[], MATCH(D$18 &amp; TEXT(Mid!$A44, "mmmyy"), ICE[LongCode], 0), MATCH("Settle", ICE[#Headers], 0))</f>
        <v>#N/A</v>
      </c>
      <c r="E44" s="28" t="e">
        <f ca="1">INDEX(ICE[], MATCH(E$18 &amp; TEXT(Mid!$A44, "mmmyy"), ICE[LongCode], 0), MATCH("Settle", ICE[#Headers], 0))</f>
        <v>#N/A</v>
      </c>
      <c r="F44" s="28" t="e">
        <f ca="1">INDEX(ICE[], MATCH(F$18 &amp; TEXT(Mid!$A44, "mmmyy"), ICE[LongCode], 0), MATCH("Settle", ICE[#Headers], 0))</f>
        <v>#N/A</v>
      </c>
      <c r="G44" s="28" t="e">
        <f ca="1">INDEX(ICE[], MATCH(G$18 &amp; TEXT(Mid!$A44, "mmmyy"), ICE[LongCode], 0), MATCH("Settle", ICE[#Headers], 0))</f>
        <v>#N/A</v>
      </c>
      <c r="H44" s="28" t="e">
        <f ca="1">INDEX(ICE[], MATCH(H$18 &amp; TEXT(Mid!$A44, "mmmyy"), ICE[LongCode], 0), MATCH("Settle", ICE[#Headers], 0))</f>
        <v>#N/A</v>
      </c>
      <c r="I44" s="28" t="e">
        <f ca="1">INDEX(ICE[], MATCH(I$18 &amp; TEXT(Mid!$A44, "mmmyy"), ICE[LongCode], 0), MATCH("Settle", ICE[#Headers], 0))</f>
        <v>#N/A</v>
      </c>
      <c r="J44" s="28" t="e">
        <f ca="1">INDEX(ICE[], MATCH(J$18 &amp; TEXT(Mid!$A44, "mmmyy"), ICE[LongCode], 0), MATCH("Settle", ICE[#Headers], 0))</f>
        <v>#N/A</v>
      </c>
      <c r="K44" s="28" t="e">
        <f ca="1">INDEX(ICE[], MATCH(K$18 &amp; TEXT(Mid!$A44, "mmmyy"), ICE[LongCode], 0), MATCH("Settle", ICE[#Headers], 0))</f>
        <v>#N/A</v>
      </c>
      <c r="L44" s="28" t="e">
        <f ca="1">INDEX(ICE[], MATCH(L$18 &amp; TEXT(Mid!$A44, "mmmyy"), ICE[LongCode], 0), MATCH("Settle", ICE[#Headers], 0))</f>
        <v>#N/A</v>
      </c>
      <c r="M44" s="28" t="e">
        <f ca="1">INDEX(ICE[], MATCH(M$18 &amp; TEXT(Mid!$A44, "mmmyy"), ICE[LongCode], 0), MATCH("Settle", ICE[#Headers], 0))</f>
        <v>#N/A</v>
      </c>
      <c r="N44" s="28" t="e">
        <f ca="1">INDEX(ICE[], MATCH(N$18 &amp; TEXT(Mid!$A44, "mmmyy"), ICE[LongCode], 0), MATCH("Settle", ICE[#Headers], 0))*100</f>
        <v>#N/A</v>
      </c>
      <c r="O44" s="397"/>
      <c r="P44" s="372" t="str">
        <f ca="1">IFERROR(INDEX(ICE[], MATCH("jetccndiff" &amp; TEXT(Mid!$A44, "mmmyy"), ICE[LongCode], 0), MATCH("Text", ICE[#Headers], 0)), "")</f>
        <v/>
      </c>
      <c r="Q44" s="46" t="str">
        <f t="shared" ca="1" si="103"/>
        <v/>
      </c>
      <c r="R44" s="47" t="str">
        <f t="shared" si="121"/>
        <v/>
      </c>
      <c r="S44" s="114" t="str">
        <f t="shared" ca="1" si="124"/>
        <v/>
      </c>
      <c r="T44" s="49" t="str">
        <f ca="1">IFERROR(IF(AND(ISNUMBER(Futs!$CG44), ISNUMBER($O44)), Futs!$CG44 + $O44, ""), "")</f>
        <v/>
      </c>
      <c r="U44" s="46" t="str">
        <f ca="1">IFERROR(IF(AND(ISNUMBER(Futs!$CH44), ISNUMBER($Q44)), Futs!$CH44 + $Q44, ""), "")</f>
        <v/>
      </c>
      <c r="V44" s="47" t="str">
        <f t="shared" ca="1" si="125"/>
        <v/>
      </c>
      <c r="W44" s="46" t="str">
        <f t="shared" ca="1" si="126"/>
        <v/>
      </c>
      <c r="X44" s="427" t="str">
        <f ca="1">IFERROR(IF(AND(ISNUMBER(Futs!$CC44), ISNUMBER($T44)), $T44/7.88 - Futs!$CC44, ""), "")</f>
        <v/>
      </c>
      <c r="Y44" s="46" t="str">
        <f ca="1">IFERROR(IF(AND(ISNUMBER(Futs!$DV44), ISNUMBER($Q44)), Futs!$DV44 + $Q44/7.88, ""), "")</f>
        <v/>
      </c>
      <c r="Z44" s="47" t="str">
        <f t="shared" ca="1" si="127"/>
        <v/>
      </c>
      <c r="AA44" s="111" t="str">
        <f t="shared" ca="1" si="128"/>
        <v/>
      </c>
      <c r="AB44" s="400"/>
      <c r="AC44" s="372" t="str">
        <f ca="1">IFERROR(INDEX(ICE[], MATCH("goew" &amp; TEXT(Mid!$A44, "mmmyy"), ICE[LongCode], 0), MATCH("Text", ICE[#Headers], 0)), "")</f>
        <v/>
      </c>
      <c r="AD44" s="46" t="str">
        <f t="shared" ca="1" si="104"/>
        <v/>
      </c>
      <c r="AE44" s="68" t="str">
        <f t="shared" ca="1" si="129"/>
        <v/>
      </c>
      <c r="AF44" s="46" t="str">
        <f t="shared" ca="1" si="130"/>
        <v/>
      </c>
      <c r="AG44" s="265" t="str">
        <f ca="1">IFERROR(IF(AND(ISNUMBER(Futs!$BM44), ISNUMBER($AH44)), $AH44*7.45 - Futs!$BM44, ""), "")</f>
        <v/>
      </c>
      <c r="AH44" s="187" t="str">
        <f ca="1">IFERROR(IF(AND(ISNUMBER(Futs!$CG44), ISNUMBER($AB44)), (Futs!$CG44 + $AB44)/7.45, ""), "")</f>
        <v/>
      </c>
      <c r="AI44" s="46" t="str">
        <f ca="1">IFERROR(IF(AND(ISNUMBER(Futs!$CH44), ISNUMBER($AD44)), (Futs!$CH44 + $AD44)/7.45, ""), "")</f>
        <v/>
      </c>
      <c r="AJ44" s="68" t="str">
        <f t="shared" ca="1" si="131"/>
        <v/>
      </c>
      <c r="AK44" s="364"/>
      <c r="AL44" s="46" t="str">
        <f t="shared" ca="1" si="132"/>
        <v/>
      </c>
      <c r="AM44" s="427" t="str">
        <f ca="1">IFERROR(IF(AND(ISNUMBER(Futs!$CC44), ISNUMBER($AH44)), $AH44 - Futs!$CC44, ""), "")</f>
        <v/>
      </c>
      <c r="AN44" s="46" t="str">
        <f ca="1">IFERROR(IF(AND(ISNUMBER(Futs!$DV44), ISNUMBER($AD44)), $AD44/7.45 + Futs!$DV44, ""), "")</f>
        <v/>
      </c>
      <c r="AO44" s="47" t="str">
        <f t="shared" ca="1" si="133"/>
        <v/>
      </c>
      <c r="AP44" s="111" t="str">
        <f t="shared" ca="1" si="134"/>
        <v/>
      </c>
      <c r="AQ44" s="400"/>
      <c r="AR44" s="46" t="str">
        <f t="shared" ca="1" si="106"/>
        <v/>
      </c>
      <c r="AS44" s="68" t="str">
        <f t="shared" si="135"/>
        <v/>
      </c>
      <c r="AT44" s="46" t="str">
        <f t="shared" ca="1" si="136"/>
        <v/>
      </c>
      <c r="AU44" s="271" t="str">
        <f t="shared" ca="1" si="107"/>
        <v/>
      </c>
      <c r="AV44" s="46" t="str">
        <f t="shared" ca="1" si="108"/>
        <v/>
      </c>
      <c r="AW44" s="68" t="str">
        <f t="shared" ca="1" si="137"/>
        <v/>
      </c>
      <c r="AX44" s="111" t="str">
        <f t="shared" ca="1" si="138"/>
        <v/>
      </c>
      <c r="AY44" s="400"/>
      <c r="AZ44" s="372" t="str">
        <f ca="1">IFERROR(INDEX(ICE[], MATCH("regrade" &amp; TEXT(Mid!$A44, "mmmyy"), ICE[LongCode], 0), MATCH("Text", ICE[#Headers], 0)), "")</f>
        <v/>
      </c>
      <c r="BA44" s="46" t="str">
        <f t="shared" ca="1" si="109"/>
        <v/>
      </c>
      <c r="BB44" s="68" t="str">
        <f t="shared" si="172"/>
        <v/>
      </c>
      <c r="BC44" s="114" t="str">
        <f t="shared" ca="1" si="139"/>
        <v/>
      </c>
      <c r="BD44" s="68" t="str">
        <f t="shared" ca="1" si="110"/>
        <v/>
      </c>
      <c r="BE44" s="46" t="str">
        <f t="shared" ca="1" si="111"/>
        <v/>
      </c>
      <c r="BF44" s="68" t="str">
        <f t="shared" ca="1" si="140"/>
        <v/>
      </c>
      <c r="BG44" s="111" t="str">
        <f t="shared" ca="1" si="141"/>
        <v/>
      </c>
      <c r="BH44" s="68" t="str">
        <f t="shared" ca="1" si="122"/>
        <v/>
      </c>
      <c r="BI44" s="46" t="str">
        <f t="shared" ca="1" si="112"/>
        <v/>
      </c>
      <c r="BJ44" s="68" t="str">
        <f t="shared" ca="1" si="142"/>
        <v/>
      </c>
      <c r="BK44" s="111" t="str">
        <f t="shared" ca="1" si="143"/>
        <v/>
      </c>
      <c r="BL44" s="400"/>
      <c r="BM44" s="372" t="str">
        <f ca="1">IFERROR(INDEX(ICE[], MATCH("ulsdaradiff" &amp; TEXT(Mid!$A44, "mmmyy"), ICE[LongCode], 0), MATCH("Text", ICE[#Headers], 0)), "")</f>
        <v/>
      </c>
      <c r="BN44" s="46" t="str">
        <f t="shared" ca="1" si="113"/>
        <v/>
      </c>
      <c r="BO44" s="68" t="str">
        <f t="shared" si="144"/>
        <v/>
      </c>
      <c r="BP44" s="114" t="str">
        <f t="shared" ca="1" si="145"/>
        <v/>
      </c>
      <c r="BQ44" s="68" t="str">
        <f ca="1">IFERROR(IF(AND(ISNUMBER(Futs!$CG44), ISNUMBER($BL44)), Futs!$CG44 + $BL44, ""), "")</f>
        <v/>
      </c>
      <c r="BR44" s="46" t="str">
        <f ca="1">IFERROR(IF(AND(ISNUMBER(Futs!$CH44), ISNUMBER($BN44)), Futs!$CH44 + $BN44, ""), "")</f>
        <v/>
      </c>
      <c r="BS44" s="68" t="str">
        <f t="shared" ca="1" si="146"/>
        <v/>
      </c>
      <c r="BT44" s="111" t="str">
        <f t="shared" ca="1" si="147"/>
        <v/>
      </c>
      <c r="BU44" s="400"/>
      <c r="BV44" s="372" t="str">
        <f ca="1">IFERROR(INDEX(ICE[], MATCH("ulsdccndiff" &amp; TEXT(Mid!$A44, "mmmyy"), ICE[LongCode], 0), MATCH("Text", ICE[#Headers], 0)), "")</f>
        <v/>
      </c>
      <c r="BW44" s="46" t="str">
        <f t="shared" ca="1" si="114"/>
        <v/>
      </c>
      <c r="BX44" s="68" t="str">
        <f t="shared" si="148"/>
        <v/>
      </c>
      <c r="BY44" s="114" t="str">
        <f t="shared" ca="1" si="149"/>
        <v/>
      </c>
      <c r="BZ44" s="68" t="str">
        <f ca="1">IFERROR(IF(AND(ISNUMBER(Futs!$CG44), ISNUMBER($BU44)), Futs!$CG44 + $BU44, ""), "")</f>
        <v/>
      </c>
      <c r="CA44" s="46" t="str">
        <f ca="1">IFERROR(IF(AND(ISNUMBER(Futs!$CH44), ISNUMBER($BW44)), Futs!$CH44 + $BW44, ""), "")</f>
        <v/>
      </c>
      <c r="CB44" s="68" t="str">
        <f t="shared" ca="1" si="150"/>
        <v/>
      </c>
      <c r="CC44" s="111" t="str">
        <f t="shared" ca="1" si="151"/>
        <v/>
      </c>
      <c r="CD44" s="400"/>
      <c r="CE44" s="372" t="str">
        <f ca="1">IFERROR(INDEX(ICE[], MATCH("ulsdccmdiff" &amp; TEXT(Mid!$A44, "mmmyy"), ICE[LongCode], 0), MATCH("Text", ICE[#Headers], 0)), "")</f>
        <v/>
      </c>
      <c r="CF44" s="46" t="str">
        <f t="shared" ca="1" si="115"/>
        <v/>
      </c>
      <c r="CG44" s="68" t="str">
        <f t="shared" si="152"/>
        <v/>
      </c>
      <c r="CH44" s="114" t="str">
        <f t="shared" ca="1" si="153"/>
        <v/>
      </c>
      <c r="CI44" s="68" t="str">
        <f ca="1">IFERROR(IF(AND(ISNUMBER(Futs!$CG44), ISNUMBER($CD44)), Futs!$CG44 + $CD44, ""), "")</f>
        <v/>
      </c>
      <c r="CJ44" s="67" t="str">
        <f ca="1">IFERROR(IF(AND(ISNUMBER(Futs!$CH44), ISNUMBER($CF44)), Futs!$CH44 + $CF44, ""), "")</f>
        <v/>
      </c>
      <c r="CK44" s="68" t="str">
        <f t="shared" ca="1" si="154"/>
        <v/>
      </c>
      <c r="CL44" s="111" t="str">
        <f t="shared" ca="1" si="155"/>
        <v/>
      </c>
      <c r="CM44" s="400"/>
      <c r="CN44" s="372" t="str">
        <f ca="1">IFERROR(INDEX(ICE[], MATCH("go01bfrdiff" &amp; TEXT(Mid!$A44, "mmmyy"), ICE[LongCode], 0), MATCH("Text", ICE[#Headers], 0)), "")</f>
        <v/>
      </c>
      <c r="CO44" s="46" t="str">
        <f t="shared" ca="1" si="116"/>
        <v/>
      </c>
      <c r="CP44" s="68" t="str">
        <f t="shared" ca="1" si="156"/>
        <v/>
      </c>
      <c r="CQ44" s="114" t="str">
        <f t="shared" ca="1" si="157"/>
        <v/>
      </c>
      <c r="CR44" s="68" t="str">
        <f ca="1">IFERROR(IF(AND(ISNUMBER(Futs!$CG44), ISNUMBER($CM44)), Futs!$CG44 + $CM44, ""), "")</f>
        <v/>
      </c>
      <c r="CS44" s="46" t="str">
        <f ca="1">IFERROR(IF(AND(ISNUMBER(Futs!$CH44), ISNUMBER($CO44)), Futs!$CH44 + $CO44, ""), "")</f>
        <v/>
      </c>
      <c r="CT44" s="68" t="str">
        <f t="shared" ca="1" si="158"/>
        <v/>
      </c>
      <c r="CU44" s="111" t="str">
        <f t="shared" ca="1" si="159"/>
        <v/>
      </c>
      <c r="CV44" s="400"/>
      <c r="CW44" s="372" t="str">
        <f ca="1">IFERROR(INDEX(ICE[], MATCH("go01ccndiff" &amp; TEXT(Mid!$A44, "mmmyy"), ICE[LongCode], 0), MATCH("Text", ICE[#Headers], 0)), "")</f>
        <v/>
      </c>
      <c r="CX44" s="46" t="str">
        <f t="shared" ca="1" si="117"/>
        <v/>
      </c>
      <c r="CY44" s="68" t="str">
        <f t="shared" si="160"/>
        <v/>
      </c>
      <c r="CZ44" s="114" t="str">
        <f t="shared" ca="1" si="161"/>
        <v/>
      </c>
      <c r="DA44" s="68" t="str">
        <f ca="1">IFERROR(IF(AND(ISNUMBER(Futs!$CG44), ISNUMBER($CV44)), Futs!$CG44 + $CV44, ""), "")</f>
        <v/>
      </c>
      <c r="DB44" s="46" t="str">
        <f ca="1">IFERROR(IF(AND(ISNUMBER(Futs!$CH44), ISNUMBER($CX44)), Futs!$CH44 + $CX44, ""), "")</f>
        <v/>
      </c>
      <c r="DC44" s="68" t="str">
        <f t="shared" ca="1" si="162"/>
        <v/>
      </c>
      <c r="DD44" s="111" t="str">
        <f t="shared" ca="1" si="163"/>
        <v/>
      </c>
      <c r="DE44" s="400"/>
      <c r="DF44" s="372" t="str">
        <f ca="1">IFERROR(INDEX(ICE[], MATCH("go01ccmdiff" &amp; TEXT(Mid!$A44, "mmmyy"), ICE[LongCode], 0), MATCH("Text", ICE[#Headers], 0)), "")</f>
        <v/>
      </c>
      <c r="DG44" s="46" t="str">
        <f t="shared" ca="1" si="118"/>
        <v/>
      </c>
      <c r="DH44" s="68" t="str">
        <f t="shared" si="164"/>
        <v/>
      </c>
      <c r="DI44" s="114" t="str">
        <f t="shared" ca="1" si="165"/>
        <v/>
      </c>
      <c r="DJ44" s="68" t="str">
        <f ca="1">IFERROR(IF(AND(ISNUMBER(Futs!$CG44), ISNUMBER($DE44)), Futs!$CG44 + $DE44, ""), "")</f>
        <v/>
      </c>
      <c r="DK44" s="46" t="str">
        <f ca="1">IFERROR(IF(AND(ISNUMBER(Futs!$CH44), ISNUMBER($DG44)), Futs!$CH44 + $DG44, ""), "")</f>
        <v/>
      </c>
      <c r="DL44" s="68" t="str">
        <f t="shared" ca="1" si="166"/>
        <v/>
      </c>
      <c r="DM44" s="111" t="str">
        <f t="shared" ca="1" si="167"/>
        <v/>
      </c>
      <c r="DN44" s="400"/>
      <c r="DO44" s="372" t="str">
        <f ca="1">IFERROR(INDEX(ICE[], MATCH("ulsdgc" &amp; TEXT(Mid!$A44, "mmmyy"), ICE[LongCode], 0), MATCH("Text", ICE[#Headers], 0)), "")</f>
        <v/>
      </c>
      <c r="DP44" s="46" t="str">
        <f t="shared" ca="1" si="119"/>
        <v/>
      </c>
      <c r="DQ44" s="68" t="str">
        <f t="shared" si="168"/>
        <v/>
      </c>
      <c r="DR44" s="114" t="str">
        <f t="shared" ca="1" si="169"/>
        <v/>
      </c>
      <c r="DS44" s="68" t="str">
        <f ca="1">IFERROR(IF(AND(ISNUMBER(Futs!$CK44), ISNUMBER($DN44)), Futs!$CK44 + $DN44, ""), "")</f>
        <v/>
      </c>
      <c r="DT44" s="46" t="str">
        <f ca="1">IFERROR(IF(AND(ISNUMBER(Futs!$CL44), ISNUMBER($DP44)), Futs!$CL44 + $DP44, ""), "")</f>
        <v/>
      </c>
      <c r="DU44" s="68" t="str">
        <f t="shared" ca="1" si="170"/>
        <v/>
      </c>
      <c r="DV44" s="111" t="str">
        <f t="shared" ca="1" si="171"/>
        <v/>
      </c>
    </row>
    <row r="45" spans="1:126" x14ac:dyDescent="0.25">
      <c r="A45" s="58">
        <f t="shared" ca="1" si="123"/>
        <v>47058</v>
      </c>
      <c r="B45" s="6">
        <f t="shared" ca="1" si="102"/>
        <v>2028</v>
      </c>
      <c r="C45" s="6" t="str">
        <f t="shared" ca="1" si="120"/>
        <v>Q428</v>
      </c>
      <c r="D45" s="28" t="e">
        <f ca="1">INDEX(ICE[], MATCH(D$18 &amp; TEXT(Mid!$A45, "mmmyy"), ICE[LongCode], 0), MATCH("Settle", ICE[#Headers], 0))</f>
        <v>#N/A</v>
      </c>
      <c r="E45" s="28" t="e">
        <f ca="1">INDEX(ICE[], MATCH(E$18 &amp; TEXT(Mid!$A45, "mmmyy"), ICE[LongCode], 0), MATCH("Settle", ICE[#Headers], 0))</f>
        <v>#N/A</v>
      </c>
      <c r="F45" s="28" t="e">
        <f ca="1">INDEX(ICE[], MATCH(F$18 &amp; TEXT(Mid!$A45, "mmmyy"), ICE[LongCode], 0), MATCH("Settle", ICE[#Headers], 0))</f>
        <v>#N/A</v>
      </c>
      <c r="G45" s="28" t="e">
        <f ca="1">INDEX(ICE[], MATCH(G$18 &amp; TEXT(Mid!$A45, "mmmyy"), ICE[LongCode], 0), MATCH("Settle", ICE[#Headers], 0))</f>
        <v>#N/A</v>
      </c>
      <c r="H45" s="28" t="e">
        <f ca="1">INDEX(ICE[], MATCH(H$18 &amp; TEXT(Mid!$A45, "mmmyy"), ICE[LongCode], 0), MATCH("Settle", ICE[#Headers], 0))</f>
        <v>#N/A</v>
      </c>
      <c r="I45" s="28" t="e">
        <f ca="1">INDEX(ICE[], MATCH(I$18 &amp; TEXT(Mid!$A45, "mmmyy"), ICE[LongCode], 0), MATCH("Settle", ICE[#Headers], 0))</f>
        <v>#N/A</v>
      </c>
      <c r="J45" s="28" t="e">
        <f ca="1">INDEX(ICE[], MATCH(J$18 &amp; TEXT(Mid!$A45, "mmmyy"), ICE[LongCode], 0), MATCH("Settle", ICE[#Headers], 0))</f>
        <v>#N/A</v>
      </c>
      <c r="K45" s="28" t="e">
        <f ca="1">INDEX(ICE[], MATCH(K$18 &amp; TEXT(Mid!$A45, "mmmyy"), ICE[LongCode], 0), MATCH("Settle", ICE[#Headers], 0))</f>
        <v>#N/A</v>
      </c>
      <c r="L45" s="28" t="e">
        <f ca="1">INDEX(ICE[], MATCH(L$18 &amp; TEXT(Mid!$A45, "mmmyy"), ICE[LongCode], 0), MATCH("Settle", ICE[#Headers], 0))</f>
        <v>#N/A</v>
      </c>
      <c r="M45" s="28" t="e">
        <f ca="1">INDEX(ICE[], MATCH(M$18 &amp; TEXT(Mid!$A45, "mmmyy"), ICE[LongCode], 0), MATCH("Settle", ICE[#Headers], 0))</f>
        <v>#N/A</v>
      </c>
      <c r="N45" s="28" t="e">
        <f ca="1">INDEX(ICE[], MATCH(N$18 &amp; TEXT(Mid!$A45, "mmmyy"), ICE[LongCode], 0), MATCH("Settle", ICE[#Headers], 0))*100</f>
        <v>#N/A</v>
      </c>
      <c r="O45" s="397"/>
      <c r="P45" s="372" t="str">
        <f ca="1">IFERROR(INDEX(ICE[], MATCH("jetccndiff" &amp; TEXT(Mid!$A45, "mmmyy"), ICE[LongCode], 0), MATCH("Text", ICE[#Headers], 0)), "")</f>
        <v/>
      </c>
      <c r="Q45" s="46" t="str">
        <f t="shared" ca="1" si="103"/>
        <v/>
      </c>
      <c r="R45" s="47" t="str">
        <f t="shared" si="121"/>
        <v/>
      </c>
      <c r="S45" s="114" t="str">
        <f t="shared" ca="1" si="124"/>
        <v/>
      </c>
      <c r="T45" s="49" t="str">
        <f ca="1">IFERROR(IF(AND(ISNUMBER(Futs!$CG45), ISNUMBER($O45)), Futs!$CG45 + $O45, ""), "")</f>
        <v/>
      </c>
      <c r="U45" s="46" t="str">
        <f ca="1">IFERROR(IF(AND(ISNUMBER(Futs!$CH45), ISNUMBER($Q45)), Futs!$CH45 + $Q45, ""), "")</f>
        <v/>
      </c>
      <c r="V45" s="47" t="str">
        <f t="shared" ca="1" si="125"/>
        <v/>
      </c>
      <c r="W45" s="46" t="str">
        <f t="shared" ca="1" si="126"/>
        <v/>
      </c>
      <c r="X45" s="427" t="str">
        <f ca="1">IFERROR(IF(AND(ISNUMBER(Futs!$CC45), ISNUMBER($T45)), $T45/7.88 - Futs!$CC45, ""), "")</f>
        <v/>
      </c>
      <c r="Y45" s="46" t="str">
        <f ca="1">IFERROR(IF(AND(ISNUMBER(Futs!$DV45), ISNUMBER($Q45)), Futs!$DV45 + $Q45/7.88, ""), "")</f>
        <v/>
      </c>
      <c r="Z45" s="47" t="str">
        <f t="shared" ca="1" si="127"/>
        <v/>
      </c>
      <c r="AA45" s="111" t="str">
        <f t="shared" ca="1" si="128"/>
        <v/>
      </c>
      <c r="AB45" s="400"/>
      <c r="AC45" s="372" t="str">
        <f ca="1">IFERROR(INDEX(ICE[], MATCH("goew" &amp; TEXT(Mid!$A45, "mmmyy"), ICE[LongCode], 0), MATCH("Text", ICE[#Headers], 0)), "")</f>
        <v/>
      </c>
      <c r="AD45" s="46" t="str">
        <f t="shared" ca="1" si="104"/>
        <v/>
      </c>
      <c r="AE45" s="68" t="str">
        <f t="shared" si="129"/>
        <v/>
      </c>
      <c r="AF45" s="46" t="str">
        <f t="shared" ca="1" si="130"/>
        <v/>
      </c>
      <c r="AG45" s="265" t="str">
        <f ca="1">IFERROR(IF(AND(ISNUMBER(Futs!$BM45), ISNUMBER($AH45)), $AH45*7.45 - Futs!$BM45, ""), "")</f>
        <v/>
      </c>
      <c r="AH45" s="187" t="str">
        <f ca="1">IFERROR(IF(AND(ISNUMBER(Futs!$CG45), ISNUMBER($AB45)), (Futs!$CG45 + $AB45)/7.45, ""), "")</f>
        <v/>
      </c>
      <c r="AI45" s="46" t="str">
        <f ca="1">IFERROR(IF(AND(ISNUMBER(Futs!$CH45), ISNUMBER($AD45)), (Futs!$CH45 + $AD45)/7.45, ""), "")</f>
        <v/>
      </c>
      <c r="AJ45" s="68" t="str">
        <f t="shared" ca="1" si="131"/>
        <v/>
      </c>
      <c r="AK45" s="364" t="str">
        <f ca="1">IFERROR(INDEX(ICE[], MATCH("brdtd" &amp; TEXT(Crd!$A45, "mmmyy"), ICE[LongCode], 0), MATCH("Text", ICE[#Headers], 0)), "")</f>
        <v/>
      </c>
      <c r="AL45" s="46" t="str">
        <f t="shared" ca="1" si="132"/>
        <v/>
      </c>
      <c r="AM45" s="427" t="str">
        <f ca="1">IFERROR(IF(AND(ISNUMBER(Futs!$CC45), ISNUMBER($AH45)), $AH45 - Futs!$CC45, ""), "")</f>
        <v/>
      </c>
      <c r="AN45" s="46" t="str">
        <f ca="1">IFERROR(IF(AND(ISNUMBER(Futs!$DV45), ISNUMBER($AD45)), $AD45/7.45 + Futs!$DV45, ""), "")</f>
        <v/>
      </c>
      <c r="AO45" s="47" t="str">
        <f t="shared" ca="1" si="133"/>
        <v/>
      </c>
      <c r="AP45" s="111" t="str">
        <f t="shared" ca="1" si="134"/>
        <v/>
      </c>
      <c r="AQ45" s="400"/>
      <c r="AR45" s="46" t="str">
        <f t="shared" ca="1" si="106"/>
        <v/>
      </c>
      <c r="AS45" s="68" t="str">
        <f t="shared" si="135"/>
        <v/>
      </c>
      <c r="AT45" s="46" t="str">
        <f t="shared" ca="1" si="136"/>
        <v/>
      </c>
      <c r="AU45" s="271" t="str">
        <f t="shared" ca="1" si="107"/>
        <v/>
      </c>
      <c r="AV45" s="46" t="str">
        <f t="shared" ca="1" si="108"/>
        <v/>
      </c>
      <c r="AW45" s="68" t="str">
        <f t="shared" ca="1" si="137"/>
        <v/>
      </c>
      <c r="AX45" s="111" t="str">
        <f t="shared" ca="1" si="138"/>
        <v/>
      </c>
      <c r="AY45" s="400"/>
      <c r="AZ45" s="372" t="str">
        <f ca="1">IFERROR(INDEX(ICE[], MATCH("regrade" &amp; TEXT(Mid!$A45, "mmmyy"), ICE[LongCode], 0), MATCH("Text", ICE[#Headers], 0)), "")</f>
        <v/>
      </c>
      <c r="BA45" s="46" t="str">
        <f t="shared" ca="1" si="109"/>
        <v/>
      </c>
      <c r="BB45" s="68" t="str">
        <f t="shared" si="172"/>
        <v/>
      </c>
      <c r="BC45" s="114" t="str">
        <f t="shared" ca="1" si="139"/>
        <v/>
      </c>
      <c r="BD45" s="68" t="str">
        <f t="shared" ca="1" si="110"/>
        <v/>
      </c>
      <c r="BE45" s="46" t="str">
        <f t="shared" ca="1" si="111"/>
        <v/>
      </c>
      <c r="BF45" s="68" t="str">
        <f t="shared" ca="1" si="140"/>
        <v/>
      </c>
      <c r="BG45" s="111" t="str">
        <f t="shared" ca="1" si="141"/>
        <v/>
      </c>
      <c r="BH45" s="68" t="str">
        <f t="shared" ca="1" si="122"/>
        <v/>
      </c>
      <c r="BI45" s="46" t="str">
        <f t="shared" ca="1" si="112"/>
        <v/>
      </c>
      <c r="BJ45" s="68" t="str">
        <f t="shared" ca="1" si="142"/>
        <v/>
      </c>
      <c r="BK45" s="111" t="str">
        <f t="shared" ca="1" si="143"/>
        <v/>
      </c>
      <c r="BL45" s="400"/>
      <c r="BM45" s="372" t="str">
        <f ca="1">IFERROR(INDEX(ICE[], MATCH("ulsdaradiff" &amp; TEXT(Mid!$A45, "mmmyy"), ICE[LongCode], 0), MATCH("Text", ICE[#Headers], 0)), "")</f>
        <v/>
      </c>
      <c r="BN45" s="46" t="str">
        <f t="shared" ca="1" si="113"/>
        <v/>
      </c>
      <c r="BO45" s="68" t="str">
        <f t="shared" si="144"/>
        <v/>
      </c>
      <c r="BP45" s="114" t="str">
        <f t="shared" ca="1" si="145"/>
        <v/>
      </c>
      <c r="BQ45" s="68" t="str">
        <f ca="1">IFERROR(IF(AND(ISNUMBER(Futs!$CG45), ISNUMBER($BL45)), Futs!$CG45 + $BL45, ""), "")</f>
        <v/>
      </c>
      <c r="BR45" s="46" t="str">
        <f ca="1">IFERROR(IF(AND(ISNUMBER(Futs!$CH45), ISNUMBER($BN45)), Futs!$CH45 + $BN45, ""), "")</f>
        <v/>
      </c>
      <c r="BS45" s="68" t="str">
        <f t="shared" ca="1" si="146"/>
        <v/>
      </c>
      <c r="BT45" s="111" t="str">
        <f t="shared" ca="1" si="147"/>
        <v/>
      </c>
      <c r="BU45" s="400"/>
      <c r="BV45" s="372" t="str">
        <f ca="1">IFERROR(INDEX(ICE[], MATCH("ulsdccndiff" &amp; TEXT(Mid!$A45, "mmmyy"), ICE[LongCode], 0), MATCH("Text", ICE[#Headers], 0)), "")</f>
        <v/>
      </c>
      <c r="BW45" s="46" t="str">
        <f t="shared" ca="1" si="114"/>
        <v/>
      </c>
      <c r="BX45" s="68" t="str">
        <f t="shared" si="148"/>
        <v/>
      </c>
      <c r="BY45" s="114" t="str">
        <f t="shared" ca="1" si="149"/>
        <v/>
      </c>
      <c r="BZ45" s="68" t="str">
        <f ca="1">IFERROR(IF(AND(ISNUMBER(Futs!$CG45), ISNUMBER($BU45)), Futs!$CG45 + $BU45, ""), "")</f>
        <v/>
      </c>
      <c r="CA45" s="46" t="str">
        <f ca="1">IFERROR(IF(AND(ISNUMBER(Futs!$CH45), ISNUMBER($BW45)), Futs!$CH45 + $BW45, ""), "")</f>
        <v/>
      </c>
      <c r="CB45" s="68" t="str">
        <f t="shared" ca="1" si="150"/>
        <v/>
      </c>
      <c r="CC45" s="111" t="str">
        <f t="shared" ca="1" si="151"/>
        <v/>
      </c>
      <c r="CD45" s="400"/>
      <c r="CE45" s="372" t="str">
        <f ca="1">IFERROR(INDEX(ICE[], MATCH("ulsdccmdiff" &amp; TEXT(Mid!$A45, "mmmyy"), ICE[LongCode], 0), MATCH("Text", ICE[#Headers], 0)), "")</f>
        <v/>
      </c>
      <c r="CF45" s="46" t="str">
        <f t="shared" ca="1" si="115"/>
        <v/>
      </c>
      <c r="CG45" s="68" t="str">
        <f t="shared" si="152"/>
        <v/>
      </c>
      <c r="CH45" s="114" t="str">
        <f t="shared" ca="1" si="153"/>
        <v/>
      </c>
      <c r="CI45" s="68" t="str">
        <f ca="1">IFERROR(IF(AND(ISNUMBER(Futs!$CG45), ISNUMBER($CD45)), Futs!$CG45 + $CD45, ""), "")</f>
        <v/>
      </c>
      <c r="CJ45" s="67" t="str">
        <f ca="1">IFERROR(IF(AND(ISNUMBER(Futs!$CH45), ISNUMBER($CF45)), Futs!$CH45 + $CF45, ""), "")</f>
        <v/>
      </c>
      <c r="CK45" s="68" t="str">
        <f t="shared" ca="1" si="154"/>
        <v/>
      </c>
      <c r="CL45" s="111" t="str">
        <f t="shared" ca="1" si="155"/>
        <v/>
      </c>
      <c r="CM45" s="400"/>
      <c r="CN45" s="372" t="str">
        <f ca="1">IFERROR(INDEX(ICE[], MATCH("go01bfrdiff" &amp; TEXT(Mid!$A45, "mmmyy"), ICE[LongCode], 0), MATCH("Text", ICE[#Headers], 0)), "")</f>
        <v/>
      </c>
      <c r="CO45" s="46" t="str">
        <f t="shared" ca="1" si="116"/>
        <v/>
      </c>
      <c r="CP45" s="68" t="str">
        <f t="shared" si="156"/>
        <v/>
      </c>
      <c r="CQ45" s="114" t="str">
        <f t="shared" ca="1" si="157"/>
        <v/>
      </c>
      <c r="CR45" s="68" t="str">
        <f ca="1">IFERROR(IF(AND(ISNUMBER(Futs!$CG45), ISNUMBER($CM45)), Futs!$CG45 + $CM45, ""), "")</f>
        <v/>
      </c>
      <c r="CS45" s="46" t="str">
        <f ca="1">IFERROR(IF(AND(ISNUMBER(Futs!$CH45), ISNUMBER($CO45)), Futs!$CH45 + $CO45, ""), "")</f>
        <v/>
      </c>
      <c r="CT45" s="68" t="str">
        <f t="shared" ca="1" si="158"/>
        <v/>
      </c>
      <c r="CU45" s="111" t="str">
        <f t="shared" ca="1" si="159"/>
        <v/>
      </c>
      <c r="CV45" s="400"/>
      <c r="CW45" s="372" t="str">
        <f ca="1">IFERROR(INDEX(ICE[], MATCH("go01ccndiff" &amp; TEXT(Mid!$A45, "mmmyy"), ICE[LongCode], 0), MATCH("Text", ICE[#Headers], 0)), "")</f>
        <v/>
      </c>
      <c r="CX45" s="46" t="str">
        <f t="shared" ca="1" si="117"/>
        <v/>
      </c>
      <c r="CY45" s="68" t="str">
        <f t="shared" si="160"/>
        <v/>
      </c>
      <c r="CZ45" s="114" t="str">
        <f t="shared" ca="1" si="161"/>
        <v/>
      </c>
      <c r="DA45" s="68" t="str">
        <f ca="1">IFERROR(IF(AND(ISNUMBER(Futs!$CG45), ISNUMBER($CV45)), Futs!$CG45 + $CV45, ""), "")</f>
        <v/>
      </c>
      <c r="DB45" s="46" t="str">
        <f ca="1">IFERROR(IF(AND(ISNUMBER(Futs!$CH45), ISNUMBER($CX45)), Futs!$CH45 + $CX45, ""), "")</f>
        <v/>
      </c>
      <c r="DC45" s="68" t="str">
        <f t="shared" ca="1" si="162"/>
        <v/>
      </c>
      <c r="DD45" s="111" t="str">
        <f t="shared" ca="1" si="163"/>
        <v/>
      </c>
      <c r="DE45" s="400"/>
      <c r="DF45" s="372" t="str">
        <f ca="1">IFERROR(INDEX(ICE[], MATCH("go01ccmdiff" &amp; TEXT(Mid!$A45, "mmmyy"), ICE[LongCode], 0), MATCH("Text", ICE[#Headers], 0)), "")</f>
        <v/>
      </c>
      <c r="DG45" s="46" t="str">
        <f t="shared" ca="1" si="118"/>
        <v/>
      </c>
      <c r="DH45" s="68" t="str">
        <f t="shared" si="164"/>
        <v/>
      </c>
      <c r="DI45" s="114" t="str">
        <f t="shared" ca="1" si="165"/>
        <v/>
      </c>
      <c r="DJ45" s="68" t="str">
        <f ca="1">IFERROR(IF(AND(ISNUMBER(Futs!$CG45), ISNUMBER($DE45)), Futs!$CG45 + $DE45, ""), "")</f>
        <v/>
      </c>
      <c r="DK45" s="46" t="str">
        <f ca="1">IFERROR(IF(AND(ISNUMBER(Futs!$CH45), ISNUMBER($DG45)), Futs!$CH45 + $DG45, ""), "")</f>
        <v/>
      </c>
      <c r="DL45" s="68" t="str">
        <f t="shared" ca="1" si="166"/>
        <v/>
      </c>
      <c r="DM45" s="111" t="str">
        <f t="shared" ca="1" si="167"/>
        <v/>
      </c>
      <c r="DN45" s="400"/>
      <c r="DO45" s="372" t="str">
        <f ca="1">IFERROR(INDEX(ICE[], MATCH("ulsdgc" &amp; TEXT(Mid!$A45, "mmmyy"), ICE[LongCode], 0), MATCH("Text", ICE[#Headers], 0)), "")</f>
        <v/>
      </c>
      <c r="DP45" s="46" t="str">
        <f t="shared" ca="1" si="119"/>
        <v/>
      </c>
      <c r="DQ45" s="68" t="str">
        <f t="shared" si="168"/>
        <v/>
      </c>
      <c r="DR45" s="114" t="str">
        <f t="shared" ca="1" si="169"/>
        <v/>
      </c>
      <c r="DS45" s="68" t="str">
        <f ca="1">IFERROR(IF(AND(ISNUMBER(Futs!$CK45), ISNUMBER($DN45)), Futs!$CK45 + $DN45, ""), "")</f>
        <v/>
      </c>
      <c r="DT45" s="46" t="str">
        <f ca="1">IFERROR(IF(AND(ISNUMBER(Futs!$CL45), ISNUMBER($DP45)), Futs!$CL45 + $DP45, ""), "")</f>
        <v/>
      </c>
      <c r="DU45" s="68" t="str">
        <f t="shared" ca="1" si="170"/>
        <v/>
      </c>
      <c r="DV45" s="111" t="str">
        <f t="shared" ca="1" si="171"/>
        <v/>
      </c>
    </row>
    <row r="46" spans="1:126" x14ac:dyDescent="0.25">
      <c r="A46" s="58">
        <f t="shared" ca="1" si="123"/>
        <v>47088</v>
      </c>
      <c r="B46" s="6">
        <f t="shared" ca="1" si="102"/>
        <v>2028</v>
      </c>
      <c r="C46" s="6" t="str">
        <f t="shared" ca="1" si="120"/>
        <v>Q428</v>
      </c>
      <c r="D46" s="28" t="e">
        <f ca="1">INDEX(ICE[], MATCH(D$18 &amp; TEXT(Mid!$A46, "mmmyy"), ICE[LongCode], 0), MATCH("Settle", ICE[#Headers], 0))</f>
        <v>#N/A</v>
      </c>
      <c r="E46" s="28" t="e">
        <f ca="1">INDEX(ICE[], MATCH(E$18 &amp; TEXT(Mid!$A46, "mmmyy"), ICE[LongCode], 0), MATCH("Settle", ICE[#Headers], 0))</f>
        <v>#N/A</v>
      </c>
      <c r="F46" s="28" t="e">
        <f ca="1">INDEX(ICE[], MATCH(F$18 &amp; TEXT(Mid!$A46, "mmmyy"), ICE[LongCode], 0), MATCH("Settle", ICE[#Headers], 0))</f>
        <v>#N/A</v>
      </c>
      <c r="G46" s="28" t="e">
        <f ca="1">INDEX(ICE[], MATCH(G$18 &amp; TEXT(Mid!$A46, "mmmyy"), ICE[LongCode], 0), MATCH("Settle", ICE[#Headers], 0))</f>
        <v>#N/A</v>
      </c>
      <c r="H46" s="28" t="e">
        <f ca="1">INDEX(ICE[], MATCH(H$18 &amp; TEXT(Mid!$A46, "mmmyy"), ICE[LongCode], 0), MATCH("Settle", ICE[#Headers], 0))</f>
        <v>#N/A</v>
      </c>
      <c r="I46" s="28" t="e">
        <f ca="1">INDEX(ICE[], MATCH(I$18 &amp; TEXT(Mid!$A46, "mmmyy"), ICE[LongCode], 0), MATCH("Settle", ICE[#Headers], 0))</f>
        <v>#N/A</v>
      </c>
      <c r="J46" s="28" t="e">
        <f ca="1">INDEX(ICE[], MATCH(J$18 &amp; TEXT(Mid!$A46, "mmmyy"), ICE[LongCode], 0), MATCH("Settle", ICE[#Headers], 0))</f>
        <v>#N/A</v>
      </c>
      <c r="K46" s="28" t="e">
        <f ca="1">INDEX(ICE[], MATCH(K$18 &amp; TEXT(Mid!$A46, "mmmyy"), ICE[LongCode], 0), MATCH("Settle", ICE[#Headers], 0))</f>
        <v>#N/A</v>
      </c>
      <c r="L46" s="28" t="e">
        <f ca="1">INDEX(ICE[], MATCH(L$18 &amp; TEXT(Mid!$A46, "mmmyy"), ICE[LongCode], 0), MATCH("Settle", ICE[#Headers], 0))</f>
        <v>#N/A</v>
      </c>
      <c r="M46" s="28" t="e">
        <f ca="1">INDEX(ICE[], MATCH(M$18 &amp; TEXT(Mid!$A46, "mmmyy"), ICE[LongCode], 0), MATCH("Settle", ICE[#Headers], 0))</f>
        <v>#N/A</v>
      </c>
      <c r="N46" s="28" t="e">
        <f ca="1">INDEX(ICE[], MATCH(N$18 &amp; TEXT(Mid!$A46, "mmmyy"), ICE[LongCode], 0), MATCH("Settle", ICE[#Headers], 0))*100</f>
        <v>#N/A</v>
      </c>
      <c r="O46" s="397"/>
      <c r="P46" s="372" t="str">
        <f ca="1">IFERROR(INDEX(ICE[], MATCH("jetccndiff" &amp; TEXT(Mid!$A46, "mmmyy"), ICE[LongCode], 0), MATCH("Text", ICE[#Headers], 0)), "")</f>
        <v/>
      </c>
      <c r="Q46" s="46" t="str">
        <f t="shared" ca="1" si="103"/>
        <v/>
      </c>
      <c r="R46" s="47" t="str">
        <f t="shared" si="121"/>
        <v/>
      </c>
      <c r="S46" s="114" t="str">
        <f t="shared" ca="1" si="124"/>
        <v/>
      </c>
      <c r="T46" s="49" t="str">
        <f ca="1">IFERROR(IF(AND(ISNUMBER(Futs!$CG46), ISNUMBER($O46)), Futs!$CG46 + $O46, ""), "")</f>
        <v/>
      </c>
      <c r="U46" s="46" t="str">
        <f ca="1">IFERROR(IF(AND(ISNUMBER(Futs!$CH46), ISNUMBER($Q46)), Futs!$CH46 + $Q46, ""), "")</f>
        <v/>
      </c>
      <c r="V46" s="47" t="str">
        <f t="shared" ca="1" si="125"/>
        <v/>
      </c>
      <c r="W46" s="46" t="str">
        <f t="shared" ca="1" si="126"/>
        <v/>
      </c>
      <c r="X46" s="427" t="str">
        <f ca="1">IFERROR(IF(AND(ISNUMBER(Futs!$CC46), ISNUMBER($T46)), $T46/7.88 - Futs!$CC46, ""), "")</f>
        <v/>
      </c>
      <c r="Y46" s="46" t="str">
        <f ca="1">IFERROR(IF(AND(ISNUMBER(Futs!$DV46), ISNUMBER($Q46)), Futs!$DV46 + $Q46/7.88, ""), "")</f>
        <v/>
      </c>
      <c r="Z46" s="47" t="str">
        <f t="shared" ca="1" si="127"/>
        <v/>
      </c>
      <c r="AA46" s="111" t="str">
        <f t="shared" ca="1" si="128"/>
        <v/>
      </c>
      <c r="AB46" s="400"/>
      <c r="AC46" s="372" t="str">
        <f ca="1">IFERROR(INDEX(ICE[], MATCH("goew" &amp; TEXT(Mid!$A46, "mmmyy"), ICE[LongCode], 0), MATCH("Text", ICE[#Headers], 0)), "")</f>
        <v/>
      </c>
      <c r="AD46" s="46" t="str">
        <f t="shared" ca="1" si="104"/>
        <v/>
      </c>
      <c r="AE46" s="68" t="str">
        <f t="shared" si="129"/>
        <v/>
      </c>
      <c r="AF46" s="46" t="str">
        <f t="shared" ca="1" si="130"/>
        <v/>
      </c>
      <c r="AG46" s="265" t="str">
        <f ca="1">IFERROR(IF(AND(ISNUMBER(Futs!$BM46), ISNUMBER($AH46)), $AH46*7.45 - Futs!$BM46, ""), "")</f>
        <v/>
      </c>
      <c r="AH46" s="187" t="str">
        <f ca="1">IFERROR(IF(AND(ISNUMBER(Futs!$CG46), ISNUMBER($AB46)), (Futs!$CG46 + $AB46)/7.45, ""), "")</f>
        <v/>
      </c>
      <c r="AI46" s="46" t="str">
        <f ca="1">IFERROR(IF(AND(ISNUMBER(Futs!$CH46), ISNUMBER($AD46)), (Futs!$CH46 + $AD46)/7.45, ""), "")</f>
        <v/>
      </c>
      <c r="AJ46" s="68" t="str">
        <f t="shared" ca="1" si="131"/>
        <v/>
      </c>
      <c r="AK46" s="364" t="str">
        <f ca="1">IFERROR(INDEX(ICE[], MATCH("brdtd" &amp; TEXT(Crd!$A46, "mmmyy"), ICE[LongCode], 0), MATCH("Text", ICE[#Headers], 0)), "")</f>
        <v/>
      </c>
      <c r="AL46" s="46" t="str">
        <f t="shared" ca="1" si="132"/>
        <v/>
      </c>
      <c r="AM46" s="427" t="str">
        <f ca="1">IFERROR(IF(AND(ISNUMBER(Futs!$CC46), ISNUMBER($AH46)), $AH46 - Futs!$CC46, ""), "")</f>
        <v/>
      </c>
      <c r="AN46" s="46" t="str">
        <f ca="1">IFERROR(IF(AND(ISNUMBER(Futs!$DV46), ISNUMBER($AD46)), $AD46/7.45 + Futs!$DV46, ""), "")</f>
        <v/>
      </c>
      <c r="AO46" s="47" t="str">
        <f t="shared" ca="1" si="133"/>
        <v/>
      </c>
      <c r="AP46" s="111" t="str">
        <f t="shared" ca="1" si="134"/>
        <v/>
      </c>
      <c r="AQ46" s="400"/>
      <c r="AR46" s="46" t="str">
        <f t="shared" ca="1" si="106"/>
        <v/>
      </c>
      <c r="AS46" s="68" t="str">
        <f t="shared" si="135"/>
        <v/>
      </c>
      <c r="AT46" s="46" t="str">
        <f t="shared" ca="1" si="136"/>
        <v/>
      </c>
      <c r="AU46" s="271" t="str">
        <f t="shared" ca="1" si="107"/>
        <v/>
      </c>
      <c r="AV46" s="46" t="str">
        <f t="shared" ca="1" si="108"/>
        <v/>
      </c>
      <c r="AW46" s="68" t="str">
        <f t="shared" ca="1" si="137"/>
        <v/>
      </c>
      <c r="AX46" s="111" t="str">
        <f t="shared" ca="1" si="138"/>
        <v/>
      </c>
      <c r="AY46" s="400"/>
      <c r="AZ46" s="372" t="str">
        <f ca="1">IFERROR(INDEX(ICE[], MATCH("regrade" &amp; TEXT(Mid!$A46, "mmmyy"), ICE[LongCode], 0), MATCH("Text", ICE[#Headers], 0)), "")</f>
        <v/>
      </c>
      <c r="BA46" s="46" t="str">
        <f t="shared" ca="1" si="109"/>
        <v/>
      </c>
      <c r="BB46" s="68" t="str">
        <f t="shared" si="172"/>
        <v/>
      </c>
      <c r="BC46" s="114" t="str">
        <f t="shared" ca="1" si="139"/>
        <v/>
      </c>
      <c r="BD46" s="68" t="str">
        <f t="shared" ca="1" si="110"/>
        <v/>
      </c>
      <c r="BE46" s="46" t="str">
        <f t="shared" ca="1" si="111"/>
        <v/>
      </c>
      <c r="BF46" s="68" t="str">
        <f t="shared" ca="1" si="140"/>
        <v/>
      </c>
      <c r="BG46" s="111" t="str">
        <f t="shared" ca="1" si="141"/>
        <v/>
      </c>
      <c r="BH46" s="68" t="str">
        <f t="shared" ca="1" si="122"/>
        <v/>
      </c>
      <c r="BI46" s="46" t="str">
        <f t="shared" ca="1" si="112"/>
        <v/>
      </c>
      <c r="BJ46" s="68" t="str">
        <f t="shared" ca="1" si="142"/>
        <v/>
      </c>
      <c r="BK46" s="111" t="str">
        <f t="shared" ca="1" si="143"/>
        <v/>
      </c>
      <c r="BL46" s="400"/>
      <c r="BM46" s="372" t="str">
        <f ca="1">IFERROR(INDEX(ICE[], MATCH("ulsdaradiff" &amp; TEXT(Mid!$A46, "mmmyy"), ICE[LongCode], 0), MATCH("Text", ICE[#Headers], 0)), "")</f>
        <v/>
      </c>
      <c r="BN46" s="46" t="str">
        <f t="shared" ca="1" si="113"/>
        <v/>
      </c>
      <c r="BO46" s="68" t="str">
        <f t="shared" si="144"/>
        <v/>
      </c>
      <c r="BP46" s="114" t="str">
        <f t="shared" ca="1" si="145"/>
        <v/>
      </c>
      <c r="BQ46" s="68" t="str">
        <f ca="1">IFERROR(IF(AND(ISNUMBER(Futs!$CG46), ISNUMBER($BL46)), Futs!$CG46 + $BL46, ""), "")</f>
        <v/>
      </c>
      <c r="BR46" s="46" t="str">
        <f ca="1">IFERROR(IF(AND(ISNUMBER(Futs!$CH46), ISNUMBER($BN46)), Futs!$CH46 + $BN46, ""), "")</f>
        <v/>
      </c>
      <c r="BS46" s="68" t="str">
        <f t="shared" ca="1" si="146"/>
        <v/>
      </c>
      <c r="BT46" s="111" t="str">
        <f t="shared" ca="1" si="147"/>
        <v/>
      </c>
      <c r="BU46" s="400"/>
      <c r="BV46" s="372" t="str">
        <f ca="1">IFERROR(INDEX(ICE[], MATCH("ulsdccndiff" &amp; TEXT(Mid!$A46, "mmmyy"), ICE[LongCode], 0), MATCH("Text", ICE[#Headers], 0)), "")</f>
        <v/>
      </c>
      <c r="BW46" s="46" t="str">
        <f t="shared" ca="1" si="114"/>
        <v/>
      </c>
      <c r="BX46" s="68" t="str">
        <f t="shared" si="148"/>
        <v/>
      </c>
      <c r="BY46" s="114" t="str">
        <f t="shared" ca="1" si="149"/>
        <v/>
      </c>
      <c r="BZ46" s="68" t="str">
        <f ca="1">IFERROR(IF(AND(ISNUMBER(Futs!$CG46), ISNUMBER($BU46)), Futs!$CG46 + $BU46, ""), "")</f>
        <v/>
      </c>
      <c r="CA46" s="46" t="str">
        <f ca="1">IFERROR(IF(AND(ISNUMBER(Futs!$CH46), ISNUMBER($BW46)), Futs!$CH46 + $BW46, ""), "")</f>
        <v/>
      </c>
      <c r="CB46" s="68" t="str">
        <f t="shared" ca="1" si="150"/>
        <v/>
      </c>
      <c r="CC46" s="111" t="str">
        <f t="shared" ca="1" si="151"/>
        <v/>
      </c>
      <c r="CD46" s="400"/>
      <c r="CE46" s="372" t="str">
        <f ca="1">IFERROR(INDEX(ICE[], MATCH("ulsdccmdiff" &amp; TEXT(Mid!$A46, "mmmyy"), ICE[LongCode], 0), MATCH("Text", ICE[#Headers], 0)), "")</f>
        <v/>
      </c>
      <c r="CF46" s="46" t="str">
        <f t="shared" ca="1" si="115"/>
        <v/>
      </c>
      <c r="CG46" s="68" t="str">
        <f t="shared" si="152"/>
        <v/>
      </c>
      <c r="CH46" s="114" t="str">
        <f t="shared" ca="1" si="153"/>
        <v/>
      </c>
      <c r="CI46" s="68" t="str">
        <f ca="1">IFERROR(IF(AND(ISNUMBER(Futs!$CG46), ISNUMBER($CD46)), Futs!$CG46 + $CD46, ""), "")</f>
        <v/>
      </c>
      <c r="CJ46" s="67" t="str">
        <f ca="1">IFERROR(IF(AND(ISNUMBER(Futs!$CH46), ISNUMBER($CF46)), Futs!$CH46 + $CF46, ""), "")</f>
        <v/>
      </c>
      <c r="CK46" s="68" t="str">
        <f t="shared" ca="1" si="154"/>
        <v/>
      </c>
      <c r="CL46" s="111" t="str">
        <f t="shared" ca="1" si="155"/>
        <v/>
      </c>
      <c r="CM46" s="400"/>
      <c r="CN46" s="372" t="str">
        <f ca="1">IFERROR(INDEX(ICE[], MATCH("go01bfrdiff" &amp; TEXT(Mid!$A46, "mmmyy"), ICE[LongCode], 0), MATCH("Text", ICE[#Headers], 0)), "")</f>
        <v/>
      </c>
      <c r="CO46" s="46" t="str">
        <f t="shared" ca="1" si="116"/>
        <v/>
      </c>
      <c r="CP46" s="68" t="str">
        <f t="shared" si="156"/>
        <v/>
      </c>
      <c r="CQ46" s="114" t="str">
        <f t="shared" ca="1" si="157"/>
        <v/>
      </c>
      <c r="CR46" s="68" t="str">
        <f ca="1">IFERROR(IF(AND(ISNUMBER(Futs!$CG46), ISNUMBER($CM46)), Futs!$CG46 + $CM46, ""), "")</f>
        <v/>
      </c>
      <c r="CS46" s="46" t="str">
        <f ca="1">IFERROR(IF(AND(ISNUMBER(Futs!$CH46), ISNUMBER($CO46)), Futs!$CH46 + $CO46, ""), "")</f>
        <v/>
      </c>
      <c r="CT46" s="68" t="str">
        <f t="shared" ca="1" si="158"/>
        <v/>
      </c>
      <c r="CU46" s="111" t="str">
        <f t="shared" ca="1" si="159"/>
        <v/>
      </c>
      <c r="CV46" s="400"/>
      <c r="CW46" s="372" t="str">
        <f ca="1">IFERROR(INDEX(ICE[], MATCH("go01ccndiff" &amp; TEXT(Mid!$A46, "mmmyy"), ICE[LongCode], 0), MATCH("Text", ICE[#Headers], 0)), "")</f>
        <v/>
      </c>
      <c r="CX46" s="46" t="str">
        <f t="shared" ca="1" si="117"/>
        <v/>
      </c>
      <c r="CY46" s="68" t="str">
        <f t="shared" si="160"/>
        <v/>
      </c>
      <c r="CZ46" s="114" t="str">
        <f t="shared" ca="1" si="161"/>
        <v/>
      </c>
      <c r="DA46" s="68" t="str">
        <f ca="1">IFERROR(IF(AND(ISNUMBER(Futs!$CG46), ISNUMBER($CV46)), Futs!$CG46 + $CV46, ""), "")</f>
        <v/>
      </c>
      <c r="DB46" s="46" t="str">
        <f ca="1">IFERROR(IF(AND(ISNUMBER(Futs!$CH46), ISNUMBER($CX46)), Futs!$CH46 + $CX46, ""), "")</f>
        <v/>
      </c>
      <c r="DC46" s="68" t="str">
        <f t="shared" ca="1" si="162"/>
        <v/>
      </c>
      <c r="DD46" s="111" t="str">
        <f t="shared" ca="1" si="163"/>
        <v/>
      </c>
      <c r="DE46" s="400"/>
      <c r="DF46" s="372" t="str">
        <f ca="1">IFERROR(INDEX(ICE[], MATCH("go01ccmdiff" &amp; TEXT(Mid!$A46, "mmmyy"), ICE[LongCode], 0), MATCH("Text", ICE[#Headers], 0)), "")</f>
        <v/>
      </c>
      <c r="DG46" s="46" t="str">
        <f t="shared" ca="1" si="118"/>
        <v/>
      </c>
      <c r="DH46" s="68" t="str">
        <f t="shared" si="164"/>
        <v/>
      </c>
      <c r="DI46" s="114" t="str">
        <f t="shared" ca="1" si="165"/>
        <v/>
      </c>
      <c r="DJ46" s="68" t="str">
        <f ca="1">IFERROR(IF(AND(ISNUMBER(Futs!$CG46), ISNUMBER($DE46)), Futs!$CG46 + $DE46, ""), "")</f>
        <v/>
      </c>
      <c r="DK46" s="46" t="str">
        <f ca="1">IFERROR(IF(AND(ISNUMBER(Futs!$CH46), ISNUMBER($DG46)), Futs!$CH46 + $DG46, ""), "")</f>
        <v/>
      </c>
      <c r="DL46" s="68" t="str">
        <f t="shared" ca="1" si="166"/>
        <v/>
      </c>
      <c r="DM46" s="111" t="str">
        <f t="shared" ca="1" si="167"/>
        <v/>
      </c>
      <c r="DN46" s="400"/>
      <c r="DO46" s="372" t="str">
        <f ca="1">IFERROR(INDEX(ICE[], MATCH("ulsdgc" &amp; TEXT(Mid!$A46, "mmmyy"), ICE[LongCode], 0), MATCH("Text", ICE[#Headers], 0)), "")</f>
        <v/>
      </c>
      <c r="DP46" s="46" t="str">
        <f t="shared" ca="1" si="119"/>
        <v/>
      </c>
      <c r="DQ46" s="68" t="str">
        <f t="shared" si="168"/>
        <v/>
      </c>
      <c r="DR46" s="114" t="str">
        <f t="shared" ca="1" si="169"/>
        <v/>
      </c>
      <c r="DS46" s="68" t="str">
        <f ca="1">IFERROR(IF(AND(ISNUMBER(Futs!$CK46), ISNUMBER($DN46)), Futs!$CK46 + $DN46, ""), "")</f>
        <v/>
      </c>
      <c r="DT46" s="46" t="str">
        <f ca="1">IFERROR(IF(AND(ISNUMBER(Futs!$CL46), ISNUMBER($DP46)), Futs!$CL46 + $DP46, ""), "")</f>
        <v/>
      </c>
      <c r="DU46" s="68" t="str">
        <f t="shared" ca="1" si="170"/>
        <v/>
      </c>
      <c r="DV46" s="111" t="str">
        <f t="shared" ca="1" si="171"/>
        <v/>
      </c>
    </row>
    <row r="47" spans="1:126" x14ac:dyDescent="0.25">
      <c r="A47" s="58">
        <f t="shared" ca="1" si="123"/>
        <v>47119</v>
      </c>
      <c r="B47" s="6">
        <f t="shared" ca="1" si="102"/>
        <v>2029</v>
      </c>
      <c r="C47" s="6" t="str">
        <f t="shared" ca="1" si="120"/>
        <v>Q129</v>
      </c>
      <c r="D47" s="28" t="e">
        <f ca="1">INDEX(ICE[], MATCH(D$18 &amp; TEXT(Mid!$A47, "mmmyy"), ICE[LongCode], 0), MATCH("Settle", ICE[#Headers], 0))</f>
        <v>#N/A</v>
      </c>
      <c r="E47" s="28" t="e">
        <f ca="1">INDEX(ICE[], MATCH(E$18 &amp; TEXT(Mid!$A47, "mmmyy"), ICE[LongCode], 0), MATCH("Settle", ICE[#Headers], 0))</f>
        <v>#N/A</v>
      </c>
      <c r="F47" s="28" t="e">
        <f ca="1">INDEX(ICE[], MATCH(F$18 &amp; TEXT(Mid!$A47, "mmmyy"), ICE[LongCode], 0), MATCH("Settle", ICE[#Headers], 0))</f>
        <v>#N/A</v>
      </c>
      <c r="G47" s="28" t="e">
        <f ca="1">INDEX(ICE[], MATCH(G$18 &amp; TEXT(Mid!$A47, "mmmyy"), ICE[LongCode], 0), MATCH("Settle", ICE[#Headers], 0))</f>
        <v>#N/A</v>
      </c>
      <c r="H47" s="28" t="e">
        <f ca="1">INDEX(ICE[], MATCH(H$18 &amp; TEXT(Mid!$A47, "mmmyy"), ICE[LongCode], 0), MATCH("Settle", ICE[#Headers], 0))</f>
        <v>#N/A</v>
      </c>
      <c r="I47" s="28" t="e">
        <f ca="1">INDEX(ICE[], MATCH(I$18 &amp; TEXT(Mid!$A47, "mmmyy"), ICE[LongCode], 0), MATCH("Settle", ICE[#Headers], 0))</f>
        <v>#N/A</v>
      </c>
      <c r="J47" s="28" t="e">
        <f ca="1">INDEX(ICE[], MATCH(J$18 &amp; TEXT(Mid!$A47, "mmmyy"), ICE[LongCode], 0), MATCH("Settle", ICE[#Headers], 0))</f>
        <v>#N/A</v>
      </c>
      <c r="K47" s="28" t="e">
        <f ca="1">INDEX(ICE[], MATCH(K$18 &amp; TEXT(Mid!$A47, "mmmyy"), ICE[LongCode], 0), MATCH("Settle", ICE[#Headers], 0))</f>
        <v>#N/A</v>
      </c>
      <c r="L47" s="28" t="e">
        <f ca="1">INDEX(ICE[], MATCH(L$18 &amp; TEXT(Mid!$A47, "mmmyy"), ICE[LongCode], 0), MATCH("Settle", ICE[#Headers], 0))</f>
        <v>#N/A</v>
      </c>
      <c r="M47" s="28" t="e">
        <f ca="1">INDEX(ICE[], MATCH(M$18 &amp; TEXT(Mid!$A47, "mmmyy"), ICE[LongCode], 0), MATCH("Settle", ICE[#Headers], 0))</f>
        <v>#N/A</v>
      </c>
      <c r="N47" s="28" t="e">
        <f ca="1">INDEX(ICE[], MATCH(N$18 &amp; TEXT(Mid!$A47, "mmmyy"), ICE[LongCode], 0), MATCH("Settle", ICE[#Headers], 0))*100</f>
        <v>#N/A</v>
      </c>
      <c r="O47" s="397"/>
      <c r="P47" s="372" t="str">
        <f ca="1">IFERROR(INDEX(ICE[], MATCH("jetccndiff" &amp; TEXT(Mid!$A47, "mmmyy"), ICE[LongCode], 0), MATCH("Text", ICE[#Headers], 0)), "")</f>
        <v/>
      </c>
      <c r="Q47" s="46" t="str">
        <f t="shared" ca="1" si="103"/>
        <v/>
      </c>
      <c r="R47" s="47" t="str">
        <f t="shared" si="121"/>
        <v/>
      </c>
      <c r="S47" s="114" t="str">
        <f t="shared" ca="1" si="124"/>
        <v/>
      </c>
      <c r="T47" s="49" t="str">
        <f ca="1">IFERROR(IF(AND(ISNUMBER(Futs!$CG47), ISNUMBER($O47)), Futs!$CG47 + $O47, ""), "")</f>
        <v/>
      </c>
      <c r="U47" s="46" t="str">
        <f ca="1">IFERROR(IF(AND(ISNUMBER(Futs!$CH47), ISNUMBER($Q47)), Futs!$CH47 + $Q47, ""), "")</f>
        <v/>
      </c>
      <c r="V47" s="47" t="str">
        <f t="shared" ca="1" si="125"/>
        <v/>
      </c>
      <c r="W47" s="46" t="str">
        <f t="shared" ca="1" si="126"/>
        <v/>
      </c>
      <c r="X47" s="427" t="str">
        <f ca="1">IFERROR(IF(AND(ISNUMBER(Futs!$CC47), ISNUMBER($T47)), $T47/7.88 - Futs!$CC47, ""), "")</f>
        <v/>
      </c>
      <c r="Y47" s="46" t="str">
        <f ca="1">IFERROR(IF(AND(ISNUMBER(Futs!$DV47), ISNUMBER($Q47)), Futs!$DV47 + $Q47/7.88, ""), "")</f>
        <v/>
      </c>
      <c r="Z47" s="47" t="str">
        <f t="shared" ca="1" si="127"/>
        <v/>
      </c>
      <c r="AA47" s="111" t="str">
        <f t="shared" ca="1" si="128"/>
        <v/>
      </c>
      <c r="AB47" s="400"/>
      <c r="AC47" s="372" t="str">
        <f ca="1">IFERROR(INDEX(ICE[], MATCH("goew" &amp; TEXT(Mid!$A47, "mmmyy"), ICE[LongCode], 0), MATCH("Text", ICE[#Headers], 0)), "")</f>
        <v/>
      </c>
      <c r="AD47" s="46" t="str">
        <f t="shared" ca="1" si="104"/>
        <v/>
      </c>
      <c r="AE47" s="68" t="str">
        <f t="shared" si="129"/>
        <v/>
      </c>
      <c r="AF47" s="46" t="str">
        <f t="shared" ca="1" si="130"/>
        <v/>
      </c>
      <c r="AG47" s="265" t="str">
        <f ca="1">IFERROR(IF(AND(ISNUMBER(Futs!$BM47), ISNUMBER($AH47)), $AH47*7.45 - Futs!$BM47, ""), "")</f>
        <v/>
      </c>
      <c r="AH47" s="187" t="str">
        <f ca="1">IFERROR(IF(AND(ISNUMBER(Futs!$CG47), ISNUMBER($AB47)), (Futs!$CG47 + $AB47)/7.45, ""), "")</f>
        <v/>
      </c>
      <c r="AI47" s="46" t="str">
        <f ca="1">IFERROR(IF(AND(ISNUMBER(Futs!$CH47), ISNUMBER($AD47)), (Futs!$CH47 + $AD47)/7.45, ""), "")</f>
        <v/>
      </c>
      <c r="AJ47" s="68" t="str">
        <f t="shared" ca="1" si="131"/>
        <v/>
      </c>
      <c r="AK47" s="364" t="str">
        <f ca="1">IFERROR(INDEX(ICE[], MATCH("brdtd" &amp; TEXT(Crd!$A47, "mmmyy"), ICE[LongCode], 0), MATCH("Text", ICE[#Headers], 0)), "")</f>
        <v/>
      </c>
      <c r="AL47" s="46" t="str">
        <f t="shared" ca="1" si="132"/>
        <v/>
      </c>
      <c r="AM47" s="427" t="str">
        <f ca="1">IFERROR(IF(AND(ISNUMBER(Futs!$CC47), ISNUMBER($AH47)), $AH47 - Futs!$CC47, ""), "")</f>
        <v/>
      </c>
      <c r="AN47" s="46" t="str">
        <f ca="1">IFERROR(IF(AND(ISNUMBER(Futs!$DV47), ISNUMBER($AD47)), $AD47/7.45 + Futs!$DV47, ""), "")</f>
        <v/>
      </c>
      <c r="AO47" s="47" t="str">
        <f t="shared" ca="1" si="133"/>
        <v/>
      </c>
      <c r="AP47" s="111" t="str">
        <f t="shared" ca="1" si="134"/>
        <v/>
      </c>
      <c r="AQ47" s="400"/>
      <c r="AR47" s="46" t="str">
        <f t="shared" ca="1" si="106"/>
        <v/>
      </c>
      <c r="AS47" s="68" t="str">
        <f t="shared" si="135"/>
        <v/>
      </c>
      <c r="AT47" s="46" t="str">
        <f t="shared" ca="1" si="136"/>
        <v/>
      </c>
      <c r="AU47" s="271" t="str">
        <f t="shared" ca="1" si="107"/>
        <v/>
      </c>
      <c r="AV47" s="46" t="str">
        <f t="shared" ca="1" si="108"/>
        <v/>
      </c>
      <c r="AW47" s="68" t="str">
        <f t="shared" ca="1" si="137"/>
        <v/>
      </c>
      <c r="AX47" s="111" t="str">
        <f t="shared" ca="1" si="138"/>
        <v/>
      </c>
      <c r="AY47" s="400"/>
      <c r="AZ47" s="372" t="str">
        <f ca="1">IFERROR(INDEX(ICE[], MATCH("regrade" &amp; TEXT(Mid!$A47, "mmmyy"), ICE[LongCode], 0), MATCH("Text", ICE[#Headers], 0)), "")</f>
        <v/>
      </c>
      <c r="BA47" s="46" t="str">
        <f t="shared" ca="1" si="109"/>
        <v/>
      </c>
      <c r="BB47" s="68" t="str">
        <f t="shared" si="172"/>
        <v/>
      </c>
      <c r="BC47" s="114" t="str">
        <f t="shared" ca="1" si="139"/>
        <v/>
      </c>
      <c r="BD47" s="68" t="str">
        <f t="shared" ca="1" si="110"/>
        <v/>
      </c>
      <c r="BE47" s="46" t="str">
        <f t="shared" ca="1" si="111"/>
        <v/>
      </c>
      <c r="BF47" s="68" t="str">
        <f t="shared" ca="1" si="140"/>
        <v/>
      </c>
      <c r="BG47" s="111" t="str">
        <f t="shared" ca="1" si="141"/>
        <v/>
      </c>
      <c r="BH47" s="68" t="str">
        <f t="shared" ca="1" si="122"/>
        <v/>
      </c>
      <c r="BI47" s="46" t="str">
        <f t="shared" ca="1" si="112"/>
        <v/>
      </c>
      <c r="BJ47" s="68" t="str">
        <f t="shared" ca="1" si="142"/>
        <v/>
      </c>
      <c r="BK47" s="111" t="str">
        <f t="shared" ca="1" si="143"/>
        <v/>
      </c>
      <c r="BL47" s="400"/>
      <c r="BM47" s="372" t="str">
        <f ca="1">IFERROR(INDEX(ICE[], MATCH("ulsdaradiff" &amp; TEXT(Mid!$A47, "mmmyy"), ICE[LongCode], 0), MATCH("Text", ICE[#Headers], 0)), "")</f>
        <v/>
      </c>
      <c r="BN47" s="46" t="str">
        <f t="shared" ca="1" si="113"/>
        <v/>
      </c>
      <c r="BO47" s="68" t="str">
        <f t="shared" si="144"/>
        <v/>
      </c>
      <c r="BP47" s="114" t="str">
        <f t="shared" ca="1" si="145"/>
        <v/>
      </c>
      <c r="BQ47" s="68" t="str">
        <f ca="1">IFERROR(IF(AND(ISNUMBER(Futs!$CG47), ISNUMBER($BL47)), Futs!$CG47 + $BL47, ""), "")</f>
        <v/>
      </c>
      <c r="BR47" s="46" t="str">
        <f ca="1">IFERROR(IF(AND(ISNUMBER(Futs!$CH47), ISNUMBER($BN47)), Futs!$CH47 + $BN47, ""), "")</f>
        <v/>
      </c>
      <c r="BS47" s="68" t="str">
        <f t="shared" ca="1" si="146"/>
        <v/>
      </c>
      <c r="BT47" s="111" t="str">
        <f t="shared" ca="1" si="147"/>
        <v/>
      </c>
      <c r="BU47" s="400"/>
      <c r="BV47" s="372" t="str">
        <f ca="1">IFERROR(INDEX(ICE[], MATCH("ulsdccndiff" &amp; TEXT(Mid!$A47, "mmmyy"), ICE[LongCode], 0), MATCH("Text", ICE[#Headers], 0)), "")</f>
        <v/>
      </c>
      <c r="BW47" s="46" t="str">
        <f t="shared" ca="1" si="114"/>
        <v/>
      </c>
      <c r="BX47" s="68" t="str">
        <f t="shared" si="148"/>
        <v/>
      </c>
      <c r="BY47" s="114" t="str">
        <f t="shared" ca="1" si="149"/>
        <v/>
      </c>
      <c r="BZ47" s="68" t="str">
        <f ca="1">IFERROR(IF(AND(ISNUMBER(Futs!$CG47), ISNUMBER($BU47)), Futs!$CG47 + $BU47, ""), "")</f>
        <v/>
      </c>
      <c r="CA47" s="46" t="str">
        <f ca="1">IFERROR(IF(AND(ISNUMBER(Futs!$CH47), ISNUMBER($BW47)), Futs!$CH47 + $BW47, ""), "")</f>
        <v/>
      </c>
      <c r="CB47" s="68" t="str">
        <f t="shared" ca="1" si="150"/>
        <v/>
      </c>
      <c r="CC47" s="111" t="str">
        <f t="shared" ca="1" si="151"/>
        <v/>
      </c>
      <c r="CD47" s="400"/>
      <c r="CE47" s="372" t="str">
        <f ca="1">IFERROR(INDEX(ICE[], MATCH("ulsdccmdiff" &amp; TEXT(Mid!$A47, "mmmyy"), ICE[LongCode], 0), MATCH("Text", ICE[#Headers], 0)), "")</f>
        <v/>
      </c>
      <c r="CF47" s="46" t="str">
        <f t="shared" ca="1" si="115"/>
        <v/>
      </c>
      <c r="CG47" s="68" t="str">
        <f t="shared" si="152"/>
        <v/>
      </c>
      <c r="CH47" s="114" t="str">
        <f t="shared" ca="1" si="153"/>
        <v/>
      </c>
      <c r="CI47" s="68" t="str">
        <f ca="1">IFERROR(IF(AND(ISNUMBER(Futs!$CG47), ISNUMBER($CD47)), Futs!$CG47 + $CD47, ""), "")</f>
        <v/>
      </c>
      <c r="CJ47" s="67" t="str">
        <f ca="1">IFERROR(IF(AND(ISNUMBER(Futs!$CH47), ISNUMBER($CF47)), Futs!$CH47 + $CF47, ""), "")</f>
        <v/>
      </c>
      <c r="CK47" s="68" t="str">
        <f t="shared" ca="1" si="154"/>
        <v/>
      </c>
      <c r="CL47" s="111" t="str">
        <f t="shared" ca="1" si="155"/>
        <v/>
      </c>
      <c r="CM47" s="400"/>
      <c r="CN47" s="372" t="str">
        <f ca="1">IFERROR(INDEX(ICE[], MATCH("go01bfrdiff" &amp; TEXT(Mid!$A47, "mmmyy"), ICE[LongCode], 0), MATCH("Text", ICE[#Headers], 0)), "")</f>
        <v/>
      </c>
      <c r="CO47" s="46" t="str">
        <f t="shared" ca="1" si="116"/>
        <v/>
      </c>
      <c r="CP47" s="68" t="str">
        <f t="shared" si="156"/>
        <v/>
      </c>
      <c r="CQ47" s="114" t="str">
        <f t="shared" ca="1" si="157"/>
        <v/>
      </c>
      <c r="CR47" s="68" t="str">
        <f ca="1">IFERROR(IF(AND(ISNUMBER(Futs!$CG47), ISNUMBER($CM47)), Futs!$CG47 + $CM47, ""), "")</f>
        <v/>
      </c>
      <c r="CS47" s="46" t="str">
        <f ca="1">IFERROR(IF(AND(ISNUMBER(Futs!$CH47), ISNUMBER($CO47)), Futs!$CH47 + $CO47, ""), "")</f>
        <v/>
      </c>
      <c r="CT47" s="68" t="str">
        <f t="shared" ca="1" si="158"/>
        <v/>
      </c>
      <c r="CU47" s="111" t="str">
        <f t="shared" ca="1" si="159"/>
        <v/>
      </c>
      <c r="CV47" s="400"/>
      <c r="CW47" s="372" t="str">
        <f ca="1">IFERROR(INDEX(ICE[], MATCH("go01ccndiff" &amp; TEXT(Mid!$A47, "mmmyy"), ICE[LongCode], 0), MATCH("Text", ICE[#Headers], 0)), "")</f>
        <v/>
      </c>
      <c r="CX47" s="46" t="str">
        <f t="shared" ca="1" si="117"/>
        <v/>
      </c>
      <c r="CY47" s="68" t="str">
        <f t="shared" si="160"/>
        <v/>
      </c>
      <c r="CZ47" s="114" t="str">
        <f t="shared" ca="1" si="161"/>
        <v/>
      </c>
      <c r="DA47" s="68" t="str">
        <f ca="1">IFERROR(IF(AND(ISNUMBER(Futs!$CG47), ISNUMBER($CV47)), Futs!$CG47 + $CV47, ""), "")</f>
        <v/>
      </c>
      <c r="DB47" s="46" t="str">
        <f ca="1">IFERROR(IF(AND(ISNUMBER(Futs!$CH47), ISNUMBER($CX47)), Futs!$CH47 + $CX47, ""), "")</f>
        <v/>
      </c>
      <c r="DC47" s="68" t="str">
        <f t="shared" ca="1" si="162"/>
        <v/>
      </c>
      <c r="DD47" s="111" t="str">
        <f t="shared" ca="1" si="163"/>
        <v/>
      </c>
      <c r="DE47" s="400"/>
      <c r="DF47" s="372" t="str">
        <f ca="1">IFERROR(INDEX(ICE[], MATCH("go01ccmdiff" &amp; TEXT(Mid!$A47, "mmmyy"), ICE[LongCode], 0), MATCH("Text", ICE[#Headers], 0)), "")</f>
        <v/>
      </c>
      <c r="DG47" s="46" t="str">
        <f t="shared" ca="1" si="118"/>
        <v/>
      </c>
      <c r="DH47" s="68" t="str">
        <f t="shared" si="164"/>
        <v/>
      </c>
      <c r="DI47" s="114" t="str">
        <f t="shared" ca="1" si="165"/>
        <v/>
      </c>
      <c r="DJ47" s="68" t="str">
        <f ca="1">IFERROR(IF(AND(ISNUMBER(Futs!$CG47), ISNUMBER($DE47)), Futs!$CG47 + $DE47, ""), "")</f>
        <v/>
      </c>
      <c r="DK47" s="46" t="str">
        <f ca="1">IFERROR(IF(AND(ISNUMBER(Futs!$CH47), ISNUMBER($DG47)), Futs!$CH47 + $DG47, ""), "")</f>
        <v/>
      </c>
      <c r="DL47" s="68" t="str">
        <f t="shared" ca="1" si="166"/>
        <v/>
      </c>
      <c r="DM47" s="111" t="str">
        <f t="shared" ca="1" si="167"/>
        <v/>
      </c>
      <c r="DN47" s="400"/>
      <c r="DO47" s="372" t="str">
        <f ca="1">IFERROR(INDEX(ICE[], MATCH("ulsdgc" &amp; TEXT(Mid!$A47, "mmmyy"), ICE[LongCode], 0), MATCH("Text", ICE[#Headers], 0)), "")</f>
        <v/>
      </c>
      <c r="DP47" s="46" t="str">
        <f t="shared" ca="1" si="119"/>
        <v/>
      </c>
      <c r="DQ47" s="68" t="str">
        <f t="shared" si="168"/>
        <v/>
      </c>
      <c r="DR47" s="114" t="str">
        <f t="shared" ca="1" si="169"/>
        <v/>
      </c>
      <c r="DS47" s="68" t="str">
        <f ca="1">IFERROR(IF(AND(ISNUMBER(Futs!$CK47), ISNUMBER($DN47)), Futs!$CK47 + $DN47, ""), "")</f>
        <v/>
      </c>
      <c r="DT47" s="46" t="str">
        <f ca="1">IFERROR(IF(AND(ISNUMBER(Futs!$CL47), ISNUMBER($DP47)), Futs!$CL47 + $DP47, ""), "")</f>
        <v/>
      </c>
      <c r="DU47" s="68" t="str">
        <f t="shared" ca="1" si="170"/>
        <v/>
      </c>
      <c r="DV47" s="111" t="str">
        <f t="shared" ca="1" si="171"/>
        <v/>
      </c>
    </row>
    <row r="48" spans="1:126" x14ac:dyDescent="0.25">
      <c r="A48" s="58">
        <f t="shared" ca="1" si="123"/>
        <v>47150</v>
      </c>
      <c r="B48" s="6">
        <f t="shared" ca="1" si="102"/>
        <v>2029</v>
      </c>
      <c r="C48" s="6" t="str">
        <f t="shared" ca="1" si="120"/>
        <v>Q129</v>
      </c>
      <c r="D48" s="28" t="e">
        <f ca="1">INDEX(ICE[], MATCH(D$18 &amp; TEXT(Mid!$A48, "mmmyy"), ICE[LongCode], 0), MATCH("Settle", ICE[#Headers], 0))</f>
        <v>#N/A</v>
      </c>
      <c r="E48" s="28" t="e">
        <f ca="1">INDEX(ICE[], MATCH(E$18 &amp; TEXT(Mid!$A48, "mmmyy"), ICE[LongCode], 0), MATCH("Settle", ICE[#Headers], 0))</f>
        <v>#N/A</v>
      </c>
      <c r="F48" s="28" t="e">
        <f ca="1">INDEX(ICE[], MATCH(F$18 &amp; TEXT(Mid!$A48, "mmmyy"), ICE[LongCode], 0), MATCH("Settle", ICE[#Headers], 0))</f>
        <v>#N/A</v>
      </c>
      <c r="G48" s="28" t="e">
        <f ca="1">INDEX(ICE[], MATCH(G$18 &amp; TEXT(Mid!$A48, "mmmyy"), ICE[LongCode], 0), MATCH("Settle", ICE[#Headers], 0))</f>
        <v>#N/A</v>
      </c>
      <c r="H48" s="28" t="e">
        <f ca="1">INDEX(ICE[], MATCH(H$18 &amp; TEXT(Mid!$A48, "mmmyy"), ICE[LongCode], 0), MATCH("Settle", ICE[#Headers], 0))</f>
        <v>#N/A</v>
      </c>
      <c r="I48" s="28" t="e">
        <f ca="1">INDEX(ICE[], MATCH(I$18 &amp; TEXT(Mid!$A48, "mmmyy"), ICE[LongCode], 0), MATCH("Settle", ICE[#Headers], 0))</f>
        <v>#N/A</v>
      </c>
      <c r="J48" s="28" t="e">
        <f ca="1">INDEX(ICE[], MATCH(J$18 &amp; TEXT(Mid!$A48, "mmmyy"), ICE[LongCode], 0), MATCH("Settle", ICE[#Headers], 0))</f>
        <v>#N/A</v>
      </c>
      <c r="K48" s="28" t="e">
        <f ca="1">INDEX(ICE[], MATCH(K$18 &amp; TEXT(Mid!$A48, "mmmyy"), ICE[LongCode], 0), MATCH("Settle", ICE[#Headers], 0))</f>
        <v>#N/A</v>
      </c>
      <c r="L48" s="28" t="e">
        <f ca="1">INDEX(ICE[], MATCH(L$18 &amp; TEXT(Mid!$A48, "mmmyy"), ICE[LongCode], 0), MATCH("Settle", ICE[#Headers], 0))</f>
        <v>#N/A</v>
      </c>
      <c r="M48" s="28" t="e">
        <f ca="1">INDEX(ICE[], MATCH(M$18 &amp; TEXT(Mid!$A48, "mmmyy"), ICE[LongCode], 0), MATCH("Settle", ICE[#Headers], 0))</f>
        <v>#N/A</v>
      </c>
      <c r="N48" s="28" t="e">
        <f ca="1">INDEX(ICE[], MATCH(N$18 &amp; TEXT(Mid!$A48, "mmmyy"), ICE[LongCode], 0), MATCH("Settle", ICE[#Headers], 0))*100</f>
        <v>#N/A</v>
      </c>
      <c r="O48" s="397"/>
      <c r="P48" s="372" t="str">
        <f ca="1">IFERROR(INDEX(ICE[], MATCH("jetccndiff" &amp; TEXT(Mid!$A48, "mmmyy"), ICE[LongCode], 0), MATCH("Text", ICE[#Headers], 0)), "")</f>
        <v/>
      </c>
      <c r="Q48" s="46" t="str">
        <f t="shared" ca="1" si="103"/>
        <v/>
      </c>
      <c r="R48" s="47" t="str">
        <f t="shared" si="121"/>
        <v/>
      </c>
      <c r="S48" s="114" t="str">
        <f t="shared" ca="1" si="124"/>
        <v/>
      </c>
      <c r="T48" s="49" t="str">
        <f ca="1">IFERROR(IF(AND(ISNUMBER(Futs!$CG48), ISNUMBER($O48)), Futs!$CG48 + $O48, ""), "")</f>
        <v/>
      </c>
      <c r="U48" s="46" t="str">
        <f ca="1">IFERROR(IF(AND(ISNUMBER(Futs!$CH48), ISNUMBER($Q48)), Futs!$CH48 + $Q48, ""), "")</f>
        <v/>
      </c>
      <c r="V48" s="47" t="str">
        <f t="shared" ca="1" si="125"/>
        <v/>
      </c>
      <c r="W48" s="46" t="str">
        <f t="shared" ca="1" si="126"/>
        <v/>
      </c>
      <c r="X48" s="427" t="str">
        <f ca="1">IFERROR(IF(AND(ISNUMBER(Futs!$CC48), ISNUMBER($T48)), $T48/7.88 - Futs!$CC48, ""), "")</f>
        <v/>
      </c>
      <c r="Y48" s="46" t="str">
        <f ca="1">IFERROR(IF(AND(ISNUMBER(Futs!$DV48), ISNUMBER($Q48)), Futs!$DV48 + $Q48/7.88, ""), "")</f>
        <v/>
      </c>
      <c r="Z48" s="47" t="str">
        <f t="shared" ca="1" si="127"/>
        <v/>
      </c>
      <c r="AA48" s="111" t="str">
        <f t="shared" ca="1" si="128"/>
        <v/>
      </c>
      <c r="AB48" s="400"/>
      <c r="AC48" s="372" t="str">
        <f ca="1">IFERROR(INDEX(ICE[], MATCH("goew" &amp; TEXT(Mid!$A48, "mmmyy"), ICE[LongCode], 0), MATCH("Text", ICE[#Headers], 0)), "")</f>
        <v/>
      </c>
      <c r="AD48" s="46" t="str">
        <f t="shared" ca="1" si="104"/>
        <v/>
      </c>
      <c r="AE48" s="68" t="str">
        <f t="shared" si="129"/>
        <v/>
      </c>
      <c r="AF48" s="46" t="str">
        <f t="shared" ca="1" si="130"/>
        <v/>
      </c>
      <c r="AG48" s="265" t="str">
        <f ca="1">IFERROR(IF(AND(ISNUMBER(Futs!$BM48), ISNUMBER($AH48)), $AH48*7.45 - Futs!$BM48, ""), "")</f>
        <v/>
      </c>
      <c r="AH48" s="187" t="str">
        <f ca="1">IFERROR(IF(AND(ISNUMBER(Futs!$CG48), ISNUMBER($AB48)), (Futs!$CG48 + $AB48)/7.45, ""), "")</f>
        <v/>
      </c>
      <c r="AI48" s="46" t="str">
        <f ca="1">IFERROR(IF(AND(ISNUMBER(Futs!$CH48), ISNUMBER($AD48)), (Futs!$CH48 + $AD48)/7.45, ""), "")</f>
        <v/>
      </c>
      <c r="AJ48" s="68" t="str">
        <f t="shared" ca="1" si="131"/>
        <v/>
      </c>
      <c r="AK48" s="364" t="str">
        <f ca="1">IFERROR(INDEX(ICE[], MATCH("brdtd" &amp; TEXT(Crd!$A48, "mmmyy"), ICE[LongCode], 0), MATCH("Text", ICE[#Headers], 0)), "")</f>
        <v/>
      </c>
      <c r="AL48" s="46" t="str">
        <f t="shared" ca="1" si="132"/>
        <v/>
      </c>
      <c r="AM48" s="427" t="str">
        <f ca="1">IFERROR(IF(AND(ISNUMBER(Futs!$CC48), ISNUMBER($AH48)), $AH48 - Futs!$CC48, ""), "")</f>
        <v/>
      </c>
      <c r="AN48" s="46" t="str">
        <f ca="1">IFERROR(IF(AND(ISNUMBER(Futs!$DV48), ISNUMBER($AD48)), $AD48/7.45 + Futs!$DV48, ""), "")</f>
        <v/>
      </c>
      <c r="AO48" s="47" t="str">
        <f t="shared" ca="1" si="133"/>
        <v/>
      </c>
      <c r="AP48" s="111" t="str">
        <f t="shared" ca="1" si="134"/>
        <v/>
      </c>
      <c r="AQ48" s="400"/>
      <c r="AR48" s="46" t="str">
        <f t="shared" ca="1" si="106"/>
        <v/>
      </c>
      <c r="AS48" s="68" t="str">
        <f t="shared" si="135"/>
        <v/>
      </c>
      <c r="AT48" s="46" t="str">
        <f t="shared" ca="1" si="136"/>
        <v/>
      </c>
      <c r="AU48" s="271" t="str">
        <f t="shared" ca="1" si="107"/>
        <v/>
      </c>
      <c r="AV48" s="46" t="str">
        <f t="shared" ca="1" si="108"/>
        <v/>
      </c>
      <c r="AW48" s="68" t="str">
        <f t="shared" ca="1" si="137"/>
        <v/>
      </c>
      <c r="AX48" s="111" t="str">
        <f t="shared" ca="1" si="138"/>
        <v/>
      </c>
      <c r="AY48" s="400"/>
      <c r="AZ48" s="372" t="str">
        <f ca="1">IFERROR(INDEX(ICE[], MATCH("regrade" &amp; TEXT(Mid!$A48, "mmmyy"), ICE[LongCode], 0), MATCH("Text", ICE[#Headers], 0)), "")</f>
        <v/>
      </c>
      <c r="BA48" s="46" t="str">
        <f t="shared" ca="1" si="109"/>
        <v/>
      </c>
      <c r="BB48" s="68" t="str">
        <f t="shared" si="172"/>
        <v/>
      </c>
      <c r="BC48" s="114" t="str">
        <f t="shared" ca="1" si="139"/>
        <v/>
      </c>
      <c r="BD48" s="68" t="str">
        <f t="shared" ca="1" si="110"/>
        <v/>
      </c>
      <c r="BE48" s="46" t="str">
        <f t="shared" ca="1" si="111"/>
        <v/>
      </c>
      <c r="BF48" s="68" t="str">
        <f t="shared" ca="1" si="140"/>
        <v/>
      </c>
      <c r="BG48" s="111" t="str">
        <f t="shared" ca="1" si="141"/>
        <v/>
      </c>
      <c r="BH48" s="68" t="str">
        <f t="shared" ca="1" si="122"/>
        <v/>
      </c>
      <c r="BI48" s="46" t="str">
        <f t="shared" ca="1" si="112"/>
        <v/>
      </c>
      <c r="BJ48" s="68" t="str">
        <f t="shared" ca="1" si="142"/>
        <v/>
      </c>
      <c r="BK48" s="111" t="str">
        <f t="shared" ca="1" si="143"/>
        <v/>
      </c>
      <c r="BL48" s="400"/>
      <c r="BM48" s="372" t="str">
        <f ca="1">IFERROR(INDEX(ICE[], MATCH("ulsdaradiff" &amp; TEXT(Mid!$A48, "mmmyy"), ICE[LongCode], 0), MATCH("Text", ICE[#Headers], 0)), "")</f>
        <v/>
      </c>
      <c r="BN48" s="46" t="str">
        <f t="shared" ca="1" si="113"/>
        <v/>
      </c>
      <c r="BO48" s="68" t="str">
        <f t="shared" si="144"/>
        <v/>
      </c>
      <c r="BP48" s="114" t="str">
        <f t="shared" ca="1" si="145"/>
        <v/>
      </c>
      <c r="BQ48" s="68" t="str">
        <f ca="1">IFERROR(IF(AND(ISNUMBER(Futs!$CG48), ISNUMBER($BL48)), Futs!$CG48 + $BL48, ""), "")</f>
        <v/>
      </c>
      <c r="BR48" s="46" t="str">
        <f ca="1">IFERROR(IF(AND(ISNUMBER(Futs!$CH48), ISNUMBER($BN48)), Futs!$CH48 + $BN48, ""), "")</f>
        <v/>
      </c>
      <c r="BS48" s="68" t="str">
        <f t="shared" ca="1" si="146"/>
        <v/>
      </c>
      <c r="BT48" s="111" t="str">
        <f t="shared" ca="1" si="147"/>
        <v/>
      </c>
      <c r="BU48" s="400"/>
      <c r="BV48" s="372" t="str">
        <f ca="1">IFERROR(INDEX(ICE[], MATCH("ulsdccndiff" &amp; TEXT(Mid!$A48, "mmmyy"), ICE[LongCode], 0), MATCH("Text", ICE[#Headers], 0)), "")</f>
        <v/>
      </c>
      <c r="BW48" s="46" t="str">
        <f t="shared" ca="1" si="114"/>
        <v/>
      </c>
      <c r="BX48" s="68" t="str">
        <f t="shared" si="148"/>
        <v/>
      </c>
      <c r="BY48" s="114" t="str">
        <f t="shared" ca="1" si="149"/>
        <v/>
      </c>
      <c r="BZ48" s="68" t="str">
        <f ca="1">IFERROR(IF(AND(ISNUMBER(Futs!$CG48), ISNUMBER($BU48)), Futs!$CG48 + $BU48, ""), "")</f>
        <v/>
      </c>
      <c r="CA48" s="46" t="str">
        <f ca="1">IFERROR(IF(AND(ISNUMBER(Futs!$CH48), ISNUMBER($BW48)), Futs!$CH48 + $BW48, ""), "")</f>
        <v/>
      </c>
      <c r="CB48" s="68" t="str">
        <f t="shared" ca="1" si="150"/>
        <v/>
      </c>
      <c r="CC48" s="111" t="str">
        <f t="shared" ca="1" si="151"/>
        <v/>
      </c>
      <c r="CD48" s="400"/>
      <c r="CE48" s="372" t="str">
        <f ca="1">IFERROR(INDEX(ICE[], MATCH("ulsdccmdiff" &amp; TEXT(Mid!$A48, "mmmyy"), ICE[LongCode], 0), MATCH("Text", ICE[#Headers], 0)), "")</f>
        <v/>
      </c>
      <c r="CF48" s="46" t="str">
        <f t="shared" ca="1" si="115"/>
        <v/>
      </c>
      <c r="CG48" s="68" t="str">
        <f t="shared" si="152"/>
        <v/>
      </c>
      <c r="CH48" s="114" t="str">
        <f t="shared" ca="1" si="153"/>
        <v/>
      </c>
      <c r="CI48" s="68" t="str">
        <f ca="1">IFERROR(IF(AND(ISNUMBER(Futs!$CG48), ISNUMBER($CD48)), Futs!$CG48 + $CD48, ""), "")</f>
        <v/>
      </c>
      <c r="CJ48" s="67" t="str">
        <f ca="1">IFERROR(IF(AND(ISNUMBER(Futs!$CH48), ISNUMBER($CF48)), Futs!$CH48 + $CF48, ""), "")</f>
        <v/>
      </c>
      <c r="CK48" s="68" t="str">
        <f t="shared" ca="1" si="154"/>
        <v/>
      </c>
      <c r="CL48" s="111" t="str">
        <f t="shared" ca="1" si="155"/>
        <v/>
      </c>
      <c r="CM48" s="400"/>
      <c r="CN48" s="372" t="str">
        <f ca="1">IFERROR(INDEX(ICE[], MATCH("go01bfrdiff" &amp; TEXT(Mid!$A48, "mmmyy"), ICE[LongCode], 0), MATCH("Text", ICE[#Headers], 0)), "")</f>
        <v/>
      </c>
      <c r="CO48" s="46" t="str">
        <f t="shared" ca="1" si="116"/>
        <v/>
      </c>
      <c r="CP48" s="68" t="str">
        <f t="shared" si="156"/>
        <v/>
      </c>
      <c r="CQ48" s="114" t="str">
        <f t="shared" ca="1" si="157"/>
        <v/>
      </c>
      <c r="CR48" s="68" t="str">
        <f ca="1">IFERROR(IF(AND(ISNUMBER(Futs!$CG48), ISNUMBER($CM48)), Futs!$CG48 + $CM48, ""), "")</f>
        <v/>
      </c>
      <c r="CS48" s="46" t="str">
        <f ca="1">IFERROR(IF(AND(ISNUMBER(Futs!$CH48), ISNUMBER($CO48)), Futs!$CH48 + $CO48, ""), "")</f>
        <v/>
      </c>
      <c r="CT48" s="68" t="str">
        <f t="shared" ca="1" si="158"/>
        <v/>
      </c>
      <c r="CU48" s="111" t="str">
        <f t="shared" ca="1" si="159"/>
        <v/>
      </c>
      <c r="CV48" s="400"/>
      <c r="CW48" s="372" t="str">
        <f ca="1">IFERROR(INDEX(ICE[], MATCH("go01ccndiff" &amp; TEXT(Mid!$A48, "mmmyy"), ICE[LongCode], 0), MATCH("Text", ICE[#Headers], 0)), "")</f>
        <v/>
      </c>
      <c r="CX48" s="46" t="str">
        <f t="shared" ca="1" si="117"/>
        <v/>
      </c>
      <c r="CY48" s="68" t="str">
        <f t="shared" si="160"/>
        <v/>
      </c>
      <c r="CZ48" s="114" t="str">
        <f t="shared" ca="1" si="161"/>
        <v/>
      </c>
      <c r="DA48" s="68" t="str">
        <f ca="1">IFERROR(IF(AND(ISNUMBER(Futs!$CG48), ISNUMBER($CV48)), Futs!$CG48 + $CV48, ""), "")</f>
        <v/>
      </c>
      <c r="DB48" s="46" t="str">
        <f ca="1">IFERROR(IF(AND(ISNUMBER(Futs!$CH48), ISNUMBER($CX48)), Futs!$CH48 + $CX48, ""), "")</f>
        <v/>
      </c>
      <c r="DC48" s="68" t="str">
        <f t="shared" ca="1" si="162"/>
        <v/>
      </c>
      <c r="DD48" s="111" t="str">
        <f t="shared" ca="1" si="163"/>
        <v/>
      </c>
      <c r="DE48" s="400"/>
      <c r="DF48" s="372" t="str">
        <f ca="1">IFERROR(INDEX(ICE[], MATCH("go01ccmdiff" &amp; TEXT(Mid!$A48, "mmmyy"), ICE[LongCode], 0), MATCH("Text", ICE[#Headers], 0)), "")</f>
        <v/>
      </c>
      <c r="DG48" s="46" t="str">
        <f t="shared" ca="1" si="118"/>
        <v/>
      </c>
      <c r="DH48" s="68" t="str">
        <f t="shared" si="164"/>
        <v/>
      </c>
      <c r="DI48" s="114" t="str">
        <f t="shared" ca="1" si="165"/>
        <v/>
      </c>
      <c r="DJ48" s="68" t="str">
        <f ca="1">IFERROR(IF(AND(ISNUMBER(Futs!$CG48), ISNUMBER($DE48)), Futs!$CG48 + $DE48, ""), "")</f>
        <v/>
      </c>
      <c r="DK48" s="46" t="str">
        <f ca="1">IFERROR(IF(AND(ISNUMBER(Futs!$CH48), ISNUMBER($DG48)), Futs!$CH48 + $DG48, ""), "")</f>
        <v/>
      </c>
      <c r="DL48" s="68" t="str">
        <f t="shared" ca="1" si="166"/>
        <v/>
      </c>
      <c r="DM48" s="111" t="str">
        <f t="shared" ca="1" si="167"/>
        <v/>
      </c>
      <c r="DN48" s="400"/>
      <c r="DO48" s="372" t="str">
        <f ca="1">IFERROR(INDEX(ICE[], MATCH("ulsdgc" &amp; TEXT(Mid!$A48, "mmmyy"), ICE[LongCode], 0), MATCH("Text", ICE[#Headers], 0)), "")</f>
        <v/>
      </c>
      <c r="DP48" s="46" t="str">
        <f t="shared" ca="1" si="119"/>
        <v/>
      </c>
      <c r="DQ48" s="68" t="str">
        <f t="shared" si="168"/>
        <v/>
      </c>
      <c r="DR48" s="114" t="str">
        <f t="shared" ca="1" si="169"/>
        <v/>
      </c>
      <c r="DS48" s="68" t="str">
        <f ca="1">IFERROR(IF(AND(ISNUMBER(Futs!$CK48), ISNUMBER($DN48)), Futs!$CK48 + $DN48, ""), "")</f>
        <v/>
      </c>
      <c r="DT48" s="46" t="str">
        <f ca="1">IFERROR(IF(AND(ISNUMBER(Futs!$CL48), ISNUMBER($DP48)), Futs!$CL48 + $DP48, ""), "")</f>
        <v/>
      </c>
      <c r="DU48" s="68" t="str">
        <f t="shared" ca="1" si="170"/>
        <v/>
      </c>
      <c r="DV48" s="111" t="str">
        <f t="shared" ca="1" si="171"/>
        <v/>
      </c>
    </row>
    <row r="49" spans="1:126" x14ac:dyDescent="0.25">
      <c r="A49" s="58">
        <f t="shared" ca="1" si="123"/>
        <v>47178</v>
      </c>
      <c r="B49" s="6">
        <f t="shared" ca="1" si="102"/>
        <v>2029</v>
      </c>
      <c r="C49" s="6" t="str">
        <f t="shared" ca="1" si="120"/>
        <v>Q129</v>
      </c>
      <c r="D49" s="28" t="e">
        <f ca="1">INDEX(ICE[], MATCH(D$18 &amp; TEXT(Mid!$A49, "mmmyy"), ICE[LongCode], 0), MATCH("Settle", ICE[#Headers], 0))</f>
        <v>#N/A</v>
      </c>
      <c r="E49" s="28" t="e">
        <f ca="1">INDEX(ICE[], MATCH(E$18 &amp; TEXT(Mid!$A49, "mmmyy"), ICE[LongCode], 0), MATCH("Settle", ICE[#Headers], 0))</f>
        <v>#N/A</v>
      </c>
      <c r="F49" s="28" t="e">
        <f ca="1">INDEX(ICE[], MATCH(F$18 &amp; TEXT(Mid!$A49, "mmmyy"), ICE[LongCode], 0), MATCH("Settle", ICE[#Headers], 0))</f>
        <v>#N/A</v>
      </c>
      <c r="G49" s="28" t="e">
        <f ca="1">INDEX(ICE[], MATCH(G$18 &amp; TEXT(Mid!$A49, "mmmyy"), ICE[LongCode], 0), MATCH("Settle", ICE[#Headers], 0))</f>
        <v>#N/A</v>
      </c>
      <c r="H49" s="28" t="e">
        <f ca="1">INDEX(ICE[], MATCH(H$18 &amp; TEXT(Mid!$A49, "mmmyy"), ICE[LongCode], 0), MATCH("Settle", ICE[#Headers], 0))</f>
        <v>#N/A</v>
      </c>
      <c r="I49" s="28" t="e">
        <f ca="1">INDEX(ICE[], MATCH(I$18 &amp; TEXT(Mid!$A49, "mmmyy"), ICE[LongCode], 0), MATCH("Settle", ICE[#Headers], 0))</f>
        <v>#N/A</v>
      </c>
      <c r="J49" s="28" t="e">
        <f ca="1">INDEX(ICE[], MATCH(J$18 &amp; TEXT(Mid!$A49, "mmmyy"), ICE[LongCode], 0), MATCH("Settle", ICE[#Headers], 0))</f>
        <v>#N/A</v>
      </c>
      <c r="K49" s="28" t="e">
        <f ca="1">INDEX(ICE[], MATCH(K$18 &amp; TEXT(Mid!$A49, "mmmyy"), ICE[LongCode], 0), MATCH("Settle", ICE[#Headers], 0))</f>
        <v>#N/A</v>
      </c>
      <c r="L49" s="28" t="e">
        <f ca="1">INDEX(ICE[], MATCH(L$18 &amp; TEXT(Mid!$A49, "mmmyy"), ICE[LongCode], 0), MATCH("Settle", ICE[#Headers], 0))</f>
        <v>#N/A</v>
      </c>
      <c r="M49" s="28" t="e">
        <f ca="1">INDEX(ICE[], MATCH(M$18 &amp; TEXT(Mid!$A49, "mmmyy"), ICE[LongCode], 0), MATCH("Settle", ICE[#Headers], 0))</f>
        <v>#N/A</v>
      </c>
      <c r="N49" s="28" t="e">
        <f ca="1">INDEX(ICE[], MATCH(N$18 &amp; TEXT(Mid!$A49, "mmmyy"), ICE[LongCode], 0), MATCH("Settle", ICE[#Headers], 0))*100</f>
        <v>#N/A</v>
      </c>
      <c r="O49" s="397"/>
      <c r="P49" s="372" t="str">
        <f ca="1">IFERROR(INDEX(ICE[], MATCH("jetccndiff" &amp; TEXT(Mid!$A49, "mmmyy"), ICE[LongCode], 0), MATCH("Text", ICE[#Headers], 0)), "")</f>
        <v/>
      </c>
      <c r="Q49" s="46" t="str">
        <f t="shared" ca="1" si="103"/>
        <v/>
      </c>
      <c r="R49" s="47" t="str">
        <f t="shared" si="121"/>
        <v/>
      </c>
      <c r="S49" s="114" t="str">
        <f t="shared" ca="1" si="124"/>
        <v/>
      </c>
      <c r="T49" s="49" t="str">
        <f ca="1">IFERROR(IF(AND(ISNUMBER(Futs!$CG49), ISNUMBER($O49)), Futs!$CG49 + $O49, ""), "")</f>
        <v/>
      </c>
      <c r="U49" s="46" t="str">
        <f ca="1">IFERROR(IF(AND(ISNUMBER(Futs!$CH49), ISNUMBER($Q49)), Futs!$CH49 + $Q49, ""), "")</f>
        <v/>
      </c>
      <c r="V49" s="47" t="str">
        <f t="shared" ca="1" si="125"/>
        <v/>
      </c>
      <c r="W49" s="46" t="str">
        <f t="shared" ca="1" si="126"/>
        <v/>
      </c>
      <c r="X49" s="427" t="str">
        <f ca="1">IFERROR(IF(AND(ISNUMBER(Futs!$CC49), ISNUMBER($T49)), $T49/7.88 - Futs!$CC49, ""), "")</f>
        <v/>
      </c>
      <c r="Y49" s="46" t="str">
        <f ca="1">IFERROR(IF(AND(ISNUMBER(Futs!$DV49), ISNUMBER($Q49)), Futs!$DV49 + $Q49/7.88, ""), "")</f>
        <v/>
      </c>
      <c r="Z49" s="47" t="str">
        <f t="shared" ca="1" si="127"/>
        <v/>
      </c>
      <c r="AA49" s="111" t="str">
        <f t="shared" ca="1" si="128"/>
        <v/>
      </c>
      <c r="AB49" s="400"/>
      <c r="AC49" s="372" t="str">
        <f ca="1">IFERROR(INDEX(ICE[], MATCH("goew" &amp; TEXT(Mid!$A49, "mmmyy"), ICE[LongCode], 0), MATCH("Text", ICE[#Headers], 0)), "")</f>
        <v/>
      </c>
      <c r="AD49" s="46" t="str">
        <f t="shared" ca="1" si="104"/>
        <v/>
      </c>
      <c r="AE49" s="68" t="str">
        <f t="shared" si="129"/>
        <v/>
      </c>
      <c r="AF49" s="46" t="str">
        <f t="shared" ca="1" si="130"/>
        <v/>
      </c>
      <c r="AG49" s="265" t="str">
        <f ca="1">IFERROR(IF(AND(ISNUMBER(Futs!$BM49), ISNUMBER($AH49)), $AH49*7.45 - Futs!$BM49, ""), "")</f>
        <v/>
      </c>
      <c r="AH49" s="187" t="str">
        <f ca="1">IFERROR(IF(AND(ISNUMBER(Futs!$CG49), ISNUMBER($AB49)), (Futs!$CG49 + $AB49)/7.45, ""), "")</f>
        <v/>
      </c>
      <c r="AI49" s="46" t="str">
        <f ca="1">IFERROR(IF(AND(ISNUMBER(Futs!$CH49), ISNUMBER($AD49)), (Futs!$CH49 + $AD49)/7.45, ""), "")</f>
        <v/>
      </c>
      <c r="AJ49" s="68" t="str">
        <f t="shared" ca="1" si="131"/>
        <v/>
      </c>
      <c r="AK49" s="364" t="str">
        <f ca="1">IFERROR(INDEX(ICE[], MATCH("brdtd" &amp; TEXT(Crd!$A49, "mmmyy"), ICE[LongCode], 0), MATCH("Text", ICE[#Headers], 0)), "")</f>
        <v/>
      </c>
      <c r="AL49" s="46" t="str">
        <f t="shared" ca="1" si="132"/>
        <v/>
      </c>
      <c r="AM49" s="427" t="str">
        <f ca="1">IFERROR(IF(AND(ISNUMBER(Futs!$CC49), ISNUMBER($AH49)), $AH49 - Futs!$CC49, ""), "")</f>
        <v/>
      </c>
      <c r="AN49" s="46" t="str">
        <f ca="1">IFERROR(IF(AND(ISNUMBER(Futs!$DV49), ISNUMBER($AD49)), $AD49/7.45 + Futs!$DV49, ""), "")</f>
        <v/>
      </c>
      <c r="AO49" s="47" t="str">
        <f t="shared" ca="1" si="133"/>
        <v/>
      </c>
      <c r="AP49" s="111" t="str">
        <f t="shared" ca="1" si="134"/>
        <v/>
      </c>
      <c r="AQ49" s="400"/>
      <c r="AR49" s="46" t="str">
        <f t="shared" ca="1" si="106"/>
        <v/>
      </c>
      <c r="AS49" s="68" t="str">
        <f t="shared" si="135"/>
        <v/>
      </c>
      <c r="AT49" s="46" t="str">
        <f t="shared" ca="1" si="136"/>
        <v/>
      </c>
      <c r="AU49" s="271" t="str">
        <f t="shared" ca="1" si="107"/>
        <v/>
      </c>
      <c r="AV49" s="46" t="str">
        <f t="shared" ca="1" si="108"/>
        <v/>
      </c>
      <c r="AW49" s="68" t="str">
        <f t="shared" ca="1" si="137"/>
        <v/>
      </c>
      <c r="AX49" s="111" t="str">
        <f t="shared" ca="1" si="138"/>
        <v/>
      </c>
      <c r="AY49" s="400"/>
      <c r="AZ49" s="372" t="str">
        <f ca="1">IFERROR(INDEX(ICE[], MATCH("regrade" &amp; TEXT(Mid!$A49, "mmmyy"), ICE[LongCode], 0), MATCH("Text", ICE[#Headers], 0)), "")</f>
        <v/>
      </c>
      <c r="BA49" s="46" t="str">
        <f t="shared" ca="1" si="109"/>
        <v/>
      </c>
      <c r="BB49" s="68" t="str">
        <f t="shared" si="172"/>
        <v/>
      </c>
      <c r="BC49" s="114" t="str">
        <f t="shared" ca="1" si="139"/>
        <v/>
      </c>
      <c r="BD49" s="68" t="str">
        <f t="shared" ca="1" si="110"/>
        <v/>
      </c>
      <c r="BE49" s="46" t="str">
        <f t="shared" ca="1" si="111"/>
        <v/>
      </c>
      <c r="BF49" s="68" t="str">
        <f t="shared" ca="1" si="140"/>
        <v/>
      </c>
      <c r="BG49" s="111" t="str">
        <f t="shared" ca="1" si="141"/>
        <v/>
      </c>
      <c r="BH49" s="68" t="str">
        <f t="shared" ca="1" si="122"/>
        <v/>
      </c>
      <c r="BI49" s="46" t="str">
        <f t="shared" ca="1" si="112"/>
        <v/>
      </c>
      <c r="BJ49" s="68" t="str">
        <f t="shared" ca="1" si="142"/>
        <v/>
      </c>
      <c r="BK49" s="111" t="str">
        <f t="shared" ca="1" si="143"/>
        <v/>
      </c>
      <c r="BL49" s="400"/>
      <c r="BM49" s="372" t="str">
        <f ca="1">IFERROR(INDEX(ICE[], MATCH("ulsdaradiff" &amp; TEXT(Mid!$A49, "mmmyy"), ICE[LongCode], 0), MATCH("Text", ICE[#Headers], 0)), "")</f>
        <v/>
      </c>
      <c r="BN49" s="46" t="str">
        <f t="shared" ca="1" si="113"/>
        <v/>
      </c>
      <c r="BO49" s="68" t="str">
        <f t="shared" si="144"/>
        <v/>
      </c>
      <c r="BP49" s="114" t="str">
        <f t="shared" ca="1" si="145"/>
        <v/>
      </c>
      <c r="BQ49" s="68" t="str">
        <f ca="1">IFERROR(IF(AND(ISNUMBER(Futs!$CG49), ISNUMBER($BL49)), Futs!$CG49 + $BL49, ""), "")</f>
        <v/>
      </c>
      <c r="BR49" s="46" t="str">
        <f ca="1">IFERROR(IF(AND(ISNUMBER(Futs!$CH49), ISNUMBER($BN49)), Futs!$CH49 + $BN49, ""), "")</f>
        <v/>
      </c>
      <c r="BS49" s="68" t="str">
        <f t="shared" ca="1" si="146"/>
        <v/>
      </c>
      <c r="BT49" s="111" t="str">
        <f t="shared" ca="1" si="147"/>
        <v/>
      </c>
      <c r="BU49" s="400"/>
      <c r="BV49" s="372" t="str">
        <f ca="1">IFERROR(INDEX(ICE[], MATCH("ulsdccndiff" &amp; TEXT(Mid!$A49, "mmmyy"), ICE[LongCode], 0), MATCH("Text", ICE[#Headers], 0)), "")</f>
        <v/>
      </c>
      <c r="BW49" s="46" t="str">
        <f t="shared" ca="1" si="114"/>
        <v/>
      </c>
      <c r="BX49" s="68" t="str">
        <f t="shared" si="148"/>
        <v/>
      </c>
      <c r="BY49" s="114" t="str">
        <f t="shared" ca="1" si="149"/>
        <v/>
      </c>
      <c r="BZ49" s="68" t="str">
        <f ca="1">IFERROR(IF(AND(ISNUMBER(Futs!$CG49), ISNUMBER($BU49)), Futs!$CG49 + $BU49, ""), "")</f>
        <v/>
      </c>
      <c r="CA49" s="46" t="str">
        <f ca="1">IFERROR(IF(AND(ISNUMBER(Futs!$CH49), ISNUMBER($BW49)), Futs!$CH49 + $BW49, ""), "")</f>
        <v/>
      </c>
      <c r="CB49" s="68" t="str">
        <f t="shared" ca="1" si="150"/>
        <v/>
      </c>
      <c r="CC49" s="111" t="str">
        <f t="shared" ca="1" si="151"/>
        <v/>
      </c>
      <c r="CD49" s="400"/>
      <c r="CE49" s="372" t="str">
        <f ca="1">IFERROR(INDEX(ICE[], MATCH("ulsdccmdiff" &amp; TEXT(Mid!$A49, "mmmyy"), ICE[LongCode], 0), MATCH("Text", ICE[#Headers], 0)), "")</f>
        <v/>
      </c>
      <c r="CF49" s="46" t="str">
        <f t="shared" ca="1" si="115"/>
        <v/>
      </c>
      <c r="CG49" s="68" t="str">
        <f t="shared" si="152"/>
        <v/>
      </c>
      <c r="CH49" s="114" t="str">
        <f t="shared" ca="1" si="153"/>
        <v/>
      </c>
      <c r="CI49" s="68" t="str">
        <f ca="1">IFERROR(IF(AND(ISNUMBER(Futs!$CG49), ISNUMBER($CD49)), Futs!$CG49 + $CD49, ""), "")</f>
        <v/>
      </c>
      <c r="CJ49" s="67" t="str">
        <f ca="1">IFERROR(IF(AND(ISNUMBER(Futs!$CH49), ISNUMBER($CF49)), Futs!$CH49 + $CF49, ""), "")</f>
        <v/>
      </c>
      <c r="CK49" s="68" t="str">
        <f t="shared" ca="1" si="154"/>
        <v/>
      </c>
      <c r="CL49" s="111" t="str">
        <f t="shared" ca="1" si="155"/>
        <v/>
      </c>
      <c r="CM49" s="400"/>
      <c r="CN49" s="372" t="str">
        <f ca="1">IFERROR(INDEX(ICE[], MATCH("go01bfrdiff" &amp; TEXT(Mid!$A49, "mmmyy"), ICE[LongCode], 0), MATCH("Text", ICE[#Headers], 0)), "")</f>
        <v/>
      </c>
      <c r="CO49" s="46" t="str">
        <f t="shared" ca="1" si="116"/>
        <v/>
      </c>
      <c r="CP49" s="68" t="str">
        <f t="shared" si="156"/>
        <v/>
      </c>
      <c r="CQ49" s="114" t="str">
        <f t="shared" ca="1" si="157"/>
        <v/>
      </c>
      <c r="CR49" s="68" t="str">
        <f ca="1">IFERROR(IF(AND(ISNUMBER(Futs!$CG49), ISNUMBER($CM49)), Futs!$CG49 + $CM49, ""), "")</f>
        <v/>
      </c>
      <c r="CS49" s="46" t="str">
        <f ca="1">IFERROR(IF(AND(ISNUMBER(Futs!$CH49), ISNUMBER($CO49)), Futs!$CH49 + $CO49, ""), "")</f>
        <v/>
      </c>
      <c r="CT49" s="68" t="str">
        <f t="shared" ca="1" si="158"/>
        <v/>
      </c>
      <c r="CU49" s="111" t="str">
        <f t="shared" ca="1" si="159"/>
        <v/>
      </c>
      <c r="CV49" s="400"/>
      <c r="CW49" s="372" t="str">
        <f ca="1">IFERROR(INDEX(ICE[], MATCH("go01ccndiff" &amp; TEXT(Mid!$A49, "mmmyy"), ICE[LongCode], 0), MATCH("Text", ICE[#Headers], 0)), "")</f>
        <v/>
      </c>
      <c r="CX49" s="46" t="str">
        <f t="shared" ca="1" si="117"/>
        <v/>
      </c>
      <c r="CY49" s="68" t="str">
        <f t="shared" si="160"/>
        <v/>
      </c>
      <c r="CZ49" s="114" t="str">
        <f t="shared" ca="1" si="161"/>
        <v/>
      </c>
      <c r="DA49" s="68" t="str">
        <f ca="1">IFERROR(IF(AND(ISNUMBER(Futs!$CG49), ISNUMBER($CV49)), Futs!$CG49 + $CV49, ""), "")</f>
        <v/>
      </c>
      <c r="DB49" s="46" t="str">
        <f ca="1">IFERROR(IF(AND(ISNUMBER(Futs!$CH49), ISNUMBER($CX49)), Futs!$CH49 + $CX49, ""), "")</f>
        <v/>
      </c>
      <c r="DC49" s="68" t="str">
        <f t="shared" ca="1" si="162"/>
        <v/>
      </c>
      <c r="DD49" s="111" t="str">
        <f t="shared" ca="1" si="163"/>
        <v/>
      </c>
      <c r="DE49" s="400"/>
      <c r="DF49" s="372" t="str">
        <f ca="1">IFERROR(INDEX(ICE[], MATCH("go01ccmdiff" &amp; TEXT(Mid!$A49, "mmmyy"), ICE[LongCode], 0), MATCH("Text", ICE[#Headers], 0)), "")</f>
        <v/>
      </c>
      <c r="DG49" s="46" t="str">
        <f t="shared" ca="1" si="118"/>
        <v/>
      </c>
      <c r="DH49" s="68" t="str">
        <f t="shared" si="164"/>
        <v/>
      </c>
      <c r="DI49" s="114" t="str">
        <f t="shared" ca="1" si="165"/>
        <v/>
      </c>
      <c r="DJ49" s="68" t="str">
        <f ca="1">IFERROR(IF(AND(ISNUMBER(Futs!$CG49), ISNUMBER($DE49)), Futs!$CG49 + $DE49, ""), "")</f>
        <v/>
      </c>
      <c r="DK49" s="46" t="str">
        <f ca="1">IFERROR(IF(AND(ISNUMBER(Futs!$CH49), ISNUMBER($DG49)), Futs!$CH49 + $DG49, ""), "")</f>
        <v/>
      </c>
      <c r="DL49" s="68" t="str">
        <f t="shared" ca="1" si="166"/>
        <v/>
      </c>
      <c r="DM49" s="111" t="str">
        <f t="shared" ca="1" si="167"/>
        <v/>
      </c>
      <c r="DN49" s="400"/>
      <c r="DO49" s="372" t="str">
        <f ca="1">IFERROR(INDEX(ICE[], MATCH("ulsdgc" &amp; TEXT(Mid!$A49, "mmmyy"), ICE[LongCode], 0), MATCH("Text", ICE[#Headers], 0)), "")</f>
        <v/>
      </c>
      <c r="DP49" s="46" t="str">
        <f t="shared" ca="1" si="119"/>
        <v/>
      </c>
      <c r="DQ49" s="68" t="str">
        <f t="shared" si="168"/>
        <v/>
      </c>
      <c r="DR49" s="114" t="str">
        <f t="shared" ca="1" si="169"/>
        <v/>
      </c>
      <c r="DS49" s="68" t="str">
        <f ca="1">IFERROR(IF(AND(ISNUMBER(Futs!$CK49), ISNUMBER($DN49)), Futs!$CK49 + $DN49, ""), "")</f>
        <v/>
      </c>
      <c r="DT49" s="46" t="str">
        <f ca="1">IFERROR(IF(AND(ISNUMBER(Futs!$CL49), ISNUMBER($DP49)), Futs!$CL49 + $DP49, ""), "")</f>
        <v/>
      </c>
      <c r="DU49" s="68" t="str">
        <f t="shared" ca="1" si="170"/>
        <v/>
      </c>
      <c r="DV49" s="111" t="str">
        <f t="shared" ca="1" si="171"/>
        <v/>
      </c>
    </row>
    <row r="50" spans="1:126" x14ac:dyDescent="0.25">
      <c r="A50" s="58">
        <f t="shared" ca="1" si="123"/>
        <v>47209</v>
      </c>
      <c r="B50" s="6">
        <f t="shared" ca="1" si="102"/>
        <v>2029</v>
      </c>
      <c r="C50" s="6" t="str">
        <f t="shared" ca="1" si="120"/>
        <v>Q229</v>
      </c>
      <c r="D50" s="28" t="e">
        <f ca="1">INDEX(ICE[], MATCH(D$18 &amp; TEXT(Mid!$A50, "mmmyy"), ICE[LongCode], 0), MATCH("Settle", ICE[#Headers], 0))</f>
        <v>#N/A</v>
      </c>
      <c r="E50" s="28" t="e">
        <f ca="1">INDEX(ICE[], MATCH(E$18 &amp; TEXT(Mid!$A50, "mmmyy"), ICE[LongCode], 0), MATCH("Settle", ICE[#Headers], 0))</f>
        <v>#N/A</v>
      </c>
      <c r="F50" s="28" t="e">
        <f ca="1">INDEX(ICE[], MATCH(F$18 &amp; TEXT(Mid!$A50, "mmmyy"), ICE[LongCode], 0), MATCH("Settle", ICE[#Headers], 0))</f>
        <v>#N/A</v>
      </c>
      <c r="G50" s="28" t="e">
        <f ca="1">INDEX(ICE[], MATCH(G$18 &amp; TEXT(Mid!$A50, "mmmyy"), ICE[LongCode], 0), MATCH("Settle", ICE[#Headers], 0))</f>
        <v>#N/A</v>
      </c>
      <c r="H50" s="28" t="e">
        <f ca="1">INDEX(ICE[], MATCH(H$18 &amp; TEXT(Mid!$A50, "mmmyy"), ICE[LongCode], 0), MATCH("Settle", ICE[#Headers], 0))</f>
        <v>#N/A</v>
      </c>
      <c r="I50" s="28" t="e">
        <f ca="1">INDEX(ICE[], MATCH(I$18 &amp; TEXT(Mid!$A50, "mmmyy"), ICE[LongCode], 0), MATCH("Settle", ICE[#Headers], 0))</f>
        <v>#N/A</v>
      </c>
      <c r="J50" s="28" t="e">
        <f ca="1">INDEX(ICE[], MATCH(J$18 &amp; TEXT(Mid!$A50, "mmmyy"), ICE[LongCode], 0), MATCH("Settle", ICE[#Headers], 0))</f>
        <v>#N/A</v>
      </c>
      <c r="K50" s="28" t="e">
        <f ca="1">INDEX(ICE[], MATCH(K$18 &amp; TEXT(Mid!$A50, "mmmyy"), ICE[LongCode], 0), MATCH("Settle", ICE[#Headers], 0))</f>
        <v>#N/A</v>
      </c>
      <c r="L50" s="28" t="e">
        <f ca="1">INDEX(ICE[], MATCH(L$18 &amp; TEXT(Mid!$A50, "mmmyy"), ICE[LongCode], 0), MATCH("Settle", ICE[#Headers], 0))</f>
        <v>#N/A</v>
      </c>
      <c r="M50" s="28" t="e">
        <f ca="1">INDEX(ICE[], MATCH(M$18 &amp; TEXT(Mid!$A50, "mmmyy"), ICE[LongCode], 0), MATCH("Settle", ICE[#Headers], 0))</f>
        <v>#N/A</v>
      </c>
      <c r="N50" s="28" t="e">
        <f ca="1">INDEX(ICE[], MATCH(N$18 &amp; TEXT(Mid!$A50, "mmmyy"), ICE[LongCode], 0), MATCH("Settle", ICE[#Headers], 0))*100</f>
        <v>#N/A</v>
      </c>
      <c r="O50" s="397"/>
      <c r="P50" s="372" t="str">
        <f ca="1">IFERROR(INDEX(ICE[], MATCH("jetccndiff" &amp; TEXT(Mid!$A50, "mmmyy"), ICE[LongCode], 0), MATCH("Text", ICE[#Headers], 0)), "")</f>
        <v/>
      </c>
      <c r="Q50" s="46" t="str">
        <f t="shared" ca="1" si="103"/>
        <v/>
      </c>
      <c r="R50" s="47" t="str">
        <f t="shared" si="121"/>
        <v/>
      </c>
      <c r="S50" s="114" t="str">
        <f t="shared" ca="1" si="124"/>
        <v/>
      </c>
      <c r="T50" s="49" t="str">
        <f ca="1">IFERROR(IF(AND(ISNUMBER(Futs!$CG50), ISNUMBER($O50)), Futs!$CG50 + $O50, ""), "")</f>
        <v/>
      </c>
      <c r="U50" s="46" t="str">
        <f ca="1">IFERROR(IF(AND(ISNUMBER(Futs!$CH50), ISNUMBER($Q50)), Futs!$CH50 + $Q50, ""), "")</f>
        <v/>
      </c>
      <c r="V50" s="47" t="str">
        <f t="shared" ca="1" si="125"/>
        <v/>
      </c>
      <c r="W50" s="46" t="str">
        <f t="shared" ca="1" si="126"/>
        <v/>
      </c>
      <c r="X50" s="427" t="str">
        <f ca="1">IFERROR(IF(AND(ISNUMBER(Futs!$CC50), ISNUMBER($T50)), $T50/7.88 - Futs!$CC50, ""), "")</f>
        <v/>
      </c>
      <c r="Y50" s="46" t="str">
        <f ca="1">IFERROR(IF(AND(ISNUMBER(Futs!$DV50), ISNUMBER($Q50)), Futs!$DV50 + $Q50/7.88, ""), "")</f>
        <v/>
      </c>
      <c r="Z50" s="47" t="str">
        <f t="shared" ca="1" si="127"/>
        <v/>
      </c>
      <c r="AA50" s="111" t="str">
        <f t="shared" ca="1" si="128"/>
        <v/>
      </c>
      <c r="AB50" s="400"/>
      <c r="AC50" s="372" t="str">
        <f ca="1">IFERROR(INDEX(ICE[], MATCH("goew" &amp; TEXT(Mid!$A50, "mmmyy"), ICE[LongCode], 0), MATCH("Text", ICE[#Headers], 0)), "")</f>
        <v/>
      </c>
      <c r="AD50" s="46" t="str">
        <f t="shared" ca="1" si="104"/>
        <v/>
      </c>
      <c r="AE50" s="68" t="str">
        <f t="shared" si="129"/>
        <v/>
      </c>
      <c r="AF50" s="46" t="str">
        <f t="shared" ca="1" si="130"/>
        <v/>
      </c>
      <c r="AG50" s="265" t="str">
        <f ca="1">IFERROR(IF(AND(ISNUMBER(Futs!$BM50), ISNUMBER($AH50)), $AH50*7.45 - Futs!$BM50, ""), "")</f>
        <v/>
      </c>
      <c r="AH50" s="187" t="str">
        <f ca="1">IFERROR(IF(AND(ISNUMBER(Futs!$CG50), ISNUMBER($AB50)), (Futs!$CG50 + $AB50)/7.45, ""), "")</f>
        <v/>
      </c>
      <c r="AI50" s="46" t="str">
        <f ca="1">IFERROR(IF(AND(ISNUMBER(Futs!$CH50), ISNUMBER($AD50)), (Futs!$CH50 + $AD50)/7.45, ""), "")</f>
        <v/>
      </c>
      <c r="AJ50" s="68" t="str">
        <f t="shared" ca="1" si="131"/>
        <v/>
      </c>
      <c r="AK50" s="364" t="str">
        <f ca="1">IFERROR(INDEX(ICE[], MATCH("brdtd" &amp; TEXT(Crd!$A50, "mmmyy"), ICE[LongCode], 0), MATCH("Text", ICE[#Headers], 0)), "")</f>
        <v/>
      </c>
      <c r="AL50" s="46" t="str">
        <f t="shared" ca="1" si="132"/>
        <v/>
      </c>
      <c r="AM50" s="427" t="str">
        <f ca="1">IFERROR(IF(AND(ISNUMBER(Futs!$CC50), ISNUMBER($AH50)), $AH50 - Futs!$CC50, ""), "")</f>
        <v/>
      </c>
      <c r="AN50" s="46" t="str">
        <f ca="1">IFERROR(IF(AND(ISNUMBER(Futs!$DV50), ISNUMBER($AD50)), $AD50/7.45 + Futs!$DV50, ""), "")</f>
        <v/>
      </c>
      <c r="AO50" s="47" t="str">
        <f t="shared" ca="1" si="133"/>
        <v/>
      </c>
      <c r="AP50" s="111" t="str">
        <f t="shared" ca="1" si="134"/>
        <v/>
      </c>
      <c r="AQ50" s="400"/>
      <c r="AR50" s="46" t="str">
        <f t="shared" ca="1" si="106"/>
        <v/>
      </c>
      <c r="AS50" s="68" t="str">
        <f t="shared" si="135"/>
        <v/>
      </c>
      <c r="AT50" s="46" t="str">
        <f t="shared" ca="1" si="136"/>
        <v/>
      </c>
      <c r="AU50" s="271" t="str">
        <f t="shared" ca="1" si="107"/>
        <v/>
      </c>
      <c r="AV50" s="46" t="str">
        <f t="shared" ca="1" si="108"/>
        <v/>
      </c>
      <c r="AW50" s="68" t="str">
        <f t="shared" ca="1" si="137"/>
        <v/>
      </c>
      <c r="AX50" s="111" t="str">
        <f t="shared" ca="1" si="138"/>
        <v/>
      </c>
      <c r="AY50" s="400"/>
      <c r="AZ50" s="372" t="str">
        <f ca="1">IFERROR(INDEX(ICE[], MATCH("regrade" &amp; TEXT(Mid!$A50, "mmmyy"), ICE[LongCode], 0), MATCH("Text", ICE[#Headers], 0)), "")</f>
        <v/>
      </c>
      <c r="BA50" s="46" t="str">
        <f t="shared" ca="1" si="109"/>
        <v/>
      </c>
      <c r="BB50" s="68" t="str">
        <f t="shared" si="172"/>
        <v/>
      </c>
      <c r="BC50" s="114" t="str">
        <f t="shared" ca="1" si="139"/>
        <v/>
      </c>
      <c r="BD50" s="68" t="str">
        <f t="shared" ca="1" si="110"/>
        <v/>
      </c>
      <c r="BE50" s="46" t="str">
        <f t="shared" ca="1" si="111"/>
        <v/>
      </c>
      <c r="BF50" s="68" t="str">
        <f t="shared" ca="1" si="140"/>
        <v/>
      </c>
      <c r="BG50" s="111" t="str">
        <f t="shared" ca="1" si="141"/>
        <v/>
      </c>
      <c r="BH50" s="68" t="str">
        <f t="shared" ca="1" si="122"/>
        <v/>
      </c>
      <c r="BI50" s="46" t="str">
        <f t="shared" ca="1" si="112"/>
        <v/>
      </c>
      <c r="BJ50" s="68" t="str">
        <f t="shared" ca="1" si="142"/>
        <v/>
      </c>
      <c r="BK50" s="111" t="str">
        <f t="shared" ca="1" si="143"/>
        <v/>
      </c>
      <c r="BL50" s="400"/>
      <c r="BM50" s="372" t="str">
        <f ca="1">IFERROR(INDEX(ICE[], MATCH("ulsdaradiff" &amp; TEXT(Mid!$A50, "mmmyy"), ICE[LongCode], 0), MATCH("Text", ICE[#Headers], 0)), "")</f>
        <v/>
      </c>
      <c r="BN50" s="46" t="str">
        <f t="shared" ca="1" si="113"/>
        <v/>
      </c>
      <c r="BO50" s="68" t="str">
        <f t="shared" si="144"/>
        <v/>
      </c>
      <c r="BP50" s="114" t="str">
        <f t="shared" ca="1" si="145"/>
        <v/>
      </c>
      <c r="BQ50" s="68" t="str">
        <f ca="1">IFERROR(IF(AND(ISNUMBER(Futs!$CG50), ISNUMBER($BL50)), Futs!$CG50 + $BL50, ""), "")</f>
        <v/>
      </c>
      <c r="BR50" s="46" t="str">
        <f ca="1">IFERROR(IF(AND(ISNUMBER(Futs!$CH50), ISNUMBER($BN50)), Futs!$CH50 + $BN50, ""), "")</f>
        <v/>
      </c>
      <c r="BS50" s="68" t="str">
        <f t="shared" ca="1" si="146"/>
        <v/>
      </c>
      <c r="BT50" s="111" t="str">
        <f t="shared" ca="1" si="147"/>
        <v/>
      </c>
      <c r="BU50" s="400"/>
      <c r="BV50" s="372" t="str">
        <f ca="1">IFERROR(INDEX(ICE[], MATCH("ulsdccndiff" &amp; TEXT(Mid!$A50, "mmmyy"), ICE[LongCode], 0), MATCH("Text", ICE[#Headers], 0)), "")</f>
        <v/>
      </c>
      <c r="BW50" s="46" t="str">
        <f t="shared" ca="1" si="114"/>
        <v/>
      </c>
      <c r="BX50" s="68" t="str">
        <f t="shared" si="148"/>
        <v/>
      </c>
      <c r="BY50" s="114" t="str">
        <f t="shared" ca="1" si="149"/>
        <v/>
      </c>
      <c r="BZ50" s="68" t="str">
        <f ca="1">IFERROR(IF(AND(ISNUMBER(Futs!$CG50), ISNUMBER($BU50)), Futs!$CG50 + $BU50, ""), "")</f>
        <v/>
      </c>
      <c r="CA50" s="46" t="str">
        <f ca="1">IFERROR(IF(AND(ISNUMBER(Futs!$CH50), ISNUMBER($BW50)), Futs!$CH50 + $BW50, ""), "")</f>
        <v/>
      </c>
      <c r="CB50" s="68" t="str">
        <f t="shared" ca="1" si="150"/>
        <v/>
      </c>
      <c r="CC50" s="111" t="str">
        <f t="shared" ca="1" si="151"/>
        <v/>
      </c>
      <c r="CD50" s="400"/>
      <c r="CE50" s="372" t="str">
        <f ca="1">IFERROR(INDEX(ICE[], MATCH("ulsdccmdiff" &amp; TEXT(Mid!$A50, "mmmyy"), ICE[LongCode], 0), MATCH("Text", ICE[#Headers], 0)), "")</f>
        <v/>
      </c>
      <c r="CF50" s="46" t="str">
        <f t="shared" ca="1" si="115"/>
        <v/>
      </c>
      <c r="CG50" s="68" t="str">
        <f t="shared" si="152"/>
        <v/>
      </c>
      <c r="CH50" s="114" t="str">
        <f t="shared" ca="1" si="153"/>
        <v/>
      </c>
      <c r="CI50" s="68" t="str">
        <f ca="1">IFERROR(IF(AND(ISNUMBER(Futs!$CG50), ISNUMBER($CD50)), Futs!$CG50 + $CD50, ""), "")</f>
        <v/>
      </c>
      <c r="CJ50" s="67" t="str">
        <f ca="1">IFERROR(IF(AND(ISNUMBER(Futs!$CH50), ISNUMBER($CF50)), Futs!$CH50 + $CF50, ""), "")</f>
        <v/>
      </c>
      <c r="CK50" s="68" t="str">
        <f t="shared" ca="1" si="154"/>
        <v/>
      </c>
      <c r="CL50" s="111" t="str">
        <f t="shared" ca="1" si="155"/>
        <v/>
      </c>
      <c r="CM50" s="400"/>
      <c r="CN50" s="372" t="str">
        <f ca="1">IFERROR(INDEX(ICE[], MATCH("go01bfrdiff" &amp; TEXT(Mid!$A50, "mmmyy"), ICE[LongCode], 0), MATCH("Text", ICE[#Headers], 0)), "")</f>
        <v/>
      </c>
      <c r="CO50" s="46" t="str">
        <f t="shared" ca="1" si="116"/>
        <v/>
      </c>
      <c r="CP50" s="68" t="str">
        <f t="shared" si="156"/>
        <v/>
      </c>
      <c r="CQ50" s="114" t="str">
        <f t="shared" ca="1" si="157"/>
        <v/>
      </c>
      <c r="CR50" s="68" t="str">
        <f ca="1">IFERROR(IF(AND(ISNUMBER(Futs!$CG50), ISNUMBER($CM50)), Futs!$CG50 + $CM50, ""), "")</f>
        <v/>
      </c>
      <c r="CS50" s="46" t="str">
        <f ca="1">IFERROR(IF(AND(ISNUMBER(Futs!$CH50), ISNUMBER($CO50)), Futs!$CH50 + $CO50, ""), "")</f>
        <v/>
      </c>
      <c r="CT50" s="68" t="str">
        <f t="shared" ca="1" si="158"/>
        <v/>
      </c>
      <c r="CU50" s="111" t="str">
        <f t="shared" ca="1" si="159"/>
        <v/>
      </c>
      <c r="CV50" s="400"/>
      <c r="CW50" s="372" t="str">
        <f ca="1">IFERROR(INDEX(ICE[], MATCH("go01ccndiff" &amp; TEXT(Mid!$A50, "mmmyy"), ICE[LongCode], 0), MATCH("Text", ICE[#Headers], 0)), "")</f>
        <v/>
      </c>
      <c r="CX50" s="46" t="str">
        <f t="shared" ca="1" si="117"/>
        <v/>
      </c>
      <c r="CY50" s="68" t="str">
        <f t="shared" si="160"/>
        <v/>
      </c>
      <c r="CZ50" s="114" t="str">
        <f t="shared" ca="1" si="161"/>
        <v/>
      </c>
      <c r="DA50" s="68" t="str">
        <f ca="1">IFERROR(IF(AND(ISNUMBER(Futs!$CG50), ISNUMBER($CV50)), Futs!$CG50 + $CV50, ""), "")</f>
        <v/>
      </c>
      <c r="DB50" s="46" t="str">
        <f ca="1">IFERROR(IF(AND(ISNUMBER(Futs!$CH50), ISNUMBER($CX50)), Futs!$CH50 + $CX50, ""), "")</f>
        <v/>
      </c>
      <c r="DC50" s="68" t="str">
        <f t="shared" ca="1" si="162"/>
        <v/>
      </c>
      <c r="DD50" s="111" t="str">
        <f t="shared" ca="1" si="163"/>
        <v/>
      </c>
      <c r="DE50" s="400"/>
      <c r="DF50" s="372" t="str">
        <f ca="1">IFERROR(INDEX(ICE[], MATCH("go01ccmdiff" &amp; TEXT(Mid!$A50, "mmmyy"), ICE[LongCode], 0), MATCH("Text", ICE[#Headers], 0)), "")</f>
        <v/>
      </c>
      <c r="DG50" s="46" t="str">
        <f t="shared" ca="1" si="118"/>
        <v/>
      </c>
      <c r="DH50" s="68" t="str">
        <f t="shared" si="164"/>
        <v/>
      </c>
      <c r="DI50" s="114" t="str">
        <f t="shared" ca="1" si="165"/>
        <v/>
      </c>
      <c r="DJ50" s="68" t="str">
        <f ca="1">IFERROR(IF(AND(ISNUMBER(Futs!$CG50), ISNUMBER($DE50)), Futs!$CG50 + $DE50, ""), "")</f>
        <v/>
      </c>
      <c r="DK50" s="46" t="str">
        <f ca="1">IFERROR(IF(AND(ISNUMBER(Futs!$CH50), ISNUMBER($DG50)), Futs!$CH50 + $DG50, ""), "")</f>
        <v/>
      </c>
      <c r="DL50" s="68" t="str">
        <f t="shared" ca="1" si="166"/>
        <v/>
      </c>
      <c r="DM50" s="111" t="str">
        <f t="shared" ca="1" si="167"/>
        <v/>
      </c>
      <c r="DN50" s="400"/>
      <c r="DO50" s="372" t="str">
        <f ca="1">IFERROR(INDEX(ICE[], MATCH("ulsdgc" &amp; TEXT(Mid!$A50, "mmmyy"), ICE[LongCode], 0), MATCH("Text", ICE[#Headers], 0)), "")</f>
        <v/>
      </c>
      <c r="DP50" s="46" t="str">
        <f t="shared" ca="1" si="119"/>
        <v/>
      </c>
      <c r="DQ50" s="68" t="str">
        <f t="shared" si="168"/>
        <v/>
      </c>
      <c r="DR50" s="114" t="str">
        <f t="shared" ca="1" si="169"/>
        <v/>
      </c>
      <c r="DS50" s="68" t="str">
        <f ca="1">IFERROR(IF(AND(ISNUMBER(Futs!$CK50), ISNUMBER($DN50)), Futs!$CK50 + $DN50, ""), "")</f>
        <v/>
      </c>
      <c r="DT50" s="46" t="str">
        <f ca="1">IFERROR(IF(AND(ISNUMBER(Futs!$CL50), ISNUMBER($DP50)), Futs!$CL50 + $DP50, ""), "")</f>
        <v/>
      </c>
      <c r="DU50" s="68" t="str">
        <f t="shared" ca="1" si="170"/>
        <v/>
      </c>
      <c r="DV50" s="111" t="str">
        <f t="shared" ca="1" si="171"/>
        <v/>
      </c>
    </row>
    <row r="51" spans="1:126" x14ac:dyDescent="0.25">
      <c r="A51" s="58">
        <f t="shared" ca="1" si="123"/>
        <v>47239</v>
      </c>
      <c r="B51" s="6">
        <f t="shared" ca="1" si="102"/>
        <v>2029</v>
      </c>
      <c r="C51" s="6" t="str">
        <f t="shared" ca="1" si="120"/>
        <v>Q229</v>
      </c>
      <c r="D51" s="28" t="e">
        <f ca="1">INDEX(ICE[], MATCH(D$18 &amp; TEXT(Mid!$A51, "mmmyy"), ICE[LongCode], 0), MATCH("Settle", ICE[#Headers], 0))</f>
        <v>#N/A</v>
      </c>
      <c r="E51" s="28" t="e">
        <f ca="1">INDEX(ICE[], MATCH(E$18 &amp; TEXT(Mid!$A51, "mmmyy"), ICE[LongCode], 0), MATCH("Settle", ICE[#Headers], 0))</f>
        <v>#N/A</v>
      </c>
      <c r="F51" s="28" t="e">
        <f ca="1">INDEX(ICE[], MATCH(F$18 &amp; TEXT(Mid!$A51, "mmmyy"), ICE[LongCode], 0), MATCH("Settle", ICE[#Headers], 0))</f>
        <v>#N/A</v>
      </c>
      <c r="G51" s="28" t="e">
        <f ca="1">INDEX(ICE[], MATCH(G$18 &amp; TEXT(Mid!$A51, "mmmyy"), ICE[LongCode], 0), MATCH("Settle", ICE[#Headers], 0))</f>
        <v>#N/A</v>
      </c>
      <c r="H51" s="28" t="e">
        <f ca="1">INDEX(ICE[], MATCH(H$18 &amp; TEXT(Mid!$A51, "mmmyy"), ICE[LongCode], 0), MATCH("Settle", ICE[#Headers], 0))</f>
        <v>#N/A</v>
      </c>
      <c r="I51" s="28" t="e">
        <f ca="1">INDEX(ICE[], MATCH(I$18 &amp; TEXT(Mid!$A51, "mmmyy"), ICE[LongCode], 0), MATCH("Settle", ICE[#Headers], 0))</f>
        <v>#N/A</v>
      </c>
      <c r="J51" s="28" t="e">
        <f ca="1">INDEX(ICE[], MATCH(J$18 &amp; TEXT(Mid!$A51, "mmmyy"), ICE[LongCode], 0), MATCH("Settle", ICE[#Headers], 0))</f>
        <v>#N/A</v>
      </c>
      <c r="K51" s="28" t="e">
        <f ca="1">INDEX(ICE[], MATCH(K$18 &amp; TEXT(Mid!$A51, "mmmyy"), ICE[LongCode], 0), MATCH("Settle", ICE[#Headers], 0))</f>
        <v>#N/A</v>
      </c>
      <c r="L51" s="28" t="e">
        <f ca="1">INDEX(ICE[], MATCH(L$18 &amp; TEXT(Mid!$A51, "mmmyy"), ICE[LongCode], 0), MATCH("Settle", ICE[#Headers], 0))</f>
        <v>#N/A</v>
      </c>
      <c r="M51" s="28" t="e">
        <f ca="1">INDEX(ICE[], MATCH(M$18 &amp; TEXT(Mid!$A51, "mmmyy"), ICE[LongCode], 0), MATCH("Settle", ICE[#Headers], 0))</f>
        <v>#N/A</v>
      </c>
      <c r="N51" s="28" t="e">
        <f ca="1">INDEX(ICE[], MATCH(N$18 &amp; TEXT(Mid!$A51, "mmmyy"), ICE[LongCode], 0), MATCH("Settle", ICE[#Headers], 0))*100</f>
        <v>#N/A</v>
      </c>
      <c r="O51" s="397"/>
      <c r="P51" s="372" t="str">
        <f ca="1">IFERROR(INDEX(ICE[], MATCH("jetccndiff" &amp; TEXT(Mid!$A51, "mmmyy"), ICE[LongCode], 0), MATCH("Text", ICE[#Headers], 0)), "")</f>
        <v/>
      </c>
      <c r="Q51" s="46" t="str">
        <f t="shared" ca="1" si="103"/>
        <v/>
      </c>
      <c r="R51" s="47" t="str">
        <f t="shared" si="121"/>
        <v/>
      </c>
      <c r="S51" s="114" t="str">
        <f t="shared" ca="1" si="124"/>
        <v/>
      </c>
      <c r="T51" s="49" t="str">
        <f ca="1">IFERROR(IF(AND(ISNUMBER(Futs!$CG51), ISNUMBER($O51)), Futs!$CG51 + $O51, ""), "")</f>
        <v/>
      </c>
      <c r="U51" s="46" t="str">
        <f ca="1">IFERROR(IF(AND(ISNUMBER(Futs!$CH51), ISNUMBER($Q51)), Futs!$CH51 + $Q51, ""), "")</f>
        <v/>
      </c>
      <c r="V51" s="47" t="str">
        <f t="shared" ca="1" si="125"/>
        <v/>
      </c>
      <c r="W51" s="46" t="str">
        <f t="shared" ca="1" si="126"/>
        <v/>
      </c>
      <c r="X51" s="427" t="str">
        <f ca="1">IFERROR(IF(AND(ISNUMBER(Futs!$CC51), ISNUMBER($T51)), $T51/7.88 - Futs!$CC51, ""), "")</f>
        <v/>
      </c>
      <c r="Y51" s="46" t="str">
        <f ca="1">IFERROR(IF(AND(ISNUMBER(Futs!$DV51), ISNUMBER($Q51)), Futs!$DV51 + $Q51/7.88, ""), "")</f>
        <v/>
      </c>
      <c r="Z51" s="47" t="str">
        <f t="shared" ca="1" si="127"/>
        <v/>
      </c>
      <c r="AA51" s="111" t="str">
        <f t="shared" ca="1" si="128"/>
        <v/>
      </c>
      <c r="AB51" s="400"/>
      <c r="AC51" s="372" t="str">
        <f ca="1">IFERROR(INDEX(ICE[], MATCH("goew" &amp; TEXT(Mid!$A51, "mmmyy"), ICE[LongCode], 0), MATCH("Text", ICE[#Headers], 0)), "")</f>
        <v/>
      </c>
      <c r="AD51" s="46" t="str">
        <f t="shared" ca="1" si="104"/>
        <v/>
      </c>
      <c r="AE51" s="68" t="str">
        <f t="shared" si="129"/>
        <v/>
      </c>
      <c r="AF51" s="46" t="str">
        <f t="shared" ca="1" si="130"/>
        <v/>
      </c>
      <c r="AG51" s="265" t="str">
        <f ca="1">IFERROR(IF(AND(ISNUMBER(Futs!$BM51), ISNUMBER($AH51)), $AH51*7.45 - Futs!$BM51, ""), "")</f>
        <v/>
      </c>
      <c r="AH51" s="187" t="str">
        <f ca="1">IFERROR(IF(AND(ISNUMBER(Futs!$CG51), ISNUMBER($AB51)), (Futs!$CG51 + $AB51)/7.45, ""), "")</f>
        <v/>
      </c>
      <c r="AI51" s="46" t="str">
        <f ca="1">IFERROR(IF(AND(ISNUMBER(Futs!$CH51), ISNUMBER($AD51)), (Futs!$CH51 + $AD51)/7.45, ""), "")</f>
        <v/>
      </c>
      <c r="AJ51" s="68" t="str">
        <f t="shared" ca="1" si="131"/>
        <v/>
      </c>
      <c r="AK51" s="364" t="str">
        <f ca="1">IFERROR(INDEX(ICE[], MATCH("brdtd" &amp; TEXT(Crd!$A51, "mmmyy"), ICE[LongCode], 0), MATCH("Text", ICE[#Headers], 0)), "")</f>
        <v/>
      </c>
      <c r="AL51" s="46" t="str">
        <f t="shared" ca="1" si="132"/>
        <v/>
      </c>
      <c r="AM51" s="427" t="str">
        <f ca="1">IFERROR(IF(AND(ISNUMBER(Futs!$CC51), ISNUMBER($AH51)), $AH51 - Futs!$CC51, ""), "")</f>
        <v/>
      </c>
      <c r="AN51" s="46" t="str">
        <f ca="1">IFERROR(IF(AND(ISNUMBER(Futs!$DV51), ISNUMBER($AD51)), $AD51/7.45 + Futs!$DV51, ""), "")</f>
        <v/>
      </c>
      <c r="AO51" s="47" t="str">
        <f t="shared" ca="1" si="133"/>
        <v/>
      </c>
      <c r="AP51" s="111" t="str">
        <f t="shared" ca="1" si="134"/>
        <v/>
      </c>
      <c r="AQ51" s="400"/>
      <c r="AR51" s="46" t="str">
        <f t="shared" ca="1" si="106"/>
        <v/>
      </c>
      <c r="AS51" s="68" t="str">
        <f t="shared" si="135"/>
        <v/>
      </c>
      <c r="AT51" s="46" t="str">
        <f t="shared" ca="1" si="136"/>
        <v/>
      </c>
      <c r="AU51" s="271" t="str">
        <f t="shared" ca="1" si="107"/>
        <v/>
      </c>
      <c r="AV51" s="46" t="str">
        <f t="shared" ca="1" si="108"/>
        <v/>
      </c>
      <c r="AW51" s="68" t="str">
        <f t="shared" ca="1" si="137"/>
        <v/>
      </c>
      <c r="AX51" s="111" t="str">
        <f t="shared" ca="1" si="138"/>
        <v/>
      </c>
      <c r="AY51" s="400"/>
      <c r="AZ51" s="372" t="str">
        <f ca="1">IFERROR(INDEX(ICE[], MATCH("regrade" &amp; TEXT(Mid!$A51, "mmmyy"), ICE[LongCode], 0), MATCH("Text", ICE[#Headers], 0)), "")</f>
        <v/>
      </c>
      <c r="BA51" s="46" t="str">
        <f t="shared" ca="1" si="109"/>
        <v/>
      </c>
      <c r="BB51" s="68" t="str">
        <f t="shared" si="172"/>
        <v/>
      </c>
      <c r="BC51" s="114" t="str">
        <f t="shared" ca="1" si="139"/>
        <v/>
      </c>
      <c r="BD51" s="68" t="str">
        <f t="shared" ca="1" si="110"/>
        <v/>
      </c>
      <c r="BE51" s="46" t="str">
        <f t="shared" ca="1" si="111"/>
        <v/>
      </c>
      <c r="BF51" s="68" t="str">
        <f t="shared" ca="1" si="140"/>
        <v/>
      </c>
      <c r="BG51" s="111" t="str">
        <f t="shared" ca="1" si="141"/>
        <v/>
      </c>
      <c r="BH51" s="68" t="str">
        <f t="shared" ca="1" si="122"/>
        <v/>
      </c>
      <c r="BI51" s="46" t="str">
        <f t="shared" ca="1" si="112"/>
        <v/>
      </c>
      <c r="BJ51" s="68" t="str">
        <f t="shared" ca="1" si="142"/>
        <v/>
      </c>
      <c r="BK51" s="111" t="str">
        <f t="shared" ca="1" si="143"/>
        <v/>
      </c>
      <c r="BL51" s="400"/>
      <c r="BM51" s="372" t="str">
        <f ca="1">IFERROR(INDEX(ICE[], MATCH("ulsdaradiff" &amp; TEXT(Mid!$A51, "mmmyy"), ICE[LongCode], 0), MATCH("Text", ICE[#Headers], 0)), "")</f>
        <v/>
      </c>
      <c r="BN51" s="46" t="str">
        <f t="shared" ca="1" si="113"/>
        <v/>
      </c>
      <c r="BO51" s="68" t="str">
        <f t="shared" si="144"/>
        <v/>
      </c>
      <c r="BP51" s="114" t="str">
        <f t="shared" ca="1" si="145"/>
        <v/>
      </c>
      <c r="BQ51" s="68" t="str">
        <f ca="1">IFERROR(IF(AND(ISNUMBER(Futs!$CG51), ISNUMBER($BL51)), Futs!$CG51 + $BL51, ""), "")</f>
        <v/>
      </c>
      <c r="BR51" s="46" t="str">
        <f ca="1">IFERROR(IF(AND(ISNUMBER(Futs!$CH51), ISNUMBER($BN51)), Futs!$CH51 + $BN51, ""), "")</f>
        <v/>
      </c>
      <c r="BS51" s="68" t="str">
        <f t="shared" ca="1" si="146"/>
        <v/>
      </c>
      <c r="BT51" s="111" t="str">
        <f t="shared" ca="1" si="147"/>
        <v/>
      </c>
      <c r="BU51" s="400"/>
      <c r="BV51" s="372" t="str">
        <f ca="1">IFERROR(INDEX(ICE[], MATCH("ulsdccndiff" &amp; TEXT(Mid!$A51, "mmmyy"), ICE[LongCode], 0), MATCH("Text", ICE[#Headers], 0)), "")</f>
        <v/>
      </c>
      <c r="BW51" s="46" t="str">
        <f t="shared" ca="1" si="114"/>
        <v/>
      </c>
      <c r="BX51" s="68" t="str">
        <f t="shared" si="148"/>
        <v/>
      </c>
      <c r="BY51" s="114" t="str">
        <f t="shared" ca="1" si="149"/>
        <v/>
      </c>
      <c r="BZ51" s="68" t="str">
        <f ca="1">IFERROR(IF(AND(ISNUMBER(Futs!$CG51), ISNUMBER($BU51)), Futs!$CG51 + $BU51, ""), "")</f>
        <v/>
      </c>
      <c r="CA51" s="46" t="str">
        <f ca="1">IFERROR(IF(AND(ISNUMBER(Futs!$CH51), ISNUMBER($BW51)), Futs!$CH51 + $BW51, ""), "")</f>
        <v/>
      </c>
      <c r="CB51" s="68" t="str">
        <f t="shared" ca="1" si="150"/>
        <v/>
      </c>
      <c r="CC51" s="111" t="str">
        <f t="shared" ca="1" si="151"/>
        <v/>
      </c>
      <c r="CD51" s="400"/>
      <c r="CE51" s="372" t="str">
        <f ca="1">IFERROR(INDEX(ICE[], MATCH("ulsdccmdiff" &amp; TEXT(Mid!$A51, "mmmyy"), ICE[LongCode], 0), MATCH("Text", ICE[#Headers], 0)), "")</f>
        <v/>
      </c>
      <c r="CF51" s="46" t="str">
        <f t="shared" ca="1" si="115"/>
        <v/>
      </c>
      <c r="CG51" s="68" t="str">
        <f t="shared" si="152"/>
        <v/>
      </c>
      <c r="CH51" s="114" t="str">
        <f t="shared" ca="1" si="153"/>
        <v/>
      </c>
      <c r="CI51" s="68" t="str">
        <f ca="1">IFERROR(IF(AND(ISNUMBER(Futs!$CG51), ISNUMBER($CD51)), Futs!$CG51 + $CD51, ""), "")</f>
        <v/>
      </c>
      <c r="CJ51" s="67" t="str">
        <f ca="1">IFERROR(IF(AND(ISNUMBER(Futs!$CH51), ISNUMBER($CF51)), Futs!$CH51 + $CF51, ""), "")</f>
        <v/>
      </c>
      <c r="CK51" s="68" t="str">
        <f t="shared" ca="1" si="154"/>
        <v/>
      </c>
      <c r="CL51" s="111" t="str">
        <f t="shared" ca="1" si="155"/>
        <v/>
      </c>
      <c r="CM51" s="400"/>
      <c r="CN51" s="372" t="str">
        <f ca="1">IFERROR(INDEX(ICE[], MATCH("go01bfrdiff" &amp; TEXT(Mid!$A51, "mmmyy"), ICE[LongCode], 0), MATCH("Text", ICE[#Headers], 0)), "")</f>
        <v/>
      </c>
      <c r="CO51" s="46" t="str">
        <f t="shared" ca="1" si="116"/>
        <v/>
      </c>
      <c r="CP51" s="68" t="str">
        <f t="shared" si="156"/>
        <v/>
      </c>
      <c r="CQ51" s="114" t="str">
        <f t="shared" ca="1" si="157"/>
        <v/>
      </c>
      <c r="CR51" s="68" t="str">
        <f ca="1">IFERROR(IF(AND(ISNUMBER(Futs!$CG51), ISNUMBER($CM51)), Futs!$CG51 + $CM51, ""), "")</f>
        <v/>
      </c>
      <c r="CS51" s="46" t="str">
        <f ca="1">IFERROR(IF(AND(ISNUMBER(Futs!$CH51), ISNUMBER($CO51)), Futs!$CH51 + $CO51, ""), "")</f>
        <v/>
      </c>
      <c r="CT51" s="68" t="str">
        <f t="shared" ca="1" si="158"/>
        <v/>
      </c>
      <c r="CU51" s="111" t="str">
        <f t="shared" ca="1" si="159"/>
        <v/>
      </c>
      <c r="CV51" s="400"/>
      <c r="CW51" s="372" t="str">
        <f ca="1">IFERROR(INDEX(ICE[], MATCH("go01ccndiff" &amp; TEXT(Mid!$A51, "mmmyy"), ICE[LongCode], 0), MATCH("Text", ICE[#Headers], 0)), "")</f>
        <v/>
      </c>
      <c r="CX51" s="46" t="str">
        <f t="shared" ca="1" si="117"/>
        <v/>
      </c>
      <c r="CY51" s="68" t="str">
        <f t="shared" si="160"/>
        <v/>
      </c>
      <c r="CZ51" s="114" t="str">
        <f t="shared" ca="1" si="161"/>
        <v/>
      </c>
      <c r="DA51" s="68" t="str">
        <f ca="1">IFERROR(IF(AND(ISNUMBER(Futs!$CG51), ISNUMBER($CV51)), Futs!$CG51 + $CV51, ""), "")</f>
        <v/>
      </c>
      <c r="DB51" s="46" t="str">
        <f ca="1">IFERROR(IF(AND(ISNUMBER(Futs!$CH51), ISNUMBER($CX51)), Futs!$CH51 + $CX51, ""), "")</f>
        <v/>
      </c>
      <c r="DC51" s="68" t="str">
        <f t="shared" ca="1" si="162"/>
        <v/>
      </c>
      <c r="DD51" s="111" t="str">
        <f t="shared" ca="1" si="163"/>
        <v/>
      </c>
      <c r="DE51" s="400"/>
      <c r="DF51" s="372" t="str">
        <f ca="1">IFERROR(INDEX(ICE[], MATCH("go01ccmdiff" &amp; TEXT(Mid!$A51, "mmmyy"), ICE[LongCode], 0), MATCH("Text", ICE[#Headers], 0)), "")</f>
        <v/>
      </c>
      <c r="DG51" s="46" t="str">
        <f t="shared" ca="1" si="118"/>
        <v/>
      </c>
      <c r="DH51" s="68" t="str">
        <f t="shared" si="164"/>
        <v/>
      </c>
      <c r="DI51" s="114" t="str">
        <f t="shared" ca="1" si="165"/>
        <v/>
      </c>
      <c r="DJ51" s="68" t="str">
        <f ca="1">IFERROR(IF(AND(ISNUMBER(Futs!$CG51), ISNUMBER($DE51)), Futs!$CG51 + $DE51, ""), "")</f>
        <v/>
      </c>
      <c r="DK51" s="46" t="str">
        <f ca="1">IFERROR(IF(AND(ISNUMBER(Futs!$CH51), ISNUMBER($DG51)), Futs!$CH51 + $DG51, ""), "")</f>
        <v/>
      </c>
      <c r="DL51" s="68" t="str">
        <f t="shared" ca="1" si="166"/>
        <v/>
      </c>
      <c r="DM51" s="111" t="str">
        <f t="shared" ca="1" si="167"/>
        <v/>
      </c>
      <c r="DN51" s="400"/>
      <c r="DO51" s="372" t="str">
        <f ca="1">IFERROR(INDEX(ICE[], MATCH("ulsdgc" &amp; TEXT(Mid!$A51, "mmmyy"), ICE[LongCode], 0), MATCH("Text", ICE[#Headers], 0)), "")</f>
        <v/>
      </c>
      <c r="DP51" s="46" t="str">
        <f t="shared" ca="1" si="119"/>
        <v/>
      </c>
      <c r="DQ51" s="68" t="str">
        <f t="shared" si="168"/>
        <v/>
      </c>
      <c r="DR51" s="114" t="str">
        <f t="shared" ca="1" si="169"/>
        <v/>
      </c>
      <c r="DS51" s="68" t="str">
        <f ca="1">IFERROR(IF(AND(ISNUMBER(Futs!$CK51), ISNUMBER($DN51)), Futs!$CK51 + $DN51, ""), "")</f>
        <v/>
      </c>
      <c r="DT51" s="46" t="str">
        <f ca="1">IFERROR(IF(AND(ISNUMBER(Futs!$CL51), ISNUMBER($DP51)), Futs!$CL51 + $DP51, ""), "")</f>
        <v/>
      </c>
      <c r="DU51" s="68" t="str">
        <f t="shared" ca="1" si="170"/>
        <v/>
      </c>
      <c r="DV51" s="111" t="str">
        <f t="shared" ca="1" si="171"/>
        <v/>
      </c>
    </row>
    <row r="52" spans="1:126" x14ac:dyDescent="0.25">
      <c r="A52" s="58">
        <f t="shared" ca="1" si="123"/>
        <v>47270</v>
      </c>
      <c r="B52" s="6">
        <f t="shared" ca="1" si="102"/>
        <v>2029</v>
      </c>
      <c r="C52" s="6" t="str">
        <f t="shared" ca="1" si="120"/>
        <v>Q229</v>
      </c>
      <c r="D52" s="28" t="e">
        <f ca="1">INDEX(ICE[], MATCH(D$18 &amp; TEXT(Mid!$A52, "mmmyy"), ICE[LongCode], 0), MATCH("Settle", ICE[#Headers], 0))</f>
        <v>#N/A</v>
      </c>
      <c r="E52" s="28" t="e">
        <f ca="1">INDEX(ICE[], MATCH(E$18 &amp; TEXT(Mid!$A52, "mmmyy"), ICE[LongCode], 0), MATCH("Settle", ICE[#Headers], 0))</f>
        <v>#N/A</v>
      </c>
      <c r="F52" s="28" t="e">
        <f ca="1">INDEX(ICE[], MATCH(F$18 &amp; TEXT(Mid!$A52, "mmmyy"), ICE[LongCode], 0), MATCH("Settle", ICE[#Headers], 0))</f>
        <v>#N/A</v>
      </c>
      <c r="G52" s="28" t="e">
        <f ca="1">INDEX(ICE[], MATCH(G$18 &amp; TEXT(Mid!$A52, "mmmyy"), ICE[LongCode], 0), MATCH("Settle", ICE[#Headers], 0))</f>
        <v>#N/A</v>
      </c>
      <c r="H52" s="28" t="e">
        <f ca="1">INDEX(ICE[], MATCH(H$18 &amp; TEXT(Mid!$A52, "mmmyy"), ICE[LongCode], 0), MATCH("Settle", ICE[#Headers], 0))</f>
        <v>#N/A</v>
      </c>
      <c r="I52" s="28" t="e">
        <f ca="1">INDEX(ICE[], MATCH(I$18 &amp; TEXT(Mid!$A52, "mmmyy"), ICE[LongCode], 0), MATCH("Settle", ICE[#Headers], 0))</f>
        <v>#N/A</v>
      </c>
      <c r="J52" s="28" t="e">
        <f ca="1">INDEX(ICE[], MATCH(J$18 &amp; TEXT(Mid!$A52, "mmmyy"), ICE[LongCode], 0), MATCH("Settle", ICE[#Headers], 0))</f>
        <v>#N/A</v>
      </c>
      <c r="K52" s="28" t="e">
        <f ca="1">INDEX(ICE[], MATCH(K$18 &amp; TEXT(Mid!$A52, "mmmyy"), ICE[LongCode], 0), MATCH("Settle", ICE[#Headers], 0))</f>
        <v>#N/A</v>
      </c>
      <c r="L52" s="28" t="e">
        <f ca="1">INDEX(ICE[], MATCH(L$18 &amp; TEXT(Mid!$A52, "mmmyy"), ICE[LongCode], 0), MATCH("Settle", ICE[#Headers], 0))</f>
        <v>#N/A</v>
      </c>
      <c r="M52" s="28" t="e">
        <f ca="1">INDEX(ICE[], MATCH(M$18 &amp; TEXT(Mid!$A52, "mmmyy"), ICE[LongCode], 0), MATCH("Settle", ICE[#Headers], 0))</f>
        <v>#N/A</v>
      </c>
      <c r="N52" s="28" t="e">
        <f ca="1">INDEX(ICE[], MATCH(N$18 &amp; TEXT(Mid!$A52, "mmmyy"), ICE[LongCode], 0), MATCH("Settle", ICE[#Headers], 0))*100</f>
        <v>#N/A</v>
      </c>
      <c r="O52" s="397"/>
      <c r="P52" s="372" t="str">
        <f ca="1">IFERROR(INDEX(ICE[], MATCH("jetccndiff" &amp; TEXT(Mid!$A52, "mmmyy"), ICE[LongCode], 0), MATCH("Text", ICE[#Headers], 0)), "")</f>
        <v/>
      </c>
      <c r="Q52" s="46" t="str">
        <f t="shared" ca="1" si="103"/>
        <v/>
      </c>
      <c r="R52" s="47" t="str">
        <f t="shared" si="121"/>
        <v/>
      </c>
      <c r="S52" s="114" t="str">
        <f t="shared" ca="1" si="124"/>
        <v/>
      </c>
      <c r="T52" s="49" t="str">
        <f ca="1">IFERROR(IF(AND(ISNUMBER(Futs!$CG52), ISNUMBER($O52)), Futs!$CG52 + $O52, ""), "")</f>
        <v/>
      </c>
      <c r="U52" s="46" t="str">
        <f ca="1">IFERROR(IF(AND(ISNUMBER(Futs!$CH52), ISNUMBER($Q52)), Futs!$CH52 + $Q52, ""), "")</f>
        <v/>
      </c>
      <c r="V52" s="47" t="str">
        <f t="shared" ca="1" si="125"/>
        <v/>
      </c>
      <c r="W52" s="46" t="str">
        <f t="shared" ca="1" si="126"/>
        <v/>
      </c>
      <c r="X52" s="427" t="str">
        <f ca="1">IFERROR(IF(AND(ISNUMBER(Futs!$CC52), ISNUMBER($T52)), $T52/7.88 - Futs!$CC52, ""), "")</f>
        <v/>
      </c>
      <c r="Y52" s="46" t="str">
        <f ca="1">IFERROR(IF(AND(ISNUMBER(Futs!$DV52), ISNUMBER($Q52)), Futs!$DV52 + $Q52/7.88, ""), "")</f>
        <v/>
      </c>
      <c r="Z52" s="47" t="str">
        <f t="shared" ca="1" si="127"/>
        <v/>
      </c>
      <c r="AA52" s="111" t="str">
        <f t="shared" ca="1" si="128"/>
        <v/>
      </c>
      <c r="AB52" s="400"/>
      <c r="AC52" s="372" t="str">
        <f ca="1">IFERROR(INDEX(ICE[], MATCH("goew" &amp; TEXT(Mid!$A52, "mmmyy"), ICE[LongCode], 0), MATCH("Text", ICE[#Headers], 0)), "")</f>
        <v/>
      </c>
      <c r="AD52" s="46" t="str">
        <f t="shared" ca="1" si="104"/>
        <v/>
      </c>
      <c r="AE52" s="68" t="str">
        <f t="shared" si="129"/>
        <v/>
      </c>
      <c r="AF52" s="46" t="str">
        <f t="shared" ca="1" si="130"/>
        <v/>
      </c>
      <c r="AG52" s="265" t="str">
        <f ca="1">IFERROR(IF(AND(ISNUMBER(Futs!$BM52), ISNUMBER($AH52)), $AH52*7.45 - Futs!$BM52, ""), "")</f>
        <v/>
      </c>
      <c r="AH52" s="187" t="str">
        <f ca="1">IFERROR(IF(AND(ISNUMBER(Futs!$CG52), ISNUMBER($AB52)), (Futs!$CG52 + $AB52)/7.45, ""), "")</f>
        <v/>
      </c>
      <c r="AI52" s="46" t="str">
        <f ca="1">IFERROR(IF(AND(ISNUMBER(Futs!$CH52), ISNUMBER($AD52)), (Futs!$CH52 + $AD52)/7.45, ""), "")</f>
        <v/>
      </c>
      <c r="AJ52" s="68" t="str">
        <f t="shared" ca="1" si="131"/>
        <v/>
      </c>
      <c r="AK52" s="364" t="str">
        <f ca="1">IFERROR(INDEX(ICE[], MATCH("brdtd" &amp; TEXT(Crd!$A52, "mmmyy"), ICE[LongCode], 0), MATCH("Text", ICE[#Headers], 0)), "")</f>
        <v/>
      </c>
      <c r="AL52" s="46" t="str">
        <f t="shared" ca="1" si="132"/>
        <v/>
      </c>
      <c r="AM52" s="427" t="str">
        <f ca="1">IFERROR(IF(AND(ISNUMBER(Futs!$CC52), ISNUMBER($AH52)), $AH52 - Futs!$CC52, ""), "")</f>
        <v/>
      </c>
      <c r="AN52" s="46" t="str">
        <f ca="1">IFERROR(IF(AND(ISNUMBER(Futs!$DV52), ISNUMBER($AD52)), $AD52/7.45 + Futs!$DV52, ""), "")</f>
        <v/>
      </c>
      <c r="AO52" s="47" t="str">
        <f t="shared" ca="1" si="133"/>
        <v/>
      </c>
      <c r="AP52" s="111" t="str">
        <f t="shared" ca="1" si="134"/>
        <v/>
      </c>
      <c r="AQ52" s="400"/>
      <c r="AR52" s="46" t="str">
        <f t="shared" ca="1" si="106"/>
        <v/>
      </c>
      <c r="AS52" s="68" t="str">
        <f t="shared" si="135"/>
        <v/>
      </c>
      <c r="AT52" s="46" t="str">
        <f t="shared" ca="1" si="136"/>
        <v/>
      </c>
      <c r="AU52" s="271" t="str">
        <f t="shared" ca="1" si="107"/>
        <v/>
      </c>
      <c r="AV52" s="46" t="str">
        <f t="shared" ca="1" si="108"/>
        <v/>
      </c>
      <c r="AW52" s="68" t="str">
        <f t="shared" ca="1" si="137"/>
        <v/>
      </c>
      <c r="AX52" s="111" t="str">
        <f t="shared" ca="1" si="138"/>
        <v/>
      </c>
      <c r="AY52" s="400"/>
      <c r="AZ52" s="372" t="str">
        <f ca="1">IFERROR(INDEX(ICE[], MATCH("regrade" &amp; TEXT(Mid!$A52, "mmmyy"), ICE[LongCode], 0), MATCH("Text", ICE[#Headers], 0)), "")</f>
        <v/>
      </c>
      <c r="BA52" s="46" t="str">
        <f t="shared" ca="1" si="109"/>
        <v/>
      </c>
      <c r="BB52" s="68" t="str">
        <f t="shared" si="172"/>
        <v/>
      </c>
      <c r="BC52" s="114" t="str">
        <f t="shared" ca="1" si="139"/>
        <v/>
      </c>
      <c r="BD52" s="68" t="str">
        <f t="shared" ca="1" si="110"/>
        <v/>
      </c>
      <c r="BE52" s="46" t="str">
        <f t="shared" ca="1" si="111"/>
        <v/>
      </c>
      <c r="BF52" s="68" t="str">
        <f t="shared" ca="1" si="140"/>
        <v/>
      </c>
      <c r="BG52" s="111" t="str">
        <f t="shared" ca="1" si="141"/>
        <v/>
      </c>
      <c r="BH52" s="68" t="str">
        <f t="shared" ca="1" si="122"/>
        <v/>
      </c>
      <c r="BI52" s="46" t="str">
        <f t="shared" ca="1" si="112"/>
        <v/>
      </c>
      <c r="BJ52" s="68" t="str">
        <f t="shared" ca="1" si="142"/>
        <v/>
      </c>
      <c r="BK52" s="111" t="str">
        <f t="shared" ca="1" si="143"/>
        <v/>
      </c>
      <c r="BL52" s="400"/>
      <c r="BM52" s="372" t="str">
        <f ca="1">IFERROR(INDEX(ICE[], MATCH("ulsdaradiff" &amp; TEXT(Mid!$A52, "mmmyy"), ICE[LongCode], 0), MATCH("Text", ICE[#Headers], 0)), "")</f>
        <v/>
      </c>
      <c r="BN52" s="46" t="str">
        <f t="shared" ca="1" si="113"/>
        <v/>
      </c>
      <c r="BO52" s="68" t="str">
        <f t="shared" si="144"/>
        <v/>
      </c>
      <c r="BP52" s="114" t="str">
        <f t="shared" ca="1" si="145"/>
        <v/>
      </c>
      <c r="BQ52" s="68" t="str">
        <f ca="1">IFERROR(IF(AND(ISNUMBER(Futs!$CG52), ISNUMBER($BL52)), Futs!$CG52 + $BL52, ""), "")</f>
        <v/>
      </c>
      <c r="BR52" s="46" t="str">
        <f ca="1">IFERROR(IF(AND(ISNUMBER(Futs!$CH52), ISNUMBER($BN52)), Futs!$CH52 + $BN52, ""), "")</f>
        <v/>
      </c>
      <c r="BS52" s="68" t="str">
        <f t="shared" ca="1" si="146"/>
        <v/>
      </c>
      <c r="BT52" s="111" t="str">
        <f t="shared" ca="1" si="147"/>
        <v/>
      </c>
      <c r="BU52" s="400"/>
      <c r="BV52" s="372" t="str">
        <f ca="1">IFERROR(INDEX(ICE[], MATCH("ulsdccndiff" &amp; TEXT(Mid!$A52, "mmmyy"), ICE[LongCode], 0), MATCH("Text", ICE[#Headers], 0)), "")</f>
        <v/>
      </c>
      <c r="BW52" s="46" t="str">
        <f t="shared" ca="1" si="114"/>
        <v/>
      </c>
      <c r="BX52" s="68" t="str">
        <f t="shared" si="148"/>
        <v/>
      </c>
      <c r="BY52" s="114" t="str">
        <f t="shared" ca="1" si="149"/>
        <v/>
      </c>
      <c r="BZ52" s="68" t="str">
        <f ca="1">IFERROR(IF(AND(ISNUMBER(Futs!$CG52), ISNUMBER($BU52)), Futs!$CG52 + $BU52, ""), "")</f>
        <v/>
      </c>
      <c r="CA52" s="46" t="str">
        <f ca="1">IFERROR(IF(AND(ISNUMBER(Futs!$CH52), ISNUMBER($BW52)), Futs!$CH52 + $BW52, ""), "")</f>
        <v/>
      </c>
      <c r="CB52" s="68" t="str">
        <f t="shared" ca="1" si="150"/>
        <v/>
      </c>
      <c r="CC52" s="111" t="str">
        <f t="shared" ca="1" si="151"/>
        <v/>
      </c>
      <c r="CD52" s="400"/>
      <c r="CE52" s="372" t="str">
        <f ca="1">IFERROR(INDEX(ICE[], MATCH("ulsdccmdiff" &amp; TEXT(Mid!$A52, "mmmyy"), ICE[LongCode], 0), MATCH("Text", ICE[#Headers], 0)), "")</f>
        <v/>
      </c>
      <c r="CF52" s="46" t="str">
        <f t="shared" ca="1" si="115"/>
        <v/>
      </c>
      <c r="CG52" s="68" t="str">
        <f t="shared" si="152"/>
        <v/>
      </c>
      <c r="CH52" s="114" t="str">
        <f t="shared" ca="1" si="153"/>
        <v/>
      </c>
      <c r="CI52" s="68" t="str">
        <f ca="1">IFERROR(IF(AND(ISNUMBER(Futs!$CG52), ISNUMBER($CD52)), Futs!$CG52 + $CD52, ""), "")</f>
        <v/>
      </c>
      <c r="CJ52" s="67" t="str">
        <f ca="1">IFERROR(IF(AND(ISNUMBER(Futs!$CH52), ISNUMBER($CF52)), Futs!$CH52 + $CF52, ""), "")</f>
        <v/>
      </c>
      <c r="CK52" s="68" t="str">
        <f t="shared" ca="1" si="154"/>
        <v/>
      </c>
      <c r="CL52" s="111" t="str">
        <f t="shared" ca="1" si="155"/>
        <v/>
      </c>
      <c r="CM52" s="400"/>
      <c r="CN52" s="372" t="str">
        <f ca="1">IFERROR(INDEX(ICE[], MATCH("go01bfrdiff" &amp; TEXT(Mid!$A52, "mmmyy"), ICE[LongCode], 0), MATCH("Text", ICE[#Headers], 0)), "")</f>
        <v/>
      </c>
      <c r="CO52" s="46" t="str">
        <f t="shared" ca="1" si="116"/>
        <v/>
      </c>
      <c r="CP52" s="68" t="str">
        <f t="shared" si="156"/>
        <v/>
      </c>
      <c r="CQ52" s="114" t="str">
        <f t="shared" ca="1" si="157"/>
        <v/>
      </c>
      <c r="CR52" s="68" t="str">
        <f ca="1">IFERROR(IF(AND(ISNUMBER(Futs!$CG52), ISNUMBER($CM52)), Futs!$CG52 + $CM52, ""), "")</f>
        <v/>
      </c>
      <c r="CS52" s="46" t="str">
        <f ca="1">IFERROR(IF(AND(ISNUMBER(Futs!$CH52), ISNUMBER($CO52)), Futs!$CH52 + $CO52, ""), "")</f>
        <v/>
      </c>
      <c r="CT52" s="68" t="str">
        <f t="shared" ca="1" si="158"/>
        <v/>
      </c>
      <c r="CU52" s="111" t="str">
        <f t="shared" ca="1" si="159"/>
        <v/>
      </c>
      <c r="CV52" s="400"/>
      <c r="CW52" s="372" t="str">
        <f ca="1">IFERROR(INDEX(ICE[], MATCH("go01ccndiff" &amp; TEXT(Mid!$A52, "mmmyy"), ICE[LongCode], 0), MATCH("Text", ICE[#Headers], 0)), "")</f>
        <v/>
      </c>
      <c r="CX52" s="46" t="str">
        <f t="shared" ca="1" si="117"/>
        <v/>
      </c>
      <c r="CY52" s="68" t="str">
        <f t="shared" si="160"/>
        <v/>
      </c>
      <c r="CZ52" s="114" t="str">
        <f t="shared" ca="1" si="161"/>
        <v/>
      </c>
      <c r="DA52" s="68" t="str">
        <f ca="1">IFERROR(IF(AND(ISNUMBER(Futs!$CG52), ISNUMBER($CV52)), Futs!$CG52 + $CV52, ""), "")</f>
        <v/>
      </c>
      <c r="DB52" s="46" t="str">
        <f ca="1">IFERROR(IF(AND(ISNUMBER(Futs!$CH52), ISNUMBER($CX52)), Futs!$CH52 + $CX52, ""), "")</f>
        <v/>
      </c>
      <c r="DC52" s="68" t="str">
        <f t="shared" ca="1" si="162"/>
        <v/>
      </c>
      <c r="DD52" s="111" t="str">
        <f t="shared" ca="1" si="163"/>
        <v/>
      </c>
      <c r="DE52" s="400"/>
      <c r="DF52" s="372" t="str">
        <f ca="1">IFERROR(INDEX(ICE[], MATCH("go01ccmdiff" &amp; TEXT(Mid!$A52, "mmmyy"), ICE[LongCode], 0), MATCH("Text", ICE[#Headers], 0)), "")</f>
        <v/>
      </c>
      <c r="DG52" s="46" t="str">
        <f t="shared" ca="1" si="118"/>
        <v/>
      </c>
      <c r="DH52" s="68" t="str">
        <f t="shared" si="164"/>
        <v/>
      </c>
      <c r="DI52" s="114" t="str">
        <f t="shared" ca="1" si="165"/>
        <v/>
      </c>
      <c r="DJ52" s="68" t="str">
        <f ca="1">IFERROR(IF(AND(ISNUMBER(Futs!$CG52), ISNUMBER($DE52)), Futs!$CG52 + $DE52, ""), "")</f>
        <v/>
      </c>
      <c r="DK52" s="46" t="str">
        <f ca="1">IFERROR(IF(AND(ISNUMBER(Futs!$CH52), ISNUMBER($DG52)), Futs!$CH52 + $DG52, ""), "")</f>
        <v/>
      </c>
      <c r="DL52" s="68" t="str">
        <f t="shared" ca="1" si="166"/>
        <v/>
      </c>
      <c r="DM52" s="111" t="str">
        <f t="shared" ca="1" si="167"/>
        <v/>
      </c>
      <c r="DN52" s="400"/>
      <c r="DO52" s="372" t="str">
        <f ca="1">IFERROR(INDEX(ICE[], MATCH("ulsdgc" &amp; TEXT(Mid!$A52, "mmmyy"), ICE[LongCode], 0), MATCH("Text", ICE[#Headers], 0)), "")</f>
        <v/>
      </c>
      <c r="DP52" s="46" t="str">
        <f t="shared" ca="1" si="119"/>
        <v/>
      </c>
      <c r="DQ52" s="68" t="str">
        <f t="shared" si="168"/>
        <v/>
      </c>
      <c r="DR52" s="114" t="str">
        <f t="shared" ca="1" si="169"/>
        <v/>
      </c>
      <c r="DS52" s="68" t="str">
        <f ca="1">IFERROR(IF(AND(ISNUMBER(Futs!$CK52), ISNUMBER($DN52)), Futs!$CK52 + $DN52, ""), "")</f>
        <v/>
      </c>
      <c r="DT52" s="46" t="str">
        <f ca="1">IFERROR(IF(AND(ISNUMBER(Futs!$CL52), ISNUMBER($DP52)), Futs!$CL52 + $DP52, ""), "")</f>
        <v/>
      </c>
      <c r="DU52" s="68" t="str">
        <f t="shared" ca="1" si="170"/>
        <v/>
      </c>
      <c r="DV52" s="111" t="str">
        <f t="shared" ca="1" si="171"/>
        <v/>
      </c>
    </row>
    <row r="53" spans="1:126" x14ac:dyDescent="0.25">
      <c r="A53" s="58">
        <f t="shared" ca="1" si="123"/>
        <v>47300</v>
      </c>
      <c r="B53" s="6">
        <f t="shared" ca="1" si="102"/>
        <v>2029</v>
      </c>
      <c r="C53" s="6" t="str">
        <f t="shared" ca="1" si="120"/>
        <v>Q329</v>
      </c>
      <c r="D53" s="28" t="e">
        <f ca="1">INDEX(ICE[], MATCH(D$18 &amp; TEXT(Mid!$A53, "mmmyy"), ICE[LongCode], 0), MATCH("Settle", ICE[#Headers], 0))</f>
        <v>#N/A</v>
      </c>
      <c r="E53" s="28" t="e">
        <f ca="1">INDEX(ICE[], MATCH(E$18 &amp; TEXT(Mid!$A53, "mmmyy"), ICE[LongCode], 0), MATCH("Settle", ICE[#Headers], 0))</f>
        <v>#N/A</v>
      </c>
      <c r="F53" s="28" t="e">
        <f ca="1">INDEX(ICE[], MATCH(F$18 &amp; TEXT(Mid!$A53, "mmmyy"), ICE[LongCode], 0), MATCH("Settle", ICE[#Headers], 0))</f>
        <v>#N/A</v>
      </c>
      <c r="G53" s="28" t="e">
        <f ca="1">INDEX(ICE[], MATCH(G$18 &amp; TEXT(Mid!$A53, "mmmyy"), ICE[LongCode], 0), MATCH("Settle", ICE[#Headers], 0))</f>
        <v>#N/A</v>
      </c>
      <c r="H53" s="28" t="e">
        <f ca="1">INDEX(ICE[], MATCH(H$18 &amp; TEXT(Mid!$A53, "mmmyy"), ICE[LongCode], 0), MATCH("Settle", ICE[#Headers], 0))</f>
        <v>#N/A</v>
      </c>
      <c r="I53" s="28" t="e">
        <f ca="1">INDEX(ICE[], MATCH(I$18 &amp; TEXT(Mid!$A53, "mmmyy"), ICE[LongCode], 0), MATCH("Settle", ICE[#Headers], 0))</f>
        <v>#N/A</v>
      </c>
      <c r="J53" s="28" t="e">
        <f ca="1">INDEX(ICE[], MATCH(J$18 &amp; TEXT(Mid!$A53, "mmmyy"), ICE[LongCode], 0), MATCH("Settle", ICE[#Headers], 0))</f>
        <v>#N/A</v>
      </c>
      <c r="K53" s="28" t="e">
        <f ca="1">INDEX(ICE[], MATCH(K$18 &amp; TEXT(Mid!$A53, "mmmyy"), ICE[LongCode], 0), MATCH("Settle", ICE[#Headers], 0))</f>
        <v>#N/A</v>
      </c>
      <c r="L53" s="28" t="e">
        <f ca="1">INDEX(ICE[], MATCH(L$18 &amp; TEXT(Mid!$A53, "mmmyy"), ICE[LongCode], 0), MATCH("Settle", ICE[#Headers], 0))</f>
        <v>#N/A</v>
      </c>
      <c r="M53" s="28" t="e">
        <f ca="1">INDEX(ICE[], MATCH(M$18 &amp; TEXT(Mid!$A53, "mmmyy"), ICE[LongCode], 0), MATCH("Settle", ICE[#Headers], 0))</f>
        <v>#N/A</v>
      </c>
      <c r="N53" s="28" t="e">
        <f ca="1">INDEX(ICE[], MATCH(N$18 &amp; TEXT(Mid!$A53, "mmmyy"), ICE[LongCode], 0), MATCH("Settle", ICE[#Headers], 0))*100</f>
        <v>#N/A</v>
      </c>
      <c r="O53" s="397"/>
      <c r="P53" s="372" t="str">
        <f ca="1">IFERROR(INDEX(ICE[], MATCH("jetccndiff" &amp; TEXT(Mid!$A53, "mmmyy"), ICE[LongCode], 0), MATCH("Text", ICE[#Headers], 0)), "")</f>
        <v/>
      </c>
      <c r="Q53" s="46" t="str">
        <f t="shared" ca="1" si="103"/>
        <v/>
      </c>
      <c r="R53" s="47" t="str">
        <f t="shared" si="121"/>
        <v/>
      </c>
      <c r="S53" s="114" t="str">
        <f t="shared" ca="1" si="124"/>
        <v/>
      </c>
      <c r="T53" s="49" t="str">
        <f ca="1">IFERROR(IF(AND(ISNUMBER(Futs!$CG53), ISNUMBER($O53)), Futs!$CG53 + $O53, ""), "")</f>
        <v/>
      </c>
      <c r="U53" s="46" t="str">
        <f ca="1">IFERROR(IF(AND(ISNUMBER(Futs!$CH53), ISNUMBER($Q53)), Futs!$CH53 + $Q53, ""), "")</f>
        <v/>
      </c>
      <c r="V53" s="47" t="str">
        <f t="shared" ca="1" si="125"/>
        <v/>
      </c>
      <c r="W53" s="46" t="str">
        <f t="shared" ca="1" si="126"/>
        <v/>
      </c>
      <c r="X53" s="427" t="str">
        <f ca="1">IFERROR(IF(AND(ISNUMBER(Futs!$CC53), ISNUMBER($T53)), $T53/7.88 - Futs!$CC53, ""), "")</f>
        <v/>
      </c>
      <c r="Y53" s="46" t="str">
        <f ca="1">IFERROR(IF(AND(ISNUMBER(Futs!$DV53), ISNUMBER($Q53)), Futs!$DV53 + $Q53/7.88, ""), "")</f>
        <v/>
      </c>
      <c r="Z53" s="47" t="str">
        <f t="shared" ca="1" si="127"/>
        <v/>
      </c>
      <c r="AA53" s="111" t="str">
        <f t="shared" ca="1" si="128"/>
        <v/>
      </c>
      <c r="AB53" s="400"/>
      <c r="AC53" s="372" t="str">
        <f ca="1">IFERROR(INDEX(ICE[], MATCH("goew" &amp; TEXT(Mid!$A53, "mmmyy"), ICE[LongCode], 0), MATCH("Text", ICE[#Headers], 0)), "")</f>
        <v/>
      </c>
      <c r="AD53" s="46" t="str">
        <f t="shared" ca="1" si="104"/>
        <v/>
      </c>
      <c r="AE53" s="68" t="str">
        <f t="shared" si="129"/>
        <v/>
      </c>
      <c r="AF53" s="46" t="str">
        <f t="shared" ca="1" si="130"/>
        <v/>
      </c>
      <c r="AG53" s="265" t="str">
        <f ca="1">IFERROR(IF(AND(ISNUMBER(Futs!$BM53), ISNUMBER($AH53)), $AH53*7.45 - Futs!$BM53, ""), "")</f>
        <v/>
      </c>
      <c r="AH53" s="187" t="str">
        <f ca="1">IFERROR(IF(AND(ISNUMBER(Futs!$CG53), ISNUMBER($AB53)), (Futs!$CG53 + $AB53)/7.45, ""), "")</f>
        <v/>
      </c>
      <c r="AI53" s="46" t="str">
        <f ca="1">IFERROR(IF(AND(ISNUMBER(Futs!$CH53), ISNUMBER($AD53)), (Futs!$CH53 + $AD53)/7.45, ""), "")</f>
        <v/>
      </c>
      <c r="AJ53" s="68" t="str">
        <f t="shared" ca="1" si="131"/>
        <v/>
      </c>
      <c r="AK53" s="364" t="str">
        <f ca="1">IFERROR(INDEX(ICE[], MATCH("brdtd" &amp; TEXT(Crd!$A53, "mmmyy"), ICE[LongCode], 0), MATCH("Text", ICE[#Headers], 0)), "")</f>
        <v/>
      </c>
      <c r="AL53" s="46" t="str">
        <f t="shared" ca="1" si="132"/>
        <v/>
      </c>
      <c r="AM53" s="427" t="str">
        <f ca="1">IFERROR(IF(AND(ISNUMBER(Futs!$CC53), ISNUMBER($AH53)), $AH53 - Futs!$CC53, ""), "")</f>
        <v/>
      </c>
      <c r="AN53" s="46" t="str">
        <f ca="1">IFERROR(IF(AND(ISNUMBER(Futs!$DV53), ISNUMBER($AD53)), $AD53/7.45 + Futs!$DV53, ""), "")</f>
        <v/>
      </c>
      <c r="AO53" s="47" t="str">
        <f t="shared" ca="1" si="133"/>
        <v/>
      </c>
      <c r="AP53" s="111" t="str">
        <f t="shared" ca="1" si="134"/>
        <v/>
      </c>
      <c r="AQ53" s="400"/>
      <c r="AR53" s="46" t="str">
        <f t="shared" ca="1" si="106"/>
        <v/>
      </c>
      <c r="AS53" s="68" t="str">
        <f t="shared" si="135"/>
        <v/>
      </c>
      <c r="AT53" s="46" t="str">
        <f t="shared" ca="1" si="136"/>
        <v/>
      </c>
      <c r="AU53" s="271" t="str">
        <f t="shared" ca="1" si="107"/>
        <v/>
      </c>
      <c r="AV53" s="46" t="str">
        <f t="shared" ca="1" si="108"/>
        <v/>
      </c>
      <c r="AW53" s="68" t="str">
        <f t="shared" ca="1" si="137"/>
        <v/>
      </c>
      <c r="AX53" s="111" t="str">
        <f t="shared" ca="1" si="138"/>
        <v/>
      </c>
      <c r="AY53" s="400"/>
      <c r="AZ53" s="372" t="str">
        <f ca="1">IFERROR(INDEX(ICE[], MATCH("regrade" &amp; TEXT(Mid!$A53, "mmmyy"), ICE[LongCode], 0), MATCH("Text", ICE[#Headers], 0)), "")</f>
        <v/>
      </c>
      <c r="BA53" s="46" t="str">
        <f t="shared" ca="1" si="109"/>
        <v/>
      </c>
      <c r="BB53" s="68" t="str">
        <f t="shared" si="172"/>
        <v/>
      </c>
      <c r="BC53" s="114" t="str">
        <f t="shared" ca="1" si="139"/>
        <v/>
      </c>
      <c r="BD53" s="68" t="str">
        <f t="shared" ca="1" si="110"/>
        <v/>
      </c>
      <c r="BE53" s="46" t="str">
        <f t="shared" ca="1" si="111"/>
        <v/>
      </c>
      <c r="BF53" s="68" t="str">
        <f t="shared" ca="1" si="140"/>
        <v/>
      </c>
      <c r="BG53" s="111" t="str">
        <f t="shared" ca="1" si="141"/>
        <v/>
      </c>
      <c r="BH53" s="68" t="str">
        <f t="shared" ca="1" si="122"/>
        <v/>
      </c>
      <c r="BI53" s="46" t="str">
        <f t="shared" ca="1" si="112"/>
        <v/>
      </c>
      <c r="BJ53" s="68" t="str">
        <f t="shared" ca="1" si="142"/>
        <v/>
      </c>
      <c r="BK53" s="111" t="str">
        <f t="shared" ca="1" si="143"/>
        <v/>
      </c>
      <c r="BL53" s="400"/>
      <c r="BM53" s="372" t="str">
        <f ca="1">IFERROR(INDEX(ICE[], MATCH("ulsdaradiff" &amp; TEXT(Mid!$A53, "mmmyy"), ICE[LongCode], 0), MATCH("Text", ICE[#Headers], 0)), "")</f>
        <v/>
      </c>
      <c r="BN53" s="46" t="str">
        <f t="shared" ca="1" si="113"/>
        <v/>
      </c>
      <c r="BO53" s="68" t="str">
        <f t="shared" si="144"/>
        <v/>
      </c>
      <c r="BP53" s="114" t="str">
        <f t="shared" ca="1" si="145"/>
        <v/>
      </c>
      <c r="BQ53" s="68" t="str">
        <f ca="1">IFERROR(IF(AND(ISNUMBER(Futs!$CG53), ISNUMBER($BL53)), Futs!$CG53 + $BL53, ""), "")</f>
        <v/>
      </c>
      <c r="BR53" s="46" t="str">
        <f ca="1">IFERROR(IF(AND(ISNUMBER(Futs!$CH53), ISNUMBER($BN53)), Futs!$CH53 + $BN53, ""), "")</f>
        <v/>
      </c>
      <c r="BS53" s="68" t="str">
        <f t="shared" ca="1" si="146"/>
        <v/>
      </c>
      <c r="BT53" s="111" t="str">
        <f t="shared" ca="1" si="147"/>
        <v/>
      </c>
      <c r="BU53" s="400"/>
      <c r="BV53" s="372" t="str">
        <f ca="1">IFERROR(INDEX(ICE[], MATCH("ulsdccndiff" &amp; TEXT(Mid!$A53, "mmmyy"), ICE[LongCode], 0), MATCH("Text", ICE[#Headers], 0)), "")</f>
        <v/>
      </c>
      <c r="BW53" s="46" t="str">
        <f t="shared" ca="1" si="114"/>
        <v/>
      </c>
      <c r="BX53" s="68" t="str">
        <f t="shared" si="148"/>
        <v/>
      </c>
      <c r="BY53" s="114" t="str">
        <f t="shared" ca="1" si="149"/>
        <v/>
      </c>
      <c r="BZ53" s="68" t="str">
        <f ca="1">IFERROR(IF(AND(ISNUMBER(Futs!$CG53), ISNUMBER($BU53)), Futs!$CG53 + $BU53, ""), "")</f>
        <v/>
      </c>
      <c r="CA53" s="46" t="str">
        <f ca="1">IFERROR(IF(AND(ISNUMBER(Futs!$CH53), ISNUMBER($BW53)), Futs!$CH53 + $BW53, ""), "")</f>
        <v/>
      </c>
      <c r="CB53" s="68" t="str">
        <f t="shared" ca="1" si="150"/>
        <v/>
      </c>
      <c r="CC53" s="111" t="str">
        <f t="shared" ca="1" si="151"/>
        <v/>
      </c>
      <c r="CD53" s="400"/>
      <c r="CE53" s="372" t="str">
        <f ca="1">IFERROR(INDEX(ICE[], MATCH("ulsdccmdiff" &amp; TEXT(Mid!$A53, "mmmyy"), ICE[LongCode], 0), MATCH("Text", ICE[#Headers], 0)), "")</f>
        <v/>
      </c>
      <c r="CF53" s="46" t="str">
        <f t="shared" ca="1" si="115"/>
        <v/>
      </c>
      <c r="CG53" s="68" t="str">
        <f t="shared" si="152"/>
        <v/>
      </c>
      <c r="CH53" s="114" t="str">
        <f t="shared" ca="1" si="153"/>
        <v/>
      </c>
      <c r="CI53" s="68" t="str">
        <f ca="1">IFERROR(IF(AND(ISNUMBER(Futs!$CG53), ISNUMBER($CD53)), Futs!$CG53 + $CD53, ""), "")</f>
        <v/>
      </c>
      <c r="CJ53" s="67" t="str">
        <f ca="1">IFERROR(IF(AND(ISNUMBER(Futs!$CH53), ISNUMBER($CF53)), Futs!$CH53 + $CF53, ""), "")</f>
        <v/>
      </c>
      <c r="CK53" s="68" t="str">
        <f t="shared" ca="1" si="154"/>
        <v/>
      </c>
      <c r="CL53" s="111" t="str">
        <f t="shared" ca="1" si="155"/>
        <v/>
      </c>
      <c r="CM53" s="400"/>
      <c r="CN53" s="372" t="str">
        <f ca="1">IFERROR(INDEX(ICE[], MATCH("go01bfrdiff" &amp; TEXT(Mid!$A53, "mmmyy"), ICE[LongCode], 0), MATCH("Text", ICE[#Headers], 0)), "")</f>
        <v/>
      </c>
      <c r="CO53" s="46" t="str">
        <f t="shared" ca="1" si="116"/>
        <v/>
      </c>
      <c r="CP53" s="68" t="str">
        <f t="shared" si="156"/>
        <v/>
      </c>
      <c r="CQ53" s="114" t="str">
        <f t="shared" ca="1" si="157"/>
        <v/>
      </c>
      <c r="CR53" s="68" t="str">
        <f ca="1">IFERROR(IF(AND(ISNUMBER(Futs!$CG53), ISNUMBER($CM53)), Futs!$CG53 + $CM53, ""), "")</f>
        <v/>
      </c>
      <c r="CS53" s="46" t="str">
        <f ca="1">IFERROR(IF(AND(ISNUMBER(Futs!$CH53), ISNUMBER($CO53)), Futs!$CH53 + $CO53, ""), "")</f>
        <v/>
      </c>
      <c r="CT53" s="68" t="str">
        <f t="shared" ca="1" si="158"/>
        <v/>
      </c>
      <c r="CU53" s="111" t="str">
        <f t="shared" ca="1" si="159"/>
        <v/>
      </c>
      <c r="CV53" s="400"/>
      <c r="CW53" s="372" t="str">
        <f ca="1">IFERROR(INDEX(ICE[], MATCH("go01ccndiff" &amp; TEXT(Mid!$A53, "mmmyy"), ICE[LongCode], 0), MATCH("Text", ICE[#Headers], 0)), "")</f>
        <v/>
      </c>
      <c r="CX53" s="46" t="str">
        <f t="shared" ca="1" si="117"/>
        <v/>
      </c>
      <c r="CY53" s="68" t="str">
        <f t="shared" si="160"/>
        <v/>
      </c>
      <c r="CZ53" s="114" t="str">
        <f t="shared" ca="1" si="161"/>
        <v/>
      </c>
      <c r="DA53" s="68" t="str">
        <f ca="1">IFERROR(IF(AND(ISNUMBER(Futs!$CG53), ISNUMBER($CV53)), Futs!$CG53 + $CV53, ""), "")</f>
        <v/>
      </c>
      <c r="DB53" s="46" t="str">
        <f ca="1">IFERROR(IF(AND(ISNUMBER(Futs!$CH53), ISNUMBER($CX53)), Futs!$CH53 + $CX53, ""), "")</f>
        <v/>
      </c>
      <c r="DC53" s="68" t="str">
        <f t="shared" ca="1" si="162"/>
        <v/>
      </c>
      <c r="DD53" s="111" t="str">
        <f t="shared" ca="1" si="163"/>
        <v/>
      </c>
      <c r="DE53" s="400"/>
      <c r="DF53" s="372" t="str">
        <f ca="1">IFERROR(INDEX(ICE[], MATCH("go01ccmdiff" &amp; TEXT(Mid!$A53, "mmmyy"), ICE[LongCode], 0), MATCH("Text", ICE[#Headers], 0)), "")</f>
        <v/>
      </c>
      <c r="DG53" s="46" t="str">
        <f t="shared" ca="1" si="118"/>
        <v/>
      </c>
      <c r="DH53" s="68" t="str">
        <f t="shared" si="164"/>
        <v/>
      </c>
      <c r="DI53" s="114" t="str">
        <f t="shared" ca="1" si="165"/>
        <v/>
      </c>
      <c r="DJ53" s="68" t="str">
        <f ca="1">IFERROR(IF(AND(ISNUMBER(Futs!$CG53), ISNUMBER($DE53)), Futs!$CG53 + $DE53, ""), "")</f>
        <v/>
      </c>
      <c r="DK53" s="46" t="str">
        <f ca="1">IFERROR(IF(AND(ISNUMBER(Futs!$CH53), ISNUMBER($DG53)), Futs!$CH53 + $DG53, ""), "")</f>
        <v/>
      </c>
      <c r="DL53" s="68" t="str">
        <f t="shared" ca="1" si="166"/>
        <v/>
      </c>
      <c r="DM53" s="111" t="str">
        <f t="shared" ca="1" si="167"/>
        <v/>
      </c>
      <c r="DN53" s="400"/>
      <c r="DO53" s="372" t="str">
        <f ca="1">IFERROR(INDEX(ICE[], MATCH("ulsdgc" &amp; TEXT(Mid!$A53, "mmmyy"), ICE[LongCode], 0), MATCH("Text", ICE[#Headers], 0)), "")</f>
        <v/>
      </c>
      <c r="DP53" s="46" t="str">
        <f t="shared" ca="1" si="119"/>
        <v/>
      </c>
      <c r="DQ53" s="68" t="str">
        <f t="shared" si="168"/>
        <v/>
      </c>
      <c r="DR53" s="114" t="str">
        <f t="shared" ca="1" si="169"/>
        <v/>
      </c>
      <c r="DS53" s="68" t="str">
        <f ca="1">IFERROR(IF(AND(ISNUMBER(Futs!$CK53), ISNUMBER($DN53)), Futs!$CK53 + $DN53, ""), "")</f>
        <v/>
      </c>
      <c r="DT53" s="46" t="str">
        <f ca="1">IFERROR(IF(AND(ISNUMBER(Futs!$CL53), ISNUMBER($DP53)), Futs!$CL53 + $DP53, ""), "")</f>
        <v/>
      </c>
      <c r="DU53" s="68" t="str">
        <f t="shared" ca="1" si="170"/>
        <v/>
      </c>
      <c r="DV53" s="111" t="str">
        <f t="shared" ca="1" si="171"/>
        <v/>
      </c>
    </row>
    <row r="54" spans="1:126" x14ac:dyDescent="0.25">
      <c r="A54" s="58">
        <f t="shared" ca="1" si="123"/>
        <v>47331</v>
      </c>
      <c r="B54" s="6">
        <f t="shared" ca="1" si="102"/>
        <v>2029</v>
      </c>
      <c r="C54" s="6" t="str">
        <f t="shared" ca="1" si="120"/>
        <v>Q329</v>
      </c>
      <c r="D54" s="28" t="e">
        <f ca="1">INDEX(ICE[], MATCH(D$18 &amp; TEXT(Mid!$A54, "mmmyy"), ICE[LongCode], 0), MATCH("Settle", ICE[#Headers], 0))</f>
        <v>#N/A</v>
      </c>
      <c r="E54" s="28" t="e">
        <f ca="1">INDEX(ICE[], MATCH(E$18 &amp; TEXT(Mid!$A54, "mmmyy"), ICE[LongCode], 0), MATCH("Settle", ICE[#Headers], 0))</f>
        <v>#N/A</v>
      </c>
      <c r="F54" s="28" t="e">
        <f ca="1">INDEX(ICE[], MATCH(F$18 &amp; TEXT(Mid!$A54, "mmmyy"), ICE[LongCode], 0), MATCH("Settle", ICE[#Headers], 0))</f>
        <v>#N/A</v>
      </c>
      <c r="G54" s="28" t="e">
        <f ca="1">INDEX(ICE[], MATCH(G$18 &amp; TEXT(Mid!$A54, "mmmyy"), ICE[LongCode], 0), MATCH("Settle", ICE[#Headers], 0))</f>
        <v>#N/A</v>
      </c>
      <c r="H54" s="28" t="e">
        <f ca="1">INDEX(ICE[], MATCH(H$18 &amp; TEXT(Mid!$A54, "mmmyy"), ICE[LongCode], 0), MATCH("Settle", ICE[#Headers], 0))</f>
        <v>#N/A</v>
      </c>
      <c r="I54" s="28" t="e">
        <f ca="1">INDEX(ICE[], MATCH(I$18 &amp; TEXT(Mid!$A54, "mmmyy"), ICE[LongCode], 0), MATCH("Settle", ICE[#Headers], 0))</f>
        <v>#N/A</v>
      </c>
      <c r="J54" s="28" t="e">
        <f ca="1">INDEX(ICE[], MATCH(J$18 &amp; TEXT(Mid!$A54, "mmmyy"), ICE[LongCode], 0), MATCH("Settle", ICE[#Headers], 0))</f>
        <v>#N/A</v>
      </c>
      <c r="K54" s="28" t="e">
        <f ca="1">INDEX(ICE[], MATCH(K$18 &amp; TEXT(Mid!$A54, "mmmyy"), ICE[LongCode], 0), MATCH("Settle", ICE[#Headers], 0))</f>
        <v>#N/A</v>
      </c>
      <c r="L54" s="28" t="e">
        <f ca="1">INDEX(ICE[], MATCH(L$18 &amp; TEXT(Mid!$A54, "mmmyy"), ICE[LongCode], 0), MATCH("Settle", ICE[#Headers], 0))</f>
        <v>#N/A</v>
      </c>
      <c r="M54" s="28" t="e">
        <f ca="1">INDEX(ICE[], MATCH(M$18 &amp; TEXT(Mid!$A54, "mmmyy"), ICE[LongCode], 0), MATCH("Settle", ICE[#Headers], 0))</f>
        <v>#N/A</v>
      </c>
      <c r="N54" s="28" t="e">
        <f ca="1">INDEX(ICE[], MATCH(N$18 &amp; TEXT(Mid!$A54, "mmmyy"), ICE[LongCode], 0), MATCH("Settle", ICE[#Headers], 0))*100</f>
        <v>#N/A</v>
      </c>
      <c r="O54" s="397"/>
      <c r="P54" s="372" t="str">
        <f ca="1">IFERROR(INDEX(ICE[], MATCH("jetccndiff" &amp; TEXT(Mid!$A54, "mmmyy"), ICE[LongCode], 0), MATCH("Text", ICE[#Headers], 0)), "")</f>
        <v/>
      </c>
      <c r="Q54" s="46" t="str">
        <f t="shared" ca="1" si="103"/>
        <v/>
      </c>
      <c r="R54" s="47" t="str">
        <f t="shared" si="121"/>
        <v/>
      </c>
      <c r="S54" s="114" t="str">
        <f t="shared" ca="1" si="124"/>
        <v/>
      </c>
      <c r="T54" s="49" t="str">
        <f ca="1">IFERROR(IF(AND(ISNUMBER(Futs!$CG54), ISNUMBER($O54)), Futs!$CG54 + $O54, ""), "")</f>
        <v/>
      </c>
      <c r="U54" s="46" t="str">
        <f ca="1">IFERROR(IF(AND(ISNUMBER(Futs!$CH54), ISNUMBER($Q54)), Futs!$CH54 + $Q54, ""), "")</f>
        <v/>
      </c>
      <c r="V54" s="47" t="str">
        <f t="shared" ca="1" si="125"/>
        <v/>
      </c>
      <c r="W54" s="46" t="str">
        <f t="shared" ca="1" si="126"/>
        <v/>
      </c>
      <c r="X54" s="427" t="str">
        <f ca="1">IFERROR(IF(AND(ISNUMBER(Futs!$CC54), ISNUMBER($T54)), $T54/7.88 - Futs!$CC54, ""), "")</f>
        <v/>
      </c>
      <c r="Y54" s="46" t="str">
        <f ca="1">IFERROR(IF(AND(ISNUMBER(Futs!$DV54), ISNUMBER($Q54)), Futs!$DV54 + $Q54/7.88, ""), "")</f>
        <v/>
      </c>
      <c r="Z54" s="47" t="str">
        <f t="shared" ca="1" si="127"/>
        <v/>
      </c>
      <c r="AA54" s="111" t="str">
        <f t="shared" ca="1" si="128"/>
        <v/>
      </c>
      <c r="AB54" s="400"/>
      <c r="AC54" s="372" t="str">
        <f ca="1">IFERROR(INDEX(ICE[], MATCH("goew" &amp; TEXT(Mid!$A54, "mmmyy"), ICE[LongCode], 0), MATCH("Text", ICE[#Headers], 0)), "")</f>
        <v/>
      </c>
      <c r="AD54" s="46" t="str">
        <f t="shared" ca="1" si="104"/>
        <v/>
      </c>
      <c r="AE54" s="68" t="str">
        <f t="shared" si="129"/>
        <v/>
      </c>
      <c r="AF54" s="46" t="str">
        <f t="shared" ca="1" si="130"/>
        <v/>
      </c>
      <c r="AG54" s="265" t="str">
        <f ca="1">IFERROR(IF(AND(ISNUMBER(Futs!$BM54), ISNUMBER($AH54)), $AH54*7.45 - Futs!$BM54, ""), "")</f>
        <v/>
      </c>
      <c r="AH54" s="187" t="str">
        <f ca="1">IFERROR(IF(AND(ISNUMBER(Futs!$CG54), ISNUMBER($AB54)), (Futs!$CG54 + $AB54)/7.45, ""), "")</f>
        <v/>
      </c>
      <c r="AI54" s="46" t="str">
        <f ca="1">IFERROR(IF(AND(ISNUMBER(Futs!$CH54), ISNUMBER($AD54)), (Futs!$CH54 + $AD54)/7.45, ""), "")</f>
        <v/>
      </c>
      <c r="AJ54" s="68" t="str">
        <f t="shared" ca="1" si="131"/>
        <v/>
      </c>
      <c r="AK54" s="364" t="str">
        <f ca="1">IFERROR(INDEX(ICE[], MATCH("brdtd" &amp; TEXT(Crd!$A54, "mmmyy"), ICE[LongCode], 0), MATCH("Text", ICE[#Headers], 0)), "")</f>
        <v/>
      </c>
      <c r="AL54" s="46" t="str">
        <f t="shared" ca="1" si="132"/>
        <v/>
      </c>
      <c r="AM54" s="427" t="str">
        <f ca="1">IFERROR(IF(AND(ISNUMBER(Futs!$CC54), ISNUMBER($AH54)), $AH54 - Futs!$CC54, ""), "")</f>
        <v/>
      </c>
      <c r="AN54" s="46" t="str">
        <f ca="1">IFERROR(IF(AND(ISNUMBER(Futs!$DV54), ISNUMBER($AD54)), $AD54/7.45 + Futs!$DV54, ""), "")</f>
        <v/>
      </c>
      <c r="AO54" s="47" t="str">
        <f t="shared" ca="1" si="133"/>
        <v/>
      </c>
      <c r="AP54" s="111" t="str">
        <f t="shared" ca="1" si="134"/>
        <v/>
      </c>
      <c r="AQ54" s="400"/>
      <c r="AR54" s="46" t="str">
        <f t="shared" ca="1" si="106"/>
        <v/>
      </c>
      <c r="AS54" s="68" t="str">
        <f t="shared" si="135"/>
        <v/>
      </c>
      <c r="AT54" s="46" t="str">
        <f t="shared" ca="1" si="136"/>
        <v/>
      </c>
      <c r="AU54" s="271" t="str">
        <f t="shared" ca="1" si="107"/>
        <v/>
      </c>
      <c r="AV54" s="46" t="str">
        <f t="shared" ca="1" si="108"/>
        <v/>
      </c>
      <c r="AW54" s="68" t="str">
        <f t="shared" ca="1" si="137"/>
        <v/>
      </c>
      <c r="AX54" s="111" t="str">
        <f t="shared" ca="1" si="138"/>
        <v/>
      </c>
      <c r="AY54" s="400"/>
      <c r="AZ54" s="372" t="str">
        <f ca="1">IFERROR(INDEX(ICE[], MATCH("regrade" &amp; TEXT(Mid!$A54, "mmmyy"), ICE[LongCode], 0), MATCH("Text", ICE[#Headers], 0)), "")</f>
        <v/>
      </c>
      <c r="BA54" s="46" t="str">
        <f t="shared" ca="1" si="109"/>
        <v/>
      </c>
      <c r="BB54" s="68" t="str">
        <f t="shared" si="172"/>
        <v/>
      </c>
      <c r="BC54" s="114" t="str">
        <f t="shared" ca="1" si="139"/>
        <v/>
      </c>
      <c r="BD54" s="68" t="str">
        <f t="shared" ca="1" si="110"/>
        <v/>
      </c>
      <c r="BE54" s="46" t="str">
        <f t="shared" ca="1" si="111"/>
        <v/>
      </c>
      <c r="BF54" s="68" t="str">
        <f t="shared" ca="1" si="140"/>
        <v/>
      </c>
      <c r="BG54" s="111" t="str">
        <f t="shared" ca="1" si="141"/>
        <v/>
      </c>
      <c r="BH54" s="68" t="str">
        <f t="shared" ca="1" si="122"/>
        <v/>
      </c>
      <c r="BI54" s="46" t="str">
        <f t="shared" ca="1" si="112"/>
        <v/>
      </c>
      <c r="BJ54" s="68" t="str">
        <f t="shared" ca="1" si="142"/>
        <v/>
      </c>
      <c r="BK54" s="111" t="str">
        <f t="shared" ca="1" si="143"/>
        <v/>
      </c>
      <c r="BL54" s="400"/>
      <c r="BM54" s="372" t="str">
        <f ca="1">IFERROR(INDEX(ICE[], MATCH("ulsdaradiff" &amp; TEXT(Mid!$A54, "mmmyy"), ICE[LongCode], 0), MATCH("Text", ICE[#Headers], 0)), "")</f>
        <v/>
      </c>
      <c r="BN54" s="46" t="str">
        <f t="shared" ca="1" si="113"/>
        <v/>
      </c>
      <c r="BO54" s="68" t="str">
        <f t="shared" si="144"/>
        <v/>
      </c>
      <c r="BP54" s="114" t="str">
        <f t="shared" ca="1" si="145"/>
        <v/>
      </c>
      <c r="BQ54" s="68" t="str">
        <f ca="1">IFERROR(IF(AND(ISNUMBER(Futs!$CG54), ISNUMBER($BL54)), Futs!$CG54 + $BL54, ""), "")</f>
        <v/>
      </c>
      <c r="BR54" s="46" t="str">
        <f ca="1">IFERROR(IF(AND(ISNUMBER(Futs!$CH54), ISNUMBER($BN54)), Futs!$CH54 + $BN54, ""), "")</f>
        <v/>
      </c>
      <c r="BS54" s="68" t="str">
        <f t="shared" ca="1" si="146"/>
        <v/>
      </c>
      <c r="BT54" s="111" t="str">
        <f t="shared" ca="1" si="147"/>
        <v/>
      </c>
      <c r="BU54" s="400"/>
      <c r="BV54" s="372" t="str">
        <f ca="1">IFERROR(INDEX(ICE[], MATCH("ulsdccndiff" &amp; TEXT(Mid!$A54, "mmmyy"), ICE[LongCode], 0), MATCH("Text", ICE[#Headers], 0)), "")</f>
        <v/>
      </c>
      <c r="BW54" s="46" t="str">
        <f t="shared" ca="1" si="114"/>
        <v/>
      </c>
      <c r="BX54" s="68" t="str">
        <f t="shared" si="148"/>
        <v/>
      </c>
      <c r="BY54" s="114" t="str">
        <f t="shared" ca="1" si="149"/>
        <v/>
      </c>
      <c r="BZ54" s="68" t="str">
        <f ca="1">IFERROR(IF(AND(ISNUMBER(Futs!$CG54), ISNUMBER($BU54)), Futs!$CG54 + $BU54, ""), "")</f>
        <v/>
      </c>
      <c r="CA54" s="46" t="str">
        <f ca="1">IFERROR(IF(AND(ISNUMBER(Futs!$CH54), ISNUMBER($BW54)), Futs!$CH54 + $BW54, ""), "")</f>
        <v/>
      </c>
      <c r="CB54" s="68" t="str">
        <f t="shared" ca="1" si="150"/>
        <v/>
      </c>
      <c r="CC54" s="111" t="str">
        <f t="shared" ca="1" si="151"/>
        <v/>
      </c>
      <c r="CD54" s="400"/>
      <c r="CE54" s="372" t="str">
        <f ca="1">IFERROR(INDEX(ICE[], MATCH("ulsdccmdiff" &amp; TEXT(Mid!$A54, "mmmyy"), ICE[LongCode], 0), MATCH("Text", ICE[#Headers], 0)), "")</f>
        <v/>
      </c>
      <c r="CF54" s="46" t="str">
        <f t="shared" ca="1" si="115"/>
        <v/>
      </c>
      <c r="CG54" s="68" t="str">
        <f t="shared" si="152"/>
        <v/>
      </c>
      <c r="CH54" s="114" t="str">
        <f t="shared" ca="1" si="153"/>
        <v/>
      </c>
      <c r="CI54" s="68" t="str">
        <f ca="1">IFERROR(IF(AND(ISNUMBER(Futs!$CG54), ISNUMBER($CD54)), Futs!$CG54 + $CD54, ""), "")</f>
        <v/>
      </c>
      <c r="CJ54" s="67" t="str">
        <f ca="1">IFERROR(IF(AND(ISNUMBER(Futs!$CH54), ISNUMBER($CF54)), Futs!$CH54 + $CF54, ""), "")</f>
        <v/>
      </c>
      <c r="CK54" s="68" t="str">
        <f t="shared" ca="1" si="154"/>
        <v/>
      </c>
      <c r="CL54" s="111" t="str">
        <f t="shared" ca="1" si="155"/>
        <v/>
      </c>
      <c r="CM54" s="400"/>
      <c r="CN54" s="372" t="str">
        <f ca="1">IFERROR(INDEX(ICE[], MATCH("go01bfrdiff" &amp; TEXT(Mid!$A54, "mmmyy"), ICE[LongCode], 0), MATCH("Text", ICE[#Headers], 0)), "")</f>
        <v/>
      </c>
      <c r="CO54" s="46" t="str">
        <f t="shared" ca="1" si="116"/>
        <v/>
      </c>
      <c r="CP54" s="68" t="str">
        <f t="shared" si="156"/>
        <v/>
      </c>
      <c r="CQ54" s="114" t="str">
        <f t="shared" ca="1" si="157"/>
        <v/>
      </c>
      <c r="CR54" s="68" t="str">
        <f ca="1">IFERROR(IF(AND(ISNUMBER(Futs!$CG54), ISNUMBER($CM54)), Futs!$CG54 + $CM54, ""), "")</f>
        <v/>
      </c>
      <c r="CS54" s="46" t="str">
        <f ca="1">IFERROR(IF(AND(ISNUMBER(Futs!$CH54), ISNUMBER($CO54)), Futs!$CH54 + $CO54, ""), "")</f>
        <v/>
      </c>
      <c r="CT54" s="68" t="str">
        <f t="shared" ca="1" si="158"/>
        <v/>
      </c>
      <c r="CU54" s="111" t="str">
        <f t="shared" ca="1" si="159"/>
        <v/>
      </c>
      <c r="CV54" s="400"/>
      <c r="CW54" s="372" t="str">
        <f ca="1">IFERROR(INDEX(ICE[], MATCH("go01ccndiff" &amp; TEXT(Mid!$A54, "mmmyy"), ICE[LongCode], 0), MATCH("Text", ICE[#Headers], 0)), "")</f>
        <v/>
      </c>
      <c r="CX54" s="46" t="str">
        <f t="shared" ca="1" si="117"/>
        <v/>
      </c>
      <c r="CY54" s="68" t="str">
        <f t="shared" si="160"/>
        <v/>
      </c>
      <c r="CZ54" s="114" t="str">
        <f t="shared" ca="1" si="161"/>
        <v/>
      </c>
      <c r="DA54" s="68" t="str">
        <f ca="1">IFERROR(IF(AND(ISNUMBER(Futs!$CG54), ISNUMBER($CV54)), Futs!$CG54 + $CV54, ""), "")</f>
        <v/>
      </c>
      <c r="DB54" s="46" t="str">
        <f ca="1">IFERROR(IF(AND(ISNUMBER(Futs!$CH54), ISNUMBER($CX54)), Futs!$CH54 + $CX54, ""), "")</f>
        <v/>
      </c>
      <c r="DC54" s="68" t="str">
        <f t="shared" ca="1" si="162"/>
        <v/>
      </c>
      <c r="DD54" s="111" t="str">
        <f t="shared" ca="1" si="163"/>
        <v/>
      </c>
      <c r="DE54" s="400"/>
      <c r="DF54" s="372" t="str">
        <f ca="1">IFERROR(INDEX(ICE[], MATCH("go01ccmdiff" &amp; TEXT(Mid!$A54, "mmmyy"), ICE[LongCode], 0), MATCH("Text", ICE[#Headers], 0)), "")</f>
        <v/>
      </c>
      <c r="DG54" s="46" t="str">
        <f t="shared" ca="1" si="118"/>
        <v/>
      </c>
      <c r="DH54" s="68" t="str">
        <f t="shared" si="164"/>
        <v/>
      </c>
      <c r="DI54" s="114" t="str">
        <f t="shared" ca="1" si="165"/>
        <v/>
      </c>
      <c r="DJ54" s="68" t="str">
        <f ca="1">IFERROR(IF(AND(ISNUMBER(Futs!$CG54), ISNUMBER($DE54)), Futs!$CG54 + $DE54, ""), "")</f>
        <v/>
      </c>
      <c r="DK54" s="46" t="str">
        <f ca="1">IFERROR(IF(AND(ISNUMBER(Futs!$CH54), ISNUMBER($DG54)), Futs!$CH54 + $DG54, ""), "")</f>
        <v/>
      </c>
      <c r="DL54" s="68" t="str">
        <f t="shared" ca="1" si="166"/>
        <v/>
      </c>
      <c r="DM54" s="111" t="str">
        <f t="shared" ca="1" si="167"/>
        <v/>
      </c>
      <c r="DN54" s="400"/>
      <c r="DO54" s="372" t="str">
        <f ca="1">IFERROR(INDEX(ICE[], MATCH("ulsdgc" &amp; TEXT(Mid!$A54, "mmmyy"), ICE[LongCode], 0), MATCH("Text", ICE[#Headers], 0)), "")</f>
        <v/>
      </c>
      <c r="DP54" s="46" t="str">
        <f t="shared" ca="1" si="119"/>
        <v/>
      </c>
      <c r="DQ54" s="68" t="str">
        <f t="shared" si="168"/>
        <v/>
      </c>
      <c r="DR54" s="114" t="str">
        <f t="shared" ca="1" si="169"/>
        <v/>
      </c>
      <c r="DS54" s="68" t="str">
        <f ca="1">IFERROR(IF(AND(ISNUMBER(Futs!$CK54), ISNUMBER($DN54)), Futs!$CK54 + $DN54, ""), "")</f>
        <v/>
      </c>
      <c r="DT54" s="46" t="str">
        <f ca="1">IFERROR(IF(AND(ISNUMBER(Futs!$CL54), ISNUMBER($DP54)), Futs!$CL54 + $DP54, ""), "")</f>
        <v/>
      </c>
      <c r="DU54" s="68" t="str">
        <f t="shared" ca="1" si="170"/>
        <v/>
      </c>
      <c r="DV54" s="111" t="str">
        <f t="shared" ca="1" si="171"/>
        <v/>
      </c>
    </row>
    <row r="55" spans="1:126" x14ac:dyDescent="0.25">
      <c r="A55" s="58">
        <f t="shared" ca="1" si="123"/>
        <v>47362</v>
      </c>
      <c r="B55" s="6">
        <f t="shared" ca="1" si="102"/>
        <v>2029</v>
      </c>
      <c r="C55" s="6" t="str">
        <f t="shared" ca="1" si="120"/>
        <v>Q329</v>
      </c>
      <c r="D55" s="28" t="e">
        <f ca="1">INDEX(ICE[], MATCH(D$18 &amp; TEXT(Mid!$A55, "mmmyy"), ICE[LongCode], 0), MATCH("Settle", ICE[#Headers], 0))</f>
        <v>#N/A</v>
      </c>
      <c r="E55" s="28" t="e">
        <f ca="1">INDEX(ICE[], MATCH(E$18 &amp; TEXT(Mid!$A55, "mmmyy"), ICE[LongCode], 0), MATCH("Settle", ICE[#Headers], 0))</f>
        <v>#N/A</v>
      </c>
      <c r="F55" s="28" t="e">
        <f ca="1">INDEX(ICE[], MATCH(F$18 &amp; TEXT(Mid!$A55, "mmmyy"), ICE[LongCode], 0), MATCH("Settle", ICE[#Headers], 0))</f>
        <v>#N/A</v>
      </c>
      <c r="G55" s="28" t="e">
        <f ca="1">INDEX(ICE[], MATCH(G$18 &amp; TEXT(Mid!$A55, "mmmyy"), ICE[LongCode], 0), MATCH("Settle", ICE[#Headers], 0))</f>
        <v>#N/A</v>
      </c>
      <c r="H55" s="28" t="e">
        <f ca="1">INDEX(ICE[], MATCH(H$18 &amp; TEXT(Mid!$A55, "mmmyy"), ICE[LongCode], 0), MATCH("Settle", ICE[#Headers], 0))</f>
        <v>#N/A</v>
      </c>
      <c r="I55" s="28" t="e">
        <f ca="1">INDEX(ICE[], MATCH(I$18 &amp; TEXT(Mid!$A55, "mmmyy"), ICE[LongCode], 0), MATCH("Settle", ICE[#Headers], 0))</f>
        <v>#N/A</v>
      </c>
      <c r="J55" s="28" t="e">
        <f ca="1">INDEX(ICE[], MATCH(J$18 &amp; TEXT(Mid!$A55, "mmmyy"), ICE[LongCode], 0), MATCH("Settle", ICE[#Headers], 0))</f>
        <v>#N/A</v>
      </c>
      <c r="K55" s="28" t="e">
        <f ca="1">INDEX(ICE[], MATCH(K$18 &amp; TEXT(Mid!$A55, "mmmyy"), ICE[LongCode], 0), MATCH("Settle", ICE[#Headers], 0))</f>
        <v>#N/A</v>
      </c>
      <c r="L55" s="28" t="e">
        <f ca="1">INDEX(ICE[], MATCH(L$18 &amp; TEXT(Mid!$A55, "mmmyy"), ICE[LongCode], 0), MATCH("Settle", ICE[#Headers], 0))</f>
        <v>#N/A</v>
      </c>
      <c r="M55" s="28" t="e">
        <f ca="1">INDEX(ICE[], MATCH(M$18 &amp; TEXT(Mid!$A55, "mmmyy"), ICE[LongCode], 0), MATCH("Settle", ICE[#Headers], 0))</f>
        <v>#N/A</v>
      </c>
      <c r="N55" s="28" t="e">
        <f ca="1">INDEX(ICE[], MATCH(N$18 &amp; TEXT(Mid!$A55, "mmmyy"), ICE[LongCode], 0), MATCH("Settle", ICE[#Headers], 0))*100</f>
        <v>#N/A</v>
      </c>
      <c r="O55" s="397"/>
      <c r="P55" s="372" t="str">
        <f ca="1">IFERROR(INDEX(ICE[], MATCH("jetccndiff" &amp; TEXT(Mid!$A55, "mmmyy"), ICE[LongCode], 0), MATCH("Text", ICE[#Headers], 0)), "")</f>
        <v/>
      </c>
      <c r="Q55" s="46" t="str">
        <f t="shared" ca="1" si="103"/>
        <v/>
      </c>
      <c r="R55" s="47" t="str">
        <f t="shared" si="121"/>
        <v/>
      </c>
      <c r="S55" s="114" t="str">
        <f t="shared" ca="1" si="124"/>
        <v/>
      </c>
      <c r="T55" s="49" t="str">
        <f ca="1">IFERROR(IF(AND(ISNUMBER(Futs!$CG55), ISNUMBER($O55)), Futs!$CG55 + $O55, ""), "")</f>
        <v/>
      </c>
      <c r="U55" s="46" t="str">
        <f ca="1">IFERROR(IF(AND(ISNUMBER(Futs!$CH55), ISNUMBER($Q55)), Futs!$CH55 + $Q55, ""), "")</f>
        <v/>
      </c>
      <c r="V55" s="47" t="str">
        <f t="shared" ca="1" si="125"/>
        <v/>
      </c>
      <c r="W55" s="46" t="str">
        <f t="shared" ca="1" si="126"/>
        <v/>
      </c>
      <c r="X55" s="427" t="str">
        <f ca="1">IFERROR(IF(AND(ISNUMBER(Futs!$CC55), ISNUMBER($T55)), $T55/7.88 - Futs!$CC55, ""), "")</f>
        <v/>
      </c>
      <c r="Y55" s="46" t="str">
        <f ca="1">IFERROR(IF(AND(ISNUMBER(Futs!$DV55), ISNUMBER($Q55)), Futs!$DV55 + $Q55/7.88, ""), "")</f>
        <v/>
      </c>
      <c r="Z55" s="47" t="str">
        <f t="shared" ca="1" si="127"/>
        <v/>
      </c>
      <c r="AA55" s="111" t="str">
        <f t="shared" ca="1" si="128"/>
        <v/>
      </c>
      <c r="AB55" s="400"/>
      <c r="AC55" s="372" t="str">
        <f ca="1">IFERROR(INDEX(ICE[], MATCH("goew" &amp; TEXT(Mid!$A55, "mmmyy"), ICE[LongCode], 0), MATCH("Text", ICE[#Headers], 0)), "")</f>
        <v/>
      </c>
      <c r="AD55" s="46" t="str">
        <f t="shared" ca="1" si="104"/>
        <v/>
      </c>
      <c r="AE55" s="68" t="str">
        <f t="shared" si="129"/>
        <v/>
      </c>
      <c r="AF55" s="46" t="str">
        <f t="shared" ca="1" si="130"/>
        <v/>
      </c>
      <c r="AG55" s="265" t="str">
        <f ca="1">IFERROR(IF(AND(ISNUMBER(Futs!$BM55), ISNUMBER($AH55)), $AH55*7.45 - Futs!$BM55, ""), "")</f>
        <v/>
      </c>
      <c r="AH55" s="187" t="str">
        <f ca="1">IFERROR(IF(AND(ISNUMBER(Futs!$CG55), ISNUMBER($AB55)), (Futs!$CG55 + $AB55)/7.45, ""), "")</f>
        <v/>
      </c>
      <c r="AI55" s="46" t="str">
        <f ca="1">IFERROR(IF(AND(ISNUMBER(Futs!$CH55), ISNUMBER($AD55)), (Futs!$CH55 + $AD55)/7.45, ""), "")</f>
        <v/>
      </c>
      <c r="AJ55" s="68" t="str">
        <f t="shared" ca="1" si="131"/>
        <v/>
      </c>
      <c r="AK55" s="364" t="str">
        <f ca="1">IFERROR(INDEX(ICE[], MATCH("brdtd" &amp; TEXT(Crd!$A55, "mmmyy"), ICE[LongCode], 0), MATCH("Text", ICE[#Headers], 0)), "")</f>
        <v/>
      </c>
      <c r="AL55" s="46" t="str">
        <f t="shared" ca="1" si="132"/>
        <v/>
      </c>
      <c r="AM55" s="427" t="str">
        <f ca="1">IFERROR(IF(AND(ISNUMBER(Futs!$CC55), ISNUMBER($AH55)), $AH55 - Futs!$CC55, ""), "")</f>
        <v/>
      </c>
      <c r="AN55" s="46" t="str">
        <f ca="1">IFERROR(IF(AND(ISNUMBER(Futs!$DV55), ISNUMBER($AD55)), $AD55/7.45 + Futs!$DV55, ""), "")</f>
        <v/>
      </c>
      <c r="AO55" s="47" t="str">
        <f t="shared" ca="1" si="133"/>
        <v/>
      </c>
      <c r="AP55" s="111" t="str">
        <f t="shared" ca="1" si="134"/>
        <v/>
      </c>
      <c r="AQ55" s="400"/>
      <c r="AR55" s="46" t="str">
        <f t="shared" ca="1" si="106"/>
        <v/>
      </c>
      <c r="AS55" s="68" t="str">
        <f t="shared" si="135"/>
        <v/>
      </c>
      <c r="AT55" s="46" t="str">
        <f t="shared" ca="1" si="136"/>
        <v/>
      </c>
      <c r="AU55" s="271" t="str">
        <f t="shared" ca="1" si="107"/>
        <v/>
      </c>
      <c r="AV55" s="46" t="str">
        <f t="shared" ca="1" si="108"/>
        <v/>
      </c>
      <c r="AW55" s="68" t="str">
        <f t="shared" ca="1" si="137"/>
        <v/>
      </c>
      <c r="AX55" s="111" t="str">
        <f t="shared" ca="1" si="138"/>
        <v/>
      </c>
      <c r="AY55" s="400"/>
      <c r="AZ55" s="372" t="str">
        <f ca="1">IFERROR(INDEX(ICE[], MATCH("regrade" &amp; TEXT(Mid!$A55, "mmmyy"), ICE[LongCode], 0), MATCH("Text", ICE[#Headers], 0)), "")</f>
        <v/>
      </c>
      <c r="BA55" s="46" t="str">
        <f t="shared" ca="1" si="109"/>
        <v/>
      </c>
      <c r="BB55" s="68" t="str">
        <f t="shared" si="172"/>
        <v/>
      </c>
      <c r="BC55" s="114" t="str">
        <f t="shared" ca="1" si="139"/>
        <v/>
      </c>
      <c r="BD55" s="68" t="str">
        <f t="shared" ca="1" si="110"/>
        <v/>
      </c>
      <c r="BE55" s="46" t="str">
        <f t="shared" ca="1" si="111"/>
        <v/>
      </c>
      <c r="BF55" s="68" t="str">
        <f t="shared" ca="1" si="140"/>
        <v/>
      </c>
      <c r="BG55" s="111" t="str">
        <f t="shared" ca="1" si="141"/>
        <v/>
      </c>
      <c r="BH55" s="68" t="str">
        <f t="shared" ca="1" si="122"/>
        <v/>
      </c>
      <c r="BI55" s="46" t="str">
        <f t="shared" ca="1" si="112"/>
        <v/>
      </c>
      <c r="BJ55" s="68" t="str">
        <f t="shared" ca="1" si="142"/>
        <v/>
      </c>
      <c r="BK55" s="111" t="str">
        <f t="shared" ca="1" si="143"/>
        <v/>
      </c>
      <c r="BL55" s="400"/>
      <c r="BM55" s="372" t="str">
        <f ca="1">IFERROR(INDEX(ICE[], MATCH("ulsdaradiff" &amp; TEXT(Mid!$A55, "mmmyy"), ICE[LongCode], 0), MATCH("Text", ICE[#Headers], 0)), "")</f>
        <v/>
      </c>
      <c r="BN55" s="46" t="str">
        <f t="shared" ca="1" si="113"/>
        <v/>
      </c>
      <c r="BO55" s="68" t="str">
        <f t="shared" si="144"/>
        <v/>
      </c>
      <c r="BP55" s="114" t="str">
        <f t="shared" ca="1" si="145"/>
        <v/>
      </c>
      <c r="BQ55" s="68" t="str">
        <f ca="1">IFERROR(IF(AND(ISNUMBER(Futs!$CG55), ISNUMBER($BL55)), Futs!$CG55 + $BL55, ""), "")</f>
        <v/>
      </c>
      <c r="BR55" s="46" t="str">
        <f ca="1">IFERROR(IF(AND(ISNUMBER(Futs!$CH55), ISNUMBER($BN55)), Futs!$CH55 + $BN55, ""), "")</f>
        <v/>
      </c>
      <c r="BS55" s="68" t="str">
        <f t="shared" ca="1" si="146"/>
        <v/>
      </c>
      <c r="BT55" s="111" t="str">
        <f t="shared" ca="1" si="147"/>
        <v/>
      </c>
      <c r="BU55" s="400"/>
      <c r="BV55" s="372" t="str">
        <f ca="1">IFERROR(INDEX(ICE[], MATCH("ulsdccndiff" &amp; TEXT(Mid!$A55, "mmmyy"), ICE[LongCode], 0), MATCH("Text", ICE[#Headers], 0)), "")</f>
        <v/>
      </c>
      <c r="BW55" s="46" t="str">
        <f t="shared" ca="1" si="114"/>
        <v/>
      </c>
      <c r="BX55" s="68" t="str">
        <f t="shared" si="148"/>
        <v/>
      </c>
      <c r="BY55" s="114" t="str">
        <f t="shared" ca="1" si="149"/>
        <v/>
      </c>
      <c r="BZ55" s="68" t="str">
        <f ca="1">IFERROR(IF(AND(ISNUMBER(Futs!$CG55), ISNUMBER($BU55)), Futs!$CG55 + $BU55, ""), "")</f>
        <v/>
      </c>
      <c r="CA55" s="46" t="str">
        <f ca="1">IFERROR(IF(AND(ISNUMBER(Futs!$CH55), ISNUMBER($BW55)), Futs!$CH55 + $BW55, ""), "")</f>
        <v/>
      </c>
      <c r="CB55" s="68" t="str">
        <f t="shared" ca="1" si="150"/>
        <v/>
      </c>
      <c r="CC55" s="111" t="str">
        <f t="shared" ca="1" si="151"/>
        <v/>
      </c>
      <c r="CD55" s="400"/>
      <c r="CE55" s="372" t="str">
        <f ca="1">IFERROR(INDEX(ICE[], MATCH("ulsdccmdiff" &amp; TEXT(Mid!$A55, "mmmyy"), ICE[LongCode], 0), MATCH("Text", ICE[#Headers], 0)), "")</f>
        <v/>
      </c>
      <c r="CF55" s="46" t="str">
        <f t="shared" ca="1" si="115"/>
        <v/>
      </c>
      <c r="CG55" s="68" t="str">
        <f t="shared" si="152"/>
        <v/>
      </c>
      <c r="CH55" s="114" t="str">
        <f t="shared" ca="1" si="153"/>
        <v/>
      </c>
      <c r="CI55" s="68" t="str">
        <f ca="1">IFERROR(IF(AND(ISNUMBER(Futs!$CG55), ISNUMBER($CD55)), Futs!$CG55 + $CD55, ""), "")</f>
        <v/>
      </c>
      <c r="CJ55" s="67" t="str">
        <f ca="1">IFERROR(IF(AND(ISNUMBER(Futs!$CH55), ISNUMBER($CF55)), Futs!$CH55 + $CF55, ""), "")</f>
        <v/>
      </c>
      <c r="CK55" s="68" t="str">
        <f t="shared" ca="1" si="154"/>
        <v/>
      </c>
      <c r="CL55" s="111" t="str">
        <f t="shared" ca="1" si="155"/>
        <v/>
      </c>
      <c r="CM55" s="400"/>
      <c r="CN55" s="372" t="str">
        <f ca="1">IFERROR(INDEX(ICE[], MATCH("go01bfrdiff" &amp; TEXT(Mid!$A55, "mmmyy"), ICE[LongCode], 0), MATCH("Text", ICE[#Headers], 0)), "")</f>
        <v/>
      </c>
      <c r="CO55" s="46" t="str">
        <f t="shared" ca="1" si="116"/>
        <v/>
      </c>
      <c r="CP55" s="68" t="str">
        <f t="shared" si="156"/>
        <v/>
      </c>
      <c r="CQ55" s="114" t="str">
        <f t="shared" ca="1" si="157"/>
        <v/>
      </c>
      <c r="CR55" s="68" t="str">
        <f ca="1">IFERROR(IF(AND(ISNUMBER(Futs!$CG55), ISNUMBER($CM55)), Futs!$CG55 + $CM55, ""), "")</f>
        <v/>
      </c>
      <c r="CS55" s="46" t="str">
        <f ca="1">IFERROR(IF(AND(ISNUMBER(Futs!$CH55), ISNUMBER($CO55)), Futs!$CH55 + $CO55, ""), "")</f>
        <v/>
      </c>
      <c r="CT55" s="68" t="str">
        <f t="shared" ca="1" si="158"/>
        <v/>
      </c>
      <c r="CU55" s="111" t="str">
        <f t="shared" ca="1" si="159"/>
        <v/>
      </c>
      <c r="CV55" s="400"/>
      <c r="CW55" s="372" t="str">
        <f ca="1">IFERROR(INDEX(ICE[], MATCH("go01ccndiff" &amp; TEXT(Mid!$A55, "mmmyy"), ICE[LongCode], 0), MATCH("Text", ICE[#Headers], 0)), "")</f>
        <v/>
      </c>
      <c r="CX55" s="46" t="str">
        <f t="shared" ca="1" si="117"/>
        <v/>
      </c>
      <c r="CY55" s="68" t="str">
        <f t="shared" si="160"/>
        <v/>
      </c>
      <c r="CZ55" s="114" t="str">
        <f t="shared" ca="1" si="161"/>
        <v/>
      </c>
      <c r="DA55" s="68" t="str">
        <f ca="1">IFERROR(IF(AND(ISNUMBER(Futs!$CG55), ISNUMBER($CV55)), Futs!$CG55 + $CV55, ""), "")</f>
        <v/>
      </c>
      <c r="DB55" s="46" t="str">
        <f ca="1">IFERROR(IF(AND(ISNUMBER(Futs!$CH55), ISNUMBER($CX55)), Futs!$CH55 + $CX55, ""), "")</f>
        <v/>
      </c>
      <c r="DC55" s="68" t="str">
        <f t="shared" ca="1" si="162"/>
        <v/>
      </c>
      <c r="DD55" s="111" t="str">
        <f t="shared" ca="1" si="163"/>
        <v/>
      </c>
      <c r="DE55" s="400"/>
      <c r="DF55" s="372" t="str">
        <f ca="1">IFERROR(INDEX(ICE[], MATCH("go01ccmdiff" &amp; TEXT(Mid!$A55, "mmmyy"), ICE[LongCode], 0), MATCH("Text", ICE[#Headers], 0)), "")</f>
        <v/>
      </c>
      <c r="DG55" s="46" t="str">
        <f t="shared" ca="1" si="118"/>
        <v/>
      </c>
      <c r="DH55" s="68" t="str">
        <f t="shared" si="164"/>
        <v/>
      </c>
      <c r="DI55" s="114" t="str">
        <f t="shared" ca="1" si="165"/>
        <v/>
      </c>
      <c r="DJ55" s="68" t="str">
        <f ca="1">IFERROR(IF(AND(ISNUMBER(Futs!$CG55), ISNUMBER($DE55)), Futs!$CG55 + $DE55, ""), "")</f>
        <v/>
      </c>
      <c r="DK55" s="46" t="str">
        <f ca="1">IFERROR(IF(AND(ISNUMBER(Futs!$CH55), ISNUMBER($DG55)), Futs!$CH55 + $DG55, ""), "")</f>
        <v/>
      </c>
      <c r="DL55" s="68" t="str">
        <f t="shared" ca="1" si="166"/>
        <v/>
      </c>
      <c r="DM55" s="111" t="str">
        <f t="shared" ca="1" si="167"/>
        <v/>
      </c>
      <c r="DN55" s="400"/>
      <c r="DO55" s="372" t="str">
        <f ca="1">IFERROR(INDEX(ICE[], MATCH("ulsdgc" &amp; TEXT(Mid!$A55, "mmmyy"), ICE[LongCode], 0), MATCH("Text", ICE[#Headers], 0)), "")</f>
        <v/>
      </c>
      <c r="DP55" s="46" t="str">
        <f t="shared" ca="1" si="119"/>
        <v/>
      </c>
      <c r="DQ55" s="68" t="str">
        <f t="shared" si="168"/>
        <v/>
      </c>
      <c r="DR55" s="114" t="str">
        <f t="shared" ca="1" si="169"/>
        <v/>
      </c>
      <c r="DS55" s="68" t="str">
        <f ca="1">IFERROR(IF(AND(ISNUMBER(Futs!$CK55), ISNUMBER($DN55)), Futs!$CK55 + $DN55, ""), "")</f>
        <v/>
      </c>
      <c r="DT55" s="46" t="str">
        <f ca="1">IFERROR(IF(AND(ISNUMBER(Futs!$CL55), ISNUMBER($DP55)), Futs!$CL55 + $DP55, ""), "")</f>
        <v/>
      </c>
      <c r="DU55" s="68" t="str">
        <f t="shared" ca="1" si="170"/>
        <v/>
      </c>
      <c r="DV55" s="111" t="str">
        <f t="shared" ca="1" si="171"/>
        <v/>
      </c>
    </row>
    <row r="56" spans="1:126" x14ac:dyDescent="0.25">
      <c r="A56" s="58">
        <f t="shared" ca="1" si="123"/>
        <v>47392</v>
      </c>
      <c r="B56" s="6">
        <f t="shared" ca="1" si="102"/>
        <v>2029</v>
      </c>
      <c r="C56" s="6" t="str">
        <f t="shared" ca="1" si="120"/>
        <v>Q429</v>
      </c>
      <c r="D56" s="28" t="e">
        <f ca="1">INDEX(ICE[], MATCH(D$18 &amp; TEXT(Mid!$A56, "mmmyy"), ICE[LongCode], 0), MATCH("Settle", ICE[#Headers], 0))</f>
        <v>#N/A</v>
      </c>
      <c r="E56" s="28" t="e">
        <f ca="1">INDEX(ICE[], MATCH(E$18 &amp; TEXT(Mid!$A56, "mmmyy"), ICE[LongCode], 0), MATCH("Settle", ICE[#Headers], 0))</f>
        <v>#N/A</v>
      </c>
      <c r="F56" s="28" t="e">
        <f ca="1">INDEX(ICE[], MATCH(F$18 &amp; TEXT(Mid!$A56, "mmmyy"), ICE[LongCode], 0), MATCH("Settle", ICE[#Headers], 0))</f>
        <v>#N/A</v>
      </c>
      <c r="G56" s="28" t="e">
        <f ca="1">INDEX(ICE[], MATCH(G$18 &amp; TEXT(Mid!$A56, "mmmyy"), ICE[LongCode], 0), MATCH("Settle", ICE[#Headers], 0))</f>
        <v>#N/A</v>
      </c>
      <c r="H56" s="28" t="e">
        <f ca="1">INDEX(ICE[], MATCH(H$18 &amp; TEXT(Mid!$A56, "mmmyy"), ICE[LongCode], 0), MATCH("Settle", ICE[#Headers], 0))</f>
        <v>#N/A</v>
      </c>
      <c r="I56" s="28" t="e">
        <f ca="1">INDEX(ICE[], MATCH(I$18 &amp; TEXT(Mid!$A56, "mmmyy"), ICE[LongCode], 0), MATCH("Settle", ICE[#Headers], 0))</f>
        <v>#N/A</v>
      </c>
      <c r="J56" s="28" t="e">
        <f ca="1">INDEX(ICE[], MATCH(J$18 &amp; TEXT(Mid!$A56, "mmmyy"), ICE[LongCode], 0), MATCH("Settle", ICE[#Headers], 0))</f>
        <v>#N/A</v>
      </c>
      <c r="K56" s="28" t="e">
        <f ca="1">INDEX(ICE[], MATCH(K$18 &amp; TEXT(Mid!$A56, "mmmyy"), ICE[LongCode], 0), MATCH("Settle", ICE[#Headers], 0))</f>
        <v>#N/A</v>
      </c>
      <c r="L56" s="28" t="e">
        <f ca="1">INDEX(ICE[], MATCH(L$18 &amp; TEXT(Mid!$A56, "mmmyy"), ICE[LongCode], 0), MATCH("Settle", ICE[#Headers], 0))</f>
        <v>#N/A</v>
      </c>
      <c r="M56" s="28" t="e">
        <f ca="1">INDEX(ICE[], MATCH(M$18 &amp; TEXT(Mid!$A56, "mmmyy"), ICE[LongCode], 0), MATCH("Settle", ICE[#Headers], 0))</f>
        <v>#N/A</v>
      </c>
      <c r="N56" s="28" t="e">
        <f ca="1">INDEX(ICE[], MATCH(N$18 &amp; TEXT(Mid!$A56, "mmmyy"), ICE[LongCode], 0), MATCH("Settle", ICE[#Headers], 0))*100</f>
        <v>#N/A</v>
      </c>
      <c r="O56" s="397"/>
      <c r="P56" s="372" t="str">
        <f ca="1">IFERROR(INDEX(ICE[], MATCH("jetccndiff" &amp; TEXT(Mid!$A56, "mmmyy"), ICE[LongCode], 0), MATCH("Text", ICE[#Headers], 0)), "")</f>
        <v/>
      </c>
      <c r="Q56" s="46" t="str">
        <f t="shared" ca="1" si="103"/>
        <v/>
      </c>
      <c r="R56" s="47" t="str">
        <f t="shared" si="121"/>
        <v/>
      </c>
      <c r="S56" s="114" t="str">
        <f t="shared" ca="1" si="124"/>
        <v/>
      </c>
      <c r="T56" s="49" t="str">
        <f ca="1">IFERROR(IF(AND(ISNUMBER(Futs!$CG56), ISNUMBER($O56)), Futs!$CG56 + $O56, ""), "")</f>
        <v/>
      </c>
      <c r="U56" s="46" t="str">
        <f ca="1">IFERROR(IF(AND(ISNUMBER(Futs!$CH56), ISNUMBER($Q56)), Futs!$CH56 + $Q56, ""), "")</f>
        <v/>
      </c>
      <c r="V56" s="47" t="str">
        <f t="shared" ca="1" si="125"/>
        <v/>
      </c>
      <c r="W56" s="46" t="str">
        <f t="shared" ca="1" si="126"/>
        <v/>
      </c>
      <c r="X56" s="427" t="str">
        <f ca="1">IFERROR(IF(AND(ISNUMBER(Futs!$CC56), ISNUMBER($T56)), $T56/7.88 - Futs!$CC56, ""), "")</f>
        <v/>
      </c>
      <c r="Y56" s="46" t="str">
        <f ca="1">IFERROR(IF(AND(ISNUMBER(Futs!$DV56), ISNUMBER($Q56)), Futs!$DV56 + $Q56/7.88, ""), "")</f>
        <v/>
      </c>
      <c r="Z56" s="47" t="str">
        <f t="shared" ca="1" si="127"/>
        <v/>
      </c>
      <c r="AA56" s="111" t="str">
        <f t="shared" ca="1" si="128"/>
        <v/>
      </c>
      <c r="AB56" s="400"/>
      <c r="AC56" s="372" t="str">
        <f ca="1">IFERROR(INDEX(ICE[], MATCH("goew" &amp; TEXT(Mid!$A56, "mmmyy"), ICE[LongCode], 0), MATCH("Text", ICE[#Headers], 0)), "")</f>
        <v/>
      </c>
      <c r="AD56" s="46" t="str">
        <f t="shared" ca="1" si="104"/>
        <v/>
      </c>
      <c r="AE56" s="68" t="str">
        <f t="shared" si="129"/>
        <v/>
      </c>
      <c r="AF56" s="46" t="str">
        <f t="shared" ca="1" si="130"/>
        <v/>
      </c>
      <c r="AG56" s="265" t="str">
        <f ca="1">IFERROR(IF(AND(ISNUMBER(Futs!$BM56), ISNUMBER($AH56)), $AH56*7.45 - Futs!$BM56, ""), "")</f>
        <v/>
      </c>
      <c r="AH56" s="187" t="str">
        <f ca="1">IFERROR(IF(AND(ISNUMBER(Futs!$CG56), ISNUMBER($AB56)), (Futs!$CG56 + $AB56)/7.45, ""), "")</f>
        <v/>
      </c>
      <c r="AI56" s="46" t="str">
        <f ca="1">IFERROR(IF(AND(ISNUMBER(Futs!$CH56), ISNUMBER($AD56)), (Futs!$CH56 + $AD56)/7.45, ""), "")</f>
        <v/>
      </c>
      <c r="AJ56" s="68" t="str">
        <f t="shared" ca="1" si="131"/>
        <v/>
      </c>
      <c r="AK56" s="364" t="str">
        <f ca="1">IFERROR(INDEX(ICE[], MATCH("brdtd" &amp; TEXT(Crd!$A56, "mmmyy"), ICE[LongCode], 0), MATCH("Text", ICE[#Headers], 0)), "")</f>
        <v/>
      </c>
      <c r="AL56" s="46" t="str">
        <f t="shared" ca="1" si="132"/>
        <v/>
      </c>
      <c r="AM56" s="427" t="str">
        <f ca="1">IFERROR(IF(AND(ISNUMBER(Futs!$CC56), ISNUMBER($AH56)), $AH56 - Futs!$CC56, ""), "")</f>
        <v/>
      </c>
      <c r="AN56" s="46" t="str">
        <f ca="1">IFERROR(IF(AND(ISNUMBER(Futs!$DV56), ISNUMBER($AD56)), $AD56/7.45 + Futs!$DV56, ""), "")</f>
        <v/>
      </c>
      <c r="AO56" s="47" t="str">
        <f t="shared" ca="1" si="133"/>
        <v/>
      </c>
      <c r="AP56" s="111" t="str">
        <f t="shared" ca="1" si="134"/>
        <v/>
      </c>
      <c r="AQ56" s="400"/>
      <c r="AR56" s="46" t="str">
        <f t="shared" ca="1" si="106"/>
        <v/>
      </c>
      <c r="AS56" s="68" t="str">
        <f t="shared" si="135"/>
        <v/>
      </c>
      <c r="AT56" s="46" t="str">
        <f t="shared" ca="1" si="136"/>
        <v/>
      </c>
      <c r="AU56" s="271" t="str">
        <f t="shared" ca="1" si="107"/>
        <v/>
      </c>
      <c r="AV56" s="46" t="str">
        <f t="shared" ca="1" si="108"/>
        <v/>
      </c>
      <c r="AW56" s="68" t="str">
        <f t="shared" ca="1" si="137"/>
        <v/>
      </c>
      <c r="AX56" s="111" t="str">
        <f t="shared" ca="1" si="138"/>
        <v/>
      </c>
      <c r="AY56" s="400"/>
      <c r="AZ56" s="372" t="str">
        <f ca="1">IFERROR(INDEX(ICE[], MATCH("regrade" &amp; TEXT(Mid!$A56, "mmmyy"), ICE[LongCode], 0), MATCH("Text", ICE[#Headers], 0)), "")</f>
        <v/>
      </c>
      <c r="BA56" s="46" t="str">
        <f t="shared" ca="1" si="109"/>
        <v/>
      </c>
      <c r="BB56" s="68" t="str">
        <f t="shared" si="172"/>
        <v/>
      </c>
      <c r="BC56" s="114" t="str">
        <f t="shared" ca="1" si="139"/>
        <v/>
      </c>
      <c r="BD56" s="68" t="str">
        <f t="shared" ca="1" si="110"/>
        <v/>
      </c>
      <c r="BE56" s="46" t="str">
        <f t="shared" ca="1" si="111"/>
        <v/>
      </c>
      <c r="BF56" s="68" t="str">
        <f t="shared" ca="1" si="140"/>
        <v/>
      </c>
      <c r="BG56" s="111" t="str">
        <f t="shared" ca="1" si="141"/>
        <v/>
      </c>
      <c r="BH56" s="68" t="str">
        <f t="shared" ca="1" si="122"/>
        <v/>
      </c>
      <c r="BI56" s="46" t="str">
        <f t="shared" ca="1" si="112"/>
        <v/>
      </c>
      <c r="BJ56" s="68" t="str">
        <f t="shared" ca="1" si="142"/>
        <v/>
      </c>
      <c r="BK56" s="111" t="str">
        <f t="shared" ca="1" si="143"/>
        <v/>
      </c>
      <c r="BL56" s="400"/>
      <c r="BM56" s="372" t="str">
        <f ca="1">IFERROR(INDEX(ICE[], MATCH("ulsdaradiff" &amp; TEXT(Mid!$A56, "mmmyy"), ICE[LongCode], 0), MATCH("Text", ICE[#Headers], 0)), "")</f>
        <v/>
      </c>
      <c r="BN56" s="46" t="str">
        <f t="shared" ca="1" si="113"/>
        <v/>
      </c>
      <c r="BO56" s="68" t="str">
        <f t="shared" si="144"/>
        <v/>
      </c>
      <c r="BP56" s="114" t="str">
        <f t="shared" ca="1" si="145"/>
        <v/>
      </c>
      <c r="BQ56" s="68" t="str">
        <f ca="1">IFERROR(IF(AND(ISNUMBER(Futs!$CG56), ISNUMBER($BL56)), Futs!$CG56 + $BL56, ""), "")</f>
        <v/>
      </c>
      <c r="BR56" s="46" t="str">
        <f ca="1">IFERROR(IF(AND(ISNUMBER(Futs!$CH56), ISNUMBER($BN56)), Futs!$CH56 + $BN56, ""), "")</f>
        <v/>
      </c>
      <c r="BS56" s="68" t="str">
        <f t="shared" ca="1" si="146"/>
        <v/>
      </c>
      <c r="BT56" s="111" t="str">
        <f t="shared" ca="1" si="147"/>
        <v/>
      </c>
      <c r="BU56" s="400"/>
      <c r="BV56" s="372" t="str">
        <f ca="1">IFERROR(INDEX(ICE[], MATCH("ulsdccndiff" &amp; TEXT(Mid!$A56, "mmmyy"), ICE[LongCode], 0), MATCH("Text", ICE[#Headers], 0)), "")</f>
        <v/>
      </c>
      <c r="BW56" s="46" t="str">
        <f t="shared" ca="1" si="114"/>
        <v/>
      </c>
      <c r="BX56" s="68" t="str">
        <f t="shared" si="148"/>
        <v/>
      </c>
      <c r="BY56" s="114" t="str">
        <f t="shared" ca="1" si="149"/>
        <v/>
      </c>
      <c r="BZ56" s="68" t="str">
        <f ca="1">IFERROR(IF(AND(ISNUMBER(Futs!$CG56), ISNUMBER($BU56)), Futs!$CG56 + $BU56, ""), "")</f>
        <v/>
      </c>
      <c r="CA56" s="46" t="str">
        <f ca="1">IFERROR(IF(AND(ISNUMBER(Futs!$CH56), ISNUMBER($BW56)), Futs!$CH56 + $BW56, ""), "")</f>
        <v/>
      </c>
      <c r="CB56" s="68" t="str">
        <f t="shared" ca="1" si="150"/>
        <v/>
      </c>
      <c r="CC56" s="111" t="str">
        <f t="shared" ca="1" si="151"/>
        <v/>
      </c>
      <c r="CD56" s="400"/>
      <c r="CE56" s="372" t="str">
        <f ca="1">IFERROR(INDEX(ICE[], MATCH("ulsdccmdiff" &amp; TEXT(Mid!$A56, "mmmyy"), ICE[LongCode], 0), MATCH("Text", ICE[#Headers], 0)), "")</f>
        <v/>
      </c>
      <c r="CF56" s="46" t="str">
        <f t="shared" ca="1" si="115"/>
        <v/>
      </c>
      <c r="CG56" s="68" t="str">
        <f t="shared" si="152"/>
        <v/>
      </c>
      <c r="CH56" s="114" t="str">
        <f t="shared" ca="1" si="153"/>
        <v/>
      </c>
      <c r="CI56" s="68" t="str">
        <f ca="1">IFERROR(IF(AND(ISNUMBER(Futs!$CG56), ISNUMBER($CD56)), Futs!$CG56 + $CD56, ""), "")</f>
        <v/>
      </c>
      <c r="CJ56" s="67" t="str">
        <f ca="1">IFERROR(IF(AND(ISNUMBER(Futs!$CH56), ISNUMBER($CF56)), Futs!$CH56 + $CF56, ""), "")</f>
        <v/>
      </c>
      <c r="CK56" s="68" t="str">
        <f t="shared" ca="1" si="154"/>
        <v/>
      </c>
      <c r="CL56" s="111" t="str">
        <f t="shared" ca="1" si="155"/>
        <v/>
      </c>
      <c r="CM56" s="400"/>
      <c r="CN56" s="372" t="str">
        <f ca="1">IFERROR(INDEX(ICE[], MATCH("go01bfrdiff" &amp; TEXT(Mid!$A56, "mmmyy"), ICE[LongCode], 0), MATCH("Text", ICE[#Headers], 0)), "")</f>
        <v/>
      </c>
      <c r="CO56" s="46" t="str">
        <f t="shared" ca="1" si="116"/>
        <v/>
      </c>
      <c r="CP56" s="68" t="str">
        <f t="shared" si="156"/>
        <v/>
      </c>
      <c r="CQ56" s="114" t="str">
        <f t="shared" ca="1" si="157"/>
        <v/>
      </c>
      <c r="CR56" s="68" t="str">
        <f ca="1">IFERROR(IF(AND(ISNUMBER(Futs!$CG56), ISNUMBER($CM56)), Futs!$CG56 + $CM56, ""), "")</f>
        <v/>
      </c>
      <c r="CS56" s="46" t="str">
        <f ca="1">IFERROR(IF(AND(ISNUMBER(Futs!$CH56), ISNUMBER($CO56)), Futs!$CH56 + $CO56, ""), "")</f>
        <v/>
      </c>
      <c r="CT56" s="68" t="str">
        <f t="shared" ca="1" si="158"/>
        <v/>
      </c>
      <c r="CU56" s="111" t="str">
        <f t="shared" ca="1" si="159"/>
        <v/>
      </c>
      <c r="CV56" s="400"/>
      <c r="CW56" s="372" t="str">
        <f ca="1">IFERROR(INDEX(ICE[], MATCH("go01ccndiff" &amp; TEXT(Mid!$A56, "mmmyy"), ICE[LongCode], 0), MATCH("Text", ICE[#Headers], 0)), "")</f>
        <v/>
      </c>
      <c r="CX56" s="46" t="str">
        <f t="shared" ca="1" si="117"/>
        <v/>
      </c>
      <c r="CY56" s="68" t="str">
        <f t="shared" si="160"/>
        <v/>
      </c>
      <c r="CZ56" s="114" t="str">
        <f t="shared" ca="1" si="161"/>
        <v/>
      </c>
      <c r="DA56" s="68" t="str">
        <f ca="1">IFERROR(IF(AND(ISNUMBER(Futs!$CG56), ISNUMBER($CV56)), Futs!$CG56 + $CV56, ""), "")</f>
        <v/>
      </c>
      <c r="DB56" s="46" t="str">
        <f ca="1">IFERROR(IF(AND(ISNUMBER(Futs!$CH56), ISNUMBER($CX56)), Futs!$CH56 + $CX56, ""), "")</f>
        <v/>
      </c>
      <c r="DC56" s="68" t="str">
        <f t="shared" ca="1" si="162"/>
        <v/>
      </c>
      <c r="DD56" s="111" t="str">
        <f t="shared" ca="1" si="163"/>
        <v/>
      </c>
      <c r="DE56" s="400"/>
      <c r="DF56" s="372" t="str">
        <f ca="1">IFERROR(INDEX(ICE[], MATCH("go01ccmdiff" &amp; TEXT(Mid!$A56, "mmmyy"), ICE[LongCode], 0), MATCH("Text", ICE[#Headers], 0)), "")</f>
        <v/>
      </c>
      <c r="DG56" s="46" t="str">
        <f t="shared" ca="1" si="118"/>
        <v/>
      </c>
      <c r="DH56" s="68" t="str">
        <f t="shared" si="164"/>
        <v/>
      </c>
      <c r="DI56" s="114" t="str">
        <f t="shared" ca="1" si="165"/>
        <v/>
      </c>
      <c r="DJ56" s="68" t="str">
        <f ca="1">IFERROR(IF(AND(ISNUMBER(Futs!$CG56), ISNUMBER($DE56)), Futs!$CG56 + $DE56, ""), "")</f>
        <v/>
      </c>
      <c r="DK56" s="46" t="str">
        <f ca="1">IFERROR(IF(AND(ISNUMBER(Futs!$CH56), ISNUMBER($DG56)), Futs!$CH56 + $DG56, ""), "")</f>
        <v/>
      </c>
      <c r="DL56" s="68" t="str">
        <f t="shared" ca="1" si="166"/>
        <v/>
      </c>
      <c r="DM56" s="111" t="str">
        <f t="shared" ca="1" si="167"/>
        <v/>
      </c>
      <c r="DN56" s="400"/>
      <c r="DO56" s="372" t="str">
        <f ca="1">IFERROR(INDEX(ICE[], MATCH("ulsdgc" &amp; TEXT(Mid!$A56, "mmmyy"), ICE[LongCode], 0), MATCH("Text", ICE[#Headers], 0)), "")</f>
        <v/>
      </c>
      <c r="DP56" s="46" t="str">
        <f t="shared" ca="1" si="119"/>
        <v/>
      </c>
      <c r="DQ56" s="68" t="str">
        <f t="shared" si="168"/>
        <v/>
      </c>
      <c r="DR56" s="114" t="str">
        <f t="shared" ca="1" si="169"/>
        <v/>
      </c>
      <c r="DS56" s="68" t="str">
        <f ca="1">IFERROR(IF(AND(ISNUMBER(Futs!$CK56), ISNUMBER($DN56)), Futs!$CK56 + $DN56, ""), "")</f>
        <v/>
      </c>
      <c r="DT56" s="46" t="str">
        <f ca="1">IFERROR(IF(AND(ISNUMBER(Futs!$CL56), ISNUMBER($DP56)), Futs!$CL56 + $DP56, ""), "")</f>
        <v/>
      </c>
      <c r="DU56" s="68" t="str">
        <f t="shared" ca="1" si="170"/>
        <v/>
      </c>
      <c r="DV56" s="111" t="str">
        <f t="shared" ca="1" si="171"/>
        <v/>
      </c>
    </row>
    <row r="57" spans="1:126" x14ac:dyDescent="0.25">
      <c r="A57" s="58">
        <f t="shared" ca="1" si="123"/>
        <v>47423</v>
      </c>
      <c r="B57" s="6">
        <f t="shared" ca="1" si="102"/>
        <v>2029</v>
      </c>
      <c r="C57" s="6" t="str">
        <f t="shared" ca="1" si="120"/>
        <v>Q429</v>
      </c>
      <c r="D57" s="28" t="e">
        <f ca="1">INDEX(ICE[], MATCH(D$18 &amp; TEXT(Mid!$A57, "mmmyy"), ICE[LongCode], 0), MATCH("Settle", ICE[#Headers], 0))</f>
        <v>#N/A</v>
      </c>
      <c r="E57" s="28" t="e">
        <f ca="1">INDEX(ICE[], MATCH(E$18 &amp; TEXT(Mid!$A57, "mmmyy"), ICE[LongCode], 0), MATCH("Settle", ICE[#Headers], 0))</f>
        <v>#N/A</v>
      </c>
      <c r="F57" s="28" t="e">
        <f ca="1">INDEX(ICE[], MATCH(F$18 &amp; TEXT(Mid!$A57, "mmmyy"), ICE[LongCode], 0), MATCH("Settle", ICE[#Headers], 0))</f>
        <v>#N/A</v>
      </c>
      <c r="G57" s="28" t="e">
        <f ca="1">INDEX(ICE[], MATCH(G$18 &amp; TEXT(Mid!$A57, "mmmyy"), ICE[LongCode], 0), MATCH("Settle", ICE[#Headers], 0))</f>
        <v>#N/A</v>
      </c>
      <c r="H57" s="28" t="e">
        <f ca="1">INDEX(ICE[], MATCH(H$18 &amp; TEXT(Mid!$A57, "mmmyy"), ICE[LongCode], 0), MATCH("Settle", ICE[#Headers], 0))</f>
        <v>#N/A</v>
      </c>
      <c r="I57" s="28" t="e">
        <f ca="1">INDEX(ICE[], MATCH(I$18 &amp; TEXT(Mid!$A57, "mmmyy"), ICE[LongCode], 0), MATCH("Settle", ICE[#Headers], 0))</f>
        <v>#N/A</v>
      </c>
      <c r="J57" s="28" t="e">
        <f ca="1">INDEX(ICE[], MATCH(J$18 &amp; TEXT(Mid!$A57, "mmmyy"), ICE[LongCode], 0), MATCH("Settle", ICE[#Headers], 0))</f>
        <v>#N/A</v>
      </c>
      <c r="K57" s="28" t="e">
        <f ca="1">INDEX(ICE[], MATCH(K$18 &amp; TEXT(Mid!$A57, "mmmyy"), ICE[LongCode], 0), MATCH("Settle", ICE[#Headers], 0))</f>
        <v>#N/A</v>
      </c>
      <c r="L57" s="28" t="e">
        <f ca="1">INDEX(ICE[], MATCH(L$18 &amp; TEXT(Mid!$A57, "mmmyy"), ICE[LongCode], 0), MATCH("Settle", ICE[#Headers], 0))</f>
        <v>#N/A</v>
      </c>
      <c r="M57" s="28" t="e">
        <f ca="1">INDEX(ICE[], MATCH(M$18 &amp; TEXT(Mid!$A57, "mmmyy"), ICE[LongCode], 0), MATCH("Settle", ICE[#Headers], 0))</f>
        <v>#N/A</v>
      </c>
      <c r="N57" s="28" t="e">
        <f ca="1">INDEX(ICE[], MATCH(N$18 &amp; TEXT(Mid!$A57, "mmmyy"), ICE[LongCode], 0), MATCH("Settle", ICE[#Headers], 0))*100</f>
        <v>#N/A</v>
      </c>
      <c r="O57" s="397"/>
      <c r="P57" s="372" t="str">
        <f ca="1">IFERROR(INDEX(ICE[], MATCH("jetccndiff" &amp; TEXT(Mid!$A57, "mmmyy"), ICE[LongCode], 0), MATCH("Text", ICE[#Headers], 0)), "")</f>
        <v/>
      </c>
      <c r="Q57" s="46" t="str">
        <f t="shared" ca="1" si="103"/>
        <v/>
      </c>
      <c r="R57" s="47" t="str">
        <f t="shared" si="121"/>
        <v/>
      </c>
      <c r="S57" s="114" t="str">
        <f t="shared" ca="1" si="124"/>
        <v/>
      </c>
      <c r="T57" s="49" t="str">
        <f ca="1">IFERROR(IF(AND(ISNUMBER(Futs!$CG57), ISNUMBER($O57)), Futs!$CG57 + $O57, ""), "")</f>
        <v/>
      </c>
      <c r="U57" s="46" t="str">
        <f ca="1">IFERROR(IF(AND(ISNUMBER(Futs!$CH57), ISNUMBER($Q57)), Futs!$CH57 + $Q57, ""), "")</f>
        <v/>
      </c>
      <c r="V57" s="47" t="str">
        <f t="shared" ca="1" si="125"/>
        <v/>
      </c>
      <c r="W57" s="46" t="str">
        <f t="shared" ca="1" si="126"/>
        <v/>
      </c>
      <c r="X57" s="427" t="str">
        <f ca="1">IFERROR(IF(AND(ISNUMBER(Futs!$CC57), ISNUMBER($T57)), $T57/7.88 - Futs!$CC57, ""), "")</f>
        <v/>
      </c>
      <c r="Y57" s="46" t="str">
        <f ca="1">IFERROR(IF(AND(ISNUMBER(Futs!$DV57), ISNUMBER($Q57)), Futs!$DV57 + $Q57/7.88, ""), "")</f>
        <v/>
      </c>
      <c r="Z57" s="47" t="str">
        <f t="shared" ca="1" si="127"/>
        <v/>
      </c>
      <c r="AA57" s="111" t="str">
        <f t="shared" ca="1" si="128"/>
        <v/>
      </c>
      <c r="AB57" s="400"/>
      <c r="AC57" s="372" t="str">
        <f ca="1">IFERROR(INDEX(ICE[], MATCH("goew" &amp; TEXT(Mid!$A57, "mmmyy"), ICE[LongCode], 0), MATCH("Text", ICE[#Headers], 0)), "")</f>
        <v/>
      </c>
      <c r="AD57" s="46" t="str">
        <f t="shared" ca="1" si="104"/>
        <v/>
      </c>
      <c r="AE57" s="68" t="str">
        <f t="shared" si="129"/>
        <v/>
      </c>
      <c r="AF57" s="46" t="str">
        <f t="shared" ca="1" si="130"/>
        <v/>
      </c>
      <c r="AG57" s="265" t="str">
        <f ca="1">IFERROR(IF(AND(ISNUMBER(Futs!$BM57), ISNUMBER($AH57)), $AH57*7.45 - Futs!$BM57, ""), "")</f>
        <v/>
      </c>
      <c r="AH57" s="187" t="str">
        <f ca="1">IFERROR(IF(AND(ISNUMBER(Futs!$CG57), ISNUMBER($AB57)), (Futs!$CG57 + $AB57)/7.45, ""), "")</f>
        <v/>
      </c>
      <c r="AI57" s="46" t="str">
        <f ca="1">IFERROR(IF(AND(ISNUMBER(Futs!$CH57), ISNUMBER($AD57)), (Futs!$CH57 + $AD57)/7.45, ""), "")</f>
        <v/>
      </c>
      <c r="AJ57" s="68" t="str">
        <f t="shared" ca="1" si="131"/>
        <v/>
      </c>
      <c r="AK57" s="364" t="str">
        <f ca="1">IFERROR(INDEX(ICE[], MATCH("brdtd" &amp; TEXT(Crd!$A57, "mmmyy"), ICE[LongCode], 0), MATCH("Text", ICE[#Headers], 0)), "")</f>
        <v/>
      </c>
      <c r="AL57" s="46" t="str">
        <f t="shared" ca="1" si="132"/>
        <v/>
      </c>
      <c r="AM57" s="427" t="str">
        <f ca="1">IFERROR(IF(AND(ISNUMBER(Futs!$CC57), ISNUMBER($AH57)), $AH57 - Futs!$CC57, ""), "")</f>
        <v/>
      </c>
      <c r="AN57" s="46" t="str">
        <f ca="1">IFERROR(IF(AND(ISNUMBER(Futs!$DV57), ISNUMBER($AD57)), $AD57/7.45 + Futs!$DV57, ""), "")</f>
        <v/>
      </c>
      <c r="AO57" s="47" t="str">
        <f t="shared" ca="1" si="133"/>
        <v/>
      </c>
      <c r="AP57" s="111" t="str">
        <f t="shared" ca="1" si="134"/>
        <v/>
      </c>
      <c r="AQ57" s="400"/>
      <c r="AR57" s="46" t="str">
        <f t="shared" ca="1" si="106"/>
        <v/>
      </c>
      <c r="AS57" s="68" t="str">
        <f t="shared" si="135"/>
        <v/>
      </c>
      <c r="AT57" s="46" t="str">
        <f t="shared" ca="1" si="136"/>
        <v/>
      </c>
      <c r="AU57" s="271" t="str">
        <f t="shared" ca="1" si="107"/>
        <v/>
      </c>
      <c r="AV57" s="46" t="str">
        <f t="shared" ca="1" si="108"/>
        <v/>
      </c>
      <c r="AW57" s="68" t="str">
        <f t="shared" ca="1" si="137"/>
        <v/>
      </c>
      <c r="AX57" s="111" t="str">
        <f t="shared" ca="1" si="138"/>
        <v/>
      </c>
      <c r="AY57" s="400"/>
      <c r="AZ57" s="372" t="str">
        <f ca="1">IFERROR(INDEX(ICE[], MATCH("regrade" &amp; TEXT(Mid!$A57, "mmmyy"), ICE[LongCode], 0), MATCH("Text", ICE[#Headers], 0)), "")</f>
        <v/>
      </c>
      <c r="BA57" s="46" t="str">
        <f t="shared" ca="1" si="109"/>
        <v/>
      </c>
      <c r="BB57" s="68" t="str">
        <f t="shared" si="172"/>
        <v/>
      </c>
      <c r="BC57" s="114" t="str">
        <f t="shared" ca="1" si="139"/>
        <v/>
      </c>
      <c r="BD57" s="68" t="str">
        <f t="shared" ca="1" si="110"/>
        <v/>
      </c>
      <c r="BE57" s="46" t="str">
        <f t="shared" ca="1" si="111"/>
        <v/>
      </c>
      <c r="BF57" s="68" t="str">
        <f t="shared" ca="1" si="140"/>
        <v/>
      </c>
      <c r="BG57" s="111" t="str">
        <f t="shared" ca="1" si="141"/>
        <v/>
      </c>
      <c r="BH57" s="68" t="str">
        <f t="shared" ca="1" si="122"/>
        <v/>
      </c>
      <c r="BI57" s="46" t="str">
        <f t="shared" ca="1" si="112"/>
        <v/>
      </c>
      <c r="BJ57" s="68" t="str">
        <f t="shared" ca="1" si="142"/>
        <v/>
      </c>
      <c r="BK57" s="111" t="str">
        <f t="shared" ca="1" si="143"/>
        <v/>
      </c>
      <c r="BL57" s="400"/>
      <c r="BM57" s="372" t="str">
        <f ca="1">IFERROR(INDEX(ICE[], MATCH("ulsdaradiff" &amp; TEXT(Mid!$A57, "mmmyy"), ICE[LongCode], 0), MATCH("Text", ICE[#Headers], 0)), "")</f>
        <v/>
      </c>
      <c r="BN57" s="46" t="str">
        <f t="shared" ca="1" si="113"/>
        <v/>
      </c>
      <c r="BO57" s="68" t="str">
        <f t="shared" si="144"/>
        <v/>
      </c>
      <c r="BP57" s="114" t="str">
        <f t="shared" ca="1" si="145"/>
        <v/>
      </c>
      <c r="BQ57" s="68" t="str">
        <f ca="1">IFERROR(IF(AND(ISNUMBER(Futs!$CG57), ISNUMBER($BL57)), Futs!$CG57 + $BL57, ""), "")</f>
        <v/>
      </c>
      <c r="BR57" s="46" t="str">
        <f ca="1">IFERROR(IF(AND(ISNUMBER(Futs!$CH57), ISNUMBER($BN57)), Futs!$CH57 + $BN57, ""), "")</f>
        <v/>
      </c>
      <c r="BS57" s="68" t="str">
        <f t="shared" ca="1" si="146"/>
        <v/>
      </c>
      <c r="BT57" s="111" t="str">
        <f t="shared" ca="1" si="147"/>
        <v/>
      </c>
      <c r="BU57" s="400"/>
      <c r="BV57" s="372" t="str">
        <f ca="1">IFERROR(INDEX(ICE[], MATCH("ulsdccndiff" &amp; TEXT(Mid!$A57, "mmmyy"), ICE[LongCode], 0), MATCH("Text", ICE[#Headers], 0)), "")</f>
        <v/>
      </c>
      <c r="BW57" s="46" t="str">
        <f t="shared" ca="1" si="114"/>
        <v/>
      </c>
      <c r="BX57" s="68" t="str">
        <f t="shared" si="148"/>
        <v/>
      </c>
      <c r="BY57" s="114" t="str">
        <f t="shared" ca="1" si="149"/>
        <v/>
      </c>
      <c r="BZ57" s="68" t="str">
        <f ca="1">IFERROR(IF(AND(ISNUMBER(Futs!$CG57), ISNUMBER($BU57)), Futs!$CG57 + $BU57, ""), "")</f>
        <v/>
      </c>
      <c r="CA57" s="46" t="str">
        <f ca="1">IFERROR(IF(AND(ISNUMBER(Futs!$CH57), ISNUMBER($BW57)), Futs!$CH57 + $BW57, ""), "")</f>
        <v/>
      </c>
      <c r="CB57" s="68" t="str">
        <f t="shared" ca="1" si="150"/>
        <v/>
      </c>
      <c r="CC57" s="111" t="str">
        <f t="shared" ca="1" si="151"/>
        <v/>
      </c>
      <c r="CD57" s="400"/>
      <c r="CE57" s="372" t="str">
        <f ca="1">IFERROR(INDEX(ICE[], MATCH("ulsdccmdiff" &amp; TEXT(Mid!$A57, "mmmyy"), ICE[LongCode], 0), MATCH("Text", ICE[#Headers], 0)), "")</f>
        <v/>
      </c>
      <c r="CF57" s="46" t="str">
        <f t="shared" ca="1" si="115"/>
        <v/>
      </c>
      <c r="CG57" s="68" t="str">
        <f t="shared" si="152"/>
        <v/>
      </c>
      <c r="CH57" s="114" t="str">
        <f t="shared" ca="1" si="153"/>
        <v/>
      </c>
      <c r="CI57" s="68" t="str">
        <f ca="1">IFERROR(IF(AND(ISNUMBER(Futs!$CG57), ISNUMBER($CD57)), Futs!$CG57 + $CD57, ""), "")</f>
        <v/>
      </c>
      <c r="CJ57" s="67" t="str">
        <f ca="1">IFERROR(IF(AND(ISNUMBER(Futs!$CH57), ISNUMBER($CF57)), Futs!$CH57 + $CF57, ""), "")</f>
        <v/>
      </c>
      <c r="CK57" s="68" t="str">
        <f t="shared" ca="1" si="154"/>
        <v/>
      </c>
      <c r="CL57" s="111" t="str">
        <f t="shared" ca="1" si="155"/>
        <v/>
      </c>
      <c r="CM57" s="400"/>
      <c r="CN57" s="372" t="str">
        <f ca="1">IFERROR(INDEX(ICE[], MATCH("go01bfrdiff" &amp; TEXT(Mid!$A57, "mmmyy"), ICE[LongCode], 0), MATCH("Text", ICE[#Headers], 0)), "")</f>
        <v/>
      </c>
      <c r="CO57" s="46" t="str">
        <f t="shared" ca="1" si="116"/>
        <v/>
      </c>
      <c r="CP57" s="68" t="str">
        <f t="shared" si="156"/>
        <v/>
      </c>
      <c r="CQ57" s="114" t="str">
        <f t="shared" ca="1" si="157"/>
        <v/>
      </c>
      <c r="CR57" s="68" t="str">
        <f ca="1">IFERROR(IF(AND(ISNUMBER(Futs!$CG57), ISNUMBER($CM57)), Futs!$CG57 + $CM57, ""), "")</f>
        <v/>
      </c>
      <c r="CS57" s="46" t="str">
        <f ca="1">IFERROR(IF(AND(ISNUMBER(Futs!$CH57), ISNUMBER($CO57)), Futs!$CH57 + $CO57, ""), "")</f>
        <v/>
      </c>
      <c r="CT57" s="68" t="str">
        <f t="shared" ca="1" si="158"/>
        <v/>
      </c>
      <c r="CU57" s="111" t="str">
        <f t="shared" ca="1" si="159"/>
        <v/>
      </c>
      <c r="CV57" s="400"/>
      <c r="CW57" s="372" t="str">
        <f ca="1">IFERROR(INDEX(ICE[], MATCH("go01ccndiff" &amp; TEXT(Mid!$A57, "mmmyy"), ICE[LongCode], 0), MATCH("Text", ICE[#Headers], 0)), "")</f>
        <v/>
      </c>
      <c r="CX57" s="46" t="str">
        <f t="shared" ca="1" si="117"/>
        <v/>
      </c>
      <c r="CY57" s="68" t="str">
        <f t="shared" si="160"/>
        <v/>
      </c>
      <c r="CZ57" s="114" t="str">
        <f t="shared" ca="1" si="161"/>
        <v/>
      </c>
      <c r="DA57" s="68" t="str">
        <f ca="1">IFERROR(IF(AND(ISNUMBER(Futs!$CG57), ISNUMBER($CV57)), Futs!$CG57 + $CV57, ""), "")</f>
        <v/>
      </c>
      <c r="DB57" s="46" t="str">
        <f ca="1">IFERROR(IF(AND(ISNUMBER(Futs!$CH57), ISNUMBER($CX57)), Futs!$CH57 + $CX57, ""), "")</f>
        <v/>
      </c>
      <c r="DC57" s="68" t="str">
        <f t="shared" ca="1" si="162"/>
        <v/>
      </c>
      <c r="DD57" s="111" t="str">
        <f t="shared" ca="1" si="163"/>
        <v/>
      </c>
      <c r="DE57" s="400"/>
      <c r="DF57" s="372" t="str">
        <f ca="1">IFERROR(INDEX(ICE[], MATCH("go01ccmdiff" &amp; TEXT(Mid!$A57, "mmmyy"), ICE[LongCode], 0), MATCH("Text", ICE[#Headers], 0)), "")</f>
        <v/>
      </c>
      <c r="DG57" s="46" t="str">
        <f t="shared" ca="1" si="118"/>
        <v/>
      </c>
      <c r="DH57" s="68" t="str">
        <f t="shared" si="164"/>
        <v/>
      </c>
      <c r="DI57" s="114" t="str">
        <f t="shared" ca="1" si="165"/>
        <v/>
      </c>
      <c r="DJ57" s="68" t="str">
        <f ca="1">IFERROR(IF(AND(ISNUMBER(Futs!$CG57), ISNUMBER($DE57)), Futs!$CG57 + $DE57, ""), "")</f>
        <v/>
      </c>
      <c r="DK57" s="46" t="str">
        <f ca="1">IFERROR(IF(AND(ISNUMBER(Futs!$CH57), ISNUMBER($DG57)), Futs!$CH57 + $DG57, ""), "")</f>
        <v/>
      </c>
      <c r="DL57" s="68" t="str">
        <f t="shared" ca="1" si="166"/>
        <v/>
      </c>
      <c r="DM57" s="111" t="str">
        <f t="shared" ca="1" si="167"/>
        <v/>
      </c>
      <c r="DN57" s="400"/>
      <c r="DO57" s="372" t="str">
        <f ca="1">IFERROR(INDEX(ICE[], MATCH("ulsdgc" &amp; TEXT(Mid!$A57, "mmmyy"), ICE[LongCode], 0), MATCH("Text", ICE[#Headers], 0)), "")</f>
        <v/>
      </c>
      <c r="DP57" s="46" t="str">
        <f t="shared" ca="1" si="119"/>
        <v/>
      </c>
      <c r="DQ57" s="68" t="str">
        <f t="shared" si="168"/>
        <v/>
      </c>
      <c r="DR57" s="114" t="str">
        <f t="shared" ca="1" si="169"/>
        <v/>
      </c>
      <c r="DS57" s="68" t="str">
        <f ca="1">IFERROR(IF(AND(ISNUMBER(Futs!$CK57), ISNUMBER($DN57)), Futs!$CK57 + $DN57, ""), "")</f>
        <v/>
      </c>
      <c r="DT57" s="46" t="str">
        <f ca="1">IFERROR(IF(AND(ISNUMBER(Futs!$CL57), ISNUMBER($DP57)), Futs!$CL57 + $DP57, ""), "")</f>
        <v/>
      </c>
      <c r="DU57" s="68" t="str">
        <f t="shared" ca="1" si="170"/>
        <v/>
      </c>
      <c r="DV57" s="111" t="str">
        <f t="shared" ca="1" si="171"/>
        <v/>
      </c>
    </row>
    <row r="58" spans="1:126" x14ac:dyDescent="0.25">
      <c r="A58" s="58">
        <f t="shared" ca="1" si="123"/>
        <v>47453</v>
      </c>
      <c r="B58" s="6">
        <f t="shared" ca="1" si="102"/>
        <v>2029</v>
      </c>
      <c r="C58" s="6" t="str">
        <f t="shared" ca="1" si="120"/>
        <v>Q429</v>
      </c>
      <c r="D58" s="28" t="e">
        <f ca="1">INDEX(ICE[], MATCH(D$18 &amp; TEXT(Mid!$A58, "mmmyy"), ICE[LongCode], 0), MATCH("Settle", ICE[#Headers], 0))</f>
        <v>#N/A</v>
      </c>
      <c r="E58" s="28" t="e">
        <f ca="1">INDEX(ICE[], MATCH(E$18 &amp; TEXT(Mid!$A58, "mmmyy"), ICE[LongCode], 0), MATCH("Settle", ICE[#Headers], 0))</f>
        <v>#N/A</v>
      </c>
      <c r="F58" s="28" t="e">
        <f ca="1">INDEX(ICE[], MATCH(F$18 &amp; TEXT(Mid!$A58, "mmmyy"), ICE[LongCode], 0), MATCH("Settle", ICE[#Headers], 0))</f>
        <v>#N/A</v>
      </c>
      <c r="G58" s="28" t="e">
        <f ca="1">INDEX(ICE[], MATCH(G$18 &amp; TEXT(Mid!$A58, "mmmyy"), ICE[LongCode], 0), MATCH("Settle", ICE[#Headers], 0))</f>
        <v>#N/A</v>
      </c>
      <c r="H58" s="28" t="e">
        <f ca="1">INDEX(ICE[], MATCH(H$18 &amp; TEXT(Mid!$A58, "mmmyy"), ICE[LongCode], 0), MATCH("Settle", ICE[#Headers], 0))</f>
        <v>#N/A</v>
      </c>
      <c r="I58" s="28" t="e">
        <f ca="1">INDEX(ICE[], MATCH(I$18 &amp; TEXT(Mid!$A58, "mmmyy"), ICE[LongCode], 0), MATCH("Settle", ICE[#Headers], 0))</f>
        <v>#N/A</v>
      </c>
      <c r="J58" s="28" t="e">
        <f ca="1">INDEX(ICE[], MATCH(J$18 &amp; TEXT(Mid!$A58, "mmmyy"), ICE[LongCode], 0), MATCH("Settle", ICE[#Headers], 0))</f>
        <v>#N/A</v>
      </c>
      <c r="K58" s="28" t="e">
        <f ca="1">INDEX(ICE[], MATCH(K$18 &amp; TEXT(Mid!$A58, "mmmyy"), ICE[LongCode], 0), MATCH("Settle", ICE[#Headers], 0))</f>
        <v>#N/A</v>
      </c>
      <c r="L58" s="28" t="e">
        <f ca="1">INDEX(ICE[], MATCH(L$18 &amp; TEXT(Mid!$A58, "mmmyy"), ICE[LongCode], 0), MATCH("Settle", ICE[#Headers], 0))</f>
        <v>#N/A</v>
      </c>
      <c r="M58" s="28" t="e">
        <f ca="1">INDEX(ICE[], MATCH(M$18 &amp; TEXT(Mid!$A58, "mmmyy"), ICE[LongCode], 0), MATCH("Settle", ICE[#Headers], 0))</f>
        <v>#N/A</v>
      </c>
      <c r="N58" s="28" t="e">
        <f ca="1">INDEX(ICE[], MATCH(N$18 &amp; TEXT(Mid!$A58, "mmmyy"), ICE[LongCode], 0), MATCH("Settle", ICE[#Headers], 0))*100</f>
        <v>#N/A</v>
      </c>
      <c r="O58" s="397"/>
      <c r="P58" s="372" t="str">
        <f ca="1">IFERROR(INDEX(ICE[], MATCH("jetccndiff" &amp; TEXT(Mid!$A58, "mmmyy"), ICE[LongCode], 0), MATCH("Text", ICE[#Headers], 0)), "")</f>
        <v/>
      </c>
      <c r="Q58" s="46" t="str">
        <f t="shared" ca="1" si="103"/>
        <v/>
      </c>
      <c r="R58" s="47" t="str">
        <f t="shared" si="121"/>
        <v/>
      </c>
      <c r="S58" s="114" t="str">
        <f t="shared" ca="1" si="124"/>
        <v/>
      </c>
      <c r="T58" s="49" t="str">
        <f ca="1">IFERROR(IF(AND(ISNUMBER(Futs!$CG58), ISNUMBER($O58)), Futs!$CG58 + $O58, ""), "")</f>
        <v/>
      </c>
      <c r="U58" s="46" t="str">
        <f ca="1">IFERROR(IF(AND(ISNUMBER(Futs!$CH58), ISNUMBER($Q58)), Futs!$CH58 + $Q58, ""), "")</f>
        <v/>
      </c>
      <c r="V58" s="47" t="str">
        <f t="shared" ca="1" si="125"/>
        <v/>
      </c>
      <c r="W58" s="46" t="str">
        <f t="shared" ca="1" si="126"/>
        <v/>
      </c>
      <c r="X58" s="427" t="str">
        <f ca="1">IFERROR(IF(AND(ISNUMBER(Futs!$CC58), ISNUMBER($T58)), $T58/7.88 - Futs!$CC58, ""), "")</f>
        <v/>
      </c>
      <c r="Y58" s="46" t="str">
        <f ca="1">IFERROR(IF(AND(ISNUMBER(Futs!$DV58), ISNUMBER($Q58)), Futs!$DV58 + $Q58/7.88, ""), "")</f>
        <v/>
      </c>
      <c r="Z58" s="47" t="str">
        <f t="shared" ca="1" si="127"/>
        <v/>
      </c>
      <c r="AA58" s="111" t="str">
        <f t="shared" ca="1" si="128"/>
        <v/>
      </c>
      <c r="AB58" s="400"/>
      <c r="AC58" s="372" t="str">
        <f ca="1">IFERROR(INDEX(ICE[], MATCH("goew" &amp; TEXT(Mid!$A58, "mmmyy"), ICE[LongCode], 0), MATCH("Text", ICE[#Headers], 0)), "")</f>
        <v/>
      </c>
      <c r="AD58" s="46" t="str">
        <f t="shared" ca="1" si="104"/>
        <v/>
      </c>
      <c r="AE58" s="68" t="str">
        <f t="shared" si="129"/>
        <v/>
      </c>
      <c r="AF58" s="46" t="str">
        <f t="shared" ca="1" si="130"/>
        <v/>
      </c>
      <c r="AG58" s="265" t="str">
        <f ca="1">IFERROR(IF(AND(ISNUMBER(Futs!$BM58), ISNUMBER($AH58)), $AH58*7.45 - Futs!$BM58, ""), "")</f>
        <v/>
      </c>
      <c r="AH58" s="187" t="str">
        <f ca="1">IFERROR(IF(AND(ISNUMBER(Futs!$CG58), ISNUMBER($AB58)), (Futs!$CG58 + $AB58)/7.45, ""), "")</f>
        <v/>
      </c>
      <c r="AI58" s="46" t="str">
        <f ca="1">IFERROR(IF(AND(ISNUMBER(Futs!$CH58), ISNUMBER($AD58)), (Futs!$CH58 + $AD58)/7.45, ""), "")</f>
        <v/>
      </c>
      <c r="AJ58" s="68" t="str">
        <f t="shared" ca="1" si="131"/>
        <v/>
      </c>
      <c r="AK58" s="364" t="str">
        <f ca="1">IFERROR(INDEX(ICE[], MATCH("brdtd" &amp; TEXT(Crd!$A58, "mmmyy"), ICE[LongCode], 0), MATCH("Text", ICE[#Headers], 0)), "")</f>
        <v/>
      </c>
      <c r="AL58" s="46" t="str">
        <f t="shared" ca="1" si="132"/>
        <v/>
      </c>
      <c r="AM58" s="427" t="str">
        <f ca="1">IFERROR(IF(AND(ISNUMBER(Futs!$CC58), ISNUMBER($AH58)), $AH58 - Futs!$CC58, ""), "")</f>
        <v/>
      </c>
      <c r="AN58" s="46" t="str">
        <f ca="1">IFERROR(IF(AND(ISNUMBER(Futs!$DV58), ISNUMBER($AD58)), $AD58/7.45 + Futs!$DV58, ""), "")</f>
        <v/>
      </c>
      <c r="AO58" s="47" t="str">
        <f t="shared" ca="1" si="133"/>
        <v/>
      </c>
      <c r="AP58" s="111" t="str">
        <f t="shared" ca="1" si="134"/>
        <v/>
      </c>
      <c r="AQ58" s="400"/>
      <c r="AR58" s="46" t="str">
        <f t="shared" ca="1" si="106"/>
        <v/>
      </c>
      <c r="AS58" s="68" t="str">
        <f t="shared" si="135"/>
        <v/>
      </c>
      <c r="AT58" s="46" t="str">
        <f t="shared" ca="1" si="136"/>
        <v/>
      </c>
      <c r="AU58" s="271" t="str">
        <f t="shared" ca="1" si="107"/>
        <v/>
      </c>
      <c r="AV58" s="46" t="str">
        <f t="shared" ca="1" si="108"/>
        <v/>
      </c>
      <c r="AW58" s="68" t="str">
        <f t="shared" ca="1" si="137"/>
        <v/>
      </c>
      <c r="AX58" s="111" t="str">
        <f t="shared" ca="1" si="138"/>
        <v/>
      </c>
      <c r="AY58" s="400"/>
      <c r="AZ58" s="372" t="str">
        <f ca="1">IFERROR(INDEX(ICE[], MATCH("regrade" &amp; TEXT(Mid!$A58, "mmmyy"), ICE[LongCode], 0), MATCH("Text", ICE[#Headers], 0)), "")</f>
        <v/>
      </c>
      <c r="BA58" s="46" t="str">
        <f t="shared" ca="1" si="109"/>
        <v/>
      </c>
      <c r="BB58" s="68" t="str">
        <f t="shared" si="172"/>
        <v/>
      </c>
      <c r="BC58" s="114" t="str">
        <f t="shared" ca="1" si="139"/>
        <v/>
      </c>
      <c r="BD58" s="68" t="str">
        <f t="shared" ca="1" si="110"/>
        <v/>
      </c>
      <c r="BE58" s="46" t="str">
        <f t="shared" ca="1" si="111"/>
        <v/>
      </c>
      <c r="BF58" s="68" t="str">
        <f t="shared" ca="1" si="140"/>
        <v/>
      </c>
      <c r="BG58" s="111" t="str">
        <f t="shared" ca="1" si="141"/>
        <v/>
      </c>
      <c r="BH58" s="68" t="str">
        <f t="shared" ca="1" si="122"/>
        <v/>
      </c>
      <c r="BI58" s="46" t="str">
        <f t="shared" ca="1" si="112"/>
        <v/>
      </c>
      <c r="BJ58" s="68" t="str">
        <f t="shared" ca="1" si="142"/>
        <v/>
      </c>
      <c r="BK58" s="111" t="str">
        <f t="shared" ca="1" si="143"/>
        <v/>
      </c>
      <c r="BL58" s="400"/>
      <c r="BM58" s="372" t="str">
        <f ca="1">IFERROR(INDEX(ICE[], MATCH("ulsdaradiff" &amp; TEXT(Mid!$A58, "mmmyy"), ICE[LongCode], 0), MATCH("Text", ICE[#Headers], 0)), "")</f>
        <v/>
      </c>
      <c r="BN58" s="46" t="str">
        <f t="shared" ca="1" si="113"/>
        <v/>
      </c>
      <c r="BO58" s="68" t="str">
        <f t="shared" si="144"/>
        <v/>
      </c>
      <c r="BP58" s="114" t="str">
        <f t="shared" ca="1" si="145"/>
        <v/>
      </c>
      <c r="BQ58" s="68" t="str">
        <f ca="1">IFERROR(IF(AND(ISNUMBER(Futs!$CG58), ISNUMBER($BL58)), Futs!$CG58 + $BL58, ""), "")</f>
        <v/>
      </c>
      <c r="BR58" s="46" t="str">
        <f ca="1">IFERROR(IF(AND(ISNUMBER(Futs!$CH58), ISNUMBER($BN58)), Futs!$CH58 + $BN58, ""), "")</f>
        <v/>
      </c>
      <c r="BS58" s="68" t="str">
        <f t="shared" ca="1" si="146"/>
        <v/>
      </c>
      <c r="BT58" s="111" t="str">
        <f t="shared" ca="1" si="147"/>
        <v/>
      </c>
      <c r="BU58" s="400"/>
      <c r="BV58" s="372" t="str">
        <f ca="1">IFERROR(INDEX(ICE[], MATCH("ulsdccndiff" &amp; TEXT(Mid!$A58, "mmmyy"), ICE[LongCode], 0), MATCH("Text", ICE[#Headers], 0)), "")</f>
        <v/>
      </c>
      <c r="BW58" s="46" t="str">
        <f t="shared" ca="1" si="114"/>
        <v/>
      </c>
      <c r="BX58" s="68" t="str">
        <f t="shared" si="148"/>
        <v/>
      </c>
      <c r="BY58" s="114" t="str">
        <f t="shared" ca="1" si="149"/>
        <v/>
      </c>
      <c r="BZ58" s="68" t="str">
        <f ca="1">IFERROR(IF(AND(ISNUMBER(Futs!$CG58), ISNUMBER($BU58)), Futs!$CG58 + $BU58, ""), "")</f>
        <v/>
      </c>
      <c r="CA58" s="46" t="str">
        <f ca="1">IFERROR(IF(AND(ISNUMBER(Futs!$CH58), ISNUMBER($BW58)), Futs!$CH58 + $BW58, ""), "")</f>
        <v/>
      </c>
      <c r="CB58" s="68" t="str">
        <f t="shared" ca="1" si="150"/>
        <v/>
      </c>
      <c r="CC58" s="111" t="str">
        <f t="shared" ca="1" si="151"/>
        <v/>
      </c>
      <c r="CD58" s="400"/>
      <c r="CE58" s="372" t="str">
        <f ca="1">IFERROR(INDEX(ICE[], MATCH("ulsdccmdiff" &amp; TEXT(Mid!$A58, "mmmyy"), ICE[LongCode], 0), MATCH("Text", ICE[#Headers], 0)), "")</f>
        <v/>
      </c>
      <c r="CF58" s="46" t="str">
        <f t="shared" ca="1" si="115"/>
        <v/>
      </c>
      <c r="CG58" s="68" t="str">
        <f t="shared" si="152"/>
        <v/>
      </c>
      <c r="CH58" s="114" t="str">
        <f t="shared" ca="1" si="153"/>
        <v/>
      </c>
      <c r="CI58" s="68" t="str">
        <f ca="1">IFERROR(IF(AND(ISNUMBER(Futs!$CG58), ISNUMBER($CD58)), Futs!$CG58 + $CD58, ""), "")</f>
        <v/>
      </c>
      <c r="CJ58" s="67" t="str">
        <f ca="1">IFERROR(IF(AND(ISNUMBER(Futs!$CH58), ISNUMBER($CF58)), Futs!$CH58 + $CF58, ""), "")</f>
        <v/>
      </c>
      <c r="CK58" s="68" t="str">
        <f t="shared" ca="1" si="154"/>
        <v/>
      </c>
      <c r="CL58" s="111" t="str">
        <f t="shared" ca="1" si="155"/>
        <v/>
      </c>
      <c r="CM58" s="400"/>
      <c r="CN58" s="372" t="str">
        <f ca="1">IFERROR(INDEX(ICE[], MATCH("go01bfrdiff" &amp; TEXT(Mid!$A58, "mmmyy"), ICE[LongCode], 0), MATCH("Text", ICE[#Headers], 0)), "")</f>
        <v/>
      </c>
      <c r="CO58" s="46" t="str">
        <f t="shared" ca="1" si="116"/>
        <v/>
      </c>
      <c r="CP58" s="68" t="str">
        <f t="shared" si="156"/>
        <v/>
      </c>
      <c r="CQ58" s="114" t="str">
        <f t="shared" ca="1" si="157"/>
        <v/>
      </c>
      <c r="CR58" s="68" t="str">
        <f ca="1">IFERROR(IF(AND(ISNUMBER(Futs!$CG58), ISNUMBER($CM58)), Futs!$CG58 + $CM58, ""), "")</f>
        <v/>
      </c>
      <c r="CS58" s="46" t="str">
        <f ca="1">IFERROR(IF(AND(ISNUMBER(Futs!$CH58), ISNUMBER($CO58)), Futs!$CH58 + $CO58, ""), "")</f>
        <v/>
      </c>
      <c r="CT58" s="68" t="str">
        <f t="shared" ca="1" si="158"/>
        <v/>
      </c>
      <c r="CU58" s="111" t="str">
        <f t="shared" ca="1" si="159"/>
        <v/>
      </c>
      <c r="CV58" s="400"/>
      <c r="CW58" s="372" t="str">
        <f ca="1">IFERROR(INDEX(ICE[], MATCH("go01ccndiff" &amp; TEXT(Mid!$A58, "mmmyy"), ICE[LongCode], 0), MATCH("Text", ICE[#Headers], 0)), "")</f>
        <v/>
      </c>
      <c r="CX58" s="46" t="str">
        <f t="shared" ca="1" si="117"/>
        <v/>
      </c>
      <c r="CY58" s="68" t="str">
        <f t="shared" si="160"/>
        <v/>
      </c>
      <c r="CZ58" s="114" t="str">
        <f t="shared" ca="1" si="161"/>
        <v/>
      </c>
      <c r="DA58" s="68" t="str">
        <f ca="1">IFERROR(IF(AND(ISNUMBER(Futs!$CG58), ISNUMBER($CV58)), Futs!$CG58 + $CV58, ""), "")</f>
        <v/>
      </c>
      <c r="DB58" s="46" t="str">
        <f ca="1">IFERROR(IF(AND(ISNUMBER(Futs!$CH58), ISNUMBER($CX58)), Futs!$CH58 + $CX58, ""), "")</f>
        <v/>
      </c>
      <c r="DC58" s="68" t="str">
        <f t="shared" ca="1" si="162"/>
        <v/>
      </c>
      <c r="DD58" s="111" t="str">
        <f t="shared" ca="1" si="163"/>
        <v/>
      </c>
      <c r="DE58" s="400"/>
      <c r="DF58" s="372" t="str">
        <f ca="1">IFERROR(INDEX(ICE[], MATCH("go01ccmdiff" &amp; TEXT(Mid!$A58, "mmmyy"), ICE[LongCode], 0), MATCH("Text", ICE[#Headers], 0)), "")</f>
        <v/>
      </c>
      <c r="DG58" s="46" t="str">
        <f t="shared" ca="1" si="118"/>
        <v/>
      </c>
      <c r="DH58" s="68" t="str">
        <f t="shared" si="164"/>
        <v/>
      </c>
      <c r="DI58" s="114" t="str">
        <f t="shared" ca="1" si="165"/>
        <v/>
      </c>
      <c r="DJ58" s="68" t="str">
        <f ca="1">IFERROR(IF(AND(ISNUMBER(Futs!$CG58), ISNUMBER($DE58)), Futs!$CG58 + $DE58, ""), "")</f>
        <v/>
      </c>
      <c r="DK58" s="46" t="str">
        <f ca="1">IFERROR(IF(AND(ISNUMBER(Futs!$CH58), ISNUMBER($DG58)), Futs!$CH58 + $DG58, ""), "")</f>
        <v/>
      </c>
      <c r="DL58" s="68" t="str">
        <f t="shared" ca="1" si="166"/>
        <v/>
      </c>
      <c r="DM58" s="111" t="str">
        <f t="shared" ca="1" si="167"/>
        <v/>
      </c>
      <c r="DN58" s="400"/>
      <c r="DO58" s="372" t="str">
        <f ca="1">IFERROR(INDEX(ICE[], MATCH("ulsdgc" &amp; TEXT(Mid!$A58, "mmmyy"), ICE[LongCode], 0), MATCH("Text", ICE[#Headers], 0)), "")</f>
        <v/>
      </c>
      <c r="DP58" s="46" t="str">
        <f t="shared" ca="1" si="119"/>
        <v/>
      </c>
      <c r="DQ58" s="68" t="str">
        <f t="shared" si="168"/>
        <v/>
      </c>
      <c r="DR58" s="114" t="str">
        <f t="shared" ca="1" si="169"/>
        <v/>
      </c>
      <c r="DS58" s="68" t="str">
        <f ca="1">IFERROR(IF(AND(ISNUMBER(Futs!$CK58), ISNUMBER($DN58)), Futs!$CK58 + $DN58, ""), "")</f>
        <v/>
      </c>
      <c r="DT58" s="46" t="str">
        <f ca="1">IFERROR(IF(AND(ISNUMBER(Futs!$CL58), ISNUMBER($DP58)), Futs!$CL58 + $DP58, ""), "")</f>
        <v/>
      </c>
      <c r="DU58" s="68" t="str">
        <f t="shared" ca="1" si="170"/>
        <v/>
      </c>
      <c r="DV58" s="111" t="str">
        <f t="shared" ca="1" si="171"/>
        <v/>
      </c>
    </row>
    <row r="59" spans="1:126" x14ac:dyDescent="0.25">
      <c r="A59" s="58">
        <f t="shared" ca="1" si="123"/>
        <v>47484</v>
      </c>
      <c r="B59" s="6">
        <f t="shared" ca="1" si="102"/>
        <v>2030</v>
      </c>
      <c r="C59" s="6" t="str">
        <f t="shared" ca="1" si="120"/>
        <v>Q130</v>
      </c>
      <c r="D59" s="28" t="e">
        <f ca="1">INDEX(ICE[], MATCH(D$18 &amp; TEXT(Mid!$A59, "mmmyy"), ICE[LongCode], 0), MATCH("Settle", ICE[#Headers], 0))</f>
        <v>#N/A</v>
      </c>
      <c r="E59" s="28" t="e">
        <f ca="1">INDEX(ICE[], MATCH(E$18 &amp; TEXT(Mid!$A59, "mmmyy"), ICE[LongCode], 0), MATCH("Settle", ICE[#Headers], 0))</f>
        <v>#N/A</v>
      </c>
      <c r="F59" s="28" t="e">
        <f ca="1">INDEX(ICE[], MATCH(F$18 &amp; TEXT(Mid!$A59, "mmmyy"), ICE[LongCode], 0), MATCH("Settle", ICE[#Headers], 0))</f>
        <v>#N/A</v>
      </c>
      <c r="G59" s="28" t="e">
        <f ca="1">INDEX(ICE[], MATCH(G$18 &amp; TEXT(Mid!$A59, "mmmyy"), ICE[LongCode], 0), MATCH("Settle", ICE[#Headers], 0))</f>
        <v>#N/A</v>
      </c>
      <c r="H59" s="28" t="e">
        <f ca="1">INDEX(ICE[], MATCH(H$18 &amp; TEXT(Mid!$A59, "mmmyy"), ICE[LongCode], 0), MATCH("Settle", ICE[#Headers], 0))</f>
        <v>#N/A</v>
      </c>
      <c r="I59" s="28" t="e">
        <f ca="1">INDEX(ICE[], MATCH(I$18 &amp; TEXT(Mid!$A59, "mmmyy"), ICE[LongCode], 0), MATCH("Settle", ICE[#Headers], 0))</f>
        <v>#N/A</v>
      </c>
      <c r="J59" s="28" t="e">
        <f ca="1">INDEX(ICE[], MATCH(J$18 &amp; TEXT(Mid!$A59, "mmmyy"), ICE[LongCode], 0), MATCH("Settle", ICE[#Headers], 0))</f>
        <v>#N/A</v>
      </c>
      <c r="K59" s="28" t="e">
        <f ca="1">INDEX(ICE[], MATCH(K$18 &amp; TEXT(Mid!$A59, "mmmyy"), ICE[LongCode], 0), MATCH("Settle", ICE[#Headers], 0))</f>
        <v>#N/A</v>
      </c>
      <c r="L59" s="28" t="e">
        <f ca="1">INDEX(ICE[], MATCH(L$18 &amp; TEXT(Mid!$A59, "mmmyy"), ICE[LongCode], 0), MATCH("Settle", ICE[#Headers], 0))</f>
        <v>#N/A</v>
      </c>
      <c r="M59" s="28" t="e">
        <f ca="1">INDEX(ICE[], MATCH(M$18 &amp; TEXT(Mid!$A59, "mmmyy"), ICE[LongCode], 0), MATCH("Settle", ICE[#Headers], 0))</f>
        <v>#N/A</v>
      </c>
      <c r="N59" s="28" t="e">
        <f ca="1">INDEX(ICE[], MATCH(N$18 &amp; TEXT(Mid!$A59, "mmmyy"), ICE[LongCode], 0), MATCH("Settle", ICE[#Headers], 0))*100</f>
        <v>#N/A</v>
      </c>
      <c r="O59" s="397"/>
      <c r="P59" s="372" t="str">
        <f ca="1">IFERROR(INDEX(ICE[], MATCH("jetccndiff" &amp; TEXT(Mid!$A59, "mmmyy"), ICE[LongCode], 0), MATCH("Text", ICE[#Headers], 0)), "")</f>
        <v/>
      </c>
      <c r="Q59" s="46" t="str">
        <f t="shared" ca="1" si="103"/>
        <v/>
      </c>
      <c r="R59" s="47" t="str">
        <f t="shared" si="121"/>
        <v/>
      </c>
      <c r="S59" s="114" t="str">
        <f t="shared" ca="1" si="124"/>
        <v/>
      </c>
      <c r="T59" s="49" t="str">
        <f ca="1">IFERROR(IF(AND(ISNUMBER(Futs!$CG59), ISNUMBER($O59)), Futs!$CG59 + $O59, ""), "")</f>
        <v/>
      </c>
      <c r="U59" s="46" t="str">
        <f ca="1">IFERROR(IF(AND(ISNUMBER(Futs!$CH59), ISNUMBER($Q59)), Futs!$CH59 + $Q59, ""), "")</f>
        <v/>
      </c>
      <c r="V59" s="47" t="str">
        <f t="shared" ca="1" si="125"/>
        <v/>
      </c>
      <c r="W59" s="46" t="str">
        <f t="shared" ca="1" si="126"/>
        <v/>
      </c>
      <c r="X59" s="427" t="str">
        <f ca="1">IFERROR(IF(AND(ISNUMBER(Futs!$CC59), ISNUMBER($T59)), $T59/7.88 - Futs!$CC59, ""), "")</f>
        <v/>
      </c>
      <c r="Y59" s="46" t="str">
        <f ca="1">IFERROR(IF(AND(ISNUMBER(Futs!$DV59), ISNUMBER($Q59)), Futs!$DV59 + $Q59/7.88, ""), "")</f>
        <v/>
      </c>
      <c r="Z59" s="47" t="str">
        <f t="shared" ca="1" si="127"/>
        <v/>
      </c>
      <c r="AA59" s="111" t="str">
        <f t="shared" ca="1" si="128"/>
        <v/>
      </c>
      <c r="AB59" s="400"/>
      <c r="AC59" s="372" t="str">
        <f ca="1">IFERROR(INDEX(ICE[], MATCH("goew" &amp; TEXT(Mid!$A59, "mmmyy"), ICE[LongCode], 0), MATCH("Text", ICE[#Headers], 0)), "")</f>
        <v/>
      </c>
      <c r="AD59" s="46" t="str">
        <f t="shared" ca="1" si="104"/>
        <v/>
      </c>
      <c r="AE59" s="68" t="str">
        <f t="shared" si="129"/>
        <v/>
      </c>
      <c r="AF59" s="46" t="str">
        <f t="shared" ca="1" si="130"/>
        <v/>
      </c>
      <c r="AG59" s="265" t="str">
        <f ca="1">IFERROR(IF(AND(ISNUMBER(Futs!$BM59), ISNUMBER($AH59)), $AH59*7.45 - Futs!$BM59, ""), "")</f>
        <v/>
      </c>
      <c r="AH59" s="187" t="str">
        <f ca="1">IFERROR(IF(AND(ISNUMBER(Futs!$CG59), ISNUMBER($AB59)), (Futs!$CG59 + $AB59)/7.45, ""), "")</f>
        <v/>
      </c>
      <c r="AI59" s="46" t="str">
        <f ca="1">IFERROR(IF(AND(ISNUMBER(Futs!$CH59), ISNUMBER($AD59)), (Futs!$CH59 + $AD59)/7.45, ""), "")</f>
        <v/>
      </c>
      <c r="AJ59" s="68" t="str">
        <f t="shared" ca="1" si="131"/>
        <v/>
      </c>
      <c r="AK59" s="364" t="str">
        <f ca="1">IFERROR(INDEX(ICE[], MATCH("brdtd" &amp; TEXT(Crd!$A59, "mmmyy"), ICE[LongCode], 0), MATCH("Text", ICE[#Headers], 0)), "")</f>
        <v/>
      </c>
      <c r="AL59" s="46" t="str">
        <f t="shared" ca="1" si="132"/>
        <v/>
      </c>
      <c r="AM59" s="427" t="str">
        <f ca="1">IFERROR(IF(AND(ISNUMBER(Futs!$CC59), ISNUMBER($AH59)), $AH59 - Futs!$CC59, ""), "")</f>
        <v/>
      </c>
      <c r="AN59" s="46" t="str">
        <f ca="1">IFERROR(IF(AND(ISNUMBER(Futs!$DV59), ISNUMBER($AD59)), $AD59/7.45 + Futs!$DV59, ""), "")</f>
        <v/>
      </c>
      <c r="AO59" s="47" t="str">
        <f t="shared" ca="1" si="133"/>
        <v/>
      </c>
      <c r="AP59" s="111" t="str">
        <f t="shared" ca="1" si="134"/>
        <v/>
      </c>
      <c r="AQ59" s="400"/>
      <c r="AR59" s="46" t="str">
        <f t="shared" ca="1" si="106"/>
        <v/>
      </c>
      <c r="AS59" s="68" t="str">
        <f t="shared" si="135"/>
        <v/>
      </c>
      <c r="AT59" s="46" t="str">
        <f t="shared" ca="1" si="136"/>
        <v/>
      </c>
      <c r="AU59" s="271" t="str">
        <f t="shared" ca="1" si="107"/>
        <v/>
      </c>
      <c r="AV59" s="46" t="str">
        <f t="shared" ca="1" si="108"/>
        <v/>
      </c>
      <c r="AW59" s="68" t="str">
        <f t="shared" ca="1" si="137"/>
        <v/>
      </c>
      <c r="AX59" s="111" t="str">
        <f t="shared" ca="1" si="138"/>
        <v/>
      </c>
      <c r="AY59" s="400"/>
      <c r="AZ59" s="372" t="str">
        <f ca="1">IFERROR(INDEX(ICE[], MATCH("regrade" &amp; TEXT(Mid!$A59, "mmmyy"), ICE[LongCode], 0), MATCH("Text", ICE[#Headers], 0)), "")</f>
        <v/>
      </c>
      <c r="BA59" s="46" t="str">
        <f t="shared" ca="1" si="109"/>
        <v/>
      </c>
      <c r="BB59" s="68" t="str">
        <f t="shared" si="172"/>
        <v/>
      </c>
      <c r="BC59" s="114" t="str">
        <f t="shared" ca="1" si="139"/>
        <v/>
      </c>
      <c r="BD59" s="68" t="str">
        <f t="shared" ca="1" si="110"/>
        <v/>
      </c>
      <c r="BE59" s="46" t="str">
        <f t="shared" ca="1" si="111"/>
        <v/>
      </c>
      <c r="BF59" s="68" t="str">
        <f t="shared" ca="1" si="140"/>
        <v/>
      </c>
      <c r="BG59" s="111" t="str">
        <f t="shared" ca="1" si="141"/>
        <v/>
      </c>
      <c r="BH59" s="68" t="str">
        <f t="shared" ca="1" si="122"/>
        <v/>
      </c>
      <c r="BI59" s="46" t="str">
        <f t="shared" ca="1" si="112"/>
        <v/>
      </c>
      <c r="BJ59" s="68" t="str">
        <f t="shared" ca="1" si="142"/>
        <v/>
      </c>
      <c r="BK59" s="111" t="str">
        <f t="shared" ca="1" si="143"/>
        <v/>
      </c>
      <c r="BL59" s="400"/>
      <c r="BM59" s="372" t="str">
        <f ca="1">IFERROR(INDEX(ICE[], MATCH("ulsdaradiff" &amp; TEXT(Mid!$A59, "mmmyy"), ICE[LongCode], 0), MATCH("Text", ICE[#Headers], 0)), "")</f>
        <v/>
      </c>
      <c r="BN59" s="46" t="str">
        <f t="shared" ca="1" si="113"/>
        <v/>
      </c>
      <c r="BO59" s="68" t="str">
        <f t="shared" si="144"/>
        <v/>
      </c>
      <c r="BP59" s="114" t="str">
        <f t="shared" ca="1" si="145"/>
        <v/>
      </c>
      <c r="BQ59" s="68" t="str">
        <f ca="1">IFERROR(IF(AND(ISNUMBER(Futs!$CG59), ISNUMBER($BL59)), Futs!$CG59 + $BL59, ""), "")</f>
        <v/>
      </c>
      <c r="BR59" s="46" t="str">
        <f ca="1">IFERROR(IF(AND(ISNUMBER(Futs!$CH59), ISNUMBER($BN59)), Futs!$CH59 + $BN59, ""), "")</f>
        <v/>
      </c>
      <c r="BS59" s="68" t="str">
        <f t="shared" ca="1" si="146"/>
        <v/>
      </c>
      <c r="BT59" s="111" t="str">
        <f t="shared" ca="1" si="147"/>
        <v/>
      </c>
      <c r="BU59" s="400"/>
      <c r="BV59" s="372" t="str">
        <f ca="1">IFERROR(INDEX(ICE[], MATCH("ulsdccndiff" &amp; TEXT(Mid!$A59, "mmmyy"), ICE[LongCode], 0), MATCH("Text", ICE[#Headers], 0)), "")</f>
        <v/>
      </c>
      <c r="BW59" s="46" t="str">
        <f t="shared" ca="1" si="114"/>
        <v/>
      </c>
      <c r="BX59" s="68" t="str">
        <f t="shared" si="148"/>
        <v/>
      </c>
      <c r="BY59" s="114" t="str">
        <f t="shared" ca="1" si="149"/>
        <v/>
      </c>
      <c r="BZ59" s="68" t="str">
        <f ca="1">IFERROR(IF(AND(ISNUMBER(Futs!$CG59), ISNUMBER($BU59)), Futs!$CG59 + $BU59, ""), "")</f>
        <v/>
      </c>
      <c r="CA59" s="46" t="str">
        <f ca="1">IFERROR(IF(AND(ISNUMBER(Futs!$CH59), ISNUMBER($BW59)), Futs!$CH59 + $BW59, ""), "")</f>
        <v/>
      </c>
      <c r="CB59" s="68" t="str">
        <f t="shared" ca="1" si="150"/>
        <v/>
      </c>
      <c r="CC59" s="111" t="str">
        <f t="shared" ca="1" si="151"/>
        <v/>
      </c>
      <c r="CD59" s="400"/>
      <c r="CE59" s="372" t="str">
        <f ca="1">IFERROR(INDEX(ICE[], MATCH("ulsdccmdiff" &amp; TEXT(Mid!$A59, "mmmyy"), ICE[LongCode], 0), MATCH("Text", ICE[#Headers], 0)), "")</f>
        <v/>
      </c>
      <c r="CF59" s="46" t="str">
        <f t="shared" ca="1" si="115"/>
        <v/>
      </c>
      <c r="CG59" s="68" t="str">
        <f t="shared" si="152"/>
        <v/>
      </c>
      <c r="CH59" s="114" t="str">
        <f t="shared" ca="1" si="153"/>
        <v/>
      </c>
      <c r="CI59" s="68" t="str">
        <f ca="1">IFERROR(IF(AND(ISNUMBER(Futs!$CG59), ISNUMBER($CD59)), Futs!$CG59 + $CD59, ""), "")</f>
        <v/>
      </c>
      <c r="CJ59" s="67" t="str">
        <f ca="1">IFERROR(IF(AND(ISNUMBER(Futs!$CH59), ISNUMBER($CF59)), Futs!$CH59 + $CF59, ""), "")</f>
        <v/>
      </c>
      <c r="CK59" s="68" t="str">
        <f t="shared" ca="1" si="154"/>
        <v/>
      </c>
      <c r="CL59" s="111" t="str">
        <f t="shared" ca="1" si="155"/>
        <v/>
      </c>
      <c r="CM59" s="400"/>
      <c r="CN59" s="372" t="str">
        <f ca="1">IFERROR(INDEX(ICE[], MATCH("go01bfrdiff" &amp; TEXT(Mid!$A59, "mmmyy"), ICE[LongCode], 0), MATCH("Text", ICE[#Headers], 0)), "")</f>
        <v/>
      </c>
      <c r="CO59" s="46" t="str">
        <f t="shared" ca="1" si="116"/>
        <v/>
      </c>
      <c r="CP59" s="68" t="str">
        <f t="shared" si="156"/>
        <v/>
      </c>
      <c r="CQ59" s="114" t="str">
        <f t="shared" ca="1" si="157"/>
        <v/>
      </c>
      <c r="CR59" s="68" t="str">
        <f ca="1">IFERROR(IF(AND(ISNUMBER(Futs!$CG59), ISNUMBER($CM59)), Futs!$CG59 + $CM59, ""), "")</f>
        <v/>
      </c>
      <c r="CS59" s="46" t="str">
        <f ca="1">IFERROR(IF(AND(ISNUMBER(Futs!$CH59), ISNUMBER($CO59)), Futs!$CH59 + $CO59, ""), "")</f>
        <v/>
      </c>
      <c r="CT59" s="68" t="str">
        <f t="shared" ca="1" si="158"/>
        <v/>
      </c>
      <c r="CU59" s="111" t="str">
        <f t="shared" ca="1" si="159"/>
        <v/>
      </c>
      <c r="CV59" s="400"/>
      <c r="CW59" s="372" t="str">
        <f ca="1">IFERROR(INDEX(ICE[], MATCH("go01ccndiff" &amp; TEXT(Mid!$A59, "mmmyy"), ICE[LongCode], 0), MATCH("Text", ICE[#Headers], 0)), "")</f>
        <v/>
      </c>
      <c r="CX59" s="46" t="str">
        <f t="shared" ca="1" si="117"/>
        <v/>
      </c>
      <c r="CY59" s="68" t="str">
        <f t="shared" si="160"/>
        <v/>
      </c>
      <c r="CZ59" s="114" t="str">
        <f t="shared" ca="1" si="161"/>
        <v/>
      </c>
      <c r="DA59" s="68" t="str">
        <f ca="1">IFERROR(IF(AND(ISNUMBER(Futs!$CG59), ISNUMBER($CV59)), Futs!$CG59 + $CV59, ""), "")</f>
        <v/>
      </c>
      <c r="DB59" s="46" t="str">
        <f ca="1">IFERROR(IF(AND(ISNUMBER(Futs!$CH59), ISNUMBER($CX59)), Futs!$CH59 + $CX59, ""), "")</f>
        <v/>
      </c>
      <c r="DC59" s="68" t="str">
        <f t="shared" ca="1" si="162"/>
        <v/>
      </c>
      <c r="DD59" s="111" t="str">
        <f t="shared" ca="1" si="163"/>
        <v/>
      </c>
      <c r="DE59" s="400"/>
      <c r="DF59" s="372" t="str">
        <f ca="1">IFERROR(INDEX(ICE[], MATCH("go01ccmdiff" &amp; TEXT(Mid!$A59, "mmmyy"), ICE[LongCode], 0), MATCH("Text", ICE[#Headers], 0)), "")</f>
        <v/>
      </c>
      <c r="DG59" s="46" t="str">
        <f t="shared" ca="1" si="118"/>
        <v/>
      </c>
      <c r="DH59" s="68" t="str">
        <f t="shared" si="164"/>
        <v/>
      </c>
      <c r="DI59" s="114" t="str">
        <f t="shared" ca="1" si="165"/>
        <v/>
      </c>
      <c r="DJ59" s="68" t="str">
        <f ca="1">IFERROR(IF(AND(ISNUMBER(Futs!$CG59), ISNUMBER($DE59)), Futs!$CG59 + $DE59, ""), "")</f>
        <v/>
      </c>
      <c r="DK59" s="46" t="str">
        <f ca="1">IFERROR(IF(AND(ISNUMBER(Futs!$CH59), ISNUMBER($DG59)), Futs!$CH59 + $DG59, ""), "")</f>
        <v/>
      </c>
      <c r="DL59" s="68" t="str">
        <f t="shared" ca="1" si="166"/>
        <v/>
      </c>
      <c r="DM59" s="111" t="str">
        <f t="shared" ca="1" si="167"/>
        <v/>
      </c>
      <c r="DN59" s="400"/>
      <c r="DO59" s="372" t="str">
        <f ca="1">IFERROR(INDEX(ICE[], MATCH("ulsdgc" &amp; TEXT(Mid!$A59, "mmmyy"), ICE[LongCode], 0), MATCH("Text", ICE[#Headers], 0)), "")</f>
        <v/>
      </c>
      <c r="DP59" s="46" t="str">
        <f t="shared" ca="1" si="119"/>
        <v/>
      </c>
      <c r="DQ59" s="68" t="str">
        <f t="shared" si="168"/>
        <v/>
      </c>
      <c r="DR59" s="114" t="str">
        <f t="shared" ca="1" si="169"/>
        <v/>
      </c>
      <c r="DS59" s="68" t="str">
        <f ca="1">IFERROR(IF(AND(ISNUMBER(Futs!$CK59), ISNUMBER($DN59)), Futs!$CK59 + $DN59, ""), "")</f>
        <v/>
      </c>
      <c r="DT59" s="46" t="str">
        <f ca="1">IFERROR(IF(AND(ISNUMBER(Futs!$CL59), ISNUMBER($DP59)), Futs!$CL59 + $DP59, ""), "")</f>
        <v/>
      </c>
      <c r="DU59" s="68" t="str">
        <f t="shared" ca="1" si="170"/>
        <v/>
      </c>
      <c r="DV59" s="111" t="str">
        <f t="shared" ca="1" si="171"/>
        <v/>
      </c>
    </row>
    <row r="60" spans="1:126" x14ac:dyDescent="0.25">
      <c r="A60" s="58">
        <f t="shared" ca="1" si="123"/>
        <v>47515</v>
      </c>
      <c r="B60" s="6">
        <f t="shared" ca="1" si="102"/>
        <v>2030</v>
      </c>
      <c r="C60" s="6" t="str">
        <f t="shared" ca="1" si="120"/>
        <v>Q130</v>
      </c>
      <c r="D60" s="28" t="e">
        <f ca="1">INDEX(ICE[], MATCH(D$18 &amp; TEXT(Mid!$A60, "mmmyy"), ICE[LongCode], 0), MATCH("Settle", ICE[#Headers], 0))</f>
        <v>#N/A</v>
      </c>
      <c r="E60" s="28" t="e">
        <f ca="1">INDEX(ICE[], MATCH(E$18 &amp; TEXT(Mid!$A60, "mmmyy"), ICE[LongCode], 0), MATCH("Settle", ICE[#Headers], 0))</f>
        <v>#N/A</v>
      </c>
      <c r="F60" s="28" t="e">
        <f ca="1">INDEX(ICE[], MATCH(F$18 &amp; TEXT(Mid!$A60, "mmmyy"), ICE[LongCode], 0), MATCH("Settle", ICE[#Headers], 0))</f>
        <v>#N/A</v>
      </c>
      <c r="G60" s="28" t="e">
        <f ca="1">INDEX(ICE[], MATCH(G$18 &amp; TEXT(Mid!$A60, "mmmyy"), ICE[LongCode], 0), MATCH("Settle", ICE[#Headers], 0))</f>
        <v>#N/A</v>
      </c>
      <c r="H60" s="28" t="e">
        <f ca="1">INDEX(ICE[], MATCH(H$18 &amp; TEXT(Mid!$A60, "mmmyy"), ICE[LongCode], 0), MATCH("Settle", ICE[#Headers], 0))</f>
        <v>#N/A</v>
      </c>
      <c r="I60" s="28" t="e">
        <f ca="1">INDEX(ICE[], MATCH(I$18 &amp; TEXT(Mid!$A60, "mmmyy"), ICE[LongCode], 0), MATCH("Settle", ICE[#Headers], 0))</f>
        <v>#N/A</v>
      </c>
      <c r="J60" s="28" t="e">
        <f ca="1">INDEX(ICE[], MATCH(J$18 &amp; TEXT(Mid!$A60, "mmmyy"), ICE[LongCode], 0), MATCH("Settle", ICE[#Headers], 0))</f>
        <v>#N/A</v>
      </c>
      <c r="K60" s="28" t="e">
        <f ca="1">INDEX(ICE[], MATCH(K$18 &amp; TEXT(Mid!$A60, "mmmyy"), ICE[LongCode], 0), MATCH("Settle", ICE[#Headers], 0))</f>
        <v>#N/A</v>
      </c>
      <c r="L60" s="28" t="e">
        <f ca="1">INDEX(ICE[], MATCH(L$18 &amp; TEXT(Mid!$A60, "mmmyy"), ICE[LongCode], 0), MATCH("Settle", ICE[#Headers], 0))</f>
        <v>#N/A</v>
      </c>
      <c r="M60" s="28" t="e">
        <f ca="1">INDEX(ICE[], MATCH(M$18 &amp; TEXT(Mid!$A60, "mmmyy"), ICE[LongCode], 0), MATCH("Settle", ICE[#Headers], 0))</f>
        <v>#N/A</v>
      </c>
      <c r="N60" s="28" t="e">
        <f ca="1">INDEX(ICE[], MATCH(N$18 &amp; TEXT(Mid!$A60, "mmmyy"), ICE[LongCode], 0), MATCH("Settle", ICE[#Headers], 0))*100</f>
        <v>#N/A</v>
      </c>
      <c r="O60" s="397"/>
      <c r="P60" s="372" t="str">
        <f ca="1">IFERROR(INDEX(ICE[], MATCH("jetccndiff" &amp; TEXT(Mid!$A60, "mmmyy"), ICE[LongCode], 0), MATCH("Text", ICE[#Headers], 0)), "")</f>
        <v/>
      </c>
      <c r="Q60" s="46" t="str">
        <f t="shared" ca="1" si="103"/>
        <v/>
      </c>
      <c r="R60" s="47" t="str">
        <f t="shared" si="121"/>
        <v/>
      </c>
      <c r="S60" s="114" t="str">
        <f t="shared" ca="1" si="124"/>
        <v/>
      </c>
      <c r="T60" s="49" t="str">
        <f ca="1">IFERROR(IF(AND(ISNUMBER(Futs!$CG60), ISNUMBER($O60)), Futs!$CG60 + $O60, ""), "")</f>
        <v/>
      </c>
      <c r="U60" s="46" t="str">
        <f ca="1">IFERROR(IF(AND(ISNUMBER(Futs!$CH60), ISNUMBER($Q60)), Futs!$CH60 + $Q60, ""), "")</f>
        <v/>
      </c>
      <c r="V60" s="47" t="str">
        <f t="shared" ca="1" si="125"/>
        <v/>
      </c>
      <c r="W60" s="46" t="str">
        <f t="shared" ca="1" si="126"/>
        <v/>
      </c>
      <c r="X60" s="427" t="str">
        <f ca="1">IFERROR(IF(AND(ISNUMBER(Futs!$CC60), ISNUMBER($T60)), $T60/7.88 - Futs!$CC60, ""), "")</f>
        <v/>
      </c>
      <c r="Y60" s="46" t="str">
        <f ca="1">IFERROR(IF(AND(ISNUMBER(Futs!$DV60), ISNUMBER($Q60)), Futs!$DV60 + $Q60/7.88, ""), "")</f>
        <v/>
      </c>
      <c r="Z60" s="47" t="str">
        <f t="shared" ca="1" si="127"/>
        <v/>
      </c>
      <c r="AA60" s="111" t="str">
        <f t="shared" ca="1" si="128"/>
        <v/>
      </c>
      <c r="AB60" s="400"/>
      <c r="AC60" s="372" t="str">
        <f ca="1">IFERROR(INDEX(ICE[], MATCH("goew" &amp; TEXT(Mid!$A60, "mmmyy"), ICE[LongCode], 0), MATCH("Text", ICE[#Headers], 0)), "")</f>
        <v/>
      </c>
      <c r="AD60" s="46" t="str">
        <f t="shared" ca="1" si="104"/>
        <v/>
      </c>
      <c r="AE60" s="68" t="str">
        <f t="shared" si="129"/>
        <v/>
      </c>
      <c r="AF60" s="46" t="str">
        <f t="shared" ca="1" si="130"/>
        <v/>
      </c>
      <c r="AG60" s="265" t="str">
        <f ca="1">IFERROR(IF(AND(ISNUMBER(Futs!$BM60), ISNUMBER($AH60)), $AH60*7.45 - Futs!$BM60, ""), "")</f>
        <v/>
      </c>
      <c r="AH60" s="187" t="str">
        <f ca="1">IFERROR(IF(AND(ISNUMBER(Futs!$CG60), ISNUMBER($AB60)), (Futs!$CG60 + $AB60)/7.45, ""), "")</f>
        <v/>
      </c>
      <c r="AI60" s="46" t="str">
        <f ca="1">IFERROR(IF(AND(ISNUMBER(Futs!$CH60), ISNUMBER($AD60)), (Futs!$CH60 + $AD60)/7.45, ""), "")</f>
        <v/>
      </c>
      <c r="AJ60" s="68" t="str">
        <f t="shared" ca="1" si="131"/>
        <v/>
      </c>
      <c r="AK60" s="364" t="str">
        <f ca="1">IFERROR(INDEX(ICE[], MATCH("brdtd" &amp; TEXT(Crd!$A60, "mmmyy"), ICE[LongCode], 0), MATCH("Text", ICE[#Headers], 0)), "")</f>
        <v/>
      </c>
      <c r="AL60" s="46" t="str">
        <f t="shared" ca="1" si="132"/>
        <v/>
      </c>
      <c r="AM60" s="427" t="str">
        <f ca="1">IFERROR(IF(AND(ISNUMBER(Futs!$CC60), ISNUMBER($AH60)), $AH60 - Futs!$CC60, ""), "")</f>
        <v/>
      </c>
      <c r="AN60" s="46" t="str">
        <f ca="1">IFERROR(IF(AND(ISNUMBER(Futs!$DV60), ISNUMBER($AD60)), $AD60/7.45 + Futs!$DV60, ""), "")</f>
        <v/>
      </c>
      <c r="AO60" s="47" t="str">
        <f t="shared" ca="1" si="133"/>
        <v/>
      </c>
      <c r="AP60" s="111" t="str">
        <f t="shared" ca="1" si="134"/>
        <v/>
      </c>
      <c r="AQ60" s="400"/>
      <c r="AR60" s="46" t="str">
        <f t="shared" ca="1" si="106"/>
        <v/>
      </c>
      <c r="AS60" s="68" t="str">
        <f t="shared" si="135"/>
        <v/>
      </c>
      <c r="AT60" s="46" t="str">
        <f t="shared" ca="1" si="136"/>
        <v/>
      </c>
      <c r="AU60" s="271" t="str">
        <f t="shared" ca="1" si="107"/>
        <v/>
      </c>
      <c r="AV60" s="46" t="str">
        <f t="shared" ca="1" si="108"/>
        <v/>
      </c>
      <c r="AW60" s="68" t="str">
        <f t="shared" ca="1" si="137"/>
        <v/>
      </c>
      <c r="AX60" s="111" t="str">
        <f t="shared" ca="1" si="138"/>
        <v/>
      </c>
      <c r="AY60" s="400"/>
      <c r="AZ60" s="372" t="str">
        <f ca="1">IFERROR(INDEX(ICE[], MATCH("regrade" &amp; TEXT(Mid!$A60, "mmmyy"), ICE[LongCode], 0), MATCH("Text", ICE[#Headers], 0)), "")</f>
        <v/>
      </c>
      <c r="BA60" s="46" t="str">
        <f t="shared" ca="1" si="109"/>
        <v/>
      </c>
      <c r="BB60" s="68" t="str">
        <f t="shared" si="172"/>
        <v/>
      </c>
      <c r="BC60" s="114" t="str">
        <f t="shared" ca="1" si="139"/>
        <v/>
      </c>
      <c r="BD60" s="68" t="str">
        <f t="shared" ca="1" si="110"/>
        <v/>
      </c>
      <c r="BE60" s="46" t="str">
        <f t="shared" ca="1" si="111"/>
        <v/>
      </c>
      <c r="BF60" s="68" t="str">
        <f t="shared" ca="1" si="140"/>
        <v/>
      </c>
      <c r="BG60" s="111" t="str">
        <f t="shared" ca="1" si="141"/>
        <v/>
      </c>
      <c r="BH60" s="68" t="str">
        <f t="shared" ca="1" si="122"/>
        <v/>
      </c>
      <c r="BI60" s="46" t="str">
        <f t="shared" ca="1" si="112"/>
        <v/>
      </c>
      <c r="BJ60" s="68" t="str">
        <f t="shared" ca="1" si="142"/>
        <v/>
      </c>
      <c r="BK60" s="111" t="str">
        <f t="shared" ca="1" si="143"/>
        <v/>
      </c>
      <c r="BL60" s="400"/>
      <c r="BM60" s="372" t="str">
        <f ca="1">IFERROR(INDEX(ICE[], MATCH("ulsdaradiff" &amp; TEXT(Mid!$A60, "mmmyy"), ICE[LongCode], 0), MATCH("Text", ICE[#Headers], 0)), "")</f>
        <v/>
      </c>
      <c r="BN60" s="46" t="str">
        <f t="shared" ca="1" si="113"/>
        <v/>
      </c>
      <c r="BO60" s="68" t="str">
        <f t="shared" si="144"/>
        <v/>
      </c>
      <c r="BP60" s="114" t="str">
        <f t="shared" ca="1" si="145"/>
        <v/>
      </c>
      <c r="BQ60" s="68" t="str">
        <f ca="1">IFERROR(IF(AND(ISNUMBER(Futs!$CG60), ISNUMBER($BL60)), Futs!$CG60 + $BL60, ""), "")</f>
        <v/>
      </c>
      <c r="BR60" s="46" t="str">
        <f ca="1">IFERROR(IF(AND(ISNUMBER(Futs!$CH60), ISNUMBER($BN60)), Futs!$CH60 + $BN60, ""), "")</f>
        <v/>
      </c>
      <c r="BS60" s="68" t="str">
        <f t="shared" ca="1" si="146"/>
        <v/>
      </c>
      <c r="BT60" s="111" t="str">
        <f t="shared" ca="1" si="147"/>
        <v/>
      </c>
      <c r="BU60" s="400"/>
      <c r="BV60" s="372" t="str">
        <f ca="1">IFERROR(INDEX(ICE[], MATCH("ulsdccndiff" &amp; TEXT(Mid!$A60, "mmmyy"), ICE[LongCode], 0), MATCH("Text", ICE[#Headers], 0)), "")</f>
        <v/>
      </c>
      <c r="BW60" s="46" t="str">
        <f t="shared" ca="1" si="114"/>
        <v/>
      </c>
      <c r="BX60" s="68" t="str">
        <f t="shared" si="148"/>
        <v/>
      </c>
      <c r="BY60" s="114" t="str">
        <f t="shared" ca="1" si="149"/>
        <v/>
      </c>
      <c r="BZ60" s="68" t="str">
        <f ca="1">IFERROR(IF(AND(ISNUMBER(Futs!$CG60), ISNUMBER($BU60)), Futs!$CG60 + $BU60, ""), "")</f>
        <v/>
      </c>
      <c r="CA60" s="46" t="str">
        <f ca="1">IFERROR(IF(AND(ISNUMBER(Futs!$CH60), ISNUMBER($BW60)), Futs!$CH60 + $BW60, ""), "")</f>
        <v/>
      </c>
      <c r="CB60" s="68" t="str">
        <f t="shared" ca="1" si="150"/>
        <v/>
      </c>
      <c r="CC60" s="111" t="str">
        <f t="shared" ca="1" si="151"/>
        <v/>
      </c>
      <c r="CD60" s="400"/>
      <c r="CE60" s="372" t="str">
        <f ca="1">IFERROR(INDEX(ICE[], MATCH("ulsdccmdiff" &amp; TEXT(Mid!$A60, "mmmyy"), ICE[LongCode], 0), MATCH("Text", ICE[#Headers], 0)), "")</f>
        <v/>
      </c>
      <c r="CF60" s="46" t="str">
        <f t="shared" ca="1" si="115"/>
        <v/>
      </c>
      <c r="CG60" s="68" t="str">
        <f t="shared" si="152"/>
        <v/>
      </c>
      <c r="CH60" s="114" t="str">
        <f t="shared" ca="1" si="153"/>
        <v/>
      </c>
      <c r="CI60" s="68" t="str">
        <f ca="1">IFERROR(IF(AND(ISNUMBER(Futs!$CG60), ISNUMBER($CD60)), Futs!$CG60 + $CD60, ""), "")</f>
        <v/>
      </c>
      <c r="CJ60" s="67" t="str">
        <f ca="1">IFERROR(IF(AND(ISNUMBER(Futs!$CH60), ISNUMBER($CF60)), Futs!$CH60 + $CF60, ""), "")</f>
        <v/>
      </c>
      <c r="CK60" s="68" t="str">
        <f t="shared" ca="1" si="154"/>
        <v/>
      </c>
      <c r="CL60" s="111" t="str">
        <f t="shared" ca="1" si="155"/>
        <v/>
      </c>
      <c r="CM60" s="400"/>
      <c r="CN60" s="372" t="str">
        <f ca="1">IFERROR(INDEX(ICE[], MATCH("go01bfrdiff" &amp; TEXT(Mid!$A60, "mmmyy"), ICE[LongCode], 0), MATCH("Text", ICE[#Headers], 0)), "")</f>
        <v/>
      </c>
      <c r="CO60" s="46" t="str">
        <f t="shared" ca="1" si="116"/>
        <v/>
      </c>
      <c r="CP60" s="68" t="str">
        <f t="shared" si="156"/>
        <v/>
      </c>
      <c r="CQ60" s="114" t="str">
        <f t="shared" ca="1" si="157"/>
        <v/>
      </c>
      <c r="CR60" s="68" t="str">
        <f ca="1">IFERROR(IF(AND(ISNUMBER(Futs!$CG60), ISNUMBER($CM60)), Futs!$CG60 + $CM60, ""), "")</f>
        <v/>
      </c>
      <c r="CS60" s="46" t="str">
        <f ca="1">IFERROR(IF(AND(ISNUMBER(Futs!$CH60), ISNUMBER($CO60)), Futs!$CH60 + $CO60, ""), "")</f>
        <v/>
      </c>
      <c r="CT60" s="68" t="str">
        <f t="shared" ca="1" si="158"/>
        <v/>
      </c>
      <c r="CU60" s="111" t="str">
        <f t="shared" ca="1" si="159"/>
        <v/>
      </c>
      <c r="CV60" s="400"/>
      <c r="CW60" s="372" t="str">
        <f ca="1">IFERROR(INDEX(ICE[], MATCH("go01ccndiff" &amp; TEXT(Mid!$A60, "mmmyy"), ICE[LongCode], 0), MATCH("Text", ICE[#Headers], 0)), "")</f>
        <v/>
      </c>
      <c r="CX60" s="46" t="str">
        <f t="shared" ca="1" si="117"/>
        <v/>
      </c>
      <c r="CY60" s="68" t="str">
        <f t="shared" si="160"/>
        <v/>
      </c>
      <c r="CZ60" s="114" t="str">
        <f t="shared" ca="1" si="161"/>
        <v/>
      </c>
      <c r="DA60" s="68" t="str">
        <f ca="1">IFERROR(IF(AND(ISNUMBER(Futs!$CG60), ISNUMBER($CV60)), Futs!$CG60 + $CV60, ""), "")</f>
        <v/>
      </c>
      <c r="DB60" s="46" t="str">
        <f ca="1">IFERROR(IF(AND(ISNUMBER(Futs!$CH60), ISNUMBER($CX60)), Futs!$CH60 + $CX60, ""), "")</f>
        <v/>
      </c>
      <c r="DC60" s="68" t="str">
        <f t="shared" ca="1" si="162"/>
        <v/>
      </c>
      <c r="DD60" s="111" t="str">
        <f t="shared" ca="1" si="163"/>
        <v/>
      </c>
      <c r="DE60" s="400"/>
      <c r="DF60" s="372" t="str">
        <f ca="1">IFERROR(INDEX(ICE[], MATCH("go01ccmdiff" &amp; TEXT(Mid!$A60, "mmmyy"), ICE[LongCode], 0), MATCH("Text", ICE[#Headers], 0)), "")</f>
        <v/>
      </c>
      <c r="DG60" s="46" t="str">
        <f t="shared" ca="1" si="118"/>
        <v/>
      </c>
      <c r="DH60" s="68" t="str">
        <f t="shared" si="164"/>
        <v/>
      </c>
      <c r="DI60" s="114" t="str">
        <f t="shared" ca="1" si="165"/>
        <v/>
      </c>
      <c r="DJ60" s="68" t="str">
        <f ca="1">IFERROR(IF(AND(ISNUMBER(Futs!$CG60), ISNUMBER($DE60)), Futs!$CG60 + $DE60, ""), "")</f>
        <v/>
      </c>
      <c r="DK60" s="46" t="str">
        <f ca="1">IFERROR(IF(AND(ISNUMBER(Futs!$CH60), ISNUMBER($DG60)), Futs!$CH60 + $DG60, ""), "")</f>
        <v/>
      </c>
      <c r="DL60" s="68" t="str">
        <f t="shared" ca="1" si="166"/>
        <v/>
      </c>
      <c r="DM60" s="111" t="str">
        <f t="shared" ca="1" si="167"/>
        <v/>
      </c>
      <c r="DN60" s="400"/>
      <c r="DO60" s="372" t="str">
        <f ca="1">IFERROR(INDEX(ICE[], MATCH("ulsdgc" &amp; TEXT(Mid!$A60, "mmmyy"), ICE[LongCode], 0), MATCH("Text", ICE[#Headers], 0)), "")</f>
        <v/>
      </c>
      <c r="DP60" s="46" t="str">
        <f t="shared" ca="1" si="119"/>
        <v/>
      </c>
      <c r="DQ60" s="68" t="str">
        <f t="shared" si="168"/>
        <v/>
      </c>
      <c r="DR60" s="114" t="str">
        <f t="shared" ca="1" si="169"/>
        <v/>
      </c>
      <c r="DS60" s="68" t="str">
        <f ca="1">IFERROR(IF(AND(ISNUMBER(Futs!$CK60), ISNUMBER($DN60)), Futs!$CK60 + $DN60, ""), "")</f>
        <v/>
      </c>
      <c r="DT60" s="46" t="str">
        <f ca="1">IFERROR(IF(AND(ISNUMBER(Futs!$CL60), ISNUMBER($DP60)), Futs!$CL60 + $DP60, ""), "")</f>
        <v/>
      </c>
      <c r="DU60" s="68" t="str">
        <f t="shared" ca="1" si="170"/>
        <v/>
      </c>
      <c r="DV60" s="111" t="str">
        <f t="shared" ca="1" si="171"/>
        <v/>
      </c>
    </row>
    <row r="61" spans="1:126" x14ac:dyDescent="0.25">
      <c r="A61" s="58">
        <f t="shared" ca="1" si="123"/>
        <v>47543</v>
      </c>
      <c r="B61" s="6">
        <f t="shared" ca="1" si="102"/>
        <v>2030</v>
      </c>
      <c r="C61" s="6" t="str">
        <f t="shared" ca="1" si="120"/>
        <v>Q130</v>
      </c>
      <c r="D61" s="28" t="e">
        <f ca="1">INDEX(ICE[], MATCH(D$18 &amp; TEXT(Mid!$A61, "mmmyy"), ICE[LongCode], 0), MATCH("Settle", ICE[#Headers], 0))</f>
        <v>#N/A</v>
      </c>
      <c r="E61" s="28" t="e">
        <f ca="1">INDEX(ICE[], MATCH(E$18 &amp; TEXT(Mid!$A61, "mmmyy"), ICE[LongCode], 0), MATCH("Settle", ICE[#Headers], 0))</f>
        <v>#N/A</v>
      </c>
      <c r="F61" s="28" t="e">
        <f ca="1">INDEX(ICE[], MATCH(F$18 &amp; TEXT(Mid!$A61, "mmmyy"), ICE[LongCode], 0), MATCH("Settle", ICE[#Headers], 0))</f>
        <v>#N/A</v>
      </c>
      <c r="G61" s="28" t="e">
        <f ca="1">INDEX(ICE[], MATCH(G$18 &amp; TEXT(Mid!$A61, "mmmyy"), ICE[LongCode], 0), MATCH("Settle", ICE[#Headers], 0))</f>
        <v>#N/A</v>
      </c>
      <c r="H61" s="28" t="e">
        <f ca="1">INDEX(ICE[], MATCH(H$18 &amp; TEXT(Mid!$A61, "mmmyy"), ICE[LongCode], 0), MATCH("Settle", ICE[#Headers], 0))</f>
        <v>#N/A</v>
      </c>
      <c r="I61" s="28" t="e">
        <f ca="1">INDEX(ICE[], MATCH(I$18 &amp; TEXT(Mid!$A61, "mmmyy"), ICE[LongCode], 0), MATCH("Settle", ICE[#Headers], 0))</f>
        <v>#N/A</v>
      </c>
      <c r="J61" s="28" t="e">
        <f ca="1">INDEX(ICE[], MATCH(J$18 &amp; TEXT(Mid!$A61, "mmmyy"), ICE[LongCode], 0), MATCH("Settle", ICE[#Headers], 0))</f>
        <v>#N/A</v>
      </c>
      <c r="K61" s="28" t="e">
        <f ca="1">INDEX(ICE[], MATCH(K$18 &amp; TEXT(Mid!$A61, "mmmyy"), ICE[LongCode], 0), MATCH("Settle", ICE[#Headers], 0))</f>
        <v>#N/A</v>
      </c>
      <c r="L61" s="28" t="e">
        <f ca="1">INDEX(ICE[], MATCH(L$18 &amp; TEXT(Mid!$A61, "mmmyy"), ICE[LongCode], 0), MATCH("Settle", ICE[#Headers], 0))</f>
        <v>#N/A</v>
      </c>
      <c r="M61" s="28" t="e">
        <f ca="1">INDEX(ICE[], MATCH(M$18 &amp; TEXT(Mid!$A61, "mmmyy"), ICE[LongCode], 0), MATCH("Settle", ICE[#Headers], 0))</f>
        <v>#N/A</v>
      </c>
      <c r="N61" s="28" t="e">
        <f ca="1">INDEX(ICE[], MATCH(N$18 &amp; TEXT(Mid!$A61, "mmmyy"), ICE[LongCode], 0), MATCH("Settle", ICE[#Headers], 0))*100</f>
        <v>#N/A</v>
      </c>
      <c r="O61" s="397"/>
      <c r="P61" s="372" t="str">
        <f ca="1">IFERROR(INDEX(ICE[], MATCH("jetccndiff" &amp; TEXT(Mid!$A61, "mmmyy"), ICE[LongCode], 0), MATCH("Text", ICE[#Headers], 0)), "")</f>
        <v/>
      </c>
      <c r="Q61" s="46" t="str">
        <f t="shared" ca="1" si="103"/>
        <v/>
      </c>
      <c r="R61" s="47" t="str">
        <f t="shared" si="121"/>
        <v/>
      </c>
      <c r="S61" s="114" t="str">
        <f t="shared" ca="1" si="124"/>
        <v/>
      </c>
      <c r="T61" s="49" t="str">
        <f ca="1">IFERROR(IF(AND(ISNUMBER(Futs!$CG61), ISNUMBER($O61)), Futs!$CG61 + $O61, ""), "")</f>
        <v/>
      </c>
      <c r="U61" s="46" t="str">
        <f ca="1">IFERROR(IF(AND(ISNUMBER(Futs!$CH61), ISNUMBER($Q61)), Futs!$CH61 + $Q61, ""), "")</f>
        <v/>
      </c>
      <c r="V61" s="47" t="str">
        <f t="shared" ca="1" si="125"/>
        <v/>
      </c>
      <c r="W61" s="46" t="str">
        <f t="shared" ca="1" si="126"/>
        <v/>
      </c>
      <c r="X61" s="427" t="str">
        <f ca="1">IFERROR(IF(AND(ISNUMBER(Futs!$CC61), ISNUMBER($T61)), $T61/7.88 - Futs!$CC61, ""), "")</f>
        <v/>
      </c>
      <c r="Y61" s="46" t="str">
        <f ca="1">IFERROR(IF(AND(ISNUMBER(Futs!$DV61), ISNUMBER($Q61)), Futs!$DV61 + $Q61/7.88, ""), "")</f>
        <v/>
      </c>
      <c r="Z61" s="47" t="str">
        <f t="shared" ca="1" si="127"/>
        <v/>
      </c>
      <c r="AA61" s="111" t="str">
        <f t="shared" ca="1" si="128"/>
        <v/>
      </c>
      <c r="AB61" s="400"/>
      <c r="AC61" s="372" t="str">
        <f ca="1">IFERROR(INDEX(ICE[], MATCH("goew" &amp; TEXT(Mid!$A61, "mmmyy"), ICE[LongCode], 0), MATCH("Text", ICE[#Headers], 0)), "")</f>
        <v/>
      </c>
      <c r="AD61" s="46" t="str">
        <f t="shared" ca="1" si="104"/>
        <v/>
      </c>
      <c r="AE61" s="68" t="str">
        <f t="shared" si="129"/>
        <v/>
      </c>
      <c r="AF61" s="46" t="str">
        <f t="shared" ca="1" si="130"/>
        <v/>
      </c>
      <c r="AG61" s="265" t="str">
        <f ca="1">IFERROR(IF(AND(ISNUMBER(Futs!$BM61), ISNUMBER($AH61)), $AH61*7.45 - Futs!$BM61, ""), "")</f>
        <v/>
      </c>
      <c r="AH61" s="187" t="str">
        <f ca="1">IFERROR(IF(AND(ISNUMBER(Futs!$CG61), ISNUMBER($AB61)), (Futs!$CG61 + $AB61)/7.45, ""), "")</f>
        <v/>
      </c>
      <c r="AI61" s="46" t="str">
        <f ca="1">IFERROR(IF(AND(ISNUMBER(Futs!$CH61), ISNUMBER($AD61)), (Futs!$CH61 + $AD61)/7.45, ""), "")</f>
        <v/>
      </c>
      <c r="AJ61" s="68" t="str">
        <f t="shared" ca="1" si="131"/>
        <v/>
      </c>
      <c r="AK61" s="364" t="str">
        <f ca="1">IFERROR(INDEX(ICE[], MATCH("brdtd" &amp; TEXT(Crd!$A61, "mmmyy"), ICE[LongCode], 0), MATCH("Text", ICE[#Headers], 0)), "")</f>
        <v/>
      </c>
      <c r="AL61" s="46" t="str">
        <f t="shared" ca="1" si="132"/>
        <v/>
      </c>
      <c r="AM61" s="427" t="str">
        <f ca="1">IFERROR(IF(AND(ISNUMBER(Futs!$CC61), ISNUMBER($AH61)), $AH61 - Futs!$CC61, ""), "")</f>
        <v/>
      </c>
      <c r="AN61" s="46" t="str">
        <f ca="1">IFERROR(IF(AND(ISNUMBER(Futs!$DV61), ISNUMBER($AD61)), $AD61/7.45 + Futs!$DV61, ""), "")</f>
        <v/>
      </c>
      <c r="AO61" s="47" t="str">
        <f t="shared" ca="1" si="133"/>
        <v/>
      </c>
      <c r="AP61" s="111" t="str">
        <f t="shared" ca="1" si="134"/>
        <v/>
      </c>
      <c r="AQ61" s="400"/>
      <c r="AR61" s="46" t="str">
        <f t="shared" ca="1" si="106"/>
        <v/>
      </c>
      <c r="AS61" s="68" t="str">
        <f t="shared" si="135"/>
        <v/>
      </c>
      <c r="AT61" s="46" t="str">
        <f t="shared" ca="1" si="136"/>
        <v/>
      </c>
      <c r="AU61" s="271" t="str">
        <f t="shared" ca="1" si="107"/>
        <v/>
      </c>
      <c r="AV61" s="46" t="str">
        <f t="shared" ca="1" si="108"/>
        <v/>
      </c>
      <c r="AW61" s="68" t="str">
        <f t="shared" ca="1" si="137"/>
        <v/>
      </c>
      <c r="AX61" s="111" t="str">
        <f t="shared" ca="1" si="138"/>
        <v/>
      </c>
      <c r="AY61" s="400"/>
      <c r="AZ61" s="372" t="str">
        <f ca="1">IFERROR(INDEX(ICE[], MATCH("regrade" &amp; TEXT(Mid!$A61, "mmmyy"), ICE[LongCode], 0), MATCH("Text", ICE[#Headers], 0)), "")</f>
        <v/>
      </c>
      <c r="BA61" s="46" t="str">
        <f t="shared" ca="1" si="109"/>
        <v/>
      </c>
      <c r="BB61" s="68" t="str">
        <f t="shared" si="172"/>
        <v/>
      </c>
      <c r="BC61" s="114" t="str">
        <f t="shared" ca="1" si="139"/>
        <v/>
      </c>
      <c r="BD61" s="68" t="str">
        <f t="shared" ca="1" si="110"/>
        <v/>
      </c>
      <c r="BE61" s="46" t="str">
        <f t="shared" ca="1" si="111"/>
        <v/>
      </c>
      <c r="BF61" s="68" t="str">
        <f t="shared" ca="1" si="140"/>
        <v/>
      </c>
      <c r="BG61" s="111" t="str">
        <f t="shared" ca="1" si="141"/>
        <v/>
      </c>
      <c r="BH61" s="68" t="str">
        <f t="shared" ca="1" si="122"/>
        <v/>
      </c>
      <c r="BI61" s="46" t="str">
        <f t="shared" ca="1" si="112"/>
        <v/>
      </c>
      <c r="BJ61" s="68" t="str">
        <f t="shared" ca="1" si="142"/>
        <v/>
      </c>
      <c r="BK61" s="111" t="str">
        <f t="shared" ca="1" si="143"/>
        <v/>
      </c>
      <c r="BL61" s="400"/>
      <c r="BM61" s="372" t="str">
        <f ca="1">IFERROR(INDEX(ICE[], MATCH("ulsdaradiff" &amp; TEXT(Mid!$A61, "mmmyy"), ICE[LongCode], 0), MATCH("Text", ICE[#Headers], 0)), "")</f>
        <v/>
      </c>
      <c r="BN61" s="46" t="str">
        <f t="shared" ca="1" si="113"/>
        <v/>
      </c>
      <c r="BO61" s="68" t="str">
        <f t="shared" si="144"/>
        <v/>
      </c>
      <c r="BP61" s="114" t="str">
        <f t="shared" ca="1" si="145"/>
        <v/>
      </c>
      <c r="BQ61" s="68" t="str">
        <f ca="1">IFERROR(IF(AND(ISNUMBER(Futs!$CG61), ISNUMBER($BL61)), Futs!$CG61 + $BL61, ""), "")</f>
        <v/>
      </c>
      <c r="BR61" s="46" t="str">
        <f ca="1">IFERROR(IF(AND(ISNUMBER(Futs!$CH61), ISNUMBER($BN61)), Futs!$CH61 + $BN61, ""), "")</f>
        <v/>
      </c>
      <c r="BS61" s="68" t="str">
        <f t="shared" ca="1" si="146"/>
        <v/>
      </c>
      <c r="BT61" s="111" t="str">
        <f t="shared" ca="1" si="147"/>
        <v/>
      </c>
      <c r="BU61" s="400"/>
      <c r="BV61" s="372" t="str">
        <f ca="1">IFERROR(INDEX(ICE[], MATCH("ulsdccndiff" &amp; TEXT(Mid!$A61, "mmmyy"), ICE[LongCode], 0), MATCH("Text", ICE[#Headers], 0)), "")</f>
        <v/>
      </c>
      <c r="BW61" s="46" t="str">
        <f t="shared" ca="1" si="114"/>
        <v/>
      </c>
      <c r="BX61" s="68" t="str">
        <f t="shared" si="148"/>
        <v/>
      </c>
      <c r="BY61" s="114" t="str">
        <f t="shared" ca="1" si="149"/>
        <v/>
      </c>
      <c r="BZ61" s="68" t="str">
        <f ca="1">IFERROR(IF(AND(ISNUMBER(Futs!$CG61), ISNUMBER($BU61)), Futs!$CG61 + $BU61, ""), "")</f>
        <v/>
      </c>
      <c r="CA61" s="46" t="str">
        <f ca="1">IFERROR(IF(AND(ISNUMBER(Futs!$CH61), ISNUMBER($BW61)), Futs!$CH61 + $BW61, ""), "")</f>
        <v/>
      </c>
      <c r="CB61" s="68" t="str">
        <f t="shared" ca="1" si="150"/>
        <v/>
      </c>
      <c r="CC61" s="111" t="str">
        <f t="shared" ca="1" si="151"/>
        <v/>
      </c>
      <c r="CD61" s="400"/>
      <c r="CE61" s="372" t="str">
        <f ca="1">IFERROR(INDEX(ICE[], MATCH("ulsdccmdiff" &amp; TEXT(Mid!$A61, "mmmyy"), ICE[LongCode], 0), MATCH("Text", ICE[#Headers], 0)), "")</f>
        <v/>
      </c>
      <c r="CF61" s="46" t="str">
        <f t="shared" ca="1" si="115"/>
        <v/>
      </c>
      <c r="CG61" s="68" t="str">
        <f t="shared" si="152"/>
        <v/>
      </c>
      <c r="CH61" s="114" t="str">
        <f t="shared" ca="1" si="153"/>
        <v/>
      </c>
      <c r="CI61" s="68" t="str">
        <f ca="1">IFERROR(IF(AND(ISNUMBER(Futs!$CG61), ISNUMBER($CD61)), Futs!$CG61 + $CD61, ""), "")</f>
        <v/>
      </c>
      <c r="CJ61" s="67" t="str">
        <f ca="1">IFERROR(IF(AND(ISNUMBER(Futs!$CH61), ISNUMBER($CF61)), Futs!$CH61 + $CF61, ""), "")</f>
        <v/>
      </c>
      <c r="CK61" s="68" t="str">
        <f t="shared" ca="1" si="154"/>
        <v/>
      </c>
      <c r="CL61" s="111" t="str">
        <f t="shared" ca="1" si="155"/>
        <v/>
      </c>
      <c r="CM61" s="400"/>
      <c r="CN61" s="372" t="str">
        <f ca="1">IFERROR(INDEX(ICE[], MATCH("go01bfrdiff" &amp; TEXT(Mid!$A61, "mmmyy"), ICE[LongCode], 0), MATCH("Text", ICE[#Headers], 0)), "")</f>
        <v/>
      </c>
      <c r="CO61" s="46" t="str">
        <f t="shared" ca="1" si="116"/>
        <v/>
      </c>
      <c r="CP61" s="68" t="str">
        <f t="shared" si="156"/>
        <v/>
      </c>
      <c r="CQ61" s="114" t="str">
        <f t="shared" ca="1" si="157"/>
        <v/>
      </c>
      <c r="CR61" s="68" t="str">
        <f ca="1">IFERROR(IF(AND(ISNUMBER(Futs!$CG61), ISNUMBER($CM61)), Futs!$CG61 + $CM61, ""), "")</f>
        <v/>
      </c>
      <c r="CS61" s="46" t="str">
        <f ca="1">IFERROR(IF(AND(ISNUMBER(Futs!$CH61), ISNUMBER($CO61)), Futs!$CH61 + $CO61, ""), "")</f>
        <v/>
      </c>
      <c r="CT61" s="68" t="str">
        <f t="shared" ca="1" si="158"/>
        <v/>
      </c>
      <c r="CU61" s="111" t="str">
        <f t="shared" ca="1" si="159"/>
        <v/>
      </c>
      <c r="CV61" s="400"/>
      <c r="CW61" s="372" t="str">
        <f ca="1">IFERROR(INDEX(ICE[], MATCH("go01ccndiff" &amp; TEXT(Mid!$A61, "mmmyy"), ICE[LongCode], 0), MATCH("Text", ICE[#Headers], 0)), "")</f>
        <v/>
      </c>
      <c r="CX61" s="46" t="str">
        <f t="shared" ca="1" si="117"/>
        <v/>
      </c>
      <c r="CY61" s="68" t="str">
        <f t="shared" si="160"/>
        <v/>
      </c>
      <c r="CZ61" s="114" t="str">
        <f t="shared" ca="1" si="161"/>
        <v/>
      </c>
      <c r="DA61" s="68" t="str">
        <f ca="1">IFERROR(IF(AND(ISNUMBER(Futs!$CG61), ISNUMBER($CV61)), Futs!$CG61 + $CV61, ""), "")</f>
        <v/>
      </c>
      <c r="DB61" s="46" t="str">
        <f ca="1">IFERROR(IF(AND(ISNUMBER(Futs!$CH61), ISNUMBER($CX61)), Futs!$CH61 + $CX61, ""), "")</f>
        <v/>
      </c>
      <c r="DC61" s="68" t="str">
        <f t="shared" ca="1" si="162"/>
        <v/>
      </c>
      <c r="DD61" s="111" t="str">
        <f t="shared" ca="1" si="163"/>
        <v/>
      </c>
      <c r="DE61" s="400"/>
      <c r="DF61" s="372" t="str">
        <f ca="1">IFERROR(INDEX(ICE[], MATCH("go01ccmdiff" &amp; TEXT(Mid!$A61, "mmmyy"), ICE[LongCode], 0), MATCH("Text", ICE[#Headers], 0)), "")</f>
        <v/>
      </c>
      <c r="DG61" s="46" t="str">
        <f t="shared" ca="1" si="118"/>
        <v/>
      </c>
      <c r="DH61" s="68" t="str">
        <f t="shared" si="164"/>
        <v/>
      </c>
      <c r="DI61" s="114" t="str">
        <f t="shared" ca="1" si="165"/>
        <v/>
      </c>
      <c r="DJ61" s="68" t="str">
        <f ca="1">IFERROR(IF(AND(ISNUMBER(Futs!$CG61), ISNUMBER($DE61)), Futs!$CG61 + $DE61, ""), "")</f>
        <v/>
      </c>
      <c r="DK61" s="46" t="str">
        <f ca="1">IFERROR(IF(AND(ISNUMBER(Futs!$CH61), ISNUMBER($DG61)), Futs!$CH61 + $DG61, ""), "")</f>
        <v/>
      </c>
      <c r="DL61" s="68" t="str">
        <f t="shared" ca="1" si="166"/>
        <v/>
      </c>
      <c r="DM61" s="111" t="str">
        <f t="shared" ca="1" si="167"/>
        <v/>
      </c>
      <c r="DN61" s="400"/>
      <c r="DO61" s="372" t="str">
        <f ca="1">IFERROR(INDEX(ICE[], MATCH("ulsdgc" &amp; TEXT(Mid!$A61, "mmmyy"), ICE[LongCode], 0), MATCH("Text", ICE[#Headers], 0)), "")</f>
        <v/>
      </c>
      <c r="DP61" s="46" t="str">
        <f t="shared" ca="1" si="119"/>
        <v/>
      </c>
      <c r="DQ61" s="68" t="str">
        <f t="shared" si="168"/>
        <v/>
      </c>
      <c r="DR61" s="114" t="str">
        <f t="shared" ca="1" si="169"/>
        <v/>
      </c>
      <c r="DS61" s="68" t="str">
        <f ca="1">IFERROR(IF(AND(ISNUMBER(Futs!$CK61), ISNUMBER($DN61)), Futs!$CK61 + $DN61, ""), "")</f>
        <v/>
      </c>
      <c r="DT61" s="46" t="str">
        <f ca="1">IFERROR(IF(AND(ISNUMBER(Futs!$CL61), ISNUMBER($DP61)), Futs!$CL61 + $DP61, ""), "")</f>
        <v/>
      </c>
      <c r="DU61" s="68" t="str">
        <f t="shared" ca="1" si="170"/>
        <v/>
      </c>
      <c r="DV61" s="111" t="str">
        <f t="shared" ca="1" si="171"/>
        <v/>
      </c>
    </row>
    <row r="62" spans="1:126" x14ac:dyDescent="0.25">
      <c r="A62" s="58">
        <f t="shared" ca="1" si="123"/>
        <v>47574</v>
      </c>
      <c r="B62" s="6">
        <f t="shared" ca="1" si="102"/>
        <v>2030</v>
      </c>
      <c r="C62" s="6" t="str">
        <f t="shared" ca="1" si="120"/>
        <v>Q230</v>
      </c>
      <c r="D62" s="28" t="e">
        <f ca="1">INDEX(ICE[], MATCH(D$18 &amp; TEXT(Mid!$A62, "mmmyy"), ICE[LongCode], 0), MATCH("Settle", ICE[#Headers], 0))</f>
        <v>#N/A</v>
      </c>
      <c r="E62" s="28" t="e">
        <f ca="1">INDEX(ICE[], MATCH(E$18 &amp; TEXT(Mid!$A62, "mmmyy"), ICE[LongCode], 0), MATCH("Settle", ICE[#Headers], 0))</f>
        <v>#N/A</v>
      </c>
      <c r="F62" s="28" t="e">
        <f ca="1">INDEX(ICE[], MATCH(F$18 &amp; TEXT(Mid!$A62, "mmmyy"), ICE[LongCode], 0), MATCH("Settle", ICE[#Headers], 0))</f>
        <v>#N/A</v>
      </c>
      <c r="G62" s="28" t="e">
        <f ca="1">INDEX(ICE[], MATCH(G$18 &amp; TEXT(Mid!$A62, "mmmyy"), ICE[LongCode], 0), MATCH("Settle", ICE[#Headers], 0))</f>
        <v>#N/A</v>
      </c>
      <c r="H62" s="28" t="e">
        <f ca="1">INDEX(ICE[], MATCH(H$18 &amp; TEXT(Mid!$A62, "mmmyy"), ICE[LongCode], 0), MATCH("Settle", ICE[#Headers], 0))</f>
        <v>#N/A</v>
      </c>
      <c r="I62" s="28" t="e">
        <f ca="1">INDEX(ICE[], MATCH(I$18 &amp; TEXT(Mid!$A62, "mmmyy"), ICE[LongCode], 0), MATCH("Settle", ICE[#Headers], 0))</f>
        <v>#N/A</v>
      </c>
      <c r="J62" s="28" t="e">
        <f ca="1">INDEX(ICE[], MATCH(J$18 &amp; TEXT(Mid!$A62, "mmmyy"), ICE[LongCode], 0), MATCH("Settle", ICE[#Headers], 0))</f>
        <v>#N/A</v>
      </c>
      <c r="K62" s="28" t="e">
        <f ca="1">INDEX(ICE[], MATCH(K$18 &amp; TEXT(Mid!$A62, "mmmyy"), ICE[LongCode], 0), MATCH("Settle", ICE[#Headers], 0))</f>
        <v>#N/A</v>
      </c>
      <c r="L62" s="28" t="e">
        <f ca="1">INDEX(ICE[], MATCH(L$18 &amp; TEXT(Mid!$A62, "mmmyy"), ICE[LongCode], 0), MATCH("Settle", ICE[#Headers], 0))</f>
        <v>#N/A</v>
      </c>
      <c r="M62" s="28" t="e">
        <f ca="1">INDEX(ICE[], MATCH(M$18 &amp; TEXT(Mid!$A62, "mmmyy"), ICE[LongCode], 0), MATCH("Settle", ICE[#Headers], 0))</f>
        <v>#N/A</v>
      </c>
      <c r="N62" s="28" t="e">
        <f ca="1">INDEX(ICE[], MATCH(N$18 &amp; TEXT(Mid!$A62, "mmmyy"), ICE[LongCode], 0), MATCH("Settle", ICE[#Headers], 0))*100</f>
        <v>#N/A</v>
      </c>
      <c r="O62" s="397"/>
      <c r="P62" s="372" t="str">
        <f ca="1">IFERROR(INDEX(ICE[], MATCH("jetccndiff" &amp; TEXT(Mid!$A62, "mmmyy"), ICE[LongCode], 0), MATCH("Text", ICE[#Headers], 0)), "")</f>
        <v/>
      </c>
      <c r="Q62" s="46" t="str">
        <f t="shared" ca="1" si="103"/>
        <v/>
      </c>
      <c r="R62" s="47" t="str">
        <f t="shared" si="121"/>
        <v/>
      </c>
      <c r="S62" s="114" t="str">
        <f t="shared" ca="1" si="124"/>
        <v/>
      </c>
      <c r="T62" s="49" t="str">
        <f ca="1">IFERROR(IF(AND(ISNUMBER(Futs!$CG62), ISNUMBER($O62)), Futs!$CG62 + $O62, ""), "")</f>
        <v/>
      </c>
      <c r="U62" s="46" t="str">
        <f ca="1">IFERROR(IF(AND(ISNUMBER(Futs!$CH62), ISNUMBER($Q62)), Futs!$CH62 + $Q62, ""), "")</f>
        <v/>
      </c>
      <c r="V62" s="47" t="str">
        <f t="shared" ca="1" si="125"/>
        <v/>
      </c>
      <c r="W62" s="46" t="str">
        <f t="shared" ca="1" si="126"/>
        <v/>
      </c>
      <c r="X62" s="427" t="str">
        <f ca="1">IFERROR(IF(AND(ISNUMBER(Futs!$CC62), ISNUMBER($T62)), $T62/7.88 - Futs!$CC62, ""), "")</f>
        <v/>
      </c>
      <c r="Y62" s="46" t="str">
        <f ca="1">IFERROR(IF(AND(ISNUMBER(Futs!$DV62), ISNUMBER($Q62)), Futs!$DV62 + $Q62/7.88, ""), "")</f>
        <v/>
      </c>
      <c r="Z62" s="47" t="str">
        <f t="shared" ca="1" si="127"/>
        <v/>
      </c>
      <c r="AA62" s="111" t="str">
        <f t="shared" ca="1" si="128"/>
        <v/>
      </c>
      <c r="AB62" s="400"/>
      <c r="AC62" s="372" t="str">
        <f ca="1">IFERROR(INDEX(ICE[], MATCH("goew" &amp; TEXT(Mid!$A62, "mmmyy"), ICE[LongCode], 0), MATCH("Text", ICE[#Headers], 0)), "")</f>
        <v/>
      </c>
      <c r="AD62" s="46" t="str">
        <f t="shared" ca="1" si="104"/>
        <v/>
      </c>
      <c r="AE62" s="68" t="str">
        <f t="shared" si="129"/>
        <v/>
      </c>
      <c r="AF62" s="46" t="str">
        <f t="shared" ca="1" si="130"/>
        <v/>
      </c>
      <c r="AG62" s="265" t="str">
        <f ca="1">IFERROR(IF(AND(ISNUMBER(Futs!$BM62), ISNUMBER($AH62)), $AH62*7.45 - Futs!$BM62, ""), "")</f>
        <v/>
      </c>
      <c r="AH62" s="187" t="str">
        <f ca="1">IFERROR(IF(AND(ISNUMBER(Futs!$CG62), ISNUMBER($AB62)), (Futs!$CG62 + $AB62)/7.45, ""), "")</f>
        <v/>
      </c>
      <c r="AI62" s="46" t="str">
        <f ca="1">IFERROR(IF(AND(ISNUMBER(Futs!$CH62), ISNUMBER($AD62)), (Futs!$CH62 + $AD62)/7.45, ""), "")</f>
        <v/>
      </c>
      <c r="AJ62" s="68" t="str">
        <f t="shared" ca="1" si="131"/>
        <v/>
      </c>
      <c r="AK62" s="364" t="str">
        <f ca="1">IFERROR(INDEX(ICE[], MATCH("brdtd" &amp; TEXT(Crd!$A62, "mmmyy"), ICE[LongCode], 0), MATCH("Text", ICE[#Headers], 0)), "")</f>
        <v/>
      </c>
      <c r="AL62" s="46" t="str">
        <f t="shared" ca="1" si="132"/>
        <v/>
      </c>
      <c r="AM62" s="427" t="str">
        <f ca="1">IFERROR(IF(AND(ISNUMBER(Futs!$CC62), ISNUMBER($AH62)), $AH62 - Futs!$CC62, ""), "")</f>
        <v/>
      </c>
      <c r="AN62" s="46" t="str">
        <f ca="1">IFERROR(IF(AND(ISNUMBER(Futs!$DV62), ISNUMBER($AD62)), $AD62/7.45 + Futs!$DV62, ""), "")</f>
        <v/>
      </c>
      <c r="AO62" s="47" t="str">
        <f t="shared" ca="1" si="133"/>
        <v/>
      </c>
      <c r="AP62" s="111" t="str">
        <f t="shared" ca="1" si="134"/>
        <v/>
      </c>
      <c r="AQ62" s="400"/>
      <c r="AR62" s="46" t="str">
        <f t="shared" ca="1" si="106"/>
        <v/>
      </c>
      <c r="AS62" s="68" t="str">
        <f t="shared" si="135"/>
        <v/>
      </c>
      <c r="AT62" s="46" t="str">
        <f t="shared" ca="1" si="136"/>
        <v/>
      </c>
      <c r="AU62" s="271" t="str">
        <f t="shared" ca="1" si="107"/>
        <v/>
      </c>
      <c r="AV62" s="46" t="str">
        <f t="shared" ca="1" si="108"/>
        <v/>
      </c>
      <c r="AW62" s="68" t="str">
        <f t="shared" ca="1" si="137"/>
        <v/>
      </c>
      <c r="AX62" s="111" t="str">
        <f t="shared" ca="1" si="138"/>
        <v/>
      </c>
      <c r="AY62" s="400"/>
      <c r="AZ62" s="372" t="str">
        <f ca="1">IFERROR(INDEX(ICE[], MATCH("regrade" &amp; TEXT(Mid!$A62, "mmmyy"), ICE[LongCode], 0), MATCH("Text", ICE[#Headers], 0)), "")</f>
        <v/>
      </c>
      <c r="BA62" s="46" t="str">
        <f t="shared" ca="1" si="109"/>
        <v/>
      </c>
      <c r="BB62" s="68" t="str">
        <f t="shared" si="172"/>
        <v/>
      </c>
      <c r="BC62" s="114" t="str">
        <f t="shared" ca="1" si="139"/>
        <v/>
      </c>
      <c r="BD62" s="68" t="str">
        <f t="shared" ca="1" si="110"/>
        <v/>
      </c>
      <c r="BE62" s="46" t="str">
        <f t="shared" ca="1" si="111"/>
        <v/>
      </c>
      <c r="BF62" s="68" t="str">
        <f t="shared" ca="1" si="140"/>
        <v/>
      </c>
      <c r="BG62" s="111" t="str">
        <f t="shared" ca="1" si="141"/>
        <v/>
      </c>
      <c r="BH62" s="68" t="str">
        <f t="shared" ca="1" si="122"/>
        <v/>
      </c>
      <c r="BI62" s="46" t="str">
        <f t="shared" ca="1" si="112"/>
        <v/>
      </c>
      <c r="BJ62" s="68" t="str">
        <f t="shared" ca="1" si="142"/>
        <v/>
      </c>
      <c r="BK62" s="111" t="str">
        <f t="shared" ca="1" si="143"/>
        <v/>
      </c>
      <c r="BL62" s="400"/>
      <c r="BM62" s="372" t="str">
        <f ca="1">IFERROR(INDEX(ICE[], MATCH("ulsdaradiff" &amp; TEXT(Mid!$A62, "mmmyy"), ICE[LongCode], 0), MATCH("Text", ICE[#Headers], 0)), "")</f>
        <v/>
      </c>
      <c r="BN62" s="46" t="str">
        <f t="shared" ca="1" si="113"/>
        <v/>
      </c>
      <c r="BO62" s="68" t="str">
        <f t="shared" si="144"/>
        <v/>
      </c>
      <c r="BP62" s="114" t="str">
        <f t="shared" ca="1" si="145"/>
        <v/>
      </c>
      <c r="BQ62" s="68" t="str">
        <f ca="1">IFERROR(IF(AND(ISNUMBER(Futs!$CG62), ISNUMBER($BL62)), Futs!$CG62 + $BL62, ""), "")</f>
        <v/>
      </c>
      <c r="BR62" s="46" t="str">
        <f ca="1">IFERROR(IF(AND(ISNUMBER(Futs!$CH62), ISNUMBER($BN62)), Futs!$CH62 + $BN62, ""), "")</f>
        <v/>
      </c>
      <c r="BS62" s="68" t="str">
        <f t="shared" ca="1" si="146"/>
        <v/>
      </c>
      <c r="BT62" s="111" t="str">
        <f t="shared" ca="1" si="147"/>
        <v/>
      </c>
      <c r="BU62" s="400"/>
      <c r="BV62" s="372" t="str">
        <f ca="1">IFERROR(INDEX(ICE[], MATCH("ulsdccndiff" &amp; TEXT(Mid!$A62, "mmmyy"), ICE[LongCode], 0), MATCH("Text", ICE[#Headers], 0)), "")</f>
        <v/>
      </c>
      <c r="BW62" s="46" t="str">
        <f t="shared" ca="1" si="114"/>
        <v/>
      </c>
      <c r="BX62" s="68" t="str">
        <f t="shared" si="148"/>
        <v/>
      </c>
      <c r="BY62" s="114" t="str">
        <f t="shared" ca="1" si="149"/>
        <v/>
      </c>
      <c r="BZ62" s="68" t="str">
        <f ca="1">IFERROR(IF(AND(ISNUMBER(Futs!$CG62), ISNUMBER($BU62)), Futs!$CG62 + $BU62, ""), "")</f>
        <v/>
      </c>
      <c r="CA62" s="46" t="str">
        <f ca="1">IFERROR(IF(AND(ISNUMBER(Futs!$CH62), ISNUMBER($BW62)), Futs!$CH62 + $BW62, ""), "")</f>
        <v/>
      </c>
      <c r="CB62" s="68" t="str">
        <f t="shared" ca="1" si="150"/>
        <v/>
      </c>
      <c r="CC62" s="111" t="str">
        <f t="shared" ca="1" si="151"/>
        <v/>
      </c>
      <c r="CD62" s="400"/>
      <c r="CE62" s="372" t="str">
        <f ca="1">IFERROR(INDEX(ICE[], MATCH("ulsdccmdiff" &amp; TEXT(Mid!$A62, "mmmyy"), ICE[LongCode], 0), MATCH("Text", ICE[#Headers], 0)), "")</f>
        <v/>
      </c>
      <c r="CF62" s="46" t="str">
        <f t="shared" ca="1" si="115"/>
        <v/>
      </c>
      <c r="CG62" s="68" t="str">
        <f t="shared" si="152"/>
        <v/>
      </c>
      <c r="CH62" s="114" t="str">
        <f t="shared" ca="1" si="153"/>
        <v/>
      </c>
      <c r="CI62" s="68" t="str">
        <f ca="1">IFERROR(IF(AND(ISNUMBER(Futs!$CG62), ISNUMBER($CD62)), Futs!$CG62 + $CD62, ""), "")</f>
        <v/>
      </c>
      <c r="CJ62" s="67" t="str">
        <f ca="1">IFERROR(IF(AND(ISNUMBER(Futs!$CH62), ISNUMBER($CF62)), Futs!$CH62 + $CF62, ""), "")</f>
        <v/>
      </c>
      <c r="CK62" s="68" t="str">
        <f t="shared" ca="1" si="154"/>
        <v/>
      </c>
      <c r="CL62" s="111" t="str">
        <f t="shared" ca="1" si="155"/>
        <v/>
      </c>
      <c r="CM62" s="400"/>
      <c r="CN62" s="372" t="str">
        <f ca="1">IFERROR(INDEX(ICE[], MATCH("go01bfrdiff" &amp; TEXT(Mid!$A62, "mmmyy"), ICE[LongCode], 0), MATCH("Text", ICE[#Headers], 0)), "")</f>
        <v/>
      </c>
      <c r="CO62" s="46" t="str">
        <f t="shared" ca="1" si="116"/>
        <v/>
      </c>
      <c r="CP62" s="68" t="str">
        <f t="shared" si="156"/>
        <v/>
      </c>
      <c r="CQ62" s="114" t="str">
        <f t="shared" ca="1" si="157"/>
        <v/>
      </c>
      <c r="CR62" s="68" t="str">
        <f ca="1">IFERROR(IF(AND(ISNUMBER(Futs!$CG62), ISNUMBER($CM62)), Futs!$CG62 + $CM62, ""), "")</f>
        <v/>
      </c>
      <c r="CS62" s="46" t="str">
        <f ca="1">IFERROR(IF(AND(ISNUMBER(Futs!$CH62), ISNUMBER($CO62)), Futs!$CH62 + $CO62, ""), "")</f>
        <v/>
      </c>
      <c r="CT62" s="68" t="str">
        <f t="shared" ca="1" si="158"/>
        <v/>
      </c>
      <c r="CU62" s="111" t="str">
        <f t="shared" ca="1" si="159"/>
        <v/>
      </c>
      <c r="CV62" s="400"/>
      <c r="CW62" s="372" t="str">
        <f ca="1">IFERROR(INDEX(ICE[], MATCH("go01ccndiff" &amp; TEXT(Mid!$A62, "mmmyy"), ICE[LongCode], 0), MATCH("Text", ICE[#Headers], 0)), "")</f>
        <v/>
      </c>
      <c r="CX62" s="46" t="str">
        <f t="shared" ca="1" si="117"/>
        <v/>
      </c>
      <c r="CY62" s="68" t="str">
        <f t="shared" si="160"/>
        <v/>
      </c>
      <c r="CZ62" s="114" t="str">
        <f t="shared" ca="1" si="161"/>
        <v/>
      </c>
      <c r="DA62" s="68" t="str">
        <f ca="1">IFERROR(IF(AND(ISNUMBER(Futs!$CG62), ISNUMBER($CV62)), Futs!$CG62 + $CV62, ""), "")</f>
        <v/>
      </c>
      <c r="DB62" s="46" t="str">
        <f ca="1">IFERROR(IF(AND(ISNUMBER(Futs!$CH62), ISNUMBER($CX62)), Futs!$CH62 + $CX62, ""), "")</f>
        <v/>
      </c>
      <c r="DC62" s="68" t="str">
        <f t="shared" ca="1" si="162"/>
        <v/>
      </c>
      <c r="DD62" s="111" t="str">
        <f t="shared" ca="1" si="163"/>
        <v/>
      </c>
      <c r="DE62" s="400"/>
      <c r="DF62" s="372" t="str">
        <f ca="1">IFERROR(INDEX(ICE[], MATCH("go01ccmdiff" &amp; TEXT(Mid!$A62, "mmmyy"), ICE[LongCode], 0), MATCH("Text", ICE[#Headers], 0)), "")</f>
        <v/>
      </c>
      <c r="DG62" s="46" t="str">
        <f t="shared" ca="1" si="118"/>
        <v/>
      </c>
      <c r="DH62" s="68" t="str">
        <f t="shared" si="164"/>
        <v/>
      </c>
      <c r="DI62" s="114" t="str">
        <f t="shared" ca="1" si="165"/>
        <v/>
      </c>
      <c r="DJ62" s="68" t="str">
        <f ca="1">IFERROR(IF(AND(ISNUMBER(Futs!$CG62), ISNUMBER($DE62)), Futs!$CG62 + $DE62, ""), "")</f>
        <v/>
      </c>
      <c r="DK62" s="46" t="str">
        <f ca="1">IFERROR(IF(AND(ISNUMBER(Futs!$CH62), ISNUMBER($DG62)), Futs!$CH62 + $DG62, ""), "")</f>
        <v/>
      </c>
      <c r="DL62" s="68" t="str">
        <f t="shared" ca="1" si="166"/>
        <v/>
      </c>
      <c r="DM62" s="111" t="str">
        <f t="shared" ca="1" si="167"/>
        <v/>
      </c>
      <c r="DN62" s="400"/>
      <c r="DO62" s="372" t="str">
        <f ca="1">IFERROR(INDEX(ICE[], MATCH("ulsdgc" &amp; TEXT(Mid!$A62, "mmmyy"), ICE[LongCode], 0), MATCH("Text", ICE[#Headers], 0)), "")</f>
        <v/>
      </c>
      <c r="DP62" s="46" t="str">
        <f t="shared" ca="1" si="119"/>
        <v/>
      </c>
      <c r="DQ62" s="68" t="str">
        <f t="shared" si="168"/>
        <v/>
      </c>
      <c r="DR62" s="114" t="str">
        <f t="shared" ca="1" si="169"/>
        <v/>
      </c>
      <c r="DS62" s="68" t="str">
        <f ca="1">IFERROR(IF(AND(ISNUMBER(Futs!$CK62), ISNUMBER($DN62)), Futs!$CK62 + $DN62, ""), "")</f>
        <v/>
      </c>
      <c r="DT62" s="46" t="str">
        <f ca="1">IFERROR(IF(AND(ISNUMBER(Futs!$CL62), ISNUMBER($DP62)), Futs!$CL62 + $DP62, ""), "")</f>
        <v/>
      </c>
      <c r="DU62" s="68" t="str">
        <f t="shared" ca="1" si="170"/>
        <v/>
      </c>
      <c r="DV62" s="111" t="str">
        <f t="shared" ca="1" si="171"/>
        <v/>
      </c>
    </row>
    <row r="63" spans="1:126" x14ac:dyDescent="0.25">
      <c r="A63" s="58">
        <f t="shared" ca="1" si="123"/>
        <v>47604</v>
      </c>
      <c r="B63" s="6">
        <f t="shared" ca="1" si="102"/>
        <v>2030</v>
      </c>
      <c r="C63" s="6" t="str">
        <f t="shared" ca="1" si="120"/>
        <v>Q230</v>
      </c>
      <c r="D63" s="28" t="e">
        <f ca="1">INDEX(ICE[], MATCH(D$18 &amp; TEXT(Mid!$A63, "mmmyy"), ICE[LongCode], 0), MATCH("Settle", ICE[#Headers], 0))</f>
        <v>#N/A</v>
      </c>
      <c r="E63" s="28" t="e">
        <f ca="1">INDEX(ICE[], MATCH(E$18 &amp; TEXT(Mid!$A63, "mmmyy"), ICE[LongCode], 0), MATCH("Settle", ICE[#Headers], 0))</f>
        <v>#N/A</v>
      </c>
      <c r="F63" s="28" t="e">
        <f ca="1">INDEX(ICE[], MATCH(F$18 &amp; TEXT(Mid!$A63, "mmmyy"), ICE[LongCode], 0), MATCH("Settle", ICE[#Headers], 0))</f>
        <v>#N/A</v>
      </c>
      <c r="G63" s="28" t="e">
        <f ca="1">INDEX(ICE[], MATCH(G$18 &amp; TEXT(Mid!$A63, "mmmyy"), ICE[LongCode], 0), MATCH("Settle", ICE[#Headers], 0))</f>
        <v>#N/A</v>
      </c>
      <c r="H63" s="28" t="e">
        <f ca="1">INDEX(ICE[], MATCH(H$18 &amp; TEXT(Mid!$A63, "mmmyy"), ICE[LongCode], 0), MATCH("Settle", ICE[#Headers], 0))</f>
        <v>#N/A</v>
      </c>
      <c r="I63" s="28" t="e">
        <f ca="1">INDEX(ICE[], MATCH(I$18 &amp; TEXT(Mid!$A63, "mmmyy"), ICE[LongCode], 0), MATCH("Settle", ICE[#Headers], 0))</f>
        <v>#N/A</v>
      </c>
      <c r="J63" s="28" t="e">
        <f ca="1">INDEX(ICE[], MATCH(J$18 &amp; TEXT(Mid!$A63, "mmmyy"), ICE[LongCode], 0), MATCH("Settle", ICE[#Headers], 0))</f>
        <v>#N/A</v>
      </c>
      <c r="K63" s="28" t="e">
        <f ca="1">INDEX(ICE[], MATCH(K$18 &amp; TEXT(Mid!$A63, "mmmyy"), ICE[LongCode], 0), MATCH("Settle", ICE[#Headers], 0))</f>
        <v>#N/A</v>
      </c>
      <c r="L63" s="28" t="e">
        <f ca="1">INDEX(ICE[], MATCH(L$18 &amp; TEXT(Mid!$A63, "mmmyy"), ICE[LongCode], 0), MATCH("Settle", ICE[#Headers], 0))</f>
        <v>#N/A</v>
      </c>
      <c r="M63" s="28" t="e">
        <f ca="1">INDEX(ICE[], MATCH(M$18 &amp; TEXT(Mid!$A63, "mmmyy"), ICE[LongCode], 0), MATCH("Settle", ICE[#Headers], 0))</f>
        <v>#N/A</v>
      </c>
      <c r="N63" s="28" t="e">
        <f ca="1">INDEX(ICE[], MATCH(N$18 &amp; TEXT(Mid!$A63, "mmmyy"), ICE[LongCode], 0), MATCH("Settle", ICE[#Headers], 0))*100</f>
        <v>#N/A</v>
      </c>
      <c r="O63" s="397"/>
      <c r="P63" s="372" t="str">
        <f ca="1">IFERROR(INDEX(ICE[], MATCH("jetccndiff" &amp; TEXT(Mid!$A63, "mmmyy"), ICE[LongCode], 0), MATCH("Text", ICE[#Headers], 0)), "")</f>
        <v/>
      </c>
      <c r="Q63" s="46" t="str">
        <f t="shared" ca="1" si="103"/>
        <v/>
      </c>
      <c r="R63" s="47" t="str">
        <f t="shared" si="121"/>
        <v/>
      </c>
      <c r="S63" s="114" t="str">
        <f t="shared" ca="1" si="124"/>
        <v/>
      </c>
      <c r="T63" s="49" t="str">
        <f ca="1">IFERROR(IF(AND(ISNUMBER(Futs!$CG63), ISNUMBER($O63)), Futs!$CG63 + $O63, ""), "")</f>
        <v/>
      </c>
      <c r="U63" s="46" t="str">
        <f ca="1">IFERROR(IF(AND(ISNUMBER(Futs!$CH63), ISNUMBER($Q63)), Futs!$CH63 + $Q63, ""), "")</f>
        <v/>
      </c>
      <c r="V63" s="47" t="str">
        <f t="shared" ca="1" si="125"/>
        <v/>
      </c>
      <c r="W63" s="46" t="str">
        <f t="shared" ca="1" si="126"/>
        <v/>
      </c>
      <c r="X63" s="427" t="str">
        <f ca="1">IFERROR(IF(AND(ISNUMBER(Futs!$CC63), ISNUMBER($T63)), $T63/7.88 - Futs!$CC63, ""), "")</f>
        <v/>
      </c>
      <c r="Y63" s="46" t="str">
        <f ca="1">IFERROR(IF(AND(ISNUMBER(Futs!$DV63), ISNUMBER($Q63)), Futs!$DV63 + $Q63/7.88, ""), "")</f>
        <v/>
      </c>
      <c r="Z63" s="47" t="str">
        <f t="shared" ca="1" si="127"/>
        <v/>
      </c>
      <c r="AA63" s="111" t="str">
        <f t="shared" ca="1" si="128"/>
        <v/>
      </c>
      <c r="AB63" s="400"/>
      <c r="AC63" s="372" t="str">
        <f ca="1">IFERROR(INDEX(ICE[], MATCH("goew" &amp; TEXT(Mid!$A63, "mmmyy"), ICE[LongCode], 0), MATCH("Text", ICE[#Headers], 0)), "")</f>
        <v/>
      </c>
      <c r="AD63" s="46" t="str">
        <f t="shared" ca="1" si="104"/>
        <v/>
      </c>
      <c r="AE63" s="68" t="str">
        <f t="shared" si="129"/>
        <v/>
      </c>
      <c r="AF63" s="46" t="str">
        <f t="shared" ca="1" si="130"/>
        <v/>
      </c>
      <c r="AG63" s="265" t="str">
        <f ca="1">IFERROR(IF(AND(ISNUMBER(Futs!$BM63), ISNUMBER($AH63)), $AH63*7.45 - Futs!$BM63, ""), "")</f>
        <v/>
      </c>
      <c r="AH63" s="187" t="str">
        <f ca="1">IFERROR(IF(AND(ISNUMBER(Futs!$CG63), ISNUMBER($AB63)), (Futs!$CG63 + $AB63)/7.45, ""), "")</f>
        <v/>
      </c>
      <c r="AI63" s="46" t="str">
        <f ca="1">IFERROR(IF(AND(ISNUMBER(Futs!$CH63), ISNUMBER($AD63)), (Futs!$CH63 + $AD63)/7.45, ""), "")</f>
        <v/>
      </c>
      <c r="AJ63" s="68" t="str">
        <f t="shared" ca="1" si="131"/>
        <v/>
      </c>
      <c r="AK63" s="364" t="str">
        <f ca="1">IFERROR(INDEX(ICE[], MATCH("brdtd" &amp; TEXT(Crd!$A63, "mmmyy"), ICE[LongCode], 0), MATCH("Text", ICE[#Headers], 0)), "")</f>
        <v/>
      </c>
      <c r="AL63" s="46" t="str">
        <f t="shared" ca="1" si="132"/>
        <v/>
      </c>
      <c r="AM63" s="427" t="str">
        <f ca="1">IFERROR(IF(AND(ISNUMBER(Futs!$CC63), ISNUMBER($AH63)), $AH63 - Futs!$CC63, ""), "")</f>
        <v/>
      </c>
      <c r="AN63" s="46" t="str">
        <f ca="1">IFERROR(IF(AND(ISNUMBER(Futs!$DV63), ISNUMBER($AD63)), $AD63/7.45 + Futs!$DV63, ""), "")</f>
        <v/>
      </c>
      <c r="AO63" s="47" t="str">
        <f t="shared" ca="1" si="133"/>
        <v/>
      </c>
      <c r="AP63" s="111" t="str">
        <f t="shared" ca="1" si="134"/>
        <v/>
      </c>
      <c r="AQ63" s="400"/>
      <c r="AR63" s="46" t="str">
        <f t="shared" ca="1" si="106"/>
        <v/>
      </c>
      <c r="AS63" s="68" t="str">
        <f t="shared" si="135"/>
        <v/>
      </c>
      <c r="AT63" s="46" t="str">
        <f t="shared" ca="1" si="136"/>
        <v/>
      </c>
      <c r="AU63" s="271" t="str">
        <f t="shared" ca="1" si="107"/>
        <v/>
      </c>
      <c r="AV63" s="46" t="str">
        <f t="shared" ca="1" si="108"/>
        <v/>
      </c>
      <c r="AW63" s="68" t="str">
        <f t="shared" ca="1" si="137"/>
        <v/>
      </c>
      <c r="AX63" s="111" t="str">
        <f t="shared" ca="1" si="138"/>
        <v/>
      </c>
      <c r="AY63" s="400"/>
      <c r="AZ63" s="372" t="str">
        <f ca="1">IFERROR(INDEX(ICE[], MATCH("regrade" &amp; TEXT(Mid!$A63, "mmmyy"), ICE[LongCode], 0), MATCH("Text", ICE[#Headers], 0)), "")</f>
        <v/>
      </c>
      <c r="BA63" s="46" t="str">
        <f t="shared" ca="1" si="109"/>
        <v/>
      </c>
      <c r="BB63" s="68" t="str">
        <f t="shared" si="172"/>
        <v/>
      </c>
      <c r="BC63" s="114" t="str">
        <f t="shared" ca="1" si="139"/>
        <v/>
      </c>
      <c r="BD63" s="68" t="str">
        <f t="shared" ca="1" si="110"/>
        <v/>
      </c>
      <c r="BE63" s="46" t="str">
        <f t="shared" ca="1" si="111"/>
        <v/>
      </c>
      <c r="BF63" s="68" t="str">
        <f t="shared" ca="1" si="140"/>
        <v/>
      </c>
      <c r="BG63" s="111" t="str">
        <f t="shared" ca="1" si="141"/>
        <v/>
      </c>
      <c r="BH63" s="68" t="str">
        <f t="shared" ca="1" si="122"/>
        <v/>
      </c>
      <c r="BI63" s="46" t="str">
        <f t="shared" ca="1" si="112"/>
        <v/>
      </c>
      <c r="BJ63" s="68" t="str">
        <f t="shared" ca="1" si="142"/>
        <v/>
      </c>
      <c r="BK63" s="111" t="str">
        <f t="shared" ca="1" si="143"/>
        <v/>
      </c>
      <c r="BL63" s="400"/>
      <c r="BM63" s="372" t="str">
        <f ca="1">IFERROR(INDEX(ICE[], MATCH("ulsdaradiff" &amp; TEXT(Mid!$A63, "mmmyy"), ICE[LongCode], 0), MATCH("Text", ICE[#Headers], 0)), "")</f>
        <v/>
      </c>
      <c r="BN63" s="46" t="str">
        <f t="shared" ca="1" si="113"/>
        <v/>
      </c>
      <c r="BO63" s="68" t="str">
        <f t="shared" si="144"/>
        <v/>
      </c>
      <c r="BP63" s="114" t="str">
        <f t="shared" ca="1" si="145"/>
        <v/>
      </c>
      <c r="BQ63" s="68" t="str">
        <f ca="1">IFERROR(IF(AND(ISNUMBER(Futs!$CG63), ISNUMBER($BL63)), Futs!$CG63 + $BL63, ""), "")</f>
        <v/>
      </c>
      <c r="BR63" s="46" t="str">
        <f ca="1">IFERROR(IF(AND(ISNUMBER(Futs!$CH63), ISNUMBER($BN63)), Futs!$CH63 + $BN63, ""), "")</f>
        <v/>
      </c>
      <c r="BS63" s="68" t="str">
        <f t="shared" ca="1" si="146"/>
        <v/>
      </c>
      <c r="BT63" s="111" t="str">
        <f t="shared" ca="1" si="147"/>
        <v/>
      </c>
      <c r="BU63" s="400"/>
      <c r="BV63" s="372" t="str">
        <f ca="1">IFERROR(INDEX(ICE[], MATCH("ulsdccndiff" &amp; TEXT(Mid!$A63, "mmmyy"), ICE[LongCode], 0), MATCH("Text", ICE[#Headers], 0)), "")</f>
        <v/>
      </c>
      <c r="BW63" s="46" t="str">
        <f t="shared" ca="1" si="114"/>
        <v/>
      </c>
      <c r="BX63" s="68" t="str">
        <f t="shared" si="148"/>
        <v/>
      </c>
      <c r="BY63" s="114" t="str">
        <f t="shared" ca="1" si="149"/>
        <v/>
      </c>
      <c r="BZ63" s="68" t="str">
        <f ca="1">IFERROR(IF(AND(ISNUMBER(Futs!$CG63), ISNUMBER($BU63)), Futs!$CG63 + $BU63, ""), "")</f>
        <v/>
      </c>
      <c r="CA63" s="46" t="str">
        <f ca="1">IFERROR(IF(AND(ISNUMBER(Futs!$CH63), ISNUMBER($BW63)), Futs!$CH63 + $BW63, ""), "")</f>
        <v/>
      </c>
      <c r="CB63" s="68" t="str">
        <f t="shared" ca="1" si="150"/>
        <v/>
      </c>
      <c r="CC63" s="111" t="str">
        <f t="shared" ca="1" si="151"/>
        <v/>
      </c>
      <c r="CD63" s="400"/>
      <c r="CE63" s="372" t="str">
        <f ca="1">IFERROR(INDEX(ICE[], MATCH("ulsdccmdiff" &amp; TEXT(Mid!$A63, "mmmyy"), ICE[LongCode], 0), MATCH("Text", ICE[#Headers], 0)), "")</f>
        <v/>
      </c>
      <c r="CF63" s="46" t="str">
        <f t="shared" ca="1" si="115"/>
        <v/>
      </c>
      <c r="CG63" s="68" t="str">
        <f t="shared" si="152"/>
        <v/>
      </c>
      <c r="CH63" s="114" t="str">
        <f t="shared" ca="1" si="153"/>
        <v/>
      </c>
      <c r="CI63" s="68" t="str">
        <f ca="1">IFERROR(IF(AND(ISNUMBER(Futs!$CG63), ISNUMBER($CD63)), Futs!$CG63 + $CD63, ""), "")</f>
        <v/>
      </c>
      <c r="CJ63" s="67" t="str">
        <f ca="1">IFERROR(IF(AND(ISNUMBER(Futs!$CH63), ISNUMBER($CF63)), Futs!$CH63 + $CF63, ""), "")</f>
        <v/>
      </c>
      <c r="CK63" s="68" t="str">
        <f t="shared" ca="1" si="154"/>
        <v/>
      </c>
      <c r="CL63" s="111" t="str">
        <f t="shared" ca="1" si="155"/>
        <v/>
      </c>
      <c r="CM63" s="400"/>
      <c r="CN63" s="372" t="str">
        <f ca="1">IFERROR(INDEX(ICE[], MATCH("go01bfrdiff" &amp; TEXT(Mid!$A63, "mmmyy"), ICE[LongCode], 0), MATCH("Text", ICE[#Headers], 0)), "")</f>
        <v/>
      </c>
      <c r="CO63" s="46" t="str">
        <f t="shared" ca="1" si="116"/>
        <v/>
      </c>
      <c r="CP63" s="68" t="str">
        <f t="shared" si="156"/>
        <v/>
      </c>
      <c r="CQ63" s="114" t="str">
        <f t="shared" ca="1" si="157"/>
        <v/>
      </c>
      <c r="CR63" s="68" t="str">
        <f ca="1">IFERROR(IF(AND(ISNUMBER(Futs!$CG63), ISNUMBER($CM63)), Futs!$CG63 + $CM63, ""), "")</f>
        <v/>
      </c>
      <c r="CS63" s="46" t="str">
        <f ca="1">IFERROR(IF(AND(ISNUMBER(Futs!$CH63), ISNUMBER($CO63)), Futs!$CH63 + $CO63, ""), "")</f>
        <v/>
      </c>
      <c r="CT63" s="68" t="str">
        <f t="shared" ca="1" si="158"/>
        <v/>
      </c>
      <c r="CU63" s="111" t="str">
        <f t="shared" ca="1" si="159"/>
        <v/>
      </c>
      <c r="CV63" s="400"/>
      <c r="CW63" s="372" t="str">
        <f ca="1">IFERROR(INDEX(ICE[], MATCH("go01ccndiff" &amp; TEXT(Mid!$A63, "mmmyy"), ICE[LongCode], 0), MATCH("Text", ICE[#Headers], 0)), "")</f>
        <v/>
      </c>
      <c r="CX63" s="46" t="str">
        <f t="shared" ca="1" si="117"/>
        <v/>
      </c>
      <c r="CY63" s="68" t="str">
        <f t="shared" si="160"/>
        <v/>
      </c>
      <c r="CZ63" s="114" t="str">
        <f t="shared" ca="1" si="161"/>
        <v/>
      </c>
      <c r="DA63" s="68" t="str">
        <f ca="1">IFERROR(IF(AND(ISNUMBER(Futs!$CG63), ISNUMBER($CV63)), Futs!$CG63 + $CV63, ""), "")</f>
        <v/>
      </c>
      <c r="DB63" s="46" t="str">
        <f ca="1">IFERROR(IF(AND(ISNUMBER(Futs!$CH63), ISNUMBER($CX63)), Futs!$CH63 + $CX63, ""), "")</f>
        <v/>
      </c>
      <c r="DC63" s="68" t="str">
        <f t="shared" ca="1" si="162"/>
        <v/>
      </c>
      <c r="DD63" s="111" t="str">
        <f t="shared" ca="1" si="163"/>
        <v/>
      </c>
      <c r="DE63" s="400"/>
      <c r="DF63" s="372" t="str">
        <f ca="1">IFERROR(INDEX(ICE[], MATCH("go01ccmdiff" &amp; TEXT(Mid!$A63, "mmmyy"), ICE[LongCode], 0), MATCH("Text", ICE[#Headers], 0)), "")</f>
        <v/>
      </c>
      <c r="DG63" s="46" t="str">
        <f t="shared" ca="1" si="118"/>
        <v/>
      </c>
      <c r="DH63" s="68" t="str">
        <f t="shared" si="164"/>
        <v/>
      </c>
      <c r="DI63" s="114" t="str">
        <f t="shared" ca="1" si="165"/>
        <v/>
      </c>
      <c r="DJ63" s="68" t="str">
        <f ca="1">IFERROR(IF(AND(ISNUMBER(Futs!$CG63), ISNUMBER($DE63)), Futs!$CG63 + $DE63, ""), "")</f>
        <v/>
      </c>
      <c r="DK63" s="46" t="str">
        <f ca="1">IFERROR(IF(AND(ISNUMBER(Futs!$CH63), ISNUMBER($DG63)), Futs!$CH63 + $DG63, ""), "")</f>
        <v/>
      </c>
      <c r="DL63" s="68" t="str">
        <f t="shared" ca="1" si="166"/>
        <v/>
      </c>
      <c r="DM63" s="111" t="str">
        <f t="shared" ca="1" si="167"/>
        <v/>
      </c>
      <c r="DN63" s="400"/>
      <c r="DO63" s="372" t="str">
        <f ca="1">IFERROR(INDEX(ICE[], MATCH("ulsdgc" &amp; TEXT(Mid!$A63, "mmmyy"), ICE[LongCode], 0), MATCH("Text", ICE[#Headers], 0)), "")</f>
        <v/>
      </c>
      <c r="DP63" s="46" t="str">
        <f t="shared" ca="1" si="119"/>
        <v/>
      </c>
      <c r="DQ63" s="68" t="str">
        <f t="shared" si="168"/>
        <v/>
      </c>
      <c r="DR63" s="114" t="str">
        <f t="shared" ca="1" si="169"/>
        <v/>
      </c>
      <c r="DS63" s="68" t="str">
        <f ca="1">IFERROR(IF(AND(ISNUMBER(Futs!$CK63), ISNUMBER($DN63)), Futs!$CK63 + $DN63, ""), "")</f>
        <v/>
      </c>
      <c r="DT63" s="46" t="str">
        <f ca="1">IFERROR(IF(AND(ISNUMBER(Futs!$CL63), ISNUMBER($DP63)), Futs!$CL63 + $DP63, ""), "")</f>
        <v/>
      </c>
      <c r="DU63" s="68" t="str">
        <f t="shared" ca="1" si="170"/>
        <v/>
      </c>
      <c r="DV63" s="111" t="str">
        <f t="shared" ca="1" si="171"/>
        <v/>
      </c>
    </row>
    <row r="64" spans="1:126" x14ac:dyDescent="0.25">
      <c r="A64" s="58">
        <f t="shared" ca="1" si="123"/>
        <v>47635</v>
      </c>
      <c r="B64" s="6">
        <f t="shared" ca="1" si="102"/>
        <v>2030</v>
      </c>
      <c r="C64" s="6" t="str">
        <f t="shared" ca="1" si="120"/>
        <v>Q230</v>
      </c>
      <c r="D64" s="28" t="e">
        <f ca="1">INDEX(ICE[], MATCH(D$18 &amp; TEXT(Mid!$A64, "mmmyy"), ICE[LongCode], 0), MATCH("Settle", ICE[#Headers], 0))</f>
        <v>#N/A</v>
      </c>
      <c r="E64" s="28" t="e">
        <f ca="1">INDEX(ICE[], MATCH(E$18 &amp; TEXT(Mid!$A64, "mmmyy"), ICE[LongCode], 0), MATCH("Settle", ICE[#Headers], 0))</f>
        <v>#N/A</v>
      </c>
      <c r="F64" s="28" t="e">
        <f ca="1">INDEX(ICE[], MATCH(F$18 &amp; TEXT(Mid!$A64, "mmmyy"), ICE[LongCode], 0), MATCH("Settle", ICE[#Headers], 0))</f>
        <v>#N/A</v>
      </c>
      <c r="G64" s="28" t="e">
        <f ca="1">INDEX(ICE[], MATCH(G$18 &amp; TEXT(Mid!$A64, "mmmyy"), ICE[LongCode], 0), MATCH("Settle", ICE[#Headers], 0))</f>
        <v>#N/A</v>
      </c>
      <c r="H64" s="28" t="e">
        <f ca="1">INDEX(ICE[], MATCH(H$18 &amp; TEXT(Mid!$A64, "mmmyy"), ICE[LongCode], 0), MATCH("Settle", ICE[#Headers], 0))</f>
        <v>#N/A</v>
      </c>
      <c r="I64" s="28" t="e">
        <f ca="1">INDEX(ICE[], MATCH(I$18 &amp; TEXT(Mid!$A64, "mmmyy"), ICE[LongCode], 0), MATCH("Settle", ICE[#Headers], 0))</f>
        <v>#N/A</v>
      </c>
      <c r="J64" s="28" t="e">
        <f ca="1">INDEX(ICE[], MATCH(J$18 &amp; TEXT(Mid!$A64, "mmmyy"), ICE[LongCode], 0), MATCH("Settle", ICE[#Headers], 0))</f>
        <v>#N/A</v>
      </c>
      <c r="K64" s="28" t="e">
        <f ca="1">INDEX(ICE[], MATCH(K$18 &amp; TEXT(Mid!$A64, "mmmyy"), ICE[LongCode], 0), MATCH("Settle", ICE[#Headers], 0))</f>
        <v>#N/A</v>
      </c>
      <c r="L64" s="28" t="e">
        <f ca="1">INDEX(ICE[], MATCH(L$18 &amp; TEXT(Mid!$A64, "mmmyy"), ICE[LongCode], 0), MATCH("Settle", ICE[#Headers], 0))</f>
        <v>#N/A</v>
      </c>
      <c r="M64" s="28" t="e">
        <f ca="1">INDEX(ICE[], MATCH(M$18 &amp; TEXT(Mid!$A64, "mmmyy"), ICE[LongCode], 0), MATCH("Settle", ICE[#Headers], 0))</f>
        <v>#N/A</v>
      </c>
      <c r="N64" s="28" t="e">
        <f ca="1">INDEX(ICE[], MATCH(N$18 &amp; TEXT(Mid!$A64, "mmmyy"), ICE[LongCode], 0), MATCH("Settle", ICE[#Headers], 0))*100</f>
        <v>#N/A</v>
      </c>
      <c r="O64" s="397"/>
      <c r="P64" s="372" t="str">
        <f ca="1">IFERROR(INDEX(ICE[], MATCH("jetccndiff" &amp; TEXT(Mid!$A64, "mmmyy"), ICE[LongCode], 0), MATCH("Text", ICE[#Headers], 0)), "")</f>
        <v/>
      </c>
      <c r="Q64" s="46" t="str">
        <f t="shared" ca="1" si="103"/>
        <v/>
      </c>
      <c r="R64" s="47" t="str">
        <f t="shared" si="121"/>
        <v/>
      </c>
      <c r="S64" s="114" t="str">
        <f t="shared" ca="1" si="124"/>
        <v/>
      </c>
      <c r="T64" s="49" t="str">
        <f ca="1">IFERROR(IF(AND(ISNUMBER(Futs!$CG64), ISNUMBER($O64)), Futs!$CG64 + $O64, ""), "")</f>
        <v/>
      </c>
      <c r="U64" s="46" t="str">
        <f ca="1">IFERROR(IF(AND(ISNUMBER(Futs!$CH64), ISNUMBER($Q64)), Futs!$CH64 + $Q64, ""), "")</f>
        <v/>
      </c>
      <c r="V64" s="47" t="str">
        <f t="shared" ca="1" si="125"/>
        <v/>
      </c>
      <c r="W64" s="46" t="str">
        <f t="shared" ca="1" si="126"/>
        <v/>
      </c>
      <c r="X64" s="427" t="str">
        <f ca="1">IFERROR(IF(AND(ISNUMBER(Futs!$CC64), ISNUMBER($T64)), $T64/7.88 - Futs!$CC64, ""), "")</f>
        <v/>
      </c>
      <c r="Y64" s="46" t="str">
        <f ca="1">IFERROR(IF(AND(ISNUMBER(Futs!$DV64), ISNUMBER($Q64)), Futs!$DV64 + $Q64/7.88, ""), "")</f>
        <v/>
      </c>
      <c r="Z64" s="47" t="str">
        <f t="shared" ca="1" si="127"/>
        <v/>
      </c>
      <c r="AA64" s="111" t="str">
        <f t="shared" ca="1" si="128"/>
        <v/>
      </c>
      <c r="AB64" s="400"/>
      <c r="AC64" s="372" t="str">
        <f ca="1">IFERROR(INDEX(ICE[], MATCH("goew" &amp; TEXT(Mid!$A64, "mmmyy"), ICE[LongCode], 0), MATCH("Text", ICE[#Headers], 0)), "")</f>
        <v/>
      </c>
      <c r="AD64" s="46" t="str">
        <f t="shared" ca="1" si="104"/>
        <v/>
      </c>
      <c r="AE64" s="68" t="str">
        <f t="shared" si="129"/>
        <v/>
      </c>
      <c r="AF64" s="46" t="str">
        <f t="shared" ca="1" si="130"/>
        <v/>
      </c>
      <c r="AG64" s="265" t="str">
        <f ca="1">IFERROR(IF(AND(ISNUMBER(Futs!$BM64), ISNUMBER($AH64)), $AH64*7.45 - Futs!$BM64, ""), "")</f>
        <v/>
      </c>
      <c r="AH64" s="187" t="str">
        <f ca="1">IFERROR(IF(AND(ISNUMBER(Futs!$CG64), ISNUMBER($AB64)), (Futs!$CG64 + $AB64)/7.45, ""), "")</f>
        <v/>
      </c>
      <c r="AI64" s="46" t="str">
        <f ca="1">IFERROR(IF(AND(ISNUMBER(Futs!$CH64), ISNUMBER($AD64)), (Futs!$CH64 + $AD64)/7.45, ""), "")</f>
        <v/>
      </c>
      <c r="AJ64" s="68" t="str">
        <f t="shared" ca="1" si="131"/>
        <v/>
      </c>
      <c r="AK64" s="364" t="str">
        <f ca="1">IFERROR(INDEX(ICE[], MATCH("brdtd" &amp; TEXT(Crd!$A64, "mmmyy"), ICE[LongCode], 0), MATCH("Text", ICE[#Headers], 0)), "")</f>
        <v/>
      </c>
      <c r="AL64" s="46" t="str">
        <f t="shared" ca="1" si="132"/>
        <v/>
      </c>
      <c r="AM64" s="427" t="str">
        <f ca="1">IFERROR(IF(AND(ISNUMBER(Futs!$CC64), ISNUMBER($AH64)), $AH64 - Futs!$CC64, ""), "")</f>
        <v/>
      </c>
      <c r="AN64" s="46" t="str">
        <f ca="1">IFERROR(IF(AND(ISNUMBER(Futs!$DV64), ISNUMBER($AD64)), $AD64/7.45 + Futs!$DV64, ""), "")</f>
        <v/>
      </c>
      <c r="AO64" s="47" t="str">
        <f t="shared" ca="1" si="133"/>
        <v/>
      </c>
      <c r="AP64" s="111" t="str">
        <f t="shared" ca="1" si="134"/>
        <v/>
      </c>
      <c r="AQ64" s="400"/>
      <c r="AR64" s="46" t="str">
        <f t="shared" ca="1" si="106"/>
        <v/>
      </c>
      <c r="AS64" s="68" t="str">
        <f t="shared" si="135"/>
        <v/>
      </c>
      <c r="AT64" s="46" t="str">
        <f t="shared" ca="1" si="136"/>
        <v/>
      </c>
      <c r="AU64" s="271" t="str">
        <f t="shared" ca="1" si="107"/>
        <v/>
      </c>
      <c r="AV64" s="46" t="str">
        <f t="shared" ca="1" si="108"/>
        <v/>
      </c>
      <c r="AW64" s="68" t="str">
        <f t="shared" ca="1" si="137"/>
        <v/>
      </c>
      <c r="AX64" s="111" t="str">
        <f t="shared" ca="1" si="138"/>
        <v/>
      </c>
      <c r="AY64" s="400"/>
      <c r="AZ64" s="372" t="str">
        <f ca="1">IFERROR(INDEX(ICE[], MATCH("regrade" &amp; TEXT(Mid!$A64, "mmmyy"), ICE[LongCode], 0), MATCH("Text", ICE[#Headers], 0)), "")</f>
        <v/>
      </c>
      <c r="BA64" s="46" t="str">
        <f t="shared" ca="1" si="109"/>
        <v/>
      </c>
      <c r="BB64" s="68" t="str">
        <f t="shared" si="172"/>
        <v/>
      </c>
      <c r="BC64" s="114" t="str">
        <f t="shared" ca="1" si="139"/>
        <v/>
      </c>
      <c r="BD64" s="68" t="str">
        <f t="shared" ca="1" si="110"/>
        <v/>
      </c>
      <c r="BE64" s="46" t="str">
        <f t="shared" ca="1" si="111"/>
        <v/>
      </c>
      <c r="BF64" s="68" t="str">
        <f t="shared" ca="1" si="140"/>
        <v/>
      </c>
      <c r="BG64" s="111" t="str">
        <f t="shared" ca="1" si="141"/>
        <v/>
      </c>
      <c r="BH64" s="68" t="str">
        <f t="shared" ca="1" si="122"/>
        <v/>
      </c>
      <c r="BI64" s="46" t="str">
        <f t="shared" ca="1" si="112"/>
        <v/>
      </c>
      <c r="BJ64" s="68" t="str">
        <f t="shared" ca="1" si="142"/>
        <v/>
      </c>
      <c r="BK64" s="111" t="str">
        <f t="shared" ca="1" si="143"/>
        <v/>
      </c>
      <c r="BL64" s="400"/>
      <c r="BM64" s="372" t="str">
        <f ca="1">IFERROR(INDEX(ICE[], MATCH("ulsdaradiff" &amp; TEXT(Mid!$A64, "mmmyy"), ICE[LongCode], 0), MATCH("Text", ICE[#Headers], 0)), "")</f>
        <v/>
      </c>
      <c r="BN64" s="46" t="str">
        <f t="shared" ca="1" si="113"/>
        <v/>
      </c>
      <c r="BO64" s="68" t="str">
        <f t="shared" si="144"/>
        <v/>
      </c>
      <c r="BP64" s="114" t="str">
        <f t="shared" ca="1" si="145"/>
        <v/>
      </c>
      <c r="BQ64" s="68" t="str">
        <f ca="1">IFERROR(IF(AND(ISNUMBER(Futs!$CG64), ISNUMBER($BL64)), Futs!$CG64 + $BL64, ""), "")</f>
        <v/>
      </c>
      <c r="BR64" s="46" t="str">
        <f ca="1">IFERROR(IF(AND(ISNUMBER(Futs!$CH64), ISNUMBER($BN64)), Futs!$CH64 + $BN64, ""), "")</f>
        <v/>
      </c>
      <c r="BS64" s="68" t="str">
        <f t="shared" ca="1" si="146"/>
        <v/>
      </c>
      <c r="BT64" s="111" t="str">
        <f t="shared" ca="1" si="147"/>
        <v/>
      </c>
      <c r="BU64" s="400"/>
      <c r="BV64" s="372" t="str">
        <f ca="1">IFERROR(INDEX(ICE[], MATCH("ulsdccndiff" &amp; TEXT(Mid!$A64, "mmmyy"), ICE[LongCode], 0), MATCH("Text", ICE[#Headers], 0)), "")</f>
        <v/>
      </c>
      <c r="BW64" s="46" t="str">
        <f t="shared" ca="1" si="114"/>
        <v/>
      </c>
      <c r="BX64" s="68" t="str">
        <f t="shared" si="148"/>
        <v/>
      </c>
      <c r="BY64" s="114" t="str">
        <f t="shared" ca="1" si="149"/>
        <v/>
      </c>
      <c r="BZ64" s="68" t="str">
        <f ca="1">IFERROR(IF(AND(ISNUMBER(Futs!$CG64), ISNUMBER($BU64)), Futs!$CG64 + $BU64, ""), "")</f>
        <v/>
      </c>
      <c r="CA64" s="46" t="str">
        <f ca="1">IFERROR(IF(AND(ISNUMBER(Futs!$CH64), ISNUMBER($BW64)), Futs!$CH64 + $BW64, ""), "")</f>
        <v/>
      </c>
      <c r="CB64" s="68" t="str">
        <f t="shared" ca="1" si="150"/>
        <v/>
      </c>
      <c r="CC64" s="111" t="str">
        <f t="shared" ca="1" si="151"/>
        <v/>
      </c>
      <c r="CD64" s="400"/>
      <c r="CE64" s="372" t="str">
        <f ca="1">IFERROR(INDEX(ICE[], MATCH("ulsdccmdiff" &amp; TEXT(Mid!$A64, "mmmyy"), ICE[LongCode], 0), MATCH("Text", ICE[#Headers], 0)), "")</f>
        <v/>
      </c>
      <c r="CF64" s="46" t="str">
        <f t="shared" ca="1" si="115"/>
        <v/>
      </c>
      <c r="CG64" s="68" t="str">
        <f t="shared" si="152"/>
        <v/>
      </c>
      <c r="CH64" s="114" t="str">
        <f t="shared" ca="1" si="153"/>
        <v/>
      </c>
      <c r="CI64" s="68" t="str">
        <f ca="1">IFERROR(IF(AND(ISNUMBER(Futs!$CG64), ISNUMBER($CD64)), Futs!$CG64 + $CD64, ""), "")</f>
        <v/>
      </c>
      <c r="CJ64" s="67" t="str">
        <f ca="1">IFERROR(IF(AND(ISNUMBER(Futs!$CH64), ISNUMBER($CF64)), Futs!$CH64 + $CF64, ""), "")</f>
        <v/>
      </c>
      <c r="CK64" s="68" t="str">
        <f t="shared" ca="1" si="154"/>
        <v/>
      </c>
      <c r="CL64" s="111" t="str">
        <f t="shared" ca="1" si="155"/>
        <v/>
      </c>
      <c r="CM64" s="400"/>
      <c r="CN64" s="372" t="str">
        <f ca="1">IFERROR(INDEX(ICE[], MATCH("go01bfrdiff" &amp; TEXT(Mid!$A64, "mmmyy"), ICE[LongCode], 0), MATCH("Text", ICE[#Headers], 0)), "")</f>
        <v/>
      </c>
      <c r="CO64" s="46" t="str">
        <f t="shared" ca="1" si="116"/>
        <v/>
      </c>
      <c r="CP64" s="68" t="str">
        <f t="shared" si="156"/>
        <v/>
      </c>
      <c r="CQ64" s="114" t="str">
        <f t="shared" ca="1" si="157"/>
        <v/>
      </c>
      <c r="CR64" s="68" t="str">
        <f ca="1">IFERROR(IF(AND(ISNUMBER(Futs!$CG64), ISNUMBER($CM64)), Futs!$CG64 + $CM64, ""), "")</f>
        <v/>
      </c>
      <c r="CS64" s="46" t="str">
        <f ca="1">IFERROR(IF(AND(ISNUMBER(Futs!$CH64), ISNUMBER($CO64)), Futs!$CH64 + $CO64, ""), "")</f>
        <v/>
      </c>
      <c r="CT64" s="68" t="str">
        <f t="shared" ca="1" si="158"/>
        <v/>
      </c>
      <c r="CU64" s="111" t="str">
        <f t="shared" ca="1" si="159"/>
        <v/>
      </c>
      <c r="CV64" s="400"/>
      <c r="CW64" s="372" t="str">
        <f ca="1">IFERROR(INDEX(ICE[], MATCH("go01ccndiff" &amp; TEXT(Mid!$A64, "mmmyy"), ICE[LongCode], 0), MATCH("Text", ICE[#Headers], 0)), "")</f>
        <v/>
      </c>
      <c r="CX64" s="46" t="str">
        <f t="shared" ca="1" si="117"/>
        <v/>
      </c>
      <c r="CY64" s="68" t="str">
        <f t="shared" si="160"/>
        <v/>
      </c>
      <c r="CZ64" s="114" t="str">
        <f t="shared" ca="1" si="161"/>
        <v/>
      </c>
      <c r="DA64" s="68" t="str">
        <f ca="1">IFERROR(IF(AND(ISNUMBER(Futs!$CG64), ISNUMBER($CV64)), Futs!$CG64 + $CV64, ""), "")</f>
        <v/>
      </c>
      <c r="DB64" s="46" t="str">
        <f ca="1">IFERROR(IF(AND(ISNUMBER(Futs!$CH64), ISNUMBER($CX64)), Futs!$CH64 + $CX64, ""), "")</f>
        <v/>
      </c>
      <c r="DC64" s="68" t="str">
        <f t="shared" ca="1" si="162"/>
        <v/>
      </c>
      <c r="DD64" s="111" t="str">
        <f t="shared" ca="1" si="163"/>
        <v/>
      </c>
      <c r="DE64" s="400"/>
      <c r="DF64" s="372" t="str">
        <f ca="1">IFERROR(INDEX(ICE[], MATCH("go01ccmdiff" &amp; TEXT(Mid!$A64, "mmmyy"), ICE[LongCode], 0), MATCH("Text", ICE[#Headers], 0)), "")</f>
        <v/>
      </c>
      <c r="DG64" s="46" t="str">
        <f t="shared" ca="1" si="118"/>
        <v/>
      </c>
      <c r="DH64" s="68" t="str">
        <f t="shared" si="164"/>
        <v/>
      </c>
      <c r="DI64" s="114" t="str">
        <f t="shared" ca="1" si="165"/>
        <v/>
      </c>
      <c r="DJ64" s="68" t="str">
        <f ca="1">IFERROR(IF(AND(ISNUMBER(Futs!$CG64), ISNUMBER($DE64)), Futs!$CG64 + $DE64, ""), "")</f>
        <v/>
      </c>
      <c r="DK64" s="46" t="str">
        <f ca="1">IFERROR(IF(AND(ISNUMBER(Futs!$CH64), ISNUMBER($DG64)), Futs!$CH64 + $DG64, ""), "")</f>
        <v/>
      </c>
      <c r="DL64" s="68" t="str">
        <f t="shared" ca="1" si="166"/>
        <v/>
      </c>
      <c r="DM64" s="111" t="str">
        <f t="shared" ca="1" si="167"/>
        <v/>
      </c>
      <c r="DN64" s="400"/>
      <c r="DO64" s="372" t="str">
        <f ca="1">IFERROR(INDEX(ICE[], MATCH("ulsdgc" &amp; TEXT(Mid!$A64, "mmmyy"), ICE[LongCode], 0), MATCH("Text", ICE[#Headers], 0)), "")</f>
        <v/>
      </c>
      <c r="DP64" s="46" t="str">
        <f t="shared" ca="1" si="119"/>
        <v/>
      </c>
      <c r="DQ64" s="68" t="str">
        <f t="shared" si="168"/>
        <v/>
      </c>
      <c r="DR64" s="114" t="str">
        <f t="shared" ca="1" si="169"/>
        <v/>
      </c>
      <c r="DS64" s="68" t="str">
        <f ca="1">IFERROR(IF(AND(ISNUMBER(Futs!$CK64), ISNUMBER($DN64)), Futs!$CK64 + $DN64, ""), "")</f>
        <v/>
      </c>
      <c r="DT64" s="46" t="str">
        <f ca="1">IFERROR(IF(AND(ISNUMBER(Futs!$CL64), ISNUMBER($DP64)), Futs!$CL64 + $DP64, ""), "")</f>
        <v/>
      </c>
      <c r="DU64" s="68" t="str">
        <f t="shared" ca="1" si="170"/>
        <v/>
      </c>
      <c r="DV64" s="111" t="str">
        <f t="shared" ca="1" si="171"/>
        <v/>
      </c>
    </row>
    <row r="65" spans="1:126" x14ac:dyDescent="0.25">
      <c r="A65" s="58">
        <f t="shared" ca="1" si="123"/>
        <v>47665</v>
      </c>
      <c r="B65" s="6">
        <f t="shared" ca="1" si="102"/>
        <v>2030</v>
      </c>
      <c r="C65" s="6" t="str">
        <f t="shared" ca="1" si="120"/>
        <v>Q330</v>
      </c>
      <c r="D65" s="28" t="e">
        <f ca="1">INDEX(ICE[], MATCH(D$18 &amp; TEXT(Mid!$A65, "mmmyy"), ICE[LongCode], 0), MATCH("Settle", ICE[#Headers], 0))</f>
        <v>#N/A</v>
      </c>
      <c r="E65" s="28" t="e">
        <f ca="1">INDEX(ICE[], MATCH(E$18 &amp; TEXT(Mid!$A65, "mmmyy"), ICE[LongCode], 0), MATCH("Settle", ICE[#Headers], 0))</f>
        <v>#N/A</v>
      </c>
      <c r="F65" s="28" t="e">
        <f ca="1">INDEX(ICE[], MATCH(F$18 &amp; TEXT(Mid!$A65, "mmmyy"), ICE[LongCode], 0), MATCH("Settle", ICE[#Headers], 0))</f>
        <v>#N/A</v>
      </c>
      <c r="G65" s="28" t="e">
        <f ca="1">INDEX(ICE[], MATCH(G$18 &amp; TEXT(Mid!$A65, "mmmyy"), ICE[LongCode], 0), MATCH("Settle", ICE[#Headers], 0))</f>
        <v>#N/A</v>
      </c>
      <c r="H65" s="28" t="e">
        <f ca="1">INDEX(ICE[], MATCH(H$18 &amp; TEXT(Mid!$A65, "mmmyy"), ICE[LongCode], 0), MATCH("Settle", ICE[#Headers], 0))</f>
        <v>#N/A</v>
      </c>
      <c r="I65" s="28" t="e">
        <f ca="1">INDEX(ICE[], MATCH(I$18 &amp; TEXT(Mid!$A65, "mmmyy"), ICE[LongCode], 0), MATCH("Settle", ICE[#Headers], 0))</f>
        <v>#N/A</v>
      </c>
      <c r="J65" s="28" t="e">
        <f ca="1">INDEX(ICE[], MATCH(J$18 &amp; TEXT(Mid!$A65, "mmmyy"), ICE[LongCode], 0), MATCH("Settle", ICE[#Headers], 0))</f>
        <v>#N/A</v>
      </c>
      <c r="K65" s="28" t="e">
        <f ca="1">INDEX(ICE[], MATCH(K$18 &amp; TEXT(Mid!$A65, "mmmyy"), ICE[LongCode], 0), MATCH("Settle", ICE[#Headers], 0))</f>
        <v>#N/A</v>
      </c>
      <c r="L65" s="28" t="e">
        <f ca="1">INDEX(ICE[], MATCH(L$18 &amp; TEXT(Mid!$A65, "mmmyy"), ICE[LongCode], 0), MATCH("Settle", ICE[#Headers], 0))</f>
        <v>#N/A</v>
      </c>
      <c r="M65" s="28" t="e">
        <f ca="1">INDEX(ICE[], MATCH(M$18 &amp; TEXT(Mid!$A65, "mmmyy"), ICE[LongCode], 0), MATCH("Settle", ICE[#Headers], 0))</f>
        <v>#N/A</v>
      </c>
      <c r="N65" s="28" t="e">
        <f ca="1">INDEX(ICE[], MATCH(N$18 &amp; TEXT(Mid!$A65, "mmmyy"), ICE[LongCode], 0), MATCH("Settle", ICE[#Headers], 0))*100</f>
        <v>#N/A</v>
      </c>
      <c r="O65" s="397"/>
      <c r="P65" s="372" t="str">
        <f ca="1">IFERROR(INDEX(ICE[], MATCH("jetccndiff" &amp; TEXT(Mid!$A65, "mmmyy"), ICE[LongCode], 0), MATCH("Text", ICE[#Headers], 0)), "")</f>
        <v/>
      </c>
      <c r="Q65" s="46" t="str">
        <f t="shared" ca="1" si="103"/>
        <v/>
      </c>
      <c r="R65" s="47" t="str">
        <f t="shared" si="121"/>
        <v/>
      </c>
      <c r="S65" s="114" t="str">
        <f t="shared" ca="1" si="124"/>
        <v/>
      </c>
      <c r="T65" s="49" t="str">
        <f ca="1">IFERROR(IF(AND(ISNUMBER(Futs!$CG65), ISNUMBER($O65)), Futs!$CG65 + $O65, ""), "")</f>
        <v/>
      </c>
      <c r="U65" s="46" t="str">
        <f ca="1">IFERROR(IF(AND(ISNUMBER(Futs!$CH65), ISNUMBER($Q65)), Futs!$CH65 + $Q65, ""), "")</f>
        <v/>
      </c>
      <c r="V65" s="47" t="str">
        <f t="shared" ca="1" si="125"/>
        <v/>
      </c>
      <c r="W65" s="46" t="str">
        <f t="shared" ca="1" si="126"/>
        <v/>
      </c>
      <c r="X65" s="427" t="str">
        <f ca="1">IFERROR(IF(AND(ISNUMBER(Futs!$CC65), ISNUMBER($T65)), $T65/7.88 - Futs!$CC65, ""), "")</f>
        <v/>
      </c>
      <c r="Y65" s="46" t="str">
        <f ca="1">IFERROR(IF(AND(ISNUMBER(Futs!$DV65), ISNUMBER($Q65)), Futs!$DV65 + $Q65/7.88, ""), "")</f>
        <v/>
      </c>
      <c r="Z65" s="47" t="str">
        <f t="shared" ca="1" si="127"/>
        <v/>
      </c>
      <c r="AA65" s="111" t="str">
        <f t="shared" ca="1" si="128"/>
        <v/>
      </c>
      <c r="AB65" s="400"/>
      <c r="AC65" s="372" t="str">
        <f ca="1">IFERROR(INDEX(ICE[], MATCH("goew" &amp; TEXT(Mid!$A65, "mmmyy"), ICE[LongCode], 0), MATCH("Text", ICE[#Headers], 0)), "")</f>
        <v/>
      </c>
      <c r="AD65" s="46" t="str">
        <f t="shared" ca="1" si="104"/>
        <v/>
      </c>
      <c r="AE65" s="68" t="str">
        <f t="shared" si="129"/>
        <v/>
      </c>
      <c r="AF65" s="46" t="str">
        <f t="shared" ca="1" si="130"/>
        <v/>
      </c>
      <c r="AG65" s="265" t="str">
        <f ca="1">IFERROR(IF(AND(ISNUMBER(Futs!$BM65), ISNUMBER($AH65)), $AH65*7.45 - Futs!$BM65, ""), "")</f>
        <v/>
      </c>
      <c r="AH65" s="187" t="str">
        <f ca="1">IFERROR(IF(AND(ISNUMBER(Futs!$CG65), ISNUMBER($AB65)), (Futs!$CG65 + $AB65)/7.45, ""), "")</f>
        <v/>
      </c>
      <c r="AI65" s="46" t="str">
        <f ca="1">IFERROR(IF(AND(ISNUMBER(Futs!$CH65), ISNUMBER($AD65)), (Futs!$CH65 + $AD65)/7.45, ""), "")</f>
        <v/>
      </c>
      <c r="AJ65" s="68" t="str">
        <f t="shared" ca="1" si="131"/>
        <v/>
      </c>
      <c r="AK65" s="364" t="str">
        <f ca="1">IFERROR(INDEX(ICE[], MATCH("brdtd" &amp; TEXT(Crd!$A65, "mmmyy"), ICE[LongCode], 0), MATCH("Text", ICE[#Headers], 0)), "")</f>
        <v/>
      </c>
      <c r="AL65" s="46" t="str">
        <f t="shared" ca="1" si="132"/>
        <v/>
      </c>
      <c r="AM65" s="427" t="str">
        <f ca="1">IFERROR(IF(AND(ISNUMBER(Futs!$CC65), ISNUMBER($AH65)), $AH65 - Futs!$CC65, ""), "")</f>
        <v/>
      </c>
      <c r="AN65" s="46" t="str">
        <f ca="1">IFERROR(IF(AND(ISNUMBER(Futs!$DV65), ISNUMBER($AD65)), $AD65/7.45 + Futs!$DV65, ""), "")</f>
        <v/>
      </c>
      <c r="AO65" s="47" t="str">
        <f t="shared" ca="1" si="133"/>
        <v/>
      </c>
      <c r="AP65" s="111" t="str">
        <f t="shared" ca="1" si="134"/>
        <v/>
      </c>
      <c r="AQ65" s="400"/>
      <c r="AR65" s="46" t="str">
        <f t="shared" ca="1" si="106"/>
        <v/>
      </c>
      <c r="AS65" s="68" t="str">
        <f t="shared" si="135"/>
        <v/>
      </c>
      <c r="AT65" s="46" t="str">
        <f t="shared" ca="1" si="136"/>
        <v/>
      </c>
      <c r="AU65" s="271" t="str">
        <f t="shared" ca="1" si="107"/>
        <v/>
      </c>
      <c r="AV65" s="46" t="str">
        <f t="shared" ca="1" si="108"/>
        <v/>
      </c>
      <c r="AW65" s="68" t="str">
        <f t="shared" ca="1" si="137"/>
        <v/>
      </c>
      <c r="AX65" s="111" t="str">
        <f t="shared" ca="1" si="138"/>
        <v/>
      </c>
      <c r="AY65" s="400"/>
      <c r="AZ65" s="372" t="str">
        <f ca="1">IFERROR(INDEX(ICE[], MATCH("regrade" &amp; TEXT(Mid!$A65, "mmmyy"), ICE[LongCode], 0), MATCH("Text", ICE[#Headers], 0)), "")</f>
        <v/>
      </c>
      <c r="BA65" s="46" t="str">
        <f t="shared" ca="1" si="109"/>
        <v/>
      </c>
      <c r="BB65" s="68" t="str">
        <f t="shared" si="172"/>
        <v/>
      </c>
      <c r="BC65" s="114" t="str">
        <f t="shared" ca="1" si="139"/>
        <v/>
      </c>
      <c r="BD65" s="68" t="str">
        <f t="shared" ca="1" si="110"/>
        <v/>
      </c>
      <c r="BE65" s="46" t="str">
        <f t="shared" ca="1" si="111"/>
        <v/>
      </c>
      <c r="BF65" s="68" t="str">
        <f t="shared" ca="1" si="140"/>
        <v/>
      </c>
      <c r="BG65" s="111" t="str">
        <f t="shared" ca="1" si="141"/>
        <v/>
      </c>
      <c r="BH65" s="68" t="str">
        <f t="shared" ca="1" si="122"/>
        <v/>
      </c>
      <c r="BI65" s="46" t="str">
        <f t="shared" ca="1" si="112"/>
        <v/>
      </c>
      <c r="BJ65" s="68" t="str">
        <f t="shared" ca="1" si="142"/>
        <v/>
      </c>
      <c r="BK65" s="111" t="str">
        <f t="shared" ca="1" si="143"/>
        <v/>
      </c>
      <c r="BL65" s="400"/>
      <c r="BM65" s="372" t="str">
        <f ca="1">IFERROR(INDEX(ICE[], MATCH("ulsdaradiff" &amp; TEXT(Mid!$A65, "mmmyy"), ICE[LongCode], 0), MATCH("Text", ICE[#Headers], 0)), "")</f>
        <v/>
      </c>
      <c r="BN65" s="46" t="str">
        <f t="shared" ca="1" si="113"/>
        <v/>
      </c>
      <c r="BO65" s="68" t="str">
        <f t="shared" si="144"/>
        <v/>
      </c>
      <c r="BP65" s="114" t="str">
        <f t="shared" ca="1" si="145"/>
        <v/>
      </c>
      <c r="BQ65" s="68" t="str">
        <f ca="1">IFERROR(IF(AND(ISNUMBER(Futs!$CG65), ISNUMBER($BL65)), Futs!$CG65 + $BL65, ""), "")</f>
        <v/>
      </c>
      <c r="BR65" s="46" t="str">
        <f ca="1">IFERROR(IF(AND(ISNUMBER(Futs!$CH65), ISNUMBER($BN65)), Futs!$CH65 + $BN65, ""), "")</f>
        <v/>
      </c>
      <c r="BS65" s="68" t="str">
        <f t="shared" ca="1" si="146"/>
        <v/>
      </c>
      <c r="BT65" s="111" t="str">
        <f t="shared" ca="1" si="147"/>
        <v/>
      </c>
      <c r="BU65" s="400"/>
      <c r="BV65" s="372" t="str">
        <f ca="1">IFERROR(INDEX(ICE[], MATCH("ulsdccndiff" &amp; TEXT(Mid!$A65, "mmmyy"), ICE[LongCode], 0), MATCH("Text", ICE[#Headers], 0)), "")</f>
        <v/>
      </c>
      <c r="BW65" s="46" t="str">
        <f t="shared" ca="1" si="114"/>
        <v/>
      </c>
      <c r="BX65" s="68" t="str">
        <f t="shared" si="148"/>
        <v/>
      </c>
      <c r="BY65" s="114" t="str">
        <f t="shared" ca="1" si="149"/>
        <v/>
      </c>
      <c r="BZ65" s="68" t="str">
        <f ca="1">IFERROR(IF(AND(ISNUMBER(Futs!$CG65), ISNUMBER($BU65)), Futs!$CG65 + $BU65, ""), "")</f>
        <v/>
      </c>
      <c r="CA65" s="46" t="str">
        <f ca="1">IFERROR(IF(AND(ISNUMBER(Futs!$CH65), ISNUMBER($BW65)), Futs!$CH65 + $BW65, ""), "")</f>
        <v/>
      </c>
      <c r="CB65" s="68" t="str">
        <f t="shared" ca="1" si="150"/>
        <v/>
      </c>
      <c r="CC65" s="111" t="str">
        <f t="shared" ca="1" si="151"/>
        <v/>
      </c>
      <c r="CD65" s="400"/>
      <c r="CE65" s="372" t="str">
        <f ca="1">IFERROR(INDEX(ICE[], MATCH("ulsdccmdiff" &amp; TEXT(Mid!$A65, "mmmyy"), ICE[LongCode], 0), MATCH("Text", ICE[#Headers], 0)), "")</f>
        <v/>
      </c>
      <c r="CF65" s="46" t="str">
        <f t="shared" ca="1" si="115"/>
        <v/>
      </c>
      <c r="CG65" s="68" t="str">
        <f t="shared" si="152"/>
        <v/>
      </c>
      <c r="CH65" s="114" t="str">
        <f t="shared" ca="1" si="153"/>
        <v/>
      </c>
      <c r="CI65" s="68" t="str">
        <f ca="1">IFERROR(IF(AND(ISNUMBER(Futs!$CG65), ISNUMBER($CD65)), Futs!$CG65 + $CD65, ""), "")</f>
        <v/>
      </c>
      <c r="CJ65" s="67" t="str">
        <f ca="1">IFERROR(IF(AND(ISNUMBER(Futs!$CH65), ISNUMBER($CF65)), Futs!$CH65 + $CF65, ""), "")</f>
        <v/>
      </c>
      <c r="CK65" s="68" t="str">
        <f t="shared" ca="1" si="154"/>
        <v/>
      </c>
      <c r="CL65" s="111" t="str">
        <f t="shared" ca="1" si="155"/>
        <v/>
      </c>
      <c r="CM65" s="400"/>
      <c r="CN65" s="372" t="str">
        <f ca="1">IFERROR(INDEX(ICE[], MATCH("go01bfrdiff" &amp; TEXT(Mid!$A65, "mmmyy"), ICE[LongCode], 0), MATCH("Text", ICE[#Headers], 0)), "")</f>
        <v/>
      </c>
      <c r="CO65" s="46" t="str">
        <f t="shared" ca="1" si="116"/>
        <v/>
      </c>
      <c r="CP65" s="68" t="str">
        <f t="shared" si="156"/>
        <v/>
      </c>
      <c r="CQ65" s="114" t="str">
        <f t="shared" ca="1" si="157"/>
        <v/>
      </c>
      <c r="CR65" s="68" t="str">
        <f ca="1">IFERROR(IF(AND(ISNUMBER(Futs!$CG65), ISNUMBER($CM65)), Futs!$CG65 + $CM65, ""), "")</f>
        <v/>
      </c>
      <c r="CS65" s="46" t="str">
        <f ca="1">IFERROR(IF(AND(ISNUMBER(Futs!$CH65), ISNUMBER($CO65)), Futs!$CH65 + $CO65, ""), "")</f>
        <v/>
      </c>
      <c r="CT65" s="68" t="str">
        <f t="shared" ca="1" si="158"/>
        <v/>
      </c>
      <c r="CU65" s="111" t="str">
        <f t="shared" ca="1" si="159"/>
        <v/>
      </c>
      <c r="CV65" s="400"/>
      <c r="CW65" s="372" t="str">
        <f ca="1">IFERROR(INDEX(ICE[], MATCH("go01ccndiff" &amp; TEXT(Mid!$A65, "mmmyy"), ICE[LongCode], 0), MATCH("Text", ICE[#Headers], 0)), "")</f>
        <v/>
      </c>
      <c r="CX65" s="46" t="str">
        <f t="shared" ca="1" si="117"/>
        <v/>
      </c>
      <c r="CY65" s="68" t="str">
        <f t="shared" si="160"/>
        <v/>
      </c>
      <c r="CZ65" s="114" t="str">
        <f t="shared" ca="1" si="161"/>
        <v/>
      </c>
      <c r="DA65" s="68" t="str">
        <f ca="1">IFERROR(IF(AND(ISNUMBER(Futs!$CG65), ISNUMBER($CV65)), Futs!$CG65 + $CV65, ""), "")</f>
        <v/>
      </c>
      <c r="DB65" s="46" t="str">
        <f ca="1">IFERROR(IF(AND(ISNUMBER(Futs!$CH65), ISNUMBER($CX65)), Futs!$CH65 + $CX65, ""), "")</f>
        <v/>
      </c>
      <c r="DC65" s="68" t="str">
        <f t="shared" ca="1" si="162"/>
        <v/>
      </c>
      <c r="DD65" s="111" t="str">
        <f t="shared" ca="1" si="163"/>
        <v/>
      </c>
      <c r="DE65" s="400"/>
      <c r="DF65" s="372" t="str">
        <f ca="1">IFERROR(INDEX(ICE[], MATCH("go01ccmdiff" &amp; TEXT(Mid!$A65, "mmmyy"), ICE[LongCode], 0), MATCH("Text", ICE[#Headers], 0)), "")</f>
        <v/>
      </c>
      <c r="DG65" s="46" t="str">
        <f t="shared" ca="1" si="118"/>
        <v/>
      </c>
      <c r="DH65" s="68" t="str">
        <f t="shared" si="164"/>
        <v/>
      </c>
      <c r="DI65" s="114" t="str">
        <f t="shared" ca="1" si="165"/>
        <v/>
      </c>
      <c r="DJ65" s="68" t="str">
        <f ca="1">IFERROR(IF(AND(ISNUMBER(Futs!$CG65), ISNUMBER($DE65)), Futs!$CG65 + $DE65, ""), "")</f>
        <v/>
      </c>
      <c r="DK65" s="46" t="str">
        <f ca="1">IFERROR(IF(AND(ISNUMBER(Futs!$CH65), ISNUMBER($DG65)), Futs!$CH65 + $DG65, ""), "")</f>
        <v/>
      </c>
      <c r="DL65" s="68" t="str">
        <f t="shared" ca="1" si="166"/>
        <v/>
      </c>
      <c r="DM65" s="111" t="str">
        <f t="shared" ca="1" si="167"/>
        <v/>
      </c>
      <c r="DN65" s="400"/>
      <c r="DO65" s="372" t="str">
        <f ca="1">IFERROR(INDEX(ICE[], MATCH("ulsdgc" &amp; TEXT(Mid!$A65, "mmmyy"), ICE[LongCode], 0), MATCH("Text", ICE[#Headers], 0)), "")</f>
        <v/>
      </c>
      <c r="DP65" s="46" t="str">
        <f t="shared" ca="1" si="119"/>
        <v/>
      </c>
      <c r="DQ65" s="68" t="str">
        <f t="shared" si="168"/>
        <v/>
      </c>
      <c r="DR65" s="114" t="str">
        <f t="shared" ca="1" si="169"/>
        <v/>
      </c>
      <c r="DS65" s="68" t="str">
        <f ca="1">IFERROR(IF(AND(ISNUMBER(Futs!$CK65), ISNUMBER($DN65)), Futs!$CK65 + $DN65, ""), "")</f>
        <v/>
      </c>
      <c r="DT65" s="46" t="str">
        <f ca="1">IFERROR(IF(AND(ISNUMBER(Futs!$CL65), ISNUMBER($DP65)), Futs!$CL65 + $DP65, ""), "")</f>
        <v/>
      </c>
      <c r="DU65" s="68" t="str">
        <f t="shared" ca="1" si="170"/>
        <v/>
      </c>
      <c r="DV65" s="111" t="str">
        <f t="shared" ca="1" si="171"/>
        <v/>
      </c>
    </row>
    <row r="66" spans="1:126" ht="15.75" thickBot="1" x14ac:dyDescent="0.3">
      <c r="A66" s="58">
        <f t="shared" ca="1" si="123"/>
        <v>47696</v>
      </c>
      <c r="B66" s="6">
        <f t="shared" ca="1" si="102"/>
        <v>2030</v>
      </c>
      <c r="C66" s="6" t="str">
        <f t="shared" ca="1" si="120"/>
        <v>Q330</v>
      </c>
      <c r="D66" s="28" t="e">
        <f ca="1">INDEX(ICE[], MATCH(D$18 &amp; TEXT(Mid!$A66, "mmmyy"), ICE[LongCode], 0), MATCH("Settle", ICE[#Headers], 0))</f>
        <v>#N/A</v>
      </c>
      <c r="E66" s="28" t="e">
        <f ca="1">INDEX(ICE[], MATCH(E$18 &amp; TEXT(Mid!$A66, "mmmyy"), ICE[LongCode], 0), MATCH("Settle", ICE[#Headers], 0))</f>
        <v>#N/A</v>
      </c>
      <c r="F66" s="28" t="e">
        <f ca="1">INDEX(ICE[], MATCH(F$18 &amp; TEXT(Mid!$A66, "mmmyy"), ICE[LongCode], 0), MATCH("Settle", ICE[#Headers], 0))</f>
        <v>#N/A</v>
      </c>
      <c r="G66" s="28" t="e">
        <f ca="1">INDEX(ICE[], MATCH(G$18 &amp; TEXT(Mid!$A66, "mmmyy"), ICE[LongCode], 0), MATCH("Settle", ICE[#Headers], 0))</f>
        <v>#N/A</v>
      </c>
      <c r="H66" s="28" t="e">
        <f ca="1">INDEX(ICE[], MATCH(H$18 &amp; TEXT(Mid!$A66, "mmmyy"), ICE[LongCode], 0), MATCH("Settle", ICE[#Headers], 0))</f>
        <v>#N/A</v>
      </c>
      <c r="I66" s="28" t="e">
        <f ca="1">INDEX(ICE[], MATCH(I$18 &amp; TEXT(Mid!$A66, "mmmyy"), ICE[LongCode], 0), MATCH("Settle", ICE[#Headers], 0))</f>
        <v>#N/A</v>
      </c>
      <c r="J66" s="28" t="e">
        <f ca="1">INDEX(ICE[], MATCH(J$18 &amp; TEXT(Mid!$A66, "mmmyy"), ICE[LongCode], 0), MATCH("Settle", ICE[#Headers], 0))</f>
        <v>#N/A</v>
      </c>
      <c r="K66" s="28" t="e">
        <f ca="1">INDEX(ICE[], MATCH(K$18 &amp; TEXT(Mid!$A66, "mmmyy"), ICE[LongCode], 0), MATCH("Settle", ICE[#Headers], 0))</f>
        <v>#N/A</v>
      </c>
      <c r="L66" s="28" t="e">
        <f ca="1">INDEX(ICE[], MATCH(L$18 &amp; TEXT(Mid!$A66, "mmmyy"), ICE[LongCode], 0), MATCH("Settle", ICE[#Headers], 0))</f>
        <v>#N/A</v>
      </c>
      <c r="M66" s="28" t="e">
        <f ca="1">INDEX(ICE[], MATCH(M$18 &amp; TEXT(Mid!$A66, "mmmyy"), ICE[LongCode], 0), MATCH("Settle", ICE[#Headers], 0))</f>
        <v>#N/A</v>
      </c>
      <c r="N66" s="28" t="e">
        <f ca="1">INDEX(ICE[], MATCH(N$18 &amp; TEXT(Mid!$A66, "mmmyy"), ICE[LongCode], 0), MATCH("Settle", ICE[#Headers], 0))*100</f>
        <v>#N/A</v>
      </c>
      <c r="O66" s="398"/>
      <c r="P66" s="373" t="str">
        <f ca="1">IFERROR(INDEX(ICE[], MATCH("jetccndiff" &amp; TEXT(Mid!$A66, "mmmyy"), ICE[LongCode], 0), MATCH("Text", ICE[#Headers], 0)), "")</f>
        <v/>
      </c>
      <c r="Q66" s="133" t="str">
        <f t="shared" ca="1" si="103"/>
        <v/>
      </c>
      <c r="R66" s="142" t="str">
        <f t="shared" si="121"/>
        <v/>
      </c>
      <c r="S66" s="137" t="str">
        <f t="shared" ca="1" si="124"/>
        <v/>
      </c>
      <c r="T66" s="193" t="str">
        <f ca="1">IFERROR(IF(AND(ISNUMBER(Futs!$CG66), ISNUMBER($O66)), Futs!$CG66 + $O66, ""), "")</f>
        <v/>
      </c>
      <c r="U66" s="133" t="str">
        <f ca="1">IFERROR(IF(AND(ISNUMBER(Futs!$CH66), ISNUMBER($Q66)), Futs!$CH66 + $Q66, ""), "")</f>
        <v/>
      </c>
      <c r="V66" s="142" t="str">
        <f t="shared" ca="1" si="125"/>
        <v/>
      </c>
      <c r="W66" s="133" t="str">
        <f t="shared" ca="1" si="126"/>
        <v/>
      </c>
      <c r="X66" s="428" t="str">
        <f ca="1">IFERROR(IF(AND(ISNUMBER(Futs!$CC66), ISNUMBER($T66)), $T66/7.88 - Futs!$CC66, ""), "")</f>
        <v/>
      </c>
      <c r="Y66" s="133" t="str">
        <f ca="1">IFERROR(IF(AND(ISNUMBER(Futs!$DV66), ISNUMBER($Q66)), Futs!$DV66 + $Q66/7.88, ""), "")</f>
        <v/>
      </c>
      <c r="Z66" s="142" t="str">
        <f t="shared" ca="1" si="127"/>
        <v/>
      </c>
      <c r="AA66" s="135" t="str">
        <f t="shared" ca="1" si="128"/>
        <v/>
      </c>
      <c r="AB66" s="401"/>
      <c r="AC66" s="373" t="str">
        <f ca="1">IFERROR(INDEX(ICE[], MATCH("goew" &amp; TEXT(Mid!$A66, "mmmyy"), ICE[LongCode], 0), MATCH("Text", ICE[#Headers], 0)), "")</f>
        <v/>
      </c>
      <c r="AD66" s="133" t="str">
        <f t="shared" ca="1" si="104"/>
        <v/>
      </c>
      <c r="AE66" s="188" t="str">
        <f t="shared" si="129"/>
        <v/>
      </c>
      <c r="AF66" s="133" t="str">
        <f t="shared" ca="1" si="130"/>
        <v/>
      </c>
      <c r="AG66" s="266" t="str">
        <f ca="1">IFERROR(IF(AND(ISNUMBER(Futs!$BM66), ISNUMBER($AH66)), $AH66*7.45 - Futs!$BM66, ""), "")</f>
        <v/>
      </c>
      <c r="AH66" s="189" t="str">
        <f ca="1">IFERROR(IF(AND(ISNUMBER(Futs!$CG66), ISNUMBER($AB66)), (Futs!$CG66 + $AB66)/7.45, ""), "")</f>
        <v/>
      </c>
      <c r="AI66" s="133" t="str">
        <f ca="1">IFERROR(IF(AND(ISNUMBER(Futs!$CH66), ISNUMBER($AD66)), (Futs!$CH66 + $AD66)/7.45, ""), "")</f>
        <v/>
      </c>
      <c r="AJ66" s="188" t="str">
        <f t="shared" ca="1" si="131"/>
        <v/>
      </c>
      <c r="AK66" s="366" t="str">
        <f ca="1">IFERROR(INDEX(ICE[], MATCH("brdtd" &amp; TEXT(Crd!$A66, "mmmyy"), ICE[LongCode], 0), MATCH("Text", ICE[#Headers], 0)), "")</f>
        <v/>
      </c>
      <c r="AL66" s="133" t="str">
        <f t="shared" ca="1" si="132"/>
        <v/>
      </c>
      <c r="AM66" s="428" t="str">
        <f ca="1">IFERROR(IF(AND(ISNUMBER(Futs!$CC66), ISNUMBER($AH66)), $AH66 - Futs!$CC66, ""), "")</f>
        <v/>
      </c>
      <c r="AN66" s="133" t="str">
        <f ca="1">IFERROR(IF(AND(ISNUMBER(Futs!$DV66), ISNUMBER($AD66)), $AD66/7.45 + Futs!$DV66, ""), "")</f>
        <v/>
      </c>
      <c r="AO66" s="142" t="str">
        <f t="shared" ca="1" si="133"/>
        <v/>
      </c>
      <c r="AP66" s="135" t="str">
        <f t="shared" ca="1" si="134"/>
        <v/>
      </c>
      <c r="AQ66" s="401"/>
      <c r="AR66" s="133" t="str">
        <f t="shared" ca="1" si="106"/>
        <v/>
      </c>
      <c r="AS66" s="188" t="str">
        <f t="shared" si="135"/>
        <v/>
      </c>
      <c r="AT66" s="133" t="str">
        <f t="shared" ca="1" si="136"/>
        <v/>
      </c>
      <c r="AU66" s="272" t="str">
        <f t="shared" ca="1" si="107"/>
        <v/>
      </c>
      <c r="AV66" s="133" t="str">
        <f t="shared" ca="1" si="108"/>
        <v/>
      </c>
      <c r="AW66" s="188" t="str">
        <f t="shared" ca="1" si="137"/>
        <v/>
      </c>
      <c r="AX66" s="135" t="str">
        <f t="shared" ca="1" si="138"/>
        <v/>
      </c>
      <c r="AY66" s="401"/>
      <c r="AZ66" s="373" t="str">
        <f ca="1">IFERROR(INDEX(ICE[], MATCH("regrade" &amp; TEXT(Mid!$A66, "mmmyy"), ICE[LongCode], 0), MATCH("Text", ICE[#Headers], 0)), "")</f>
        <v/>
      </c>
      <c r="BA66" s="133" t="str">
        <f t="shared" ca="1" si="109"/>
        <v/>
      </c>
      <c r="BB66" s="188" t="str">
        <f t="shared" si="172"/>
        <v/>
      </c>
      <c r="BC66" s="137" t="str">
        <f t="shared" ca="1" si="139"/>
        <v/>
      </c>
      <c r="BD66" s="188" t="str">
        <f t="shared" ca="1" si="110"/>
        <v/>
      </c>
      <c r="BE66" s="133" t="str">
        <f t="shared" ca="1" si="111"/>
        <v/>
      </c>
      <c r="BF66" s="188" t="str">
        <f t="shared" ca="1" si="140"/>
        <v/>
      </c>
      <c r="BG66" s="135" t="str">
        <f t="shared" ca="1" si="141"/>
        <v/>
      </c>
      <c r="BH66" s="188" t="str">
        <f t="shared" ca="1" si="122"/>
        <v/>
      </c>
      <c r="BI66" s="133" t="str">
        <f t="shared" ca="1" si="112"/>
        <v/>
      </c>
      <c r="BJ66" s="188" t="str">
        <f t="shared" ca="1" si="142"/>
        <v/>
      </c>
      <c r="BK66" s="135" t="str">
        <f t="shared" ca="1" si="143"/>
        <v/>
      </c>
      <c r="BL66" s="401"/>
      <c r="BM66" s="373" t="str">
        <f ca="1">IFERROR(INDEX(ICE[], MATCH("ulsdaradiff" &amp; TEXT(Mid!$A66, "mmmyy"), ICE[LongCode], 0), MATCH("Text", ICE[#Headers], 0)), "")</f>
        <v/>
      </c>
      <c r="BN66" s="133" t="str">
        <f t="shared" ca="1" si="113"/>
        <v/>
      </c>
      <c r="BO66" s="188" t="str">
        <f t="shared" si="144"/>
        <v/>
      </c>
      <c r="BP66" s="137" t="str">
        <f t="shared" ca="1" si="145"/>
        <v/>
      </c>
      <c r="BQ66" s="188" t="str">
        <f ca="1">IFERROR(IF(AND(ISNUMBER(Futs!$CG66), ISNUMBER($BL66)), Futs!$CG66 + $BL66, ""), "")</f>
        <v/>
      </c>
      <c r="BR66" s="133" t="str">
        <f ca="1">IFERROR(IF(AND(ISNUMBER(Futs!$CH66), ISNUMBER($BN66)), Futs!$CH66 + $BN66, ""), "")</f>
        <v/>
      </c>
      <c r="BS66" s="188" t="str">
        <f t="shared" ca="1" si="146"/>
        <v/>
      </c>
      <c r="BT66" s="135" t="str">
        <f t="shared" ca="1" si="147"/>
        <v/>
      </c>
      <c r="BU66" s="401"/>
      <c r="BV66" s="373" t="str">
        <f ca="1">IFERROR(INDEX(ICE[], MATCH("ulsdccndiff" &amp; TEXT(Mid!$A66, "mmmyy"), ICE[LongCode], 0), MATCH("Text", ICE[#Headers], 0)), "")</f>
        <v/>
      </c>
      <c r="BW66" s="133" t="str">
        <f t="shared" ca="1" si="114"/>
        <v/>
      </c>
      <c r="BX66" s="188" t="str">
        <f t="shared" si="148"/>
        <v/>
      </c>
      <c r="BY66" s="137" t="str">
        <f t="shared" ca="1" si="149"/>
        <v/>
      </c>
      <c r="BZ66" s="188" t="str">
        <f ca="1">IFERROR(IF(AND(ISNUMBER(Futs!$CG66), ISNUMBER($BU66)), Futs!$CG66 + $BU66, ""), "")</f>
        <v/>
      </c>
      <c r="CA66" s="133" t="str">
        <f ca="1">IFERROR(IF(AND(ISNUMBER(Futs!$CH66), ISNUMBER($BW66)), Futs!$CH66 + $BW66, ""), "")</f>
        <v/>
      </c>
      <c r="CB66" s="188" t="str">
        <f t="shared" ca="1" si="150"/>
        <v/>
      </c>
      <c r="CC66" s="135" t="str">
        <f t="shared" ca="1" si="151"/>
        <v/>
      </c>
      <c r="CD66" s="401"/>
      <c r="CE66" s="373" t="str">
        <f ca="1">IFERROR(INDEX(ICE[], MATCH("ulsdccmdiff" &amp; TEXT(Mid!$A66, "mmmyy"), ICE[LongCode], 0), MATCH("Text", ICE[#Headers], 0)), "")</f>
        <v/>
      </c>
      <c r="CF66" s="133" t="str">
        <f t="shared" ca="1" si="115"/>
        <v/>
      </c>
      <c r="CG66" s="188" t="str">
        <f t="shared" si="152"/>
        <v/>
      </c>
      <c r="CH66" s="137" t="str">
        <f t="shared" ca="1" si="153"/>
        <v/>
      </c>
      <c r="CI66" s="188" t="str">
        <f ca="1">IFERROR(IF(AND(ISNUMBER(Futs!$CG66), ISNUMBER($CD66)), Futs!$CG66 + $CD66, ""), "")</f>
        <v/>
      </c>
      <c r="CJ66" s="191" t="str">
        <f ca="1">IFERROR(IF(AND(ISNUMBER(Futs!$CH66), ISNUMBER($CF66)), Futs!$CH66 + $CF66, ""), "")</f>
        <v/>
      </c>
      <c r="CK66" s="188" t="str">
        <f t="shared" ca="1" si="154"/>
        <v/>
      </c>
      <c r="CL66" s="135" t="str">
        <f t="shared" ca="1" si="155"/>
        <v/>
      </c>
      <c r="CM66" s="401"/>
      <c r="CN66" s="373" t="str">
        <f ca="1">IFERROR(INDEX(ICE[], MATCH("go01bfrdiff" &amp; TEXT(Mid!$A66, "mmmyy"), ICE[LongCode], 0), MATCH("Text", ICE[#Headers], 0)), "")</f>
        <v/>
      </c>
      <c r="CO66" s="133" t="str">
        <f t="shared" ca="1" si="116"/>
        <v/>
      </c>
      <c r="CP66" s="188" t="str">
        <f t="shared" si="156"/>
        <v/>
      </c>
      <c r="CQ66" s="137" t="str">
        <f t="shared" ca="1" si="157"/>
        <v/>
      </c>
      <c r="CR66" s="188" t="str">
        <f ca="1">IFERROR(IF(AND(ISNUMBER(Futs!$CG66), ISNUMBER($CM66)), Futs!$CG66 + $CM66, ""), "")</f>
        <v/>
      </c>
      <c r="CS66" s="133" t="str">
        <f ca="1">IFERROR(IF(AND(ISNUMBER(Futs!$CH66), ISNUMBER($CO66)), Futs!$CH66 + $CO66, ""), "")</f>
        <v/>
      </c>
      <c r="CT66" s="188" t="str">
        <f t="shared" ca="1" si="158"/>
        <v/>
      </c>
      <c r="CU66" s="135" t="str">
        <f t="shared" ca="1" si="159"/>
        <v/>
      </c>
      <c r="CV66" s="401"/>
      <c r="CW66" s="373" t="str">
        <f ca="1">IFERROR(INDEX(ICE[], MATCH("go01ccndiff" &amp; TEXT(Mid!$A66, "mmmyy"), ICE[LongCode], 0), MATCH("Text", ICE[#Headers], 0)), "")</f>
        <v/>
      </c>
      <c r="CX66" s="133" t="str">
        <f t="shared" ca="1" si="117"/>
        <v/>
      </c>
      <c r="CY66" s="188" t="str">
        <f t="shared" si="160"/>
        <v/>
      </c>
      <c r="CZ66" s="137" t="str">
        <f t="shared" ca="1" si="161"/>
        <v/>
      </c>
      <c r="DA66" s="188" t="str">
        <f ca="1">IFERROR(IF(AND(ISNUMBER(Futs!$CG66), ISNUMBER($CV66)), Futs!$CG66 + $CV66, ""), "")</f>
        <v/>
      </c>
      <c r="DB66" s="133" t="str">
        <f ca="1">IFERROR(IF(AND(ISNUMBER(Futs!$CH66), ISNUMBER($CX66)), Futs!$CH66 + $CX66, ""), "")</f>
        <v/>
      </c>
      <c r="DC66" s="188" t="str">
        <f t="shared" ca="1" si="162"/>
        <v/>
      </c>
      <c r="DD66" s="135" t="str">
        <f t="shared" ca="1" si="163"/>
        <v/>
      </c>
      <c r="DE66" s="401"/>
      <c r="DF66" s="373" t="str">
        <f ca="1">IFERROR(INDEX(ICE[], MATCH("go01ccmdiff" &amp; TEXT(Mid!$A66, "mmmyy"), ICE[LongCode], 0), MATCH("Text", ICE[#Headers], 0)), "")</f>
        <v/>
      </c>
      <c r="DG66" s="133" t="str">
        <f t="shared" ca="1" si="118"/>
        <v/>
      </c>
      <c r="DH66" s="188" t="str">
        <f t="shared" si="164"/>
        <v/>
      </c>
      <c r="DI66" s="137" t="str">
        <f t="shared" ca="1" si="165"/>
        <v/>
      </c>
      <c r="DJ66" s="188" t="str">
        <f ca="1">IFERROR(IF(AND(ISNUMBER(Futs!$CG66), ISNUMBER($DE66)), Futs!$CG66 + $DE66, ""), "")</f>
        <v/>
      </c>
      <c r="DK66" s="133" t="str">
        <f ca="1">IFERROR(IF(AND(ISNUMBER(Futs!$CH66), ISNUMBER($DG66)), Futs!$CH66 + $DG66, ""), "")</f>
        <v/>
      </c>
      <c r="DL66" s="188" t="str">
        <f t="shared" ca="1" si="166"/>
        <v/>
      </c>
      <c r="DM66" s="135" t="str">
        <f t="shared" ca="1" si="167"/>
        <v/>
      </c>
      <c r="DN66" s="401"/>
      <c r="DO66" s="373" t="str">
        <f ca="1">IFERROR(INDEX(ICE[], MATCH("ulsdgc" &amp; TEXT(Mid!$A66, "mmmyy"), ICE[LongCode], 0), MATCH("Text", ICE[#Headers], 0)), "")</f>
        <v/>
      </c>
      <c r="DP66" s="133" t="str">
        <f t="shared" ca="1" si="119"/>
        <v/>
      </c>
      <c r="DQ66" s="188" t="str">
        <f t="shared" si="168"/>
        <v/>
      </c>
      <c r="DR66" s="137" t="str">
        <f t="shared" ca="1" si="169"/>
        <v/>
      </c>
      <c r="DS66" s="188" t="str">
        <f ca="1">IFERROR(IF(AND(ISNUMBER(Futs!$CK66), ISNUMBER($DN66)), Futs!$CK66 + $DN66, ""), "")</f>
        <v/>
      </c>
      <c r="DT66" s="133" t="str">
        <f ca="1">IFERROR(IF(AND(ISNUMBER(Futs!$CL66), ISNUMBER($DP66)), Futs!$CL66 + $DP66, ""), "")</f>
        <v/>
      </c>
      <c r="DU66" s="188" t="str">
        <f t="shared" ca="1" si="170"/>
        <v/>
      </c>
      <c r="DV66" s="135" t="str">
        <f t="shared" ca="1" si="171"/>
        <v/>
      </c>
    </row>
    <row r="67" spans="1:126" x14ac:dyDescent="0.25">
      <c r="A67" s="60"/>
      <c r="O67" s="48"/>
      <c r="P67" s="48"/>
      <c r="Q67" s="48"/>
      <c r="R67" s="62"/>
      <c r="S67" s="53"/>
      <c r="T67" s="49"/>
      <c r="V67" s="62"/>
      <c r="W67" s="53"/>
      <c r="X67" s="49"/>
      <c r="Z67" s="62"/>
      <c r="AA67" s="53"/>
      <c r="AC67" s="48"/>
      <c r="AK67" s="48"/>
      <c r="AM67" s="49"/>
      <c r="AO67" s="62"/>
      <c r="AP67" s="53"/>
      <c r="AZ67" s="48"/>
      <c r="BM67" s="48"/>
      <c r="BV67" s="48"/>
      <c r="CE67" s="48"/>
      <c r="CN67" s="48"/>
      <c r="CW67" s="48"/>
      <c r="DF67" s="48"/>
      <c r="DO67" s="48"/>
    </row>
    <row r="68" spans="1:126" x14ac:dyDescent="0.25">
      <c r="A68" s="60"/>
      <c r="O68" s="48"/>
      <c r="P68" s="48"/>
      <c r="Q68" s="48"/>
      <c r="R68" s="47"/>
      <c r="S68" s="53"/>
      <c r="V68" s="47"/>
      <c r="W68" s="53"/>
      <c r="Z68" s="47"/>
      <c r="AA68" s="53"/>
      <c r="AC68" s="48"/>
      <c r="AK68" s="48"/>
      <c r="AO68" s="47"/>
      <c r="AP68" s="53"/>
      <c r="AZ68" s="48"/>
      <c r="BM68" s="48"/>
      <c r="BV68" s="48"/>
      <c r="CE68" s="48"/>
      <c r="CN68" s="48"/>
      <c r="CW68" s="48"/>
      <c r="DF68" s="48"/>
      <c r="DO68" s="48"/>
    </row>
    <row r="69" spans="1:126" x14ac:dyDescent="0.25">
      <c r="A69" s="60"/>
      <c r="O69" s="48"/>
      <c r="P69" s="48"/>
      <c r="Q69" s="48"/>
      <c r="R69" s="47"/>
      <c r="S69" s="53"/>
      <c r="V69" s="47"/>
      <c r="W69" s="53"/>
      <c r="Z69" s="47"/>
      <c r="AA69" s="53"/>
      <c r="AC69" s="48"/>
      <c r="AK69" s="48"/>
      <c r="AO69" s="47"/>
      <c r="AP69" s="53"/>
      <c r="AZ69" s="48"/>
      <c r="BM69" s="48"/>
      <c r="BV69" s="48"/>
      <c r="CE69" s="48"/>
      <c r="CN69" s="48"/>
      <c r="CW69" s="48"/>
      <c r="DF69" s="48"/>
      <c r="DO69" s="48"/>
    </row>
    <row r="70" spans="1:126" x14ac:dyDescent="0.25">
      <c r="A70" s="60"/>
      <c r="O70" s="48"/>
      <c r="P70" s="48"/>
      <c r="Q70" s="48"/>
      <c r="R70" s="47"/>
      <c r="S70" s="53"/>
      <c r="V70" s="47"/>
      <c r="W70" s="53"/>
      <c r="Z70" s="47"/>
      <c r="AA70" s="53"/>
      <c r="AC70" s="48"/>
      <c r="AK70" s="48"/>
      <c r="AO70" s="47"/>
      <c r="AP70" s="53"/>
      <c r="AZ70" s="48"/>
      <c r="BM70" s="48"/>
      <c r="BV70" s="48"/>
      <c r="CE70" s="48"/>
      <c r="CN70" s="48"/>
      <c r="CW70" s="48"/>
      <c r="DF70" s="48"/>
      <c r="DO70" s="48"/>
    </row>
    <row r="71" spans="1:126" x14ac:dyDescent="0.25">
      <c r="A71" s="60"/>
      <c r="O71" s="48"/>
      <c r="P71" s="48"/>
      <c r="Q71" s="48"/>
      <c r="R71" s="47"/>
      <c r="S71" s="53"/>
      <c r="V71" s="47"/>
      <c r="W71" s="53"/>
      <c r="Z71" s="47"/>
      <c r="AA71" s="53"/>
      <c r="AC71" s="48"/>
      <c r="AK71" s="48"/>
      <c r="AO71" s="47"/>
      <c r="AP71" s="53"/>
      <c r="AZ71" s="48"/>
      <c r="BM71" s="48"/>
      <c r="BV71" s="48"/>
      <c r="CE71" s="48"/>
      <c r="CN71" s="48"/>
      <c r="CW71" s="48"/>
      <c r="DF71" s="48"/>
      <c r="DO71" s="48"/>
    </row>
    <row r="72" spans="1:126" x14ac:dyDescent="0.25">
      <c r="A72" s="60"/>
      <c r="O72" s="48"/>
      <c r="P72" s="48"/>
      <c r="Q72" s="48"/>
      <c r="R72" s="47"/>
      <c r="S72" s="53"/>
      <c r="V72" s="47"/>
      <c r="W72" s="53"/>
      <c r="Z72" s="47"/>
      <c r="AA72" s="53"/>
      <c r="AC72" s="48"/>
      <c r="AK72" s="48"/>
      <c r="AO72" s="47"/>
      <c r="AP72" s="53"/>
      <c r="AZ72" s="48"/>
      <c r="BM72" s="48"/>
      <c r="BV72" s="48"/>
      <c r="CE72" s="48"/>
      <c r="CN72" s="48"/>
      <c r="CW72" s="48"/>
      <c r="DF72" s="48"/>
      <c r="DO72" s="48"/>
    </row>
    <row r="73" spans="1:126" x14ac:dyDescent="0.25">
      <c r="A73" s="60"/>
      <c r="O73" s="48"/>
      <c r="P73" s="48"/>
      <c r="Q73" s="48"/>
      <c r="R73" s="47"/>
      <c r="S73" s="53"/>
      <c r="V73" s="47"/>
      <c r="W73" s="53"/>
      <c r="Z73" s="47"/>
      <c r="AA73" s="53"/>
      <c r="AC73" s="48"/>
      <c r="AK73" s="48"/>
      <c r="AO73" s="47"/>
      <c r="AP73" s="53"/>
      <c r="AZ73" s="48"/>
      <c r="BM73" s="48"/>
      <c r="BV73" s="48"/>
      <c r="CE73" s="48"/>
      <c r="CN73" s="48"/>
      <c r="CW73" s="48"/>
      <c r="DF73" s="48"/>
      <c r="DO73" s="48"/>
    </row>
  </sheetData>
  <conditionalFormatting sqref="Q19:Q66 S19:S66 U19:U66 W19:W66 AD19:AD66 AF19:AF66 AI19:AI66 AL19:AL66 Q5:Q14 U5:U14 AD5:AD14 AI5:AI14 BA19:BA66 BC19:BC66 BE19:BE66 BG19:BG66 BA5:BA14 BE5:BE14 BN19:BN66 BN5:BN14 BR5:BR14 BP19:BP66 BR19:BR66 BT19:BT66 BW19:BW66 BW5:BW14 CA5:CA14 BY19:BY66 CA19:CA66 CC19:CC66 CF19:CF66 CF5:CF14 CJ5:CJ14 CH19:CH66 CJ19:CJ66 CL19:CL66 CO19:CO66 CO5:CO14 CS5:CS14 CQ19:CQ66 CS19:CS66 CU19:CU66 CX19:CX66 CX5:CX14 DB5:DB14 CZ19:CZ66 DB19:DB66 DD19:DD66 DG19:DG66 DG5:DG14 DK5:DK14 DI19:DI66 DK19:DK66 DM19:DM66 S5:S14 W5:W14 AF5:AF14 AL5:AL14 BC5:BC14 BG5:BG14 BP5:BP14 BT5:BT14 BY5:BY14 CC5:CC14 CH5:CH14 CL5:CL14 CQ5:CQ14 CU5:CU14 CZ5:CZ14 DD5:DD14 DI5:DI14 DM5:DM14 Y19:Y66 AA19:AA66 Y5:Y14 AA5:AA14 AN19:AN66 AP19:AP66 AN5:AN14 AP5:AP14 BI19:BI66 BK19:BK66 BI5:BI14 BK5:BK14">
    <cfRule type="cellIs" dxfId="105" priority="35" operator="lessThan">
      <formula>0</formula>
    </cfRule>
    <cfRule type="cellIs" dxfId="104" priority="36" operator="greaterThan">
      <formula>0</formula>
    </cfRule>
  </conditionalFormatting>
  <conditionalFormatting sqref="AR19:AR66 AR5:AR14">
    <cfRule type="cellIs" dxfId="103" priority="11" operator="lessThan">
      <formula>0</formula>
    </cfRule>
    <cfRule type="cellIs" dxfId="102" priority="12" operator="greaterThan">
      <formula>0</formula>
    </cfRule>
  </conditionalFormatting>
  <conditionalFormatting sqref="AV19:AV66 AV5:AV14">
    <cfRule type="cellIs" dxfId="101" priority="7" operator="lessThan">
      <formula>0</formula>
    </cfRule>
    <cfRule type="cellIs" dxfId="100" priority="8" operator="greaterThan">
      <formula>0</formula>
    </cfRule>
  </conditionalFormatting>
  <conditionalFormatting sqref="AT19:AT66 AT5:AT14">
    <cfRule type="cellIs" dxfId="99" priority="5" operator="lessThan">
      <formula>0</formula>
    </cfRule>
    <cfRule type="cellIs" dxfId="98" priority="6" operator="greaterThan">
      <formula>0</formula>
    </cfRule>
  </conditionalFormatting>
  <conditionalFormatting sqref="AX19:AX66 AX5:AX14">
    <cfRule type="cellIs" dxfId="97" priority="3" operator="lessThan">
      <formula>0</formula>
    </cfRule>
    <cfRule type="cellIs" dxfId="96" priority="4" operator="greaterThan">
      <formula>0</formula>
    </cfRule>
  </conditionalFormatting>
  <conditionalFormatting sqref="DP19:DP66 DP5:DP14 DT5:DT14 DR19:DR66 DT19:DT66 DV19:DV66 DR5:DR14 DV5:DV14">
    <cfRule type="cellIs" dxfId="95" priority="1" operator="lessThan">
      <formula>0</formula>
    </cfRule>
    <cfRule type="cellIs" dxfId="9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65CD-D8C6-49A9-A9EF-54CF1A34C2F9}">
  <sheetPr codeName="Sheet7">
    <tabColor theme="6" tint="-0.249977111117893"/>
    <pageSetUpPr autoPageBreaks="0"/>
  </sheetPr>
  <dimension ref="A1:CO73"/>
  <sheetViews>
    <sheetView zoomScaleNormal="100" workbookViewId="0">
      <pane xSplit="1" ySplit="18" topLeftCell="J19" activePane="bottomRight" state="frozen"/>
      <selection pane="topRight" activeCell="B1" sqref="B1"/>
      <selection pane="bottomLeft" activeCell="A19" sqref="A19"/>
      <selection pane="bottomRight" activeCell="T27" sqref="T27"/>
    </sheetView>
  </sheetViews>
  <sheetFormatPr defaultColWidth="9.140625" defaultRowHeight="15" x14ac:dyDescent="0.25"/>
  <cols>
    <col min="1" max="1" width="12.140625" style="57" customWidth="1"/>
    <col min="2" max="3" width="9.42578125" style="6" hidden="1" customWidth="1"/>
    <col min="4" max="9" width="9.42578125" style="28" hidden="1" customWidth="1"/>
    <col min="10" max="10" width="8.140625" style="51" customWidth="1"/>
    <col min="11" max="11" width="25.85546875" style="51" customWidth="1"/>
    <col min="12" max="12" width="5.7109375" style="52" customWidth="1"/>
    <col min="13" max="13" width="8.140625" style="66" customWidth="1"/>
    <col min="14" max="14" width="5.7109375" style="52" customWidth="1"/>
    <col min="15" max="15" width="8.140625" style="51" customWidth="1"/>
    <col min="16" max="16" width="5.7109375" style="67" customWidth="1"/>
    <col min="17" max="17" width="8.140625" style="66" customWidth="1"/>
    <col min="18" max="18" width="5.7109375" style="52" customWidth="1"/>
    <col min="19" max="19" width="8.140625" style="51" customWidth="1"/>
    <col min="20" max="20" width="25.85546875" style="51" customWidth="1"/>
    <col min="21" max="21" width="5.7109375" style="52" customWidth="1"/>
    <col min="22" max="22" width="8.140625" style="66" customWidth="1"/>
    <col min="23" max="23" width="5.7109375" style="52" customWidth="1"/>
    <col min="24" max="24" width="8.140625" style="51" customWidth="1"/>
    <col min="25" max="25" width="5.7109375" style="67" customWidth="1"/>
    <col min="26" max="26" width="8.140625" style="66" customWidth="1"/>
    <col min="27" max="27" width="5.7109375" style="52" customWidth="1"/>
    <col min="28" max="28" width="9.140625" style="51"/>
    <col min="29" max="29" width="25.85546875" style="51" customWidth="1"/>
    <col min="30" max="30" width="5.7109375" style="52" customWidth="1"/>
    <col min="31" max="31" width="8.140625" style="66" customWidth="1"/>
    <col min="32" max="32" width="5.7109375" style="52" customWidth="1"/>
    <col min="33" max="33" width="8.140625" style="51" customWidth="1"/>
    <col min="34" max="34" width="5.7109375" style="67" customWidth="1"/>
    <col min="35" max="35" width="8.140625" style="66" customWidth="1"/>
    <col min="36" max="36" width="25.85546875" style="51" customWidth="1"/>
    <col min="37" max="37" width="5.7109375" style="52" customWidth="1"/>
    <col min="38" max="38" width="8.140625" style="51" customWidth="1"/>
    <col min="39" max="39" width="25.85546875" style="51" customWidth="1"/>
    <col min="40" max="40" width="5.7109375" style="67" customWidth="1"/>
    <col min="41" max="41" width="8.140625" style="66" customWidth="1"/>
    <col min="42" max="42" width="5.7109375" style="52" customWidth="1"/>
    <col min="43" max="43" width="8.140625" style="51" customWidth="1"/>
    <col min="44" max="44" width="5.7109375" style="67" customWidth="1"/>
    <col min="45" max="45" width="8.140625" style="66" customWidth="1"/>
    <col min="46" max="46" width="5.7109375" style="52" customWidth="1"/>
    <col min="47" max="47" width="8.140625" style="51" customWidth="1"/>
    <col min="48" max="48" width="25.85546875" style="51" customWidth="1"/>
    <col min="49" max="49" width="5.7109375" style="52" customWidth="1"/>
    <col min="50" max="50" width="8.140625" style="66" customWidth="1"/>
    <col min="51" max="51" width="5.7109375" style="52" customWidth="1"/>
    <col min="52" max="52" width="8.140625" style="51" customWidth="1"/>
    <col min="53" max="53" width="5.7109375" style="67" customWidth="1"/>
    <col min="54" max="54" width="8.140625" style="66" customWidth="1"/>
    <col min="55" max="55" width="5.7109375" style="52" customWidth="1"/>
    <col min="56" max="56" width="8.140625" style="51" customWidth="1"/>
    <col min="57" max="57" width="5.7109375" style="67" customWidth="1"/>
    <col min="58" max="58" width="8.140625" style="66" customWidth="1"/>
    <col min="59" max="59" width="5.7109375" style="52" customWidth="1"/>
    <col min="60" max="60" width="8.140625" style="51" customWidth="1"/>
    <col min="61" max="61" width="5.7109375" style="67" customWidth="1"/>
    <col min="62" max="62" width="8.140625" style="66" customWidth="1"/>
    <col min="63" max="63" width="5.7109375" style="52" customWidth="1"/>
    <col min="64" max="64" width="8.140625" style="51" customWidth="1"/>
    <col min="65" max="65" width="25.85546875" style="51" customWidth="1"/>
    <col min="66" max="66" width="5.7109375" style="52" customWidth="1"/>
    <col min="67" max="67" width="8.140625" style="66" customWidth="1"/>
    <col min="68" max="68" width="5.7109375" style="52" customWidth="1"/>
    <col min="69" max="69" width="8.140625" style="51" customWidth="1"/>
    <col min="70" max="70" width="5.7109375" style="67" customWidth="1"/>
    <col min="71" max="71" width="8.140625" style="66" customWidth="1"/>
    <col min="72" max="72" width="5.7109375" style="52" customWidth="1"/>
    <col min="73" max="73" width="8.140625" style="51" customWidth="1"/>
    <col min="74" max="74" width="5.7109375" style="67" customWidth="1"/>
    <col min="75" max="75" width="8.140625" style="66" customWidth="1"/>
    <col min="76" max="76" width="5.7109375" style="52" customWidth="1"/>
    <col min="77" max="77" width="8.140625" style="51" customWidth="1"/>
    <col min="78" max="78" width="25.85546875" style="51" customWidth="1"/>
    <col min="79" max="79" width="5.7109375" style="52" customWidth="1"/>
    <col min="80" max="80" width="8.140625" style="66" customWidth="1"/>
    <col min="81" max="81" width="5.7109375" style="52" customWidth="1"/>
    <col min="82" max="82" width="8.140625" style="51" customWidth="1"/>
    <col min="83" max="83" width="5.7109375" style="67" customWidth="1"/>
    <col min="84" max="84" width="8.140625" style="66" customWidth="1"/>
    <col min="85" max="85" width="5.7109375" style="52" customWidth="1"/>
    <col min="86" max="86" width="8.140625" style="51" customWidth="1"/>
    <col min="87" max="87" width="5.7109375" style="67" customWidth="1"/>
    <col min="88" max="88" width="8.140625" style="66" customWidth="1"/>
    <col min="89" max="89" width="5.7109375" style="52" customWidth="1"/>
    <col min="90" max="90" width="8.140625" style="51" customWidth="1"/>
    <col min="91" max="91" width="5.7109375" style="67" customWidth="1"/>
    <col min="92" max="92" width="8.140625" style="66" customWidth="1"/>
    <col min="93" max="93" width="5.7109375" style="52" customWidth="1"/>
    <col min="94" max="16384" width="9.140625" style="51"/>
  </cols>
  <sheetData>
    <row r="1" spans="1:93" s="68" customFormat="1" x14ac:dyDescent="0.25">
      <c r="A1" s="106">
        <f ca="1">INT(TimeLDN)</f>
        <v>46267</v>
      </c>
      <c r="B1" s="6"/>
      <c r="C1" s="25"/>
      <c r="D1" s="28"/>
      <c r="E1" s="28"/>
      <c r="F1" s="28"/>
      <c r="G1" s="28"/>
      <c r="H1" s="28"/>
      <c r="I1" s="28"/>
      <c r="J1" s="51"/>
      <c r="K1" s="51"/>
      <c r="L1" s="52"/>
      <c r="M1" s="51"/>
      <c r="N1" s="52"/>
      <c r="O1" s="51"/>
      <c r="P1" s="67"/>
      <c r="Q1" s="51"/>
      <c r="R1" s="52"/>
      <c r="S1" s="51"/>
      <c r="T1" s="51"/>
      <c r="U1" s="52"/>
      <c r="V1" s="51"/>
      <c r="W1" s="52"/>
      <c r="X1" s="51"/>
      <c r="Y1" s="67"/>
      <c r="Z1" s="51"/>
      <c r="AA1" s="52"/>
      <c r="AB1" s="51"/>
      <c r="AC1" s="51"/>
      <c r="AD1" s="52"/>
      <c r="AE1" s="51"/>
      <c r="AF1" s="52"/>
      <c r="AG1" s="51"/>
      <c r="AH1" s="67"/>
      <c r="AI1" s="51"/>
      <c r="AJ1" s="51"/>
      <c r="AK1" s="52"/>
      <c r="AL1" s="51"/>
      <c r="AM1" s="51"/>
      <c r="AN1" s="67"/>
      <c r="AO1" s="51"/>
      <c r="AP1" s="52"/>
      <c r="AQ1" s="51"/>
      <c r="AR1" s="67"/>
      <c r="AS1" s="51"/>
      <c r="AT1" s="52"/>
      <c r="AU1" s="51"/>
      <c r="AV1" s="51"/>
      <c r="AW1" s="52"/>
      <c r="AX1" s="51"/>
      <c r="AY1" s="52"/>
      <c r="AZ1" s="51"/>
      <c r="BA1" s="67"/>
      <c r="BB1" s="51"/>
      <c r="BC1" s="52"/>
      <c r="BD1" s="51"/>
      <c r="BE1" s="67"/>
      <c r="BF1" s="51"/>
      <c r="BG1" s="52"/>
      <c r="BH1" s="51"/>
      <c r="BI1" s="67"/>
      <c r="BJ1" s="51"/>
      <c r="BK1" s="52"/>
      <c r="BL1" s="51"/>
      <c r="BM1" s="51"/>
      <c r="BN1" s="52"/>
      <c r="BO1" s="51"/>
      <c r="BP1" s="52"/>
      <c r="BQ1" s="51"/>
      <c r="BR1" s="67"/>
      <c r="BS1" s="51"/>
      <c r="BT1" s="52"/>
      <c r="BU1" s="51"/>
      <c r="BV1" s="67"/>
      <c r="BW1" s="51"/>
      <c r="BX1" s="52"/>
      <c r="BY1" s="51"/>
      <c r="BZ1" s="51"/>
      <c r="CA1" s="52"/>
      <c r="CB1" s="51"/>
      <c r="CC1" s="52"/>
      <c r="CD1" s="51"/>
      <c r="CE1" s="67"/>
      <c r="CF1" s="51"/>
      <c r="CG1" s="52"/>
      <c r="CH1" s="51"/>
      <c r="CI1" s="67"/>
      <c r="CJ1" s="51"/>
      <c r="CK1" s="52"/>
      <c r="CL1" s="51"/>
      <c r="CM1" s="67"/>
      <c r="CN1" s="51"/>
      <c r="CO1" s="52"/>
    </row>
    <row r="2" spans="1:93" s="68" customFormat="1" ht="15.75" thickBot="1" x14ac:dyDescent="0.3">
      <c r="A2" s="107">
        <f ca="1">TimeLDN</f>
        <v>46267.465217013887</v>
      </c>
      <c r="B2" s="6"/>
      <c r="C2" s="6"/>
      <c r="D2" s="28"/>
      <c r="E2" s="28"/>
      <c r="F2" s="28"/>
      <c r="G2" s="28"/>
      <c r="H2" s="28"/>
      <c r="I2" s="28"/>
      <c r="J2" s="51"/>
      <c r="K2" s="51"/>
      <c r="L2" s="52"/>
      <c r="M2" s="51"/>
      <c r="N2" s="52"/>
      <c r="O2" s="51"/>
      <c r="P2" s="67"/>
      <c r="Q2" s="67"/>
      <c r="R2" s="67"/>
      <c r="S2" s="51"/>
      <c r="T2" s="51"/>
      <c r="U2" s="52"/>
      <c r="V2" s="51"/>
      <c r="W2" s="52"/>
      <c r="X2" s="51"/>
      <c r="Y2" s="67"/>
      <c r="Z2" s="67"/>
      <c r="AA2" s="67"/>
      <c r="AB2" s="51"/>
      <c r="AC2" s="51"/>
      <c r="AD2" s="52"/>
      <c r="AE2" s="51"/>
      <c r="AF2" s="52"/>
      <c r="AG2" s="51"/>
      <c r="AH2" s="67"/>
      <c r="AI2" s="67"/>
      <c r="AJ2" s="51"/>
      <c r="AK2" s="67"/>
      <c r="AL2" s="51"/>
      <c r="AM2" s="51"/>
      <c r="AN2" s="67"/>
      <c r="AO2" s="67"/>
      <c r="AP2" s="67"/>
      <c r="AQ2" s="51"/>
      <c r="AR2" s="67"/>
      <c r="AS2" s="67"/>
      <c r="AT2" s="67"/>
      <c r="AU2" s="51"/>
      <c r="AV2" s="51"/>
      <c r="AW2" s="52"/>
      <c r="AX2" s="51"/>
      <c r="AY2" s="52"/>
      <c r="AZ2" s="51"/>
      <c r="BA2" s="67"/>
      <c r="BB2" s="67"/>
      <c r="BC2" s="67"/>
      <c r="BD2" s="51"/>
      <c r="BE2" s="67"/>
      <c r="BF2" s="67"/>
      <c r="BG2" s="67"/>
      <c r="BH2" s="51"/>
      <c r="BI2" s="67"/>
      <c r="BJ2" s="67"/>
      <c r="BK2" s="67"/>
      <c r="BL2" s="51"/>
      <c r="BM2" s="51"/>
      <c r="BN2" s="52"/>
      <c r="BO2" s="51"/>
      <c r="BP2" s="52"/>
      <c r="BQ2" s="51"/>
      <c r="BR2" s="67"/>
      <c r="BS2" s="67"/>
      <c r="BT2" s="67"/>
      <c r="BU2" s="51"/>
      <c r="BV2" s="67"/>
      <c r="BW2" s="67"/>
      <c r="BX2" s="67"/>
      <c r="BY2" s="51"/>
      <c r="BZ2" s="51"/>
      <c r="CA2" s="52"/>
      <c r="CB2" s="51"/>
      <c r="CC2" s="52"/>
      <c r="CD2" s="51"/>
      <c r="CE2" s="67"/>
      <c r="CF2" s="67"/>
      <c r="CG2" s="67"/>
      <c r="CH2" s="51"/>
      <c r="CI2" s="67"/>
      <c r="CJ2" s="67"/>
      <c r="CK2" s="67"/>
      <c r="CL2" s="51"/>
      <c r="CM2" s="67"/>
      <c r="CN2" s="67"/>
      <c r="CO2" s="67"/>
    </row>
    <row r="3" spans="1:93" s="68" customFormat="1" ht="15.75" thickBot="1" x14ac:dyDescent="0.3">
      <c r="A3" s="54"/>
      <c r="B3" s="6"/>
      <c r="C3" s="6"/>
      <c r="D3" s="28"/>
      <c r="E3" s="28"/>
      <c r="F3" s="28"/>
      <c r="G3" s="28"/>
      <c r="H3" s="28"/>
      <c r="I3" s="28"/>
      <c r="J3" s="310" t="s">
        <v>422</v>
      </c>
      <c r="K3" s="311"/>
      <c r="L3" s="313"/>
      <c r="M3" s="311"/>
      <c r="N3" s="311"/>
      <c r="O3" s="311"/>
      <c r="P3" s="313"/>
      <c r="Q3" s="311"/>
      <c r="R3" s="320"/>
      <c r="S3" s="310" t="s">
        <v>423</v>
      </c>
      <c r="T3" s="311"/>
      <c r="U3" s="313"/>
      <c r="V3" s="311"/>
      <c r="W3" s="311"/>
      <c r="X3" s="311"/>
      <c r="Y3" s="313"/>
      <c r="Z3" s="311"/>
      <c r="AA3" s="320"/>
      <c r="AB3" s="310" t="s">
        <v>424</v>
      </c>
      <c r="AC3" s="311"/>
      <c r="AD3" s="313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0" t="s">
        <v>425</v>
      </c>
      <c r="AV3" s="311"/>
      <c r="AW3" s="313"/>
      <c r="AX3" s="311"/>
      <c r="AY3" s="311"/>
      <c r="AZ3" s="311"/>
      <c r="BA3" s="311"/>
      <c r="BB3" s="311"/>
      <c r="BC3" s="311"/>
      <c r="BD3" s="311"/>
      <c r="BE3" s="311"/>
      <c r="BF3" s="311"/>
      <c r="BG3" s="311"/>
      <c r="BH3" s="311"/>
      <c r="BI3" s="311"/>
      <c r="BJ3" s="311"/>
      <c r="BK3" s="311"/>
      <c r="BL3" s="310" t="s">
        <v>426</v>
      </c>
      <c r="BM3" s="311"/>
      <c r="BN3" s="313"/>
      <c r="BO3" s="311"/>
      <c r="BP3" s="311"/>
      <c r="BQ3" s="311"/>
      <c r="BR3" s="311"/>
      <c r="BS3" s="311"/>
      <c r="BT3" s="311"/>
      <c r="BU3" s="311"/>
      <c r="BV3" s="311"/>
      <c r="BW3" s="311"/>
      <c r="BX3" s="320"/>
      <c r="BY3" s="310" t="s">
        <v>427</v>
      </c>
      <c r="BZ3" s="311"/>
      <c r="CA3" s="313"/>
      <c r="CB3" s="311"/>
      <c r="CC3" s="311"/>
      <c r="CD3" s="311"/>
      <c r="CE3" s="311"/>
      <c r="CF3" s="311"/>
      <c r="CG3" s="311"/>
      <c r="CH3" s="311"/>
      <c r="CI3" s="311"/>
      <c r="CJ3" s="311"/>
      <c r="CK3" s="311"/>
      <c r="CL3" s="311"/>
      <c r="CM3" s="311"/>
      <c r="CN3" s="311"/>
      <c r="CO3" s="320"/>
    </row>
    <row r="4" spans="1:93" s="68" customFormat="1" x14ac:dyDescent="0.25">
      <c r="A4" s="54"/>
      <c r="B4" s="6"/>
      <c r="C4" s="6"/>
      <c r="D4" s="28"/>
      <c r="E4" s="28"/>
      <c r="F4" s="28"/>
      <c r="G4" s="28"/>
      <c r="H4" s="28"/>
      <c r="I4" s="28"/>
      <c r="J4" s="302" t="s">
        <v>368</v>
      </c>
      <c r="K4" s="321"/>
      <c r="L4" s="328"/>
      <c r="M4" s="321"/>
      <c r="N4" s="321"/>
      <c r="O4" s="304" t="s">
        <v>367</v>
      </c>
      <c r="P4" s="329"/>
      <c r="Q4" s="321"/>
      <c r="R4" s="327"/>
      <c r="S4" s="302" t="s">
        <v>428</v>
      </c>
      <c r="T4" s="321"/>
      <c r="U4" s="328"/>
      <c r="V4" s="321"/>
      <c r="W4" s="321"/>
      <c r="X4" s="304" t="s">
        <v>367</v>
      </c>
      <c r="Y4" s="329"/>
      <c r="Z4" s="321"/>
      <c r="AA4" s="327"/>
      <c r="AB4" s="302" t="s">
        <v>79</v>
      </c>
      <c r="AC4" s="321"/>
      <c r="AD4" s="328"/>
      <c r="AE4" s="321"/>
      <c r="AF4" s="321"/>
      <c r="AG4" s="304" t="s">
        <v>367</v>
      </c>
      <c r="AH4" s="329"/>
      <c r="AI4" s="321"/>
      <c r="AJ4" s="307"/>
      <c r="AK4" s="321"/>
      <c r="AL4" s="304" t="s">
        <v>389</v>
      </c>
      <c r="AM4" s="321"/>
      <c r="AN4" s="329"/>
      <c r="AO4" s="321"/>
      <c r="AP4" s="330"/>
      <c r="AQ4" s="322" t="s">
        <v>429</v>
      </c>
      <c r="AR4" s="367"/>
      <c r="AS4" s="321"/>
      <c r="AT4" s="330"/>
      <c r="AU4" s="302" t="s">
        <v>428</v>
      </c>
      <c r="AV4" s="321"/>
      <c r="AW4" s="328"/>
      <c r="AX4" s="321"/>
      <c r="AY4" s="321"/>
      <c r="AZ4" s="304" t="s">
        <v>367</v>
      </c>
      <c r="BA4" s="329"/>
      <c r="BB4" s="321"/>
      <c r="BC4" s="321"/>
      <c r="BD4" s="304" t="s">
        <v>389</v>
      </c>
      <c r="BE4" s="329"/>
      <c r="BF4" s="321"/>
      <c r="BG4" s="330"/>
      <c r="BH4" s="322" t="s">
        <v>429</v>
      </c>
      <c r="BI4" s="367"/>
      <c r="BJ4" s="321"/>
      <c r="BK4" s="330"/>
      <c r="BL4" s="302" t="s">
        <v>368</v>
      </c>
      <c r="BM4" s="321"/>
      <c r="BN4" s="328"/>
      <c r="BO4" s="321"/>
      <c r="BP4" s="321"/>
      <c r="BQ4" s="304" t="s">
        <v>367</v>
      </c>
      <c r="BR4" s="329"/>
      <c r="BS4" s="321"/>
      <c r="BT4" s="321"/>
      <c r="BU4" s="342" t="s">
        <v>430</v>
      </c>
      <c r="BV4" s="368"/>
      <c r="BW4" s="321"/>
      <c r="BX4" s="327"/>
      <c r="BY4" s="302" t="s">
        <v>368</v>
      </c>
      <c r="BZ4" s="321"/>
      <c r="CA4" s="328"/>
      <c r="CB4" s="321"/>
      <c r="CC4" s="321"/>
      <c r="CD4" s="304" t="s">
        <v>367</v>
      </c>
      <c r="CE4" s="329"/>
      <c r="CF4" s="321"/>
      <c r="CG4" s="321"/>
      <c r="CH4" s="322" t="s">
        <v>431</v>
      </c>
      <c r="CI4" s="368"/>
      <c r="CJ4" s="321"/>
      <c r="CK4" s="321"/>
      <c r="CL4" s="322" t="s">
        <v>432</v>
      </c>
      <c r="CM4" s="329"/>
      <c r="CN4" s="321"/>
      <c r="CO4" s="327"/>
    </row>
    <row r="5" spans="1:93" s="68" customFormat="1" x14ac:dyDescent="0.25">
      <c r="A5" s="54" t="str">
        <f ca="1">"Q" &amp; INT((MONTH($A$1) + 2) / 3) &amp; TEXT($A$1, "yy")</f>
        <v>Q326</v>
      </c>
      <c r="B5" s="6"/>
      <c r="C5" s="6"/>
      <c r="D5" s="28"/>
      <c r="E5" s="28"/>
      <c r="F5" s="28"/>
      <c r="G5" s="28"/>
      <c r="H5" s="28"/>
      <c r="I5" s="28"/>
      <c r="J5" s="160" t="str">
        <f t="shared" ref="J5:J11" ca="1" si="0">IFERROR(AVERAGEIF($C$19:$C$66, $A5, J$19:J$66), "")</f>
        <v/>
      </c>
      <c r="K5" s="371" t="str">
        <f ca="1">IFERROR(INDEX(ICE[], MATCH("fo35brx" &amp; LEFT($A5, 2) &amp; " " &amp; RIGHT($A5, 2), ICE[LongCode], 0), MATCH("Text", ICE[#Headers], 0)), "")</f>
        <v/>
      </c>
      <c r="L5" s="115" t="str">
        <f t="shared" ref="L5:L11" ca="1" si="1">IFERROR(AVERAGEIF($C$19:$C$66, $A5, L$19:L$66), "")</f>
        <v/>
      </c>
      <c r="M5" s="161"/>
      <c r="N5" s="162"/>
      <c r="O5" s="112" t="str">
        <f t="shared" ref="O5:P11" ca="1" si="2">IFERROR(AVERAGEIF($C$19:$C$66, $A5, O$19:O$66), "")</f>
        <v/>
      </c>
      <c r="P5" s="115" t="str">
        <f t="shared" ca="1" si="2"/>
        <v/>
      </c>
      <c r="Q5" s="161"/>
      <c r="R5" s="164"/>
      <c r="S5" s="160" t="str">
        <f t="shared" ref="S5:S11" ca="1" si="3">IFERROR(AVERAGEIF($C$19:$C$66, $A5, S$19:S$66), "")</f>
        <v/>
      </c>
      <c r="T5" s="371" t="str">
        <f ca="1">IFERROR(INDEX(ICE[], MATCH("hilo" &amp; LEFT($A5, 2) &amp; " " &amp; RIGHT($A5, 2), ICE[LongCode], 0), MATCH("Text", ICE[#Headers], 0)), "")</f>
        <v/>
      </c>
      <c r="U5" s="115" t="str">
        <f t="shared" ref="U5:U11" ca="1" si="4">IFERROR(AVERAGEIF($C$19:$C$66, $A5, U$19:U$66), "")</f>
        <v/>
      </c>
      <c r="V5" s="161"/>
      <c r="W5" s="162"/>
      <c r="X5" s="112" t="str">
        <f t="shared" ref="X5:Y11" ca="1" si="5">IFERROR(AVERAGEIF($C$19:$C$66, $A5, X$19:X$66), "")</f>
        <v/>
      </c>
      <c r="Y5" s="115" t="str">
        <f t="shared" ca="1" si="5"/>
        <v/>
      </c>
      <c r="Z5" s="161"/>
      <c r="AA5" s="164"/>
      <c r="AB5" s="160" t="str">
        <f t="shared" ref="AB5:AB11" ca="1" si="6">IFERROR(AVERAGEIF($C$19:$C$66, $A5, AB$19:AB$66), "")</f>
        <v/>
      </c>
      <c r="AC5" s="371" t="str">
        <f ca="1">IFERROR(INDEX(ICE[], MATCH("hsfoew" &amp; LEFT($A5, 2) &amp; " " &amp; RIGHT($A5, 2), ICE[LongCode], 0), MATCH("Text", ICE[#Headers], 0)), "")</f>
        <v/>
      </c>
      <c r="AD5" s="115" t="str">
        <f t="shared" ref="AD5:AD11" ca="1" si="7">IFERROR(AVERAGEIF($C$19:$C$66, $A5, AD$19:AD$66), "")</f>
        <v/>
      </c>
      <c r="AE5" s="161"/>
      <c r="AF5" s="162"/>
      <c r="AG5" s="112" t="str">
        <f t="shared" ref="AG5:AH11" ca="1" si="8">IFERROR(AVERAGEIF($C$19:$C$66, $A5, AG$19:AG$66), "")</f>
        <v/>
      </c>
      <c r="AH5" s="115" t="str">
        <f t="shared" ca="1" si="8"/>
        <v/>
      </c>
      <c r="AI5" s="161"/>
      <c r="AJ5" s="363" t="str">
        <f ca="1">IFERROR(INDEX(ICE[], MATCH("brfo380" &amp; LEFT(Crd!$A5, 2) &amp; " " &amp; RIGHT(Crd!$A5, 2), ICE[LongCode], 0), MATCH("Text", ICE[#Headers], 0)), "")</f>
        <v/>
      </c>
      <c r="AK5" s="162"/>
      <c r="AL5" s="112" t="str">
        <f t="shared" ref="AL5:AN11" ca="1" si="9">IFERROR(AVERAGEIF($C$19:$C$66, $A5, AL$19:AL$66), "")</f>
        <v/>
      </c>
      <c r="AM5" s="371" t="str">
        <f ca="1">IFERROR(INDEX(ICE[], MATCH("fo380brx" &amp; LEFT($A5, 2) &amp; " " &amp; RIGHT($A5, 2), ICE[LongCode], 0), MATCH("Text", ICE[#Headers], 0)), "")</f>
        <v/>
      </c>
      <c r="AN5" s="115" t="str">
        <f t="shared" ca="1" si="9"/>
        <v/>
      </c>
      <c r="AO5" s="161"/>
      <c r="AP5" s="163"/>
      <c r="AQ5" s="112" t="str">
        <f t="shared" ref="AQ5:AR11" ca="1" si="10">IFERROR(AVERAGEIF($C$19:$C$66, $A5, AQ$19:AQ$66), "")</f>
        <v/>
      </c>
      <c r="AR5" s="115" t="str">
        <f t="shared" ca="1" si="10"/>
        <v/>
      </c>
      <c r="AS5" s="161"/>
      <c r="AT5" s="163"/>
      <c r="AU5" s="160" t="str">
        <f t="shared" ref="AU5:AU11" ca="1" si="11">IFERROR(AVERAGEIF($C$19:$C$66, $A5, AU$19:AU$66), "")</f>
        <v/>
      </c>
      <c r="AV5" s="371" t="str">
        <f ca="1">IFERROR(INDEX(ICE[], MATCH("hilo" &amp; LEFT($A5, 2) &amp; " " &amp; RIGHT($A5, 2), ICE[LongCode], 0), MATCH("Text", ICE[#Headers], 0)), "")</f>
        <v/>
      </c>
      <c r="AW5" s="115" t="str">
        <f t="shared" ref="AW5:AW11" ca="1" si="12">IFERROR(AVERAGEIF($C$19:$C$66, $A5, AW$19:AW$66), "")</f>
        <v/>
      </c>
      <c r="AX5" s="161"/>
      <c r="AY5" s="162"/>
      <c r="AZ5" s="112" t="str">
        <f t="shared" ref="AZ5:BA11" ca="1" si="13">IFERROR(AVERAGEIF($C$19:$C$66, $A5, AZ$19:AZ$66), "")</f>
        <v/>
      </c>
      <c r="BA5" s="115" t="str">
        <f t="shared" ca="1" si="13"/>
        <v/>
      </c>
      <c r="BB5" s="161"/>
      <c r="BC5" s="162"/>
      <c r="BD5" s="112" t="str">
        <f t="shared" ref="BD5:BE11" ca="1" si="14">IFERROR(AVERAGEIF($C$19:$C$66, $A5, BD$19:BD$66), "")</f>
        <v/>
      </c>
      <c r="BE5" s="115" t="str">
        <f t="shared" ca="1" si="14"/>
        <v/>
      </c>
      <c r="BF5" s="161"/>
      <c r="BG5" s="163"/>
      <c r="BH5" s="112" t="str">
        <f t="shared" ref="BH5:BI11" ca="1" si="15">IFERROR(AVERAGEIF($C$19:$C$66, $A5, BH$19:BH$66), "")</f>
        <v/>
      </c>
      <c r="BI5" s="115" t="str">
        <f t="shared" ca="1" si="15"/>
        <v/>
      </c>
      <c r="BJ5" s="161"/>
      <c r="BK5" s="163"/>
      <c r="BL5" s="160" t="str">
        <f t="shared" ref="BL5:BL11" ca="1" si="16">IFERROR(AVERAGEIF($C$19:$C$66, $A5, BL$19:BL$66), "")</f>
        <v/>
      </c>
      <c r="BM5" s="371" t="str">
        <f ca="1">IFERROR(INDEX(ICE[], MATCH("fo05bfrbrx" &amp; LEFT($A5, 2) &amp; " " &amp; RIGHT($A5, 2), ICE[LongCode], 0), MATCH("Text", ICE[#Headers], 0)), "")</f>
        <v/>
      </c>
      <c r="BN5" s="115" t="str">
        <f t="shared" ref="BN5:BN11" ca="1" si="17">IFERROR(AVERAGEIF($C$19:$C$66, $A5, BN$19:BN$66), "")</f>
        <v/>
      </c>
      <c r="BO5" s="161"/>
      <c r="BP5" s="162"/>
      <c r="BQ5" s="112" t="str">
        <f t="shared" ref="BQ5:BR11" ca="1" si="18">IFERROR(AVERAGEIF($C$19:$C$66, $A5, BQ$19:BQ$66), "")</f>
        <v/>
      </c>
      <c r="BR5" s="115" t="str">
        <f t="shared" ca="1" si="18"/>
        <v/>
      </c>
      <c r="BS5" s="161"/>
      <c r="BT5" s="162"/>
      <c r="BU5" s="194" t="str">
        <f t="shared" ref="BU5:BV11" ca="1" si="19">IFERROR(AVERAGEIF($C$19:$C$66, $A5, BU$19:BU$66), "")</f>
        <v/>
      </c>
      <c r="BV5" s="115" t="str">
        <f t="shared" ca="1" si="19"/>
        <v/>
      </c>
      <c r="BW5" s="161"/>
      <c r="BX5" s="164"/>
      <c r="BY5" s="160" t="str">
        <f t="shared" ref="BY5:BY11" ca="1" si="20">IFERROR(AVERAGEIF($C$19:$C$66, $A5, BY$19:BY$66), "")</f>
        <v/>
      </c>
      <c r="BZ5" s="371" t="str">
        <f ca="1">IFERROR(INDEX(ICE[], MATCH("fo05singbrx" &amp; LEFT($A5, 2) &amp; " " &amp; RIGHT($A5, 2), ICE[LongCode], 0), MATCH("Text", ICE[#Headers], 0)), "")</f>
        <v/>
      </c>
      <c r="CA5" s="115" t="str">
        <f t="shared" ref="CA5:CA11" ca="1" si="21">IFERROR(AVERAGEIF($C$19:$C$66, $A5, CA$19:CA$66), "")</f>
        <v/>
      </c>
      <c r="CB5" s="161"/>
      <c r="CC5" s="162"/>
      <c r="CD5" s="112" t="str">
        <f t="shared" ref="CD5:CE11" ca="1" si="22">IFERROR(AVERAGEIF($C$19:$C$66, $A5, CD$19:CD$66), "")</f>
        <v/>
      </c>
      <c r="CE5" s="115" t="str">
        <f t="shared" ca="1" si="22"/>
        <v/>
      </c>
      <c r="CF5" s="161"/>
      <c r="CG5" s="163"/>
      <c r="CH5" s="112" t="str">
        <f t="shared" ref="CH5:CI11" ca="1" si="23">IFERROR(AVERAGEIF($C$19:$C$66, $A5, CH$19:CH$66), "")</f>
        <v/>
      </c>
      <c r="CI5" s="115" t="str">
        <f t="shared" ca="1" si="23"/>
        <v/>
      </c>
      <c r="CJ5" s="161"/>
      <c r="CK5" s="163"/>
      <c r="CL5" s="112" t="str">
        <f t="shared" ref="CL5:CM11" ca="1" si="24">IFERROR(AVERAGEIF($C$19:$C$66, $A5, CL$19:CL$66), "")</f>
        <v/>
      </c>
      <c r="CM5" s="115" t="str">
        <f t="shared" ca="1" si="24"/>
        <v/>
      </c>
      <c r="CN5" s="161"/>
      <c r="CO5" s="164"/>
    </row>
    <row r="6" spans="1:93" s="68" customFormat="1" x14ac:dyDescent="0.25">
      <c r="A6" s="54" t="str">
        <f ca="1">IF(LEFT($A5, 2) = "Q4", "Q1" &amp; TEXT(RIGHT($A5, 2) + 1, "00"), "Q" &amp; MID($A5, 2, 1) + 1 &amp; RIGHT($A5, 2))</f>
        <v>Q426</v>
      </c>
      <c r="B6" s="6"/>
      <c r="C6" s="6"/>
      <c r="D6" s="28"/>
      <c r="E6" s="28"/>
      <c r="F6" s="28"/>
      <c r="G6" s="28"/>
      <c r="H6" s="28"/>
      <c r="I6" s="28"/>
      <c r="J6" s="109" t="str">
        <f t="shared" ca="1" si="0"/>
        <v/>
      </c>
      <c r="K6" s="372" t="str">
        <f ca="1">IFERROR(INDEX(ICE[], MATCH("fo35brx" &amp; LEFT($A6, 2) &amp; " " &amp; RIGHT($A6, 2), ICE[LongCode], 0), MATCH("Text", ICE[#Headers], 0)), "")</f>
        <v xml:space="preserve"> / -9.00 </v>
      </c>
      <c r="L6" s="46" t="str">
        <f t="shared" ca="1" si="1"/>
        <v/>
      </c>
      <c r="M6" s="47" t="str">
        <f ca="1">IF(AND(ISNUMBER(J5), ISNUMBER(J6)), J5 - J6, "")</f>
        <v/>
      </c>
      <c r="N6" s="114" t="str">
        <f ca="1">IF(AND(ISNUMBER(L5), ISNUMBER(L6)), L5 - L6, "")</f>
        <v/>
      </c>
      <c r="O6" s="110" t="str">
        <f t="shared" ca="1" si="2"/>
        <v/>
      </c>
      <c r="P6" s="46" t="str">
        <f t="shared" ca="1" si="2"/>
        <v/>
      </c>
      <c r="Q6" s="47" t="str">
        <f ca="1">IF(AND(ISNUMBER(O5), ISNUMBER(O6)), O5 - O6, "")</f>
        <v/>
      </c>
      <c r="R6" s="111" t="str">
        <f ca="1">IF(AND(ISNUMBER(P5), ISNUMBER(P6)), P5 - P6, "")</f>
        <v/>
      </c>
      <c r="S6" s="109" t="str">
        <f t="shared" ca="1" si="3"/>
        <v/>
      </c>
      <c r="T6" s="372" t="str">
        <f ca="1">IFERROR(INDEX(ICE[], MATCH("hilo" &amp; LEFT($A6, 2) &amp; " " &amp; RIGHT($A6, 2), ICE[LongCode], 0), MATCH("Text", ICE[#Headers], 0)), "")</f>
        <v xml:space="preserve"> /  </v>
      </c>
      <c r="U6" s="46" t="str">
        <f t="shared" ca="1" si="4"/>
        <v/>
      </c>
      <c r="V6" s="47" t="str">
        <f ca="1">IF(AND(ISNUMBER(S5), ISNUMBER(S6)), S5 - S6, "")</f>
        <v/>
      </c>
      <c r="W6" s="114" t="str">
        <f ca="1">IF(AND(ISNUMBER(U5), ISNUMBER(U6)), U5 - U6, "")</f>
        <v/>
      </c>
      <c r="X6" s="110" t="str">
        <f t="shared" ca="1" si="5"/>
        <v/>
      </c>
      <c r="Y6" s="46" t="str">
        <f t="shared" ca="1" si="5"/>
        <v/>
      </c>
      <c r="Z6" s="47" t="str">
        <f ca="1">IF(AND(ISNUMBER(X5), ISNUMBER(X6)), X5 - X6, "")</f>
        <v/>
      </c>
      <c r="AA6" s="111" t="str">
        <f ca="1">IF(AND(ISNUMBER(Y5), ISNUMBER(Y6)), Y5 - Y6, "")</f>
        <v/>
      </c>
      <c r="AB6" s="109" t="str">
        <f t="shared" ca="1" si="6"/>
        <v/>
      </c>
      <c r="AC6" s="372" t="str">
        <f ca="1">IFERROR(INDEX(ICE[], MATCH("hsfoew" &amp; LEFT($A6, 2) &amp; " " &amp; RIGHT($A6, 2), ICE[LongCode], 0), MATCH("Text", ICE[#Headers], 0)), "")</f>
        <v xml:space="preserve">7.75 / 50.00 </v>
      </c>
      <c r="AD6" s="46" t="str">
        <f t="shared" ca="1" si="7"/>
        <v/>
      </c>
      <c r="AE6" s="47" t="str">
        <f ca="1">IF(AND(ISNUMBER(AB5), ISNUMBER(AB6)), AB5 - AB6, "")</f>
        <v/>
      </c>
      <c r="AF6" s="114" t="str">
        <f ca="1">IF(AND(ISNUMBER(AD5), ISNUMBER(AD6)), AD5 - AD6, "")</f>
        <v/>
      </c>
      <c r="AG6" s="110" t="str">
        <f t="shared" ca="1" si="8"/>
        <v/>
      </c>
      <c r="AH6" s="46" t="str">
        <f t="shared" ca="1" si="8"/>
        <v/>
      </c>
      <c r="AI6" s="47" t="str">
        <f t="shared" ref="AI6:AI11" ca="1" si="25">IF(AND(ISNUMBER(AG5), ISNUMBER(AG6)), AG5 - AG6, "")</f>
        <v/>
      </c>
      <c r="AJ6" s="364"/>
      <c r="AK6" s="114" t="str">
        <f t="shared" ref="AK6:AK11" ca="1" si="26">IF(AND(ISNUMBER(AH5), ISNUMBER(AH6)), AH5 - AH6, "")</f>
        <v/>
      </c>
      <c r="AL6" s="110" t="str">
        <f t="shared" ca="1" si="9"/>
        <v/>
      </c>
      <c r="AM6" s="372" t="str">
        <f ca="1">IFERROR(INDEX(ICE[], MATCH("fo380brx" &amp; LEFT($A6, 2) &amp; " " &amp; RIGHT($A6, 2), ICE[LongCode], 0), MATCH("Text", ICE[#Headers], 0)), "")</f>
        <v xml:space="preserve"> / -3.88 {-5.00} |2x</v>
      </c>
      <c r="AN6" s="46" t="str">
        <f t="shared" ca="1" si="9"/>
        <v/>
      </c>
      <c r="AO6" s="47" t="str">
        <f ca="1">IF(AND(ISNUMBER(AL5), ISNUMBER(AL6)), AL5 - AL6, "")</f>
        <v/>
      </c>
      <c r="AP6" s="46" t="str">
        <f ca="1">IF(AND(ISNUMBER(AN5), ISNUMBER(AN6)), AN5 - AN6, "")</f>
        <v/>
      </c>
      <c r="AQ6" s="110" t="str">
        <f t="shared" ca="1" si="10"/>
        <v/>
      </c>
      <c r="AR6" s="46" t="str">
        <f t="shared" ca="1" si="10"/>
        <v/>
      </c>
      <c r="AS6" s="47" t="str">
        <f ca="1">IF(AND(ISNUMBER(AQ5), ISNUMBER(AQ6)), AQ5 - AQ6, "")</f>
        <v/>
      </c>
      <c r="AT6" s="46" t="str">
        <f ca="1">IF(AND(ISNUMBER(AR5), ISNUMBER(AR6)), AR5 - AR6, "")</f>
        <v/>
      </c>
      <c r="AU6" s="109" t="str">
        <f t="shared" ca="1" si="11"/>
        <v/>
      </c>
      <c r="AV6" s="372" t="str">
        <f ca="1">IFERROR(INDEX(ICE[], MATCH("hilo" &amp; LEFT($A6, 2) &amp; " " &amp; RIGHT($A6, 2), ICE[LongCode], 0), MATCH("Text", ICE[#Headers], 0)), "")</f>
        <v xml:space="preserve"> /  </v>
      </c>
      <c r="AW6" s="46" t="str">
        <f t="shared" ca="1" si="12"/>
        <v/>
      </c>
      <c r="AX6" s="47" t="str">
        <f ca="1">IF(AND(ISNUMBER(AU5), ISNUMBER(AU6)), AU5 - AU6, "")</f>
        <v/>
      </c>
      <c r="AY6" s="114" t="str">
        <f ca="1">IF(AND(ISNUMBER(AW5), ISNUMBER(AW6)), AW5 - AW6, "")</f>
        <v/>
      </c>
      <c r="AZ6" s="110" t="str">
        <f t="shared" ca="1" si="13"/>
        <v/>
      </c>
      <c r="BA6" s="46" t="str">
        <f t="shared" ca="1" si="13"/>
        <v/>
      </c>
      <c r="BB6" s="47" t="str">
        <f ca="1">IF(AND(ISNUMBER(AZ5), ISNUMBER(AZ6)), AZ5 - AZ6, "")</f>
        <v/>
      </c>
      <c r="BC6" s="114" t="str">
        <f ca="1">IF(AND(ISNUMBER(BA5), ISNUMBER(BA6)), BA5 - BA6, "")</f>
        <v/>
      </c>
      <c r="BD6" s="110" t="str">
        <f t="shared" ca="1" si="14"/>
        <v/>
      </c>
      <c r="BE6" s="46" t="str">
        <f t="shared" ca="1" si="14"/>
        <v/>
      </c>
      <c r="BF6" s="47" t="str">
        <f ca="1">IF(AND(ISNUMBER(BD5), ISNUMBER(BD6)), BD5 - BD6, "")</f>
        <v/>
      </c>
      <c r="BG6" s="46" t="str">
        <f ca="1">IF(AND(ISNUMBER(BE5), ISNUMBER(BE6)), BE5 - BE6, "")</f>
        <v/>
      </c>
      <c r="BH6" s="110" t="str">
        <f t="shared" ca="1" si="15"/>
        <v/>
      </c>
      <c r="BI6" s="46" t="str">
        <f t="shared" ca="1" si="15"/>
        <v/>
      </c>
      <c r="BJ6" s="47" t="str">
        <f ca="1">IF(AND(ISNUMBER(BH5), ISNUMBER(BH6)), BH5 - BH6, "")</f>
        <v/>
      </c>
      <c r="BK6" s="46" t="str">
        <f ca="1">IF(AND(ISNUMBER(BI5), ISNUMBER(BI6)), BI5 - BI6, "")</f>
        <v/>
      </c>
      <c r="BL6" s="109" t="str">
        <f t="shared" ca="1" si="16"/>
        <v/>
      </c>
      <c r="BM6" s="372" t="str">
        <f ca="1">IFERROR(INDEX(ICE[], MATCH("fo05bfrbrx" &amp; LEFT($A6, 2) &amp; " " &amp; RIGHT($A6, 2), ICE[LongCode], 0), MATCH("Text", ICE[#Headers], 0)), "")</f>
        <v xml:space="preserve"> /  </v>
      </c>
      <c r="BN6" s="46" t="str">
        <f t="shared" ca="1" si="17"/>
        <v/>
      </c>
      <c r="BO6" s="47" t="str">
        <f ca="1">IF(AND(ISNUMBER(BL5), ISNUMBER(BL6)), BL5 - BL6, "")</f>
        <v/>
      </c>
      <c r="BP6" s="114" t="str">
        <f ca="1">IF(AND(ISNUMBER(BN5), ISNUMBER(BN6)), BN5 - BN6, "")</f>
        <v/>
      </c>
      <c r="BQ6" s="110" t="str">
        <f t="shared" ca="1" si="18"/>
        <v/>
      </c>
      <c r="BR6" s="46" t="str">
        <f t="shared" ca="1" si="18"/>
        <v/>
      </c>
      <c r="BS6" s="47" t="str">
        <f ca="1">IF(AND(ISNUMBER(BQ5), ISNUMBER(BQ6)), BQ5 - BQ6, "")</f>
        <v/>
      </c>
      <c r="BT6" s="114" t="str">
        <f ca="1">IF(AND(ISNUMBER(BR5), ISNUMBER(BR6)), BR5 - BR6, "")</f>
        <v/>
      </c>
      <c r="BU6" s="48" t="str">
        <f t="shared" ca="1" si="19"/>
        <v/>
      </c>
      <c r="BV6" s="46" t="str">
        <f t="shared" ca="1" si="19"/>
        <v/>
      </c>
      <c r="BW6" s="47" t="str">
        <f ca="1">IF(AND(ISNUMBER(BU5), ISNUMBER(BU6)), BU5 - BU6, "")</f>
        <v/>
      </c>
      <c r="BX6" s="111" t="str">
        <f ca="1">IF(AND(ISNUMBER(BV5), ISNUMBER(BV6)), BV5 - BV6, "")</f>
        <v/>
      </c>
      <c r="BY6" s="109" t="str">
        <f t="shared" ca="1" si="20"/>
        <v/>
      </c>
      <c r="BZ6" s="372" t="str">
        <f ca="1">IFERROR(INDEX(ICE[], MATCH("fo05singbrx" &amp; LEFT($A6, 2) &amp; " " &amp; RIGHT($A6, 2), ICE[LongCode], 0), MATCH("Text", ICE[#Headers], 0)), "")</f>
        <v xml:space="preserve"> /  </v>
      </c>
      <c r="CA6" s="46" t="str">
        <f t="shared" ca="1" si="21"/>
        <v/>
      </c>
      <c r="CB6" s="47" t="str">
        <f ca="1">IF(AND(ISNUMBER(BY5), ISNUMBER(BY6)), BY5 - BY6, "")</f>
        <v/>
      </c>
      <c r="CC6" s="114" t="str">
        <f ca="1">IF(AND(ISNUMBER(CA5), ISNUMBER(CA6)), CA5 - CA6, "")</f>
        <v/>
      </c>
      <c r="CD6" s="110" t="str">
        <f t="shared" ca="1" si="22"/>
        <v/>
      </c>
      <c r="CE6" s="46" t="str">
        <f t="shared" ca="1" si="22"/>
        <v/>
      </c>
      <c r="CF6" s="47" t="str">
        <f ca="1">IF(AND(ISNUMBER(CD5), ISNUMBER(CD6)), CD5 - CD6, "")</f>
        <v/>
      </c>
      <c r="CG6" s="46" t="str">
        <f ca="1">IF(AND(ISNUMBER(CE5), ISNUMBER(CE6)), CE5 - CE6, "")</f>
        <v/>
      </c>
      <c r="CH6" s="110" t="str">
        <f t="shared" ca="1" si="23"/>
        <v/>
      </c>
      <c r="CI6" s="46" t="str">
        <f t="shared" ca="1" si="23"/>
        <v/>
      </c>
      <c r="CJ6" s="47" t="str">
        <f ca="1">IF(AND(ISNUMBER(CH5), ISNUMBER(CH6)), CH5 - CH6, "")</f>
        <v/>
      </c>
      <c r="CK6" s="46" t="str">
        <f ca="1">IF(AND(ISNUMBER(CI5), ISNUMBER(CI6)), CI5 - CI6, "")</f>
        <v/>
      </c>
      <c r="CL6" s="110" t="str">
        <f t="shared" ca="1" si="24"/>
        <v/>
      </c>
      <c r="CM6" s="46" t="str">
        <f t="shared" ca="1" si="24"/>
        <v/>
      </c>
      <c r="CN6" s="47" t="str">
        <f ca="1">IF(AND(ISNUMBER(CL5), ISNUMBER(CL6)), CL5 - CL6, "")</f>
        <v/>
      </c>
      <c r="CO6" s="111" t="str">
        <f ca="1">IF(AND(ISNUMBER(CM5), ISNUMBER(CM6)), CM5 - CM6, "")</f>
        <v/>
      </c>
    </row>
    <row r="7" spans="1:93" s="68" customFormat="1" x14ac:dyDescent="0.25">
      <c r="A7" s="54" t="str">
        <f t="shared" ref="A7:A11" ca="1" si="27">IF(LEFT($A6, 2) = "Q4", "Q1" &amp; TEXT(RIGHT($A6, 2) + 1, "00"), "Q" &amp; MID($A6, 2, 1) + 1 &amp; RIGHT($A6, 2))</f>
        <v>Q127</v>
      </c>
      <c r="B7" s="6"/>
      <c r="C7" s="6"/>
      <c r="D7" s="28"/>
      <c r="E7" s="28"/>
      <c r="F7" s="28"/>
      <c r="G7" s="28"/>
      <c r="H7" s="28"/>
      <c r="I7" s="28"/>
      <c r="J7" s="109" t="str">
        <f t="shared" ca="1" si="0"/>
        <v/>
      </c>
      <c r="K7" s="372" t="str">
        <f ca="1">IFERROR(INDEX(ICE[], MATCH("fo35brx" &amp; LEFT($A7, 2) &amp; " " &amp; RIGHT($A7, 2), ICE[LongCode], 0), MATCH("Text", ICE[#Headers], 0)), "")</f>
        <v xml:space="preserve"> / -8.20 </v>
      </c>
      <c r="L7" s="46" t="str">
        <f t="shared" ca="1" si="1"/>
        <v/>
      </c>
      <c r="M7" s="47" t="str">
        <f t="shared" ref="M7:M11" ca="1" si="28">IF(AND(ISNUMBER(J6), ISNUMBER(J7)), J6 - J7, "")</f>
        <v/>
      </c>
      <c r="N7" s="114" t="str">
        <f t="shared" ref="N7:N11" ca="1" si="29">IF(AND(ISNUMBER(L6), ISNUMBER(L7)), L6 - L7, "")</f>
        <v/>
      </c>
      <c r="O7" s="110" t="str">
        <f t="shared" ca="1" si="2"/>
        <v/>
      </c>
      <c r="P7" s="46" t="str">
        <f t="shared" ca="1" si="2"/>
        <v/>
      </c>
      <c r="Q7" s="47" t="str">
        <f t="shared" ref="Q7:R11" ca="1" si="30">IF(AND(ISNUMBER(O6), ISNUMBER(O7)), O6 - O7, "")</f>
        <v/>
      </c>
      <c r="R7" s="111" t="str">
        <f t="shared" ca="1" si="30"/>
        <v/>
      </c>
      <c r="S7" s="109" t="str">
        <f t="shared" ca="1" si="3"/>
        <v/>
      </c>
      <c r="T7" s="372" t="str">
        <f ca="1">IFERROR(INDEX(ICE[], MATCH("hilo" &amp; LEFT($A7, 2) &amp; " " &amp; RIGHT($A7, 2), ICE[LongCode], 0), MATCH("Text", ICE[#Headers], 0)), "")</f>
        <v xml:space="preserve"> /  </v>
      </c>
      <c r="U7" s="46" t="str">
        <f t="shared" ca="1" si="4"/>
        <v/>
      </c>
      <c r="V7" s="47" t="str">
        <f t="shared" ref="V7:V11" ca="1" si="31">IF(AND(ISNUMBER(S6), ISNUMBER(S7)), S6 - S7, "")</f>
        <v/>
      </c>
      <c r="W7" s="114" t="str">
        <f t="shared" ref="W7:W11" ca="1" si="32">IF(AND(ISNUMBER(U6), ISNUMBER(U7)), U6 - U7, "")</f>
        <v/>
      </c>
      <c r="X7" s="110" t="str">
        <f t="shared" ca="1" si="5"/>
        <v/>
      </c>
      <c r="Y7" s="46" t="str">
        <f t="shared" ca="1" si="5"/>
        <v/>
      </c>
      <c r="Z7" s="47" t="str">
        <f t="shared" ref="Z7:Z11" ca="1" si="33">IF(AND(ISNUMBER(X6), ISNUMBER(X7)), X6 - X7, "")</f>
        <v/>
      </c>
      <c r="AA7" s="111" t="str">
        <f t="shared" ref="AA7:AA11" ca="1" si="34">IF(AND(ISNUMBER(Y6), ISNUMBER(Y7)), Y6 - Y7, "")</f>
        <v/>
      </c>
      <c r="AB7" s="109" t="str">
        <f t="shared" ca="1" si="6"/>
        <v/>
      </c>
      <c r="AC7" s="372" t="str">
        <f ca="1">IFERROR(INDEX(ICE[], MATCH("hsfoew" &amp; LEFT($A7, 2) &amp; " " &amp; RIGHT($A7, 2), ICE[LongCode], 0), MATCH("Text", ICE[#Headers], 0)), "")</f>
        <v xml:space="preserve">10.25 / 30.50 </v>
      </c>
      <c r="AD7" s="46" t="str">
        <f t="shared" ca="1" si="7"/>
        <v/>
      </c>
      <c r="AE7" s="47" t="str">
        <f t="shared" ref="AE7:AE11" ca="1" si="35">IF(AND(ISNUMBER(AB6), ISNUMBER(AB7)), AB6 - AB7, "")</f>
        <v/>
      </c>
      <c r="AF7" s="114" t="str">
        <f t="shared" ref="AF7:AF11" ca="1" si="36">IF(AND(ISNUMBER(AD6), ISNUMBER(AD7)), AD6 - AD7, "")</f>
        <v/>
      </c>
      <c r="AG7" s="110" t="str">
        <f t="shared" ca="1" si="8"/>
        <v/>
      </c>
      <c r="AH7" s="46" t="str">
        <f t="shared" ca="1" si="8"/>
        <v/>
      </c>
      <c r="AI7" s="47" t="str">
        <f t="shared" ca="1" si="25"/>
        <v/>
      </c>
      <c r="AJ7" s="364" t="str">
        <f ca="1">IFERROR(INDEX(ICE[], MATCH("fo380" &amp; LEFT(Crd!$A6, 2) &amp; " " &amp; RIGHT(Crd!$A6, 2) &amp; "/" &amp; LEFT(Crd!$A7, 2) &amp; " " &amp; RIGHT(Crd!$A7, 2), ICE[LongCode], 0), MATCH("Text", ICE[#Headers], 0)), "")</f>
        <v xml:space="preserve">0.00 /  </v>
      </c>
      <c r="AK7" s="114" t="str">
        <f t="shared" ca="1" si="26"/>
        <v/>
      </c>
      <c r="AL7" s="110" t="str">
        <f t="shared" ca="1" si="9"/>
        <v/>
      </c>
      <c r="AM7" s="372" t="str">
        <f ca="1">IFERROR(INDEX(ICE[], MATCH("fo380brx" &amp; LEFT($A7, 2) &amp; " " &amp; RIGHT($A7, 2), ICE[LongCode], 0), MATCH("Text", ICE[#Headers], 0)), "")</f>
        <v xml:space="preserve"> /  </v>
      </c>
      <c r="AN7" s="46" t="str">
        <f t="shared" ca="1" si="9"/>
        <v/>
      </c>
      <c r="AO7" s="47" t="str">
        <f t="shared" ref="AO7:AO11" ca="1" si="37">IF(AND(ISNUMBER(AL6), ISNUMBER(AL7)), AL6 - AL7, "")</f>
        <v/>
      </c>
      <c r="AP7" s="46" t="str">
        <f t="shared" ref="AP7:AP11" ca="1" si="38">IF(AND(ISNUMBER(AN6), ISNUMBER(AN7)), AN6 - AN7, "")</f>
        <v/>
      </c>
      <c r="AQ7" s="110" t="str">
        <f t="shared" ca="1" si="10"/>
        <v/>
      </c>
      <c r="AR7" s="46" t="str">
        <f t="shared" ca="1" si="10"/>
        <v/>
      </c>
      <c r="AS7" s="47" t="str">
        <f t="shared" ref="AS7:AS11" ca="1" si="39">IF(AND(ISNUMBER(AQ6), ISNUMBER(AQ7)), AQ6 - AQ7, "")</f>
        <v/>
      </c>
      <c r="AT7" s="46" t="str">
        <f t="shared" ref="AT7:AT11" ca="1" si="40">IF(AND(ISNUMBER(AR6), ISNUMBER(AR7)), AR6 - AR7, "")</f>
        <v/>
      </c>
      <c r="AU7" s="109" t="str">
        <f t="shared" ca="1" si="11"/>
        <v/>
      </c>
      <c r="AV7" s="372" t="str">
        <f ca="1">IFERROR(INDEX(ICE[], MATCH("hilo" &amp; LEFT($A7, 2) &amp; " " &amp; RIGHT($A7, 2), ICE[LongCode], 0), MATCH("Text", ICE[#Headers], 0)), "")</f>
        <v xml:space="preserve"> /  </v>
      </c>
      <c r="AW7" s="46" t="str">
        <f t="shared" ca="1" si="12"/>
        <v/>
      </c>
      <c r="AX7" s="47" t="str">
        <f t="shared" ref="AX7:AX11" ca="1" si="41">IF(AND(ISNUMBER(AU6), ISNUMBER(AU7)), AU6 - AU7, "")</f>
        <v/>
      </c>
      <c r="AY7" s="114" t="str">
        <f t="shared" ref="AY7:AY11" ca="1" si="42">IF(AND(ISNUMBER(AW6), ISNUMBER(AW7)), AW6 - AW7, "")</f>
        <v/>
      </c>
      <c r="AZ7" s="110" t="str">
        <f t="shared" ca="1" si="13"/>
        <v/>
      </c>
      <c r="BA7" s="46" t="str">
        <f t="shared" ca="1" si="13"/>
        <v/>
      </c>
      <c r="BB7" s="47" t="str">
        <f t="shared" ref="BB7:BB11" ca="1" si="43">IF(AND(ISNUMBER(AZ6), ISNUMBER(AZ7)), AZ6 - AZ7, "")</f>
        <v/>
      </c>
      <c r="BC7" s="114" t="str">
        <f t="shared" ref="BC7:BC11" ca="1" si="44">IF(AND(ISNUMBER(BA6), ISNUMBER(BA7)), BA6 - BA7, "")</f>
        <v/>
      </c>
      <c r="BD7" s="110" t="str">
        <f t="shared" ca="1" si="14"/>
        <v/>
      </c>
      <c r="BE7" s="46" t="str">
        <f t="shared" ca="1" si="14"/>
        <v/>
      </c>
      <c r="BF7" s="47" t="str">
        <f t="shared" ref="BF7:BF11" ca="1" si="45">IF(AND(ISNUMBER(BD6), ISNUMBER(BD7)), BD6 - BD7, "")</f>
        <v/>
      </c>
      <c r="BG7" s="46" t="str">
        <f t="shared" ref="BG7:BG11" ca="1" si="46">IF(AND(ISNUMBER(BE6), ISNUMBER(BE7)), BE6 - BE7, "")</f>
        <v/>
      </c>
      <c r="BH7" s="110" t="str">
        <f t="shared" ca="1" si="15"/>
        <v/>
      </c>
      <c r="BI7" s="46" t="str">
        <f t="shared" ca="1" si="15"/>
        <v/>
      </c>
      <c r="BJ7" s="47" t="str">
        <f t="shared" ref="BJ7:BJ11" ca="1" si="47">IF(AND(ISNUMBER(BH6), ISNUMBER(BH7)), BH6 - BH7, "")</f>
        <v/>
      </c>
      <c r="BK7" s="46" t="str">
        <f t="shared" ref="BK7:BK11" ca="1" si="48">IF(AND(ISNUMBER(BI6), ISNUMBER(BI7)), BI6 - BI7, "")</f>
        <v/>
      </c>
      <c r="BL7" s="109" t="str">
        <f t="shared" ca="1" si="16"/>
        <v/>
      </c>
      <c r="BM7" s="372" t="str">
        <f ca="1">IFERROR(INDEX(ICE[], MATCH("fo05bfrbrx" &amp; LEFT($A7, 2) &amp; " " &amp; RIGHT($A7, 2), ICE[LongCode], 0), MATCH("Text", ICE[#Headers], 0)), "")</f>
        <v xml:space="preserve"> /  </v>
      </c>
      <c r="BN7" s="46" t="str">
        <f t="shared" ca="1" si="17"/>
        <v/>
      </c>
      <c r="BO7" s="47" t="str">
        <f t="shared" ref="BO7:BO11" ca="1" si="49">IF(AND(ISNUMBER(BL6), ISNUMBER(BL7)), BL6 - BL7, "")</f>
        <v/>
      </c>
      <c r="BP7" s="114" t="str">
        <f t="shared" ref="BP7:BP11" ca="1" si="50">IF(AND(ISNUMBER(BN6), ISNUMBER(BN7)), BN6 - BN7, "")</f>
        <v/>
      </c>
      <c r="BQ7" s="110" t="str">
        <f t="shared" ca="1" si="18"/>
        <v/>
      </c>
      <c r="BR7" s="46" t="str">
        <f t="shared" ca="1" si="18"/>
        <v/>
      </c>
      <c r="BS7" s="47" t="str">
        <f t="shared" ref="BS7:BS11" ca="1" si="51">IF(AND(ISNUMBER(BQ6), ISNUMBER(BQ7)), BQ6 - BQ7, "")</f>
        <v/>
      </c>
      <c r="BT7" s="114" t="str">
        <f t="shared" ref="BT7:BT11" ca="1" si="52">IF(AND(ISNUMBER(BR6), ISNUMBER(BR7)), BR6 - BR7, "")</f>
        <v/>
      </c>
      <c r="BU7" s="48" t="str">
        <f t="shared" ca="1" si="19"/>
        <v/>
      </c>
      <c r="BV7" s="46" t="str">
        <f t="shared" ca="1" si="19"/>
        <v/>
      </c>
      <c r="BW7" s="47" t="str">
        <f t="shared" ref="BW7:BW11" ca="1" si="53">IF(AND(ISNUMBER(BU6), ISNUMBER(BU7)), BU6 - BU7, "")</f>
        <v/>
      </c>
      <c r="BX7" s="111" t="str">
        <f t="shared" ref="BX7:BX11" ca="1" si="54">IF(AND(ISNUMBER(BV6), ISNUMBER(BV7)), BV6 - BV7, "")</f>
        <v/>
      </c>
      <c r="BY7" s="109" t="str">
        <f t="shared" ca="1" si="20"/>
        <v/>
      </c>
      <c r="BZ7" s="372" t="str">
        <f ca="1">IFERROR(INDEX(ICE[], MATCH("fo05singbrx" &amp; LEFT($A7, 2) &amp; " " &amp; RIGHT($A7, 2), ICE[LongCode], 0), MATCH("Text", ICE[#Headers], 0)), "")</f>
        <v xml:space="preserve"> /  </v>
      </c>
      <c r="CA7" s="46" t="str">
        <f t="shared" ca="1" si="21"/>
        <v/>
      </c>
      <c r="CB7" s="47" t="str">
        <f t="shared" ref="CB7:CB11" ca="1" si="55">IF(AND(ISNUMBER(BY6), ISNUMBER(BY7)), BY6 - BY7, "")</f>
        <v/>
      </c>
      <c r="CC7" s="114" t="str">
        <f t="shared" ref="CC7:CC11" ca="1" si="56">IF(AND(ISNUMBER(CA6), ISNUMBER(CA7)), CA6 - CA7, "")</f>
        <v/>
      </c>
      <c r="CD7" s="110" t="str">
        <f t="shared" ca="1" si="22"/>
        <v/>
      </c>
      <c r="CE7" s="46" t="str">
        <f t="shared" ca="1" si="22"/>
        <v/>
      </c>
      <c r="CF7" s="47" t="str">
        <f t="shared" ref="CF7:CF11" ca="1" si="57">IF(AND(ISNUMBER(CD6), ISNUMBER(CD7)), CD6 - CD7, "")</f>
        <v/>
      </c>
      <c r="CG7" s="46" t="str">
        <f t="shared" ref="CG7:CG11" ca="1" si="58">IF(AND(ISNUMBER(CE6), ISNUMBER(CE7)), CE6 - CE7, "")</f>
        <v/>
      </c>
      <c r="CH7" s="110" t="str">
        <f t="shared" ca="1" si="23"/>
        <v/>
      </c>
      <c r="CI7" s="46" t="str">
        <f t="shared" ca="1" si="23"/>
        <v/>
      </c>
      <c r="CJ7" s="47" t="str">
        <f t="shared" ref="CJ7:CJ11" ca="1" si="59">IF(AND(ISNUMBER(CH6), ISNUMBER(CH7)), CH6 - CH7, "")</f>
        <v/>
      </c>
      <c r="CK7" s="46" t="str">
        <f t="shared" ref="CK7:CK11" ca="1" si="60">IF(AND(ISNUMBER(CI6), ISNUMBER(CI7)), CI6 - CI7, "")</f>
        <v/>
      </c>
      <c r="CL7" s="110" t="str">
        <f t="shared" ca="1" si="24"/>
        <v/>
      </c>
      <c r="CM7" s="46" t="str">
        <f t="shared" ca="1" si="24"/>
        <v/>
      </c>
      <c r="CN7" s="47" t="str">
        <f t="shared" ref="CN7:CN11" ca="1" si="61">IF(AND(ISNUMBER(CL6), ISNUMBER(CL7)), CL6 - CL7, "")</f>
        <v/>
      </c>
      <c r="CO7" s="111" t="str">
        <f t="shared" ref="CO7:CO11" ca="1" si="62">IF(AND(ISNUMBER(CM6), ISNUMBER(CM7)), CM6 - CM7, "")</f>
        <v/>
      </c>
    </row>
    <row r="8" spans="1:93" s="68" customFormat="1" x14ac:dyDescent="0.25">
      <c r="A8" s="54" t="str">
        <f t="shared" ca="1" si="27"/>
        <v>Q227</v>
      </c>
      <c r="B8" s="6"/>
      <c r="C8" s="6"/>
      <c r="D8" s="28"/>
      <c r="E8" s="28"/>
      <c r="F8" s="28"/>
      <c r="G8" s="28"/>
      <c r="H8" s="28"/>
      <c r="I8" s="28"/>
      <c r="J8" s="109" t="str">
        <f t="shared" ca="1" si="0"/>
        <v/>
      </c>
      <c r="K8" s="372" t="str">
        <f ca="1">IFERROR(INDEX(ICE[], MATCH("fo35brx" &amp; LEFT($A8, 2) &amp; " " &amp; RIGHT($A8, 2), ICE[LongCode], 0), MATCH("Text", ICE[#Headers], 0)), "")</f>
        <v xml:space="preserve"> /  </v>
      </c>
      <c r="L8" s="46" t="str">
        <f t="shared" ca="1" si="1"/>
        <v/>
      </c>
      <c r="M8" s="47" t="str">
        <f t="shared" ca="1" si="28"/>
        <v/>
      </c>
      <c r="N8" s="114" t="str">
        <f t="shared" ca="1" si="29"/>
        <v/>
      </c>
      <c r="O8" s="110" t="str">
        <f t="shared" ca="1" si="2"/>
        <v/>
      </c>
      <c r="P8" s="46" t="str">
        <f t="shared" ca="1" si="2"/>
        <v/>
      </c>
      <c r="Q8" s="47" t="str">
        <f t="shared" ca="1" si="30"/>
        <v/>
      </c>
      <c r="R8" s="111" t="str">
        <f t="shared" ca="1" si="30"/>
        <v/>
      </c>
      <c r="S8" s="109" t="str">
        <f t="shared" ca="1" si="3"/>
        <v/>
      </c>
      <c r="T8" s="372" t="str">
        <f ca="1">IFERROR(INDEX(ICE[], MATCH("hilo" &amp; LEFT($A8, 2) &amp; " " &amp; RIGHT($A8, 2), ICE[LongCode], 0), MATCH("Text", ICE[#Headers], 0)), "")</f>
        <v xml:space="preserve"> /  </v>
      </c>
      <c r="U8" s="46" t="str">
        <f t="shared" ca="1" si="4"/>
        <v/>
      </c>
      <c r="V8" s="47" t="str">
        <f t="shared" ca="1" si="31"/>
        <v/>
      </c>
      <c r="W8" s="114" t="str">
        <f t="shared" ca="1" si="32"/>
        <v/>
      </c>
      <c r="X8" s="110" t="str">
        <f t="shared" ca="1" si="5"/>
        <v/>
      </c>
      <c r="Y8" s="46" t="str">
        <f t="shared" ca="1" si="5"/>
        <v/>
      </c>
      <c r="Z8" s="47" t="str">
        <f t="shared" ca="1" si="33"/>
        <v/>
      </c>
      <c r="AA8" s="111" t="str">
        <f t="shared" ca="1" si="34"/>
        <v/>
      </c>
      <c r="AB8" s="109" t="str">
        <f t="shared" ca="1" si="6"/>
        <v/>
      </c>
      <c r="AC8" s="372" t="str">
        <f ca="1">IFERROR(INDEX(ICE[], MATCH("hsfoew" &amp; LEFT($A8, 2) &amp; " " &amp; RIGHT($A8, 2), ICE[LongCode], 0), MATCH("Text", ICE[#Headers], 0)), "")</f>
        <v xml:space="preserve">15.25 /  </v>
      </c>
      <c r="AD8" s="46" t="str">
        <f t="shared" ca="1" si="7"/>
        <v/>
      </c>
      <c r="AE8" s="47" t="str">
        <f t="shared" ca="1" si="35"/>
        <v/>
      </c>
      <c r="AF8" s="114" t="str">
        <f t="shared" ca="1" si="36"/>
        <v/>
      </c>
      <c r="AG8" s="110" t="str">
        <f t="shared" ca="1" si="8"/>
        <v/>
      </c>
      <c r="AH8" s="46" t="str">
        <f t="shared" ca="1" si="8"/>
        <v/>
      </c>
      <c r="AI8" s="47" t="str">
        <f t="shared" ca="1" si="25"/>
        <v/>
      </c>
      <c r="AJ8" s="364" t="str">
        <f ca="1">IFERROR(INDEX(ICE[], MATCH("fo380" &amp; LEFT(Crd!$A7, 2) &amp; " " &amp; RIGHT(Crd!$A7, 2) &amp; "/" &amp; LEFT(Crd!$A8, 2) &amp; " " &amp; RIGHT(Crd!$A8, 2), ICE[LongCode], 0), MATCH("Text", ICE[#Headers], 0)), "")</f>
        <v xml:space="preserve">0.00 /  </v>
      </c>
      <c r="AK8" s="114" t="str">
        <f t="shared" ca="1" si="26"/>
        <v/>
      </c>
      <c r="AL8" s="110" t="str">
        <f t="shared" ca="1" si="9"/>
        <v/>
      </c>
      <c r="AM8" s="372" t="str">
        <f ca="1">IFERROR(INDEX(ICE[], MATCH("fo380brx" &amp; LEFT($A8, 2) &amp; " " &amp; RIGHT($A8, 2), ICE[LongCode], 0), MATCH("Text", ICE[#Headers], 0)), "")</f>
        <v xml:space="preserve"> / -3.50 {-4.30} |1x</v>
      </c>
      <c r="AN8" s="46" t="str">
        <f t="shared" ca="1" si="9"/>
        <v/>
      </c>
      <c r="AO8" s="47" t="str">
        <f t="shared" ca="1" si="37"/>
        <v/>
      </c>
      <c r="AP8" s="46" t="str">
        <f t="shared" ca="1" si="38"/>
        <v/>
      </c>
      <c r="AQ8" s="110" t="str">
        <f t="shared" ca="1" si="10"/>
        <v/>
      </c>
      <c r="AR8" s="46" t="str">
        <f t="shared" ca="1" si="10"/>
        <v/>
      </c>
      <c r="AS8" s="47" t="str">
        <f t="shared" ca="1" si="39"/>
        <v/>
      </c>
      <c r="AT8" s="46" t="str">
        <f t="shared" ca="1" si="40"/>
        <v/>
      </c>
      <c r="AU8" s="109" t="str">
        <f t="shared" ca="1" si="11"/>
        <v/>
      </c>
      <c r="AV8" s="372" t="str">
        <f ca="1">IFERROR(INDEX(ICE[], MATCH("hilo" &amp; LEFT($A8, 2) &amp; " " &amp; RIGHT($A8, 2), ICE[LongCode], 0), MATCH("Text", ICE[#Headers], 0)), "")</f>
        <v xml:space="preserve"> /  </v>
      </c>
      <c r="AW8" s="46" t="str">
        <f t="shared" ca="1" si="12"/>
        <v/>
      </c>
      <c r="AX8" s="47" t="str">
        <f t="shared" ca="1" si="41"/>
        <v/>
      </c>
      <c r="AY8" s="114" t="str">
        <f t="shared" ca="1" si="42"/>
        <v/>
      </c>
      <c r="AZ8" s="110" t="str">
        <f t="shared" ca="1" si="13"/>
        <v/>
      </c>
      <c r="BA8" s="46" t="str">
        <f t="shared" ca="1" si="13"/>
        <v/>
      </c>
      <c r="BB8" s="47" t="str">
        <f t="shared" ca="1" si="43"/>
        <v/>
      </c>
      <c r="BC8" s="114" t="str">
        <f t="shared" ca="1" si="44"/>
        <v/>
      </c>
      <c r="BD8" s="110" t="str">
        <f t="shared" ca="1" si="14"/>
        <v/>
      </c>
      <c r="BE8" s="46" t="str">
        <f t="shared" ca="1" si="14"/>
        <v/>
      </c>
      <c r="BF8" s="47" t="str">
        <f t="shared" ca="1" si="45"/>
        <v/>
      </c>
      <c r="BG8" s="46" t="str">
        <f t="shared" ca="1" si="46"/>
        <v/>
      </c>
      <c r="BH8" s="110" t="str">
        <f t="shared" ca="1" si="15"/>
        <v/>
      </c>
      <c r="BI8" s="46" t="str">
        <f t="shared" ca="1" si="15"/>
        <v/>
      </c>
      <c r="BJ8" s="47" t="str">
        <f t="shared" ca="1" si="47"/>
        <v/>
      </c>
      <c r="BK8" s="46" t="str">
        <f t="shared" ca="1" si="48"/>
        <v/>
      </c>
      <c r="BL8" s="109" t="str">
        <f t="shared" ca="1" si="16"/>
        <v/>
      </c>
      <c r="BM8" s="372" t="str">
        <f ca="1">IFERROR(INDEX(ICE[], MATCH("fo05bfrbrx" &amp; LEFT($A8, 2) &amp; " " &amp; RIGHT($A8, 2), ICE[LongCode], 0), MATCH("Text", ICE[#Headers], 0)), "")</f>
        <v xml:space="preserve"> /  </v>
      </c>
      <c r="BN8" s="46" t="str">
        <f t="shared" ca="1" si="17"/>
        <v/>
      </c>
      <c r="BO8" s="47" t="str">
        <f t="shared" ca="1" si="49"/>
        <v/>
      </c>
      <c r="BP8" s="114" t="str">
        <f t="shared" ca="1" si="50"/>
        <v/>
      </c>
      <c r="BQ8" s="110" t="str">
        <f t="shared" ca="1" si="18"/>
        <v/>
      </c>
      <c r="BR8" s="46" t="str">
        <f t="shared" ca="1" si="18"/>
        <v/>
      </c>
      <c r="BS8" s="47" t="str">
        <f t="shared" ca="1" si="51"/>
        <v/>
      </c>
      <c r="BT8" s="114" t="str">
        <f t="shared" ca="1" si="52"/>
        <v/>
      </c>
      <c r="BU8" s="48" t="str">
        <f t="shared" ca="1" si="19"/>
        <v/>
      </c>
      <c r="BV8" s="46" t="str">
        <f t="shared" ca="1" si="19"/>
        <v/>
      </c>
      <c r="BW8" s="47" t="str">
        <f t="shared" ca="1" si="53"/>
        <v/>
      </c>
      <c r="BX8" s="111" t="str">
        <f t="shared" ca="1" si="54"/>
        <v/>
      </c>
      <c r="BY8" s="109" t="str">
        <f t="shared" ca="1" si="20"/>
        <v/>
      </c>
      <c r="BZ8" s="372" t="str">
        <f ca="1">IFERROR(INDEX(ICE[], MATCH("fo05singbrx" &amp; LEFT($A8, 2) &amp; " " &amp; RIGHT($A8, 2), ICE[LongCode], 0), MATCH("Text", ICE[#Headers], 0)), "")</f>
        <v xml:space="preserve"> /  </v>
      </c>
      <c r="CA8" s="46" t="str">
        <f t="shared" ca="1" si="21"/>
        <v/>
      </c>
      <c r="CB8" s="47" t="str">
        <f t="shared" ca="1" si="55"/>
        <v/>
      </c>
      <c r="CC8" s="114" t="str">
        <f t="shared" ca="1" si="56"/>
        <v/>
      </c>
      <c r="CD8" s="110" t="str">
        <f t="shared" ca="1" si="22"/>
        <v/>
      </c>
      <c r="CE8" s="46" t="str">
        <f t="shared" ca="1" si="22"/>
        <v/>
      </c>
      <c r="CF8" s="47" t="str">
        <f t="shared" ca="1" si="57"/>
        <v/>
      </c>
      <c r="CG8" s="46" t="str">
        <f t="shared" ca="1" si="58"/>
        <v/>
      </c>
      <c r="CH8" s="110" t="str">
        <f t="shared" ca="1" si="23"/>
        <v/>
      </c>
      <c r="CI8" s="46" t="str">
        <f t="shared" ca="1" si="23"/>
        <v/>
      </c>
      <c r="CJ8" s="47" t="str">
        <f t="shared" ca="1" si="59"/>
        <v/>
      </c>
      <c r="CK8" s="46" t="str">
        <f t="shared" ca="1" si="60"/>
        <v/>
      </c>
      <c r="CL8" s="110" t="str">
        <f t="shared" ca="1" si="24"/>
        <v/>
      </c>
      <c r="CM8" s="46" t="str">
        <f t="shared" ca="1" si="24"/>
        <v/>
      </c>
      <c r="CN8" s="47" t="str">
        <f t="shared" ca="1" si="61"/>
        <v/>
      </c>
      <c r="CO8" s="111" t="str">
        <f t="shared" ca="1" si="62"/>
        <v/>
      </c>
    </row>
    <row r="9" spans="1:93" s="68" customFormat="1" x14ac:dyDescent="0.25">
      <c r="A9" s="54" t="str">
        <f t="shared" ca="1" si="27"/>
        <v>Q327</v>
      </c>
      <c r="B9" s="6"/>
      <c r="C9" s="6"/>
      <c r="D9" s="28"/>
      <c r="E9" s="28"/>
      <c r="F9" s="28"/>
      <c r="G9" s="28"/>
      <c r="H9" s="28"/>
      <c r="I9" s="28"/>
      <c r="J9" s="109" t="str">
        <f t="shared" ca="1" si="0"/>
        <v/>
      </c>
      <c r="K9" s="372" t="str">
        <f ca="1">IFERROR(INDEX(ICE[], MATCH("fo35brx" &amp; LEFT($A9, 2) &amp; " " &amp; RIGHT($A9, 2), ICE[LongCode], 0), MATCH("Text", ICE[#Headers], 0)), "")</f>
        <v xml:space="preserve"> /  </v>
      </c>
      <c r="L9" s="46" t="str">
        <f t="shared" ca="1" si="1"/>
        <v/>
      </c>
      <c r="M9" s="47" t="str">
        <f t="shared" ca="1" si="28"/>
        <v/>
      </c>
      <c r="N9" s="114" t="str">
        <f t="shared" ca="1" si="29"/>
        <v/>
      </c>
      <c r="O9" s="110" t="str">
        <f t="shared" ca="1" si="2"/>
        <v/>
      </c>
      <c r="P9" s="46" t="str">
        <f t="shared" ca="1" si="2"/>
        <v/>
      </c>
      <c r="Q9" s="47" t="str">
        <f t="shared" ca="1" si="30"/>
        <v/>
      </c>
      <c r="R9" s="111" t="str">
        <f t="shared" ca="1" si="30"/>
        <v/>
      </c>
      <c r="S9" s="109" t="str">
        <f t="shared" ca="1" si="3"/>
        <v/>
      </c>
      <c r="T9" s="372" t="str">
        <f ca="1">IFERROR(INDEX(ICE[], MATCH("hilo" &amp; LEFT($A9, 2) &amp; " " &amp; RIGHT($A9, 2), ICE[LongCode], 0), MATCH("Text", ICE[#Headers], 0)), "")</f>
        <v xml:space="preserve"> /  </v>
      </c>
      <c r="U9" s="46" t="str">
        <f t="shared" ca="1" si="4"/>
        <v/>
      </c>
      <c r="V9" s="47" t="str">
        <f t="shared" ca="1" si="31"/>
        <v/>
      </c>
      <c r="W9" s="114" t="str">
        <f t="shared" ca="1" si="32"/>
        <v/>
      </c>
      <c r="X9" s="110" t="str">
        <f t="shared" ca="1" si="5"/>
        <v/>
      </c>
      <c r="Y9" s="46" t="str">
        <f t="shared" ca="1" si="5"/>
        <v/>
      </c>
      <c r="Z9" s="47" t="str">
        <f t="shared" ca="1" si="33"/>
        <v/>
      </c>
      <c r="AA9" s="111" t="str">
        <f t="shared" ca="1" si="34"/>
        <v/>
      </c>
      <c r="AB9" s="109" t="str">
        <f t="shared" ca="1" si="6"/>
        <v/>
      </c>
      <c r="AC9" s="372" t="str">
        <f ca="1">IFERROR(INDEX(ICE[], MATCH("hsfoew" &amp; LEFT($A9, 2) &amp; " " &amp; RIGHT($A9, 2), ICE[LongCode], 0), MATCH("Text", ICE[#Headers], 0)), "")</f>
        <v xml:space="preserve"> /  </v>
      </c>
      <c r="AD9" s="46" t="str">
        <f t="shared" ca="1" si="7"/>
        <v/>
      </c>
      <c r="AE9" s="47" t="str">
        <f t="shared" ca="1" si="35"/>
        <v/>
      </c>
      <c r="AF9" s="114" t="str">
        <f t="shared" ca="1" si="36"/>
        <v/>
      </c>
      <c r="AG9" s="110" t="str">
        <f t="shared" ca="1" si="8"/>
        <v/>
      </c>
      <c r="AH9" s="46" t="str">
        <f t="shared" ca="1" si="8"/>
        <v/>
      </c>
      <c r="AI9" s="47" t="str">
        <f t="shared" ca="1" si="25"/>
        <v/>
      </c>
      <c r="AJ9" s="364"/>
      <c r="AK9" s="114" t="str">
        <f t="shared" ca="1" si="26"/>
        <v/>
      </c>
      <c r="AL9" s="110" t="str">
        <f t="shared" ca="1" si="9"/>
        <v/>
      </c>
      <c r="AM9" s="372" t="str">
        <f ca="1">IFERROR(INDEX(ICE[], MATCH("fo380brx" &amp; LEFT($A9, 2) &amp; " " &amp; RIGHT($A9, 2), ICE[LongCode], 0), MATCH("Text", ICE[#Headers], 0)), "")</f>
        <v xml:space="preserve"> /  </v>
      </c>
      <c r="AN9" s="46" t="str">
        <f t="shared" ca="1" si="9"/>
        <v/>
      </c>
      <c r="AO9" s="47" t="str">
        <f t="shared" ca="1" si="37"/>
        <v/>
      </c>
      <c r="AP9" s="46" t="str">
        <f t="shared" ca="1" si="38"/>
        <v/>
      </c>
      <c r="AQ9" s="110" t="str">
        <f t="shared" ca="1" si="10"/>
        <v/>
      </c>
      <c r="AR9" s="46" t="str">
        <f t="shared" ca="1" si="10"/>
        <v/>
      </c>
      <c r="AS9" s="47" t="str">
        <f t="shared" ca="1" si="39"/>
        <v/>
      </c>
      <c r="AT9" s="46" t="str">
        <f t="shared" ca="1" si="40"/>
        <v/>
      </c>
      <c r="AU9" s="109" t="str">
        <f t="shared" ca="1" si="11"/>
        <v/>
      </c>
      <c r="AV9" s="372" t="str">
        <f ca="1">IFERROR(INDEX(ICE[], MATCH("hilo" &amp; LEFT($A9, 2) &amp; " " &amp; RIGHT($A9, 2), ICE[LongCode], 0), MATCH("Text", ICE[#Headers], 0)), "")</f>
        <v xml:space="preserve"> /  </v>
      </c>
      <c r="AW9" s="46" t="str">
        <f t="shared" ca="1" si="12"/>
        <v/>
      </c>
      <c r="AX9" s="47" t="str">
        <f t="shared" ca="1" si="41"/>
        <v/>
      </c>
      <c r="AY9" s="114" t="str">
        <f t="shared" ca="1" si="42"/>
        <v/>
      </c>
      <c r="AZ9" s="110" t="str">
        <f t="shared" ca="1" si="13"/>
        <v/>
      </c>
      <c r="BA9" s="46" t="str">
        <f t="shared" ca="1" si="13"/>
        <v/>
      </c>
      <c r="BB9" s="47" t="str">
        <f t="shared" ca="1" si="43"/>
        <v/>
      </c>
      <c r="BC9" s="114" t="str">
        <f t="shared" ca="1" si="44"/>
        <v/>
      </c>
      <c r="BD9" s="110" t="str">
        <f t="shared" ca="1" si="14"/>
        <v/>
      </c>
      <c r="BE9" s="46" t="str">
        <f t="shared" ca="1" si="14"/>
        <v/>
      </c>
      <c r="BF9" s="47" t="str">
        <f t="shared" ca="1" si="45"/>
        <v/>
      </c>
      <c r="BG9" s="46" t="str">
        <f t="shared" ca="1" si="46"/>
        <v/>
      </c>
      <c r="BH9" s="110" t="str">
        <f t="shared" ca="1" si="15"/>
        <v/>
      </c>
      <c r="BI9" s="46" t="str">
        <f t="shared" ca="1" si="15"/>
        <v/>
      </c>
      <c r="BJ9" s="47" t="str">
        <f t="shared" ca="1" si="47"/>
        <v/>
      </c>
      <c r="BK9" s="46" t="str">
        <f t="shared" ca="1" si="48"/>
        <v/>
      </c>
      <c r="BL9" s="109" t="str">
        <f t="shared" ca="1" si="16"/>
        <v/>
      </c>
      <c r="BM9" s="372" t="str">
        <f ca="1">IFERROR(INDEX(ICE[], MATCH("fo05bfrbrx" &amp; LEFT($A9, 2) &amp; " " &amp; RIGHT($A9, 2), ICE[LongCode], 0), MATCH("Text", ICE[#Headers], 0)), "")</f>
        <v xml:space="preserve"> /  </v>
      </c>
      <c r="BN9" s="46" t="str">
        <f t="shared" ca="1" si="17"/>
        <v/>
      </c>
      <c r="BO9" s="47" t="str">
        <f t="shared" ca="1" si="49"/>
        <v/>
      </c>
      <c r="BP9" s="114" t="str">
        <f t="shared" ca="1" si="50"/>
        <v/>
      </c>
      <c r="BQ9" s="110" t="str">
        <f t="shared" ca="1" si="18"/>
        <v/>
      </c>
      <c r="BR9" s="46" t="str">
        <f t="shared" ca="1" si="18"/>
        <v/>
      </c>
      <c r="BS9" s="47" t="str">
        <f t="shared" ca="1" si="51"/>
        <v/>
      </c>
      <c r="BT9" s="114" t="str">
        <f t="shared" ca="1" si="52"/>
        <v/>
      </c>
      <c r="BU9" s="48" t="str">
        <f t="shared" ca="1" si="19"/>
        <v/>
      </c>
      <c r="BV9" s="46" t="str">
        <f t="shared" ca="1" si="19"/>
        <v/>
      </c>
      <c r="BW9" s="47" t="str">
        <f t="shared" ca="1" si="53"/>
        <v/>
      </c>
      <c r="BX9" s="111" t="str">
        <f t="shared" ca="1" si="54"/>
        <v/>
      </c>
      <c r="BY9" s="109" t="str">
        <f t="shared" ca="1" si="20"/>
        <v/>
      </c>
      <c r="BZ9" s="372" t="str">
        <f ca="1">IFERROR(INDEX(ICE[], MATCH("fo05singbrx" &amp; LEFT($A9, 2) &amp; " " &amp; RIGHT($A9, 2), ICE[LongCode], 0), MATCH("Text", ICE[#Headers], 0)), "")</f>
        <v xml:space="preserve"> /  </v>
      </c>
      <c r="CA9" s="46" t="str">
        <f t="shared" ca="1" si="21"/>
        <v/>
      </c>
      <c r="CB9" s="47" t="str">
        <f t="shared" ca="1" si="55"/>
        <v/>
      </c>
      <c r="CC9" s="114" t="str">
        <f t="shared" ca="1" si="56"/>
        <v/>
      </c>
      <c r="CD9" s="110" t="str">
        <f t="shared" ca="1" si="22"/>
        <v/>
      </c>
      <c r="CE9" s="46" t="str">
        <f t="shared" ca="1" si="22"/>
        <v/>
      </c>
      <c r="CF9" s="47" t="str">
        <f t="shared" ca="1" si="57"/>
        <v/>
      </c>
      <c r="CG9" s="46" t="str">
        <f t="shared" ca="1" si="58"/>
        <v/>
      </c>
      <c r="CH9" s="110" t="str">
        <f t="shared" ca="1" si="23"/>
        <v/>
      </c>
      <c r="CI9" s="46" t="str">
        <f t="shared" ca="1" si="23"/>
        <v/>
      </c>
      <c r="CJ9" s="47" t="str">
        <f t="shared" ca="1" si="59"/>
        <v/>
      </c>
      <c r="CK9" s="46" t="str">
        <f t="shared" ca="1" si="60"/>
        <v/>
      </c>
      <c r="CL9" s="110" t="str">
        <f t="shared" ca="1" si="24"/>
        <v/>
      </c>
      <c r="CM9" s="46" t="str">
        <f t="shared" ca="1" si="24"/>
        <v/>
      </c>
      <c r="CN9" s="47" t="str">
        <f t="shared" ca="1" si="61"/>
        <v/>
      </c>
      <c r="CO9" s="111" t="str">
        <f t="shared" ca="1" si="62"/>
        <v/>
      </c>
    </row>
    <row r="10" spans="1:93" s="68" customFormat="1" x14ac:dyDescent="0.25">
      <c r="A10" s="54" t="str">
        <f t="shared" ca="1" si="27"/>
        <v>Q427</v>
      </c>
      <c r="B10" s="6"/>
      <c r="C10" s="6"/>
      <c r="D10" s="28"/>
      <c r="E10" s="28"/>
      <c r="F10" s="28"/>
      <c r="G10" s="28"/>
      <c r="H10" s="28"/>
      <c r="I10" s="28"/>
      <c r="J10" s="109" t="str">
        <f t="shared" ca="1" si="0"/>
        <v/>
      </c>
      <c r="K10" s="372" t="str">
        <f ca="1">IFERROR(INDEX(ICE[], MATCH("fo35brx" &amp; LEFT($A10, 2) &amp; " " &amp; RIGHT($A10, 2), ICE[LongCode], 0), MATCH("Text", ICE[#Headers], 0)), "")</f>
        <v xml:space="preserve"> /  </v>
      </c>
      <c r="L10" s="46" t="str">
        <f t="shared" ca="1" si="1"/>
        <v/>
      </c>
      <c r="M10" s="47" t="str">
        <f t="shared" ca="1" si="28"/>
        <v/>
      </c>
      <c r="N10" s="114" t="str">
        <f t="shared" ca="1" si="29"/>
        <v/>
      </c>
      <c r="O10" s="110" t="str">
        <f t="shared" ca="1" si="2"/>
        <v/>
      </c>
      <c r="P10" s="46" t="str">
        <f t="shared" ca="1" si="2"/>
        <v/>
      </c>
      <c r="Q10" s="47" t="str">
        <f t="shared" ca="1" si="30"/>
        <v/>
      </c>
      <c r="R10" s="111" t="str">
        <f t="shared" ca="1" si="30"/>
        <v/>
      </c>
      <c r="S10" s="109" t="str">
        <f t="shared" ca="1" si="3"/>
        <v/>
      </c>
      <c r="T10" s="372" t="str">
        <f ca="1">IFERROR(INDEX(ICE[], MATCH("hilo" &amp; LEFT($A10, 2) &amp; " " &amp; RIGHT($A10, 2), ICE[LongCode], 0), MATCH("Text", ICE[#Headers], 0)), "")</f>
        <v xml:space="preserve"> /  </v>
      </c>
      <c r="U10" s="46" t="str">
        <f t="shared" ca="1" si="4"/>
        <v/>
      </c>
      <c r="V10" s="47" t="str">
        <f t="shared" ca="1" si="31"/>
        <v/>
      </c>
      <c r="W10" s="114" t="str">
        <f t="shared" ca="1" si="32"/>
        <v/>
      </c>
      <c r="X10" s="110" t="str">
        <f t="shared" ca="1" si="5"/>
        <v/>
      </c>
      <c r="Y10" s="46" t="str">
        <f t="shared" ca="1" si="5"/>
        <v/>
      </c>
      <c r="Z10" s="47" t="str">
        <f t="shared" ca="1" si="33"/>
        <v/>
      </c>
      <c r="AA10" s="111" t="str">
        <f t="shared" ca="1" si="34"/>
        <v/>
      </c>
      <c r="AB10" s="109" t="str">
        <f t="shared" ca="1" si="6"/>
        <v/>
      </c>
      <c r="AC10" s="372" t="str">
        <f ca="1">IFERROR(INDEX(ICE[], MATCH("hsfoew" &amp; LEFT($A10, 2) &amp; " " &amp; RIGHT($A10, 2), ICE[LongCode], 0), MATCH("Text", ICE[#Headers], 0)), "")</f>
        <v xml:space="preserve"> /  </v>
      </c>
      <c r="AD10" s="46" t="str">
        <f t="shared" ca="1" si="7"/>
        <v/>
      </c>
      <c r="AE10" s="47" t="str">
        <f t="shared" ca="1" si="35"/>
        <v/>
      </c>
      <c r="AF10" s="114" t="str">
        <f t="shared" ca="1" si="36"/>
        <v/>
      </c>
      <c r="AG10" s="110" t="str">
        <f t="shared" ca="1" si="8"/>
        <v/>
      </c>
      <c r="AH10" s="46" t="str">
        <f t="shared" ca="1" si="8"/>
        <v/>
      </c>
      <c r="AI10" s="47" t="str">
        <f t="shared" ca="1" si="25"/>
        <v/>
      </c>
      <c r="AJ10" s="364"/>
      <c r="AK10" s="114" t="str">
        <f t="shared" ca="1" si="26"/>
        <v/>
      </c>
      <c r="AL10" s="110" t="str">
        <f t="shared" ca="1" si="9"/>
        <v/>
      </c>
      <c r="AM10" s="372" t="str">
        <f ca="1">IFERROR(INDEX(ICE[], MATCH("fo380brx" &amp; LEFT($A10, 2) &amp; " " &amp; RIGHT($A10, 2), ICE[LongCode], 0), MATCH("Text", ICE[#Headers], 0)), "")</f>
        <v xml:space="preserve"> /  </v>
      </c>
      <c r="AN10" s="46" t="str">
        <f t="shared" ca="1" si="9"/>
        <v/>
      </c>
      <c r="AO10" s="47" t="str">
        <f t="shared" ca="1" si="37"/>
        <v/>
      </c>
      <c r="AP10" s="46" t="str">
        <f t="shared" ca="1" si="38"/>
        <v/>
      </c>
      <c r="AQ10" s="110" t="str">
        <f t="shared" ca="1" si="10"/>
        <v/>
      </c>
      <c r="AR10" s="46" t="str">
        <f t="shared" ca="1" si="10"/>
        <v/>
      </c>
      <c r="AS10" s="47" t="str">
        <f t="shared" ca="1" si="39"/>
        <v/>
      </c>
      <c r="AT10" s="46" t="str">
        <f t="shared" ca="1" si="40"/>
        <v/>
      </c>
      <c r="AU10" s="109" t="str">
        <f t="shared" ca="1" si="11"/>
        <v/>
      </c>
      <c r="AV10" s="372" t="str">
        <f ca="1">IFERROR(INDEX(ICE[], MATCH("hilo" &amp; LEFT($A10, 2) &amp; " " &amp; RIGHT($A10, 2), ICE[LongCode], 0), MATCH("Text", ICE[#Headers], 0)), "")</f>
        <v xml:space="preserve"> /  </v>
      </c>
      <c r="AW10" s="46" t="str">
        <f t="shared" ca="1" si="12"/>
        <v/>
      </c>
      <c r="AX10" s="47" t="str">
        <f t="shared" ca="1" si="41"/>
        <v/>
      </c>
      <c r="AY10" s="114" t="str">
        <f t="shared" ca="1" si="42"/>
        <v/>
      </c>
      <c r="AZ10" s="110" t="str">
        <f t="shared" ca="1" si="13"/>
        <v/>
      </c>
      <c r="BA10" s="46" t="str">
        <f t="shared" ca="1" si="13"/>
        <v/>
      </c>
      <c r="BB10" s="47" t="str">
        <f t="shared" ca="1" si="43"/>
        <v/>
      </c>
      <c r="BC10" s="114" t="str">
        <f t="shared" ca="1" si="44"/>
        <v/>
      </c>
      <c r="BD10" s="110" t="str">
        <f t="shared" ca="1" si="14"/>
        <v/>
      </c>
      <c r="BE10" s="46" t="str">
        <f t="shared" ca="1" si="14"/>
        <v/>
      </c>
      <c r="BF10" s="47" t="str">
        <f t="shared" ca="1" si="45"/>
        <v/>
      </c>
      <c r="BG10" s="46" t="str">
        <f t="shared" ca="1" si="46"/>
        <v/>
      </c>
      <c r="BH10" s="110" t="str">
        <f t="shared" ca="1" si="15"/>
        <v/>
      </c>
      <c r="BI10" s="46" t="str">
        <f t="shared" ca="1" si="15"/>
        <v/>
      </c>
      <c r="BJ10" s="47" t="str">
        <f t="shared" ca="1" si="47"/>
        <v/>
      </c>
      <c r="BK10" s="46" t="str">
        <f t="shared" ca="1" si="48"/>
        <v/>
      </c>
      <c r="BL10" s="109" t="str">
        <f t="shared" ca="1" si="16"/>
        <v/>
      </c>
      <c r="BM10" s="372" t="str">
        <f ca="1">IFERROR(INDEX(ICE[], MATCH("fo05bfrbrx" &amp; LEFT($A10, 2) &amp; " " &amp; RIGHT($A10, 2), ICE[LongCode], 0), MATCH("Text", ICE[#Headers], 0)), "")</f>
        <v xml:space="preserve"> /  </v>
      </c>
      <c r="BN10" s="46" t="str">
        <f t="shared" ca="1" si="17"/>
        <v/>
      </c>
      <c r="BO10" s="47" t="str">
        <f t="shared" ca="1" si="49"/>
        <v/>
      </c>
      <c r="BP10" s="114" t="str">
        <f t="shared" ca="1" si="50"/>
        <v/>
      </c>
      <c r="BQ10" s="110" t="str">
        <f t="shared" ca="1" si="18"/>
        <v/>
      </c>
      <c r="BR10" s="46" t="str">
        <f t="shared" ca="1" si="18"/>
        <v/>
      </c>
      <c r="BS10" s="47" t="str">
        <f t="shared" ca="1" si="51"/>
        <v/>
      </c>
      <c r="BT10" s="114" t="str">
        <f t="shared" ca="1" si="52"/>
        <v/>
      </c>
      <c r="BU10" s="48" t="str">
        <f t="shared" ca="1" si="19"/>
        <v/>
      </c>
      <c r="BV10" s="46" t="str">
        <f t="shared" ca="1" si="19"/>
        <v/>
      </c>
      <c r="BW10" s="47" t="str">
        <f t="shared" ca="1" si="53"/>
        <v/>
      </c>
      <c r="BX10" s="111" t="str">
        <f t="shared" ca="1" si="54"/>
        <v/>
      </c>
      <c r="BY10" s="109" t="str">
        <f t="shared" ca="1" si="20"/>
        <v/>
      </c>
      <c r="BZ10" s="372" t="str">
        <f ca="1">IFERROR(INDEX(ICE[], MATCH("fo05singbrx" &amp; LEFT($A10, 2) &amp; " " &amp; RIGHT($A10, 2), ICE[LongCode], 0), MATCH("Text", ICE[#Headers], 0)), "")</f>
        <v xml:space="preserve"> /  </v>
      </c>
      <c r="CA10" s="46" t="str">
        <f t="shared" ca="1" si="21"/>
        <v/>
      </c>
      <c r="CB10" s="47" t="str">
        <f t="shared" ca="1" si="55"/>
        <v/>
      </c>
      <c r="CC10" s="114" t="str">
        <f t="shared" ca="1" si="56"/>
        <v/>
      </c>
      <c r="CD10" s="110" t="str">
        <f t="shared" ca="1" si="22"/>
        <v/>
      </c>
      <c r="CE10" s="46" t="str">
        <f t="shared" ca="1" si="22"/>
        <v/>
      </c>
      <c r="CF10" s="47" t="str">
        <f t="shared" ca="1" si="57"/>
        <v/>
      </c>
      <c r="CG10" s="46" t="str">
        <f t="shared" ca="1" si="58"/>
        <v/>
      </c>
      <c r="CH10" s="110" t="str">
        <f t="shared" ca="1" si="23"/>
        <v/>
      </c>
      <c r="CI10" s="46" t="str">
        <f t="shared" ca="1" si="23"/>
        <v/>
      </c>
      <c r="CJ10" s="47" t="str">
        <f t="shared" ca="1" si="59"/>
        <v/>
      </c>
      <c r="CK10" s="46" t="str">
        <f t="shared" ca="1" si="60"/>
        <v/>
      </c>
      <c r="CL10" s="110" t="str">
        <f t="shared" ca="1" si="24"/>
        <v/>
      </c>
      <c r="CM10" s="46" t="str">
        <f t="shared" ca="1" si="24"/>
        <v/>
      </c>
      <c r="CN10" s="47" t="str">
        <f t="shared" ca="1" si="61"/>
        <v/>
      </c>
      <c r="CO10" s="111" t="str">
        <f t="shared" ca="1" si="62"/>
        <v/>
      </c>
    </row>
    <row r="11" spans="1:93" s="68" customFormat="1" x14ac:dyDescent="0.25">
      <c r="A11" s="54" t="str">
        <f t="shared" ca="1" si="27"/>
        <v>Q128</v>
      </c>
      <c r="B11" s="6"/>
      <c r="C11" s="6"/>
      <c r="D11" s="28"/>
      <c r="E11" s="28"/>
      <c r="F11" s="28"/>
      <c r="G11" s="28"/>
      <c r="H11" s="28"/>
      <c r="I11" s="28"/>
      <c r="J11" s="119" t="str">
        <f t="shared" ca="1" si="0"/>
        <v/>
      </c>
      <c r="K11" s="374" t="str">
        <f ca="1">IFERROR(INDEX(ICE[], MATCH("fo35brx" &amp; LEFT($A11, 2) &amp; " " &amp; RIGHT($A11, 2), ICE[LongCode], 0), MATCH("Text", ICE[#Headers], 0)), "")</f>
        <v xml:space="preserve"> /  </v>
      </c>
      <c r="L11" s="122" t="str">
        <f t="shared" ca="1" si="1"/>
        <v/>
      </c>
      <c r="M11" s="47" t="str">
        <f t="shared" ca="1" si="28"/>
        <v/>
      </c>
      <c r="N11" s="114" t="str">
        <f t="shared" ca="1" si="29"/>
        <v/>
      </c>
      <c r="O11" s="123" t="str">
        <f t="shared" ca="1" si="2"/>
        <v/>
      </c>
      <c r="P11" s="122" t="str">
        <f t="shared" ca="1" si="2"/>
        <v/>
      </c>
      <c r="Q11" s="47" t="str">
        <f t="shared" ca="1" si="30"/>
        <v/>
      </c>
      <c r="R11" s="111" t="str">
        <f t="shared" ca="1" si="30"/>
        <v/>
      </c>
      <c r="S11" s="119" t="str">
        <f t="shared" ca="1" si="3"/>
        <v/>
      </c>
      <c r="T11" s="374" t="str">
        <f ca="1">IFERROR(INDEX(ICE[], MATCH("hilo" &amp; LEFT($A11, 2) &amp; " " &amp; RIGHT($A11, 2), ICE[LongCode], 0), MATCH("Text", ICE[#Headers], 0)), "")</f>
        <v xml:space="preserve"> /  </v>
      </c>
      <c r="U11" s="122" t="str">
        <f t="shared" ca="1" si="4"/>
        <v/>
      </c>
      <c r="V11" s="47" t="str">
        <f t="shared" ca="1" si="31"/>
        <v/>
      </c>
      <c r="W11" s="114" t="str">
        <f t="shared" ca="1" si="32"/>
        <v/>
      </c>
      <c r="X11" s="123" t="str">
        <f t="shared" ca="1" si="5"/>
        <v/>
      </c>
      <c r="Y11" s="122" t="str">
        <f t="shared" ca="1" si="5"/>
        <v/>
      </c>
      <c r="Z11" s="47" t="str">
        <f t="shared" ca="1" si="33"/>
        <v/>
      </c>
      <c r="AA11" s="111" t="str">
        <f t="shared" ca="1" si="34"/>
        <v/>
      </c>
      <c r="AB11" s="119" t="str">
        <f t="shared" ca="1" si="6"/>
        <v/>
      </c>
      <c r="AC11" s="374" t="str">
        <f ca="1">IFERROR(INDEX(ICE[], MATCH("hsfoew" &amp; LEFT($A11, 2) &amp; " " &amp; RIGHT($A11, 2), ICE[LongCode], 0), MATCH("Text", ICE[#Headers], 0)), "")</f>
        <v xml:space="preserve"> /  </v>
      </c>
      <c r="AD11" s="122" t="str">
        <f t="shared" ca="1" si="7"/>
        <v/>
      </c>
      <c r="AE11" s="47" t="str">
        <f t="shared" ca="1" si="35"/>
        <v/>
      </c>
      <c r="AF11" s="114" t="str">
        <f t="shared" ca="1" si="36"/>
        <v/>
      </c>
      <c r="AG11" s="123" t="str">
        <f t="shared" ca="1" si="8"/>
        <v/>
      </c>
      <c r="AH11" s="122" t="str">
        <f t="shared" ca="1" si="8"/>
        <v/>
      </c>
      <c r="AI11" s="47" t="str">
        <f t="shared" ca="1" si="25"/>
        <v/>
      </c>
      <c r="AJ11" s="365"/>
      <c r="AK11" s="114" t="str">
        <f t="shared" ca="1" si="26"/>
        <v/>
      </c>
      <c r="AL11" s="123" t="str">
        <f t="shared" ca="1" si="9"/>
        <v/>
      </c>
      <c r="AM11" s="374" t="str">
        <f ca="1">IFERROR(INDEX(ICE[], MATCH("fo380brx" &amp; LEFT($A11, 2) &amp; " " &amp; RIGHT($A11, 2), ICE[LongCode], 0), MATCH("Text", ICE[#Headers], 0)), "")</f>
        <v xml:space="preserve"> /  </v>
      </c>
      <c r="AN11" s="122" t="str">
        <f t="shared" ca="1" si="9"/>
        <v/>
      </c>
      <c r="AO11" s="47" t="str">
        <f t="shared" ca="1" si="37"/>
        <v/>
      </c>
      <c r="AP11" s="46" t="str">
        <f t="shared" ca="1" si="38"/>
        <v/>
      </c>
      <c r="AQ11" s="123" t="str">
        <f t="shared" ca="1" si="10"/>
        <v/>
      </c>
      <c r="AR11" s="122" t="str">
        <f t="shared" ca="1" si="10"/>
        <v/>
      </c>
      <c r="AS11" s="47" t="str">
        <f t="shared" ca="1" si="39"/>
        <v/>
      </c>
      <c r="AT11" s="46" t="str">
        <f t="shared" ca="1" si="40"/>
        <v/>
      </c>
      <c r="AU11" s="119" t="str">
        <f t="shared" ca="1" si="11"/>
        <v/>
      </c>
      <c r="AV11" s="374" t="str">
        <f ca="1">IFERROR(INDEX(ICE[], MATCH("hilo" &amp; LEFT($A11, 2) &amp; " " &amp; RIGHT($A11, 2), ICE[LongCode], 0), MATCH("Text", ICE[#Headers], 0)), "")</f>
        <v xml:space="preserve"> /  </v>
      </c>
      <c r="AW11" s="122" t="str">
        <f t="shared" ca="1" si="12"/>
        <v/>
      </c>
      <c r="AX11" s="47" t="str">
        <f t="shared" ca="1" si="41"/>
        <v/>
      </c>
      <c r="AY11" s="114" t="str">
        <f t="shared" ca="1" si="42"/>
        <v/>
      </c>
      <c r="AZ11" s="123" t="str">
        <f t="shared" ca="1" si="13"/>
        <v/>
      </c>
      <c r="BA11" s="122" t="str">
        <f t="shared" ca="1" si="13"/>
        <v/>
      </c>
      <c r="BB11" s="47" t="str">
        <f t="shared" ca="1" si="43"/>
        <v/>
      </c>
      <c r="BC11" s="114" t="str">
        <f t="shared" ca="1" si="44"/>
        <v/>
      </c>
      <c r="BD11" s="123" t="str">
        <f t="shared" ca="1" si="14"/>
        <v/>
      </c>
      <c r="BE11" s="122" t="str">
        <f t="shared" ca="1" si="14"/>
        <v/>
      </c>
      <c r="BF11" s="47" t="str">
        <f t="shared" ca="1" si="45"/>
        <v/>
      </c>
      <c r="BG11" s="46" t="str">
        <f t="shared" ca="1" si="46"/>
        <v/>
      </c>
      <c r="BH11" s="123" t="str">
        <f t="shared" ca="1" si="15"/>
        <v/>
      </c>
      <c r="BI11" s="122" t="str">
        <f t="shared" ca="1" si="15"/>
        <v/>
      </c>
      <c r="BJ11" s="47" t="str">
        <f t="shared" ca="1" si="47"/>
        <v/>
      </c>
      <c r="BK11" s="46" t="str">
        <f t="shared" ca="1" si="48"/>
        <v/>
      </c>
      <c r="BL11" s="119" t="str">
        <f t="shared" ca="1" si="16"/>
        <v/>
      </c>
      <c r="BM11" s="374" t="str">
        <f ca="1">IFERROR(INDEX(ICE[], MATCH("fo05bfrbrx" &amp; LEFT($A11, 2) &amp; " " &amp; RIGHT($A11, 2), ICE[LongCode], 0), MATCH("Text", ICE[#Headers], 0)), "")</f>
        <v xml:space="preserve"> /  </v>
      </c>
      <c r="BN11" s="122" t="str">
        <f t="shared" ca="1" si="17"/>
        <v/>
      </c>
      <c r="BO11" s="47" t="str">
        <f t="shared" ca="1" si="49"/>
        <v/>
      </c>
      <c r="BP11" s="114" t="str">
        <f t="shared" ca="1" si="50"/>
        <v/>
      </c>
      <c r="BQ11" s="123" t="str">
        <f t="shared" ca="1" si="18"/>
        <v/>
      </c>
      <c r="BR11" s="122" t="str">
        <f t="shared" ca="1" si="18"/>
        <v/>
      </c>
      <c r="BS11" s="47" t="str">
        <f t="shared" ca="1" si="51"/>
        <v/>
      </c>
      <c r="BT11" s="114" t="str">
        <f t="shared" ca="1" si="52"/>
        <v/>
      </c>
      <c r="BU11" s="121" t="str">
        <f t="shared" ca="1" si="19"/>
        <v/>
      </c>
      <c r="BV11" s="122" t="str">
        <f t="shared" ca="1" si="19"/>
        <v/>
      </c>
      <c r="BW11" s="47" t="str">
        <f t="shared" ca="1" si="53"/>
        <v/>
      </c>
      <c r="BX11" s="111" t="str">
        <f t="shared" ca="1" si="54"/>
        <v/>
      </c>
      <c r="BY11" s="119" t="str">
        <f t="shared" ca="1" si="20"/>
        <v/>
      </c>
      <c r="BZ11" s="374" t="str">
        <f ca="1">IFERROR(INDEX(ICE[], MATCH("fo05singbrx" &amp; LEFT($A11, 2) &amp; " " &amp; RIGHT($A11, 2), ICE[LongCode], 0), MATCH("Text", ICE[#Headers], 0)), "")</f>
        <v xml:space="preserve"> /  </v>
      </c>
      <c r="CA11" s="122" t="str">
        <f t="shared" ca="1" si="21"/>
        <v/>
      </c>
      <c r="CB11" s="47" t="str">
        <f t="shared" ca="1" si="55"/>
        <v/>
      </c>
      <c r="CC11" s="114" t="str">
        <f t="shared" ca="1" si="56"/>
        <v/>
      </c>
      <c r="CD11" s="123" t="str">
        <f t="shared" ca="1" si="22"/>
        <v/>
      </c>
      <c r="CE11" s="122" t="str">
        <f t="shared" ca="1" si="22"/>
        <v/>
      </c>
      <c r="CF11" s="47" t="str">
        <f t="shared" ca="1" si="57"/>
        <v/>
      </c>
      <c r="CG11" s="46" t="str">
        <f t="shared" ca="1" si="58"/>
        <v/>
      </c>
      <c r="CH11" s="123" t="str">
        <f t="shared" ca="1" si="23"/>
        <v/>
      </c>
      <c r="CI11" s="122" t="str">
        <f t="shared" ca="1" si="23"/>
        <v/>
      </c>
      <c r="CJ11" s="47" t="str">
        <f t="shared" ca="1" si="59"/>
        <v/>
      </c>
      <c r="CK11" s="46" t="str">
        <f t="shared" ca="1" si="60"/>
        <v/>
      </c>
      <c r="CL11" s="123" t="str">
        <f t="shared" ca="1" si="24"/>
        <v/>
      </c>
      <c r="CM11" s="122" t="str">
        <f t="shared" ca="1" si="24"/>
        <v/>
      </c>
      <c r="CN11" s="47" t="str">
        <f t="shared" ca="1" si="61"/>
        <v/>
      </c>
      <c r="CO11" s="111" t="str">
        <f t="shared" ca="1" si="62"/>
        <v/>
      </c>
    </row>
    <row r="12" spans="1:93" s="68" customFormat="1" x14ac:dyDescent="0.25">
      <c r="A12" s="55">
        <f ca="1">YEAR($A$1)</f>
        <v>2026</v>
      </c>
      <c r="B12" s="6"/>
      <c r="C12" s="6"/>
      <c r="D12" s="28"/>
      <c r="E12" s="28"/>
      <c r="F12" s="28"/>
      <c r="G12" s="28"/>
      <c r="H12" s="28"/>
      <c r="I12" s="28"/>
      <c r="J12" s="160" t="str">
        <f ca="1">IFERROR(AVERAGEIF($B$19:$B$66, $A12, J$19:J$66), "")</f>
        <v/>
      </c>
      <c r="K12" s="372" t="str">
        <f ca="1">IFERROR(INDEX(ICE[], MATCH("fo35brx" &amp; "Cal" &amp; " " &amp; RIGHT(Hvy!$A12, 2), ICE[LongCode], 0), MATCH("Text", ICE[#Headers], 0)), "")</f>
        <v/>
      </c>
      <c r="L12" s="115" t="str">
        <f ca="1">IFERROR(AVERAGEIF($B$19:$B$66, $A12, L$19:L$66), "")</f>
        <v/>
      </c>
      <c r="M12" s="161"/>
      <c r="N12" s="172"/>
      <c r="O12" s="112" t="str">
        <f t="shared" ref="O12:P14" ca="1" si="63">IFERROR(AVERAGEIF($B$19:$B$66, $A12, O$19:O$66), "")</f>
        <v/>
      </c>
      <c r="P12" s="115" t="str">
        <f t="shared" ca="1" si="63"/>
        <v/>
      </c>
      <c r="Q12" s="161"/>
      <c r="R12" s="173"/>
      <c r="S12" s="160" t="str">
        <f ca="1">IFERROR(AVERAGEIF($B$19:$B$66, $A12, S$19:S$66), "")</f>
        <v/>
      </c>
      <c r="T12" s="372" t="str">
        <f ca="1">IFERROR(INDEX(ICE[], MATCH("hilo" &amp; "Cal" &amp; " " &amp; RIGHT(Hvy!$A12, 2), ICE[LongCode], 0), MATCH("Text", ICE[#Headers], 0)), "")</f>
        <v/>
      </c>
      <c r="U12" s="115" t="str">
        <f ca="1">IFERROR(AVERAGEIF($B$19:$B$66, $A12, U$19:U$66), "")</f>
        <v/>
      </c>
      <c r="V12" s="161"/>
      <c r="W12" s="172"/>
      <c r="X12" s="112" t="str">
        <f t="shared" ref="X12:Y14" ca="1" si="64">IFERROR(AVERAGEIF($B$19:$B$66, $A12, X$19:X$66), "")</f>
        <v/>
      </c>
      <c r="Y12" s="115" t="str">
        <f t="shared" ca="1" si="64"/>
        <v/>
      </c>
      <c r="Z12" s="161"/>
      <c r="AA12" s="173"/>
      <c r="AB12" s="160" t="str">
        <f ca="1">IFERROR(AVERAGEIF($B$19:$B$66, $A12, AB$19:AB$66), "")</f>
        <v/>
      </c>
      <c r="AC12" s="372" t="str">
        <f ca="1">IFERROR(INDEX(ICE[], MATCH("hsfoew" &amp; "Cal" &amp; " " &amp; RIGHT(Hvy!$A12, 2), ICE[LongCode], 0), MATCH("Text", ICE[#Headers], 0)), "")</f>
        <v/>
      </c>
      <c r="AD12" s="115" t="str">
        <f ca="1">IFERROR(AVERAGEIF($B$19:$B$66, $A12, AD$19:AD$66), "")</f>
        <v/>
      </c>
      <c r="AE12" s="161"/>
      <c r="AF12" s="172"/>
      <c r="AG12" s="112" t="str">
        <f t="shared" ref="AG12:AH14" ca="1" si="65">IFERROR(AVERAGEIF($B$19:$B$66, $A12, AG$19:AG$66), "")</f>
        <v/>
      </c>
      <c r="AH12" s="115" t="str">
        <f t="shared" ca="1" si="65"/>
        <v/>
      </c>
      <c r="AI12" s="161"/>
      <c r="AJ12" s="364"/>
      <c r="AK12" s="172"/>
      <c r="AL12" s="112" t="str">
        <f t="shared" ref="AL12:AN14" ca="1" si="66">IFERROR(AVERAGEIF($B$19:$B$66, $A12, AL$19:AL$66), "")</f>
        <v/>
      </c>
      <c r="AM12" s="372" t="str">
        <f ca="1">IFERROR(INDEX(ICE[], MATCH("fo380brx" &amp; "Cal" &amp; " " &amp; RIGHT(Hvy!$A12, 2), ICE[LongCode], 0), MATCH("Text", ICE[#Headers], 0)), "")</f>
        <v/>
      </c>
      <c r="AN12" s="115" t="str">
        <f t="shared" ca="1" si="66"/>
        <v/>
      </c>
      <c r="AO12" s="161"/>
      <c r="AP12" s="115"/>
      <c r="AQ12" s="112" t="str">
        <f t="shared" ref="AQ12:AR14" ca="1" si="67">IFERROR(AVERAGEIF($B$19:$B$66, $A12, AQ$19:AQ$66), "")</f>
        <v/>
      </c>
      <c r="AR12" s="115" t="str">
        <f t="shared" ca="1" si="67"/>
        <v/>
      </c>
      <c r="AS12" s="161"/>
      <c r="AT12" s="115"/>
      <c r="AU12" s="160" t="str">
        <f ca="1">IFERROR(AVERAGEIF($B$19:$B$66, $A12, AU$19:AU$66), "")</f>
        <v/>
      </c>
      <c r="AV12" s="372" t="str">
        <f ca="1">IFERROR(INDEX(ICE[], MATCH("hilo" &amp; "Cal" &amp; " " &amp; RIGHT(Hvy!$A12, 2), ICE[LongCode], 0), MATCH("Text", ICE[#Headers], 0)), "")</f>
        <v/>
      </c>
      <c r="AW12" s="115" t="str">
        <f ca="1">IFERROR(AVERAGEIF($B$19:$B$66, $A12, AW$19:AW$66), "")</f>
        <v/>
      </c>
      <c r="AX12" s="161"/>
      <c r="AY12" s="172"/>
      <c r="AZ12" s="112" t="str">
        <f t="shared" ref="AZ12:BA14" ca="1" si="68">IFERROR(AVERAGEIF($B$19:$B$66, $A12, AZ$19:AZ$66), "")</f>
        <v/>
      </c>
      <c r="BA12" s="115" t="str">
        <f t="shared" ca="1" si="68"/>
        <v/>
      </c>
      <c r="BB12" s="161"/>
      <c r="BC12" s="172"/>
      <c r="BD12" s="112" t="str">
        <f t="shared" ref="BD12:BE14" ca="1" si="69">IFERROR(AVERAGEIF($B$19:$B$66, $A12, BD$19:BD$66), "")</f>
        <v/>
      </c>
      <c r="BE12" s="115" t="str">
        <f t="shared" ca="1" si="69"/>
        <v/>
      </c>
      <c r="BF12" s="161"/>
      <c r="BG12" s="115"/>
      <c r="BH12" s="112" t="str">
        <f t="shared" ref="BH12:BI14" ca="1" si="70">IFERROR(AVERAGEIF($B$19:$B$66, $A12, BH$19:BH$66), "")</f>
        <v/>
      </c>
      <c r="BI12" s="115" t="str">
        <f t="shared" ca="1" si="70"/>
        <v/>
      </c>
      <c r="BJ12" s="161"/>
      <c r="BK12" s="115"/>
      <c r="BL12" s="160" t="str">
        <f ca="1">IFERROR(AVERAGEIF($B$19:$B$66, $A12, BL$19:BL$66), "")</f>
        <v/>
      </c>
      <c r="BM12" s="372" t="str">
        <f ca="1">IFERROR(INDEX(ICE[], MATCH("fo05bfrbrx" &amp; "Cal" &amp; " " &amp; RIGHT(Hvy!$A12, 2), ICE[LongCode], 0), MATCH("Text", ICE[#Headers], 0)), "")</f>
        <v/>
      </c>
      <c r="BN12" s="115" t="str">
        <f ca="1">IFERROR(AVERAGEIF($B$19:$B$66, $A12, BN$19:BN$66), "")</f>
        <v/>
      </c>
      <c r="BO12" s="161"/>
      <c r="BP12" s="172"/>
      <c r="BQ12" s="112" t="str">
        <f t="shared" ref="BQ12:BR14" ca="1" si="71">IFERROR(AVERAGEIF($B$19:$B$66, $A12, BQ$19:BQ$66), "")</f>
        <v/>
      </c>
      <c r="BR12" s="115" t="str">
        <f t="shared" ca="1" si="71"/>
        <v/>
      </c>
      <c r="BS12" s="161"/>
      <c r="BT12" s="172"/>
      <c r="BU12" s="194" t="str">
        <f t="shared" ref="BU12:BV14" ca="1" si="72">IFERROR(AVERAGEIF($B$19:$B$66, $A12, BU$19:BU$66), "")</f>
        <v/>
      </c>
      <c r="BV12" s="115" t="str">
        <f t="shared" ca="1" si="72"/>
        <v/>
      </c>
      <c r="BW12" s="161"/>
      <c r="BX12" s="173"/>
      <c r="BY12" s="160" t="str">
        <f ca="1">IFERROR(AVERAGEIF($B$19:$B$66, $A12, BY$19:BY$66), "")</f>
        <v/>
      </c>
      <c r="BZ12" s="372" t="str">
        <f ca="1">IFERROR(INDEX(ICE[], MATCH("fo05singbrx" &amp; "Cal" &amp; " " &amp; RIGHT(Hvy!$A12, 2), ICE[LongCode], 0), MATCH("Text", ICE[#Headers], 0)), "")</f>
        <v/>
      </c>
      <c r="CA12" s="115" t="str">
        <f ca="1">IFERROR(AVERAGEIF($B$19:$B$66, $A12, CA$19:CA$66), "")</f>
        <v/>
      </c>
      <c r="CB12" s="161"/>
      <c r="CC12" s="172"/>
      <c r="CD12" s="112" t="str">
        <f t="shared" ref="CD12:CE14" ca="1" si="73">IFERROR(AVERAGEIF($B$19:$B$66, $A12, CD$19:CD$66), "")</f>
        <v/>
      </c>
      <c r="CE12" s="115" t="str">
        <f t="shared" ca="1" si="73"/>
        <v/>
      </c>
      <c r="CF12" s="161"/>
      <c r="CG12" s="115"/>
      <c r="CH12" s="112" t="str">
        <f t="shared" ref="CH12:CI14" ca="1" si="74">IFERROR(AVERAGEIF($B$19:$B$66, $A12, CH$19:CH$66), "")</f>
        <v/>
      </c>
      <c r="CI12" s="115" t="str">
        <f t="shared" ca="1" si="74"/>
        <v/>
      </c>
      <c r="CJ12" s="161"/>
      <c r="CK12" s="115"/>
      <c r="CL12" s="112" t="str">
        <f t="shared" ref="CL12:CM14" ca="1" si="75">IFERROR(AVERAGEIF($B$19:$B$66, $A12, CL$19:CL$66), "")</f>
        <v/>
      </c>
      <c r="CM12" s="115" t="str">
        <f t="shared" ca="1" si="75"/>
        <v/>
      </c>
      <c r="CN12" s="161"/>
      <c r="CO12" s="173"/>
    </row>
    <row r="13" spans="1:93" s="68" customFormat="1" x14ac:dyDescent="0.25">
      <c r="A13" s="55">
        <f ca="1">$A12 + 1</f>
        <v>2027</v>
      </c>
      <c r="B13" s="6"/>
      <c r="C13" s="6"/>
      <c r="D13" s="28"/>
      <c r="E13" s="28"/>
      <c r="F13" s="28"/>
      <c r="G13" s="28"/>
      <c r="H13" s="28"/>
      <c r="I13" s="28"/>
      <c r="J13" s="109" t="str">
        <f ca="1">IFERROR(AVERAGEIF($B$19:$B$66, $A13, J$19:J$66), "")</f>
        <v/>
      </c>
      <c r="K13" s="372" t="str">
        <f ca="1">IFERROR(INDEX(ICE[], MATCH("fo35brx" &amp; "Cal" &amp; " " &amp; RIGHT(Hvy!$A13, 2), ICE[LongCode], 0), MATCH("Text", ICE[#Headers], 0)), "")</f>
        <v xml:space="preserve"> /  </v>
      </c>
      <c r="L13" s="46" t="str">
        <f ca="1">IFERROR(AVERAGEIF($B$19:$B$66, $A13, L$19:L$66), "")</f>
        <v/>
      </c>
      <c r="M13" s="47" t="str">
        <f ca="1">IF(AND(ISNUMBER(J12), ISNUMBER(J13)), J12 - J13, "")</f>
        <v/>
      </c>
      <c r="N13" s="114" t="str">
        <f t="shared" ref="N13:N14" ca="1" si="76">IF(AND(ISNUMBER(L12), ISNUMBER(L13)), L12 - L13, "")</f>
        <v/>
      </c>
      <c r="O13" s="110" t="str">
        <f t="shared" ca="1" si="63"/>
        <v/>
      </c>
      <c r="P13" s="46" t="str">
        <f t="shared" ca="1" si="63"/>
        <v/>
      </c>
      <c r="Q13" s="47" t="str">
        <f t="shared" ref="Q13:R14" ca="1" si="77">IF(AND(ISNUMBER(O12), ISNUMBER(O13)), O12 - O13, "")</f>
        <v/>
      </c>
      <c r="R13" s="111" t="str">
        <f t="shared" ca="1" si="77"/>
        <v/>
      </c>
      <c r="S13" s="109" t="str">
        <f ca="1">IFERROR(AVERAGEIF($B$19:$B$66, $A13, S$19:S$66), "")</f>
        <v/>
      </c>
      <c r="T13" s="372" t="str">
        <f ca="1">IFERROR(INDEX(ICE[], MATCH("hilo" &amp; "Cal" &amp; " " &amp; RIGHT(Hvy!$A13, 2), ICE[LongCode], 0), MATCH("Text", ICE[#Headers], 0)), "")</f>
        <v xml:space="preserve"> /  </v>
      </c>
      <c r="U13" s="46" t="str">
        <f ca="1">IFERROR(AVERAGEIF($B$19:$B$66, $A13, U$19:U$66), "")</f>
        <v/>
      </c>
      <c r="V13" s="47" t="str">
        <f ca="1">IF(AND(ISNUMBER(S12), ISNUMBER(S13)), S12 - S13, "")</f>
        <v/>
      </c>
      <c r="W13" s="114" t="str">
        <f t="shared" ref="W13:W14" ca="1" si="78">IF(AND(ISNUMBER(U12), ISNUMBER(U13)), U12 - U13, "")</f>
        <v/>
      </c>
      <c r="X13" s="110" t="str">
        <f t="shared" ca="1" si="64"/>
        <v/>
      </c>
      <c r="Y13" s="46" t="str">
        <f t="shared" ca="1" si="64"/>
        <v/>
      </c>
      <c r="Z13" s="47" t="str">
        <f t="shared" ref="Z13:Z14" ca="1" si="79">IF(AND(ISNUMBER(X12), ISNUMBER(X13)), X12 - X13, "")</f>
        <v/>
      </c>
      <c r="AA13" s="111" t="str">
        <f t="shared" ref="AA13:AA14" ca="1" si="80">IF(AND(ISNUMBER(Y12), ISNUMBER(Y13)), Y12 - Y13, "")</f>
        <v/>
      </c>
      <c r="AB13" s="109" t="str">
        <f ca="1">IFERROR(AVERAGEIF($B$19:$B$66, $A13, AB$19:AB$66), "")</f>
        <v/>
      </c>
      <c r="AC13" s="372" t="str">
        <f ca="1">IFERROR(INDEX(ICE[], MATCH("hsfoew" &amp; "Cal" &amp; " " &amp; RIGHT(Hvy!$A13, 2), ICE[LongCode], 0), MATCH("Text", ICE[#Headers], 0)), "")</f>
        <v xml:space="preserve">16.00 / 25.00 </v>
      </c>
      <c r="AD13" s="46" t="str">
        <f ca="1">IFERROR(AVERAGEIF($B$19:$B$66, $A13, AD$19:AD$66), "")</f>
        <v/>
      </c>
      <c r="AE13" s="47" t="str">
        <f ca="1">IF(AND(ISNUMBER(AB12), ISNUMBER(AB13)), AB12 - AB13, "")</f>
        <v/>
      </c>
      <c r="AF13" s="114" t="str">
        <f t="shared" ref="AF13:AF14" ca="1" si="81">IF(AND(ISNUMBER(AD12), ISNUMBER(AD13)), AD12 - AD13, "")</f>
        <v/>
      </c>
      <c r="AG13" s="110" t="str">
        <f t="shared" ca="1" si="65"/>
        <v/>
      </c>
      <c r="AH13" s="46" t="str">
        <f t="shared" ca="1" si="65"/>
        <v/>
      </c>
      <c r="AI13" s="47" t="str">
        <f ca="1">IF(AND(ISNUMBER(AG12), ISNUMBER(AG13)), AG12 - AG13, "")</f>
        <v/>
      </c>
      <c r="AJ13" s="364"/>
      <c r="AK13" s="114" t="str">
        <f ca="1">IF(AND(ISNUMBER(AH12), ISNUMBER(AH13)), AH12 - AH13, "")</f>
        <v/>
      </c>
      <c r="AL13" s="110" t="str">
        <f t="shared" ca="1" si="66"/>
        <v/>
      </c>
      <c r="AM13" s="372" t="str">
        <f ca="1">IFERROR(INDEX(ICE[], MATCH("fo380brx" &amp; "Cal" &amp; " " &amp; RIGHT(Hvy!$A13, 2), ICE[LongCode], 0), MATCH("Text", ICE[#Headers], 0)), "")</f>
        <v xml:space="preserve"> /  </v>
      </c>
      <c r="AN13" s="46" t="str">
        <f t="shared" ca="1" si="66"/>
        <v/>
      </c>
      <c r="AO13" s="47" t="str">
        <f t="shared" ref="AO13:AO14" ca="1" si="82">IF(AND(ISNUMBER(AL12), ISNUMBER(AL13)), AL12 - AL13, "")</f>
        <v/>
      </c>
      <c r="AP13" s="46" t="str">
        <f t="shared" ref="AP13:AP14" ca="1" si="83">IF(AND(ISNUMBER(AN12), ISNUMBER(AN13)), AN12 - AN13, "")</f>
        <v/>
      </c>
      <c r="AQ13" s="110" t="str">
        <f t="shared" ca="1" si="67"/>
        <v/>
      </c>
      <c r="AR13" s="46" t="str">
        <f t="shared" ca="1" si="67"/>
        <v/>
      </c>
      <c r="AS13" s="47" t="str">
        <f t="shared" ref="AS13:AS14" ca="1" si="84">IF(AND(ISNUMBER(AQ12), ISNUMBER(AQ13)), AQ12 - AQ13, "")</f>
        <v/>
      </c>
      <c r="AT13" s="46" t="str">
        <f t="shared" ref="AT13:AT14" ca="1" si="85">IF(AND(ISNUMBER(AR12), ISNUMBER(AR13)), AR12 - AR13, "")</f>
        <v/>
      </c>
      <c r="AU13" s="109" t="str">
        <f ca="1">IFERROR(AVERAGEIF($B$19:$B$66, $A13, AU$19:AU$66), "")</f>
        <v/>
      </c>
      <c r="AV13" s="372" t="str">
        <f ca="1">IFERROR(INDEX(ICE[], MATCH("hilo" &amp; "Cal" &amp; " " &amp; RIGHT(Hvy!$A13, 2), ICE[LongCode], 0), MATCH("Text", ICE[#Headers], 0)), "")</f>
        <v xml:space="preserve"> /  </v>
      </c>
      <c r="AW13" s="46" t="str">
        <f ca="1">IFERROR(AVERAGEIF($B$19:$B$66, $A13, AW$19:AW$66), "")</f>
        <v/>
      </c>
      <c r="AX13" s="47" t="str">
        <f ca="1">IF(AND(ISNUMBER(AU12), ISNUMBER(AU13)), AU12 - AU13, "")</f>
        <v/>
      </c>
      <c r="AY13" s="114" t="str">
        <f t="shared" ref="AY13:AY14" ca="1" si="86">IF(AND(ISNUMBER(AW12), ISNUMBER(AW13)), AW12 - AW13, "")</f>
        <v/>
      </c>
      <c r="AZ13" s="110" t="str">
        <f t="shared" ca="1" si="68"/>
        <v/>
      </c>
      <c r="BA13" s="46" t="str">
        <f t="shared" ca="1" si="68"/>
        <v/>
      </c>
      <c r="BB13" s="47" t="str">
        <f t="shared" ref="BB13:BB14" ca="1" si="87">IF(AND(ISNUMBER(AZ12), ISNUMBER(AZ13)), AZ12 - AZ13, "")</f>
        <v/>
      </c>
      <c r="BC13" s="114" t="str">
        <f t="shared" ref="BC13:BC14" ca="1" si="88">IF(AND(ISNUMBER(BA12), ISNUMBER(BA13)), BA12 - BA13, "")</f>
        <v/>
      </c>
      <c r="BD13" s="110" t="str">
        <f t="shared" ca="1" si="69"/>
        <v/>
      </c>
      <c r="BE13" s="46" t="str">
        <f t="shared" ca="1" si="69"/>
        <v/>
      </c>
      <c r="BF13" s="47" t="str">
        <f t="shared" ref="BF13:BF14" ca="1" si="89">IF(AND(ISNUMBER(BD12), ISNUMBER(BD13)), BD12 - BD13, "")</f>
        <v/>
      </c>
      <c r="BG13" s="46" t="str">
        <f t="shared" ref="BG13:BG14" ca="1" si="90">IF(AND(ISNUMBER(BE12), ISNUMBER(BE13)), BE12 - BE13, "")</f>
        <v/>
      </c>
      <c r="BH13" s="110" t="str">
        <f t="shared" ca="1" si="70"/>
        <v/>
      </c>
      <c r="BI13" s="46" t="str">
        <f t="shared" ca="1" si="70"/>
        <v/>
      </c>
      <c r="BJ13" s="47" t="str">
        <f t="shared" ref="BJ13:BJ14" ca="1" si="91">IF(AND(ISNUMBER(BH12), ISNUMBER(BH13)), BH12 - BH13, "")</f>
        <v/>
      </c>
      <c r="BK13" s="46" t="str">
        <f t="shared" ref="BK13:BK14" ca="1" si="92">IF(AND(ISNUMBER(BI12), ISNUMBER(BI13)), BI12 - BI13, "")</f>
        <v/>
      </c>
      <c r="BL13" s="109" t="str">
        <f ca="1">IFERROR(AVERAGEIF($B$19:$B$66, $A13, BL$19:BL$66), "")</f>
        <v/>
      </c>
      <c r="BM13" s="372" t="str">
        <f ca="1">IFERROR(INDEX(ICE[], MATCH("fo05bfrbrx" &amp; "Cal" &amp; " " &amp; RIGHT(Hvy!$A13, 2), ICE[LongCode], 0), MATCH("Text", ICE[#Headers], 0)), "")</f>
        <v xml:space="preserve"> /  </v>
      </c>
      <c r="BN13" s="46" t="str">
        <f ca="1">IFERROR(AVERAGEIF($B$19:$B$66, $A13, BN$19:BN$66), "")</f>
        <v/>
      </c>
      <c r="BO13" s="47" t="str">
        <f ca="1">IF(AND(ISNUMBER(BL12), ISNUMBER(BL13)), BL12 - BL13, "")</f>
        <v/>
      </c>
      <c r="BP13" s="114" t="str">
        <f t="shared" ref="BP13:BP14" ca="1" si="93">IF(AND(ISNUMBER(BN12), ISNUMBER(BN13)), BN12 - BN13, "")</f>
        <v/>
      </c>
      <c r="BQ13" s="110" t="str">
        <f t="shared" ca="1" si="71"/>
        <v/>
      </c>
      <c r="BR13" s="46" t="str">
        <f t="shared" ca="1" si="71"/>
        <v/>
      </c>
      <c r="BS13" s="47" t="str">
        <f t="shared" ref="BS13:BS14" ca="1" si="94">IF(AND(ISNUMBER(BQ12), ISNUMBER(BQ13)), BQ12 - BQ13, "")</f>
        <v/>
      </c>
      <c r="BT13" s="114" t="str">
        <f t="shared" ref="BT13:BT14" ca="1" si="95">IF(AND(ISNUMBER(BR12), ISNUMBER(BR13)), BR12 - BR13, "")</f>
        <v/>
      </c>
      <c r="BU13" s="48" t="str">
        <f t="shared" ca="1" si="72"/>
        <v/>
      </c>
      <c r="BV13" s="46" t="str">
        <f t="shared" ca="1" si="72"/>
        <v/>
      </c>
      <c r="BW13" s="47" t="str">
        <f t="shared" ref="BW13:BW14" ca="1" si="96">IF(AND(ISNUMBER(BU12), ISNUMBER(BU13)), BU12 - BU13, "")</f>
        <v/>
      </c>
      <c r="BX13" s="111" t="str">
        <f t="shared" ref="BX13:BX14" ca="1" si="97">IF(AND(ISNUMBER(BV12), ISNUMBER(BV13)), BV12 - BV13, "")</f>
        <v/>
      </c>
      <c r="BY13" s="109" t="str">
        <f ca="1">IFERROR(AVERAGEIF($B$19:$B$66, $A13, BY$19:BY$66), "")</f>
        <v/>
      </c>
      <c r="BZ13" s="372" t="str">
        <f ca="1">IFERROR(INDEX(ICE[], MATCH("fo05singbrx" &amp; "Cal" &amp; " " &amp; RIGHT(Hvy!$A13, 2), ICE[LongCode], 0), MATCH("Text", ICE[#Headers], 0)), "")</f>
        <v xml:space="preserve"> / 14.75 </v>
      </c>
      <c r="CA13" s="46" t="str">
        <f ca="1">IFERROR(AVERAGEIF($B$19:$B$66, $A13, CA$19:CA$66), "")</f>
        <v/>
      </c>
      <c r="CB13" s="47" t="str">
        <f ca="1">IF(AND(ISNUMBER(BY12), ISNUMBER(BY13)), BY12 - BY13, "")</f>
        <v/>
      </c>
      <c r="CC13" s="114" t="str">
        <f t="shared" ref="CC13:CC14" ca="1" si="98">IF(AND(ISNUMBER(CA12), ISNUMBER(CA13)), CA12 - CA13, "")</f>
        <v/>
      </c>
      <c r="CD13" s="110" t="str">
        <f t="shared" ca="1" si="73"/>
        <v/>
      </c>
      <c r="CE13" s="46" t="str">
        <f t="shared" ca="1" si="73"/>
        <v/>
      </c>
      <c r="CF13" s="47" t="str">
        <f t="shared" ref="CF13:CF14" ca="1" si="99">IF(AND(ISNUMBER(CD12), ISNUMBER(CD13)), CD12 - CD13, "")</f>
        <v/>
      </c>
      <c r="CG13" s="46" t="str">
        <f t="shared" ref="CG13:CG14" ca="1" si="100">IF(AND(ISNUMBER(CE12), ISNUMBER(CE13)), CE12 - CE13, "")</f>
        <v/>
      </c>
      <c r="CH13" s="110" t="str">
        <f t="shared" ca="1" si="74"/>
        <v/>
      </c>
      <c r="CI13" s="46" t="str">
        <f t="shared" ca="1" si="74"/>
        <v/>
      </c>
      <c r="CJ13" s="47" t="str">
        <f t="shared" ref="CJ13:CJ14" ca="1" si="101">IF(AND(ISNUMBER(CH12), ISNUMBER(CH13)), CH12 - CH13, "")</f>
        <v/>
      </c>
      <c r="CK13" s="46" t="str">
        <f t="shared" ref="CK13:CK14" ca="1" si="102">IF(AND(ISNUMBER(CI12), ISNUMBER(CI13)), CI12 - CI13, "")</f>
        <v/>
      </c>
      <c r="CL13" s="110" t="str">
        <f t="shared" ca="1" si="75"/>
        <v/>
      </c>
      <c r="CM13" s="46" t="str">
        <f t="shared" ca="1" si="75"/>
        <v/>
      </c>
      <c r="CN13" s="47" t="str">
        <f t="shared" ref="CN13:CN14" ca="1" si="103">IF(AND(ISNUMBER(CL12), ISNUMBER(CL13)), CL12 - CL13, "")</f>
        <v/>
      </c>
      <c r="CO13" s="111" t="str">
        <f t="shared" ref="CO13:CO14" ca="1" si="104">IF(AND(ISNUMBER(CM12), ISNUMBER(CM13)), CM12 - CM13, "")</f>
        <v/>
      </c>
    </row>
    <row r="14" spans="1:93" s="68" customFormat="1" ht="15.75" thickBot="1" x14ac:dyDescent="0.3">
      <c r="A14" s="55">
        <f ca="1">$A13 + 1</f>
        <v>2028</v>
      </c>
      <c r="B14" s="6"/>
      <c r="C14" s="6"/>
      <c r="D14" s="28"/>
      <c r="E14" s="28"/>
      <c r="F14" s="28"/>
      <c r="G14" s="28"/>
      <c r="H14" s="28"/>
      <c r="I14" s="28"/>
      <c r="J14" s="130" t="str">
        <f ca="1">IFERROR(AVERAGEIF($B$19:$B$66, $A14, J$19:J$66), "")</f>
        <v/>
      </c>
      <c r="K14" s="373" t="str">
        <f ca="1">IFERROR(INDEX(ICE[], MATCH("fo35brx" &amp; "Cal" &amp; " " &amp; RIGHT(Hvy!$A14, 2), ICE[LongCode], 0), MATCH("Text", ICE[#Headers], 0)), "")</f>
        <v xml:space="preserve"> /  </v>
      </c>
      <c r="L14" s="133" t="str">
        <f ca="1">IFERROR(AVERAGEIF($B$19:$B$66, $A14, L$19:L$66), "")</f>
        <v/>
      </c>
      <c r="M14" s="142" t="str">
        <f ca="1">IF(AND(ISNUMBER(J13), ISNUMBER(J14)), J13 - J14, "")</f>
        <v/>
      </c>
      <c r="N14" s="137" t="str">
        <f t="shared" ca="1" si="76"/>
        <v/>
      </c>
      <c r="O14" s="134" t="str">
        <f t="shared" ca="1" si="63"/>
        <v/>
      </c>
      <c r="P14" s="133" t="str">
        <f t="shared" ca="1" si="63"/>
        <v/>
      </c>
      <c r="Q14" s="142" t="str">
        <f t="shared" ca="1" si="77"/>
        <v/>
      </c>
      <c r="R14" s="135" t="str">
        <f t="shared" ca="1" si="77"/>
        <v/>
      </c>
      <c r="S14" s="130" t="str">
        <f ca="1">IFERROR(AVERAGEIF($B$19:$B$66, $A14, S$19:S$66), "")</f>
        <v/>
      </c>
      <c r="T14" s="373" t="str">
        <f ca="1">IFERROR(INDEX(ICE[], MATCH("hilo" &amp; "Cal" &amp; " " &amp; RIGHT(Hvy!$A14, 2), ICE[LongCode], 0), MATCH("Text", ICE[#Headers], 0)), "")</f>
        <v xml:space="preserve"> /  </v>
      </c>
      <c r="U14" s="133" t="str">
        <f ca="1">IFERROR(AVERAGEIF($B$19:$B$66, $A14, U$19:U$66), "")</f>
        <v/>
      </c>
      <c r="V14" s="142" t="str">
        <f ca="1">IF(AND(ISNUMBER(S13), ISNUMBER(S14)), S13 - S14, "")</f>
        <v/>
      </c>
      <c r="W14" s="137" t="str">
        <f t="shared" ca="1" si="78"/>
        <v/>
      </c>
      <c r="X14" s="134" t="str">
        <f t="shared" ca="1" si="64"/>
        <v/>
      </c>
      <c r="Y14" s="133" t="str">
        <f t="shared" ca="1" si="64"/>
        <v/>
      </c>
      <c r="Z14" s="142" t="str">
        <f t="shared" ca="1" si="79"/>
        <v/>
      </c>
      <c r="AA14" s="135" t="str">
        <f t="shared" ca="1" si="80"/>
        <v/>
      </c>
      <c r="AB14" s="130" t="str">
        <f ca="1">IFERROR(AVERAGEIF($B$19:$B$66, $A14, AB$19:AB$66), "")</f>
        <v/>
      </c>
      <c r="AC14" s="373" t="str">
        <f ca="1">IFERROR(INDEX(ICE[], MATCH("hsfoew" &amp; "Cal" &amp; " " &amp; RIGHT(Hvy!$A14, 2), ICE[LongCode], 0), MATCH("Text", ICE[#Headers], 0)), "")</f>
        <v xml:space="preserve"> /  </v>
      </c>
      <c r="AD14" s="133" t="str">
        <f ca="1">IFERROR(AVERAGEIF($B$19:$B$66, $A14, AD$19:AD$66), "")</f>
        <v/>
      </c>
      <c r="AE14" s="142" t="str">
        <f ca="1">IF(AND(ISNUMBER(AB13), ISNUMBER(AB14)), AB13 - AB14, "")</f>
        <v/>
      </c>
      <c r="AF14" s="137" t="str">
        <f t="shared" ca="1" si="81"/>
        <v/>
      </c>
      <c r="AG14" s="134" t="str">
        <f t="shared" ca="1" si="65"/>
        <v/>
      </c>
      <c r="AH14" s="133" t="str">
        <f t="shared" ca="1" si="65"/>
        <v/>
      </c>
      <c r="AI14" s="142" t="str">
        <f ca="1">IF(AND(ISNUMBER(AG13), ISNUMBER(AG14)), AG13 - AG14, "")</f>
        <v/>
      </c>
      <c r="AJ14" s="366" t="str">
        <f ca="1">IFERROR(INDEX(ICE[], MATCH("fo380" &amp; "Cal" &amp; " " &amp; RIGHT(Crd!$A13, 2) &amp; "/" &amp; "Cal" &amp; " " &amp; RIGHT(Crd!$A14, 2), ICE[LongCode], 0), MATCH("Text", ICE[#Headers], 0)), "")</f>
        <v xml:space="preserve"> /  </v>
      </c>
      <c r="AK14" s="137" t="str">
        <f ca="1">IF(AND(ISNUMBER(AH13), ISNUMBER(AH14)), AH13 - AH14, "")</f>
        <v/>
      </c>
      <c r="AL14" s="134" t="str">
        <f t="shared" ca="1" si="66"/>
        <v/>
      </c>
      <c r="AM14" s="373" t="str">
        <f ca="1">IFERROR(INDEX(ICE[], MATCH("fo380brx" &amp; "Cal" &amp; " " &amp; RIGHT(Hvy!$A14, 2), ICE[LongCode], 0), MATCH("Text", ICE[#Headers], 0)), "")</f>
        <v xml:space="preserve"> /  </v>
      </c>
      <c r="AN14" s="133" t="str">
        <f t="shared" ca="1" si="66"/>
        <v/>
      </c>
      <c r="AO14" s="142" t="str">
        <f t="shared" ca="1" si="82"/>
        <v/>
      </c>
      <c r="AP14" s="133" t="str">
        <f t="shared" ca="1" si="83"/>
        <v/>
      </c>
      <c r="AQ14" s="134" t="str">
        <f t="shared" ca="1" si="67"/>
        <v/>
      </c>
      <c r="AR14" s="133" t="str">
        <f t="shared" ca="1" si="67"/>
        <v/>
      </c>
      <c r="AS14" s="142" t="str">
        <f t="shared" ca="1" si="84"/>
        <v/>
      </c>
      <c r="AT14" s="133" t="str">
        <f t="shared" ca="1" si="85"/>
        <v/>
      </c>
      <c r="AU14" s="130" t="str">
        <f ca="1">IFERROR(AVERAGEIF($B$19:$B$66, $A14, AU$19:AU$66), "")</f>
        <v/>
      </c>
      <c r="AV14" s="373" t="str">
        <f ca="1">IFERROR(INDEX(ICE[], MATCH("hilo" &amp; "Cal" &amp; " " &amp; RIGHT(Hvy!$A14, 2), ICE[LongCode], 0), MATCH("Text", ICE[#Headers], 0)), "")</f>
        <v xml:space="preserve"> /  </v>
      </c>
      <c r="AW14" s="133" t="str">
        <f ca="1">IFERROR(AVERAGEIF($B$19:$B$66, $A14, AW$19:AW$66), "")</f>
        <v/>
      </c>
      <c r="AX14" s="142" t="str">
        <f ca="1">IF(AND(ISNUMBER(AU13), ISNUMBER(AU14)), AU13 - AU14, "")</f>
        <v/>
      </c>
      <c r="AY14" s="137" t="str">
        <f t="shared" ca="1" si="86"/>
        <v/>
      </c>
      <c r="AZ14" s="134" t="str">
        <f t="shared" ca="1" si="68"/>
        <v/>
      </c>
      <c r="BA14" s="133" t="str">
        <f t="shared" ca="1" si="68"/>
        <v/>
      </c>
      <c r="BB14" s="142" t="str">
        <f t="shared" ca="1" si="87"/>
        <v/>
      </c>
      <c r="BC14" s="137" t="str">
        <f t="shared" ca="1" si="88"/>
        <v/>
      </c>
      <c r="BD14" s="134" t="str">
        <f t="shared" ca="1" si="69"/>
        <v/>
      </c>
      <c r="BE14" s="133" t="str">
        <f t="shared" ca="1" si="69"/>
        <v/>
      </c>
      <c r="BF14" s="142" t="str">
        <f t="shared" ca="1" si="89"/>
        <v/>
      </c>
      <c r="BG14" s="133" t="str">
        <f t="shared" ca="1" si="90"/>
        <v/>
      </c>
      <c r="BH14" s="134" t="str">
        <f t="shared" ca="1" si="70"/>
        <v/>
      </c>
      <c r="BI14" s="133" t="str">
        <f t="shared" ca="1" si="70"/>
        <v/>
      </c>
      <c r="BJ14" s="142" t="str">
        <f t="shared" ca="1" si="91"/>
        <v/>
      </c>
      <c r="BK14" s="133" t="str">
        <f t="shared" ca="1" si="92"/>
        <v/>
      </c>
      <c r="BL14" s="130" t="str">
        <f ca="1">IFERROR(AVERAGEIF($B$19:$B$66, $A14, BL$19:BL$66), "")</f>
        <v/>
      </c>
      <c r="BM14" s="373" t="str">
        <f ca="1">IFERROR(INDEX(ICE[], MATCH("fo05bfrbrx" &amp; "Cal" &amp; " " &amp; RIGHT(Hvy!$A14, 2), ICE[LongCode], 0), MATCH("Text", ICE[#Headers], 0)), "")</f>
        <v xml:space="preserve"> /  </v>
      </c>
      <c r="BN14" s="133" t="str">
        <f ca="1">IFERROR(AVERAGEIF($B$19:$B$66, $A14, BN$19:BN$66), "")</f>
        <v/>
      </c>
      <c r="BO14" s="142" t="str">
        <f ca="1">IF(AND(ISNUMBER(BL13), ISNUMBER(BL14)), BL13 - BL14, "")</f>
        <v/>
      </c>
      <c r="BP14" s="137" t="str">
        <f t="shared" ca="1" si="93"/>
        <v/>
      </c>
      <c r="BQ14" s="134" t="str">
        <f t="shared" ca="1" si="71"/>
        <v/>
      </c>
      <c r="BR14" s="133" t="str">
        <f t="shared" ca="1" si="71"/>
        <v/>
      </c>
      <c r="BS14" s="142" t="str">
        <f t="shared" ca="1" si="94"/>
        <v/>
      </c>
      <c r="BT14" s="137" t="str">
        <f t="shared" ca="1" si="95"/>
        <v/>
      </c>
      <c r="BU14" s="132" t="str">
        <f t="shared" ca="1" si="72"/>
        <v/>
      </c>
      <c r="BV14" s="133" t="str">
        <f t="shared" ca="1" si="72"/>
        <v/>
      </c>
      <c r="BW14" s="142" t="str">
        <f t="shared" ca="1" si="96"/>
        <v/>
      </c>
      <c r="BX14" s="135" t="str">
        <f t="shared" ca="1" si="97"/>
        <v/>
      </c>
      <c r="BY14" s="130" t="str">
        <f ca="1">IFERROR(AVERAGEIF($B$19:$B$66, $A14, BY$19:BY$66), "")</f>
        <v/>
      </c>
      <c r="BZ14" s="373" t="str">
        <f ca="1">IFERROR(INDEX(ICE[], MATCH("fo05singbrx" &amp; "Cal" &amp; " " &amp; RIGHT(Hvy!$A14, 2), ICE[LongCode], 0), MATCH("Text", ICE[#Headers], 0)), "")</f>
        <v xml:space="preserve"> /  </v>
      </c>
      <c r="CA14" s="133" t="str">
        <f ca="1">IFERROR(AVERAGEIF($B$19:$B$66, $A14, CA$19:CA$66), "")</f>
        <v/>
      </c>
      <c r="CB14" s="142" t="str">
        <f ca="1">IF(AND(ISNUMBER(BY13), ISNUMBER(BY14)), BY13 - BY14, "")</f>
        <v/>
      </c>
      <c r="CC14" s="137" t="str">
        <f t="shared" ca="1" si="98"/>
        <v/>
      </c>
      <c r="CD14" s="134" t="str">
        <f t="shared" ca="1" si="73"/>
        <v/>
      </c>
      <c r="CE14" s="133" t="str">
        <f t="shared" ca="1" si="73"/>
        <v/>
      </c>
      <c r="CF14" s="142" t="str">
        <f t="shared" ca="1" si="99"/>
        <v/>
      </c>
      <c r="CG14" s="133" t="str">
        <f t="shared" ca="1" si="100"/>
        <v/>
      </c>
      <c r="CH14" s="134" t="str">
        <f t="shared" ca="1" si="74"/>
        <v/>
      </c>
      <c r="CI14" s="133" t="str">
        <f t="shared" ca="1" si="74"/>
        <v/>
      </c>
      <c r="CJ14" s="142" t="str">
        <f t="shared" ca="1" si="101"/>
        <v/>
      </c>
      <c r="CK14" s="133" t="str">
        <f t="shared" ca="1" si="102"/>
        <v/>
      </c>
      <c r="CL14" s="134" t="str">
        <f t="shared" ca="1" si="75"/>
        <v/>
      </c>
      <c r="CM14" s="133" t="str">
        <f t="shared" ca="1" si="75"/>
        <v/>
      </c>
      <c r="CN14" s="142" t="str">
        <f t="shared" ca="1" si="103"/>
        <v/>
      </c>
      <c r="CO14" s="135" t="str">
        <f t="shared" ca="1" si="104"/>
        <v/>
      </c>
    </row>
    <row r="15" spans="1:93" s="68" customFormat="1" x14ac:dyDescent="0.25">
      <c r="A15" s="56"/>
      <c r="B15" s="6"/>
      <c r="C15" s="6"/>
      <c r="D15" s="28"/>
      <c r="E15" s="28"/>
      <c r="F15" s="28"/>
      <c r="G15" s="28"/>
      <c r="H15" s="28"/>
      <c r="I15" s="28"/>
      <c r="J15" s="51"/>
      <c r="K15" s="51"/>
      <c r="L15" s="52"/>
      <c r="M15" s="51"/>
      <c r="N15" s="52"/>
      <c r="O15" s="51"/>
      <c r="P15" s="67"/>
      <c r="Q15" s="67"/>
      <c r="R15" s="67"/>
      <c r="S15" s="51"/>
      <c r="T15" s="51"/>
      <c r="U15" s="52"/>
      <c r="V15" s="51"/>
      <c r="W15" s="52"/>
      <c r="X15" s="51"/>
      <c r="Y15" s="67"/>
      <c r="Z15" s="67"/>
      <c r="AA15" s="67"/>
      <c r="AB15" s="51"/>
      <c r="AC15" s="51"/>
      <c r="AD15" s="52"/>
      <c r="AE15" s="51"/>
      <c r="AF15" s="52"/>
      <c r="AG15" s="51"/>
      <c r="AH15" s="67"/>
      <c r="AI15" s="67"/>
      <c r="AJ15" s="51"/>
      <c r="AK15" s="67"/>
      <c r="AL15" s="51"/>
      <c r="AM15" s="51"/>
      <c r="AN15" s="67"/>
      <c r="AO15" s="67"/>
      <c r="AP15" s="67"/>
      <c r="AQ15" s="51"/>
      <c r="AR15" s="67"/>
      <c r="AS15" s="67"/>
      <c r="AT15" s="67"/>
      <c r="AU15" s="51"/>
      <c r="AV15" s="51"/>
      <c r="AW15" s="52"/>
      <c r="AX15" s="51"/>
      <c r="AY15" s="52"/>
      <c r="AZ15" s="51"/>
      <c r="BA15" s="67"/>
      <c r="BB15" s="67"/>
      <c r="BC15" s="67"/>
      <c r="BD15" s="51"/>
      <c r="BE15" s="67"/>
      <c r="BF15" s="67"/>
      <c r="BG15" s="67"/>
      <c r="BH15" s="51"/>
      <c r="BI15" s="67"/>
      <c r="BJ15" s="67"/>
      <c r="BK15" s="67"/>
      <c r="BL15" s="51"/>
      <c r="BM15" s="51"/>
      <c r="BN15" s="52"/>
      <c r="BO15" s="51"/>
      <c r="BP15" s="52"/>
      <c r="BQ15" s="51"/>
      <c r="BR15" s="67"/>
      <c r="BS15" s="67"/>
      <c r="BT15" s="67"/>
      <c r="BU15" s="51"/>
      <c r="BV15" s="67"/>
      <c r="BW15" s="67"/>
      <c r="BX15" s="67"/>
      <c r="BY15" s="51"/>
      <c r="BZ15" s="51"/>
      <c r="CA15" s="52"/>
      <c r="CB15" s="51"/>
      <c r="CC15" s="52"/>
      <c r="CD15" s="51"/>
      <c r="CE15" s="67"/>
      <c r="CF15" s="67"/>
      <c r="CG15" s="67"/>
      <c r="CH15" s="51"/>
      <c r="CI15" s="67"/>
      <c r="CJ15" s="67"/>
      <c r="CK15" s="67"/>
      <c r="CL15" s="51"/>
      <c r="CM15" s="67"/>
      <c r="CN15" s="67"/>
      <c r="CO15" s="67"/>
    </row>
    <row r="16" spans="1:93" s="68" customFormat="1" ht="15.75" thickBot="1" x14ac:dyDescent="0.3">
      <c r="A16" s="57"/>
      <c r="B16" s="6"/>
      <c r="C16" s="6"/>
      <c r="D16" s="28"/>
      <c r="E16" s="28"/>
      <c r="F16" s="28"/>
      <c r="G16" s="28"/>
      <c r="H16" s="28"/>
      <c r="I16" s="28"/>
      <c r="J16" s="51"/>
      <c r="K16" s="51"/>
      <c r="L16" s="52"/>
      <c r="M16" s="51"/>
      <c r="N16" s="52"/>
      <c r="O16" s="51"/>
      <c r="P16" s="67"/>
      <c r="Q16" s="66"/>
      <c r="R16" s="77"/>
      <c r="S16" s="51"/>
      <c r="T16" s="51"/>
      <c r="U16" s="52"/>
      <c r="V16" s="51"/>
      <c r="W16" s="52"/>
      <c r="X16" s="51"/>
      <c r="Y16" s="67"/>
      <c r="Z16" s="66"/>
      <c r="AA16" s="77"/>
      <c r="AB16" s="51"/>
      <c r="AC16" s="51"/>
      <c r="AD16" s="52"/>
      <c r="AE16" s="48"/>
      <c r="AF16" s="48"/>
      <c r="AG16" s="51"/>
      <c r="AH16" s="67"/>
      <c r="AI16" s="66"/>
      <c r="AJ16" s="51"/>
      <c r="AK16" s="77"/>
      <c r="AL16" s="51"/>
      <c r="AM16" s="51"/>
      <c r="AN16" s="67"/>
      <c r="AO16" s="66"/>
      <c r="AP16" s="77"/>
      <c r="AQ16" s="51"/>
      <c r="AR16" s="67"/>
      <c r="AS16" s="66"/>
      <c r="AT16" s="77"/>
      <c r="AU16" s="51"/>
      <c r="AV16" s="51"/>
      <c r="AW16" s="52"/>
      <c r="AX16" s="51"/>
      <c r="AY16" s="52"/>
      <c r="AZ16" s="51"/>
      <c r="BA16" s="67"/>
      <c r="BB16" s="66"/>
      <c r="BC16" s="77"/>
      <c r="BD16" s="51"/>
      <c r="BE16" s="67"/>
      <c r="BF16" s="66"/>
      <c r="BG16" s="77"/>
      <c r="BH16" s="51"/>
      <c r="BI16" s="67"/>
      <c r="BJ16" s="66"/>
      <c r="BK16" s="77"/>
      <c r="BL16" s="51"/>
      <c r="BM16" s="51"/>
      <c r="BN16" s="52"/>
      <c r="BO16" s="51"/>
      <c r="BP16" s="52"/>
      <c r="BQ16" s="51"/>
      <c r="BR16" s="67"/>
      <c r="BS16" s="66"/>
      <c r="BT16" s="77"/>
      <c r="BU16" s="51"/>
      <c r="BV16" s="67"/>
      <c r="BW16" s="66"/>
      <c r="BX16" s="77"/>
      <c r="BY16" s="51"/>
      <c r="BZ16" s="51"/>
      <c r="CA16" s="52"/>
      <c r="CB16" s="51"/>
      <c r="CC16" s="52"/>
      <c r="CD16" s="51"/>
      <c r="CE16" s="67"/>
      <c r="CF16" s="66"/>
      <c r="CG16" s="77"/>
      <c r="CH16" s="51"/>
      <c r="CI16" s="67"/>
      <c r="CJ16" s="66"/>
      <c r="CK16" s="77"/>
      <c r="CL16" s="51"/>
      <c r="CM16" s="67"/>
      <c r="CN16" s="66"/>
      <c r="CO16" s="77"/>
    </row>
    <row r="17" spans="1:93" ht="15.75" thickBot="1" x14ac:dyDescent="0.3">
      <c r="D17" s="44" t="s">
        <v>279</v>
      </c>
      <c r="E17" s="44"/>
      <c r="F17" s="44"/>
      <c r="G17" s="44"/>
      <c r="H17" s="44"/>
      <c r="I17" s="44"/>
      <c r="J17" s="310" t="s">
        <v>422</v>
      </c>
      <c r="K17" s="311"/>
      <c r="L17" s="313"/>
      <c r="M17" s="312"/>
      <c r="N17" s="313"/>
      <c r="O17" s="311"/>
      <c r="P17" s="313"/>
      <c r="Q17" s="312"/>
      <c r="R17" s="313"/>
      <c r="S17" s="310" t="s">
        <v>423</v>
      </c>
      <c r="T17" s="311"/>
      <c r="U17" s="313"/>
      <c r="V17" s="312"/>
      <c r="W17" s="313"/>
      <c r="X17" s="311"/>
      <c r="Y17" s="313"/>
      <c r="Z17" s="312"/>
      <c r="AA17" s="314"/>
      <c r="AB17" s="310" t="s">
        <v>424</v>
      </c>
      <c r="AC17" s="311"/>
      <c r="AD17" s="313"/>
      <c r="AE17" s="312"/>
      <c r="AF17" s="313"/>
      <c r="AG17" s="311"/>
      <c r="AH17" s="313"/>
      <c r="AI17" s="312"/>
      <c r="AJ17" s="311"/>
      <c r="AK17" s="313"/>
      <c r="AL17" s="311"/>
      <c r="AM17" s="311"/>
      <c r="AN17" s="313"/>
      <c r="AO17" s="312"/>
      <c r="AP17" s="387"/>
      <c r="AQ17" s="311"/>
      <c r="AR17" s="313"/>
      <c r="AS17" s="312"/>
      <c r="AT17" s="314"/>
      <c r="AU17" s="310" t="s">
        <v>425</v>
      </c>
      <c r="AV17" s="311"/>
      <c r="AW17" s="313"/>
      <c r="AX17" s="312"/>
      <c r="AY17" s="313"/>
      <c r="AZ17" s="311"/>
      <c r="BA17" s="313"/>
      <c r="BB17" s="312"/>
      <c r="BC17" s="313"/>
      <c r="BD17" s="311"/>
      <c r="BE17" s="313"/>
      <c r="BF17" s="312"/>
      <c r="BG17" s="387"/>
      <c r="BH17" s="311"/>
      <c r="BI17" s="313"/>
      <c r="BJ17" s="312"/>
      <c r="BK17" s="314"/>
      <c r="BL17" s="310" t="s">
        <v>426</v>
      </c>
      <c r="BM17" s="311"/>
      <c r="BN17" s="313"/>
      <c r="BO17" s="312"/>
      <c r="BP17" s="313"/>
      <c r="BQ17" s="311"/>
      <c r="BR17" s="313"/>
      <c r="BS17" s="312"/>
      <c r="BT17" s="313"/>
      <c r="BU17" s="311"/>
      <c r="BV17" s="313"/>
      <c r="BW17" s="312"/>
      <c r="BX17" s="314"/>
      <c r="BY17" s="310" t="s">
        <v>427</v>
      </c>
      <c r="BZ17" s="311"/>
      <c r="CA17" s="313"/>
      <c r="CB17" s="312"/>
      <c r="CC17" s="313"/>
      <c r="CD17" s="311"/>
      <c r="CE17" s="313"/>
      <c r="CF17" s="312"/>
      <c r="CG17" s="313"/>
      <c r="CH17" s="311"/>
      <c r="CI17" s="313"/>
      <c r="CJ17" s="312"/>
      <c r="CK17" s="313"/>
      <c r="CL17" s="311"/>
      <c r="CM17" s="313"/>
      <c r="CN17" s="312"/>
      <c r="CO17" s="314"/>
    </row>
    <row r="18" spans="1:93" x14ac:dyDescent="0.25">
      <c r="A18" s="55"/>
      <c r="B18" s="8" t="s">
        <v>285</v>
      </c>
      <c r="C18" s="8" t="s">
        <v>286</v>
      </c>
      <c r="D18" s="45" t="s">
        <v>433</v>
      </c>
      <c r="E18" s="45" t="s">
        <v>434</v>
      </c>
      <c r="F18" s="45" t="s">
        <v>435</v>
      </c>
      <c r="G18" s="45" t="s">
        <v>436</v>
      </c>
      <c r="H18" s="45" t="s">
        <v>437</v>
      </c>
      <c r="I18" s="45" t="s">
        <v>438</v>
      </c>
      <c r="J18" s="302" t="s">
        <v>368</v>
      </c>
      <c r="K18" s="303"/>
      <c r="L18" s="303"/>
      <c r="M18" s="303"/>
      <c r="N18" s="303"/>
      <c r="O18" s="304" t="s">
        <v>367</v>
      </c>
      <c r="P18" s="303"/>
      <c r="Q18" s="303"/>
      <c r="R18" s="303"/>
      <c r="S18" s="302" t="s">
        <v>428</v>
      </c>
      <c r="T18" s="303"/>
      <c r="U18" s="303"/>
      <c r="V18" s="303"/>
      <c r="W18" s="385"/>
      <c r="X18" s="303" t="s">
        <v>367</v>
      </c>
      <c r="Y18" s="303"/>
      <c r="Z18" s="303"/>
      <c r="AA18" s="305"/>
      <c r="AB18" s="302" t="s">
        <v>79</v>
      </c>
      <c r="AC18" s="303"/>
      <c r="AD18" s="303"/>
      <c r="AE18" s="303"/>
      <c r="AF18" s="385"/>
      <c r="AG18" s="304" t="s">
        <v>367</v>
      </c>
      <c r="AH18" s="303"/>
      <c r="AI18" s="303"/>
      <c r="AJ18" s="303"/>
      <c r="AK18" s="385"/>
      <c r="AL18" s="303" t="s">
        <v>389</v>
      </c>
      <c r="AM18" s="303"/>
      <c r="AN18" s="303"/>
      <c r="AO18" s="303"/>
      <c r="AP18" s="385"/>
      <c r="AQ18" s="303" t="s">
        <v>429</v>
      </c>
      <c r="AR18" s="303"/>
      <c r="AS18" s="303"/>
      <c r="AT18" s="305"/>
      <c r="AU18" s="302" t="s">
        <v>439</v>
      </c>
      <c r="AV18" s="303"/>
      <c r="AW18" s="303"/>
      <c r="AX18" s="303"/>
      <c r="AY18" s="303"/>
      <c r="AZ18" s="304" t="s">
        <v>367</v>
      </c>
      <c r="BA18" s="303"/>
      <c r="BB18" s="303"/>
      <c r="BC18" s="385"/>
      <c r="BD18" s="303" t="s">
        <v>389</v>
      </c>
      <c r="BE18" s="303"/>
      <c r="BF18" s="303"/>
      <c r="BG18" s="385"/>
      <c r="BH18" s="303" t="s">
        <v>429</v>
      </c>
      <c r="BI18" s="303"/>
      <c r="BJ18" s="303"/>
      <c r="BK18" s="305"/>
      <c r="BL18" s="302" t="s">
        <v>389</v>
      </c>
      <c r="BM18" s="303"/>
      <c r="BN18" s="303"/>
      <c r="BO18" s="303"/>
      <c r="BP18" s="303"/>
      <c r="BQ18" s="304" t="s">
        <v>367</v>
      </c>
      <c r="BR18" s="303"/>
      <c r="BS18" s="303"/>
      <c r="BT18" s="385"/>
      <c r="BU18" s="303" t="s">
        <v>430</v>
      </c>
      <c r="BV18" s="303"/>
      <c r="BW18" s="303"/>
      <c r="BX18" s="305"/>
      <c r="BY18" s="336" t="s">
        <v>389</v>
      </c>
      <c r="BZ18" s="337"/>
      <c r="CA18" s="337"/>
      <c r="CB18" s="337"/>
      <c r="CC18" s="386"/>
      <c r="CD18" s="340" t="s">
        <v>367</v>
      </c>
      <c r="CE18" s="337"/>
      <c r="CF18" s="337"/>
      <c r="CG18" s="386"/>
      <c r="CH18" s="340" t="s">
        <v>431</v>
      </c>
      <c r="CI18" s="337"/>
      <c r="CJ18" s="337"/>
      <c r="CK18" s="386"/>
      <c r="CL18" s="337" t="s">
        <v>432</v>
      </c>
      <c r="CM18" s="337"/>
      <c r="CN18" s="337"/>
      <c r="CO18" s="349"/>
    </row>
    <row r="19" spans="1:93" x14ac:dyDescent="0.25">
      <c r="A19" s="58">
        <f ca="1">EOMONTH(TimeLDN, -1) + 1</f>
        <v>46266</v>
      </c>
      <c r="B19" s="6">
        <f t="shared" ref="B19:B66" ca="1" si="105">YEAR($A19)</f>
        <v>2026</v>
      </c>
      <c r="C19" s="6" t="str">
        <f ca="1">"Q" &amp; INT((MONTH($A19) + 2) / 3)  &amp; TEXT($A19, "yy")</f>
        <v>Q326</v>
      </c>
      <c r="D19" s="28">
        <f>INDEX(ICE[], MATCH(D$18 &amp; "Bal Month", ICE[LongCode], 0), MATCH("Settle", ICE[#Headers], 0))</f>
        <v>-12.157</v>
      </c>
      <c r="E19" s="28">
        <f>INDEX(ICE[], MATCH(E$18 &amp; "Bal Month", ICE[LongCode], 0), MATCH("Settle", ICE[#Headers], 0))</f>
        <v>53.859000000000002</v>
      </c>
      <c r="F19" s="28">
        <f>INDEX(ICE[], MATCH(F$18 &amp; "Bal Month", ICE[LongCode], 0), MATCH("Settle", ICE[#Headers], 0))</f>
        <v>22.818000000000001</v>
      </c>
      <c r="G19" s="28">
        <f>INDEX(ICE[], MATCH(G$18 &amp; "Bal Month", ICE[LongCode], 0), MATCH("Settle", ICE[#Headers], 0))</f>
        <v>8.5140000000000011</v>
      </c>
      <c r="H19" s="28">
        <f>INDEX(ICE[], MATCH(H$18 &amp; "Bal Month", ICE[LongCode], 0), MATCH("Settle", ICE[#Headers], 0))</f>
        <v>6.2520000000000007</v>
      </c>
      <c r="I19" s="28">
        <f>INDEX(ICE[], MATCH(I$18 &amp; "Bal Month", ICE[LongCode], 0), MATCH("Settle", ICE[#Headers], 0))</f>
        <v>24.464000000000002</v>
      </c>
      <c r="J19" s="396" t="str">
        <f>IFERROR(INDEX(ICE[], MATCH("fo35brxbbl" &amp; "Bal Month", ICE[LongCode], 0), MATCH("ICE Theoretical Price", ICE[#Headers], 0)), "")</f>
        <v/>
      </c>
      <c r="K19" s="371" t="str">
        <f>IFERROR(INDEX(ICE[], MATCH("fo35brx" &amp; "Bal Month", ICE[LongCode], 0), MATCH("Text", ICE[#Headers], 0)), "")</f>
        <v xml:space="preserve"> /  </v>
      </c>
      <c r="L19" s="115" t="str">
        <f>IFERROR(IF(AND(ISNUMBER($J19), ISNUMBER($D19)), $J19 - $D19, ""), "")</f>
        <v/>
      </c>
      <c r="M19" s="185"/>
      <c r="N19" s="115"/>
      <c r="O19" s="186" t="str">
        <f ca="1">IFERROR(IF(AND(ISNUMBER(Futs!$CC19), ISNUMBER($J19)), (Futs!$CC19 + $J19)*6.35, ""), "")</f>
        <v/>
      </c>
      <c r="P19" s="190" t="str">
        <f ca="1">IFERROR(IF(AND(ISNUMBER(Futs!$CD19), ISNUMBER($L19)), (Futs!$CD19 + $L19)*6.35, ""), "")</f>
        <v/>
      </c>
      <c r="Q19" s="185"/>
      <c r="R19" s="115"/>
      <c r="S19" s="396" t="str">
        <f>IFERROR(INDEX(ICE[], MATCH("hilo" &amp; "Bal Month", ICE[LongCode], 0), MATCH("ICE Theoretical Price", ICE[#Headers], 0)), "")</f>
        <v/>
      </c>
      <c r="T19" s="371" t="str">
        <f>IFERROR(INDEX(ICE[], MATCH("hilo" &amp; "Bal Month", ICE[LongCode], 0), MATCH("Text", ICE[#Headers], 0)), "")</f>
        <v xml:space="preserve"> /  </v>
      </c>
      <c r="U19" s="115" t="str">
        <f t="shared" ref="U19:U66" si="106">IFERROR(IF(AND(ISNUMBER($S19), ISNUMBER($F19)), $S19 - $F19, ""), "")</f>
        <v/>
      </c>
      <c r="V19" s="185"/>
      <c r="W19" s="172"/>
      <c r="X19" s="192" t="str">
        <f t="shared" ref="X19:X66" ca="1" si="107">IFERROR(IF(AND(ISNUMBER($O19), ISNUMBER($S19)), $O19 + $S19, ""), "")</f>
        <v/>
      </c>
      <c r="Y19" s="115" t="str">
        <f t="shared" ref="Y19:Y66" ca="1" si="108">IFERROR(IF(AND(ISNUMBER($P19), ISNUMBER($U19)), $P19 + $U19, ""), "")</f>
        <v/>
      </c>
      <c r="Z19" s="185"/>
      <c r="AA19" s="173"/>
      <c r="AB19" s="396" t="str">
        <f>IFERROR(INDEX(ICE[], MATCH("hsfoew" &amp; "Bal Month", ICE[LongCode], 0), MATCH("ICE Theoretical Price", ICE[#Headers], 0)), "")</f>
        <v/>
      </c>
      <c r="AC19" s="371" t="str">
        <f>IFERROR(INDEX(ICE[], MATCH("hsfoew" &amp; "Bal Month", ICE[LongCode], 0), MATCH("Text", ICE[#Headers], 0)), "")</f>
        <v xml:space="preserve"> /  </v>
      </c>
      <c r="AD19" s="115" t="str">
        <f t="shared" ref="AD19:AD66" si="109">IFERROR(IF(AND(ISNUMBER($AB19), ISNUMBER($E19)), $AB19 - $E19, ""), "")</f>
        <v/>
      </c>
      <c r="AE19" s="185"/>
      <c r="AF19" s="172"/>
      <c r="AG19" s="186" t="str">
        <f t="shared" ref="AG19:AG66" ca="1" si="110">IFERROR(IF(AND(ISNUMBER($O19), ISNUMBER($AB19)), $O19 + $AB19, ""), "")</f>
        <v/>
      </c>
      <c r="AH19" s="115" t="str">
        <f t="shared" ref="AH19:AH66" ca="1" si="111">IFERROR(IF(AND(ISNUMBER($P19), ISNUMBER($AD19)), $P19 + $AD19, ""), "")</f>
        <v/>
      </c>
      <c r="AI19" s="185"/>
      <c r="AJ19" s="363"/>
      <c r="AK19" s="172"/>
      <c r="AL19" s="192" t="str">
        <f ca="1">IFERROR(IF(AND(ISNUMBER(Futs!$CC19), ISNUMBER($AG19)), $AG19/6.35 - Futs!$CC19, ""), "")</f>
        <v/>
      </c>
      <c r="AM19" s="371" t="str">
        <f>IFERROR(INDEX(ICE[], MATCH("fo380brx" &amp; "Bal Month", ICE[LongCode], 0), MATCH("Text", ICE[#Headers], 0)), "")</f>
        <v/>
      </c>
      <c r="AN19" s="115" t="str">
        <f ca="1">IFERROR(IF(AND(ISNUMBER(Futs!$CD19), ISNUMBER($AH19)), $AH19/6.35 - Futs!$CD19, ""), "")</f>
        <v/>
      </c>
      <c r="AO19" s="185"/>
      <c r="AP19" s="172"/>
      <c r="AQ19" s="192" t="str">
        <f ca="1">IFERROR(IF(AND(ISNUMBER(Crd!$X19), ISNUMBER($AG19)), $AG19/6.35 - Crd!$X19, ""), "")</f>
        <v/>
      </c>
      <c r="AR19" s="115" t="str">
        <f ca="1">IFERROR(IF(AND(ISNUMBER(Crd!$Y19), ISNUMBER($AH19)), $AH19/6.35 - Crd!$Y19, ""), "")</f>
        <v/>
      </c>
      <c r="AS19" s="185"/>
      <c r="AT19" s="173"/>
      <c r="AU19" s="396" t="str">
        <f>IFERROR(INDEX(ICE[], MATCH("visco" &amp; "Bal Month", ICE[LongCode], 0), MATCH("ICE Theoretical Price", ICE[#Headers], 0)), "")</f>
        <v/>
      </c>
      <c r="AV19" s="371" t="str">
        <f>IFERROR(INDEX(ICE[], MATCH("visco" &amp; "Bal Month", ICE[LongCode], 0), MATCH("Text", ICE[#Headers], 0)), "")</f>
        <v xml:space="preserve"> / 30.00 {8.50} |30x</v>
      </c>
      <c r="AW19" s="115" t="str">
        <f t="shared" ref="AW19:AW66" si="112">IFERROR(IF(AND(ISNUMBER($AU19), ISNUMBER($G19)), $AU19 - $G19, ""), "")</f>
        <v/>
      </c>
      <c r="AX19" s="185"/>
      <c r="AY19" s="115"/>
      <c r="AZ19" s="186" t="str">
        <f t="shared" ref="AZ19:AZ66" ca="1" si="113">IFERROR(IF(AND(ISNUMBER($AG19), ISNUMBER($AU19)), $AG19 + $AU19, ""), "")</f>
        <v/>
      </c>
      <c r="BA19" s="115" t="str">
        <f t="shared" ref="BA19:BA66" ca="1" si="114">IFERROR(IF(AND(ISNUMBER($AH19), ISNUMBER($AW19)), $AH19 + $AW19, ""), "")</f>
        <v/>
      </c>
      <c r="BB19" s="185"/>
      <c r="BC19" s="172"/>
      <c r="BD19" s="192" t="str">
        <f ca="1">IFERROR(IF(AND(ISNUMBER(Futs!$CC19), ISNUMBER($AZ19)), $AZ19/6.35 - Futs!$CC19, ""), "")</f>
        <v/>
      </c>
      <c r="BE19" s="115" t="str">
        <f ca="1">IFERROR(IF(AND(ISNUMBER(Futs!$CD19), ISNUMBER($BA19)), $BA19/6.35 - Futs!$CD19, ""), "")</f>
        <v/>
      </c>
      <c r="BF19" s="185"/>
      <c r="BG19" s="172"/>
      <c r="BH19" s="192" t="str">
        <f ca="1">IFERROR(IF(AND(ISNUMBER(Crd!$X19), ISNUMBER($AZ19)), $AZ19/6.35 - Crd!$X19, ""), "")</f>
        <v/>
      </c>
      <c r="BI19" s="115" t="str">
        <f ca="1">IFERROR(IF(AND(ISNUMBER(Crd!$Y19), ISNUMBER($BA19)), $BA19/6.35 - Crd!$Y19, ""), "")</f>
        <v/>
      </c>
      <c r="BJ19" s="185"/>
      <c r="BK19" s="173"/>
      <c r="BL19" s="396"/>
      <c r="BM19" s="371" t="str">
        <f>IFERROR(INDEX(ICE[], MATCH("fo05bfrbrx" &amp; "Bal Month", ICE[LongCode], 0), MATCH("Text", ICE[#Headers], 0)), "")</f>
        <v xml:space="preserve"> /  </v>
      </c>
      <c r="BN19" s="115" t="str">
        <f t="shared" ref="BN19:BN66" si="115">IFERROR(IF(AND(ISNUMBER($BL19), ISNUMBER($H19)), $BL19 - $H19, ""), "")</f>
        <v/>
      </c>
      <c r="BO19" s="185"/>
      <c r="BP19" s="115"/>
      <c r="BQ19" s="186" t="str">
        <f ca="1">IFERROR(IF(AND(ISNUMBER(Futs!$CC19), ISNUMBER($BL19)), (Futs!$CC19 + $BL19)*6.35, ""), "")</f>
        <v/>
      </c>
      <c r="BR19" s="115" t="str">
        <f ca="1">IFERROR(IF(AND(ISNUMBER(Futs!$CD19), ISNUMBER($BN19)), (Futs!$CD19 + $BN19)*6.35, ""), "")</f>
        <v/>
      </c>
      <c r="BS19" s="185"/>
      <c r="BT19" s="172"/>
      <c r="BU19" s="192" t="str">
        <f t="shared" ref="BU19:BU66" ca="1" si="116">IFERROR(IF(AND(ISNUMBER($BQ19), ISNUMBER($O19)), $BQ19 - $O19, ""), "")</f>
        <v/>
      </c>
      <c r="BV19" s="115" t="str">
        <f t="shared" ref="BV19:BV66" ca="1" si="117">IFERROR(IF(AND(ISNUMBER($BR19), ISNUMBER($P19)), $BR19 - $P19, ""), "")</f>
        <v/>
      </c>
      <c r="BW19" s="185"/>
      <c r="BX19" s="173"/>
      <c r="BY19" s="399"/>
      <c r="BZ19" s="372" t="str">
        <f>IFERROR(INDEX(ICE[], MATCH("fo05singbrx" &amp; "Bal Month", ICE[LongCode], 0), MATCH("Text", ICE[#Headers], 0)), "")</f>
        <v xml:space="preserve"> /  </v>
      </c>
      <c r="CA19" s="46" t="str">
        <f t="shared" ref="CA19:CA66" si="118">IFERROR(IF(AND(ISNUMBER($BY19), ISNUMBER($I19)), $BY19 - $I19, ""), "")</f>
        <v/>
      </c>
      <c r="CB19" s="47"/>
      <c r="CC19" s="114"/>
      <c r="CD19" s="141" t="str">
        <f ca="1">IFERROR(IF(AND(ISNUMBER(Futs!$CC19), ISNUMBER($BY19)), (Futs!$CC19 + $BY19)*6.35, ""), "")</f>
        <v/>
      </c>
      <c r="CE19" s="46" t="str">
        <f ca="1">IFERROR(IF(AND(ISNUMBER(Futs!$CD19), ISNUMBER($CA19)), (Futs!$CD19 + $CA19)*6.35, ""), "")</f>
        <v/>
      </c>
      <c r="CF19" s="47"/>
      <c r="CG19" s="114"/>
      <c r="CH19" s="141" t="str">
        <f t="shared" ref="CH19:CH66" ca="1" si="119">IFERROR(IF(AND(ISNUMBER($CD19), ISNUMBER($AG19)), $CD19 - $AG19, ""), "")</f>
        <v/>
      </c>
      <c r="CI19" s="46" t="str">
        <f t="shared" ref="CI19:CI66" ca="1" si="120">IFERROR(IF(AND(ISNUMBER($CE19), ISNUMBER($AH19)), $CE19 - $AH19, ""), "")</f>
        <v/>
      </c>
      <c r="CJ19" s="47"/>
      <c r="CK19" s="114"/>
      <c r="CL19" s="49" t="str">
        <f ca="1">IFERROR(IF(AND(ISNUMBER($CD19), ISNUMBER($BQ19)), $CD19 - $BQ19, ""), "")</f>
        <v/>
      </c>
      <c r="CM19" s="46" t="str">
        <f ca="1">IFERROR(IF(AND(ISNUMBER($CE19), ISNUMBER($BR19)), $CE19 - $BR19, ""), "")</f>
        <v/>
      </c>
      <c r="CN19" s="47"/>
      <c r="CO19" s="111"/>
    </row>
    <row r="20" spans="1:93" x14ac:dyDescent="0.25">
      <c r="A20" s="58">
        <f ca="1">EOMONTH($A19, 0) + 1</f>
        <v>46296</v>
      </c>
      <c r="B20" s="6">
        <f t="shared" ca="1" si="105"/>
        <v>2026</v>
      </c>
      <c r="C20" s="6" t="str">
        <f t="shared" ref="C20:C66" ca="1" si="121">"Q" &amp; INT((MONTH($A20) + 2) / 3)  &amp; TEXT($A20, "yy")</f>
        <v>Q426</v>
      </c>
      <c r="D20" s="28">
        <f ca="1">INDEX(ICE[], MATCH(D$18 &amp; TEXT(Hvy!$A20, "mmmyy"), ICE[LongCode], 0), MATCH("Settle", ICE[#Headers], 0))</f>
        <v>-11.450000000000001</v>
      </c>
      <c r="E20" s="28">
        <f ca="1">INDEX(ICE[], MATCH(E$18 &amp; TEXT(Hvy!$A20, "mmmyy"), ICE[LongCode], 0), MATCH("Settle", ICE[#Headers], 0))</f>
        <v>38</v>
      </c>
      <c r="F20" s="28">
        <f ca="1">INDEX(ICE[], MATCH(F$18 &amp; TEXT(Hvy!$A20, "mmmyy"), ICE[LongCode], 0), MATCH("Settle", ICE[#Headers], 0))</f>
        <v>21.25</v>
      </c>
      <c r="G20" s="28">
        <f ca="1">INDEX(ICE[], MATCH(G$18 &amp; TEXT(Hvy!$A20, "mmmyy"), ICE[LongCode], 0), MATCH("Settle", ICE[#Headers], 0))</f>
        <v>7.75</v>
      </c>
      <c r="H20" s="28">
        <f ca="1">INDEX(ICE[], MATCH(H$18 &amp; TEXT(Hvy!$A20, "mmmyy"), ICE[LongCode], 0), MATCH("Settle", ICE[#Headers], 0))</f>
        <v>6.4004000000000003</v>
      </c>
      <c r="I20" s="28">
        <f ca="1">INDEX(ICE[], MATCH(I$18 &amp; TEXT(Hvy!$A20, "mmmyy"), ICE[LongCode], 0), MATCH("Settle", ICE[#Headers], 0))</f>
        <v>19.395700000000001</v>
      </c>
      <c r="J20" s="397" t="str">
        <f ca="1">IFERROR(INDEX(ICE[], MATCH("fo35brxbbl" &amp; TEXT(Crd!$A20, "mmmyy"), ICE[LongCode], 0), MATCH("ICE Theoretical Price", ICE[#Headers], 0)), "")</f>
        <v/>
      </c>
      <c r="K20" s="372" t="str">
        <f ca="1">IFERROR(INDEX(ICE[], MATCH("fo35brx" &amp; TEXT(Hvy!$A20, "mmmyy"), ICE[LongCode], 0), MATCH("Text", ICE[#Headers], 0)), "")</f>
        <v xml:space="preserve"> / -11.85 {-12.03} |318x</v>
      </c>
      <c r="L20" s="46" t="str">
        <f t="shared" ref="L20:L66" ca="1" si="122">IFERROR(IF(AND(ISNUMBER($J20), ISNUMBER($D20)), $J20 - $D20, ""), "")</f>
        <v/>
      </c>
      <c r="M20" s="47" t="str">
        <f t="shared" ref="M20:M66" ca="1" si="123">IF(AND(ISNUMBER($J19), ISNUMBER($J20)), $J19 - $J20, "")</f>
        <v/>
      </c>
      <c r="N20" s="46" t="str">
        <f ca="1">IF(AND(ISNUMBER($L19), ISNUMBER($L20)), $L19 - $L20, "")</f>
        <v/>
      </c>
      <c r="O20" s="141" t="str">
        <f ca="1">IFERROR(IF(AND(ISNUMBER(Futs!$CC20), ISNUMBER($J20)), (Futs!$CC20 + $J20)*6.35, ""), "")</f>
        <v/>
      </c>
      <c r="P20" s="67" t="str">
        <f ca="1">IFERROR(IF(AND(ISNUMBER(Futs!$CD20), ISNUMBER($L20)), (Futs!$CD20 + $L20)*6.35, ""), "")</f>
        <v/>
      </c>
      <c r="Q20" s="47" t="str">
        <f ca="1">IF(AND(ISNUMBER($O19), ISNUMBER($O20)), $O19 - $O20, "")</f>
        <v/>
      </c>
      <c r="R20" s="46" t="str">
        <f ca="1">IF(AND(ISNUMBER($P19), ISNUMBER($P20)), $P19 - $P20, "")</f>
        <v/>
      </c>
      <c r="S20" s="397" t="str">
        <f ca="1">IFERROR(INDEX(ICE[], MATCH("hilo" &amp; TEXT(Crd!$A20, "mmmyy"), ICE[LongCode], 0), MATCH("ICE Theoretical Price", ICE[#Headers], 0)), "")</f>
        <v/>
      </c>
      <c r="T20" s="372" t="str">
        <f ca="1">IFERROR(INDEX(ICE[], MATCH("hilo" &amp; TEXT(Hvy!$A20, "mmmyy"), ICE[LongCode], 0), MATCH("Text", ICE[#Headers], 0)), "")</f>
        <v xml:space="preserve"> /  </v>
      </c>
      <c r="U20" s="46" t="str">
        <f t="shared" ca="1" si="106"/>
        <v/>
      </c>
      <c r="V20" s="47" t="str">
        <f ca="1">IF(AND(ISNUMBER($S19), ISNUMBER($S20)), $S19 - $S20, "")</f>
        <v/>
      </c>
      <c r="W20" s="114" t="str">
        <f ca="1">IF(AND(ISNUMBER($U19), ISNUMBER($U20)), $U19 - $U20, "")</f>
        <v/>
      </c>
      <c r="X20" s="49" t="str">
        <f t="shared" ca="1" si="107"/>
        <v/>
      </c>
      <c r="Y20" s="46" t="str">
        <f t="shared" ca="1" si="108"/>
        <v/>
      </c>
      <c r="Z20" s="47" t="str">
        <f ca="1">IF(AND(ISNUMBER($X19), ISNUMBER($X20)), $X19 - $X20, "")</f>
        <v/>
      </c>
      <c r="AA20" s="111" t="str">
        <f ca="1">IF(AND(ISNUMBER($Y19), ISNUMBER($Y20)), $Y19 - $Y20, "")</f>
        <v/>
      </c>
      <c r="AB20" s="397" t="str">
        <f ca="1">IFERROR(INDEX(ICE[], MATCH("hsfoew" &amp; TEXT(Crd!$A20, "mmmyy"), ICE[LongCode], 0), MATCH("ICE Theoretical Price", ICE[#Headers], 0)), "")</f>
        <v/>
      </c>
      <c r="AC20" s="372" t="str">
        <f ca="1">IFERROR(INDEX(ICE[], MATCH("hsfoew" &amp; TEXT(Hvy!$A20, "mmmyy"), ICE[LongCode], 0), MATCH("Text", ICE[#Headers], 0)), "")</f>
        <v>36.50 / 40.00 {39.50} |13x</v>
      </c>
      <c r="AD20" s="46" t="str">
        <f t="shared" ca="1" si="109"/>
        <v/>
      </c>
      <c r="AE20" s="47" t="str">
        <f t="shared" ref="AE20:AE66" ca="1" si="124">IF(AND(ISNUMBER($AB19), ISNUMBER($AB20)), $AB19 - $AB20, "")</f>
        <v/>
      </c>
      <c r="AF20" s="114" t="str">
        <f t="shared" ref="AF20:AF66" ca="1" si="125">IF(AND(ISNUMBER($AD19), ISNUMBER($AD20)), $AD19 - $AD20, "")</f>
        <v/>
      </c>
      <c r="AG20" s="141" t="str">
        <f t="shared" ca="1" si="110"/>
        <v/>
      </c>
      <c r="AH20" s="46" t="str">
        <f t="shared" ca="1" si="111"/>
        <v/>
      </c>
      <c r="AI20" s="47" t="str">
        <f t="shared" ref="AI20:AI66" ca="1" si="126">IF(AND(ISNUMBER($AG19), ISNUMBER($AG20)), $AG19 - $AG20, "")</f>
        <v/>
      </c>
      <c r="AJ20" s="364" t="str">
        <f ca="1">IFERROR(INDEX(ICE[], MATCH("fo380" &amp; "Bal Month" &amp; "/" &amp; TEXT(Crd!$A20, "mmmyy"), ICE[LongCode], 0), MATCH("Text", ICE[#Headers], 0)), "")</f>
        <v/>
      </c>
      <c r="AK20" s="114" t="str">
        <f t="shared" ref="AK20:AK66" ca="1" si="127">IF(AND(ISNUMBER($AH19), ISNUMBER($AH20)), $AH19 - $AH20, "")</f>
        <v/>
      </c>
      <c r="AL20" s="49" t="str">
        <f ca="1">IFERROR(IF(AND(ISNUMBER(Futs!$CC20), ISNUMBER($AG20)), $AG20/6.35 - Futs!$CC20, ""), "")</f>
        <v/>
      </c>
      <c r="AM20" s="372" t="str">
        <f ca="1">IFERROR(INDEX(ICE[], MATCH("fo380brx" &amp; TEXT(Hvy!$A20, "mmmyy"), ICE[LongCode], 0), MATCH("Text", ICE[#Headers], 0)), "")</f>
        <v>-6.00 / -5.75 {-5.85} |259x</v>
      </c>
      <c r="AN20" s="46" t="str">
        <f ca="1">IFERROR(IF(AND(ISNUMBER(Futs!$CD20), ISNUMBER($AH20)), $AH20/6.35 - Futs!$CD20, ""), "")</f>
        <v/>
      </c>
      <c r="AO20" s="47" t="str">
        <f ca="1">IF(AND(ISNUMBER($AL19), ISNUMBER($AL20)), $AL19 - $AL20, "")</f>
        <v/>
      </c>
      <c r="AP20" s="114" t="str">
        <f ca="1">IF(AND(ISNUMBER($AN19), ISNUMBER($AN20)), $AN19 - $AN20, "")</f>
        <v/>
      </c>
      <c r="AQ20" s="49" t="str">
        <f ca="1">IFERROR(IF(AND(ISNUMBER(Crd!$X20), ISNUMBER($AG20)), $AG20/6.35 - Crd!$X20, ""), "")</f>
        <v/>
      </c>
      <c r="AR20" s="46" t="str">
        <f ca="1">IFERROR(IF(AND(ISNUMBER(Crd!$Y20), ISNUMBER($AH20)), $AH20/6.35 - Crd!$Y20, ""), "")</f>
        <v/>
      </c>
      <c r="AS20" s="47" t="str">
        <f ca="1">IF(AND(ISNUMBER($AQ19), ISNUMBER($AQ20)), $AQ19 - $AQ20, "")</f>
        <v/>
      </c>
      <c r="AT20" s="111" t="str">
        <f ca="1">IF(AND(ISNUMBER($AR19), ISNUMBER($AR20)), $AR19 - $AR20, "")</f>
        <v/>
      </c>
      <c r="AU20" s="397" t="str">
        <f ca="1">IFERROR(INDEX(ICE[], MATCH("visco" &amp; TEXT(Crd!$A20, "mmmyy"), ICE[LongCode], 0), MATCH("ICE Theoretical Price", ICE[#Headers], 0)), "")</f>
        <v/>
      </c>
      <c r="AV20" s="372" t="str">
        <f ca="1">IFERROR(INDEX(ICE[], MATCH("visco" &amp; TEXT(Hvy!$A20, "mmmyy"), ICE[LongCode], 0), MATCH("Text", ICE[#Headers], 0)), "")</f>
        <v xml:space="preserve"> /  </v>
      </c>
      <c r="AW20" s="46" t="str">
        <f t="shared" ca="1" si="112"/>
        <v/>
      </c>
      <c r="AX20" s="47" t="str">
        <f ca="1">IF(AND(ISNUMBER($AU19), ISNUMBER($AU20)), $AU19 - $AU20, "")</f>
        <v/>
      </c>
      <c r="AY20" s="46" t="str">
        <f ca="1">IF(AND(ISNUMBER($AW19), ISNUMBER($AW20)), $AW19 - $AW20, "")</f>
        <v/>
      </c>
      <c r="AZ20" s="141" t="str">
        <f t="shared" ca="1" si="113"/>
        <v/>
      </c>
      <c r="BA20" s="46" t="str">
        <f t="shared" ca="1" si="114"/>
        <v/>
      </c>
      <c r="BB20" s="47" t="str">
        <f ca="1">IF(AND(ISNUMBER($AZ19), ISNUMBER($AZ20)), $AZ19 - $AZ20, "")</f>
        <v/>
      </c>
      <c r="BC20" s="114" t="str">
        <f ca="1">IF(AND(ISNUMBER($BA19), ISNUMBER($BA20)), $BA19 - $BA20, "")</f>
        <v/>
      </c>
      <c r="BD20" s="49" t="str">
        <f ca="1">IFERROR(IF(AND(ISNUMBER(Futs!$CC20), ISNUMBER($AZ20)), $AZ20/6.35 - Futs!$CC20, ""), "")</f>
        <v/>
      </c>
      <c r="BE20" s="46" t="str">
        <f ca="1">IFERROR(IF(AND(ISNUMBER(Futs!$CD20), ISNUMBER($BA20)), $BA20/6.35 - Futs!$CD20, ""), "")</f>
        <v/>
      </c>
      <c r="BF20" s="47" t="str">
        <f ca="1">IF(AND(ISNUMBER($BD19), ISNUMBER($BD20)), $BD19 - $BD20, "")</f>
        <v/>
      </c>
      <c r="BG20" s="114" t="str">
        <f ca="1">IF(AND(ISNUMBER($BE19), ISNUMBER($BE20)), $BE19 - $BE20, "")</f>
        <v/>
      </c>
      <c r="BH20" s="49" t="str">
        <f ca="1">IFERROR(IF(AND(ISNUMBER(Crd!$X20), ISNUMBER($AZ20)), $AZ20/6.35 - Crd!$X20, ""), "")</f>
        <v/>
      </c>
      <c r="BI20" s="46" t="str">
        <f ca="1">IFERROR(IF(AND(ISNUMBER(Crd!$Y20), ISNUMBER($BA20)), $BA20/6.35 - Crd!$Y20, ""), "")</f>
        <v/>
      </c>
      <c r="BJ20" s="47" t="str">
        <f ca="1">IF(AND(ISNUMBER($BH19), ISNUMBER($BH20)), $BH19 - $BH20, "")</f>
        <v/>
      </c>
      <c r="BK20" s="111" t="str">
        <f ca="1">IF(AND(ISNUMBER($BI19), ISNUMBER($BI20)), $BI19 - $BI20, "")</f>
        <v/>
      </c>
      <c r="BL20" s="397" t="str">
        <f ca="1">IFERROR(INDEX(ICE[], MATCH("fo05bfrbrxbbl" &amp; TEXT(Crd!$A20, "mmmyy"), ICE[LongCode], 0), MATCH("ICE Theoretical Price", ICE[#Headers], 0)), "")</f>
        <v/>
      </c>
      <c r="BM20" s="372" t="str">
        <f ca="1">IFERROR(INDEX(ICE[], MATCH("fo05bfrbrx" &amp; TEXT(Hvy!$A20, "mmmyy"), ICE[LongCode], 0), MATCH("Text", ICE[#Headers], 0)), "")</f>
        <v xml:space="preserve"> / 5.80 {5.80} |311x</v>
      </c>
      <c r="BN20" s="46" t="str">
        <f t="shared" ca="1" si="115"/>
        <v/>
      </c>
      <c r="BO20" s="47" t="str">
        <f ca="1">IF(AND(ISNUMBER($BL19), ISNUMBER($BL20)), $BL19 - $BL20, "")</f>
        <v/>
      </c>
      <c r="BP20" s="46" t="str">
        <f ca="1">IF(AND(ISNUMBER($BN19), ISNUMBER($BN20)), $BN19 - $BN20, "")</f>
        <v/>
      </c>
      <c r="BQ20" s="141" t="str">
        <f ca="1">IFERROR(IF(AND(ISNUMBER(Futs!$CC20), ISNUMBER($BL20)), (Futs!$CC20 + $BL20)*6.35, ""), "")</f>
        <v/>
      </c>
      <c r="BR20" s="46" t="str">
        <f ca="1">IFERROR(IF(AND(ISNUMBER(Futs!$CD20), ISNUMBER($BN20)), (Futs!$CD20 + $BN20)*6.35, ""), "")</f>
        <v/>
      </c>
      <c r="BS20" s="47" t="str">
        <f ca="1">IF(AND(ISNUMBER($BQ19), ISNUMBER($BQ20)), $BQ19 - $BQ20, "")</f>
        <v/>
      </c>
      <c r="BT20" s="114" t="str">
        <f ca="1">IF(AND(ISNUMBER($BR19), ISNUMBER($BR20)), $BR19 - $BR20, "")</f>
        <v/>
      </c>
      <c r="BU20" s="49" t="str">
        <f t="shared" ca="1" si="116"/>
        <v/>
      </c>
      <c r="BV20" s="46" t="str">
        <f t="shared" ca="1" si="117"/>
        <v/>
      </c>
      <c r="BW20" s="47" t="str">
        <f ca="1">IF(AND(ISNUMBER($BU19), ISNUMBER($BU20)), $BU19 - $BU20, "")</f>
        <v/>
      </c>
      <c r="BX20" s="111" t="str">
        <f ca="1">IF(AND(ISNUMBER($BV19), ISNUMBER($BV20)), $BV19 - $BV20, "")</f>
        <v/>
      </c>
      <c r="BY20" s="397" t="str">
        <f ca="1">IFERROR(INDEX(ICE[], MATCH("fo05singbrxmt" &amp; TEXT(Crd!$A20, "mmmyy"), ICE[LongCode], 0), MATCH("ICE Theoretical Price", ICE[#Headers], 0)), "")</f>
        <v/>
      </c>
      <c r="BZ20" s="372" t="str">
        <f ca="1">IFERROR(INDEX(ICE[], MATCH("fo05singbrx" &amp; TEXT(Hvy!$A20, "mmmyy"), ICE[LongCode], 0), MATCH("Text", ICE[#Headers], 0)), "")</f>
        <v xml:space="preserve"> / 19.40 {19.40} |1,162x</v>
      </c>
      <c r="CA20" s="46" t="str">
        <f t="shared" ca="1" si="118"/>
        <v/>
      </c>
      <c r="CB20" s="47" t="str">
        <f ca="1">IF(AND(ISNUMBER($BY19), ISNUMBER($BY20)), $BY19 - $BY20, "")</f>
        <v/>
      </c>
      <c r="CC20" s="114" t="str">
        <f ca="1">IF(AND(ISNUMBER($CA19), ISNUMBER($CA20)), $CA19 - $CA20, "")</f>
        <v/>
      </c>
      <c r="CD20" s="141" t="str">
        <f ca="1">IFERROR(IF(AND(ISNUMBER(Futs!$CC20), ISNUMBER($BY20)), (Futs!$CC20 + $BY20)*6.35, ""), "")</f>
        <v/>
      </c>
      <c r="CE20" s="46" t="str">
        <f ca="1">IFERROR(IF(AND(ISNUMBER(Futs!$CD20), ISNUMBER($CA20)), (Futs!$CD20 + $CA20)*6.35, ""), "")</f>
        <v/>
      </c>
      <c r="CF20" s="47" t="str">
        <f ca="1">IF(AND(ISNUMBER($CD19), ISNUMBER($CD20)), $CD19 - $CD20, "")</f>
        <v/>
      </c>
      <c r="CG20" s="114" t="str">
        <f ca="1">IF(AND(ISNUMBER($CE19), ISNUMBER($CE20)), $CE19 - $CE20, "")</f>
        <v/>
      </c>
      <c r="CH20" s="141" t="str">
        <f t="shared" ca="1" si="119"/>
        <v/>
      </c>
      <c r="CI20" s="46" t="str">
        <f t="shared" ca="1" si="120"/>
        <v/>
      </c>
      <c r="CJ20" s="47" t="str">
        <f ca="1">IF(AND(ISNUMBER($CH19), ISNUMBER($CH20)), $CH19 - $CH20, "")</f>
        <v/>
      </c>
      <c r="CK20" s="114" t="str">
        <f ca="1">IF(AND(ISNUMBER($CI19), ISNUMBER($CI20)), $CI19 - $CI20, "")</f>
        <v/>
      </c>
      <c r="CL20" s="49" t="str">
        <f t="shared" ref="CL20:CL66" ca="1" si="128">IFERROR(IF(AND(ISNUMBER($CD20), ISNUMBER($BQ20)), $CD20 - $BQ20, ""), "")</f>
        <v/>
      </c>
      <c r="CM20" s="46" t="str">
        <f t="shared" ref="CM20:CM66" ca="1" si="129">IFERROR(IF(AND(ISNUMBER($CE20), ISNUMBER($BR20)), $CE20 - $BR20, ""), "")</f>
        <v/>
      </c>
      <c r="CN20" s="47" t="str">
        <f ca="1">IF(AND(ISNUMBER($CH19), ISNUMBER($CH20)), $CH19 - $CH20, "")</f>
        <v/>
      </c>
      <c r="CO20" s="111" t="str">
        <f ca="1">IF(AND(ISNUMBER($CI19), ISNUMBER($CI20)), $CI19 - $CI20, "")</f>
        <v/>
      </c>
    </row>
    <row r="21" spans="1:93" x14ac:dyDescent="0.25">
      <c r="A21" s="58">
        <f t="shared" ref="A21:A66" ca="1" si="130">EOMONTH($A20, 0) + 1</f>
        <v>46327</v>
      </c>
      <c r="B21" s="6">
        <f t="shared" ca="1" si="105"/>
        <v>2026</v>
      </c>
      <c r="C21" s="6" t="str">
        <f t="shared" ca="1" si="121"/>
        <v>Q426</v>
      </c>
      <c r="D21" s="28">
        <f ca="1">INDEX(ICE[], MATCH(D$18 &amp; TEXT(Hvy!$A21, "mmmyy"), ICE[LongCode], 0), MATCH("Settle", ICE[#Headers], 0))</f>
        <v>-10.496</v>
      </c>
      <c r="E21" s="28">
        <f ca="1">INDEX(ICE[], MATCH(E$18 &amp; TEXT(Hvy!$A21, "mmmyy"), ICE[LongCode], 0), MATCH("Settle", ICE[#Headers], 0))</f>
        <v>34.5</v>
      </c>
      <c r="F21" s="28">
        <f ca="1">INDEX(ICE[], MATCH(F$18 &amp; TEXT(Hvy!$A21, "mmmyy"), ICE[LongCode], 0), MATCH("Settle", ICE[#Headers], 0))</f>
        <v>17.5</v>
      </c>
      <c r="G21" s="28">
        <f ca="1">INDEX(ICE[], MATCH(G$18 &amp; TEXT(Hvy!$A21, "mmmyy"), ICE[LongCode], 0), MATCH("Settle", ICE[#Headers], 0))</f>
        <v>7.75</v>
      </c>
      <c r="H21" s="28">
        <f ca="1">INDEX(ICE[], MATCH(H$18 &amp; TEXT(Hvy!$A21, "mmmyy"), ICE[LongCode], 0), MATCH("Settle", ICE[#Headers], 0))</f>
        <v>6.2519</v>
      </c>
      <c r="I21" s="28">
        <f ca="1">INDEX(ICE[], MATCH(I$18 &amp; TEXT(Hvy!$A21, "mmmyy"), ICE[LongCode], 0), MATCH("Settle", ICE[#Headers], 0))</f>
        <v>16.885000000000002</v>
      </c>
      <c r="J21" s="397" t="str">
        <f ca="1">IFERROR(INDEX(ICE[], MATCH("fo35brxbbl" &amp; TEXT(Crd!$A21, "mmmyy"), ICE[LongCode], 0), MATCH("ICE Theoretical Price", ICE[#Headers], 0)), "")</f>
        <v/>
      </c>
      <c r="K21" s="372" t="str">
        <f ca="1">IFERROR(INDEX(ICE[], MATCH("fo35brx" &amp; TEXT(Hvy!$A21, "mmmyy"), ICE[LongCode], 0), MATCH("Text", ICE[#Headers], 0)), "")</f>
        <v xml:space="preserve"> /  {-10.90} |10x</v>
      </c>
      <c r="L21" s="46" t="str">
        <f t="shared" ca="1" si="122"/>
        <v/>
      </c>
      <c r="M21" s="47" t="str">
        <f t="shared" ca="1" si="123"/>
        <v/>
      </c>
      <c r="N21" s="46" t="str">
        <f t="shared" ref="N21:N66" ca="1" si="131">IF(AND(ISNUMBER($L20), ISNUMBER($L21)), $L20 - $L21, "")</f>
        <v/>
      </c>
      <c r="O21" s="141" t="str">
        <f ca="1">IFERROR(IF(AND(ISNUMBER(Futs!$CC21), ISNUMBER($J21)), (Futs!$CC21 + $J21)*6.35, ""), "")</f>
        <v/>
      </c>
      <c r="P21" s="67" t="str">
        <f ca="1">IFERROR(IF(AND(ISNUMBER(Futs!$CD21), ISNUMBER($L21)), (Futs!$CD21 + $L21)*6.35, ""), "")</f>
        <v/>
      </c>
      <c r="Q21" s="47" t="str">
        <f t="shared" ref="Q21:Q66" ca="1" si="132">IF(AND(ISNUMBER($O20), ISNUMBER($O21)), $O20 - $O21, "")</f>
        <v/>
      </c>
      <c r="R21" s="46" t="str">
        <f t="shared" ref="R21:R66" ca="1" si="133">IF(AND(ISNUMBER($P20), ISNUMBER($P21)), $P20 - $P21, "")</f>
        <v/>
      </c>
      <c r="S21" s="397" t="str">
        <f ca="1">IFERROR(INDEX(ICE[], MATCH("hilo" &amp; TEXT(Crd!$A21, "mmmyy"), ICE[LongCode], 0), MATCH("ICE Theoretical Price", ICE[#Headers], 0)), "")</f>
        <v/>
      </c>
      <c r="T21" s="372" t="str">
        <f ca="1">IFERROR(INDEX(ICE[], MATCH("hilo" &amp; TEXT(Hvy!$A21, "mmmyy"), ICE[LongCode], 0), MATCH("Text", ICE[#Headers], 0)), "")</f>
        <v xml:space="preserve"> /  </v>
      </c>
      <c r="U21" s="46" t="str">
        <f t="shared" ca="1" si="106"/>
        <v/>
      </c>
      <c r="V21" s="47" t="str">
        <f t="shared" ref="V21:V66" ca="1" si="134">IF(AND(ISNUMBER($S20), ISNUMBER($S21)), $S20 - $S21, "")</f>
        <v/>
      </c>
      <c r="W21" s="114" t="str">
        <f t="shared" ref="W21:W66" ca="1" si="135">IF(AND(ISNUMBER($U20), ISNUMBER($U21)), $U20 - $U21, "")</f>
        <v/>
      </c>
      <c r="X21" s="49" t="str">
        <f t="shared" ca="1" si="107"/>
        <v/>
      </c>
      <c r="Y21" s="46" t="str">
        <f t="shared" ca="1" si="108"/>
        <v/>
      </c>
      <c r="Z21" s="47" t="str">
        <f t="shared" ref="Z21:Z66" ca="1" si="136">IF(AND(ISNUMBER($X20), ISNUMBER($X21)), $X20 - $X21, "")</f>
        <v/>
      </c>
      <c r="AA21" s="111" t="str">
        <f t="shared" ref="AA21:AA66" ca="1" si="137">IF(AND(ISNUMBER($Y20), ISNUMBER($Y21)), $Y20 - $Y21, "")</f>
        <v/>
      </c>
      <c r="AB21" s="397" t="str">
        <f ca="1">IFERROR(INDEX(ICE[], MATCH("hsfoew" &amp; TEXT(Crd!$A21, "mmmyy"), ICE[LongCode], 0), MATCH("ICE Theoretical Price", ICE[#Headers], 0)), "")</f>
        <v/>
      </c>
      <c r="AC21" s="372" t="str">
        <f ca="1">IFERROR(INDEX(ICE[], MATCH("hsfoew" &amp; TEXT(Hvy!$A21, "mmmyy"), ICE[LongCode], 0), MATCH("Text", ICE[#Headers], 0)), "")</f>
        <v xml:space="preserve"> / 40.00 {35.00} |25x</v>
      </c>
      <c r="AD21" s="46" t="str">
        <f t="shared" ca="1" si="109"/>
        <v/>
      </c>
      <c r="AE21" s="47" t="str">
        <f t="shared" ca="1" si="124"/>
        <v/>
      </c>
      <c r="AF21" s="114" t="str">
        <f t="shared" ca="1" si="125"/>
        <v/>
      </c>
      <c r="AG21" s="141" t="str">
        <f t="shared" ca="1" si="110"/>
        <v/>
      </c>
      <c r="AH21" s="46" t="str">
        <f t="shared" ca="1" si="111"/>
        <v/>
      </c>
      <c r="AI21" s="47" t="str">
        <f t="shared" ca="1" si="126"/>
        <v/>
      </c>
      <c r="AJ21" s="364" t="str">
        <f ca="1">IFERROR(INDEX(ICE[], MATCH("fo380" &amp; TEXT(Crd!$A20, "mmmyy") &amp; "/" &amp; TEXT(Crd!$A21, "mmmyy"), ICE[LongCode], 0), MATCH("Text", ICE[#Headers], 0)), "")</f>
        <v>14.50 / 15.00 {15.25} |397x</v>
      </c>
      <c r="AK21" s="114" t="str">
        <f t="shared" ca="1" si="127"/>
        <v/>
      </c>
      <c r="AL21" s="49" t="str">
        <f ca="1">IFERROR(IF(AND(ISNUMBER(Futs!$CC21), ISNUMBER($AG21)), $AG21/6.35 - Futs!$CC21, ""), "")</f>
        <v/>
      </c>
      <c r="AM21" s="372" t="str">
        <f ca="1">IFERROR(INDEX(ICE[], MATCH("fo380brx" &amp; TEXT(Hvy!$A21, "mmmyy"), ICE[LongCode], 0), MATCH("Text", ICE[#Headers], 0)), "")</f>
        <v>-5.80 /   |2x</v>
      </c>
      <c r="AN21" s="46" t="str">
        <f ca="1">IFERROR(IF(AND(ISNUMBER(Futs!$CD21), ISNUMBER($AH21)), $AH21/6.35 - Futs!$CD21, ""), "")</f>
        <v/>
      </c>
      <c r="AO21" s="47" t="str">
        <f t="shared" ref="AO21:AO66" ca="1" si="138">IF(AND(ISNUMBER($AL20), ISNUMBER($AL21)), $AL20 - $AL21, "")</f>
        <v/>
      </c>
      <c r="AP21" s="114" t="str">
        <f t="shared" ref="AP21:AP66" ca="1" si="139">IF(AND(ISNUMBER($AN20), ISNUMBER($AN21)), $AN20 - $AN21, "")</f>
        <v/>
      </c>
      <c r="AQ21" s="49" t="str">
        <f ca="1">IFERROR(IF(AND(ISNUMBER(Crd!$X21), ISNUMBER($AG21)), $AG21/6.35 - Crd!$X21, ""), "")</f>
        <v/>
      </c>
      <c r="AR21" s="46" t="str">
        <f ca="1">IFERROR(IF(AND(ISNUMBER(Crd!$Y21), ISNUMBER($AH21)), $AH21/6.35 - Crd!$Y21, ""), "")</f>
        <v/>
      </c>
      <c r="AS21" s="47" t="str">
        <f t="shared" ref="AS21:AS66" ca="1" si="140">IF(AND(ISNUMBER($AQ20), ISNUMBER($AQ21)), $AQ20 - $AQ21, "")</f>
        <v/>
      </c>
      <c r="AT21" s="111" t="str">
        <f t="shared" ref="AT21:AT66" ca="1" si="141">IF(AND(ISNUMBER($AR20), ISNUMBER($AR21)), $AR20 - $AR21, "")</f>
        <v/>
      </c>
      <c r="AU21" s="397" t="str">
        <f ca="1">IFERROR(INDEX(ICE[], MATCH("visco" &amp; TEXT(Crd!$A21, "mmmyy"), ICE[LongCode], 0), MATCH("ICE Theoretical Price", ICE[#Headers], 0)), "")</f>
        <v/>
      </c>
      <c r="AV21" s="372" t="str">
        <f ca="1">IFERROR(INDEX(ICE[], MATCH("visco" &amp; TEXT(Hvy!$A21, "mmmyy"), ICE[LongCode], 0), MATCH("Text", ICE[#Headers], 0)), "")</f>
        <v xml:space="preserve"> /  </v>
      </c>
      <c r="AW21" s="46" t="str">
        <f t="shared" ca="1" si="112"/>
        <v/>
      </c>
      <c r="AX21" s="47" t="str">
        <f t="shared" ref="AX21:AX66" ca="1" si="142">IF(AND(ISNUMBER($AU20), ISNUMBER($AU21)), $AU20 - $AU21, "")</f>
        <v/>
      </c>
      <c r="AY21" s="46" t="str">
        <f t="shared" ref="AY21:AY66" ca="1" si="143">IF(AND(ISNUMBER($AW20), ISNUMBER($AW21)), $AW20 - $AW21, "")</f>
        <v/>
      </c>
      <c r="AZ21" s="141" t="str">
        <f t="shared" ca="1" si="113"/>
        <v/>
      </c>
      <c r="BA21" s="46" t="str">
        <f t="shared" ca="1" si="114"/>
        <v/>
      </c>
      <c r="BB21" s="47" t="str">
        <f t="shared" ref="BB21:BB66" ca="1" si="144">IF(AND(ISNUMBER($AZ20), ISNUMBER($AZ21)), $AZ20 - $AZ21, "")</f>
        <v/>
      </c>
      <c r="BC21" s="114" t="str">
        <f t="shared" ref="BC21:BC66" ca="1" si="145">IF(AND(ISNUMBER($BA20), ISNUMBER($BA21)), $BA20 - $BA21, "")</f>
        <v/>
      </c>
      <c r="BD21" s="49" t="str">
        <f ca="1">IFERROR(IF(AND(ISNUMBER(Futs!$CC21), ISNUMBER($AZ21)), $AZ21/6.35 - Futs!$CC21, ""), "")</f>
        <v/>
      </c>
      <c r="BE21" s="46" t="str">
        <f ca="1">IFERROR(IF(AND(ISNUMBER(Futs!$CD21), ISNUMBER($BA21)), $BA21/6.35 - Futs!$CD21, ""), "")</f>
        <v/>
      </c>
      <c r="BF21" s="47" t="str">
        <f t="shared" ref="BF21:BF66" ca="1" si="146">IF(AND(ISNUMBER($BD20), ISNUMBER($BD21)), $BD20 - $BD21, "")</f>
        <v/>
      </c>
      <c r="BG21" s="114" t="str">
        <f t="shared" ref="BG21:BG66" ca="1" si="147">IF(AND(ISNUMBER($BE20), ISNUMBER($BE21)), $BE20 - $BE21, "")</f>
        <v/>
      </c>
      <c r="BH21" s="49" t="str">
        <f ca="1">IFERROR(IF(AND(ISNUMBER(Crd!$X21), ISNUMBER($AZ21)), $AZ21/6.35 - Crd!$X21, ""), "")</f>
        <v/>
      </c>
      <c r="BI21" s="46" t="str">
        <f ca="1">IFERROR(IF(AND(ISNUMBER(Crd!$Y21), ISNUMBER($BA21)), $BA21/6.35 - Crd!$Y21, ""), "")</f>
        <v/>
      </c>
      <c r="BJ21" s="47" t="str">
        <f t="shared" ref="BJ21:BJ66" ca="1" si="148">IF(AND(ISNUMBER($BH20), ISNUMBER($BH21)), $BH20 - $BH21, "")</f>
        <v/>
      </c>
      <c r="BK21" s="111" t="str">
        <f t="shared" ref="BK21:BK66" ca="1" si="149">IF(AND(ISNUMBER($BI20), ISNUMBER($BI21)), $BI20 - $BI21, "")</f>
        <v/>
      </c>
      <c r="BL21" s="397" t="str">
        <f ca="1">IFERROR(INDEX(ICE[], MATCH("fo05bfrbrxbbl" &amp; TEXT(Crd!$A21, "mmmyy"), ICE[LongCode], 0), MATCH("ICE Theoretical Price", ICE[#Headers], 0)), "")</f>
        <v/>
      </c>
      <c r="BM21" s="372" t="str">
        <f ca="1">IFERROR(INDEX(ICE[], MATCH("fo05bfrbrx" &amp; TEXT(Hvy!$A21, "mmmyy"), ICE[LongCode], 0), MATCH("Text", ICE[#Headers], 0)), "")</f>
        <v xml:space="preserve"> /  </v>
      </c>
      <c r="BN21" s="46" t="str">
        <f t="shared" ca="1" si="115"/>
        <v/>
      </c>
      <c r="BO21" s="47" t="str">
        <f t="shared" ref="BO21:BO66" ca="1" si="150">IF(AND(ISNUMBER($BL20), ISNUMBER($BL21)), $BL20 - $BL21, "")</f>
        <v/>
      </c>
      <c r="BP21" s="46" t="str">
        <f t="shared" ref="BP21:BP66" ca="1" si="151">IF(AND(ISNUMBER($BN20), ISNUMBER($BN21)), $BN20 - $BN21, "")</f>
        <v/>
      </c>
      <c r="BQ21" s="141" t="str">
        <f ca="1">IFERROR(IF(AND(ISNUMBER(Futs!$CC21), ISNUMBER($BL21)), (Futs!$CC21 + $BL21)*6.35, ""), "")</f>
        <v/>
      </c>
      <c r="BR21" s="46" t="str">
        <f ca="1">IFERROR(IF(AND(ISNUMBER(Futs!$CD21), ISNUMBER($BN21)), (Futs!$CD21 + $BN21)*6.35, ""), "")</f>
        <v/>
      </c>
      <c r="BS21" s="47" t="str">
        <f t="shared" ref="BS21:BS66" ca="1" si="152">IF(AND(ISNUMBER($BQ20), ISNUMBER($BQ21)), $BQ20 - $BQ21, "")</f>
        <v/>
      </c>
      <c r="BT21" s="114" t="str">
        <f t="shared" ref="BT21:BT66" ca="1" si="153">IF(AND(ISNUMBER($BR20), ISNUMBER($BR21)), $BR20 - $BR21, "")</f>
        <v/>
      </c>
      <c r="BU21" s="49" t="str">
        <f t="shared" ca="1" si="116"/>
        <v/>
      </c>
      <c r="BV21" s="46" t="str">
        <f t="shared" ca="1" si="117"/>
        <v/>
      </c>
      <c r="BW21" s="47" t="str">
        <f t="shared" ref="BW21:BW66" ca="1" si="154">IF(AND(ISNUMBER($BU20), ISNUMBER($BU21)), $BU20 - $BU21, "")</f>
        <v/>
      </c>
      <c r="BX21" s="111" t="str">
        <f t="shared" ref="BX21:BX66" ca="1" si="155">IF(AND(ISNUMBER($BV20), ISNUMBER($BV21)), $BV20 - $BV21, "")</f>
        <v/>
      </c>
      <c r="BY21" s="397" t="str">
        <f ca="1">IFERROR(INDEX(ICE[], MATCH("fo05singbrxmt" &amp; TEXT(Crd!$A21, "mmmyy"), ICE[LongCode], 0), MATCH("ICE Theoretical Price", ICE[#Headers], 0)), "")</f>
        <v/>
      </c>
      <c r="BZ21" s="372" t="str">
        <f ca="1">IFERROR(INDEX(ICE[], MATCH("fo05singbrx" &amp; TEXT(Hvy!$A21, "mmmyy"), ICE[LongCode], 0), MATCH("Text", ICE[#Headers], 0)), "")</f>
        <v xml:space="preserve"> / 17.20 {16.60} |45x</v>
      </c>
      <c r="CA21" s="46" t="str">
        <f t="shared" ca="1" si="118"/>
        <v/>
      </c>
      <c r="CB21" s="47" t="str">
        <f t="shared" ref="CB21:CB66" ca="1" si="156">IF(AND(ISNUMBER($BY20), ISNUMBER($BY21)), $BY20 - $BY21, "")</f>
        <v/>
      </c>
      <c r="CC21" s="114" t="str">
        <f t="shared" ref="CC21:CC66" ca="1" si="157">IF(AND(ISNUMBER($CA20), ISNUMBER($CA21)), $CA20 - $CA21, "")</f>
        <v/>
      </c>
      <c r="CD21" s="141" t="str">
        <f ca="1">IFERROR(IF(AND(ISNUMBER(Futs!$CC21), ISNUMBER($BY21)), (Futs!$CC21 + $BY21)*6.35, ""), "")</f>
        <v/>
      </c>
      <c r="CE21" s="46" t="str">
        <f ca="1">IFERROR(IF(AND(ISNUMBER(Futs!$CD21), ISNUMBER($CA21)), (Futs!$CD21 + $CA21)*6.35, ""), "")</f>
        <v/>
      </c>
      <c r="CF21" s="47" t="str">
        <f t="shared" ref="CF21:CF66" ca="1" si="158">IF(AND(ISNUMBER($CD20), ISNUMBER($CD21)), $CD20 - $CD21, "")</f>
        <v/>
      </c>
      <c r="CG21" s="114" t="str">
        <f t="shared" ref="CG21:CG66" ca="1" si="159">IF(AND(ISNUMBER($CE20), ISNUMBER($CE21)), $CE20 - $CE21, "")</f>
        <v/>
      </c>
      <c r="CH21" s="141" t="str">
        <f t="shared" ca="1" si="119"/>
        <v/>
      </c>
      <c r="CI21" s="46" t="str">
        <f t="shared" ca="1" si="120"/>
        <v/>
      </c>
      <c r="CJ21" s="47" t="str">
        <f t="shared" ref="CJ21:CJ66" ca="1" si="160">IF(AND(ISNUMBER($CH20), ISNUMBER($CH21)), $CH20 - $CH21, "")</f>
        <v/>
      </c>
      <c r="CK21" s="114" t="str">
        <f t="shared" ref="CK21:CK66" ca="1" si="161">IF(AND(ISNUMBER($CI20), ISNUMBER($CI21)), $CI20 - $CI21, "")</f>
        <v/>
      </c>
      <c r="CL21" s="49" t="str">
        <f t="shared" ca="1" si="128"/>
        <v/>
      </c>
      <c r="CM21" s="46" t="str">
        <f t="shared" ca="1" si="129"/>
        <v/>
      </c>
      <c r="CN21" s="47" t="str">
        <f t="shared" ref="CN21:CN66" ca="1" si="162">IF(AND(ISNUMBER($CH20), ISNUMBER($CH21)), $CH20 - $CH21, "")</f>
        <v/>
      </c>
      <c r="CO21" s="111" t="str">
        <f t="shared" ref="CO21:CO66" ca="1" si="163">IF(AND(ISNUMBER($CI20), ISNUMBER($CI21)), $CI20 - $CI21, "")</f>
        <v/>
      </c>
    </row>
    <row r="22" spans="1:93" x14ac:dyDescent="0.25">
      <c r="A22" s="58">
        <f t="shared" ca="1" si="130"/>
        <v>46357</v>
      </c>
      <c r="B22" s="6">
        <f t="shared" ca="1" si="105"/>
        <v>2026</v>
      </c>
      <c r="C22" s="6" t="str">
        <f t="shared" ca="1" si="121"/>
        <v>Q426</v>
      </c>
      <c r="D22" s="28">
        <f ca="1">INDEX(ICE[], MATCH(D$18 &amp; TEXT(Hvy!$A22, "mmmyy"), ICE[LongCode], 0), MATCH("Settle", ICE[#Headers], 0))</f>
        <v>-9.6340000000000003</v>
      </c>
      <c r="E22" s="28">
        <f ca="1">INDEX(ICE[], MATCH(E$18 &amp; TEXT(Hvy!$A22, "mmmyy"), ICE[LongCode], 0), MATCH("Settle", ICE[#Headers], 0))</f>
        <v>32.5</v>
      </c>
      <c r="F22" s="28">
        <f ca="1">INDEX(ICE[], MATCH(F$18 &amp; TEXT(Hvy!$A22, "mmmyy"), ICE[LongCode], 0), MATCH("Settle", ICE[#Headers], 0))</f>
        <v>15.25</v>
      </c>
      <c r="G22" s="28">
        <f ca="1">INDEX(ICE[], MATCH(G$18 &amp; TEXT(Hvy!$A22, "mmmyy"), ICE[LongCode], 0), MATCH("Settle", ICE[#Headers], 0))</f>
        <v>7.25</v>
      </c>
      <c r="H22" s="28">
        <f ca="1">INDEX(ICE[], MATCH(H$18 &amp; TEXT(Hvy!$A22, "mmmyy"), ICE[LongCode], 0), MATCH("Settle", ICE[#Headers], 0))</f>
        <v>6.1689000000000007</v>
      </c>
      <c r="I22" s="28">
        <f ca="1">INDEX(ICE[], MATCH(I$18 &amp; TEXT(Hvy!$A22, "mmmyy"), ICE[LongCode], 0), MATCH("Settle", ICE[#Headers], 0))</f>
        <v>16.053900000000002</v>
      </c>
      <c r="J22" s="397" t="str">
        <f ca="1">IFERROR(INDEX(ICE[], MATCH("fo35brxbbl" &amp; TEXT(Crd!$A22, "mmmyy"), ICE[LongCode], 0), MATCH("ICE Theoretical Price", ICE[#Headers], 0)), "")</f>
        <v/>
      </c>
      <c r="K22" s="372" t="str">
        <f ca="1">IFERROR(INDEX(ICE[], MATCH("fo35brx" &amp; TEXT(Hvy!$A22, "mmmyy"), ICE[LongCode], 0), MATCH("Text", ICE[#Headers], 0)), "")</f>
        <v xml:space="preserve"> / -9.15 </v>
      </c>
      <c r="L22" s="46" t="str">
        <f t="shared" ca="1" si="122"/>
        <v/>
      </c>
      <c r="M22" s="47" t="str">
        <f t="shared" ca="1" si="123"/>
        <v/>
      </c>
      <c r="N22" s="46" t="str">
        <f t="shared" ca="1" si="131"/>
        <v/>
      </c>
      <c r="O22" s="141" t="str">
        <f ca="1">IFERROR(IF(AND(ISNUMBER(Futs!$CC22), ISNUMBER($J22)), (Futs!$CC22 + $J22)*6.35, ""), "")</f>
        <v/>
      </c>
      <c r="P22" s="67" t="str">
        <f ca="1">IFERROR(IF(AND(ISNUMBER(Futs!$CD22), ISNUMBER($L22)), (Futs!$CD22 + $L22)*6.35, ""), "")</f>
        <v/>
      </c>
      <c r="Q22" s="47" t="str">
        <f t="shared" ca="1" si="132"/>
        <v/>
      </c>
      <c r="R22" s="46" t="str">
        <f t="shared" ca="1" si="133"/>
        <v/>
      </c>
      <c r="S22" s="397" t="str">
        <f ca="1">IFERROR(INDEX(ICE[], MATCH("hilo" &amp; TEXT(Crd!$A22, "mmmyy"), ICE[LongCode], 0), MATCH("ICE Theoretical Price", ICE[#Headers], 0)), "")</f>
        <v/>
      </c>
      <c r="T22" s="372" t="str">
        <f ca="1">IFERROR(INDEX(ICE[], MATCH("hilo" &amp; TEXT(Hvy!$A22, "mmmyy"), ICE[LongCode], 0), MATCH("Text", ICE[#Headers], 0)), "")</f>
        <v xml:space="preserve"> /  </v>
      </c>
      <c r="U22" s="46" t="str">
        <f t="shared" ca="1" si="106"/>
        <v/>
      </c>
      <c r="V22" s="47" t="str">
        <f t="shared" ca="1" si="134"/>
        <v/>
      </c>
      <c r="W22" s="114" t="str">
        <f t="shared" ca="1" si="135"/>
        <v/>
      </c>
      <c r="X22" s="49" t="str">
        <f t="shared" ca="1" si="107"/>
        <v/>
      </c>
      <c r="Y22" s="46" t="str">
        <f t="shared" ca="1" si="108"/>
        <v/>
      </c>
      <c r="Z22" s="47" t="str">
        <f t="shared" ca="1" si="136"/>
        <v/>
      </c>
      <c r="AA22" s="111" t="str">
        <f t="shared" ca="1" si="137"/>
        <v/>
      </c>
      <c r="AB22" s="397" t="str">
        <f ca="1">IFERROR(INDEX(ICE[], MATCH("hsfoew" &amp; TEXT(Crd!$A22, "mmmyy"), ICE[LongCode], 0), MATCH("ICE Theoretical Price", ICE[#Headers], 0)), "")</f>
        <v/>
      </c>
      <c r="AC22" s="372" t="str">
        <f ca="1">IFERROR(INDEX(ICE[], MATCH("hsfoew" &amp; TEXT(Hvy!$A22, "mmmyy"), ICE[LongCode], 0), MATCH("Text", ICE[#Headers], 0)), "")</f>
        <v xml:space="preserve"> /  {32.25} |20x</v>
      </c>
      <c r="AD22" s="46" t="str">
        <f t="shared" ca="1" si="109"/>
        <v/>
      </c>
      <c r="AE22" s="47" t="str">
        <f t="shared" ca="1" si="124"/>
        <v/>
      </c>
      <c r="AF22" s="114" t="str">
        <f t="shared" ca="1" si="125"/>
        <v/>
      </c>
      <c r="AG22" s="141" t="str">
        <f t="shared" ca="1" si="110"/>
        <v/>
      </c>
      <c r="AH22" s="46" t="str">
        <f t="shared" ca="1" si="111"/>
        <v/>
      </c>
      <c r="AI22" s="47" t="str">
        <f t="shared" ca="1" si="126"/>
        <v/>
      </c>
      <c r="AJ22" s="364" t="str">
        <f ca="1">IFERROR(INDEX(ICE[], MATCH("fo380" &amp; TEXT(Crd!$A21, "mmmyy") &amp; "/" &amp; TEXT(Crd!$A22, "mmmyy"), ICE[LongCode], 0), MATCH("Text", ICE[#Headers], 0)), "")</f>
        <v>11.50 / 12.75 {12.00} |80x</v>
      </c>
      <c r="AK22" s="114" t="str">
        <f t="shared" ca="1" si="127"/>
        <v/>
      </c>
      <c r="AL22" s="49" t="str">
        <f ca="1">IFERROR(IF(AND(ISNUMBER(Futs!$CC22), ISNUMBER($AG22)), $AG22/6.35 - Futs!$CC22, ""), "")</f>
        <v/>
      </c>
      <c r="AM22" s="372" t="str">
        <f ca="1">IFERROR(INDEX(ICE[], MATCH("fo380brx" &amp; TEXT(Hvy!$A22, "mmmyy"), ICE[LongCode], 0), MATCH("Text", ICE[#Headers], 0)), "")</f>
        <v xml:space="preserve"> /  {-4.50} |77x</v>
      </c>
      <c r="AN22" s="46" t="str">
        <f ca="1">IFERROR(IF(AND(ISNUMBER(Futs!$CD22), ISNUMBER($AH22)), $AH22/6.35 - Futs!$CD22, ""), "")</f>
        <v/>
      </c>
      <c r="AO22" s="47" t="str">
        <f t="shared" ca="1" si="138"/>
        <v/>
      </c>
      <c r="AP22" s="114" t="str">
        <f t="shared" ca="1" si="139"/>
        <v/>
      </c>
      <c r="AQ22" s="49" t="str">
        <f ca="1">IFERROR(IF(AND(ISNUMBER(Crd!$X22), ISNUMBER($AG22)), $AG22/6.35 - Crd!$X22, ""), "")</f>
        <v/>
      </c>
      <c r="AR22" s="46" t="str">
        <f ca="1">IFERROR(IF(AND(ISNUMBER(Crd!$Y22), ISNUMBER($AH22)), $AH22/6.35 - Crd!$Y22, ""), "")</f>
        <v/>
      </c>
      <c r="AS22" s="47" t="str">
        <f t="shared" ca="1" si="140"/>
        <v/>
      </c>
      <c r="AT22" s="111" t="str">
        <f t="shared" ca="1" si="141"/>
        <v/>
      </c>
      <c r="AU22" s="397" t="str">
        <f ca="1">IFERROR(INDEX(ICE[], MATCH("visco" &amp; TEXT(Crd!$A22, "mmmyy"), ICE[LongCode], 0), MATCH("ICE Theoretical Price", ICE[#Headers], 0)), "")</f>
        <v/>
      </c>
      <c r="AV22" s="372" t="str">
        <f ca="1">IFERROR(INDEX(ICE[], MATCH("visco" &amp; TEXT(Hvy!$A22, "mmmyy"), ICE[LongCode], 0), MATCH("Text", ICE[#Headers], 0)), "")</f>
        <v xml:space="preserve"> / 8.75 </v>
      </c>
      <c r="AW22" s="46" t="str">
        <f t="shared" ca="1" si="112"/>
        <v/>
      </c>
      <c r="AX22" s="47" t="str">
        <f t="shared" ca="1" si="142"/>
        <v/>
      </c>
      <c r="AY22" s="46" t="str">
        <f t="shared" ca="1" si="143"/>
        <v/>
      </c>
      <c r="AZ22" s="141" t="str">
        <f t="shared" ca="1" si="113"/>
        <v/>
      </c>
      <c r="BA22" s="46" t="str">
        <f t="shared" ca="1" si="114"/>
        <v/>
      </c>
      <c r="BB22" s="47" t="str">
        <f t="shared" ca="1" si="144"/>
        <v/>
      </c>
      <c r="BC22" s="114" t="str">
        <f t="shared" ca="1" si="145"/>
        <v/>
      </c>
      <c r="BD22" s="49" t="str">
        <f ca="1">IFERROR(IF(AND(ISNUMBER(Futs!$CC22), ISNUMBER($AZ22)), $AZ22/6.35 - Futs!$CC22, ""), "")</f>
        <v/>
      </c>
      <c r="BE22" s="46" t="str">
        <f ca="1">IFERROR(IF(AND(ISNUMBER(Futs!$CD22), ISNUMBER($BA22)), $BA22/6.35 - Futs!$CD22, ""), "")</f>
        <v/>
      </c>
      <c r="BF22" s="47" t="str">
        <f t="shared" ca="1" si="146"/>
        <v/>
      </c>
      <c r="BG22" s="114" t="str">
        <f t="shared" ca="1" si="147"/>
        <v/>
      </c>
      <c r="BH22" s="49" t="str">
        <f ca="1">IFERROR(IF(AND(ISNUMBER(Crd!$X22), ISNUMBER($AZ22)), $AZ22/6.35 - Crd!$X22, ""), "")</f>
        <v/>
      </c>
      <c r="BI22" s="46" t="str">
        <f ca="1">IFERROR(IF(AND(ISNUMBER(Crd!$Y22), ISNUMBER($BA22)), $BA22/6.35 - Crd!$Y22, ""), "")</f>
        <v/>
      </c>
      <c r="BJ22" s="47" t="str">
        <f t="shared" ca="1" si="148"/>
        <v/>
      </c>
      <c r="BK22" s="111" t="str">
        <f t="shared" ca="1" si="149"/>
        <v/>
      </c>
      <c r="BL22" s="397" t="str">
        <f ca="1">IFERROR(INDEX(ICE[], MATCH("fo05bfrbrxbbl" &amp; TEXT(Crd!$A22, "mmmyy"), ICE[LongCode], 0), MATCH("ICE Theoretical Price", ICE[#Headers], 0)), "")</f>
        <v/>
      </c>
      <c r="BM22" s="372" t="str">
        <f ca="1">IFERROR(INDEX(ICE[], MATCH("fo05bfrbrx" &amp; TEXT(Hvy!$A22, "mmmyy"), ICE[LongCode], 0), MATCH("Text", ICE[#Headers], 0)), "")</f>
        <v xml:space="preserve"> /  {6.15} |82x</v>
      </c>
      <c r="BN22" s="46" t="str">
        <f t="shared" ca="1" si="115"/>
        <v/>
      </c>
      <c r="BO22" s="47" t="str">
        <f t="shared" ca="1" si="150"/>
        <v/>
      </c>
      <c r="BP22" s="46" t="str">
        <f t="shared" ca="1" si="151"/>
        <v/>
      </c>
      <c r="BQ22" s="141" t="str">
        <f ca="1">IFERROR(IF(AND(ISNUMBER(Futs!$CC22), ISNUMBER($BL22)), (Futs!$CC22 + $BL22)*6.35, ""), "")</f>
        <v/>
      </c>
      <c r="BR22" s="46" t="str">
        <f ca="1">IFERROR(IF(AND(ISNUMBER(Futs!$CD22), ISNUMBER($BN22)), (Futs!$CD22 + $BN22)*6.35, ""), "")</f>
        <v/>
      </c>
      <c r="BS22" s="47" t="str">
        <f t="shared" ca="1" si="152"/>
        <v/>
      </c>
      <c r="BT22" s="114" t="str">
        <f t="shared" ca="1" si="153"/>
        <v/>
      </c>
      <c r="BU22" s="49" t="str">
        <f t="shared" ca="1" si="116"/>
        <v/>
      </c>
      <c r="BV22" s="46" t="str">
        <f t="shared" ca="1" si="117"/>
        <v/>
      </c>
      <c r="BW22" s="47" t="str">
        <f t="shared" ca="1" si="154"/>
        <v/>
      </c>
      <c r="BX22" s="111" t="str">
        <f t="shared" ca="1" si="155"/>
        <v/>
      </c>
      <c r="BY22" s="397" t="str">
        <f ca="1">IFERROR(INDEX(ICE[], MATCH("fo05singbrxmt" &amp; TEXT(Crd!$A22, "mmmyy"), ICE[LongCode], 0), MATCH("ICE Theoretical Price", ICE[#Headers], 0)), "")</f>
        <v/>
      </c>
      <c r="BZ22" s="372" t="str">
        <f ca="1">IFERROR(INDEX(ICE[], MATCH("fo05singbrx" &amp; TEXT(Hvy!$A22, "mmmyy"), ICE[LongCode], 0), MATCH("Text", ICE[#Headers], 0)), "")</f>
        <v xml:space="preserve"> /  </v>
      </c>
      <c r="CA22" s="46" t="str">
        <f t="shared" ca="1" si="118"/>
        <v/>
      </c>
      <c r="CB22" s="47" t="str">
        <f t="shared" ca="1" si="156"/>
        <v/>
      </c>
      <c r="CC22" s="114" t="str">
        <f t="shared" ca="1" si="157"/>
        <v/>
      </c>
      <c r="CD22" s="141" t="str">
        <f ca="1">IFERROR(IF(AND(ISNUMBER(Futs!$CC22), ISNUMBER($BY22)), (Futs!$CC22 + $BY22)*6.35, ""), "")</f>
        <v/>
      </c>
      <c r="CE22" s="46" t="str">
        <f ca="1">IFERROR(IF(AND(ISNUMBER(Futs!$CD22), ISNUMBER($CA22)), (Futs!$CD22 + $CA22)*6.35, ""), "")</f>
        <v/>
      </c>
      <c r="CF22" s="47" t="str">
        <f t="shared" ca="1" si="158"/>
        <v/>
      </c>
      <c r="CG22" s="114" t="str">
        <f t="shared" ca="1" si="159"/>
        <v/>
      </c>
      <c r="CH22" s="141" t="str">
        <f t="shared" ca="1" si="119"/>
        <v/>
      </c>
      <c r="CI22" s="46" t="str">
        <f t="shared" ca="1" si="120"/>
        <v/>
      </c>
      <c r="CJ22" s="47" t="str">
        <f t="shared" ca="1" si="160"/>
        <v/>
      </c>
      <c r="CK22" s="114" t="str">
        <f t="shared" ca="1" si="161"/>
        <v/>
      </c>
      <c r="CL22" s="49" t="str">
        <f t="shared" ca="1" si="128"/>
        <v/>
      </c>
      <c r="CM22" s="46" t="str">
        <f t="shared" ca="1" si="129"/>
        <v/>
      </c>
      <c r="CN22" s="47" t="str">
        <f t="shared" ca="1" si="162"/>
        <v/>
      </c>
      <c r="CO22" s="111" t="str">
        <f t="shared" ca="1" si="163"/>
        <v/>
      </c>
    </row>
    <row r="23" spans="1:93" x14ac:dyDescent="0.25">
      <c r="A23" s="58">
        <f t="shared" ca="1" si="130"/>
        <v>46388</v>
      </c>
      <c r="B23" s="6">
        <f t="shared" ca="1" si="105"/>
        <v>2027</v>
      </c>
      <c r="C23" s="6" t="str">
        <f t="shared" ca="1" si="121"/>
        <v>Q127</v>
      </c>
      <c r="D23" s="28">
        <f ca="1">INDEX(ICE[], MATCH(D$18 &amp; TEXT(Hvy!$A23, "mmmyy"), ICE[LongCode], 0), MATCH("Settle", ICE[#Headers], 0))</f>
        <v>-9.0709999999999997</v>
      </c>
      <c r="E23" s="28">
        <f ca="1">INDEX(ICE[], MATCH(E$18 &amp; TEXT(Hvy!$A23, "mmmyy"), ICE[LongCode], 0), MATCH("Settle", ICE[#Headers], 0))</f>
        <v>29.5</v>
      </c>
      <c r="F23" s="28">
        <f ca="1">INDEX(ICE[], MATCH(F$18 &amp; TEXT(Hvy!$A23, "mmmyy"), ICE[LongCode], 0), MATCH("Settle", ICE[#Headers], 0))</f>
        <v>15</v>
      </c>
      <c r="G23" s="28">
        <f ca="1">INDEX(ICE[], MATCH(G$18 &amp; TEXT(Hvy!$A23, "mmmyy"), ICE[LongCode], 0), MATCH("Settle", ICE[#Headers], 0))</f>
        <v>8.5</v>
      </c>
      <c r="H23" s="28">
        <f ca="1">INDEX(ICE[], MATCH(H$18 &amp; TEXT(Hvy!$A23, "mmmyy"), ICE[LongCode], 0), MATCH("Settle", ICE[#Headers], 0))</f>
        <v>6.2206000000000001</v>
      </c>
      <c r="I23" s="28">
        <f ca="1">INDEX(ICE[], MATCH(I$18 &amp; TEXT(Hvy!$A23, "mmmyy"), ICE[LongCode], 0), MATCH("Settle", ICE[#Headers], 0))</f>
        <v>15.5938</v>
      </c>
      <c r="J23" s="397" t="str">
        <f ca="1">IFERROR(INDEX(ICE[], MATCH("fo35brxbbl" &amp; TEXT(Crd!$A23, "mmmyy"), ICE[LongCode], 0), MATCH("ICE Theoretical Price", ICE[#Headers], 0)), "")</f>
        <v/>
      </c>
      <c r="K23" s="372" t="str">
        <f ca="1">IFERROR(INDEX(ICE[], MATCH("fo35brx" &amp; TEXT(Hvy!$A23, "mmmyy"), ICE[LongCode], 0), MATCH("Text", ICE[#Headers], 0)), "")</f>
        <v xml:space="preserve"> /  </v>
      </c>
      <c r="L23" s="46" t="str">
        <f t="shared" ca="1" si="122"/>
        <v/>
      </c>
      <c r="M23" s="47" t="str">
        <f t="shared" ca="1" si="123"/>
        <v/>
      </c>
      <c r="N23" s="46" t="str">
        <f t="shared" ca="1" si="131"/>
        <v/>
      </c>
      <c r="O23" s="141" t="str">
        <f ca="1">IFERROR(IF(AND(ISNUMBER(Futs!$CC23), ISNUMBER($J23)), (Futs!$CC23 + $J23)*6.35, ""), "")</f>
        <v/>
      </c>
      <c r="P23" s="67" t="str">
        <f ca="1">IFERROR(IF(AND(ISNUMBER(Futs!$CD23), ISNUMBER($L23)), (Futs!$CD23 + $L23)*6.35, ""), "")</f>
        <v/>
      </c>
      <c r="Q23" s="47" t="str">
        <f t="shared" ca="1" si="132"/>
        <v/>
      </c>
      <c r="R23" s="46" t="str">
        <f t="shared" ca="1" si="133"/>
        <v/>
      </c>
      <c r="S23" s="397" t="str">
        <f ca="1">IFERROR(INDEX(ICE[], MATCH("hilo" &amp; TEXT(Crd!$A23, "mmmyy"), ICE[LongCode], 0), MATCH("ICE Theoretical Price", ICE[#Headers], 0)), "")</f>
        <v/>
      </c>
      <c r="T23" s="372" t="str">
        <f ca="1">IFERROR(INDEX(ICE[], MATCH("hilo" &amp; TEXT(Hvy!$A23, "mmmyy"), ICE[LongCode], 0), MATCH("Text", ICE[#Headers], 0)), "")</f>
        <v xml:space="preserve"> /  </v>
      </c>
      <c r="U23" s="46" t="str">
        <f t="shared" ca="1" si="106"/>
        <v/>
      </c>
      <c r="V23" s="47" t="str">
        <f t="shared" ca="1" si="134"/>
        <v/>
      </c>
      <c r="W23" s="114" t="str">
        <f t="shared" ca="1" si="135"/>
        <v/>
      </c>
      <c r="X23" s="49" t="str">
        <f t="shared" ca="1" si="107"/>
        <v/>
      </c>
      <c r="Y23" s="46" t="str">
        <f t="shared" ca="1" si="108"/>
        <v/>
      </c>
      <c r="Z23" s="47" t="str">
        <f t="shared" ca="1" si="136"/>
        <v/>
      </c>
      <c r="AA23" s="111" t="str">
        <f t="shared" ca="1" si="137"/>
        <v/>
      </c>
      <c r="AB23" s="397" t="str">
        <f ca="1">IFERROR(INDEX(ICE[], MATCH("hsfoew" &amp; TEXT(Crd!$A23, "mmmyy"), ICE[LongCode], 0), MATCH("ICE Theoretical Price", ICE[#Headers], 0)), "")</f>
        <v/>
      </c>
      <c r="AC23" s="372" t="str">
        <f ca="1">IFERROR(INDEX(ICE[], MATCH("hsfoew" &amp; TEXT(Hvy!$A23, "mmmyy"), ICE[LongCode], 0), MATCH("Text", ICE[#Headers], 0)), "")</f>
        <v xml:space="preserve">15.25 /  </v>
      </c>
      <c r="AD23" s="46" t="str">
        <f t="shared" ca="1" si="109"/>
        <v/>
      </c>
      <c r="AE23" s="47" t="str">
        <f t="shared" ca="1" si="124"/>
        <v/>
      </c>
      <c r="AF23" s="114" t="str">
        <f t="shared" ca="1" si="125"/>
        <v/>
      </c>
      <c r="AG23" s="141" t="str">
        <f t="shared" ca="1" si="110"/>
        <v/>
      </c>
      <c r="AH23" s="46" t="str">
        <f t="shared" ca="1" si="111"/>
        <v/>
      </c>
      <c r="AI23" s="47" t="str">
        <f t="shared" ca="1" si="126"/>
        <v/>
      </c>
      <c r="AJ23" s="364" t="str">
        <f ca="1">IFERROR(INDEX(ICE[], MATCH("fo380" &amp; TEXT(Crd!$A22, "mmmyy") &amp; "/" &amp; TEXT(Crd!$A23, "mmmyy"), ICE[LongCode], 0), MATCH("Text", ICE[#Headers], 0)), "")</f>
        <v xml:space="preserve">9.50 / 11.50 </v>
      </c>
      <c r="AK23" s="114" t="str">
        <f t="shared" ca="1" si="127"/>
        <v/>
      </c>
      <c r="AL23" s="49" t="str">
        <f ca="1">IFERROR(IF(AND(ISNUMBER(Futs!$CC23), ISNUMBER($AG23)), $AG23/6.35 - Futs!$CC23, ""), "")</f>
        <v/>
      </c>
      <c r="AM23" s="372" t="str">
        <f ca="1">IFERROR(INDEX(ICE[], MATCH("fo380brx" &amp; TEXT(Hvy!$A23, "mmmyy"), ICE[LongCode], 0), MATCH("Text", ICE[#Headers], 0)), "")</f>
        <v xml:space="preserve"> /  </v>
      </c>
      <c r="AN23" s="46" t="str">
        <f ca="1">IFERROR(IF(AND(ISNUMBER(Futs!$CD23), ISNUMBER($AH23)), $AH23/6.35 - Futs!$CD23, ""), "")</f>
        <v/>
      </c>
      <c r="AO23" s="47" t="str">
        <f t="shared" ca="1" si="138"/>
        <v/>
      </c>
      <c r="AP23" s="114" t="str">
        <f t="shared" ca="1" si="139"/>
        <v/>
      </c>
      <c r="AQ23" s="49" t="str">
        <f ca="1">IFERROR(IF(AND(ISNUMBER(Crd!$X23), ISNUMBER($AG23)), $AG23/6.35 - Crd!$X23, ""), "")</f>
        <v/>
      </c>
      <c r="AR23" s="46" t="str">
        <f ca="1">IFERROR(IF(AND(ISNUMBER(Crd!$Y23), ISNUMBER($AH23)), $AH23/6.35 - Crd!$Y23, ""), "")</f>
        <v/>
      </c>
      <c r="AS23" s="47" t="str">
        <f t="shared" ca="1" si="140"/>
        <v/>
      </c>
      <c r="AT23" s="111" t="str">
        <f t="shared" ca="1" si="141"/>
        <v/>
      </c>
      <c r="AU23" s="397" t="str">
        <f ca="1">IFERROR(INDEX(ICE[], MATCH("visco" &amp; TEXT(Crd!$A23, "mmmyy"), ICE[LongCode], 0), MATCH("ICE Theoretical Price", ICE[#Headers], 0)), "")</f>
        <v/>
      </c>
      <c r="AV23" s="372" t="str">
        <f ca="1">IFERROR(INDEX(ICE[], MATCH("visco" &amp; TEXT(Hvy!$A23, "mmmyy"), ICE[LongCode], 0), MATCH("Text", ICE[#Headers], 0)), "")</f>
        <v xml:space="preserve"> /  </v>
      </c>
      <c r="AW23" s="46" t="str">
        <f t="shared" ca="1" si="112"/>
        <v/>
      </c>
      <c r="AX23" s="47" t="str">
        <f t="shared" ca="1" si="142"/>
        <v/>
      </c>
      <c r="AY23" s="46" t="str">
        <f t="shared" ca="1" si="143"/>
        <v/>
      </c>
      <c r="AZ23" s="141" t="str">
        <f t="shared" ca="1" si="113"/>
        <v/>
      </c>
      <c r="BA23" s="46" t="str">
        <f t="shared" ca="1" si="114"/>
        <v/>
      </c>
      <c r="BB23" s="47" t="str">
        <f t="shared" ca="1" si="144"/>
        <v/>
      </c>
      <c r="BC23" s="114" t="str">
        <f t="shared" ca="1" si="145"/>
        <v/>
      </c>
      <c r="BD23" s="49" t="str">
        <f ca="1">IFERROR(IF(AND(ISNUMBER(Futs!$CC23), ISNUMBER($AZ23)), $AZ23/6.35 - Futs!$CC23, ""), "")</f>
        <v/>
      </c>
      <c r="BE23" s="46" t="str">
        <f ca="1">IFERROR(IF(AND(ISNUMBER(Futs!$CD23), ISNUMBER($BA23)), $BA23/6.35 - Futs!$CD23, ""), "")</f>
        <v/>
      </c>
      <c r="BF23" s="47" t="str">
        <f t="shared" ca="1" si="146"/>
        <v/>
      </c>
      <c r="BG23" s="114" t="str">
        <f t="shared" ca="1" si="147"/>
        <v/>
      </c>
      <c r="BH23" s="49" t="str">
        <f ca="1">IFERROR(IF(AND(ISNUMBER(Crd!$X23), ISNUMBER($AZ23)), $AZ23/6.35 - Crd!$X23, ""), "")</f>
        <v/>
      </c>
      <c r="BI23" s="46" t="str">
        <f ca="1">IFERROR(IF(AND(ISNUMBER(Crd!$Y23), ISNUMBER($BA23)), $BA23/6.35 - Crd!$Y23, ""), "")</f>
        <v/>
      </c>
      <c r="BJ23" s="47" t="str">
        <f t="shared" ca="1" si="148"/>
        <v/>
      </c>
      <c r="BK23" s="111" t="str">
        <f t="shared" ca="1" si="149"/>
        <v/>
      </c>
      <c r="BL23" s="397" t="str">
        <f ca="1">IFERROR(INDEX(ICE[], MATCH("fo05bfrbrxbbl" &amp; TEXT(Crd!$A23, "mmmyy"), ICE[LongCode], 0), MATCH("ICE Theoretical Price", ICE[#Headers], 0)), "")</f>
        <v/>
      </c>
      <c r="BM23" s="372" t="str">
        <f ca="1">IFERROR(INDEX(ICE[], MATCH("fo05bfrbrx" &amp; TEXT(Hvy!$A23, "mmmyy"), ICE[LongCode], 0), MATCH("Text", ICE[#Headers], 0)), "")</f>
        <v xml:space="preserve"> /   |100x</v>
      </c>
      <c r="BN23" s="46" t="str">
        <f t="shared" ca="1" si="115"/>
        <v/>
      </c>
      <c r="BO23" s="47" t="str">
        <f t="shared" ca="1" si="150"/>
        <v/>
      </c>
      <c r="BP23" s="46" t="str">
        <f t="shared" ca="1" si="151"/>
        <v/>
      </c>
      <c r="BQ23" s="141" t="str">
        <f ca="1">IFERROR(IF(AND(ISNUMBER(Futs!$CC23), ISNUMBER($BL23)), (Futs!$CC23 + $BL23)*6.35, ""), "")</f>
        <v/>
      </c>
      <c r="BR23" s="46" t="str">
        <f ca="1">IFERROR(IF(AND(ISNUMBER(Futs!$CD23), ISNUMBER($BN23)), (Futs!$CD23 + $BN23)*6.35, ""), "")</f>
        <v/>
      </c>
      <c r="BS23" s="47" t="str">
        <f t="shared" ca="1" si="152"/>
        <v/>
      </c>
      <c r="BT23" s="114" t="str">
        <f t="shared" ca="1" si="153"/>
        <v/>
      </c>
      <c r="BU23" s="49" t="str">
        <f t="shared" ca="1" si="116"/>
        <v/>
      </c>
      <c r="BV23" s="46" t="str">
        <f t="shared" ca="1" si="117"/>
        <v/>
      </c>
      <c r="BW23" s="47" t="str">
        <f t="shared" ca="1" si="154"/>
        <v/>
      </c>
      <c r="BX23" s="111" t="str">
        <f t="shared" ca="1" si="155"/>
        <v/>
      </c>
      <c r="BY23" s="397" t="str">
        <f ca="1">IFERROR(INDEX(ICE[], MATCH("fo05singbrxmt" &amp; TEXT(Crd!$A23, "mmmyy"), ICE[LongCode], 0), MATCH("ICE Theoretical Price", ICE[#Headers], 0)), "")</f>
        <v/>
      </c>
      <c r="BZ23" s="372" t="str">
        <f ca="1">IFERROR(INDEX(ICE[], MATCH("fo05singbrx" &amp; TEXT(Hvy!$A23, "mmmyy"), ICE[LongCode], 0), MATCH("Text", ICE[#Headers], 0)), "")</f>
        <v xml:space="preserve"> /  </v>
      </c>
      <c r="CA23" s="46" t="str">
        <f t="shared" ca="1" si="118"/>
        <v/>
      </c>
      <c r="CB23" s="47" t="str">
        <f t="shared" ca="1" si="156"/>
        <v/>
      </c>
      <c r="CC23" s="114" t="str">
        <f t="shared" ca="1" si="157"/>
        <v/>
      </c>
      <c r="CD23" s="141" t="str">
        <f ca="1">IFERROR(IF(AND(ISNUMBER(Futs!$CC23), ISNUMBER($BY23)), (Futs!$CC23 + $BY23)*6.35, ""), "")</f>
        <v/>
      </c>
      <c r="CE23" s="46" t="str">
        <f ca="1">IFERROR(IF(AND(ISNUMBER(Futs!$CD23), ISNUMBER($CA23)), (Futs!$CD23 + $CA23)*6.35, ""), "")</f>
        <v/>
      </c>
      <c r="CF23" s="47" t="str">
        <f t="shared" ca="1" si="158"/>
        <v/>
      </c>
      <c r="CG23" s="114" t="str">
        <f t="shared" ca="1" si="159"/>
        <v/>
      </c>
      <c r="CH23" s="141" t="str">
        <f t="shared" ca="1" si="119"/>
        <v/>
      </c>
      <c r="CI23" s="46" t="str">
        <f t="shared" ca="1" si="120"/>
        <v/>
      </c>
      <c r="CJ23" s="47" t="str">
        <f t="shared" ca="1" si="160"/>
        <v/>
      </c>
      <c r="CK23" s="114" t="str">
        <f t="shared" ca="1" si="161"/>
        <v/>
      </c>
      <c r="CL23" s="49" t="str">
        <f t="shared" ca="1" si="128"/>
        <v/>
      </c>
      <c r="CM23" s="46" t="str">
        <f t="shared" ca="1" si="129"/>
        <v/>
      </c>
      <c r="CN23" s="47" t="str">
        <f t="shared" ca="1" si="162"/>
        <v/>
      </c>
      <c r="CO23" s="111" t="str">
        <f t="shared" ca="1" si="163"/>
        <v/>
      </c>
    </row>
    <row r="24" spans="1:93" x14ac:dyDescent="0.25">
      <c r="A24" s="58">
        <f t="shared" ca="1" si="130"/>
        <v>46419</v>
      </c>
      <c r="B24" s="6">
        <f t="shared" ca="1" si="105"/>
        <v>2027</v>
      </c>
      <c r="C24" s="6" t="str">
        <f t="shared" ca="1" si="121"/>
        <v>Q127</v>
      </c>
      <c r="D24" s="28">
        <f ca="1">INDEX(ICE[], MATCH(D$18 &amp; TEXT(Hvy!$A24, "mmmyy"), ICE[LongCode], 0), MATCH("Settle", ICE[#Headers], 0))</f>
        <v>-8.609</v>
      </c>
      <c r="E24" s="28">
        <f ca="1">INDEX(ICE[], MATCH(E$18 &amp; TEXT(Hvy!$A24, "mmmyy"), ICE[LongCode], 0), MATCH("Settle", ICE[#Headers], 0))</f>
        <v>27.25</v>
      </c>
      <c r="F24" s="28">
        <f ca="1">INDEX(ICE[], MATCH(F$18 &amp; TEXT(Hvy!$A24, "mmmyy"), ICE[LongCode], 0), MATCH("Settle", ICE[#Headers], 0))</f>
        <v>14.75</v>
      </c>
      <c r="G24" s="28">
        <f ca="1">INDEX(ICE[], MATCH(G$18 &amp; TEXT(Hvy!$A24, "mmmyy"), ICE[LongCode], 0), MATCH("Settle", ICE[#Headers], 0))</f>
        <v>9</v>
      </c>
      <c r="H24" s="28">
        <f ca="1">INDEX(ICE[], MATCH(H$18 &amp; TEXT(Hvy!$A24, "mmmyy"), ICE[LongCode], 0), MATCH("Settle", ICE[#Headers], 0))</f>
        <v>6.4064000000000005</v>
      </c>
      <c r="I24" s="28">
        <f ca="1">INDEX(ICE[], MATCH(I$18 &amp; TEXT(Hvy!$A24, "mmmyy"), ICE[LongCode], 0), MATCH("Settle", ICE[#Headers], 0))</f>
        <v>15.504000000000001</v>
      </c>
      <c r="J24" s="397" t="str">
        <f ca="1">IFERROR(INDEX(ICE[], MATCH("fo35brxbbl" &amp; TEXT(Crd!$A24, "mmmyy"), ICE[LongCode], 0), MATCH("ICE Theoretical Price", ICE[#Headers], 0)), "")</f>
        <v/>
      </c>
      <c r="K24" s="372" t="str">
        <f ca="1">IFERROR(INDEX(ICE[], MATCH("fo35brx" &amp; TEXT(Hvy!$A24, "mmmyy"), ICE[LongCode], 0), MATCH("Text", ICE[#Headers], 0)), "")</f>
        <v xml:space="preserve"> /  </v>
      </c>
      <c r="L24" s="46" t="str">
        <f t="shared" ca="1" si="122"/>
        <v/>
      </c>
      <c r="M24" s="47" t="str">
        <f t="shared" ca="1" si="123"/>
        <v/>
      </c>
      <c r="N24" s="46" t="str">
        <f t="shared" ca="1" si="131"/>
        <v/>
      </c>
      <c r="O24" s="141" t="str">
        <f ca="1">IFERROR(IF(AND(ISNUMBER(Futs!$CC24), ISNUMBER($J24)), (Futs!$CC24 + $J24)*6.35, ""), "")</f>
        <v/>
      </c>
      <c r="P24" s="67" t="str">
        <f ca="1">IFERROR(IF(AND(ISNUMBER(Futs!$CD24), ISNUMBER($L24)), (Futs!$CD24 + $L24)*6.35, ""), "")</f>
        <v/>
      </c>
      <c r="Q24" s="47" t="str">
        <f t="shared" ca="1" si="132"/>
        <v/>
      </c>
      <c r="R24" s="46" t="str">
        <f t="shared" ca="1" si="133"/>
        <v/>
      </c>
      <c r="S24" s="397" t="str">
        <f ca="1">IFERROR(INDEX(ICE[], MATCH("hilo" &amp; TEXT(Crd!$A24, "mmmyy"), ICE[LongCode], 0), MATCH("ICE Theoretical Price", ICE[#Headers], 0)), "")</f>
        <v/>
      </c>
      <c r="T24" s="372" t="str">
        <f ca="1">IFERROR(INDEX(ICE[], MATCH("hilo" &amp; TEXT(Hvy!$A24, "mmmyy"), ICE[LongCode], 0), MATCH("Text", ICE[#Headers], 0)), "")</f>
        <v xml:space="preserve"> /  </v>
      </c>
      <c r="U24" s="46" t="str">
        <f t="shared" ca="1" si="106"/>
        <v/>
      </c>
      <c r="V24" s="47" t="str">
        <f t="shared" ca="1" si="134"/>
        <v/>
      </c>
      <c r="W24" s="114" t="str">
        <f t="shared" ca="1" si="135"/>
        <v/>
      </c>
      <c r="X24" s="49" t="str">
        <f t="shared" ca="1" si="107"/>
        <v/>
      </c>
      <c r="Y24" s="46" t="str">
        <f t="shared" ca="1" si="108"/>
        <v/>
      </c>
      <c r="Z24" s="47" t="str">
        <f t="shared" ca="1" si="136"/>
        <v/>
      </c>
      <c r="AA24" s="111" t="str">
        <f t="shared" ca="1" si="137"/>
        <v/>
      </c>
      <c r="AB24" s="397" t="str">
        <f ca="1">IFERROR(INDEX(ICE[], MATCH("hsfoew" &amp; TEXT(Crd!$A24, "mmmyy"), ICE[LongCode], 0), MATCH("ICE Theoretical Price", ICE[#Headers], 0)), "")</f>
        <v/>
      </c>
      <c r="AC24" s="372" t="str">
        <f ca="1">IFERROR(INDEX(ICE[], MATCH("hsfoew" &amp; TEXT(Hvy!$A24, "mmmyy"), ICE[LongCode], 0), MATCH("Text", ICE[#Headers], 0)), "")</f>
        <v xml:space="preserve"> /  </v>
      </c>
      <c r="AD24" s="46" t="str">
        <f t="shared" ca="1" si="109"/>
        <v/>
      </c>
      <c r="AE24" s="47" t="str">
        <f t="shared" ca="1" si="124"/>
        <v/>
      </c>
      <c r="AF24" s="114" t="str">
        <f t="shared" ca="1" si="125"/>
        <v/>
      </c>
      <c r="AG24" s="141" t="str">
        <f t="shared" ca="1" si="110"/>
        <v/>
      </c>
      <c r="AH24" s="46" t="str">
        <f t="shared" ca="1" si="111"/>
        <v/>
      </c>
      <c r="AI24" s="47" t="str">
        <f t="shared" ca="1" si="126"/>
        <v/>
      </c>
      <c r="AJ24" s="364" t="str">
        <f ca="1">IFERROR(INDEX(ICE[], MATCH("fo380" &amp; TEXT(Crd!$A23, "mmmyy") &amp; "/" &amp; TEXT(Crd!$A24, "mmmyy"), ICE[LongCode], 0), MATCH("Text", ICE[#Headers], 0)), "")</f>
        <v/>
      </c>
      <c r="AK24" s="114" t="str">
        <f t="shared" ca="1" si="127"/>
        <v/>
      </c>
      <c r="AL24" s="49" t="str">
        <f ca="1">IFERROR(IF(AND(ISNUMBER(Futs!$CC24), ISNUMBER($AG24)), $AG24/6.35 - Futs!$CC24, ""), "")</f>
        <v/>
      </c>
      <c r="AM24" s="372" t="str">
        <f ca="1">IFERROR(INDEX(ICE[], MATCH("fo380brx" &amp; TEXT(Hvy!$A24, "mmmyy"), ICE[LongCode], 0), MATCH("Text", ICE[#Headers], 0)), "")</f>
        <v xml:space="preserve"> /  </v>
      </c>
      <c r="AN24" s="46" t="str">
        <f ca="1">IFERROR(IF(AND(ISNUMBER(Futs!$CD24), ISNUMBER($AH24)), $AH24/6.35 - Futs!$CD24, ""), "")</f>
        <v/>
      </c>
      <c r="AO24" s="47" t="str">
        <f t="shared" ca="1" si="138"/>
        <v/>
      </c>
      <c r="AP24" s="114" t="str">
        <f t="shared" ca="1" si="139"/>
        <v/>
      </c>
      <c r="AQ24" s="49" t="str">
        <f ca="1">IFERROR(IF(AND(ISNUMBER(Crd!$X24), ISNUMBER($AG24)), $AG24/6.35 - Crd!$X24, ""), "")</f>
        <v/>
      </c>
      <c r="AR24" s="46" t="str">
        <f ca="1">IFERROR(IF(AND(ISNUMBER(Crd!$Y24), ISNUMBER($AH24)), $AH24/6.35 - Crd!$Y24, ""), "")</f>
        <v/>
      </c>
      <c r="AS24" s="47" t="str">
        <f t="shared" ca="1" si="140"/>
        <v/>
      </c>
      <c r="AT24" s="111" t="str">
        <f t="shared" ca="1" si="141"/>
        <v/>
      </c>
      <c r="AU24" s="397" t="str">
        <f ca="1">IFERROR(INDEX(ICE[], MATCH("visco" &amp; TEXT(Crd!$A24, "mmmyy"), ICE[LongCode], 0), MATCH("ICE Theoretical Price", ICE[#Headers], 0)), "")</f>
        <v/>
      </c>
      <c r="AV24" s="372" t="str">
        <f ca="1">IFERROR(INDEX(ICE[], MATCH("visco" &amp; TEXT(Hvy!$A24, "mmmyy"), ICE[LongCode], 0), MATCH("Text", ICE[#Headers], 0)), "")</f>
        <v xml:space="preserve"> /  </v>
      </c>
      <c r="AW24" s="46" t="str">
        <f t="shared" ca="1" si="112"/>
        <v/>
      </c>
      <c r="AX24" s="47" t="str">
        <f t="shared" ca="1" si="142"/>
        <v/>
      </c>
      <c r="AY24" s="46" t="str">
        <f t="shared" ca="1" si="143"/>
        <v/>
      </c>
      <c r="AZ24" s="141" t="str">
        <f t="shared" ca="1" si="113"/>
        <v/>
      </c>
      <c r="BA24" s="46" t="str">
        <f t="shared" ca="1" si="114"/>
        <v/>
      </c>
      <c r="BB24" s="47" t="str">
        <f t="shared" ca="1" si="144"/>
        <v/>
      </c>
      <c r="BC24" s="114" t="str">
        <f t="shared" ca="1" si="145"/>
        <v/>
      </c>
      <c r="BD24" s="49" t="str">
        <f ca="1">IFERROR(IF(AND(ISNUMBER(Futs!$CC24), ISNUMBER($AZ24)), $AZ24/6.35 - Futs!$CC24, ""), "")</f>
        <v/>
      </c>
      <c r="BE24" s="46" t="str">
        <f ca="1">IFERROR(IF(AND(ISNUMBER(Futs!$CD24), ISNUMBER($BA24)), $BA24/6.35 - Futs!$CD24, ""), "")</f>
        <v/>
      </c>
      <c r="BF24" s="47" t="str">
        <f t="shared" ca="1" si="146"/>
        <v/>
      </c>
      <c r="BG24" s="114" t="str">
        <f t="shared" ca="1" si="147"/>
        <v/>
      </c>
      <c r="BH24" s="49" t="str">
        <f ca="1">IFERROR(IF(AND(ISNUMBER(Crd!$X24), ISNUMBER($AZ24)), $AZ24/6.35 - Crd!$X24, ""), "")</f>
        <v/>
      </c>
      <c r="BI24" s="46" t="str">
        <f ca="1">IFERROR(IF(AND(ISNUMBER(Crd!$Y24), ISNUMBER($BA24)), $BA24/6.35 - Crd!$Y24, ""), "")</f>
        <v/>
      </c>
      <c r="BJ24" s="47" t="str">
        <f t="shared" ca="1" si="148"/>
        <v/>
      </c>
      <c r="BK24" s="111" t="str">
        <f t="shared" ca="1" si="149"/>
        <v/>
      </c>
      <c r="BL24" s="397" t="str">
        <f ca="1">IFERROR(INDEX(ICE[], MATCH("fo05bfrbrxbbl" &amp; TEXT(Crd!$A24, "mmmyy"), ICE[LongCode], 0), MATCH("ICE Theoretical Price", ICE[#Headers], 0)), "")</f>
        <v/>
      </c>
      <c r="BM24" s="372" t="str">
        <f ca="1">IFERROR(INDEX(ICE[], MATCH("fo05bfrbrx" &amp; TEXT(Hvy!$A24, "mmmyy"), ICE[LongCode], 0), MATCH("Text", ICE[#Headers], 0)), "")</f>
        <v xml:space="preserve"> /   |100x</v>
      </c>
      <c r="BN24" s="46" t="str">
        <f t="shared" ca="1" si="115"/>
        <v/>
      </c>
      <c r="BO24" s="47" t="str">
        <f t="shared" ca="1" si="150"/>
        <v/>
      </c>
      <c r="BP24" s="46" t="str">
        <f t="shared" ca="1" si="151"/>
        <v/>
      </c>
      <c r="BQ24" s="141" t="str">
        <f ca="1">IFERROR(IF(AND(ISNUMBER(Futs!$CC24), ISNUMBER($BL24)), (Futs!$CC24 + $BL24)*6.35, ""), "")</f>
        <v/>
      </c>
      <c r="BR24" s="46" t="str">
        <f ca="1">IFERROR(IF(AND(ISNUMBER(Futs!$CD24), ISNUMBER($BN24)), (Futs!$CD24 + $BN24)*6.35, ""), "")</f>
        <v/>
      </c>
      <c r="BS24" s="47" t="str">
        <f t="shared" ca="1" si="152"/>
        <v/>
      </c>
      <c r="BT24" s="114" t="str">
        <f t="shared" ca="1" si="153"/>
        <v/>
      </c>
      <c r="BU24" s="49" t="str">
        <f t="shared" ca="1" si="116"/>
        <v/>
      </c>
      <c r="BV24" s="46" t="str">
        <f t="shared" ca="1" si="117"/>
        <v/>
      </c>
      <c r="BW24" s="47" t="str">
        <f t="shared" ca="1" si="154"/>
        <v/>
      </c>
      <c r="BX24" s="111" t="str">
        <f t="shared" ca="1" si="155"/>
        <v/>
      </c>
      <c r="BY24" s="397" t="str">
        <f ca="1">IFERROR(INDEX(ICE[], MATCH("fo05singbrxmt" &amp; TEXT(Crd!$A24, "mmmyy"), ICE[LongCode], 0), MATCH("ICE Theoretical Price", ICE[#Headers], 0)), "")</f>
        <v/>
      </c>
      <c r="BZ24" s="372" t="str">
        <f ca="1">IFERROR(INDEX(ICE[], MATCH("fo05singbrx" &amp; TEXT(Hvy!$A24, "mmmyy"), ICE[LongCode], 0), MATCH("Text", ICE[#Headers], 0)), "")</f>
        <v xml:space="preserve"> /  </v>
      </c>
      <c r="CA24" s="46" t="str">
        <f t="shared" ca="1" si="118"/>
        <v/>
      </c>
      <c r="CB24" s="47" t="str">
        <f t="shared" ca="1" si="156"/>
        <v/>
      </c>
      <c r="CC24" s="114" t="str">
        <f t="shared" ca="1" si="157"/>
        <v/>
      </c>
      <c r="CD24" s="141" t="str">
        <f ca="1">IFERROR(IF(AND(ISNUMBER(Futs!$CC24), ISNUMBER($BY24)), (Futs!$CC24 + $BY24)*6.35, ""), "")</f>
        <v/>
      </c>
      <c r="CE24" s="46" t="str">
        <f ca="1">IFERROR(IF(AND(ISNUMBER(Futs!$CD24), ISNUMBER($CA24)), (Futs!$CD24 + $CA24)*6.35, ""), "")</f>
        <v/>
      </c>
      <c r="CF24" s="47" t="str">
        <f t="shared" ca="1" si="158"/>
        <v/>
      </c>
      <c r="CG24" s="114" t="str">
        <f t="shared" ca="1" si="159"/>
        <v/>
      </c>
      <c r="CH24" s="141" t="str">
        <f t="shared" ca="1" si="119"/>
        <v/>
      </c>
      <c r="CI24" s="46" t="str">
        <f t="shared" ca="1" si="120"/>
        <v/>
      </c>
      <c r="CJ24" s="47" t="str">
        <f t="shared" ca="1" si="160"/>
        <v/>
      </c>
      <c r="CK24" s="114" t="str">
        <f t="shared" ca="1" si="161"/>
        <v/>
      </c>
      <c r="CL24" s="49" t="str">
        <f t="shared" ca="1" si="128"/>
        <v/>
      </c>
      <c r="CM24" s="46" t="str">
        <f t="shared" ca="1" si="129"/>
        <v/>
      </c>
      <c r="CN24" s="47" t="str">
        <f t="shared" ca="1" si="162"/>
        <v/>
      </c>
      <c r="CO24" s="111" t="str">
        <f t="shared" ca="1" si="163"/>
        <v/>
      </c>
    </row>
    <row r="25" spans="1:93" x14ac:dyDescent="0.25">
      <c r="A25" s="58">
        <f t="shared" ca="1" si="130"/>
        <v>46447</v>
      </c>
      <c r="B25" s="6">
        <f t="shared" ca="1" si="105"/>
        <v>2027</v>
      </c>
      <c r="C25" s="6" t="str">
        <f t="shared" ca="1" si="121"/>
        <v>Q127</v>
      </c>
      <c r="D25" s="28">
        <f ca="1">INDEX(ICE[], MATCH(D$18 &amp; TEXT(Hvy!$A25, "mmmyy"), ICE[LongCode], 0), MATCH("Settle", ICE[#Headers], 0))</f>
        <v>-8.202</v>
      </c>
      <c r="E25" s="28">
        <f ca="1">INDEX(ICE[], MATCH(E$18 &amp; TEXT(Hvy!$A25, "mmmyy"), ICE[LongCode], 0), MATCH("Settle", ICE[#Headers], 0))</f>
        <v>25.25</v>
      </c>
      <c r="F25" s="28">
        <f ca="1">INDEX(ICE[], MATCH(F$18 &amp; TEXT(Hvy!$A25, "mmmyy"), ICE[LongCode], 0), MATCH("Settle", ICE[#Headers], 0))</f>
        <v>14.75</v>
      </c>
      <c r="G25" s="28">
        <f ca="1">INDEX(ICE[], MATCH(G$18 &amp; TEXT(Hvy!$A25, "mmmyy"), ICE[LongCode], 0), MATCH("Settle", ICE[#Headers], 0))</f>
        <v>9.25</v>
      </c>
      <c r="H25" s="28">
        <f ca="1">INDEX(ICE[], MATCH(H$18 &amp; TEXT(Hvy!$A25, "mmmyy"), ICE[LongCode], 0), MATCH("Settle", ICE[#Headers], 0))</f>
        <v>6.4596</v>
      </c>
      <c r="I25" s="28">
        <f ca="1">INDEX(ICE[], MATCH(I$18 &amp; TEXT(Hvy!$A25, "mmmyy"), ICE[LongCode], 0), MATCH("Settle", ICE[#Headers], 0))</f>
        <v>15.281700000000001</v>
      </c>
      <c r="J25" s="397" t="str">
        <f ca="1">IFERROR(INDEX(ICE[], MATCH("fo35brxbbl" &amp; TEXT(Crd!$A25, "mmmyy"), ICE[LongCode], 0), MATCH("ICE Theoretical Price", ICE[#Headers], 0)), "")</f>
        <v/>
      </c>
      <c r="K25" s="372" t="str">
        <f ca="1">IFERROR(INDEX(ICE[], MATCH("fo35brx" &amp; TEXT(Hvy!$A25, "mmmyy"), ICE[LongCode], 0), MATCH("Text", ICE[#Headers], 0)), "")</f>
        <v xml:space="preserve"> /  </v>
      </c>
      <c r="L25" s="46" t="str">
        <f t="shared" ca="1" si="122"/>
        <v/>
      </c>
      <c r="M25" s="47" t="str">
        <f t="shared" ca="1" si="123"/>
        <v/>
      </c>
      <c r="N25" s="46" t="str">
        <f t="shared" ca="1" si="131"/>
        <v/>
      </c>
      <c r="O25" s="141" t="str">
        <f ca="1">IFERROR(IF(AND(ISNUMBER(Futs!$CC25), ISNUMBER($J25)), (Futs!$CC25 + $J25)*6.35, ""), "")</f>
        <v/>
      </c>
      <c r="P25" s="67" t="str">
        <f ca="1">IFERROR(IF(AND(ISNUMBER(Futs!$CD25), ISNUMBER($L25)), (Futs!$CD25 + $L25)*6.35, ""), "")</f>
        <v/>
      </c>
      <c r="Q25" s="47" t="str">
        <f t="shared" ca="1" si="132"/>
        <v/>
      </c>
      <c r="R25" s="46" t="str">
        <f t="shared" ca="1" si="133"/>
        <v/>
      </c>
      <c r="S25" s="397" t="str">
        <f ca="1">IFERROR(INDEX(ICE[], MATCH("hilo" &amp; TEXT(Crd!$A25, "mmmyy"), ICE[LongCode], 0), MATCH("ICE Theoretical Price", ICE[#Headers], 0)), "")</f>
        <v/>
      </c>
      <c r="T25" s="372" t="str">
        <f ca="1">IFERROR(INDEX(ICE[], MATCH("hilo" &amp; TEXT(Hvy!$A25, "mmmyy"), ICE[LongCode], 0), MATCH("Text", ICE[#Headers], 0)), "")</f>
        <v xml:space="preserve"> /  </v>
      </c>
      <c r="U25" s="46" t="str">
        <f t="shared" ca="1" si="106"/>
        <v/>
      </c>
      <c r="V25" s="47" t="str">
        <f t="shared" ca="1" si="134"/>
        <v/>
      </c>
      <c r="W25" s="114" t="str">
        <f t="shared" ca="1" si="135"/>
        <v/>
      </c>
      <c r="X25" s="49" t="str">
        <f t="shared" ca="1" si="107"/>
        <v/>
      </c>
      <c r="Y25" s="46" t="str">
        <f t="shared" ca="1" si="108"/>
        <v/>
      </c>
      <c r="Z25" s="47" t="str">
        <f t="shared" ca="1" si="136"/>
        <v/>
      </c>
      <c r="AA25" s="111" t="str">
        <f t="shared" ca="1" si="137"/>
        <v/>
      </c>
      <c r="AB25" s="397" t="str">
        <f ca="1">IFERROR(INDEX(ICE[], MATCH("hsfoew" &amp; TEXT(Crd!$A25, "mmmyy"), ICE[LongCode], 0), MATCH("ICE Theoretical Price", ICE[#Headers], 0)), "")</f>
        <v/>
      </c>
      <c r="AC25" s="372" t="str">
        <f ca="1">IFERROR(INDEX(ICE[], MATCH("hsfoew" &amp; TEXT(Hvy!$A25, "mmmyy"), ICE[LongCode], 0), MATCH("Text", ICE[#Headers], 0)), "")</f>
        <v xml:space="preserve"> /  </v>
      </c>
      <c r="AD25" s="46" t="str">
        <f t="shared" ca="1" si="109"/>
        <v/>
      </c>
      <c r="AE25" s="47" t="str">
        <f t="shared" ca="1" si="124"/>
        <v/>
      </c>
      <c r="AF25" s="114" t="str">
        <f t="shared" ca="1" si="125"/>
        <v/>
      </c>
      <c r="AG25" s="141" t="str">
        <f t="shared" ca="1" si="110"/>
        <v/>
      </c>
      <c r="AH25" s="46" t="str">
        <f t="shared" ca="1" si="111"/>
        <v/>
      </c>
      <c r="AI25" s="47" t="str">
        <f t="shared" ca="1" si="126"/>
        <v/>
      </c>
      <c r="AJ25" s="364" t="str">
        <f ca="1">IFERROR(INDEX(ICE[], MATCH("fo380" &amp; TEXT(Crd!$A24, "mmmyy") &amp; "/" &amp; TEXT(Crd!$A25, "mmmyy"), ICE[LongCode], 0), MATCH("Text", ICE[#Headers], 0)), "")</f>
        <v/>
      </c>
      <c r="AK25" s="114" t="str">
        <f t="shared" ca="1" si="127"/>
        <v/>
      </c>
      <c r="AL25" s="49" t="str">
        <f ca="1">IFERROR(IF(AND(ISNUMBER(Futs!$CC25), ISNUMBER($AG25)), $AG25/6.35 - Futs!$CC25, ""), "")</f>
        <v/>
      </c>
      <c r="AM25" s="372" t="str">
        <f ca="1">IFERROR(INDEX(ICE[], MATCH("fo380brx" &amp; TEXT(Hvy!$A25, "mmmyy"), ICE[LongCode], 0), MATCH("Text", ICE[#Headers], 0)), "")</f>
        <v xml:space="preserve"> /  </v>
      </c>
      <c r="AN25" s="46" t="str">
        <f ca="1">IFERROR(IF(AND(ISNUMBER(Futs!$CD25), ISNUMBER($AH25)), $AH25/6.35 - Futs!$CD25, ""), "")</f>
        <v/>
      </c>
      <c r="AO25" s="47" t="str">
        <f t="shared" ca="1" si="138"/>
        <v/>
      </c>
      <c r="AP25" s="114" t="str">
        <f t="shared" ca="1" si="139"/>
        <v/>
      </c>
      <c r="AQ25" s="49" t="str">
        <f ca="1">IFERROR(IF(AND(ISNUMBER(Crd!$X25), ISNUMBER($AG25)), $AG25/6.35 - Crd!$X25, ""), "")</f>
        <v/>
      </c>
      <c r="AR25" s="46" t="str">
        <f ca="1">IFERROR(IF(AND(ISNUMBER(Crd!$Y25), ISNUMBER($AH25)), $AH25/6.35 - Crd!$Y25, ""), "")</f>
        <v/>
      </c>
      <c r="AS25" s="47" t="str">
        <f t="shared" ca="1" si="140"/>
        <v/>
      </c>
      <c r="AT25" s="111" t="str">
        <f t="shared" ca="1" si="141"/>
        <v/>
      </c>
      <c r="AU25" s="397" t="str">
        <f ca="1">IFERROR(INDEX(ICE[], MATCH("visco" &amp; TEXT(Crd!$A25, "mmmyy"), ICE[LongCode], 0), MATCH("ICE Theoretical Price", ICE[#Headers], 0)), "")</f>
        <v/>
      </c>
      <c r="AV25" s="372" t="str">
        <f ca="1">IFERROR(INDEX(ICE[], MATCH("visco" &amp; TEXT(Hvy!$A25, "mmmyy"), ICE[LongCode], 0), MATCH("Text", ICE[#Headers], 0)), "")</f>
        <v xml:space="preserve"> /  </v>
      </c>
      <c r="AW25" s="46" t="str">
        <f t="shared" ca="1" si="112"/>
        <v/>
      </c>
      <c r="AX25" s="47" t="str">
        <f t="shared" ca="1" si="142"/>
        <v/>
      </c>
      <c r="AY25" s="46" t="str">
        <f t="shared" ca="1" si="143"/>
        <v/>
      </c>
      <c r="AZ25" s="141" t="str">
        <f t="shared" ca="1" si="113"/>
        <v/>
      </c>
      <c r="BA25" s="46" t="str">
        <f t="shared" ca="1" si="114"/>
        <v/>
      </c>
      <c r="BB25" s="47" t="str">
        <f t="shared" ca="1" si="144"/>
        <v/>
      </c>
      <c r="BC25" s="114" t="str">
        <f t="shared" ca="1" si="145"/>
        <v/>
      </c>
      <c r="BD25" s="49" t="str">
        <f ca="1">IFERROR(IF(AND(ISNUMBER(Futs!$CC25), ISNUMBER($AZ25)), $AZ25/6.35 - Futs!$CC25, ""), "")</f>
        <v/>
      </c>
      <c r="BE25" s="46" t="str">
        <f ca="1">IFERROR(IF(AND(ISNUMBER(Futs!$CD25), ISNUMBER($BA25)), $BA25/6.35 - Futs!$CD25, ""), "")</f>
        <v/>
      </c>
      <c r="BF25" s="47" t="str">
        <f t="shared" ca="1" si="146"/>
        <v/>
      </c>
      <c r="BG25" s="114" t="str">
        <f t="shared" ca="1" si="147"/>
        <v/>
      </c>
      <c r="BH25" s="49" t="str">
        <f ca="1">IFERROR(IF(AND(ISNUMBER(Crd!$X25), ISNUMBER($AZ25)), $AZ25/6.35 - Crd!$X25, ""), "")</f>
        <v/>
      </c>
      <c r="BI25" s="46" t="str">
        <f ca="1">IFERROR(IF(AND(ISNUMBER(Crd!$Y25), ISNUMBER($BA25)), $BA25/6.35 - Crd!$Y25, ""), "")</f>
        <v/>
      </c>
      <c r="BJ25" s="47" t="str">
        <f t="shared" ca="1" si="148"/>
        <v/>
      </c>
      <c r="BK25" s="111" t="str">
        <f t="shared" ca="1" si="149"/>
        <v/>
      </c>
      <c r="BL25" s="397" t="str">
        <f ca="1">IFERROR(INDEX(ICE[], MATCH("fo05bfrbrxbbl" &amp; TEXT(Crd!$A25, "mmmyy"), ICE[LongCode], 0), MATCH("ICE Theoretical Price", ICE[#Headers], 0)), "")</f>
        <v/>
      </c>
      <c r="BM25" s="372" t="str">
        <f ca="1">IFERROR(INDEX(ICE[], MATCH("fo05bfrbrx" &amp; TEXT(Hvy!$A25, "mmmyy"), ICE[LongCode], 0), MATCH("Text", ICE[#Headers], 0)), "")</f>
        <v xml:space="preserve"> /   |100x</v>
      </c>
      <c r="BN25" s="46" t="str">
        <f t="shared" ca="1" si="115"/>
        <v/>
      </c>
      <c r="BO25" s="47" t="str">
        <f t="shared" ca="1" si="150"/>
        <v/>
      </c>
      <c r="BP25" s="46" t="str">
        <f t="shared" ca="1" si="151"/>
        <v/>
      </c>
      <c r="BQ25" s="141" t="str">
        <f ca="1">IFERROR(IF(AND(ISNUMBER(Futs!$CC25), ISNUMBER($BL25)), (Futs!$CC25 + $BL25)*6.35, ""), "")</f>
        <v/>
      </c>
      <c r="BR25" s="46" t="str">
        <f ca="1">IFERROR(IF(AND(ISNUMBER(Futs!$CD25), ISNUMBER($BN25)), (Futs!$CD25 + $BN25)*6.35, ""), "")</f>
        <v/>
      </c>
      <c r="BS25" s="47" t="str">
        <f t="shared" ca="1" si="152"/>
        <v/>
      </c>
      <c r="BT25" s="114" t="str">
        <f t="shared" ca="1" si="153"/>
        <v/>
      </c>
      <c r="BU25" s="49" t="str">
        <f t="shared" ca="1" si="116"/>
        <v/>
      </c>
      <c r="BV25" s="46" t="str">
        <f t="shared" ca="1" si="117"/>
        <v/>
      </c>
      <c r="BW25" s="47" t="str">
        <f t="shared" ca="1" si="154"/>
        <v/>
      </c>
      <c r="BX25" s="111" t="str">
        <f t="shared" ca="1" si="155"/>
        <v/>
      </c>
      <c r="BY25" s="397" t="str">
        <f ca="1">IFERROR(INDEX(ICE[], MATCH("fo05singbrxmt" &amp; TEXT(Crd!$A25, "mmmyy"), ICE[LongCode], 0), MATCH("ICE Theoretical Price", ICE[#Headers], 0)), "")</f>
        <v/>
      </c>
      <c r="BZ25" s="372" t="str">
        <f ca="1">IFERROR(INDEX(ICE[], MATCH("fo05singbrx" &amp; TEXT(Hvy!$A25, "mmmyy"), ICE[LongCode], 0), MATCH("Text", ICE[#Headers], 0)), "")</f>
        <v xml:space="preserve"> /  </v>
      </c>
      <c r="CA25" s="46" t="str">
        <f t="shared" ca="1" si="118"/>
        <v/>
      </c>
      <c r="CB25" s="47" t="str">
        <f t="shared" ca="1" si="156"/>
        <v/>
      </c>
      <c r="CC25" s="114" t="str">
        <f t="shared" ca="1" si="157"/>
        <v/>
      </c>
      <c r="CD25" s="141" t="str">
        <f ca="1">IFERROR(IF(AND(ISNUMBER(Futs!$CC25), ISNUMBER($BY25)), (Futs!$CC25 + $BY25)*6.35, ""), "")</f>
        <v/>
      </c>
      <c r="CE25" s="46" t="str">
        <f ca="1">IFERROR(IF(AND(ISNUMBER(Futs!$CD25), ISNUMBER($CA25)), (Futs!$CD25 + $CA25)*6.35, ""), "")</f>
        <v/>
      </c>
      <c r="CF25" s="47" t="str">
        <f t="shared" ca="1" si="158"/>
        <v/>
      </c>
      <c r="CG25" s="114" t="str">
        <f t="shared" ca="1" si="159"/>
        <v/>
      </c>
      <c r="CH25" s="141" t="str">
        <f t="shared" ca="1" si="119"/>
        <v/>
      </c>
      <c r="CI25" s="46" t="str">
        <f t="shared" ca="1" si="120"/>
        <v/>
      </c>
      <c r="CJ25" s="47" t="str">
        <f t="shared" ca="1" si="160"/>
        <v/>
      </c>
      <c r="CK25" s="114" t="str">
        <f t="shared" ca="1" si="161"/>
        <v/>
      </c>
      <c r="CL25" s="49" t="str">
        <f t="shared" ca="1" si="128"/>
        <v/>
      </c>
      <c r="CM25" s="46" t="str">
        <f t="shared" ca="1" si="129"/>
        <v/>
      </c>
      <c r="CN25" s="47" t="str">
        <f t="shared" ca="1" si="162"/>
        <v/>
      </c>
      <c r="CO25" s="111" t="str">
        <f t="shared" ca="1" si="163"/>
        <v/>
      </c>
    </row>
    <row r="26" spans="1:93" x14ac:dyDescent="0.25">
      <c r="A26" s="58">
        <f t="shared" ca="1" si="130"/>
        <v>46478</v>
      </c>
      <c r="B26" s="6">
        <f t="shared" ca="1" si="105"/>
        <v>2027</v>
      </c>
      <c r="C26" s="6" t="str">
        <f t="shared" ca="1" si="121"/>
        <v>Q227</v>
      </c>
      <c r="D26" s="28">
        <f ca="1">INDEX(ICE[], MATCH(D$18 &amp; TEXT(Hvy!$A26, "mmmyy"), ICE[LongCode], 0), MATCH("Settle", ICE[#Headers], 0))</f>
        <v>-7.8090000000000002</v>
      </c>
      <c r="E26" s="28">
        <f ca="1">INDEX(ICE[], MATCH(E$18 &amp; TEXT(Hvy!$A26, "mmmyy"), ICE[LongCode], 0), MATCH("Settle", ICE[#Headers], 0))</f>
        <v>23.5</v>
      </c>
      <c r="F26" s="28">
        <f ca="1">INDEX(ICE[], MATCH(F$18 &amp; TEXT(Hvy!$A26, "mmmyy"), ICE[LongCode], 0), MATCH("Settle", ICE[#Headers], 0))</f>
        <v>14</v>
      </c>
      <c r="G26" s="28">
        <f ca="1">INDEX(ICE[], MATCH(G$18 &amp; TEXT(Hvy!$A26, "mmmyy"), ICE[LongCode], 0), MATCH("Settle", ICE[#Headers], 0))</f>
        <v>11.25</v>
      </c>
      <c r="H26" s="28">
        <f ca="1">INDEX(ICE[], MATCH(H$18 &amp; TEXT(Hvy!$A26, "mmmyy"), ICE[LongCode], 0), MATCH("Settle", ICE[#Headers], 0))</f>
        <v>6.4584000000000001</v>
      </c>
      <c r="I26" s="28">
        <f ca="1">INDEX(ICE[], MATCH(I$18 &amp; TEXT(Hvy!$A26, "mmmyy"), ICE[LongCode], 0), MATCH("Settle", ICE[#Headers], 0))</f>
        <v>15.083600000000001</v>
      </c>
      <c r="J26" s="397" t="str">
        <f ca="1">IFERROR(INDEX(ICE[], MATCH("fo35brxbbl" &amp; TEXT(Crd!$A26, "mmmyy"), ICE[LongCode], 0), MATCH("ICE Theoretical Price", ICE[#Headers], 0)), "")</f>
        <v/>
      </c>
      <c r="K26" s="372" t="str">
        <f ca="1">IFERROR(INDEX(ICE[], MATCH("fo35brx" &amp; TEXT(Hvy!$A26, "mmmyy"), ICE[LongCode], 0), MATCH("Text", ICE[#Headers], 0)), "")</f>
        <v xml:space="preserve"> /  </v>
      </c>
      <c r="L26" s="46" t="str">
        <f t="shared" ca="1" si="122"/>
        <v/>
      </c>
      <c r="M26" s="47" t="str">
        <f t="shared" ca="1" si="123"/>
        <v/>
      </c>
      <c r="N26" s="46" t="str">
        <f t="shared" ca="1" si="131"/>
        <v/>
      </c>
      <c r="O26" s="141" t="str">
        <f ca="1">IFERROR(IF(AND(ISNUMBER(Futs!$CC26), ISNUMBER($J26)), (Futs!$CC26 + $J26)*6.35, ""), "")</f>
        <v/>
      </c>
      <c r="P26" s="67" t="str">
        <f ca="1">IFERROR(IF(AND(ISNUMBER(Futs!$CD26), ISNUMBER($L26)), (Futs!$CD26 + $L26)*6.35, ""), "")</f>
        <v/>
      </c>
      <c r="Q26" s="47" t="str">
        <f t="shared" ca="1" si="132"/>
        <v/>
      </c>
      <c r="R26" s="46" t="str">
        <f t="shared" ca="1" si="133"/>
        <v/>
      </c>
      <c r="S26" s="397" t="str">
        <f ca="1">IFERROR(INDEX(ICE[], MATCH("hilo" &amp; TEXT(Crd!$A26, "mmmyy"), ICE[LongCode], 0), MATCH("ICE Theoretical Price", ICE[#Headers], 0)), "")</f>
        <v/>
      </c>
      <c r="T26" s="372" t="str">
        <f ca="1">IFERROR(INDEX(ICE[], MATCH("hilo" &amp; TEXT(Hvy!$A26, "mmmyy"), ICE[LongCode], 0), MATCH("Text", ICE[#Headers], 0)), "")</f>
        <v xml:space="preserve"> /  </v>
      </c>
      <c r="U26" s="46" t="str">
        <f t="shared" ca="1" si="106"/>
        <v/>
      </c>
      <c r="V26" s="47" t="str">
        <f t="shared" ca="1" si="134"/>
        <v/>
      </c>
      <c r="W26" s="114" t="str">
        <f t="shared" ca="1" si="135"/>
        <v/>
      </c>
      <c r="X26" s="49" t="str">
        <f t="shared" ca="1" si="107"/>
        <v/>
      </c>
      <c r="Y26" s="46" t="str">
        <f t="shared" ca="1" si="108"/>
        <v/>
      </c>
      <c r="Z26" s="47" t="str">
        <f t="shared" ca="1" si="136"/>
        <v/>
      </c>
      <c r="AA26" s="111" t="str">
        <f t="shared" ca="1" si="137"/>
        <v/>
      </c>
      <c r="AB26" s="397" t="str">
        <f ca="1">IFERROR(INDEX(ICE[], MATCH("hsfoew" &amp; TEXT(Crd!$A26, "mmmyy"), ICE[LongCode], 0), MATCH("ICE Theoretical Price", ICE[#Headers], 0)), "")</f>
        <v/>
      </c>
      <c r="AC26" s="372" t="str">
        <f ca="1">IFERROR(INDEX(ICE[], MATCH("hsfoew" &amp; TEXT(Hvy!$A26, "mmmyy"), ICE[LongCode], 0), MATCH("Text", ICE[#Headers], 0)), "")</f>
        <v xml:space="preserve"> /  </v>
      </c>
      <c r="AD26" s="46" t="str">
        <f t="shared" ca="1" si="109"/>
        <v/>
      </c>
      <c r="AE26" s="47" t="str">
        <f t="shared" ca="1" si="124"/>
        <v/>
      </c>
      <c r="AF26" s="114" t="str">
        <f t="shared" ca="1" si="125"/>
        <v/>
      </c>
      <c r="AG26" s="141" t="str">
        <f t="shared" ca="1" si="110"/>
        <v/>
      </c>
      <c r="AH26" s="46" t="str">
        <f t="shared" ca="1" si="111"/>
        <v/>
      </c>
      <c r="AI26" s="47" t="str">
        <f t="shared" ca="1" si="126"/>
        <v/>
      </c>
      <c r="AJ26" s="364" t="str">
        <f ca="1">IFERROR(INDEX(ICE[], MATCH("fo380" &amp; TEXT(Crd!$A25, "mmmyy") &amp; "/" &amp; TEXT(Crd!$A26, "mmmyy"), ICE[LongCode], 0), MATCH("Text", ICE[#Headers], 0)), "")</f>
        <v/>
      </c>
      <c r="AK26" s="114" t="str">
        <f t="shared" ca="1" si="127"/>
        <v/>
      </c>
      <c r="AL26" s="49" t="str">
        <f ca="1">IFERROR(IF(AND(ISNUMBER(Futs!$CC26), ISNUMBER($AG26)), $AG26/6.35 - Futs!$CC26, ""), "")</f>
        <v/>
      </c>
      <c r="AM26" s="372" t="str">
        <f ca="1">IFERROR(INDEX(ICE[], MATCH("fo380brx" &amp; TEXT(Hvy!$A26, "mmmyy"), ICE[LongCode], 0), MATCH("Text", ICE[#Headers], 0)), "")</f>
        <v xml:space="preserve"> /   |1x</v>
      </c>
      <c r="AN26" s="46" t="str">
        <f ca="1">IFERROR(IF(AND(ISNUMBER(Futs!$CD26), ISNUMBER($AH26)), $AH26/6.35 - Futs!$CD26, ""), "")</f>
        <v/>
      </c>
      <c r="AO26" s="47" t="str">
        <f t="shared" ca="1" si="138"/>
        <v/>
      </c>
      <c r="AP26" s="114" t="str">
        <f t="shared" ca="1" si="139"/>
        <v/>
      </c>
      <c r="AQ26" s="49" t="str">
        <f ca="1">IFERROR(IF(AND(ISNUMBER(Crd!$X26), ISNUMBER($AG26)), $AG26/6.35 - Crd!$X26, ""), "")</f>
        <v/>
      </c>
      <c r="AR26" s="46" t="str">
        <f ca="1">IFERROR(IF(AND(ISNUMBER(Crd!$Y26), ISNUMBER($AH26)), $AH26/6.35 - Crd!$Y26, ""), "")</f>
        <v/>
      </c>
      <c r="AS26" s="47" t="str">
        <f t="shared" ca="1" si="140"/>
        <v/>
      </c>
      <c r="AT26" s="111" t="str">
        <f t="shared" ca="1" si="141"/>
        <v/>
      </c>
      <c r="AU26" s="397" t="str">
        <f ca="1">IFERROR(INDEX(ICE[], MATCH("visco" &amp; TEXT(Crd!$A26, "mmmyy"), ICE[LongCode], 0), MATCH("ICE Theoretical Price", ICE[#Headers], 0)), "")</f>
        <v/>
      </c>
      <c r="AV26" s="372" t="str">
        <f ca="1">IFERROR(INDEX(ICE[], MATCH("visco" &amp; TEXT(Hvy!$A26, "mmmyy"), ICE[LongCode], 0), MATCH("Text", ICE[#Headers], 0)), "")</f>
        <v xml:space="preserve"> /  </v>
      </c>
      <c r="AW26" s="46" t="str">
        <f t="shared" ca="1" si="112"/>
        <v/>
      </c>
      <c r="AX26" s="47" t="str">
        <f t="shared" ca="1" si="142"/>
        <v/>
      </c>
      <c r="AY26" s="46" t="str">
        <f t="shared" ca="1" si="143"/>
        <v/>
      </c>
      <c r="AZ26" s="141" t="str">
        <f t="shared" ca="1" si="113"/>
        <v/>
      </c>
      <c r="BA26" s="46" t="str">
        <f t="shared" ca="1" si="114"/>
        <v/>
      </c>
      <c r="BB26" s="47" t="str">
        <f t="shared" ca="1" si="144"/>
        <v/>
      </c>
      <c r="BC26" s="114" t="str">
        <f t="shared" ca="1" si="145"/>
        <v/>
      </c>
      <c r="BD26" s="49" t="str">
        <f ca="1">IFERROR(IF(AND(ISNUMBER(Futs!$CC26), ISNUMBER($AZ26)), $AZ26/6.35 - Futs!$CC26, ""), "")</f>
        <v/>
      </c>
      <c r="BE26" s="46" t="str">
        <f ca="1">IFERROR(IF(AND(ISNUMBER(Futs!$CD26), ISNUMBER($BA26)), $BA26/6.35 - Futs!$CD26, ""), "")</f>
        <v/>
      </c>
      <c r="BF26" s="47" t="str">
        <f t="shared" ca="1" si="146"/>
        <v/>
      </c>
      <c r="BG26" s="114" t="str">
        <f t="shared" ca="1" si="147"/>
        <v/>
      </c>
      <c r="BH26" s="49" t="str">
        <f ca="1">IFERROR(IF(AND(ISNUMBER(Crd!$X26), ISNUMBER($AZ26)), $AZ26/6.35 - Crd!$X26, ""), "")</f>
        <v/>
      </c>
      <c r="BI26" s="46" t="str">
        <f ca="1">IFERROR(IF(AND(ISNUMBER(Crd!$Y26), ISNUMBER($BA26)), $BA26/6.35 - Crd!$Y26, ""), "")</f>
        <v/>
      </c>
      <c r="BJ26" s="47" t="str">
        <f t="shared" ca="1" si="148"/>
        <v/>
      </c>
      <c r="BK26" s="111" t="str">
        <f t="shared" ca="1" si="149"/>
        <v/>
      </c>
      <c r="BL26" s="397" t="str">
        <f ca="1">IFERROR(INDEX(ICE[], MATCH("fo05bfrbrxbbl" &amp; TEXT(Crd!$A26, "mmmyy"), ICE[LongCode], 0), MATCH("ICE Theoretical Price", ICE[#Headers], 0)), "")</f>
        <v/>
      </c>
      <c r="BM26" s="372" t="str">
        <f ca="1">IFERROR(INDEX(ICE[], MATCH("fo05bfrbrx" &amp; TEXT(Hvy!$A26, "mmmyy"), ICE[LongCode], 0), MATCH("Text", ICE[#Headers], 0)), "")</f>
        <v xml:space="preserve"> /   |100x</v>
      </c>
      <c r="BN26" s="46" t="str">
        <f t="shared" ca="1" si="115"/>
        <v/>
      </c>
      <c r="BO26" s="47" t="str">
        <f t="shared" ca="1" si="150"/>
        <v/>
      </c>
      <c r="BP26" s="46" t="str">
        <f t="shared" ca="1" si="151"/>
        <v/>
      </c>
      <c r="BQ26" s="141" t="str">
        <f ca="1">IFERROR(IF(AND(ISNUMBER(Futs!$CC26), ISNUMBER($BL26)), (Futs!$CC26 + $BL26)*6.35, ""), "")</f>
        <v/>
      </c>
      <c r="BR26" s="46" t="str">
        <f ca="1">IFERROR(IF(AND(ISNUMBER(Futs!$CD26), ISNUMBER($BN26)), (Futs!$CD26 + $BN26)*6.35, ""), "")</f>
        <v/>
      </c>
      <c r="BS26" s="47" t="str">
        <f t="shared" ca="1" si="152"/>
        <v/>
      </c>
      <c r="BT26" s="114" t="str">
        <f t="shared" ca="1" si="153"/>
        <v/>
      </c>
      <c r="BU26" s="49" t="str">
        <f t="shared" ca="1" si="116"/>
        <v/>
      </c>
      <c r="BV26" s="46" t="str">
        <f t="shared" ca="1" si="117"/>
        <v/>
      </c>
      <c r="BW26" s="47" t="str">
        <f t="shared" ca="1" si="154"/>
        <v/>
      </c>
      <c r="BX26" s="111" t="str">
        <f t="shared" ca="1" si="155"/>
        <v/>
      </c>
      <c r="BY26" s="397" t="str">
        <f ca="1">IFERROR(INDEX(ICE[], MATCH("fo05singbrxmt" &amp; TEXT(Crd!$A26, "mmmyy"), ICE[LongCode], 0), MATCH("ICE Theoretical Price", ICE[#Headers], 0)), "")</f>
        <v/>
      </c>
      <c r="BZ26" s="372" t="str">
        <f ca="1">IFERROR(INDEX(ICE[], MATCH("fo05singbrx" &amp; TEXT(Hvy!$A26, "mmmyy"), ICE[LongCode], 0), MATCH("Text", ICE[#Headers], 0)), "")</f>
        <v xml:space="preserve"> /  </v>
      </c>
      <c r="CA26" s="46" t="str">
        <f t="shared" ca="1" si="118"/>
        <v/>
      </c>
      <c r="CB26" s="47" t="str">
        <f t="shared" ca="1" si="156"/>
        <v/>
      </c>
      <c r="CC26" s="114" t="str">
        <f t="shared" ca="1" si="157"/>
        <v/>
      </c>
      <c r="CD26" s="141" t="str">
        <f ca="1">IFERROR(IF(AND(ISNUMBER(Futs!$CC26), ISNUMBER($BY26)), (Futs!$CC26 + $BY26)*6.35, ""), "")</f>
        <v/>
      </c>
      <c r="CE26" s="46" t="str">
        <f ca="1">IFERROR(IF(AND(ISNUMBER(Futs!$CD26), ISNUMBER($CA26)), (Futs!$CD26 + $CA26)*6.35, ""), "")</f>
        <v/>
      </c>
      <c r="CF26" s="47" t="str">
        <f t="shared" ca="1" si="158"/>
        <v/>
      </c>
      <c r="CG26" s="114" t="str">
        <f t="shared" ca="1" si="159"/>
        <v/>
      </c>
      <c r="CH26" s="141" t="str">
        <f t="shared" ca="1" si="119"/>
        <v/>
      </c>
      <c r="CI26" s="46" t="str">
        <f t="shared" ca="1" si="120"/>
        <v/>
      </c>
      <c r="CJ26" s="47" t="str">
        <f t="shared" ca="1" si="160"/>
        <v/>
      </c>
      <c r="CK26" s="114" t="str">
        <f t="shared" ca="1" si="161"/>
        <v/>
      </c>
      <c r="CL26" s="49" t="str">
        <f t="shared" ca="1" si="128"/>
        <v/>
      </c>
      <c r="CM26" s="46" t="str">
        <f t="shared" ca="1" si="129"/>
        <v/>
      </c>
      <c r="CN26" s="47" t="str">
        <f t="shared" ca="1" si="162"/>
        <v/>
      </c>
      <c r="CO26" s="111" t="str">
        <f t="shared" ca="1" si="163"/>
        <v/>
      </c>
    </row>
    <row r="27" spans="1:93" x14ac:dyDescent="0.25">
      <c r="A27" s="58">
        <f t="shared" ca="1" si="130"/>
        <v>46508</v>
      </c>
      <c r="B27" s="6">
        <f t="shared" ca="1" si="105"/>
        <v>2027</v>
      </c>
      <c r="C27" s="6" t="str">
        <f t="shared" ca="1" si="121"/>
        <v>Q227</v>
      </c>
      <c r="D27" s="28">
        <f ca="1">INDEX(ICE[], MATCH(D$18 &amp; TEXT(Hvy!$A27, "mmmyy"), ICE[LongCode], 0), MATCH("Settle", ICE[#Headers], 0))</f>
        <v>-7.5010000000000003</v>
      </c>
      <c r="E27" s="28">
        <f ca="1">INDEX(ICE[], MATCH(E$18 &amp; TEXT(Hvy!$A27, "mmmyy"), ICE[LongCode], 0), MATCH("Settle", ICE[#Headers], 0))</f>
        <v>22</v>
      </c>
      <c r="F27" s="28">
        <f ca="1">INDEX(ICE[], MATCH(F$18 &amp; TEXT(Hvy!$A27, "mmmyy"), ICE[LongCode], 0), MATCH("Settle", ICE[#Headers], 0))</f>
        <v>13.5</v>
      </c>
      <c r="G27" s="28">
        <f ca="1">INDEX(ICE[], MATCH(G$18 &amp; TEXT(Hvy!$A27, "mmmyy"), ICE[LongCode], 0), MATCH("Settle", ICE[#Headers], 0))</f>
        <v>11.25</v>
      </c>
      <c r="H27" s="28">
        <f ca="1">INDEX(ICE[], MATCH(H$18 &amp; TEXT(Hvy!$A27, "mmmyy"), ICE[LongCode], 0), MATCH("Settle", ICE[#Headers], 0))</f>
        <v>6.4916</v>
      </c>
      <c r="I27" s="28">
        <f ca="1">INDEX(ICE[], MATCH(I$18 &amp; TEXT(Hvy!$A27, "mmmyy"), ICE[LongCode], 0), MATCH("Settle", ICE[#Headers], 0))</f>
        <v>14.880600000000001</v>
      </c>
      <c r="J27" s="397" t="str">
        <f ca="1">IFERROR(INDEX(ICE[], MATCH("fo35brxbbl" &amp; TEXT(Crd!$A27, "mmmyy"), ICE[LongCode], 0), MATCH("ICE Theoretical Price", ICE[#Headers], 0)), "")</f>
        <v/>
      </c>
      <c r="K27" s="372" t="str">
        <f ca="1">IFERROR(INDEX(ICE[], MATCH("fo35brx" &amp; TEXT(Hvy!$A27, "mmmyy"), ICE[LongCode], 0), MATCH("Text", ICE[#Headers], 0)), "")</f>
        <v xml:space="preserve"> /  </v>
      </c>
      <c r="L27" s="46" t="str">
        <f t="shared" ca="1" si="122"/>
        <v/>
      </c>
      <c r="M27" s="47" t="str">
        <f t="shared" ca="1" si="123"/>
        <v/>
      </c>
      <c r="N27" s="46" t="str">
        <f t="shared" ca="1" si="131"/>
        <v/>
      </c>
      <c r="O27" s="141" t="str">
        <f ca="1">IFERROR(IF(AND(ISNUMBER(Futs!$CC27), ISNUMBER($J27)), (Futs!$CC27 + $J27)*6.35, ""), "")</f>
        <v/>
      </c>
      <c r="P27" s="67" t="str">
        <f ca="1">IFERROR(IF(AND(ISNUMBER(Futs!$CD27), ISNUMBER($L27)), (Futs!$CD27 + $L27)*6.35, ""), "")</f>
        <v/>
      </c>
      <c r="Q27" s="47" t="str">
        <f t="shared" ca="1" si="132"/>
        <v/>
      </c>
      <c r="R27" s="46" t="str">
        <f t="shared" ca="1" si="133"/>
        <v/>
      </c>
      <c r="S27" s="397" t="str">
        <f ca="1">IFERROR(INDEX(ICE[], MATCH("hilo" &amp; TEXT(Crd!$A27, "mmmyy"), ICE[LongCode], 0), MATCH("ICE Theoretical Price", ICE[#Headers], 0)), "")</f>
        <v/>
      </c>
      <c r="T27" s="372" t="str">
        <f ca="1">IFERROR(INDEX(ICE[], MATCH("hilo" &amp; TEXT(Hvy!$A27, "mmmyy"), ICE[LongCode], 0), MATCH("Text", ICE[#Headers], 0)), "")</f>
        <v xml:space="preserve"> /  </v>
      </c>
      <c r="U27" s="46" t="str">
        <f t="shared" ca="1" si="106"/>
        <v/>
      </c>
      <c r="V27" s="47" t="str">
        <f t="shared" ca="1" si="134"/>
        <v/>
      </c>
      <c r="W27" s="114" t="str">
        <f t="shared" ca="1" si="135"/>
        <v/>
      </c>
      <c r="X27" s="49" t="str">
        <f t="shared" ca="1" si="107"/>
        <v/>
      </c>
      <c r="Y27" s="46" t="str">
        <f t="shared" ca="1" si="108"/>
        <v/>
      </c>
      <c r="Z27" s="47" t="str">
        <f t="shared" ca="1" si="136"/>
        <v/>
      </c>
      <c r="AA27" s="111" t="str">
        <f t="shared" ca="1" si="137"/>
        <v/>
      </c>
      <c r="AB27" s="397" t="str">
        <f ca="1">IFERROR(INDEX(ICE[], MATCH("hsfoew" &amp; TEXT(Crd!$A27, "mmmyy"), ICE[LongCode], 0), MATCH("ICE Theoretical Price", ICE[#Headers], 0)), "")</f>
        <v/>
      </c>
      <c r="AC27" s="372" t="str">
        <f ca="1">IFERROR(INDEX(ICE[], MATCH("hsfoew" &amp; TEXT(Hvy!$A27, "mmmyy"), ICE[LongCode], 0), MATCH("Text", ICE[#Headers], 0)), "")</f>
        <v xml:space="preserve"> /  </v>
      </c>
      <c r="AD27" s="46" t="str">
        <f t="shared" ca="1" si="109"/>
        <v/>
      </c>
      <c r="AE27" s="47" t="str">
        <f t="shared" ca="1" si="124"/>
        <v/>
      </c>
      <c r="AF27" s="114" t="str">
        <f t="shared" ca="1" si="125"/>
        <v/>
      </c>
      <c r="AG27" s="141" t="str">
        <f t="shared" ca="1" si="110"/>
        <v/>
      </c>
      <c r="AH27" s="46" t="str">
        <f t="shared" ca="1" si="111"/>
        <v/>
      </c>
      <c r="AI27" s="47" t="str">
        <f t="shared" ca="1" si="126"/>
        <v/>
      </c>
      <c r="AJ27" s="364" t="str">
        <f ca="1">IFERROR(INDEX(ICE[], MATCH("fo380" &amp; TEXT(Crd!$A26, "mmmyy") &amp; "/" &amp; TEXT(Crd!$A27, "mmmyy"), ICE[LongCode], 0), MATCH("Text", ICE[#Headers], 0)), "")</f>
        <v/>
      </c>
      <c r="AK27" s="114" t="str">
        <f t="shared" ca="1" si="127"/>
        <v/>
      </c>
      <c r="AL27" s="49" t="str">
        <f ca="1">IFERROR(IF(AND(ISNUMBER(Futs!$CC27), ISNUMBER($AG27)), $AG27/6.35 - Futs!$CC27, ""), "")</f>
        <v/>
      </c>
      <c r="AM27" s="372" t="str">
        <f ca="1">IFERROR(INDEX(ICE[], MATCH("fo380brx" &amp; TEXT(Hvy!$A27, "mmmyy"), ICE[LongCode], 0), MATCH("Text", ICE[#Headers], 0)), "")</f>
        <v xml:space="preserve"> /   |1x</v>
      </c>
      <c r="AN27" s="46" t="str">
        <f ca="1">IFERROR(IF(AND(ISNUMBER(Futs!$CD27), ISNUMBER($AH27)), $AH27/6.35 - Futs!$CD27, ""), "")</f>
        <v/>
      </c>
      <c r="AO27" s="47" t="str">
        <f t="shared" ca="1" si="138"/>
        <v/>
      </c>
      <c r="AP27" s="114" t="str">
        <f t="shared" ca="1" si="139"/>
        <v/>
      </c>
      <c r="AQ27" s="49" t="str">
        <f ca="1">IFERROR(IF(AND(ISNUMBER(Crd!$X27), ISNUMBER($AG27)), $AG27/6.35 - Crd!$X27, ""), "")</f>
        <v/>
      </c>
      <c r="AR27" s="46" t="str">
        <f ca="1">IFERROR(IF(AND(ISNUMBER(Crd!$Y27), ISNUMBER($AH27)), $AH27/6.35 - Crd!$Y27, ""), "")</f>
        <v/>
      </c>
      <c r="AS27" s="47" t="str">
        <f t="shared" ca="1" si="140"/>
        <v/>
      </c>
      <c r="AT27" s="111" t="str">
        <f t="shared" ca="1" si="141"/>
        <v/>
      </c>
      <c r="AU27" s="397" t="str">
        <f ca="1">IFERROR(INDEX(ICE[], MATCH("visco" &amp; TEXT(Crd!$A27, "mmmyy"), ICE[LongCode], 0), MATCH("ICE Theoretical Price", ICE[#Headers], 0)), "")</f>
        <v/>
      </c>
      <c r="AV27" s="372" t="str">
        <f ca="1">IFERROR(INDEX(ICE[], MATCH("visco" &amp; TEXT(Hvy!$A27, "mmmyy"), ICE[LongCode], 0), MATCH("Text", ICE[#Headers], 0)), "")</f>
        <v xml:space="preserve"> /  </v>
      </c>
      <c r="AW27" s="46" t="str">
        <f t="shared" ca="1" si="112"/>
        <v/>
      </c>
      <c r="AX27" s="47" t="str">
        <f t="shared" ca="1" si="142"/>
        <v/>
      </c>
      <c r="AY27" s="46" t="str">
        <f t="shared" ca="1" si="143"/>
        <v/>
      </c>
      <c r="AZ27" s="141" t="str">
        <f t="shared" ca="1" si="113"/>
        <v/>
      </c>
      <c r="BA27" s="46" t="str">
        <f t="shared" ca="1" si="114"/>
        <v/>
      </c>
      <c r="BB27" s="47" t="str">
        <f t="shared" ca="1" si="144"/>
        <v/>
      </c>
      <c r="BC27" s="114" t="str">
        <f t="shared" ca="1" si="145"/>
        <v/>
      </c>
      <c r="BD27" s="49" t="str">
        <f ca="1">IFERROR(IF(AND(ISNUMBER(Futs!$CC27), ISNUMBER($AZ27)), $AZ27/6.35 - Futs!$CC27, ""), "")</f>
        <v/>
      </c>
      <c r="BE27" s="46" t="str">
        <f ca="1">IFERROR(IF(AND(ISNUMBER(Futs!$CD27), ISNUMBER($BA27)), $BA27/6.35 - Futs!$CD27, ""), "")</f>
        <v/>
      </c>
      <c r="BF27" s="47" t="str">
        <f t="shared" ca="1" si="146"/>
        <v/>
      </c>
      <c r="BG27" s="114" t="str">
        <f t="shared" ca="1" si="147"/>
        <v/>
      </c>
      <c r="BH27" s="49" t="str">
        <f ca="1">IFERROR(IF(AND(ISNUMBER(Crd!$X27), ISNUMBER($AZ27)), $AZ27/6.35 - Crd!$X27, ""), "")</f>
        <v/>
      </c>
      <c r="BI27" s="46" t="str">
        <f ca="1">IFERROR(IF(AND(ISNUMBER(Crd!$Y27), ISNUMBER($BA27)), $BA27/6.35 - Crd!$Y27, ""), "")</f>
        <v/>
      </c>
      <c r="BJ27" s="47" t="str">
        <f t="shared" ca="1" si="148"/>
        <v/>
      </c>
      <c r="BK27" s="111" t="str">
        <f t="shared" ca="1" si="149"/>
        <v/>
      </c>
      <c r="BL27" s="397" t="str">
        <f ca="1">IFERROR(INDEX(ICE[], MATCH("fo05bfrbrxbbl" &amp; TEXT(Crd!$A27, "mmmyy"), ICE[LongCode], 0), MATCH("ICE Theoretical Price", ICE[#Headers], 0)), "")</f>
        <v/>
      </c>
      <c r="BM27" s="372" t="str">
        <f ca="1">IFERROR(INDEX(ICE[], MATCH("fo05bfrbrx" &amp; TEXT(Hvy!$A27, "mmmyy"), ICE[LongCode], 0), MATCH("Text", ICE[#Headers], 0)), "")</f>
        <v xml:space="preserve"> /   |100x</v>
      </c>
      <c r="BN27" s="46" t="str">
        <f t="shared" ca="1" si="115"/>
        <v/>
      </c>
      <c r="BO27" s="47" t="str">
        <f t="shared" ca="1" si="150"/>
        <v/>
      </c>
      <c r="BP27" s="46" t="str">
        <f t="shared" ca="1" si="151"/>
        <v/>
      </c>
      <c r="BQ27" s="141" t="str">
        <f ca="1">IFERROR(IF(AND(ISNUMBER(Futs!$CC27), ISNUMBER($BL27)), (Futs!$CC27 + $BL27)*6.35, ""), "")</f>
        <v/>
      </c>
      <c r="BR27" s="46" t="str">
        <f ca="1">IFERROR(IF(AND(ISNUMBER(Futs!$CD27), ISNUMBER($BN27)), (Futs!$CD27 + $BN27)*6.35, ""), "")</f>
        <v/>
      </c>
      <c r="BS27" s="47" t="str">
        <f t="shared" ca="1" si="152"/>
        <v/>
      </c>
      <c r="BT27" s="114" t="str">
        <f t="shared" ca="1" si="153"/>
        <v/>
      </c>
      <c r="BU27" s="49" t="str">
        <f t="shared" ca="1" si="116"/>
        <v/>
      </c>
      <c r="BV27" s="46" t="str">
        <f t="shared" ca="1" si="117"/>
        <v/>
      </c>
      <c r="BW27" s="47" t="str">
        <f t="shared" ca="1" si="154"/>
        <v/>
      </c>
      <c r="BX27" s="111" t="str">
        <f t="shared" ca="1" si="155"/>
        <v/>
      </c>
      <c r="BY27" s="397" t="str">
        <f ca="1">IFERROR(INDEX(ICE[], MATCH("fo05singbrxmt" &amp; TEXT(Crd!$A27, "mmmyy"), ICE[LongCode], 0), MATCH("ICE Theoretical Price", ICE[#Headers], 0)), "")</f>
        <v/>
      </c>
      <c r="BZ27" s="372" t="str">
        <f ca="1">IFERROR(INDEX(ICE[], MATCH("fo05singbrx" &amp; TEXT(Hvy!$A27, "mmmyy"), ICE[LongCode], 0), MATCH("Text", ICE[#Headers], 0)), "")</f>
        <v xml:space="preserve"> /  </v>
      </c>
      <c r="CA27" s="46" t="str">
        <f t="shared" ca="1" si="118"/>
        <v/>
      </c>
      <c r="CB27" s="47" t="str">
        <f t="shared" ca="1" si="156"/>
        <v/>
      </c>
      <c r="CC27" s="114" t="str">
        <f t="shared" ca="1" si="157"/>
        <v/>
      </c>
      <c r="CD27" s="141" t="str">
        <f ca="1">IFERROR(IF(AND(ISNUMBER(Futs!$CC27), ISNUMBER($BY27)), (Futs!$CC27 + $BY27)*6.35, ""), "")</f>
        <v/>
      </c>
      <c r="CE27" s="46" t="str">
        <f ca="1">IFERROR(IF(AND(ISNUMBER(Futs!$CD27), ISNUMBER($CA27)), (Futs!$CD27 + $CA27)*6.35, ""), "")</f>
        <v/>
      </c>
      <c r="CF27" s="47" t="str">
        <f t="shared" ca="1" si="158"/>
        <v/>
      </c>
      <c r="CG27" s="114" t="str">
        <f t="shared" ca="1" si="159"/>
        <v/>
      </c>
      <c r="CH27" s="141" t="str">
        <f t="shared" ca="1" si="119"/>
        <v/>
      </c>
      <c r="CI27" s="46" t="str">
        <f t="shared" ca="1" si="120"/>
        <v/>
      </c>
      <c r="CJ27" s="47" t="str">
        <f t="shared" ca="1" si="160"/>
        <v/>
      </c>
      <c r="CK27" s="114" t="str">
        <f t="shared" ca="1" si="161"/>
        <v/>
      </c>
      <c r="CL27" s="49" t="str">
        <f t="shared" ca="1" si="128"/>
        <v/>
      </c>
      <c r="CM27" s="46" t="str">
        <f t="shared" ca="1" si="129"/>
        <v/>
      </c>
      <c r="CN27" s="47" t="str">
        <f t="shared" ca="1" si="162"/>
        <v/>
      </c>
      <c r="CO27" s="111" t="str">
        <f t="shared" ca="1" si="163"/>
        <v/>
      </c>
    </row>
    <row r="28" spans="1:93" x14ac:dyDescent="0.25">
      <c r="A28" s="58">
        <f t="shared" ca="1" si="130"/>
        <v>46539</v>
      </c>
      <c r="B28" s="6">
        <f t="shared" ca="1" si="105"/>
        <v>2027</v>
      </c>
      <c r="C28" s="6" t="str">
        <f t="shared" ca="1" si="121"/>
        <v>Q227</v>
      </c>
      <c r="D28" s="28">
        <f ca="1">INDEX(ICE[], MATCH(D$18 &amp; TEXT(Hvy!$A28, "mmmyy"), ICE[LongCode], 0), MATCH("Settle", ICE[#Headers], 0))</f>
        <v>-7.46</v>
      </c>
      <c r="E28" s="28">
        <f ca="1">INDEX(ICE[], MATCH(E$18 &amp; TEXT(Hvy!$A28, "mmmyy"), ICE[LongCode], 0), MATCH("Settle", ICE[#Headers], 0))</f>
        <v>20.75</v>
      </c>
      <c r="F28" s="28">
        <f ca="1">INDEX(ICE[], MATCH(F$18 &amp; TEXT(Hvy!$A28, "mmmyy"), ICE[LongCode], 0), MATCH("Settle", ICE[#Headers], 0))</f>
        <v>13</v>
      </c>
      <c r="G28" s="28">
        <f ca="1">INDEX(ICE[], MATCH(G$18 &amp; TEXT(Hvy!$A28, "mmmyy"), ICE[LongCode], 0), MATCH("Settle", ICE[#Headers], 0))</f>
        <v>11.25</v>
      </c>
      <c r="H28" s="28">
        <f ca="1">INDEX(ICE[], MATCH(H$18 &amp; TEXT(Hvy!$A28, "mmmyy"), ICE[LongCode], 0), MATCH("Settle", ICE[#Headers], 0))</f>
        <v>6.3742000000000001</v>
      </c>
      <c r="I28" s="28">
        <f ca="1">INDEX(ICE[], MATCH(I$18 &amp; TEXT(Hvy!$A28, "mmmyy"), ICE[LongCode], 0), MATCH("Settle", ICE[#Headers], 0))</f>
        <v>14.605700000000001</v>
      </c>
      <c r="J28" s="397" t="str">
        <f ca="1">IFERROR(INDEX(ICE[], MATCH("fo35brxbbl" &amp; TEXT(Crd!$A28, "mmmyy"), ICE[LongCode], 0), MATCH("ICE Theoretical Price", ICE[#Headers], 0)), "")</f>
        <v/>
      </c>
      <c r="K28" s="372" t="str">
        <f ca="1">IFERROR(INDEX(ICE[], MATCH("fo35brx" &amp; TEXT(Hvy!$A28, "mmmyy"), ICE[LongCode], 0), MATCH("Text", ICE[#Headers], 0)), "")</f>
        <v xml:space="preserve"> /  </v>
      </c>
      <c r="L28" s="46" t="str">
        <f t="shared" ca="1" si="122"/>
        <v/>
      </c>
      <c r="M28" s="47" t="str">
        <f t="shared" ca="1" si="123"/>
        <v/>
      </c>
      <c r="N28" s="46" t="str">
        <f t="shared" ca="1" si="131"/>
        <v/>
      </c>
      <c r="O28" s="141" t="str">
        <f ca="1">IFERROR(IF(AND(ISNUMBER(Futs!$CC28), ISNUMBER($J28)), (Futs!$CC28 + $J28)*6.35, ""), "")</f>
        <v/>
      </c>
      <c r="P28" s="67" t="str">
        <f ca="1">IFERROR(IF(AND(ISNUMBER(Futs!$CD28), ISNUMBER($L28)), (Futs!$CD28 + $L28)*6.35, ""), "")</f>
        <v/>
      </c>
      <c r="Q28" s="47" t="str">
        <f t="shared" ca="1" si="132"/>
        <v/>
      </c>
      <c r="R28" s="46" t="str">
        <f t="shared" ca="1" si="133"/>
        <v/>
      </c>
      <c r="S28" s="397" t="str">
        <f ca="1">IFERROR(INDEX(ICE[], MATCH("hilo" &amp; TEXT(Crd!$A28, "mmmyy"), ICE[LongCode], 0), MATCH("ICE Theoretical Price", ICE[#Headers], 0)), "")</f>
        <v/>
      </c>
      <c r="T28" s="372" t="str">
        <f ca="1">IFERROR(INDEX(ICE[], MATCH("hilo" &amp; TEXT(Hvy!$A28, "mmmyy"), ICE[LongCode], 0), MATCH("Text", ICE[#Headers], 0)), "")</f>
        <v xml:space="preserve"> /  </v>
      </c>
      <c r="U28" s="46" t="str">
        <f t="shared" ca="1" si="106"/>
        <v/>
      </c>
      <c r="V28" s="47" t="str">
        <f t="shared" ca="1" si="134"/>
        <v/>
      </c>
      <c r="W28" s="114" t="str">
        <f t="shared" ca="1" si="135"/>
        <v/>
      </c>
      <c r="X28" s="49" t="str">
        <f t="shared" ca="1" si="107"/>
        <v/>
      </c>
      <c r="Y28" s="46" t="str">
        <f t="shared" ca="1" si="108"/>
        <v/>
      </c>
      <c r="Z28" s="47" t="str">
        <f t="shared" ca="1" si="136"/>
        <v/>
      </c>
      <c r="AA28" s="111" t="str">
        <f t="shared" ca="1" si="137"/>
        <v/>
      </c>
      <c r="AB28" s="397" t="str">
        <f ca="1">IFERROR(INDEX(ICE[], MATCH("hsfoew" &amp; TEXT(Crd!$A28, "mmmyy"), ICE[LongCode], 0), MATCH("ICE Theoretical Price", ICE[#Headers], 0)), "")</f>
        <v/>
      </c>
      <c r="AC28" s="372" t="str">
        <f ca="1">IFERROR(INDEX(ICE[], MATCH("hsfoew" &amp; TEXT(Hvy!$A28, "mmmyy"), ICE[LongCode], 0), MATCH("Text", ICE[#Headers], 0)), "")</f>
        <v xml:space="preserve"> /  </v>
      </c>
      <c r="AD28" s="46" t="str">
        <f t="shared" ca="1" si="109"/>
        <v/>
      </c>
      <c r="AE28" s="47" t="str">
        <f t="shared" ca="1" si="124"/>
        <v/>
      </c>
      <c r="AF28" s="114" t="str">
        <f t="shared" ca="1" si="125"/>
        <v/>
      </c>
      <c r="AG28" s="141" t="str">
        <f t="shared" ca="1" si="110"/>
        <v/>
      </c>
      <c r="AH28" s="46" t="str">
        <f t="shared" ca="1" si="111"/>
        <v/>
      </c>
      <c r="AI28" s="47" t="str">
        <f t="shared" ca="1" si="126"/>
        <v/>
      </c>
      <c r="AJ28" s="364" t="str">
        <f ca="1">IFERROR(INDEX(ICE[], MATCH("fo380" &amp; TEXT(Crd!$A27, "mmmyy") &amp; "/" &amp; TEXT(Crd!$A28, "mmmyy"), ICE[LongCode], 0), MATCH("Text", ICE[#Headers], 0)), "")</f>
        <v/>
      </c>
      <c r="AK28" s="114" t="str">
        <f t="shared" ca="1" si="127"/>
        <v/>
      </c>
      <c r="AL28" s="49" t="str">
        <f ca="1">IFERROR(IF(AND(ISNUMBER(Futs!$CC28), ISNUMBER($AG28)), $AG28/6.35 - Futs!$CC28, ""), "")</f>
        <v/>
      </c>
      <c r="AM28" s="372" t="str">
        <f ca="1">IFERROR(INDEX(ICE[], MATCH("fo380brx" &amp; TEXT(Hvy!$A28, "mmmyy"), ICE[LongCode], 0), MATCH("Text", ICE[#Headers], 0)), "")</f>
        <v xml:space="preserve"> /   |1x</v>
      </c>
      <c r="AN28" s="46" t="str">
        <f ca="1">IFERROR(IF(AND(ISNUMBER(Futs!$CD28), ISNUMBER($AH28)), $AH28/6.35 - Futs!$CD28, ""), "")</f>
        <v/>
      </c>
      <c r="AO28" s="47" t="str">
        <f t="shared" ca="1" si="138"/>
        <v/>
      </c>
      <c r="AP28" s="114" t="str">
        <f t="shared" ca="1" si="139"/>
        <v/>
      </c>
      <c r="AQ28" s="49" t="str">
        <f ca="1">IFERROR(IF(AND(ISNUMBER(Crd!$X28), ISNUMBER($AG28)), $AG28/6.35 - Crd!$X28, ""), "")</f>
        <v/>
      </c>
      <c r="AR28" s="46" t="str">
        <f ca="1">IFERROR(IF(AND(ISNUMBER(Crd!$Y28), ISNUMBER($AH28)), $AH28/6.35 - Crd!$Y28, ""), "")</f>
        <v/>
      </c>
      <c r="AS28" s="47" t="str">
        <f t="shared" ca="1" si="140"/>
        <v/>
      </c>
      <c r="AT28" s="111" t="str">
        <f t="shared" ca="1" si="141"/>
        <v/>
      </c>
      <c r="AU28" s="397" t="str">
        <f ca="1">IFERROR(INDEX(ICE[], MATCH("visco" &amp; TEXT(Crd!$A28, "mmmyy"), ICE[LongCode], 0), MATCH("ICE Theoretical Price", ICE[#Headers], 0)), "")</f>
        <v/>
      </c>
      <c r="AV28" s="372" t="str">
        <f ca="1">IFERROR(INDEX(ICE[], MATCH("visco" &amp; TEXT(Hvy!$A28, "mmmyy"), ICE[LongCode], 0), MATCH("Text", ICE[#Headers], 0)), "")</f>
        <v xml:space="preserve"> /  </v>
      </c>
      <c r="AW28" s="46" t="str">
        <f t="shared" ca="1" si="112"/>
        <v/>
      </c>
      <c r="AX28" s="47" t="str">
        <f t="shared" ca="1" si="142"/>
        <v/>
      </c>
      <c r="AY28" s="46" t="str">
        <f t="shared" ca="1" si="143"/>
        <v/>
      </c>
      <c r="AZ28" s="141" t="str">
        <f t="shared" ca="1" si="113"/>
        <v/>
      </c>
      <c r="BA28" s="46" t="str">
        <f t="shared" ca="1" si="114"/>
        <v/>
      </c>
      <c r="BB28" s="47" t="str">
        <f t="shared" ca="1" si="144"/>
        <v/>
      </c>
      <c r="BC28" s="114" t="str">
        <f t="shared" ca="1" si="145"/>
        <v/>
      </c>
      <c r="BD28" s="49" t="str">
        <f ca="1">IFERROR(IF(AND(ISNUMBER(Futs!$CC28), ISNUMBER($AZ28)), $AZ28/6.35 - Futs!$CC28, ""), "")</f>
        <v/>
      </c>
      <c r="BE28" s="46" t="str">
        <f ca="1">IFERROR(IF(AND(ISNUMBER(Futs!$CD28), ISNUMBER($BA28)), $BA28/6.35 - Futs!$CD28, ""), "")</f>
        <v/>
      </c>
      <c r="BF28" s="47" t="str">
        <f t="shared" ca="1" si="146"/>
        <v/>
      </c>
      <c r="BG28" s="114" t="str">
        <f t="shared" ca="1" si="147"/>
        <v/>
      </c>
      <c r="BH28" s="49" t="str">
        <f ca="1">IFERROR(IF(AND(ISNUMBER(Crd!$X28), ISNUMBER($AZ28)), $AZ28/6.35 - Crd!$X28, ""), "")</f>
        <v/>
      </c>
      <c r="BI28" s="46" t="str">
        <f ca="1">IFERROR(IF(AND(ISNUMBER(Crd!$Y28), ISNUMBER($BA28)), $BA28/6.35 - Crd!$Y28, ""), "")</f>
        <v/>
      </c>
      <c r="BJ28" s="47" t="str">
        <f t="shared" ca="1" si="148"/>
        <v/>
      </c>
      <c r="BK28" s="111" t="str">
        <f t="shared" ca="1" si="149"/>
        <v/>
      </c>
      <c r="BL28" s="397" t="str">
        <f ca="1">IFERROR(INDEX(ICE[], MATCH("fo05bfrbrxbbl" &amp; TEXT(Crd!$A28, "mmmyy"), ICE[LongCode], 0), MATCH("ICE Theoretical Price", ICE[#Headers], 0)), "")</f>
        <v/>
      </c>
      <c r="BM28" s="372" t="str">
        <f ca="1">IFERROR(INDEX(ICE[], MATCH("fo05bfrbrx" &amp; TEXT(Hvy!$A28, "mmmyy"), ICE[LongCode], 0), MATCH("Text", ICE[#Headers], 0)), "")</f>
        <v xml:space="preserve"> /   |100x</v>
      </c>
      <c r="BN28" s="46" t="str">
        <f t="shared" ca="1" si="115"/>
        <v/>
      </c>
      <c r="BO28" s="47" t="str">
        <f t="shared" ca="1" si="150"/>
        <v/>
      </c>
      <c r="BP28" s="46" t="str">
        <f t="shared" ca="1" si="151"/>
        <v/>
      </c>
      <c r="BQ28" s="141" t="str">
        <f ca="1">IFERROR(IF(AND(ISNUMBER(Futs!$CC28), ISNUMBER($BL28)), (Futs!$CC28 + $BL28)*6.35, ""), "")</f>
        <v/>
      </c>
      <c r="BR28" s="46" t="str">
        <f ca="1">IFERROR(IF(AND(ISNUMBER(Futs!$CD28), ISNUMBER($BN28)), (Futs!$CD28 + $BN28)*6.35, ""), "")</f>
        <v/>
      </c>
      <c r="BS28" s="47" t="str">
        <f t="shared" ca="1" si="152"/>
        <v/>
      </c>
      <c r="BT28" s="114" t="str">
        <f t="shared" ca="1" si="153"/>
        <v/>
      </c>
      <c r="BU28" s="49" t="str">
        <f t="shared" ca="1" si="116"/>
        <v/>
      </c>
      <c r="BV28" s="46" t="str">
        <f t="shared" ca="1" si="117"/>
        <v/>
      </c>
      <c r="BW28" s="47" t="str">
        <f t="shared" ca="1" si="154"/>
        <v/>
      </c>
      <c r="BX28" s="111" t="str">
        <f t="shared" ca="1" si="155"/>
        <v/>
      </c>
      <c r="BY28" s="397" t="str">
        <f ca="1">IFERROR(INDEX(ICE[], MATCH("fo05singbrxmt" &amp; TEXT(Crd!$A28, "mmmyy"), ICE[LongCode], 0), MATCH("ICE Theoretical Price", ICE[#Headers], 0)), "")</f>
        <v/>
      </c>
      <c r="BZ28" s="372" t="str">
        <f ca="1">IFERROR(INDEX(ICE[], MATCH("fo05singbrx" &amp; TEXT(Hvy!$A28, "mmmyy"), ICE[LongCode], 0), MATCH("Text", ICE[#Headers], 0)), "")</f>
        <v xml:space="preserve"> /  </v>
      </c>
      <c r="CA28" s="46" t="str">
        <f t="shared" ca="1" si="118"/>
        <v/>
      </c>
      <c r="CB28" s="47" t="str">
        <f t="shared" ca="1" si="156"/>
        <v/>
      </c>
      <c r="CC28" s="114" t="str">
        <f t="shared" ca="1" si="157"/>
        <v/>
      </c>
      <c r="CD28" s="141" t="str">
        <f ca="1">IFERROR(IF(AND(ISNUMBER(Futs!$CC28), ISNUMBER($BY28)), (Futs!$CC28 + $BY28)*6.35, ""), "")</f>
        <v/>
      </c>
      <c r="CE28" s="46" t="str">
        <f ca="1">IFERROR(IF(AND(ISNUMBER(Futs!$CD28), ISNUMBER($CA28)), (Futs!$CD28 + $CA28)*6.35, ""), "")</f>
        <v/>
      </c>
      <c r="CF28" s="47" t="str">
        <f t="shared" ca="1" si="158"/>
        <v/>
      </c>
      <c r="CG28" s="114" t="str">
        <f t="shared" ca="1" si="159"/>
        <v/>
      </c>
      <c r="CH28" s="141" t="str">
        <f t="shared" ca="1" si="119"/>
        <v/>
      </c>
      <c r="CI28" s="46" t="str">
        <f t="shared" ca="1" si="120"/>
        <v/>
      </c>
      <c r="CJ28" s="47" t="str">
        <f t="shared" ca="1" si="160"/>
        <v/>
      </c>
      <c r="CK28" s="114" t="str">
        <f t="shared" ca="1" si="161"/>
        <v/>
      </c>
      <c r="CL28" s="49" t="str">
        <f t="shared" ca="1" si="128"/>
        <v/>
      </c>
      <c r="CM28" s="46" t="str">
        <f t="shared" ca="1" si="129"/>
        <v/>
      </c>
      <c r="CN28" s="47" t="str">
        <f t="shared" ca="1" si="162"/>
        <v/>
      </c>
      <c r="CO28" s="111" t="str">
        <f t="shared" ca="1" si="163"/>
        <v/>
      </c>
    </row>
    <row r="29" spans="1:93" x14ac:dyDescent="0.25">
      <c r="A29" s="58">
        <f t="shared" ca="1" si="130"/>
        <v>46569</v>
      </c>
      <c r="B29" s="6">
        <f t="shared" ca="1" si="105"/>
        <v>2027</v>
      </c>
      <c r="C29" s="6" t="str">
        <f t="shared" ca="1" si="121"/>
        <v>Q327</v>
      </c>
      <c r="D29" s="28">
        <f ca="1">INDEX(ICE[], MATCH(D$18 &amp; TEXT(Hvy!$A29, "mmmyy"), ICE[LongCode], 0), MATCH("Settle", ICE[#Headers], 0))</f>
        <v>-7.5130000000000008</v>
      </c>
      <c r="E29" s="28">
        <f ca="1">INDEX(ICE[], MATCH(E$18 &amp; TEXT(Hvy!$A29, "mmmyy"), ICE[LongCode], 0), MATCH("Settle", ICE[#Headers], 0))</f>
        <v>19.75</v>
      </c>
      <c r="F29" s="28">
        <f ca="1">INDEX(ICE[], MATCH(F$18 &amp; TEXT(Hvy!$A29, "mmmyy"), ICE[LongCode], 0), MATCH("Settle", ICE[#Headers], 0))</f>
        <v>12.75</v>
      </c>
      <c r="G29" s="28">
        <f ca="1">INDEX(ICE[], MATCH(G$18 &amp; TEXT(Hvy!$A29, "mmmyy"), ICE[LongCode], 0), MATCH("Settle", ICE[#Headers], 0))</f>
        <v>12</v>
      </c>
      <c r="H29" s="28">
        <f ca="1">INDEX(ICE[], MATCH(H$18 &amp; TEXT(Hvy!$A29, "mmmyy"), ICE[LongCode], 0), MATCH("Settle", ICE[#Headers], 0))</f>
        <v>6.2038000000000002</v>
      </c>
      <c r="I29" s="28">
        <f ca="1">INDEX(ICE[], MATCH(I$18 &amp; TEXT(Hvy!$A29, "mmmyy"), ICE[LongCode], 0), MATCH("Settle", ICE[#Headers], 0))</f>
        <v>14.395900000000001</v>
      </c>
      <c r="J29" s="397" t="str">
        <f ca="1">IFERROR(INDEX(ICE[], MATCH("fo35brxbbl" &amp; TEXT(Crd!$A29, "mmmyy"), ICE[LongCode], 0), MATCH("ICE Theoretical Price", ICE[#Headers], 0)), "")</f>
        <v/>
      </c>
      <c r="K29" s="372" t="str">
        <f ca="1">IFERROR(INDEX(ICE[], MATCH("fo35brx" &amp; TEXT(Hvy!$A29, "mmmyy"), ICE[LongCode], 0), MATCH("Text", ICE[#Headers], 0)), "")</f>
        <v xml:space="preserve"> /  </v>
      </c>
      <c r="L29" s="46" t="str">
        <f t="shared" ca="1" si="122"/>
        <v/>
      </c>
      <c r="M29" s="47" t="str">
        <f t="shared" ca="1" si="123"/>
        <v/>
      </c>
      <c r="N29" s="46" t="str">
        <f t="shared" ca="1" si="131"/>
        <v/>
      </c>
      <c r="O29" s="141" t="str">
        <f ca="1">IFERROR(IF(AND(ISNUMBER(Futs!$CC29), ISNUMBER($J29)), (Futs!$CC29 + $J29)*6.35, ""), "")</f>
        <v/>
      </c>
      <c r="P29" s="67" t="str">
        <f ca="1">IFERROR(IF(AND(ISNUMBER(Futs!$CD29), ISNUMBER($L29)), (Futs!$CD29 + $L29)*6.35, ""), "")</f>
        <v/>
      </c>
      <c r="Q29" s="47" t="str">
        <f t="shared" ca="1" si="132"/>
        <v/>
      </c>
      <c r="R29" s="46" t="str">
        <f t="shared" ca="1" si="133"/>
        <v/>
      </c>
      <c r="S29" s="397" t="str">
        <f ca="1">IFERROR(INDEX(ICE[], MATCH("hilo" &amp; TEXT(Crd!$A29, "mmmyy"), ICE[LongCode], 0), MATCH("ICE Theoretical Price", ICE[#Headers], 0)), "")</f>
        <v/>
      </c>
      <c r="T29" s="372" t="str">
        <f ca="1">IFERROR(INDEX(ICE[], MATCH("hilo" &amp; TEXT(Hvy!$A29, "mmmyy"), ICE[LongCode], 0), MATCH("Text", ICE[#Headers], 0)), "")</f>
        <v xml:space="preserve"> /  </v>
      </c>
      <c r="U29" s="46" t="str">
        <f t="shared" ca="1" si="106"/>
        <v/>
      </c>
      <c r="V29" s="47" t="str">
        <f t="shared" ca="1" si="134"/>
        <v/>
      </c>
      <c r="W29" s="114" t="str">
        <f t="shared" ca="1" si="135"/>
        <v/>
      </c>
      <c r="X29" s="49" t="str">
        <f t="shared" ca="1" si="107"/>
        <v/>
      </c>
      <c r="Y29" s="46" t="str">
        <f t="shared" ca="1" si="108"/>
        <v/>
      </c>
      <c r="Z29" s="47" t="str">
        <f t="shared" ca="1" si="136"/>
        <v/>
      </c>
      <c r="AA29" s="111" t="str">
        <f t="shared" ca="1" si="137"/>
        <v/>
      </c>
      <c r="AB29" s="397" t="str">
        <f ca="1">IFERROR(INDEX(ICE[], MATCH("hsfoew" &amp; TEXT(Crd!$A29, "mmmyy"), ICE[LongCode], 0), MATCH("ICE Theoretical Price", ICE[#Headers], 0)), "")</f>
        <v/>
      </c>
      <c r="AC29" s="372" t="str">
        <f ca="1">IFERROR(INDEX(ICE[], MATCH("hsfoew" &amp; TEXT(Hvy!$A29, "mmmyy"), ICE[LongCode], 0), MATCH("Text", ICE[#Headers], 0)), "")</f>
        <v xml:space="preserve"> /  </v>
      </c>
      <c r="AD29" s="46" t="str">
        <f t="shared" ca="1" si="109"/>
        <v/>
      </c>
      <c r="AE29" s="47" t="str">
        <f t="shared" ca="1" si="124"/>
        <v/>
      </c>
      <c r="AF29" s="114" t="str">
        <f t="shared" ca="1" si="125"/>
        <v/>
      </c>
      <c r="AG29" s="141" t="str">
        <f t="shared" ca="1" si="110"/>
        <v/>
      </c>
      <c r="AH29" s="46" t="str">
        <f t="shared" ca="1" si="111"/>
        <v/>
      </c>
      <c r="AI29" s="47" t="str">
        <f t="shared" ca="1" si="126"/>
        <v/>
      </c>
      <c r="AJ29" s="364" t="str">
        <f ca="1">IFERROR(INDEX(ICE[], MATCH("fo380" &amp; TEXT(Crd!$A28, "mmmyy") &amp; "/" &amp; TEXT(Crd!$A29, "mmmyy"), ICE[LongCode], 0), MATCH("Text", ICE[#Headers], 0)), "")</f>
        <v/>
      </c>
      <c r="AK29" s="114" t="str">
        <f t="shared" ca="1" si="127"/>
        <v/>
      </c>
      <c r="AL29" s="49" t="str">
        <f ca="1">IFERROR(IF(AND(ISNUMBER(Futs!$CC29), ISNUMBER($AG29)), $AG29/6.35 - Futs!$CC29, ""), "")</f>
        <v/>
      </c>
      <c r="AM29" s="372" t="str">
        <f ca="1">IFERROR(INDEX(ICE[], MATCH("fo380brx" &amp; TEXT(Hvy!$A29, "mmmyy"), ICE[LongCode], 0), MATCH("Text", ICE[#Headers], 0)), "")</f>
        <v xml:space="preserve"> /  </v>
      </c>
      <c r="AN29" s="46" t="str">
        <f ca="1">IFERROR(IF(AND(ISNUMBER(Futs!$CD29), ISNUMBER($AH29)), $AH29/6.35 - Futs!$CD29, ""), "")</f>
        <v/>
      </c>
      <c r="AO29" s="47" t="str">
        <f t="shared" ca="1" si="138"/>
        <v/>
      </c>
      <c r="AP29" s="114" t="str">
        <f t="shared" ca="1" si="139"/>
        <v/>
      </c>
      <c r="AQ29" s="49" t="str">
        <f ca="1">IFERROR(IF(AND(ISNUMBER(Crd!$X29), ISNUMBER($AG29)), $AG29/6.35 - Crd!$X29, ""), "")</f>
        <v/>
      </c>
      <c r="AR29" s="46" t="str">
        <f ca="1">IFERROR(IF(AND(ISNUMBER(Crd!$Y29), ISNUMBER($AH29)), $AH29/6.35 - Crd!$Y29, ""), "")</f>
        <v/>
      </c>
      <c r="AS29" s="47" t="str">
        <f t="shared" ca="1" si="140"/>
        <v/>
      </c>
      <c r="AT29" s="111" t="str">
        <f t="shared" ca="1" si="141"/>
        <v/>
      </c>
      <c r="AU29" s="397" t="str">
        <f ca="1">IFERROR(INDEX(ICE[], MATCH("visco" &amp; TEXT(Crd!$A29, "mmmyy"), ICE[LongCode], 0), MATCH("ICE Theoretical Price", ICE[#Headers], 0)), "")</f>
        <v/>
      </c>
      <c r="AV29" s="372" t="str">
        <f ca="1">IFERROR(INDEX(ICE[], MATCH("visco" &amp; TEXT(Hvy!$A29, "mmmyy"), ICE[LongCode], 0), MATCH("Text", ICE[#Headers], 0)), "")</f>
        <v xml:space="preserve"> /  </v>
      </c>
      <c r="AW29" s="46" t="str">
        <f t="shared" ca="1" si="112"/>
        <v/>
      </c>
      <c r="AX29" s="47" t="str">
        <f t="shared" ca="1" si="142"/>
        <v/>
      </c>
      <c r="AY29" s="46" t="str">
        <f t="shared" ca="1" si="143"/>
        <v/>
      </c>
      <c r="AZ29" s="141" t="str">
        <f t="shared" ca="1" si="113"/>
        <v/>
      </c>
      <c r="BA29" s="46" t="str">
        <f t="shared" ca="1" si="114"/>
        <v/>
      </c>
      <c r="BB29" s="47" t="str">
        <f t="shared" ca="1" si="144"/>
        <v/>
      </c>
      <c r="BC29" s="114" t="str">
        <f t="shared" ca="1" si="145"/>
        <v/>
      </c>
      <c r="BD29" s="49" t="str">
        <f ca="1">IFERROR(IF(AND(ISNUMBER(Futs!$CC29), ISNUMBER($AZ29)), $AZ29/6.35 - Futs!$CC29, ""), "")</f>
        <v/>
      </c>
      <c r="BE29" s="46" t="str">
        <f ca="1">IFERROR(IF(AND(ISNUMBER(Futs!$CD29), ISNUMBER($BA29)), $BA29/6.35 - Futs!$CD29, ""), "")</f>
        <v/>
      </c>
      <c r="BF29" s="47" t="str">
        <f t="shared" ca="1" si="146"/>
        <v/>
      </c>
      <c r="BG29" s="114" t="str">
        <f t="shared" ca="1" si="147"/>
        <v/>
      </c>
      <c r="BH29" s="49" t="str">
        <f ca="1">IFERROR(IF(AND(ISNUMBER(Crd!$X29), ISNUMBER($AZ29)), $AZ29/6.35 - Crd!$X29, ""), "")</f>
        <v/>
      </c>
      <c r="BI29" s="46" t="str">
        <f ca="1">IFERROR(IF(AND(ISNUMBER(Crd!$Y29), ISNUMBER($BA29)), $BA29/6.35 - Crd!$Y29, ""), "")</f>
        <v/>
      </c>
      <c r="BJ29" s="47" t="str">
        <f t="shared" ca="1" si="148"/>
        <v/>
      </c>
      <c r="BK29" s="111" t="str">
        <f t="shared" ca="1" si="149"/>
        <v/>
      </c>
      <c r="BL29" s="397" t="str">
        <f ca="1">IFERROR(INDEX(ICE[], MATCH("fo05bfrbrxbbl" &amp; TEXT(Crd!$A29, "mmmyy"), ICE[LongCode], 0), MATCH("ICE Theoretical Price", ICE[#Headers], 0)), "")</f>
        <v/>
      </c>
      <c r="BM29" s="372" t="str">
        <f ca="1">IFERROR(INDEX(ICE[], MATCH("fo05bfrbrx" &amp; TEXT(Hvy!$A29, "mmmyy"), ICE[LongCode], 0), MATCH("Text", ICE[#Headers], 0)), "")</f>
        <v xml:space="preserve"> /  </v>
      </c>
      <c r="BN29" s="46" t="str">
        <f t="shared" ca="1" si="115"/>
        <v/>
      </c>
      <c r="BO29" s="47" t="str">
        <f t="shared" ca="1" si="150"/>
        <v/>
      </c>
      <c r="BP29" s="46" t="str">
        <f t="shared" ca="1" si="151"/>
        <v/>
      </c>
      <c r="BQ29" s="141" t="str">
        <f ca="1">IFERROR(IF(AND(ISNUMBER(Futs!$CC29), ISNUMBER($BL29)), (Futs!$CC29 + $BL29)*6.35, ""), "")</f>
        <v/>
      </c>
      <c r="BR29" s="46" t="str">
        <f ca="1">IFERROR(IF(AND(ISNUMBER(Futs!$CD29), ISNUMBER($BN29)), (Futs!$CD29 + $BN29)*6.35, ""), "")</f>
        <v/>
      </c>
      <c r="BS29" s="47" t="str">
        <f t="shared" ca="1" si="152"/>
        <v/>
      </c>
      <c r="BT29" s="114" t="str">
        <f t="shared" ca="1" si="153"/>
        <v/>
      </c>
      <c r="BU29" s="49" t="str">
        <f t="shared" ca="1" si="116"/>
        <v/>
      </c>
      <c r="BV29" s="46" t="str">
        <f t="shared" ca="1" si="117"/>
        <v/>
      </c>
      <c r="BW29" s="47" t="str">
        <f t="shared" ca="1" si="154"/>
        <v/>
      </c>
      <c r="BX29" s="111" t="str">
        <f t="shared" ca="1" si="155"/>
        <v/>
      </c>
      <c r="BY29" s="397" t="str">
        <f ca="1">IFERROR(INDEX(ICE[], MATCH("fo05singbrxmt" &amp; TEXT(Crd!$A29, "mmmyy"), ICE[LongCode], 0), MATCH("ICE Theoretical Price", ICE[#Headers], 0)), "")</f>
        <v/>
      </c>
      <c r="BZ29" s="372" t="str">
        <f ca="1">IFERROR(INDEX(ICE[], MATCH("fo05singbrx" &amp; TEXT(Hvy!$A29, "mmmyy"), ICE[LongCode], 0), MATCH("Text", ICE[#Headers], 0)), "")</f>
        <v xml:space="preserve"> /  </v>
      </c>
      <c r="CA29" s="46" t="str">
        <f t="shared" ca="1" si="118"/>
        <v/>
      </c>
      <c r="CB29" s="47" t="str">
        <f t="shared" ca="1" si="156"/>
        <v/>
      </c>
      <c r="CC29" s="114" t="str">
        <f t="shared" ca="1" si="157"/>
        <v/>
      </c>
      <c r="CD29" s="141" t="str">
        <f ca="1">IFERROR(IF(AND(ISNUMBER(Futs!$CC29), ISNUMBER($BY29)), (Futs!$CC29 + $BY29)*6.35, ""), "")</f>
        <v/>
      </c>
      <c r="CE29" s="46" t="str">
        <f ca="1">IFERROR(IF(AND(ISNUMBER(Futs!$CD29), ISNUMBER($CA29)), (Futs!$CD29 + $CA29)*6.35, ""), "")</f>
        <v/>
      </c>
      <c r="CF29" s="47" t="str">
        <f t="shared" ca="1" si="158"/>
        <v/>
      </c>
      <c r="CG29" s="114" t="str">
        <f t="shared" ca="1" si="159"/>
        <v/>
      </c>
      <c r="CH29" s="141" t="str">
        <f t="shared" ca="1" si="119"/>
        <v/>
      </c>
      <c r="CI29" s="46" t="str">
        <f t="shared" ca="1" si="120"/>
        <v/>
      </c>
      <c r="CJ29" s="47" t="str">
        <f t="shared" ca="1" si="160"/>
        <v/>
      </c>
      <c r="CK29" s="114" t="str">
        <f t="shared" ca="1" si="161"/>
        <v/>
      </c>
      <c r="CL29" s="49" t="str">
        <f t="shared" ca="1" si="128"/>
        <v/>
      </c>
      <c r="CM29" s="46" t="str">
        <f t="shared" ca="1" si="129"/>
        <v/>
      </c>
      <c r="CN29" s="47" t="str">
        <f t="shared" ca="1" si="162"/>
        <v/>
      </c>
      <c r="CO29" s="111" t="str">
        <f t="shared" ca="1" si="163"/>
        <v/>
      </c>
    </row>
    <row r="30" spans="1:93" x14ac:dyDescent="0.25">
      <c r="A30" s="58">
        <f t="shared" ca="1" si="130"/>
        <v>46600</v>
      </c>
      <c r="B30" s="6">
        <f t="shared" ca="1" si="105"/>
        <v>2027</v>
      </c>
      <c r="C30" s="6" t="str">
        <f t="shared" ca="1" si="121"/>
        <v>Q327</v>
      </c>
      <c r="D30" s="28">
        <f ca="1">INDEX(ICE[], MATCH(D$18 &amp; TEXT(Hvy!$A30, "mmmyy"), ICE[LongCode], 0), MATCH("Settle", ICE[#Headers], 0))</f>
        <v>-7.6840000000000002</v>
      </c>
      <c r="E30" s="28">
        <f ca="1">INDEX(ICE[], MATCH(E$18 &amp; TEXT(Hvy!$A30, "mmmyy"), ICE[LongCode], 0), MATCH("Settle", ICE[#Headers], 0))</f>
        <v>18.75</v>
      </c>
      <c r="F30" s="28">
        <f ca="1">INDEX(ICE[], MATCH(F$18 &amp; TEXT(Hvy!$A30, "mmmyy"), ICE[LongCode], 0), MATCH("Settle", ICE[#Headers], 0))</f>
        <v>12.75</v>
      </c>
      <c r="G30" s="28">
        <f ca="1">INDEX(ICE[], MATCH(G$18 &amp; TEXT(Hvy!$A30, "mmmyy"), ICE[LongCode], 0), MATCH("Settle", ICE[#Headers], 0))</f>
        <v>12</v>
      </c>
      <c r="H30" s="28">
        <f ca="1">INDEX(ICE[], MATCH(H$18 &amp; TEXT(Hvy!$A30, "mmmyy"), ICE[LongCode], 0), MATCH("Settle", ICE[#Headers], 0))</f>
        <v>5.9534000000000002</v>
      </c>
      <c r="I30" s="28">
        <f ca="1">INDEX(ICE[], MATCH(I$18 &amp; TEXT(Hvy!$A30, "mmmyy"), ICE[LongCode], 0), MATCH("Settle", ICE[#Headers], 0))</f>
        <v>14.1455</v>
      </c>
      <c r="J30" s="397" t="str">
        <f ca="1">IFERROR(INDEX(ICE[], MATCH("fo35brxbbl" &amp; TEXT(Crd!$A30, "mmmyy"), ICE[LongCode], 0), MATCH("ICE Theoretical Price", ICE[#Headers], 0)), "")</f>
        <v/>
      </c>
      <c r="K30" s="372" t="str">
        <f ca="1">IFERROR(INDEX(ICE[], MATCH("fo35brx" &amp; TEXT(Hvy!$A30, "mmmyy"), ICE[LongCode], 0), MATCH("Text", ICE[#Headers], 0)), "")</f>
        <v xml:space="preserve"> /  </v>
      </c>
      <c r="L30" s="46" t="str">
        <f t="shared" ca="1" si="122"/>
        <v/>
      </c>
      <c r="M30" s="47" t="str">
        <f t="shared" ca="1" si="123"/>
        <v/>
      </c>
      <c r="N30" s="46" t="str">
        <f t="shared" ca="1" si="131"/>
        <v/>
      </c>
      <c r="O30" s="141" t="str">
        <f ca="1">IFERROR(IF(AND(ISNUMBER(Futs!$CC30), ISNUMBER($J30)), (Futs!$CC30 + $J30)*6.35, ""), "")</f>
        <v/>
      </c>
      <c r="P30" s="67" t="str">
        <f ca="1">IFERROR(IF(AND(ISNUMBER(Futs!$CD30), ISNUMBER($L30)), (Futs!$CD30 + $L30)*6.35, ""), "")</f>
        <v/>
      </c>
      <c r="Q30" s="47" t="str">
        <f t="shared" ca="1" si="132"/>
        <v/>
      </c>
      <c r="R30" s="46" t="str">
        <f t="shared" ca="1" si="133"/>
        <v/>
      </c>
      <c r="S30" s="397" t="str">
        <f ca="1">IFERROR(INDEX(ICE[], MATCH("hilo" &amp; TEXT(Crd!$A30, "mmmyy"), ICE[LongCode], 0), MATCH("ICE Theoretical Price", ICE[#Headers], 0)), "")</f>
        <v/>
      </c>
      <c r="T30" s="372" t="str">
        <f ca="1">IFERROR(INDEX(ICE[], MATCH("hilo" &amp; TEXT(Hvy!$A30, "mmmyy"), ICE[LongCode], 0), MATCH("Text", ICE[#Headers], 0)), "")</f>
        <v xml:space="preserve"> /  </v>
      </c>
      <c r="U30" s="46" t="str">
        <f t="shared" ca="1" si="106"/>
        <v/>
      </c>
      <c r="V30" s="47" t="str">
        <f t="shared" ca="1" si="134"/>
        <v/>
      </c>
      <c r="W30" s="114" t="str">
        <f t="shared" ca="1" si="135"/>
        <v/>
      </c>
      <c r="X30" s="49" t="str">
        <f t="shared" ca="1" si="107"/>
        <v/>
      </c>
      <c r="Y30" s="46" t="str">
        <f t="shared" ca="1" si="108"/>
        <v/>
      </c>
      <c r="Z30" s="47" t="str">
        <f t="shared" ca="1" si="136"/>
        <v/>
      </c>
      <c r="AA30" s="111" t="str">
        <f t="shared" ca="1" si="137"/>
        <v/>
      </c>
      <c r="AB30" s="397" t="str">
        <f ca="1">IFERROR(INDEX(ICE[], MATCH("hsfoew" &amp; TEXT(Crd!$A30, "mmmyy"), ICE[LongCode], 0), MATCH("ICE Theoretical Price", ICE[#Headers], 0)), "")</f>
        <v/>
      </c>
      <c r="AC30" s="372" t="str">
        <f ca="1">IFERROR(INDEX(ICE[], MATCH("hsfoew" &amp; TEXT(Hvy!$A30, "mmmyy"), ICE[LongCode], 0), MATCH("Text", ICE[#Headers], 0)), "")</f>
        <v xml:space="preserve"> /  </v>
      </c>
      <c r="AD30" s="46" t="str">
        <f t="shared" ca="1" si="109"/>
        <v/>
      </c>
      <c r="AE30" s="47" t="str">
        <f t="shared" ca="1" si="124"/>
        <v/>
      </c>
      <c r="AF30" s="114" t="str">
        <f t="shared" ca="1" si="125"/>
        <v/>
      </c>
      <c r="AG30" s="141" t="str">
        <f t="shared" ca="1" si="110"/>
        <v/>
      </c>
      <c r="AH30" s="46" t="str">
        <f t="shared" ca="1" si="111"/>
        <v/>
      </c>
      <c r="AI30" s="47" t="str">
        <f t="shared" ca="1" si="126"/>
        <v/>
      </c>
      <c r="AJ30" s="364" t="str">
        <f ca="1">IFERROR(INDEX(ICE[], MATCH("fo380" &amp; TEXT(Crd!$A29, "mmmyy") &amp; "/" &amp; TEXT(Crd!$A30, "mmmyy"), ICE[LongCode], 0), MATCH("Text", ICE[#Headers], 0)), "")</f>
        <v/>
      </c>
      <c r="AK30" s="114" t="str">
        <f t="shared" ca="1" si="127"/>
        <v/>
      </c>
      <c r="AL30" s="49" t="str">
        <f ca="1">IFERROR(IF(AND(ISNUMBER(Futs!$CC30), ISNUMBER($AG30)), $AG30/6.35 - Futs!$CC30, ""), "")</f>
        <v/>
      </c>
      <c r="AM30" s="372" t="str">
        <f ca="1">IFERROR(INDEX(ICE[], MATCH("fo380brx" &amp; TEXT(Hvy!$A30, "mmmyy"), ICE[LongCode], 0), MATCH("Text", ICE[#Headers], 0)), "")</f>
        <v xml:space="preserve"> /  </v>
      </c>
      <c r="AN30" s="46" t="str">
        <f ca="1">IFERROR(IF(AND(ISNUMBER(Futs!$CD30), ISNUMBER($AH30)), $AH30/6.35 - Futs!$CD30, ""), "")</f>
        <v/>
      </c>
      <c r="AO30" s="47" t="str">
        <f t="shared" ca="1" si="138"/>
        <v/>
      </c>
      <c r="AP30" s="114" t="str">
        <f t="shared" ca="1" si="139"/>
        <v/>
      </c>
      <c r="AQ30" s="49" t="str">
        <f ca="1">IFERROR(IF(AND(ISNUMBER(Crd!$X30), ISNUMBER($AG30)), $AG30/6.35 - Crd!$X30, ""), "")</f>
        <v/>
      </c>
      <c r="AR30" s="46" t="str">
        <f ca="1">IFERROR(IF(AND(ISNUMBER(Crd!$Y30), ISNUMBER($AH30)), $AH30/6.35 - Crd!$Y30, ""), "")</f>
        <v/>
      </c>
      <c r="AS30" s="47" t="str">
        <f t="shared" ca="1" si="140"/>
        <v/>
      </c>
      <c r="AT30" s="111" t="str">
        <f t="shared" ca="1" si="141"/>
        <v/>
      </c>
      <c r="AU30" s="397" t="str">
        <f ca="1">IFERROR(INDEX(ICE[], MATCH("visco" &amp; TEXT(Crd!$A30, "mmmyy"), ICE[LongCode], 0), MATCH("ICE Theoretical Price", ICE[#Headers], 0)), "")</f>
        <v/>
      </c>
      <c r="AV30" s="372" t="str">
        <f ca="1">IFERROR(INDEX(ICE[], MATCH("visco" &amp; TEXT(Hvy!$A30, "mmmyy"), ICE[LongCode], 0), MATCH("Text", ICE[#Headers], 0)), "")</f>
        <v xml:space="preserve"> /  </v>
      </c>
      <c r="AW30" s="46" t="str">
        <f t="shared" ca="1" si="112"/>
        <v/>
      </c>
      <c r="AX30" s="47" t="str">
        <f t="shared" ca="1" si="142"/>
        <v/>
      </c>
      <c r="AY30" s="46" t="str">
        <f t="shared" ca="1" si="143"/>
        <v/>
      </c>
      <c r="AZ30" s="141" t="str">
        <f t="shared" ca="1" si="113"/>
        <v/>
      </c>
      <c r="BA30" s="46" t="str">
        <f t="shared" ca="1" si="114"/>
        <v/>
      </c>
      <c r="BB30" s="47" t="str">
        <f t="shared" ca="1" si="144"/>
        <v/>
      </c>
      <c r="BC30" s="114" t="str">
        <f t="shared" ca="1" si="145"/>
        <v/>
      </c>
      <c r="BD30" s="49" t="str">
        <f ca="1">IFERROR(IF(AND(ISNUMBER(Futs!$CC30), ISNUMBER($AZ30)), $AZ30/6.35 - Futs!$CC30, ""), "")</f>
        <v/>
      </c>
      <c r="BE30" s="46" t="str">
        <f ca="1">IFERROR(IF(AND(ISNUMBER(Futs!$CD30), ISNUMBER($BA30)), $BA30/6.35 - Futs!$CD30, ""), "")</f>
        <v/>
      </c>
      <c r="BF30" s="47" t="str">
        <f t="shared" ca="1" si="146"/>
        <v/>
      </c>
      <c r="BG30" s="114" t="str">
        <f t="shared" ca="1" si="147"/>
        <v/>
      </c>
      <c r="BH30" s="49" t="str">
        <f ca="1">IFERROR(IF(AND(ISNUMBER(Crd!$X30), ISNUMBER($AZ30)), $AZ30/6.35 - Crd!$X30, ""), "")</f>
        <v/>
      </c>
      <c r="BI30" s="46" t="str">
        <f ca="1">IFERROR(IF(AND(ISNUMBER(Crd!$Y30), ISNUMBER($BA30)), $BA30/6.35 - Crd!$Y30, ""), "")</f>
        <v/>
      </c>
      <c r="BJ30" s="47" t="str">
        <f t="shared" ca="1" si="148"/>
        <v/>
      </c>
      <c r="BK30" s="111" t="str">
        <f t="shared" ca="1" si="149"/>
        <v/>
      </c>
      <c r="BL30" s="397" t="str">
        <f ca="1">IFERROR(INDEX(ICE[], MATCH("fo05bfrbrxbbl" &amp; TEXT(Crd!$A30, "mmmyy"), ICE[LongCode], 0), MATCH("ICE Theoretical Price", ICE[#Headers], 0)), "")</f>
        <v/>
      </c>
      <c r="BM30" s="372" t="str">
        <f ca="1">IFERROR(INDEX(ICE[], MATCH("fo05bfrbrx" &amp; TEXT(Hvy!$A30, "mmmyy"), ICE[LongCode], 0), MATCH("Text", ICE[#Headers], 0)), "")</f>
        <v xml:space="preserve"> /  </v>
      </c>
      <c r="BN30" s="46" t="str">
        <f t="shared" ca="1" si="115"/>
        <v/>
      </c>
      <c r="BO30" s="47" t="str">
        <f t="shared" ca="1" si="150"/>
        <v/>
      </c>
      <c r="BP30" s="46" t="str">
        <f t="shared" ca="1" si="151"/>
        <v/>
      </c>
      <c r="BQ30" s="141" t="str">
        <f ca="1">IFERROR(IF(AND(ISNUMBER(Futs!$CC30), ISNUMBER($BL30)), (Futs!$CC30 + $BL30)*6.35, ""), "")</f>
        <v/>
      </c>
      <c r="BR30" s="46" t="str">
        <f ca="1">IFERROR(IF(AND(ISNUMBER(Futs!$CD30), ISNUMBER($BN30)), (Futs!$CD30 + $BN30)*6.35, ""), "")</f>
        <v/>
      </c>
      <c r="BS30" s="47" t="str">
        <f t="shared" ca="1" si="152"/>
        <v/>
      </c>
      <c r="BT30" s="114" t="str">
        <f t="shared" ca="1" si="153"/>
        <v/>
      </c>
      <c r="BU30" s="49" t="str">
        <f t="shared" ca="1" si="116"/>
        <v/>
      </c>
      <c r="BV30" s="46" t="str">
        <f t="shared" ca="1" si="117"/>
        <v/>
      </c>
      <c r="BW30" s="47" t="str">
        <f t="shared" ca="1" si="154"/>
        <v/>
      </c>
      <c r="BX30" s="111" t="str">
        <f t="shared" ca="1" si="155"/>
        <v/>
      </c>
      <c r="BY30" s="397" t="str">
        <f ca="1">IFERROR(INDEX(ICE[], MATCH("fo05singbrxmt" &amp; TEXT(Crd!$A30, "mmmyy"), ICE[LongCode], 0), MATCH("ICE Theoretical Price", ICE[#Headers], 0)), "")</f>
        <v/>
      </c>
      <c r="BZ30" s="372" t="str">
        <f ca="1">IFERROR(INDEX(ICE[], MATCH("fo05singbrx" &amp; TEXT(Hvy!$A30, "mmmyy"), ICE[LongCode], 0), MATCH("Text", ICE[#Headers], 0)), "")</f>
        <v xml:space="preserve"> /  </v>
      </c>
      <c r="CA30" s="46" t="str">
        <f t="shared" ca="1" si="118"/>
        <v/>
      </c>
      <c r="CB30" s="47" t="str">
        <f t="shared" ca="1" si="156"/>
        <v/>
      </c>
      <c r="CC30" s="114" t="str">
        <f t="shared" ca="1" si="157"/>
        <v/>
      </c>
      <c r="CD30" s="141" t="str">
        <f ca="1">IFERROR(IF(AND(ISNUMBER(Futs!$CC30), ISNUMBER($BY30)), (Futs!$CC30 + $BY30)*6.35, ""), "")</f>
        <v/>
      </c>
      <c r="CE30" s="46" t="str">
        <f ca="1">IFERROR(IF(AND(ISNUMBER(Futs!$CD30), ISNUMBER($CA30)), (Futs!$CD30 + $CA30)*6.35, ""), "")</f>
        <v/>
      </c>
      <c r="CF30" s="47" t="str">
        <f t="shared" ca="1" si="158"/>
        <v/>
      </c>
      <c r="CG30" s="114" t="str">
        <f t="shared" ca="1" si="159"/>
        <v/>
      </c>
      <c r="CH30" s="141" t="str">
        <f t="shared" ca="1" si="119"/>
        <v/>
      </c>
      <c r="CI30" s="46" t="str">
        <f t="shared" ca="1" si="120"/>
        <v/>
      </c>
      <c r="CJ30" s="47" t="str">
        <f t="shared" ca="1" si="160"/>
        <v/>
      </c>
      <c r="CK30" s="114" t="str">
        <f t="shared" ca="1" si="161"/>
        <v/>
      </c>
      <c r="CL30" s="49" t="str">
        <f t="shared" ca="1" si="128"/>
        <v/>
      </c>
      <c r="CM30" s="46" t="str">
        <f t="shared" ca="1" si="129"/>
        <v/>
      </c>
      <c r="CN30" s="47" t="str">
        <f t="shared" ca="1" si="162"/>
        <v/>
      </c>
      <c r="CO30" s="111" t="str">
        <f t="shared" ca="1" si="163"/>
        <v/>
      </c>
    </row>
    <row r="31" spans="1:93" x14ac:dyDescent="0.25">
      <c r="A31" s="58">
        <f t="shared" ca="1" si="130"/>
        <v>46631</v>
      </c>
      <c r="B31" s="6">
        <f t="shared" ca="1" si="105"/>
        <v>2027</v>
      </c>
      <c r="C31" s="6" t="str">
        <f t="shared" ca="1" si="121"/>
        <v>Q327</v>
      </c>
      <c r="D31" s="28">
        <f ca="1">INDEX(ICE[], MATCH(D$18 &amp; TEXT(Hvy!$A31, "mmmyy"), ICE[LongCode], 0), MATCH("Settle", ICE[#Headers], 0))</f>
        <v>-7.9940000000000007</v>
      </c>
      <c r="E31" s="28">
        <f ca="1">INDEX(ICE[], MATCH(E$18 &amp; TEXT(Hvy!$A31, "mmmyy"), ICE[LongCode], 0), MATCH("Settle", ICE[#Headers], 0))</f>
        <v>18</v>
      </c>
      <c r="F31" s="28">
        <f ca="1">INDEX(ICE[], MATCH(F$18 &amp; TEXT(Hvy!$A31, "mmmyy"), ICE[LongCode], 0), MATCH("Settle", ICE[#Headers], 0))</f>
        <v>13</v>
      </c>
      <c r="G31" s="28">
        <f ca="1">INDEX(ICE[], MATCH(G$18 &amp; TEXT(Hvy!$A31, "mmmyy"), ICE[LongCode], 0), MATCH("Settle", ICE[#Headers], 0))</f>
        <v>12</v>
      </c>
      <c r="H31" s="28">
        <f ca="1">INDEX(ICE[], MATCH(H$18 &amp; TEXT(Hvy!$A31, "mmmyy"), ICE[LongCode], 0), MATCH("Settle", ICE[#Headers], 0))</f>
        <v>5.6834000000000007</v>
      </c>
      <c r="I31" s="28">
        <f ca="1">INDEX(ICE[], MATCH(I$18 &amp; TEXT(Hvy!$A31, "mmmyy"), ICE[LongCode], 0), MATCH("Settle", ICE[#Headers], 0))</f>
        <v>13.875500000000001</v>
      </c>
      <c r="J31" s="397" t="str">
        <f ca="1">IFERROR(INDEX(ICE[], MATCH("fo35brxbbl" &amp; TEXT(Crd!$A31, "mmmyy"), ICE[LongCode], 0), MATCH("ICE Theoretical Price", ICE[#Headers], 0)), "")</f>
        <v/>
      </c>
      <c r="K31" s="372" t="str">
        <f ca="1">IFERROR(INDEX(ICE[], MATCH("fo35brx" &amp; TEXT(Hvy!$A31, "mmmyy"), ICE[LongCode], 0), MATCH("Text", ICE[#Headers], 0)), "")</f>
        <v xml:space="preserve"> /  </v>
      </c>
      <c r="L31" s="46" t="str">
        <f t="shared" ca="1" si="122"/>
        <v/>
      </c>
      <c r="M31" s="47" t="str">
        <f t="shared" ca="1" si="123"/>
        <v/>
      </c>
      <c r="N31" s="46" t="str">
        <f t="shared" ca="1" si="131"/>
        <v/>
      </c>
      <c r="O31" s="141" t="str">
        <f ca="1">IFERROR(IF(AND(ISNUMBER(Futs!$CC31), ISNUMBER($J31)), (Futs!$CC31 + $J31)*6.35, ""), "")</f>
        <v/>
      </c>
      <c r="P31" s="67" t="str">
        <f ca="1">IFERROR(IF(AND(ISNUMBER(Futs!$CD31), ISNUMBER($L31)), (Futs!$CD31 + $L31)*6.35, ""), "")</f>
        <v/>
      </c>
      <c r="Q31" s="47" t="str">
        <f t="shared" ca="1" si="132"/>
        <v/>
      </c>
      <c r="R31" s="46" t="str">
        <f t="shared" ca="1" si="133"/>
        <v/>
      </c>
      <c r="S31" s="397" t="str">
        <f ca="1">IFERROR(INDEX(ICE[], MATCH("hilo" &amp; TEXT(Crd!$A31, "mmmyy"), ICE[LongCode], 0), MATCH("ICE Theoretical Price", ICE[#Headers], 0)), "")</f>
        <v/>
      </c>
      <c r="T31" s="372" t="str">
        <f ca="1">IFERROR(INDEX(ICE[], MATCH("hilo" &amp; TEXT(Hvy!$A31, "mmmyy"), ICE[LongCode], 0), MATCH("Text", ICE[#Headers], 0)), "")</f>
        <v xml:space="preserve"> /  </v>
      </c>
      <c r="U31" s="46" t="str">
        <f t="shared" ca="1" si="106"/>
        <v/>
      </c>
      <c r="V31" s="47" t="str">
        <f t="shared" ca="1" si="134"/>
        <v/>
      </c>
      <c r="W31" s="114" t="str">
        <f t="shared" ca="1" si="135"/>
        <v/>
      </c>
      <c r="X31" s="49" t="str">
        <f t="shared" ca="1" si="107"/>
        <v/>
      </c>
      <c r="Y31" s="46" t="str">
        <f t="shared" ca="1" si="108"/>
        <v/>
      </c>
      <c r="Z31" s="47" t="str">
        <f t="shared" ca="1" si="136"/>
        <v/>
      </c>
      <c r="AA31" s="111" t="str">
        <f t="shared" ca="1" si="137"/>
        <v/>
      </c>
      <c r="AB31" s="397" t="str">
        <f ca="1">IFERROR(INDEX(ICE[], MATCH("hsfoew" &amp; TEXT(Crd!$A31, "mmmyy"), ICE[LongCode], 0), MATCH("ICE Theoretical Price", ICE[#Headers], 0)), "")</f>
        <v/>
      </c>
      <c r="AC31" s="372" t="str">
        <f ca="1">IFERROR(INDEX(ICE[], MATCH("hsfoew" &amp; TEXT(Hvy!$A31, "mmmyy"), ICE[LongCode], 0), MATCH("Text", ICE[#Headers], 0)), "")</f>
        <v xml:space="preserve"> /  </v>
      </c>
      <c r="AD31" s="46" t="str">
        <f t="shared" ca="1" si="109"/>
        <v/>
      </c>
      <c r="AE31" s="47" t="str">
        <f t="shared" ca="1" si="124"/>
        <v/>
      </c>
      <c r="AF31" s="114" t="str">
        <f t="shared" ca="1" si="125"/>
        <v/>
      </c>
      <c r="AG31" s="141" t="str">
        <f t="shared" ca="1" si="110"/>
        <v/>
      </c>
      <c r="AH31" s="46" t="str">
        <f t="shared" ca="1" si="111"/>
        <v/>
      </c>
      <c r="AI31" s="47" t="str">
        <f t="shared" ca="1" si="126"/>
        <v/>
      </c>
      <c r="AJ31" s="364" t="str">
        <f ca="1">IFERROR(INDEX(ICE[], MATCH("fo380" &amp; TEXT(Crd!$A30, "mmmyy") &amp; "/" &amp; TEXT(Crd!$A31, "mmmyy"), ICE[LongCode], 0), MATCH("Text", ICE[#Headers], 0)), "")</f>
        <v/>
      </c>
      <c r="AK31" s="114" t="str">
        <f t="shared" ca="1" si="127"/>
        <v/>
      </c>
      <c r="AL31" s="49" t="str">
        <f ca="1">IFERROR(IF(AND(ISNUMBER(Futs!$CC31), ISNUMBER($AG31)), $AG31/6.35 - Futs!$CC31, ""), "")</f>
        <v/>
      </c>
      <c r="AM31" s="372" t="str">
        <f ca="1">IFERROR(INDEX(ICE[], MATCH("fo380brx" &amp; TEXT(Hvy!$A31, "mmmyy"), ICE[LongCode], 0), MATCH("Text", ICE[#Headers], 0)), "")</f>
        <v xml:space="preserve"> /  </v>
      </c>
      <c r="AN31" s="46" t="str">
        <f ca="1">IFERROR(IF(AND(ISNUMBER(Futs!$CD31), ISNUMBER($AH31)), $AH31/6.35 - Futs!$CD31, ""), "")</f>
        <v/>
      </c>
      <c r="AO31" s="47" t="str">
        <f t="shared" ca="1" si="138"/>
        <v/>
      </c>
      <c r="AP31" s="114" t="str">
        <f t="shared" ca="1" si="139"/>
        <v/>
      </c>
      <c r="AQ31" s="49" t="str">
        <f ca="1">IFERROR(IF(AND(ISNUMBER(Crd!$X31), ISNUMBER($AG31)), $AG31/6.35 - Crd!$X31, ""), "")</f>
        <v/>
      </c>
      <c r="AR31" s="46" t="str">
        <f ca="1">IFERROR(IF(AND(ISNUMBER(Crd!$Y31), ISNUMBER($AH31)), $AH31/6.35 - Crd!$Y31, ""), "")</f>
        <v/>
      </c>
      <c r="AS31" s="47" t="str">
        <f t="shared" ca="1" si="140"/>
        <v/>
      </c>
      <c r="AT31" s="111" t="str">
        <f t="shared" ca="1" si="141"/>
        <v/>
      </c>
      <c r="AU31" s="397" t="str">
        <f ca="1">IFERROR(INDEX(ICE[], MATCH("visco" &amp; TEXT(Crd!$A31, "mmmyy"), ICE[LongCode], 0), MATCH("ICE Theoretical Price", ICE[#Headers], 0)), "")</f>
        <v/>
      </c>
      <c r="AV31" s="372" t="str">
        <f ca="1">IFERROR(INDEX(ICE[], MATCH("visco" &amp; TEXT(Hvy!$A31, "mmmyy"), ICE[LongCode], 0), MATCH("Text", ICE[#Headers], 0)), "")</f>
        <v xml:space="preserve"> /  </v>
      </c>
      <c r="AW31" s="46" t="str">
        <f t="shared" ca="1" si="112"/>
        <v/>
      </c>
      <c r="AX31" s="47" t="str">
        <f t="shared" ca="1" si="142"/>
        <v/>
      </c>
      <c r="AY31" s="46" t="str">
        <f t="shared" ca="1" si="143"/>
        <v/>
      </c>
      <c r="AZ31" s="141" t="str">
        <f t="shared" ca="1" si="113"/>
        <v/>
      </c>
      <c r="BA31" s="46" t="str">
        <f t="shared" ca="1" si="114"/>
        <v/>
      </c>
      <c r="BB31" s="47" t="str">
        <f t="shared" ca="1" si="144"/>
        <v/>
      </c>
      <c r="BC31" s="114" t="str">
        <f t="shared" ca="1" si="145"/>
        <v/>
      </c>
      <c r="BD31" s="49" t="str">
        <f ca="1">IFERROR(IF(AND(ISNUMBER(Futs!$CC31), ISNUMBER($AZ31)), $AZ31/6.35 - Futs!$CC31, ""), "")</f>
        <v/>
      </c>
      <c r="BE31" s="46" t="str">
        <f ca="1">IFERROR(IF(AND(ISNUMBER(Futs!$CD31), ISNUMBER($BA31)), $BA31/6.35 - Futs!$CD31, ""), "")</f>
        <v/>
      </c>
      <c r="BF31" s="47" t="str">
        <f t="shared" ca="1" si="146"/>
        <v/>
      </c>
      <c r="BG31" s="114" t="str">
        <f t="shared" ca="1" si="147"/>
        <v/>
      </c>
      <c r="BH31" s="49" t="str">
        <f ca="1">IFERROR(IF(AND(ISNUMBER(Crd!$X31), ISNUMBER($AZ31)), $AZ31/6.35 - Crd!$X31, ""), "")</f>
        <v/>
      </c>
      <c r="BI31" s="46" t="str">
        <f ca="1">IFERROR(IF(AND(ISNUMBER(Crd!$Y31), ISNUMBER($BA31)), $BA31/6.35 - Crd!$Y31, ""), "")</f>
        <v/>
      </c>
      <c r="BJ31" s="47" t="str">
        <f t="shared" ca="1" si="148"/>
        <v/>
      </c>
      <c r="BK31" s="111" t="str">
        <f t="shared" ca="1" si="149"/>
        <v/>
      </c>
      <c r="BL31" s="397" t="str">
        <f ca="1">IFERROR(INDEX(ICE[], MATCH("fo05bfrbrxbbl" &amp; TEXT(Crd!$A31, "mmmyy"), ICE[LongCode], 0), MATCH("ICE Theoretical Price", ICE[#Headers], 0)), "")</f>
        <v/>
      </c>
      <c r="BM31" s="372" t="str">
        <f ca="1">IFERROR(INDEX(ICE[], MATCH("fo05bfrbrx" &amp; TEXT(Hvy!$A31, "mmmyy"), ICE[LongCode], 0), MATCH("Text", ICE[#Headers], 0)), "")</f>
        <v xml:space="preserve"> /  </v>
      </c>
      <c r="BN31" s="46" t="str">
        <f t="shared" ca="1" si="115"/>
        <v/>
      </c>
      <c r="BO31" s="47" t="str">
        <f t="shared" ca="1" si="150"/>
        <v/>
      </c>
      <c r="BP31" s="46" t="str">
        <f t="shared" ca="1" si="151"/>
        <v/>
      </c>
      <c r="BQ31" s="141" t="str">
        <f ca="1">IFERROR(IF(AND(ISNUMBER(Futs!$CC31), ISNUMBER($BL31)), (Futs!$CC31 + $BL31)*6.35, ""), "")</f>
        <v/>
      </c>
      <c r="BR31" s="46" t="str">
        <f ca="1">IFERROR(IF(AND(ISNUMBER(Futs!$CD31), ISNUMBER($BN31)), (Futs!$CD31 + $BN31)*6.35, ""), "")</f>
        <v/>
      </c>
      <c r="BS31" s="47" t="str">
        <f t="shared" ca="1" si="152"/>
        <v/>
      </c>
      <c r="BT31" s="114" t="str">
        <f t="shared" ca="1" si="153"/>
        <v/>
      </c>
      <c r="BU31" s="49" t="str">
        <f t="shared" ca="1" si="116"/>
        <v/>
      </c>
      <c r="BV31" s="46" t="str">
        <f t="shared" ca="1" si="117"/>
        <v/>
      </c>
      <c r="BW31" s="47" t="str">
        <f t="shared" ca="1" si="154"/>
        <v/>
      </c>
      <c r="BX31" s="111" t="str">
        <f t="shared" ca="1" si="155"/>
        <v/>
      </c>
      <c r="BY31" s="397" t="str">
        <f ca="1">IFERROR(INDEX(ICE[], MATCH("fo05singbrxmt" &amp; TEXT(Crd!$A31, "mmmyy"), ICE[LongCode], 0), MATCH("ICE Theoretical Price", ICE[#Headers], 0)), "")</f>
        <v/>
      </c>
      <c r="BZ31" s="372" t="str">
        <f ca="1">IFERROR(INDEX(ICE[], MATCH("fo05singbrx" &amp; TEXT(Hvy!$A31, "mmmyy"), ICE[LongCode], 0), MATCH("Text", ICE[#Headers], 0)), "")</f>
        <v xml:space="preserve"> /  </v>
      </c>
      <c r="CA31" s="46" t="str">
        <f t="shared" ca="1" si="118"/>
        <v/>
      </c>
      <c r="CB31" s="47" t="str">
        <f t="shared" ca="1" si="156"/>
        <v/>
      </c>
      <c r="CC31" s="114" t="str">
        <f t="shared" ca="1" si="157"/>
        <v/>
      </c>
      <c r="CD31" s="141" t="str">
        <f ca="1">IFERROR(IF(AND(ISNUMBER(Futs!$CC31), ISNUMBER($BY31)), (Futs!$CC31 + $BY31)*6.35, ""), "")</f>
        <v/>
      </c>
      <c r="CE31" s="46" t="str">
        <f ca="1">IFERROR(IF(AND(ISNUMBER(Futs!$CD31), ISNUMBER($CA31)), (Futs!$CD31 + $CA31)*6.35, ""), "")</f>
        <v/>
      </c>
      <c r="CF31" s="47" t="str">
        <f t="shared" ca="1" si="158"/>
        <v/>
      </c>
      <c r="CG31" s="114" t="str">
        <f t="shared" ca="1" si="159"/>
        <v/>
      </c>
      <c r="CH31" s="141" t="str">
        <f t="shared" ca="1" si="119"/>
        <v/>
      </c>
      <c r="CI31" s="46" t="str">
        <f t="shared" ca="1" si="120"/>
        <v/>
      </c>
      <c r="CJ31" s="47" t="str">
        <f t="shared" ca="1" si="160"/>
        <v/>
      </c>
      <c r="CK31" s="114" t="str">
        <f t="shared" ca="1" si="161"/>
        <v/>
      </c>
      <c r="CL31" s="49" t="str">
        <f t="shared" ca="1" si="128"/>
        <v/>
      </c>
      <c r="CM31" s="46" t="str">
        <f t="shared" ca="1" si="129"/>
        <v/>
      </c>
      <c r="CN31" s="47" t="str">
        <f t="shared" ca="1" si="162"/>
        <v/>
      </c>
      <c r="CO31" s="111" t="str">
        <f t="shared" ca="1" si="163"/>
        <v/>
      </c>
    </row>
    <row r="32" spans="1:93" x14ac:dyDescent="0.25">
      <c r="A32" s="58">
        <f t="shared" ca="1" si="130"/>
        <v>46661</v>
      </c>
      <c r="B32" s="6">
        <f t="shared" ca="1" si="105"/>
        <v>2027</v>
      </c>
      <c r="C32" s="6" t="str">
        <f t="shared" ca="1" si="121"/>
        <v>Q427</v>
      </c>
      <c r="D32" s="28">
        <f ca="1">INDEX(ICE[], MATCH(D$18 &amp; TEXT(Hvy!$A32, "mmmyy"), ICE[LongCode], 0), MATCH("Settle", ICE[#Headers], 0))</f>
        <v>-8.3810000000000002</v>
      </c>
      <c r="E32" s="28">
        <f ca="1">INDEX(ICE[], MATCH(E$18 &amp; TEXT(Hvy!$A32, "mmmyy"), ICE[LongCode], 0), MATCH("Settle", ICE[#Headers], 0))</f>
        <v>17.25</v>
      </c>
      <c r="F32" s="28">
        <f ca="1">INDEX(ICE[], MATCH(F$18 &amp; TEXT(Hvy!$A32, "mmmyy"), ICE[LongCode], 0), MATCH("Settle", ICE[#Headers], 0))</f>
        <v>13</v>
      </c>
      <c r="G32" s="28">
        <f ca="1">INDEX(ICE[], MATCH(G$18 &amp; TEXT(Hvy!$A32, "mmmyy"), ICE[LongCode], 0), MATCH("Settle", ICE[#Headers], 0))</f>
        <v>12</v>
      </c>
      <c r="H32" s="28">
        <f ca="1">INDEX(ICE[], MATCH(H$18 &amp; TEXT(Hvy!$A32, "mmmyy"), ICE[LongCode], 0), MATCH("Settle", ICE[#Headers], 0))</f>
        <v>5.3754</v>
      </c>
      <c r="I32" s="28">
        <f ca="1">INDEX(ICE[], MATCH(I$18 &amp; TEXT(Hvy!$A32, "mmmyy"), ICE[LongCode], 0), MATCH("Settle", ICE[#Headers], 0))</f>
        <v>13.606900000000001</v>
      </c>
      <c r="J32" s="397" t="str">
        <f ca="1">IFERROR(INDEX(ICE[], MATCH("fo35brxbbl" &amp; TEXT(Crd!$A32, "mmmyy"), ICE[LongCode], 0), MATCH("ICE Theoretical Price", ICE[#Headers], 0)), "")</f>
        <v/>
      </c>
      <c r="K32" s="372" t="str">
        <f ca="1">IFERROR(INDEX(ICE[], MATCH("fo35brx" &amp; TEXT(Hvy!$A32, "mmmyy"), ICE[LongCode], 0), MATCH("Text", ICE[#Headers], 0)), "")</f>
        <v xml:space="preserve"> /  </v>
      </c>
      <c r="L32" s="46" t="str">
        <f t="shared" ca="1" si="122"/>
        <v/>
      </c>
      <c r="M32" s="47" t="str">
        <f t="shared" ca="1" si="123"/>
        <v/>
      </c>
      <c r="N32" s="46" t="str">
        <f t="shared" ca="1" si="131"/>
        <v/>
      </c>
      <c r="O32" s="141" t="str">
        <f ca="1">IFERROR(IF(AND(ISNUMBER(Futs!$CC32), ISNUMBER($J32)), (Futs!$CC32 + $J32)*6.35, ""), "")</f>
        <v/>
      </c>
      <c r="P32" s="67" t="str">
        <f ca="1">IFERROR(IF(AND(ISNUMBER(Futs!$CD32), ISNUMBER($L32)), (Futs!$CD32 + $L32)*6.35, ""), "")</f>
        <v/>
      </c>
      <c r="Q32" s="47" t="str">
        <f t="shared" ca="1" si="132"/>
        <v/>
      </c>
      <c r="R32" s="46" t="str">
        <f t="shared" ca="1" si="133"/>
        <v/>
      </c>
      <c r="S32" s="397" t="str">
        <f ca="1">IFERROR(INDEX(ICE[], MATCH("hilo" &amp; TEXT(Crd!$A32, "mmmyy"), ICE[LongCode], 0), MATCH("ICE Theoretical Price", ICE[#Headers], 0)), "")</f>
        <v/>
      </c>
      <c r="T32" s="372" t="str">
        <f ca="1">IFERROR(INDEX(ICE[], MATCH("hilo" &amp; TEXT(Hvy!$A32, "mmmyy"), ICE[LongCode], 0), MATCH("Text", ICE[#Headers], 0)), "")</f>
        <v xml:space="preserve"> /  </v>
      </c>
      <c r="U32" s="46" t="str">
        <f t="shared" ca="1" si="106"/>
        <v/>
      </c>
      <c r="V32" s="47" t="str">
        <f t="shared" ca="1" si="134"/>
        <v/>
      </c>
      <c r="W32" s="114" t="str">
        <f t="shared" ca="1" si="135"/>
        <v/>
      </c>
      <c r="X32" s="49" t="str">
        <f t="shared" ca="1" si="107"/>
        <v/>
      </c>
      <c r="Y32" s="46" t="str">
        <f t="shared" ca="1" si="108"/>
        <v/>
      </c>
      <c r="Z32" s="47" t="str">
        <f t="shared" ca="1" si="136"/>
        <v/>
      </c>
      <c r="AA32" s="111" t="str">
        <f t="shared" ca="1" si="137"/>
        <v/>
      </c>
      <c r="AB32" s="397" t="str">
        <f ca="1">IFERROR(INDEX(ICE[], MATCH("hsfoew" &amp; TEXT(Crd!$A32, "mmmyy"), ICE[LongCode], 0), MATCH("ICE Theoretical Price", ICE[#Headers], 0)), "")</f>
        <v/>
      </c>
      <c r="AC32" s="372" t="str">
        <f ca="1">IFERROR(INDEX(ICE[], MATCH("hsfoew" &amp; TEXT(Hvy!$A32, "mmmyy"), ICE[LongCode], 0), MATCH("Text", ICE[#Headers], 0)), "")</f>
        <v xml:space="preserve"> /  </v>
      </c>
      <c r="AD32" s="46" t="str">
        <f t="shared" ca="1" si="109"/>
        <v/>
      </c>
      <c r="AE32" s="47" t="str">
        <f t="shared" ca="1" si="124"/>
        <v/>
      </c>
      <c r="AF32" s="114" t="str">
        <f t="shared" ca="1" si="125"/>
        <v/>
      </c>
      <c r="AG32" s="141" t="str">
        <f t="shared" ca="1" si="110"/>
        <v/>
      </c>
      <c r="AH32" s="46" t="str">
        <f t="shared" ca="1" si="111"/>
        <v/>
      </c>
      <c r="AI32" s="47" t="str">
        <f t="shared" ca="1" si="126"/>
        <v/>
      </c>
      <c r="AJ32" s="364" t="str">
        <f ca="1">IFERROR(INDEX(ICE[], MATCH("fo380" &amp; TEXT(Crd!$A31, "mmmyy") &amp; "/" &amp; TEXT(Crd!$A32, "mmmyy"), ICE[LongCode], 0), MATCH("Text", ICE[#Headers], 0)), "")</f>
        <v/>
      </c>
      <c r="AK32" s="114" t="str">
        <f t="shared" ca="1" si="127"/>
        <v/>
      </c>
      <c r="AL32" s="49" t="str">
        <f ca="1">IFERROR(IF(AND(ISNUMBER(Futs!$CC32), ISNUMBER($AG32)), $AG32/6.35 - Futs!$CC32, ""), "")</f>
        <v/>
      </c>
      <c r="AM32" s="372" t="str">
        <f ca="1">IFERROR(INDEX(ICE[], MATCH("fo380brx" &amp; TEXT(Hvy!$A32, "mmmyy"), ICE[LongCode], 0), MATCH("Text", ICE[#Headers], 0)), "")</f>
        <v xml:space="preserve"> /  </v>
      </c>
      <c r="AN32" s="46" t="str">
        <f ca="1">IFERROR(IF(AND(ISNUMBER(Futs!$CD32), ISNUMBER($AH32)), $AH32/6.35 - Futs!$CD32, ""), "")</f>
        <v/>
      </c>
      <c r="AO32" s="47" t="str">
        <f t="shared" ca="1" si="138"/>
        <v/>
      </c>
      <c r="AP32" s="114" t="str">
        <f t="shared" ca="1" si="139"/>
        <v/>
      </c>
      <c r="AQ32" s="49" t="str">
        <f ca="1">IFERROR(IF(AND(ISNUMBER(Crd!$X32), ISNUMBER($AG32)), $AG32/6.35 - Crd!$X32, ""), "")</f>
        <v/>
      </c>
      <c r="AR32" s="46" t="str">
        <f ca="1">IFERROR(IF(AND(ISNUMBER(Crd!$Y32), ISNUMBER($AH32)), $AH32/6.35 - Crd!$Y32, ""), "")</f>
        <v/>
      </c>
      <c r="AS32" s="47" t="str">
        <f t="shared" ca="1" si="140"/>
        <v/>
      </c>
      <c r="AT32" s="111" t="str">
        <f t="shared" ca="1" si="141"/>
        <v/>
      </c>
      <c r="AU32" s="397" t="str">
        <f ca="1">IFERROR(INDEX(ICE[], MATCH("visco" &amp; TEXT(Crd!$A32, "mmmyy"), ICE[LongCode], 0), MATCH("ICE Theoretical Price", ICE[#Headers], 0)), "")</f>
        <v/>
      </c>
      <c r="AV32" s="372" t="str">
        <f ca="1">IFERROR(INDEX(ICE[], MATCH("visco" &amp; TEXT(Hvy!$A32, "mmmyy"), ICE[LongCode], 0), MATCH("Text", ICE[#Headers], 0)), "")</f>
        <v xml:space="preserve"> /  </v>
      </c>
      <c r="AW32" s="46" t="str">
        <f t="shared" ca="1" si="112"/>
        <v/>
      </c>
      <c r="AX32" s="47" t="str">
        <f t="shared" ca="1" si="142"/>
        <v/>
      </c>
      <c r="AY32" s="46" t="str">
        <f t="shared" ca="1" si="143"/>
        <v/>
      </c>
      <c r="AZ32" s="141" t="str">
        <f t="shared" ca="1" si="113"/>
        <v/>
      </c>
      <c r="BA32" s="46" t="str">
        <f t="shared" ca="1" si="114"/>
        <v/>
      </c>
      <c r="BB32" s="47" t="str">
        <f t="shared" ca="1" si="144"/>
        <v/>
      </c>
      <c r="BC32" s="114" t="str">
        <f t="shared" ca="1" si="145"/>
        <v/>
      </c>
      <c r="BD32" s="49" t="str">
        <f ca="1">IFERROR(IF(AND(ISNUMBER(Futs!$CC32), ISNUMBER($AZ32)), $AZ32/6.35 - Futs!$CC32, ""), "")</f>
        <v/>
      </c>
      <c r="BE32" s="46" t="str">
        <f ca="1">IFERROR(IF(AND(ISNUMBER(Futs!$CD32), ISNUMBER($BA32)), $BA32/6.35 - Futs!$CD32, ""), "")</f>
        <v/>
      </c>
      <c r="BF32" s="47" t="str">
        <f t="shared" ca="1" si="146"/>
        <v/>
      </c>
      <c r="BG32" s="114" t="str">
        <f t="shared" ca="1" si="147"/>
        <v/>
      </c>
      <c r="BH32" s="49" t="str">
        <f ca="1">IFERROR(IF(AND(ISNUMBER(Crd!$X32), ISNUMBER($AZ32)), $AZ32/6.35 - Crd!$X32, ""), "")</f>
        <v/>
      </c>
      <c r="BI32" s="46" t="str">
        <f ca="1">IFERROR(IF(AND(ISNUMBER(Crd!$Y32), ISNUMBER($BA32)), $BA32/6.35 - Crd!$Y32, ""), "")</f>
        <v/>
      </c>
      <c r="BJ32" s="47" t="str">
        <f t="shared" ca="1" si="148"/>
        <v/>
      </c>
      <c r="BK32" s="111" t="str">
        <f t="shared" ca="1" si="149"/>
        <v/>
      </c>
      <c r="BL32" s="397" t="str">
        <f ca="1">IFERROR(INDEX(ICE[], MATCH("fo05bfrbrxbbl" &amp; TEXT(Crd!$A32, "mmmyy"), ICE[LongCode], 0), MATCH("ICE Theoretical Price", ICE[#Headers], 0)), "")</f>
        <v/>
      </c>
      <c r="BM32" s="372" t="str">
        <f ca="1">IFERROR(INDEX(ICE[], MATCH("fo05bfrbrx" &amp; TEXT(Hvy!$A32, "mmmyy"), ICE[LongCode], 0), MATCH("Text", ICE[#Headers], 0)), "")</f>
        <v xml:space="preserve"> /  </v>
      </c>
      <c r="BN32" s="46" t="str">
        <f t="shared" ca="1" si="115"/>
        <v/>
      </c>
      <c r="BO32" s="47" t="str">
        <f t="shared" ca="1" si="150"/>
        <v/>
      </c>
      <c r="BP32" s="46" t="str">
        <f t="shared" ca="1" si="151"/>
        <v/>
      </c>
      <c r="BQ32" s="141" t="str">
        <f ca="1">IFERROR(IF(AND(ISNUMBER(Futs!$CC32), ISNUMBER($BL32)), (Futs!$CC32 + $BL32)*6.35, ""), "")</f>
        <v/>
      </c>
      <c r="BR32" s="46" t="str">
        <f ca="1">IFERROR(IF(AND(ISNUMBER(Futs!$CD32), ISNUMBER($BN32)), (Futs!$CD32 + $BN32)*6.35, ""), "")</f>
        <v/>
      </c>
      <c r="BS32" s="47" t="str">
        <f t="shared" ca="1" si="152"/>
        <v/>
      </c>
      <c r="BT32" s="114" t="str">
        <f t="shared" ca="1" si="153"/>
        <v/>
      </c>
      <c r="BU32" s="49" t="str">
        <f t="shared" ca="1" si="116"/>
        <v/>
      </c>
      <c r="BV32" s="46" t="str">
        <f t="shared" ca="1" si="117"/>
        <v/>
      </c>
      <c r="BW32" s="47" t="str">
        <f t="shared" ca="1" si="154"/>
        <v/>
      </c>
      <c r="BX32" s="111" t="str">
        <f t="shared" ca="1" si="155"/>
        <v/>
      </c>
      <c r="BY32" s="397" t="str">
        <f ca="1">IFERROR(INDEX(ICE[], MATCH("fo05singbrxmt" &amp; TEXT(Crd!$A32, "mmmyy"), ICE[LongCode], 0), MATCH("ICE Theoretical Price", ICE[#Headers], 0)), "")</f>
        <v/>
      </c>
      <c r="BZ32" s="372" t="str">
        <f ca="1">IFERROR(INDEX(ICE[], MATCH("fo05singbrx" &amp; TEXT(Hvy!$A32, "mmmyy"), ICE[LongCode], 0), MATCH("Text", ICE[#Headers], 0)), "")</f>
        <v xml:space="preserve"> /  </v>
      </c>
      <c r="CA32" s="46" t="str">
        <f t="shared" ca="1" si="118"/>
        <v/>
      </c>
      <c r="CB32" s="47" t="str">
        <f t="shared" ca="1" si="156"/>
        <v/>
      </c>
      <c r="CC32" s="114" t="str">
        <f t="shared" ca="1" si="157"/>
        <v/>
      </c>
      <c r="CD32" s="141" t="str">
        <f ca="1">IFERROR(IF(AND(ISNUMBER(Futs!$CC32), ISNUMBER($BY32)), (Futs!$CC32 + $BY32)*6.35, ""), "")</f>
        <v/>
      </c>
      <c r="CE32" s="46" t="str">
        <f ca="1">IFERROR(IF(AND(ISNUMBER(Futs!$CD32), ISNUMBER($CA32)), (Futs!$CD32 + $CA32)*6.35, ""), "")</f>
        <v/>
      </c>
      <c r="CF32" s="47" t="str">
        <f t="shared" ca="1" si="158"/>
        <v/>
      </c>
      <c r="CG32" s="114" t="str">
        <f t="shared" ca="1" si="159"/>
        <v/>
      </c>
      <c r="CH32" s="141" t="str">
        <f t="shared" ca="1" si="119"/>
        <v/>
      </c>
      <c r="CI32" s="46" t="str">
        <f t="shared" ca="1" si="120"/>
        <v/>
      </c>
      <c r="CJ32" s="47" t="str">
        <f t="shared" ca="1" si="160"/>
        <v/>
      </c>
      <c r="CK32" s="114" t="str">
        <f t="shared" ca="1" si="161"/>
        <v/>
      </c>
      <c r="CL32" s="49" t="str">
        <f t="shared" ca="1" si="128"/>
        <v/>
      </c>
      <c r="CM32" s="46" t="str">
        <f t="shared" ca="1" si="129"/>
        <v/>
      </c>
      <c r="CN32" s="47" t="str">
        <f t="shared" ca="1" si="162"/>
        <v/>
      </c>
      <c r="CO32" s="111" t="str">
        <f t="shared" ca="1" si="163"/>
        <v/>
      </c>
    </row>
    <row r="33" spans="1:93" x14ac:dyDescent="0.25">
      <c r="A33" s="58">
        <f t="shared" ca="1" si="130"/>
        <v>46692</v>
      </c>
      <c r="B33" s="6">
        <f t="shared" ca="1" si="105"/>
        <v>2027</v>
      </c>
      <c r="C33" s="6" t="str">
        <f t="shared" ca="1" si="121"/>
        <v>Q427</v>
      </c>
      <c r="D33" s="28">
        <f ca="1">INDEX(ICE[], MATCH(D$18 &amp; TEXT(Hvy!$A33, "mmmyy"), ICE[LongCode], 0), MATCH("Settle", ICE[#Headers], 0))</f>
        <v>-8.5140000000000011</v>
      </c>
      <c r="E33" s="28">
        <f ca="1">INDEX(ICE[], MATCH(E$18 &amp; TEXT(Hvy!$A33, "mmmyy"), ICE[LongCode], 0), MATCH("Settle", ICE[#Headers], 0))</f>
        <v>17.25</v>
      </c>
      <c r="F33" s="28">
        <f ca="1">INDEX(ICE[], MATCH(F$18 &amp; TEXT(Hvy!$A33, "mmmyy"), ICE[LongCode], 0), MATCH("Settle", ICE[#Headers], 0))</f>
        <v>12.75</v>
      </c>
      <c r="G33" s="28">
        <f ca="1">INDEX(ICE[], MATCH(G$18 &amp; TEXT(Hvy!$A33, "mmmyy"), ICE[LongCode], 0), MATCH("Settle", ICE[#Headers], 0))</f>
        <v>12.25</v>
      </c>
      <c r="H33" s="28">
        <f ca="1">INDEX(ICE[], MATCH(H$18 &amp; TEXT(Hvy!$A33, "mmmyy"), ICE[LongCode], 0), MATCH("Settle", ICE[#Headers], 0))</f>
        <v>5.0847000000000007</v>
      </c>
      <c r="I33" s="28">
        <f ca="1">INDEX(ICE[], MATCH(I$18 &amp; TEXT(Hvy!$A33, "mmmyy"), ICE[LongCode], 0), MATCH("Settle", ICE[#Headers], 0))</f>
        <v>13.3162</v>
      </c>
      <c r="J33" s="397" t="str">
        <f ca="1">IFERROR(INDEX(ICE[], MATCH("fo35brxbbl" &amp; TEXT(Crd!$A33, "mmmyy"), ICE[LongCode], 0), MATCH("ICE Theoretical Price", ICE[#Headers], 0)), "")</f>
        <v/>
      </c>
      <c r="K33" s="372" t="str">
        <f ca="1">IFERROR(INDEX(ICE[], MATCH("fo35brx" &amp; TEXT(Hvy!$A33, "mmmyy"), ICE[LongCode], 0), MATCH("Text", ICE[#Headers], 0)), "")</f>
        <v xml:space="preserve"> /  </v>
      </c>
      <c r="L33" s="46" t="str">
        <f t="shared" ca="1" si="122"/>
        <v/>
      </c>
      <c r="M33" s="47" t="str">
        <f t="shared" ca="1" si="123"/>
        <v/>
      </c>
      <c r="N33" s="46" t="str">
        <f t="shared" ca="1" si="131"/>
        <v/>
      </c>
      <c r="O33" s="141" t="str">
        <f ca="1">IFERROR(IF(AND(ISNUMBER(Futs!$CC33), ISNUMBER($J33)), (Futs!$CC33 + $J33)*6.35, ""), "")</f>
        <v/>
      </c>
      <c r="P33" s="67" t="str">
        <f ca="1">IFERROR(IF(AND(ISNUMBER(Futs!$CD33), ISNUMBER($L33)), (Futs!$CD33 + $L33)*6.35, ""), "")</f>
        <v/>
      </c>
      <c r="Q33" s="47" t="str">
        <f t="shared" ca="1" si="132"/>
        <v/>
      </c>
      <c r="R33" s="46" t="str">
        <f t="shared" ca="1" si="133"/>
        <v/>
      </c>
      <c r="S33" s="397" t="str">
        <f ca="1">IFERROR(INDEX(ICE[], MATCH("hilo" &amp; TEXT(Crd!$A33, "mmmyy"), ICE[LongCode], 0), MATCH("ICE Theoretical Price", ICE[#Headers], 0)), "")</f>
        <v/>
      </c>
      <c r="T33" s="372" t="str">
        <f ca="1">IFERROR(INDEX(ICE[], MATCH("hilo" &amp; TEXT(Hvy!$A33, "mmmyy"), ICE[LongCode], 0), MATCH("Text", ICE[#Headers], 0)), "")</f>
        <v xml:space="preserve"> /  </v>
      </c>
      <c r="U33" s="46" t="str">
        <f t="shared" ca="1" si="106"/>
        <v/>
      </c>
      <c r="V33" s="47" t="str">
        <f t="shared" ca="1" si="134"/>
        <v/>
      </c>
      <c r="W33" s="114" t="str">
        <f t="shared" ca="1" si="135"/>
        <v/>
      </c>
      <c r="X33" s="49" t="str">
        <f t="shared" ca="1" si="107"/>
        <v/>
      </c>
      <c r="Y33" s="46" t="str">
        <f t="shared" ca="1" si="108"/>
        <v/>
      </c>
      <c r="Z33" s="47" t="str">
        <f t="shared" ca="1" si="136"/>
        <v/>
      </c>
      <c r="AA33" s="111" t="str">
        <f t="shared" ca="1" si="137"/>
        <v/>
      </c>
      <c r="AB33" s="397" t="str">
        <f ca="1">IFERROR(INDEX(ICE[], MATCH("hsfoew" &amp; TEXT(Crd!$A33, "mmmyy"), ICE[LongCode], 0), MATCH("ICE Theoretical Price", ICE[#Headers], 0)), "")</f>
        <v/>
      </c>
      <c r="AC33" s="372" t="str">
        <f ca="1">IFERROR(INDEX(ICE[], MATCH("hsfoew" &amp; TEXT(Hvy!$A33, "mmmyy"), ICE[LongCode], 0), MATCH("Text", ICE[#Headers], 0)), "")</f>
        <v xml:space="preserve"> /  </v>
      </c>
      <c r="AD33" s="46" t="str">
        <f t="shared" ca="1" si="109"/>
        <v/>
      </c>
      <c r="AE33" s="47" t="str">
        <f t="shared" ca="1" si="124"/>
        <v/>
      </c>
      <c r="AF33" s="114" t="str">
        <f t="shared" ca="1" si="125"/>
        <v/>
      </c>
      <c r="AG33" s="141" t="str">
        <f t="shared" ca="1" si="110"/>
        <v/>
      </c>
      <c r="AH33" s="46" t="str">
        <f t="shared" ca="1" si="111"/>
        <v/>
      </c>
      <c r="AI33" s="47" t="str">
        <f t="shared" ca="1" si="126"/>
        <v/>
      </c>
      <c r="AJ33" s="364" t="str">
        <f ca="1">IFERROR(INDEX(ICE[], MATCH("fo380" &amp; TEXT(Crd!$A32, "mmmyy") &amp; "/" &amp; TEXT(Crd!$A33, "mmmyy"), ICE[LongCode], 0), MATCH("Text", ICE[#Headers], 0)), "")</f>
        <v/>
      </c>
      <c r="AK33" s="114" t="str">
        <f t="shared" ca="1" si="127"/>
        <v/>
      </c>
      <c r="AL33" s="49" t="str">
        <f ca="1">IFERROR(IF(AND(ISNUMBER(Futs!$CC33), ISNUMBER($AG33)), $AG33/6.35 - Futs!$CC33, ""), "")</f>
        <v/>
      </c>
      <c r="AM33" s="372" t="str">
        <f ca="1">IFERROR(INDEX(ICE[], MATCH("fo380brx" &amp; TEXT(Hvy!$A33, "mmmyy"), ICE[LongCode], 0), MATCH("Text", ICE[#Headers], 0)), "")</f>
        <v xml:space="preserve"> /  </v>
      </c>
      <c r="AN33" s="46" t="str">
        <f ca="1">IFERROR(IF(AND(ISNUMBER(Futs!$CD33), ISNUMBER($AH33)), $AH33/6.35 - Futs!$CD33, ""), "")</f>
        <v/>
      </c>
      <c r="AO33" s="47" t="str">
        <f t="shared" ca="1" si="138"/>
        <v/>
      </c>
      <c r="AP33" s="114" t="str">
        <f t="shared" ca="1" si="139"/>
        <v/>
      </c>
      <c r="AQ33" s="49" t="str">
        <f ca="1">IFERROR(IF(AND(ISNUMBER(Crd!$X33), ISNUMBER($AG33)), $AG33/6.35 - Crd!$X33, ""), "")</f>
        <v/>
      </c>
      <c r="AR33" s="46" t="str">
        <f ca="1">IFERROR(IF(AND(ISNUMBER(Crd!$Y33), ISNUMBER($AH33)), $AH33/6.35 - Crd!$Y33, ""), "")</f>
        <v/>
      </c>
      <c r="AS33" s="47" t="str">
        <f t="shared" ca="1" si="140"/>
        <v/>
      </c>
      <c r="AT33" s="111" t="str">
        <f t="shared" ca="1" si="141"/>
        <v/>
      </c>
      <c r="AU33" s="397" t="str">
        <f ca="1">IFERROR(INDEX(ICE[], MATCH("visco" &amp; TEXT(Crd!$A33, "mmmyy"), ICE[LongCode], 0), MATCH("ICE Theoretical Price", ICE[#Headers], 0)), "")</f>
        <v/>
      </c>
      <c r="AV33" s="372" t="str">
        <f ca="1">IFERROR(INDEX(ICE[], MATCH("visco" &amp; TEXT(Hvy!$A33, "mmmyy"), ICE[LongCode], 0), MATCH("Text", ICE[#Headers], 0)), "")</f>
        <v xml:space="preserve"> /  </v>
      </c>
      <c r="AW33" s="46" t="str">
        <f t="shared" ca="1" si="112"/>
        <v/>
      </c>
      <c r="AX33" s="47" t="str">
        <f t="shared" ca="1" si="142"/>
        <v/>
      </c>
      <c r="AY33" s="46" t="str">
        <f t="shared" ca="1" si="143"/>
        <v/>
      </c>
      <c r="AZ33" s="141" t="str">
        <f t="shared" ca="1" si="113"/>
        <v/>
      </c>
      <c r="BA33" s="46" t="str">
        <f t="shared" ca="1" si="114"/>
        <v/>
      </c>
      <c r="BB33" s="47" t="str">
        <f t="shared" ca="1" si="144"/>
        <v/>
      </c>
      <c r="BC33" s="114" t="str">
        <f t="shared" ca="1" si="145"/>
        <v/>
      </c>
      <c r="BD33" s="49" t="str">
        <f ca="1">IFERROR(IF(AND(ISNUMBER(Futs!$CC33), ISNUMBER($AZ33)), $AZ33/6.35 - Futs!$CC33, ""), "")</f>
        <v/>
      </c>
      <c r="BE33" s="46" t="str">
        <f ca="1">IFERROR(IF(AND(ISNUMBER(Futs!$CD33), ISNUMBER($BA33)), $BA33/6.35 - Futs!$CD33, ""), "")</f>
        <v/>
      </c>
      <c r="BF33" s="47" t="str">
        <f t="shared" ca="1" si="146"/>
        <v/>
      </c>
      <c r="BG33" s="114" t="str">
        <f t="shared" ca="1" si="147"/>
        <v/>
      </c>
      <c r="BH33" s="49" t="str">
        <f ca="1">IFERROR(IF(AND(ISNUMBER(Crd!$X33), ISNUMBER($AZ33)), $AZ33/6.35 - Crd!$X33, ""), "")</f>
        <v/>
      </c>
      <c r="BI33" s="46" t="str">
        <f ca="1">IFERROR(IF(AND(ISNUMBER(Crd!$Y33), ISNUMBER($BA33)), $BA33/6.35 - Crd!$Y33, ""), "")</f>
        <v/>
      </c>
      <c r="BJ33" s="47" t="str">
        <f t="shared" ca="1" si="148"/>
        <v/>
      </c>
      <c r="BK33" s="111" t="str">
        <f t="shared" ca="1" si="149"/>
        <v/>
      </c>
      <c r="BL33" s="397" t="str">
        <f ca="1">IFERROR(INDEX(ICE[], MATCH("fo05bfrbrxbbl" &amp; TEXT(Crd!$A33, "mmmyy"), ICE[LongCode], 0), MATCH("ICE Theoretical Price", ICE[#Headers], 0)), "")</f>
        <v/>
      </c>
      <c r="BM33" s="372" t="str">
        <f ca="1">IFERROR(INDEX(ICE[], MATCH("fo05bfrbrx" &amp; TEXT(Hvy!$A33, "mmmyy"), ICE[LongCode], 0), MATCH("Text", ICE[#Headers], 0)), "")</f>
        <v xml:space="preserve"> /  </v>
      </c>
      <c r="BN33" s="46" t="str">
        <f t="shared" ca="1" si="115"/>
        <v/>
      </c>
      <c r="BO33" s="47" t="str">
        <f t="shared" ca="1" si="150"/>
        <v/>
      </c>
      <c r="BP33" s="46" t="str">
        <f t="shared" ca="1" si="151"/>
        <v/>
      </c>
      <c r="BQ33" s="141" t="str">
        <f ca="1">IFERROR(IF(AND(ISNUMBER(Futs!$CC33), ISNUMBER($BL33)), (Futs!$CC33 + $BL33)*6.35, ""), "")</f>
        <v/>
      </c>
      <c r="BR33" s="46" t="str">
        <f ca="1">IFERROR(IF(AND(ISNUMBER(Futs!$CD33), ISNUMBER($BN33)), (Futs!$CD33 + $BN33)*6.35, ""), "")</f>
        <v/>
      </c>
      <c r="BS33" s="47" t="str">
        <f t="shared" ca="1" si="152"/>
        <v/>
      </c>
      <c r="BT33" s="114" t="str">
        <f t="shared" ca="1" si="153"/>
        <v/>
      </c>
      <c r="BU33" s="49" t="str">
        <f t="shared" ca="1" si="116"/>
        <v/>
      </c>
      <c r="BV33" s="46" t="str">
        <f t="shared" ca="1" si="117"/>
        <v/>
      </c>
      <c r="BW33" s="47" t="str">
        <f t="shared" ca="1" si="154"/>
        <v/>
      </c>
      <c r="BX33" s="111" t="str">
        <f t="shared" ca="1" si="155"/>
        <v/>
      </c>
      <c r="BY33" s="397" t="str">
        <f ca="1">IFERROR(INDEX(ICE[], MATCH("fo05singbrxmt" &amp; TEXT(Crd!$A33, "mmmyy"), ICE[LongCode], 0), MATCH("ICE Theoretical Price", ICE[#Headers], 0)), "")</f>
        <v/>
      </c>
      <c r="BZ33" s="372" t="str">
        <f ca="1">IFERROR(INDEX(ICE[], MATCH("fo05singbrx" &amp; TEXT(Hvy!$A33, "mmmyy"), ICE[LongCode], 0), MATCH("Text", ICE[#Headers], 0)), "")</f>
        <v xml:space="preserve"> /  </v>
      </c>
      <c r="CA33" s="46" t="str">
        <f t="shared" ca="1" si="118"/>
        <v/>
      </c>
      <c r="CB33" s="47" t="str">
        <f t="shared" ca="1" si="156"/>
        <v/>
      </c>
      <c r="CC33" s="114" t="str">
        <f t="shared" ca="1" si="157"/>
        <v/>
      </c>
      <c r="CD33" s="141" t="str">
        <f ca="1">IFERROR(IF(AND(ISNUMBER(Futs!$CC33), ISNUMBER($BY33)), (Futs!$CC33 + $BY33)*6.35, ""), "")</f>
        <v/>
      </c>
      <c r="CE33" s="46" t="str">
        <f ca="1">IFERROR(IF(AND(ISNUMBER(Futs!$CD33), ISNUMBER($CA33)), (Futs!$CD33 + $CA33)*6.35, ""), "")</f>
        <v/>
      </c>
      <c r="CF33" s="47" t="str">
        <f t="shared" ca="1" si="158"/>
        <v/>
      </c>
      <c r="CG33" s="114" t="str">
        <f t="shared" ca="1" si="159"/>
        <v/>
      </c>
      <c r="CH33" s="141" t="str">
        <f t="shared" ca="1" si="119"/>
        <v/>
      </c>
      <c r="CI33" s="46" t="str">
        <f t="shared" ca="1" si="120"/>
        <v/>
      </c>
      <c r="CJ33" s="47" t="str">
        <f t="shared" ca="1" si="160"/>
        <v/>
      </c>
      <c r="CK33" s="114" t="str">
        <f t="shared" ca="1" si="161"/>
        <v/>
      </c>
      <c r="CL33" s="49" t="str">
        <f t="shared" ca="1" si="128"/>
        <v/>
      </c>
      <c r="CM33" s="46" t="str">
        <f t="shared" ca="1" si="129"/>
        <v/>
      </c>
      <c r="CN33" s="47" t="str">
        <f t="shared" ca="1" si="162"/>
        <v/>
      </c>
      <c r="CO33" s="111" t="str">
        <f t="shared" ca="1" si="163"/>
        <v/>
      </c>
    </row>
    <row r="34" spans="1:93" x14ac:dyDescent="0.25">
      <c r="A34" s="58">
        <f t="shared" ca="1" si="130"/>
        <v>46722</v>
      </c>
      <c r="B34" s="6">
        <f t="shared" ca="1" si="105"/>
        <v>2027</v>
      </c>
      <c r="C34" s="6" t="str">
        <f t="shared" ca="1" si="121"/>
        <v>Q427</v>
      </c>
      <c r="D34" s="28">
        <f ca="1">INDEX(ICE[], MATCH(D$18 &amp; TEXT(Hvy!$A34, "mmmyy"), ICE[LongCode], 0), MATCH("Settle", ICE[#Headers], 0))</f>
        <v>-8.4660000000000011</v>
      </c>
      <c r="E34" s="28">
        <f ca="1">INDEX(ICE[], MATCH(E$18 &amp; TEXT(Hvy!$A34, "mmmyy"), ICE[LongCode], 0), MATCH("Settle", ICE[#Headers], 0))</f>
        <v>17.25</v>
      </c>
      <c r="F34" s="28">
        <f ca="1">INDEX(ICE[], MATCH(F$18 &amp; TEXT(Hvy!$A34, "mmmyy"), ICE[LongCode], 0), MATCH("Settle", ICE[#Headers], 0))</f>
        <v>12.75</v>
      </c>
      <c r="G34" s="28">
        <f ca="1">INDEX(ICE[], MATCH(G$18 &amp; TEXT(Hvy!$A34, "mmmyy"), ICE[LongCode], 0), MATCH("Settle", ICE[#Headers], 0))</f>
        <v>12.5</v>
      </c>
      <c r="H34" s="28">
        <f ca="1">INDEX(ICE[], MATCH(H$18 &amp; TEXT(Hvy!$A34, "mmmyy"), ICE[LongCode], 0), MATCH("Settle", ICE[#Headers], 0))</f>
        <v>4.7780000000000005</v>
      </c>
      <c r="I34" s="28">
        <f ca="1">INDEX(ICE[], MATCH(I$18 &amp; TEXT(Hvy!$A34, "mmmyy"), ICE[LongCode], 0), MATCH("Settle", ICE[#Headers], 0))</f>
        <v>13.009500000000001</v>
      </c>
      <c r="J34" s="397" t="str">
        <f ca="1">IFERROR(INDEX(ICE[], MATCH("fo35brxbbl" &amp; TEXT(Crd!$A34, "mmmyy"), ICE[LongCode], 0), MATCH("ICE Theoretical Price", ICE[#Headers], 0)), "")</f>
        <v/>
      </c>
      <c r="K34" s="372" t="str">
        <f ca="1">IFERROR(INDEX(ICE[], MATCH("fo35brx" &amp; TEXT(Hvy!$A34, "mmmyy"), ICE[LongCode], 0), MATCH("Text", ICE[#Headers], 0)), "")</f>
        <v xml:space="preserve"> /  </v>
      </c>
      <c r="L34" s="46" t="str">
        <f t="shared" ca="1" si="122"/>
        <v/>
      </c>
      <c r="M34" s="47" t="str">
        <f t="shared" ca="1" si="123"/>
        <v/>
      </c>
      <c r="N34" s="46" t="str">
        <f t="shared" ca="1" si="131"/>
        <v/>
      </c>
      <c r="O34" s="141" t="str">
        <f ca="1">IFERROR(IF(AND(ISNUMBER(Futs!$CC34), ISNUMBER($J34)), (Futs!$CC34 + $J34)*6.35, ""), "")</f>
        <v/>
      </c>
      <c r="P34" s="67" t="str">
        <f ca="1">IFERROR(IF(AND(ISNUMBER(Futs!$CD34), ISNUMBER($L34)), (Futs!$CD34 + $L34)*6.35, ""), "")</f>
        <v/>
      </c>
      <c r="Q34" s="47" t="str">
        <f t="shared" ca="1" si="132"/>
        <v/>
      </c>
      <c r="R34" s="46" t="str">
        <f t="shared" ca="1" si="133"/>
        <v/>
      </c>
      <c r="S34" s="397" t="str">
        <f ca="1">IFERROR(INDEX(ICE[], MATCH("hilo" &amp; TEXT(Crd!$A34, "mmmyy"), ICE[LongCode], 0), MATCH("ICE Theoretical Price", ICE[#Headers], 0)), "")</f>
        <v/>
      </c>
      <c r="T34" s="372" t="str">
        <f ca="1">IFERROR(INDEX(ICE[], MATCH("hilo" &amp; TEXT(Hvy!$A34, "mmmyy"), ICE[LongCode], 0), MATCH("Text", ICE[#Headers], 0)), "")</f>
        <v xml:space="preserve"> /  </v>
      </c>
      <c r="U34" s="46" t="str">
        <f t="shared" ca="1" si="106"/>
        <v/>
      </c>
      <c r="V34" s="47" t="str">
        <f t="shared" ca="1" si="134"/>
        <v/>
      </c>
      <c r="W34" s="114" t="str">
        <f t="shared" ca="1" si="135"/>
        <v/>
      </c>
      <c r="X34" s="49" t="str">
        <f t="shared" ca="1" si="107"/>
        <v/>
      </c>
      <c r="Y34" s="46" t="str">
        <f t="shared" ca="1" si="108"/>
        <v/>
      </c>
      <c r="Z34" s="47" t="str">
        <f t="shared" ca="1" si="136"/>
        <v/>
      </c>
      <c r="AA34" s="111" t="str">
        <f t="shared" ca="1" si="137"/>
        <v/>
      </c>
      <c r="AB34" s="397" t="str">
        <f ca="1">IFERROR(INDEX(ICE[], MATCH("hsfoew" &amp; TEXT(Crd!$A34, "mmmyy"), ICE[LongCode], 0), MATCH("ICE Theoretical Price", ICE[#Headers], 0)), "")</f>
        <v/>
      </c>
      <c r="AC34" s="372" t="str">
        <f ca="1">IFERROR(INDEX(ICE[], MATCH("hsfoew" &amp; TEXT(Hvy!$A34, "mmmyy"), ICE[LongCode], 0), MATCH("Text", ICE[#Headers], 0)), "")</f>
        <v xml:space="preserve"> /  </v>
      </c>
      <c r="AD34" s="46" t="str">
        <f t="shared" ca="1" si="109"/>
        <v/>
      </c>
      <c r="AE34" s="47" t="str">
        <f t="shared" ca="1" si="124"/>
        <v/>
      </c>
      <c r="AF34" s="114" t="str">
        <f t="shared" ca="1" si="125"/>
        <v/>
      </c>
      <c r="AG34" s="141" t="str">
        <f t="shared" ca="1" si="110"/>
        <v/>
      </c>
      <c r="AH34" s="46" t="str">
        <f t="shared" ca="1" si="111"/>
        <v/>
      </c>
      <c r="AI34" s="47" t="str">
        <f t="shared" ca="1" si="126"/>
        <v/>
      </c>
      <c r="AJ34" s="364" t="str">
        <f ca="1">IFERROR(INDEX(ICE[], MATCH("fo380" &amp; TEXT(Crd!$A33, "mmmyy") &amp; "/" &amp; TEXT(Crd!$A34, "mmmyy"), ICE[LongCode], 0), MATCH("Text", ICE[#Headers], 0)), "")</f>
        <v/>
      </c>
      <c r="AK34" s="114" t="str">
        <f t="shared" ca="1" si="127"/>
        <v/>
      </c>
      <c r="AL34" s="49" t="str">
        <f ca="1">IFERROR(IF(AND(ISNUMBER(Futs!$CC34), ISNUMBER($AG34)), $AG34/6.35 - Futs!$CC34, ""), "")</f>
        <v/>
      </c>
      <c r="AM34" s="372" t="str">
        <f ca="1">IFERROR(INDEX(ICE[], MATCH("fo380brx" &amp; TEXT(Hvy!$A34, "mmmyy"), ICE[LongCode], 0), MATCH("Text", ICE[#Headers], 0)), "")</f>
        <v xml:space="preserve"> /  </v>
      </c>
      <c r="AN34" s="46" t="str">
        <f ca="1">IFERROR(IF(AND(ISNUMBER(Futs!$CD34), ISNUMBER($AH34)), $AH34/6.35 - Futs!$CD34, ""), "")</f>
        <v/>
      </c>
      <c r="AO34" s="47" t="str">
        <f t="shared" ca="1" si="138"/>
        <v/>
      </c>
      <c r="AP34" s="114" t="str">
        <f t="shared" ca="1" si="139"/>
        <v/>
      </c>
      <c r="AQ34" s="49" t="str">
        <f ca="1">IFERROR(IF(AND(ISNUMBER(Crd!$X34), ISNUMBER($AG34)), $AG34/6.35 - Crd!$X34, ""), "")</f>
        <v/>
      </c>
      <c r="AR34" s="46" t="str">
        <f ca="1">IFERROR(IF(AND(ISNUMBER(Crd!$Y34), ISNUMBER($AH34)), $AH34/6.35 - Crd!$Y34, ""), "")</f>
        <v/>
      </c>
      <c r="AS34" s="47" t="str">
        <f t="shared" ca="1" si="140"/>
        <v/>
      </c>
      <c r="AT34" s="111" t="str">
        <f t="shared" ca="1" si="141"/>
        <v/>
      </c>
      <c r="AU34" s="397" t="str">
        <f ca="1">IFERROR(INDEX(ICE[], MATCH("visco" &amp; TEXT(Crd!$A34, "mmmyy"), ICE[LongCode], 0), MATCH("ICE Theoretical Price", ICE[#Headers], 0)), "")</f>
        <v/>
      </c>
      <c r="AV34" s="372" t="str">
        <f ca="1">IFERROR(INDEX(ICE[], MATCH("visco" &amp; TEXT(Hvy!$A34, "mmmyy"), ICE[LongCode], 0), MATCH("Text", ICE[#Headers], 0)), "")</f>
        <v xml:space="preserve"> /  </v>
      </c>
      <c r="AW34" s="46" t="str">
        <f t="shared" ca="1" si="112"/>
        <v/>
      </c>
      <c r="AX34" s="47" t="str">
        <f t="shared" ca="1" si="142"/>
        <v/>
      </c>
      <c r="AY34" s="46" t="str">
        <f t="shared" ca="1" si="143"/>
        <v/>
      </c>
      <c r="AZ34" s="141" t="str">
        <f t="shared" ca="1" si="113"/>
        <v/>
      </c>
      <c r="BA34" s="46" t="str">
        <f t="shared" ca="1" si="114"/>
        <v/>
      </c>
      <c r="BB34" s="47" t="str">
        <f t="shared" ca="1" si="144"/>
        <v/>
      </c>
      <c r="BC34" s="114" t="str">
        <f t="shared" ca="1" si="145"/>
        <v/>
      </c>
      <c r="BD34" s="49" t="str">
        <f ca="1">IFERROR(IF(AND(ISNUMBER(Futs!$CC34), ISNUMBER($AZ34)), $AZ34/6.35 - Futs!$CC34, ""), "")</f>
        <v/>
      </c>
      <c r="BE34" s="46" t="str">
        <f ca="1">IFERROR(IF(AND(ISNUMBER(Futs!$CD34), ISNUMBER($BA34)), $BA34/6.35 - Futs!$CD34, ""), "")</f>
        <v/>
      </c>
      <c r="BF34" s="47" t="str">
        <f t="shared" ca="1" si="146"/>
        <v/>
      </c>
      <c r="BG34" s="114" t="str">
        <f t="shared" ca="1" si="147"/>
        <v/>
      </c>
      <c r="BH34" s="49" t="str">
        <f ca="1">IFERROR(IF(AND(ISNUMBER(Crd!$X34), ISNUMBER($AZ34)), $AZ34/6.35 - Crd!$X34, ""), "")</f>
        <v/>
      </c>
      <c r="BI34" s="46" t="str">
        <f ca="1">IFERROR(IF(AND(ISNUMBER(Crd!$Y34), ISNUMBER($BA34)), $BA34/6.35 - Crd!$Y34, ""), "")</f>
        <v/>
      </c>
      <c r="BJ34" s="47" t="str">
        <f t="shared" ca="1" si="148"/>
        <v/>
      </c>
      <c r="BK34" s="111" t="str">
        <f t="shared" ca="1" si="149"/>
        <v/>
      </c>
      <c r="BL34" s="397" t="str">
        <f ca="1">IFERROR(INDEX(ICE[], MATCH("fo05bfrbrxbbl" &amp; TEXT(Crd!$A34, "mmmyy"), ICE[LongCode], 0), MATCH("ICE Theoretical Price", ICE[#Headers], 0)), "")</f>
        <v/>
      </c>
      <c r="BM34" s="372" t="str">
        <f ca="1">IFERROR(INDEX(ICE[], MATCH("fo05bfrbrx" &amp; TEXT(Hvy!$A34, "mmmyy"), ICE[LongCode], 0), MATCH("Text", ICE[#Headers], 0)), "")</f>
        <v xml:space="preserve"> /  </v>
      </c>
      <c r="BN34" s="46" t="str">
        <f t="shared" ca="1" si="115"/>
        <v/>
      </c>
      <c r="BO34" s="47" t="str">
        <f t="shared" ca="1" si="150"/>
        <v/>
      </c>
      <c r="BP34" s="46" t="str">
        <f t="shared" ca="1" si="151"/>
        <v/>
      </c>
      <c r="BQ34" s="141" t="str">
        <f ca="1">IFERROR(IF(AND(ISNUMBER(Futs!$CC34), ISNUMBER($BL34)), (Futs!$CC34 + $BL34)*6.35, ""), "")</f>
        <v/>
      </c>
      <c r="BR34" s="46" t="str">
        <f ca="1">IFERROR(IF(AND(ISNUMBER(Futs!$CD34), ISNUMBER($BN34)), (Futs!$CD34 + $BN34)*6.35, ""), "")</f>
        <v/>
      </c>
      <c r="BS34" s="47" t="str">
        <f t="shared" ca="1" si="152"/>
        <v/>
      </c>
      <c r="BT34" s="114" t="str">
        <f t="shared" ca="1" si="153"/>
        <v/>
      </c>
      <c r="BU34" s="49" t="str">
        <f t="shared" ca="1" si="116"/>
        <v/>
      </c>
      <c r="BV34" s="46" t="str">
        <f t="shared" ca="1" si="117"/>
        <v/>
      </c>
      <c r="BW34" s="47" t="str">
        <f t="shared" ca="1" si="154"/>
        <v/>
      </c>
      <c r="BX34" s="111" t="str">
        <f t="shared" ca="1" si="155"/>
        <v/>
      </c>
      <c r="BY34" s="397" t="str">
        <f ca="1">IFERROR(INDEX(ICE[], MATCH("fo05singbrxmt" &amp; TEXT(Crd!$A34, "mmmyy"), ICE[LongCode], 0), MATCH("ICE Theoretical Price", ICE[#Headers], 0)), "")</f>
        <v/>
      </c>
      <c r="BZ34" s="372" t="str">
        <f ca="1">IFERROR(INDEX(ICE[], MATCH("fo05singbrx" &amp; TEXT(Hvy!$A34, "mmmyy"), ICE[LongCode], 0), MATCH("Text", ICE[#Headers], 0)), "")</f>
        <v xml:space="preserve"> /  </v>
      </c>
      <c r="CA34" s="46" t="str">
        <f t="shared" ca="1" si="118"/>
        <v/>
      </c>
      <c r="CB34" s="47" t="str">
        <f t="shared" ca="1" si="156"/>
        <v/>
      </c>
      <c r="CC34" s="114" t="str">
        <f t="shared" ca="1" si="157"/>
        <v/>
      </c>
      <c r="CD34" s="141" t="str">
        <f ca="1">IFERROR(IF(AND(ISNUMBER(Futs!$CC34), ISNUMBER($BY34)), (Futs!$CC34 + $BY34)*6.35, ""), "")</f>
        <v/>
      </c>
      <c r="CE34" s="46" t="str">
        <f ca="1">IFERROR(IF(AND(ISNUMBER(Futs!$CD34), ISNUMBER($CA34)), (Futs!$CD34 + $CA34)*6.35, ""), "")</f>
        <v/>
      </c>
      <c r="CF34" s="47" t="str">
        <f t="shared" ca="1" si="158"/>
        <v/>
      </c>
      <c r="CG34" s="114" t="str">
        <f t="shared" ca="1" si="159"/>
        <v/>
      </c>
      <c r="CH34" s="141" t="str">
        <f t="shared" ca="1" si="119"/>
        <v/>
      </c>
      <c r="CI34" s="46" t="str">
        <f t="shared" ca="1" si="120"/>
        <v/>
      </c>
      <c r="CJ34" s="47" t="str">
        <f t="shared" ca="1" si="160"/>
        <v/>
      </c>
      <c r="CK34" s="114" t="str">
        <f t="shared" ca="1" si="161"/>
        <v/>
      </c>
      <c r="CL34" s="49" t="str">
        <f t="shared" ca="1" si="128"/>
        <v/>
      </c>
      <c r="CM34" s="46" t="str">
        <f t="shared" ca="1" si="129"/>
        <v/>
      </c>
      <c r="CN34" s="47" t="str">
        <f t="shared" ca="1" si="162"/>
        <v/>
      </c>
      <c r="CO34" s="111" t="str">
        <f t="shared" ca="1" si="163"/>
        <v/>
      </c>
    </row>
    <row r="35" spans="1:93" x14ac:dyDescent="0.25">
      <c r="A35" s="58">
        <f t="shared" ca="1" si="130"/>
        <v>46753</v>
      </c>
      <c r="B35" s="6">
        <f t="shared" ca="1" si="105"/>
        <v>2028</v>
      </c>
      <c r="C35" s="6" t="str">
        <f t="shared" ca="1" si="121"/>
        <v>Q128</v>
      </c>
      <c r="D35" s="28">
        <f ca="1">INDEX(ICE[], MATCH(D$18 &amp; TEXT(Hvy!$A35, "mmmyy"), ICE[LongCode], 0), MATCH("Settle", ICE[#Headers], 0))</f>
        <v>-8.3770000000000007</v>
      </c>
      <c r="E35" s="28">
        <f ca="1">INDEX(ICE[], MATCH(E$18 &amp; TEXT(Hvy!$A35, "mmmyy"), ICE[LongCode], 0), MATCH("Settle", ICE[#Headers], 0))</f>
        <v>17.25</v>
      </c>
      <c r="F35" s="28">
        <f ca="1">INDEX(ICE[], MATCH(F$18 &amp; TEXT(Hvy!$A35, "mmmyy"), ICE[LongCode], 0), MATCH("Settle", ICE[#Headers], 0))</f>
        <v>12.75</v>
      </c>
      <c r="G35" s="28">
        <f ca="1">INDEX(ICE[], MATCH(G$18 &amp; TEXT(Hvy!$A35, "mmmyy"), ICE[LongCode], 0), MATCH("Settle", ICE[#Headers], 0))</f>
        <v>11.75</v>
      </c>
      <c r="H35" s="28">
        <f ca="1">INDEX(ICE[], MATCH(H$18 &amp; TEXT(Hvy!$A35, "mmmyy"), ICE[LongCode], 0), MATCH("Settle", ICE[#Headers], 0))</f>
        <v>4.67</v>
      </c>
      <c r="I35" s="28">
        <f ca="1">INDEX(ICE[], MATCH(I$18 &amp; TEXT(Hvy!$A35, "mmmyy"), ICE[LongCode], 0), MATCH("Settle", ICE[#Headers], 0))</f>
        <v>12.9015</v>
      </c>
      <c r="J35" s="397" t="str">
        <f ca="1">IFERROR(INDEX(ICE[], MATCH("fo35brxbbl" &amp; TEXT(Crd!$A35, "mmmyy"), ICE[LongCode], 0), MATCH("ICE Theoretical Price", ICE[#Headers], 0)), "")</f>
        <v/>
      </c>
      <c r="K35" s="372" t="str">
        <f ca="1">IFERROR(INDEX(ICE[], MATCH("fo35brx" &amp; TEXT(Hvy!$A35, "mmmyy"), ICE[LongCode], 0), MATCH("Text", ICE[#Headers], 0)), "")</f>
        <v xml:space="preserve"> /  </v>
      </c>
      <c r="L35" s="46" t="str">
        <f t="shared" ca="1" si="122"/>
        <v/>
      </c>
      <c r="M35" s="47" t="str">
        <f t="shared" ca="1" si="123"/>
        <v/>
      </c>
      <c r="N35" s="46" t="str">
        <f t="shared" ca="1" si="131"/>
        <v/>
      </c>
      <c r="O35" s="141" t="str">
        <f ca="1">IFERROR(IF(AND(ISNUMBER(Futs!$CC35), ISNUMBER($J35)), (Futs!$CC35 + $J35)*6.35, ""), "")</f>
        <v/>
      </c>
      <c r="P35" s="67" t="str">
        <f ca="1">IFERROR(IF(AND(ISNUMBER(Futs!$CD35), ISNUMBER($L35)), (Futs!$CD35 + $L35)*6.35, ""), "")</f>
        <v/>
      </c>
      <c r="Q35" s="47" t="str">
        <f t="shared" ca="1" si="132"/>
        <v/>
      </c>
      <c r="R35" s="46" t="str">
        <f t="shared" ca="1" si="133"/>
        <v/>
      </c>
      <c r="S35" s="397" t="str">
        <f ca="1">IFERROR(INDEX(ICE[], MATCH("hilo" &amp; TEXT(Crd!$A35, "mmmyy"), ICE[LongCode], 0), MATCH("ICE Theoretical Price", ICE[#Headers], 0)), "")</f>
        <v/>
      </c>
      <c r="T35" s="372" t="str">
        <f ca="1">IFERROR(INDEX(ICE[], MATCH("hilo" &amp; TEXT(Hvy!$A35, "mmmyy"), ICE[LongCode], 0), MATCH("Text", ICE[#Headers], 0)), "")</f>
        <v xml:space="preserve"> /  </v>
      </c>
      <c r="U35" s="46" t="str">
        <f t="shared" ca="1" si="106"/>
        <v/>
      </c>
      <c r="V35" s="47" t="str">
        <f t="shared" ca="1" si="134"/>
        <v/>
      </c>
      <c r="W35" s="114" t="str">
        <f t="shared" ca="1" si="135"/>
        <v/>
      </c>
      <c r="X35" s="49" t="str">
        <f t="shared" ca="1" si="107"/>
        <v/>
      </c>
      <c r="Y35" s="46" t="str">
        <f t="shared" ca="1" si="108"/>
        <v/>
      </c>
      <c r="Z35" s="47" t="str">
        <f t="shared" ca="1" si="136"/>
        <v/>
      </c>
      <c r="AA35" s="111" t="str">
        <f t="shared" ca="1" si="137"/>
        <v/>
      </c>
      <c r="AB35" s="397" t="str">
        <f ca="1">IFERROR(INDEX(ICE[], MATCH("hsfoew" &amp; TEXT(Crd!$A35, "mmmyy"), ICE[LongCode], 0), MATCH("ICE Theoretical Price", ICE[#Headers], 0)), "")</f>
        <v/>
      </c>
      <c r="AC35" s="372" t="str">
        <f ca="1">IFERROR(INDEX(ICE[], MATCH("hsfoew" &amp; TEXT(Hvy!$A35, "mmmyy"), ICE[LongCode], 0), MATCH("Text", ICE[#Headers], 0)), "")</f>
        <v xml:space="preserve"> /  </v>
      </c>
      <c r="AD35" s="46" t="str">
        <f t="shared" ca="1" si="109"/>
        <v/>
      </c>
      <c r="AE35" s="47" t="str">
        <f t="shared" ca="1" si="124"/>
        <v/>
      </c>
      <c r="AF35" s="114" t="str">
        <f t="shared" ca="1" si="125"/>
        <v/>
      </c>
      <c r="AG35" s="141" t="str">
        <f t="shared" ca="1" si="110"/>
        <v/>
      </c>
      <c r="AH35" s="46" t="str">
        <f t="shared" ca="1" si="111"/>
        <v/>
      </c>
      <c r="AI35" s="47" t="str">
        <f t="shared" ca="1" si="126"/>
        <v/>
      </c>
      <c r="AJ35" s="364" t="str">
        <f ca="1">IFERROR(INDEX(ICE[], MATCH("fo380" &amp; TEXT(Crd!$A34, "mmmyy") &amp; "/" &amp; TEXT(Crd!$A35, "mmmyy"), ICE[LongCode], 0), MATCH("Text", ICE[#Headers], 0)), "")</f>
        <v/>
      </c>
      <c r="AK35" s="114" t="str">
        <f t="shared" ca="1" si="127"/>
        <v/>
      </c>
      <c r="AL35" s="49" t="str">
        <f ca="1">IFERROR(IF(AND(ISNUMBER(Futs!$CC35), ISNUMBER($AG35)), $AG35/6.35 - Futs!$CC35, ""), "")</f>
        <v/>
      </c>
      <c r="AM35" s="372" t="str">
        <f ca="1">IFERROR(INDEX(ICE[], MATCH("fo380brx" &amp; TEXT(Hvy!$A35, "mmmyy"), ICE[LongCode], 0), MATCH("Text", ICE[#Headers], 0)), "")</f>
        <v xml:space="preserve"> /  </v>
      </c>
      <c r="AN35" s="46" t="str">
        <f ca="1">IFERROR(IF(AND(ISNUMBER(Futs!$CD35), ISNUMBER($AH35)), $AH35/6.35 - Futs!$CD35, ""), "")</f>
        <v/>
      </c>
      <c r="AO35" s="47" t="str">
        <f t="shared" ca="1" si="138"/>
        <v/>
      </c>
      <c r="AP35" s="114" t="str">
        <f t="shared" ca="1" si="139"/>
        <v/>
      </c>
      <c r="AQ35" s="49" t="str">
        <f ca="1">IFERROR(IF(AND(ISNUMBER(Crd!$X35), ISNUMBER($AG35)), $AG35/6.35 - Crd!$X35, ""), "")</f>
        <v/>
      </c>
      <c r="AR35" s="46" t="str">
        <f ca="1">IFERROR(IF(AND(ISNUMBER(Crd!$Y35), ISNUMBER($AH35)), $AH35/6.35 - Crd!$Y35, ""), "")</f>
        <v/>
      </c>
      <c r="AS35" s="47" t="str">
        <f t="shared" ca="1" si="140"/>
        <v/>
      </c>
      <c r="AT35" s="111" t="str">
        <f t="shared" ca="1" si="141"/>
        <v/>
      </c>
      <c r="AU35" s="397" t="str">
        <f ca="1">IFERROR(INDEX(ICE[], MATCH("visco" &amp; TEXT(Crd!$A35, "mmmyy"), ICE[LongCode], 0), MATCH("ICE Theoretical Price", ICE[#Headers], 0)), "")</f>
        <v/>
      </c>
      <c r="AV35" s="372" t="str">
        <f ca="1">IFERROR(INDEX(ICE[], MATCH("visco" &amp; TEXT(Hvy!$A35, "mmmyy"), ICE[LongCode], 0), MATCH("Text", ICE[#Headers], 0)), "")</f>
        <v xml:space="preserve"> /  </v>
      </c>
      <c r="AW35" s="46" t="str">
        <f t="shared" ca="1" si="112"/>
        <v/>
      </c>
      <c r="AX35" s="47" t="str">
        <f t="shared" ca="1" si="142"/>
        <v/>
      </c>
      <c r="AY35" s="46" t="str">
        <f t="shared" ca="1" si="143"/>
        <v/>
      </c>
      <c r="AZ35" s="141" t="str">
        <f t="shared" ca="1" si="113"/>
        <v/>
      </c>
      <c r="BA35" s="46" t="str">
        <f t="shared" ca="1" si="114"/>
        <v/>
      </c>
      <c r="BB35" s="47" t="str">
        <f t="shared" ca="1" si="144"/>
        <v/>
      </c>
      <c r="BC35" s="114" t="str">
        <f t="shared" ca="1" si="145"/>
        <v/>
      </c>
      <c r="BD35" s="49" t="str">
        <f ca="1">IFERROR(IF(AND(ISNUMBER(Futs!$CC35), ISNUMBER($AZ35)), $AZ35/6.35 - Futs!$CC35, ""), "")</f>
        <v/>
      </c>
      <c r="BE35" s="46" t="str">
        <f ca="1">IFERROR(IF(AND(ISNUMBER(Futs!$CD35), ISNUMBER($BA35)), $BA35/6.35 - Futs!$CD35, ""), "")</f>
        <v/>
      </c>
      <c r="BF35" s="47" t="str">
        <f t="shared" ca="1" si="146"/>
        <v/>
      </c>
      <c r="BG35" s="114" t="str">
        <f t="shared" ca="1" si="147"/>
        <v/>
      </c>
      <c r="BH35" s="49" t="str">
        <f ca="1">IFERROR(IF(AND(ISNUMBER(Crd!$X35), ISNUMBER($AZ35)), $AZ35/6.35 - Crd!$X35, ""), "")</f>
        <v/>
      </c>
      <c r="BI35" s="46" t="str">
        <f ca="1">IFERROR(IF(AND(ISNUMBER(Crd!$Y35), ISNUMBER($BA35)), $BA35/6.35 - Crd!$Y35, ""), "")</f>
        <v/>
      </c>
      <c r="BJ35" s="47" t="str">
        <f t="shared" ca="1" si="148"/>
        <v/>
      </c>
      <c r="BK35" s="111" t="str">
        <f t="shared" ca="1" si="149"/>
        <v/>
      </c>
      <c r="BL35" s="397" t="str">
        <f ca="1">IFERROR(INDEX(ICE[], MATCH("fo05bfrbrxbbl" &amp; TEXT(Crd!$A35, "mmmyy"), ICE[LongCode], 0), MATCH("ICE Theoretical Price", ICE[#Headers], 0)), "")</f>
        <v/>
      </c>
      <c r="BM35" s="372" t="str">
        <f ca="1">IFERROR(INDEX(ICE[], MATCH("fo05bfrbrx" &amp; TEXT(Hvy!$A35, "mmmyy"), ICE[LongCode], 0), MATCH("Text", ICE[#Headers], 0)), "")</f>
        <v xml:space="preserve"> /  </v>
      </c>
      <c r="BN35" s="46" t="str">
        <f t="shared" ca="1" si="115"/>
        <v/>
      </c>
      <c r="BO35" s="47" t="str">
        <f t="shared" ca="1" si="150"/>
        <v/>
      </c>
      <c r="BP35" s="46" t="str">
        <f t="shared" ca="1" si="151"/>
        <v/>
      </c>
      <c r="BQ35" s="141" t="str">
        <f ca="1">IFERROR(IF(AND(ISNUMBER(Futs!$CC35), ISNUMBER($BL35)), (Futs!$CC35 + $BL35)*6.35, ""), "")</f>
        <v/>
      </c>
      <c r="BR35" s="46" t="str">
        <f ca="1">IFERROR(IF(AND(ISNUMBER(Futs!$CD35), ISNUMBER($BN35)), (Futs!$CD35 + $BN35)*6.35, ""), "")</f>
        <v/>
      </c>
      <c r="BS35" s="47" t="str">
        <f t="shared" ca="1" si="152"/>
        <v/>
      </c>
      <c r="BT35" s="114" t="str">
        <f t="shared" ca="1" si="153"/>
        <v/>
      </c>
      <c r="BU35" s="49" t="str">
        <f t="shared" ca="1" si="116"/>
        <v/>
      </c>
      <c r="BV35" s="46" t="str">
        <f t="shared" ca="1" si="117"/>
        <v/>
      </c>
      <c r="BW35" s="47" t="str">
        <f t="shared" ca="1" si="154"/>
        <v/>
      </c>
      <c r="BX35" s="111" t="str">
        <f t="shared" ca="1" si="155"/>
        <v/>
      </c>
      <c r="BY35" s="397" t="str">
        <f ca="1">IFERROR(INDEX(ICE[], MATCH("fo05singbrxmt" &amp; TEXT(Crd!$A35, "mmmyy"), ICE[LongCode], 0), MATCH("ICE Theoretical Price", ICE[#Headers], 0)), "")</f>
        <v/>
      </c>
      <c r="BZ35" s="372" t="str">
        <f ca="1">IFERROR(INDEX(ICE[], MATCH("fo05singbrx" &amp; TEXT(Hvy!$A35, "mmmyy"), ICE[LongCode], 0), MATCH("Text", ICE[#Headers], 0)), "")</f>
        <v xml:space="preserve"> /  </v>
      </c>
      <c r="CA35" s="46" t="str">
        <f t="shared" ca="1" si="118"/>
        <v/>
      </c>
      <c r="CB35" s="47" t="str">
        <f t="shared" ca="1" si="156"/>
        <v/>
      </c>
      <c r="CC35" s="114" t="str">
        <f t="shared" ca="1" si="157"/>
        <v/>
      </c>
      <c r="CD35" s="141" t="str">
        <f ca="1">IFERROR(IF(AND(ISNUMBER(Futs!$CC35), ISNUMBER($BY35)), (Futs!$CC35 + $BY35)*6.35, ""), "")</f>
        <v/>
      </c>
      <c r="CE35" s="46" t="str">
        <f ca="1">IFERROR(IF(AND(ISNUMBER(Futs!$CD35), ISNUMBER($CA35)), (Futs!$CD35 + $CA35)*6.35, ""), "")</f>
        <v/>
      </c>
      <c r="CF35" s="47" t="str">
        <f t="shared" ca="1" si="158"/>
        <v/>
      </c>
      <c r="CG35" s="114" t="str">
        <f t="shared" ca="1" si="159"/>
        <v/>
      </c>
      <c r="CH35" s="141" t="str">
        <f t="shared" ca="1" si="119"/>
        <v/>
      </c>
      <c r="CI35" s="46" t="str">
        <f t="shared" ca="1" si="120"/>
        <v/>
      </c>
      <c r="CJ35" s="47" t="str">
        <f t="shared" ca="1" si="160"/>
        <v/>
      </c>
      <c r="CK35" s="114" t="str">
        <f t="shared" ca="1" si="161"/>
        <v/>
      </c>
      <c r="CL35" s="49" t="str">
        <f t="shared" ca="1" si="128"/>
        <v/>
      </c>
      <c r="CM35" s="46" t="str">
        <f t="shared" ca="1" si="129"/>
        <v/>
      </c>
      <c r="CN35" s="47" t="str">
        <f t="shared" ca="1" si="162"/>
        <v/>
      </c>
      <c r="CO35" s="111" t="str">
        <f t="shared" ca="1" si="163"/>
        <v/>
      </c>
    </row>
    <row r="36" spans="1:93" x14ac:dyDescent="0.25">
      <c r="A36" s="58">
        <f t="shared" ca="1" si="130"/>
        <v>46784</v>
      </c>
      <c r="B36" s="6">
        <f t="shared" ca="1" si="105"/>
        <v>2028</v>
      </c>
      <c r="C36" s="6" t="str">
        <f t="shared" ca="1" si="121"/>
        <v>Q128</v>
      </c>
      <c r="D36" s="28">
        <f ca="1">INDEX(ICE[], MATCH(D$18 &amp; TEXT(Hvy!$A36, "mmmyy"), ICE[LongCode], 0), MATCH("Settle", ICE[#Headers], 0))</f>
        <v>-8.2650000000000006</v>
      </c>
      <c r="E36" s="28">
        <f ca="1">INDEX(ICE[], MATCH(E$18 &amp; TEXT(Hvy!$A36, "mmmyy"), ICE[LongCode], 0), MATCH("Settle", ICE[#Headers], 0))</f>
        <v>17</v>
      </c>
      <c r="F36" s="28">
        <f ca="1">INDEX(ICE[], MATCH(F$18 &amp; TEXT(Hvy!$A36, "mmmyy"), ICE[LongCode], 0), MATCH("Settle", ICE[#Headers], 0))</f>
        <v>14.25</v>
      </c>
      <c r="G36" s="28">
        <f ca="1">INDEX(ICE[], MATCH(G$18 &amp; TEXT(Hvy!$A36, "mmmyy"), ICE[LongCode], 0), MATCH("Settle", ICE[#Headers], 0))</f>
        <v>12.75</v>
      </c>
      <c r="H36" s="28">
        <f ca="1">INDEX(ICE[], MATCH(H$18 &amp; TEXT(Hvy!$A36, "mmmyy"), ICE[LongCode], 0), MATCH("Settle", ICE[#Headers], 0))</f>
        <v>4.6640000000000006</v>
      </c>
      <c r="I36" s="28">
        <f ca="1">INDEX(ICE[], MATCH(I$18 &amp; TEXT(Hvy!$A36, "mmmyy"), ICE[LongCode], 0), MATCH("Settle", ICE[#Headers], 0))</f>
        <v>12.856100000000001</v>
      </c>
      <c r="J36" s="397" t="str">
        <f ca="1">IFERROR(INDEX(ICE[], MATCH("fo35brxbbl" &amp; TEXT(Crd!$A36, "mmmyy"), ICE[LongCode], 0), MATCH("ICE Theoretical Price", ICE[#Headers], 0)), "")</f>
        <v/>
      </c>
      <c r="K36" s="372" t="str">
        <f ca="1">IFERROR(INDEX(ICE[], MATCH("fo35brx" &amp; TEXT(Hvy!$A36, "mmmyy"), ICE[LongCode], 0), MATCH("Text", ICE[#Headers], 0)), "")</f>
        <v xml:space="preserve"> /  </v>
      </c>
      <c r="L36" s="46" t="str">
        <f t="shared" ca="1" si="122"/>
        <v/>
      </c>
      <c r="M36" s="47" t="str">
        <f t="shared" ca="1" si="123"/>
        <v/>
      </c>
      <c r="N36" s="46" t="str">
        <f t="shared" ca="1" si="131"/>
        <v/>
      </c>
      <c r="O36" s="141" t="str">
        <f ca="1">IFERROR(IF(AND(ISNUMBER(Futs!$CC36), ISNUMBER($J36)), (Futs!$CC36 + $J36)*6.35, ""), "")</f>
        <v/>
      </c>
      <c r="P36" s="67" t="str">
        <f ca="1">IFERROR(IF(AND(ISNUMBER(Futs!$CD36), ISNUMBER($L36)), (Futs!$CD36 + $L36)*6.35, ""), "")</f>
        <v/>
      </c>
      <c r="Q36" s="47" t="str">
        <f t="shared" ca="1" si="132"/>
        <v/>
      </c>
      <c r="R36" s="46" t="str">
        <f t="shared" ca="1" si="133"/>
        <v/>
      </c>
      <c r="S36" s="397" t="str">
        <f ca="1">IFERROR(INDEX(ICE[], MATCH("hilo" &amp; TEXT(Crd!$A36, "mmmyy"), ICE[LongCode], 0), MATCH("ICE Theoretical Price", ICE[#Headers], 0)), "")</f>
        <v/>
      </c>
      <c r="T36" s="372" t="str">
        <f ca="1">IFERROR(INDEX(ICE[], MATCH("hilo" &amp; TEXT(Hvy!$A36, "mmmyy"), ICE[LongCode], 0), MATCH("Text", ICE[#Headers], 0)), "")</f>
        <v xml:space="preserve"> /  </v>
      </c>
      <c r="U36" s="46" t="str">
        <f t="shared" ca="1" si="106"/>
        <v/>
      </c>
      <c r="V36" s="47" t="str">
        <f t="shared" ca="1" si="134"/>
        <v/>
      </c>
      <c r="W36" s="114" t="str">
        <f t="shared" ca="1" si="135"/>
        <v/>
      </c>
      <c r="X36" s="49" t="str">
        <f t="shared" ca="1" si="107"/>
        <v/>
      </c>
      <c r="Y36" s="46" t="str">
        <f t="shared" ca="1" si="108"/>
        <v/>
      </c>
      <c r="Z36" s="47" t="str">
        <f t="shared" ca="1" si="136"/>
        <v/>
      </c>
      <c r="AA36" s="111" t="str">
        <f t="shared" ca="1" si="137"/>
        <v/>
      </c>
      <c r="AB36" s="397" t="str">
        <f ca="1">IFERROR(INDEX(ICE[], MATCH("hsfoew" &amp; TEXT(Crd!$A36, "mmmyy"), ICE[LongCode], 0), MATCH("ICE Theoretical Price", ICE[#Headers], 0)), "")</f>
        <v/>
      </c>
      <c r="AC36" s="372" t="str">
        <f ca="1">IFERROR(INDEX(ICE[], MATCH("hsfoew" &amp; TEXT(Hvy!$A36, "mmmyy"), ICE[LongCode], 0), MATCH("Text", ICE[#Headers], 0)), "")</f>
        <v xml:space="preserve"> /  </v>
      </c>
      <c r="AD36" s="46" t="str">
        <f t="shared" ca="1" si="109"/>
        <v/>
      </c>
      <c r="AE36" s="47" t="str">
        <f t="shared" ca="1" si="124"/>
        <v/>
      </c>
      <c r="AF36" s="114" t="str">
        <f t="shared" ca="1" si="125"/>
        <v/>
      </c>
      <c r="AG36" s="141" t="str">
        <f t="shared" ca="1" si="110"/>
        <v/>
      </c>
      <c r="AH36" s="46" t="str">
        <f t="shared" ca="1" si="111"/>
        <v/>
      </c>
      <c r="AI36" s="47" t="str">
        <f t="shared" ca="1" si="126"/>
        <v/>
      </c>
      <c r="AJ36" s="364" t="str">
        <f ca="1">IFERROR(INDEX(ICE[], MATCH("fo380" &amp; TEXT(Crd!$A35, "mmmyy") &amp; "/" &amp; TEXT(Crd!$A36, "mmmyy"), ICE[LongCode], 0), MATCH("Text", ICE[#Headers], 0)), "")</f>
        <v/>
      </c>
      <c r="AK36" s="114" t="str">
        <f t="shared" ca="1" si="127"/>
        <v/>
      </c>
      <c r="AL36" s="49" t="str">
        <f ca="1">IFERROR(IF(AND(ISNUMBER(Futs!$CC36), ISNUMBER($AG36)), $AG36/6.35 - Futs!$CC36, ""), "")</f>
        <v/>
      </c>
      <c r="AM36" s="372" t="str">
        <f ca="1">IFERROR(INDEX(ICE[], MATCH("fo380brx" &amp; TEXT(Hvy!$A36, "mmmyy"), ICE[LongCode], 0), MATCH("Text", ICE[#Headers], 0)), "")</f>
        <v xml:space="preserve"> /  </v>
      </c>
      <c r="AN36" s="46" t="str">
        <f ca="1">IFERROR(IF(AND(ISNUMBER(Futs!$CD36), ISNUMBER($AH36)), $AH36/6.35 - Futs!$CD36, ""), "")</f>
        <v/>
      </c>
      <c r="AO36" s="47" t="str">
        <f t="shared" ca="1" si="138"/>
        <v/>
      </c>
      <c r="AP36" s="114" t="str">
        <f t="shared" ca="1" si="139"/>
        <v/>
      </c>
      <c r="AQ36" s="49" t="str">
        <f ca="1">IFERROR(IF(AND(ISNUMBER(Crd!$X36), ISNUMBER($AG36)), $AG36/6.35 - Crd!$X36, ""), "")</f>
        <v/>
      </c>
      <c r="AR36" s="46" t="str">
        <f ca="1">IFERROR(IF(AND(ISNUMBER(Crd!$Y36), ISNUMBER($AH36)), $AH36/6.35 - Crd!$Y36, ""), "")</f>
        <v/>
      </c>
      <c r="AS36" s="47" t="str">
        <f t="shared" ca="1" si="140"/>
        <v/>
      </c>
      <c r="AT36" s="111" t="str">
        <f t="shared" ca="1" si="141"/>
        <v/>
      </c>
      <c r="AU36" s="397" t="str">
        <f ca="1">IFERROR(INDEX(ICE[], MATCH("visco" &amp; TEXT(Crd!$A36, "mmmyy"), ICE[LongCode], 0), MATCH("ICE Theoretical Price", ICE[#Headers], 0)), "")</f>
        <v/>
      </c>
      <c r="AV36" s="372" t="str">
        <f ca="1">IFERROR(INDEX(ICE[], MATCH("visco" &amp; TEXT(Hvy!$A36, "mmmyy"), ICE[LongCode], 0), MATCH("Text", ICE[#Headers], 0)), "")</f>
        <v xml:space="preserve"> /  </v>
      </c>
      <c r="AW36" s="46" t="str">
        <f t="shared" ca="1" si="112"/>
        <v/>
      </c>
      <c r="AX36" s="47" t="str">
        <f t="shared" ca="1" si="142"/>
        <v/>
      </c>
      <c r="AY36" s="46" t="str">
        <f t="shared" ca="1" si="143"/>
        <v/>
      </c>
      <c r="AZ36" s="141" t="str">
        <f t="shared" ca="1" si="113"/>
        <v/>
      </c>
      <c r="BA36" s="46" t="str">
        <f t="shared" ca="1" si="114"/>
        <v/>
      </c>
      <c r="BB36" s="47" t="str">
        <f t="shared" ca="1" si="144"/>
        <v/>
      </c>
      <c r="BC36" s="114" t="str">
        <f t="shared" ca="1" si="145"/>
        <v/>
      </c>
      <c r="BD36" s="49" t="str">
        <f ca="1">IFERROR(IF(AND(ISNUMBER(Futs!$CC36), ISNUMBER($AZ36)), $AZ36/6.35 - Futs!$CC36, ""), "")</f>
        <v/>
      </c>
      <c r="BE36" s="46" t="str">
        <f ca="1">IFERROR(IF(AND(ISNUMBER(Futs!$CD36), ISNUMBER($BA36)), $BA36/6.35 - Futs!$CD36, ""), "")</f>
        <v/>
      </c>
      <c r="BF36" s="47" t="str">
        <f t="shared" ca="1" si="146"/>
        <v/>
      </c>
      <c r="BG36" s="114" t="str">
        <f t="shared" ca="1" si="147"/>
        <v/>
      </c>
      <c r="BH36" s="49" t="str">
        <f ca="1">IFERROR(IF(AND(ISNUMBER(Crd!$X36), ISNUMBER($AZ36)), $AZ36/6.35 - Crd!$X36, ""), "")</f>
        <v/>
      </c>
      <c r="BI36" s="46" t="str">
        <f ca="1">IFERROR(IF(AND(ISNUMBER(Crd!$Y36), ISNUMBER($BA36)), $BA36/6.35 - Crd!$Y36, ""), "")</f>
        <v/>
      </c>
      <c r="BJ36" s="47" t="str">
        <f t="shared" ca="1" si="148"/>
        <v/>
      </c>
      <c r="BK36" s="111" t="str">
        <f t="shared" ca="1" si="149"/>
        <v/>
      </c>
      <c r="BL36" s="397" t="str">
        <f ca="1">IFERROR(INDEX(ICE[], MATCH("fo05bfrbrxbbl" &amp; TEXT(Crd!$A36, "mmmyy"), ICE[LongCode], 0), MATCH("ICE Theoretical Price", ICE[#Headers], 0)), "")</f>
        <v/>
      </c>
      <c r="BM36" s="372" t="str">
        <f ca="1">IFERROR(INDEX(ICE[], MATCH("fo05bfrbrx" &amp; TEXT(Hvy!$A36, "mmmyy"), ICE[LongCode], 0), MATCH("Text", ICE[#Headers], 0)), "")</f>
        <v xml:space="preserve"> /  </v>
      </c>
      <c r="BN36" s="46" t="str">
        <f t="shared" ca="1" si="115"/>
        <v/>
      </c>
      <c r="BO36" s="47" t="str">
        <f t="shared" ca="1" si="150"/>
        <v/>
      </c>
      <c r="BP36" s="46" t="str">
        <f t="shared" ca="1" si="151"/>
        <v/>
      </c>
      <c r="BQ36" s="141" t="str">
        <f ca="1">IFERROR(IF(AND(ISNUMBER(Futs!$CC36), ISNUMBER($BL36)), (Futs!$CC36 + $BL36)*6.35, ""), "")</f>
        <v/>
      </c>
      <c r="BR36" s="46" t="str">
        <f ca="1">IFERROR(IF(AND(ISNUMBER(Futs!$CD36), ISNUMBER($BN36)), (Futs!$CD36 + $BN36)*6.35, ""), "")</f>
        <v/>
      </c>
      <c r="BS36" s="47" t="str">
        <f t="shared" ca="1" si="152"/>
        <v/>
      </c>
      <c r="BT36" s="114" t="str">
        <f t="shared" ca="1" si="153"/>
        <v/>
      </c>
      <c r="BU36" s="49" t="str">
        <f t="shared" ca="1" si="116"/>
        <v/>
      </c>
      <c r="BV36" s="46" t="str">
        <f t="shared" ca="1" si="117"/>
        <v/>
      </c>
      <c r="BW36" s="47" t="str">
        <f t="shared" ca="1" si="154"/>
        <v/>
      </c>
      <c r="BX36" s="111" t="str">
        <f t="shared" ca="1" si="155"/>
        <v/>
      </c>
      <c r="BY36" s="397" t="str">
        <f ca="1">IFERROR(INDEX(ICE[], MATCH("fo05singbrxmt" &amp; TEXT(Crd!$A36, "mmmyy"), ICE[LongCode], 0), MATCH("ICE Theoretical Price", ICE[#Headers], 0)), "")</f>
        <v/>
      </c>
      <c r="BZ36" s="372" t="str">
        <f ca="1">IFERROR(INDEX(ICE[], MATCH("fo05singbrx" &amp; TEXT(Hvy!$A36, "mmmyy"), ICE[LongCode], 0), MATCH("Text", ICE[#Headers], 0)), "")</f>
        <v xml:space="preserve"> /  </v>
      </c>
      <c r="CA36" s="46" t="str">
        <f t="shared" ca="1" si="118"/>
        <v/>
      </c>
      <c r="CB36" s="47" t="str">
        <f t="shared" ca="1" si="156"/>
        <v/>
      </c>
      <c r="CC36" s="114" t="str">
        <f t="shared" ca="1" si="157"/>
        <v/>
      </c>
      <c r="CD36" s="141" t="str">
        <f ca="1">IFERROR(IF(AND(ISNUMBER(Futs!$CC36), ISNUMBER($BY36)), (Futs!$CC36 + $BY36)*6.35, ""), "")</f>
        <v/>
      </c>
      <c r="CE36" s="46" t="str">
        <f ca="1">IFERROR(IF(AND(ISNUMBER(Futs!$CD36), ISNUMBER($CA36)), (Futs!$CD36 + $CA36)*6.35, ""), "")</f>
        <v/>
      </c>
      <c r="CF36" s="47" t="str">
        <f t="shared" ca="1" si="158"/>
        <v/>
      </c>
      <c r="CG36" s="114" t="str">
        <f t="shared" ca="1" si="159"/>
        <v/>
      </c>
      <c r="CH36" s="141" t="str">
        <f t="shared" ca="1" si="119"/>
        <v/>
      </c>
      <c r="CI36" s="46" t="str">
        <f t="shared" ca="1" si="120"/>
        <v/>
      </c>
      <c r="CJ36" s="47" t="str">
        <f t="shared" ca="1" si="160"/>
        <v/>
      </c>
      <c r="CK36" s="114" t="str">
        <f t="shared" ca="1" si="161"/>
        <v/>
      </c>
      <c r="CL36" s="49" t="str">
        <f t="shared" ca="1" si="128"/>
        <v/>
      </c>
      <c r="CM36" s="46" t="str">
        <f t="shared" ca="1" si="129"/>
        <v/>
      </c>
      <c r="CN36" s="47" t="str">
        <f t="shared" ca="1" si="162"/>
        <v/>
      </c>
      <c r="CO36" s="111" t="str">
        <f t="shared" ca="1" si="163"/>
        <v/>
      </c>
    </row>
    <row r="37" spans="1:93" x14ac:dyDescent="0.25">
      <c r="A37" s="58">
        <f t="shared" ca="1" si="130"/>
        <v>46813</v>
      </c>
      <c r="B37" s="6">
        <f t="shared" ca="1" si="105"/>
        <v>2028</v>
      </c>
      <c r="C37" s="6" t="str">
        <f t="shared" ca="1" si="121"/>
        <v>Q128</v>
      </c>
      <c r="D37" s="28">
        <f ca="1">INDEX(ICE[], MATCH(D$18 &amp; TEXT(Hvy!$A37, "mmmyy"), ICE[LongCode], 0), MATCH("Settle", ICE[#Headers], 0))</f>
        <v>-8.1639999999999997</v>
      </c>
      <c r="E37" s="28">
        <f ca="1">INDEX(ICE[], MATCH(E$18 &amp; TEXT(Hvy!$A37, "mmmyy"), ICE[LongCode], 0), MATCH("Settle", ICE[#Headers], 0))</f>
        <v>16.75</v>
      </c>
      <c r="F37" s="28">
        <f ca="1">INDEX(ICE[], MATCH(F$18 &amp; TEXT(Hvy!$A37, "mmmyy"), ICE[LongCode], 0), MATCH("Settle", ICE[#Headers], 0))</f>
        <v>15.75</v>
      </c>
      <c r="G37" s="28">
        <f ca="1">INDEX(ICE[], MATCH(G$18 &amp; TEXT(Hvy!$A37, "mmmyy"), ICE[LongCode], 0), MATCH("Settle", ICE[#Headers], 0))</f>
        <v>12.75</v>
      </c>
      <c r="H37" s="28">
        <f ca="1">INDEX(ICE[], MATCH(H$18 &amp; TEXT(Hvy!$A37, "mmmyy"), ICE[LongCode], 0), MATCH("Settle", ICE[#Headers], 0))</f>
        <v>4.6470000000000002</v>
      </c>
      <c r="I37" s="28">
        <f ca="1">INDEX(ICE[], MATCH(I$18 &amp; TEXT(Hvy!$A37, "mmmyy"), ICE[LongCode], 0), MATCH("Settle", ICE[#Headers], 0))</f>
        <v>12.799800000000001</v>
      </c>
      <c r="J37" s="397" t="str">
        <f ca="1">IFERROR(INDEX(ICE[], MATCH("fo35brxbbl" &amp; TEXT(Crd!$A37, "mmmyy"), ICE[LongCode], 0), MATCH("ICE Theoretical Price", ICE[#Headers], 0)), "")</f>
        <v/>
      </c>
      <c r="K37" s="372" t="str">
        <f ca="1">IFERROR(INDEX(ICE[], MATCH("fo35brx" &amp; TEXT(Hvy!$A37, "mmmyy"), ICE[LongCode], 0), MATCH("Text", ICE[#Headers], 0)), "")</f>
        <v xml:space="preserve"> /  </v>
      </c>
      <c r="L37" s="46" t="str">
        <f t="shared" ca="1" si="122"/>
        <v/>
      </c>
      <c r="M37" s="47" t="str">
        <f t="shared" ca="1" si="123"/>
        <v/>
      </c>
      <c r="N37" s="46" t="str">
        <f t="shared" ca="1" si="131"/>
        <v/>
      </c>
      <c r="O37" s="141" t="str">
        <f ca="1">IFERROR(IF(AND(ISNUMBER(Futs!$CC37), ISNUMBER($J37)), (Futs!$CC37 + $J37)*6.35, ""), "")</f>
        <v/>
      </c>
      <c r="P37" s="67" t="str">
        <f ca="1">IFERROR(IF(AND(ISNUMBER(Futs!$CD37), ISNUMBER($L37)), (Futs!$CD37 + $L37)*6.35, ""), "")</f>
        <v/>
      </c>
      <c r="Q37" s="47" t="str">
        <f t="shared" ca="1" si="132"/>
        <v/>
      </c>
      <c r="R37" s="46" t="str">
        <f t="shared" ca="1" si="133"/>
        <v/>
      </c>
      <c r="S37" s="397" t="str">
        <f ca="1">IFERROR(INDEX(ICE[], MATCH("hilo" &amp; TEXT(Crd!$A37, "mmmyy"), ICE[LongCode], 0), MATCH("ICE Theoretical Price", ICE[#Headers], 0)), "")</f>
        <v/>
      </c>
      <c r="T37" s="372" t="str">
        <f ca="1">IFERROR(INDEX(ICE[], MATCH("hilo" &amp; TEXT(Hvy!$A37, "mmmyy"), ICE[LongCode], 0), MATCH("Text", ICE[#Headers], 0)), "")</f>
        <v xml:space="preserve"> /  </v>
      </c>
      <c r="U37" s="46" t="str">
        <f t="shared" ca="1" si="106"/>
        <v/>
      </c>
      <c r="V37" s="47" t="str">
        <f t="shared" ca="1" si="134"/>
        <v/>
      </c>
      <c r="W37" s="114" t="str">
        <f t="shared" ca="1" si="135"/>
        <v/>
      </c>
      <c r="X37" s="49" t="str">
        <f t="shared" ca="1" si="107"/>
        <v/>
      </c>
      <c r="Y37" s="46" t="str">
        <f t="shared" ca="1" si="108"/>
        <v/>
      </c>
      <c r="Z37" s="47" t="str">
        <f t="shared" ca="1" si="136"/>
        <v/>
      </c>
      <c r="AA37" s="111" t="str">
        <f t="shared" ca="1" si="137"/>
        <v/>
      </c>
      <c r="AB37" s="397" t="str">
        <f ca="1">IFERROR(INDEX(ICE[], MATCH("hsfoew" &amp; TEXT(Crd!$A37, "mmmyy"), ICE[LongCode], 0), MATCH("ICE Theoretical Price", ICE[#Headers], 0)), "")</f>
        <v/>
      </c>
      <c r="AC37" s="372" t="str">
        <f ca="1">IFERROR(INDEX(ICE[], MATCH("hsfoew" &amp; TEXT(Hvy!$A37, "mmmyy"), ICE[LongCode], 0), MATCH("Text", ICE[#Headers], 0)), "")</f>
        <v xml:space="preserve"> /  </v>
      </c>
      <c r="AD37" s="46" t="str">
        <f t="shared" ca="1" si="109"/>
        <v/>
      </c>
      <c r="AE37" s="47" t="str">
        <f t="shared" ca="1" si="124"/>
        <v/>
      </c>
      <c r="AF37" s="114" t="str">
        <f t="shared" ca="1" si="125"/>
        <v/>
      </c>
      <c r="AG37" s="141" t="str">
        <f t="shared" ca="1" si="110"/>
        <v/>
      </c>
      <c r="AH37" s="46" t="str">
        <f t="shared" ca="1" si="111"/>
        <v/>
      </c>
      <c r="AI37" s="47" t="str">
        <f t="shared" ca="1" si="126"/>
        <v/>
      </c>
      <c r="AJ37" s="364" t="str">
        <f ca="1">IFERROR(INDEX(ICE[], MATCH("fo380" &amp; TEXT(Crd!$A36, "mmmyy") &amp; "/" &amp; TEXT(Crd!$A37, "mmmyy"), ICE[LongCode], 0), MATCH("Text", ICE[#Headers], 0)), "")</f>
        <v/>
      </c>
      <c r="AK37" s="114" t="str">
        <f t="shared" ca="1" si="127"/>
        <v/>
      </c>
      <c r="AL37" s="49" t="str">
        <f ca="1">IFERROR(IF(AND(ISNUMBER(Futs!$CC37), ISNUMBER($AG37)), $AG37/6.35 - Futs!$CC37, ""), "")</f>
        <v/>
      </c>
      <c r="AM37" s="372" t="str">
        <f ca="1">IFERROR(INDEX(ICE[], MATCH("fo380brx" &amp; TEXT(Hvy!$A37, "mmmyy"), ICE[LongCode], 0), MATCH("Text", ICE[#Headers], 0)), "")</f>
        <v xml:space="preserve"> /  </v>
      </c>
      <c r="AN37" s="46" t="str">
        <f ca="1">IFERROR(IF(AND(ISNUMBER(Futs!$CD37), ISNUMBER($AH37)), $AH37/6.35 - Futs!$CD37, ""), "")</f>
        <v/>
      </c>
      <c r="AO37" s="47" t="str">
        <f t="shared" ca="1" si="138"/>
        <v/>
      </c>
      <c r="AP37" s="114" t="str">
        <f t="shared" ca="1" si="139"/>
        <v/>
      </c>
      <c r="AQ37" s="49" t="str">
        <f ca="1">IFERROR(IF(AND(ISNUMBER(Crd!$X37), ISNUMBER($AG37)), $AG37/6.35 - Crd!$X37, ""), "")</f>
        <v/>
      </c>
      <c r="AR37" s="46" t="str">
        <f ca="1">IFERROR(IF(AND(ISNUMBER(Crd!$Y37), ISNUMBER($AH37)), $AH37/6.35 - Crd!$Y37, ""), "")</f>
        <v/>
      </c>
      <c r="AS37" s="47" t="str">
        <f t="shared" ca="1" si="140"/>
        <v/>
      </c>
      <c r="AT37" s="111" t="str">
        <f t="shared" ca="1" si="141"/>
        <v/>
      </c>
      <c r="AU37" s="397" t="str">
        <f ca="1">IFERROR(INDEX(ICE[], MATCH("visco" &amp; TEXT(Crd!$A37, "mmmyy"), ICE[LongCode], 0), MATCH("ICE Theoretical Price", ICE[#Headers], 0)), "")</f>
        <v/>
      </c>
      <c r="AV37" s="372" t="str">
        <f ca="1">IFERROR(INDEX(ICE[], MATCH("visco" &amp; TEXT(Hvy!$A37, "mmmyy"), ICE[LongCode], 0), MATCH("Text", ICE[#Headers], 0)), "")</f>
        <v xml:space="preserve"> /  </v>
      </c>
      <c r="AW37" s="46" t="str">
        <f t="shared" ca="1" si="112"/>
        <v/>
      </c>
      <c r="AX37" s="47" t="str">
        <f t="shared" ca="1" si="142"/>
        <v/>
      </c>
      <c r="AY37" s="46" t="str">
        <f t="shared" ca="1" si="143"/>
        <v/>
      </c>
      <c r="AZ37" s="141" t="str">
        <f t="shared" ca="1" si="113"/>
        <v/>
      </c>
      <c r="BA37" s="46" t="str">
        <f t="shared" ca="1" si="114"/>
        <v/>
      </c>
      <c r="BB37" s="47" t="str">
        <f t="shared" ca="1" si="144"/>
        <v/>
      </c>
      <c r="BC37" s="114" t="str">
        <f t="shared" ca="1" si="145"/>
        <v/>
      </c>
      <c r="BD37" s="49" t="str">
        <f ca="1">IFERROR(IF(AND(ISNUMBER(Futs!$CC37), ISNUMBER($AZ37)), $AZ37/6.35 - Futs!$CC37, ""), "")</f>
        <v/>
      </c>
      <c r="BE37" s="46" t="str">
        <f ca="1">IFERROR(IF(AND(ISNUMBER(Futs!$CD37), ISNUMBER($BA37)), $BA37/6.35 - Futs!$CD37, ""), "")</f>
        <v/>
      </c>
      <c r="BF37" s="47" t="str">
        <f t="shared" ca="1" si="146"/>
        <v/>
      </c>
      <c r="BG37" s="114" t="str">
        <f t="shared" ca="1" si="147"/>
        <v/>
      </c>
      <c r="BH37" s="49" t="str">
        <f ca="1">IFERROR(IF(AND(ISNUMBER(Crd!$X37), ISNUMBER($AZ37)), $AZ37/6.35 - Crd!$X37, ""), "")</f>
        <v/>
      </c>
      <c r="BI37" s="46" t="str">
        <f ca="1">IFERROR(IF(AND(ISNUMBER(Crd!$Y37), ISNUMBER($BA37)), $BA37/6.35 - Crd!$Y37, ""), "")</f>
        <v/>
      </c>
      <c r="BJ37" s="47" t="str">
        <f t="shared" ca="1" si="148"/>
        <v/>
      </c>
      <c r="BK37" s="111" t="str">
        <f t="shared" ca="1" si="149"/>
        <v/>
      </c>
      <c r="BL37" s="397" t="str">
        <f ca="1">IFERROR(INDEX(ICE[], MATCH("fo05bfrbrxbbl" &amp; TEXT(Crd!$A37, "mmmyy"), ICE[LongCode], 0), MATCH("ICE Theoretical Price", ICE[#Headers], 0)), "")</f>
        <v/>
      </c>
      <c r="BM37" s="372" t="str">
        <f ca="1">IFERROR(INDEX(ICE[], MATCH("fo05bfrbrx" &amp; TEXT(Hvy!$A37, "mmmyy"), ICE[LongCode], 0), MATCH("Text", ICE[#Headers], 0)), "")</f>
        <v xml:space="preserve"> /  </v>
      </c>
      <c r="BN37" s="46" t="str">
        <f t="shared" ca="1" si="115"/>
        <v/>
      </c>
      <c r="BO37" s="47" t="str">
        <f t="shared" ca="1" si="150"/>
        <v/>
      </c>
      <c r="BP37" s="46" t="str">
        <f t="shared" ca="1" si="151"/>
        <v/>
      </c>
      <c r="BQ37" s="141" t="str">
        <f ca="1">IFERROR(IF(AND(ISNUMBER(Futs!$CC37), ISNUMBER($BL37)), (Futs!$CC37 + $BL37)*6.35, ""), "")</f>
        <v/>
      </c>
      <c r="BR37" s="46" t="str">
        <f ca="1">IFERROR(IF(AND(ISNUMBER(Futs!$CD37), ISNUMBER($BN37)), (Futs!$CD37 + $BN37)*6.35, ""), "")</f>
        <v/>
      </c>
      <c r="BS37" s="47" t="str">
        <f t="shared" ca="1" si="152"/>
        <v/>
      </c>
      <c r="BT37" s="114" t="str">
        <f t="shared" ca="1" si="153"/>
        <v/>
      </c>
      <c r="BU37" s="49" t="str">
        <f t="shared" ca="1" si="116"/>
        <v/>
      </c>
      <c r="BV37" s="46" t="str">
        <f t="shared" ca="1" si="117"/>
        <v/>
      </c>
      <c r="BW37" s="47" t="str">
        <f t="shared" ca="1" si="154"/>
        <v/>
      </c>
      <c r="BX37" s="111" t="str">
        <f t="shared" ca="1" si="155"/>
        <v/>
      </c>
      <c r="BY37" s="397" t="str">
        <f ca="1">IFERROR(INDEX(ICE[], MATCH("fo05singbrxmt" &amp; TEXT(Crd!$A37, "mmmyy"), ICE[LongCode], 0), MATCH("ICE Theoretical Price", ICE[#Headers], 0)), "")</f>
        <v/>
      </c>
      <c r="BZ37" s="372" t="str">
        <f ca="1">IFERROR(INDEX(ICE[], MATCH("fo05singbrx" &amp; TEXT(Hvy!$A37, "mmmyy"), ICE[LongCode], 0), MATCH("Text", ICE[#Headers], 0)), "")</f>
        <v xml:space="preserve"> /  </v>
      </c>
      <c r="CA37" s="46" t="str">
        <f t="shared" ca="1" si="118"/>
        <v/>
      </c>
      <c r="CB37" s="47" t="str">
        <f t="shared" ca="1" si="156"/>
        <v/>
      </c>
      <c r="CC37" s="114" t="str">
        <f t="shared" ca="1" si="157"/>
        <v/>
      </c>
      <c r="CD37" s="141" t="str">
        <f ca="1">IFERROR(IF(AND(ISNUMBER(Futs!$CC37), ISNUMBER($BY37)), (Futs!$CC37 + $BY37)*6.35, ""), "")</f>
        <v/>
      </c>
      <c r="CE37" s="46" t="str">
        <f ca="1">IFERROR(IF(AND(ISNUMBER(Futs!$CD37), ISNUMBER($CA37)), (Futs!$CD37 + $CA37)*6.35, ""), "")</f>
        <v/>
      </c>
      <c r="CF37" s="47" t="str">
        <f t="shared" ca="1" si="158"/>
        <v/>
      </c>
      <c r="CG37" s="114" t="str">
        <f t="shared" ca="1" si="159"/>
        <v/>
      </c>
      <c r="CH37" s="141" t="str">
        <f t="shared" ca="1" si="119"/>
        <v/>
      </c>
      <c r="CI37" s="46" t="str">
        <f t="shared" ca="1" si="120"/>
        <v/>
      </c>
      <c r="CJ37" s="47" t="str">
        <f t="shared" ca="1" si="160"/>
        <v/>
      </c>
      <c r="CK37" s="114" t="str">
        <f t="shared" ca="1" si="161"/>
        <v/>
      </c>
      <c r="CL37" s="49" t="str">
        <f t="shared" ca="1" si="128"/>
        <v/>
      </c>
      <c r="CM37" s="46" t="str">
        <f t="shared" ca="1" si="129"/>
        <v/>
      </c>
      <c r="CN37" s="47" t="str">
        <f t="shared" ca="1" si="162"/>
        <v/>
      </c>
      <c r="CO37" s="111" t="str">
        <f t="shared" ca="1" si="163"/>
        <v/>
      </c>
    </row>
    <row r="38" spans="1:93" x14ac:dyDescent="0.25">
      <c r="A38" s="58">
        <f t="shared" ca="1" si="130"/>
        <v>46844</v>
      </c>
      <c r="B38" s="6">
        <f t="shared" ca="1" si="105"/>
        <v>2028</v>
      </c>
      <c r="C38" s="6" t="str">
        <f t="shared" ca="1" si="121"/>
        <v>Q228</v>
      </c>
      <c r="D38" s="28">
        <f ca="1">INDEX(ICE[], MATCH(D$18 &amp; TEXT(Hvy!$A38, "mmmyy"), ICE[LongCode], 0), MATCH("Settle", ICE[#Headers], 0))</f>
        <v>-8.0780000000000012</v>
      </c>
      <c r="E38" s="28">
        <f ca="1">INDEX(ICE[], MATCH(E$18 &amp; TEXT(Hvy!$A38, "mmmyy"), ICE[LongCode], 0), MATCH("Settle", ICE[#Headers], 0))</f>
        <v>16.5</v>
      </c>
      <c r="F38" s="28">
        <f ca="1">INDEX(ICE[], MATCH(F$18 &amp; TEXT(Hvy!$A38, "mmmyy"), ICE[LongCode], 0), MATCH("Settle", ICE[#Headers], 0))</f>
        <v>17.25</v>
      </c>
      <c r="G38" s="28">
        <f ca="1">INDEX(ICE[], MATCH(G$18 &amp; TEXT(Hvy!$A38, "mmmyy"), ICE[LongCode], 0), MATCH("Settle", ICE[#Headers], 0))</f>
        <v>12.5</v>
      </c>
      <c r="H38" s="28">
        <f ca="1">INDEX(ICE[], MATCH(H$18 &amp; TEXT(Hvy!$A38, "mmmyy"), ICE[LongCode], 0), MATCH("Settle", ICE[#Headers], 0))</f>
        <v>4.6543999999999999</v>
      </c>
      <c r="I38" s="28">
        <f ca="1">INDEX(ICE[], MATCH(I$18 &amp; TEXT(Hvy!$A38, "mmmyy"), ICE[LongCode], 0), MATCH("Settle", ICE[#Headers], 0))</f>
        <v>12.7285</v>
      </c>
      <c r="J38" s="397" t="str">
        <f ca="1">IFERROR(INDEX(ICE[], MATCH("fo35brxbbl" &amp; TEXT(Crd!$A38, "mmmyy"), ICE[LongCode], 0), MATCH("ICE Theoretical Price", ICE[#Headers], 0)), "")</f>
        <v/>
      </c>
      <c r="K38" s="372" t="str">
        <f ca="1">IFERROR(INDEX(ICE[], MATCH("fo35brx" &amp; TEXT(Hvy!$A38, "mmmyy"), ICE[LongCode], 0), MATCH("Text", ICE[#Headers], 0)), "")</f>
        <v xml:space="preserve"> /  </v>
      </c>
      <c r="L38" s="46" t="str">
        <f t="shared" ca="1" si="122"/>
        <v/>
      </c>
      <c r="M38" s="47" t="str">
        <f t="shared" ca="1" si="123"/>
        <v/>
      </c>
      <c r="N38" s="46" t="str">
        <f t="shared" ca="1" si="131"/>
        <v/>
      </c>
      <c r="O38" s="141" t="str">
        <f ca="1">IFERROR(IF(AND(ISNUMBER(Futs!$CC38), ISNUMBER($J38)), (Futs!$CC38 + $J38)*6.35, ""), "")</f>
        <v/>
      </c>
      <c r="P38" s="67" t="str">
        <f ca="1">IFERROR(IF(AND(ISNUMBER(Futs!$CD38), ISNUMBER($L38)), (Futs!$CD38 + $L38)*6.35, ""), "")</f>
        <v/>
      </c>
      <c r="Q38" s="47" t="str">
        <f t="shared" ca="1" si="132"/>
        <v/>
      </c>
      <c r="R38" s="46" t="str">
        <f t="shared" ca="1" si="133"/>
        <v/>
      </c>
      <c r="S38" s="397" t="str">
        <f ca="1">IFERROR(INDEX(ICE[], MATCH("hilo" &amp; TEXT(Crd!$A38, "mmmyy"), ICE[LongCode], 0), MATCH("ICE Theoretical Price", ICE[#Headers], 0)), "")</f>
        <v/>
      </c>
      <c r="T38" s="372" t="str">
        <f ca="1">IFERROR(INDEX(ICE[], MATCH("hilo" &amp; TEXT(Hvy!$A38, "mmmyy"), ICE[LongCode], 0), MATCH("Text", ICE[#Headers], 0)), "")</f>
        <v xml:space="preserve"> /  </v>
      </c>
      <c r="U38" s="46" t="str">
        <f t="shared" ca="1" si="106"/>
        <v/>
      </c>
      <c r="V38" s="47" t="str">
        <f t="shared" ca="1" si="134"/>
        <v/>
      </c>
      <c r="W38" s="114" t="str">
        <f t="shared" ca="1" si="135"/>
        <v/>
      </c>
      <c r="X38" s="49" t="str">
        <f t="shared" ca="1" si="107"/>
        <v/>
      </c>
      <c r="Y38" s="46" t="str">
        <f t="shared" ca="1" si="108"/>
        <v/>
      </c>
      <c r="Z38" s="47" t="str">
        <f t="shared" ca="1" si="136"/>
        <v/>
      </c>
      <c r="AA38" s="111" t="str">
        <f t="shared" ca="1" si="137"/>
        <v/>
      </c>
      <c r="AB38" s="397" t="str">
        <f ca="1">IFERROR(INDEX(ICE[], MATCH("hsfoew" &amp; TEXT(Crd!$A38, "mmmyy"), ICE[LongCode], 0), MATCH("ICE Theoretical Price", ICE[#Headers], 0)), "")</f>
        <v/>
      </c>
      <c r="AC38" s="372" t="str">
        <f ca="1">IFERROR(INDEX(ICE[], MATCH("hsfoew" &amp; TEXT(Hvy!$A38, "mmmyy"), ICE[LongCode], 0), MATCH("Text", ICE[#Headers], 0)), "")</f>
        <v xml:space="preserve"> /  </v>
      </c>
      <c r="AD38" s="46" t="str">
        <f t="shared" ca="1" si="109"/>
        <v/>
      </c>
      <c r="AE38" s="47" t="str">
        <f t="shared" ca="1" si="124"/>
        <v/>
      </c>
      <c r="AF38" s="114" t="str">
        <f t="shared" ca="1" si="125"/>
        <v/>
      </c>
      <c r="AG38" s="141" t="str">
        <f t="shared" ca="1" si="110"/>
        <v/>
      </c>
      <c r="AH38" s="46" t="str">
        <f t="shared" ca="1" si="111"/>
        <v/>
      </c>
      <c r="AI38" s="47" t="str">
        <f t="shared" ca="1" si="126"/>
        <v/>
      </c>
      <c r="AJ38" s="364" t="str">
        <f ca="1">IFERROR(INDEX(ICE[], MATCH("fo380" &amp; TEXT(Crd!$A37, "mmmyy") &amp; "/" &amp; TEXT(Crd!$A38, "mmmyy"), ICE[LongCode], 0), MATCH("Text", ICE[#Headers], 0)), "")</f>
        <v/>
      </c>
      <c r="AK38" s="114" t="str">
        <f t="shared" ca="1" si="127"/>
        <v/>
      </c>
      <c r="AL38" s="49" t="str">
        <f ca="1">IFERROR(IF(AND(ISNUMBER(Futs!$CC38), ISNUMBER($AG38)), $AG38/6.35 - Futs!$CC38, ""), "")</f>
        <v/>
      </c>
      <c r="AM38" s="372" t="str">
        <f ca="1">IFERROR(INDEX(ICE[], MATCH("fo380brx" &amp; TEXT(Hvy!$A38, "mmmyy"), ICE[LongCode], 0), MATCH("Text", ICE[#Headers], 0)), "")</f>
        <v xml:space="preserve"> /  </v>
      </c>
      <c r="AN38" s="46" t="str">
        <f ca="1">IFERROR(IF(AND(ISNUMBER(Futs!$CD38), ISNUMBER($AH38)), $AH38/6.35 - Futs!$CD38, ""), "")</f>
        <v/>
      </c>
      <c r="AO38" s="47" t="str">
        <f t="shared" ca="1" si="138"/>
        <v/>
      </c>
      <c r="AP38" s="114" t="str">
        <f t="shared" ca="1" si="139"/>
        <v/>
      </c>
      <c r="AQ38" s="49" t="str">
        <f ca="1">IFERROR(IF(AND(ISNUMBER(Crd!$X38), ISNUMBER($AG38)), $AG38/6.35 - Crd!$X38, ""), "")</f>
        <v/>
      </c>
      <c r="AR38" s="46" t="str">
        <f ca="1">IFERROR(IF(AND(ISNUMBER(Crd!$Y38), ISNUMBER($AH38)), $AH38/6.35 - Crd!$Y38, ""), "")</f>
        <v/>
      </c>
      <c r="AS38" s="47" t="str">
        <f t="shared" ca="1" si="140"/>
        <v/>
      </c>
      <c r="AT38" s="111" t="str">
        <f t="shared" ca="1" si="141"/>
        <v/>
      </c>
      <c r="AU38" s="397" t="str">
        <f ca="1">IFERROR(INDEX(ICE[], MATCH("visco" &amp; TEXT(Crd!$A38, "mmmyy"), ICE[LongCode], 0), MATCH("ICE Theoretical Price", ICE[#Headers], 0)), "")</f>
        <v/>
      </c>
      <c r="AV38" s="372" t="str">
        <f ca="1">IFERROR(INDEX(ICE[], MATCH("visco" &amp; TEXT(Hvy!$A38, "mmmyy"), ICE[LongCode], 0), MATCH("Text", ICE[#Headers], 0)), "")</f>
        <v xml:space="preserve"> /  </v>
      </c>
      <c r="AW38" s="46" t="str">
        <f t="shared" ca="1" si="112"/>
        <v/>
      </c>
      <c r="AX38" s="47" t="str">
        <f t="shared" ca="1" si="142"/>
        <v/>
      </c>
      <c r="AY38" s="46" t="str">
        <f t="shared" ca="1" si="143"/>
        <v/>
      </c>
      <c r="AZ38" s="141" t="str">
        <f t="shared" ca="1" si="113"/>
        <v/>
      </c>
      <c r="BA38" s="46" t="str">
        <f t="shared" ca="1" si="114"/>
        <v/>
      </c>
      <c r="BB38" s="47" t="str">
        <f t="shared" ca="1" si="144"/>
        <v/>
      </c>
      <c r="BC38" s="114" t="str">
        <f t="shared" ca="1" si="145"/>
        <v/>
      </c>
      <c r="BD38" s="49" t="str">
        <f ca="1">IFERROR(IF(AND(ISNUMBER(Futs!$CC38), ISNUMBER($AZ38)), $AZ38/6.35 - Futs!$CC38, ""), "")</f>
        <v/>
      </c>
      <c r="BE38" s="46" t="str">
        <f ca="1">IFERROR(IF(AND(ISNUMBER(Futs!$CD38), ISNUMBER($BA38)), $BA38/6.35 - Futs!$CD38, ""), "")</f>
        <v/>
      </c>
      <c r="BF38" s="47" t="str">
        <f t="shared" ca="1" si="146"/>
        <v/>
      </c>
      <c r="BG38" s="114" t="str">
        <f t="shared" ca="1" si="147"/>
        <v/>
      </c>
      <c r="BH38" s="49" t="str">
        <f ca="1">IFERROR(IF(AND(ISNUMBER(Crd!$X38), ISNUMBER($AZ38)), $AZ38/6.35 - Crd!$X38, ""), "")</f>
        <v/>
      </c>
      <c r="BI38" s="46" t="str">
        <f ca="1">IFERROR(IF(AND(ISNUMBER(Crd!$Y38), ISNUMBER($BA38)), $BA38/6.35 - Crd!$Y38, ""), "")</f>
        <v/>
      </c>
      <c r="BJ38" s="47" t="str">
        <f t="shared" ca="1" si="148"/>
        <v/>
      </c>
      <c r="BK38" s="111" t="str">
        <f t="shared" ca="1" si="149"/>
        <v/>
      </c>
      <c r="BL38" s="397" t="str">
        <f ca="1">IFERROR(INDEX(ICE[], MATCH("fo05bfrbrxbbl" &amp; TEXT(Crd!$A38, "mmmyy"), ICE[LongCode], 0), MATCH("ICE Theoretical Price", ICE[#Headers], 0)), "")</f>
        <v/>
      </c>
      <c r="BM38" s="372" t="str">
        <f ca="1">IFERROR(INDEX(ICE[], MATCH("fo05bfrbrx" &amp; TEXT(Hvy!$A38, "mmmyy"), ICE[LongCode], 0), MATCH("Text", ICE[#Headers], 0)), "")</f>
        <v xml:space="preserve"> /  </v>
      </c>
      <c r="BN38" s="46" t="str">
        <f t="shared" ca="1" si="115"/>
        <v/>
      </c>
      <c r="BO38" s="47" t="str">
        <f t="shared" ca="1" si="150"/>
        <v/>
      </c>
      <c r="BP38" s="46" t="str">
        <f t="shared" ca="1" si="151"/>
        <v/>
      </c>
      <c r="BQ38" s="141" t="str">
        <f ca="1">IFERROR(IF(AND(ISNUMBER(Futs!$CC38), ISNUMBER($BL38)), (Futs!$CC38 + $BL38)*6.35, ""), "")</f>
        <v/>
      </c>
      <c r="BR38" s="46" t="str">
        <f ca="1">IFERROR(IF(AND(ISNUMBER(Futs!$CD38), ISNUMBER($BN38)), (Futs!$CD38 + $BN38)*6.35, ""), "")</f>
        <v/>
      </c>
      <c r="BS38" s="47" t="str">
        <f t="shared" ca="1" si="152"/>
        <v/>
      </c>
      <c r="BT38" s="114" t="str">
        <f t="shared" ca="1" si="153"/>
        <v/>
      </c>
      <c r="BU38" s="49" t="str">
        <f t="shared" ca="1" si="116"/>
        <v/>
      </c>
      <c r="BV38" s="46" t="str">
        <f t="shared" ca="1" si="117"/>
        <v/>
      </c>
      <c r="BW38" s="47" t="str">
        <f t="shared" ca="1" si="154"/>
        <v/>
      </c>
      <c r="BX38" s="111" t="str">
        <f t="shared" ca="1" si="155"/>
        <v/>
      </c>
      <c r="BY38" s="397" t="str">
        <f ca="1">IFERROR(INDEX(ICE[], MATCH("fo05singbrxmt" &amp; TEXT(Crd!$A38, "mmmyy"), ICE[LongCode], 0), MATCH("ICE Theoretical Price", ICE[#Headers], 0)), "")</f>
        <v/>
      </c>
      <c r="BZ38" s="372" t="str">
        <f ca="1">IFERROR(INDEX(ICE[], MATCH("fo05singbrx" &amp; TEXT(Hvy!$A38, "mmmyy"), ICE[LongCode], 0), MATCH("Text", ICE[#Headers], 0)), "")</f>
        <v xml:space="preserve"> /  </v>
      </c>
      <c r="CA38" s="46" t="str">
        <f t="shared" ca="1" si="118"/>
        <v/>
      </c>
      <c r="CB38" s="47" t="str">
        <f t="shared" ca="1" si="156"/>
        <v/>
      </c>
      <c r="CC38" s="114" t="str">
        <f t="shared" ca="1" si="157"/>
        <v/>
      </c>
      <c r="CD38" s="141" t="str">
        <f ca="1">IFERROR(IF(AND(ISNUMBER(Futs!$CC38), ISNUMBER($BY38)), (Futs!$CC38 + $BY38)*6.35, ""), "")</f>
        <v/>
      </c>
      <c r="CE38" s="46" t="str">
        <f ca="1">IFERROR(IF(AND(ISNUMBER(Futs!$CD38), ISNUMBER($CA38)), (Futs!$CD38 + $CA38)*6.35, ""), "")</f>
        <v/>
      </c>
      <c r="CF38" s="47" t="str">
        <f t="shared" ca="1" si="158"/>
        <v/>
      </c>
      <c r="CG38" s="114" t="str">
        <f t="shared" ca="1" si="159"/>
        <v/>
      </c>
      <c r="CH38" s="141" t="str">
        <f t="shared" ca="1" si="119"/>
        <v/>
      </c>
      <c r="CI38" s="46" t="str">
        <f t="shared" ca="1" si="120"/>
        <v/>
      </c>
      <c r="CJ38" s="47" t="str">
        <f t="shared" ca="1" si="160"/>
        <v/>
      </c>
      <c r="CK38" s="114" t="str">
        <f t="shared" ca="1" si="161"/>
        <v/>
      </c>
      <c r="CL38" s="49" t="str">
        <f t="shared" ca="1" si="128"/>
        <v/>
      </c>
      <c r="CM38" s="46" t="str">
        <f t="shared" ca="1" si="129"/>
        <v/>
      </c>
      <c r="CN38" s="47" t="str">
        <f t="shared" ca="1" si="162"/>
        <v/>
      </c>
      <c r="CO38" s="111" t="str">
        <f t="shared" ca="1" si="163"/>
        <v/>
      </c>
    </row>
    <row r="39" spans="1:93" x14ac:dyDescent="0.25">
      <c r="A39" s="58">
        <f t="shared" ca="1" si="130"/>
        <v>46874</v>
      </c>
      <c r="B39" s="6">
        <f t="shared" ca="1" si="105"/>
        <v>2028</v>
      </c>
      <c r="C39" s="6" t="str">
        <f t="shared" ca="1" si="121"/>
        <v>Q228</v>
      </c>
      <c r="D39" s="28">
        <f ca="1">INDEX(ICE[], MATCH(D$18 &amp; TEXT(Hvy!$A39, "mmmyy"), ICE[LongCode], 0), MATCH("Settle", ICE[#Headers], 0))</f>
        <v>-7.9990000000000006</v>
      </c>
      <c r="E39" s="28">
        <f ca="1">INDEX(ICE[], MATCH(E$18 &amp; TEXT(Hvy!$A39, "mmmyy"), ICE[LongCode], 0), MATCH("Settle", ICE[#Headers], 0))</f>
        <v>16</v>
      </c>
      <c r="F39" s="28">
        <f ca="1">INDEX(ICE[], MATCH(F$18 &amp; TEXT(Hvy!$A39, "mmmyy"), ICE[LongCode], 0), MATCH("Settle", ICE[#Headers], 0))</f>
        <v>18.75</v>
      </c>
      <c r="G39" s="28">
        <f ca="1">INDEX(ICE[], MATCH(G$18 &amp; TEXT(Hvy!$A39, "mmmyy"), ICE[LongCode], 0), MATCH("Settle", ICE[#Headers], 0))</f>
        <v>12.5</v>
      </c>
      <c r="H39" s="28">
        <f ca="1">INDEX(ICE[], MATCH(H$18 &amp; TEXT(Hvy!$A39, "mmmyy"), ICE[LongCode], 0), MATCH("Settle", ICE[#Headers], 0))</f>
        <v>4.6549000000000005</v>
      </c>
      <c r="I39" s="28">
        <f ca="1">INDEX(ICE[], MATCH(I$18 &amp; TEXT(Hvy!$A39, "mmmyy"), ICE[LongCode], 0), MATCH("Settle", ICE[#Headers], 0))</f>
        <v>12.6501</v>
      </c>
      <c r="J39" s="397" t="str">
        <f ca="1">IFERROR(INDEX(ICE[], MATCH("fo35brxbbl" &amp; TEXT(Crd!$A39, "mmmyy"), ICE[LongCode], 0), MATCH("ICE Theoretical Price", ICE[#Headers], 0)), "")</f>
        <v/>
      </c>
      <c r="K39" s="372" t="str">
        <f ca="1">IFERROR(INDEX(ICE[], MATCH("fo35brx" &amp; TEXT(Hvy!$A39, "mmmyy"), ICE[LongCode], 0), MATCH("Text", ICE[#Headers], 0)), "")</f>
        <v xml:space="preserve"> /  </v>
      </c>
      <c r="L39" s="46" t="str">
        <f t="shared" ca="1" si="122"/>
        <v/>
      </c>
      <c r="M39" s="47" t="str">
        <f t="shared" ca="1" si="123"/>
        <v/>
      </c>
      <c r="N39" s="46" t="str">
        <f t="shared" ca="1" si="131"/>
        <v/>
      </c>
      <c r="O39" s="141" t="str">
        <f ca="1">IFERROR(IF(AND(ISNUMBER(Futs!$CC39), ISNUMBER($J39)), (Futs!$CC39 + $J39)*6.35, ""), "")</f>
        <v/>
      </c>
      <c r="P39" s="67" t="str">
        <f ca="1">IFERROR(IF(AND(ISNUMBER(Futs!$CD39), ISNUMBER($L39)), (Futs!$CD39 + $L39)*6.35, ""), "")</f>
        <v/>
      </c>
      <c r="Q39" s="47" t="str">
        <f t="shared" ca="1" si="132"/>
        <v/>
      </c>
      <c r="R39" s="46" t="str">
        <f t="shared" ca="1" si="133"/>
        <v/>
      </c>
      <c r="S39" s="397" t="str">
        <f ca="1">IFERROR(INDEX(ICE[], MATCH("hilo" &amp; TEXT(Crd!$A39, "mmmyy"), ICE[LongCode], 0), MATCH("ICE Theoretical Price", ICE[#Headers], 0)), "")</f>
        <v/>
      </c>
      <c r="T39" s="372" t="str">
        <f ca="1">IFERROR(INDEX(ICE[], MATCH("hilo" &amp; TEXT(Hvy!$A39, "mmmyy"), ICE[LongCode], 0), MATCH("Text", ICE[#Headers], 0)), "")</f>
        <v xml:space="preserve"> /  </v>
      </c>
      <c r="U39" s="46" t="str">
        <f t="shared" ca="1" si="106"/>
        <v/>
      </c>
      <c r="V39" s="47" t="str">
        <f t="shared" ca="1" si="134"/>
        <v/>
      </c>
      <c r="W39" s="114" t="str">
        <f t="shared" ca="1" si="135"/>
        <v/>
      </c>
      <c r="X39" s="49" t="str">
        <f t="shared" ca="1" si="107"/>
        <v/>
      </c>
      <c r="Y39" s="46" t="str">
        <f t="shared" ca="1" si="108"/>
        <v/>
      </c>
      <c r="Z39" s="47" t="str">
        <f t="shared" ca="1" si="136"/>
        <v/>
      </c>
      <c r="AA39" s="111" t="str">
        <f t="shared" ca="1" si="137"/>
        <v/>
      </c>
      <c r="AB39" s="397" t="str">
        <f ca="1">IFERROR(INDEX(ICE[], MATCH("hsfoew" &amp; TEXT(Crd!$A39, "mmmyy"), ICE[LongCode], 0), MATCH("ICE Theoretical Price", ICE[#Headers], 0)), "")</f>
        <v/>
      </c>
      <c r="AC39" s="372" t="str">
        <f ca="1">IFERROR(INDEX(ICE[], MATCH("hsfoew" &amp; TEXT(Hvy!$A39, "mmmyy"), ICE[LongCode], 0), MATCH("Text", ICE[#Headers], 0)), "")</f>
        <v xml:space="preserve"> /  </v>
      </c>
      <c r="AD39" s="46" t="str">
        <f t="shared" ca="1" si="109"/>
        <v/>
      </c>
      <c r="AE39" s="47" t="str">
        <f t="shared" ca="1" si="124"/>
        <v/>
      </c>
      <c r="AF39" s="114" t="str">
        <f t="shared" ca="1" si="125"/>
        <v/>
      </c>
      <c r="AG39" s="141" t="str">
        <f t="shared" ca="1" si="110"/>
        <v/>
      </c>
      <c r="AH39" s="46" t="str">
        <f t="shared" ca="1" si="111"/>
        <v/>
      </c>
      <c r="AI39" s="47" t="str">
        <f t="shared" ca="1" si="126"/>
        <v/>
      </c>
      <c r="AJ39" s="364" t="str">
        <f ca="1">IFERROR(INDEX(ICE[], MATCH("fo380" &amp; TEXT(Crd!$A38, "mmmyy") &amp; "/" &amp; TEXT(Crd!$A39, "mmmyy"), ICE[LongCode], 0), MATCH("Text", ICE[#Headers], 0)), "")</f>
        <v/>
      </c>
      <c r="AK39" s="114" t="str">
        <f t="shared" ca="1" si="127"/>
        <v/>
      </c>
      <c r="AL39" s="49" t="str">
        <f ca="1">IFERROR(IF(AND(ISNUMBER(Futs!$CC39), ISNUMBER($AG39)), $AG39/6.35 - Futs!$CC39, ""), "")</f>
        <v/>
      </c>
      <c r="AM39" s="372" t="str">
        <f ca="1">IFERROR(INDEX(ICE[], MATCH("fo380brx" &amp; TEXT(Hvy!$A39, "mmmyy"), ICE[LongCode], 0), MATCH("Text", ICE[#Headers], 0)), "")</f>
        <v xml:space="preserve"> /  </v>
      </c>
      <c r="AN39" s="46" t="str">
        <f ca="1">IFERROR(IF(AND(ISNUMBER(Futs!$CD39), ISNUMBER($AH39)), $AH39/6.35 - Futs!$CD39, ""), "")</f>
        <v/>
      </c>
      <c r="AO39" s="47" t="str">
        <f t="shared" ca="1" si="138"/>
        <v/>
      </c>
      <c r="AP39" s="114" t="str">
        <f t="shared" ca="1" si="139"/>
        <v/>
      </c>
      <c r="AQ39" s="49" t="str">
        <f ca="1">IFERROR(IF(AND(ISNUMBER(Crd!$X39), ISNUMBER($AG39)), $AG39/6.35 - Crd!$X39, ""), "")</f>
        <v/>
      </c>
      <c r="AR39" s="46" t="str">
        <f ca="1">IFERROR(IF(AND(ISNUMBER(Crd!$Y39), ISNUMBER($AH39)), $AH39/6.35 - Crd!$Y39, ""), "")</f>
        <v/>
      </c>
      <c r="AS39" s="47" t="str">
        <f t="shared" ca="1" si="140"/>
        <v/>
      </c>
      <c r="AT39" s="111" t="str">
        <f t="shared" ca="1" si="141"/>
        <v/>
      </c>
      <c r="AU39" s="397" t="str">
        <f ca="1">IFERROR(INDEX(ICE[], MATCH("visco" &amp; TEXT(Crd!$A39, "mmmyy"), ICE[LongCode], 0), MATCH("ICE Theoretical Price", ICE[#Headers], 0)), "")</f>
        <v/>
      </c>
      <c r="AV39" s="372" t="str">
        <f ca="1">IFERROR(INDEX(ICE[], MATCH("visco" &amp; TEXT(Hvy!$A39, "mmmyy"), ICE[LongCode], 0), MATCH("Text", ICE[#Headers], 0)), "")</f>
        <v xml:space="preserve"> /  </v>
      </c>
      <c r="AW39" s="46" t="str">
        <f t="shared" ca="1" si="112"/>
        <v/>
      </c>
      <c r="AX39" s="47" t="str">
        <f t="shared" ca="1" si="142"/>
        <v/>
      </c>
      <c r="AY39" s="46" t="str">
        <f t="shared" ca="1" si="143"/>
        <v/>
      </c>
      <c r="AZ39" s="141" t="str">
        <f t="shared" ca="1" si="113"/>
        <v/>
      </c>
      <c r="BA39" s="46" t="str">
        <f t="shared" ca="1" si="114"/>
        <v/>
      </c>
      <c r="BB39" s="47" t="str">
        <f t="shared" ca="1" si="144"/>
        <v/>
      </c>
      <c r="BC39" s="114" t="str">
        <f t="shared" ca="1" si="145"/>
        <v/>
      </c>
      <c r="BD39" s="49" t="str">
        <f ca="1">IFERROR(IF(AND(ISNUMBER(Futs!$CC39), ISNUMBER($AZ39)), $AZ39/6.35 - Futs!$CC39, ""), "")</f>
        <v/>
      </c>
      <c r="BE39" s="46" t="str">
        <f ca="1">IFERROR(IF(AND(ISNUMBER(Futs!$CD39), ISNUMBER($BA39)), $BA39/6.35 - Futs!$CD39, ""), "")</f>
        <v/>
      </c>
      <c r="BF39" s="47" t="str">
        <f t="shared" ca="1" si="146"/>
        <v/>
      </c>
      <c r="BG39" s="114" t="str">
        <f t="shared" ca="1" si="147"/>
        <v/>
      </c>
      <c r="BH39" s="49" t="str">
        <f ca="1">IFERROR(IF(AND(ISNUMBER(Crd!$X39), ISNUMBER($AZ39)), $AZ39/6.35 - Crd!$X39, ""), "")</f>
        <v/>
      </c>
      <c r="BI39" s="46" t="str">
        <f ca="1">IFERROR(IF(AND(ISNUMBER(Crd!$Y39), ISNUMBER($BA39)), $BA39/6.35 - Crd!$Y39, ""), "")</f>
        <v/>
      </c>
      <c r="BJ39" s="47" t="str">
        <f t="shared" ca="1" si="148"/>
        <v/>
      </c>
      <c r="BK39" s="111" t="str">
        <f t="shared" ca="1" si="149"/>
        <v/>
      </c>
      <c r="BL39" s="397" t="str">
        <f ca="1">IFERROR(INDEX(ICE[], MATCH("fo05bfrbrxbbl" &amp; TEXT(Crd!$A39, "mmmyy"), ICE[LongCode], 0), MATCH("ICE Theoretical Price", ICE[#Headers], 0)), "")</f>
        <v/>
      </c>
      <c r="BM39" s="372" t="str">
        <f ca="1">IFERROR(INDEX(ICE[], MATCH("fo05bfrbrx" &amp; TEXT(Hvy!$A39, "mmmyy"), ICE[LongCode], 0), MATCH("Text", ICE[#Headers], 0)), "")</f>
        <v xml:space="preserve"> /  </v>
      </c>
      <c r="BN39" s="46" t="str">
        <f t="shared" ca="1" si="115"/>
        <v/>
      </c>
      <c r="BO39" s="47" t="str">
        <f t="shared" ca="1" si="150"/>
        <v/>
      </c>
      <c r="BP39" s="46" t="str">
        <f t="shared" ca="1" si="151"/>
        <v/>
      </c>
      <c r="BQ39" s="141" t="str">
        <f ca="1">IFERROR(IF(AND(ISNUMBER(Futs!$CC39), ISNUMBER($BL39)), (Futs!$CC39 + $BL39)*6.35, ""), "")</f>
        <v/>
      </c>
      <c r="BR39" s="46" t="str">
        <f ca="1">IFERROR(IF(AND(ISNUMBER(Futs!$CD39), ISNUMBER($BN39)), (Futs!$CD39 + $BN39)*6.35, ""), "")</f>
        <v/>
      </c>
      <c r="BS39" s="47" t="str">
        <f t="shared" ca="1" si="152"/>
        <v/>
      </c>
      <c r="BT39" s="114" t="str">
        <f t="shared" ca="1" si="153"/>
        <v/>
      </c>
      <c r="BU39" s="49" t="str">
        <f t="shared" ca="1" si="116"/>
        <v/>
      </c>
      <c r="BV39" s="46" t="str">
        <f t="shared" ca="1" si="117"/>
        <v/>
      </c>
      <c r="BW39" s="47" t="str">
        <f t="shared" ca="1" si="154"/>
        <v/>
      </c>
      <c r="BX39" s="111" t="str">
        <f t="shared" ca="1" si="155"/>
        <v/>
      </c>
      <c r="BY39" s="397" t="str">
        <f ca="1">IFERROR(INDEX(ICE[], MATCH("fo05singbrxmt" &amp; TEXT(Crd!$A39, "mmmyy"), ICE[LongCode], 0), MATCH("ICE Theoretical Price", ICE[#Headers], 0)), "")</f>
        <v/>
      </c>
      <c r="BZ39" s="372" t="str">
        <f ca="1">IFERROR(INDEX(ICE[], MATCH("fo05singbrx" &amp; TEXT(Hvy!$A39, "mmmyy"), ICE[LongCode], 0), MATCH("Text", ICE[#Headers], 0)), "")</f>
        <v xml:space="preserve"> /  </v>
      </c>
      <c r="CA39" s="46" t="str">
        <f t="shared" ca="1" si="118"/>
        <v/>
      </c>
      <c r="CB39" s="47" t="str">
        <f t="shared" ca="1" si="156"/>
        <v/>
      </c>
      <c r="CC39" s="114" t="str">
        <f t="shared" ca="1" si="157"/>
        <v/>
      </c>
      <c r="CD39" s="141" t="str">
        <f ca="1">IFERROR(IF(AND(ISNUMBER(Futs!$CC39), ISNUMBER($BY39)), (Futs!$CC39 + $BY39)*6.35, ""), "")</f>
        <v/>
      </c>
      <c r="CE39" s="46" t="str">
        <f ca="1">IFERROR(IF(AND(ISNUMBER(Futs!$CD39), ISNUMBER($CA39)), (Futs!$CD39 + $CA39)*6.35, ""), "")</f>
        <v/>
      </c>
      <c r="CF39" s="47" t="str">
        <f t="shared" ca="1" si="158"/>
        <v/>
      </c>
      <c r="CG39" s="114" t="str">
        <f t="shared" ca="1" si="159"/>
        <v/>
      </c>
      <c r="CH39" s="141" t="str">
        <f t="shared" ca="1" si="119"/>
        <v/>
      </c>
      <c r="CI39" s="46" t="str">
        <f t="shared" ca="1" si="120"/>
        <v/>
      </c>
      <c r="CJ39" s="47" t="str">
        <f t="shared" ca="1" si="160"/>
        <v/>
      </c>
      <c r="CK39" s="114" t="str">
        <f t="shared" ca="1" si="161"/>
        <v/>
      </c>
      <c r="CL39" s="49" t="str">
        <f t="shared" ca="1" si="128"/>
        <v/>
      </c>
      <c r="CM39" s="46" t="str">
        <f t="shared" ca="1" si="129"/>
        <v/>
      </c>
      <c r="CN39" s="47" t="str">
        <f t="shared" ca="1" si="162"/>
        <v/>
      </c>
      <c r="CO39" s="111" t="str">
        <f t="shared" ca="1" si="163"/>
        <v/>
      </c>
    </row>
    <row r="40" spans="1:93" x14ac:dyDescent="0.25">
      <c r="A40" s="58">
        <f t="shared" ca="1" si="130"/>
        <v>46905</v>
      </c>
      <c r="B40" s="6">
        <f t="shared" ca="1" si="105"/>
        <v>2028</v>
      </c>
      <c r="C40" s="6" t="str">
        <f t="shared" ca="1" si="121"/>
        <v>Q228</v>
      </c>
      <c r="D40" s="28">
        <f ca="1">INDEX(ICE[], MATCH(D$18 &amp; TEXT(Hvy!$A40, "mmmyy"), ICE[LongCode], 0), MATCH("Settle", ICE[#Headers], 0))</f>
        <v>-7.9359999999999999</v>
      </c>
      <c r="E40" s="28">
        <f ca="1">INDEX(ICE[], MATCH(E$18 &amp; TEXT(Hvy!$A40, "mmmyy"), ICE[LongCode], 0), MATCH("Settle", ICE[#Headers], 0))</f>
        <v>15.5</v>
      </c>
      <c r="F40" s="28">
        <f ca="1">INDEX(ICE[], MATCH(F$18 &amp; TEXT(Hvy!$A40, "mmmyy"), ICE[LongCode], 0), MATCH("Settle", ICE[#Headers], 0))</f>
        <v>20.5</v>
      </c>
      <c r="G40" s="28">
        <f ca="1">INDEX(ICE[], MATCH(G$18 &amp; TEXT(Hvy!$A40, "mmmyy"), ICE[LongCode], 0), MATCH("Settle", ICE[#Headers], 0))</f>
        <v>12.5</v>
      </c>
      <c r="H40" s="28">
        <f ca="1">INDEX(ICE[], MATCH(H$18 &amp; TEXT(Hvy!$A40, "mmmyy"), ICE[LongCode], 0), MATCH("Settle", ICE[#Headers], 0))</f>
        <v>4.6393000000000004</v>
      </c>
      <c r="I40" s="28">
        <f ca="1">INDEX(ICE[], MATCH(I$18 &amp; TEXT(Hvy!$A40, "mmmyy"), ICE[LongCode], 0), MATCH("Settle", ICE[#Headers], 0))</f>
        <v>12.555800000000001</v>
      </c>
      <c r="J40" s="397" t="str">
        <f ca="1">IFERROR(INDEX(ICE[], MATCH("fo35brxbbl" &amp; TEXT(Crd!$A40, "mmmyy"), ICE[LongCode], 0), MATCH("ICE Theoretical Price", ICE[#Headers], 0)), "")</f>
        <v/>
      </c>
      <c r="K40" s="372" t="str">
        <f ca="1">IFERROR(INDEX(ICE[], MATCH("fo35brx" &amp; TEXT(Hvy!$A40, "mmmyy"), ICE[LongCode], 0), MATCH("Text", ICE[#Headers], 0)), "")</f>
        <v xml:space="preserve"> /  </v>
      </c>
      <c r="L40" s="46" t="str">
        <f t="shared" ca="1" si="122"/>
        <v/>
      </c>
      <c r="M40" s="47" t="str">
        <f t="shared" ca="1" si="123"/>
        <v/>
      </c>
      <c r="N40" s="46" t="str">
        <f t="shared" ca="1" si="131"/>
        <v/>
      </c>
      <c r="O40" s="141" t="str">
        <f ca="1">IFERROR(IF(AND(ISNUMBER(Futs!$CC40), ISNUMBER($J40)), (Futs!$CC40 + $J40)*6.35, ""), "")</f>
        <v/>
      </c>
      <c r="P40" s="67" t="str">
        <f ca="1">IFERROR(IF(AND(ISNUMBER(Futs!$CD40), ISNUMBER($L40)), (Futs!$CD40 + $L40)*6.35, ""), "")</f>
        <v/>
      </c>
      <c r="Q40" s="47" t="str">
        <f t="shared" ca="1" si="132"/>
        <v/>
      </c>
      <c r="R40" s="46" t="str">
        <f t="shared" ca="1" si="133"/>
        <v/>
      </c>
      <c r="S40" s="397" t="str">
        <f ca="1">IFERROR(INDEX(ICE[], MATCH("hilo" &amp; TEXT(Crd!$A40, "mmmyy"), ICE[LongCode], 0), MATCH("ICE Theoretical Price", ICE[#Headers], 0)), "")</f>
        <v/>
      </c>
      <c r="T40" s="372" t="str">
        <f ca="1">IFERROR(INDEX(ICE[], MATCH("hilo" &amp; TEXT(Hvy!$A40, "mmmyy"), ICE[LongCode], 0), MATCH("Text", ICE[#Headers], 0)), "")</f>
        <v xml:space="preserve"> /  </v>
      </c>
      <c r="U40" s="46" t="str">
        <f t="shared" ca="1" si="106"/>
        <v/>
      </c>
      <c r="V40" s="47" t="str">
        <f t="shared" ca="1" si="134"/>
        <v/>
      </c>
      <c r="W40" s="114" t="str">
        <f t="shared" ca="1" si="135"/>
        <v/>
      </c>
      <c r="X40" s="49" t="str">
        <f t="shared" ca="1" si="107"/>
        <v/>
      </c>
      <c r="Y40" s="46" t="str">
        <f t="shared" ca="1" si="108"/>
        <v/>
      </c>
      <c r="Z40" s="47" t="str">
        <f t="shared" ca="1" si="136"/>
        <v/>
      </c>
      <c r="AA40" s="111" t="str">
        <f t="shared" ca="1" si="137"/>
        <v/>
      </c>
      <c r="AB40" s="397" t="str">
        <f ca="1">IFERROR(INDEX(ICE[], MATCH("hsfoew" &amp; TEXT(Crd!$A40, "mmmyy"), ICE[LongCode], 0), MATCH("ICE Theoretical Price", ICE[#Headers], 0)), "")</f>
        <v/>
      </c>
      <c r="AC40" s="372" t="str">
        <f ca="1">IFERROR(INDEX(ICE[], MATCH("hsfoew" &amp; TEXT(Hvy!$A40, "mmmyy"), ICE[LongCode], 0), MATCH("Text", ICE[#Headers], 0)), "")</f>
        <v xml:space="preserve"> /  </v>
      </c>
      <c r="AD40" s="46" t="str">
        <f t="shared" ca="1" si="109"/>
        <v/>
      </c>
      <c r="AE40" s="47" t="str">
        <f t="shared" ca="1" si="124"/>
        <v/>
      </c>
      <c r="AF40" s="114" t="str">
        <f t="shared" ca="1" si="125"/>
        <v/>
      </c>
      <c r="AG40" s="141" t="str">
        <f t="shared" ca="1" si="110"/>
        <v/>
      </c>
      <c r="AH40" s="46" t="str">
        <f t="shared" ca="1" si="111"/>
        <v/>
      </c>
      <c r="AI40" s="47" t="str">
        <f t="shared" ca="1" si="126"/>
        <v/>
      </c>
      <c r="AJ40" s="364" t="str">
        <f ca="1">IFERROR(INDEX(ICE[], MATCH("fo380" &amp; TEXT(Crd!$A39, "mmmyy") &amp; "/" &amp; TEXT(Crd!$A40, "mmmyy"), ICE[LongCode], 0), MATCH("Text", ICE[#Headers], 0)), "")</f>
        <v/>
      </c>
      <c r="AK40" s="114" t="str">
        <f t="shared" ca="1" si="127"/>
        <v/>
      </c>
      <c r="AL40" s="49" t="str">
        <f ca="1">IFERROR(IF(AND(ISNUMBER(Futs!$CC40), ISNUMBER($AG40)), $AG40/6.35 - Futs!$CC40, ""), "")</f>
        <v/>
      </c>
      <c r="AM40" s="372" t="str">
        <f ca="1">IFERROR(INDEX(ICE[], MATCH("fo380brx" &amp; TEXT(Hvy!$A40, "mmmyy"), ICE[LongCode], 0), MATCH("Text", ICE[#Headers], 0)), "")</f>
        <v xml:space="preserve"> /  </v>
      </c>
      <c r="AN40" s="46" t="str">
        <f ca="1">IFERROR(IF(AND(ISNUMBER(Futs!$CD40), ISNUMBER($AH40)), $AH40/6.35 - Futs!$CD40, ""), "")</f>
        <v/>
      </c>
      <c r="AO40" s="47" t="str">
        <f t="shared" ca="1" si="138"/>
        <v/>
      </c>
      <c r="AP40" s="114" t="str">
        <f t="shared" ca="1" si="139"/>
        <v/>
      </c>
      <c r="AQ40" s="49" t="str">
        <f ca="1">IFERROR(IF(AND(ISNUMBER(Crd!$X40), ISNUMBER($AG40)), $AG40/6.35 - Crd!$X40, ""), "")</f>
        <v/>
      </c>
      <c r="AR40" s="46" t="str">
        <f ca="1">IFERROR(IF(AND(ISNUMBER(Crd!$Y40), ISNUMBER($AH40)), $AH40/6.35 - Crd!$Y40, ""), "")</f>
        <v/>
      </c>
      <c r="AS40" s="47" t="str">
        <f t="shared" ca="1" si="140"/>
        <v/>
      </c>
      <c r="AT40" s="111" t="str">
        <f t="shared" ca="1" si="141"/>
        <v/>
      </c>
      <c r="AU40" s="397" t="str">
        <f ca="1">IFERROR(INDEX(ICE[], MATCH("visco" &amp; TEXT(Crd!$A40, "mmmyy"), ICE[LongCode], 0), MATCH("ICE Theoretical Price", ICE[#Headers], 0)), "")</f>
        <v/>
      </c>
      <c r="AV40" s="372" t="str">
        <f ca="1">IFERROR(INDEX(ICE[], MATCH("visco" &amp; TEXT(Hvy!$A40, "mmmyy"), ICE[LongCode], 0), MATCH("Text", ICE[#Headers], 0)), "")</f>
        <v xml:space="preserve"> /  </v>
      </c>
      <c r="AW40" s="46" t="str">
        <f t="shared" ca="1" si="112"/>
        <v/>
      </c>
      <c r="AX40" s="47" t="str">
        <f t="shared" ca="1" si="142"/>
        <v/>
      </c>
      <c r="AY40" s="46" t="str">
        <f t="shared" ca="1" si="143"/>
        <v/>
      </c>
      <c r="AZ40" s="141" t="str">
        <f t="shared" ca="1" si="113"/>
        <v/>
      </c>
      <c r="BA40" s="46" t="str">
        <f t="shared" ca="1" si="114"/>
        <v/>
      </c>
      <c r="BB40" s="47" t="str">
        <f t="shared" ca="1" si="144"/>
        <v/>
      </c>
      <c r="BC40" s="114" t="str">
        <f t="shared" ca="1" si="145"/>
        <v/>
      </c>
      <c r="BD40" s="49" t="str">
        <f ca="1">IFERROR(IF(AND(ISNUMBER(Futs!$CC40), ISNUMBER($AZ40)), $AZ40/6.35 - Futs!$CC40, ""), "")</f>
        <v/>
      </c>
      <c r="BE40" s="46" t="str">
        <f ca="1">IFERROR(IF(AND(ISNUMBER(Futs!$CD40), ISNUMBER($BA40)), $BA40/6.35 - Futs!$CD40, ""), "")</f>
        <v/>
      </c>
      <c r="BF40" s="47" t="str">
        <f t="shared" ca="1" si="146"/>
        <v/>
      </c>
      <c r="BG40" s="114" t="str">
        <f t="shared" ca="1" si="147"/>
        <v/>
      </c>
      <c r="BH40" s="49" t="str">
        <f ca="1">IFERROR(IF(AND(ISNUMBER(Crd!$X40), ISNUMBER($AZ40)), $AZ40/6.35 - Crd!$X40, ""), "")</f>
        <v/>
      </c>
      <c r="BI40" s="46" t="str">
        <f ca="1">IFERROR(IF(AND(ISNUMBER(Crd!$Y40), ISNUMBER($BA40)), $BA40/6.35 - Crd!$Y40, ""), "")</f>
        <v/>
      </c>
      <c r="BJ40" s="47" t="str">
        <f t="shared" ca="1" si="148"/>
        <v/>
      </c>
      <c r="BK40" s="111" t="str">
        <f t="shared" ca="1" si="149"/>
        <v/>
      </c>
      <c r="BL40" s="397" t="str">
        <f ca="1">IFERROR(INDEX(ICE[], MATCH("fo05bfrbrxbbl" &amp; TEXT(Crd!$A40, "mmmyy"), ICE[LongCode], 0), MATCH("ICE Theoretical Price", ICE[#Headers], 0)), "")</f>
        <v/>
      </c>
      <c r="BM40" s="372" t="str">
        <f ca="1">IFERROR(INDEX(ICE[], MATCH("fo05bfrbrx" &amp; TEXT(Hvy!$A40, "mmmyy"), ICE[LongCode], 0), MATCH("Text", ICE[#Headers], 0)), "")</f>
        <v xml:space="preserve"> /  </v>
      </c>
      <c r="BN40" s="46" t="str">
        <f t="shared" ca="1" si="115"/>
        <v/>
      </c>
      <c r="BO40" s="47" t="str">
        <f t="shared" ca="1" si="150"/>
        <v/>
      </c>
      <c r="BP40" s="46" t="str">
        <f t="shared" ca="1" si="151"/>
        <v/>
      </c>
      <c r="BQ40" s="141" t="str">
        <f ca="1">IFERROR(IF(AND(ISNUMBER(Futs!$CC40), ISNUMBER($BL40)), (Futs!$CC40 + $BL40)*6.35, ""), "")</f>
        <v/>
      </c>
      <c r="BR40" s="46" t="str">
        <f ca="1">IFERROR(IF(AND(ISNUMBER(Futs!$CD40), ISNUMBER($BN40)), (Futs!$CD40 + $BN40)*6.35, ""), "")</f>
        <v/>
      </c>
      <c r="BS40" s="47" t="str">
        <f t="shared" ca="1" si="152"/>
        <v/>
      </c>
      <c r="BT40" s="114" t="str">
        <f t="shared" ca="1" si="153"/>
        <v/>
      </c>
      <c r="BU40" s="49" t="str">
        <f t="shared" ca="1" si="116"/>
        <v/>
      </c>
      <c r="BV40" s="46" t="str">
        <f t="shared" ca="1" si="117"/>
        <v/>
      </c>
      <c r="BW40" s="47" t="str">
        <f t="shared" ca="1" si="154"/>
        <v/>
      </c>
      <c r="BX40" s="111" t="str">
        <f t="shared" ca="1" si="155"/>
        <v/>
      </c>
      <c r="BY40" s="397" t="str">
        <f ca="1">IFERROR(INDEX(ICE[], MATCH("fo05singbrxmt" &amp; TEXT(Crd!$A40, "mmmyy"), ICE[LongCode], 0), MATCH("ICE Theoretical Price", ICE[#Headers], 0)), "")</f>
        <v/>
      </c>
      <c r="BZ40" s="372" t="str">
        <f ca="1">IFERROR(INDEX(ICE[], MATCH("fo05singbrx" &amp; TEXT(Hvy!$A40, "mmmyy"), ICE[LongCode], 0), MATCH("Text", ICE[#Headers], 0)), "")</f>
        <v xml:space="preserve"> /  </v>
      </c>
      <c r="CA40" s="46" t="str">
        <f t="shared" ca="1" si="118"/>
        <v/>
      </c>
      <c r="CB40" s="47" t="str">
        <f t="shared" ca="1" si="156"/>
        <v/>
      </c>
      <c r="CC40" s="114" t="str">
        <f t="shared" ca="1" si="157"/>
        <v/>
      </c>
      <c r="CD40" s="141" t="str">
        <f ca="1">IFERROR(IF(AND(ISNUMBER(Futs!$CC40), ISNUMBER($BY40)), (Futs!$CC40 + $BY40)*6.35, ""), "")</f>
        <v/>
      </c>
      <c r="CE40" s="46" t="str">
        <f ca="1">IFERROR(IF(AND(ISNUMBER(Futs!$CD40), ISNUMBER($CA40)), (Futs!$CD40 + $CA40)*6.35, ""), "")</f>
        <v/>
      </c>
      <c r="CF40" s="47" t="str">
        <f t="shared" ca="1" si="158"/>
        <v/>
      </c>
      <c r="CG40" s="114" t="str">
        <f t="shared" ca="1" si="159"/>
        <v/>
      </c>
      <c r="CH40" s="141" t="str">
        <f t="shared" ca="1" si="119"/>
        <v/>
      </c>
      <c r="CI40" s="46" t="str">
        <f t="shared" ca="1" si="120"/>
        <v/>
      </c>
      <c r="CJ40" s="47" t="str">
        <f t="shared" ca="1" si="160"/>
        <v/>
      </c>
      <c r="CK40" s="114" t="str">
        <f t="shared" ca="1" si="161"/>
        <v/>
      </c>
      <c r="CL40" s="49" t="str">
        <f t="shared" ca="1" si="128"/>
        <v/>
      </c>
      <c r="CM40" s="46" t="str">
        <f t="shared" ca="1" si="129"/>
        <v/>
      </c>
      <c r="CN40" s="47" t="str">
        <f t="shared" ca="1" si="162"/>
        <v/>
      </c>
      <c r="CO40" s="111" t="str">
        <f t="shared" ca="1" si="163"/>
        <v/>
      </c>
    </row>
    <row r="41" spans="1:93" x14ac:dyDescent="0.25">
      <c r="A41" s="58">
        <f t="shared" ca="1" si="130"/>
        <v>46935</v>
      </c>
      <c r="B41" s="6">
        <f t="shared" ca="1" si="105"/>
        <v>2028</v>
      </c>
      <c r="C41" s="6" t="str">
        <f t="shared" ca="1" si="121"/>
        <v>Q328</v>
      </c>
      <c r="D41" s="28">
        <f ca="1">INDEX(ICE[], MATCH(D$18 &amp; TEXT(Hvy!$A41, "mmmyy"), ICE[LongCode], 0), MATCH("Settle", ICE[#Headers], 0))</f>
        <v>-7.9220000000000006</v>
      </c>
      <c r="E41" s="28">
        <f ca="1">INDEX(ICE[], MATCH(E$18 &amp; TEXT(Hvy!$A41, "mmmyy"), ICE[LongCode], 0), MATCH("Settle", ICE[#Headers], 0))</f>
        <v>15.25</v>
      </c>
      <c r="F41" s="28">
        <f ca="1">INDEX(ICE[], MATCH(F$18 &amp; TEXT(Hvy!$A41, "mmmyy"), ICE[LongCode], 0), MATCH("Settle", ICE[#Headers], 0))</f>
        <v>22.25</v>
      </c>
      <c r="G41" s="28">
        <f ca="1">INDEX(ICE[], MATCH(G$18 &amp; TEXT(Hvy!$A41, "mmmyy"), ICE[LongCode], 0), MATCH("Settle", ICE[#Headers], 0))</f>
        <v>13</v>
      </c>
      <c r="H41" s="28">
        <f ca="1">INDEX(ICE[], MATCH(H$18 &amp; TEXT(Hvy!$A41, "mmmyy"), ICE[LongCode], 0), MATCH("Settle", ICE[#Headers], 0))</f>
        <v>4.6137000000000006</v>
      </c>
      <c r="I41" s="28">
        <f ca="1">INDEX(ICE[], MATCH(I$18 &amp; TEXT(Hvy!$A41, "mmmyy"), ICE[LongCode], 0), MATCH("Settle", ICE[#Headers], 0))</f>
        <v>12.530200000000001</v>
      </c>
      <c r="J41" s="397" t="str">
        <f ca="1">IFERROR(INDEX(ICE[], MATCH("fo35brxbbl" &amp; TEXT(Crd!$A41, "mmmyy"), ICE[LongCode], 0), MATCH("ICE Theoretical Price", ICE[#Headers], 0)), "")</f>
        <v/>
      </c>
      <c r="K41" s="372" t="str">
        <f ca="1">IFERROR(INDEX(ICE[], MATCH("fo35brx" &amp; TEXT(Hvy!$A41, "mmmyy"), ICE[LongCode], 0), MATCH("Text", ICE[#Headers], 0)), "")</f>
        <v xml:space="preserve"> /  </v>
      </c>
      <c r="L41" s="46" t="str">
        <f t="shared" ca="1" si="122"/>
        <v/>
      </c>
      <c r="M41" s="47" t="str">
        <f t="shared" ca="1" si="123"/>
        <v/>
      </c>
      <c r="N41" s="46" t="str">
        <f t="shared" ca="1" si="131"/>
        <v/>
      </c>
      <c r="O41" s="141" t="str">
        <f ca="1">IFERROR(IF(AND(ISNUMBER(Futs!$CC41), ISNUMBER($J41)), (Futs!$CC41 + $J41)*6.35, ""), "")</f>
        <v/>
      </c>
      <c r="P41" s="67" t="str">
        <f ca="1">IFERROR(IF(AND(ISNUMBER(Futs!$CD41), ISNUMBER($L41)), (Futs!$CD41 + $L41)*6.35, ""), "")</f>
        <v/>
      </c>
      <c r="Q41" s="47" t="str">
        <f t="shared" ca="1" si="132"/>
        <v/>
      </c>
      <c r="R41" s="46" t="str">
        <f t="shared" ca="1" si="133"/>
        <v/>
      </c>
      <c r="S41" s="397" t="str">
        <f ca="1">IFERROR(INDEX(ICE[], MATCH("hilo" &amp; TEXT(Crd!$A41, "mmmyy"), ICE[LongCode], 0), MATCH("ICE Theoretical Price", ICE[#Headers], 0)), "")</f>
        <v/>
      </c>
      <c r="T41" s="372" t="str">
        <f ca="1">IFERROR(INDEX(ICE[], MATCH("hilo" &amp; TEXT(Hvy!$A41, "mmmyy"), ICE[LongCode], 0), MATCH("Text", ICE[#Headers], 0)), "")</f>
        <v xml:space="preserve"> /  </v>
      </c>
      <c r="U41" s="46" t="str">
        <f t="shared" ca="1" si="106"/>
        <v/>
      </c>
      <c r="V41" s="47" t="str">
        <f t="shared" ca="1" si="134"/>
        <v/>
      </c>
      <c r="W41" s="114" t="str">
        <f t="shared" ca="1" si="135"/>
        <v/>
      </c>
      <c r="X41" s="49" t="str">
        <f t="shared" ca="1" si="107"/>
        <v/>
      </c>
      <c r="Y41" s="46" t="str">
        <f t="shared" ca="1" si="108"/>
        <v/>
      </c>
      <c r="Z41" s="47" t="str">
        <f t="shared" ca="1" si="136"/>
        <v/>
      </c>
      <c r="AA41" s="111" t="str">
        <f t="shared" ca="1" si="137"/>
        <v/>
      </c>
      <c r="AB41" s="397" t="str">
        <f ca="1">IFERROR(INDEX(ICE[], MATCH("hsfoew" &amp; TEXT(Crd!$A41, "mmmyy"), ICE[LongCode], 0), MATCH("ICE Theoretical Price", ICE[#Headers], 0)), "")</f>
        <v/>
      </c>
      <c r="AC41" s="372" t="str">
        <f ca="1">IFERROR(INDEX(ICE[], MATCH("hsfoew" &amp; TEXT(Hvy!$A41, "mmmyy"), ICE[LongCode], 0), MATCH("Text", ICE[#Headers], 0)), "")</f>
        <v xml:space="preserve"> /  </v>
      </c>
      <c r="AD41" s="46" t="str">
        <f t="shared" ca="1" si="109"/>
        <v/>
      </c>
      <c r="AE41" s="47" t="str">
        <f t="shared" ca="1" si="124"/>
        <v/>
      </c>
      <c r="AF41" s="114" t="str">
        <f t="shared" ca="1" si="125"/>
        <v/>
      </c>
      <c r="AG41" s="141" t="str">
        <f t="shared" ca="1" si="110"/>
        <v/>
      </c>
      <c r="AH41" s="46" t="str">
        <f t="shared" ca="1" si="111"/>
        <v/>
      </c>
      <c r="AI41" s="47" t="str">
        <f t="shared" ca="1" si="126"/>
        <v/>
      </c>
      <c r="AJ41" s="364" t="str">
        <f ca="1">IFERROR(INDEX(ICE[], MATCH("fo380" &amp; TEXT(Crd!$A40, "mmmyy") &amp; "/" &amp; TEXT(Crd!$A41, "mmmyy"), ICE[LongCode], 0), MATCH("Text", ICE[#Headers], 0)), "")</f>
        <v/>
      </c>
      <c r="AK41" s="114" t="str">
        <f t="shared" ca="1" si="127"/>
        <v/>
      </c>
      <c r="AL41" s="49" t="str">
        <f ca="1">IFERROR(IF(AND(ISNUMBER(Futs!$CC41), ISNUMBER($AG41)), $AG41/6.35 - Futs!$CC41, ""), "")</f>
        <v/>
      </c>
      <c r="AM41" s="372" t="str">
        <f ca="1">IFERROR(INDEX(ICE[], MATCH("fo380brx" &amp; TEXT(Hvy!$A41, "mmmyy"), ICE[LongCode], 0), MATCH("Text", ICE[#Headers], 0)), "")</f>
        <v xml:space="preserve"> /  </v>
      </c>
      <c r="AN41" s="46" t="str">
        <f ca="1">IFERROR(IF(AND(ISNUMBER(Futs!$CD41), ISNUMBER($AH41)), $AH41/6.35 - Futs!$CD41, ""), "")</f>
        <v/>
      </c>
      <c r="AO41" s="47" t="str">
        <f t="shared" ca="1" si="138"/>
        <v/>
      </c>
      <c r="AP41" s="114" t="str">
        <f t="shared" ca="1" si="139"/>
        <v/>
      </c>
      <c r="AQ41" s="49" t="str">
        <f ca="1">IFERROR(IF(AND(ISNUMBER(Crd!$X41), ISNUMBER($AG41)), $AG41/6.35 - Crd!$X41, ""), "")</f>
        <v/>
      </c>
      <c r="AR41" s="46" t="str">
        <f ca="1">IFERROR(IF(AND(ISNUMBER(Crd!$Y41), ISNUMBER($AH41)), $AH41/6.35 - Crd!$Y41, ""), "")</f>
        <v/>
      </c>
      <c r="AS41" s="47" t="str">
        <f t="shared" ca="1" si="140"/>
        <v/>
      </c>
      <c r="AT41" s="111" t="str">
        <f t="shared" ca="1" si="141"/>
        <v/>
      </c>
      <c r="AU41" s="397" t="str">
        <f ca="1">IFERROR(INDEX(ICE[], MATCH("visco" &amp; TEXT(Crd!$A41, "mmmyy"), ICE[LongCode], 0), MATCH("ICE Theoretical Price", ICE[#Headers], 0)), "")</f>
        <v/>
      </c>
      <c r="AV41" s="372" t="str">
        <f ca="1">IFERROR(INDEX(ICE[], MATCH("visco" &amp; TEXT(Hvy!$A41, "mmmyy"), ICE[LongCode], 0), MATCH("Text", ICE[#Headers], 0)), "")</f>
        <v xml:space="preserve"> /  </v>
      </c>
      <c r="AW41" s="46" t="str">
        <f t="shared" ca="1" si="112"/>
        <v/>
      </c>
      <c r="AX41" s="47" t="str">
        <f t="shared" ca="1" si="142"/>
        <v/>
      </c>
      <c r="AY41" s="46" t="str">
        <f t="shared" ca="1" si="143"/>
        <v/>
      </c>
      <c r="AZ41" s="141" t="str">
        <f t="shared" ca="1" si="113"/>
        <v/>
      </c>
      <c r="BA41" s="46" t="str">
        <f t="shared" ca="1" si="114"/>
        <v/>
      </c>
      <c r="BB41" s="47" t="str">
        <f t="shared" ca="1" si="144"/>
        <v/>
      </c>
      <c r="BC41" s="114" t="str">
        <f t="shared" ca="1" si="145"/>
        <v/>
      </c>
      <c r="BD41" s="49" t="str">
        <f ca="1">IFERROR(IF(AND(ISNUMBER(Futs!$CC41), ISNUMBER($AZ41)), $AZ41/6.35 - Futs!$CC41, ""), "")</f>
        <v/>
      </c>
      <c r="BE41" s="46" t="str">
        <f ca="1">IFERROR(IF(AND(ISNUMBER(Futs!$CD41), ISNUMBER($BA41)), $BA41/6.35 - Futs!$CD41, ""), "")</f>
        <v/>
      </c>
      <c r="BF41" s="47" t="str">
        <f t="shared" ca="1" si="146"/>
        <v/>
      </c>
      <c r="BG41" s="114" t="str">
        <f t="shared" ca="1" si="147"/>
        <v/>
      </c>
      <c r="BH41" s="49" t="str">
        <f ca="1">IFERROR(IF(AND(ISNUMBER(Crd!$X41), ISNUMBER($AZ41)), $AZ41/6.35 - Crd!$X41, ""), "")</f>
        <v/>
      </c>
      <c r="BI41" s="46" t="str">
        <f ca="1">IFERROR(IF(AND(ISNUMBER(Crd!$Y41), ISNUMBER($BA41)), $BA41/6.35 - Crd!$Y41, ""), "")</f>
        <v/>
      </c>
      <c r="BJ41" s="47" t="str">
        <f t="shared" ca="1" si="148"/>
        <v/>
      </c>
      <c r="BK41" s="111" t="str">
        <f t="shared" ca="1" si="149"/>
        <v/>
      </c>
      <c r="BL41" s="397" t="str">
        <f ca="1">IFERROR(INDEX(ICE[], MATCH("fo05bfrbrxbbl" &amp; TEXT(Crd!$A41, "mmmyy"), ICE[LongCode], 0), MATCH("ICE Theoretical Price", ICE[#Headers], 0)), "")</f>
        <v/>
      </c>
      <c r="BM41" s="372" t="str">
        <f ca="1">IFERROR(INDEX(ICE[], MATCH("fo05bfrbrx" &amp; TEXT(Hvy!$A41, "mmmyy"), ICE[LongCode], 0), MATCH("Text", ICE[#Headers], 0)), "")</f>
        <v xml:space="preserve"> /  </v>
      </c>
      <c r="BN41" s="46" t="str">
        <f t="shared" ca="1" si="115"/>
        <v/>
      </c>
      <c r="BO41" s="47" t="str">
        <f t="shared" ca="1" si="150"/>
        <v/>
      </c>
      <c r="BP41" s="46" t="str">
        <f t="shared" ca="1" si="151"/>
        <v/>
      </c>
      <c r="BQ41" s="141" t="str">
        <f ca="1">IFERROR(IF(AND(ISNUMBER(Futs!$CC41), ISNUMBER($BL41)), (Futs!$CC41 + $BL41)*6.35, ""), "")</f>
        <v/>
      </c>
      <c r="BR41" s="46" t="str">
        <f ca="1">IFERROR(IF(AND(ISNUMBER(Futs!$CD41), ISNUMBER($BN41)), (Futs!$CD41 + $BN41)*6.35, ""), "")</f>
        <v/>
      </c>
      <c r="BS41" s="47" t="str">
        <f t="shared" ca="1" si="152"/>
        <v/>
      </c>
      <c r="BT41" s="114" t="str">
        <f t="shared" ca="1" si="153"/>
        <v/>
      </c>
      <c r="BU41" s="49" t="str">
        <f t="shared" ca="1" si="116"/>
        <v/>
      </c>
      <c r="BV41" s="46" t="str">
        <f t="shared" ca="1" si="117"/>
        <v/>
      </c>
      <c r="BW41" s="47" t="str">
        <f t="shared" ca="1" si="154"/>
        <v/>
      </c>
      <c r="BX41" s="111" t="str">
        <f t="shared" ca="1" si="155"/>
        <v/>
      </c>
      <c r="BY41" s="397" t="str">
        <f ca="1">IFERROR(INDEX(ICE[], MATCH("fo05singbrxmt" &amp; TEXT(Crd!$A41, "mmmyy"), ICE[LongCode], 0), MATCH("ICE Theoretical Price", ICE[#Headers], 0)), "")</f>
        <v/>
      </c>
      <c r="BZ41" s="372" t="str">
        <f ca="1">IFERROR(INDEX(ICE[], MATCH("fo05singbrx" &amp; TEXT(Hvy!$A41, "mmmyy"), ICE[LongCode], 0), MATCH("Text", ICE[#Headers], 0)), "")</f>
        <v xml:space="preserve"> /  </v>
      </c>
      <c r="CA41" s="46" t="str">
        <f t="shared" ca="1" si="118"/>
        <v/>
      </c>
      <c r="CB41" s="47" t="str">
        <f t="shared" ca="1" si="156"/>
        <v/>
      </c>
      <c r="CC41" s="114" t="str">
        <f t="shared" ca="1" si="157"/>
        <v/>
      </c>
      <c r="CD41" s="141" t="str">
        <f ca="1">IFERROR(IF(AND(ISNUMBER(Futs!$CC41), ISNUMBER($BY41)), (Futs!$CC41 + $BY41)*6.35, ""), "")</f>
        <v/>
      </c>
      <c r="CE41" s="46" t="str">
        <f ca="1">IFERROR(IF(AND(ISNUMBER(Futs!$CD41), ISNUMBER($CA41)), (Futs!$CD41 + $CA41)*6.35, ""), "")</f>
        <v/>
      </c>
      <c r="CF41" s="47" t="str">
        <f t="shared" ca="1" si="158"/>
        <v/>
      </c>
      <c r="CG41" s="114" t="str">
        <f t="shared" ca="1" si="159"/>
        <v/>
      </c>
      <c r="CH41" s="141" t="str">
        <f t="shared" ca="1" si="119"/>
        <v/>
      </c>
      <c r="CI41" s="46" t="str">
        <f t="shared" ca="1" si="120"/>
        <v/>
      </c>
      <c r="CJ41" s="47" t="str">
        <f t="shared" ca="1" si="160"/>
        <v/>
      </c>
      <c r="CK41" s="114" t="str">
        <f t="shared" ca="1" si="161"/>
        <v/>
      </c>
      <c r="CL41" s="49" t="str">
        <f t="shared" ca="1" si="128"/>
        <v/>
      </c>
      <c r="CM41" s="46" t="str">
        <f t="shared" ca="1" si="129"/>
        <v/>
      </c>
      <c r="CN41" s="47" t="str">
        <f t="shared" ca="1" si="162"/>
        <v/>
      </c>
      <c r="CO41" s="111" t="str">
        <f t="shared" ca="1" si="163"/>
        <v/>
      </c>
    </row>
    <row r="42" spans="1:93" x14ac:dyDescent="0.25">
      <c r="A42" s="58">
        <f t="shared" ca="1" si="130"/>
        <v>46966</v>
      </c>
      <c r="B42" s="6">
        <f t="shared" ca="1" si="105"/>
        <v>2028</v>
      </c>
      <c r="C42" s="6" t="str">
        <f t="shared" ca="1" si="121"/>
        <v>Q328</v>
      </c>
      <c r="D42" s="28">
        <f ca="1">INDEX(ICE[], MATCH(D$18 &amp; TEXT(Hvy!$A42, "mmmyy"), ICE[LongCode], 0), MATCH("Settle", ICE[#Headers], 0))</f>
        <v>-7.9580000000000002</v>
      </c>
      <c r="E42" s="28">
        <f ca="1">INDEX(ICE[], MATCH(E$18 &amp; TEXT(Hvy!$A42, "mmmyy"), ICE[LongCode], 0), MATCH("Settle", ICE[#Headers], 0))</f>
        <v>15</v>
      </c>
      <c r="F42" s="28">
        <f ca="1">INDEX(ICE[], MATCH(F$18 &amp; TEXT(Hvy!$A42, "mmmyy"), ICE[LongCode], 0), MATCH("Settle", ICE[#Headers], 0))</f>
        <v>24.25</v>
      </c>
      <c r="G42" s="28">
        <f ca="1">INDEX(ICE[], MATCH(G$18 &amp; TEXT(Hvy!$A42, "mmmyy"), ICE[LongCode], 0), MATCH("Settle", ICE[#Headers], 0))</f>
        <v>13</v>
      </c>
      <c r="H42" s="28">
        <f ca="1">INDEX(ICE[], MATCH(H$18 &amp; TEXT(Hvy!$A42, "mmmyy"), ICE[LongCode], 0), MATCH("Settle", ICE[#Headers], 0))</f>
        <v>4.5771000000000006</v>
      </c>
      <c r="I42" s="28">
        <f ca="1">INDEX(ICE[], MATCH(I$18 &amp; TEXT(Hvy!$A42, "mmmyy"), ICE[LongCode], 0), MATCH("Settle", ICE[#Headers], 0))</f>
        <v>12.493600000000001</v>
      </c>
      <c r="J42" s="397" t="str">
        <f ca="1">IFERROR(INDEX(ICE[], MATCH("fo35brxbbl" &amp; TEXT(Crd!$A42, "mmmyy"), ICE[LongCode], 0), MATCH("ICE Theoretical Price", ICE[#Headers], 0)), "")</f>
        <v/>
      </c>
      <c r="K42" s="372" t="str">
        <f ca="1">IFERROR(INDEX(ICE[], MATCH("fo35brx" &amp; TEXT(Hvy!$A42, "mmmyy"), ICE[LongCode], 0), MATCH("Text", ICE[#Headers], 0)), "")</f>
        <v xml:space="preserve"> /  </v>
      </c>
      <c r="L42" s="46" t="str">
        <f t="shared" ca="1" si="122"/>
        <v/>
      </c>
      <c r="M42" s="47" t="str">
        <f t="shared" ca="1" si="123"/>
        <v/>
      </c>
      <c r="N42" s="46" t="str">
        <f t="shared" ca="1" si="131"/>
        <v/>
      </c>
      <c r="O42" s="141" t="str">
        <f ca="1">IFERROR(IF(AND(ISNUMBER(Futs!$CC42), ISNUMBER($J42)), (Futs!$CC42 + $J42)*6.35, ""), "")</f>
        <v/>
      </c>
      <c r="P42" s="67" t="str">
        <f ca="1">IFERROR(IF(AND(ISNUMBER(Futs!$CD42), ISNUMBER($L42)), (Futs!$CD42 + $L42)*6.35, ""), "")</f>
        <v/>
      </c>
      <c r="Q42" s="47" t="str">
        <f t="shared" ca="1" si="132"/>
        <v/>
      </c>
      <c r="R42" s="46" t="str">
        <f t="shared" ca="1" si="133"/>
        <v/>
      </c>
      <c r="S42" s="397" t="str">
        <f ca="1">IFERROR(INDEX(ICE[], MATCH("hilo" &amp; TEXT(Crd!$A42, "mmmyy"), ICE[LongCode], 0), MATCH("ICE Theoretical Price", ICE[#Headers], 0)), "")</f>
        <v/>
      </c>
      <c r="T42" s="372" t="str">
        <f ca="1">IFERROR(INDEX(ICE[], MATCH("hilo" &amp; TEXT(Hvy!$A42, "mmmyy"), ICE[LongCode], 0), MATCH("Text", ICE[#Headers], 0)), "")</f>
        <v xml:space="preserve"> /  </v>
      </c>
      <c r="U42" s="46" t="str">
        <f t="shared" ca="1" si="106"/>
        <v/>
      </c>
      <c r="V42" s="47" t="str">
        <f t="shared" ca="1" si="134"/>
        <v/>
      </c>
      <c r="W42" s="114" t="str">
        <f t="shared" ca="1" si="135"/>
        <v/>
      </c>
      <c r="X42" s="49" t="str">
        <f t="shared" ca="1" si="107"/>
        <v/>
      </c>
      <c r="Y42" s="46" t="str">
        <f t="shared" ca="1" si="108"/>
        <v/>
      </c>
      <c r="Z42" s="47" t="str">
        <f t="shared" ca="1" si="136"/>
        <v/>
      </c>
      <c r="AA42" s="111" t="str">
        <f t="shared" ca="1" si="137"/>
        <v/>
      </c>
      <c r="AB42" s="397" t="str">
        <f ca="1">IFERROR(INDEX(ICE[], MATCH("hsfoew" &amp; TEXT(Crd!$A42, "mmmyy"), ICE[LongCode], 0), MATCH("ICE Theoretical Price", ICE[#Headers], 0)), "")</f>
        <v/>
      </c>
      <c r="AC42" s="372" t="str">
        <f ca="1">IFERROR(INDEX(ICE[], MATCH("hsfoew" &amp; TEXT(Hvy!$A42, "mmmyy"), ICE[LongCode], 0), MATCH("Text", ICE[#Headers], 0)), "")</f>
        <v xml:space="preserve"> /  </v>
      </c>
      <c r="AD42" s="46" t="str">
        <f t="shared" ca="1" si="109"/>
        <v/>
      </c>
      <c r="AE42" s="47" t="str">
        <f t="shared" ca="1" si="124"/>
        <v/>
      </c>
      <c r="AF42" s="114" t="str">
        <f t="shared" ca="1" si="125"/>
        <v/>
      </c>
      <c r="AG42" s="141" t="str">
        <f t="shared" ca="1" si="110"/>
        <v/>
      </c>
      <c r="AH42" s="46" t="str">
        <f t="shared" ca="1" si="111"/>
        <v/>
      </c>
      <c r="AI42" s="47" t="str">
        <f t="shared" ca="1" si="126"/>
        <v/>
      </c>
      <c r="AJ42" s="364" t="str">
        <f ca="1">IFERROR(INDEX(ICE[], MATCH("fo380" &amp; TEXT(Crd!$A41, "mmmyy") &amp; "/" &amp; TEXT(Crd!$A42, "mmmyy"), ICE[LongCode], 0), MATCH("Text", ICE[#Headers], 0)), "")</f>
        <v/>
      </c>
      <c r="AK42" s="114" t="str">
        <f t="shared" ca="1" si="127"/>
        <v/>
      </c>
      <c r="AL42" s="49" t="str">
        <f ca="1">IFERROR(IF(AND(ISNUMBER(Futs!$CC42), ISNUMBER($AG42)), $AG42/6.35 - Futs!$CC42, ""), "")</f>
        <v/>
      </c>
      <c r="AM42" s="372" t="str">
        <f ca="1">IFERROR(INDEX(ICE[], MATCH("fo380brx" &amp; TEXT(Hvy!$A42, "mmmyy"), ICE[LongCode], 0), MATCH("Text", ICE[#Headers], 0)), "")</f>
        <v xml:space="preserve"> /  </v>
      </c>
      <c r="AN42" s="46" t="str">
        <f ca="1">IFERROR(IF(AND(ISNUMBER(Futs!$CD42), ISNUMBER($AH42)), $AH42/6.35 - Futs!$CD42, ""), "")</f>
        <v/>
      </c>
      <c r="AO42" s="47" t="str">
        <f t="shared" ca="1" si="138"/>
        <v/>
      </c>
      <c r="AP42" s="114" t="str">
        <f t="shared" ca="1" si="139"/>
        <v/>
      </c>
      <c r="AQ42" s="49" t="str">
        <f ca="1">IFERROR(IF(AND(ISNUMBER(Crd!$X42), ISNUMBER($AG42)), $AG42/6.35 - Crd!$X42, ""), "")</f>
        <v/>
      </c>
      <c r="AR42" s="46" t="str">
        <f ca="1">IFERROR(IF(AND(ISNUMBER(Crd!$Y42), ISNUMBER($AH42)), $AH42/6.35 - Crd!$Y42, ""), "")</f>
        <v/>
      </c>
      <c r="AS42" s="47" t="str">
        <f t="shared" ca="1" si="140"/>
        <v/>
      </c>
      <c r="AT42" s="111" t="str">
        <f t="shared" ca="1" si="141"/>
        <v/>
      </c>
      <c r="AU42" s="397" t="str">
        <f ca="1">IFERROR(INDEX(ICE[], MATCH("visco" &amp; TEXT(Crd!$A42, "mmmyy"), ICE[LongCode], 0), MATCH("ICE Theoretical Price", ICE[#Headers], 0)), "")</f>
        <v/>
      </c>
      <c r="AV42" s="372" t="str">
        <f ca="1">IFERROR(INDEX(ICE[], MATCH("visco" &amp; TEXT(Hvy!$A42, "mmmyy"), ICE[LongCode], 0), MATCH("Text", ICE[#Headers], 0)), "")</f>
        <v xml:space="preserve"> /  </v>
      </c>
      <c r="AW42" s="46" t="str">
        <f t="shared" ca="1" si="112"/>
        <v/>
      </c>
      <c r="AX42" s="47" t="str">
        <f t="shared" ca="1" si="142"/>
        <v/>
      </c>
      <c r="AY42" s="46" t="str">
        <f t="shared" ca="1" si="143"/>
        <v/>
      </c>
      <c r="AZ42" s="141" t="str">
        <f t="shared" ca="1" si="113"/>
        <v/>
      </c>
      <c r="BA42" s="46" t="str">
        <f t="shared" ca="1" si="114"/>
        <v/>
      </c>
      <c r="BB42" s="47" t="str">
        <f t="shared" ca="1" si="144"/>
        <v/>
      </c>
      <c r="BC42" s="114" t="str">
        <f t="shared" ca="1" si="145"/>
        <v/>
      </c>
      <c r="BD42" s="49" t="str">
        <f ca="1">IFERROR(IF(AND(ISNUMBER(Futs!$CC42), ISNUMBER($AZ42)), $AZ42/6.35 - Futs!$CC42, ""), "")</f>
        <v/>
      </c>
      <c r="BE42" s="46" t="str">
        <f ca="1">IFERROR(IF(AND(ISNUMBER(Futs!$CD42), ISNUMBER($BA42)), $BA42/6.35 - Futs!$CD42, ""), "")</f>
        <v/>
      </c>
      <c r="BF42" s="47" t="str">
        <f t="shared" ca="1" si="146"/>
        <v/>
      </c>
      <c r="BG42" s="114" t="str">
        <f t="shared" ca="1" si="147"/>
        <v/>
      </c>
      <c r="BH42" s="49" t="str">
        <f ca="1">IFERROR(IF(AND(ISNUMBER(Crd!$X42), ISNUMBER($AZ42)), $AZ42/6.35 - Crd!$X42, ""), "")</f>
        <v/>
      </c>
      <c r="BI42" s="46" t="str">
        <f ca="1">IFERROR(IF(AND(ISNUMBER(Crd!$Y42), ISNUMBER($BA42)), $BA42/6.35 - Crd!$Y42, ""), "")</f>
        <v/>
      </c>
      <c r="BJ42" s="47" t="str">
        <f t="shared" ca="1" si="148"/>
        <v/>
      </c>
      <c r="BK42" s="111" t="str">
        <f t="shared" ca="1" si="149"/>
        <v/>
      </c>
      <c r="BL42" s="397" t="str">
        <f ca="1">IFERROR(INDEX(ICE[], MATCH("fo05bfrbrxbbl" &amp; TEXT(Crd!$A42, "mmmyy"), ICE[LongCode], 0), MATCH("ICE Theoretical Price", ICE[#Headers], 0)), "")</f>
        <v/>
      </c>
      <c r="BM42" s="372" t="str">
        <f ca="1">IFERROR(INDEX(ICE[], MATCH("fo05bfrbrx" &amp; TEXT(Hvy!$A42, "mmmyy"), ICE[LongCode], 0), MATCH("Text", ICE[#Headers], 0)), "")</f>
        <v xml:space="preserve"> /  </v>
      </c>
      <c r="BN42" s="46" t="str">
        <f t="shared" ca="1" si="115"/>
        <v/>
      </c>
      <c r="BO42" s="47" t="str">
        <f t="shared" ca="1" si="150"/>
        <v/>
      </c>
      <c r="BP42" s="46" t="str">
        <f t="shared" ca="1" si="151"/>
        <v/>
      </c>
      <c r="BQ42" s="141" t="str">
        <f ca="1">IFERROR(IF(AND(ISNUMBER(Futs!$CC42), ISNUMBER($BL42)), (Futs!$CC42 + $BL42)*6.35, ""), "")</f>
        <v/>
      </c>
      <c r="BR42" s="46" t="str">
        <f ca="1">IFERROR(IF(AND(ISNUMBER(Futs!$CD42), ISNUMBER($BN42)), (Futs!$CD42 + $BN42)*6.35, ""), "")</f>
        <v/>
      </c>
      <c r="BS42" s="47" t="str">
        <f t="shared" ca="1" si="152"/>
        <v/>
      </c>
      <c r="BT42" s="114" t="str">
        <f t="shared" ca="1" si="153"/>
        <v/>
      </c>
      <c r="BU42" s="49" t="str">
        <f t="shared" ca="1" si="116"/>
        <v/>
      </c>
      <c r="BV42" s="46" t="str">
        <f t="shared" ca="1" si="117"/>
        <v/>
      </c>
      <c r="BW42" s="47" t="str">
        <f t="shared" ca="1" si="154"/>
        <v/>
      </c>
      <c r="BX42" s="111" t="str">
        <f t="shared" ca="1" si="155"/>
        <v/>
      </c>
      <c r="BY42" s="397" t="str">
        <f ca="1">IFERROR(INDEX(ICE[], MATCH("fo05singbrxmt" &amp; TEXT(Crd!$A42, "mmmyy"), ICE[LongCode], 0), MATCH("ICE Theoretical Price", ICE[#Headers], 0)), "")</f>
        <v/>
      </c>
      <c r="BZ42" s="372" t="str">
        <f ca="1">IFERROR(INDEX(ICE[], MATCH("fo05singbrx" &amp; TEXT(Hvy!$A42, "mmmyy"), ICE[LongCode], 0), MATCH("Text", ICE[#Headers], 0)), "")</f>
        <v xml:space="preserve"> /  </v>
      </c>
      <c r="CA42" s="46" t="str">
        <f t="shared" ca="1" si="118"/>
        <v/>
      </c>
      <c r="CB42" s="47" t="str">
        <f t="shared" ca="1" si="156"/>
        <v/>
      </c>
      <c r="CC42" s="114" t="str">
        <f t="shared" ca="1" si="157"/>
        <v/>
      </c>
      <c r="CD42" s="141" t="str">
        <f ca="1">IFERROR(IF(AND(ISNUMBER(Futs!$CC42), ISNUMBER($BY42)), (Futs!$CC42 + $BY42)*6.35, ""), "")</f>
        <v/>
      </c>
      <c r="CE42" s="46" t="str">
        <f ca="1">IFERROR(IF(AND(ISNUMBER(Futs!$CD42), ISNUMBER($CA42)), (Futs!$CD42 + $CA42)*6.35, ""), "")</f>
        <v/>
      </c>
      <c r="CF42" s="47" t="str">
        <f t="shared" ca="1" si="158"/>
        <v/>
      </c>
      <c r="CG42" s="114" t="str">
        <f t="shared" ca="1" si="159"/>
        <v/>
      </c>
      <c r="CH42" s="141" t="str">
        <f t="shared" ca="1" si="119"/>
        <v/>
      </c>
      <c r="CI42" s="46" t="str">
        <f t="shared" ca="1" si="120"/>
        <v/>
      </c>
      <c r="CJ42" s="47" t="str">
        <f t="shared" ca="1" si="160"/>
        <v/>
      </c>
      <c r="CK42" s="114" t="str">
        <f t="shared" ca="1" si="161"/>
        <v/>
      </c>
      <c r="CL42" s="49" t="str">
        <f t="shared" ca="1" si="128"/>
        <v/>
      </c>
      <c r="CM42" s="46" t="str">
        <f t="shared" ca="1" si="129"/>
        <v/>
      </c>
      <c r="CN42" s="47" t="str">
        <f t="shared" ca="1" si="162"/>
        <v/>
      </c>
      <c r="CO42" s="111" t="str">
        <f t="shared" ca="1" si="163"/>
        <v/>
      </c>
    </row>
    <row r="43" spans="1:93" x14ac:dyDescent="0.25">
      <c r="A43" s="58">
        <f t="shared" ca="1" si="130"/>
        <v>46997</v>
      </c>
      <c r="B43" s="6">
        <f t="shared" ca="1" si="105"/>
        <v>2028</v>
      </c>
      <c r="C43" s="6" t="str">
        <f t="shared" ca="1" si="121"/>
        <v>Q328</v>
      </c>
      <c r="D43" s="28">
        <f ca="1">INDEX(ICE[], MATCH(D$18 &amp; TEXT(Hvy!$A43, "mmmyy"), ICE[LongCode], 0), MATCH("Settle", ICE[#Headers], 0))</f>
        <v>-7.9930000000000003</v>
      </c>
      <c r="E43" s="28">
        <f ca="1">INDEX(ICE[], MATCH(E$18 &amp; TEXT(Hvy!$A43, "mmmyy"), ICE[LongCode], 0), MATCH("Settle", ICE[#Headers], 0))</f>
        <v>15</v>
      </c>
      <c r="F43" s="28">
        <f ca="1">INDEX(ICE[], MATCH(F$18 &amp; TEXT(Hvy!$A43, "mmmyy"), ICE[LongCode], 0), MATCH("Settle", ICE[#Headers], 0))</f>
        <v>26.5</v>
      </c>
      <c r="G43" s="28">
        <f ca="1">INDEX(ICE[], MATCH(G$18 &amp; TEXT(Hvy!$A43, "mmmyy"), ICE[LongCode], 0), MATCH("Settle", ICE[#Headers], 0))</f>
        <v>13</v>
      </c>
      <c r="H43" s="28">
        <f ca="1">INDEX(ICE[], MATCH(H$18 &amp; TEXT(Hvy!$A43, "mmmyy"), ICE[LongCode], 0), MATCH("Settle", ICE[#Headers], 0))</f>
        <v>4.5425000000000004</v>
      </c>
      <c r="I43" s="28">
        <f ca="1">INDEX(ICE[], MATCH(I$18 &amp; TEXT(Hvy!$A43, "mmmyy"), ICE[LongCode], 0), MATCH("Settle", ICE[#Headers], 0))</f>
        <v>12.419700000000001</v>
      </c>
      <c r="J43" s="397"/>
      <c r="K43" s="372" t="str">
        <f ca="1">IFERROR(INDEX(ICE[], MATCH("fo35brx" &amp; TEXT(Hvy!$A43, "mmmyy"), ICE[LongCode], 0), MATCH("Text", ICE[#Headers], 0)), "")</f>
        <v xml:space="preserve"> /  </v>
      </c>
      <c r="L43" s="46" t="str">
        <f t="shared" ca="1" si="122"/>
        <v/>
      </c>
      <c r="M43" s="47" t="str">
        <f t="shared" ca="1" si="123"/>
        <v/>
      </c>
      <c r="N43" s="46" t="str">
        <f t="shared" ca="1" si="131"/>
        <v/>
      </c>
      <c r="O43" s="141" t="str">
        <f ca="1">IFERROR(IF(AND(ISNUMBER(Futs!$CC43), ISNUMBER($J43)), (Futs!$CC43 + $J43)*6.35, ""), "")</f>
        <v/>
      </c>
      <c r="P43" s="67" t="str">
        <f ca="1">IFERROR(IF(AND(ISNUMBER(Futs!$CD43), ISNUMBER($L43)), (Futs!$CD43 + $L43)*6.35, ""), "")</f>
        <v/>
      </c>
      <c r="Q43" s="47" t="str">
        <f t="shared" ca="1" si="132"/>
        <v/>
      </c>
      <c r="R43" s="46" t="str">
        <f t="shared" ca="1" si="133"/>
        <v/>
      </c>
      <c r="S43" s="397"/>
      <c r="T43" s="372" t="str">
        <f ca="1">IFERROR(INDEX(ICE[], MATCH("hilo" &amp; TEXT(Hvy!$A43, "mmmyy"), ICE[LongCode], 0), MATCH("Text", ICE[#Headers], 0)), "")</f>
        <v xml:space="preserve"> /  </v>
      </c>
      <c r="U43" s="46" t="str">
        <f t="shared" ca="1" si="106"/>
        <v/>
      </c>
      <c r="V43" s="47" t="str">
        <f t="shared" ca="1" si="134"/>
        <v/>
      </c>
      <c r="W43" s="114" t="str">
        <f t="shared" ca="1" si="135"/>
        <v/>
      </c>
      <c r="X43" s="49" t="str">
        <f t="shared" ca="1" si="107"/>
        <v/>
      </c>
      <c r="Y43" s="46" t="str">
        <f t="shared" ca="1" si="108"/>
        <v/>
      </c>
      <c r="Z43" s="47" t="str">
        <f t="shared" ca="1" si="136"/>
        <v/>
      </c>
      <c r="AA43" s="111" t="str">
        <f t="shared" ca="1" si="137"/>
        <v/>
      </c>
      <c r="AB43" s="397"/>
      <c r="AC43" s="372" t="str">
        <f ca="1">IFERROR(INDEX(ICE[], MATCH("hsfoew" &amp; TEXT(Hvy!$A43, "mmmyy"), ICE[LongCode], 0), MATCH("Text", ICE[#Headers], 0)), "")</f>
        <v xml:space="preserve"> /  </v>
      </c>
      <c r="AD43" s="46" t="str">
        <f t="shared" ca="1" si="109"/>
        <v/>
      </c>
      <c r="AE43" s="47" t="str">
        <f t="shared" ca="1" si="124"/>
        <v/>
      </c>
      <c r="AF43" s="114" t="str">
        <f t="shared" ca="1" si="125"/>
        <v/>
      </c>
      <c r="AG43" s="141" t="str">
        <f t="shared" ca="1" si="110"/>
        <v/>
      </c>
      <c r="AH43" s="46" t="str">
        <f t="shared" ca="1" si="111"/>
        <v/>
      </c>
      <c r="AI43" s="47" t="str">
        <f t="shared" ca="1" si="126"/>
        <v/>
      </c>
      <c r="AJ43" s="364" t="str">
        <f ca="1">IFERROR(INDEX(ICE[], MATCH("fo380" &amp; TEXT(Crd!$A42, "mmmyy") &amp; "/" &amp; TEXT(Crd!$A43, "mmmyy"), ICE[LongCode], 0), MATCH("Text", ICE[#Headers], 0)), "")</f>
        <v/>
      </c>
      <c r="AK43" s="114" t="str">
        <f t="shared" ca="1" si="127"/>
        <v/>
      </c>
      <c r="AL43" s="49" t="str">
        <f ca="1">IFERROR(IF(AND(ISNUMBER(Futs!$CC43), ISNUMBER($AG43)), $AG43/6.35 - Futs!$CC43, ""), "")</f>
        <v/>
      </c>
      <c r="AM43" s="372" t="str">
        <f ca="1">IFERROR(INDEX(ICE[], MATCH("fo380brx" &amp; TEXT(Hvy!$A43, "mmmyy"), ICE[LongCode], 0), MATCH("Text", ICE[#Headers], 0)), "")</f>
        <v xml:space="preserve"> /  </v>
      </c>
      <c r="AN43" s="46" t="str">
        <f ca="1">IFERROR(IF(AND(ISNUMBER(Futs!$CD43), ISNUMBER($AH43)), $AH43/6.35 - Futs!$CD43, ""), "")</f>
        <v/>
      </c>
      <c r="AO43" s="47" t="str">
        <f t="shared" ca="1" si="138"/>
        <v/>
      </c>
      <c r="AP43" s="114" t="str">
        <f t="shared" ca="1" si="139"/>
        <v/>
      </c>
      <c r="AQ43" s="49" t="str">
        <f ca="1">IFERROR(IF(AND(ISNUMBER(Crd!$X43), ISNUMBER($AG43)), $AG43/6.35 - Crd!$X43, ""), "")</f>
        <v/>
      </c>
      <c r="AR43" s="46" t="str">
        <f ca="1">IFERROR(IF(AND(ISNUMBER(Crd!$Y43), ISNUMBER($AH43)), $AH43/6.35 - Crd!$Y43, ""), "")</f>
        <v/>
      </c>
      <c r="AS43" s="47" t="str">
        <f t="shared" ca="1" si="140"/>
        <v/>
      </c>
      <c r="AT43" s="111" t="str">
        <f t="shared" ca="1" si="141"/>
        <v/>
      </c>
      <c r="AU43" s="397"/>
      <c r="AV43" s="372" t="str">
        <f ca="1">IFERROR(INDEX(ICE[], MATCH("visco" &amp; TEXT(Hvy!$A43, "mmmyy"), ICE[LongCode], 0), MATCH("Text", ICE[#Headers], 0)), "")</f>
        <v xml:space="preserve"> /  </v>
      </c>
      <c r="AW43" s="46" t="str">
        <f t="shared" ca="1" si="112"/>
        <v/>
      </c>
      <c r="AX43" s="47" t="str">
        <f t="shared" ca="1" si="142"/>
        <v/>
      </c>
      <c r="AY43" s="46" t="str">
        <f t="shared" ca="1" si="143"/>
        <v/>
      </c>
      <c r="AZ43" s="141" t="str">
        <f t="shared" ca="1" si="113"/>
        <v/>
      </c>
      <c r="BA43" s="46" t="str">
        <f t="shared" ca="1" si="114"/>
        <v/>
      </c>
      <c r="BB43" s="47" t="str">
        <f t="shared" ca="1" si="144"/>
        <v/>
      </c>
      <c r="BC43" s="114" t="str">
        <f t="shared" ca="1" si="145"/>
        <v/>
      </c>
      <c r="BD43" s="49" t="str">
        <f ca="1">IFERROR(IF(AND(ISNUMBER(Futs!$CC43), ISNUMBER($AZ43)), $AZ43/6.35 - Futs!$CC43, ""), "")</f>
        <v/>
      </c>
      <c r="BE43" s="46" t="str">
        <f ca="1">IFERROR(IF(AND(ISNUMBER(Futs!$CD43), ISNUMBER($BA43)), $BA43/6.35 - Futs!$CD43, ""), "")</f>
        <v/>
      </c>
      <c r="BF43" s="47" t="str">
        <f t="shared" ca="1" si="146"/>
        <v/>
      </c>
      <c r="BG43" s="114" t="str">
        <f t="shared" ca="1" si="147"/>
        <v/>
      </c>
      <c r="BH43" s="49" t="str">
        <f ca="1">IFERROR(IF(AND(ISNUMBER(Crd!$X43), ISNUMBER($AZ43)), $AZ43/6.35 - Crd!$X43, ""), "")</f>
        <v/>
      </c>
      <c r="BI43" s="46" t="str">
        <f ca="1">IFERROR(IF(AND(ISNUMBER(Crd!$Y43), ISNUMBER($BA43)), $BA43/6.35 - Crd!$Y43, ""), "")</f>
        <v/>
      </c>
      <c r="BJ43" s="47" t="str">
        <f t="shared" ca="1" si="148"/>
        <v/>
      </c>
      <c r="BK43" s="111" t="str">
        <f t="shared" ca="1" si="149"/>
        <v/>
      </c>
      <c r="BL43" s="397"/>
      <c r="BM43" s="372" t="str">
        <f ca="1">IFERROR(INDEX(ICE[], MATCH("fo05bfrbrx" &amp; TEXT(Hvy!$A43, "mmmyy"), ICE[LongCode], 0), MATCH("Text", ICE[#Headers], 0)), "")</f>
        <v xml:space="preserve"> /  </v>
      </c>
      <c r="BN43" s="46" t="str">
        <f t="shared" ca="1" si="115"/>
        <v/>
      </c>
      <c r="BO43" s="47" t="str">
        <f t="shared" ca="1" si="150"/>
        <v/>
      </c>
      <c r="BP43" s="46" t="str">
        <f t="shared" ca="1" si="151"/>
        <v/>
      </c>
      <c r="BQ43" s="141" t="str">
        <f ca="1">IFERROR(IF(AND(ISNUMBER(Futs!$CC43), ISNUMBER($BL43)), (Futs!$CC43 + $BL43)*6.35, ""), "")</f>
        <v/>
      </c>
      <c r="BR43" s="46" t="str">
        <f ca="1">IFERROR(IF(AND(ISNUMBER(Futs!$CD43), ISNUMBER($BN43)), (Futs!$CD43 + $BN43)*6.35, ""), "")</f>
        <v/>
      </c>
      <c r="BS43" s="47" t="str">
        <f t="shared" ca="1" si="152"/>
        <v/>
      </c>
      <c r="BT43" s="114" t="str">
        <f t="shared" ca="1" si="153"/>
        <v/>
      </c>
      <c r="BU43" s="49" t="str">
        <f t="shared" ca="1" si="116"/>
        <v/>
      </c>
      <c r="BV43" s="46" t="str">
        <f t="shared" ca="1" si="117"/>
        <v/>
      </c>
      <c r="BW43" s="47" t="str">
        <f t="shared" ca="1" si="154"/>
        <v/>
      </c>
      <c r="BX43" s="111" t="str">
        <f t="shared" ca="1" si="155"/>
        <v/>
      </c>
      <c r="BY43" s="397"/>
      <c r="BZ43" s="372" t="str">
        <f ca="1">IFERROR(INDEX(ICE[], MATCH("fo05singbrx" &amp; TEXT(Hvy!$A43, "mmmyy"), ICE[LongCode], 0), MATCH("Text", ICE[#Headers], 0)), "")</f>
        <v xml:space="preserve"> /  </v>
      </c>
      <c r="CA43" s="46" t="str">
        <f t="shared" ca="1" si="118"/>
        <v/>
      </c>
      <c r="CB43" s="47" t="str">
        <f t="shared" ca="1" si="156"/>
        <v/>
      </c>
      <c r="CC43" s="114" t="str">
        <f t="shared" ca="1" si="157"/>
        <v/>
      </c>
      <c r="CD43" s="141" t="str">
        <f ca="1">IFERROR(IF(AND(ISNUMBER(Futs!$CC43), ISNUMBER($BY43)), (Futs!$CC43 + $BY43)*6.35, ""), "")</f>
        <v/>
      </c>
      <c r="CE43" s="46" t="str">
        <f ca="1">IFERROR(IF(AND(ISNUMBER(Futs!$CD43), ISNUMBER($CA43)), (Futs!$CD43 + $CA43)*6.35, ""), "")</f>
        <v/>
      </c>
      <c r="CF43" s="47" t="str">
        <f t="shared" ca="1" si="158"/>
        <v/>
      </c>
      <c r="CG43" s="114" t="str">
        <f t="shared" ca="1" si="159"/>
        <v/>
      </c>
      <c r="CH43" s="141" t="str">
        <f t="shared" ca="1" si="119"/>
        <v/>
      </c>
      <c r="CI43" s="46" t="str">
        <f t="shared" ca="1" si="120"/>
        <v/>
      </c>
      <c r="CJ43" s="47" t="str">
        <f t="shared" ca="1" si="160"/>
        <v/>
      </c>
      <c r="CK43" s="114" t="str">
        <f t="shared" ca="1" si="161"/>
        <v/>
      </c>
      <c r="CL43" s="49" t="str">
        <f t="shared" ca="1" si="128"/>
        <v/>
      </c>
      <c r="CM43" s="46" t="str">
        <f t="shared" ca="1" si="129"/>
        <v/>
      </c>
      <c r="CN43" s="47" t="str">
        <f t="shared" ca="1" si="162"/>
        <v/>
      </c>
      <c r="CO43" s="111" t="str">
        <f t="shared" ca="1" si="163"/>
        <v/>
      </c>
    </row>
    <row r="44" spans="1:93" x14ac:dyDescent="0.25">
      <c r="A44" s="58">
        <f t="shared" ca="1" si="130"/>
        <v>47027</v>
      </c>
      <c r="B44" s="6">
        <f t="shared" ca="1" si="105"/>
        <v>2028</v>
      </c>
      <c r="C44" s="6" t="str">
        <f t="shared" ca="1" si="121"/>
        <v>Q428</v>
      </c>
      <c r="D44" s="28" t="e">
        <f ca="1">INDEX(ICE[], MATCH(D$18 &amp; TEXT(Hvy!$A44, "mmmyy"), ICE[LongCode], 0), MATCH("Settle", ICE[#Headers], 0))</f>
        <v>#N/A</v>
      </c>
      <c r="E44" s="28" t="e">
        <f ca="1">INDEX(ICE[], MATCH(E$18 &amp; TEXT(Hvy!$A44, "mmmyy"), ICE[LongCode], 0), MATCH("Settle", ICE[#Headers], 0))</f>
        <v>#N/A</v>
      </c>
      <c r="F44" s="28" t="e">
        <f ca="1">INDEX(ICE[], MATCH(F$18 &amp; TEXT(Hvy!$A44, "mmmyy"), ICE[LongCode], 0), MATCH("Settle", ICE[#Headers], 0))</f>
        <v>#N/A</v>
      </c>
      <c r="G44" s="28" t="e">
        <f ca="1">INDEX(ICE[], MATCH(G$18 &amp; TEXT(Hvy!$A44, "mmmyy"), ICE[LongCode], 0), MATCH("Settle", ICE[#Headers], 0))</f>
        <v>#N/A</v>
      </c>
      <c r="H44" s="28" t="e">
        <f ca="1">INDEX(ICE[], MATCH(H$18 &amp; TEXT(Hvy!$A44, "mmmyy"), ICE[LongCode], 0), MATCH("Settle", ICE[#Headers], 0))</f>
        <v>#N/A</v>
      </c>
      <c r="I44" s="28" t="e">
        <f ca="1">INDEX(ICE[], MATCH(I$18 &amp; TEXT(Hvy!$A44, "mmmyy"), ICE[LongCode], 0), MATCH("Settle", ICE[#Headers], 0))</f>
        <v>#N/A</v>
      </c>
      <c r="J44" s="397"/>
      <c r="K44" s="372" t="str">
        <f ca="1">IFERROR(INDEX(ICE[], MATCH("fo35brx" &amp; TEXT(Hvy!$A44, "mmmyy"), ICE[LongCode], 0), MATCH("Text", ICE[#Headers], 0)), "")</f>
        <v/>
      </c>
      <c r="L44" s="46" t="str">
        <f t="shared" ca="1" si="122"/>
        <v/>
      </c>
      <c r="M44" s="47" t="str">
        <f t="shared" si="123"/>
        <v/>
      </c>
      <c r="N44" s="46" t="str">
        <f t="shared" ca="1" si="131"/>
        <v/>
      </c>
      <c r="O44" s="141" t="str">
        <f ca="1">IFERROR(IF(AND(ISNUMBER(Futs!$CC44), ISNUMBER($J44)), (Futs!$CC44 + $J44)*6.35, ""), "")</f>
        <v/>
      </c>
      <c r="P44" s="67" t="str">
        <f ca="1">IFERROR(IF(AND(ISNUMBER(Futs!$CD44), ISNUMBER($L44)), (Futs!$CD44 + $L44)*6.35, ""), "")</f>
        <v/>
      </c>
      <c r="Q44" s="47" t="str">
        <f t="shared" ca="1" si="132"/>
        <v/>
      </c>
      <c r="R44" s="46" t="str">
        <f t="shared" ca="1" si="133"/>
        <v/>
      </c>
      <c r="S44" s="397"/>
      <c r="T44" s="372" t="str">
        <f ca="1">IFERROR(INDEX(ICE[], MATCH("hilo" &amp; TEXT(Hvy!$A44, "mmmyy"), ICE[LongCode], 0), MATCH("Text", ICE[#Headers], 0)), "")</f>
        <v/>
      </c>
      <c r="U44" s="46" t="str">
        <f t="shared" ca="1" si="106"/>
        <v/>
      </c>
      <c r="V44" s="47" t="str">
        <f t="shared" si="134"/>
        <v/>
      </c>
      <c r="W44" s="114" t="str">
        <f t="shared" ca="1" si="135"/>
        <v/>
      </c>
      <c r="X44" s="49" t="str">
        <f t="shared" ca="1" si="107"/>
        <v/>
      </c>
      <c r="Y44" s="46" t="str">
        <f t="shared" ca="1" si="108"/>
        <v/>
      </c>
      <c r="Z44" s="47" t="str">
        <f t="shared" ca="1" si="136"/>
        <v/>
      </c>
      <c r="AA44" s="111" t="str">
        <f t="shared" ca="1" si="137"/>
        <v/>
      </c>
      <c r="AB44" s="397"/>
      <c r="AC44" s="372" t="str">
        <f ca="1">IFERROR(INDEX(ICE[], MATCH("hsfoew" &amp; TEXT(Hvy!$A44, "mmmyy"), ICE[LongCode], 0), MATCH("Text", ICE[#Headers], 0)), "")</f>
        <v/>
      </c>
      <c r="AD44" s="46" t="str">
        <f t="shared" ca="1" si="109"/>
        <v/>
      </c>
      <c r="AE44" s="47" t="str">
        <f t="shared" si="124"/>
        <v/>
      </c>
      <c r="AF44" s="114" t="str">
        <f t="shared" ca="1" si="125"/>
        <v/>
      </c>
      <c r="AG44" s="141" t="str">
        <f t="shared" ca="1" si="110"/>
        <v/>
      </c>
      <c r="AH44" s="46" t="str">
        <f t="shared" ca="1" si="111"/>
        <v/>
      </c>
      <c r="AI44" s="47" t="str">
        <f t="shared" ca="1" si="126"/>
        <v/>
      </c>
      <c r="AJ44" s="364"/>
      <c r="AK44" s="114" t="str">
        <f t="shared" ca="1" si="127"/>
        <v/>
      </c>
      <c r="AL44" s="49" t="str">
        <f ca="1">IFERROR(IF(AND(ISNUMBER(Futs!$CC44), ISNUMBER($AG44)), $AG44/6.35 - Futs!$CC44, ""), "")</f>
        <v/>
      </c>
      <c r="AM44" s="372" t="str">
        <f ca="1">IFERROR(INDEX(ICE[], MATCH("fo380brx" &amp; TEXT(Hvy!$A44, "mmmyy"), ICE[LongCode], 0), MATCH("Text", ICE[#Headers], 0)), "")</f>
        <v/>
      </c>
      <c r="AN44" s="46" t="str">
        <f ca="1">IFERROR(IF(AND(ISNUMBER(Futs!$CD44), ISNUMBER($AH44)), $AH44/6.35 - Futs!$CD44, ""), "")</f>
        <v/>
      </c>
      <c r="AO44" s="47" t="str">
        <f t="shared" ca="1" si="138"/>
        <v/>
      </c>
      <c r="AP44" s="114" t="str">
        <f t="shared" ca="1" si="139"/>
        <v/>
      </c>
      <c r="AQ44" s="49" t="str">
        <f ca="1">IFERROR(IF(AND(ISNUMBER(Crd!$X44), ISNUMBER($AG44)), $AG44/6.35 - Crd!$X44, ""), "")</f>
        <v/>
      </c>
      <c r="AR44" s="46" t="str">
        <f ca="1">IFERROR(IF(AND(ISNUMBER(Crd!$Y44), ISNUMBER($AH44)), $AH44/6.35 - Crd!$Y44, ""), "")</f>
        <v/>
      </c>
      <c r="AS44" s="47" t="str">
        <f t="shared" ca="1" si="140"/>
        <v/>
      </c>
      <c r="AT44" s="111" t="str">
        <f t="shared" ca="1" si="141"/>
        <v/>
      </c>
      <c r="AU44" s="397"/>
      <c r="AV44" s="372" t="str">
        <f ca="1">IFERROR(INDEX(ICE[], MATCH("visco" &amp; TEXT(Hvy!$A44, "mmmyy"), ICE[LongCode], 0), MATCH("Text", ICE[#Headers], 0)), "")</f>
        <v/>
      </c>
      <c r="AW44" s="46" t="str">
        <f t="shared" ca="1" si="112"/>
        <v/>
      </c>
      <c r="AX44" s="47" t="str">
        <f t="shared" si="142"/>
        <v/>
      </c>
      <c r="AY44" s="46" t="str">
        <f t="shared" ca="1" si="143"/>
        <v/>
      </c>
      <c r="AZ44" s="141" t="str">
        <f t="shared" ca="1" si="113"/>
        <v/>
      </c>
      <c r="BA44" s="46" t="str">
        <f t="shared" ca="1" si="114"/>
        <v/>
      </c>
      <c r="BB44" s="47" t="str">
        <f t="shared" ca="1" si="144"/>
        <v/>
      </c>
      <c r="BC44" s="114" t="str">
        <f t="shared" ca="1" si="145"/>
        <v/>
      </c>
      <c r="BD44" s="49" t="str">
        <f ca="1">IFERROR(IF(AND(ISNUMBER(Futs!$CC44), ISNUMBER($AZ44)), $AZ44/6.35 - Futs!$CC44, ""), "")</f>
        <v/>
      </c>
      <c r="BE44" s="46" t="str">
        <f ca="1">IFERROR(IF(AND(ISNUMBER(Futs!$CD44), ISNUMBER($BA44)), $BA44/6.35 - Futs!$CD44, ""), "")</f>
        <v/>
      </c>
      <c r="BF44" s="47" t="str">
        <f t="shared" ca="1" si="146"/>
        <v/>
      </c>
      <c r="BG44" s="114" t="str">
        <f t="shared" ca="1" si="147"/>
        <v/>
      </c>
      <c r="BH44" s="49" t="str">
        <f ca="1">IFERROR(IF(AND(ISNUMBER(Crd!$X44), ISNUMBER($AZ44)), $AZ44/6.35 - Crd!$X44, ""), "")</f>
        <v/>
      </c>
      <c r="BI44" s="46" t="str">
        <f ca="1">IFERROR(IF(AND(ISNUMBER(Crd!$Y44), ISNUMBER($BA44)), $BA44/6.35 - Crd!$Y44, ""), "")</f>
        <v/>
      </c>
      <c r="BJ44" s="47" t="str">
        <f t="shared" ca="1" si="148"/>
        <v/>
      </c>
      <c r="BK44" s="111" t="str">
        <f t="shared" ca="1" si="149"/>
        <v/>
      </c>
      <c r="BL44" s="397"/>
      <c r="BM44" s="372" t="str">
        <f ca="1">IFERROR(INDEX(ICE[], MATCH("fo05bfrbrx" &amp; TEXT(Hvy!$A44, "mmmyy"), ICE[LongCode], 0), MATCH("Text", ICE[#Headers], 0)), "")</f>
        <v/>
      </c>
      <c r="BN44" s="46" t="str">
        <f t="shared" ca="1" si="115"/>
        <v/>
      </c>
      <c r="BO44" s="47" t="str">
        <f t="shared" si="150"/>
        <v/>
      </c>
      <c r="BP44" s="46" t="str">
        <f t="shared" ca="1" si="151"/>
        <v/>
      </c>
      <c r="BQ44" s="141" t="str">
        <f ca="1">IFERROR(IF(AND(ISNUMBER(Futs!$CC44), ISNUMBER($BL44)), (Futs!$CC44 + $BL44)*6.35, ""), "")</f>
        <v/>
      </c>
      <c r="BR44" s="46" t="str">
        <f ca="1">IFERROR(IF(AND(ISNUMBER(Futs!$CD44), ISNUMBER($BN44)), (Futs!$CD44 + $BN44)*6.35, ""), "")</f>
        <v/>
      </c>
      <c r="BS44" s="47" t="str">
        <f t="shared" ca="1" si="152"/>
        <v/>
      </c>
      <c r="BT44" s="114" t="str">
        <f t="shared" ca="1" si="153"/>
        <v/>
      </c>
      <c r="BU44" s="49" t="str">
        <f t="shared" ca="1" si="116"/>
        <v/>
      </c>
      <c r="BV44" s="46" t="str">
        <f t="shared" ca="1" si="117"/>
        <v/>
      </c>
      <c r="BW44" s="47" t="str">
        <f t="shared" ca="1" si="154"/>
        <v/>
      </c>
      <c r="BX44" s="111" t="str">
        <f t="shared" ca="1" si="155"/>
        <v/>
      </c>
      <c r="BY44" s="397"/>
      <c r="BZ44" s="372" t="str">
        <f ca="1">IFERROR(INDEX(ICE[], MATCH("fo05singbrx" &amp; TEXT(Hvy!$A44, "mmmyy"), ICE[LongCode], 0), MATCH("Text", ICE[#Headers], 0)), "")</f>
        <v/>
      </c>
      <c r="CA44" s="46" t="str">
        <f t="shared" ca="1" si="118"/>
        <v/>
      </c>
      <c r="CB44" s="47" t="str">
        <f t="shared" si="156"/>
        <v/>
      </c>
      <c r="CC44" s="114" t="str">
        <f t="shared" ca="1" si="157"/>
        <v/>
      </c>
      <c r="CD44" s="141" t="str">
        <f ca="1">IFERROR(IF(AND(ISNUMBER(Futs!$CC44), ISNUMBER($BY44)), (Futs!$CC44 + $BY44)*6.35, ""), "")</f>
        <v/>
      </c>
      <c r="CE44" s="46" t="str">
        <f ca="1">IFERROR(IF(AND(ISNUMBER(Futs!$CD44), ISNUMBER($CA44)), (Futs!$CD44 + $CA44)*6.35, ""), "")</f>
        <v/>
      </c>
      <c r="CF44" s="47" t="str">
        <f t="shared" ca="1" si="158"/>
        <v/>
      </c>
      <c r="CG44" s="114" t="str">
        <f t="shared" ca="1" si="159"/>
        <v/>
      </c>
      <c r="CH44" s="141" t="str">
        <f t="shared" ca="1" si="119"/>
        <v/>
      </c>
      <c r="CI44" s="46" t="str">
        <f t="shared" ca="1" si="120"/>
        <v/>
      </c>
      <c r="CJ44" s="47" t="str">
        <f t="shared" ca="1" si="160"/>
        <v/>
      </c>
      <c r="CK44" s="114" t="str">
        <f t="shared" ca="1" si="161"/>
        <v/>
      </c>
      <c r="CL44" s="49" t="str">
        <f t="shared" ca="1" si="128"/>
        <v/>
      </c>
      <c r="CM44" s="46" t="str">
        <f t="shared" ca="1" si="129"/>
        <v/>
      </c>
      <c r="CN44" s="47" t="str">
        <f t="shared" ca="1" si="162"/>
        <v/>
      </c>
      <c r="CO44" s="111" t="str">
        <f t="shared" ca="1" si="163"/>
        <v/>
      </c>
    </row>
    <row r="45" spans="1:93" x14ac:dyDescent="0.25">
      <c r="A45" s="58">
        <f t="shared" ca="1" si="130"/>
        <v>47058</v>
      </c>
      <c r="B45" s="6">
        <f t="shared" ca="1" si="105"/>
        <v>2028</v>
      </c>
      <c r="C45" s="6" t="str">
        <f t="shared" ca="1" si="121"/>
        <v>Q428</v>
      </c>
      <c r="D45" s="28" t="e">
        <f ca="1">INDEX(ICE[], MATCH(D$18 &amp; TEXT(Hvy!$A45, "mmmyy"), ICE[LongCode], 0), MATCH("Settle", ICE[#Headers], 0))</f>
        <v>#N/A</v>
      </c>
      <c r="E45" s="28" t="e">
        <f ca="1">INDEX(ICE[], MATCH(E$18 &amp; TEXT(Hvy!$A45, "mmmyy"), ICE[LongCode], 0), MATCH("Settle", ICE[#Headers], 0))</f>
        <v>#N/A</v>
      </c>
      <c r="F45" s="28" t="e">
        <f ca="1">INDEX(ICE[], MATCH(F$18 &amp; TEXT(Hvy!$A45, "mmmyy"), ICE[LongCode], 0), MATCH("Settle", ICE[#Headers], 0))</f>
        <v>#N/A</v>
      </c>
      <c r="G45" s="28" t="e">
        <f ca="1">INDEX(ICE[], MATCH(G$18 &amp; TEXT(Hvy!$A45, "mmmyy"), ICE[LongCode], 0), MATCH("Settle", ICE[#Headers], 0))</f>
        <v>#N/A</v>
      </c>
      <c r="H45" s="28" t="e">
        <f ca="1">INDEX(ICE[], MATCH(H$18 &amp; TEXT(Hvy!$A45, "mmmyy"), ICE[LongCode], 0), MATCH("Settle", ICE[#Headers], 0))</f>
        <v>#N/A</v>
      </c>
      <c r="I45" s="28" t="e">
        <f ca="1">INDEX(ICE[], MATCH(I$18 &amp; TEXT(Hvy!$A45, "mmmyy"), ICE[LongCode], 0), MATCH("Settle", ICE[#Headers], 0))</f>
        <v>#N/A</v>
      </c>
      <c r="J45" s="397"/>
      <c r="K45" s="372" t="str">
        <f ca="1">IFERROR(INDEX(ICE[], MATCH("fo35brx" &amp; TEXT(Hvy!$A45, "mmmyy"), ICE[LongCode], 0), MATCH("Text", ICE[#Headers], 0)), "")</f>
        <v/>
      </c>
      <c r="L45" s="46" t="str">
        <f t="shared" ca="1" si="122"/>
        <v/>
      </c>
      <c r="M45" s="47" t="str">
        <f t="shared" si="123"/>
        <v/>
      </c>
      <c r="N45" s="46" t="str">
        <f t="shared" ca="1" si="131"/>
        <v/>
      </c>
      <c r="O45" s="141" t="str">
        <f ca="1">IFERROR(IF(AND(ISNUMBER(Futs!$CC45), ISNUMBER($J45)), (Futs!$CC45 + $J45)*6.35, ""), "")</f>
        <v/>
      </c>
      <c r="P45" s="67" t="str">
        <f ca="1">IFERROR(IF(AND(ISNUMBER(Futs!$CD45), ISNUMBER($L45)), (Futs!$CD45 + $L45)*6.35, ""), "")</f>
        <v/>
      </c>
      <c r="Q45" s="47" t="str">
        <f t="shared" ca="1" si="132"/>
        <v/>
      </c>
      <c r="R45" s="46" t="str">
        <f t="shared" ca="1" si="133"/>
        <v/>
      </c>
      <c r="S45" s="397"/>
      <c r="T45" s="372" t="str">
        <f ca="1">IFERROR(INDEX(ICE[], MATCH("hilo" &amp; TEXT(Hvy!$A45, "mmmyy"), ICE[LongCode], 0), MATCH("Text", ICE[#Headers], 0)), "")</f>
        <v/>
      </c>
      <c r="U45" s="46" t="str">
        <f t="shared" ca="1" si="106"/>
        <v/>
      </c>
      <c r="V45" s="47" t="str">
        <f t="shared" si="134"/>
        <v/>
      </c>
      <c r="W45" s="114" t="str">
        <f t="shared" ca="1" si="135"/>
        <v/>
      </c>
      <c r="X45" s="49" t="str">
        <f t="shared" ca="1" si="107"/>
        <v/>
      </c>
      <c r="Y45" s="46" t="str">
        <f t="shared" ca="1" si="108"/>
        <v/>
      </c>
      <c r="Z45" s="47" t="str">
        <f t="shared" ca="1" si="136"/>
        <v/>
      </c>
      <c r="AA45" s="111" t="str">
        <f t="shared" ca="1" si="137"/>
        <v/>
      </c>
      <c r="AB45" s="397"/>
      <c r="AC45" s="372" t="str">
        <f ca="1">IFERROR(INDEX(ICE[], MATCH("hsfoew" &amp; TEXT(Hvy!$A45, "mmmyy"), ICE[LongCode], 0), MATCH("Text", ICE[#Headers], 0)), "")</f>
        <v/>
      </c>
      <c r="AD45" s="46" t="str">
        <f t="shared" ca="1" si="109"/>
        <v/>
      </c>
      <c r="AE45" s="47" t="str">
        <f t="shared" si="124"/>
        <v/>
      </c>
      <c r="AF45" s="114" t="str">
        <f t="shared" ca="1" si="125"/>
        <v/>
      </c>
      <c r="AG45" s="141" t="str">
        <f t="shared" ca="1" si="110"/>
        <v/>
      </c>
      <c r="AH45" s="46" t="str">
        <f t="shared" ca="1" si="111"/>
        <v/>
      </c>
      <c r="AI45" s="47" t="str">
        <f t="shared" ca="1" si="126"/>
        <v/>
      </c>
      <c r="AJ45" s="364" t="str">
        <f ca="1">IFERROR(INDEX(ICE[], MATCH("brfo380" &amp; TEXT(Crd!$A45, "mmmyy"), ICE[LongCode], 0), MATCH("Text", ICE[#Headers], 0)), "")</f>
        <v/>
      </c>
      <c r="AK45" s="114" t="str">
        <f t="shared" ca="1" si="127"/>
        <v/>
      </c>
      <c r="AL45" s="49" t="str">
        <f ca="1">IFERROR(IF(AND(ISNUMBER(Futs!$CC45), ISNUMBER($AG45)), $AG45/6.35 - Futs!$CC45, ""), "")</f>
        <v/>
      </c>
      <c r="AM45" s="372" t="str">
        <f ca="1">IFERROR(INDEX(ICE[], MATCH("fo380brx" &amp; TEXT(Hvy!$A45, "mmmyy"), ICE[LongCode], 0), MATCH("Text", ICE[#Headers], 0)), "")</f>
        <v/>
      </c>
      <c r="AN45" s="46" t="str">
        <f ca="1">IFERROR(IF(AND(ISNUMBER(Futs!$CD45), ISNUMBER($AH45)), $AH45/6.35 - Futs!$CD45, ""), "")</f>
        <v/>
      </c>
      <c r="AO45" s="47" t="str">
        <f t="shared" ca="1" si="138"/>
        <v/>
      </c>
      <c r="AP45" s="114" t="str">
        <f t="shared" ca="1" si="139"/>
        <v/>
      </c>
      <c r="AQ45" s="49" t="str">
        <f ca="1">IFERROR(IF(AND(ISNUMBER(Crd!$X45), ISNUMBER($AG45)), $AG45/6.35 - Crd!$X45, ""), "")</f>
        <v/>
      </c>
      <c r="AR45" s="46" t="str">
        <f ca="1">IFERROR(IF(AND(ISNUMBER(Crd!$Y45), ISNUMBER($AH45)), $AH45/6.35 - Crd!$Y45, ""), "")</f>
        <v/>
      </c>
      <c r="AS45" s="47" t="str">
        <f t="shared" ca="1" si="140"/>
        <v/>
      </c>
      <c r="AT45" s="111" t="str">
        <f t="shared" ca="1" si="141"/>
        <v/>
      </c>
      <c r="AU45" s="397"/>
      <c r="AV45" s="372" t="str">
        <f ca="1">IFERROR(INDEX(ICE[], MATCH("visco" &amp; TEXT(Hvy!$A45, "mmmyy"), ICE[LongCode], 0), MATCH("Text", ICE[#Headers], 0)), "")</f>
        <v/>
      </c>
      <c r="AW45" s="46" t="str">
        <f t="shared" ca="1" si="112"/>
        <v/>
      </c>
      <c r="AX45" s="47" t="str">
        <f t="shared" si="142"/>
        <v/>
      </c>
      <c r="AY45" s="46" t="str">
        <f t="shared" ca="1" si="143"/>
        <v/>
      </c>
      <c r="AZ45" s="141" t="str">
        <f t="shared" ca="1" si="113"/>
        <v/>
      </c>
      <c r="BA45" s="46" t="str">
        <f t="shared" ca="1" si="114"/>
        <v/>
      </c>
      <c r="BB45" s="47" t="str">
        <f t="shared" ca="1" si="144"/>
        <v/>
      </c>
      <c r="BC45" s="114" t="str">
        <f t="shared" ca="1" si="145"/>
        <v/>
      </c>
      <c r="BD45" s="49" t="str">
        <f ca="1">IFERROR(IF(AND(ISNUMBER(Futs!$CC45), ISNUMBER($AZ45)), $AZ45/6.35 - Futs!$CC45, ""), "")</f>
        <v/>
      </c>
      <c r="BE45" s="46" t="str">
        <f ca="1">IFERROR(IF(AND(ISNUMBER(Futs!$CD45), ISNUMBER($BA45)), $BA45/6.35 - Futs!$CD45, ""), "")</f>
        <v/>
      </c>
      <c r="BF45" s="47" t="str">
        <f t="shared" ca="1" si="146"/>
        <v/>
      </c>
      <c r="BG45" s="114" t="str">
        <f t="shared" ca="1" si="147"/>
        <v/>
      </c>
      <c r="BH45" s="49" t="str">
        <f ca="1">IFERROR(IF(AND(ISNUMBER(Crd!$X45), ISNUMBER($AZ45)), $AZ45/6.35 - Crd!$X45, ""), "")</f>
        <v/>
      </c>
      <c r="BI45" s="46" t="str">
        <f ca="1">IFERROR(IF(AND(ISNUMBER(Crd!$Y45), ISNUMBER($BA45)), $BA45/6.35 - Crd!$Y45, ""), "")</f>
        <v/>
      </c>
      <c r="BJ45" s="47" t="str">
        <f t="shared" ca="1" si="148"/>
        <v/>
      </c>
      <c r="BK45" s="111" t="str">
        <f t="shared" ca="1" si="149"/>
        <v/>
      </c>
      <c r="BL45" s="397"/>
      <c r="BM45" s="372" t="str">
        <f ca="1">IFERROR(INDEX(ICE[], MATCH("fo05bfrbrx" &amp; TEXT(Hvy!$A45, "mmmyy"), ICE[LongCode], 0), MATCH("Text", ICE[#Headers], 0)), "")</f>
        <v/>
      </c>
      <c r="BN45" s="46" t="str">
        <f t="shared" ca="1" si="115"/>
        <v/>
      </c>
      <c r="BO45" s="47" t="str">
        <f t="shared" si="150"/>
        <v/>
      </c>
      <c r="BP45" s="46" t="str">
        <f t="shared" ca="1" si="151"/>
        <v/>
      </c>
      <c r="BQ45" s="141" t="str">
        <f ca="1">IFERROR(IF(AND(ISNUMBER(Futs!$CC45), ISNUMBER($BL45)), (Futs!$CC45 + $BL45)*6.35, ""), "")</f>
        <v/>
      </c>
      <c r="BR45" s="46" t="str">
        <f ca="1">IFERROR(IF(AND(ISNUMBER(Futs!$CD45), ISNUMBER($BN45)), (Futs!$CD45 + $BN45)*6.35, ""), "")</f>
        <v/>
      </c>
      <c r="BS45" s="47" t="str">
        <f t="shared" ca="1" si="152"/>
        <v/>
      </c>
      <c r="BT45" s="114" t="str">
        <f t="shared" ca="1" si="153"/>
        <v/>
      </c>
      <c r="BU45" s="49" t="str">
        <f t="shared" ca="1" si="116"/>
        <v/>
      </c>
      <c r="BV45" s="46" t="str">
        <f t="shared" ca="1" si="117"/>
        <v/>
      </c>
      <c r="BW45" s="47" t="str">
        <f t="shared" ca="1" si="154"/>
        <v/>
      </c>
      <c r="BX45" s="111" t="str">
        <f t="shared" ca="1" si="155"/>
        <v/>
      </c>
      <c r="BY45" s="397"/>
      <c r="BZ45" s="372" t="str">
        <f ca="1">IFERROR(INDEX(ICE[], MATCH("fo05singbrx" &amp; TEXT(Hvy!$A45, "mmmyy"), ICE[LongCode], 0), MATCH("Text", ICE[#Headers], 0)), "")</f>
        <v/>
      </c>
      <c r="CA45" s="46" t="str">
        <f t="shared" ca="1" si="118"/>
        <v/>
      </c>
      <c r="CB45" s="47" t="str">
        <f t="shared" si="156"/>
        <v/>
      </c>
      <c r="CC45" s="114" t="str">
        <f t="shared" ca="1" si="157"/>
        <v/>
      </c>
      <c r="CD45" s="141" t="str">
        <f ca="1">IFERROR(IF(AND(ISNUMBER(Futs!$CC45), ISNUMBER($BY45)), (Futs!$CC45 + $BY45)*6.35, ""), "")</f>
        <v/>
      </c>
      <c r="CE45" s="46" t="str">
        <f ca="1">IFERROR(IF(AND(ISNUMBER(Futs!$CD45), ISNUMBER($CA45)), (Futs!$CD45 + $CA45)*6.35, ""), "")</f>
        <v/>
      </c>
      <c r="CF45" s="47" t="str">
        <f t="shared" ca="1" si="158"/>
        <v/>
      </c>
      <c r="CG45" s="114" t="str">
        <f t="shared" ca="1" si="159"/>
        <v/>
      </c>
      <c r="CH45" s="141" t="str">
        <f t="shared" ca="1" si="119"/>
        <v/>
      </c>
      <c r="CI45" s="46" t="str">
        <f t="shared" ca="1" si="120"/>
        <v/>
      </c>
      <c r="CJ45" s="47" t="str">
        <f t="shared" ca="1" si="160"/>
        <v/>
      </c>
      <c r="CK45" s="114" t="str">
        <f t="shared" ca="1" si="161"/>
        <v/>
      </c>
      <c r="CL45" s="49" t="str">
        <f t="shared" ca="1" si="128"/>
        <v/>
      </c>
      <c r="CM45" s="46" t="str">
        <f t="shared" ca="1" si="129"/>
        <v/>
      </c>
      <c r="CN45" s="47" t="str">
        <f t="shared" ca="1" si="162"/>
        <v/>
      </c>
      <c r="CO45" s="111" t="str">
        <f t="shared" ca="1" si="163"/>
        <v/>
      </c>
    </row>
    <row r="46" spans="1:93" x14ac:dyDescent="0.25">
      <c r="A46" s="58">
        <f t="shared" ca="1" si="130"/>
        <v>47088</v>
      </c>
      <c r="B46" s="6">
        <f t="shared" ca="1" si="105"/>
        <v>2028</v>
      </c>
      <c r="C46" s="6" t="str">
        <f t="shared" ca="1" si="121"/>
        <v>Q428</v>
      </c>
      <c r="D46" s="28" t="e">
        <f ca="1">INDEX(ICE[], MATCH(D$18 &amp; TEXT(Hvy!$A46, "mmmyy"), ICE[LongCode], 0), MATCH("Settle", ICE[#Headers], 0))</f>
        <v>#N/A</v>
      </c>
      <c r="E46" s="28" t="e">
        <f ca="1">INDEX(ICE[], MATCH(E$18 &amp; TEXT(Hvy!$A46, "mmmyy"), ICE[LongCode], 0), MATCH("Settle", ICE[#Headers], 0))</f>
        <v>#N/A</v>
      </c>
      <c r="F46" s="28" t="e">
        <f ca="1">INDEX(ICE[], MATCH(F$18 &amp; TEXT(Hvy!$A46, "mmmyy"), ICE[LongCode], 0), MATCH("Settle", ICE[#Headers], 0))</f>
        <v>#N/A</v>
      </c>
      <c r="G46" s="28" t="e">
        <f ca="1">INDEX(ICE[], MATCH(G$18 &amp; TEXT(Hvy!$A46, "mmmyy"), ICE[LongCode], 0), MATCH("Settle", ICE[#Headers], 0))</f>
        <v>#N/A</v>
      </c>
      <c r="H46" s="28" t="e">
        <f ca="1">INDEX(ICE[], MATCH(H$18 &amp; TEXT(Hvy!$A46, "mmmyy"), ICE[LongCode], 0), MATCH("Settle", ICE[#Headers], 0))</f>
        <v>#N/A</v>
      </c>
      <c r="I46" s="28" t="e">
        <f ca="1">INDEX(ICE[], MATCH(I$18 &amp; TEXT(Hvy!$A46, "mmmyy"), ICE[LongCode], 0), MATCH("Settle", ICE[#Headers], 0))</f>
        <v>#N/A</v>
      </c>
      <c r="J46" s="397"/>
      <c r="K46" s="372" t="str">
        <f ca="1">IFERROR(INDEX(ICE[], MATCH("fo35brx" &amp; TEXT(Hvy!$A46, "mmmyy"), ICE[LongCode], 0), MATCH("Text", ICE[#Headers], 0)), "")</f>
        <v/>
      </c>
      <c r="L46" s="46" t="str">
        <f t="shared" ca="1" si="122"/>
        <v/>
      </c>
      <c r="M46" s="47" t="str">
        <f t="shared" si="123"/>
        <v/>
      </c>
      <c r="N46" s="46" t="str">
        <f t="shared" ca="1" si="131"/>
        <v/>
      </c>
      <c r="O46" s="141" t="str">
        <f ca="1">IFERROR(IF(AND(ISNUMBER(Futs!$CC46), ISNUMBER($J46)), (Futs!$CC46 + $J46)*6.35, ""), "")</f>
        <v/>
      </c>
      <c r="P46" s="67" t="str">
        <f ca="1">IFERROR(IF(AND(ISNUMBER(Futs!$CD46), ISNUMBER($L46)), (Futs!$CD46 + $L46)*6.35, ""), "")</f>
        <v/>
      </c>
      <c r="Q46" s="47" t="str">
        <f t="shared" ca="1" si="132"/>
        <v/>
      </c>
      <c r="R46" s="46" t="str">
        <f t="shared" ca="1" si="133"/>
        <v/>
      </c>
      <c r="S46" s="397"/>
      <c r="T46" s="372" t="str">
        <f ca="1">IFERROR(INDEX(ICE[], MATCH("hilo" &amp; TEXT(Hvy!$A46, "mmmyy"), ICE[LongCode], 0), MATCH("Text", ICE[#Headers], 0)), "")</f>
        <v/>
      </c>
      <c r="U46" s="46" t="str">
        <f t="shared" ca="1" si="106"/>
        <v/>
      </c>
      <c r="V46" s="47" t="str">
        <f t="shared" si="134"/>
        <v/>
      </c>
      <c r="W46" s="114" t="str">
        <f t="shared" ca="1" si="135"/>
        <v/>
      </c>
      <c r="X46" s="49" t="str">
        <f t="shared" ca="1" si="107"/>
        <v/>
      </c>
      <c r="Y46" s="46" t="str">
        <f t="shared" ca="1" si="108"/>
        <v/>
      </c>
      <c r="Z46" s="47" t="str">
        <f t="shared" ca="1" si="136"/>
        <v/>
      </c>
      <c r="AA46" s="111" t="str">
        <f t="shared" ca="1" si="137"/>
        <v/>
      </c>
      <c r="AB46" s="397"/>
      <c r="AC46" s="372" t="str">
        <f ca="1">IFERROR(INDEX(ICE[], MATCH("hsfoew" &amp; TEXT(Hvy!$A46, "mmmyy"), ICE[LongCode], 0), MATCH("Text", ICE[#Headers], 0)), "")</f>
        <v/>
      </c>
      <c r="AD46" s="46" t="str">
        <f t="shared" ca="1" si="109"/>
        <v/>
      </c>
      <c r="AE46" s="47" t="str">
        <f t="shared" si="124"/>
        <v/>
      </c>
      <c r="AF46" s="114" t="str">
        <f t="shared" ca="1" si="125"/>
        <v/>
      </c>
      <c r="AG46" s="141" t="str">
        <f t="shared" ca="1" si="110"/>
        <v/>
      </c>
      <c r="AH46" s="46" t="str">
        <f t="shared" ca="1" si="111"/>
        <v/>
      </c>
      <c r="AI46" s="47" t="str">
        <f t="shared" ca="1" si="126"/>
        <v/>
      </c>
      <c r="AJ46" s="364" t="str">
        <f ca="1">IFERROR(INDEX(ICE[], MATCH("brfo380" &amp; TEXT(Crd!$A46, "mmmyy"), ICE[LongCode], 0), MATCH("Text", ICE[#Headers], 0)), "")</f>
        <v/>
      </c>
      <c r="AK46" s="114" t="str">
        <f t="shared" ca="1" si="127"/>
        <v/>
      </c>
      <c r="AL46" s="49" t="str">
        <f ca="1">IFERROR(IF(AND(ISNUMBER(Futs!$CC46), ISNUMBER($AG46)), $AG46/6.35 - Futs!$CC46, ""), "")</f>
        <v/>
      </c>
      <c r="AM46" s="372" t="str">
        <f ca="1">IFERROR(INDEX(ICE[], MATCH("fo380brx" &amp; TEXT(Hvy!$A46, "mmmyy"), ICE[LongCode], 0), MATCH("Text", ICE[#Headers], 0)), "")</f>
        <v/>
      </c>
      <c r="AN46" s="46" t="str">
        <f ca="1">IFERROR(IF(AND(ISNUMBER(Futs!$CD46), ISNUMBER($AH46)), $AH46/6.35 - Futs!$CD46, ""), "")</f>
        <v/>
      </c>
      <c r="AO46" s="47" t="str">
        <f t="shared" ca="1" si="138"/>
        <v/>
      </c>
      <c r="AP46" s="114" t="str">
        <f t="shared" ca="1" si="139"/>
        <v/>
      </c>
      <c r="AQ46" s="49" t="str">
        <f ca="1">IFERROR(IF(AND(ISNUMBER(Crd!$X46), ISNUMBER($AG46)), $AG46/6.35 - Crd!$X46, ""), "")</f>
        <v/>
      </c>
      <c r="AR46" s="46" t="str">
        <f ca="1">IFERROR(IF(AND(ISNUMBER(Crd!$Y46), ISNUMBER($AH46)), $AH46/6.35 - Crd!$Y46, ""), "")</f>
        <v/>
      </c>
      <c r="AS46" s="47" t="str">
        <f t="shared" ca="1" si="140"/>
        <v/>
      </c>
      <c r="AT46" s="111" t="str">
        <f t="shared" ca="1" si="141"/>
        <v/>
      </c>
      <c r="AU46" s="397"/>
      <c r="AV46" s="372" t="str">
        <f ca="1">IFERROR(INDEX(ICE[], MATCH("visco" &amp; TEXT(Hvy!$A46, "mmmyy"), ICE[LongCode], 0), MATCH("Text", ICE[#Headers], 0)), "")</f>
        <v/>
      </c>
      <c r="AW46" s="46" t="str">
        <f t="shared" ca="1" si="112"/>
        <v/>
      </c>
      <c r="AX46" s="47" t="str">
        <f t="shared" si="142"/>
        <v/>
      </c>
      <c r="AY46" s="46" t="str">
        <f t="shared" ca="1" si="143"/>
        <v/>
      </c>
      <c r="AZ46" s="141" t="str">
        <f t="shared" ca="1" si="113"/>
        <v/>
      </c>
      <c r="BA46" s="46" t="str">
        <f t="shared" ca="1" si="114"/>
        <v/>
      </c>
      <c r="BB46" s="47" t="str">
        <f t="shared" ca="1" si="144"/>
        <v/>
      </c>
      <c r="BC46" s="114" t="str">
        <f t="shared" ca="1" si="145"/>
        <v/>
      </c>
      <c r="BD46" s="49" t="str">
        <f ca="1">IFERROR(IF(AND(ISNUMBER(Futs!$CC46), ISNUMBER($AZ46)), $AZ46/6.35 - Futs!$CC46, ""), "")</f>
        <v/>
      </c>
      <c r="BE46" s="46" t="str">
        <f ca="1">IFERROR(IF(AND(ISNUMBER(Futs!$CD46), ISNUMBER($BA46)), $BA46/6.35 - Futs!$CD46, ""), "")</f>
        <v/>
      </c>
      <c r="BF46" s="47" t="str">
        <f t="shared" ca="1" si="146"/>
        <v/>
      </c>
      <c r="BG46" s="114" t="str">
        <f t="shared" ca="1" si="147"/>
        <v/>
      </c>
      <c r="BH46" s="49" t="str">
        <f ca="1">IFERROR(IF(AND(ISNUMBER(Crd!$X46), ISNUMBER($AZ46)), $AZ46/6.35 - Crd!$X46, ""), "")</f>
        <v/>
      </c>
      <c r="BI46" s="46" t="str">
        <f ca="1">IFERROR(IF(AND(ISNUMBER(Crd!$Y46), ISNUMBER($BA46)), $BA46/6.35 - Crd!$Y46, ""), "")</f>
        <v/>
      </c>
      <c r="BJ46" s="47" t="str">
        <f t="shared" ca="1" si="148"/>
        <v/>
      </c>
      <c r="BK46" s="111" t="str">
        <f t="shared" ca="1" si="149"/>
        <v/>
      </c>
      <c r="BL46" s="397"/>
      <c r="BM46" s="372" t="str">
        <f ca="1">IFERROR(INDEX(ICE[], MATCH("fo05bfrbrx" &amp; TEXT(Hvy!$A46, "mmmyy"), ICE[LongCode], 0), MATCH("Text", ICE[#Headers], 0)), "")</f>
        <v/>
      </c>
      <c r="BN46" s="46" t="str">
        <f t="shared" ca="1" si="115"/>
        <v/>
      </c>
      <c r="BO46" s="47" t="str">
        <f t="shared" si="150"/>
        <v/>
      </c>
      <c r="BP46" s="46" t="str">
        <f t="shared" ca="1" si="151"/>
        <v/>
      </c>
      <c r="BQ46" s="141" t="str">
        <f ca="1">IFERROR(IF(AND(ISNUMBER(Futs!$CC46), ISNUMBER($BL46)), (Futs!$CC46 + $BL46)*6.35, ""), "")</f>
        <v/>
      </c>
      <c r="BR46" s="46" t="str">
        <f ca="1">IFERROR(IF(AND(ISNUMBER(Futs!$CD46), ISNUMBER($BN46)), (Futs!$CD46 + $BN46)*6.35, ""), "")</f>
        <v/>
      </c>
      <c r="BS46" s="47" t="str">
        <f t="shared" ca="1" si="152"/>
        <v/>
      </c>
      <c r="BT46" s="114" t="str">
        <f t="shared" ca="1" si="153"/>
        <v/>
      </c>
      <c r="BU46" s="49" t="str">
        <f t="shared" ca="1" si="116"/>
        <v/>
      </c>
      <c r="BV46" s="46" t="str">
        <f t="shared" ca="1" si="117"/>
        <v/>
      </c>
      <c r="BW46" s="47" t="str">
        <f t="shared" ca="1" si="154"/>
        <v/>
      </c>
      <c r="BX46" s="111" t="str">
        <f t="shared" ca="1" si="155"/>
        <v/>
      </c>
      <c r="BY46" s="397"/>
      <c r="BZ46" s="372" t="str">
        <f ca="1">IFERROR(INDEX(ICE[], MATCH("fo05singbrx" &amp; TEXT(Hvy!$A46, "mmmyy"), ICE[LongCode], 0), MATCH("Text", ICE[#Headers], 0)), "")</f>
        <v/>
      </c>
      <c r="CA46" s="46" t="str">
        <f t="shared" ca="1" si="118"/>
        <v/>
      </c>
      <c r="CB46" s="47" t="str">
        <f t="shared" si="156"/>
        <v/>
      </c>
      <c r="CC46" s="114" t="str">
        <f t="shared" ca="1" si="157"/>
        <v/>
      </c>
      <c r="CD46" s="141" t="str">
        <f ca="1">IFERROR(IF(AND(ISNUMBER(Futs!$CC46), ISNUMBER($BY46)), (Futs!$CC46 + $BY46)*6.35, ""), "")</f>
        <v/>
      </c>
      <c r="CE46" s="46" t="str">
        <f ca="1">IFERROR(IF(AND(ISNUMBER(Futs!$CD46), ISNUMBER($CA46)), (Futs!$CD46 + $CA46)*6.35, ""), "")</f>
        <v/>
      </c>
      <c r="CF46" s="47" t="str">
        <f t="shared" ca="1" si="158"/>
        <v/>
      </c>
      <c r="CG46" s="114" t="str">
        <f t="shared" ca="1" si="159"/>
        <v/>
      </c>
      <c r="CH46" s="141" t="str">
        <f t="shared" ca="1" si="119"/>
        <v/>
      </c>
      <c r="CI46" s="46" t="str">
        <f t="shared" ca="1" si="120"/>
        <v/>
      </c>
      <c r="CJ46" s="47" t="str">
        <f t="shared" ca="1" si="160"/>
        <v/>
      </c>
      <c r="CK46" s="114" t="str">
        <f t="shared" ca="1" si="161"/>
        <v/>
      </c>
      <c r="CL46" s="49" t="str">
        <f t="shared" ca="1" si="128"/>
        <v/>
      </c>
      <c r="CM46" s="46" t="str">
        <f t="shared" ca="1" si="129"/>
        <v/>
      </c>
      <c r="CN46" s="47" t="str">
        <f t="shared" ca="1" si="162"/>
        <v/>
      </c>
      <c r="CO46" s="111" t="str">
        <f t="shared" ca="1" si="163"/>
        <v/>
      </c>
    </row>
    <row r="47" spans="1:93" x14ac:dyDescent="0.25">
      <c r="A47" s="58">
        <f t="shared" ca="1" si="130"/>
        <v>47119</v>
      </c>
      <c r="B47" s="6">
        <f t="shared" ca="1" si="105"/>
        <v>2029</v>
      </c>
      <c r="C47" s="6" t="str">
        <f t="shared" ca="1" si="121"/>
        <v>Q129</v>
      </c>
      <c r="D47" s="28" t="e">
        <f ca="1">INDEX(ICE[], MATCH(D$18 &amp; TEXT(Hvy!$A47, "mmmyy"), ICE[LongCode], 0), MATCH("Settle", ICE[#Headers], 0))</f>
        <v>#N/A</v>
      </c>
      <c r="E47" s="28" t="e">
        <f ca="1">INDEX(ICE[], MATCH(E$18 &amp; TEXT(Hvy!$A47, "mmmyy"), ICE[LongCode], 0), MATCH("Settle", ICE[#Headers], 0))</f>
        <v>#N/A</v>
      </c>
      <c r="F47" s="28" t="e">
        <f ca="1">INDEX(ICE[], MATCH(F$18 &amp; TEXT(Hvy!$A47, "mmmyy"), ICE[LongCode], 0), MATCH("Settle", ICE[#Headers], 0))</f>
        <v>#N/A</v>
      </c>
      <c r="G47" s="28" t="e">
        <f ca="1">INDEX(ICE[], MATCH(G$18 &amp; TEXT(Hvy!$A47, "mmmyy"), ICE[LongCode], 0), MATCH("Settle", ICE[#Headers], 0))</f>
        <v>#N/A</v>
      </c>
      <c r="H47" s="28" t="e">
        <f ca="1">INDEX(ICE[], MATCH(H$18 &amp; TEXT(Hvy!$A47, "mmmyy"), ICE[LongCode], 0), MATCH("Settle", ICE[#Headers], 0))</f>
        <v>#N/A</v>
      </c>
      <c r="I47" s="28" t="e">
        <f ca="1">INDEX(ICE[], MATCH(I$18 &amp; TEXT(Hvy!$A47, "mmmyy"), ICE[LongCode], 0), MATCH("Settle", ICE[#Headers], 0))</f>
        <v>#N/A</v>
      </c>
      <c r="J47" s="397"/>
      <c r="K47" s="372" t="str">
        <f ca="1">IFERROR(INDEX(ICE[], MATCH("fo35brx" &amp; TEXT(Hvy!$A47, "mmmyy"), ICE[LongCode], 0), MATCH("Text", ICE[#Headers], 0)), "")</f>
        <v/>
      </c>
      <c r="L47" s="46" t="str">
        <f t="shared" ca="1" si="122"/>
        <v/>
      </c>
      <c r="M47" s="47" t="str">
        <f t="shared" si="123"/>
        <v/>
      </c>
      <c r="N47" s="46" t="str">
        <f t="shared" ca="1" si="131"/>
        <v/>
      </c>
      <c r="O47" s="141" t="str">
        <f ca="1">IFERROR(IF(AND(ISNUMBER(Futs!$CC47), ISNUMBER($J47)), (Futs!$CC47 + $J47)*6.35, ""), "")</f>
        <v/>
      </c>
      <c r="P47" s="67" t="str">
        <f ca="1">IFERROR(IF(AND(ISNUMBER(Futs!$CD47), ISNUMBER($L47)), (Futs!$CD47 + $L47)*6.35, ""), "")</f>
        <v/>
      </c>
      <c r="Q47" s="47" t="str">
        <f t="shared" ca="1" si="132"/>
        <v/>
      </c>
      <c r="R47" s="46" t="str">
        <f t="shared" ca="1" si="133"/>
        <v/>
      </c>
      <c r="S47" s="397"/>
      <c r="T47" s="372" t="str">
        <f ca="1">IFERROR(INDEX(ICE[], MATCH("hilo" &amp; TEXT(Hvy!$A47, "mmmyy"), ICE[LongCode], 0), MATCH("Text", ICE[#Headers], 0)), "")</f>
        <v/>
      </c>
      <c r="U47" s="46" t="str">
        <f t="shared" ca="1" si="106"/>
        <v/>
      </c>
      <c r="V47" s="47" t="str">
        <f t="shared" si="134"/>
        <v/>
      </c>
      <c r="W47" s="114" t="str">
        <f t="shared" ca="1" si="135"/>
        <v/>
      </c>
      <c r="X47" s="49" t="str">
        <f t="shared" ca="1" si="107"/>
        <v/>
      </c>
      <c r="Y47" s="46" t="str">
        <f t="shared" ca="1" si="108"/>
        <v/>
      </c>
      <c r="Z47" s="47" t="str">
        <f t="shared" ca="1" si="136"/>
        <v/>
      </c>
      <c r="AA47" s="111" t="str">
        <f t="shared" ca="1" si="137"/>
        <v/>
      </c>
      <c r="AB47" s="397"/>
      <c r="AC47" s="372" t="str">
        <f ca="1">IFERROR(INDEX(ICE[], MATCH("hsfoew" &amp; TEXT(Hvy!$A47, "mmmyy"), ICE[LongCode], 0), MATCH("Text", ICE[#Headers], 0)), "")</f>
        <v/>
      </c>
      <c r="AD47" s="46" t="str">
        <f t="shared" ca="1" si="109"/>
        <v/>
      </c>
      <c r="AE47" s="47" t="str">
        <f t="shared" si="124"/>
        <v/>
      </c>
      <c r="AF47" s="114" t="str">
        <f t="shared" ca="1" si="125"/>
        <v/>
      </c>
      <c r="AG47" s="141" t="str">
        <f t="shared" ca="1" si="110"/>
        <v/>
      </c>
      <c r="AH47" s="46" t="str">
        <f t="shared" ca="1" si="111"/>
        <v/>
      </c>
      <c r="AI47" s="47" t="str">
        <f t="shared" ca="1" si="126"/>
        <v/>
      </c>
      <c r="AJ47" s="364" t="str">
        <f ca="1">IFERROR(INDEX(ICE[], MATCH("brfo380" &amp; TEXT(Crd!$A47, "mmmyy"), ICE[LongCode], 0), MATCH("Text", ICE[#Headers], 0)), "")</f>
        <v/>
      </c>
      <c r="AK47" s="114" t="str">
        <f t="shared" ca="1" si="127"/>
        <v/>
      </c>
      <c r="AL47" s="49" t="str">
        <f ca="1">IFERROR(IF(AND(ISNUMBER(Futs!$CC47), ISNUMBER($AG47)), $AG47/6.35 - Futs!$CC47, ""), "")</f>
        <v/>
      </c>
      <c r="AM47" s="372" t="str">
        <f ca="1">IFERROR(INDEX(ICE[], MATCH("fo380brx" &amp; TEXT(Hvy!$A47, "mmmyy"), ICE[LongCode], 0), MATCH("Text", ICE[#Headers], 0)), "")</f>
        <v/>
      </c>
      <c r="AN47" s="46" t="str">
        <f ca="1">IFERROR(IF(AND(ISNUMBER(Futs!$CD47), ISNUMBER($AH47)), $AH47/6.35 - Futs!$CD47, ""), "")</f>
        <v/>
      </c>
      <c r="AO47" s="47" t="str">
        <f t="shared" ca="1" si="138"/>
        <v/>
      </c>
      <c r="AP47" s="114" t="str">
        <f t="shared" ca="1" si="139"/>
        <v/>
      </c>
      <c r="AQ47" s="49" t="str">
        <f ca="1">IFERROR(IF(AND(ISNUMBER(Crd!$X47), ISNUMBER($AG47)), $AG47/6.35 - Crd!$X47, ""), "")</f>
        <v/>
      </c>
      <c r="AR47" s="46" t="str">
        <f ca="1">IFERROR(IF(AND(ISNUMBER(Crd!$Y47), ISNUMBER($AH47)), $AH47/6.35 - Crd!$Y47, ""), "")</f>
        <v/>
      </c>
      <c r="AS47" s="47" t="str">
        <f t="shared" ca="1" si="140"/>
        <v/>
      </c>
      <c r="AT47" s="111" t="str">
        <f t="shared" ca="1" si="141"/>
        <v/>
      </c>
      <c r="AU47" s="397"/>
      <c r="AV47" s="372" t="str">
        <f ca="1">IFERROR(INDEX(ICE[], MATCH("visco" &amp; TEXT(Hvy!$A47, "mmmyy"), ICE[LongCode], 0), MATCH("Text", ICE[#Headers], 0)), "")</f>
        <v/>
      </c>
      <c r="AW47" s="46" t="str">
        <f t="shared" ca="1" si="112"/>
        <v/>
      </c>
      <c r="AX47" s="47" t="str">
        <f t="shared" si="142"/>
        <v/>
      </c>
      <c r="AY47" s="46" t="str">
        <f t="shared" ca="1" si="143"/>
        <v/>
      </c>
      <c r="AZ47" s="141" t="str">
        <f t="shared" ca="1" si="113"/>
        <v/>
      </c>
      <c r="BA47" s="46" t="str">
        <f t="shared" ca="1" si="114"/>
        <v/>
      </c>
      <c r="BB47" s="47" t="str">
        <f t="shared" ca="1" si="144"/>
        <v/>
      </c>
      <c r="BC47" s="114" t="str">
        <f t="shared" ca="1" si="145"/>
        <v/>
      </c>
      <c r="BD47" s="49" t="str">
        <f ca="1">IFERROR(IF(AND(ISNUMBER(Futs!$CC47), ISNUMBER($AZ47)), $AZ47/6.35 - Futs!$CC47, ""), "")</f>
        <v/>
      </c>
      <c r="BE47" s="46" t="str">
        <f ca="1">IFERROR(IF(AND(ISNUMBER(Futs!$CD47), ISNUMBER($BA47)), $BA47/6.35 - Futs!$CD47, ""), "")</f>
        <v/>
      </c>
      <c r="BF47" s="47" t="str">
        <f t="shared" ca="1" si="146"/>
        <v/>
      </c>
      <c r="BG47" s="114" t="str">
        <f t="shared" ca="1" si="147"/>
        <v/>
      </c>
      <c r="BH47" s="49" t="str">
        <f ca="1">IFERROR(IF(AND(ISNUMBER(Crd!$X47), ISNUMBER($AZ47)), $AZ47/6.35 - Crd!$X47, ""), "")</f>
        <v/>
      </c>
      <c r="BI47" s="46" t="str">
        <f ca="1">IFERROR(IF(AND(ISNUMBER(Crd!$Y47), ISNUMBER($BA47)), $BA47/6.35 - Crd!$Y47, ""), "")</f>
        <v/>
      </c>
      <c r="BJ47" s="47" t="str">
        <f t="shared" ca="1" si="148"/>
        <v/>
      </c>
      <c r="BK47" s="111" t="str">
        <f t="shared" ca="1" si="149"/>
        <v/>
      </c>
      <c r="BL47" s="397"/>
      <c r="BM47" s="372" t="str">
        <f ca="1">IFERROR(INDEX(ICE[], MATCH("fo05bfrbrx" &amp; TEXT(Hvy!$A47, "mmmyy"), ICE[LongCode], 0), MATCH("Text", ICE[#Headers], 0)), "")</f>
        <v/>
      </c>
      <c r="BN47" s="46" t="str">
        <f t="shared" ca="1" si="115"/>
        <v/>
      </c>
      <c r="BO47" s="47" t="str">
        <f t="shared" si="150"/>
        <v/>
      </c>
      <c r="BP47" s="46" t="str">
        <f t="shared" ca="1" si="151"/>
        <v/>
      </c>
      <c r="BQ47" s="141" t="str">
        <f ca="1">IFERROR(IF(AND(ISNUMBER(Futs!$CC47), ISNUMBER($BL47)), (Futs!$CC47 + $BL47)*6.35, ""), "")</f>
        <v/>
      </c>
      <c r="BR47" s="46" t="str">
        <f ca="1">IFERROR(IF(AND(ISNUMBER(Futs!$CD47), ISNUMBER($BN47)), (Futs!$CD47 + $BN47)*6.35, ""), "")</f>
        <v/>
      </c>
      <c r="BS47" s="47" t="str">
        <f t="shared" ca="1" si="152"/>
        <v/>
      </c>
      <c r="BT47" s="114" t="str">
        <f t="shared" ca="1" si="153"/>
        <v/>
      </c>
      <c r="BU47" s="49" t="str">
        <f t="shared" ca="1" si="116"/>
        <v/>
      </c>
      <c r="BV47" s="46" t="str">
        <f t="shared" ca="1" si="117"/>
        <v/>
      </c>
      <c r="BW47" s="47" t="str">
        <f t="shared" ca="1" si="154"/>
        <v/>
      </c>
      <c r="BX47" s="111" t="str">
        <f t="shared" ca="1" si="155"/>
        <v/>
      </c>
      <c r="BY47" s="397"/>
      <c r="BZ47" s="372" t="str">
        <f ca="1">IFERROR(INDEX(ICE[], MATCH("fo05singbrx" &amp; TEXT(Hvy!$A47, "mmmyy"), ICE[LongCode], 0), MATCH("Text", ICE[#Headers], 0)), "")</f>
        <v/>
      </c>
      <c r="CA47" s="46" t="str">
        <f t="shared" ca="1" si="118"/>
        <v/>
      </c>
      <c r="CB47" s="47" t="str">
        <f t="shared" si="156"/>
        <v/>
      </c>
      <c r="CC47" s="114" t="str">
        <f t="shared" ca="1" si="157"/>
        <v/>
      </c>
      <c r="CD47" s="141" t="str">
        <f ca="1">IFERROR(IF(AND(ISNUMBER(Futs!$CC47), ISNUMBER($BY47)), (Futs!$CC47 + $BY47)*6.35, ""), "")</f>
        <v/>
      </c>
      <c r="CE47" s="46" t="str">
        <f ca="1">IFERROR(IF(AND(ISNUMBER(Futs!$CD47), ISNUMBER($CA47)), (Futs!$CD47 + $CA47)*6.35, ""), "")</f>
        <v/>
      </c>
      <c r="CF47" s="47" t="str">
        <f t="shared" ca="1" si="158"/>
        <v/>
      </c>
      <c r="CG47" s="114" t="str">
        <f t="shared" ca="1" si="159"/>
        <v/>
      </c>
      <c r="CH47" s="141" t="str">
        <f t="shared" ca="1" si="119"/>
        <v/>
      </c>
      <c r="CI47" s="46" t="str">
        <f t="shared" ca="1" si="120"/>
        <v/>
      </c>
      <c r="CJ47" s="47" t="str">
        <f t="shared" ca="1" si="160"/>
        <v/>
      </c>
      <c r="CK47" s="114" t="str">
        <f t="shared" ca="1" si="161"/>
        <v/>
      </c>
      <c r="CL47" s="49" t="str">
        <f t="shared" ca="1" si="128"/>
        <v/>
      </c>
      <c r="CM47" s="46" t="str">
        <f t="shared" ca="1" si="129"/>
        <v/>
      </c>
      <c r="CN47" s="47" t="str">
        <f t="shared" ca="1" si="162"/>
        <v/>
      </c>
      <c r="CO47" s="111" t="str">
        <f t="shared" ca="1" si="163"/>
        <v/>
      </c>
    </row>
    <row r="48" spans="1:93" x14ac:dyDescent="0.25">
      <c r="A48" s="58">
        <f t="shared" ca="1" si="130"/>
        <v>47150</v>
      </c>
      <c r="B48" s="6">
        <f t="shared" ca="1" si="105"/>
        <v>2029</v>
      </c>
      <c r="C48" s="6" t="str">
        <f t="shared" ca="1" si="121"/>
        <v>Q129</v>
      </c>
      <c r="D48" s="28" t="e">
        <f ca="1">INDEX(ICE[], MATCH(D$18 &amp; TEXT(Hvy!$A48, "mmmyy"), ICE[LongCode], 0), MATCH("Settle", ICE[#Headers], 0))</f>
        <v>#N/A</v>
      </c>
      <c r="E48" s="28" t="e">
        <f ca="1">INDEX(ICE[], MATCH(E$18 &amp; TEXT(Hvy!$A48, "mmmyy"), ICE[LongCode], 0), MATCH("Settle", ICE[#Headers], 0))</f>
        <v>#N/A</v>
      </c>
      <c r="F48" s="28" t="e">
        <f ca="1">INDEX(ICE[], MATCH(F$18 &amp; TEXT(Hvy!$A48, "mmmyy"), ICE[LongCode], 0), MATCH("Settle", ICE[#Headers], 0))</f>
        <v>#N/A</v>
      </c>
      <c r="G48" s="28" t="e">
        <f ca="1">INDEX(ICE[], MATCH(G$18 &amp; TEXT(Hvy!$A48, "mmmyy"), ICE[LongCode], 0), MATCH("Settle", ICE[#Headers], 0))</f>
        <v>#N/A</v>
      </c>
      <c r="H48" s="28" t="e">
        <f ca="1">INDEX(ICE[], MATCH(H$18 &amp; TEXT(Hvy!$A48, "mmmyy"), ICE[LongCode], 0), MATCH("Settle", ICE[#Headers], 0))</f>
        <v>#N/A</v>
      </c>
      <c r="I48" s="28" t="e">
        <f ca="1">INDEX(ICE[], MATCH(I$18 &amp; TEXT(Hvy!$A48, "mmmyy"), ICE[LongCode], 0), MATCH("Settle", ICE[#Headers], 0))</f>
        <v>#N/A</v>
      </c>
      <c r="J48" s="397"/>
      <c r="K48" s="372" t="str">
        <f ca="1">IFERROR(INDEX(ICE[], MATCH("fo35brx" &amp; TEXT(Hvy!$A48, "mmmyy"), ICE[LongCode], 0), MATCH("Text", ICE[#Headers], 0)), "")</f>
        <v/>
      </c>
      <c r="L48" s="46" t="str">
        <f t="shared" ca="1" si="122"/>
        <v/>
      </c>
      <c r="M48" s="47" t="str">
        <f t="shared" si="123"/>
        <v/>
      </c>
      <c r="N48" s="46" t="str">
        <f t="shared" ca="1" si="131"/>
        <v/>
      </c>
      <c r="O48" s="141" t="str">
        <f ca="1">IFERROR(IF(AND(ISNUMBER(Futs!$CC48), ISNUMBER($J48)), (Futs!$CC48 + $J48)*6.35, ""), "")</f>
        <v/>
      </c>
      <c r="P48" s="67" t="str">
        <f ca="1">IFERROR(IF(AND(ISNUMBER(Futs!$CD48), ISNUMBER($L48)), (Futs!$CD48 + $L48)*6.35, ""), "")</f>
        <v/>
      </c>
      <c r="Q48" s="47" t="str">
        <f t="shared" ca="1" si="132"/>
        <v/>
      </c>
      <c r="R48" s="46" t="str">
        <f t="shared" ca="1" si="133"/>
        <v/>
      </c>
      <c r="S48" s="397"/>
      <c r="T48" s="372" t="str">
        <f ca="1">IFERROR(INDEX(ICE[], MATCH("hilo" &amp; TEXT(Hvy!$A48, "mmmyy"), ICE[LongCode], 0), MATCH("Text", ICE[#Headers], 0)), "")</f>
        <v/>
      </c>
      <c r="U48" s="46" t="str">
        <f t="shared" ca="1" si="106"/>
        <v/>
      </c>
      <c r="V48" s="47" t="str">
        <f t="shared" si="134"/>
        <v/>
      </c>
      <c r="W48" s="114" t="str">
        <f t="shared" ca="1" si="135"/>
        <v/>
      </c>
      <c r="X48" s="49" t="str">
        <f t="shared" ca="1" si="107"/>
        <v/>
      </c>
      <c r="Y48" s="46" t="str">
        <f t="shared" ca="1" si="108"/>
        <v/>
      </c>
      <c r="Z48" s="47" t="str">
        <f t="shared" ca="1" si="136"/>
        <v/>
      </c>
      <c r="AA48" s="111" t="str">
        <f t="shared" ca="1" si="137"/>
        <v/>
      </c>
      <c r="AB48" s="397"/>
      <c r="AC48" s="372" t="str">
        <f ca="1">IFERROR(INDEX(ICE[], MATCH("hsfoew" &amp; TEXT(Hvy!$A48, "mmmyy"), ICE[LongCode], 0), MATCH("Text", ICE[#Headers], 0)), "")</f>
        <v/>
      </c>
      <c r="AD48" s="46" t="str">
        <f t="shared" ca="1" si="109"/>
        <v/>
      </c>
      <c r="AE48" s="47" t="str">
        <f t="shared" si="124"/>
        <v/>
      </c>
      <c r="AF48" s="114" t="str">
        <f t="shared" ca="1" si="125"/>
        <v/>
      </c>
      <c r="AG48" s="141" t="str">
        <f t="shared" ca="1" si="110"/>
        <v/>
      </c>
      <c r="AH48" s="46" t="str">
        <f t="shared" ca="1" si="111"/>
        <v/>
      </c>
      <c r="AI48" s="47" t="str">
        <f t="shared" ca="1" si="126"/>
        <v/>
      </c>
      <c r="AJ48" s="364" t="str">
        <f ca="1">IFERROR(INDEX(ICE[], MATCH("brfo380" &amp; TEXT(Crd!$A48, "mmmyy"), ICE[LongCode], 0), MATCH("Text", ICE[#Headers], 0)), "")</f>
        <v/>
      </c>
      <c r="AK48" s="114" t="str">
        <f t="shared" ca="1" si="127"/>
        <v/>
      </c>
      <c r="AL48" s="49" t="str">
        <f ca="1">IFERROR(IF(AND(ISNUMBER(Futs!$CC48), ISNUMBER($AG48)), $AG48/6.35 - Futs!$CC48, ""), "")</f>
        <v/>
      </c>
      <c r="AM48" s="372" t="str">
        <f ca="1">IFERROR(INDEX(ICE[], MATCH("fo380brx" &amp; TEXT(Hvy!$A48, "mmmyy"), ICE[LongCode], 0), MATCH("Text", ICE[#Headers], 0)), "")</f>
        <v/>
      </c>
      <c r="AN48" s="46" t="str">
        <f ca="1">IFERROR(IF(AND(ISNUMBER(Futs!$CD48), ISNUMBER($AH48)), $AH48/6.35 - Futs!$CD48, ""), "")</f>
        <v/>
      </c>
      <c r="AO48" s="47" t="str">
        <f t="shared" ca="1" si="138"/>
        <v/>
      </c>
      <c r="AP48" s="114" t="str">
        <f t="shared" ca="1" si="139"/>
        <v/>
      </c>
      <c r="AQ48" s="49" t="str">
        <f ca="1">IFERROR(IF(AND(ISNUMBER(Crd!$X48), ISNUMBER($AG48)), $AG48/6.35 - Crd!$X48, ""), "")</f>
        <v/>
      </c>
      <c r="AR48" s="46" t="str">
        <f ca="1">IFERROR(IF(AND(ISNUMBER(Crd!$Y48), ISNUMBER($AH48)), $AH48/6.35 - Crd!$Y48, ""), "")</f>
        <v/>
      </c>
      <c r="AS48" s="47" t="str">
        <f t="shared" ca="1" si="140"/>
        <v/>
      </c>
      <c r="AT48" s="111" t="str">
        <f t="shared" ca="1" si="141"/>
        <v/>
      </c>
      <c r="AU48" s="397"/>
      <c r="AV48" s="372" t="str">
        <f ca="1">IFERROR(INDEX(ICE[], MATCH("visco" &amp; TEXT(Hvy!$A48, "mmmyy"), ICE[LongCode], 0), MATCH("Text", ICE[#Headers], 0)), "")</f>
        <v/>
      </c>
      <c r="AW48" s="46" t="str">
        <f t="shared" ca="1" si="112"/>
        <v/>
      </c>
      <c r="AX48" s="47" t="str">
        <f t="shared" si="142"/>
        <v/>
      </c>
      <c r="AY48" s="46" t="str">
        <f t="shared" ca="1" si="143"/>
        <v/>
      </c>
      <c r="AZ48" s="141" t="str">
        <f t="shared" ca="1" si="113"/>
        <v/>
      </c>
      <c r="BA48" s="46" t="str">
        <f t="shared" ca="1" si="114"/>
        <v/>
      </c>
      <c r="BB48" s="47" t="str">
        <f t="shared" ca="1" si="144"/>
        <v/>
      </c>
      <c r="BC48" s="114" t="str">
        <f t="shared" ca="1" si="145"/>
        <v/>
      </c>
      <c r="BD48" s="49" t="str">
        <f ca="1">IFERROR(IF(AND(ISNUMBER(Futs!$CC48), ISNUMBER($AZ48)), $AZ48/6.35 - Futs!$CC48, ""), "")</f>
        <v/>
      </c>
      <c r="BE48" s="46" t="str">
        <f ca="1">IFERROR(IF(AND(ISNUMBER(Futs!$CD48), ISNUMBER($BA48)), $BA48/6.35 - Futs!$CD48, ""), "")</f>
        <v/>
      </c>
      <c r="BF48" s="47" t="str">
        <f t="shared" ca="1" si="146"/>
        <v/>
      </c>
      <c r="BG48" s="114" t="str">
        <f t="shared" ca="1" si="147"/>
        <v/>
      </c>
      <c r="BH48" s="49" t="str">
        <f ca="1">IFERROR(IF(AND(ISNUMBER(Crd!$X48), ISNUMBER($AZ48)), $AZ48/6.35 - Crd!$X48, ""), "")</f>
        <v/>
      </c>
      <c r="BI48" s="46" t="str">
        <f ca="1">IFERROR(IF(AND(ISNUMBER(Crd!$Y48), ISNUMBER($BA48)), $BA48/6.35 - Crd!$Y48, ""), "")</f>
        <v/>
      </c>
      <c r="BJ48" s="47" t="str">
        <f t="shared" ca="1" si="148"/>
        <v/>
      </c>
      <c r="BK48" s="111" t="str">
        <f t="shared" ca="1" si="149"/>
        <v/>
      </c>
      <c r="BL48" s="397"/>
      <c r="BM48" s="372" t="str">
        <f ca="1">IFERROR(INDEX(ICE[], MATCH("fo05bfrbrx" &amp; TEXT(Hvy!$A48, "mmmyy"), ICE[LongCode], 0), MATCH("Text", ICE[#Headers], 0)), "")</f>
        <v/>
      </c>
      <c r="BN48" s="46" t="str">
        <f t="shared" ca="1" si="115"/>
        <v/>
      </c>
      <c r="BO48" s="47" t="str">
        <f t="shared" si="150"/>
        <v/>
      </c>
      <c r="BP48" s="46" t="str">
        <f t="shared" ca="1" si="151"/>
        <v/>
      </c>
      <c r="BQ48" s="141" t="str">
        <f ca="1">IFERROR(IF(AND(ISNUMBER(Futs!$CC48), ISNUMBER($BL48)), (Futs!$CC48 + $BL48)*6.35, ""), "")</f>
        <v/>
      </c>
      <c r="BR48" s="46" t="str">
        <f ca="1">IFERROR(IF(AND(ISNUMBER(Futs!$CD48), ISNUMBER($BN48)), (Futs!$CD48 + $BN48)*6.35, ""), "")</f>
        <v/>
      </c>
      <c r="BS48" s="47" t="str">
        <f t="shared" ca="1" si="152"/>
        <v/>
      </c>
      <c r="BT48" s="114" t="str">
        <f t="shared" ca="1" si="153"/>
        <v/>
      </c>
      <c r="BU48" s="49" t="str">
        <f t="shared" ca="1" si="116"/>
        <v/>
      </c>
      <c r="BV48" s="46" t="str">
        <f t="shared" ca="1" si="117"/>
        <v/>
      </c>
      <c r="BW48" s="47" t="str">
        <f t="shared" ca="1" si="154"/>
        <v/>
      </c>
      <c r="BX48" s="111" t="str">
        <f t="shared" ca="1" si="155"/>
        <v/>
      </c>
      <c r="BY48" s="397"/>
      <c r="BZ48" s="372" t="str">
        <f ca="1">IFERROR(INDEX(ICE[], MATCH("fo05singbrx" &amp; TEXT(Hvy!$A48, "mmmyy"), ICE[LongCode], 0), MATCH("Text", ICE[#Headers], 0)), "")</f>
        <v/>
      </c>
      <c r="CA48" s="46" t="str">
        <f t="shared" ca="1" si="118"/>
        <v/>
      </c>
      <c r="CB48" s="47" t="str">
        <f t="shared" si="156"/>
        <v/>
      </c>
      <c r="CC48" s="114" t="str">
        <f t="shared" ca="1" si="157"/>
        <v/>
      </c>
      <c r="CD48" s="141" t="str">
        <f ca="1">IFERROR(IF(AND(ISNUMBER(Futs!$CC48), ISNUMBER($BY48)), (Futs!$CC48 + $BY48)*6.35, ""), "")</f>
        <v/>
      </c>
      <c r="CE48" s="46" t="str">
        <f ca="1">IFERROR(IF(AND(ISNUMBER(Futs!$CD48), ISNUMBER($CA48)), (Futs!$CD48 + $CA48)*6.35, ""), "")</f>
        <v/>
      </c>
      <c r="CF48" s="47" t="str">
        <f t="shared" ca="1" si="158"/>
        <v/>
      </c>
      <c r="CG48" s="114" t="str">
        <f t="shared" ca="1" si="159"/>
        <v/>
      </c>
      <c r="CH48" s="141" t="str">
        <f t="shared" ca="1" si="119"/>
        <v/>
      </c>
      <c r="CI48" s="46" t="str">
        <f t="shared" ca="1" si="120"/>
        <v/>
      </c>
      <c r="CJ48" s="47" t="str">
        <f t="shared" ca="1" si="160"/>
        <v/>
      </c>
      <c r="CK48" s="114" t="str">
        <f t="shared" ca="1" si="161"/>
        <v/>
      </c>
      <c r="CL48" s="49" t="str">
        <f t="shared" ca="1" si="128"/>
        <v/>
      </c>
      <c r="CM48" s="46" t="str">
        <f t="shared" ca="1" si="129"/>
        <v/>
      </c>
      <c r="CN48" s="47" t="str">
        <f t="shared" ca="1" si="162"/>
        <v/>
      </c>
      <c r="CO48" s="111" t="str">
        <f t="shared" ca="1" si="163"/>
        <v/>
      </c>
    </row>
    <row r="49" spans="1:93" x14ac:dyDescent="0.25">
      <c r="A49" s="58">
        <f t="shared" ca="1" si="130"/>
        <v>47178</v>
      </c>
      <c r="B49" s="6">
        <f t="shared" ca="1" si="105"/>
        <v>2029</v>
      </c>
      <c r="C49" s="6" t="str">
        <f t="shared" ca="1" si="121"/>
        <v>Q129</v>
      </c>
      <c r="D49" s="28" t="e">
        <f ca="1">INDEX(ICE[], MATCH(D$18 &amp; TEXT(Hvy!$A49, "mmmyy"), ICE[LongCode], 0), MATCH("Settle", ICE[#Headers], 0))</f>
        <v>#N/A</v>
      </c>
      <c r="E49" s="28" t="e">
        <f ca="1">INDEX(ICE[], MATCH(E$18 &amp; TEXT(Hvy!$A49, "mmmyy"), ICE[LongCode], 0), MATCH("Settle", ICE[#Headers], 0))</f>
        <v>#N/A</v>
      </c>
      <c r="F49" s="28" t="e">
        <f ca="1">INDEX(ICE[], MATCH(F$18 &amp; TEXT(Hvy!$A49, "mmmyy"), ICE[LongCode], 0), MATCH("Settle", ICE[#Headers], 0))</f>
        <v>#N/A</v>
      </c>
      <c r="G49" s="28" t="e">
        <f ca="1">INDEX(ICE[], MATCH(G$18 &amp; TEXT(Hvy!$A49, "mmmyy"), ICE[LongCode], 0), MATCH("Settle", ICE[#Headers], 0))</f>
        <v>#N/A</v>
      </c>
      <c r="H49" s="28" t="e">
        <f ca="1">INDEX(ICE[], MATCH(H$18 &amp; TEXT(Hvy!$A49, "mmmyy"), ICE[LongCode], 0), MATCH("Settle", ICE[#Headers], 0))</f>
        <v>#N/A</v>
      </c>
      <c r="I49" s="28" t="e">
        <f ca="1">INDEX(ICE[], MATCH(I$18 &amp; TEXT(Hvy!$A49, "mmmyy"), ICE[LongCode], 0), MATCH("Settle", ICE[#Headers], 0))</f>
        <v>#N/A</v>
      </c>
      <c r="J49" s="397"/>
      <c r="K49" s="372" t="str">
        <f ca="1">IFERROR(INDEX(ICE[], MATCH("fo35brx" &amp; TEXT(Hvy!$A49, "mmmyy"), ICE[LongCode], 0), MATCH("Text", ICE[#Headers], 0)), "")</f>
        <v/>
      </c>
      <c r="L49" s="46" t="str">
        <f t="shared" ca="1" si="122"/>
        <v/>
      </c>
      <c r="M49" s="47" t="str">
        <f t="shared" si="123"/>
        <v/>
      </c>
      <c r="N49" s="46" t="str">
        <f t="shared" ca="1" si="131"/>
        <v/>
      </c>
      <c r="O49" s="141" t="str">
        <f ca="1">IFERROR(IF(AND(ISNUMBER(Futs!$CC49), ISNUMBER($J49)), (Futs!$CC49 + $J49)*6.35, ""), "")</f>
        <v/>
      </c>
      <c r="P49" s="67" t="str">
        <f ca="1">IFERROR(IF(AND(ISNUMBER(Futs!$CD49), ISNUMBER($L49)), (Futs!$CD49 + $L49)*6.35, ""), "")</f>
        <v/>
      </c>
      <c r="Q49" s="47" t="str">
        <f t="shared" ca="1" si="132"/>
        <v/>
      </c>
      <c r="R49" s="46" t="str">
        <f t="shared" ca="1" si="133"/>
        <v/>
      </c>
      <c r="S49" s="397"/>
      <c r="T49" s="372" t="str">
        <f ca="1">IFERROR(INDEX(ICE[], MATCH("hilo" &amp; TEXT(Hvy!$A49, "mmmyy"), ICE[LongCode], 0), MATCH("Text", ICE[#Headers], 0)), "")</f>
        <v/>
      </c>
      <c r="U49" s="46" t="str">
        <f t="shared" ca="1" si="106"/>
        <v/>
      </c>
      <c r="V49" s="47" t="str">
        <f t="shared" si="134"/>
        <v/>
      </c>
      <c r="W49" s="114" t="str">
        <f t="shared" ca="1" si="135"/>
        <v/>
      </c>
      <c r="X49" s="49" t="str">
        <f t="shared" ca="1" si="107"/>
        <v/>
      </c>
      <c r="Y49" s="46" t="str">
        <f t="shared" ca="1" si="108"/>
        <v/>
      </c>
      <c r="Z49" s="47" t="str">
        <f t="shared" ca="1" si="136"/>
        <v/>
      </c>
      <c r="AA49" s="111" t="str">
        <f t="shared" ca="1" si="137"/>
        <v/>
      </c>
      <c r="AB49" s="397"/>
      <c r="AC49" s="372" t="str">
        <f ca="1">IFERROR(INDEX(ICE[], MATCH("hsfoew" &amp; TEXT(Hvy!$A49, "mmmyy"), ICE[LongCode], 0), MATCH("Text", ICE[#Headers], 0)), "")</f>
        <v/>
      </c>
      <c r="AD49" s="46" t="str">
        <f t="shared" ca="1" si="109"/>
        <v/>
      </c>
      <c r="AE49" s="47" t="str">
        <f t="shared" si="124"/>
        <v/>
      </c>
      <c r="AF49" s="114" t="str">
        <f t="shared" ca="1" si="125"/>
        <v/>
      </c>
      <c r="AG49" s="141" t="str">
        <f t="shared" ca="1" si="110"/>
        <v/>
      </c>
      <c r="AH49" s="46" t="str">
        <f t="shared" ca="1" si="111"/>
        <v/>
      </c>
      <c r="AI49" s="47" t="str">
        <f t="shared" ca="1" si="126"/>
        <v/>
      </c>
      <c r="AJ49" s="364" t="str">
        <f ca="1">IFERROR(INDEX(ICE[], MATCH("brfo380" &amp; TEXT(Crd!$A49, "mmmyy"), ICE[LongCode], 0), MATCH("Text", ICE[#Headers], 0)), "")</f>
        <v/>
      </c>
      <c r="AK49" s="114" t="str">
        <f t="shared" ca="1" si="127"/>
        <v/>
      </c>
      <c r="AL49" s="49" t="str">
        <f ca="1">IFERROR(IF(AND(ISNUMBER(Futs!$CC49), ISNUMBER($AG49)), $AG49/6.35 - Futs!$CC49, ""), "")</f>
        <v/>
      </c>
      <c r="AM49" s="372" t="str">
        <f ca="1">IFERROR(INDEX(ICE[], MATCH("fo380brx" &amp; TEXT(Hvy!$A49, "mmmyy"), ICE[LongCode], 0), MATCH("Text", ICE[#Headers], 0)), "")</f>
        <v/>
      </c>
      <c r="AN49" s="46" t="str">
        <f ca="1">IFERROR(IF(AND(ISNUMBER(Futs!$CD49), ISNUMBER($AH49)), $AH49/6.35 - Futs!$CD49, ""), "")</f>
        <v/>
      </c>
      <c r="AO49" s="47" t="str">
        <f t="shared" ca="1" si="138"/>
        <v/>
      </c>
      <c r="AP49" s="114" t="str">
        <f t="shared" ca="1" si="139"/>
        <v/>
      </c>
      <c r="AQ49" s="49" t="str">
        <f ca="1">IFERROR(IF(AND(ISNUMBER(Crd!$X49), ISNUMBER($AG49)), $AG49/6.35 - Crd!$X49, ""), "")</f>
        <v/>
      </c>
      <c r="AR49" s="46" t="str">
        <f ca="1">IFERROR(IF(AND(ISNUMBER(Crd!$Y49), ISNUMBER($AH49)), $AH49/6.35 - Crd!$Y49, ""), "")</f>
        <v/>
      </c>
      <c r="AS49" s="47" t="str">
        <f t="shared" ca="1" si="140"/>
        <v/>
      </c>
      <c r="AT49" s="111" t="str">
        <f t="shared" ca="1" si="141"/>
        <v/>
      </c>
      <c r="AU49" s="397"/>
      <c r="AV49" s="372" t="str">
        <f ca="1">IFERROR(INDEX(ICE[], MATCH("visco" &amp; TEXT(Hvy!$A49, "mmmyy"), ICE[LongCode], 0), MATCH("Text", ICE[#Headers], 0)), "")</f>
        <v/>
      </c>
      <c r="AW49" s="46" t="str">
        <f t="shared" ca="1" si="112"/>
        <v/>
      </c>
      <c r="AX49" s="47" t="str">
        <f t="shared" si="142"/>
        <v/>
      </c>
      <c r="AY49" s="46" t="str">
        <f t="shared" ca="1" si="143"/>
        <v/>
      </c>
      <c r="AZ49" s="141" t="str">
        <f t="shared" ca="1" si="113"/>
        <v/>
      </c>
      <c r="BA49" s="46" t="str">
        <f t="shared" ca="1" si="114"/>
        <v/>
      </c>
      <c r="BB49" s="47" t="str">
        <f t="shared" ca="1" si="144"/>
        <v/>
      </c>
      <c r="BC49" s="114" t="str">
        <f t="shared" ca="1" si="145"/>
        <v/>
      </c>
      <c r="BD49" s="49" t="str">
        <f ca="1">IFERROR(IF(AND(ISNUMBER(Futs!$CC49), ISNUMBER($AZ49)), $AZ49/6.35 - Futs!$CC49, ""), "")</f>
        <v/>
      </c>
      <c r="BE49" s="46" t="str">
        <f ca="1">IFERROR(IF(AND(ISNUMBER(Futs!$CD49), ISNUMBER($BA49)), $BA49/6.35 - Futs!$CD49, ""), "")</f>
        <v/>
      </c>
      <c r="BF49" s="47" t="str">
        <f t="shared" ca="1" si="146"/>
        <v/>
      </c>
      <c r="BG49" s="114" t="str">
        <f t="shared" ca="1" si="147"/>
        <v/>
      </c>
      <c r="BH49" s="49" t="str">
        <f ca="1">IFERROR(IF(AND(ISNUMBER(Crd!$X49), ISNUMBER($AZ49)), $AZ49/6.35 - Crd!$X49, ""), "")</f>
        <v/>
      </c>
      <c r="BI49" s="46" t="str">
        <f ca="1">IFERROR(IF(AND(ISNUMBER(Crd!$Y49), ISNUMBER($BA49)), $BA49/6.35 - Crd!$Y49, ""), "")</f>
        <v/>
      </c>
      <c r="BJ49" s="47" t="str">
        <f t="shared" ca="1" si="148"/>
        <v/>
      </c>
      <c r="BK49" s="111" t="str">
        <f t="shared" ca="1" si="149"/>
        <v/>
      </c>
      <c r="BL49" s="397"/>
      <c r="BM49" s="372" t="str">
        <f ca="1">IFERROR(INDEX(ICE[], MATCH("fo05bfrbrx" &amp; TEXT(Hvy!$A49, "mmmyy"), ICE[LongCode], 0), MATCH("Text", ICE[#Headers], 0)), "")</f>
        <v/>
      </c>
      <c r="BN49" s="46" t="str">
        <f t="shared" ca="1" si="115"/>
        <v/>
      </c>
      <c r="BO49" s="47" t="str">
        <f t="shared" si="150"/>
        <v/>
      </c>
      <c r="BP49" s="46" t="str">
        <f t="shared" ca="1" si="151"/>
        <v/>
      </c>
      <c r="BQ49" s="141" t="str">
        <f ca="1">IFERROR(IF(AND(ISNUMBER(Futs!$CC49), ISNUMBER($BL49)), (Futs!$CC49 + $BL49)*6.35, ""), "")</f>
        <v/>
      </c>
      <c r="BR49" s="46" t="str">
        <f ca="1">IFERROR(IF(AND(ISNUMBER(Futs!$CD49), ISNUMBER($BN49)), (Futs!$CD49 + $BN49)*6.35, ""), "")</f>
        <v/>
      </c>
      <c r="BS49" s="47" t="str">
        <f t="shared" ca="1" si="152"/>
        <v/>
      </c>
      <c r="BT49" s="114" t="str">
        <f t="shared" ca="1" si="153"/>
        <v/>
      </c>
      <c r="BU49" s="49" t="str">
        <f t="shared" ca="1" si="116"/>
        <v/>
      </c>
      <c r="BV49" s="46" t="str">
        <f t="shared" ca="1" si="117"/>
        <v/>
      </c>
      <c r="BW49" s="47" t="str">
        <f t="shared" ca="1" si="154"/>
        <v/>
      </c>
      <c r="BX49" s="111" t="str">
        <f t="shared" ca="1" si="155"/>
        <v/>
      </c>
      <c r="BY49" s="397"/>
      <c r="BZ49" s="372" t="str">
        <f ca="1">IFERROR(INDEX(ICE[], MATCH("fo05singbrx" &amp; TEXT(Hvy!$A49, "mmmyy"), ICE[LongCode], 0), MATCH("Text", ICE[#Headers], 0)), "")</f>
        <v/>
      </c>
      <c r="CA49" s="46" t="str">
        <f t="shared" ca="1" si="118"/>
        <v/>
      </c>
      <c r="CB49" s="47" t="str">
        <f t="shared" si="156"/>
        <v/>
      </c>
      <c r="CC49" s="114" t="str">
        <f t="shared" ca="1" si="157"/>
        <v/>
      </c>
      <c r="CD49" s="141" t="str">
        <f ca="1">IFERROR(IF(AND(ISNUMBER(Futs!$CC49), ISNUMBER($BY49)), (Futs!$CC49 + $BY49)*6.35, ""), "")</f>
        <v/>
      </c>
      <c r="CE49" s="46" t="str">
        <f ca="1">IFERROR(IF(AND(ISNUMBER(Futs!$CD49), ISNUMBER($CA49)), (Futs!$CD49 + $CA49)*6.35, ""), "")</f>
        <v/>
      </c>
      <c r="CF49" s="47" t="str">
        <f t="shared" ca="1" si="158"/>
        <v/>
      </c>
      <c r="CG49" s="114" t="str">
        <f t="shared" ca="1" si="159"/>
        <v/>
      </c>
      <c r="CH49" s="141" t="str">
        <f t="shared" ca="1" si="119"/>
        <v/>
      </c>
      <c r="CI49" s="46" t="str">
        <f t="shared" ca="1" si="120"/>
        <v/>
      </c>
      <c r="CJ49" s="47" t="str">
        <f t="shared" ca="1" si="160"/>
        <v/>
      </c>
      <c r="CK49" s="114" t="str">
        <f t="shared" ca="1" si="161"/>
        <v/>
      </c>
      <c r="CL49" s="49" t="str">
        <f t="shared" ca="1" si="128"/>
        <v/>
      </c>
      <c r="CM49" s="46" t="str">
        <f t="shared" ca="1" si="129"/>
        <v/>
      </c>
      <c r="CN49" s="47" t="str">
        <f t="shared" ca="1" si="162"/>
        <v/>
      </c>
      <c r="CO49" s="111" t="str">
        <f t="shared" ca="1" si="163"/>
        <v/>
      </c>
    </row>
    <row r="50" spans="1:93" x14ac:dyDescent="0.25">
      <c r="A50" s="58">
        <f t="shared" ca="1" si="130"/>
        <v>47209</v>
      </c>
      <c r="B50" s="6">
        <f t="shared" ca="1" si="105"/>
        <v>2029</v>
      </c>
      <c r="C50" s="6" t="str">
        <f t="shared" ca="1" si="121"/>
        <v>Q229</v>
      </c>
      <c r="D50" s="28" t="e">
        <f ca="1">INDEX(ICE[], MATCH(D$18 &amp; TEXT(Hvy!$A50, "mmmyy"), ICE[LongCode], 0), MATCH("Settle", ICE[#Headers], 0))</f>
        <v>#N/A</v>
      </c>
      <c r="E50" s="28" t="e">
        <f ca="1">INDEX(ICE[], MATCH(E$18 &amp; TEXT(Hvy!$A50, "mmmyy"), ICE[LongCode], 0), MATCH("Settle", ICE[#Headers], 0))</f>
        <v>#N/A</v>
      </c>
      <c r="F50" s="28" t="e">
        <f ca="1">INDEX(ICE[], MATCH(F$18 &amp; TEXT(Hvy!$A50, "mmmyy"), ICE[LongCode], 0), MATCH("Settle", ICE[#Headers], 0))</f>
        <v>#N/A</v>
      </c>
      <c r="G50" s="28" t="e">
        <f ca="1">INDEX(ICE[], MATCH(G$18 &amp; TEXT(Hvy!$A50, "mmmyy"), ICE[LongCode], 0), MATCH("Settle", ICE[#Headers], 0))</f>
        <v>#N/A</v>
      </c>
      <c r="H50" s="28" t="e">
        <f ca="1">INDEX(ICE[], MATCH(H$18 &amp; TEXT(Hvy!$A50, "mmmyy"), ICE[LongCode], 0), MATCH("Settle", ICE[#Headers], 0))</f>
        <v>#N/A</v>
      </c>
      <c r="I50" s="28" t="e">
        <f ca="1">INDEX(ICE[], MATCH(I$18 &amp; TEXT(Hvy!$A50, "mmmyy"), ICE[LongCode], 0), MATCH("Settle", ICE[#Headers], 0))</f>
        <v>#N/A</v>
      </c>
      <c r="J50" s="397"/>
      <c r="K50" s="372" t="str">
        <f ca="1">IFERROR(INDEX(ICE[], MATCH("fo35brx" &amp; TEXT(Hvy!$A50, "mmmyy"), ICE[LongCode], 0), MATCH("Text", ICE[#Headers], 0)), "")</f>
        <v/>
      </c>
      <c r="L50" s="46" t="str">
        <f t="shared" ca="1" si="122"/>
        <v/>
      </c>
      <c r="M50" s="47" t="str">
        <f t="shared" si="123"/>
        <v/>
      </c>
      <c r="N50" s="46" t="str">
        <f t="shared" ca="1" si="131"/>
        <v/>
      </c>
      <c r="O50" s="141" t="str">
        <f ca="1">IFERROR(IF(AND(ISNUMBER(Futs!$CC50), ISNUMBER($J50)), (Futs!$CC50 + $J50)*6.35, ""), "")</f>
        <v/>
      </c>
      <c r="P50" s="67" t="str">
        <f ca="1">IFERROR(IF(AND(ISNUMBER(Futs!$CD50), ISNUMBER($L50)), (Futs!$CD50 + $L50)*6.35, ""), "")</f>
        <v/>
      </c>
      <c r="Q50" s="47" t="str">
        <f t="shared" ca="1" si="132"/>
        <v/>
      </c>
      <c r="R50" s="46" t="str">
        <f t="shared" ca="1" si="133"/>
        <v/>
      </c>
      <c r="S50" s="397"/>
      <c r="T50" s="372" t="str">
        <f ca="1">IFERROR(INDEX(ICE[], MATCH("hilo" &amp; TEXT(Hvy!$A50, "mmmyy"), ICE[LongCode], 0), MATCH("Text", ICE[#Headers], 0)), "")</f>
        <v/>
      </c>
      <c r="U50" s="46" t="str">
        <f t="shared" ca="1" si="106"/>
        <v/>
      </c>
      <c r="V50" s="47" t="str">
        <f t="shared" si="134"/>
        <v/>
      </c>
      <c r="W50" s="114" t="str">
        <f t="shared" ca="1" si="135"/>
        <v/>
      </c>
      <c r="X50" s="49" t="str">
        <f t="shared" ca="1" si="107"/>
        <v/>
      </c>
      <c r="Y50" s="46" t="str">
        <f t="shared" ca="1" si="108"/>
        <v/>
      </c>
      <c r="Z50" s="47" t="str">
        <f t="shared" ca="1" si="136"/>
        <v/>
      </c>
      <c r="AA50" s="111" t="str">
        <f t="shared" ca="1" si="137"/>
        <v/>
      </c>
      <c r="AB50" s="397"/>
      <c r="AC50" s="372" t="str">
        <f ca="1">IFERROR(INDEX(ICE[], MATCH("hsfoew" &amp; TEXT(Hvy!$A50, "mmmyy"), ICE[LongCode], 0), MATCH("Text", ICE[#Headers], 0)), "")</f>
        <v/>
      </c>
      <c r="AD50" s="46" t="str">
        <f t="shared" ca="1" si="109"/>
        <v/>
      </c>
      <c r="AE50" s="47" t="str">
        <f t="shared" si="124"/>
        <v/>
      </c>
      <c r="AF50" s="114" t="str">
        <f t="shared" ca="1" si="125"/>
        <v/>
      </c>
      <c r="AG50" s="141" t="str">
        <f t="shared" ca="1" si="110"/>
        <v/>
      </c>
      <c r="AH50" s="46" t="str">
        <f t="shared" ca="1" si="111"/>
        <v/>
      </c>
      <c r="AI50" s="47" t="str">
        <f t="shared" ca="1" si="126"/>
        <v/>
      </c>
      <c r="AJ50" s="364" t="str">
        <f ca="1">IFERROR(INDEX(ICE[], MATCH("brfo380" &amp; TEXT(Crd!$A50, "mmmyy"), ICE[LongCode], 0), MATCH("Text", ICE[#Headers], 0)), "")</f>
        <v/>
      </c>
      <c r="AK50" s="114" t="str">
        <f t="shared" ca="1" si="127"/>
        <v/>
      </c>
      <c r="AL50" s="49" t="str">
        <f ca="1">IFERROR(IF(AND(ISNUMBER(Futs!$CC50), ISNUMBER($AG50)), $AG50/6.35 - Futs!$CC50, ""), "")</f>
        <v/>
      </c>
      <c r="AM50" s="372" t="str">
        <f ca="1">IFERROR(INDEX(ICE[], MATCH("fo380brx" &amp; TEXT(Hvy!$A50, "mmmyy"), ICE[LongCode], 0), MATCH("Text", ICE[#Headers], 0)), "")</f>
        <v/>
      </c>
      <c r="AN50" s="46" t="str">
        <f ca="1">IFERROR(IF(AND(ISNUMBER(Futs!$CD50), ISNUMBER($AH50)), $AH50/6.35 - Futs!$CD50, ""), "")</f>
        <v/>
      </c>
      <c r="AO50" s="47" t="str">
        <f t="shared" ca="1" si="138"/>
        <v/>
      </c>
      <c r="AP50" s="114" t="str">
        <f t="shared" ca="1" si="139"/>
        <v/>
      </c>
      <c r="AQ50" s="49" t="str">
        <f ca="1">IFERROR(IF(AND(ISNUMBER(Crd!$X50), ISNUMBER($AG50)), $AG50/6.35 - Crd!$X50, ""), "")</f>
        <v/>
      </c>
      <c r="AR50" s="46" t="str">
        <f ca="1">IFERROR(IF(AND(ISNUMBER(Crd!$Y50), ISNUMBER($AH50)), $AH50/6.35 - Crd!$Y50, ""), "")</f>
        <v/>
      </c>
      <c r="AS50" s="47" t="str">
        <f t="shared" ca="1" si="140"/>
        <v/>
      </c>
      <c r="AT50" s="111" t="str">
        <f t="shared" ca="1" si="141"/>
        <v/>
      </c>
      <c r="AU50" s="397"/>
      <c r="AV50" s="372" t="str">
        <f ca="1">IFERROR(INDEX(ICE[], MATCH("visco" &amp; TEXT(Hvy!$A50, "mmmyy"), ICE[LongCode], 0), MATCH("Text", ICE[#Headers], 0)), "")</f>
        <v/>
      </c>
      <c r="AW50" s="46" t="str">
        <f t="shared" ca="1" si="112"/>
        <v/>
      </c>
      <c r="AX50" s="47" t="str">
        <f t="shared" si="142"/>
        <v/>
      </c>
      <c r="AY50" s="46" t="str">
        <f t="shared" ca="1" si="143"/>
        <v/>
      </c>
      <c r="AZ50" s="141" t="str">
        <f t="shared" ca="1" si="113"/>
        <v/>
      </c>
      <c r="BA50" s="46" t="str">
        <f t="shared" ca="1" si="114"/>
        <v/>
      </c>
      <c r="BB50" s="47" t="str">
        <f t="shared" ca="1" si="144"/>
        <v/>
      </c>
      <c r="BC50" s="114" t="str">
        <f t="shared" ca="1" si="145"/>
        <v/>
      </c>
      <c r="BD50" s="49" t="str">
        <f ca="1">IFERROR(IF(AND(ISNUMBER(Futs!$CC50), ISNUMBER($AZ50)), $AZ50/6.35 - Futs!$CC50, ""), "")</f>
        <v/>
      </c>
      <c r="BE50" s="46" t="str">
        <f ca="1">IFERROR(IF(AND(ISNUMBER(Futs!$CD50), ISNUMBER($BA50)), $BA50/6.35 - Futs!$CD50, ""), "")</f>
        <v/>
      </c>
      <c r="BF50" s="47" t="str">
        <f t="shared" ca="1" si="146"/>
        <v/>
      </c>
      <c r="BG50" s="114" t="str">
        <f t="shared" ca="1" si="147"/>
        <v/>
      </c>
      <c r="BH50" s="49" t="str">
        <f ca="1">IFERROR(IF(AND(ISNUMBER(Crd!$X50), ISNUMBER($AZ50)), $AZ50/6.35 - Crd!$X50, ""), "")</f>
        <v/>
      </c>
      <c r="BI50" s="46" t="str">
        <f ca="1">IFERROR(IF(AND(ISNUMBER(Crd!$Y50), ISNUMBER($BA50)), $BA50/6.35 - Crd!$Y50, ""), "")</f>
        <v/>
      </c>
      <c r="BJ50" s="47" t="str">
        <f t="shared" ca="1" si="148"/>
        <v/>
      </c>
      <c r="BK50" s="111" t="str">
        <f t="shared" ca="1" si="149"/>
        <v/>
      </c>
      <c r="BL50" s="397"/>
      <c r="BM50" s="372" t="str">
        <f ca="1">IFERROR(INDEX(ICE[], MATCH("fo05bfrbrx" &amp; TEXT(Hvy!$A50, "mmmyy"), ICE[LongCode], 0), MATCH("Text", ICE[#Headers], 0)), "")</f>
        <v/>
      </c>
      <c r="BN50" s="46" t="str">
        <f t="shared" ca="1" si="115"/>
        <v/>
      </c>
      <c r="BO50" s="47" t="str">
        <f t="shared" si="150"/>
        <v/>
      </c>
      <c r="BP50" s="46" t="str">
        <f t="shared" ca="1" si="151"/>
        <v/>
      </c>
      <c r="BQ50" s="141" t="str">
        <f ca="1">IFERROR(IF(AND(ISNUMBER(Futs!$CC50), ISNUMBER($BL50)), (Futs!$CC50 + $BL50)*6.35, ""), "")</f>
        <v/>
      </c>
      <c r="BR50" s="46" t="str">
        <f ca="1">IFERROR(IF(AND(ISNUMBER(Futs!$CD50), ISNUMBER($BN50)), (Futs!$CD50 + $BN50)*6.35, ""), "")</f>
        <v/>
      </c>
      <c r="BS50" s="47" t="str">
        <f t="shared" ca="1" si="152"/>
        <v/>
      </c>
      <c r="BT50" s="114" t="str">
        <f t="shared" ca="1" si="153"/>
        <v/>
      </c>
      <c r="BU50" s="49" t="str">
        <f t="shared" ca="1" si="116"/>
        <v/>
      </c>
      <c r="BV50" s="46" t="str">
        <f t="shared" ca="1" si="117"/>
        <v/>
      </c>
      <c r="BW50" s="47" t="str">
        <f t="shared" ca="1" si="154"/>
        <v/>
      </c>
      <c r="BX50" s="111" t="str">
        <f t="shared" ca="1" si="155"/>
        <v/>
      </c>
      <c r="BY50" s="397"/>
      <c r="BZ50" s="372" t="str">
        <f ca="1">IFERROR(INDEX(ICE[], MATCH("fo05singbrx" &amp; TEXT(Hvy!$A50, "mmmyy"), ICE[LongCode], 0), MATCH("Text", ICE[#Headers], 0)), "")</f>
        <v/>
      </c>
      <c r="CA50" s="46" t="str">
        <f t="shared" ca="1" si="118"/>
        <v/>
      </c>
      <c r="CB50" s="47" t="str">
        <f t="shared" si="156"/>
        <v/>
      </c>
      <c r="CC50" s="114" t="str">
        <f t="shared" ca="1" si="157"/>
        <v/>
      </c>
      <c r="CD50" s="141" t="str">
        <f ca="1">IFERROR(IF(AND(ISNUMBER(Futs!$CC50), ISNUMBER($BY50)), (Futs!$CC50 + $BY50)*6.35, ""), "")</f>
        <v/>
      </c>
      <c r="CE50" s="46" t="str">
        <f ca="1">IFERROR(IF(AND(ISNUMBER(Futs!$CD50), ISNUMBER($CA50)), (Futs!$CD50 + $CA50)*6.35, ""), "")</f>
        <v/>
      </c>
      <c r="CF50" s="47" t="str">
        <f t="shared" ca="1" si="158"/>
        <v/>
      </c>
      <c r="CG50" s="114" t="str">
        <f t="shared" ca="1" si="159"/>
        <v/>
      </c>
      <c r="CH50" s="141" t="str">
        <f t="shared" ca="1" si="119"/>
        <v/>
      </c>
      <c r="CI50" s="46" t="str">
        <f t="shared" ca="1" si="120"/>
        <v/>
      </c>
      <c r="CJ50" s="47" t="str">
        <f t="shared" ca="1" si="160"/>
        <v/>
      </c>
      <c r="CK50" s="114" t="str">
        <f t="shared" ca="1" si="161"/>
        <v/>
      </c>
      <c r="CL50" s="49" t="str">
        <f t="shared" ca="1" si="128"/>
        <v/>
      </c>
      <c r="CM50" s="46" t="str">
        <f t="shared" ca="1" si="129"/>
        <v/>
      </c>
      <c r="CN50" s="47" t="str">
        <f t="shared" ca="1" si="162"/>
        <v/>
      </c>
      <c r="CO50" s="111" t="str">
        <f t="shared" ca="1" si="163"/>
        <v/>
      </c>
    </row>
    <row r="51" spans="1:93" x14ac:dyDescent="0.25">
      <c r="A51" s="58">
        <f t="shared" ca="1" si="130"/>
        <v>47239</v>
      </c>
      <c r="B51" s="6">
        <f t="shared" ca="1" si="105"/>
        <v>2029</v>
      </c>
      <c r="C51" s="6" t="str">
        <f t="shared" ca="1" si="121"/>
        <v>Q229</v>
      </c>
      <c r="D51" s="28" t="e">
        <f ca="1">INDEX(ICE[], MATCH(D$18 &amp; TEXT(Hvy!$A51, "mmmyy"), ICE[LongCode], 0), MATCH("Settle", ICE[#Headers], 0))</f>
        <v>#N/A</v>
      </c>
      <c r="E51" s="28" t="e">
        <f ca="1">INDEX(ICE[], MATCH(E$18 &amp; TEXT(Hvy!$A51, "mmmyy"), ICE[LongCode], 0), MATCH("Settle", ICE[#Headers], 0))</f>
        <v>#N/A</v>
      </c>
      <c r="F51" s="28" t="e">
        <f ca="1">INDEX(ICE[], MATCH(F$18 &amp; TEXT(Hvy!$A51, "mmmyy"), ICE[LongCode], 0), MATCH("Settle", ICE[#Headers], 0))</f>
        <v>#N/A</v>
      </c>
      <c r="G51" s="28" t="e">
        <f ca="1">INDEX(ICE[], MATCH(G$18 &amp; TEXT(Hvy!$A51, "mmmyy"), ICE[LongCode], 0), MATCH("Settle", ICE[#Headers], 0))</f>
        <v>#N/A</v>
      </c>
      <c r="H51" s="28" t="e">
        <f ca="1">INDEX(ICE[], MATCH(H$18 &amp; TEXT(Hvy!$A51, "mmmyy"), ICE[LongCode], 0), MATCH("Settle", ICE[#Headers], 0))</f>
        <v>#N/A</v>
      </c>
      <c r="I51" s="28" t="e">
        <f ca="1">INDEX(ICE[], MATCH(I$18 &amp; TEXT(Hvy!$A51, "mmmyy"), ICE[LongCode], 0), MATCH("Settle", ICE[#Headers], 0))</f>
        <v>#N/A</v>
      </c>
      <c r="J51" s="397"/>
      <c r="K51" s="372" t="str">
        <f ca="1">IFERROR(INDEX(ICE[], MATCH("fo35brx" &amp; TEXT(Hvy!$A51, "mmmyy"), ICE[LongCode], 0), MATCH("Text", ICE[#Headers], 0)), "")</f>
        <v/>
      </c>
      <c r="L51" s="46" t="str">
        <f t="shared" ca="1" si="122"/>
        <v/>
      </c>
      <c r="M51" s="47" t="str">
        <f t="shared" si="123"/>
        <v/>
      </c>
      <c r="N51" s="46" t="str">
        <f t="shared" ca="1" si="131"/>
        <v/>
      </c>
      <c r="O51" s="141" t="str">
        <f ca="1">IFERROR(IF(AND(ISNUMBER(Futs!$CC51), ISNUMBER($J51)), (Futs!$CC51 + $J51)*6.35, ""), "")</f>
        <v/>
      </c>
      <c r="P51" s="67" t="str">
        <f ca="1">IFERROR(IF(AND(ISNUMBER(Futs!$CD51), ISNUMBER($L51)), (Futs!$CD51 + $L51)*6.35, ""), "")</f>
        <v/>
      </c>
      <c r="Q51" s="47" t="str">
        <f t="shared" ca="1" si="132"/>
        <v/>
      </c>
      <c r="R51" s="46" t="str">
        <f t="shared" ca="1" si="133"/>
        <v/>
      </c>
      <c r="S51" s="397"/>
      <c r="T51" s="372" t="str">
        <f ca="1">IFERROR(INDEX(ICE[], MATCH("hilo" &amp; TEXT(Hvy!$A51, "mmmyy"), ICE[LongCode], 0), MATCH("Text", ICE[#Headers], 0)), "")</f>
        <v/>
      </c>
      <c r="U51" s="46" t="str">
        <f t="shared" ca="1" si="106"/>
        <v/>
      </c>
      <c r="V51" s="47" t="str">
        <f t="shared" si="134"/>
        <v/>
      </c>
      <c r="W51" s="114" t="str">
        <f t="shared" ca="1" si="135"/>
        <v/>
      </c>
      <c r="X51" s="49" t="str">
        <f t="shared" ca="1" si="107"/>
        <v/>
      </c>
      <c r="Y51" s="46" t="str">
        <f t="shared" ca="1" si="108"/>
        <v/>
      </c>
      <c r="Z51" s="47" t="str">
        <f t="shared" ca="1" si="136"/>
        <v/>
      </c>
      <c r="AA51" s="111" t="str">
        <f t="shared" ca="1" si="137"/>
        <v/>
      </c>
      <c r="AB51" s="397"/>
      <c r="AC51" s="372" t="str">
        <f ca="1">IFERROR(INDEX(ICE[], MATCH("hsfoew" &amp; TEXT(Hvy!$A51, "mmmyy"), ICE[LongCode], 0), MATCH("Text", ICE[#Headers], 0)), "")</f>
        <v/>
      </c>
      <c r="AD51" s="46" t="str">
        <f t="shared" ca="1" si="109"/>
        <v/>
      </c>
      <c r="AE51" s="47" t="str">
        <f t="shared" si="124"/>
        <v/>
      </c>
      <c r="AF51" s="114" t="str">
        <f t="shared" ca="1" si="125"/>
        <v/>
      </c>
      <c r="AG51" s="141" t="str">
        <f t="shared" ca="1" si="110"/>
        <v/>
      </c>
      <c r="AH51" s="46" t="str">
        <f t="shared" ca="1" si="111"/>
        <v/>
      </c>
      <c r="AI51" s="47" t="str">
        <f t="shared" ca="1" si="126"/>
        <v/>
      </c>
      <c r="AJ51" s="364" t="str">
        <f ca="1">IFERROR(INDEX(ICE[], MATCH("brfo380" &amp; TEXT(Crd!$A51, "mmmyy"), ICE[LongCode], 0), MATCH("Text", ICE[#Headers], 0)), "")</f>
        <v/>
      </c>
      <c r="AK51" s="114" t="str">
        <f t="shared" ca="1" si="127"/>
        <v/>
      </c>
      <c r="AL51" s="49" t="str">
        <f ca="1">IFERROR(IF(AND(ISNUMBER(Futs!$CC51), ISNUMBER($AG51)), $AG51/6.35 - Futs!$CC51, ""), "")</f>
        <v/>
      </c>
      <c r="AM51" s="372" t="str">
        <f ca="1">IFERROR(INDEX(ICE[], MATCH("fo380brx" &amp; TEXT(Hvy!$A51, "mmmyy"), ICE[LongCode], 0), MATCH("Text", ICE[#Headers], 0)), "")</f>
        <v/>
      </c>
      <c r="AN51" s="46" t="str">
        <f ca="1">IFERROR(IF(AND(ISNUMBER(Futs!$CD51), ISNUMBER($AH51)), $AH51/6.35 - Futs!$CD51, ""), "")</f>
        <v/>
      </c>
      <c r="AO51" s="47" t="str">
        <f t="shared" ca="1" si="138"/>
        <v/>
      </c>
      <c r="AP51" s="114" t="str">
        <f t="shared" ca="1" si="139"/>
        <v/>
      </c>
      <c r="AQ51" s="49" t="str">
        <f ca="1">IFERROR(IF(AND(ISNUMBER(Crd!$X51), ISNUMBER($AG51)), $AG51/6.35 - Crd!$X51, ""), "")</f>
        <v/>
      </c>
      <c r="AR51" s="46" t="str">
        <f ca="1">IFERROR(IF(AND(ISNUMBER(Crd!$Y51), ISNUMBER($AH51)), $AH51/6.35 - Crd!$Y51, ""), "")</f>
        <v/>
      </c>
      <c r="AS51" s="47" t="str">
        <f t="shared" ca="1" si="140"/>
        <v/>
      </c>
      <c r="AT51" s="111" t="str">
        <f t="shared" ca="1" si="141"/>
        <v/>
      </c>
      <c r="AU51" s="397"/>
      <c r="AV51" s="372" t="str">
        <f ca="1">IFERROR(INDEX(ICE[], MATCH("visco" &amp; TEXT(Hvy!$A51, "mmmyy"), ICE[LongCode], 0), MATCH("Text", ICE[#Headers], 0)), "")</f>
        <v/>
      </c>
      <c r="AW51" s="46" t="str">
        <f t="shared" ca="1" si="112"/>
        <v/>
      </c>
      <c r="AX51" s="47" t="str">
        <f t="shared" si="142"/>
        <v/>
      </c>
      <c r="AY51" s="46" t="str">
        <f t="shared" ca="1" si="143"/>
        <v/>
      </c>
      <c r="AZ51" s="141" t="str">
        <f t="shared" ca="1" si="113"/>
        <v/>
      </c>
      <c r="BA51" s="46" t="str">
        <f t="shared" ca="1" si="114"/>
        <v/>
      </c>
      <c r="BB51" s="47" t="str">
        <f t="shared" ca="1" si="144"/>
        <v/>
      </c>
      <c r="BC51" s="114" t="str">
        <f t="shared" ca="1" si="145"/>
        <v/>
      </c>
      <c r="BD51" s="49" t="str">
        <f ca="1">IFERROR(IF(AND(ISNUMBER(Futs!$CC51), ISNUMBER($AZ51)), $AZ51/6.35 - Futs!$CC51, ""), "")</f>
        <v/>
      </c>
      <c r="BE51" s="46" t="str">
        <f ca="1">IFERROR(IF(AND(ISNUMBER(Futs!$CD51), ISNUMBER($BA51)), $BA51/6.35 - Futs!$CD51, ""), "")</f>
        <v/>
      </c>
      <c r="BF51" s="47" t="str">
        <f t="shared" ca="1" si="146"/>
        <v/>
      </c>
      <c r="BG51" s="114" t="str">
        <f t="shared" ca="1" si="147"/>
        <v/>
      </c>
      <c r="BH51" s="49" t="str">
        <f ca="1">IFERROR(IF(AND(ISNUMBER(Crd!$X51), ISNUMBER($AZ51)), $AZ51/6.35 - Crd!$X51, ""), "")</f>
        <v/>
      </c>
      <c r="BI51" s="46" t="str">
        <f ca="1">IFERROR(IF(AND(ISNUMBER(Crd!$Y51), ISNUMBER($BA51)), $BA51/6.35 - Crd!$Y51, ""), "")</f>
        <v/>
      </c>
      <c r="BJ51" s="47" t="str">
        <f t="shared" ca="1" si="148"/>
        <v/>
      </c>
      <c r="BK51" s="111" t="str">
        <f t="shared" ca="1" si="149"/>
        <v/>
      </c>
      <c r="BL51" s="397"/>
      <c r="BM51" s="372" t="str">
        <f ca="1">IFERROR(INDEX(ICE[], MATCH("fo05bfrbrx" &amp; TEXT(Hvy!$A51, "mmmyy"), ICE[LongCode], 0), MATCH("Text", ICE[#Headers], 0)), "")</f>
        <v/>
      </c>
      <c r="BN51" s="46" t="str">
        <f t="shared" ca="1" si="115"/>
        <v/>
      </c>
      <c r="BO51" s="47" t="str">
        <f t="shared" si="150"/>
        <v/>
      </c>
      <c r="BP51" s="46" t="str">
        <f t="shared" ca="1" si="151"/>
        <v/>
      </c>
      <c r="BQ51" s="141" t="str">
        <f ca="1">IFERROR(IF(AND(ISNUMBER(Futs!$CC51), ISNUMBER($BL51)), (Futs!$CC51 + $BL51)*6.35, ""), "")</f>
        <v/>
      </c>
      <c r="BR51" s="46" t="str">
        <f ca="1">IFERROR(IF(AND(ISNUMBER(Futs!$CD51), ISNUMBER($BN51)), (Futs!$CD51 + $BN51)*6.35, ""), "")</f>
        <v/>
      </c>
      <c r="BS51" s="47" t="str">
        <f t="shared" ca="1" si="152"/>
        <v/>
      </c>
      <c r="BT51" s="114" t="str">
        <f t="shared" ca="1" si="153"/>
        <v/>
      </c>
      <c r="BU51" s="49" t="str">
        <f t="shared" ca="1" si="116"/>
        <v/>
      </c>
      <c r="BV51" s="46" t="str">
        <f t="shared" ca="1" si="117"/>
        <v/>
      </c>
      <c r="BW51" s="47" t="str">
        <f t="shared" ca="1" si="154"/>
        <v/>
      </c>
      <c r="BX51" s="111" t="str">
        <f t="shared" ca="1" si="155"/>
        <v/>
      </c>
      <c r="BY51" s="397"/>
      <c r="BZ51" s="372" t="str">
        <f ca="1">IFERROR(INDEX(ICE[], MATCH("fo05singbrx" &amp; TEXT(Hvy!$A51, "mmmyy"), ICE[LongCode], 0), MATCH("Text", ICE[#Headers], 0)), "")</f>
        <v/>
      </c>
      <c r="CA51" s="46" t="str">
        <f t="shared" ca="1" si="118"/>
        <v/>
      </c>
      <c r="CB51" s="47" t="str">
        <f t="shared" si="156"/>
        <v/>
      </c>
      <c r="CC51" s="114" t="str">
        <f t="shared" ca="1" si="157"/>
        <v/>
      </c>
      <c r="CD51" s="141" t="str">
        <f ca="1">IFERROR(IF(AND(ISNUMBER(Futs!$CC51), ISNUMBER($BY51)), (Futs!$CC51 + $BY51)*6.35, ""), "")</f>
        <v/>
      </c>
      <c r="CE51" s="46" t="str">
        <f ca="1">IFERROR(IF(AND(ISNUMBER(Futs!$CD51), ISNUMBER($CA51)), (Futs!$CD51 + $CA51)*6.35, ""), "")</f>
        <v/>
      </c>
      <c r="CF51" s="47" t="str">
        <f t="shared" ca="1" si="158"/>
        <v/>
      </c>
      <c r="CG51" s="114" t="str">
        <f t="shared" ca="1" si="159"/>
        <v/>
      </c>
      <c r="CH51" s="141" t="str">
        <f t="shared" ca="1" si="119"/>
        <v/>
      </c>
      <c r="CI51" s="46" t="str">
        <f t="shared" ca="1" si="120"/>
        <v/>
      </c>
      <c r="CJ51" s="47" t="str">
        <f t="shared" ca="1" si="160"/>
        <v/>
      </c>
      <c r="CK51" s="114" t="str">
        <f t="shared" ca="1" si="161"/>
        <v/>
      </c>
      <c r="CL51" s="49" t="str">
        <f t="shared" ca="1" si="128"/>
        <v/>
      </c>
      <c r="CM51" s="46" t="str">
        <f t="shared" ca="1" si="129"/>
        <v/>
      </c>
      <c r="CN51" s="47" t="str">
        <f t="shared" ca="1" si="162"/>
        <v/>
      </c>
      <c r="CO51" s="111" t="str">
        <f t="shared" ca="1" si="163"/>
        <v/>
      </c>
    </row>
    <row r="52" spans="1:93" x14ac:dyDescent="0.25">
      <c r="A52" s="58">
        <f t="shared" ca="1" si="130"/>
        <v>47270</v>
      </c>
      <c r="B52" s="6">
        <f t="shared" ca="1" si="105"/>
        <v>2029</v>
      </c>
      <c r="C52" s="6" t="str">
        <f t="shared" ca="1" si="121"/>
        <v>Q229</v>
      </c>
      <c r="D52" s="28" t="e">
        <f ca="1">INDEX(ICE[], MATCH(D$18 &amp; TEXT(Hvy!$A52, "mmmyy"), ICE[LongCode], 0), MATCH("Settle", ICE[#Headers], 0))</f>
        <v>#N/A</v>
      </c>
      <c r="E52" s="28" t="e">
        <f ca="1">INDEX(ICE[], MATCH(E$18 &amp; TEXT(Hvy!$A52, "mmmyy"), ICE[LongCode], 0), MATCH("Settle", ICE[#Headers], 0))</f>
        <v>#N/A</v>
      </c>
      <c r="F52" s="28" t="e">
        <f ca="1">INDEX(ICE[], MATCH(F$18 &amp; TEXT(Hvy!$A52, "mmmyy"), ICE[LongCode], 0), MATCH("Settle", ICE[#Headers], 0))</f>
        <v>#N/A</v>
      </c>
      <c r="G52" s="28" t="e">
        <f ca="1">INDEX(ICE[], MATCH(G$18 &amp; TEXT(Hvy!$A52, "mmmyy"), ICE[LongCode], 0), MATCH("Settle", ICE[#Headers], 0))</f>
        <v>#N/A</v>
      </c>
      <c r="H52" s="28" t="e">
        <f ca="1">INDEX(ICE[], MATCH(H$18 &amp; TEXT(Hvy!$A52, "mmmyy"), ICE[LongCode], 0), MATCH("Settle", ICE[#Headers], 0))</f>
        <v>#N/A</v>
      </c>
      <c r="I52" s="28" t="e">
        <f ca="1">INDEX(ICE[], MATCH(I$18 &amp; TEXT(Hvy!$A52, "mmmyy"), ICE[LongCode], 0), MATCH("Settle", ICE[#Headers], 0))</f>
        <v>#N/A</v>
      </c>
      <c r="J52" s="397"/>
      <c r="K52" s="372" t="str">
        <f ca="1">IFERROR(INDEX(ICE[], MATCH("fo35brx" &amp; TEXT(Hvy!$A52, "mmmyy"), ICE[LongCode], 0), MATCH("Text", ICE[#Headers], 0)), "")</f>
        <v/>
      </c>
      <c r="L52" s="46" t="str">
        <f t="shared" ca="1" si="122"/>
        <v/>
      </c>
      <c r="M52" s="47" t="str">
        <f t="shared" si="123"/>
        <v/>
      </c>
      <c r="N52" s="46" t="str">
        <f t="shared" ca="1" si="131"/>
        <v/>
      </c>
      <c r="O52" s="141" t="str">
        <f ca="1">IFERROR(IF(AND(ISNUMBER(Futs!$CC52), ISNUMBER($J52)), (Futs!$CC52 + $J52)*6.35, ""), "")</f>
        <v/>
      </c>
      <c r="P52" s="67" t="str">
        <f ca="1">IFERROR(IF(AND(ISNUMBER(Futs!$CD52), ISNUMBER($L52)), (Futs!$CD52 + $L52)*6.35, ""), "")</f>
        <v/>
      </c>
      <c r="Q52" s="47" t="str">
        <f t="shared" ca="1" si="132"/>
        <v/>
      </c>
      <c r="R52" s="46" t="str">
        <f t="shared" ca="1" si="133"/>
        <v/>
      </c>
      <c r="S52" s="397"/>
      <c r="T52" s="372" t="str">
        <f ca="1">IFERROR(INDEX(ICE[], MATCH("hilo" &amp; TEXT(Hvy!$A52, "mmmyy"), ICE[LongCode], 0), MATCH("Text", ICE[#Headers], 0)), "")</f>
        <v/>
      </c>
      <c r="U52" s="46" t="str">
        <f t="shared" ca="1" si="106"/>
        <v/>
      </c>
      <c r="V52" s="47" t="str">
        <f t="shared" si="134"/>
        <v/>
      </c>
      <c r="W52" s="114" t="str">
        <f t="shared" ca="1" si="135"/>
        <v/>
      </c>
      <c r="X52" s="49" t="str">
        <f t="shared" ca="1" si="107"/>
        <v/>
      </c>
      <c r="Y52" s="46" t="str">
        <f t="shared" ca="1" si="108"/>
        <v/>
      </c>
      <c r="Z52" s="47" t="str">
        <f t="shared" ca="1" si="136"/>
        <v/>
      </c>
      <c r="AA52" s="111" t="str">
        <f t="shared" ca="1" si="137"/>
        <v/>
      </c>
      <c r="AB52" s="397"/>
      <c r="AC52" s="372" t="str">
        <f ca="1">IFERROR(INDEX(ICE[], MATCH("hsfoew" &amp; TEXT(Hvy!$A52, "mmmyy"), ICE[LongCode], 0), MATCH("Text", ICE[#Headers], 0)), "")</f>
        <v/>
      </c>
      <c r="AD52" s="46" t="str">
        <f t="shared" ca="1" si="109"/>
        <v/>
      </c>
      <c r="AE52" s="47" t="str">
        <f t="shared" si="124"/>
        <v/>
      </c>
      <c r="AF52" s="114" t="str">
        <f t="shared" ca="1" si="125"/>
        <v/>
      </c>
      <c r="AG52" s="141" t="str">
        <f t="shared" ca="1" si="110"/>
        <v/>
      </c>
      <c r="AH52" s="46" t="str">
        <f t="shared" ca="1" si="111"/>
        <v/>
      </c>
      <c r="AI52" s="47" t="str">
        <f t="shared" ca="1" si="126"/>
        <v/>
      </c>
      <c r="AJ52" s="364" t="str">
        <f ca="1">IFERROR(INDEX(ICE[], MATCH("brfo380" &amp; TEXT(Crd!$A52, "mmmyy"), ICE[LongCode], 0), MATCH("Text", ICE[#Headers], 0)), "")</f>
        <v/>
      </c>
      <c r="AK52" s="114" t="str">
        <f t="shared" ca="1" si="127"/>
        <v/>
      </c>
      <c r="AL52" s="49" t="str">
        <f ca="1">IFERROR(IF(AND(ISNUMBER(Futs!$CC52), ISNUMBER($AG52)), $AG52/6.35 - Futs!$CC52, ""), "")</f>
        <v/>
      </c>
      <c r="AM52" s="372" t="str">
        <f ca="1">IFERROR(INDEX(ICE[], MATCH("fo380brx" &amp; TEXT(Hvy!$A52, "mmmyy"), ICE[LongCode], 0), MATCH("Text", ICE[#Headers], 0)), "")</f>
        <v/>
      </c>
      <c r="AN52" s="46" t="str">
        <f ca="1">IFERROR(IF(AND(ISNUMBER(Futs!$CD52), ISNUMBER($AH52)), $AH52/6.35 - Futs!$CD52, ""), "")</f>
        <v/>
      </c>
      <c r="AO52" s="47" t="str">
        <f t="shared" ca="1" si="138"/>
        <v/>
      </c>
      <c r="AP52" s="114" t="str">
        <f t="shared" ca="1" si="139"/>
        <v/>
      </c>
      <c r="AQ52" s="49" t="str">
        <f ca="1">IFERROR(IF(AND(ISNUMBER(Crd!$X52), ISNUMBER($AG52)), $AG52/6.35 - Crd!$X52, ""), "")</f>
        <v/>
      </c>
      <c r="AR52" s="46" t="str">
        <f ca="1">IFERROR(IF(AND(ISNUMBER(Crd!$Y52), ISNUMBER($AH52)), $AH52/6.35 - Crd!$Y52, ""), "")</f>
        <v/>
      </c>
      <c r="AS52" s="47" t="str">
        <f t="shared" ca="1" si="140"/>
        <v/>
      </c>
      <c r="AT52" s="111" t="str">
        <f t="shared" ca="1" si="141"/>
        <v/>
      </c>
      <c r="AU52" s="397"/>
      <c r="AV52" s="372" t="str">
        <f ca="1">IFERROR(INDEX(ICE[], MATCH("visco" &amp; TEXT(Hvy!$A52, "mmmyy"), ICE[LongCode], 0), MATCH("Text", ICE[#Headers], 0)), "")</f>
        <v/>
      </c>
      <c r="AW52" s="46" t="str">
        <f t="shared" ca="1" si="112"/>
        <v/>
      </c>
      <c r="AX52" s="47" t="str">
        <f t="shared" si="142"/>
        <v/>
      </c>
      <c r="AY52" s="46" t="str">
        <f t="shared" ca="1" si="143"/>
        <v/>
      </c>
      <c r="AZ52" s="141" t="str">
        <f t="shared" ca="1" si="113"/>
        <v/>
      </c>
      <c r="BA52" s="46" t="str">
        <f t="shared" ca="1" si="114"/>
        <v/>
      </c>
      <c r="BB52" s="47" t="str">
        <f t="shared" ca="1" si="144"/>
        <v/>
      </c>
      <c r="BC52" s="114" t="str">
        <f t="shared" ca="1" si="145"/>
        <v/>
      </c>
      <c r="BD52" s="49" t="str">
        <f ca="1">IFERROR(IF(AND(ISNUMBER(Futs!$CC52), ISNUMBER($AZ52)), $AZ52/6.35 - Futs!$CC52, ""), "")</f>
        <v/>
      </c>
      <c r="BE52" s="46" t="str">
        <f ca="1">IFERROR(IF(AND(ISNUMBER(Futs!$CD52), ISNUMBER($BA52)), $BA52/6.35 - Futs!$CD52, ""), "")</f>
        <v/>
      </c>
      <c r="BF52" s="47" t="str">
        <f t="shared" ca="1" si="146"/>
        <v/>
      </c>
      <c r="BG52" s="114" t="str">
        <f t="shared" ca="1" si="147"/>
        <v/>
      </c>
      <c r="BH52" s="49" t="str">
        <f ca="1">IFERROR(IF(AND(ISNUMBER(Crd!$X52), ISNUMBER($AZ52)), $AZ52/6.35 - Crd!$X52, ""), "")</f>
        <v/>
      </c>
      <c r="BI52" s="46" t="str">
        <f ca="1">IFERROR(IF(AND(ISNUMBER(Crd!$Y52), ISNUMBER($BA52)), $BA52/6.35 - Crd!$Y52, ""), "")</f>
        <v/>
      </c>
      <c r="BJ52" s="47" t="str">
        <f t="shared" ca="1" si="148"/>
        <v/>
      </c>
      <c r="BK52" s="111" t="str">
        <f t="shared" ca="1" si="149"/>
        <v/>
      </c>
      <c r="BL52" s="397"/>
      <c r="BM52" s="372" t="str">
        <f ca="1">IFERROR(INDEX(ICE[], MATCH("fo05bfrbrx" &amp; TEXT(Hvy!$A52, "mmmyy"), ICE[LongCode], 0), MATCH("Text", ICE[#Headers], 0)), "")</f>
        <v/>
      </c>
      <c r="BN52" s="46" t="str">
        <f t="shared" ca="1" si="115"/>
        <v/>
      </c>
      <c r="BO52" s="47" t="str">
        <f t="shared" si="150"/>
        <v/>
      </c>
      <c r="BP52" s="46" t="str">
        <f t="shared" ca="1" si="151"/>
        <v/>
      </c>
      <c r="BQ52" s="141" t="str">
        <f ca="1">IFERROR(IF(AND(ISNUMBER(Futs!$CC52), ISNUMBER($BL52)), (Futs!$CC52 + $BL52)*6.35, ""), "")</f>
        <v/>
      </c>
      <c r="BR52" s="46" t="str">
        <f ca="1">IFERROR(IF(AND(ISNUMBER(Futs!$CD52), ISNUMBER($BN52)), (Futs!$CD52 + $BN52)*6.35, ""), "")</f>
        <v/>
      </c>
      <c r="BS52" s="47" t="str">
        <f t="shared" ca="1" si="152"/>
        <v/>
      </c>
      <c r="BT52" s="114" t="str">
        <f t="shared" ca="1" si="153"/>
        <v/>
      </c>
      <c r="BU52" s="49" t="str">
        <f t="shared" ca="1" si="116"/>
        <v/>
      </c>
      <c r="BV52" s="46" t="str">
        <f t="shared" ca="1" si="117"/>
        <v/>
      </c>
      <c r="BW52" s="47" t="str">
        <f t="shared" ca="1" si="154"/>
        <v/>
      </c>
      <c r="BX52" s="111" t="str">
        <f t="shared" ca="1" si="155"/>
        <v/>
      </c>
      <c r="BY52" s="397"/>
      <c r="BZ52" s="372" t="str">
        <f ca="1">IFERROR(INDEX(ICE[], MATCH("fo05singbrx" &amp; TEXT(Hvy!$A52, "mmmyy"), ICE[LongCode], 0), MATCH("Text", ICE[#Headers], 0)), "")</f>
        <v/>
      </c>
      <c r="CA52" s="46" t="str">
        <f t="shared" ca="1" si="118"/>
        <v/>
      </c>
      <c r="CB52" s="47" t="str">
        <f t="shared" si="156"/>
        <v/>
      </c>
      <c r="CC52" s="114" t="str">
        <f t="shared" ca="1" si="157"/>
        <v/>
      </c>
      <c r="CD52" s="141" t="str">
        <f ca="1">IFERROR(IF(AND(ISNUMBER(Futs!$CC52), ISNUMBER($BY52)), (Futs!$CC52 + $BY52)*6.35, ""), "")</f>
        <v/>
      </c>
      <c r="CE52" s="46" t="str">
        <f ca="1">IFERROR(IF(AND(ISNUMBER(Futs!$CD52), ISNUMBER($CA52)), (Futs!$CD52 + $CA52)*6.35, ""), "")</f>
        <v/>
      </c>
      <c r="CF52" s="47" t="str">
        <f t="shared" ca="1" si="158"/>
        <v/>
      </c>
      <c r="CG52" s="114" t="str">
        <f t="shared" ca="1" si="159"/>
        <v/>
      </c>
      <c r="CH52" s="141" t="str">
        <f t="shared" ca="1" si="119"/>
        <v/>
      </c>
      <c r="CI52" s="46" t="str">
        <f t="shared" ca="1" si="120"/>
        <v/>
      </c>
      <c r="CJ52" s="47" t="str">
        <f t="shared" ca="1" si="160"/>
        <v/>
      </c>
      <c r="CK52" s="114" t="str">
        <f t="shared" ca="1" si="161"/>
        <v/>
      </c>
      <c r="CL52" s="49" t="str">
        <f t="shared" ca="1" si="128"/>
        <v/>
      </c>
      <c r="CM52" s="46" t="str">
        <f t="shared" ca="1" si="129"/>
        <v/>
      </c>
      <c r="CN52" s="47" t="str">
        <f t="shared" ca="1" si="162"/>
        <v/>
      </c>
      <c r="CO52" s="111" t="str">
        <f t="shared" ca="1" si="163"/>
        <v/>
      </c>
    </row>
    <row r="53" spans="1:93" x14ac:dyDescent="0.25">
      <c r="A53" s="58">
        <f t="shared" ca="1" si="130"/>
        <v>47300</v>
      </c>
      <c r="B53" s="6">
        <f t="shared" ca="1" si="105"/>
        <v>2029</v>
      </c>
      <c r="C53" s="6" t="str">
        <f t="shared" ca="1" si="121"/>
        <v>Q329</v>
      </c>
      <c r="D53" s="28" t="e">
        <f ca="1">INDEX(ICE[], MATCH(D$18 &amp; TEXT(Hvy!$A53, "mmmyy"), ICE[LongCode], 0), MATCH("Settle", ICE[#Headers], 0))</f>
        <v>#N/A</v>
      </c>
      <c r="E53" s="28" t="e">
        <f ca="1">INDEX(ICE[], MATCH(E$18 &amp; TEXT(Hvy!$A53, "mmmyy"), ICE[LongCode], 0), MATCH("Settle", ICE[#Headers], 0))</f>
        <v>#N/A</v>
      </c>
      <c r="F53" s="28" t="e">
        <f ca="1">INDEX(ICE[], MATCH(F$18 &amp; TEXT(Hvy!$A53, "mmmyy"), ICE[LongCode], 0), MATCH("Settle", ICE[#Headers], 0))</f>
        <v>#N/A</v>
      </c>
      <c r="G53" s="28" t="e">
        <f ca="1">INDEX(ICE[], MATCH(G$18 &amp; TEXT(Hvy!$A53, "mmmyy"), ICE[LongCode], 0), MATCH("Settle", ICE[#Headers], 0))</f>
        <v>#N/A</v>
      </c>
      <c r="H53" s="28" t="e">
        <f ca="1">INDEX(ICE[], MATCH(H$18 &amp; TEXT(Hvy!$A53, "mmmyy"), ICE[LongCode], 0), MATCH("Settle", ICE[#Headers], 0))</f>
        <v>#N/A</v>
      </c>
      <c r="I53" s="28" t="e">
        <f ca="1">INDEX(ICE[], MATCH(I$18 &amp; TEXT(Hvy!$A53, "mmmyy"), ICE[LongCode], 0), MATCH("Settle", ICE[#Headers], 0))</f>
        <v>#N/A</v>
      </c>
      <c r="J53" s="397"/>
      <c r="K53" s="372" t="str">
        <f ca="1">IFERROR(INDEX(ICE[], MATCH("fo35brx" &amp; TEXT(Hvy!$A53, "mmmyy"), ICE[LongCode], 0), MATCH("Text", ICE[#Headers], 0)), "")</f>
        <v/>
      </c>
      <c r="L53" s="46" t="str">
        <f t="shared" ca="1" si="122"/>
        <v/>
      </c>
      <c r="M53" s="47" t="str">
        <f t="shared" si="123"/>
        <v/>
      </c>
      <c r="N53" s="46" t="str">
        <f t="shared" ca="1" si="131"/>
        <v/>
      </c>
      <c r="O53" s="141" t="str">
        <f ca="1">IFERROR(IF(AND(ISNUMBER(Futs!$CC53), ISNUMBER($J53)), (Futs!$CC53 + $J53)*6.35, ""), "")</f>
        <v/>
      </c>
      <c r="P53" s="67" t="str">
        <f ca="1">IFERROR(IF(AND(ISNUMBER(Futs!$CD53), ISNUMBER($L53)), (Futs!$CD53 + $L53)*6.35, ""), "")</f>
        <v/>
      </c>
      <c r="Q53" s="47" t="str">
        <f t="shared" ca="1" si="132"/>
        <v/>
      </c>
      <c r="R53" s="46" t="str">
        <f t="shared" ca="1" si="133"/>
        <v/>
      </c>
      <c r="S53" s="397"/>
      <c r="T53" s="372" t="str">
        <f ca="1">IFERROR(INDEX(ICE[], MATCH("hilo" &amp; TEXT(Hvy!$A53, "mmmyy"), ICE[LongCode], 0), MATCH("Text", ICE[#Headers], 0)), "")</f>
        <v/>
      </c>
      <c r="U53" s="46" t="str">
        <f t="shared" ca="1" si="106"/>
        <v/>
      </c>
      <c r="V53" s="47" t="str">
        <f t="shared" si="134"/>
        <v/>
      </c>
      <c r="W53" s="114" t="str">
        <f t="shared" ca="1" si="135"/>
        <v/>
      </c>
      <c r="X53" s="49" t="str">
        <f t="shared" ca="1" si="107"/>
        <v/>
      </c>
      <c r="Y53" s="46" t="str">
        <f t="shared" ca="1" si="108"/>
        <v/>
      </c>
      <c r="Z53" s="47" t="str">
        <f t="shared" ca="1" si="136"/>
        <v/>
      </c>
      <c r="AA53" s="111" t="str">
        <f t="shared" ca="1" si="137"/>
        <v/>
      </c>
      <c r="AB53" s="397"/>
      <c r="AC53" s="372" t="str">
        <f ca="1">IFERROR(INDEX(ICE[], MATCH("hsfoew" &amp; TEXT(Hvy!$A53, "mmmyy"), ICE[LongCode], 0), MATCH("Text", ICE[#Headers], 0)), "")</f>
        <v/>
      </c>
      <c r="AD53" s="46" t="str">
        <f t="shared" ca="1" si="109"/>
        <v/>
      </c>
      <c r="AE53" s="47" t="str">
        <f t="shared" si="124"/>
        <v/>
      </c>
      <c r="AF53" s="114" t="str">
        <f t="shared" ca="1" si="125"/>
        <v/>
      </c>
      <c r="AG53" s="141" t="str">
        <f t="shared" ca="1" si="110"/>
        <v/>
      </c>
      <c r="AH53" s="46" t="str">
        <f t="shared" ca="1" si="111"/>
        <v/>
      </c>
      <c r="AI53" s="47" t="str">
        <f t="shared" ca="1" si="126"/>
        <v/>
      </c>
      <c r="AJ53" s="364" t="str">
        <f ca="1">IFERROR(INDEX(ICE[], MATCH("brfo380" &amp; TEXT(Crd!$A53, "mmmyy"), ICE[LongCode], 0), MATCH("Text", ICE[#Headers], 0)), "")</f>
        <v/>
      </c>
      <c r="AK53" s="114" t="str">
        <f t="shared" ca="1" si="127"/>
        <v/>
      </c>
      <c r="AL53" s="49" t="str">
        <f ca="1">IFERROR(IF(AND(ISNUMBER(Futs!$CC53), ISNUMBER($AG53)), $AG53/6.35 - Futs!$CC53, ""), "")</f>
        <v/>
      </c>
      <c r="AM53" s="372" t="str">
        <f ca="1">IFERROR(INDEX(ICE[], MATCH("fo380brx" &amp; TEXT(Hvy!$A53, "mmmyy"), ICE[LongCode], 0), MATCH("Text", ICE[#Headers], 0)), "")</f>
        <v/>
      </c>
      <c r="AN53" s="46" t="str">
        <f ca="1">IFERROR(IF(AND(ISNUMBER(Futs!$CD53), ISNUMBER($AH53)), $AH53/6.35 - Futs!$CD53, ""), "")</f>
        <v/>
      </c>
      <c r="AO53" s="47" t="str">
        <f t="shared" ca="1" si="138"/>
        <v/>
      </c>
      <c r="AP53" s="114" t="str">
        <f t="shared" ca="1" si="139"/>
        <v/>
      </c>
      <c r="AQ53" s="49" t="str">
        <f ca="1">IFERROR(IF(AND(ISNUMBER(Crd!$X53), ISNUMBER($AG53)), $AG53/6.35 - Crd!$X53, ""), "")</f>
        <v/>
      </c>
      <c r="AR53" s="46" t="str">
        <f ca="1">IFERROR(IF(AND(ISNUMBER(Crd!$Y53), ISNUMBER($AH53)), $AH53/6.35 - Crd!$Y53, ""), "")</f>
        <v/>
      </c>
      <c r="AS53" s="47" t="str">
        <f t="shared" ca="1" si="140"/>
        <v/>
      </c>
      <c r="AT53" s="111" t="str">
        <f t="shared" ca="1" si="141"/>
        <v/>
      </c>
      <c r="AU53" s="397"/>
      <c r="AV53" s="372" t="str">
        <f ca="1">IFERROR(INDEX(ICE[], MATCH("visco" &amp; TEXT(Hvy!$A53, "mmmyy"), ICE[LongCode], 0), MATCH("Text", ICE[#Headers], 0)), "")</f>
        <v/>
      </c>
      <c r="AW53" s="46" t="str">
        <f t="shared" ca="1" si="112"/>
        <v/>
      </c>
      <c r="AX53" s="47" t="str">
        <f t="shared" si="142"/>
        <v/>
      </c>
      <c r="AY53" s="46" t="str">
        <f t="shared" ca="1" si="143"/>
        <v/>
      </c>
      <c r="AZ53" s="141" t="str">
        <f t="shared" ca="1" si="113"/>
        <v/>
      </c>
      <c r="BA53" s="46" t="str">
        <f t="shared" ca="1" si="114"/>
        <v/>
      </c>
      <c r="BB53" s="47" t="str">
        <f t="shared" ca="1" si="144"/>
        <v/>
      </c>
      <c r="BC53" s="114" t="str">
        <f t="shared" ca="1" si="145"/>
        <v/>
      </c>
      <c r="BD53" s="49" t="str">
        <f ca="1">IFERROR(IF(AND(ISNUMBER(Futs!$CC53), ISNUMBER($AZ53)), $AZ53/6.35 - Futs!$CC53, ""), "")</f>
        <v/>
      </c>
      <c r="BE53" s="46" t="str">
        <f ca="1">IFERROR(IF(AND(ISNUMBER(Futs!$CD53), ISNUMBER($BA53)), $BA53/6.35 - Futs!$CD53, ""), "")</f>
        <v/>
      </c>
      <c r="BF53" s="47" t="str">
        <f t="shared" ca="1" si="146"/>
        <v/>
      </c>
      <c r="BG53" s="114" t="str">
        <f t="shared" ca="1" si="147"/>
        <v/>
      </c>
      <c r="BH53" s="49" t="str">
        <f ca="1">IFERROR(IF(AND(ISNUMBER(Crd!$X53), ISNUMBER($AZ53)), $AZ53/6.35 - Crd!$X53, ""), "")</f>
        <v/>
      </c>
      <c r="BI53" s="46" t="str">
        <f ca="1">IFERROR(IF(AND(ISNUMBER(Crd!$Y53), ISNUMBER($BA53)), $BA53/6.35 - Crd!$Y53, ""), "")</f>
        <v/>
      </c>
      <c r="BJ53" s="47" t="str">
        <f t="shared" ca="1" si="148"/>
        <v/>
      </c>
      <c r="BK53" s="111" t="str">
        <f t="shared" ca="1" si="149"/>
        <v/>
      </c>
      <c r="BL53" s="397"/>
      <c r="BM53" s="372" t="str">
        <f ca="1">IFERROR(INDEX(ICE[], MATCH("fo05bfrbrx" &amp; TEXT(Hvy!$A53, "mmmyy"), ICE[LongCode], 0), MATCH("Text", ICE[#Headers], 0)), "")</f>
        <v/>
      </c>
      <c r="BN53" s="46" t="str">
        <f t="shared" ca="1" si="115"/>
        <v/>
      </c>
      <c r="BO53" s="47" t="str">
        <f t="shared" si="150"/>
        <v/>
      </c>
      <c r="BP53" s="46" t="str">
        <f t="shared" ca="1" si="151"/>
        <v/>
      </c>
      <c r="BQ53" s="141" t="str">
        <f ca="1">IFERROR(IF(AND(ISNUMBER(Futs!$CC53), ISNUMBER($BL53)), (Futs!$CC53 + $BL53)*6.35, ""), "")</f>
        <v/>
      </c>
      <c r="BR53" s="46" t="str">
        <f ca="1">IFERROR(IF(AND(ISNUMBER(Futs!$CD53), ISNUMBER($BN53)), (Futs!$CD53 + $BN53)*6.35, ""), "")</f>
        <v/>
      </c>
      <c r="BS53" s="47" t="str">
        <f t="shared" ca="1" si="152"/>
        <v/>
      </c>
      <c r="BT53" s="114" t="str">
        <f t="shared" ca="1" si="153"/>
        <v/>
      </c>
      <c r="BU53" s="49" t="str">
        <f t="shared" ca="1" si="116"/>
        <v/>
      </c>
      <c r="BV53" s="46" t="str">
        <f t="shared" ca="1" si="117"/>
        <v/>
      </c>
      <c r="BW53" s="47" t="str">
        <f t="shared" ca="1" si="154"/>
        <v/>
      </c>
      <c r="BX53" s="111" t="str">
        <f t="shared" ca="1" si="155"/>
        <v/>
      </c>
      <c r="BY53" s="397"/>
      <c r="BZ53" s="372" t="str">
        <f ca="1">IFERROR(INDEX(ICE[], MATCH("fo05singbrx" &amp; TEXT(Hvy!$A53, "mmmyy"), ICE[LongCode], 0), MATCH("Text", ICE[#Headers], 0)), "")</f>
        <v/>
      </c>
      <c r="CA53" s="46" t="str">
        <f t="shared" ca="1" si="118"/>
        <v/>
      </c>
      <c r="CB53" s="47" t="str">
        <f t="shared" si="156"/>
        <v/>
      </c>
      <c r="CC53" s="114" t="str">
        <f t="shared" ca="1" si="157"/>
        <v/>
      </c>
      <c r="CD53" s="141" t="str">
        <f ca="1">IFERROR(IF(AND(ISNUMBER(Futs!$CC53), ISNUMBER($BY53)), (Futs!$CC53 + $BY53)*6.35, ""), "")</f>
        <v/>
      </c>
      <c r="CE53" s="46" t="str">
        <f ca="1">IFERROR(IF(AND(ISNUMBER(Futs!$CD53), ISNUMBER($CA53)), (Futs!$CD53 + $CA53)*6.35, ""), "")</f>
        <v/>
      </c>
      <c r="CF53" s="47" t="str">
        <f t="shared" ca="1" si="158"/>
        <v/>
      </c>
      <c r="CG53" s="114" t="str">
        <f t="shared" ca="1" si="159"/>
        <v/>
      </c>
      <c r="CH53" s="141" t="str">
        <f t="shared" ca="1" si="119"/>
        <v/>
      </c>
      <c r="CI53" s="46" t="str">
        <f t="shared" ca="1" si="120"/>
        <v/>
      </c>
      <c r="CJ53" s="47" t="str">
        <f t="shared" ca="1" si="160"/>
        <v/>
      </c>
      <c r="CK53" s="114" t="str">
        <f t="shared" ca="1" si="161"/>
        <v/>
      </c>
      <c r="CL53" s="49" t="str">
        <f t="shared" ca="1" si="128"/>
        <v/>
      </c>
      <c r="CM53" s="46" t="str">
        <f t="shared" ca="1" si="129"/>
        <v/>
      </c>
      <c r="CN53" s="47" t="str">
        <f t="shared" ca="1" si="162"/>
        <v/>
      </c>
      <c r="CO53" s="111" t="str">
        <f t="shared" ca="1" si="163"/>
        <v/>
      </c>
    </row>
    <row r="54" spans="1:93" x14ac:dyDescent="0.25">
      <c r="A54" s="58">
        <f t="shared" ca="1" si="130"/>
        <v>47331</v>
      </c>
      <c r="B54" s="6">
        <f t="shared" ca="1" si="105"/>
        <v>2029</v>
      </c>
      <c r="C54" s="6" t="str">
        <f t="shared" ca="1" si="121"/>
        <v>Q329</v>
      </c>
      <c r="D54" s="28" t="e">
        <f ca="1">INDEX(ICE[], MATCH(D$18 &amp; TEXT(Hvy!$A54, "mmmyy"), ICE[LongCode], 0), MATCH("Settle", ICE[#Headers], 0))</f>
        <v>#N/A</v>
      </c>
      <c r="E54" s="28" t="e">
        <f ca="1">INDEX(ICE[], MATCH(E$18 &amp; TEXT(Hvy!$A54, "mmmyy"), ICE[LongCode], 0), MATCH("Settle", ICE[#Headers], 0))</f>
        <v>#N/A</v>
      </c>
      <c r="F54" s="28" t="e">
        <f ca="1">INDEX(ICE[], MATCH(F$18 &amp; TEXT(Hvy!$A54, "mmmyy"), ICE[LongCode], 0), MATCH("Settle", ICE[#Headers], 0))</f>
        <v>#N/A</v>
      </c>
      <c r="G54" s="28" t="e">
        <f ca="1">INDEX(ICE[], MATCH(G$18 &amp; TEXT(Hvy!$A54, "mmmyy"), ICE[LongCode], 0), MATCH("Settle", ICE[#Headers], 0))</f>
        <v>#N/A</v>
      </c>
      <c r="H54" s="28" t="e">
        <f ca="1">INDEX(ICE[], MATCH(H$18 &amp; TEXT(Hvy!$A54, "mmmyy"), ICE[LongCode], 0), MATCH("Settle", ICE[#Headers], 0))</f>
        <v>#N/A</v>
      </c>
      <c r="I54" s="28" t="e">
        <f ca="1">INDEX(ICE[], MATCH(I$18 &amp; TEXT(Hvy!$A54, "mmmyy"), ICE[LongCode], 0), MATCH("Settle", ICE[#Headers], 0))</f>
        <v>#N/A</v>
      </c>
      <c r="J54" s="397"/>
      <c r="K54" s="372" t="str">
        <f ca="1">IFERROR(INDEX(ICE[], MATCH("fo35brx" &amp; TEXT(Hvy!$A54, "mmmyy"), ICE[LongCode], 0), MATCH("Text", ICE[#Headers], 0)), "")</f>
        <v/>
      </c>
      <c r="L54" s="46" t="str">
        <f t="shared" ca="1" si="122"/>
        <v/>
      </c>
      <c r="M54" s="47" t="str">
        <f t="shared" si="123"/>
        <v/>
      </c>
      <c r="N54" s="46" t="str">
        <f t="shared" ca="1" si="131"/>
        <v/>
      </c>
      <c r="O54" s="141" t="str">
        <f ca="1">IFERROR(IF(AND(ISNUMBER(Futs!$CC54), ISNUMBER($J54)), (Futs!$CC54 + $J54)*6.35, ""), "")</f>
        <v/>
      </c>
      <c r="P54" s="67" t="str">
        <f ca="1">IFERROR(IF(AND(ISNUMBER(Futs!$CD54), ISNUMBER($L54)), (Futs!$CD54 + $L54)*6.35, ""), "")</f>
        <v/>
      </c>
      <c r="Q54" s="47" t="str">
        <f t="shared" ca="1" si="132"/>
        <v/>
      </c>
      <c r="R54" s="46" t="str">
        <f t="shared" ca="1" si="133"/>
        <v/>
      </c>
      <c r="S54" s="397"/>
      <c r="T54" s="372" t="str">
        <f ca="1">IFERROR(INDEX(ICE[], MATCH("hilo" &amp; TEXT(Hvy!$A54, "mmmyy"), ICE[LongCode], 0), MATCH("Text", ICE[#Headers], 0)), "")</f>
        <v/>
      </c>
      <c r="U54" s="46" t="str">
        <f t="shared" ca="1" si="106"/>
        <v/>
      </c>
      <c r="V54" s="47" t="str">
        <f t="shared" si="134"/>
        <v/>
      </c>
      <c r="W54" s="114" t="str">
        <f t="shared" ca="1" si="135"/>
        <v/>
      </c>
      <c r="X54" s="49" t="str">
        <f t="shared" ca="1" si="107"/>
        <v/>
      </c>
      <c r="Y54" s="46" t="str">
        <f t="shared" ca="1" si="108"/>
        <v/>
      </c>
      <c r="Z54" s="47" t="str">
        <f t="shared" ca="1" si="136"/>
        <v/>
      </c>
      <c r="AA54" s="111" t="str">
        <f t="shared" ca="1" si="137"/>
        <v/>
      </c>
      <c r="AB54" s="397"/>
      <c r="AC54" s="372" t="str">
        <f ca="1">IFERROR(INDEX(ICE[], MATCH("hsfoew" &amp; TEXT(Hvy!$A54, "mmmyy"), ICE[LongCode], 0), MATCH("Text", ICE[#Headers], 0)), "")</f>
        <v/>
      </c>
      <c r="AD54" s="46" t="str">
        <f t="shared" ca="1" si="109"/>
        <v/>
      </c>
      <c r="AE54" s="47" t="str">
        <f t="shared" si="124"/>
        <v/>
      </c>
      <c r="AF54" s="114" t="str">
        <f t="shared" ca="1" si="125"/>
        <v/>
      </c>
      <c r="AG54" s="141" t="str">
        <f t="shared" ca="1" si="110"/>
        <v/>
      </c>
      <c r="AH54" s="46" t="str">
        <f t="shared" ca="1" si="111"/>
        <v/>
      </c>
      <c r="AI54" s="47" t="str">
        <f t="shared" ca="1" si="126"/>
        <v/>
      </c>
      <c r="AJ54" s="364" t="str">
        <f ca="1">IFERROR(INDEX(ICE[], MATCH("brfo380" &amp; TEXT(Crd!$A54, "mmmyy"), ICE[LongCode], 0), MATCH("Text", ICE[#Headers], 0)), "")</f>
        <v/>
      </c>
      <c r="AK54" s="114" t="str">
        <f t="shared" ca="1" si="127"/>
        <v/>
      </c>
      <c r="AL54" s="49" t="str">
        <f ca="1">IFERROR(IF(AND(ISNUMBER(Futs!$CC54), ISNUMBER($AG54)), $AG54/6.35 - Futs!$CC54, ""), "")</f>
        <v/>
      </c>
      <c r="AM54" s="372" t="str">
        <f ca="1">IFERROR(INDEX(ICE[], MATCH("fo380brx" &amp; TEXT(Hvy!$A54, "mmmyy"), ICE[LongCode], 0), MATCH("Text", ICE[#Headers], 0)), "")</f>
        <v/>
      </c>
      <c r="AN54" s="46" t="str">
        <f ca="1">IFERROR(IF(AND(ISNUMBER(Futs!$CD54), ISNUMBER($AH54)), $AH54/6.35 - Futs!$CD54, ""), "")</f>
        <v/>
      </c>
      <c r="AO54" s="47" t="str">
        <f t="shared" ca="1" si="138"/>
        <v/>
      </c>
      <c r="AP54" s="114" t="str">
        <f t="shared" ca="1" si="139"/>
        <v/>
      </c>
      <c r="AQ54" s="49" t="str">
        <f ca="1">IFERROR(IF(AND(ISNUMBER(Crd!$X54), ISNUMBER($AG54)), $AG54/6.35 - Crd!$X54, ""), "")</f>
        <v/>
      </c>
      <c r="AR54" s="46" t="str">
        <f ca="1">IFERROR(IF(AND(ISNUMBER(Crd!$Y54), ISNUMBER($AH54)), $AH54/6.35 - Crd!$Y54, ""), "")</f>
        <v/>
      </c>
      <c r="AS54" s="47" t="str">
        <f t="shared" ca="1" si="140"/>
        <v/>
      </c>
      <c r="AT54" s="111" t="str">
        <f t="shared" ca="1" si="141"/>
        <v/>
      </c>
      <c r="AU54" s="397"/>
      <c r="AV54" s="372" t="str">
        <f ca="1">IFERROR(INDEX(ICE[], MATCH("visco" &amp; TEXT(Hvy!$A54, "mmmyy"), ICE[LongCode], 0), MATCH("Text", ICE[#Headers], 0)), "")</f>
        <v/>
      </c>
      <c r="AW54" s="46" t="str">
        <f t="shared" ca="1" si="112"/>
        <v/>
      </c>
      <c r="AX54" s="47" t="str">
        <f t="shared" si="142"/>
        <v/>
      </c>
      <c r="AY54" s="46" t="str">
        <f t="shared" ca="1" si="143"/>
        <v/>
      </c>
      <c r="AZ54" s="141" t="str">
        <f t="shared" ca="1" si="113"/>
        <v/>
      </c>
      <c r="BA54" s="46" t="str">
        <f t="shared" ca="1" si="114"/>
        <v/>
      </c>
      <c r="BB54" s="47" t="str">
        <f t="shared" ca="1" si="144"/>
        <v/>
      </c>
      <c r="BC54" s="114" t="str">
        <f t="shared" ca="1" si="145"/>
        <v/>
      </c>
      <c r="BD54" s="49" t="str">
        <f ca="1">IFERROR(IF(AND(ISNUMBER(Futs!$CC54), ISNUMBER($AZ54)), $AZ54/6.35 - Futs!$CC54, ""), "")</f>
        <v/>
      </c>
      <c r="BE54" s="46" t="str">
        <f ca="1">IFERROR(IF(AND(ISNUMBER(Futs!$CD54), ISNUMBER($BA54)), $BA54/6.35 - Futs!$CD54, ""), "")</f>
        <v/>
      </c>
      <c r="BF54" s="47" t="str">
        <f t="shared" ca="1" si="146"/>
        <v/>
      </c>
      <c r="BG54" s="114" t="str">
        <f t="shared" ca="1" si="147"/>
        <v/>
      </c>
      <c r="BH54" s="49" t="str">
        <f ca="1">IFERROR(IF(AND(ISNUMBER(Crd!$X54), ISNUMBER($AZ54)), $AZ54/6.35 - Crd!$X54, ""), "")</f>
        <v/>
      </c>
      <c r="BI54" s="46" t="str">
        <f ca="1">IFERROR(IF(AND(ISNUMBER(Crd!$Y54), ISNUMBER($BA54)), $BA54/6.35 - Crd!$Y54, ""), "")</f>
        <v/>
      </c>
      <c r="BJ54" s="47" t="str">
        <f t="shared" ca="1" si="148"/>
        <v/>
      </c>
      <c r="BK54" s="111" t="str">
        <f t="shared" ca="1" si="149"/>
        <v/>
      </c>
      <c r="BL54" s="397"/>
      <c r="BM54" s="372" t="str">
        <f ca="1">IFERROR(INDEX(ICE[], MATCH("fo05bfrbrx" &amp; TEXT(Hvy!$A54, "mmmyy"), ICE[LongCode], 0), MATCH("Text", ICE[#Headers], 0)), "")</f>
        <v/>
      </c>
      <c r="BN54" s="46" t="str">
        <f t="shared" ca="1" si="115"/>
        <v/>
      </c>
      <c r="BO54" s="47" t="str">
        <f t="shared" si="150"/>
        <v/>
      </c>
      <c r="BP54" s="46" t="str">
        <f t="shared" ca="1" si="151"/>
        <v/>
      </c>
      <c r="BQ54" s="141" t="str">
        <f ca="1">IFERROR(IF(AND(ISNUMBER(Futs!$CC54), ISNUMBER($BL54)), (Futs!$CC54 + $BL54)*6.35, ""), "")</f>
        <v/>
      </c>
      <c r="BR54" s="46" t="str">
        <f ca="1">IFERROR(IF(AND(ISNUMBER(Futs!$CD54), ISNUMBER($BN54)), (Futs!$CD54 + $BN54)*6.35, ""), "")</f>
        <v/>
      </c>
      <c r="BS54" s="47" t="str">
        <f t="shared" ca="1" si="152"/>
        <v/>
      </c>
      <c r="BT54" s="114" t="str">
        <f t="shared" ca="1" si="153"/>
        <v/>
      </c>
      <c r="BU54" s="49" t="str">
        <f t="shared" ca="1" si="116"/>
        <v/>
      </c>
      <c r="BV54" s="46" t="str">
        <f t="shared" ca="1" si="117"/>
        <v/>
      </c>
      <c r="BW54" s="47" t="str">
        <f t="shared" ca="1" si="154"/>
        <v/>
      </c>
      <c r="BX54" s="111" t="str">
        <f t="shared" ca="1" si="155"/>
        <v/>
      </c>
      <c r="BY54" s="397"/>
      <c r="BZ54" s="372" t="str">
        <f ca="1">IFERROR(INDEX(ICE[], MATCH("fo05singbrx" &amp; TEXT(Hvy!$A54, "mmmyy"), ICE[LongCode], 0), MATCH("Text", ICE[#Headers], 0)), "")</f>
        <v/>
      </c>
      <c r="CA54" s="46" t="str">
        <f t="shared" ca="1" si="118"/>
        <v/>
      </c>
      <c r="CB54" s="47" t="str">
        <f t="shared" si="156"/>
        <v/>
      </c>
      <c r="CC54" s="114" t="str">
        <f t="shared" ca="1" si="157"/>
        <v/>
      </c>
      <c r="CD54" s="141" t="str">
        <f ca="1">IFERROR(IF(AND(ISNUMBER(Futs!$CC54), ISNUMBER($BY54)), (Futs!$CC54 + $BY54)*6.35, ""), "")</f>
        <v/>
      </c>
      <c r="CE54" s="46" t="str">
        <f ca="1">IFERROR(IF(AND(ISNUMBER(Futs!$CD54), ISNUMBER($CA54)), (Futs!$CD54 + $CA54)*6.35, ""), "")</f>
        <v/>
      </c>
      <c r="CF54" s="47" t="str">
        <f t="shared" ca="1" si="158"/>
        <v/>
      </c>
      <c r="CG54" s="114" t="str">
        <f t="shared" ca="1" si="159"/>
        <v/>
      </c>
      <c r="CH54" s="141" t="str">
        <f t="shared" ca="1" si="119"/>
        <v/>
      </c>
      <c r="CI54" s="46" t="str">
        <f t="shared" ca="1" si="120"/>
        <v/>
      </c>
      <c r="CJ54" s="47" t="str">
        <f t="shared" ca="1" si="160"/>
        <v/>
      </c>
      <c r="CK54" s="114" t="str">
        <f t="shared" ca="1" si="161"/>
        <v/>
      </c>
      <c r="CL54" s="49" t="str">
        <f t="shared" ca="1" si="128"/>
        <v/>
      </c>
      <c r="CM54" s="46" t="str">
        <f t="shared" ca="1" si="129"/>
        <v/>
      </c>
      <c r="CN54" s="47" t="str">
        <f t="shared" ca="1" si="162"/>
        <v/>
      </c>
      <c r="CO54" s="111" t="str">
        <f t="shared" ca="1" si="163"/>
        <v/>
      </c>
    </row>
    <row r="55" spans="1:93" x14ac:dyDescent="0.25">
      <c r="A55" s="58">
        <f t="shared" ca="1" si="130"/>
        <v>47362</v>
      </c>
      <c r="B55" s="6">
        <f t="shared" ca="1" si="105"/>
        <v>2029</v>
      </c>
      <c r="C55" s="6" t="str">
        <f t="shared" ca="1" si="121"/>
        <v>Q329</v>
      </c>
      <c r="D55" s="28" t="e">
        <f ca="1">INDEX(ICE[], MATCH(D$18 &amp; TEXT(Hvy!$A55, "mmmyy"), ICE[LongCode], 0), MATCH("Settle", ICE[#Headers], 0))</f>
        <v>#N/A</v>
      </c>
      <c r="E55" s="28" t="e">
        <f ca="1">INDEX(ICE[], MATCH(E$18 &amp; TEXT(Hvy!$A55, "mmmyy"), ICE[LongCode], 0), MATCH("Settle", ICE[#Headers], 0))</f>
        <v>#N/A</v>
      </c>
      <c r="F55" s="28" t="e">
        <f ca="1">INDEX(ICE[], MATCH(F$18 &amp; TEXT(Hvy!$A55, "mmmyy"), ICE[LongCode], 0), MATCH("Settle", ICE[#Headers], 0))</f>
        <v>#N/A</v>
      </c>
      <c r="G55" s="28" t="e">
        <f ca="1">INDEX(ICE[], MATCH(G$18 &amp; TEXT(Hvy!$A55, "mmmyy"), ICE[LongCode], 0), MATCH("Settle", ICE[#Headers], 0))</f>
        <v>#N/A</v>
      </c>
      <c r="H55" s="28" t="e">
        <f ca="1">INDEX(ICE[], MATCH(H$18 &amp; TEXT(Hvy!$A55, "mmmyy"), ICE[LongCode], 0), MATCH("Settle", ICE[#Headers], 0))</f>
        <v>#N/A</v>
      </c>
      <c r="I55" s="28" t="e">
        <f ca="1">INDEX(ICE[], MATCH(I$18 &amp; TEXT(Hvy!$A55, "mmmyy"), ICE[LongCode], 0), MATCH("Settle", ICE[#Headers], 0))</f>
        <v>#N/A</v>
      </c>
      <c r="J55" s="397"/>
      <c r="K55" s="372" t="str">
        <f ca="1">IFERROR(INDEX(ICE[], MATCH("fo35brx" &amp; TEXT(Hvy!$A55, "mmmyy"), ICE[LongCode], 0), MATCH("Text", ICE[#Headers], 0)), "")</f>
        <v/>
      </c>
      <c r="L55" s="46" t="str">
        <f t="shared" ca="1" si="122"/>
        <v/>
      </c>
      <c r="M55" s="47" t="str">
        <f t="shared" si="123"/>
        <v/>
      </c>
      <c r="N55" s="46" t="str">
        <f t="shared" ca="1" si="131"/>
        <v/>
      </c>
      <c r="O55" s="141" t="str">
        <f ca="1">IFERROR(IF(AND(ISNUMBER(Futs!$CC55), ISNUMBER($J55)), (Futs!$CC55 + $J55)*6.35, ""), "")</f>
        <v/>
      </c>
      <c r="P55" s="67" t="str">
        <f ca="1">IFERROR(IF(AND(ISNUMBER(Futs!$CD55), ISNUMBER($L55)), (Futs!$CD55 + $L55)*6.35, ""), "")</f>
        <v/>
      </c>
      <c r="Q55" s="47" t="str">
        <f t="shared" ca="1" si="132"/>
        <v/>
      </c>
      <c r="R55" s="46" t="str">
        <f t="shared" ca="1" si="133"/>
        <v/>
      </c>
      <c r="S55" s="397"/>
      <c r="T55" s="372" t="str">
        <f ca="1">IFERROR(INDEX(ICE[], MATCH("hilo" &amp; TEXT(Hvy!$A55, "mmmyy"), ICE[LongCode], 0), MATCH("Text", ICE[#Headers], 0)), "")</f>
        <v/>
      </c>
      <c r="U55" s="46" t="str">
        <f t="shared" ca="1" si="106"/>
        <v/>
      </c>
      <c r="V55" s="47" t="str">
        <f t="shared" si="134"/>
        <v/>
      </c>
      <c r="W55" s="114" t="str">
        <f t="shared" ca="1" si="135"/>
        <v/>
      </c>
      <c r="X55" s="49" t="str">
        <f t="shared" ca="1" si="107"/>
        <v/>
      </c>
      <c r="Y55" s="46" t="str">
        <f t="shared" ca="1" si="108"/>
        <v/>
      </c>
      <c r="Z55" s="47" t="str">
        <f t="shared" ca="1" si="136"/>
        <v/>
      </c>
      <c r="AA55" s="111" t="str">
        <f t="shared" ca="1" si="137"/>
        <v/>
      </c>
      <c r="AB55" s="397"/>
      <c r="AC55" s="372" t="str">
        <f ca="1">IFERROR(INDEX(ICE[], MATCH("hsfoew" &amp; TEXT(Hvy!$A55, "mmmyy"), ICE[LongCode], 0), MATCH("Text", ICE[#Headers], 0)), "")</f>
        <v/>
      </c>
      <c r="AD55" s="46" t="str">
        <f t="shared" ca="1" si="109"/>
        <v/>
      </c>
      <c r="AE55" s="47" t="str">
        <f t="shared" si="124"/>
        <v/>
      </c>
      <c r="AF55" s="114" t="str">
        <f t="shared" ca="1" si="125"/>
        <v/>
      </c>
      <c r="AG55" s="141" t="str">
        <f t="shared" ca="1" si="110"/>
        <v/>
      </c>
      <c r="AH55" s="46" t="str">
        <f t="shared" ca="1" si="111"/>
        <v/>
      </c>
      <c r="AI55" s="47" t="str">
        <f t="shared" ca="1" si="126"/>
        <v/>
      </c>
      <c r="AJ55" s="364" t="str">
        <f ca="1">IFERROR(INDEX(ICE[], MATCH("brfo380" &amp; TEXT(Crd!$A55, "mmmyy"), ICE[LongCode], 0), MATCH("Text", ICE[#Headers], 0)), "")</f>
        <v/>
      </c>
      <c r="AK55" s="114" t="str">
        <f t="shared" ca="1" si="127"/>
        <v/>
      </c>
      <c r="AL55" s="49" t="str">
        <f ca="1">IFERROR(IF(AND(ISNUMBER(Futs!$CC55), ISNUMBER($AG55)), $AG55/6.35 - Futs!$CC55, ""), "")</f>
        <v/>
      </c>
      <c r="AM55" s="372" t="str">
        <f ca="1">IFERROR(INDEX(ICE[], MATCH("fo380brx" &amp; TEXT(Hvy!$A55, "mmmyy"), ICE[LongCode], 0), MATCH("Text", ICE[#Headers], 0)), "")</f>
        <v/>
      </c>
      <c r="AN55" s="46" t="str">
        <f ca="1">IFERROR(IF(AND(ISNUMBER(Futs!$CD55), ISNUMBER($AH55)), $AH55/6.35 - Futs!$CD55, ""), "")</f>
        <v/>
      </c>
      <c r="AO55" s="47" t="str">
        <f t="shared" ca="1" si="138"/>
        <v/>
      </c>
      <c r="AP55" s="114" t="str">
        <f t="shared" ca="1" si="139"/>
        <v/>
      </c>
      <c r="AQ55" s="49" t="str">
        <f ca="1">IFERROR(IF(AND(ISNUMBER(Crd!$X55), ISNUMBER($AG55)), $AG55/6.35 - Crd!$X55, ""), "")</f>
        <v/>
      </c>
      <c r="AR55" s="46" t="str">
        <f ca="1">IFERROR(IF(AND(ISNUMBER(Crd!$Y55), ISNUMBER($AH55)), $AH55/6.35 - Crd!$Y55, ""), "")</f>
        <v/>
      </c>
      <c r="AS55" s="47" t="str">
        <f t="shared" ca="1" si="140"/>
        <v/>
      </c>
      <c r="AT55" s="111" t="str">
        <f t="shared" ca="1" si="141"/>
        <v/>
      </c>
      <c r="AU55" s="397"/>
      <c r="AV55" s="372" t="str">
        <f ca="1">IFERROR(INDEX(ICE[], MATCH("visco" &amp; TEXT(Hvy!$A55, "mmmyy"), ICE[LongCode], 0), MATCH("Text", ICE[#Headers], 0)), "")</f>
        <v/>
      </c>
      <c r="AW55" s="46" t="str">
        <f t="shared" ca="1" si="112"/>
        <v/>
      </c>
      <c r="AX55" s="47" t="str">
        <f t="shared" si="142"/>
        <v/>
      </c>
      <c r="AY55" s="46" t="str">
        <f t="shared" ca="1" si="143"/>
        <v/>
      </c>
      <c r="AZ55" s="141" t="str">
        <f t="shared" ca="1" si="113"/>
        <v/>
      </c>
      <c r="BA55" s="46" t="str">
        <f t="shared" ca="1" si="114"/>
        <v/>
      </c>
      <c r="BB55" s="47" t="str">
        <f t="shared" ca="1" si="144"/>
        <v/>
      </c>
      <c r="BC55" s="114" t="str">
        <f t="shared" ca="1" si="145"/>
        <v/>
      </c>
      <c r="BD55" s="49" t="str">
        <f ca="1">IFERROR(IF(AND(ISNUMBER(Futs!$CC55), ISNUMBER($AZ55)), $AZ55/6.35 - Futs!$CC55, ""), "")</f>
        <v/>
      </c>
      <c r="BE55" s="46" t="str">
        <f ca="1">IFERROR(IF(AND(ISNUMBER(Futs!$CD55), ISNUMBER($BA55)), $BA55/6.35 - Futs!$CD55, ""), "")</f>
        <v/>
      </c>
      <c r="BF55" s="47" t="str">
        <f t="shared" ca="1" si="146"/>
        <v/>
      </c>
      <c r="BG55" s="114" t="str">
        <f t="shared" ca="1" si="147"/>
        <v/>
      </c>
      <c r="BH55" s="49" t="str">
        <f ca="1">IFERROR(IF(AND(ISNUMBER(Crd!$X55), ISNUMBER($AZ55)), $AZ55/6.35 - Crd!$X55, ""), "")</f>
        <v/>
      </c>
      <c r="BI55" s="46" t="str">
        <f ca="1">IFERROR(IF(AND(ISNUMBER(Crd!$Y55), ISNUMBER($BA55)), $BA55/6.35 - Crd!$Y55, ""), "")</f>
        <v/>
      </c>
      <c r="BJ55" s="47" t="str">
        <f t="shared" ca="1" si="148"/>
        <v/>
      </c>
      <c r="BK55" s="111" t="str">
        <f t="shared" ca="1" si="149"/>
        <v/>
      </c>
      <c r="BL55" s="397"/>
      <c r="BM55" s="372" t="str">
        <f ca="1">IFERROR(INDEX(ICE[], MATCH("fo05bfrbrx" &amp; TEXT(Hvy!$A55, "mmmyy"), ICE[LongCode], 0), MATCH("Text", ICE[#Headers], 0)), "")</f>
        <v/>
      </c>
      <c r="BN55" s="46" t="str">
        <f t="shared" ca="1" si="115"/>
        <v/>
      </c>
      <c r="BO55" s="47" t="str">
        <f t="shared" si="150"/>
        <v/>
      </c>
      <c r="BP55" s="46" t="str">
        <f t="shared" ca="1" si="151"/>
        <v/>
      </c>
      <c r="BQ55" s="141" t="str">
        <f ca="1">IFERROR(IF(AND(ISNUMBER(Futs!$CC55), ISNUMBER($BL55)), (Futs!$CC55 + $BL55)*6.35, ""), "")</f>
        <v/>
      </c>
      <c r="BR55" s="46" t="str">
        <f ca="1">IFERROR(IF(AND(ISNUMBER(Futs!$CD55), ISNUMBER($BN55)), (Futs!$CD55 + $BN55)*6.35, ""), "")</f>
        <v/>
      </c>
      <c r="BS55" s="47" t="str">
        <f t="shared" ca="1" si="152"/>
        <v/>
      </c>
      <c r="BT55" s="114" t="str">
        <f t="shared" ca="1" si="153"/>
        <v/>
      </c>
      <c r="BU55" s="49" t="str">
        <f t="shared" ca="1" si="116"/>
        <v/>
      </c>
      <c r="BV55" s="46" t="str">
        <f t="shared" ca="1" si="117"/>
        <v/>
      </c>
      <c r="BW55" s="47" t="str">
        <f t="shared" ca="1" si="154"/>
        <v/>
      </c>
      <c r="BX55" s="111" t="str">
        <f t="shared" ca="1" si="155"/>
        <v/>
      </c>
      <c r="BY55" s="397"/>
      <c r="BZ55" s="372" t="str">
        <f ca="1">IFERROR(INDEX(ICE[], MATCH("fo05singbrx" &amp; TEXT(Hvy!$A55, "mmmyy"), ICE[LongCode], 0), MATCH("Text", ICE[#Headers], 0)), "")</f>
        <v/>
      </c>
      <c r="CA55" s="46" t="str">
        <f t="shared" ca="1" si="118"/>
        <v/>
      </c>
      <c r="CB55" s="47" t="str">
        <f t="shared" si="156"/>
        <v/>
      </c>
      <c r="CC55" s="114" t="str">
        <f t="shared" ca="1" si="157"/>
        <v/>
      </c>
      <c r="CD55" s="141" t="str">
        <f ca="1">IFERROR(IF(AND(ISNUMBER(Futs!$CC55), ISNUMBER($BY55)), (Futs!$CC55 + $BY55)*6.35, ""), "")</f>
        <v/>
      </c>
      <c r="CE55" s="46" t="str">
        <f ca="1">IFERROR(IF(AND(ISNUMBER(Futs!$CD55), ISNUMBER($CA55)), (Futs!$CD55 + $CA55)*6.35, ""), "")</f>
        <v/>
      </c>
      <c r="CF55" s="47" t="str">
        <f t="shared" ca="1" si="158"/>
        <v/>
      </c>
      <c r="CG55" s="114" t="str">
        <f t="shared" ca="1" si="159"/>
        <v/>
      </c>
      <c r="CH55" s="141" t="str">
        <f t="shared" ca="1" si="119"/>
        <v/>
      </c>
      <c r="CI55" s="46" t="str">
        <f t="shared" ca="1" si="120"/>
        <v/>
      </c>
      <c r="CJ55" s="47" t="str">
        <f t="shared" ca="1" si="160"/>
        <v/>
      </c>
      <c r="CK55" s="114" t="str">
        <f t="shared" ca="1" si="161"/>
        <v/>
      </c>
      <c r="CL55" s="49" t="str">
        <f t="shared" ca="1" si="128"/>
        <v/>
      </c>
      <c r="CM55" s="46" t="str">
        <f t="shared" ca="1" si="129"/>
        <v/>
      </c>
      <c r="CN55" s="47" t="str">
        <f t="shared" ca="1" si="162"/>
        <v/>
      </c>
      <c r="CO55" s="111" t="str">
        <f t="shared" ca="1" si="163"/>
        <v/>
      </c>
    </row>
    <row r="56" spans="1:93" x14ac:dyDescent="0.25">
      <c r="A56" s="58">
        <f t="shared" ca="1" si="130"/>
        <v>47392</v>
      </c>
      <c r="B56" s="6">
        <f t="shared" ca="1" si="105"/>
        <v>2029</v>
      </c>
      <c r="C56" s="6" t="str">
        <f t="shared" ca="1" si="121"/>
        <v>Q429</v>
      </c>
      <c r="D56" s="28" t="e">
        <f ca="1">INDEX(ICE[], MATCH(D$18 &amp; TEXT(Hvy!$A56, "mmmyy"), ICE[LongCode], 0), MATCH("Settle", ICE[#Headers], 0))</f>
        <v>#N/A</v>
      </c>
      <c r="E56" s="28" t="e">
        <f ca="1">INDEX(ICE[], MATCH(E$18 &amp; TEXT(Hvy!$A56, "mmmyy"), ICE[LongCode], 0), MATCH("Settle", ICE[#Headers], 0))</f>
        <v>#N/A</v>
      </c>
      <c r="F56" s="28" t="e">
        <f ca="1">INDEX(ICE[], MATCH(F$18 &amp; TEXT(Hvy!$A56, "mmmyy"), ICE[LongCode], 0), MATCH("Settle", ICE[#Headers], 0))</f>
        <v>#N/A</v>
      </c>
      <c r="G56" s="28" t="e">
        <f ca="1">INDEX(ICE[], MATCH(G$18 &amp; TEXT(Hvy!$A56, "mmmyy"), ICE[LongCode], 0), MATCH("Settle", ICE[#Headers], 0))</f>
        <v>#N/A</v>
      </c>
      <c r="H56" s="28" t="e">
        <f ca="1">INDEX(ICE[], MATCH(H$18 &amp; TEXT(Hvy!$A56, "mmmyy"), ICE[LongCode], 0), MATCH("Settle", ICE[#Headers], 0))</f>
        <v>#N/A</v>
      </c>
      <c r="I56" s="28" t="e">
        <f ca="1">INDEX(ICE[], MATCH(I$18 &amp; TEXT(Hvy!$A56, "mmmyy"), ICE[LongCode], 0), MATCH("Settle", ICE[#Headers], 0))</f>
        <v>#N/A</v>
      </c>
      <c r="J56" s="397"/>
      <c r="K56" s="372" t="str">
        <f ca="1">IFERROR(INDEX(ICE[], MATCH("fo35brx" &amp; TEXT(Hvy!$A56, "mmmyy"), ICE[LongCode], 0), MATCH("Text", ICE[#Headers], 0)), "")</f>
        <v/>
      </c>
      <c r="L56" s="46" t="str">
        <f t="shared" ca="1" si="122"/>
        <v/>
      </c>
      <c r="M56" s="47" t="str">
        <f t="shared" si="123"/>
        <v/>
      </c>
      <c r="N56" s="46" t="str">
        <f t="shared" ca="1" si="131"/>
        <v/>
      </c>
      <c r="O56" s="141" t="str">
        <f ca="1">IFERROR(IF(AND(ISNUMBER(Futs!$CC56), ISNUMBER($J56)), (Futs!$CC56 + $J56)*6.35, ""), "")</f>
        <v/>
      </c>
      <c r="P56" s="67" t="str">
        <f ca="1">IFERROR(IF(AND(ISNUMBER(Futs!$CD56), ISNUMBER($L56)), (Futs!$CD56 + $L56)*6.35, ""), "")</f>
        <v/>
      </c>
      <c r="Q56" s="47" t="str">
        <f t="shared" ca="1" si="132"/>
        <v/>
      </c>
      <c r="R56" s="46" t="str">
        <f t="shared" ca="1" si="133"/>
        <v/>
      </c>
      <c r="S56" s="397"/>
      <c r="T56" s="372" t="str">
        <f ca="1">IFERROR(INDEX(ICE[], MATCH("hilo" &amp; TEXT(Hvy!$A56, "mmmyy"), ICE[LongCode], 0), MATCH("Text", ICE[#Headers], 0)), "")</f>
        <v/>
      </c>
      <c r="U56" s="46" t="str">
        <f t="shared" ca="1" si="106"/>
        <v/>
      </c>
      <c r="V56" s="47" t="str">
        <f t="shared" si="134"/>
        <v/>
      </c>
      <c r="W56" s="114" t="str">
        <f t="shared" ca="1" si="135"/>
        <v/>
      </c>
      <c r="X56" s="49" t="str">
        <f t="shared" ca="1" si="107"/>
        <v/>
      </c>
      <c r="Y56" s="46" t="str">
        <f t="shared" ca="1" si="108"/>
        <v/>
      </c>
      <c r="Z56" s="47" t="str">
        <f t="shared" ca="1" si="136"/>
        <v/>
      </c>
      <c r="AA56" s="111" t="str">
        <f t="shared" ca="1" si="137"/>
        <v/>
      </c>
      <c r="AB56" s="397"/>
      <c r="AC56" s="372" t="str">
        <f ca="1">IFERROR(INDEX(ICE[], MATCH("hsfoew" &amp; TEXT(Hvy!$A56, "mmmyy"), ICE[LongCode], 0), MATCH("Text", ICE[#Headers], 0)), "")</f>
        <v/>
      </c>
      <c r="AD56" s="46" t="str">
        <f t="shared" ca="1" si="109"/>
        <v/>
      </c>
      <c r="AE56" s="47" t="str">
        <f t="shared" si="124"/>
        <v/>
      </c>
      <c r="AF56" s="114" t="str">
        <f t="shared" ca="1" si="125"/>
        <v/>
      </c>
      <c r="AG56" s="141" t="str">
        <f t="shared" ca="1" si="110"/>
        <v/>
      </c>
      <c r="AH56" s="46" t="str">
        <f t="shared" ca="1" si="111"/>
        <v/>
      </c>
      <c r="AI56" s="47" t="str">
        <f t="shared" ca="1" si="126"/>
        <v/>
      </c>
      <c r="AJ56" s="364" t="str">
        <f ca="1">IFERROR(INDEX(ICE[], MATCH("brfo380" &amp; TEXT(Crd!$A56, "mmmyy"), ICE[LongCode], 0), MATCH("Text", ICE[#Headers], 0)), "")</f>
        <v/>
      </c>
      <c r="AK56" s="114" t="str">
        <f t="shared" ca="1" si="127"/>
        <v/>
      </c>
      <c r="AL56" s="49" t="str">
        <f ca="1">IFERROR(IF(AND(ISNUMBER(Futs!$CC56), ISNUMBER($AG56)), $AG56/6.35 - Futs!$CC56, ""), "")</f>
        <v/>
      </c>
      <c r="AM56" s="372" t="str">
        <f ca="1">IFERROR(INDEX(ICE[], MATCH("fo380brx" &amp; TEXT(Hvy!$A56, "mmmyy"), ICE[LongCode], 0), MATCH("Text", ICE[#Headers], 0)), "")</f>
        <v/>
      </c>
      <c r="AN56" s="46" t="str">
        <f ca="1">IFERROR(IF(AND(ISNUMBER(Futs!$CD56), ISNUMBER($AH56)), $AH56/6.35 - Futs!$CD56, ""), "")</f>
        <v/>
      </c>
      <c r="AO56" s="47" t="str">
        <f t="shared" ca="1" si="138"/>
        <v/>
      </c>
      <c r="AP56" s="114" t="str">
        <f t="shared" ca="1" si="139"/>
        <v/>
      </c>
      <c r="AQ56" s="49" t="str">
        <f ca="1">IFERROR(IF(AND(ISNUMBER(Crd!$X56), ISNUMBER($AG56)), $AG56/6.35 - Crd!$X56, ""), "")</f>
        <v/>
      </c>
      <c r="AR56" s="46" t="str">
        <f ca="1">IFERROR(IF(AND(ISNUMBER(Crd!$Y56), ISNUMBER($AH56)), $AH56/6.35 - Crd!$Y56, ""), "")</f>
        <v/>
      </c>
      <c r="AS56" s="47" t="str">
        <f t="shared" ca="1" si="140"/>
        <v/>
      </c>
      <c r="AT56" s="111" t="str">
        <f t="shared" ca="1" si="141"/>
        <v/>
      </c>
      <c r="AU56" s="397"/>
      <c r="AV56" s="372" t="str">
        <f ca="1">IFERROR(INDEX(ICE[], MATCH("visco" &amp; TEXT(Hvy!$A56, "mmmyy"), ICE[LongCode], 0), MATCH("Text", ICE[#Headers], 0)), "")</f>
        <v/>
      </c>
      <c r="AW56" s="46" t="str">
        <f t="shared" ca="1" si="112"/>
        <v/>
      </c>
      <c r="AX56" s="47" t="str">
        <f t="shared" si="142"/>
        <v/>
      </c>
      <c r="AY56" s="46" t="str">
        <f t="shared" ca="1" si="143"/>
        <v/>
      </c>
      <c r="AZ56" s="141" t="str">
        <f t="shared" ca="1" si="113"/>
        <v/>
      </c>
      <c r="BA56" s="46" t="str">
        <f t="shared" ca="1" si="114"/>
        <v/>
      </c>
      <c r="BB56" s="47" t="str">
        <f t="shared" ca="1" si="144"/>
        <v/>
      </c>
      <c r="BC56" s="114" t="str">
        <f t="shared" ca="1" si="145"/>
        <v/>
      </c>
      <c r="BD56" s="49" t="str">
        <f ca="1">IFERROR(IF(AND(ISNUMBER(Futs!$CC56), ISNUMBER($AZ56)), $AZ56/6.35 - Futs!$CC56, ""), "")</f>
        <v/>
      </c>
      <c r="BE56" s="46" t="str">
        <f ca="1">IFERROR(IF(AND(ISNUMBER(Futs!$CD56), ISNUMBER($BA56)), $BA56/6.35 - Futs!$CD56, ""), "")</f>
        <v/>
      </c>
      <c r="BF56" s="47" t="str">
        <f t="shared" ca="1" si="146"/>
        <v/>
      </c>
      <c r="BG56" s="114" t="str">
        <f t="shared" ca="1" si="147"/>
        <v/>
      </c>
      <c r="BH56" s="49" t="str">
        <f ca="1">IFERROR(IF(AND(ISNUMBER(Crd!$X56), ISNUMBER($AZ56)), $AZ56/6.35 - Crd!$X56, ""), "")</f>
        <v/>
      </c>
      <c r="BI56" s="46" t="str">
        <f ca="1">IFERROR(IF(AND(ISNUMBER(Crd!$Y56), ISNUMBER($BA56)), $BA56/6.35 - Crd!$Y56, ""), "")</f>
        <v/>
      </c>
      <c r="BJ56" s="47" t="str">
        <f t="shared" ca="1" si="148"/>
        <v/>
      </c>
      <c r="BK56" s="111" t="str">
        <f t="shared" ca="1" si="149"/>
        <v/>
      </c>
      <c r="BL56" s="397"/>
      <c r="BM56" s="372" t="str">
        <f ca="1">IFERROR(INDEX(ICE[], MATCH("fo05bfrbrx" &amp; TEXT(Hvy!$A56, "mmmyy"), ICE[LongCode], 0), MATCH("Text", ICE[#Headers], 0)), "")</f>
        <v/>
      </c>
      <c r="BN56" s="46" t="str">
        <f t="shared" ca="1" si="115"/>
        <v/>
      </c>
      <c r="BO56" s="47" t="str">
        <f t="shared" si="150"/>
        <v/>
      </c>
      <c r="BP56" s="46" t="str">
        <f t="shared" ca="1" si="151"/>
        <v/>
      </c>
      <c r="BQ56" s="141" t="str">
        <f ca="1">IFERROR(IF(AND(ISNUMBER(Futs!$CC56), ISNUMBER($BL56)), (Futs!$CC56 + $BL56)*6.35, ""), "")</f>
        <v/>
      </c>
      <c r="BR56" s="46" t="str">
        <f ca="1">IFERROR(IF(AND(ISNUMBER(Futs!$CD56), ISNUMBER($BN56)), (Futs!$CD56 + $BN56)*6.35, ""), "")</f>
        <v/>
      </c>
      <c r="BS56" s="47" t="str">
        <f t="shared" ca="1" si="152"/>
        <v/>
      </c>
      <c r="BT56" s="114" t="str">
        <f t="shared" ca="1" si="153"/>
        <v/>
      </c>
      <c r="BU56" s="49" t="str">
        <f t="shared" ca="1" si="116"/>
        <v/>
      </c>
      <c r="BV56" s="46" t="str">
        <f t="shared" ca="1" si="117"/>
        <v/>
      </c>
      <c r="BW56" s="47" t="str">
        <f t="shared" ca="1" si="154"/>
        <v/>
      </c>
      <c r="BX56" s="111" t="str">
        <f t="shared" ca="1" si="155"/>
        <v/>
      </c>
      <c r="BY56" s="397"/>
      <c r="BZ56" s="372" t="str">
        <f ca="1">IFERROR(INDEX(ICE[], MATCH("fo05singbrx" &amp; TEXT(Hvy!$A56, "mmmyy"), ICE[LongCode], 0), MATCH("Text", ICE[#Headers], 0)), "")</f>
        <v/>
      </c>
      <c r="CA56" s="46" t="str">
        <f t="shared" ca="1" si="118"/>
        <v/>
      </c>
      <c r="CB56" s="47" t="str">
        <f t="shared" si="156"/>
        <v/>
      </c>
      <c r="CC56" s="114" t="str">
        <f t="shared" ca="1" si="157"/>
        <v/>
      </c>
      <c r="CD56" s="141" t="str">
        <f ca="1">IFERROR(IF(AND(ISNUMBER(Futs!$CC56), ISNUMBER($BY56)), (Futs!$CC56 + $BY56)*6.35, ""), "")</f>
        <v/>
      </c>
      <c r="CE56" s="46" t="str">
        <f ca="1">IFERROR(IF(AND(ISNUMBER(Futs!$CD56), ISNUMBER($CA56)), (Futs!$CD56 + $CA56)*6.35, ""), "")</f>
        <v/>
      </c>
      <c r="CF56" s="47" t="str">
        <f t="shared" ca="1" si="158"/>
        <v/>
      </c>
      <c r="CG56" s="114" t="str">
        <f t="shared" ca="1" si="159"/>
        <v/>
      </c>
      <c r="CH56" s="141" t="str">
        <f t="shared" ca="1" si="119"/>
        <v/>
      </c>
      <c r="CI56" s="46" t="str">
        <f t="shared" ca="1" si="120"/>
        <v/>
      </c>
      <c r="CJ56" s="47" t="str">
        <f t="shared" ca="1" si="160"/>
        <v/>
      </c>
      <c r="CK56" s="114" t="str">
        <f t="shared" ca="1" si="161"/>
        <v/>
      </c>
      <c r="CL56" s="49" t="str">
        <f t="shared" ca="1" si="128"/>
        <v/>
      </c>
      <c r="CM56" s="46" t="str">
        <f t="shared" ca="1" si="129"/>
        <v/>
      </c>
      <c r="CN56" s="47" t="str">
        <f t="shared" ca="1" si="162"/>
        <v/>
      </c>
      <c r="CO56" s="111" t="str">
        <f t="shared" ca="1" si="163"/>
        <v/>
      </c>
    </row>
    <row r="57" spans="1:93" x14ac:dyDescent="0.25">
      <c r="A57" s="58">
        <f t="shared" ca="1" si="130"/>
        <v>47423</v>
      </c>
      <c r="B57" s="6">
        <f t="shared" ca="1" si="105"/>
        <v>2029</v>
      </c>
      <c r="C57" s="6" t="str">
        <f t="shared" ca="1" si="121"/>
        <v>Q429</v>
      </c>
      <c r="D57" s="28" t="e">
        <f ca="1">INDEX(ICE[], MATCH(D$18 &amp; TEXT(Hvy!$A57, "mmmyy"), ICE[LongCode], 0), MATCH("Settle", ICE[#Headers], 0))</f>
        <v>#N/A</v>
      </c>
      <c r="E57" s="28" t="e">
        <f ca="1">INDEX(ICE[], MATCH(E$18 &amp; TEXT(Hvy!$A57, "mmmyy"), ICE[LongCode], 0), MATCH("Settle", ICE[#Headers], 0))</f>
        <v>#N/A</v>
      </c>
      <c r="F57" s="28" t="e">
        <f ca="1">INDEX(ICE[], MATCH(F$18 &amp; TEXT(Hvy!$A57, "mmmyy"), ICE[LongCode], 0), MATCH("Settle", ICE[#Headers], 0))</f>
        <v>#N/A</v>
      </c>
      <c r="G57" s="28" t="e">
        <f ca="1">INDEX(ICE[], MATCH(G$18 &amp; TEXT(Hvy!$A57, "mmmyy"), ICE[LongCode], 0), MATCH("Settle", ICE[#Headers], 0))</f>
        <v>#N/A</v>
      </c>
      <c r="H57" s="28" t="e">
        <f ca="1">INDEX(ICE[], MATCH(H$18 &amp; TEXT(Hvy!$A57, "mmmyy"), ICE[LongCode], 0), MATCH("Settle", ICE[#Headers], 0))</f>
        <v>#N/A</v>
      </c>
      <c r="I57" s="28" t="e">
        <f ca="1">INDEX(ICE[], MATCH(I$18 &amp; TEXT(Hvy!$A57, "mmmyy"), ICE[LongCode], 0), MATCH("Settle", ICE[#Headers], 0))</f>
        <v>#N/A</v>
      </c>
      <c r="J57" s="397"/>
      <c r="K57" s="372" t="str">
        <f ca="1">IFERROR(INDEX(ICE[], MATCH("fo35brx" &amp; TEXT(Hvy!$A57, "mmmyy"), ICE[LongCode], 0), MATCH("Text", ICE[#Headers], 0)), "")</f>
        <v/>
      </c>
      <c r="L57" s="46" t="str">
        <f t="shared" ca="1" si="122"/>
        <v/>
      </c>
      <c r="M57" s="47" t="str">
        <f t="shared" si="123"/>
        <v/>
      </c>
      <c r="N57" s="46" t="str">
        <f t="shared" ca="1" si="131"/>
        <v/>
      </c>
      <c r="O57" s="141" t="str">
        <f ca="1">IFERROR(IF(AND(ISNUMBER(Futs!$CC57), ISNUMBER($J57)), (Futs!$CC57 + $J57)*6.35, ""), "")</f>
        <v/>
      </c>
      <c r="P57" s="67" t="str">
        <f ca="1">IFERROR(IF(AND(ISNUMBER(Futs!$CD57), ISNUMBER($L57)), (Futs!$CD57 + $L57)*6.35, ""), "")</f>
        <v/>
      </c>
      <c r="Q57" s="47" t="str">
        <f t="shared" ca="1" si="132"/>
        <v/>
      </c>
      <c r="R57" s="46" t="str">
        <f t="shared" ca="1" si="133"/>
        <v/>
      </c>
      <c r="S57" s="397"/>
      <c r="T57" s="372" t="str">
        <f ca="1">IFERROR(INDEX(ICE[], MATCH("hilo" &amp; TEXT(Hvy!$A57, "mmmyy"), ICE[LongCode], 0), MATCH("Text", ICE[#Headers], 0)), "")</f>
        <v/>
      </c>
      <c r="U57" s="46" t="str">
        <f t="shared" ca="1" si="106"/>
        <v/>
      </c>
      <c r="V57" s="47" t="str">
        <f t="shared" si="134"/>
        <v/>
      </c>
      <c r="W57" s="114" t="str">
        <f t="shared" ca="1" si="135"/>
        <v/>
      </c>
      <c r="X57" s="49" t="str">
        <f t="shared" ca="1" si="107"/>
        <v/>
      </c>
      <c r="Y57" s="46" t="str">
        <f t="shared" ca="1" si="108"/>
        <v/>
      </c>
      <c r="Z57" s="47" t="str">
        <f t="shared" ca="1" si="136"/>
        <v/>
      </c>
      <c r="AA57" s="111" t="str">
        <f t="shared" ca="1" si="137"/>
        <v/>
      </c>
      <c r="AB57" s="397"/>
      <c r="AC57" s="372" t="str">
        <f ca="1">IFERROR(INDEX(ICE[], MATCH("hsfoew" &amp; TEXT(Hvy!$A57, "mmmyy"), ICE[LongCode], 0), MATCH("Text", ICE[#Headers], 0)), "")</f>
        <v/>
      </c>
      <c r="AD57" s="46" t="str">
        <f t="shared" ca="1" si="109"/>
        <v/>
      </c>
      <c r="AE57" s="47" t="str">
        <f t="shared" si="124"/>
        <v/>
      </c>
      <c r="AF57" s="114" t="str">
        <f t="shared" ca="1" si="125"/>
        <v/>
      </c>
      <c r="AG57" s="141" t="str">
        <f t="shared" ca="1" si="110"/>
        <v/>
      </c>
      <c r="AH57" s="46" t="str">
        <f t="shared" ca="1" si="111"/>
        <v/>
      </c>
      <c r="AI57" s="47" t="str">
        <f t="shared" ca="1" si="126"/>
        <v/>
      </c>
      <c r="AJ57" s="364" t="str">
        <f ca="1">IFERROR(INDEX(ICE[], MATCH("brfo380" &amp; TEXT(Crd!$A57, "mmmyy"), ICE[LongCode], 0), MATCH("Text", ICE[#Headers], 0)), "")</f>
        <v/>
      </c>
      <c r="AK57" s="114" t="str">
        <f t="shared" ca="1" si="127"/>
        <v/>
      </c>
      <c r="AL57" s="49" t="str">
        <f ca="1">IFERROR(IF(AND(ISNUMBER(Futs!$CC57), ISNUMBER($AG57)), $AG57/6.35 - Futs!$CC57, ""), "")</f>
        <v/>
      </c>
      <c r="AM57" s="372" t="str">
        <f ca="1">IFERROR(INDEX(ICE[], MATCH("fo380brx" &amp; TEXT(Hvy!$A57, "mmmyy"), ICE[LongCode], 0), MATCH("Text", ICE[#Headers], 0)), "")</f>
        <v/>
      </c>
      <c r="AN57" s="46" t="str">
        <f ca="1">IFERROR(IF(AND(ISNUMBER(Futs!$CD57), ISNUMBER($AH57)), $AH57/6.35 - Futs!$CD57, ""), "")</f>
        <v/>
      </c>
      <c r="AO57" s="47" t="str">
        <f t="shared" ca="1" si="138"/>
        <v/>
      </c>
      <c r="AP57" s="114" t="str">
        <f t="shared" ca="1" si="139"/>
        <v/>
      </c>
      <c r="AQ57" s="49" t="str">
        <f ca="1">IFERROR(IF(AND(ISNUMBER(Crd!$X57), ISNUMBER($AG57)), $AG57/6.35 - Crd!$X57, ""), "")</f>
        <v/>
      </c>
      <c r="AR57" s="46" t="str">
        <f ca="1">IFERROR(IF(AND(ISNUMBER(Crd!$Y57), ISNUMBER($AH57)), $AH57/6.35 - Crd!$Y57, ""), "")</f>
        <v/>
      </c>
      <c r="AS57" s="47" t="str">
        <f t="shared" ca="1" si="140"/>
        <v/>
      </c>
      <c r="AT57" s="111" t="str">
        <f t="shared" ca="1" si="141"/>
        <v/>
      </c>
      <c r="AU57" s="397"/>
      <c r="AV57" s="372" t="str">
        <f ca="1">IFERROR(INDEX(ICE[], MATCH("visco" &amp; TEXT(Hvy!$A57, "mmmyy"), ICE[LongCode], 0), MATCH("Text", ICE[#Headers], 0)), "")</f>
        <v/>
      </c>
      <c r="AW57" s="46" t="str">
        <f t="shared" ca="1" si="112"/>
        <v/>
      </c>
      <c r="AX57" s="47" t="str">
        <f t="shared" si="142"/>
        <v/>
      </c>
      <c r="AY57" s="46" t="str">
        <f t="shared" ca="1" si="143"/>
        <v/>
      </c>
      <c r="AZ57" s="141" t="str">
        <f t="shared" ca="1" si="113"/>
        <v/>
      </c>
      <c r="BA57" s="46" t="str">
        <f t="shared" ca="1" si="114"/>
        <v/>
      </c>
      <c r="BB57" s="47" t="str">
        <f t="shared" ca="1" si="144"/>
        <v/>
      </c>
      <c r="BC57" s="114" t="str">
        <f t="shared" ca="1" si="145"/>
        <v/>
      </c>
      <c r="BD57" s="49" t="str">
        <f ca="1">IFERROR(IF(AND(ISNUMBER(Futs!$CC57), ISNUMBER($AZ57)), $AZ57/6.35 - Futs!$CC57, ""), "")</f>
        <v/>
      </c>
      <c r="BE57" s="46" t="str">
        <f ca="1">IFERROR(IF(AND(ISNUMBER(Futs!$CD57), ISNUMBER($BA57)), $BA57/6.35 - Futs!$CD57, ""), "")</f>
        <v/>
      </c>
      <c r="BF57" s="47" t="str">
        <f t="shared" ca="1" si="146"/>
        <v/>
      </c>
      <c r="BG57" s="114" t="str">
        <f t="shared" ca="1" si="147"/>
        <v/>
      </c>
      <c r="BH57" s="49" t="str">
        <f ca="1">IFERROR(IF(AND(ISNUMBER(Crd!$X57), ISNUMBER($AZ57)), $AZ57/6.35 - Crd!$X57, ""), "")</f>
        <v/>
      </c>
      <c r="BI57" s="46" t="str">
        <f ca="1">IFERROR(IF(AND(ISNUMBER(Crd!$Y57), ISNUMBER($BA57)), $BA57/6.35 - Crd!$Y57, ""), "")</f>
        <v/>
      </c>
      <c r="BJ57" s="47" t="str">
        <f t="shared" ca="1" si="148"/>
        <v/>
      </c>
      <c r="BK57" s="111" t="str">
        <f t="shared" ca="1" si="149"/>
        <v/>
      </c>
      <c r="BL57" s="397"/>
      <c r="BM57" s="372" t="str">
        <f ca="1">IFERROR(INDEX(ICE[], MATCH("fo05bfrbrx" &amp; TEXT(Hvy!$A57, "mmmyy"), ICE[LongCode], 0), MATCH("Text", ICE[#Headers], 0)), "")</f>
        <v/>
      </c>
      <c r="BN57" s="46" t="str">
        <f t="shared" ca="1" si="115"/>
        <v/>
      </c>
      <c r="BO57" s="47" t="str">
        <f t="shared" si="150"/>
        <v/>
      </c>
      <c r="BP57" s="46" t="str">
        <f t="shared" ca="1" si="151"/>
        <v/>
      </c>
      <c r="BQ57" s="141" t="str">
        <f ca="1">IFERROR(IF(AND(ISNUMBER(Futs!$CC57), ISNUMBER($BL57)), (Futs!$CC57 + $BL57)*6.35, ""), "")</f>
        <v/>
      </c>
      <c r="BR57" s="46" t="str">
        <f ca="1">IFERROR(IF(AND(ISNUMBER(Futs!$CD57), ISNUMBER($BN57)), (Futs!$CD57 + $BN57)*6.35, ""), "")</f>
        <v/>
      </c>
      <c r="BS57" s="47" t="str">
        <f t="shared" ca="1" si="152"/>
        <v/>
      </c>
      <c r="BT57" s="114" t="str">
        <f t="shared" ca="1" si="153"/>
        <v/>
      </c>
      <c r="BU57" s="49" t="str">
        <f t="shared" ca="1" si="116"/>
        <v/>
      </c>
      <c r="BV57" s="46" t="str">
        <f t="shared" ca="1" si="117"/>
        <v/>
      </c>
      <c r="BW57" s="47" t="str">
        <f t="shared" ca="1" si="154"/>
        <v/>
      </c>
      <c r="BX57" s="111" t="str">
        <f t="shared" ca="1" si="155"/>
        <v/>
      </c>
      <c r="BY57" s="397"/>
      <c r="BZ57" s="372" t="str">
        <f ca="1">IFERROR(INDEX(ICE[], MATCH("fo05singbrx" &amp; TEXT(Hvy!$A57, "mmmyy"), ICE[LongCode], 0), MATCH("Text", ICE[#Headers], 0)), "")</f>
        <v/>
      </c>
      <c r="CA57" s="46" t="str">
        <f t="shared" ca="1" si="118"/>
        <v/>
      </c>
      <c r="CB57" s="47" t="str">
        <f t="shared" si="156"/>
        <v/>
      </c>
      <c r="CC57" s="114" t="str">
        <f t="shared" ca="1" si="157"/>
        <v/>
      </c>
      <c r="CD57" s="141" t="str">
        <f ca="1">IFERROR(IF(AND(ISNUMBER(Futs!$CC57), ISNUMBER($BY57)), (Futs!$CC57 + $BY57)*6.35, ""), "")</f>
        <v/>
      </c>
      <c r="CE57" s="46" t="str">
        <f ca="1">IFERROR(IF(AND(ISNUMBER(Futs!$CD57), ISNUMBER($CA57)), (Futs!$CD57 + $CA57)*6.35, ""), "")</f>
        <v/>
      </c>
      <c r="CF57" s="47" t="str">
        <f t="shared" ca="1" si="158"/>
        <v/>
      </c>
      <c r="CG57" s="114" t="str">
        <f t="shared" ca="1" si="159"/>
        <v/>
      </c>
      <c r="CH57" s="141" t="str">
        <f t="shared" ca="1" si="119"/>
        <v/>
      </c>
      <c r="CI57" s="46" t="str">
        <f t="shared" ca="1" si="120"/>
        <v/>
      </c>
      <c r="CJ57" s="47" t="str">
        <f t="shared" ca="1" si="160"/>
        <v/>
      </c>
      <c r="CK57" s="114" t="str">
        <f t="shared" ca="1" si="161"/>
        <v/>
      </c>
      <c r="CL57" s="49" t="str">
        <f t="shared" ca="1" si="128"/>
        <v/>
      </c>
      <c r="CM57" s="46" t="str">
        <f t="shared" ca="1" si="129"/>
        <v/>
      </c>
      <c r="CN57" s="47" t="str">
        <f t="shared" ca="1" si="162"/>
        <v/>
      </c>
      <c r="CO57" s="111" t="str">
        <f t="shared" ca="1" si="163"/>
        <v/>
      </c>
    </row>
    <row r="58" spans="1:93" x14ac:dyDescent="0.25">
      <c r="A58" s="58">
        <f t="shared" ca="1" si="130"/>
        <v>47453</v>
      </c>
      <c r="B58" s="6">
        <f t="shared" ca="1" si="105"/>
        <v>2029</v>
      </c>
      <c r="C58" s="6" t="str">
        <f t="shared" ca="1" si="121"/>
        <v>Q429</v>
      </c>
      <c r="D58" s="28" t="e">
        <f ca="1">INDEX(ICE[], MATCH(D$18 &amp; TEXT(Hvy!$A58, "mmmyy"), ICE[LongCode], 0), MATCH("Settle", ICE[#Headers], 0))</f>
        <v>#N/A</v>
      </c>
      <c r="E58" s="28" t="e">
        <f ca="1">INDEX(ICE[], MATCH(E$18 &amp; TEXT(Hvy!$A58, "mmmyy"), ICE[LongCode], 0), MATCH("Settle", ICE[#Headers], 0))</f>
        <v>#N/A</v>
      </c>
      <c r="F58" s="28" t="e">
        <f ca="1">INDEX(ICE[], MATCH(F$18 &amp; TEXT(Hvy!$A58, "mmmyy"), ICE[LongCode], 0), MATCH("Settle", ICE[#Headers], 0))</f>
        <v>#N/A</v>
      </c>
      <c r="G58" s="28" t="e">
        <f ca="1">INDEX(ICE[], MATCH(G$18 &amp; TEXT(Hvy!$A58, "mmmyy"), ICE[LongCode], 0), MATCH("Settle", ICE[#Headers], 0))</f>
        <v>#N/A</v>
      </c>
      <c r="H58" s="28" t="e">
        <f ca="1">INDEX(ICE[], MATCH(H$18 &amp; TEXT(Hvy!$A58, "mmmyy"), ICE[LongCode], 0), MATCH("Settle", ICE[#Headers], 0))</f>
        <v>#N/A</v>
      </c>
      <c r="I58" s="28" t="e">
        <f ca="1">INDEX(ICE[], MATCH(I$18 &amp; TEXT(Hvy!$A58, "mmmyy"), ICE[LongCode], 0), MATCH("Settle", ICE[#Headers], 0))</f>
        <v>#N/A</v>
      </c>
      <c r="J58" s="397"/>
      <c r="K58" s="372" t="str">
        <f ca="1">IFERROR(INDEX(ICE[], MATCH("fo35brx" &amp; TEXT(Hvy!$A58, "mmmyy"), ICE[LongCode], 0), MATCH("Text", ICE[#Headers], 0)), "")</f>
        <v/>
      </c>
      <c r="L58" s="46" t="str">
        <f t="shared" ca="1" si="122"/>
        <v/>
      </c>
      <c r="M58" s="47" t="str">
        <f t="shared" si="123"/>
        <v/>
      </c>
      <c r="N58" s="46" t="str">
        <f t="shared" ca="1" si="131"/>
        <v/>
      </c>
      <c r="O58" s="141" t="str">
        <f ca="1">IFERROR(IF(AND(ISNUMBER(Futs!$CC58), ISNUMBER($J58)), (Futs!$CC58 + $J58)*6.35, ""), "")</f>
        <v/>
      </c>
      <c r="P58" s="67" t="str">
        <f ca="1">IFERROR(IF(AND(ISNUMBER(Futs!$CD58), ISNUMBER($L58)), (Futs!$CD58 + $L58)*6.35, ""), "")</f>
        <v/>
      </c>
      <c r="Q58" s="47" t="str">
        <f t="shared" ca="1" si="132"/>
        <v/>
      </c>
      <c r="R58" s="46" t="str">
        <f t="shared" ca="1" si="133"/>
        <v/>
      </c>
      <c r="S58" s="397"/>
      <c r="T58" s="372" t="str">
        <f ca="1">IFERROR(INDEX(ICE[], MATCH("hilo" &amp; TEXT(Hvy!$A58, "mmmyy"), ICE[LongCode], 0), MATCH("Text", ICE[#Headers], 0)), "")</f>
        <v/>
      </c>
      <c r="U58" s="46" t="str">
        <f t="shared" ca="1" si="106"/>
        <v/>
      </c>
      <c r="V58" s="47" t="str">
        <f t="shared" si="134"/>
        <v/>
      </c>
      <c r="W58" s="114" t="str">
        <f t="shared" ca="1" si="135"/>
        <v/>
      </c>
      <c r="X58" s="49" t="str">
        <f t="shared" ca="1" si="107"/>
        <v/>
      </c>
      <c r="Y58" s="46" t="str">
        <f t="shared" ca="1" si="108"/>
        <v/>
      </c>
      <c r="Z58" s="47" t="str">
        <f t="shared" ca="1" si="136"/>
        <v/>
      </c>
      <c r="AA58" s="111" t="str">
        <f t="shared" ca="1" si="137"/>
        <v/>
      </c>
      <c r="AB58" s="397"/>
      <c r="AC58" s="372" t="str">
        <f ca="1">IFERROR(INDEX(ICE[], MATCH("hsfoew" &amp; TEXT(Hvy!$A58, "mmmyy"), ICE[LongCode], 0), MATCH("Text", ICE[#Headers], 0)), "")</f>
        <v/>
      </c>
      <c r="AD58" s="46" t="str">
        <f t="shared" ca="1" si="109"/>
        <v/>
      </c>
      <c r="AE58" s="47" t="str">
        <f t="shared" si="124"/>
        <v/>
      </c>
      <c r="AF58" s="114" t="str">
        <f t="shared" ca="1" si="125"/>
        <v/>
      </c>
      <c r="AG58" s="141" t="str">
        <f t="shared" ca="1" si="110"/>
        <v/>
      </c>
      <c r="AH58" s="46" t="str">
        <f t="shared" ca="1" si="111"/>
        <v/>
      </c>
      <c r="AI58" s="47" t="str">
        <f t="shared" ca="1" si="126"/>
        <v/>
      </c>
      <c r="AJ58" s="364" t="str">
        <f ca="1">IFERROR(INDEX(ICE[], MATCH("brfo380" &amp; TEXT(Crd!$A58, "mmmyy"), ICE[LongCode], 0), MATCH("Text", ICE[#Headers], 0)), "")</f>
        <v/>
      </c>
      <c r="AK58" s="114" t="str">
        <f t="shared" ca="1" si="127"/>
        <v/>
      </c>
      <c r="AL58" s="49" t="str">
        <f ca="1">IFERROR(IF(AND(ISNUMBER(Futs!$CC58), ISNUMBER($AG58)), $AG58/6.35 - Futs!$CC58, ""), "")</f>
        <v/>
      </c>
      <c r="AM58" s="372" t="str">
        <f ca="1">IFERROR(INDEX(ICE[], MATCH("fo380brx" &amp; TEXT(Hvy!$A58, "mmmyy"), ICE[LongCode], 0), MATCH("Text", ICE[#Headers], 0)), "")</f>
        <v/>
      </c>
      <c r="AN58" s="46" t="str">
        <f ca="1">IFERROR(IF(AND(ISNUMBER(Futs!$CD58), ISNUMBER($AH58)), $AH58/6.35 - Futs!$CD58, ""), "")</f>
        <v/>
      </c>
      <c r="AO58" s="47" t="str">
        <f t="shared" ca="1" si="138"/>
        <v/>
      </c>
      <c r="AP58" s="114" t="str">
        <f t="shared" ca="1" si="139"/>
        <v/>
      </c>
      <c r="AQ58" s="49" t="str">
        <f ca="1">IFERROR(IF(AND(ISNUMBER(Crd!$X58), ISNUMBER($AG58)), $AG58/6.35 - Crd!$X58, ""), "")</f>
        <v/>
      </c>
      <c r="AR58" s="46" t="str">
        <f ca="1">IFERROR(IF(AND(ISNUMBER(Crd!$Y58), ISNUMBER($AH58)), $AH58/6.35 - Crd!$Y58, ""), "")</f>
        <v/>
      </c>
      <c r="AS58" s="47" t="str">
        <f t="shared" ca="1" si="140"/>
        <v/>
      </c>
      <c r="AT58" s="111" t="str">
        <f t="shared" ca="1" si="141"/>
        <v/>
      </c>
      <c r="AU58" s="397"/>
      <c r="AV58" s="372" t="str">
        <f ca="1">IFERROR(INDEX(ICE[], MATCH("visco" &amp; TEXT(Hvy!$A58, "mmmyy"), ICE[LongCode], 0), MATCH("Text", ICE[#Headers], 0)), "")</f>
        <v/>
      </c>
      <c r="AW58" s="46" t="str">
        <f t="shared" ca="1" si="112"/>
        <v/>
      </c>
      <c r="AX58" s="47" t="str">
        <f t="shared" si="142"/>
        <v/>
      </c>
      <c r="AY58" s="46" t="str">
        <f t="shared" ca="1" si="143"/>
        <v/>
      </c>
      <c r="AZ58" s="141" t="str">
        <f t="shared" ca="1" si="113"/>
        <v/>
      </c>
      <c r="BA58" s="46" t="str">
        <f t="shared" ca="1" si="114"/>
        <v/>
      </c>
      <c r="BB58" s="47" t="str">
        <f t="shared" ca="1" si="144"/>
        <v/>
      </c>
      <c r="BC58" s="114" t="str">
        <f t="shared" ca="1" si="145"/>
        <v/>
      </c>
      <c r="BD58" s="49" t="str">
        <f ca="1">IFERROR(IF(AND(ISNUMBER(Futs!$CC58), ISNUMBER($AZ58)), $AZ58/6.35 - Futs!$CC58, ""), "")</f>
        <v/>
      </c>
      <c r="BE58" s="46" t="str">
        <f ca="1">IFERROR(IF(AND(ISNUMBER(Futs!$CD58), ISNUMBER($BA58)), $BA58/6.35 - Futs!$CD58, ""), "")</f>
        <v/>
      </c>
      <c r="BF58" s="47" t="str">
        <f t="shared" ca="1" si="146"/>
        <v/>
      </c>
      <c r="BG58" s="114" t="str">
        <f t="shared" ca="1" si="147"/>
        <v/>
      </c>
      <c r="BH58" s="49" t="str">
        <f ca="1">IFERROR(IF(AND(ISNUMBER(Crd!$X58), ISNUMBER($AZ58)), $AZ58/6.35 - Crd!$X58, ""), "")</f>
        <v/>
      </c>
      <c r="BI58" s="46" t="str">
        <f ca="1">IFERROR(IF(AND(ISNUMBER(Crd!$Y58), ISNUMBER($BA58)), $BA58/6.35 - Crd!$Y58, ""), "")</f>
        <v/>
      </c>
      <c r="BJ58" s="47" t="str">
        <f t="shared" ca="1" si="148"/>
        <v/>
      </c>
      <c r="BK58" s="111" t="str">
        <f t="shared" ca="1" si="149"/>
        <v/>
      </c>
      <c r="BL58" s="397"/>
      <c r="BM58" s="372" t="str">
        <f ca="1">IFERROR(INDEX(ICE[], MATCH("fo05bfrbrx" &amp; TEXT(Hvy!$A58, "mmmyy"), ICE[LongCode], 0), MATCH("Text", ICE[#Headers], 0)), "")</f>
        <v/>
      </c>
      <c r="BN58" s="46" t="str">
        <f t="shared" ca="1" si="115"/>
        <v/>
      </c>
      <c r="BO58" s="47" t="str">
        <f t="shared" si="150"/>
        <v/>
      </c>
      <c r="BP58" s="46" t="str">
        <f t="shared" ca="1" si="151"/>
        <v/>
      </c>
      <c r="BQ58" s="141" t="str">
        <f ca="1">IFERROR(IF(AND(ISNUMBER(Futs!$CC58), ISNUMBER($BL58)), (Futs!$CC58 + $BL58)*6.35, ""), "")</f>
        <v/>
      </c>
      <c r="BR58" s="46" t="str">
        <f ca="1">IFERROR(IF(AND(ISNUMBER(Futs!$CD58), ISNUMBER($BN58)), (Futs!$CD58 + $BN58)*6.35, ""), "")</f>
        <v/>
      </c>
      <c r="BS58" s="47" t="str">
        <f t="shared" ca="1" si="152"/>
        <v/>
      </c>
      <c r="BT58" s="114" t="str">
        <f t="shared" ca="1" si="153"/>
        <v/>
      </c>
      <c r="BU58" s="49" t="str">
        <f t="shared" ca="1" si="116"/>
        <v/>
      </c>
      <c r="BV58" s="46" t="str">
        <f t="shared" ca="1" si="117"/>
        <v/>
      </c>
      <c r="BW58" s="47" t="str">
        <f t="shared" ca="1" si="154"/>
        <v/>
      </c>
      <c r="BX58" s="111" t="str">
        <f t="shared" ca="1" si="155"/>
        <v/>
      </c>
      <c r="BY58" s="397"/>
      <c r="BZ58" s="372" t="str">
        <f ca="1">IFERROR(INDEX(ICE[], MATCH("fo05singbrx" &amp; TEXT(Hvy!$A58, "mmmyy"), ICE[LongCode], 0), MATCH("Text", ICE[#Headers], 0)), "")</f>
        <v/>
      </c>
      <c r="CA58" s="46" t="str">
        <f t="shared" ca="1" si="118"/>
        <v/>
      </c>
      <c r="CB58" s="47" t="str">
        <f t="shared" si="156"/>
        <v/>
      </c>
      <c r="CC58" s="114" t="str">
        <f t="shared" ca="1" si="157"/>
        <v/>
      </c>
      <c r="CD58" s="141" t="str">
        <f ca="1">IFERROR(IF(AND(ISNUMBER(Futs!$CC58), ISNUMBER($BY58)), (Futs!$CC58 + $BY58)*6.35, ""), "")</f>
        <v/>
      </c>
      <c r="CE58" s="46" t="str">
        <f ca="1">IFERROR(IF(AND(ISNUMBER(Futs!$CD58), ISNUMBER($CA58)), (Futs!$CD58 + $CA58)*6.35, ""), "")</f>
        <v/>
      </c>
      <c r="CF58" s="47" t="str">
        <f t="shared" ca="1" si="158"/>
        <v/>
      </c>
      <c r="CG58" s="114" t="str">
        <f t="shared" ca="1" si="159"/>
        <v/>
      </c>
      <c r="CH58" s="141" t="str">
        <f t="shared" ca="1" si="119"/>
        <v/>
      </c>
      <c r="CI58" s="46" t="str">
        <f t="shared" ca="1" si="120"/>
        <v/>
      </c>
      <c r="CJ58" s="47" t="str">
        <f t="shared" ca="1" si="160"/>
        <v/>
      </c>
      <c r="CK58" s="114" t="str">
        <f t="shared" ca="1" si="161"/>
        <v/>
      </c>
      <c r="CL58" s="49" t="str">
        <f t="shared" ca="1" si="128"/>
        <v/>
      </c>
      <c r="CM58" s="46" t="str">
        <f t="shared" ca="1" si="129"/>
        <v/>
      </c>
      <c r="CN58" s="47" t="str">
        <f t="shared" ca="1" si="162"/>
        <v/>
      </c>
      <c r="CO58" s="111" t="str">
        <f t="shared" ca="1" si="163"/>
        <v/>
      </c>
    </row>
    <row r="59" spans="1:93" x14ac:dyDescent="0.25">
      <c r="A59" s="58">
        <f t="shared" ca="1" si="130"/>
        <v>47484</v>
      </c>
      <c r="B59" s="6">
        <f t="shared" ca="1" si="105"/>
        <v>2030</v>
      </c>
      <c r="C59" s="6" t="str">
        <f t="shared" ca="1" si="121"/>
        <v>Q130</v>
      </c>
      <c r="D59" s="28" t="e">
        <f ca="1">INDEX(ICE[], MATCH(D$18 &amp; TEXT(Hvy!$A59, "mmmyy"), ICE[LongCode], 0), MATCH("Settle", ICE[#Headers], 0))</f>
        <v>#N/A</v>
      </c>
      <c r="E59" s="28" t="e">
        <f ca="1">INDEX(ICE[], MATCH(E$18 &amp; TEXT(Hvy!$A59, "mmmyy"), ICE[LongCode], 0), MATCH("Settle", ICE[#Headers], 0))</f>
        <v>#N/A</v>
      </c>
      <c r="F59" s="28" t="e">
        <f ca="1">INDEX(ICE[], MATCH(F$18 &amp; TEXT(Hvy!$A59, "mmmyy"), ICE[LongCode], 0), MATCH("Settle", ICE[#Headers], 0))</f>
        <v>#N/A</v>
      </c>
      <c r="G59" s="28" t="e">
        <f ca="1">INDEX(ICE[], MATCH(G$18 &amp; TEXT(Hvy!$A59, "mmmyy"), ICE[LongCode], 0), MATCH("Settle", ICE[#Headers], 0))</f>
        <v>#N/A</v>
      </c>
      <c r="H59" s="28" t="e">
        <f ca="1">INDEX(ICE[], MATCH(H$18 &amp; TEXT(Hvy!$A59, "mmmyy"), ICE[LongCode], 0), MATCH("Settle", ICE[#Headers], 0))</f>
        <v>#N/A</v>
      </c>
      <c r="I59" s="28" t="e">
        <f ca="1">INDEX(ICE[], MATCH(I$18 &amp; TEXT(Hvy!$A59, "mmmyy"), ICE[LongCode], 0), MATCH("Settle", ICE[#Headers], 0))</f>
        <v>#N/A</v>
      </c>
      <c r="J59" s="397"/>
      <c r="K59" s="372" t="str">
        <f ca="1">IFERROR(INDEX(ICE[], MATCH("fo35brx" &amp; TEXT(Hvy!$A59, "mmmyy"), ICE[LongCode], 0), MATCH("Text", ICE[#Headers], 0)), "")</f>
        <v/>
      </c>
      <c r="L59" s="46" t="str">
        <f t="shared" ca="1" si="122"/>
        <v/>
      </c>
      <c r="M59" s="47" t="str">
        <f t="shared" si="123"/>
        <v/>
      </c>
      <c r="N59" s="46" t="str">
        <f t="shared" ca="1" si="131"/>
        <v/>
      </c>
      <c r="O59" s="141" t="str">
        <f ca="1">IFERROR(IF(AND(ISNUMBER(Futs!$CC59), ISNUMBER($J59)), (Futs!$CC59 + $J59)*6.35, ""), "")</f>
        <v/>
      </c>
      <c r="P59" s="67" t="str">
        <f ca="1">IFERROR(IF(AND(ISNUMBER(Futs!$CD59), ISNUMBER($L59)), (Futs!$CD59 + $L59)*6.35, ""), "")</f>
        <v/>
      </c>
      <c r="Q59" s="47" t="str">
        <f t="shared" ca="1" si="132"/>
        <v/>
      </c>
      <c r="R59" s="46" t="str">
        <f t="shared" ca="1" si="133"/>
        <v/>
      </c>
      <c r="S59" s="397"/>
      <c r="T59" s="372" t="str">
        <f ca="1">IFERROR(INDEX(ICE[], MATCH("hilo" &amp; TEXT(Hvy!$A59, "mmmyy"), ICE[LongCode], 0), MATCH("Text", ICE[#Headers], 0)), "")</f>
        <v/>
      </c>
      <c r="U59" s="46" t="str">
        <f t="shared" ca="1" si="106"/>
        <v/>
      </c>
      <c r="V59" s="47" t="str">
        <f t="shared" si="134"/>
        <v/>
      </c>
      <c r="W59" s="114" t="str">
        <f t="shared" ca="1" si="135"/>
        <v/>
      </c>
      <c r="X59" s="49" t="str">
        <f t="shared" ca="1" si="107"/>
        <v/>
      </c>
      <c r="Y59" s="46" t="str">
        <f t="shared" ca="1" si="108"/>
        <v/>
      </c>
      <c r="Z59" s="47" t="str">
        <f t="shared" ca="1" si="136"/>
        <v/>
      </c>
      <c r="AA59" s="111" t="str">
        <f t="shared" ca="1" si="137"/>
        <v/>
      </c>
      <c r="AB59" s="397"/>
      <c r="AC59" s="372" t="str">
        <f ca="1">IFERROR(INDEX(ICE[], MATCH("hsfoew" &amp; TEXT(Hvy!$A59, "mmmyy"), ICE[LongCode], 0), MATCH("Text", ICE[#Headers], 0)), "")</f>
        <v/>
      </c>
      <c r="AD59" s="46" t="str">
        <f t="shared" ca="1" si="109"/>
        <v/>
      </c>
      <c r="AE59" s="47" t="str">
        <f t="shared" si="124"/>
        <v/>
      </c>
      <c r="AF59" s="114" t="str">
        <f t="shared" ca="1" si="125"/>
        <v/>
      </c>
      <c r="AG59" s="141" t="str">
        <f t="shared" ca="1" si="110"/>
        <v/>
      </c>
      <c r="AH59" s="46" t="str">
        <f t="shared" ca="1" si="111"/>
        <v/>
      </c>
      <c r="AI59" s="47" t="str">
        <f t="shared" ca="1" si="126"/>
        <v/>
      </c>
      <c r="AJ59" s="364" t="str">
        <f ca="1">IFERROR(INDEX(ICE[], MATCH("brfo380" &amp; TEXT(Crd!$A59, "mmmyy"), ICE[LongCode], 0), MATCH("Text", ICE[#Headers], 0)), "")</f>
        <v/>
      </c>
      <c r="AK59" s="114" t="str">
        <f t="shared" ca="1" si="127"/>
        <v/>
      </c>
      <c r="AL59" s="49" t="str">
        <f ca="1">IFERROR(IF(AND(ISNUMBER(Futs!$CC59), ISNUMBER($AG59)), $AG59/6.35 - Futs!$CC59, ""), "")</f>
        <v/>
      </c>
      <c r="AM59" s="372" t="str">
        <f ca="1">IFERROR(INDEX(ICE[], MATCH("fo380brx" &amp; TEXT(Hvy!$A59, "mmmyy"), ICE[LongCode], 0), MATCH("Text", ICE[#Headers], 0)), "")</f>
        <v/>
      </c>
      <c r="AN59" s="46" t="str">
        <f ca="1">IFERROR(IF(AND(ISNUMBER(Futs!$CD59), ISNUMBER($AH59)), $AH59/6.35 - Futs!$CD59, ""), "")</f>
        <v/>
      </c>
      <c r="AO59" s="47" t="str">
        <f t="shared" ca="1" si="138"/>
        <v/>
      </c>
      <c r="AP59" s="114" t="str">
        <f t="shared" ca="1" si="139"/>
        <v/>
      </c>
      <c r="AQ59" s="49" t="str">
        <f ca="1">IFERROR(IF(AND(ISNUMBER(Crd!$X59), ISNUMBER($AG59)), $AG59/6.35 - Crd!$X59, ""), "")</f>
        <v/>
      </c>
      <c r="AR59" s="46" t="str">
        <f ca="1">IFERROR(IF(AND(ISNUMBER(Crd!$Y59), ISNUMBER($AH59)), $AH59/6.35 - Crd!$Y59, ""), "")</f>
        <v/>
      </c>
      <c r="AS59" s="47" t="str">
        <f t="shared" ca="1" si="140"/>
        <v/>
      </c>
      <c r="AT59" s="111" t="str">
        <f t="shared" ca="1" si="141"/>
        <v/>
      </c>
      <c r="AU59" s="397"/>
      <c r="AV59" s="372" t="str">
        <f ca="1">IFERROR(INDEX(ICE[], MATCH("visco" &amp; TEXT(Hvy!$A59, "mmmyy"), ICE[LongCode], 0), MATCH("Text", ICE[#Headers], 0)), "")</f>
        <v/>
      </c>
      <c r="AW59" s="46" t="str">
        <f t="shared" ca="1" si="112"/>
        <v/>
      </c>
      <c r="AX59" s="47" t="str">
        <f t="shared" si="142"/>
        <v/>
      </c>
      <c r="AY59" s="46" t="str">
        <f t="shared" ca="1" si="143"/>
        <v/>
      </c>
      <c r="AZ59" s="141" t="str">
        <f t="shared" ca="1" si="113"/>
        <v/>
      </c>
      <c r="BA59" s="46" t="str">
        <f t="shared" ca="1" si="114"/>
        <v/>
      </c>
      <c r="BB59" s="47" t="str">
        <f t="shared" ca="1" si="144"/>
        <v/>
      </c>
      <c r="BC59" s="114" t="str">
        <f t="shared" ca="1" si="145"/>
        <v/>
      </c>
      <c r="BD59" s="49" t="str">
        <f ca="1">IFERROR(IF(AND(ISNUMBER(Futs!$CC59), ISNUMBER($AZ59)), $AZ59/6.35 - Futs!$CC59, ""), "")</f>
        <v/>
      </c>
      <c r="BE59" s="46" t="str">
        <f ca="1">IFERROR(IF(AND(ISNUMBER(Futs!$CD59), ISNUMBER($BA59)), $BA59/6.35 - Futs!$CD59, ""), "")</f>
        <v/>
      </c>
      <c r="BF59" s="47" t="str">
        <f t="shared" ca="1" si="146"/>
        <v/>
      </c>
      <c r="BG59" s="114" t="str">
        <f t="shared" ca="1" si="147"/>
        <v/>
      </c>
      <c r="BH59" s="49" t="str">
        <f ca="1">IFERROR(IF(AND(ISNUMBER(Crd!$X59), ISNUMBER($AZ59)), $AZ59/6.35 - Crd!$X59, ""), "")</f>
        <v/>
      </c>
      <c r="BI59" s="46" t="str">
        <f ca="1">IFERROR(IF(AND(ISNUMBER(Crd!$Y59), ISNUMBER($BA59)), $BA59/6.35 - Crd!$Y59, ""), "")</f>
        <v/>
      </c>
      <c r="BJ59" s="47" t="str">
        <f t="shared" ca="1" si="148"/>
        <v/>
      </c>
      <c r="BK59" s="111" t="str">
        <f t="shared" ca="1" si="149"/>
        <v/>
      </c>
      <c r="BL59" s="397"/>
      <c r="BM59" s="372" t="str">
        <f ca="1">IFERROR(INDEX(ICE[], MATCH("fo05bfrbrx" &amp; TEXT(Hvy!$A59, "mmmyy"), ICE[LongCode], 0), MATCH("Text", ICE[#Headers], 0)), "")</f>
        <v/>
      </c>
      <c r="BN59" s="46" t="str">
        <f t="shared" ca="1" si="115"/>
        <v/>
      </c>
      <c r="BO59" s="47" t="str">
        <f t="shared" si="150"/>
        <v/>
      </c>
      <c r="BP59" s="46" t="str">
        <f t="shared" ca="1" si="151"/>
        <v/>
      </c>
      <c r="BQ59" s="141" t="str">
        <f ca="1">IFERROR(IF(AND(ISNUMBER(Futs!$CC59), ISNUMBER($BL59)), (Futs!$CC59 + $BL59)*6.35, ""), "")</f>
        <v/>
      </c>
      <c r="BR59" s="46" t="str">
        <f ca="1">IFERROR(IF(AND(ISNUMBER(Futs!$CD59), ISNUMBER($BN59)), (Futs!$CD59 + $BN59)*6.35, ""), "")</f>
        <v/>
      </c>
      <c r="BS59" s="47" t="str">
        <f t="shared" ca="1" si="152"/>
        <v/>
      </c>
      <c r="BT59" s="114" t="str">
        <f t="shared" ca="1" si="153"/>
        <v/>
      </c>
      <c r="BU59" s="49" t="str">
        <f t="shared" ca="1" si="116"/>
        <v/>
      </c>
      <c r="BV59" s="46" t="str">
        <f t="shared" ca="1" si="117"/>
        <v/>
      </c>
      <c r="BW59" s="47" t="str">
        <f t="shared" ca="1" si="154"/>
        <v/>
      </c>
      <c r="BX59" s="111" t="str">
        <f t="shared" ca="1" si="155"/>
        <v/>
      </c>
      <c r="BY59" s="397"/>
      <c r="BZ59" s="372" t="str">
        <f ca="1">IFERROR(INDEX(ICE[], MATCH("fo05singbrx" &amp; TEXT(Hvy!$A59, "mmmyy"), ICE[LongCode], 0), MATCH("Text", ICE[#Headers], 0)), "")</f>
        <v/>
      </c>
      <c r="CA59" s="46" t="str">
        <f t="shared" ca="1" si="118"/>
        <v/>
      </c>
      <c r="CB59" s="47" t="str">
        <f t="shared" si="156"/>
        <v/>
      </c>
      <c r="CC59" s="114" t="str">
        <f t="shared" ca="1" si="157"/>
        <v/>
      </c>
      <c r="CD59" s="141" t="str">
        <f ca="1">IFERROR(IF(AND(ISNUMBER(Futs!$CC59), ISNUMBER($BY59)), (Futs!$CC59 + $BY59)*6.35, ""), "")</f>
        <v/>
      </c>
      <c r="CE59" s="46" t="str">
        <f ca="1">IFERROR(IF(AND(ISNUMBER(Futs!$CD59), ISNUMBER($CA59)), (Futs!$CD59 + $CA59)*6.35, ""), "")</f>
        <v/>
      </c>
      <c r="CF59" s="47" t="str">
        <f t="shared" ca="1" si="158"/>
        <v/>
      </c>
      <c r="CG59" s="114" t="str">
        <f t="shared" ca="1" si="159"/>
        <v/>
      </c>
      <c r="CH59" s="141" t="str">
        <f t="shared" ca="1" si="119"/>
        <v/>
      </c>
      <c r="CI59" s="46" t="str">
        <f t="shared" ca="1" si="120"/>
        <v/>
      </c>
      <c r="CJ59" s="47" t="str">
        <f t="shared" ca="1" si="160"/>
        <v/>
      </c>
      <c r="CK59" s="114" t="str">
        <f t="shared" ca="1" si="161"/>
        <v/>
      </c>
      <c r="CL59" s="49" t="str">
        <f t="shared" ca="1" si="128"/>
        <v/>
      </c>
      <c r="CM59" s="46" t="str">
        <f t="shared" ca="1" si="129"/>
        <v/>
      </c>
      <c r="CN59" s="47" t="str">
        <f t="shared" ca="1" si="162"/>
        <v/>
      </c>
      <c r="CO59" s="111" t="str">
        <f t="shared" ca="1" si="163"/>
        <v/>
      </c>
    </row>
    <row r="60" spans="1:93" x14ac:dyDescent="0.25">
      <c r="A60" s="58">
        <f t="shared" ca="1" si="130"/>
        <v>47515</v>
      </c>
      <c r="B60" s="6">
        <f t="shared" ca="1" si="105"/>
        <v>2030</v>
      </c>
      <c r="C60" s="6" t="str">
        <f t="shared" ca="1" si="121"/>
        <v>Q130</v>
      </c>
      <c r="D60" s="28" t="e">
        <f ca="1">INDEX(ICE[], MATCH(D$18 &amp; TEXT(Hvy!$A60, "mmmyy"), ICE[LongCode], 0), MATCH("Settle", ICE[#Headers], 0))</f>
        <v>#N/A</v>
      </c>
      <c r="E60" s="28" t="e">
        <f ca="1">INDEX(ICE[], MATCH(E$18 &amp; TEXT(Hvy!$A60, "mmmyy"), ICE[LongCode], 0), MATCH("Settle", ICE[#Headers], 0))</f>
        <v>#N/A</v>
      </c>
      <c r="F60" s="28" t="e">
        <f ca="1">INDEX(ICE[], MATCH(F$18 &amp; TEXT(Hvy!$A60, "mmmyy"), ICE[LongCode], 0), MATCH("Settle", ICE[#Headers], 0))</f>
        <v>#N/A</v>
      </c>
      <c r="G60" s="28" t="e">
        <f ca="1">INDEX(ICE[], MATCH(G$18 &amp; TEXT(Hvy!$A60, "mmmyy"), ICE[LongCode], 0), MATCH("Settle", ICE[#Headers], 0))</f>
        <v>#N/A</v>
      </c>
      <c r="H60" s="28" t="e">
        <f ca="1">INDEX(ICE[], MATCH(H$18 &amp; TEXT(Hvy!$A60, "mmmyy"), ICE[LongCode], 0), MATCH("Settle", ICE[#Headers], 0))</f>
        <v>#N/A</v>
      </c>
      <c r="I60" s="28" t="e">
        <f ca="1">INDEX(ICE[], MATCH(I$18 &amp; TEXT(Hvy!$A60, "mmmyy"), ICE[LongCode], 0), MATCH("Settle", ICE[#Headers], 0))</f>
        <v>#N/A</v>
      </c>
      <c r="J60" s="397"/>
      <c r="K60" s="372" t="str">
        <f ca="1">IFERROR(INDEX(ICE[], MATCH("fo35brx" &amp; TEXT(Hvy!$A60, "mmmyy"), ICE[LongCode], 0), MATCH("Text", ICE[#Headers], 0)), "")</f>
        <v/>
      </c>
      <c r="L60" s="46" t="str">
        <f t="shared" ca="1" si="122"/>
        <v/>
      </c>
      <c r="M60" s="47" t="str">
        <f t="shared" si="123"/>
        <v/>
      </c>
      <c r="N60" s="46" t="str">
        <f t="shared" ca="1" si="131"/>
        <v/>
      </c>
      <c r="O60" s="141" t="str">
        <f ca="1">IFERROR(IF(AND(ISNUMBER(Futs!$CC60), ISNUMBER($J60)), (Futs!$CC60 + $J60)*6.35, ""), "")</f>
        <v/>
      </c>
      <c r="P60" s="67" t="str">
        <f ca="1">IFERROR(IF(AND(ISNUMBER(Futs!$CD60), ISNUMBER($L60)), (Futs!$CD60 + $L60)*6.35, ""), "")</f>
        <v/>
      </c>
      <c r="Q60" s="47" t="str">
        <f t="shared" ca="1" si="132"/>
        <v/>
      </c>
      <c r="R60" s="46" t="str">
        <f t="shared" ca="1" si="133"/>
        <v/>
      </c>
      <c r="S60" s="397"/>
      <c r="T60" s="372" t="str">
        <f ca="1">IFERROR(INDEX(ICE[], MATCH("hilo" &amp; TEXT(Hvy!$A60, "mmmyy"), ICE[LongCode], 0), MATCH("Text", ICE[#Headers], 0)), "")</f>
        <v/>
      </c>
      <c r="U60" s="46" t="str">
        <f t="shared" ca="1" si="106"/>
        <v/>
      </c>
      <c r="V60" s="47" t="str">
        <f t="shared" si="134"/>
        <v/>
      </c>
      <c r="W60" s="114" t="str">
        <f t="shared" ca="1" si="135"/>
        <v/>
      </c>
      <c r="X60" s="49" t="str">
        <f t="shared" ca="1" si="107"/>
        <v/>
      </c>
      <c r="Y60" s="46" t="str">
        <f t="shared" ca="1" si="108"/>
        <v/>
      </c>
      <c r="Z60" s="47" t="str">
        <f t="shared" ca="1" si="136"/>
        <v/>
      </c>
      <c r="AA60" s="111" t="str">
        <f t="shared" ca="1" si="137"/>
        <v/>
      </c>
      <c r="AB60" s="397"/>
      <c r="AC60" s="372" t="str">
        <f ca="1">IFERROR(INDEX(ICE[], MATCH("hsfoew" &amp; TEXT(Hvy!$A60, "mmmyy"), ICE[LongCode], 0), MATCH("Text", ICE[#Headers], 0)), "")</f>
        <v/>
      </c>
      <c r="AD60" s="46" t="str">
        <f t="shared" ca="1" si="109"/>
        <v/>
      </c>
      <c r="AE60" s="47" t="str">
        <f t="shared" si="124"/>
        <v/>
      </c>
      <c r="AF60" s="114" t="str">
        <f t="shared" ca="1" si="125"/>
        <v/>
      </c>
      <c r="AG60" s="141" t="str">
        <f t="shared" ca="1" si="110"/>
        <v/>
      </c>
      <c r="AH60" s="46" t="str">
        <f t="shared" ca="1" si="111"/>
        <v/>
      </c>
      <c r="AI60" s="47" t="str">
        <f t="shared" ca="1" si="126"/>
        <v/>
      </c>
      <c r="AJ60" s="364" t="str">
        <f ca="1">IFERROR(INDEX(ICE[], MATCH("brfo380" &amp; TEXT(Crd!$A60, "mmmyy"), ICE[LongCode], 0), MATCH("Text", ICE[#Headers], 0)), "")</f>
        <v/>
      </c>
      <c r="AK60" s="114" t="str">
        <f t="shared" ca="1" si="127"/>
        <v/>
      </c>
      <c r="AL60" s="49" t="str">
        <f ca="1">IFERROR(IF(AND(ISNUMBER(Futs!$CC60), ISNUMBER($AG60)), $AG60/6.35 - Futs!$CC60, ""), "")</f>
        <v/>
      </c>
      <c r="AM60" s="372" t="str">
        <f ca="1">IFERROR(INDEX(ICE[], MATCH("fo380brx" &amp; TEXT(Hvy!$A60, "mmmyy"), ICE[LongCode], 0), MATCH("Text", ICE[#Headers], 0)), "")</f>
        <v/>
      </c>
      <c r="AN60" s="46" t="str">
        <f ca="1">IFERROR(IF(AND(ISNUMBER(Futs!$CD60), ISNUMBER($AH60)), $AH60/6.35 - Futs!$CD60, ""), "")</f>
        <v/>
      </c>
      <c r="AO60" s="47" t="str">
        <f t="shared" ca="1" si="138"/>
        <v/>
      </c>
      <c r="AP60" s="114" t="str">
        <f t="shared" ca="1" si="139"/>
        <v/>
      </c>
      <c r="AQ60" s="49" t="str">
        <f ca="1">IFERROR(IF(AND(ISNUMBER(Crd!$X60), ISNUMBER($AG60)), $AG60/6.35 - Crd!$X60, ""), "")</f>
        <v/>
      </c>
      <c r="AR60" s="46" t="str">
        <f ca="1">IFERROR(IF(AND(ISNUMBER(Crd!$Y60), ISNUMBER($AH60)), $AH60/6.35 - Crd!$Y60, ""), "")</f>
        <v/>
      </c>
      <c r="AS60" s="47" t="str">
        <f t="shared" ca="1" si="140"/>
        <v/>
      </c>
      <c r="AT60" s="111" t="str">
        <f t="shared" ca="1" si="141"/>
        <v/>
      </c>
      <c r="AU60" s="397"/>
      <c r="AV60" s="372" t="str">
        <f ca="1">IFERROR(INDEX(ICE[], MATCH("visco" &amp; TEXT(Hvy!$A60, "mmmyy"), ICE[LongCode], 0), MATCH("Text", ICE[#Headers], 0)), "")</f>
        <v/>
      </c>
      <c r="AW60" s="46" t="str">
        <f t="shared" ca="1" si="112"/>
        <v/>
      </c>
      <c r="AX60" s="47" t="str">
        <f t="shared" si="142"/>
        <v/>
      </c>
      <c r="AY60" s="46" t="str">
        <f t="shared" ca="1" si="143"/>
        <v/>
      </c>
      <c r="AZ60" s="141" t="str">
        <f t="shared" ca="1" si="113"/>
        <v/>
      </c>
      <c r="BA60" s="46" t="str">
        <f t="shared" ca="1" si="114"/>
        <v/>
      </c>
      <c r="BB60" s="47" t="str">
        <f t="shared" ca="1" si="144"/>
        <v/>
      </c>
      <c r="BC60" s="114" t="str">
        <f t="shared" ca="1" si="145"/>
        <v/>
      </c>
      <c r="BD60" s="49" t="str">
        <f ca="1">IFERROR(IF(AND(ISNUMBER(Futs!$CC60), ISNUMBER($AZ60)), $AZ60/6.35 - Futs!$CC60, ""), "")</f>
        <v/>
      </c>
      <c r="BE60" s="46" t="str">
        <f ca="1">IFERROR(IF(AND(ISNUMBER(Futs!$CD60), ISNUMBER($BA60)), $BA60/6.35 - Futs!$CD60, ""), "")</f>
        <v/>
      </c>
      <c r="BF60" s="47" t="str">
        <f t="shared" ca="1" si="146"/>
        <v/>
      </c>
      <c r="BG60" s="114" t="str">
        <f t="shared" ca="1" si="147"/>
        <v/>
      </c>
      <c r="BH60" s="49" t="str">
        <f ca="1">IFERROR(IF(AND(ISNUMBER(Crd!$X60), ISNUMBER($AZ60)), $AZ60/6.35 - Crd!$X60, ""), "")</f>
        <v/>
      </c>
      <c r="BI60" s="46" t="str">
        <f ca="1">IFERROR(IF(AND(ISNUMBER(Crd!$Y60), ISNUMBER($BA60)), $BA60/6.35 - Crd!$Y60, ""), "")</f>
        <v/>
      </c>
      <c r="BJ60" s="47" t="str">
        <f t="shared" ca="1" si="148"/>
        <v/>
      </c>
      <c r="BK60" s="111" t="str">
        <f t="shared" ca="1" si="149"/>
        <v/>
      </c>
      <c r="BL60" s="397"/>
      <c r="BM60" s="372" t="str">
        <f ca="1">IFERROR(INDEX(ICE[], MATCH("fo05bfrbrx" &amp; TEXT(Hvy!$A60, "mmmyy"), ICE[LongCode], 0), MATCH("Text", ICE[#Headers], 0)), "")</f>
        <v/>
      </c>
      <c r="BN60" s="46" t="str">
        <f t="shared" ca="1" si="115"/>
        <v/>
      </c>
      <c r="BO60" s="47" t="str">
        <f t="shared" si="150"/>
        <v/>
      </c>
      <c r="BP60" s="46" t="str">
        <f t="shared" ca="1" si="151"/>
        <v/>
      </c>
      <c r="BQ60" s="141" t="str">
        <f ca="1">IFERROR(IF(AND(ISNUMBER(Futs!$CC60), ISNUMBER($BL60)), (Futs!$CC60 + $BL60)*6.35, ""), "")</f>
        <v/>
      </c>
      <c r="BR60" s="46" t="str">
        <f ca="1">IFERROR(IF(AND(ISNUMBER(Futs!$CD60), ISNUMBER($BN60)), (Futs!$CD60 + $BN60)*6.35, ""), "")</f>
        <v/>
      </c>
      <c r="BS60" s="47" t="str">
        <f t="shared" ca="1" si="152"/>
        <v/>
      </c>
      <c r="BT60" s="114" t="str">
        <f t="shared" ca="1" si="153"/>
        <v/>
      </c>
      <c r="BU60" s="49" t="str">
        <f t="shared" ca="1" si="116"/>
        <v/>
      </c>
      <c r="BV60" s="46" t="str">
        <f t="shared" ca="1" si="117"/>
        <v/>
      </c>
      <c r="BW60" s="47" t="str">
        <f t="shared" ca="1" si="154"/>
        <v/>
      </c>
      <c r="BX60" s="111" t="str">
        <f t="shared" ca="1" si="155"/>
        <v/>
      </c>
      <c r="BY60" s="397"/>
      <c r="BZ60" s="372" t="str">
        <f ca="1">IFERROR(INDEX(ICE[], MATCH("fo05singbrx" &amp; TEXT(Hvy!$A60, "mmmyy"), ICE[LongCode], 0), MATCH("Text", ICE[#Headers], 0)), "")</f>
        <v/>
      </c>
      <c r="CA60" s="46" t="str">
        <f t="shared" ca="1" si="118"/>
        <v/>
      </c>
      <c r="CB60" s="47" t="str">
        <f t="shared" si="156"/>
        <v/>
      </c>
      <c r="CC60" s="114" t="str">
        <f t="shared" ca="1" si="157"/>
        <v/>
      </c>
      <c r="CD60" s="141" t="str">
        <f ca="1">IFERROR(IF(AND(ISNUMBER(Futs!$CC60), ISNUMBER($BY60)), (Futs!$CC60 + $BY60)*6.35, ""), "")</f>
        <v/>
      </c>
      <c r="CE60" s="46" t="str">
        <f ca="1">IFERROR(IF(AND(ISNUMBER(Futs!$CD60), ISNUMBER($CA60)), (Futs!$CD60 + $CA60)*6.35, ""), "")</f>
        <v/>
      </c>
      <c r="CF60" s="47" t="str">
        <f t="shared" ca="1" si="158"/>
        <v/>
      </c>
      <c r="CG60" s="114" t="str">
        <f t="shared" ca="1" si="159"/>
        <v/>
      </c>
      <c r="CH60" s="141" t="str">
        <f t="shared" ca="1" si="119"/>
        <v/>
      </c>
      <c r="CI60" s="46" t="str">
        <f t="shared" ca="1" si="120"/>
        <v/>
      </c>
      <c r="CJ60" s="47" t="str">
        <f t="shared" ca="1" si="160"/>
        <v/>
      </c>
      <c r="CK60" s="114" t="str">
        <f t="shared" ca="1" si="161"/>
        <v/>
      </c>
      <c r="CL60" s="49" t="str">
        <f t="shared" ca="1" si="128"/>
        <v/>
      </c>
      <c r="CM60" s="46" t="str">
        <f t="shared" ca="1" si="129"/>
        <v/>
      </c>
      <c r="CN60" s="47" t="str">
        <f t="shared" ca="1" si="162"/>
        <v/>
      </c>
      <c r="CO60" s="111" t="str">
        <f t="shared" ca="1" si="163"/>
        <v/>
      </c>
    </row>
    <row r="61" spans="1:93" x14ac:dyDescent="0.25">
      <c r="A61" s="58">
        <f t="shared" ca="1" si="130"/>
        <v>47543</v>
      </c>
      <c r="B61" s="6">
        <f t="shared" ca="1" si="105"/>
        <v>2030</v>
      </c>
      <c r="C61" s="6" t="str">
        <f t="shared" ca="1" si="121"/>
        <v>Q130</v>
      </c>
      <c r="D61" s="28" t="e">
        <f ca="1">INDEX(ICE[], MATCH(D$18 &amp; TEXT(Hvy!$A61, "mmmyy"), ICE[LongCode], 0), MATCH("Settle", ICE[#Headers], 0))</f>
        <v>#N/A</v>
      </c>
      <c r="E61" s="28" t="e">
        <f ca="1">INDEX(ICE[], MATCH(E$18 &amp; TEXT(Hvy!$A61, "mmmyy"), ICE[LongCode], 0), MATCH("Settle", ICE[#Headers], 0))</f>
        <v>#N/A</v>
      </c>
      <c r="F61" s="28" t="e">
        <f ca="1">INDEX(ICE[], MATCH(F$18 &amp; TEXT(Hvy!$A61, "mmmyy"), ICE[LongCode], 0), MATCH("Settle", ICE[#Headers], 0))</f>
        <v>#N/A</v>
      </c>
      <c r="G61" s="28" t="e">
        <f ca="1">INDEX(ICE[], MATCH(G$18 &amp; TEXT(Hvy!$A61, "mmmyy"), ICE[LongCode], 0), MATCH("Settle", ICE[#Headers], 0))</f>
        <v>#N/A</v>
      </c>
      <c r="H61" s="28" t="e">
        <f ca="1">INDEX(ICE[], MATCH(H$18 &amp; TEXT(Hvy!$A61, "mmmyy"), ICE[LongCode], 0), MATCH("Settle", ICE[#Headers], 0))</f>
        <v>#N/A</v>
      </c>
      <c r="I61" s="28" t="e">
        <f ca="1">INDEX(ICE[], MATCH(I$18 &amp; TEXT(Hvy!$A61, "mmmyy"), ICE[LongCode], 0), MATCH("Settle", ICE[#Headers], 0))</f>
        <v>#N/A</v>
      </c>
      <c r="J61" s="397"/>
      <c r="K61" s="372" t="str">
        <f ca="1">IFERROR(INDEX(ICE[], MATCH("fo35brx" &amp; TEXT(Hvy!$A61, "mmmyy"), ICE[LongCode], 0), MATCH("Text", ICE[#Headers], 0)), "")</f>
        <v/>
      </c>
      <c r="L61" s="46" t="str">
        <f t="shared" ca="1" si="122"/>
        <v/>
      </c>
      <c r="M61" s="47" t="str">
        <f t="shared" si="123"/>
        <v/>
      </c>
      <c r="N61" s="46" t="str">
        <f t="shared" ca="1" si="131"/>
        <v/>
      </c>
      <c r="O61" s="141" t="str">
        <f ca="1">IFERROR(IF(AND(ISNUMBER(Futs!$CC61), ISNUMBER($J61)), (Futs!$CC61 + $J61)*6.35, ""), "")</f>
        <v/>
      </c>
      <c r="P61" s="67" t="str">
        <f ca="1">IFERROR(IF(AND(ISNUMBER(Futs!$CD61), ISNUMBER($L61)), (Futs!$CD61 + $L61)*6.35, ""), "")</f>
        <v/>
      </c>
      <c r="Q61" s="47" t="str">
        <f t="shared" ca="1" si="132"/>
        <v/>
      </c>
      <c r="R61" s="46" t="str">
        <f t="shared" ca="1" si="133"/>
        <v/>
      </c>
      <c r="S61" s="397"/>
      <c r="T61" s="372" t="str">
        <f ca="1">IFERROR(INDEX(ICE[], MATCH("hilo" &amp; TEXT(Hvy!$A61, "mmmyy"), ICE[LongCode], 0), MATCH("Text", ICE[#Headers], 0)), "")</f>
        <v/>
      </c>
      <c r="U61" s="46" t="str">
        <f t="shared" ca="1" si="106"/>
        <v/>
      </c>
      <c r="V61" s="47" t="str">
        <f t="shared" si="134"/>
        <v/>
      </c>
      <c r="W61" s="114" t="str">
        <f t="shared" ca="1" si="135"/>
        <v/>
      </c>
      <c r="X61" s="49" t="str">
        <f t="shared" ca="1" si="107"/>
        <v/>
      </c>
      <c r="Y61" s="46" t="str">
        <f t="shared" ca="1" si="108"/>
        <v/>
      </c>
      <c r="Z61" s="47" t="str">
        <f t="shared" ca="1" si="136"/>
        <v/>
      </c>
      <c r="AA61" s="111" t="str">
        <f t="shared" ca="1" si="137"/>
        <v/>
      </c>
      <c r="AB61" s="397"/>
      <c r="AC61" s="372" t="str">
        <f ca="1">IFERROR(INDEX(ICE[], MATCH("hsfoew" &amp; TEXT(Hvy!$A61, "mmmyy"), ICE[LongCode], 0), MATCH("Text", ICE[#Headers], 0)), "")</f>
        <v/>
      </c>
      <c r="AD61" s="46" t="str">
        <f t="shared" ca="1" si="109"/>
        <v/>
      </c>
      <c r="AE61" s="47" t="str">
        <f t="shared" si="124"/>
        <v/>
      </c>
      <c r="AF61" s="114" t="str">
        <f t="shared" ca="1" si="125"/>
        <v/>
      </c>
      <c r="AG61" s="141" t="str">
        <f t="shared" ca="1" si="110"/>
        <v/>
      </c>
      <c r="AH61" s="46" t="str">
        <f t="shared" ca="1" si="111"/>
        <v/>
      </c>
      <c r="AI61" s="47" t="str">
        <f t="shared" ca="1" si="126"/>
        <v/>
      </c>
      <c r="AJ61" s="364" t="str">
        <f ca="1">IFERROR(INDEX(ICE[], MATCH("brfo380" &amp; TEXT(Crd!$A61, "mmmyy"), ICE[LongCode], 0), MATCH("Text", ICE[#Headers], 0)), "")</f>
        <v/>
      </c>
      <c r="AK61" s="114" t="str">
        <f t="shared" ca="1" si="127"/>
        <v/>
      </c>
      <c r="AL61" s="49" t="str">
        <f ca="1">IFERROR(IF(AND(ISNUMBER(Futs!$CC61), ISNUMBER($AG61)), $AG61/6.35 - Futs!$CC61, ""), "")</f>
        <v/>
      </c>
      <c r="AM61" s="372" t="str">
        <f ca="1">IFERROR(INDEX(ICE[], MATCH("fo380brx" &amp; TEXT(Hvy!$A61, "mmmyy"), ICE[LongCode], 0), MATCH("Text", ICE[#Headers], 0)), "")</f>
        <v/>
      </c>
      <c r="AN61" s="46" t="str">
        <f ca="1">IFERROR(IF(AND(ISNUMBER(Futs!$CD61), ISNUMBER($AH61)), $AH61/6.35 - Futs!$CD61, ""), "")</f>
        <v/>
      </c>
      <c r="AO61" s="47" t="str">
        <f t="shared" ca="1" si="138"/>
        <v/>
      </c>
      <c r="AP61" s="114" t="str">
        <f t="shared" ca="1" si="139"/>
        <v/>
      </c>
      <c r="AQ61" s="49" t="str">
        <f ca="1">IFERROR(IF(AND(ISNUMBER(Crd!$X61), ISNUMBER($AG61)), $AG61/6.35 - Crd!$X61, ""), "")</f>
        <v/>
      </c>
      <c r="AR61" s="46" t="str">
        <f ca="1">IFERROR(IF(AND(ISNUMBER(Crd!$Y61), ISNUMBER($AH61)), $AH61/6.35 - Crd!$Y61, ""), "")</f>
        <v/>
      </c>
      <c r="AS61" s="47" t="str">
        <f t="shared" ca="1" si="140"/>
        <v/>
      </c>
      <c r="AT61" s="111" t="str">
        <f t="shared" ca="1" si="141"/>
        <v/>
      </c>
      <c r="AU61" s="397"/>
      <c r="AV61" s="372" t="str">
        <f ca="1">IFERROR(INDEX(ICE[], MATCH("visco" &amp; TEXT(Hvy!$A61, "mmmyy"), ICE[LongCode], 0), MATCH("Text", ICE[#Headers], 0)), "")</f>
        <v/>
      </c>
      <c r="AW61" s="46" t="str">
        <f t="shared" ca="1" si="112"/>
        <v/>
      </c>
      <c r="AX61" s="47" t="str">
        <f t="shared" si="142"/>
        <v/>
      </c>
      <c r="AY61" s="46" t="str">
        <f t="shared" ca="1" si="143"/>
        <v/>
      </c>
      <c r="AZ61" s="141" t="str">
        <f t="shared" ca="1" si="113"/>
        <v/>
      </c>
      <c r="BA61" s="46" t="str">
        <f t="shared" ca="1" si="114"/>
        <v/>
      </c>
      <c r="BB61" s="47" t="str">
        <f t="shared" ca="1" si="144"/>
        <v/>
      </c>
      <c r="BC61" s="114" t="str">
        <f t="shared" ca="1" si="145"/>
        <v/>
      </c>
      <c r="BD61" s="49" t="str">
        <f ca="1">IFERROR(IF(AND(ISNUMBER(Futs!$CC61), ISNUMBER($AZ61)), $AZ61/6.35 - Futs!$CC61, ""), "")</f>
        <v/>
      </c>
      <c r="BE61" s="46" t="str">
        <f ca="1">IFERROR(IF(AND(ISNUMBER(Futs!$CD61), ISNUMBER($BA61)), $BA61/6.35 - Futs!$CD61, ""), "")</f>
        <v/>
      </c>
      <c r="BF61" s="47" t="str">
        <f t="shared" ca="1" si="146"/>
        <v/>
      </c>
      <c r="BG61" s="114" t="str">
        <f t="shared" ca="1" si="147"/>
        <v/>
      </c>
      <c r="BH61" s="49" t="str">
        <f ca="1">IFERROR(IF(AND(ISNUMBER(Crd!$X61), ISNUMBER($AZ61)), $AZ61/6.35 - Crd!$X61, ""), "")</f>
        <v/>
      </c>
      <c r="BI61" s="46" t="str">
        <f ca="1">IFERROR(IF(AND(ISNUMBER(Crd!$Y61), ISNUMBER($BA61)), $BA61/6.35 - Crd!$Y61, ""), "")</f>
        <v/>
      </c>
      <c r="BJ61" s="47" t="str">
        <f t="shared" ca="1" si="148"/>
        <v/>
      </c>
      <c r="BK61" s="111" t="str">
        <f t="shared" ca="1" si="149"/>
        <v/>
      </c>
      <c r="BL61" s="397"/>
      <c r="BM61" s="372" t="str">
        <f ca="1">IFERROR(INDEX(ICE[], MATCH("fo05bfrbrx" &amp; TEXT(Hvy!$A61, "mmmyy"), ICE[LongCode], 0), MATCH("Text", ICE[#Headers], 0)), "")</f>
        <v/>
      </c>
      <c r="BN61" s="46" t="str">
        <f t="shared" ca="1" si="115"/>
        <v/>
      </c>
      <c r="BO61" s="47" t="str">
        <f t="shared" si="150"/>
        <v/>
      </c>
      <c r="BP61" s="46" t="str">
        <f t="shared" ca="1" si="151"/>
        <v/>
      </c>
      <c r="BQ61" s="141" t="str">
        <f ca="1">IFERROR(IF(AND(ISNUMBER(Futs!$CC61), ISNUMBER($BL61)), (Futs!$CC61 + $BL61)*6.35, ""), "")</f>
        <v/>
      </c>
      <c r="BR61" s="46" t="str">
        <f ca="1">IFERROR(IF(AND(ISNUMBER(Futs!$CD61), ISNUMBER($BN61)), (Futs!$CD61 + $BN61)*6.35, ""), "")</f>
        <v/>
      </c>
      <c r="BS61" s="47" t="str">
        <f t="shared" ca="1" si="152"/>
        <v/>
      </c>
      <c r="BT61" s="114" t="str">
        <f t="shared" ca="1" si="153"/>
        <v/>
      </c>
      <c r="BU61" s="49" t="str">
        <f t="shared" ca="1" si="116"/>
        <v/>
      </c>
      <c r="BV61" s="46" t="str">
        <f t="shared" ca="1" si="117"/>
        <v/>
      </c>
      <c r="BW61" s="47" t="str">
        <f t="shared" ca="1" si="154"/>
        <v/>
      </c>
      <c r="BX61" s="111" t="str">
        <f t="shared" ca="1" si="155"/>
        <v/>
      </c>
      <c r="BY61" s="397"/>
      <c r="BZ61" s="372" t="str">
        <f ca="1">IFERROR(INDEX(ICE[], MATCH("fo05singbrx" &amp; TEXT(Hvy!$A61, "mmmyy"), ICE[LongCode], 0), MATCH("Text", ICE[#Headers], 0)), "")</f>
        <v/>
      </c>
      <c r="CA61" s="46" t="str">
        <f t="shared" ca="1" si="118"/>
        <v/>
      </c>
      <c r="CB61" s="47" t="str">
        <f t="shared" si="156"/>
        <v/>
      </c>
      <c r="CC61" s="114" t="str">
        <f t="shared" ca="1" si="157"/>
        <v/>
      </c>
      <c r="CD61" s="141" t="str">
        <f ca="1">IFERROR(IF(AND(ISNUMBER(Futs!$CC61), ISNUMBER($BY61)), (Futs!$CC61 + $BY61)*6.35, ""), "")</f>
        <v/>
      </c>
      <c r="CE61" s="46" t="str">
        <f ca="1">IFERROR(IF(AND(ISNUMBER(Futs!$CD61), ISNUMBER($CA61)), (Futs!$CD61 + $CA61)*6.35, ""), "")</f>
        <v/>
      </c>
      <c r="CF61" s="47" t="str">
        <f t="shared" ca="1" si="158"/>
        <v/>
      </c>
      <c r="CG61" s="114" t="str">
        <f t="shared" ca="1" si="159"/>
        <v/>
      </c>
      <c r="CH61" s="141" t="str">
        <f t="shared" ca="1" si="119"/>
        <v/>
      </c>
      <c r="CI61" s="46" t="str">
        <f t="shared" ca="1" si="120"/>
        <v/>
      </c>
      <c r="CJ61" s="47" t="str">
        <f t="shared" ca="1" si="160"/>
        <v/>
      </c>
      <c r="CK61" s="114" t="str">
        <f t="shared" ca="1" si="161"/>
        <v/>
      </c>
      <c r="CL61" s="49" t="str">
        <f t="shared" ca="1" si="128"/>
        <v/>
      </c>
      <c r="CM61" s="46" t="str">
        <f t="shared" ca="1" si="129"/>
        <v/>
      </c>
      <c r="CN61" s="47" t="str">
        <f t="shared" ca="1" si="162"/>
        <v/>
      </c>
      <c r="CO61" s="111" t="str">
        <f t="shared" ca="1" si="163"/>
        <v/>
      </c>
    </row>
    <row r="62" spans="1:93" x14ac:dyDescent="0.25">
      <c r="A62" s="58">
        <f t="shared" ca="1" si="130"/>
        <v>47574</v>
      </c>
      <c r="B62" s="6">
        <f t="shared" ca="1" si="105"/>
        <v>2030</v>
      </c>
      <c r="C62" s="6" t="str">
        <f t="shared" ca="1" si="121"/>
        <v>Q230</v>
      </c>
      <c r="D62" s="28" t="e">
        <f ca="1">INDEX(ICE[], MATCH(D$18 &amp; TEXT(Hvy!$A62, "mmmyy"), ICE[LongCode], 0), MATCH("Settle", ICE[#Headers], 0))</f>
        <v>#N/A</v>
      </c>
      <c r="E62" s="28" t="e">
        <f ca="1">INDEX(ICE[], MATCH(E$18 &amp; TEXT(Hvy!$A62, "mmmyy"), ICE[LongCode], 0), MATCH("Settle", ICE[#Headers], 0))</f>
        <v>#N/A</v>
      </c>
      <c r="F62" s="28" t="e">
        <f ca="1">INDEX(ICE[], MATCH(F$18 &amp; TEXT(Hvy!$A62, "mmmyy"), ICE[LongCode], 0), MATCH("Settle", ICE[#Headers], 0))</f>
        <v>#N/A</v>
      </c>
      <c r="G62" s="28" t="e">
        <f ca="1">INDEX(ICE[], MATCH(G$18 &amp; TEXT(Hvy!$A62, "mmmyy"), ICE[LongCode], 0), MATCH("Settle", ICE[#Headers], 0))</f>
        <v>#N/A</v>
      </c>
      <c r="H62" s="28" t="e">
        <f ca="1">INDEX(ICE[], MATCH(H$18 &amp; TEXT(Hvy!$A62, "mmmyy"), ICE[LongCode], 0), MATCH("Settle", ICE[#Headers], 0))</f>
        <v>#N/A</v>
      </c>
      <c r="I62" s="28" t="e">
        <f ca="1">INDEX(ICE[], MATCH(I$18 &amp; TEXT(Hvy!$A62, "mmmyy"), ICE[LongCode], 0), MATCH("Settle", ICE[#Headers], 0))</f>
        <v>#N/A</v>
      </c>
      <c r="J62" s="397"/>
      <c r="K62" s="372" t="str">
        <f ca="1">IFERROR(INDEX(ICE[], MATCH("fo35brx" &amp; TEXT(Hvy!$A62, "mmmyy"), ICE[LongCode], 0), MATCH("Text", ICE[#Headers], 0)), "")</f>
        <v/>
      </c>
      <c r="L62" s="46" t="str">
        <f t="shared" ca="1" si="122"/>
        <v/>
      </c>
      <c r="M62" s="47" t="str">
        <f t="shared" si="123"/>
        <v/>
      </c>
      <c r="N62" s="46" t="str">
        <f t="shared" ca="1" si="131"/>
        <v/>
      </c>
      <c r="O62" s="141" t="str">
        <f ca="1">IFERROR(IF(AND(ISNUMBER(Futs!$CC62), ISNUMBER($J62)), (Futs!$CC62 + $J62)*6.35, ""), "")</f>
        <v/>
      </c>
      <c r="P62" s="67" t="str">
        <f ca="1">IFERROR(IF(AND(ISNUMBER(Futs!$CD62), ISNUMBER($L62)), (Futs!$CD62 + $L62)*6.35, ""), "")</f>
        <v/>
      </c>
      <c r="Q62" s="47" t="str">
        <f t="shared" ca="1" si="132"/>
        <v/>
      </c>
      <c r="R62" s="46" t="str">
        <f t="shared" ca="1" si="133"/>
        <v/>
      </c>
      <c r="S62" s="397"/>
      <c r="T62" s="372" t="str">
        <f ca="1">IFERROR(INDEX(ICE[], MATCH("hilo" &amp; TEXT(Hvy!$A62, "mmmyy"), ICE[LongCode], 0), MATCH("Text", ICE[#Headers], 0)), "")</f>
        <v/>
      </c>
      <c r="U62" s="46" t="str">
        <f t="shared" ca="1" si="106"/>
        <v/>
      </c>
      <c r="V62" s="47" t="str">
        <f t="shared" si="134"/>
        <v/>
      </c>
      <c r="W62" s="114" t="str">
        <f t="shared" ca="1" si="135"/>
        <v/>
      </c>
      <c r="X62" s="49" t="str">
        <f t="shared" ca="1" si="107"/>
        <v/>
      </c>
      <c r="Y62" s="46" t="str">
        <f t="shared" ca="1" si="108"/>
        <v/>
      </c>
      <c r="Z62" s="47" t="str">
        <f t="shared" ca="1" si="136"/>
        <v/>
      </c>
      <c r="AA62" s="111" t="str">
        <f t="shared" ca="1" si="137"/>
        <v/>
      </c>
      <c r="AB62" s="397"/>
      <c r="AC62" s="372" t="str">
        <f ca="1">IFERROR(INDEX(ICE[], MATCH("hsfoew" &amp; TEXT(Hvy!$A62, "mmmyy"), ICE[LongCode], 0), MATCH("Text", ICE[#Headers], 0)), "")</f>
        <v/>
      </c>
      <c r="AD62" s="46" t="str">
        <f t="shared" ca="1" si="109"/>
        <v/>
      </c>
      <c r="AE62" s="47" t="str">
        <f t="shared" si="124"/>
        <v/>
      </c>
      <c r="AF62" s="114" t="str">
        <f t="shared" ca="1" si="125"/>
        <v/>
      </c>
      <c r="AG62" s="141" t="str">
        <f t="shared" ca="1" si="110"/>
        <v/>
      </c>
      <c r="AH62" s="46" t="str">
        <f t="shared" ca="1" si="111"/>
        <v/>
      </c>
      <c r="AI62" s="47" t="str">
        <f t="shared" ca="1" si="126"/>
        <v/>
      </c>
      <c r="AJ62" s="364" t="str">
        <f ca="1">IFERROR(INDEX(ICE[], MATCH("brfo380" &amp; TEXT(Crd!$A62, "mmmyy"), ICE[LongCode], 0), MATCH("Text", ICE[#Headers], 0)), "")</f>
        <v/>
      </c>
      <c r="AK62" s="114" t="str">
        <f t="shared" ca="1" si="127"/>
        <v/>
      </c>
      <c r="AL62" s="49" t="str">
        <f ca="1">IFERROR(IF(AND(ISNUMBER(Futs!$CC62), ISNUMBER($AG62)), $AG62/6.35 - Futs!$CC62, ""), "")</f>
        <v/>
      </c>
      <c r="AM62" s="372" t="str">
        <f ca="1">IFERROR(INDEX(ICE[], MATCH("fo380brx" &amp; TEXT(Hvy!$A62, "mmmyy"), ICE[LongCode], 0), MATCH("Text", ICE[#Headers], 0)), "")</f>
        <v/>
      </c>
      <c r="AN62" s="46" t="str">
        <f ca="1">IFERROR(IF(AND(ISNUMBER(Futs!$CD62), ISNUMBER($AH62)), $AH62/6.35 - Futs!$CD62, ""), "")</f>
        <v/>
      </c>
      <c r="AO62" s="47" t="str">
        <f t="shared" ca="1" si="138"/>
        <v/>
      </c>
      <c r="AP62" s="114" t="str">
        <f t="shared" ca="1" si="139"/>
        <v/>
      </c>
      <c r="AQ62" s="49" t="str">
        <f ca="1">IFERROR(IF(AND(ISNUMBER(Crd!$X62), ISNUMBER($AG62)), $AG62/6.35 - Crd!$X62, ""), "")</f>
        <v/>
      </c>
      <c r="AR62" s="46" t="str">
        <f ca="1">IFERROR(IF(AND(ISNUMBER(Crd!$Y62), ISNUMBER($AH62)), $AH62/6.35 - Crd!$Y62, ""), "")</f>
        <v/>
      </c>
      <c r="AS62" s="47" t="str">
        <f t="shared" ca="1" si="140"/>
        <v/>
      </c>
      <c r="AT62" s="111" t="str">
        <f t="shared" ca="1" si="141"/>
        <v/>
      </c>
      <c r="AU62" s="397"/>
      <c r="AV62" s="372" t="str">
        <f ca="1">IFERROR(INDEX(ICE[], MATCH("visco" &amp; TEXT(Hvy!$A62, "mmmyy"), ICE[LongCode], 0), MATCH("Text", ICE[#Headers], 0)), "")</f>
        <v/>
      </c>
      <c r="AW62" s="46" t="str">
        <f t="shared" ca="1" si="112"/>
        <v/>
      </c>
      <c r="AX62" s="47" t="str">
        <f t="shared" si="142"/>
        <v/>
      </c>
      <c r="AY62" s="46" t="str">
        <f t="shared" ca="1" si="143"/>
        <v/>
      </c>
      <c r="AZ62" s="141" t="str">
        <f t="shared" ca="1" si="113"/>
        <v/>
      </c>
      <c r="BA62" s="46" t="str">
        <f t="shared" ca="1" si="114"/>
        <v/>
      </c>
      <c r="BB62" s="47" t="str">
        <f t="shared" ca="1" si="144"/>
        <v/>
      </c>
      <c r="BC62" s="114" t="str">
        <f t="shared" ca="1" si="145"/>
        <v/>
      </c>
      <c r="BD62" s="49" t="str">
        <f ca="1">IFERROR(IF(AND(ISNUMBER(Futs!$CC62), ISNUMBER($AZ62)), $AZ62/6.35 - Futs!$CC62, ""), "")</f>
        <v/>
      </c>
      <c r="BE62" s="46" t="str">
        <f ca="1">IFERROR(IF(AND(ISNUMBER(Futs!$CD62), ISNUMBER($BA62)), $BA62/6.35 - Futs!$CD62, ""), "")</f>
        <v/>
      </c>
      <c r="BF62" s="47" t="str">
        <f t="shared" ca="1" si="146"/>
        <v/>
      </c>
      <c r="BG62" s="114" t="str">
        <f t="shared" ca="1" si="147"/>
        <v/>
      </c>
      <c r="BH62" s="49" t="str">
        <f ca="1">IFERROR(IF(AND(ISNUMBER(Crd!$X62), ISNUMBER($AZ62)), $AZ62/6.35 - Crd!$X62, ""), "")</f>
        <v/>
      </c>
      <c r="BI62" s="46" t="str">
        <f ca="1">IFERROR(IF(AND(ISNUMBER(Crd!$Y62), ISNUMBER($BA62)), $BA62/6.35 - Crd!$Y62, ""), "")</f>
        <v/>
      </c>
      <c r="BJ62" s="47" t="str">
        <f t="shared" ca="1" si="148"/>
        <v/>
      </c>
      <c r="BK62" s="111" t="str">
        <f t="shared" ca="1" si="149"/>
        <v/>
      </c>
      <c r="BL62" s="397"/>
      <c r="BM62" s="372" t="str">
        <f ca="1">IFERROR(INDEX(ICE[], MATCH("fo05bfrbrx" &amp; TEXT(Hvy!$A62, "mmmyy"), ICE[LongCode], 0), MATCH("Text", ICE[#Headers], 0)), "")</f>
        <v/>
      </c>
      <c r="BN62" s="46" t="str">
        <f t="shared" ca="1" si="115"/>
        <v/>
      </c>
      <c r="BO62" s="47" t="str">
        <f t="shared" si="150"/>
        <v/>
      </c>
      <c r="BP62" s="46" t="str">
        <f t="shared" ca="1" si="151"/>
        <v/>
      </c>
      <c r="BQ62" s="141" t="str">
        <f ca="1">IFERROR(IF(AND(ISNUMBER(Futs!$CC62), ISNUMBER($BL62)), (Futs!$CC62 + $BL62)*6.35, ""), "")</f>
        <v/>
      </c>
      <c r="BR62" s="46" t="str">
        <f ca="1">IFERROR(IF(AND(ISNUMBER(Futs!$CD62), ISNUMBER($BN62)), (Futs!$CD62 + $BN62)*6.35, ""), "")</f>
        <v/>
      </c>
      <c r="BS62" s="47" t="str">
        <f t="shared" ca="1" si="152"/>
        <v/>
      </c>
      <c r="BT62" s="114" t="str">
        <f t="shared" ca="1" si="153"/>
        <v/>
      </c>
      <c r="BU62" s="49" t="str">
        <f t="shared" ca="1" si="116"/>
        <v/>
      </c>
      <c r="BV62" s="46" t="str">
        <f t="shared" ca="1" si="117"/>
        <v/>
      </c>
      <c r="BW62" s="47" t="str">
        <f t="shared" ca="1" si="154"/>
        <v/>
      </c>
      <c r="BX62" s="111" t="str">
        <f t="shared" ca="1" si="155"/>
        <v/>
      </c>
      <c r="BY62" s="397"/>
      <c r="BZ62" s="372" t="str">
        <f ca="1">IFERROR(INDEX(ICE[], MATCH("fo05singbrx" &amp; TEXT(Hvy!$A62, "mmmyy"), ICE[LongCode], 0), MATCH("Text", ICE[#Headers], 0)), "")</f>
        <v/>
      </c>
      <c r="CA62" s="46" t="str">
        <f t="shared" ca="1" si="118"/>
        <v/>
      </c>
      <c r="CB62" s="47" t="str">
        <f t="shared" si="156"/>
        <v/>
      </c>
      <c r="CC62" s="114" t="str">
        <f t="shared" ca="1" si="157"/>
        <v/>
      </c>
      <c r="CD62" s="141" t="str">
        <f ca="1">IFERROR(IF(AND(ISNUMBER(Futs!$CC62), ISNUMBER($BY62)), (Futs!$CC62 + $BY62)*6.35, ""), "")</f>
        <v/>
      </c>
      <c r="CE62" s="46" t="str">
        <f ca="1">IFERROR(IF(AND(ISNUMBER(Futs!$CD62), ISNUMBER($CA62)), (Futs!$CD62 + $CA62)*6.35, ""), "")</f>
        <v/>
      </c>
      <c r="CF62" s="47" t="str">
        <f t="shared" ca="1" si="158"/>
        <v/>
      </c>
      <c r="CG62" s="114" t="str">
        <f t="shared" ca="1" si="159"/>
        <v/>
      </c>
      <c r="CH62" s="141" t="str">
        <f t="shared" ca="1" si="119"/>
        <v/>
      </c>
      <c r="CI62" s="46" t="str">
        <f t="shared" ca="1" si="120"/>
        <v/>
      </c>
      <c r="CJ62" s="47" t="str">
        <f t="shared" ca="1" si="160"/>
        <v/>
      </c>
      <c r="CK62" s="114" t="str">
        <f t="shared" ca="1" si="161"/>
        <v/>
      </c>
      <c r="CL62" s="49" t="str">
        <f t="shared" ca="1" si="128"/>
        <v/>
      </c>
      <c r="CM62" s="46" t="str">
        <f t="shared" ca="1" si="129"/>
        <v/>
      </c>
      <c r="CN62" s="47" t="str">
        <f t="shared" ca="1" si="162"/>
        <v/>
      </c>
      <c r="CO62" s="111" t="str">
        <f t="shared" ca="1" si="163"/>
        <v/>
      </c>
    </row>
    <row r="63" spans="1:93" x14ac:dyDescent="0.25">
      <c r="A63" s="58">
        <f t="shared" ca="1" si="130"/>
        <v>47604</v>
      </c>
      <c r="B63" s="6">
        <f t="shared" ca="1" si="105"/>
        <v>2030</v>
      </c>
      <c r="C63" s="6" t="str">
        <f t="shared" ca="1" si="121"/>
        <v>Q230</v>
      </c>
      <c r="D63" s="28" t="e">
        <f ca="1">INDEX(ICE[], MATCH(D$18 &amp; TEXT(Hvy!$A63, "mmmyy"), ICE[LongCode], 0), MATCH("Settle", ICE[#Headers], 0))</f>
        <v>#N/A</v>
      </c>
      <c r="E63" s="28" t="e">
        <f ca="1">INDEX(ICE[], MATCH(E$18 &amp; TEXT(Hvy!$A63, "mmmyy"), ICE[LongCode], 0), MATCH("Settle", ICE[#Headers], 0))</f>
        <v>#N/A</v>
      </c>
      <c r="F63" s="28" t="e">
        <f ca="1">INDEX(ICE[], MATCH(F$18 &amp; TEXT(Hvy!$A63, "mmmyy"), ICE[LongCode], 0), MATCH("Settle", ICE[#Headers], 0))</f>
        <v>#N/A</v>
      </c>
      <c r="G63" s="28" t="e">
        <f ca="1">INDEX(ICE[], MATCH(G$18 &amp; TEXT(Hvy!$A63, "mmmyy"), ICE[LongCode], 0), MATCH("Settle", ICE[#Headers], 0))</f>
        <v>#N/A</v>
      </c>
      <c r="H63" s="28" t="e">
        <f ca="1">INDEX(ICE[], MATCH(H$18 &amp; TEXT(Hvy!$A63, "mmmyy"), ICE[LongCode], 0), MATCH("Settle", ICE[#Headers], 0))</f>
        <v>#N/A</v>
      </c>
      <c r="I63" s="28" t="e">
        <f ca="1">INDEX(ICE[], MATCH(I$18 &amp; TEXT(Hvy!$A63, "mmmyy"), ICE[LongCode], 0), MATCH("Settle", ICE[#Headers], 0))</f>
        <v>#N/A</v>
      </c>
      <c r="J63" s="397"/>
      <c r="K63" s="372" t="str">
        <f ca="1">IFERROR(INDEX(ICE[], MATCH("fo35brx" &amp; TEXT(Hvy!$A63, "mmmyy"), ICE[LongCode], 0), MATCH("Text", ICE[#Headers], 0)), "")</f>
        <v/>
      </c>
      <c r="L63" s="46" t="str">
        <f t="shared" ca="1" si="122"/>
        <v/>
      </c>
      <c r="M63" s="47" t="str">
        <f t="shared" si="123"/>
        <v/>
      </c>
      <c r="N63" s="46" t="str">
        <f t="shared" ca="1" si="131"/>
        <v/>
      </c>
      <c r="O63" s="141" t="str">
        <f ca="1">IFERROR(IF(AND(ISNUMBER(Futs!$CC63), ISNUMBER($J63)), (Futs!$CC63 + $J63)*6.35, ""), "")</f>
        <v/>
      </c>
      <c r="P63" s="67" t="str">
        <f ca="1">IFERROR(IF(AND(ISNUMBER(Futs!$CD63), ISNUMBER($L63)), (Futs!$CD63 + $L63)*6.35, ""), "")</f>
        <v/>
      </c>
      <c r="Q63" s="47" t="str">
        <f t="shared" ca="1" si="132"/>
        <v/>
      </c>
      <c r="R63" s="46" t="str">
        <f t="shared" ca="1" si="133"/>
        <v/>
      </c>
      <c r="S63" s="397"/>
      <c r="T63" s="372" t="str">
        <f ca="1">IFERROR(INDEX(ICE[], MATCH("hilo" &amp; TEXT(Hvy!$A63, "mmmyy"), ICE[LongCode], 0), MATCH("Text", ICE[#Headers], 0)), "")</f>
        <v/>
      </c>
      <c r="U63" s="46" t="str">
        <f t="shared" ca="1" si="106"/>
        <v/>
      </c>
      <c r="V63" s="47" t="str">
        <f t="shared" si="134"/>
        <v/>
      </c>
      <c r="W63" s="114" t="str">
        <f t="shared" ca="1" si="135"/>
        <v/>
      </c>
      <c r="X63" s="49" t="str">
        <f t="shared" ca="1" si="107"/>
        <v/>
      </c>
      <c r="Y63" s="46" t="str">
        <f t="shared" ca="1" si="108"/>
        <v/>
      </c>
      <c r="Z63" s="47" t="str">
        <f t="shared" ca="1" si="136"/>
        <v/>
      </c>
      <c r="AA63" s="111" t="str">
        <f t="shared" ca="1" si="137"/>
        <v/>
      </c>
      <c r="AB63" s="397"/>
      <c r="AC63" s="372" t="str">
        <f ca="1">IFERROR(INDEX(ICE[], MATCH("hsfoew" &amp; TEXT(Hvy!$A63, "mmmyy"), ICE[LongCode], 0), MATCH("Text", ICE[#Headers], 0)), "")</f>
        <v/>
      </c>
      <c r="AD63" s="46" t="str">
        <f t="shared" ca="1" si="109"/>
        <v/>
      </c>
      <c r="AE63" s="47" t="str">
        <f t="shared" si="124"/>
        <v/>
      </c>
      <c r="AF63" s="114" t="str">
        <f t="shared" ca="1" si="125"/>
        <v/>
      </c>
      <c r="AG63" s="141" t="str">
        <f t="shared" ca="1" si="110"/>
        <v/>
      </c>
      <c r="AH63" s="46" t="str">
        <f t="shared" ca="1" si="111"/>
        <v/>
      </c>
      <c r="AI63" s="47" t="str">
        <f t="shared" ca="1" si="126"/>
        <v/>
      </c>
      <c r="AJ63" s="364" t="str">
        <f ca="1">IFERROR(INDEX(ICE[], MATCH("brfo380" &amp; TEXT(Crd!$A63, "mmmyy"), ICE[LongCode], 0), MATCH("Text", ICE[#Headers], 0)), "")</f>
        <v/>
      </c>
      <c r="AK63" s="114" t="str">
        <f t="shared" ca="1" si="127"/>
        <v/>
      </c>
      <c r="AL63" s="49" t="str">
        <f ca="1">IFERROR(IF(AND(ISNUMBER(Futs!$CC63), ISNUMBER($AG63)), $AG63/6.35 - Futs!$CC63, ""), "")</f>
        <v/>
      </c>
      <c r="AM63" s="372" t="str">
        <f ca="1">IFERROR(INDEX(ICE[], MATCH("fo380brx" &amp; TEXT(Hvy!$A63, "mmmyy"), ICE[LongCode], 0), MATCH("Text", ICE[#Headers], 0)), "")</f>
        <v/>
      </c>
      <c r="AN63" s="46" t="str">
        <f ca="1">IFERROR(IF(AND(ISNUMBER(Futs!$CD63), ISNUMBER($AH63)), $AH63/6.35 - Futs!$CD63, ""), "")</f>
        <v/>
      </c>
      <c r="AO63" s="47" t="str">
        <f t="shared" ca="1" si="138"/>
        <v/>
      </c>
      <c r="AP63" s="114" t="str">
        <f t="shared" ca="1" si="139"/>
        <v/>
      </c>
      <c r="AQ63" s="49" t="str">
        <f ca="1">IFERROR(IF(AND(ISNUMBER(Crd!$X63), ISNUMBER($AG63)), $AG63/6.35 - Crd!$X63, ""), "")</f>
        <v/>
      </c>
      <c r="AR63" s="46" t="str">
        <f ca="1">IFERROR(IF(AND(ISNUMBER(Crd!$Y63), ISNUMBER($AH63)), $AH63/6.35 - Crd!$Y63, ""), "")</f>
        <v/>
      </c>
      <c r="AS63" s="47" t="str">
        <f t="shared" ca="1" si="140"/>
        <v/>
      </c>
      <c r="AT63" s="111" t="str">
        <f t="shared" ca="1" si="141"/>
        <v/>
      </c>
      <c r="AU63" s="397"/>
      <c r="AV63" s="372" t="str">
        <f ca="1">IFERROR(INDEX(ICE[], MATCH("visco" &amp; TEXT(Hvy!$A63, "mmmyy"), ICE[LongCode], 0), MATCH("Text", ICE[#Headers], 0)), "")</f>
        <v/>
      </c>
      <c r="AW63" s="46" t="str">
        <f t="shared" ca="1" si="112"/>
        <v/>
      </c>
      <c r="AX63" s="47" t="str">
        <f t="shared" si="142"/>
        <v/>
      </c>
      <c r="AY63" s="46" t="str">
        <f t="shared" ca="1" si="143"/>
        <v/>
      </c>
      <c r="AZ63" s="141" t="str">
        <f t="shared" ca="1" si="113"/>
        <v/>
      </c>
      <c r="BA63" s="46" t="str">
        <f t="shared" ca="1" si="114"/>
        <v/>
      </c>
      <c r="BB63" s="47" t="str">
        <f t="shared" ca="1" si="144"/>
        <v/>
      </c>
      <c r="BC63" s="114" t="str">
        <f t="shared" ca="1" si="145"/>
        <v/>
      </c>
      <c r="BD63" s="49" t="str">
        <f ca="1">IFERROR(IF(AND(ISNUMBER(Futs!$CC63), ISNUMBER($AZ63)), $AZ63/6.35 - Futs!$CC63, ""), "")</f>
        <v/>
      </c>
      <c r="BE63" s="46" t="str">
        <f ca="1">IFERROR(IF(AND(ISNUMBER(Futs!$CD63), ISNUMBER($BA63)), $BA63/6.35 - Futs!$CD63, ""), "")</f>
        <v/>
      </c>
      <c r="BF63" s="47" t="str">
        <f t="shared" ca="1" si="146"/>
        <v/>
      </c>
      <c r="BG63" s="114" t="str">
        <f t="shared" ca="1" si="147"/>
        <v/>
      </c>
      <c r="BH63" s="49" t="str">
        <f ca="1">IFERROR(IF(AND(ISNUMBER(Crd!$X63), ISNUMBER($AZ63)), $AZ63/6.35 - Crd!$X63, ""), "")</f>
        <v/>
      </c>
      <c r="BI63" s="46" t="str">
        <f ca="1">IFERROR(IF(AND(ISNUMBER(Crd!$Y63), ISNUMBER($BA63)), $BA63/6.35 - Crd!$Y63, ""), "")</f>
        <v/>
      </c>
      <c r="BJ63" s="47" t="str">
        <f t="shared" ca="1" si="148"/>
        <v/>
      </c>
      <c r="BK63" s="111" t="str">
        <f t="shared" ca="1" si="149"/>
        <v/>
      </c>
      <c r="BL63" s="397"/>
      <c r="BM63" s="372" t="str">
        <f ca="1">IFERROR(INDEX(ICE[], MATCH("fo05bfrbrx" &amp; TEXT(Hvy!$A63, "mmmyy"), ICE[LongCode], 0), MATCH("Text", ICE[#Headers], 0)), "")</f>
        <v/>
      </c>
      <c r="BN63" s="46" t="str">
        <f t="shared" ca="1" si="115"/>
        <v/>
      </c>
      <c r="BO63" s="47" t="str">
        <f t="shared" si="150"/>
        <v/>
      </c>
      <c r="BP63" s="46" t="str">
        <f t="shared" ca="1" si="151"/>
        <v/>
      </c>
      <c r="BQ63" s="141" t="str">
        <f ca="1">IFERROR(IF(AND(ISNUMBER(Futs!$CC63), ISNUMBER($BL63)), (Futs!$CC63 + $BL63)*6.35, ""), "")</f>
        <v/>
      </c>
      <c r="BR63" s="46" t="str">
        <f ca="1">IFERROR(IF(AND(ISNUMBER(Futs!$CD63), ISNUMBER($BN63)), (Futs!$CD63 + $BN63)*6.35, ""), "")</f>
        <v/>
      </c>
      <c r="BS63" s="47" t="str">
        <f t="shared" ca="1" si="152"/>
        <v/>
      </c>
      <c r="BT63" s="114" t="str">
        <f t="shared" ca="1" si="153"/>
        <v/>
      </c>
      <c r="BU63" s="49" t="str">
        <f t="shared" ca="1" si="116"/>
        <v/>
      </c>
      <c r="BV63" s="46" t="str">
        <f t="shared" ca="1" si="117"/>
        <v/>
      </c>
      <c r="BW63" s="47" t="str">
        <f t="shared" ca="1" si="154"/>
        <v/>
      </c>
      <c r="BX63" s="111" t="str">
        <f t="shared" ca="1" si="155"/>
        <v/>
      </c>
      <c r="BY63" s="397"/>
      <c r="BZ63" s="372" t="str">
        <f ca="1">IFERROR(INDEX(ICE[], MATCH("fo05singbrx" &amp; TEXT(Hvy!$A63, "mmmyy"), ICE[LongCode], 0), MATCH("Text", ICE[#Headers], 0)), "")</f>
        <v/>
      </c>
      <c r="CA63" s="46" t="str">
        <f t="shared" ca="1" si="118"/>
        <v/>
      </c>
      <c r="CB63" s="47" t="str">
        <f t="shared" si="156"/>
        <v/>
      </c>
      <c r="CC63" s="114" t="str">
        <f t="shared" ca="1" si="157"/>
        <v/>
      </c>
      <c r="CD63" s="141" t="str">
        <f ca="1">IFERROR(IF(AND(ISNUMBER(Futs!$CC63), ISNUMBER($BY63)), (Futs!$CC63 + $BY63)*6.35, ""), "")</f>
        <v/>
      </c>
      <c r="CE63" s="46" t="str">
        <f ca="1">IFERROR(IF(AND(ISNUMBER(Futs!$CD63), ISNUMBER($CA63)), (Futs!$CD63 + $CA63)*6.35, ""), "")</f>
        <v/>
      </c>
      <c r="CF63" s="47" t="str">
        <f t="shared" ca="1" si="158"/>
        <v/>
      </c>
      <c r="CG63" s="114" t="str">
        <f t="shared" ca="1" si="159"/>
        <v/>
      </c>
      <c r="CH63" s="141" t="str">
        <f t="shared" ca="1" si="119"/>
        <v/>
      </c>
      <c r="CI63" s="46" t="str">
        <f t="shared" ca="1" si="120"/>
        <v/>
      </c>
      <c r="CJ63" s="47" t="str">
        <f t="shared" ca="1" si="160"/>
        <v/>
      </c>
      <c r="CK63" s="114" t="str">
        <f t="shared" ca="1" si="161"/>
        <v/>
      </c>
      <c r="CL63" s="49" t="str">
        <f t="shared" ca="1" si="128"/>
        <v/>
      </c>
      <c r="CM63" s="46" t="str">
        <f t="shared" ca="1" si="129"/>
        <v/>
      </c>
      <c r="CN63" s="47" t="str">
        <f t="shared" ca="1" si="162"/>
        <v/>
      </c>
      <c r="CO63" s="111" t="str">
        <f t="shared" ca="1" si="163"/>
        <v/>
      </c>
    </row>
    <row r="64" spans="1:93" x14ac:dyDescent="0.25">
      <c r="A64" s="58">
        <f t="shared" ca="1" si="130"/>
        <v>47635</v>
      </c>
      <c r="B64" s="6">
        <f t="shared" ca="1" si="105"/>
        <v>2030</v>
      </c>
      <c r="C64" s="6" t="str">
        <f t="shared" ca="1" si="121"/>
        <v>Q230</v>
      </c>
      <c r="D64" s="28" t="e">
        <f ca="1">INDEX(ICE[], MATCH(D$18 &amp; TEXT(Hvy!$A64, "mmmyy"), ICE[LongCode], 0), MATCH("Settle", ICE[#Headers], 0))</f>
        <v>#N/A</v>
      </c>
      <c r="E64" s="28" t="e">
        <f ca="1">INDEX(ICE[], MATCH(E$18 &amp; TEXT(Hvy!$A64, "mmmyy"), ICE[LongCode], 0), MATCH("Settle", ICE[#Headers], 0))</f>
        <v>#N/A</v>
      </c>
      <c r="F64" s="28" t="e">
        <f ca="1">INDEX(ICE[], MATCH(F$18 &amp; TEXT(Hvy!$A64, "mmmyy"), ICE[LongCode], 0), MATCH("Settle", ICE[#Headers], 0))</f>
        <v>#N/A</v>
      </c>
      <c r="G64" s="28" t="e">
        <f ca="1">INDEX(ICE[], MATCH(G$18 &amp; TEXT(Hvy!$A64, "mmmyy"), ICE[LongCode], 0), MATCH("Settle", ICE[#Headers], 0))</f>
        <v>#N/A</v>
      </c>
      <c r="H64" s="28" t="e">
        <f ca="1">INDEX(ICE[], MATCH(H$18 &amp; TEXT(Hvy!$A64, "mmmyy"), ICE[LongCode], 0), MATCH("Settle", ICE[#Headers], 0))</f>
        <v>#N/A</v>
      </c>
      <c r="I64" s="28" t="e">
        <f ca="1">INDEX(ICE[], MATCH(I$18 &amp; TEXT(Hvy!$A64, "mmmyy"), ICE[LongCode], 0), MATCH("Settle", ICE[#Headers], 0))</f>
        <v>#N/A</v>
      </c>
      <c r="J64" s="397"/>
      <c r="K64" s="372" t="str">
        <f ca="1">IFERROR(INDEX(ICE[], MATCH("fo35brx" &amp; TEXT(Hvy!$A64, "mmmyy"), ICE[LongCode], 0), MATCH("Text", ICE[#Headers], 0)), "")</f>
        <v/>
      </c>
      <c r="L64" s="46" t="str">
        <f t="shared" ca="1" si="122"/>
        <v/>
      </c>
      <c r="M64" s="47" t="str">
        <f t="shared" si="123"/>
        <v/>
      </c>
      <c r="N64" s="46" t="str">
        <f t="shared" ca="1" si="131"/>
        <v/>
      </c>
      <c r="O64" s="141" t="str">
        <f ca="1">IFERROR(IF(AND(ISNUMBER(Futs!$CC64), ISNUMBER($J64)), (Futs!$CC64 + $J64)*6.35, ""), "")</f>
        <v/>
      </c>
      <c r="P64" s="67" t="str">
        <f ca="1">IFERROR(IF(AND(ISNUMBER(Futs!$CD64), ISNUMBER($L64)), (Futs!$CD64 + $L64)*6.35, ""), "")</f>
        <v/>
      </c>
      <c r="Q64" s="47" t="str">
        <f t="shared" ca="1" si="132"/>
        <v/>
      </c>
      <c r="R64" s="46" t="str">
        <f t="shared" ca="1" si="133"/>
        <v/>
      </c>
      <c r="S64" s="397"/>
      <c r="T64" s="372" t="str">
        <f ca="1">IFERROR(INDEX(ICE[], MATCH("hilo" &amp; TEXT(Hvy!$A64, "mmmyy"), ICE[LongCode], 0), MATCH("Text", ICE[#Headers], 0)), "")</f>
        <v/>
      </c>
      <c r="U64" s="46" t="str">
        <f t="shared" ca="1" si="106"/>
        <v/>
      </c>
      <c r="V64" s="47" t="str">
        <f t="shared" si="134"/>
        <v/>
      </c>
      <c r="W64" s="114" t="str">
        <f t="shared" ca="1" si="135"/>
        <v/>
      </c>
      <c r="X64" s="49" t="str">
        <f t="shared" ca="1" si="107"/>
        <v/>
      </c>
      <c r="Y64" s="46" t="str">
        <f t="shared" ca="1" si="108"/>
        <v/>
      </c>
      <c r="Z64" s="47" t="str">
        <f t="shared" ca="1" si="136"/>
        <v/>
      </c>
      <c r="AA64" s="111" t="str">
        <f t="shared" ca="1" si="137"/>
        <v/>
      </c>
      <c r="AB64" s="397"/>
      <c r="AC64" s="372" t="str">
        <f ca="1">IFERROR(INDEX(ICE[], MATCH("hsfoew" &amp; TEXT(Hvy!$A64, "mmmyy"), ICE[LongCode], 0), MATCH("Text", ICE[#Headers], 0)), "")</f>
        <v/>
      </c>
      <c r="AD64" s="46" t="str">
        <f t="shared" ca="1" si="109"/>
        <v/>
      </c>
      <c r="AE64" s="47" t="str">
        <f t="shared" si="124"/>
        <v/>
      </c>
      <c r="AF64" s="114" t="str">
        <f t="shared" ca="1" si="125"/>
        <v/>
      </c>
      <c r="AG64" s="141" t="str">
        <f t="shared" ca="1" si="110"/>
        <v/>
      </c>
      <c r="AH64" s="46" t="str">
        <f t="shared" ca="1" si="111"/>
        <v/>
      </c>
      <c r="AI64" s="47" t="str">
        <f t="shared" ca="1" si="126"/>
        <v/>
      </c>
      <c r="AJ64" s="364" t="str">
        <f ca="1">IFERROR(INDEX(ICE[], MATCH("brfo380" &amp; TEXT(Crd!$A64, "mmmyy"), ICE[LongCode], 0), MATCH("Text", ICE[#Headers], 0)), "")</f>
        <v/>
      </c>
      <c r="AK64" s="114" t="str">
        <f t="shared" ca="1" si="127"/>
        <v/>
      </c>
      <c r="AL64" s="49" t="str">
        <f ca="1">IFERROR(IF(AND(ISNUMBER(Futs!$CC64), ISNUMBER($AG64)), $AG64/6.35 - Futs!$CC64, ""), "")</f>
        <v/>
      </c>
      <c r="AM64" s="372" t="str">
        <f ca="1">IFERROR(INDEX(ICE[], MATCH("fo380brx" &amp; TEXT(Hvy!$A64, "mmmyy"), ICE[LongCode], 0), MATCH("Text", ICE[#Headers], 0)), "")</f>
        <v/>
      </c>
      <c r="AN64" s="46" t="str">
        <f ca="1">IFERROR(IF(AND(ISNUMBER(Futs!$CD64), ISNUMBER($AH64)), $AH64/6.35 - Futs!$CD64, ""), "")</f>
        <v/>
      </c>
      <c r="AO64" s="47" t="str">
        <f t="shared" ca="1" si="138"/>
        <v/>
      </c>
      <c r="AP64" s="114" t="str">
        <f t="shared" ca="1" si="139"/>
        <v/>
      </c>
      <c r="AQ64" s="49" t="str">
        <f ca="1">IFERROR(IF(AND(ISNUMBER(Crd!$X64), ISNUMBER($AG64)), $AG64/6.35 - Crd!$X64, ""), "")</f>
        <v/>
      </c>
      <c r="AR64" s="46" t="str">
        <f ca="1">IFERROR(IF(AND(ISNUMBER(Crd!$Y64), ISNUMBER($AH64)), $AH64/6.35 - Crd!$Y64, ""), "")</f>
        <v/>
      </c>
      <c r="AS64" s="47" t="str">
        <f t="shared" ca="1" si="140"/>
        <v/>
      </c>
      <c r="AT64" s="111" t="str">
        <f t="shared" ca="1" si="141"/>
        <v/>
      </c>
      <c r="AU64" s="397"/>
      <c r="AV64" s="372" t="str">
        <f ca="1">IFERROR(INDEX(ICE[], MATCH("visco" &amp; TEXT(Hvy!$A64, "mmmyy"), ICE[LongCode], 0), MATCH("Text", ICE[#Headers], 0)), "")</f>
        <v/>
      </c>
      <c r="AW64" s="46" t="str">
        <f t="shared" ca="1" si="112"/>
        <v/>
      </c>
      <c r="AX64" s="47" t="str">
        <f t="shared" si="142"/>
        <v/>
      </c>
      <c r="AY64" s="46" t="str">
        <f t="shared" ca="1" si="143"/>
        <v/>
      </c>
      <c r="AZ64" s="141" t="str">
        <f t="shared" ca="1" si="113"/>
        <v/>
      </c>
      <c r="BA64" s="46" t="str">
        <f t="shared" ca="1" si="114"/>
        <v/>
      </c>
      <c r="BB64" s="47" t="str">
        <f t="shared" ca="1" si="144"/>
        <v/>
      </c>
      <c r="BC64" s="114" t="str">
        <f t="shared" ca="1" si="145"/>
        <v/>
      </c>
      <c r="BD64" s="49" t="str">
        <f ca="1">IFERROR(IF(AND(ISNUMBER(Futs!$CC64), ISNUMBER($AZ64)), $AZ64/6.35 - Futs!$CC64, ""), "")</f>
        <v/>
      </c>
      <c r="BE64" s="46" t="str">
        <f ca="1">IFERROR(IF(AND(ISNUMBER(Futs!$CD64), ISNUMBER($BA64)), $BA64/6.35 - Futs!$CD64, ""), "")</f>
        <v/>
      </c>
      <c r="BF64" s="47" t="str">
        <f t="shared" ca="1" si="146"/>
        <v/>
      </c>
      <c r="BG64" s="114" t="str">
        <f t="shared" ca="1" si="147"/>
        <v/>
      </c>
      <c r="BH64" s="49" t="str">
        <f ca="1">IFERROR(IF(AND(ISNUMBER(Crd!$X64), ISNUMBER($AZ64)), $AZ64/6.35 - Crd!$X64, ""), "")</f>
        <v/>
      </c>
      <c r="BI64" s="46" t="str">
        <f ca="1">IFERROR(IF(AND(ISNUMBER(Crd!$Y64), ISNUMBER($BA64)), $BA64/6.35 - Crd!$Y64, ""), "")</f>
        <v/>
      </c>
      <c r="BJ64" s="47" t="str">
        <f t="shared" ca="1" si="148"/>
        <v/>
      </c>
      <c r="BK64" s="111" t="str">
        <f t="shared" ca="1" si="149"/>
        <v/>
      </c>
      <c r="BL64" s="397"/>
      <c r="BM64" s="372" t="str">
        <f ca="1">IFERROR(INDEX(ICE[], MATCH("fo05bfrbrx" &amp; TEXT(Hvy!$A64, "mmmyy"), ICE[LongCode], 0), MATCH("Text", ICE[#Headers], 0)), "")</f>
        <v/>
      </c>
      <c r="BN64" s="46" t="str">
        <f t="shared" ca="1" si="115"/>
        <v/>
      </c>
      <c r="BO64" s="47" t="str">
        <f t="shared" si="150"/>
        <v/>
      </c>
      <c r="BP64" s="46" t="str">
        <f t="shared" ca="1" si="151"/>
        <v/>
      </c>
      <c r="BQ64" s="141" t="str">
        <f ca="1">IFERROR(IF(AND(ISNUMBER(Futs!$CC64), ISNUMBER($BL64)), (Futs!$CC64 + $BL64)*6.35, ""), "")</f>
        <v/>
      </c>
      <c r="BR64" s="46" t="str">
        <f ca="1">IFERROR(IF(AND(ISNUMBER(Futs!$CD64), ISNUMBER($BN64)), (Futs!$CD64 + $BN64)*6.35, ""), "")</f>
        <v/>
      </c>
      <c r="BS64" s="47" t="str">
        <f t="shared" ca="1" si="152"/>
        <v/>
      </c>
      <c r="BT64" s="114" t="str">
        <f t="shared" ca="1" si="153"/>
        <v/>
      </c>
      <c r="BU64" s="49" t="str">
        <f t="shared" ca="1" si="116"/>
        <v/>
      </c>
      <c r="BV64" s="46" t="str">
        <f t="shared" ca="1" si="117"/>
        <v/>
      </c>
      <c r="BW64" s="47" t="str">
        <f t="shared" ca="1" si="154"/>
        <v/>
      </c>
      <c r="BX64" s="111" t="str">
        <f t="shared" ca="1" si="155"/>
        <v/>
      </c>
      <c r="BY64" s="397"/>
      <c r="BZ64" s="372" t="str">
        <f ca="1">IFERROR(INDEX(ICE[], MATCH("fo05singbrx" &amp; TEXT(Hvy!$A64, "mmmyy"), ICE[LongCode], 0), MATCH("Text", ICE[#Headers], 0)), "")</f>
        <v/>
      </c>
      <c r="CA64" s="46" t="str">
        <f t="shared" ca="1" si="118"/>
        <v/>
      </c>
      <c r="CB64" s="47" t="str">
        <f t="shared" si="156"/>
        <v/>
      </c>
      <c r="CC64" s="114" t="str">
        <f t="shared" ca="1" si="157"/>
        <v/>
      </c>
      <c r="CD64" s="141" t="str">
        <f ca="1">IFERROR(IF(AND(ISNUMBER(Futs!$CC64), ISNUMBER($BY64)), (Futs!$CC64 + $BY64)*6.35, ""), "")</f>
        <v/>
      </c>
      <c r="CE64" s="46" t="str">
        <f ca="1">IFERROR(IF(AND(ISNUMBER(Futs!$CD64), ISNUMBER($CA64)), (Futs!$CD64 + $CA64)*6.35, ""), "")</f>
        <v/>
      </c>
      <c r="CF64" s="47" t="str">
        <f t="shared" ca="1" si="158"/>
        <v/>
      </c>
      <c r="CG64" s="114" t="str">
        <f t="shared" ca="1" si="159"/>
        <v/>
      </c>
      <c r="CH64" s="141" t="str">
        <f t="shared" ca="1" si="119"/>
        <v/>
      </c>
      <c r="CI64" s="46" t="str">
        <f t="shared" ca="1" si="120"/>
        <v/>
      </c>
      <c r="CJ64" s="47" t="str">
        <f t="shared" ca="1" si="160"/>
        <v/>
      </c>
      <c r="CK64" s="114" t="str">
        <f t="shared" ca="1" si="161"/>
        <v/>
      </c>
      <c r="CL64" s="49" t="str">
        <f t="shared" ca="1" si="128"/>
        <v/>
      </c>
      <c r="CM64" s="46" t="str">
        <f t="shared" ca="1" si="129"/>
        <v/>
      </c>
      <c r="CN64" s="47" t="str">
        <f t="shared" ca="1" si="162"/>
        <v/>
      </c>
      <c r="CO64" s="111" t="str">
        <f t="shared" ca="1" si="163"/>
        <v/>
      </c>
    </row>
    <row r="65" spans="1:93" x14ac:dyDescent="0.25">
      <c r="A65" s="58">
        <f t="shared" ca="1" si="130"/>
        <v>47665</v>
      </c>
      <c r="B65" s="6">
        <f t="shared" ca="1" si="105"/>
        <v>2030</v>
      </c>
      <c r="C65" s="6" t="str">
        <f t="shared" ca="1" si="121"/>
        <v>Q330</v>
      </c>
      <c r="D65" s="28" t="e">
        <f ca="1">INDEX(ICE[], MATCH(D$18 &amp; TEXT(Hvy!$A65, "mmmyy"), ICE[LongCode], 0), MATCH("Settle", ICE[#Headers], 0))</f>
        <v>#N/A</v>
      </c>
      <c r="E65" s="28" t="e">
        <f ca="1">INDEX(ICE[], MATCH(E$18 &amp; TEXT(Hvy!$A65, "mmmyy"), ICE[LongCode], 0), MATCH("Settle", ICE[#Headers], 0))</f>
        <v>#N/A</v>
      </c>
      <c r="F65" s="28" t="e">
        <f ca="1">INDEX(ICE[], MATCH(F$18 &amp; TEXT(Hvy!$A65, "mmmyy"), ICE[LongCode], 0), MATCH("Settle", ICE[#Headers], 0))</f>
        <v>#N/A</v>
      </c>
      <c r="G65" s="28" t="e">
        <f ca="1">INDEX(ICE[], MATCH(G$18 &amp; TEXT(Hvy!$A65, "mmmyy"), ICE[LongCode], 0), MATCH("Settle", ICE[#Headers], 0))</f>
        <v>#N/A</v>
      </c>
      <c r="H65" s="28" t="e">
        <f ca="1">INDEX(ICE[], MATCH(H$18 &amp; TEXT(Hvy!$A65, "mmmyy"), ICE[LongCode], 0), MATCH("Settle", ICE[#Headers], 0))</f>
        <v>#N/A</v>
      </c>
      <c r="I65" s="28" t="e">
        <f ca="1">INDEX(ICE[], MATCH(I$18 &amp; TEXT(Hvy!$A65, "mmmyy"), ICE[LongCode], 0), MATCH("Settle", ICE[#Headers], 0))</f>
        <v>#N/A</v>
      </c>
      <c r="J65" s="397"/>
      <c r="K65" s="372" t="str">
        <f ca="1">IFERROR(INDEX(ICE[], MATCH("fo35brx" &amp; TEXT(Hvy!$A65, "mmmyy"), ICE[LongCode], 0), MATCH("Text", ICE[#Headers], 0)), "")</f>
        <v/>
      </c>
      <c r="L65" s="46" t="str">
        <f t="shared" ca="1" si="122"/>
        <v/>
      </c>
      <c r="M65" s="47" t="str">
        <f t="shared" si="123"/>
        <v/>
      </c>
      <c r="N65" s="46" t="str">
        <f t="shared" ca="1" si="131"/>
        <v/>
      </c>
      <c r="O65" s="141" t="str">
        <f ca="1">IFERROR(IF(AND(ISNUMBER(Futs!$CC65), ISNUMBER($J65)), (Futs!$CC65 + $J65)*6.35, ""), "")</f>
        <v/>
      </c>
      <c r="P65" s="67" t="str">
        <f ca="1">IFERROR(IF(AND(ISNUMBER(Futs!$CD65), ISNUMBER($L65)), (Futs!$CD65 + $L65)*6.35, ""), "")</f>
        <v/>
      </c>
      <c r="Q65" s="47" t="str">
        <f t="shared" ca="1" si="132"/>
        <v/>
      </c>
      <c r="R65" s="46" t="str">
        <f t="shared" ca="1" si="133"/>
        <v/>
      </c>
      <c r="S65" s="397"/>
      <c r="T65" s="372" t="str">
        <f ca="1">IFERROR(INDEX(ICE[], MATCH("hilo" &amp; TEXT(Hvy!$A65, "mmmyy"), ICE[LongCode], 0), MATCH("Text", ICE[#Headers], 0)), "")</f>
        <v/>
      </c>
      <c r="U65" s="46" t="str">
        <f t="shared" ca="1" si="106"/>
        <v/>
      </c>
      <c r="V65" s="47" t="str">
        <f t="shared" si="134"/>
        <v/>
      </c>
      <c r="W65" s="114" t="str">
        <f t="shared" ca="1" si="135"/>
        <v/>
      </c>
      <c r="X65" s="49" t="str">
        <f t="shared" ca="1" si="107"/>
        <v/>
      </c>
      <c r="Y65" s="46" t="str">
        <f t="shared" ca="1" si="108"/>
        <v/>
      </c>
      <c r="Z65" s="47" t="str">
        <f t="shared" ca="1" si="136"/>
        <v/>
      </c>
      <c r="AA65" s="111" t="str">
        <f t="shared" ca="1" si="137"/>
        <v/>
      </c>
      <c r="AB65" s="397"/>
      <c r="AC65" s="372" t="str">
        <f ca="1">IFERROR(INDEX(ICE[], MATCH("hsfoew" &amp; TEXT(Hvy!$A65, "mmmyy"), ICE[LongCode], 0), MATCH("Text", ICE[#Headers], 0)), "")</f>
        <v/>
      </c>
      <c r="AD65" s="46" t="str">
        <f t="shared" ca="1" si="109"/>
        <v/>
      </c>
      <c r="AE65" s="47" t="str">
        <f t="shared" si="124"/>
        <v/>
      </c>
      <c r="AF65" s="114" t="str">
        <f t="shared" ca="1" si="125"/>
        <v/>
      </c>
      <c r="AG65" s="141" t="str">
        <f t="shared" ca="1" si="110"/>
        <v/>
      </c>
      <c r="AH65" s="46" t="str">
        <f t="shared" ca="1" si="111"/>
        <v/>
      </c>
      <c r="AI65" s="47" t="str">
        <f t="shared" ca="1" si="126"/>
        <v/>
      </c>
      <c r="AJ65" s="364" t="str">
        <f ca="1">IFERROR(INDEX(ICE[], MATCH("brfo380" &amp; TEXT(Crd!$A65, "mmmyy"), ICE[LongCode], 0), MATCH("Text", ICE[#Headers], 0)), "")</f>
        <v/>
      </c>
      <c r="AK65" s="114" t="str">
        <f t="shared" ca="1" si="127"/>
        <v/>
      </c>
      <c r="AL65" s="49" t="str">
        <f ca="1">IFERROR(IF(AND(ISNUMBER(Futs!$CC65), ISNUMBER($AG65)), $AG65/6.35 - Futs!$CC65, ""), "")</f>
        <v/>
      </c>
      <c r="AM65" s="372" t="str">
        <f ca="1">IFERROR(INDEX(ICE[], MATCH("fo380brx" &amp; TEXT(Hvy!$A65, "mmmyy"), ICE[LongCode], 0), MATCH("Text", ICE[#Headers], 0)), "")</f>
        <v/>
      </c>
      <c r="AN65" s="46" t="str">
        <f ca="1">IFERROR(IF(AND(ISNUMBER(Futs!$CD65), ISNUMBER($AH65)), $AH65/6.35 - Futs!$CD65, ""), "")</f>
        <v/>
      </c>
      <c r="AO65" s="47" t="str">
        <f t="shared" ca="1" si="138"/>
        <v/>
      </c>
      <c r="AP65" s="114" t="str">
        <f t="shared" ca="1" si="139"/>
        <v/>
      </c>
      <c r="AQ65" s="49" t="str">
        <f ca="1">IFERROR(IF(AND(ISNUMBER(Crd!$X65), ISNUMBER($AG65)), $AG65/6.35 - Crd!$X65, ""), "")</f>
        <v/>
      </c>
      <c r="AR65" s="46" t="str">
        <f ca="1">IFERROR(IF(AND(ISNUMBER(Crd!$Y65), ISNUMBER($AH65)), $AH65/6.35 - Crd!$Y65, ""), "")</f>
        <v/>
      </c>
      <c r="AS65" s="47" t="str">
        <f t="shared" ca="1" si="140"/>
        <v/>
      </c>
      <c r="AT65" s="111" t="str">
        <f t="shared" ca="1" si="141"/>
        <v/>
      </c>
      <c r="AU65" s="397"/>
      <c r="AV65" s="372" t="str">
        <f ca="1">IFERROR(INDEX(ICE[], MATCH("visco" &amp; TEXT(Hvy!$A65, "mmmyy"), ICE[LongCode], 0), MATCH("Text", ICE[#Headers], 0)), "")</f>
        <v/>
      </c>
      <c r="AW65" s="46" t="str">
        <f t="shared" ca="1" si="112"/>
        <v/>
      </c>
      <c r="AX65" s="47" t="str">
        <f t="shared" si="142"/>
        <v/>
      </c>
      <c r="AY65" s="46" t="str">
        <f t="shared" ca="1" si="143"/>
        <v/>
      </c>
      <c r="AZ65" s="141" t="str">
        <f t="shared" ca="1" si="113"/>
        <v/>
      </c>
      <c r="BA65" s="46" t="str">
        <f t="shared" ca="1" si="114"/>
        <v/>
      </c>
      <c r="BB65" s="47" t="str">
        <f t="shared" ca="1" si="144"/>
        <v/>
      </c>
      <c r="BC65" s="114" t="str">
        <f t="shared" ca="1" si="145"/>
        <v/>
      </c>
      <c r="BD65" s="49" t="str">
        <f ca="1">IFERROR(IF(AND(ISNUMBER(Futs!$CC65), ISNUMBER($AZ65)), $AZ65/6.35 - Futs!$CC65, ""), "")</f>
        <v/>
      </c>
      <c r="BE65" s="46" t="str">
        <f ca="1">IFERROR(IF(AND(ISNUMBER(Futs!$CD65), ISNUMBER($BA65)), $BA65/6.35 - Futs!$CD65, ""), "")</f>
        <v/>
      </c>
      <c r="BF65" s="47" t="str">
        <f t="shared" ca="1" si="146"/>
        <v/>
      </c>
      <c r="BG65" s="114" t="str">
        <f t="shared" ca="1" si="147"/>
        <v/>
      </c>
      <c r="BH65" s="49" t="str">
        <f ca="1">IFERROR(IF(AND(ISNUMBER(Crd!$X65), ISNUMBER($AZ65)), $AZ65/6.35 - Crd!$X65, ""), "")</f>
        <v/>
      </c>
      <c r="BI65" s="46" t="str">
        <f ca="1">IFERROR(IF(AND(ISNUMBER(Crd!$Y65), ISNUMBER($BA65)), $BA65/6.35 - Crd!$Y65, ""), "")</f>
        <v/>
      </c>
      <c r="BJ65" s="47" t="str">
        <f t="shared" ca="1" si="148"/>
        <v/>
      </c>
      <c r="BK65" s="111" t="str">
        <f t="shared" ca="1" si="149"/>
        <v/>
      </c>
      <c r="BL65" s="397"/>
      <c r="BM65" s="372" t="str">
        <f ca="1">IFERROR(INDEX(ICE[], MATCH("fo05bfrbrx" &amp; TEXT(Hvy!$A65, "mmmyy"), ICE[LongCode], 0), MATCH("Text", ICE[#Headers], 0)), "")</f>
        <v/>
      </c>
      <c r="BN65" s="46" t="str">
        <f t="shared" ca="1" si="115"/>
        <v/>
      </c>
      <c r="BO65" s="47" t="str">
        <f t="shared" si="150"/>
        <v/>
      </c>
      <c r="BP65" s="46" t="str">
        <f t="shared" ca="1" si="151"/>
        <v/>
      </c>
      <c r="BQ65" s="141" t="str">
        <f ca="1">IFERROR(IF(AND(ISNUMBER(Futs!$CC65), ISNUMBER($BL65)), (Futs!$CC65 + $BL65)*6.35, ""), "")</f>
        <v/>
      </c>
      <c r="BR65" s="46" t="str">
        <f ca="1">IFERROR(IF(AND(ISNUMBER(Futs!$CD65), ISNUMBER($BN65)), (Futs!$CD65 + $BN65)*6.35, ""), "")</f>
        <v/>
      </c>
      <c r="BS65" s="47" t="str">
        <f t="shared" ca="1" si="152"/>
        <v/>
      </c>
      <c r="BT65" s="114" t="str">
        <f t="shared" ca="1" si="153"/>
        <v/>
      </c>
      <c r="BU65" s="49" t="str">
        <f t="shared" ca="1" si="116"/>
        <v/>
      </c>
      <c r="BV65" s="46" t="str">
        <f t="shared" ca="1" si="117"/>
        <v/>
      </c>
      <c r="BW65" s="47" t="str">
        <f t="shared" ca="1" si="154"/>
        <v/>
      </c>
      <c r="BX65" s="111" t="str">
        <f t="shared" ca="1" si="155"/>
        <v/>
      </c>
      <c r="BY65" s="397"/>
      <c r="BZ65" s="372" t="str">
        <f ca="1">IFERROR(INDEX(ICE[], MATCH("fo05singbrx" &amp; TEXT(Hvy!$A65, "mmmyy"), ICE[LongCode], 0), MATCH("Text", ICE[#Headers], 0)), "")</f>
        <v/>
      </c>
      <c r="CA65" s="46" t="str">
        <f t="shared" ca="1" si="118"/>
        <v/>
      </c>
      <c r="CB65" s="47" t="str">
        <f t="shared" si="156"/>
        <v/>
      </c>
      <c r="CC65" s="114" t="str">
        <f t="shared" ca="1" si="157"/>
        <v/>
      </c>
      <c r="CD65" s="141" t="str">
        <f ca="1">IFERROR(IF(AND(ISNUMBER(Futs!$CC65), ISNUMBER($BY65)), (Futs!$CC65 + $BY65)*6.35, ""), "")</f>
        <v/>
      </c>
      <c r="CE65" s="46" t="str">
        <f ca="1">IFERROR(IF(AND(ISNUMBER(Futs!$CD65), ISNUMBER($CA65)), (Futs!$CD65 + $CA65)*6.35, ""), "")</f>
        <v/>
      </c>
      <c r="CF65" s="47" t="str">
        <f t="shared" ca="1" si="158"/>
        <v/>
      </c>
      <c r="CG65" s="114" t="str">
        <f t="shared" ca="1" si="159"/>
        <v/>
      </c>
      <c r="CH65" s="141" t="str">
        <f t="shared" ca="1" si="119"/>
        <v/>
      </c>
      <c r="CI65" s="46" t="str">
        <f t="shared" ca="1" si="120"/>
        <v/>
      </c>
      <c r="CJ65" s="47" t="str">
        <f t="shared" ca="1" si="160"/>
        <v/>
      </c>
      <c r="CK65" s="114" t="str">
        <f t="shared" ca="1" si="161"/>
        <v/>
      </c>
      <c r="CL65" s="49" t="str">
        <f t="shared" ca="1" si="128"/>
        <v/>
      </c>
      <c r="CM65" s="46" t="str">
        <f t="shared" ca="1" si="129"/>
        <v/>
      </c>
      <c r="CN65" s="47" t="str">
        <f t="shared" ca="1" si="162"/>
        <v/>
      </c>
      <c r="CO65" s="111" t="str">
        <f t="shared" ca="1" si="163"/>
        <v/>
      </c>
    </row>
    <row r="66" spans="1:93" ht="15.75" thickBot="1" x14ac:dyDescent="0.3">
      <c r="A66" s="58">
        <f t="shared" ca="1" si="130"/>
        <v>47696</v>
      </c>
      <c r="B66" s="6">
        <f t="shared" ca="1" si="105"/>
        <v>2030</v>
      </c>
      <c r="C66" s="6" t="str">
        <f t="shared" ca="1" si="121"/>
        <v>Q330</v>
      </c>
      <c r="D66" s="28" t="e">
        <f ca="1">INDEX(ICE[], MATCH(D$18 &amp; TEXT(Hvy!$A66, "mmmyy"), ICE[LongCode], 0), MATCH("Settle", ICE[#Headers], 0))</f>
        <v>#N/A</v>
      </c>
      <c r="E66" s="28" t="e">
        <f ca="1">INDEX(ICE[], MATCH(E$18 &amp; TEXT(Hvy!$A66, "mmmyy"), ICE[LongCode], 0), MATCH("Settle", ICE[#Headers], 0))</f>
        <v>#N/A</v>
      </c>
      <c r="F66" s="28" t="e">
        <f ca="1">INDEX(ICE[], MATCH(F$18 &amp; TEXT(Hvy!$A66, "mmmyy"), ICE[LongCode], 0), MATCH("Settle", ICE[#Headers], 0))</f>
        <v>#N/A</v>
      </c>
      <c r="G66" s="28" t="e">
        <f ca="1">INDEX(ICE[], MATCH(G$18 &amp; TEXT(Hvy!$A66, "mmmyy"), ICE[LongCode], 0), MATCH("Settle", ICE[#Headers], 0))</f>
        <v>#N/A</v>
      </c>
      <c r="H66" s="28" t="e">
        <f ca="1">INDEX(ICE[], MATCH(H$18 &amp; TEXT(Hvy!$A66, "mmmyy"), ICE[LongCode], 0), MATCH("Settle", ICE[#Headers], 0))</f>
        <v>#N/A</v>
      </c>
      <c r="I66" s="28" t="e">
        <f ca="1">INDEX(ICE[], MATCH(I$18 &amp; TEXT(Hvy!$A66, "mmmyy"), ICE[LongCode], 0), MATCH("Settle", ICE[#Headers], 0))</f>
        <v>#N/A</v>
      </c>
      <c r="J66" s="398"/>
      <c r="K66" s="373" t="str">
        <f ca="1">IFERROR(INDEX(ICE[], MATCH("fo35brx" &amp; TEXT(Hvy!$A66, "mmmyy"), ICE[LongCode], 0), MATCH("Text", ICE[#Headers], 0)), "")</f>
        <v/>
      </c>
      <c r="L66" s="133" t="str">
        <f t="shared" ca="1" si="122"/>
        <v/>
      </c>
      <c r="M66" s="142" t="str">
        <f t="shared" si="123"/>
        <v/>
      </c>
      <c r="N66" s="133" t="str">
        <f t="shared" ca="1" si="131"/>
        <v/>
      </c>
      <c r="O66" s="144" t="str">
        <f ca="1">IFERROR(IF(AND(ISNUMBER(Futs!$CC66), ISNUMBER($J66)), (Futs!$CC66 + $J66)*6.35, ""), "")</f>
        <v/>
      </c>
      <c r="P66" s="191" t="str">
        <f ca="1">IFERROR(IF(AND(ISNUMBER(Futs!$CD66), ISNUMBER($L66)), (Futs!$CD66 + $L66)*6.35, ""), "")</f>
        <v/>
      </c>
      <c r="Q66" s="142" t="str">
        <f t="shared" ca="1" si="132"/>
        <v/>
      </c>
      <c r="R66" s="133" t="str">
        <f t="shared" ca="1" si="133"/>
        <v/>
      </c>
      <c r="S66" s="398"/>
      <c r="T66" s="373" t="str">
        <f ca="1">IFERROR(INDEX(ICE[], MATCH("hilo" &amp; TEXT(Hvy!$A66, "mmmyy"), ICE[LongCode], 0), MATCH("Text", ICE[#Headers], 0)), "")</f>
        <v/>
      </c>
      <c r="U66" s="133" t="str">
        <f t="shared" ca="1" si="106"/>
        <v/>
      </c>
      <c r="V66" s="142" t="str">
        <f t="shared" si="134"/>
        <v/>
      </c>
      <c r="W66" s="137" t="str">
        <f t="shared" ca="1" si="135"/>
        <v/>
      </c>
      <c r="X66" s="193" t="str">
        <f t="shared" ca="1" si="107"/>
        <v/>
      </c>
      <c r="Y66" s="133" t="str">
        <f t="shared" ca="1" si="108"/>
        <v/>
      </c>
      <c r="Z66" s="142" t="str">
        <f t="shared" ca="1" si="136"/>
        <v/>
      </c>
      <c r="AA66" s="135" t="str">
        <f t="shared" ca="1" si="137"/>
        <v/>
      </c>
      <c r="AB66" s="398"/>
      <c r="AC66" s="373" t="str">
        <f ca="1">IFERROR(INDEX(ICE[], MATCH("hsfoew" &amp; TEXT(Hvy!$A66, "mmmyy"), ICE[LongCode], 0), MATCH("Text", ICE[#Headers], 0)), "")</f>
        <v/>
      </c>
      <c r="AD66" s="133" t="str">
        <f t="shared" ca="1" si="109"/>
        <v/>
      </c>
      <c r="AE66" s="142" t="str">
        <f t="shared" si="124"/>
        <v/>
      </c>
      <c r="AF66" s="137" t="str">
        <f t="shared" ca="1" si="125"/>
        <v/>
      </c>
      <c r="AG66" s="144" t="str">
        <f t="shared" ca="1" si="110"/>
        <v/>
      </c>
      <c r="AH66" s="133" t="str">
        <f t="shared" ca="1" si="111"/>
        <v/>
      </c>
      <c r="AI66" s="142" t="str">
        <f t="shared" ca="1" si="126"/>
        <v/>
      </c>
      <c r="AJ66" s="366" t="str">
        <f ca="1">IFERROR(INDEX(ICE[], MATCH("brfo380" &amp; TEXT(Crd!$A66, "mmmyy"), ICE[LongCode], 0), MATCH("Text", ICE[#Headers], 0)), "")</f>
        <v/>
      </c>
      <c r="AK66" s="137" t="str">
        <f t="shared" ca="1" si="127"/>
        <v/>
      </c>
      <c r="AL66" s="388" t="str">
        <f ca="1">IFERROR(IF(AND(ISNUMBER(Futs!$CC66), ISNUMBER($AG66)), $AG66/6.35 - Futs!$CC66, ""), "")</f>
        <v/>
      </c>
      <c r="AM66" s="373" t="str">
        <f ca="1">IFERROR(INDEX(ICE[], MATCH("fo380brx" &amp; TEXT(Hvy!$A66, "mmmyy"), ICE[LongCode], 0), MATCH("Text", ICE[#Headers], 0)), "")</f>
        <v/>
      </c>
      <c r="AN66" s="133" t="str">
        <f ca="1">IFERROR(IF(AND(ISNUMBER(Futs!$CD66), ISNUMBER($AH66)), $AH66/6.35 - Futs!$CD66, ""), "")</f>
        <v/>
      </c>
      <c r="AO66" s="142" t="str">
        <f t="shared" ca="1" si="138"/>
        <v/>
      </c>
      <c r="AP66" s="137" t="str">
        <f t="shared" ca="1" si="139"/>
        <v/>
      </c>
      <c r="AQ66" s="193" t="str">
        <f ca="1">IFERROR(IF(AND(ISNUMBER(Crd!$X66), ISNUMBER($AG66)), $AG66/6.35 - Crd!$X66, ""), "")</f>
        <v/>
      </c>
      <c r="AR66" s="133" t="str">
        <f ca="1">IFERROR(IF(AND(ISNUMBER(Crd!$Y66), ISNUMBER($AH66)), $AH66/6.35 - Crd!$Y66, ""), "")</f>
        <v/>
      </c>
      <c r="AS66" s="142" t="str">
        <f t="shared" ca="1" si="140"/>
        <v/>
      </c>
      <c r="AT66" s="135" t="str">
        <f t="shared" ca="1" si="141"/>
        <v/>
      </c>
      <c r="AU66" s="398"/>
      <c r="AV66" s="373" t="str">
        <f ca="1">IFERROR(INDEX(ICE[], MATCH("visco" &amp; TEXT(Hvy!$A66, "mmmyy"), ICE[LongCode], 0), MATCH("Text", ICE[#Headers], 0)), "")</f>
        <v/>
      </c>
      <c r="AW66" s="133" t="str">
        <f t="shared" ca="1" si="112"/>
        <v/>
      </c>
      <c r="AX66" s="142" t="str">
        <f t="shared" si="142"/>
        <v/>
      </c>
      <c r="AY66" s="133" t="str">
        <f t="shared" ca="1" si="143"/>
        <v/>
      </c>
      <c r="AZ66" s="144" t="str">
        <f t="shared" ca="1" si="113"/>
        <v/>
      </c>
      <c r="BA66" s="133" t="str">
        <f t="shared" ca="1" si="114"/>
        <v/>
      </c>
      <c r="BB66" s="142" t="str">
        <f t="shared" ca="1" si="144"/>
        <v/>
      </c>
      <c r="BC66" s="137" t="str">
        <f t="shared" ca="1" si="145"/>
        <v/>
      </c>
      <c r="BD66" s="193" t="str">
        <f ca="1">IFERROR(IF(AND(ISNUMBER(Futs!$CC66), ISNUMBER($AZ66)), $AZ66/6.35 - Futs!$CC66, ""), "")</f>
        <v/>
      </c>
      <c r="BE66" s="133" t="str">
        <f ca="1">IFERROR(IF(AND(ISNUMBER(Futs!$CD66), ISNUMBER($BA66)), $BA66/6.35 - Futs!$CD66, ""), "")</f>
        <v/>
      </c>
      <c r="BF66" s="142" t="str">
        <f t="shared" ca="1" si="146"/>
        <v/>
      </c>
      <c r="BG66" s="137" t="str">
        <f t="shared" ca="1" si="147"/>
        <v/>
      </c>
      <c r="BH66" s="193" t="str">
        <f ca="1">IFERROR(IF(AND(ISNUMBER(Crd!$X66), ISNUMBER($AZ66)), $AZ66/6.35 - Crd!$X66, ""), "")</f>
        <v/>
      </c>
      <c r="BI66" s="133" t="str">
        <f ca="1">IFERROR(IF(AND(ISNUMBER(Crd!$Y66), ISNUMBER($BA66)), $BA66/6.35 - Crd!$Y66, ""), "")</f>
        <v/>
      </c>
      <c r="BJ66" s="142" t="str">
        <f t="shared" ca="1" si="148"/>
        <v/>
      </c>
      <c r="BK66" s="135" t="str">
        <f t="shared" ca="1" si="149"/>
        <v/>
      </c>
      <c r="BL66" s="398"/>
      <c r="BM66" s="373" t="str">
        <f ca="1">IFERROR(INDEX(ICE[], MATCH("fo05bfrbrx" &amp; TEXT(Hvy!$A66, "mmmyy"), ICE[LongCode], 0), MATCH("Text", ICE[#Headers], 0)), "")</f>
        <v/>
      </c>
      <c r="BN66" s="133" t="str">
        <f t="shared" ca="1" si="115"/>
        <v/>
      </c>
      <c r="BO66" s="142" t="str">
        <f t="shared" si="150"/>
        <v/>
      </c>
      <c r="BP66" s="133" t="str">
        <f t="shared" ca="1" si="151"/>
        <v/>
      </c>
      <c r="BQ66" s="389" t="str">
        <f ca="1">IFERROR(IF(AND(ISNUMBER(Futs!$CC66), ISNUMBER($BL66)), (Futs!$CC66 + $BL66)*6.35, ""), "")</f>
        <v/>
      </c>
      <c r="BR66" s="133" t="str">
        <f ca="1">IFERROR(IF(AND(ISNUMBER(Futs!$CD66), ISNUMBER($BN66)), (Futs!$CD66 + $BN66)*6.35, ""), "")</f>
        <v/>
      </c>
      <c r="BS66" s="142" t="str">
        <f t="shared" ca="1" si="152"/>
        <v/>
      </c>
      <c r="BT66" s="137" t="str">
        <f t="shared" ca="1" si="153"/>
        <v/>
      </c>
      <c r="BU66" s="193" t="str">
        <f t="shared" ca="1" si="116"/>
        <v/>
      </c>
      <c r="BV66" s="133" t="str">
        <f t="shared" ca="1" si="117"/>
        <v/>
      </c>
      <c r="BW66" s="142" t="str">
        <f t="shared" ca="1" si="154"/>
        <v/>
      </c>
      <c r="BX66" s="135" t="str">
        <f t="shared" ca="1" si="155"/>
        <v/>
      </c>
      <c r="BY66" s="398"/>
      <c r="BZ66" s="373" t="str">
        <f ca="1">IFERROR(INDEX(ICE[], MATCH("fo05singbrx" &amp; TEXT(Hvy!$A66, "mmmyy"), ICE[LongCode], 0), MATCH("Text", ICE[#Headers], 0)), "")</f>
        <v/>
      </c>
      <c r="CA66" s="133" t="str">
        <f t="shared" ca="1" si="118"/>
        <v/>
      </c>
      <c r="CB66" s="142" t="str">
        <f t="shared" si="156"/>
        <v/>
      </c>
      <c r="CC66" s="137" t="str">
        <f t="shared" ca="1" si="157"/>
        <v/>
      </c>
      <c r="CD66" s="144" t="str">
        <f ca="1">IFERROR(IF(AND(ISNUMBER(Futs!$CC66), ISNUMBER($BY66)), (Futs!$CC66 + $BY66)*6.35, ""), "")</f>
        <v/>
      </c>
      <c r="CE66" s="133" t="str">
        <f ca="1">IFERROR(IF(AND(ISNUMBER(Futs!$CD66), ISNUMBER($CA66)), (Futs!$CD66 + $CA66)*6.35, ""), "")</f>
        <v/>
      </c>
      <c r="CF66" s="142" t="str">
        <f t="shared" ca="1" si="158"/>
        <v/>
      </c>
      <c r="CG66" s="137" t="str">
        <f t="shared" ca="1" si="159"/>
        <v/>
      </c>
      <c r="CH66" s="144" t="str">
        <f t="shared" ca="1" si="119"/>
        <v/>
      </c>
      <c r="CI66" s="133" t="str">
        <f t="shared" ca="1" si="120"/>
        <v/>
      </c>
      <c r="CJ66" s="142" t="str">
        <f t="shared" ca="1" si="160"/>
        <v/>
      </c>
      <c r="CK66" s="137" t="str">
        <f t="shared" ca="1" si="161"/>
        <v/>
      </c>
      <c r="CL66" s="193" t="str">
        <f t="shared" ca="1" si="128"/>
        <v/>
      </c>
      <c r="CM66" s="133" t="str">
        <f t="shared" ca="1" si="129"/>
        <v/>
      </c>
      <c r="CN66" s="142" t="str">
        <f t="shared" ca="1" si="162"/>
        <v/>
      </c>
      <c r="CO66" s="135" t="str">
        <f t="shared" ca="1" si="163"/>
        <v/>
      </c>
    </row>
    <row r="67" spans="1:93" x14ac:dyDescent="0.25">
      <c r="A67" s="60"/>
      <c r="J67" s="48"/>
      <c r="K67" s="48"/>
      <c r="L67" s="53"/>
      <c r="M67" s="62"/>
      <c r="N67" s="53"/>
      <c r="O67" s="49"/>
      <c r="Q67" s="62"/>
      <c r="R67" s="53"/>
      <c r="S67" s="48"/>
      <c r="T67" s="48"/>
      <c r="U67" s="53"/>
      <c r="V67" s="62"/>
      <c r="W67" s="53"/>
      <c r="X67" s="49"/>
      <c r="Z67" s="62"/>
      <c r="AA67" s="53"/>
      <c r="AB67" s="48"/>
      <c r="AC67" s="48"/>
      <c r="AD67" s="53"/>
      <c r="AE67" s="62"/>
      <c r="AF67" s="53"/>
      <c r="AG67" s="49"/>
      <c r="AI67" s="62"/>
      <c r="AJ67" s="48"/>
      <c r="AK67" s="53"/>
      <c r="AL67" s="49"/>
      <c r="AM67" s="48"/>
      <c r="AO67" s="62"/>
      <c r="AP67" s="53"/>
      <c r="AQ67" s="49"/>
      <c r="AS67" s="62"/>
      <c r="AT67" s="53"/>
      <c r="AU67" s="48"/>
      <c r="AV67" s="48"/>
      <c r="AW67" s="53"/>
      <c r="AX67" s="62"/>
      <c r="AY67" s="53"/>
      <c r="AZ67" s="49"/>
      <c r="BB67" s="62"/>
      <c r="BC67" s="53"/>
      <c r="BD67" s="49"/>
      <c r="BF67" s="62"/>
      <c r="BG67" s="53"/>
      <c r="BH67" s="49"/>
      <c r="BJ67" s="62"/>
      <c r="BK67" s="53"/>
      <c r="BL67" s="48"/>
      <c r="BM67" s="48"/>
      <c r="BN67" s="53"/>
      <c r="BO67" s="62"/>
      <c r="BP67" s="53"/>
      <c r="BQ67" s="49"/>
      <c r="BS67" s="62"/>
      <c r="BT67" s="53"/>
      <c r="BU67" s="49"/>
      <c r="BW67" s="62"/>
      <c r="BX67" s="53"/>
      <c r="BY67" s="48"/>
      <c r="BZ67" s="48"/>
      <c r="CA67" s="53"/>
      <c r="CB67" s="62"/>
      <c r="CC67" s="53"/>
      <c r="CD67" s="49"/>
      <c r="CF67" s="62"/>
      <c r="CG67" s="53"/>
      <c r="CH67" s="49"/>
      <c r="CJ67" s="62"/>
      <c r="CK67" s="53"/>
      <c r="CL67" s="49"/>
      <c r="CN67" s="62"/>
      <c r="CO67" s="53"/>
    </row>
    <row r="68" spans="1:93" x14ac:dyDescent="0.25">
      <c r="A68" s="60"/>
      <c r="J68" s="48"/>
      <c r="K68" s="48"/>
      <c r="L68" s="53"/>
      <c r="M68" s="47"/>
      <c r="N68" s="53"/>
      <c r="Q68" s="47"/>
      <c r="R68" s="53"/>
      <c r="S68" s="48"/>
      <c r="T68" s="48"/>
      <c r="U68" s="53"/>
      <c r="V68" s="47"/>
      <c r="W68" s="53"/>
      <c r="Z68" s="47"/>
      <c r="AA68" s="53"/>
      <c r="AB68" s="48"/>
      <c r="AC68" s="48"/>
      <c r="AD68" s="53"/>
      <c r="AE68" s="47"/>
      <c r="AF68" s="53"/>
      <c r="AI68" s="47"/>
      <c r="AJ68" s="48"/>
      <c r="AK68" s="53"/>
      <c r="AM68" s="48"/>
      <c r="AO68" s="47"/>
      <c r="AP68" s="53"/>
      <c r="AS68" s="47"/>
      <c r="AT68" s="53"/>
      <c r="AU68" s="48"/>
      <c r="AV68" s="48"/>
      <c r="AW68" s="53"/>
      <c r="AX68" s="47"/>
      <c r="AY68" s="53"/>
      <c r="BB68" s="47"/>
      <c r="BC68" s="53"/>
      <c r="BF68" s="47"/>
      <c r="BG68" s="53"/>
      <c r="BJ68" s="47"/>
      <c r="BK68" s="53"/>
      <c r="BL68" s="48"/>
      <c r="BM68" s="48"/>
      <c r="BN68" s="53"/>
      <c r="BO68" s="47"/>
      <c r="BP68" s="53"/>
      <c r="BS68" s="47"/>
      <c r="BT68" s="53"/>
      <c r="BW68" s="47"/>
      <c r="BX68" s="53"/>
      <c r="BY68" s="48"/>
      <c r="BZ68" s="48"/>
      <c r="CA68" s="53"/>
      <c r="CB68" s="47"/>
      <c r="CC68" s="53"/>
      <c r="CF68" s="47"/>
      <c r="CG68" s="53"/>
      <c r="CJ68" s="47"/>
      <c r="CK68" s="53"/>
      <c r="CN68" s="47"/>
      <c r="CO68" s="53"/>
    </row>
    <row r="69" spans="1:93" x14ac:dyDescent="0.25">
      <c r="A69" s="60"/>
      <c r="J69" s="48"/>
      <c r="K69" s="48"/>
      <c r="L69" s="53"/>
      <c r="M69" s="47"/>
      <c r="N69" s="53"/>
      <c r="Q69" s="47"/>
      <c r="R69" s="53"/>
      <c r="S69" s="48"/>
      <c r="T69" s="48"/>
      <c r="U69" s="53"/>
      <c r="V69" s="47"/>
      <c r="W69" s="53"/>
      <c r="Z69" s="47"/>
      <c r="AA69" s="53"/>
      <c r="AB69" s="48"/>
      <c r="AC69" s="48"/>
      <c r="AD69" s="53"/>
      <c r="AE69" s="47"/>
      <c r="AF69" s="53"/>
      <c r="AI69" s="47"/>
      <c r="AJ69" s="48"/>
      <c r="AK69" s="53"/>
      <c r="AM69" s="48"/>
      <c r="AO69" s="47"/>
      <c r="AP69" s="53"/>
      <c r="AS69" s="47"/>
      <c r="AT69" s="53"/>
      <c r="AU69" s="48"/>
      <c r="AV69" s="48"/>
      <c r="AW69" s="53"/>
      <c r="AX69" s="47"/>
      <c r="AY69" s="53"/>
      <c r="BB69" s="47"/>
      <c r="BC69" s="53"/>
      <c r="BF69" s="47"/>
      <c r="BG69" s="53"/>
      <c r="BJ69" s="47"/>
      <c r="BK69" s="53"/>
      <c r="BL69" s="48"/>
      <c r="BM69" s="48"/>
      <c r="BN69" s="53"/>
      <c r="BO69" s="47"/>
      <c r="BP69" s="53"/>
      <c r="BS69" s="47"/>
      <c r="BT69" s="53"/>
      <c r="BW69" s="47"/>
      <c r="BX69" s="53"/>
      <c r="BY69" s="48"/>
      <c r="BZ69" s="48"/>
      <c r="CA69" s="53"/>
      <c r="CB69" s="47"/>
      <c r="CC69" s="53"/>
      <c r="CF69" s="47"/>
      <c r="CG69" s="53"/>
      <c r="CJ69" s="47"/>
      <c r="CK69" s="53"/>
      <c r="CN69" s="47"/>
      <c r="CO69" s="53"/>
    </row>
    <row r="70" spans="1:93" x14ac:dyDescent="0.25">
      <c r="A70" s="60"/>
      <c r="J70" s="48"/>
      <c r="K70" s="48"/>
      <c r="L70" s="53"/>
      <c r="M70" s="47"/>
      <c r="N70" s="53"/>
      <c r="Q70" s="47"/>
      <c r="R70" s="53"/>
      <c r="S70" s="48"/>
      <c r="T70" s="48"/>
      <c r="U70" s="53"/>
      <c r="V70" s="47"/>
      <c r="W70" s="53"/>
      <c r="Z70" s="47"/>
      <c r="AA70" s="53"/>
      <c r="AB70" s="48"/>
      <c r="AC70" s="48"/>
      <c r="AD70" s="53"/>
      <c r="AE70" s="47"/>
      <c r="AF70" s="53"/>
      <c r="AI70" s="47"/>
      <c r="AJ70" s="48"/>
      <c r="AK70" s="53"/>
      <c r="AM70" s="48"/>
      <c r="AO70" s="47"/>
      <c r="AP70" s="53"/>
      <c r="AS70" s="47"/>
      <c r="AT70" s="53"/>
      <c r="AU70" s="48"/>
      <c r="AV70" s="48"/>
      <c r="AW70" s="53"/>
      <c r="AX70" s="47"/>
      <c r="AY70" s="53"/>
      <c r="BB70" s="47"/>
      <c r="BC70" s="53"/>
      <c r="BF70" s="47"/>
      <c r="BG70" s="53"/>
      <c r="BJ70" s="47"/>
      <c r="BK70" s="53"/>
      <c r="BL70" s="48"/>
      <c r="BM70" s="48"/>
      <c r="BN70" s="53"/>
      <c r="BO70" s="47"/>
      <c r="BP70" s="53"/>
      <c r="BS70" s="47"/>
      <c r="BT70" s="53"/>
      <c r="BW70" s="47"/>
      <c r="BX70" s="53"/>
      <c r="BY70" s="48"/>
      <c r="BZ70" s="48"/>
      <c r="CA70" s="53"/>
      <c r="CB70" s="47"/>
      <c r="CC70" s="53"/>
      <c r="CF70" s="47"/>
      <c r="CG70" s="53"/>
      <c r="CJ70" s="47"/>
      <c r="CK70" s="53"/>
      <c r="CN70" s="47"/>
      <c r="CO70" s="53"/>
    </row>
    <row r="71" spans="1:93" x14ac:dyDescent="0.25">
      <c r="A71" s="60"/>
      <c r="J71" s="48"/>
      <c r="K71" s="48"/>
      <c r="L71" s="53"/>
      <c r="M71" s="47"/>
      <c r="N71" s="53"/>
      <c r="Q71" s="47"/>
      <c r="R71" s="53"/>
      <c r="S71" s="48"/>
      <c r="T71" s="48"/>
      <c r="U71" s="53"/>
      <c r="V71" s="47"/>
      <c r="W71" s="53"/>
      <c r="Z71" s="47"/>
      <c r="AA71" s="53"/>
      <c r="AB71" s="48"/>
      <c r="AC71" s="48"/>
      <c r="AD71" s="53"/>
      <c r="AE71" s="47"/>
      <c r="AF71" s="53"/>
      <c r="AI71" s="47"/>
      <c r="AJ71" s="48"/>
      <c r="AK71" s="53"/>
      <c r="AM71" s="48"/>
      <c r="AO71" s="47"/>
      <c r="AP71" s="53"/>
      <c r="AS71" s="47"/>
      <c r="AT71" s="53"/>
      <c r="AU71" s="48"/>
      <c r="AV71" s="48"/>
      <c r="AW71" s="53"/>
      <c r="AX71" s="47"/>
      <c r="AY71" s="53"/>
      <c r="BB71" s="47"/>
      <c r="BC71" s="53"/>
      <c r="BF71" s="47"/>
      <c r="BG71" s="53"/>
      <c r="BJ71" s="47"/>
      <c r="BK71" s="53"/>
      <c r="BL71" s="48"/>
      <c r="BM71" s="48"/>
      <c r="BN71" s="53"/>
      <c r="BO71" s="47"/>
      <c r="BP71" s="53"/>
      <c r="BS71" s="47"/>
      <c r="BT71" s="53"/>
      <c r="BW71" s="47"/>
      <c r="BX71" s="53"/>
      <c r="BY71" s="48"/>
      <c r="BZ71" s="48"/>
      <c r="CA71" s="53"/>
      <c r="CB71" s="47"/>
      <c r="CC71" s="53"/>
      <c r="CF71" s="47"/>
      <c r="CG71" s="53"/>
      <c r="CJ71" s="47"/>
      <c r="CK71" s="53"/>
      <c r="CN71" s="47"/>
      <c r="CO71" s="53"/>
    </row>
    <row r="72" spans="1:93" x14ac:dyDescent="0.25">
      <c r="A72" s="60"/>
      <c r="J72" s="48"/>
      <c r="K72" s="48"/>
      <c r="L72" s="53"/>
      <c r="M72" s="47"/>
      <c r="N72" s="53"/>
      <c r="Q72" s="47"/>
      <c r="R72" s="53"/>
      <c r="S72" s="48"/>
      <c r="T72" s="48"/>
      <c r="U72" s="53"/>
      <c r="V72" s="47"/>
      <c r="W72" s="53"/>
      <c r="Z72" s="47"/>
      <c r="AA72" s="53"/>
      <c r="AB72" s="48"/>
      <c r="AC72" s="48"/>
      <c r="AD72" s="53"/>
      <c r="AE72" s="47"/>
      <c r="AF72" s="53"/>
      <c r="AI72" s="47"/>
      <c r="AJ72" s="48"/>
      <c r="AK72" s="53"/>
      <c r="AM72" s="48"/>
      <c r="AO72" s="47"/>
      <c r="AP72" s="53"/>
      <c r="AS72" s="47"/>
      <c r="AT72" s="53"/>
      <c r="AU72" s="48"/>
      <c r="AV72" s="48"/>
      <c r="AW72" s="53"/>
      <c r="AX72" s="47"/>
      <c r="AY72" s="53"/>
      <c r="BB72" s="47"/>
      <c r="BC72" s="53"/>
      <c r="BF72" s="47"/>
      <c r="BG72" s="53"/>
      <c r="BJ72" s="47"/>
      <c r="BK72" s="53"/>
      <c r="BL72" s="48"/>
      <c r="BM72" s="48"/>
      <c r="BN72" s="53"/>
      <c r="BO72" s="47"/>
      <c r="BP72" s="53"/>
      <c r="BS72" s="47"/>
      <c r="BT72" s="53"/>
      <c r="BW72" s="47"/>
      <c r="BX72" s="53"/>
      <c r="BY72" s="48"/>
      <c r="BZ72" s="48"/>
      <c r="CA72" s="53"/>
      <c r="CB72" s="47"/>
      <c r="CC72" s="53"/>
      <c r="CF72" s="47"/>
      <c r="CG72" s="53"/>
      <c r="CJ72" s="47"/>
      <c r="CK72" s="53"/>
      <c r="CN72" s="47"/>
      <c r="CO72" s="53"/>
    </row>
    <row r="73" spans="1:93" x14ac:dyDescent="0.25">
      <c r="A73" s="60"/>
      <c r="J73" s="48"/>
      <c r="K73" s="48"/>
      <c r="L73" s="53"/>
      <c r="M73" s="47"/>
      <c r="N73" s="53"/>
      <c r="Q73" s="47"/>
      <c r="R73" s="53"/>
      <c r="S73" s="48"/>
      <c r="T73" s="48"/>
      <c r="U73" s="53"/>
      <c r="V73" s="47"/>
      <c r="W73" s="53"/>
      <c r="Z73" s="47"/>
      <c r="AA73" s="53"/>
      <c r="AB73" s="48"/>
      <c r="AC73" s="48"/>
      <c r="AD73" s="53"/>
      <c r="AE73" s="47"/>
      <c r="AF73" s="53"/>
      <c r="AI73" s="47"/>
      <c r="AJ73" s="48"/>
      <c r="AK73" s="53"/>
      <c r="AM73" s="48"/>
      <c r="AO73" s="47"/>
      <c r="AP73" s="53"/>
      <c r="AS73" s="47"/>
      <c r="AT73" s="53"/>
      <c r="AU73" s="48"/>
      <c r="AV73" s="48"/>
      <c r="AW73" s="53"/>
      <c r="AX73" s="47"/>
      <c r="AY73" s="53"/>
      <c r="BB73" s="47"/>
      <c r="BC73" s="53"/>
      <c r="BF73" s="47"/>
      <c r="BG73" s="53"/>
      <c r="BJ73" s="47"/>
      <c r="BK73" s="53"/>
      <c r="BL73" s="48"/>
      <c r="BM73" s="48"/>
      <c r="BN73" s="53"/>
      <c r="BO73" s="47"/>
      <c r="BP73" s="53"/>
      <c r="BS73" s="47"/>
      <c r="BT73" s="53"/>
      <c r="BW73" s="47"/>
      <c r="BX73" s="53"/>
      <c r="BY73" s="48"/>
      <c r="BZ73" s="48"/>
      <c r="CA73" s="53"/>
      <c r="CB73" s="47"/>
      <c r="CC73" s="53"/>
      <c r="CF73" s="47"/>
      <c r="CG73" s="53"/>
      <c r="CJ73" s="47"/>
      <c r="CK73" s="53"/>
      <c r="CN73" s="47"/>
      <c r="CO73" s="53"/>
    </row>
  </sheetData>
  <conditionalFormatting sqref="L19:L66 N19:N66 P19:P66 R19:R66 L5:L14 P5:P14 U19:U66 U5:U14 Y5:Y14 W19:W66 Y19:Y66 AA19:AA66 AD19:AD66 AD5:AD14 AH5:AH14 AF19:AF66 AN5:AN14 AH19:AH66 AK19:AK66 AR5:AR14 AN19:AN66 AR19:AR66 AW5:AW14 AW19:AW66 AY19:AY66 BA5:BA14 BE5:BE14 BA19:BA66 BC19:BC66 BI5:BI14 BE19:BE66 BI19:BI66 BN5:BN14 BN19:BN66 BP19:BP66 BR5:BR14 BV5:BV14 BR19:BR66 BT19:BT66 BV19:BV66 BX19:BX66 CA19:CA66 CA5:CA14 CE5:CE14 CC19:CC66 CE19:CE66 CI5:CI14 CG19:CG66 CI19:CI66 CK19:CK66 CM19:CM66 CO19:CO66 N5:N14 R5:R14 W5:W14 AA5:AA14 AF5:AF14 AK5:AK14 AP5:AP14 AP19:AP66 AT19:AT66 AT5:AT14 AY5:AY14 BC5:BC14 BG5:BG14 BG19:BG66 BK19:BK66 BK5:BK14 BP5:BP14 BT5:BT14 BX5:BX14 CC5:CC14 CG5:CG14 CK5:CK14 CO5:CO14">
    <cfRule type="cellIs" dxfId="93" priority="43" operator="lessThan">
      <formula>0</formula>
    </cfRule>
    <cfRule type="cellIs" dxfId="92" priority="4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745E3-3E62-4EF6-9C2E-1780A637780C}">
  <sheetPr codeName="Sheet9">
    <tabColor theme="6" tint="0.39997558519241921"/>
    <pageSetUpPr autoPageBreaks="0"/>
  </sheetPr>
  <dimension ref="A1:BV73"/>
  <sheetViews>
    <sheetView zoomScaleNormal="100" workbookViewId="0">
      <pane xSplit="1" ySplit="18" topLeftCell="I19" activePane="bottomRight" state="frozen"/>
      <selection pane="topRight" activeCell="B1" sqref="B1"/>
      <selection pane="bottomLeft" activeCell="A19" sqref="A19"/>
      <selection pane="bottomRight" activeCell="AJ20" sqref="AJ20:AJ37"/>
    </sheetView>
  </sheetViews>
  <sheetFormatPr defaultColWidth="9.140625" defaultRowHeight="15" x14ac:dyDescent="0.25"/>
  <cols>
    <col min="1" max="1" width="12.140625" style="57" customWidth="1"/>
    <col min="2" max="3" width="9.42578125" style="6" hidden="1" customWidth="1"/>
    <col min="4" max="8" width="9.42578125" style="28" hidden="1" customWidth="1"/>
    <col min="9" max="9" width="8.140625" style="51" customWidth="1"/>
    <col min="10" max="10" width="25.85546875" style="51" customWidth="1"/>
    <col min="11" max="11" width="5.7109375" style="51" customWidth="1"/>
    <col min="12" max="12" width="8.140625" style="66" customWidth="1"/>
    <col min="13" max="13" width="5.7109375" style="52" customWidth="1"/>
    <col min="14" max="14" width="8.140625" style="48" customWidth="1"/>
    <col min="15" max="15" width="5.7109375" style="53" customWidth="1"/>
    <col min="16" max="16" width="8.140625" style="66" customWidth="1"/>
    <col min="17" max="17" width="5.7109375" style="52" customWidth="1"/>
    <col min="18" max="18" width="8.140625" style="51" customWidth="1"/>
    <col min="19" max="19" width="25.85546875" style="51" customWidth="1"/>
    <col min="20" max="20" width="5.7109375" style="51" customWidth="1"/>
    <col min="21" max="21" width="8.140625" style="66" customWidth="1"/>
    <col min="22" max="22" width="5.7109375" style="52" customWidth="1"/>
    <col min="23" max="23" width="8.140625" style="48" customWidth="1"/>
    <col min="24" max="24" width="5.7109375" style="53" customWidth="1"/>
    <col min="25" max="25" width="8.140625" style="66" customWidth="1"/>
    <col min="26" max="26" width="5.7109375" style="52" customWidth="1"/>
    <col min="27" max="27" width="8.140625" style="51" customWidth="1"/>
    <col min="28" max="28" width="25.85546875" style="51" customWidth="1"/>
    <col min="29" max="29" width="5.7109375" style="51" customWidth="1"/>
    <col min="30" max="30" width="8.140625" style="66" customWidth="1"/>
    <col min="31" max="31" width="5.7109375" style="52" customWidth="1"/>
    <col min="32" max="32" width="8.140625" style="48" customWidth="1"/>
    <col min="33" max="33" width="5.7109375" style="53" customWidth="1"/>
    <col min="34" max="34" width="8.140625" style="66" customWidth="1"/>
    <col min="35" max="35" width="5.7109375" style="52" customWidth="1"/>
    <col min="36" max="36" width="8.140625" style="51" customWidth="1"/>
    <col min="37" max="37" width="25.85546875" style="51" customWidth="1"/>
    <col min="38" max="38" width="5.7109375" style="51" customWidth="1"/>
    <col min="39" max="39" width="8.140625" style="66" customWidth="1"/>
    <col min="40" max="40" width="5.7109375" style="52" customWidth="1"/>
    <col min="41" max="41" width="8.140625" style="48" customWidth="1"/>
    <col min="42" max="42" width="5.7109375" style="53" customWidth="1"/>
    <col min="43" max="43" width="8.140625" style="66" customWidth="1"/>
    <col min="44" max="44" width="5.7109375" style="52" customWidth="1"/>
    <col min="45" max="45" width="8.140625" style="51" customWidth="1"/>
    <col min="46" max="46" width="25.85546875" style="51" customWidth="1"/>
    <col min="47" max="47" width="5.7109375" style="51" customWidth="1"/>
    <col min="48" max="48" width="8.140625" style="66" customWidth="1"/>
    <col min="49" max="49" width="5.7109375" style="52" customWidth="1"/>
    <col min="50" max="50" width="8.140625" style="48" customWidth="1"/>
    <col min="51" max="51" width="5.7109375" style="53" customWidth="1"/>
    <col min="52" max="52" width="8.140625" style="66" customWidth="1"/>
    <col min="53" max="53" width="5.7109375" style="52" customWidth="1"/>
    <col min="54" max="73" width="9.140625" style="51"/>
    <col min="74" max="74" width="11.5703125" style="51" bestFit="1" customWidth="1"/>
    <col min="75" max="16384" width="9.140625" style="51"/>
  </cols>
  <sheetData>
    <row r="1" spans="1:74" x14ac:dyDescent="0.25">
      <c r="A1" s="106">
        <f ca="1">INT(TimeLDN)</f>
        <v>46267</v>
      </c>
      <c r="C1" s="25"/>
      <c r="L1" s="51"/>
      <c r="M1" s="51"/>
      <c r="P1" s="51"/>
      <c r="Q1" s="51"/>
      <c r="U1" s="51"/>
      <c r="V1" s="51"/>
      <c r="Y1" s="51"/>
      <c r="Z1" s="51"/>
      <c r="AD1" s="51"/>
      <c r="AE1" s="51"/>
      <c r="AH1" s="51"/>
      <c r="AI1" s="51"/>
      <c r="AM1" s="51"/>
      <c r="AN1" s="51"/>
      <c r="AQ1" s="51"/>
      <c r="AR1" s="51"/>
      <c r="AV1" s="51"/>
      <c r="AW1" s="51"/>
      <c r="AZ1" s="51"/>
      <c r="BA1" s="51"/>
    </row>
    <row r="2" spans="1:74" ht="15.75" thickBot="1" x14ac:dyDescent="0.3">
      <c r="A2" s="107">
        <f ca="1">TimeLDN</f>
        <v>46267.465217013887</v>
      </c>
      <c r="L2" s="51"/>
      <c r="M2" s="51"/>
      <c r="P2" s="51"/>
      <c r="Q2" s="51"/>
      <c r="U2" s="51"/>
      <c r="V2" s="51"/>
      <c r="Y2" s="51"/>
      <c r="Z2" s="51"/>
      <c r="AD2" s="51"/>
      <c r="AE2" s="51"/>
      <c r="AH2" s="51"/>
      <c r="AI2" s="51"/>
      <c r="AM2" s="51"/>
      <c r="AN2" s="51"/>
      <c r="AQ2" s="51"/>
      <c r="AR2" s="51"/>
      <c r="AV2" s="51"/>
      <c r="AW2" s="51"/>
      <c r="AZ2" s="51"/>
      <c r="BA2" s="51"/>
    </row>
    <row r="3" spans="1:74" ht="15.75" thickBot="1" x14ac:dyDescent="0.3">
      <c r="A3" s="54"/>
      <c r="I3" s="310" t="s">
        <v>440</v>
      </c>
      <c r="J3" s="311"/>
      <c r="K3" s="311"/>
      <c r="L3" s="311"/>
      <c r="M3" s="311"/>
      <c r="N3" s="381"/>
      <c r="O3" s="381"/>
      <c r="P3" s="311"/>
      <c r="Q3" s="311"/>
      <c r="R3" s="310" t="s">
        <v>441</v>
      </c>
      <c r="S3" s="311"/>
      <c r="T3" s="311"/>
      <c r="U3" s="311"/>
      <c r="V3" s="311"/>
      <c r="W3" s="381"/>
      <c r="X3" s="381"/>
      <c r="Y3" s="311"/>
      <c r="Z3" s="311"/>
      <c r="AA3" s="310" t="s">
        <v>442</v>
      </c>
      <c r="AB3" s="311"/>
      <c r="AC3" s="311"/>
      <c r="AD3" s="311"/>
      <c r="AE3" s="311"/>
      <c r="AF3" s="381"/>
      <c r="AG3" s="381"/>
      <c r="AH3" s="311"/>
      <c r="AI3" s="320"/>
      <c r="AJ3" s="310" t="s">
        <v>443</v>
      </c>
      <c r="AK3" s="311"/>
      <c r="AL3" s="311"/>
      <c r="AM3" s="311"/>
      <c r="AN3" s="311"/>
      <c r="AO3" s="381"/>
      <c r="AP3" s="381"/>
      <c r="AQ3" s="311"/>
      <c r="AR3" s="320"/>
      <c r="AS3" s="310" t="s">
        <v>444</v>
      </c>
      <c r="AT3" s="311"/>
      <c r="AU3" s="311"/>
      <c r="AV3" s="311"/>
      <c r="AW3" s="311"/>
      <c r="AX3" s="381"/>
      <c r="AY3" s="381"/>
      <c r="AZ3" s="311"/>
      <c r="BA3" s="320"/>
    </row>
    <row r="4" spans="1:74" x14ac:dyDescent="0.25">
      <c r="A4" s="54"/>
      <c r="I4" s="302" t="s">
        <v>445</v>
      </c>
      <c r="J4" s="321"/>
      <c r="K4" s="321"/>
      <c r="L4" s="321"/>
      <c r="M4" s="330"/>
      <c r="N4" s="382" t="str">
        <f>N$18</f>
        <v>WS%</v>
      </c>
      <c r="O4" s="383"/>
      <c r="P4" s="321"/>
      <c r="Q4" s="321"/>
      <c r="R4" s="302" t="s">
        <v>445</v>
      </c>
      <c r="S4" s="321"/>
      <c r="T4" s="321"/>
      <c r="U4" s="321"/>
      <c r="V4" s="330"/>
      <c r="W4" s="382" t="str">
        <f>W$18</f>
        <v>WS%</v>
      </c>
      <c r="X4" s="383"/>
      <c r="Y4" s="321"/>
      <c r="Z4" s="321"/>
      <c r="AA4" s="302" t="s">
        <v>445</v>
      </c>
      <c r="AB4" s="321"/>
      <c r="AC4" s="321"/>
      <c r="AD4" s="321"/>
      <c r="AE4" s="330"/>
      <c r="AF4" s="382" t="str">
        <f>AF$18</f>
        <v>WS%</v>
      </c>
      <c r="AG4" s="383"/>
      <c r="AH4" s="321"/>
      <c r="AI4" s="327"/>
      <c r="AJ4" s="302" t="s">
        <v>445</v>
      </c>
      <c r="AK4" s="321"/>
      <c r="AL4" s="321"/>
      <c r="AM4" s="321"/>
      <c r="AN4" s="330"/>
      <c r="AO4" s="382" t="str">
        <f>AO$18</f>
        <v>WS%</v>
      </c>
      <c r="AP4" s="383"/>
      <c r="AQ4" s="321"/>
      <c r="AR4" s="327"/>
      <c r="AS4" s="302" t="s">
        <v>445</v>
      </c>
      <c r="AT4" s="321"/>
      <c r="AU4" s="321"/>
      <c r="AV4" s="321"/>
      <c r="AW4" s="330"/>
      <c r="AX4" s="382" t="str">
        <f>AX$18</f>
        <v>WS%</v>
      </c>
      <c r="AY4" s="383"/>
      <c r="AZ4" s="321"/>
      <c r="BA4" s="327"/>
    </row>
    <row r="5" spans="1:74" x14ac:dyDescent="0.25">
      <c r="A5" s="54" t="str">
        <f ca="1">"Q" &amp; INT((MONTH($A$1) + 2) / 3) &amp; TEXT($A$1, "yy")</f>
        <v>Q326</v>
      </c>
      <c r="I5" s="160" t="str">
        <f ca="1">IFERROR(AVERAGEIF($C$19:$C$66, $A5, I$19:I$66), "")</f>
        <v/>
      </c>
      <c r="J5" s="371" t="str">
        <f ca="1">IFERROR(INDEX(ICE[], MATCH("td3c" &amp; LEFT($A5, 2) &amp; " " &amp; RIGHT($A5, 2), ICE[LongCode], 0), MATCH("Text", ICE[#Headers], 0)), "")</f>
        <v/>
      </c>
      <c r="K5" s="115" t="str">
        <f ca="1">IFERROR(AVERAGEIF($C$19:$C$66, $A5, K$19:K$66), "")</f>
        <v/>
      </c>
      <c r="L5" s="161"/>
      <c r="M5" s="163"/>
      <c r="N5" s="194" t="str">
        <f ca="1">IFERROR(AVERAGEIF($C$19:$C$66, $A5, N$19:N$66), "")</f>
        <v/>
      </c>
      <c r="O5" s="195" t="str">
        <f ca="1">IFERROR(AVERAGEIF($C$19:$C$66, $A5, O$19:O$66), "")</f>
        <v/>
      </c>
      <c r="P5" s="161"/>
      <c r="Q5" s="163"/>
      <c r="R5" s="160" t="str">
        <f ca="1">IFERROR(AVERAGEIF($C$19:$C$66, $A5, R$19:R$66), "")</f>
        <v/>
      </c>
      <c r="S5" s="371" t="str">
        <f ca="1">IFERROR(INDEX(ICE[], MATCH("afra" &amp; LEFT($A5, 2) &amp; " " &amp; RIGHT($A5, 2), ICE[LongCode], 0), MATCH("Text", ICE[#Headers], 0)), "")</f>
        <v/>
      </c>
      <c r="T5" s="115" t="str">
        <f ca="1">IFERROR(AVERAGEIF($C$19:$C$66, $A5, T$19:T$66), "")</f>
        <v/>
      </c>
      <c r="U5" s="161"/>
      <c r="V5" s="163"/>
      <c r="W5" s="194" t="str">
        <f ca="1">IFERROR(AVERAGEIF($C$19:$C$66, $A5, W$19:W$66), "")</f>
        <v/>
      </c>
      <c r="X5" s="195" t="str">
        <f ca="1">IFERROR(AVERAGEIF($C$19:$C$66, $A5, X$19:X$66), "")</f>
        <v/>
      </c>
      <c r="Y5" s="161"/>
      <c r="Z5" s="163"/>
      <c r="AA5" s="160" t="str">
        <f ca="1">IFERROR(AVERAGEIF($C$19:$C$66, $A5, AA$19:AA$66), "")</f>
        <v/>
      </c>
      <c r="AB5" s="371" t="str">
        <f ca="1">IFERROR(INDEX(ICE[], MATCH("tc5" &amp; LEFT($A5, 2) &amp; " " &amp; RIGHT($A5, 2), ICE[LongCode], 0), MATCH("Text", ICE[#Headers], 0)), "")</f>
        <v/>
      </c>
      <c r="AC5" s="115" t="str">
        <f ca="1">IFERROR(AVERAGEIF($C$19:$C$66, $A5, AC$19:AC$66), "")</f>
        <v/>
      </c>
      <c r="AD5" s="161"/>
      <c r="AE5" s="163"/>
      <c r="AF5" s="194" t="str">
        <f ca="1">IFERROR(AVERAGEIF($C$19:$C$66, $A5, AF$19:AF$66), "")</f>
        <v/>
      </c>
      <c r="AG5" s="195" t="str">
        <f ca="1">IFERROR(AVERAGEIF($C$19:$C$66, $A5, AG$19:AG$66), "")</f>
        <v/>
      </c>
      <c r="AH5" s="161"/>
      <c r="AI5" s="164"/>
      <c r="AJ5" s="160" t="str">
        <f ca="1">IFERROR(AVERAGEIF($C$19:$C$66, $A5, AJ$19:AJ$66), "")</f>
        <v/>
      </c>
      <c r="AK5" s="371" t="str">
        <f ca="1">IFERROR(INDEX(ICE[], MATCH("tc2" &amp; LEFT($A5, 2) &amp; " " &amp; RIGHT($A5, 2), ICE[LongCode], 0), MATCH("Text", ICE[#Headers], 0)), "")</f>
        <v/>
      </c>
      <c r="AL5" s="115" t="str">
        <f ca="1">IFERROR(AVERAGEIF($C$19:$C$66, $A5, AL$19:AL$66), "")</f>
        <v/>
      </c>
      <c r="AM5" s="161"/>
      <c r="AN5" s="163"/>
      <c r="AO5" s="194" t="str">
        <f ca="1">IFERROR(AVERAGEIF($C$19:$C$66, $A5, AO$19:AO$66), "")</f>
        <v/>
      </c>
      <c r="AP5" s="195" t="str">
        <f ca="1">IFERROR(AVERAGEIF($C$19:$C$66, $A5, AP$19:AP$66), "")</f>
        <v/>
      </c>
      <c r="AQ5" s="161"/>
      <c r="AR5" s="164"/>
      <c r="AS5" s="160" t="str">
        <f ca="1">IFERROR(AVERAGEIF($C$19:$C$66, $A5, AS$19:AS$66), "")</f>
        <v/>
      </c>
      <c r="AT5" s="371" t="str">
        <f ca="1">IFERROR(INDEX(ICE[], MATCH("tc14" &amp; LEFT($A5, 2) &amp; " " &amp; RIGHT($A5, 2), ICE[LongCode], 0), MATCH("Text", ICE[#Headers], 0)), "")</f>
        <v/>
      </c>
      <c r="AU5" s="115" t="str">
        <f ca="1">IFERROR(AVERAGEIF($C$19:$C$66, $A5, AU$19:AU$66), "")</f>
        <v/>
      </c>
      <c r="AV5" s="161"/>
      <c r="AW5" s="163"/>
      <c r="AX5" s="194" t="str">
        <f ca="1">IFERROR(AVERAGEIF($C$19:$C$66, $A5, AX$19:AX$66), "")</f>
        <v/>
      </c>
      <c r="AY5" s="195" t="str">
        <f ca="1">IFERROR(AVERAGEIF($C$19:$C$66, $A5, AY$19:AY$66), "")</f>
        <v/>
      </c>
      <c r="AZ5" s="161"/>
      <c r="BA5" s="164"/>
    </row>
    <row r="6" spans="1:74" x14ac:dyDescent="0.25">
      <c r="A6" s="54" t="str">
        <f ca="1">IF(LEFT($A5, 2) = "Q4", "Q1" &amp; TEXT(RIGHT($A5, 2) + 1, "00"), "Q" &amp; MID($A5, 2, 1) + 1 &amp; RIGHT($A5, 2))</f>
        <v>Q426</v>
      </c>
      <c r="I6" s="109" t="str">
        <f t="shared" ref="I6:K11" ca="1" si="0">IFERROR(AVERAGEIF($C$19:$C$66, $A6, I$19:I$66), "")</f>
        <v/>
      </c>
      <c r="J6" s="372" t="str">
        <f ca="1">IFERROR(INDEX(ICE[], MATCH("td3c" &amp; LEFT($A6, 2) &amp; " " &amp; RIGHT($A6, 2), ICE[LongCode], 0), MATCH("Text", ICE[#Headers], 0)), "")</f>
        <v/>
      </c>
      <c r="K6" s="46" t="str">
        <f t="shared" ca="1" si="0"/>
        <v/>
      </c>
      <c r="L6" s="47" t="str">
        <f ca="1">IF(AND(ISNUMBER(I5), ISNUMBER(I6)), I5 - I6, "")</f>
        <v/>
      </c>
      <c r="M6" s="46" t="str">
        <f ca="1">IF(AND(ISNUMBER(K5), ISNUMBER(K6)), K5 - K6, "")</f>
        <v/>
      </c>
      <c r="N6" s="48" t="str">
        <f t="shared" ref="N6:O11" ca="1" si="1">IFERROR(AVERAGEIF($C$19:$C$66, $A6, N$19:N$66), "")</f>
        <v/>
      </c>
      <c r="O6" s="53" t="str">
        <f t="shared" ca="1" si="1"/>
        <v/>
      </c>
      <c r="P6" s="47" t="str">
        <f ca="1">IF(AND(ISNUMBER(N5), ISNUMBER(N6)), N5 - N6, "")</f>
        <v/>
      </c>
      <c r="Q6" s="46" t="str">
        <f ca="1">IF(AND(ISNUMBER(O5), ISNUMBER(O6)), O5 - O6, "")</f>
        <v/>
      </c>
      <c r="R6" s="109" t="str">
        <f t="shared" ref="R6:T11" ca="1" si="2">IFERROR(AVERAGEIF($C$19:$C$66, $A6, R$19:R$66), "")</f>
        <v/>
      </c>
      <c r="S6" s="372" t="str">
        <f ca="1">IFERROR(INDEX(ICE[], MATCH("afra" &amp; LEFT($A6, 2) &amp; " " &amp; RIGHT($A6, 2), ICE[LongCode], 0), MATCH("Text", ICE[#Headers], 0)), "")</f>
        <v/>
      </c>
      <c r="T6" s="46" t="str">
        <f t="shared" ca="1" si="2"/>
        <v/>
      </c>
      <c r="U6" s="47" t="str">
        <f ca="1">IF(AND(ISNUMBER(R5), ISNUMBER(R6)), R5 - R6, "")</f>
        <v/>
      </c>
      <c r="V6" s="46" t="str">
        <f ca="1">IF(AND(ISNUMBER(T5), ISNUMBER(T6)), T5 - T6, "")</f>
        <v/>
      </c>
      <c r="W6" s="48" t="str">
        <f t="shared" ref="W6:X11" ca="1" si="3">IFERROR(AVERAGEIF($C$19:$C$66, $A6, W$19:W$66), "")</f>
        <v/>
      </c>
      <c r="X6" s="53" t="str">
        <f t="shared" ca="1" si="3"/>
        <v/>
      </c>
      <c r="Y6" s="47" t="str">
        <f ca="1">IF(AND(ISNUMBER(W5), ISNUMBER(W6)), W5 - W6, "")</f>
        <v/>
      </c>
      <c r="Z6" s="46" t="str">
        <f ca="1">IF(AND(ISNUMBER(X5), ISNUMBER(X6)), X5 - X6, "")</f>
        <v/>
      </c>
      <c r="AA6" s="109" t="str">
        <f t="shared" ref="AA6:AC11" ca="1" si="4">IFERROR(AVERAGEIF($C$19:$C$66, $A6, AA$19:AA$66), "")</f>
        <v/>
      </c>
      <c r="AB6" s="372" t="str">
        <f ca="1">IFERROR(INDEX(ICE[], MATCH("tc5" &amp; LEFT($A6, 2) &amp; " " &amp; RIGHT($A6, 2), ICE[LongCode], 0), MATCH("Text", ICE[#Headers], 0)), "")</f>
        <v/>
      </c>
      <c r="AC6" s="46" t="str">
        <f t="shared" ca="1" si="4"/>
        <v/>
      </c>
      <c r="AD6" s="47" t="str">
        <f ca="1">IF(AND(ISNUMBER(AA5), ISNUMBER(AA6)), AA5 - AA6, "")</f>
        <v/>
      </c>
      <c r="AE6" s="46" t="str">
        <f ca="1">IF(AND(ISNUMBER(AC5), ISNUMBER(AC6)), AC5 - AC6, "")</f>
        <v/>
      </c>
      <c r="AF6" s="48" t="str">
        <f t="shared" ref="AF6:AG11" ca="1" si="5">IFERROR(AVERAGEIF($C$19:$C$66, $A6, AF$19:AF$66), "")</f>
        <v/>
      </c>
      <c r="AG6" s="53" t="str">
        <f t="shared" ca="1" si="5"/>
        <v/>
      </c>
      <c r="AH6" s="47" t="str">
        <f ca="1">IF(AND(ISNUMBER(AF5), ISNUMBER(AF6)), AF5 - AF6, "")</f>
        <v/>
      </c>
      <c r="AI6" s="111" t="str">
        <f ca="1">IF(AND(ISNUMBER(AG5), ISNUMBER(AG6)), AG5 - AG6, "")</f>
        <v/>
      </c>
      <c r="AJ6" s="109" t="str">
        <f t="shared" ref="AJ6:AL11" ca="1" si="6">IFERROR(AVERAGEIF($C$19:$C$66, $A6, AJ$19:AJ$66), "")</f>
        <v/>
      </c>
      <c r="AK6" s="372" t="str">
        <f ca="1">IFERROR(INDEX(ICE[], MATCH("tc2" &amp; LEFT($A6, 2) &amp; " " &amp; RIGHT($A6, 2), ICE[LongCode], 0), MATCH("Text", ICE[#Headers], 0)), "")</f>
        <v/>
      </c>
      <c r="AL6" s="46" t="str">
        <f t="shared" ca="1" si="6"/>
        <v/>
      </c>
      <c r="AM6" s="47" t="str">
        <f ca="1">IF(AND(ISNUMBER(AJ5), ISNUMBER(AJ6)), AJ5 - AJ6, "")</f>
        <v/>
      </c>
      <c r="AN6" s="46" t="str">
        <f ca="1">IF(AND(ISNUMBER(AL5), ISNUMBER(AL6)), AL5 - AL6, "")</f>
        <v/>
      </c>
      <c r="AO6" s="48" t="str">
        <f t="shared" ref="AO6:AP11" ca="1" si="7">IFERROR(AVERAGEIF($C$19:$C$66, $A6, AO$19:AO$66), "")</f>
        <v/>
      </c>
      <c r="AP6" s="53" t="str">
        <f t="shared" ca="1" si="7"/>
        <v/>
      </c>
      <c r="AQ6" s="47" t="str">
        <f ca="1">IF(AND(ISNUMBER(AO5), ISNUMBER(AO6)), AO5 - AO6, "")</f>
        <v/>
      </c>
      <c r="AR6" s="111" t="str">
        <f ca="1">IF(AND(ISNUMBER(AP5), ISNUMBER(AP6)), AP5 - AP6, "")</f>
        <v/>
      </c>
      <c r="AS6" s="109" t="str">
        <f t="shared" ref="AS6:AU11" ca="1" si="8">IFERROR(AVERAGEIF($C$19:$C$66, $A6, AS$19:AS$66), "")</f>
        <v/>
      </c>
      <c r="AT6" s="372" t="str">
        <f ca="1">IFERROR(INDEX(ICE[], MATCH("tc14" &amp; LEFT($A6, 2) &amp; " " &amp; RIGHT($A6, 2), ICE[LongCode], 0), MATCH("Text", ICE[#Headers], 0)), "")</f>
        <v/>
      </c>
      <c r="AU6" s="46" t="str">
        <f t="shared" ca="1" si="8"/>
        <v/>
      </c>
      <c r="AV6" s="47" t="str">
        <f ca="1">IF(AND(ISNUMBER(AS5), ISNUMBER(AS6)), AS5 - AS6, "")</f>
        <v/>
      </c>
      <c r="AW6" s="46" t="str">
        <f ca="1">IF(AND(ISNUMBER(AU5), ISNUMBER(AU6)), AU5 - AU6, "")</f>
        <v/>
      </c>
      <c r="AX6" s="48" t="str">
        <f t="shared" ref="AX6:AY11" ca="1" si="9">IFERROR(AVERAGEIF($C$19:$C$66, $A6, AX$19:AX$66), "")</f>
        <v/>
      </c>
      <c r="AY6" s="53" t="str">
        <f t="shared" ca="1" si="9"/>
        <v/>
      </c>
      <c r="AZ6" s="47" t="str">
        <f ca="1">IF(AND(ISNUMBER(AX5), ISNUMBER(AX6)), AX5 - AX6, "")</f>
        <v/>
      </c>
      <c r="BA6" s="111" t="str">
        <f ca="1">IF(AND(ISNUMBER(AY5), ISNUMBER(AY6)), AY5 - AY6, "")</f>
        <v/>
      </c>
    </row>
    <row r="7" spans="1:74" x14ac:dyDescent="0.25">
      <c r="A7" s="54" t="str">
        <f t="shared" ref="A7:A11" ca="1" si="10">IF(LEFT($A6, 2) = "Q4", "Q1" &amp; TEXT(RIGHT($A6, 2) + 1, "00"), "Q" &amp; MID($A6, 2, 1) + 1 &amp; RIGHT($A6, 2))</f>
        <v>Q127</v>
      </c>
      <c r="I7" s="109" t="str">
        <f t="shared" ca="1" si="0"/>
        <v/>
      </c>
      <c r="J7" s="372" t="str">
        <f ca="1">IFERROR(INDEX(ICE[], MATCH("td3c" &amp; LEFT($A7, 2) &amp; " " &amp; RIGHT($A7, 2), ICE[LongCode], 0), MATCH("Text", ICE[#Headers], 0)), "")</f>
        <v/>
      </c>
      <c r="K7" s="46" t="str">
        <f t="shared" ca="1" si="0"/>
        <v/>
      </c>
      <c r="L7" s="47" t="str">
        <f t="shared" ref="L7:L14" ca="1" si="11">IF(AND(ISNUMBER(I6), ISNUMBER(I7)), I6 - I7, "")</f>
        <v/>
      </c>
      <c r="M7" s="46" t="str">
        <f t="shared" ref="M7:M14" ca="1" si="12">IF(AND(ISNUMBER(K6), ISNUMBER(K7)), K6 - K7, "")</f>
        <v/>
      </c>
      <c r="N7" s="48" t="str">
        <f t="shared" ca="1" si="1"/>
        <v/>
      </c>
      <c r="O7" s="53" t="str">
        <f t="shared" ca="1" si="1"/>
        <v/>
      </c>
      <c r="P7" s="47" t="str">
        <f t="shared" ref="P7:P11" ca="1" si="13">IF(AND(ISNUMBER(N6), ISNUMBER(N7)), N6 - N7, "")</f>
        <v/>
      </c>
      <c r="Q7" s="46" t="str">
        <f t="shared" ref="Q7:Q11" ca="1" si="14">IF(AND(ISNUMBER(O6), ISNUMBER(O7)), O6 - O7, "")</f>
        <v/>
      </c>
      <c r="R7" s="109" t="str">
        <f t="shared" ca="1" si="2"/>
        <v/>
      </c>
      <c r="S7" s="372" t="str">
        <f ca="1">IFERROR(INDEX(ICE[], MATCH("afra" &amp; LEFT($A7, 2) &amp; " " &amp; RIGHT($A7, 2), ICE[LongCode], 0), MATCH("Text", ICE[#Headers], 0)), "")</f>
        <v/>
      </c>
      <c r="T7" s="46" t="str">
        <f t="shared" ca="1" si="2"/>
        <v/>
      </c>
      <c r="U7" s="47" t="str">
        <f t="shared" ref="U7:U11" ca="1" si="15">IF(AND(ISNUMBER(R6), ISNUMBER(R7)), R6 - R7, "")</f>
        <v/>
      </c>
      <c r="V7" s="46" t="str">
        <f t="shared" ref="V7:V11" ca="1" si="16">IF(AND(ISNUMBER(T6), ISNUMBER(T7)), T6 - T7, "")</f>
        <v/>
      </c>
      <c r="W7" s="48" t="str">
        <f t="shared" ca="1" si="3"/>
        <v/>
      </c>
      <c r="X7" s="53" t="str">
        <f t="shared" ca="1" si="3"/>
        <v/>
      </c>
      <c r="Y7" s="47" t="str">
        <f t="shared" ref="Y7:Y11" ca="1" si="17">IF(AND(ISNUMBER(W6), ISNUMBER(W7)), W6 - W7, "")</f>
        <v/>
      </c>
      <c r="Z7" s="46" t="str">
        <f t="shared" ref="Z7:Z11" ca="1" si="18">IF(AND(ISNUMBER(X6), ISNUMBER(X7)), X6 - X7, "")</f>
        <v/>
      </c>
      <c r="AA7" s="109" t="str">
        <f t="shared" ca="1" si="4"/>
        <v/>
      </c>
      <c r="AB7" s="372" t="str">
        <f ca="1">IFERROR(INDEX(ICE[], MATCH("tc5" &amp; LEFT($A7, 2) &amp; " " &amp; RIGHT($A7, 2), ICE[LongCode], 0), MATCH("Text", ICE[#Headers], 0)), "")</f>
        <v/>
      </c>
      <c r="AC7" s="46" t="str">
        <f t="shared" ca="1" si="4"/>
        <v/>
      </c>
      <c r="AD7" s="47" t="str">
        <f t="shared" ref="AD7:AD11" ca="1" si="19">IF(AND(ISNUMBER(AA6), ISNUMBER(AA7)), AA6 - AA7, "")</f>
        <v/>
      </c>
      <c r="AE7" s="46" t="str">
        <f t="shared" ref="AE7:AE11" ca="1" si="20">IF(AND(ISNUMBER(AC6), ISNUMBER(AC7)), AC6 - AC7, "")</f>
        <v/>
      </c>
      <c r="AF7" s="48" t="str">
        <f t="shared" ca="1" si="5"/>
        <v/>
      </c>
      <c r="AG7" s="53" t="str">
        <f t="shared" ca="1" si="5"/>
        <v/>
      </c>
      <c r="AH7" s="47" t="str">
        <f t="shared" ref="AH7:AH11" ca="1" si="21">IF(AND(ISNUMBER(AF6), ISNUMBER(AF7)), AF6 - AF7, "")</f>
        <v/>
      </c>
      <c r="AI7" s="111" t="str">
        <f t="shared" ref="AI7:AI11" ca="1" si="22">IF(AND(ISNUMBER(AG6), ISNUMBER(AG7)), AG6 - AG7, "")</f>
        <v/>
      </c>
      <c r="AJ7" s="109" t="str">
        <f t="shared" ca="1" si="6"/>
        <v/>
      </c>
      <c r="AK7" s="372" t="str">
        <f ca="1">IFERROR(INDEX(ICE[], MATCH("tc2" &amp; LEFT($A7, 2) &amp; " " &amp; RIGHT($A7, 2), ICE[LongCode], 0), MATCH("Text", ICE[#Headers], 0)), "")</f>
        <v/>
      </c>
      <c r="AL7" s="46" t="str">
        <f t="shared" ca="1" si="6"/>
        <v/>
      </c>
      <c r="AM7" s="47" t="str">
        <f t="shared" ref="AM7:AM11" ca="1" si="23">IF(AND(ISNUMBER(AJ6), ISNUMBER(AJ7)), AJ6 - AJ7, "")</f>
        <v/>
      </c>
      <c r="AN7" s="46" t="str">
        <f t="shared" ref="AN7:AN11" ca="1" si="24">IF(AND(ISNUMBER(AL6), ISNUMBER(AL7)), AL6 - AL7, "")</f>
        <v/>
      </c>
      <c r="AO7" s="48" t="str">
        <f t="shared" ca="1" si="7"/>
        <v/>
      </c>
      <c r="AP7" s="53" t="str">
        <f t="shared" ca="1" si="7"/>
        <v/>
      </c>
      <c r="AQ7" s="47" t="str">
        <f t="shared" ref="AQ7:AQ11" ca="1" si="25">IF(AND(ISNUMBER(AO6), ISNUMBER(AO7)), AO6 - AO7, "")</f>
        <v/>
      </c>
      <c r="AR7" s="111" t="str">
        <f t="shared" ref="AR7:AR11" ca="1" si="26">IF(AND(ISNUMBER(AP6), ISNUMBER(AP7)), AP6 - AP7, "")</f>
        <v/>
      </c>
      <c r="AS7" s="109" t="str">
        <f t="shared" ca="1" si="8"/>
        <v/>
      </c>
      <c r="AT7" s="372" t="str">
        <f ca="1">IFERROR(INDEX(ICE[], MATCH("tc14" &amp; LEFT($A7, 2) &amp; " " &amp; RIGHT($A7, 2), ICE[LongCode], 0), MATCH("Text", ICE[#Headers], 0)), "")</f>
        <v/>
      </c>
      <c r="AU7" s="46" t="str">
        <f t="shared" ca="1" si="8"/>
        <v/>
      </c>
      <c r="AV7" s="47" t="str">
        <f t="shared" ref="AV7:AV11" ca="1" si="27">IF(AND(ISNUMBER(AS6), ISNUMBER(AS7)), AS6 - AS7, "")</f>
        <v/>
      </c>
      <c r="AW7" s="46" t="str">
        <f t="shared" ref="AW7:AW11" ca="1" si="28">IF(AND(ISNUMBER(AU6), ISNUMBER(AU7)), AU6 - AU7, "")</f>
        <v/>
      </c>
      <c r="AX7" s="48" t="str">
        <f t="shared" ca="1" si="9"/>
        <v/>
      </c>
      <c r="AY7" s="53" t="str">
        <f t="shared" ca="1" si="9"/>
        <v/>
      </c>
      <c r="AZ7" s="47" t="str">
        <f t="shared" ref="AZ7:AZ11" ca="1" si="29">IF(AND(ISNUMBER(AX6), ISNUMBER(AX7)), AX6 - AX7, "")</f>
        <v/>
      </c>
      <c r="BA7" s="111" t="str">
        <f t="shared" ref="BA7:BA11" ca="1" si="30">IF(AND(ISNUMBER(AY6), ISNUMBER(AY7)), AY6 - AY7, "")</f>
        <v/>
      </c>
    </row>
    <row r="8" spans="1:74" x14ac:dyDescent="0.25">
      <c r="A8" s="54" t="str">
        <f t="shared" ca="1" si="10"/>
        <v>Q227</v>
      </c>
      <c r="I8" s="109" t="str">
        <f t="shared" ca="1" si="0"/>
        <v/>
      </c>
      <c r="J8" s="372" t="str">
        <f ca="1">IFERROR(INDEX(ICE[], MATCH("td3c" &amp; LEFT($A8, 2) &amp; " " &amp; RIGHT($A8, 2), ICE[LongCode], 0), MATCH("Text", ICE[#Headers], 0)), "")</f>
        <v/>
      </c>
      <c r="K8" s="46" t="str">
        <f t="shared" ca="1" si="0"/>
        <v/>
      </c>
      <c r="L8" s="47" t="str">
        <f t="shared" ca="1" si="11"/>
        <v/>
      </c>
      <c r="M8" s="46" t="str">
        <f t="shared" ca="1" si="12"/>
        <v/>
      </c>
      <c r="N8" s="48" t="str">
        <f t="shared" ca="1" si="1"/>
        <v/>
      </c>
      <c r="O8" s="53" t="str">
        <f t="shared" ca="1" si="1"/>
        <v/>
      </c>
      <c r="P8" s="47" t="str">
        <f t="shared" ca="1" si="13"/>
        <v/>
      </c>
      <c r="Q8" s="46" t="str">
        <f t="shared" ca="1" si="14"/>
        <v/>
      </c>
      <c r="R8" s="109" t="str">
        <f t="shared" ca="1" si="2"/>
        <v/>
      </c>
      <c r="S8" s="372" t="str">
        <f ca="1">IFERROR(INDEX(ICE[], MATCH("afra" &amp; LEFT($A8, 2) &amp; " " &amp; RIGHT($A8, 2), ICE[LongCode], 0), MATCH("Text", ICE[#Headers], 0)), "")</f>
        <v/>
      </c>
      <c r="T8" s="46" t="str">
        <f t="shared" ca="1" si="2"/>
        <v/>
      </c>
      <c r="U8" s="47" t="str">
        <f t="shared" ca="1" si="15"/>
        <v/>
      </c>
      <c r="V8" s="46" t="str">
        <f t="shared" ca="1" si="16"/>
        <v/>
      </c>
      <c r="W8" s="48" t="str">
        <f t="shared" ca="1" si="3"/>
        <v/>
      </c>
      <c r="X8" s="53" t="str">
        <f t="shared" ca="1" si="3"/>
        <v/>
      </c>
      <c r="Y8" s="47" t="str">
        <f t="shared" ca="1" si="17"/>
        <v/>
      </c>
      <c r="Z8" s="46" t="str">
        <f t="shared" ca="1" si="18"/>
        <v/>
      </c>
      <c r="AA8" s="109" t="str">
        <f t="shared" ca="1" si="4"/>
        <v/>
      </c>
      <c r="AB8" s="372" t="str">
        <f ca="1">IFERROR(INDEX(ICE[], MATCH("tc5" &amp; LEFT($A8, 2) &amp; " " &amp; RIGHT($A8, 2), ICE[LongCode], 0), MATCH("Text", ICE[#Headers], 0)), "")</f>
        <v/>
      </c>
      <c r="AC8" s="46" t="str">
        <f t="shared" ca="1" si="4"/>
        <v/>
      </c>
      <c r="AD8" s="47" t="str">
        <f t="shared" ca="1" si="19"/>
        <v/>
      </c>
      <c r="AE8" s="46" t="str">
        <f t="shared" ca="1" si="20"/>
        <v/>
      </c>
      <c r="AF8" s="48" t="str">
        <f t="shared" ca="1" si="5"/>
        <v/>
      </c>
      <c r="AG8" s="53" t="str">
        <f t="shared" ca="1" si="5"/>
        <v/>
      </c>
      <c r="AH8" s="47" t="str">
        <f t="shared" ca="1" si="21"/>
        <v/>
      </c>
      <c r="AI8" s="111" t="str">
        <f t="shared" ca="1" si="22"/>
        <v/>
      </c>
      <c r="AJ8" s="109" t="str">
        <f t="shared" ca="1" si="6"/>
        <v/>
      </c>
      <c r="AK8" s="372" t="str">
        <f ca="1">IFERROR(INDEX(ICE[], MATCH("tc2" &amp; LEFT($A8, 2) &amp; " " &amp; RIGHT($A8, 2), ICE[LongCode], 0), MATCH("Text", ICE[#Headers], 0)), "")</f>
        <v/>
      </c>
      <c r="AL8" s="46" t="str">
        <f t="shared" ca="1" si="6"/>
        <v/>
      </c>
      <c r="AM8" s="47" t="str">
        <f t="shared" ca="1" si="23"/>
        <v/>
      </c>
      <c r="AN8" s="46" t="str">
        <f t="shared" ca="1" si="24"/>
        <v/>
      </c>
      <c r="AO8" s="48" t="str">
        <f t="shared" ca="1" si="7"/>
        <v/>
      </c>
      <c r="AP8" s="53" t="str">
        <f t="shared" ca="1" si="7"/>
        <v/>
      </c>
      <c r="AQ8" s="47" t="str">
        <f t="shared" ca="1" si="25"/>
        <v/>
      </c>
      <c r="AR8" s="111" t="str">
        <f t="shared" ca="1" si="26"/>
        <v/>
      </c>
      <c r="AS8" s="109" t="str">
        <f t="shared" ca="1" si="8"/>
        <v/>
      </c>
      <c r="AT8" s="372" t="str">
        <f ca="1">IFERROR(INDEX(ICE[], MATCH("tc14" &amp; LEFT($A8, 2) &amp; " " &amp; RIGHT($A8, 2), ICE[LongCode], 0), MATCH("Text", ICE[#Headers], 0)), "")</f>
        <v/>
      </c>
      <c r="AU8" s="46" t="str">
        <f t="shared" ca="1" si="8"/>
        <v/>
      </c>
      <c r="AV8" s="47" t="str">
        <f t="shared" ca="1" si="27"/>
        <v/>
      </c>
      <c r="AW8" s="46" t="str">
        <f t="shared" ca="1" si="28"/>
        <v/>
      </c>
      <c r="AX8" s="48" t="str">
        <f t="shared" ca="1" si="9"/>
        <v/>
      </c>
      <c r="AY8" s="53" t="str">
        <f t="shared" ca="1" si="9"/>
        <v/>
      </c>
      <c r="AZ8" s="47" t="str">
        <f t="shared" ca="1" si="29"/>
        <v/>
      </c>
      <c r="BA8" s="111" t="str">
        <f t="shared" ca="1" si="30"/>
        <v/>
      </c>
    </row>
    <row r="9" spans="1:74" x14ac:dyDescent="0.25">
      <c r="A9" s="54" t="str">
        <f t="shared" ca="1" si="10"/>
        <v>Q327</v>
      </c>
      <c r="I9" s="109" t="str">
        <f t="shared" ca="1" si="0"/>
        <v/>
      </c>
      <c r="J9" s="372" t="str">
        <f ca="1">IFERROR(INDEX(ICE[], MATCH("td3c" &amp; LEFT($A9, 2) &amp; " " &amp; RIGHT($A9, 2), ICE[LongCode], 0), MATCH("Text", ICE[#Headers], 0)), "")</f>
        <v/>
      </c>
      <c r="K9" s="46" t="str">
        <f t="shared" ca="1" si="0"/>
        <v/>
      </c>
      <c r="L9" s="47" t="str">
        <f t="shared" ca="1" si="11"/>
        <v/>
      </c>
      <c r="M9" s="46" t="str">
        <f t="shared" ca="1" si="12"/>
        <v/>
      </c>
      <c r="N9" s="48" t="str">
        <f t="shared" ca="1" si="1"/>
        <v/>
      </c>
      <c r="O9" s="53" t="str">
        <f t="shared" ca="1" si="1"/>
        <v/>
      </c>
      <c r="P9" s="47" t="str">
        <f t="shared" ca="1" si="13"/>
        <v/>
      </c>
      <c r="Q9" s="46" t="str">
        <f t="shared" ca="1" si="14"/>
        <v/>
      </c>
      <c r="R9" s="109" t="str">
        <f t="shared" ca="1" si="2"/>
        <v/>
      </c>
      <c r="S9" s="372" t="str">
        <f ca="1">IFERROR(INDEX(ICE[], MATCH("afra" &amp; LEFT($A9, 2) &amp; " " &amp; RIGHT($A9, 2), ICE[LongCode], 0), MATCH("Text", ICE[#Headers], 0)), "")</f>
        <v/>
      </c>
      <c r="T9" s="46" t="str">
        <f t="shared" ca="1" si="2"/>
        <v/>
      </c>
      <c r="U9" s="47" t="str">
        <f t="shared" ca="1" si="15"/>
        <v/>
      </c>
      <c r="V9" s="46" t="str">
        <f t="shared" ca="1" si="16"/>
        <v/>
      </c>
      <c r="W9" s="48" t="str">
        <f t="shared" ca="1" si="3"/>
        <v/>
      </c>
      <c r="X9" s="53" t="str">
        <f t="shared" ca="1" si="3"/>
        <v/>
      </c>
      <c r="Y9" s="47" t="str">
        <f t="shared" ca="1" si="17"/>
        <v/>
      </c>
      <c r="Z9" s="46" t="str">
        <f t="shared" ca="1" si="18"/>
        <v/>
      </c>
      <c r="AA9" s="109" t="str">
        <f t="shared" ca="1" si="4"/>
        <v/>
      </c>
      <c r="AB9" s="372" t="str">
        <f ca="1">IFERROR(INDEX(ICE[], MATCH("tc5" &amp; LEFT($A9, 2) &amp; " " &amp; RIGHT($A9, 2), ICE[LongCode], 0), MATCH("Text", ICE[#Headers], 0)), "")</f>
        <v/>
      </c>
      <c r="AC9" s="46" t="str">
        <f t="shared" ca="1" si="4"/>
        <v/>
      </c>
      <c r="AD9" s="47" t="str">
        <f t="shared" ca="1" si="19"/>
        <v/>
      </c>
      <c r="AE9" s="46" t="str">
        <f t="shared" ca="1" si="20"/>
        <v/>
      </c>
      <c r="AF9" s="48" t="str">
        <f t="shared" ca="1" si="5"/>
        <v/>
      </c>
      <c r="AG9" s="53" t="str">
        <f t="shared" ca="1" si="5"/>
        <v/>
      </c>
      <c r="AH9" s="47" t="str">
        <f t="shared" ca="1" si="21"/>
        <v/>
      </c>
      <c r="AI9" s="111" t="str">
        <f t="shared" ca="1" si="22"/>
        <v/>
      </c>
      <c r="AJ9" s="109" t="str">
        <f t="shared" ca="1" si="6"/>
        <v/>
      </c>
      <c r="AK9" s="372" t="str">
        <f ca="1">IFERROR(INDEX(ICE[], MATCH("tc2" &amp; LEFT($A9, 2) &amp; " " &amp; RIGHT($A9, 2), ICE[LongCode], 0), MATCH("Text", ICE[#Headers], 0)), "")</f>
        <v/>
      </c>
      <c r="AL9" s="46" t="str">
        <f t="shared" ca="1" si="6"/>
        <v/>
      </c>
      <c r="AM9" s="47" t="str">
        <f t="shared" ca="1" si="23"/>
        <v/>
      </c>
      <c r="AN9" s="46" t="str">
        <f t="shared" ca="1" si="24"/>
        <v/>
      </c>
      <c r="AO9" s="48" t="str">
        <f t="shared" ca="1" si="7"/>
        <v/>
      </c>
      <c r="AP9" s="53" t="str">
        <f t="shared" ca="1" si="7"/>
        <v/>
      </c>
      <c r="AQ9" s="47" t="str">
        <f t="shared" ca="1" si="25"/>
        <v/>
      </c>
      <c r="AR9" s="111" t="str">
        <f t="shared" ca="1" si="26"/>
        <v/>
      </c>
      <c r="AS9" s="109" t="str">
        <f t="shared" ca="1" si="8"/>
        <v/>
      </c>
      <c r="AT9" s="372" t="str">
        <f ca="1">IFERROR(INDEX(ICE[], MATCH("tc14" &amp; LEFT($A9, 2) &amp; " " &amp; RIGHT($A9, 2), ICE[LongCode], 0), MATCH("Text", ICE[#Headers], 0)), "")</f>
        <v/>
      </c>
      <c r="AU9" s="46" t="str">
        <f t="shared" ca="1" si="8"/>
        <v/>
      </c>
      <c r="AV9" s="47" t="str">
        <f t="shared" ca="1" si="27"/>
        <v/>
      </c>
      <c r="AW9" s="46" t="str">
        <f t="shared" ca="1" si="28"/>
        <v/>
      </c>
      <c r="AX9" s="48" t="str">
        <f t="shared" ca="1" si="9"/>
        <v/>
      </c>
      <c r="AY9" s="53" t="str">
        <f t="shared" ca="1" si="9"/>
        <v/>
      </c>
      <c r="AZ9" s="47" t="str">
        <f t="shared" ca="1" si="29"/>
        <v/>
      </c>
      <c r="BA9" s="111" t="str">
        <f t="shared" ca="1" si="30"/>
        <v/>
      </c>
    </row>
    <row r="10" spans="1:74" x14ac:dyDescent="0.25">
      <c r="A10" s="54" t="str">
        <f t="shared" ca="1" si="10"/>
        <v>Q427</v>
      </c>
      <c r="I10" s="109" t="str">
        <f t="shared" ca="1" si="0"/>
        <v/>
      </c>
      <c r="J10" s="372" t="str">
        <f ca="1">IFERROR(INDEX(ICE[], MATCH("td3c" &amp; LEFT($A10, 2) &amp; " " &amp; RIGHT($A10, 2), ICE[LongCode], 0), MATCH("Text", ICE[#Headers], 0)), "")</f>
        <v/>
      </c>
      <c r="K10" s="46" t="str">
        <f t="shared" ca="1" si="0"/>
        <v/>
      </c>
      <c r="L10" s="47" t="str">
        <f t="shared" ca="1" si="11"/>
        <v/>
      </c>
      <c r="M10" s="46" t="str">
        <f t="shared" ca="1" si="12"/>
        <v/>
      </c>
      <c r="N10" s="48" t="str">
        <f t="shared" ca="1" si="1"/>
        <v/>
      </c>
      <c r="O10" s="53" t="str">
        <f t="shared" ca="1" si="1"/>
        <v/>
      </c>
      <c r="P10" s="47" t="str">
        <f t="shared" ca="1" si="13"/>
        <v/>
      </c>
      <c r="Q10" s="46" t="str">
        <f t="shared" ca="1" si="14"/>
        <v/>
      </c>
      <c r="R10" s="109" t="str">
        <f t="shared" ca="1" si="2"/>
        <v/>
      </c>
      <c r="S10" s="372" t="str">
        <f ca="1">IFERROR(INDEX(ICE[], MATCH("afra" &amp; LEFT($A10, 2) &amp; " " &amp; RIGHT($A10, 2), ICE[LongCode], 0), MATCH("Text", ICE[#Headers], 0)), "")</f>
        <v/>
      </c>
      <c r="T10" s="46" t="str">
        <f t="shared" ca="1" si="2"/>
        <v/>
      </c>
      <c r="U10" s="47" t="str">
        <f t="shared" ca="1" si="15"/>
        <v/>
      </c>
      <c r="V10" s="46" t="str">
        <f t="shared" ca="1" si="16"/>
        <v/>
      </c>
      <c r="W10" s="48" t="str">
        <f t="shared" ca="1" si="3"/>
        <v/>
      </c>
      <c r="X10" s="53" t="str">
        <f t="shared" ca="1" si="3"/>
        <v/>
      </c>
      <c r="Y10" s="47" t="str">
        <f t="shared" ca="1" si="17"/>
        <v/>
      </c>
      <c r="Z10" s="46" t="str">
        <f t="shared" ca="1" si="18"/>
        <v/>
      </c>
      <c r="AA10" s="109" t="str">
        <f t="shared" ca="1" si="4"/>
        <v/>
      </c>
      <c r="AB10" s="372" t="str">
        <f ca="1">IFERROR(INDEX(ICE[], MATCH("tc5" &amp; LEFT($A10, 2) &amp; " " &amp; RIGHT($A10, 2), ICE[LongCode], 0), MATCH("Text", ICE[#Headers], 0)), "")</f>
        <v/>
      </c>
      <c r="AC10" s="46" t="str">
        <f t="shared" ca="1" si="4"/>
        <v/>
      </c>
      <c r="AD10" s="47" t="str">
        <f t="shared" ca="1" si="19"/>
        <v/>
      </c>
      <c r="AE10" s="46" t="str">
        <f t="shared" ca="1" si="20"/>
        <v/>
      </c>
      <c r="AF10" s="48" t="str">
        <f t="shared" ca="1" si="5"/>
        <v/>
      </c>
      <c r="AG10" s="53" t="str">
        <f t="shared" ca="1" si="5"/>
        <v/>
      </c>
      <c r="AH10" s="47" t="str">
        <f t="shared" ca="1" si="21"/>
        <v/>
      </c>
      <c r="AI10" s="111" t="str">
        <f t="shared" ca="1" si="22"/>
        <v/>
      </c>
      <c r="AJ10" s="109" t="str">
        <f t="shared" ca="1" si="6"/>
        <v/>
      </c>
      <c r="AK10" s="372" t="str">
        <f ca="1">IFERROR(INDEX(ICE[], MATCH("tc2" &amp; LEFT($A10, 2) &amp; " " &amp; RIGHT($A10, 2), ICE[LongCode], 0), MATCH("Text", ICE[#Headers], 0)), "")</f>
        <v/>
      </c>
      <c r="AL10" s="46" t="str">
        <f t="shared" ca="1" si="6"/>
        <v/>
      </c>
      <c r="AM10" s="47" t="str">
        <f t="shared" ca="1" si="23"/>
        <v/>
      </c>
      <c r="AN10" s="46" t="str">
        <f t="shared" ca="1" si="24"/>
        <v/>
      </c>
      <c r="AO10" s="48" t="str">
        <f t="shared" ca="1" si="7"/>
        <v/>
      </c>
      <c r="AP10" s="53" t="str">
        <f t="shared" ca="1" si="7"/>
        <v/>
      </c>
      <c r="AQ10" s="47" t="str">
        <f t="shared" ca="1" si="25"/>
        <v/>
      </c>
      <c r="AR10" s="111" t="str">
        <f t="shared" ca="1" si="26"/>
        <v/>
      </c>
      <c r="AS10" s="109" t="str">
        <f t="shared" ca="1" si="8"/>
        <v/>
      </c>
      <c r="AT10" s="372" t="str">
        <f ca="1">IFERROR(INDEX(ICE[], MATCH("tc14" &amp; LEFT($A10, 2) &amp; " " &amp; RIGHT($A10, 2), ICE[LongCode], 0), MATCH("Text", ICE[#Headers], 0)), "")</f>
        <v/>
      </c>
      <c r="AU10" s="46" t="str">
        <f t="shared" ca="1" si="8"/>
        <v/>
      </c>
      <c r="AV10" s="47" t="str">
        <f t="shared" ca="1" si="27"/>
        <v/>
      </c>
      <c r="AW10" s="46" t="str">
        <f t="shared" ca="1" si="28"/>
        <v/>
      </c>
      <c r="AX10" s="48" t="str">
        <f t="shared" ca="1" si="9"/>
        <v/>
      </c>
      <c r="AY10" s="53" t="str">
        <f t="shared" ca="1" si="9"/>
        <v/>
      </c>
      <c r="AZ10" s="47" t="str">
        <f t="shared" ca="1" si="29"/>
        <v/>
      </c>
      <c r="BA10" s="111" t="str">
        <f t="shared" ca="1" si="30"/>
        <v/>
      </c>
    </row>
    <row r="11" spans="1:74" x14ac:dyDescent="0.25">
      <c r="A11" s="54" t="str">
        <f t="shared" ca="1" si="10"/>
        <v>Q128</v>
      </c>
      <c r="I11" s="119" t="str">
        <f t="shared" ca="1" si="0"/>
        <v/>
      </c>
      <c r="J11" s="374" t="str">
        <f ca="1">IFERROR(INDEX(ICE[], MATCH("td3c" &amp; LEFT($A11, 2) &amp; " " &amp; RIGHT($A11, 2), ICE[LongCode], 0), MATCH("Text", ICE[#Headers], 0)), "")</f>
        <v/>
      </c>
      <c r="K11" s="122" t="str">
        <f t="shared" ca="1" si="0"/>
        <v/>
      </c>
      <c r="L11" s="47" t="str">
        <f t="shared" ca="1" si="11"/>
        <v/>
      </c>
      <c r="M11" s="46" t="str">
        <f t="shared" ca="1" si="12"/>
        <v/>
      </c>
      <c r="N11" s="121" t="str">
        <f t="shared" ca="1" si="1"/>
        <v/>
      </c>
      <c r="O11" s="196" t="str">
        <f t="shared" ca="1" si="1"/>
        <v/>
      </c>
      <c r="P11" s="47" t="str">
        <f t="shared" ca="1" si="13"/>
        <v/>
      </c>
      <c r="Q11" s="46" t="str">
        <f t="shared" ca="1" si="14"/>
        <v/>
      </c>
      <c r="R11" s="119" t="str">
        <f t="shared" ca="1" si="2"/>
        <v/>
      </c>
      <c r="S11" s="374" t="str">
        <f ca="1">IFERROR(INDEX(ICE[], MATCH("afra" &amp; LEFT($A11, 2) &amp; " " &amp; RIGHT($A11, 2), ICE[LongCode], 0), MATCH("Text", ICE[#Headers], 0)), "")</f>
        <v/>
      </c>
      <c r="T11" s="122" t="str">
        <f t="shared" ca="1" si="2"/>
        <v/>
      </c>
      <c r="U11" s="47" t="str">
        <f t="shared" ca="1" si="15"/>
        <v/>
      </c>
      <c r="V11" s="46" t="str">
        <f t="shared" ca="1" si="16"/>
        <v/>
      </c>
      <c r="W11" s="121" t="str">
        <f t="shared" ca="1" si="3"/>
        <v/>
      </c>
      <c r="X11" s="196" t="str">
        <f t="shared" ca="1" si="3"/>
        <v/>
      </c>
      <c r="Y11" s="47" t="str">
        <f t="shared" ca="1" si="17"/>
        <v/>
      </c>
      <c r="Z11" s="46" t="str">
        <f t="shared" ca="1" si="18"/>
        <v/>
      </c>
      <c r="AA11" s="119" t="str">
        <f t="shared" ca="1" si="4"/>
        <v/>
      </c>
      <c r="AB11" s="374" t="str">
        <f ca="1">IFERROR(INDEX(ICE[], MATCH("tc5" &amp; LEFT($A11, 2) &amp; " " &amp; RIGHT($A11, 2), ICE[LongCode], 0), MATCH("Text", ICE[#Headers], 0)), "")</f>
        <v/>
      </c>
      <c r="AC11" s="122" t="str">
        <f t="shared" ca="1" si="4"/>
        <v/>
      </c>
      <c r="AD11" s="47" t="str">
        <f t="shared" ca="1" si="19"/>
        <v/>
      </c>
      <c r="AE11" s="46" t="str">
        <f t="shared" ca="1" si="20"/>
        <v/>
      </c>
      <c r="AF11" s="121" t="str">
        <f t="shared" ca="1" si="5"/>
        <v/>
      </c>
      <c r="AG11" s="196" t="str">
        <f t="shared" ca="1" si="5"/>
        <v/>
      </c>
      <c r="AH11" s="47" t="str">
        <f t="shared" ca="1" si="21"/>
        <v/>
      </c>
      <c r="AI11" s="111" t="str">
        <f t="shared" ca="1" si="22"/>
        <v/>
      </c>
      <c r="AJ11" s="119" t="str">
        <f t="shared" ca="1" si="6"/>
        <v/>
      </c>
      <c r="AK11" s="374" t="str">
        <f ca="1">IFERROR(INDEX(ICE[], MATCH("tc2" &amp; LEFT($A11, 2) &amp; " " &amp; RIGHT($A11, 2), ICE[LongCode], 0), MATCH("Text", ICE[#Headers], 0)), "")</f>
        <v/>
      </c>
      <c r="AL11" s="122" t="str">
        <f t="shared" ca="1" si="6"/>
        <v/>
      </c>
      <c r="AM11" s="47" t="str">
        <f t="shared" ca="1" si="23"/>
        <v/>
      </c>
      <c r="AN11" s="46" t="str">
        <f t="shared" ca="1" si="24"/>
        <v/>
      </c>
      <c r="AO11" s="121" t="str">
        <f t="shared" ca="1" si="7"/>
        <v/>
      </c>
      <c r="AP11" s="196" t="str">
        <f t="shared" ca="1" si="7"/>
        <v/>
      </c>
      <c r="AQ11" s="47" t="str">
        <f t="shared" ca="1" si="25"/>
        <v/>
      </c>
      <c r="AR11" s="111" t="str">
        <f t="shared" ca="1" si="26"/>
        <v/>
      </c>
      <c r="AS11" s="119" t="str">
        <f t="shared" ca="1" si="8"/>
        <v/>
      </c>
      <c r="AT11" s="374" t="str">
        <f ca="1">IFERROR(INDEX(ICE[], MATCH("tc14" &amp; LEFT($A11, 2) &amp; " " &amp; RIGHT($A11, 2), ICE[LongCode], 0), MATCH("Text", ICE[#Headers], 0)), "")</f>
        <v/>
      </c>
      <c r="AU11" s="122" t="str">
        <f t="shared" ca="1" si="8"/>
        <v/>
      </c>
      <c r="AV11" s="47" t="str">
        <f t="shared" ca="1" si="27"/>
        <v/>
      </c>
      <c r="AW11" s="46" t="str">
        <f t="shared" ca="1" si="28"/>
        <v/>
      </c>
      <c r="AX11" s="121" t="str">
        <f t="shared" ca="1" si="9"/>
        <v/>
      </c>
      <c r="AY11" s="196" t="str">
        <f t="shared" ca="1" si="9"/>
        <v/>
      </c>
      <c r="AZ11" s="47" t="str">
        <f t="shared" ca="1" si="29"/>
        <v/>
      </c>
      <c r="BA11" s="111" t="str">
        <f t="shared" ca="1" si="30"/>
        <v/>
      </c>
    </row>
    <row r="12" spans="1:74" x14ac:dyDescent="0.25">
      <c r="A12" s="55">
        <f ca="1">YEAR($A$1)</f>
        <v>2026</v>
      </c>
      <c r="I12" s="160" t="str">
        <f t="shared" ref="I12:K14" ca="1" si="31">IFERROR(AVERAGEIF($B$19:$B$66, $A12, I$19:I$66), "")</f>
        <v/>
      </c>
      <c r="J12" s="372" t="str">
        <f ca="1">IFERROR(INDEX(ICE[], MATCH("td3c" &amp; "Cal" &amp; " " &amp; RIGHT(Hvy!$A12, 2), ICE[LongCode], 0), MATCH("Text", ICE[#Headers], 0)), "")</f>
        <v/>
      </c>
      <c r="K12" s="115" t="str">
        <f t="shared" ca="1" si="31"/>
        <v/>
      </c>
      <c r="L12" s="161"/>
      <c r="M12" s="115"/>
      <c r="N12" s="194" t="str">
        <f t="shared" ref="N12:O14" ca="1" si="32">IFERROR(AVERAGEIF($B$19:$B$66, $A12, N$19:N$66), "")</f>
        <v/>
      </c>
      <c r="O12" s="195" t="str">
        <f t="shared" ca="1" si="32"/>
        <v/>
      </c>
      <c r="P12" s="161"/>
      <c r="Q12" s="115"/>
      <c r="R12" s="160" t="str">
        <f t="shared" ref="R12:T14" ca="1" si="33">IFERROR(AVERAGEIF($B$19:$B$66, $A12, R$19:R$66), "")</f>
        <v/>
      </c>
      <c r="S12" s="372" t="str">
        <f ca="1">IFERROR(INDEX(ICE[], MATCH("afra" &amp; "Cal" &amp; " " &amp; RIGHT(Hvy!$A12, 2), ICE[LongCode], 0), MATCH("Text", ICE[#Headers], 0)), "")</f>
        <v/>
      </c>
      <c r="T12" s="115" t="str">
        <f t="shared" ca="1" si="33"/>
        <v/>
      </c>
      <c r="U12" s="161"/>
      <c r="V12" s="115"/>
      <c r="W12" s="194" t="str">
        <f t="shared" ref="W12:X14" ca="1" si="34">IFERROR(AVERAGEIF($B$19:$B$66, $A12, W$19:W$66), "")</f>
        <v/>
      </c>
      <c r="X12" s="195" t="str">
        <f t="shared" ca="1" si="34"/>
        <v/>
      </c>
      <c r="Y12" s="161"/>
      <c r="Z12" s="115"/>
      <c r="AA12" s="160" t="str">
        <f t="shared" ref="AA12:AC14" ca="1" si="35">IFERROR(AVERAGEIF($B$19:$B$66, $A12, AA$19:AA$66), "")</f>
        <v/>
      </c>
      <c r="AB12" s="372" t="str">
        <f ca="1">IFERROR(INDEX(ICE[], MATCH("tc5" &amp; "Cal" &amp; " " &amp; RIGHT(Hvy!$A12, 2), ICE[LongCode], 0), MATCH("Text", ICE[#Headers], 0)), "")</f>
        <v/>
      </c>
      <c r="AC12" s="115" t="str">
        <f t="shared" ca="1" si="35"/>
        <v/>
      </c>
      <c r="AD12" s="161"/>
      <c r="AE12" s="115"/>
      <c r="AF12" s="194" t="str">
        <f t="shared" ref="AF12:AG14" ca="1" si="36">IFERROR(AVERAGEIF($B$19:$B$66, $A12, AF$19:AF$66), "")</f>
        <v/>
      </c>
      <c r="AG12" s="195" t="str">
        <f t="shared" ca="1" si="36"/>
        <v/>
      </c>
      <c r="AH12" s="161"/>
      <c r="AI12" s="173"/>
      <c r="AJ12" s="160" t="str">
        <f t="shared" ref="AJ12:AL14" ca="1" si="37">IFERROR(AVERAGEIF($B$19:$B$66, $A12, AJ$19:AJ$66), "")</f>
        <v/>
      </c>
      <c r="AK12" s="372" t="str">
        <f ca="1">IFERROR(INDEX(ICE[], MATCH("tc2" &amp; "Cal" &amp; " " &amp; RIGHT(Hvy!$A12, 2), ICE[LongCode], 0), MATCH("Text", ICE[#Headers], 0)), "")</f>
        <v/>
      </c>
      <c r="AL12" s="115" t="str">
        <f t="shared" ca="1" si="37"/>
        <v/>
      </c>
      <c r="AM12" s="161"/>
      <c r="AN12" s="115"/>
      <c r="AO12" s="194" t="str">
        <f t="shared" ref="AO12:AP14" ca="1" si="38">IFERROR(AVERAGEIF($B$19:$B$66, $A12, AO$19:AO$66), "")</f>
        <v/>
      </c>
      <c r="AP12" s="195" t="str">
        <f t="shared" ca="1" si="38"/>
        <v/>
      </c>
      <c r="AQ12" s="161"/>
      <c r="AR12" s="173"/>
      <c r="AS12" s="160" t="str">
        <f t="shared" ref="AS12:AU14" ca="1" si="39">IFERROR(AVERAGEIF($B$19:$B$66, $A12, AS$19:AS$66), "")</f>
        <v/>
      </c>
      <c r="AT12" s="372" t="str">
        <f ca="1">IFERROR(INDEX(ICE[], MATCH("tc14" &amp; "Cal" &amp; " " &amp; RIGHT(Hvy!$A12, 2), ICE[LongCode], 0), MATCH("Text", ICE[#Headers], 0)), "")</f>
        <v/>
      </c>
      <c r="AU12" s="115" t="str">
        <f t="shared" ca="1" si="39"/>
        <v/>
      </c>
      <c r="AV12" s="161"/>
      <c r="AW12" s="115"/>
      <c r="AX12" s="194" t="str">
        <f t="shared" ref="AX12:AY14" ca="1" si="40">IFERROR(AVERAGEIF($B$19:$B$66, $A12, AX$19:AX$66), "")</f>
        <v/>
      </c>
      <c r="AY12" s="195" t="str">
        <f t="shared" ca="1" si="40"/>
        <v/>
      </c>
      <c r="AZ12" s="161"/>
      <c r="BA12" s="173"/>
    </row>
    <row r="13" spans="1:74" x14ac:dyDescent="0.25">
      <c r="A13" s="55">
        <f ca="1">$A12 + 1</f>
        <v>2027</v>
      </c>
      <c r="I13" s="109" t="str">
        <f t="shared" ca="1" si="31"/>
        <v/>
      </c>
      <c r="J13" s="372" t="str">
        <f ca="1">IFERROR(INDEX(ICE[], MATCH("td3c" &amp; "Cal" &amp; " " &amp; RIGHT(Hvy!$A13, 2), ICE[LongCode], 0), MATCH("Text", ICE[#Headers], 0)), "")</f>
        <v/>
      </c>
      <c r="K13" s="46" t="str">
        <f t="shared" ca="1" si="31"/>
        <v/>
      </c>
      <c r="L13" s="47" t="str">
        <f t="shared" ca="1" si="11"/>
        <v/>
      </c>
      <c r="M13" s="46" t="str">
        <f t="shared" ca="1" si="12"/>
        <v/>
      </c>
      <c r="N13" s="48" t="str">
        <f t="shared" ca="1" si="32"/>
        <v/>
      </c>
      <c r="O13" s="53" t="str">
        <f t="shared" ca="1" si="32"/>
        <v/>
      </c>
      <c r="P13" s="47" t="str">
        <f t="shared" ref="P13:P14" ca="1" si="41">IF(AND(ISNUMBER(N12), ISNUMBER(N13)), N12 - N13, "")</f>
        <v/>
      </c>
      <c r="Q13" s="46" t="str">
        <f t="shared" ref="Q13:Q14" ca="1" si="42">IF(AND(ISNUMBER(O12), ISNUMBER(O13)), O12 - O13, "")</f>
        <v/>
      </c>
      <c r="R13" s="109" t="str">
        <f t="shared" ca="1" si="33"/>
        <v/>
      </c>
      <c r="S13" s="372" t="str">
        <f ca="1">IFERROR(INDEX(ICE[], MATCH("afra" &amp; "Cal" &amp; " " &amp; RIGHT(Hvy!$A13, 2), ICE[LongCode], 0), MATCH("Text", ICE[#Headers], 0)), "")</f>
        <v/>
      </c>
      <c r="T13" s="46" t="str">
        <f t="shared" ca="1" si="33"/>
        <v/>
      </c>
      <c r="U13" s="47" t="str">
        <f t="shared" ref="U13:U14" ca="1" si="43">IF(AND(ISNUMBER(R12), ISNUMBER(R13)), R12 - R13, "")</f>
        <v/>
      </c>
      <c r="V13" s="46" t="str">
        <f t="shared" ref="V13:V14" ca="1" si="44">IF(AND(ISNUMBER(T12), ISNUMBER(T13)), T12 - T13, "")</f>
        <v/>
      </c>
      <c r="W13" s="48" t="str">
        <f t="shared" ca="1" si="34"/>
        <v/>
      </c>
      <c r="X13" s="53" t="str">
        <f t="shared" ca="1" si="34"/>
        <v/>
      </c>
      <c r="Y13" s="47" t="str">
        <f t="shared" ref="Y13:Y14" ca="1" si="45">IF(AND(ISNUMBER(W12), ISNUMBER(W13)), W12 - W13, "")</f>
        <v/>
      </c>
      <c r="Z13" s="46" t="str">
        <f t="shared" ref="Z13:Z14" ca="1" si="46">IF(AND(ISNUMBER(X12), ISNUMBER(X13)), X12 - X13, "")</f>
        <v/>
      </c>
      <c r="AA13" s="109" t="str">
        <f t="shared" ca="1" si="35"/>
        <v/>
      </c>
      <c r="AB13" s="372" t="str">
        <f ca="1">IFERROR(INDEX(ICE[], MATCH("tc5" &amp; "Cal" &amp; " " &amp; RIGHT(Hvy!$A13, 2), ICE[LongCode], 0), MATCH("Text", ICE[#Headers], 0)), "")</f>
        <v/>
      </c>
      <c r="AC13" s="46" t="str">
        <f t="shared" ca="1" si="35"/>
        <v/>
      </c>
      <c r="AD13" s="47" t="str">
        <f t="shared" ref="AD13:AD14" ca="1" si="47">IF(AND(ISNUMBER(AA12), ISNUMBER(AA13)), AA12 - AA13, "")</f>
        <v/>
      </c>
      <c r="AE13" s="46" t="str">
        <f t="shared" ref="AE13:AE14" ca="1" si="48">IF(AND(ISNUMBER(AC12), ISNUMBER(AC13)), AC12 - AC13, "")</f>
        <v/>
      </c>
      <c r="AF13" s="48" t="str">
        <f t="shared" ca="1" si="36"/>
        <v/>
      </c>
      <c r="AG13" s="53" t="str">
        <f t="shared" ca="1" si="36"/>
        <v/>
      </c>
      <c r="AH13" s="47" t="str">
        <f t="shared" ref="AH13:AH14" ca="1" si="49">IF(AND(ISNUMBER(AF12), ISNUMBER(AF13)), AF12 - AF13, "")</f>
        <v/>
      </c>
      <c r="AI13" s="111" t="str">
        <f t="shared" ref="AI13:AI14" ca="1" si="50">IF(AND(ISNUMBER(AG12), ISNUMBER(AG13)), AG12 - AG13, "")</f>
        <v/>
      </c>
      <c r="AJ13" s="109" t="str">
        <f t="shared" ca="1" si="37"/>
        <v/>
      </c>
      <c r="AK13" s="372" t="str">
        <f ca="1">IFERROR(INDEX(ICE[], MATCH("tc2" &amp; "Cal" &amp; " " &amp; RIGHT(Hvy!$A13, 2), ICE[LongCode], 0), MATCH("Text", ICE[#Headers], 0)), "")</f>
        <v/>
      </c>
      <c r="AL13" s="46" t="str">
        <f t="shared" ca="1" si="37"/>
        <v/>
      </c>
      <c r="AM13" s="47" t="str">
        <f t="shared" ref="AM13:AM14" ca="1" si="51">IF(AND(ISNUMBER(AJ12), ISNUMBER(AJ13)), AJ12 - AJ13, "")</f>
        <v/>
      </c>
      <c r="AN13" s="46" t="str">
        <f t="shared" ref="AN13:AN14" ca="1" si="52">IF(AND(ISNUMBER(AL12), ISNUMBER(AL13)), AL12 - AL13, "")</f>
        <v/>
      </c>
      <c r="AO13" s="48" t="str">
        <f t="shared" ca="1" si="38"/>
        <v/>
      </c>
      <c r="AP13" s="53" t="str">
        <f t="shared" ca="1" si="38"/>
        <v/>
      </c>
      <c r="AQ13" s="47" t="str">
        <f t="shared" ref="AQ13:AQ14" ca="1" si="53">IF(AND(ISNUMBER(AO12), ISNUMBER(AO13)), AO12 - AO13, "")</f>
        <v/>
      </c>
      <c r="AR13" s="111" t="str">
        <f t="shared" ref="AR13:AR14" ca="1" si="54">IF(AND(ISNUMBER(AP12), ISNUMBER(AP13)), AP12 - AP13, "")</f>
        <v/>
      </c>
      <c r="AS13" s="109" t="str">
        <f t="shared" ca="1" si="39"/>
        <v/>
      </c>
      <c r="AT13" s="372" t="str">
        <f ca="1">IFERROR(INDEX(ICE[], MATCH("tc14" &amp; "Cal" &amp; " " &amp; RIGHT(Hvy!$A13, 2), ICE[LongCode], 0), MATCH("Text", ICE[#Headers], 0)), "")</f>
        <v/>
      </c>
      <c r="AU13" s="46" t="str">
        <f t="shared" ca="1" si="39"/>
        <v/>
      </c>
      <c r="AV13" s="47" t="str">
        <f t="shared" ref="AV13:AV14" ca="1" si="55">IF(AND(ISNUMBER(AS12), ISNUMBER(AS13)), AS12 - AS13, "")</f>
        <v/>
      </c>
      <c r="AW13" s="46" t="str">
        <f t="shared" ref="AW13:AW14" ca="1" si="56">IF(AND(ISNUMBER(AU12), ISNUMBER(AU13)), AU12 - AU13, "")</f>
        <v/>
      </c>
      <c r="AX13" s="48" t="str">
        <f t="shared" ca="1" si="40"/>
        <v/>
      </c>
      <c r="AY13" s="53" t="str">
        <f t="shared" ca="1" si="40"/>
        <v/>
      </c>
      <c r="AZ13" s="47" t="str">
        <f t="shared" ref="AZ13:AZ14" ca="1" si="57">IF(AND(ISNUMBER(AX12), ISNUMBER(AX13)), AX12 - AX13, "")</f>
        <v/>
      </c>
      <c r="BA13" s="111" t="str">
        <f t="shared" ref="BA13:BA14" ca="1" si="58">IF(AND(ISNUMBER(AY12), ISNUMBER(AY13)), AY12 - AY13, "")</f>
        <v/>
      </c>
      <c r="BV13" s="573"/>
    </row>
    <row r="14" spans="1:74" ht="15.75" thickBot="1" x14ac:dyDescent="0.3">
      <c r="A14" s="55">
        <f ca="1">$A13 + 1</f>
        <v>2028</v>
      </c>
      <c r="I14" s="130" t="str">
        <f t="shared" ca="1" si="31"/>
        <v/>
      </c>
      <c r="J14" s="373" t="str">
        <f ca="1">IFERROR(INDEX(ICE[], MATCH("td3c" &amp; "Cal" &amp; " " &amp; RIGHT(Hvy!$A14, 2), ICE[LongCode], 0), MATCH("Text", ICE[#Headers], 0)), "")</f>
        <v/>
      </c>
      <c r="K14" s="133" t="str">
        <f t="shared" ca="1" si="31"/>
        <v/>
      </c>
      <c r="L14" s="142" t="str">
        <f t="shared" ca="1" si="11"/>
        <v/>
      </c>
      <c r="M14" s="133" t="str">
        <f t="shared" ca="1" si="12"/>
        <v/>
      </c>
      <c r="N14" s="132" t="str">
        <f t="shared" ca="1" si="32"/>
        <v/>
      </c>
      <c r="O14" s="197" t="str">
        <f t="shared" ca="1" si="32"/>
        <v/>
      </c>
      <c r="P14" s="142" t="str">
        <f t="shared" ca="1" si="41"/>
        <v/>
      </c>
      <c r="Q14" s="133" t="str">
        <f t="shared" ca="1" si="42"/>
        <v/>
      </c>
      <c r="R14" s="130" t="str">
        <f t="shared" ca="1" si="33"/>
        <v/>
      </c>
      <c r="S14" s="373" t="str">
        <f ca="1">IFERROR(INDEX(ICE[], MATCH("afra" &amp; "Cal" &amp; " " &amp; RIGHT(Hvy!$A14, 2), ICE[LongCode], 0), MATCH("Text", ICE[#Headers], 0)), "")</f>
        <v/>
      </c>
      <c r="T14" s="133" t="str">
        <f t="shared" ca="1" si="33"/>
        <v/>
      </c>
      <c r="U14" s="142" t="str">
        <f t="shared" ca="1" si="43"/>
        <v/>
      </c>
      <c r="V14" s="133" t="str">
        <f t="shared" ca="1" si="44"/>
        <v/>
      </c>
      <c r="W14" s="132" t="str">
        <f t="shared" ca="1" si="34"/>
        <v/>
      </c>
      <c r="X14" s="197" t="str">
        <f t="shared" ca="1" si="34"/>
        <v/>
      </c>
      <c r="Y14" s="142" t="str">
        <f t="shared" ca="1" si="45"/>
        <v/>
      </c>
      <c r="Z14" s="133" t="str">
        <f t="shared" ca="1" si="46"/>
        <v/>
      </c>
      <c r="AA14" s="130" t="str">
        <f t="shared" ca="1" si="35"/>
        <v/>
      </c>
      <c r="AB14" s="373" t="str">
        <f ca="1">IFERROR(INDEX(ICE[], MATCH("tc5" &amp; "Cal" &amp; " " &amp; RIGHT(Hvy!$A14, 2), ICE[LongCode], 0), MATCH("Text", ICE[#Headers], 0)), "")</f>
        <v/>
      </c>
      <c r="AC14" s="133" t="str">
        <f t="shared" ca="1" si="35"/>
        <v/>
      </c>
      <c r="AD14" s="142" t="str">
        <f t="shared" ca="1" si="47"/>
        <v/>
      </c>
      <c r="AE14" s="133" t="str">
        <f t="shared" ca="1" si="48"/>
        <v/>
      </c>
      <c r="AF14" s="132" t="str">
        <f t="shared" ca="1" si="36"/>
        <v/>
      </c>
      <c r="AG14" s="197" t="str">
        <f t="shared" ca="1" si="36"/>
        <v/>
      </c>
      <c r="AH14" s="142" t="str">
        <f t="shared" ca="1" si="49"/>
        <v/>
      </c>
      <c r="AI14" s="135" t="str">
        <f t="shared" ca="1" si="50"/>
        <v/>
      </c>
      <c r="AJ14" s="130" t="str">
        <f t="shared" ca="1" si="37"/>
        <v/>
      </c>
      <c r="AK14" s="373" t="str">
        <f ca="1">IFERROR(INDEX(ICE[], MATCH("tc2" &amp; "Cal" &amp; " " &amp; RIGHT(Hvy!$A14, 2), ICE[LongCode], 0), MATCH("Text", ICE[#Headers], 0)), "")</f>
        <v/>
      </c>
      <c r="AL14" s="133" t="str">
        <f t="shared" ca="1" si="37"/>
        <v/>
      </c>
      <c r="AM14" s="142" t="str">
        <f t="shared" ca="1" si="51"/>
        <v/>
      </c>
      <c r="AN14" s="133" t="str">
        <f t="shared" ca="1" si="52"/>
        <v/>
      </c>
      <c r="AO14" s="132" t="str">
        <f t="shared" ca="1" si="38"/>
        <v/>
      </c>
      <c r="AP14" s="197" t="str">
        <f t="shared" ca="1" si="38"/>
        <v/>
      </c>
      <c r="AQ14" s="142" t="str">
        <f t="shared" ca="1" si="53"/>
        <v/>
      </c>
      <c r="AR14" s="135" t="str">
        <f t="shared" ca="1" si="54"/>
        <v/>
      </c>
      <c r="AS14" s="130" t="str">
        <f t="shared" ca="1" si="39"/>
        <v/>
      </c>
      <c r="AT14" s="373" t="str">
        <f ca="1">IFERROR(INDEX(ICE[], MATCH("tc14" &amp; "Cal" &amp; " " &amp; RIGHT(Hvy!$A14, 2), ICE[LongCode], 0), MATCH("Text", ICE[#Headers], 0)), "")</f>
        <v/>
      </c>
      <c r="AU14" s="133" t="str">
        <f t="shared" ca="1" si="39"/>
        <v/>
      </c>
      <c r="AV14" s="142" t="str">
        <f t="shared" ca="1" si="55"/>
        <v/>
      </c>
      <c r="AW14" s="133" t="str">
        <f t="shared" ca="1" si="56"/>
        <v/>
      </c>
      <c r="AX14" s="132" t="str">
        <f t="shared" ca="1" si="40"/>
        <v/>
      </c>
      <c r="AY14" s="197" t="str">
        <f t="shared" ca="1" si="40"/>
        <v/>
      </c>
      <c r="AZ14" s="142" t="str">
        <f t="shared" ca="1" si="57"/>
        <v/>
      </c>
      <c r="BA14" s="135" t="str">
        <f t="shared" ca="1" si="58"/>
        <v/>
      </c>
    </row>
    <row r="15" spans="1:74" x14ac:dyDescent="0.25">
      <c r="A15" s="56"/>
      <c r="L15" s="51"/>
      <c r="M15" s="51"/>
      <c r="Q15" s="51"/>
      <c r="U15" s="51"/>
      <c r="V15" s="51"/>
      <c r="Z15" s="51"/>
      <c r="AD15" s="51"/>
      <c r="AE15" s="51"/>
      <c r="AI15" s="51"/>
      <c r="AM15" s="51"/>
      <c r="AN15" s="51"/>
      <c r="AR15" s="51"/>
      <c r="AV15" s="51"/>
      <c r="AW15" s="51"/>
      <c r="BA15" s="51"/>
    </row>
    <row r="16" spans="1:74" ht="15.75" thickBot="1" x14ac:dyDescent="0.3">
      <c r="M16" s="83" t="s">
        <v>367</v>
      </c>
      <c r="N16" s="395">
        <v>20.21</v>
      </c>
      <c r="Q16" s="85"/>
      <c r="V16" s="83" t="s">
        <v>367</v>
      </c>
      <c r="W16" s="395">
        <v>21.01</v>
      </c>
      <c r="Z16" s="85"/>
      <c r="AE16" s="83" t="s">
        <v>367</v>
      </c>
      <c r="AF16" s="395">
        <v>22.54</v>
      </c>
      <c r="AI16" s="85"/>
      <c r="AN16" s="83" t="s">
        <v>367</v>
      </c>
      <c r="AO16" s="395">
        <v>15.93</v>
      </c>
      <c r="AR16" s="85"/>
      <c r="AW16" s="83" t="s">
        <v>367</v>
      </c>
      <c r="AX16" s="395">
        <v>22.54</v>
      </c>
      <c r="BA16" s="85"/>
    </row>
    <row r="17" spans="1:53" ht="15.75" thickBot="1" x14ac:dyDescent="0.3">
      <c r="D17" s="44" t="s">
        <v>279</v>
      </c>
      <c r="E17" s="44"/>
      <c r="F17" s="44"/>
      <c r="G17" s="44"/>
      <c r="H17" s="44"/>
      <c r="I17" s="310" t="s">
        <v>440</v>
      </c>
      <c r="J17" s="311"/>
      <c r="K17" s="311"/>
      <c r="L17" s="312"/>
      <c r="M17" s="313"/>
      <c r="N17" s="381"/>
      <c r="O17" s="381"/>
      <c r="P17" s="312"/>
      <c r="Q17" s="314"/>
      <c r="R17" s="310" t="s">
        <v>441</v>
      </c>
      <c r="S17" s="311"/>
      <c r="T17" s="311"/>
      <c r="U17" s="312"/>
      <c r="V17" s="313"/>
      <c r="W17" s="381"/>
      <c r="X17" s="381"/>
      <c r="Y17" s="312"/>
      <c r="Z17" s="314"/>
      <c r="AA17" s="310" t="s">
        <v>442</v>
      </c>
      <c r="AB17" s="311"/>
      <c r="AC17" s="311"/>
      <c r="AD17" s="312"/>
      <c r="AE17" s="313"/>
      <c r="AF17" s="381"/>
      <c r="AG17" s="381"/>
      <c r="AH17" s="312"/>
      <c r="AI17" s="314"/>
      <c r="AJ17" s="310" t="s">
        <v>446</v>
      </c>
      <c r="AK17" s="311"/>
      <c r="AL17" s="311"/>
      <c r="AM17" s="312"/>
      <c r="AN17" s="313"/>
      <c r="AO17" s="381"/>
      <c r="AP17" s="381"/>
      <c r="AQ17" s="312"/>
      <c r="AR17" s="314"/>
      <c r="AS17" s="310" t="s">
        <v>444</v>
      </c>
      <c r="AT17" s="311"/>
      <c r="AU17" s="311"/>
      <c r="AV17" s="312"/>
      <c r="AW17" s="313"/>
      <c r="AX17" s="381"/>
      <c r="AY17" s="381"/>
      <c r="AZ17" s="312"/>
      <c r="BA17" s="314"/>
    </row>
    <row r="18" spans="1:53" x14ac:dyDescent="0.25">
      <c r="A18" s="55"/>
      <c r="B18" s="8" t="s">
        <v>285</v>
      </c>
      <c r="C18" s="8" t="s">
        <v>286</v>
      </c>
      <c r="D18" s="45" t="s">
        <v>447</v>
      </c>
      <c r="E18" s="45" t="s">
        <v>448</v>
      </c>
      <c r="F18" s="45" t="s">
        <v>449</v>
      </c>
      <c r="G18" s="45" t="s">
        <v>450</v>
      </c>
      <c r="H18" s="45" t="s">
        <v>451</v>
      </c>
      <c r="I18" s="302" t="s">
        <v>445</v>
      </c>
      <c r="J18" s="303"/>
      <c r="K18" s="303"/>
      <c r="L18" s="303"/>
      <c r="M18" s="369"/>
      <c r="N18" s="384" t="s">
        <v>452</v>
      </c>
      <c r="O18" s="384"/>
      <c r="P18" s="303"/>
      <c r="Q18" s="305"/>
      <c r="R18" s="302" t="s">
        <v>445</v>
      </c>
      <c r="S18" s="303"/>
      <c r="T18" s="303"/>
      <c r="U18" s="303"/>
      <c r="V18" s="369"/>
      <c r="W18" s="384" t="s">
        <v>452</v>
      </c>
      <c r="X18" s="384"/>
      <c r="Y18" s="303"/>
      <c r="Z18" s="305"/>
      <c r="AA18" s="302" t="s">
        <v>445</v>
      </c>
      <c r="AB18" s="303"/>
      <c r="AC18" s="303"/>
      <c r="AD18" s="303"/>
      <c r="AE18" s="369"/>
      <c r="AF18" s="384" t="s">
        <v>452</v>
      </c>
      <c r="AG18" s="384"/>
      <c r="AH18" s="303"/>
      <c r="AI18" s="305"/>
      <c r="AJ18" s="302" t="s">
        <v>445</v>
      </c>
      <c r="AK18" s="303"/>
      <c r="AL18" s="303"/>
      <c r="AM18" s="303"/>
      <c r="AN18" s="369"/>
      <c r="AO18" s="384" t="s">
        <v>452</v>
      </c>
      <c r="AP18" s="384"/>
      <c r="AQ18" s="303"/>
      <c r="AR18" s="305"/>
      <c r="AS18" s="302" t="s">
        <v>445</v>
      </c>
      <c r="AT18" s="303"/>
      <c r="AU18" s="303"/>
      <c r="AV18" s="303"/>
      <c r="AW18" s="369"/>
      <c r="AX18" s="384" t="s">
        <v>452</v>
      </c>
      <c r="AY18" s="384"/>
      <c r="AZ18" s="303"/>
      <c r="BA18" s="305"/>
    </row>
    <row r="19" spans="1:53" x14ac:dyDescent="0.25">
      <c r="A19" s="58">
        <f ca="1">EOMONTH(TimeLDN, -1) + 1</f>
        <v>46266</v>
      </c>
      <c r="B19" s="6">
        <f t="shared" ref="B19:B66" ca="1" si="59">YEAR($A19)</f>
        <v>2026</v>
      </c>
      <c r="C19" s="6" t="str">
        <f ca="1">"Q" &amp; INT((MONTH($A19) + 2) / 3)  &amp; TEXT($A19, "yy")</f>
        <v>Q326</v>
      </c>
      <c r="D19" s="28" t="e">
        <f ca="1">INDEX(ICE[], MATCH(D$18 &amp; TEXT($A19, "mmmyy"), ICE[LongCode], 0), MATCH("Settle", ICE[#Headers], 0))</f>
        <v>#N/A</v>
      </c>
      <c r="E19" s="28" t="e">
        <f ca="1">INDEX(ICE[], MATCH(E$18 &amp; TEXT($A19, "mmmyy"), ICE[LongCode], 0), MATCH("Settle", ICE[#Headers], 0))</f>
        <v>#N/A</v>
      </c>
      <c r="F19" s="28" t="e">
        <f ca="1">INDEX(ICE[], MATCH(F$18 &amp; TEXT($A19, "mmmyy"), ICE[LongCode], 0), MATCH("Settle", ICE[#Headers], 0))</f>
        <v>#N/A</v>
      </c>
      <c r="G19" s="28" t="e">
        <f ca="1">INDEX(ICE[], MATCH(G$18 &amp; TEXT($A19, "mmmyy"), ICE[LongCode], 0), MATCH("Settle", ICE[#Headers], 0))</f>
        <v>#N/A</v>
      </c>
      <c r="H19" s="28" t="e">
        <f ca="1">INDEX(ICE[], MATCH(H$18 &amp; TEXT($A19, "mmmyy"), ICE[LongCode], 0), MATCH("Settle", ICE[#Headers], 0))</f>
        <v>#N/A</v>
      </c>
      <c r="I19" s="397" t="str">
        <f ca="1">IFERROR(INDEX(ICE[], MATCH("td3c" &amp; TEXT(Crd!$A19, "mmmyy"), ICE[LongCode], 0), MATCH("ICE Theoretical Price", ICE[#Headers], 0)), "")</f>
        <v/>
      </c>
      <c r="J19" s="371" t="str">
        <f>IFERROR(INDEX(ICE[], MATCH("td3c" &amp; "Bal Month", ICE[LongCode], 0), MATCH("Text", ICE[#Headers], 0)), "")</f>
        <v/>
      </c>
      <c r="K19" s="115" t="str">
        <f t="shared" ref="K19:K66" ca="1" si="60">IFERROR(IF(AND(ISNUMBER($I19), ISNUMBER($D19)), $I19 - $D19, ""), "")</f>
        <v/>
      </c>
      <c r="L19" s="185"/>
      <c r="M19" s="115"/>
      <c r="N19" s="192" t="str">
        <f ca="1">IFERROR(IF(AND(ISNUMBER($I19), ISNUMBER(N$16)), ($I19/N$16) * 100, ""), "")</f>
        <v/>
      </c>
      <c r="O19" s="195" t="str">
        <f t="shared" ref="O19:O66" ca="1" si="61">IFERROR(IF(AND(ISNUMBER($D19), ISNUMBER(N$16)), $N19 - ($D19/N$16) * 100, ""), "")</f>
        <v/>
      </c>
      <c r="P19" s="185"/>
      <c r="Q19" s="173"/>
      <c r="R19" s="397" t="str">
        <f ca="1">IFERROR(INDEX(ICE[], MATCH("afra" &amp; TEXT(Crd!$A19, "mmmyy"), ICE[LongCode], 0), MATCH("ICE Theoretical Price", ICE[#Headers], 0)), "")</f>
        <v/>
      </c>
      <c r="S19" s="371" t="str">
        <f>IFERROR(INDEX(ICE[], MATCH("afra" &amp; "Bal Month", ICE[LongCode], 0), MATCH("Text", ICE[#Headers], 0)), "")</f>
        <v/>
      </c>
      <c r="T19" s="115" t="str">
        <f t="shared" ref="T19:T66" ca="1" si="62">IFERROR(IF(AND(ISNUMBER($R19), ISNUMBER($E19)), $R19 - $E19, ""), "")</f>
        <v/>
      </c>
      <c r="U19" s="185"/>
      <c r="V19" s="115"/>
      <c r="W19" s="192" t="str">
        <f ca="1">IFERROR(IF(AND(ISNUMBER($R19), ISNUMBER(W$16)), ($R19/W$16) * 100, ""), "")</f>
        <v/>
      </c>
      <c r="X19" s="195" t="str">
        <f t="shared" ref="X19:X66" ca="1" si="63">IFERROR(IF(AND(ISNUMBER($E19), ISNUMBER(W$16)), $W19 - ($E19/W$16) * 100, ""), "")</f>
        <v/>
      </c>
      <c r="Y19" s="185"/>
      <c r="Z19" s="173"/>
      <c r="AA19" s="397" t="str">
        <f ca="1">IFERROR(INDEX(ICE[], MATCH("tc5" &amp; TEXT(Crd!$A19, "mmmyy"), ICE[LongCode], 0), MATCH("ICE Theoretical Price", ICE[#Headers], 0)), "")</f>
        <v/>
      </c>
      <c r="AB19" s="371" t="str">
        <f>IFERROR(INDEX(ICE[], MATCH("tc5" &amp; "Bal Month", ICE[LongCode], 0), MATCH("Text", ICE[#Headers], 0)), "")</f>
        <v/>
      </c>
      <c r="AC19" s="115" t="str">
        <f ca="1">IFERROR(IF(AND(ISNUMBER($AA19), ISNUMBER($F19)), $AA19 - $F19, ""), "")</f>
        <v/>
      </c>
      <c r="AD19" s="185"/>
      <c r="AE19" s="115"/>
      <c r="AF19" s="192" t="str">
        <f ca="1">IFERROR(IF(AND(ISNUMBER($AA19), ISNUMBER(AF$16)), ($AA19/AF$16) * 100, ""), "")</f>
        <v/>
      </c>
      <c r="AG19" s="195" t="str">
        <f ca="1">IFERROR(IF(AND(ISNUMBER($F19), ISNUMBER(AF$16)), $AF19 - ($F19/AF$16) * 100, ""), "")</f>
        <v/>
      </c>
      <c r="AH19" s="185"/>
      <c r="AI19" s="173"/>
      <c r="AJ19" s="397" t="str">
        <f ca="1">IFERROR($G19, "")</f>
        <v/>
      </c>
      <c r="AK19" s="371" t="str">
        <f>IFERROR(INDEX(ICE[], MATCH("tc2" &amp; "Bal Month", ICE[LongCode], 0), MATCH("Text", ICE[#Headers], 0)), "")</f>
        <v/>
      </c>
      <c r="AL19" s="115" t="str">
        <f t="shared" ref="AL19:AL66" ca="1" si="64">IFERROR(IF(AND(ISNUMBER($AJ19), ISNUMBER($G19)), $AJ19 - $G19, ""), "")</f>
        <v/>
      </c>
      <c r="AM19" s="185"/>
      <c r="AN19" s="115"/>
      <c r="AO19" s="192" t="str">
        <f ca="1">IFERROR(IF(AND(ISNUMBER($AJ19), ISNUMBER(AO$16)), ($AJ19/AO$16) * 100, ""), "")</f>
        <v/>
      </c>
      <c r="AP19" s="195" t="str">
        <f t="shared" ref="AP19:AP66" ca="1" si="65">IFERROR(IF(AND(ISNUMBER($G19), ISNUMBER(AO$16)), $AO19 - ($G19/AO$16) * 100, ""), "")</f>
        <v/>
      </c>
      <c r="AQ19" s="185"/>
      <c r="AR19" s="173"/>
      <c r="AS19" s="397" t="str">
        <f ca="1">IFERROR($H19, "")</f>
        <v/>
      </c>
      <c r="AT19" s="371" t="str">
        <f>IFERROR(INDEX(ICE[], MATCH("tc14" &amp; "Bal Month", ICE[LongCode], 0), MATCH("Text", ICE[#Headers], 0)), "")</f>
        <v/>
      </c>
      <c r="AU19" s="115" t="str">
        <f ca="1">IFERROR(IF(AND(ISNUMBER($AS19), ISNUMBER($H19)), $AS19 - $H19, ""), "")</f>
        <v/>
      </c>
      <c r="AV19" s="185"/>
      <c r="AW19" s="115"/>
      <c r="AX19" s="192" t="str">
        <f ca="1">IFERROR(IF(AND(ISNUMBER($AS19), ISNUMBER(AX$16)), ($AS19/AX$16) * 100, ""), "")</f>
        <v/>
      </c>
      <c r="AY19" s="195" t="str">
        <f ca="1">IFERROR(IF(AND(ISNUMBER($H19), ISNUMBER(AX$16)), $AX19 - ($H19/AX$16) * 100, ""), "")</f>
        <v/>
      </c>
      <c r="AZ19" s="185"/>
      <c r="BA19" s="173"/>
    </row>
    <row r="20" spans="1:53" x14ac:dyDescent="0.25">
      <c r="A20" s="58">
        <f ca="1">EOMONTH($A19, 0) + 1</f>
        <v>46296</v>
      </c>
      <c r="B20" s="6">
        <f t="shared" ca="1" si="59"/>
        <v>2026</v>
      </c>
      <c r="C20" s="6" t="str">
        <f t="shared" ref="C20:C66" ca="1" si="66">"Q" &amp; INT((MONTH($A20) + 2) / 3)  &amp; TEXT($A20, "yy")</f>
        <v>Q426</v>
      </c>
      <c r="D20" s="28" t="e">
        <f ca="1">INDEX(ICE[], MATCH(D$18 &amp; TEXT($A20, "mmmyy"), ICE[LongCode], 0), MATCH("Settle", ICE[#Headers], 0))</f>
        <v>#N/A</v>
      </c>
      <c r="E20" s="28" t="e">
        <f ca="1">INDEX(ICE[], MATCH(E$18 &amp; TEXT($A20, "mmmyy"), ICE[LongCode], 0), MATCH("Settle", ICE[#Headers], 0))</f>
        <v>#N/A</v>
      </c>
      <c r="F20" s="28" t="e">
        <f ca="1">INDEX(ICE[], MATCH(F$18 &amp; TEXT($A20, "mmmyy"), ICE[LongCode], 0), MATCH("Settle", ICE[#Headers], 0))</f>
        <v>#N/A</v>
      </c>
      <c r="G20" s="28" t="e">
        <f ca="1">INDEX(ICE[], MATCH(G$18 &amp; TEXT($A20, "mmmyy"), ICE[LongCode], 0), MATCH("Settle", ICE[#Headers], 0))</f>
        <v>#N/A</v>
      </c>
      <c r="H20" s="28" t="e">
        <f ca="1">INDEX(ICE[], MATCH(H$18 &amp; TEXT($A20, "mmmyy"), ICE[LongCode], 0), MATCH("Settle", ICE[#Headers], 0))</f>
        <v>#N/A</v>
      </c>
      <c r="I20" s="397" t="str">
        <f ca="1">IFERROR(INDEX(ICE[], MATCH("td3c" &amp; TEXT(Crd!$A20, "mmmyy"), ICE[LongCode], 0), MATCH("ICE Theoretical Price", ICE[#Headers], 0)), "")</f>
        <v/>
      </c>
      <c r="J20" s="372" t="str">
        <f ca="1">IFERROR(INDEX(ICE[], MATCH("td3c" &amp; TEXT($A20, "mmmyy"), ICE[LongCode], 0), MATCH("Text", ICE[#Headers], 0)), "")</f>
        <v/>
      </c>
      <c r="K20" s="46" t="str">
        <f t="shared" ca="1" si="60"/>
        <v/>
      </c>
      <c r="L20" s="47" t="str">
        <f t="shared" ref="L20:L66" ca="1" si="67">IF(AND(ISNUMBER($I19), ISNUMBER($I20)), $I19 - $I20, "")</f>
        <v/>
      </c>
      <c r="M20" s="46" t="str">
        <f ca="1">IF(AND(ISNUMBER($K19), ISNUMBER($K20)), $K19 - $K20, "")</f>
        <v/>
      </c>
      <c r="N20" s="49" t="str">
        <f t="shared" ref="N20:N66" ca="1" si="68">IFERROR(IF(AND(ISNUMBER($I20), ISNUMBER(N$16)), ($I20/N$16) * 100, ""), "")</f>
        <v/>
      </c>
      <c r="O20" s="53" t="str">
        <f t="shared" ca="1" si="61"/>
        <v/>
      </c>
      <c r="P20" s="47" t="str">
        <f ca="1">IF(AND(ISNUMBER($N19), ISNUMBER($N20)), $N19 - $N20, "")</f>
        <v/>
      </c>
      <c r="Q20" s="111" t="str">
        <f ca="1">IF(AND(ISNUMBER($O19), ISNUMBER($O20)), $O19 - $O20, "")</f>
        <v/>
      </c>
      <c r="R20" s="397" t="str">
        <f ca="1">IFERROR(INDEX(ICE[], MATCH("afra" &amp; TEXT(Crd!$A20, "mmmyy"), ICE[LongCode], 0), MATCH("ICE Theoretical Price", ICE[#Headers], 0)), "")</f>
        <v/>
      </c>
      <c r="S20" s="372" t="str">
        <f ca="1">IFERROR(INDEX(ICE[], MATCH("afra" &amp; TEXT($A20, "mmmyy"), ICE[LongCode], 0), MATCH("Text", ICE[#Headers], 0)), "")</f>
        <v/>
      </c>
      <c r="T20" s="46" t="str">
        <f t="shared" ca="1" si="62"/>
        <v/>
      </c>
      <c r="U20" s="47" t="str">
        <f ca="1">IF(AND(ISNUMBER($R19), ISNUMBER($R20)), $R19 - $R20, "")</f>
        <v/>
      </c>
      <c r="V20" s="46" t="str">
        <f ca="1">IF(AND(ISNUMBER($T19), ISNUMBER($T20)), $T19 - $T20, "")</f>
        <v/>
      </c>
      <c r="W20" s="49" t="str">
        <f t="shared" ref="W20:W66" ca="1" si="69">IFERROR(IF(AND(ISNUMBER($R20), ISNUMBER(W$16)), ($R20/W$16) * 100, ""), "")</f>
        <v/>
      </c>
      <c r="X20" s="53" t="str">
        <f t="shared" ca="1" si="63"/>
        <v/>
      </c>
      <c r="Y20" s="47" t="str">
        <f ca="1">IF(AND(ISNUMBER($W19), ISNUMBER($W20)), $W19 - $W20, "")</f>
        <v/>
      </c>
      <c r="Z20" s="111" t="str">
        <f ca="1">IF(AND(ISNUMBER($X19), ISNUMBER($X20)), $X19 - $X20, "")</f>
        <v/>
      </c>
      <c r="AA20" s="397" t="str">
        <f ca="1">IFERROR(INDEX(ICE[], MATCH("tc5" &amp; TEXT(Crd!$A20, "mmmyy"), ICE[LongCode], 0), MATCH("ICE Theoretical Price", ICE[#Headers], 0)), "")</f>
        <v/>
      </c>
      <c r="AB20" s="372" t="str">
        <f ca="1">IFERROR(INDEX(ICE[], MATCH("tc5" &amp; TEXT(Hvy!$A20, "mmmyy"), ICE[LongCode], 0), MATCH("Text", ICE[#Headers], 0)), "")</f>
        <v/>
      </c>
      <c r="AC20" s="46" t="str">
        <f t="shared" ref="AC20:AC66" ca="1" si="70">IFERROR(IF(AND(ISNUMBER($AA20), ISNUMBER($F20)), $AA20 - $F20, ""), "")</f>
        <v/>
      </c>
      <c r="AD20" s="47" t="str">
        <f ca="1">IF(AND(ISNUMBER($AA19), ISNUMBER($AA20)), $AA19 - $AA20, "")</f>
        <v/>
      </c>
      <c r="AE20" s="46" t="str">
        <f ca="1">IF(AND(ISNUMBER($AC19), ISNUMBER($AC20)), $AC19 - $AC20, "")</f>
        <v/>
      </c>
      <c r="AF20" s="49" t="str">
        <f t="shared" ref="AF20:AF66" ca="1" si="71">IFERROR(IF(AND(ISNUMBER($AA20), ISNUMBER(AF$16)), ($AA20/AF$16) * 100, ""), "")</f>
        <v/>
      </c>
      <c r="AG20" s="53" t="str">
        <f t="shared" ref="AG20:AG66" ca="1" si="72">IFERROR(IF(AND(ISNUMBER($F20), ISNUMBER(AF$16)), $AF20 - ($F20/AF$16) * 100, ""), "")</f>
        <v/>
      </c>
      <c r="AH20" s="47" t="str">
        <f ca="1">IF(AND(ISNUMBER($AF19), ISNUMBER($AF20)), $AF19 - $AF20, "")</f>
        <v/>
      </c>
      <c r="AI20" s="111" t="str">
        <f ca="1">IF(AND(ISNUMBER($AG19), ISNUMBER($AG20)), $AG19 - $AG20, "")</f>
        <v/>
      </c>
      <c r="AJ20" s="397" t="str">
        <f t="shared" ref="AJ20:AJ66" ca="1" si="73">IFERROR($G20, "")</f>
        <v/>
      </c>
      <c r="AK20" s="372" t="str">
        <f ca="1">IFERROR(INDEX(ICE[], MATCH("tc2" &amp; TEXT(Hvy!$A20, "mmmyy"), ICE[LongCode], 0), MATCH("Text", ICE[#Headers], 0)), "")</f>
        <v/>
      </c>
      <c r="AL20" s="46" t="str">
        <f t="shared" ca="1" si="64"/>
        <v/>
      </c>
      <c r="AM20" s="47" t="str">
        <f ca="1">IF(AND(ISNUMBER($AJ19), ISNUMBER($AJ20)), $AJ19 - $AJ20, "")</f>
        <v/>
      </c>
      <c r="AN20" s="46" t="str">
        <f ca="1">IF(AND(ISNUMBER($AL19), ISNUMBER($AL20)), $AL19 - $AL20, "")</f>
        <v/>
      </c>
      <c r="AO20" s="49" t="str">
        <f t="shared" ref="AO20:AO66" ca="1" si="74">IFERROR(IF(AND(ISNUMBER($AJ20), ISNUMBER(AO$16)), ($AJ20/AO$16) * 100, ""), "")</f>
        <v/>
      </c>
      <c r="AP20" s="53" t="str">
        <f t="shared" ca="1" si="65"/>
        <v/>
      </c>
      <c r="AQ20" s="47" t="str">
        <f ca="1">IF(AND(ISNUMBER($AO19), ISNUMBER($AO20)), $AO19 - $AO20, "")</f>
        <v/>
      </c>
      <c r="AR20" s="111" t="str">
        <f ca="1">IF(AND(ISNUMBER($AP19), ISNUMBER($AP20)), $AP19 - $AP20, "")</f>
        <v/>
      </c>
      <c r="AS20" s="397" t="str">
        <f t="shared" ref="AS20:AS66" ca="1" si="75">IFERROR($H20, "")</f>
        <v/>
      </c>
      <c r="AT20" s="372" t="str">
        <f ca="1">IFERROR(INDEX(ICE[], MATCH("tc14" &amp; TEXT(Hvy!$A20, "mmmyy"), ICE[LongCode], 0), MATCH("Text", ICE[#Headers], 0)), "")</f>
        <v/>
      </c>
      <c r="AU20" s="46" t="str">
        <f t="shared" ref="AU20:AU66" ca="1" si="76">IFERROR(IF(AND(ISNUMBER($AS20), ISNUMBER($H20)), $AS20 - $H20, ""), "")</f>
        <v/>
      </c>
      <c r="AV20" s="47" t="str">
        <f ca="1">IF(AND(ISNUMBER($AS19), ISNUMBER($AS20)), $AS19 - $AS20, "")</f>
        <v/>
      </c>
      <c r="AW20" s="46" t="str">
        <f ca="1">IF(AND(ISNUMBER($AU19), ISNUMBER($AU20)), $AU19 - $AU20, "")</f>
        <v/>
      </c>
      <c r="AX20" s="49" t="str">
        <f t="shared" ref="AX20:AX66" ca="1" si="77">IFERROR(IF(AND(ISNUMBER($AS20), ISNUMBER(AX$16)), ($AS20/AX$16) * 100, ""), "")</f>
        <v/>
      </c>
      <c r="AY20" s="53" t="str">
        <f t="shared" ref="AY20:AY66" ca="1" si="78">IFERROR(IF(AND(ISNUMBER($H20), ISNUMBER(AX$16)), $AX20 - ($H20/AX$16) * 100, ""), "")</f>
        <v/>
      </c>
      <c r="AZ20" s="47" t="str">
        <f ca="1">IF(AND(ISNUMBER($AX19), ISNUMBER($AX20)), $AX19 - $AX20, "")</f>
        <v/>
      </c>
      <c r="BA20" s="111" t="str">
        <f ca="1">IF(AND(ISNUMBER($AY19), ISNUMBER($AY20)), $AY19 - $AY20, "")</f>
        <v/>
      </c>
    </row>
    <row r="21" spans="1:53" x14ac:dyDescent="0.25">
      <c r="A21" s="58">
        <f t="shared" ref="A21:A66" ca="1" si="79">EOMONTH($A20, 0) + 1</f>
        <v>46327</v>
      </c>
      <c r="B21" s="6">
        <f t="shared" ca="1" si="59"/>
        <v>2026</v>
      </c>
      <c r="C21" s="6" t="str">
        <f t="shared" ca="1" si="66"/>
        <v>Q426</v>
      </c>
      <c r="D21" s="28" t="e">
        <f ca="1">INDEX(ICE[], MATCH(D$18 &amp; TEXT($A21, "mmmyy"), ICE[LongCode], 0), MATCH("Settle", ICE[#Headers], 0))</f>
        <v>#N/A</v>
      </c>
      <c r="E21" s="28" t="e">
        <f ca="1">INDEX(ICE[], MATCH(E$18 &amp; TEXT($A21, "mmmyy"), ICE[LongCode], 0), MATCH("Settle", ICE[#Headers], 0))</f>
        <v>#N/A</v>
      </c>
      <c r="F21" s="28" t="e">
        <f ca="1">INDEX(ICE[], MATCH(F$18 &amp; TEXT($A21, "mmmyy"), ICE[LongCode], 0), MATCH("Settle", ICE[#Headers], 0))</f>
        <v>#N/A</v>
      </c>
      <c r="G21" s="28" t="e">
        <f ca="1">INDEX(ICE[], MATCH(G$18 &amp; TEXT($A21, "mmmyy"), ICE[LongCode], 0), MATCH("Settle", ICE[#Headers], 0))</f>
        <v>#N/A</v>
      </c>
      <c r="H21" s="28" t="e">
        <f ca="1">INDEX(ICE[], MATCH(H$18 &amp; TEXT($A21, "mmmyy"), ICE[LongCode], 0), MATCH("Settle", ICE[#Headers], 0))</f>
        <v>#N/A</v>
      </c>
      <c r="I21" s="397" t="str">
        <f ca="1">IFERROR(INDEX(ICE[], MATCH("td3c" &amp; TEXT(Crd!$A21, "mmmyy"), ICE[LongCode], 0), MATCH("ICE Theoretical Price", ICE[#Headers], 0)), "")</f>
        <v/>
      </c>
      <c r="J21" s="372" t="str">
        <f ca="1">IFERROR(INDEX(ICE[], MATCH("td3c" &amp; TEXT($A21, "mmmyy"), ICE[LongCode], 0), MATCH("Text", ICE[#Headers], 0)), "")</f>
        <v/>
      </c>
      <c r="K21" s="46" t="str">
        <f t="shared" ca="1" si="60"/>
        <v/>
      </c>
      <c r="L21" s="47" t="str">
        <f t="shared" ca="1" si="67"/>
        <v/>
      </c>
      <c r="M21" s="46" t="str">
        <f t="shared" ref="M21:M66" ca="1" si="80">IF(AND(ISNUMBER($K20), ISNUMBER($K21)), $K20 - $K21, "")</f>
        <v/>
      </c>
      <c r="N21" s="49" t="str">
        <f t="shared" ca="1" si="68"/>
        <v/>
      </c>
      <c r="O21" s="53" t="str">
        <f t="shared" ca="1" si="61"/>
        <v/>
      </c>
      <c r="P21" s="47" t="str">
        <f t="shared" ref="P21:P66" ca="1" si="81">IF(AND(ISNUMBER($N20), ISNUMBER($N21)), $N20 - $N21, "")</f>
        <v/>
      </c>
      <c r="Q21" s="111" t="str">
        <f t="shared" ref="Q21:Q66" ca="1" si="82">IF(AND(ISNUMBER($O20), ISNUMBER($O21)), $O20 - $O21, "")</f>
        <v/>
      </c>
      <c r="R21" s="397" t="str">
        <f ca="1">IFERROR(INDEX(ICE[], MATCH("afra" &amp; TEXT(Crd!$A21, "mmmyy"), ICE[LongCode], 0), MATCH("ICE Theoretical Price", ICE[#Headers], 0)), "")</f>
        <v/>
      </c>
      <c r="S21" s="372" t="str">
        <f ca="1">IFERROR(INDEX(ICE[], MATCH("afra" &amp; TEXT($A21, "mmmyy"), ICE[LongCode], 0), MATCH("Text", ICE[#Headers], 0)), "")</f>
        <v/>
      </c>
      <c r="T21" s="46" t="str">
        <f t="shared" ca="1" si="62"/>
        <v/>
      </c>
      <c r="U21" s="47" t="str">
        <f t="shared" ref="U21:U66" ca="1" si="83">IF(AND(ISNUMBER($R20), ISNUMBER($R21)), $R20 - $R21, "")</f>
        <v/>
      </c>
      <c r="V21" s="46" t="str">
        <f t="shared" ref="V21:V66" ca="1" si="84">IF(AND(ISNUMBER($T20), ISNUMBER($T21)), $T20 - $T21, "")</f>
        <v/>
      </c>
      <c r="W21" s="49" t="str">
        <f t="shared" ca="1" si="69"/>
        <v/>
      </c>
      <c r="X21" s="53" t="str">
        <f t="shared" ca="1" si="63"/>
        <v/>
      </c>
      <c r="Y21" s="47" t="str">
        <f t="shared" ref="Y21:Y66" ca="1" si="85">IF(AND(ISNUMBER($W20), ISNUMBER($W21)), $W20 - $W21, "")</f>
        <v/>
      </c>
      <c r="Z21" s="111" t="str">
        <f t="shared" ref="Z21:Z66" ca="1" si="86">IF(AND(ISNUMBER($X20), ISNUMBER($X21)), $X20 - $X21, "")</f>
        <v/>
      </c>
      <c r="AA21" s="397" t="str">
        <f ca="1">IFERROR(INDEX(ICE[], MATCH("tc5" &amp; TEXT(Crd!$A21, "mmmyy"), ICE[LongCode], 0), MATCH("ICE Theoretical Price", ICE[#Headers], 0)), "")</f>
        <v/>
      </c>
      <c r="AB21" s="372" t="str">
        <f ca="1">IFERROR(INDEX(ICE[], MATCH("tc5" &amp; TEXT(Hvy!$A21, "mmmyy"), ICE[LongCode], 0), MATCH("Text", ICE[#Headers], 0)), "")</f>
        <v/>
      </c>
      <c r="AC21" s="46" t="str">
        <f t="shared" ca="1" si="70"/>
        <v/>
      </c>
      <c r="AD21" s="47" t="str">
        <f t="shared" ref="AD21:AD66" ca="1" si="87">IF(AND(ISNUMBER($AA20), ISNUMBER($AA21)), $AA20 - $AA21, "")</f>
        <v/>
      </c>
      <c r="AE21" s="46" t="str">
        <f t="shared" ref="AE21:AE66" ca="1" si="88">IF(AND(ISNUMBER($AC20), ISNUMBER($AC21)), $AC20 - $AC21, "")</f>
        <v/>
      </c>
      <c r="AF21" s="49" t="str">
        <f t="shared" ca="1" si="71"/>
        <v/>
      </c>
      <c r="AG21" s="53" t="str">
        <f t="shared" ca="1" si="72"/>
        <v/>
      </c>
      <c r="AH21" s="47" t="str">
        <f t="shared" ref="AH21:AH66" ca="1" si="89">IF(AND(ISNUMBER($AF20), ISNUMBER($AF21)), $AF20 - $AF21, "")</f>
        <v/>
      </c>
      <c r="AI21" s="111" t="str">
        <f t="shared" ref="AI21:AI66" ca="1" si="90">IF(AND(ISNUMBER($AG20), ISNUMBER($AG21)), $AG20 - $AG21, "")</f>
        <v/>
      </c>
      <c r="AJ21" s="397" t="str">
        <f t="shared" ca="1" si="73"/>
        <v/>
      </c>
      <c r="AK21" s="372" t="str">
        <f ca="1">IFERROR(INDEX(ICE[], MATCH("tc2" &amp; TEXT(Hvy!$A21, "mmmyy"), ICE[LongCode], 0), MATCH("Text", ICE[#Headers], 0)), "")</f>
        <v/>
      </c>
      <c r="AL21" s="46" t="str">
        <f t="shared" ca="1" si="64"/>
        <v/>
      </c>
      <c r="AM21" s="47" t="str">
        <f t="shared" ref="AM21:AM66" ca="1" si="91">IF(AND(ISNUMBER($AJ20), ISNUMBER($AJ21)), $AJ20 - $AJ21, "")</f>
        <v/>
      </c>
      <c r="AN21" s="46" t="str">
        <f t="shared" ref="AN21:AN66" ca="1" si="92">IF(AND(ISNUMBER($AL20), ISNUMBER($AL21)), $AL20 - $AL21, "")</f>
        <v/>
      </c>
      <c r="AO21" s="49" t="str">
        <f t="shared" ca="1" si="74"/>
        <v/>
      </c>
      <c r="AP21" s="53" t="str">
        <f t="shared" ca="1" si="65"/>
        <v/>
      </c>
      <c r="AQ21" s="47" t="str">
        <f t="shared" ref="AQ21:AQ66" ca="1" si="93">IF(AND(ISNUMBER($AO20), ISNUMBER($AO21)), $AO20 - $AO21, "")</f>
        <v/>
      </c>
      <c r="AR21" s="111" t="str">
        <f t="shared" ref="AR21:AR66" ca="1" si="94">IF(AND(ISNUMBER($AP20), ISNUMBER($AP21)), $AP20 - $AP21, "")</f>
        <v/>
      </c>
      <c r="AS21" s="397" t="str">
        <f t="shared" ca="1" si="75"/>
        <v/>
      </c>
      <c r="AT21" s="372" t="str">
        <f ca="1">IFERROR(INDEX(ICE[], MATCH("tc14" &amp; TEXT(Hvy!$A21, "mmmyy"), ICE[LongCode], 0), MATCH("Text", ICE[#Headers], 0)), "")</f>
        <v/>
      </c>
      <c r="AU21" s="46" t="str">
        <f t="shared" ca="1" si="76"/>
        <v/>
      </c>
      <c r="AV21" s="47" t="str">
        <f t="shared" ref="AV21:AV66" ca="1" si="95">IF(AND(ISNUMBER($AS20), ISNUMBER($AS21)), $AS20 - $AS21, "")</f>
        <v/>
      </c>
      <c r="AW21" s="46" t="str">
        <f t="shared" ref="AW21:AW66" ca="1" si="96">IF(AND(ISNUMBER($AU20), ISNUMBER($AU21)), $AU20 - $AU21, "")</f>
        <v/>
      </c>
      <c r="AX21" s="49" t="str">
        <f t="shared" ca="1" si="77"/>
        <v/>
      </c>
      <c r="AY21" s="53" t="str">
        <f t="shared" ca="1" si="78"/>
        <v/>
      </c>
      <c r="AZ21" s="47" t="str">
        <f t="shared" ref="AZ21:AZ66" ca="1" si="97">IF(AND(ISNUMBER($AX20), ISNUMBER($AX21)), $AX20 - $AX21, "")</f>
        <v/>
      </c>
      <c r="BA21" s="111" t="str">
        <f t="shared" ref="BA21:BA66" ca="1" si="98">IF(AND(ISNUMBER($AY20), ISNUMBER($AY21)), $AY20 - $AY21, "")</f>
        <v/>
      </c>
    </row>
    <row r="22" spans="1:53" x14ac:dyDescent="0.25">
      <c r="A22" s="58">
        <f t="shared" ca="1" si="79"/>
        <v>46357</v>
      </c>
      <c r="B22" s="6">
        <f t="shared" ca="1" si="59"/>
        <v>2026</v>
      </c>
      <c r="C22" s="6" t="str">
        <f t="shared" ca="1" si="66"/>
        <v>Q426</v>
      </c>
      <c r="D22" s="28" t="e">
        <f ca="1">INDEX(ICE[], MATCH(D$18 &amp; TEXT($A22, "mmmyy"), ICE[LongCode], 0), MATCH("Settle", ICE[#Headers], 0))</f>
        <v>#N/A</v>
      </c>
      <c r="E22" s="28" t="e">
        <f ca="1">INDEX(ICE[], MATCH(E$18 &amp; TEXT($A22, "mmmyy"), ICE[LongCode], 0), MATCH("Settle", ICE[#Headers], 0))</f>
        <v>#N/A</v>
      </c>
      <c r="F22" s="28" t="e">
        <f ca="1">INDEX(ICE[], MATCH(F$18 &amp; TEXT($A22, "mmmyy"), ICE[LongCode], 0), MATCH("Settle", ICE[#Headers], 0))</f>
        <v>#N/A</v>
      </c>
      <c r="G22" s="28" t="e">
        <f ca="1">INDEX(ICE[], MATCH(G$18 &amp; TEXT($A22, "mmmyy"), ICE[LongCode], 0), MATCH("Settle", ICE[#Headers], 0))</f>
        <v>#N/A</v>
      </c>
      <c r="H22" s="28" t="e">
        <f ca="1">INDEX(ICE[], MATCH(H$18 &amp; TEXT($A22, "mmmyy"), ICE[LongCode], 0), MATCH("Settle", ICE[#Headers], 0))</f>
        <v>#N/A</v>
      </c>
      <c r="I22" s="397" t="str">
        <f ca="1">IFERROR(INDEX(ICE[], MATCH("td3c" &amp; TEXT(Crd!$A22, "mmmyy"), ICE[LongCode], 0), MATCH("ICE Theoretical Price", ICE[#Headers], 0)), "")</f>
        <v/>
      </c>
      <c r="J22" s="372" t="str">
        <f ca="1">IFERROR(INDEX(ICE[], MATCH("td3c" &amp; TEXT($A22, "mmmyy"), ICE[LongCode], 0), MATCH("Text", ICE[#Headers], 0)), "")</f>
        <v/>
      </c>
      <c r="K22" s="46" t="str">
        <f t="shared" ca="1" si="60"/>
        <v/>
      </c>
      <c r="L22" s="47" t="str">
        <f t="shared" ca="1" si="67"/>
        <v/>
      </c>
      <c r="M22" s="46" t="str">
        <f t="shared" ca="1" si="80"/>
        <v/>
      </c>
      <c r="N22" s="49" t="str">
        <f t="shared" ca="1" si="68"/>
        <v/>
      </c>
      <c r="O22" s="53" t="str">
        <f t="shared" ca="1" si="61"/>
        <v/>
      </c>
      <c r="P22" s="47" t="str">
        <f t="shared" ca="1" si="81"/>
        <v/>
      </c>
      <c r="Q22" s="111" t="str">
        <f t="shared" ca="1" si="82"/>
        <v/>
      </c>
      <c r="R22" s="397" t="str">
        <f ca="1">IFERROR(INDEX(ICE[], MATCH("afra" &amp; TEXT(Crd!$A22, "mmmyy"), ICE[LongCode], 0), MATCH("ICE Theoretical Price", ICE[#Headers], 0)), "")</f>
        <v/>
      </c>
      <c r="S22" s="372" t="str">
        <f ca="1">IFERROR(INDEX(ICE[], MATCH("afra" &amp; TEXT($A22, "mmmyy"), ICE[LongCode], 0), MATCH("Text", ICE[#Headers], 0)), "")</f>
        <v/>
      </c>
      <c r="T22" s="46" t="str">
        <f t="shared" ca="1" si="62"/>
        <v/>
      </c>
      <c r="U22" s="47" t="str">
        <f t="shared" ca="1" si="83"/>
        <v/>
      </c>
      <c r="V22" s="46" t="str">
        <f t="shared" ca="1" si="84"/>
        <v/>
      </c>
      <c r="W22" s="49" t="str">
        <f t="shared" ca="1" si="69"/>
        <v/>
      </c>
      <c r="X22" s="53" t="str">
        <f t="shared" ca="1" si="63"/>
        <v/>
      </c>
      <c r="Y22" s="47" t="str">
        <f t="shared" ca="1" si="85"/>
        <v/>
      </c>
      <c r="Z22" s="111" t="str">
        <f t="shared" ca="1" si="86"/>
        <v/>
      </c>
      <c r="AA22" s="397" t="str">
        <f ca="1">IFERROR(INDEX(ICE[], MATCH("tc5" &amp; TEXT(Crd!$A22, "mmmyy"), ICE[LongCode], 0), MATCH("ICE Theoretical Price", ICE[#Headers], 0)), "")</f>
        <v/>
      </c>
      <c r="AB22" s="372" t="str">
        <f ca="1">IFERROR(INDEX(ICE[], MATCH("tc5" &amp; TEXT(Hvy!$A22, "mmmyy"), ICE[LongCode], 0), MATCH("Text", ICE[#Headers], 0)), "")</f>
        <v/>
      </c>
      <c r="AC22" s="46" t="str">
        <f t="shared" ca="1" si="70"/>
        <v/>
      </c>
      <c r="AD22" s="47" t="str">
        <f t="shared" ca="1" si="87"/>
        <v/>
      </c>
      <c r="AE22" s="46" t="str">
        <f t="shared" ca="1" si="88"/>
        <v/>
      </c>
      <c r="AF22" s="49" t="str">
        <f t="shared" ca="1" si="71"/>
        <v/>
      </c>
      <c r="AG22" s="53" t="str">
        <f t="shared" ca="1" si="72"/>
        <v/>
      </c>
      <c r="AH22" s="47" t="str">
        <f t="shared" ca="1" si="89"/>
        <v/>
      </c>
      <c r="AI22" s="111" t="str">
        <f t="shared" ca="1" si="90"/>
        <v/>
      </c>
      <c r="AJ22" s="397" t="str">
        <f t="shared" ca="1" si="73"/>
        <v/>
      </c>
      <c r="AK22" s="372" t="str">
        <f ca="1">IFERROR(INDEX(ICE[], MATCH("tc2" &amp; TEXT(Hvy!$A22, "mmmyy"), ICE[LongCode], 0), MATCH("Text", ICE[#Headers], 0)), "")</f>
        <v/>
      </c>
      <c r="AL22" s="46" t="str">
        <f t="shared" ca="1" si="64"/>
        <v/>
      </c>
      <c r="AM22" s="47" t="str">
        <f t="shared" ca="1" si="91"/>
        <v/>
      </c>
      <c r="AN22" s="46" t="str">
        <f t="shared" ca="1" si="92"/>
        <v/>
      </c>
      <c r="AO22" s="49" t="str">
        <f t="shared" ca="1" si="74"/>
        <v/>
      </c>
      <c r="AP22" s="53" t="str">
        <f t="shared" ca="1" si="65"/>
        <v/>
      </c>
      <c r="AQ22" s="47" t="str">
        <f t="shared" ca="1" si="93"/>
        <v/>
      </c>
      <c r="AR22" s="111" t="str">
        <f t="shared" ca="1" si="94"/>
        <v/>
      </c>
      <c r="AS22" s="397" t="str">
        <f t="shared" ca="1" si="75"/>
        <v/>
      </c>
      <c r="AT22" s="372" t="str">
        <f ca="1">IFERROR(INDEX(ICE[], MATCH("tc14" &amp; TEXT(Hvy!$A22, "mmmyy"), ICE[LongCode], 0), MATCH("Text", ICE[#Headers], 0)), "")</f>
        <v/>
      </c>
      <c r="AU22" s="46" t="str">
        <f t="shared" ca="1" si="76"/>
        <v/>
      </c>
      <c r="AV22" s="47" t="str">
        <f t="shared" ca="1" si="95"/>
        <v/>
      </c>
      <c r="AW22" s="46" t="str">
        <f t="shared" ca="1" si="96"/>
        <v/>
      </c>
      <c r="AX22" s="49" t="str">
        <f t="shared" ca="1" si="77"/>
        <v/>
      </c>
      <c r="AY22" s="53" t="str">
        <f t="shared" ca="1" si="78"/>
        <v/>
      </c>
      <c r="AZ22" s="47" t="str">
        <f t="shared" ca="1" si="97"/>
        <v/>
      </c>
      <c r="BA22" s="111" t="str">
        <f t="shared" ca="1" si="98"/>
        <v/>
      </c>
    </row>
    <row r="23" spans="1:53" x14ac:dyDescent="0.25">
      <c r="A23" s="58">
        <f t="shared" ca="1" si="79"/>
        <v>46388</v>
      </c>
      <c r="B23" s="6">
        <f t="shared" ca="1" si="59"/>
        <v>2027</v>
      </c>
      <c r="C23" s="6" t="str">
        <f t="shared" ca="1" si="66"/>
        <v>Q127</v>
      </c>
      <c r="D23" s="28" t="e">
        <f ca="1">INDEX(ICE[], MATCH(D$18 &amp; TEXT($A23, "mmmyy"), ICE[LongCode], 0), MATCH("Settle", ICE[#Headers], 0))</f>
        <v>#N/A</v>
      </c>
      <c r="E23" s="28" t="e">
        <f ca="1">INDEX(ICE[], MATCH(E$18 &amp; TEXT($A23, "mmmyy"), ICE[LongCode], 0), MATCH("Settle", ICE[#Headers], 0))</f>
        <v>#N/A</v>
      </c>
      <c r="F23" s="28" t="e">
        <f ca="1">INDEX(ICE[], MATCH(F$18 &amp; TEXT($A23, "mmmyy"), ICE[LongCode], 0), MATCH("Settle", ICE[#Headers], 0))</f>
        <v>#N/A</v>
      </c>
      <c r="G23" s="28" t="e">
        <f ca="1">INDEX(ICE[], MATCH(G$18 &amp; TEXT($A23, "mmmyy"), ICE[LongCode], 0), MATCH("Settle", ICE[#Headers], 0))</f>
        <v>#N/A</v>
      </c>
      <c r="H23" s="28" t="e">
        <f ca="1">INDEX(ICE[], MATCH(H$18 &amp; TEXT($A23, "mmmyy"), ICE[LongCode], 0), MATCH("Settle", ICE[#Headers], 0))</f>
        <v>#N/A</v>
      </c>
      <c r="I23" s="397" t="str">
        <f ca="1">IFERROR(INDEX(ICE[], MATCH("td3c" &amp; TEXT(Crd!$A23, "mmmyy"), ICE[LongCode], 0), MATCH("ICE Theoretical Price", ICE[#Headers], 0)), "")</f>
        <v/>
      </c>
      <c r="J23" s="372" t="str">
        <f ca="1">IFERROR(INDEX(ICE[], MATCH("td3c" &amp; TEXT($A23, "mmmyy"), ICE[LongCode], 0), MATCH("Text", ICE[#Headers], 0)), "")</f>
        <v/>
      </c>
      <c r="K23" s="46" t="str">
        <f t="shared" ca="1" si="60"/>
        <v/>
      </c>
      <c r="L23" s="47" t="str">
        <f t="shared" ca="1" si="67"/>
        <v/>
      </c>
      <c r="M23" s="46" t="str">
        <f t="shared" ca="1" si="80"/>
        <v/>
      </c>
      <c r="N23" s="49" t="str">
        <f t="shared" ca="1" si="68"/>
        <v/>
      </c>
      <c r="O23" s="53" t="str">
        <f t="shared" ca="1" si="61"/>
        <v/>
      </c>
      <c r="P23" s="47" t="str">
        <f t="shared" ca="1" si="81"/>
        <v/>
      </c>
      <c r="Q23" s="111" t="str">
        <f t="shared" ca="1" si="82"/>
        <v/>
      </c>
      <c r="R23" s="397" t="str">
        <f ca="1">IFERROR(INDEX(ICE[], MATCH("afra" &amp; TEXT(Crd!$A23, "mmmyy"), ICE[LongCode], 0), MATCH("ICE Theoretical Price", ICE[#Headers], 0)), "")</f>
        <v/>
      </c>
      <c r="S23" s="372" t="str">
        <f ca="1">IFERROR(INDEX(ICE[], MATCH("afra" &amp; TEXT($A23, "mmmyy"), ICE[LongCode], 0), MATCH("Text", ICE[#Headers], 0)), "")</f>
        <v/>
      </c>
      <c r="T23" s="46" t="str">
        <f t="shared" ca="1" si="62"/>
        <v/>
      </c>
      <c r="U23" s="47" t="str">
        <f t="shared" ca="1" si="83"/>
        <v/>
      </c>
      <c r="V23" s="46" t="str">
        <f t="shared" ca="1" si="84"/>
        <v/>
      </c>
      <c r="W23" s="49" t="str">
        <f t="shared" ca="1" si="69"/>
        <v/>
      </c>
      <c r="X23" s="53" t="str">
        <f t="shared" ca="1" si="63"/>
        <v/>
      </c>
      <c r="Y23" s="47" t="str">
        <f t="shared" ca="1" si="85"/>
        <v/>
      </c>
      <c r="Z23" s="111" t="str">
        <f t="shared" ca="1" si="86"/>
        <v/>
      </c>
      <c r="AA23" s="397" t="str">
        <f ca="1">IFERROR(INDEX(ICE[], MATCH("tc5" &amp; TEXT(Crd!$A23, "mmmyy"), ICE[LongCode], 0), MATCH("ICE Theoretical Price", ICE[#Headers], 0)), "")</f>
        <v/>
      </c>
      <c r="AB23" s="372" t="str">
        <f ca="1">IFERROR(INDEX(ICE[], MATCH("tc5" &amp; TEXT(Hvy!$A23, "mmmyy"), ICE[LongCode], 0), MATCH("Text", ICE[#Headers], 0)), "")</f>
        <v/>
      </c>
      <c r="AC23" s="46" t="str">
        <f t="shared" ca="1" si="70"/>
        <v/>
      </c>
      <c r="AD23" s="47" t="str">
        <f t="shared" ca="1" si="87"/>
        <v/>
      </c>
      <c r="AE23" s="46" t="str">
        <f t="shared" ca="1" si="88"/>
        <v/>
      </c>
      <c r="AF23" s="49" t="str">
        <f t="shared" ca="1" si="71"/>
        <v/>
      </c>
      <c r="AG23" s="53" t="str">
        <f t="shared" ca="1" si="72"/>
        <v/>
      </c>
      <c r="AH23" s="47" t="str">
        <f t="shared" ca="1" si="89"/>
        <v/>
      </c>
      <c r="AI23" s="111" t="str">
        <f t="shared" ca="1" si="90"/>
        <v/>
      </c>
      <c r="AJ23" s="397" t="str">
        <f t="shared" ca="1" si="73"/>
        <v/>
      </c>
      <c r="AK23" s="372" t="str">
        <f ca="1">IFERROR(INDEX(ICE[], MATCH("tc2" &amp; TEXT(Hvy!$A23, "mmmyy"), ICE[LongCode], 0), MATCH("Text", ICE[#Headers], 0)), "")</f>
        <v/>
      </c>
      <c r="AL23" s="46" t="str">
        <f t="shared" ca="1" si="64"/>
        <v/>
      </c>
      <c r="AM23" s="47" t="str">
        <f t="shared" ca="1" si="91"/>
        <v/>
      </c>
      <c r="AN23" s="46" t="str">
        <f t="shared" ca="1" si="92"/>
        <v/>
      </c>
      <c r="AO23" s="49" t="str">
        <f t="shared" ca="1" si="74"/>
        <v/>
      </c>
      <c r="AP23" s="53" t="str">
        <f t="shared" ca="1" si="65"/>
        <v/>
      </c>
      <c r="AQ23" s="47" t="str">
        <f t="shared" ca="1" si="93"/>
        <v/>
      </c>
      <c r="AR23" s="111" t="str">
        <f t="shared" ca="1" si="94"/>
        <v/>
      </c>
      <c r="AS23" s="397" t="str">
        <f t="shared" ca="1" si="75"/>
        <v/>
      </c>
      <c r="AT23" s="372" t="str">
        <f ca="1">IFERROR(INDEX(ICE[], MATCH("tc14" &amp; TEXT(Hvy!$A23, "mmmyy"), ICE[LongCode], 0), MATCH("Text", ICE[#Headers], 0)), "")</f>
        <v/>
      </c>
      <c r="AU23" s="46" t="str">
        <f t="shared" ca="1" si="76"/>
        <v/>
      </c>
      <c r="AV23" s="47" t="str">
        <f t="shared" ca="1" si="95"/>
        <v/>
      </c>
      <c r="AW23" s="46" t="str">
        <f t="shared" ca="1" si="96"/>
        <v/>
      </c>
      <c r="AX23" s="49" t="str">
        <f t="shared" ca="1" si="77"/>
        <v/>
      </c>
      <c r="AY23" s="53" t="str">
        <f t="shared" ca="1" si="78"/>
        <v/>
      </c>
      <c r="AZ23" s="47" t="str">
        <f t="shared" ca="1" si="97"/>
        <v/>
      </c>
      <c r="BA23" s="111" t="str">
        <f t="shared" ca="1" si="98"/>
        <v/>
      </c>
    </row>
    <row r="24" spans="1:53" x14ac:dyDescent="0.25">
      <c r="A24" s="58">
        <f t="shared" ca="1" si="79"/>
        <v>46419</v>
      </c>
      <c r="B24" s="6">
        <f t="shared" ca="1" si="59"/>
        <v>2027</v>
      </c>
      <c r="C24" s="6" t="str">
        <f t="shared" ca="1" si="66"/>
        <v>Q127</v>
      </c>
      <c r="D24" s="28" t="e">
        <f ca="1">INDEX(ICE[], MATCH(D$18 &amp; TEXT($A24, "mmmyy"), ICE[LongCode], 0), MATCH("Settle", ICE[#Headers], 0))</f>
        <v>#N/A</v>
      </c>
      <c r="E24" s="28" t="e">
        <f ca="1">INDEX(ICE[], MATCH(E$18 &amp; TEXT($A24, "mmmyy"), ICE[LongCode], 0), MATCH("Settle", ICE[#Headers], 0))</f>
        <v>#N/A</v>
      </c>
      <c r="F24" s="28" t="e">
        <f ca="1">INDEX(ICE[], MATCH(F$18 &amp; TEXT($A24, "mmmyy"), ICE[LongCode], 0), MATCH("Settle", ICE[#Headers], 0))</f>
        <v>#N/A</v>
      </c>
      <c r="G24" s="28" t="e">
        <f ca="1">INDEX(ICE[], MATCH(G$18 &amp; TEXT($A24, "mmmyy"), ICE[LongCode], 0), MATCH("Settle", ICE[#Headers], 0))</f>
        <v>#N/A</v>
      </c>
      <c r="H24" s="28" t="e">
        <f ca="1">INDEX(ICE[], MATCH(H$18 &amp; TEXT($A24, "mmmyy"), ICE[LongCode], 0), MATCH("Settle", ICE[#Headers], 0))</f>
        <v>#N/A</v>
      </c>
      <c r="I24" s="397" t="str">
        <f ca="1">IFERROR(INDEX(ICE[], MATCH("td3c" &amp; TEXT(Crd!$A24, "mmmyy"), ICE[LongCode], 0), MATCH("ICE Theoretical Price", ICE[#Headers], 0)), "")</f>
        <v/>
      </c>
      <c r="J24" s="372" t="str">
        <f ca="1">IFERROR(INDEX(ICE[], MATCH("td3c" &amp; TEXT($A24, "mmmyy"), ICE[LongCode], 0), MATCH("Text", ICE[#Headers], 0)), "")</f>
        <v/>
      </c>
      <c r="K24" s="46" t="str">
        <f t="shared" ca="1" si="60"/>
        <v/>
      </c>
      <c r="L24" s="47" t="str">
        <f t="shared" ca="1" si="67"/>
        <v/>
      </c>
      <c r="M24" s="46" t="str">
        <f t="shared" ca="1" si="80"/>
        <v/>
      </c>
      <c r="N24" s="49" t="str">
        <f t="shared" ca="1" si="68"/>
        <v/>
      </c>
      <c r="O24" s="53" t="str">
        <f t="shared" ca="1" si="61"/>
        <v/>
      </c>
      <c r="P24" s="47" t="str">
        <f t="shared" ca="1" si="81"/>
        <v/>
      </c>
      <c r="Q24" s="111" t="str">
        <f t="shared" ca="1" si="82"/>
        <v/>
      </c>
      <c r="R24" s="397" t="str">
        <f ca="1">IFERROR(INDEX(ICE[], MATCH("afra" &amp; TEXT(Crd!$A24, "mmmyy"), ICE[LongCode], 0), MATCH("ICE Theoretical Price", ICE[#Headers], 0)), "")</f>
        <v/>
      </c>
      <c r="S24" s="372" t="str">
        <f ca="1">IFERROR(INDEX(ICE[], MATCH("afra" &amp; TEXT($A24, "mmmyy"), ICE[LongCode], 0), MATCH("Text", ICE[#Headers], 0)), "")</f>
        <v/>
      </c>
      <c r="T24" s="46" t="str">
        <f t="shared" ca="1" si="62"/>
        <v/>
      </c>
      <c r="U24" s="47" t="str">
        <f t="shared" ca="1" si="83"/>
        <v/>
      </c>
      <c r="V24" s="46" t="str">
        <f t="shared" ca="1" si="84"/>
        <v/>
      </c>
      <c r="W24" s="49" t="str">
        <f t="shared" ca="1" si="69"/>
        <v/>
      </c>
      <c r="X24" s="53" t="str">
        <f t="shared" ca="1" si="63"/>
        <v/>
      </c>
      <c r="Y24" s="47" t="str">
        <f t="shared" ca="1" si="85"/>
        <v/>
      </c>
      <c r="Z24" s="111" t="str">
        <f t="shared" ca="1" si="86"/>
        <v/>
      </c>
      <c r="AA24" s="397" t="str">
        <f ca="1">IFERROR(INDEX(ICE[], MATCH("tc5" &amp; TEXT(Crd!$A24, "mmmyy"), ICE[LongCode], 0), MATCH("ICE Theoretical Price", ICE[#Headers], 0)), "")</f>
        <v/>
      </c>
      <c r="AB24" s="372" t="str">
        <f ca="1">IFERROR(INDEX(ICE[], MATCH("tc5" &amp; TEXT(Hvy!$A24, "mmmyy"), ICE[LongCode], 0), MATCH("Text", ICE[#Headers], 0)), "")</f>
        <v/>
      </c>
      <c r="AC24" s="46" t="str">
        <f t="shared" ca="1" si="70"/>
        <v/>
      </c>
      <c r="AD24" s="47" t="str">
        <f t="shared" ca="1" si="87"/>
        <v/>
      </c>
      <c r="AE24" s="46" t="str">
        <f t="shared" ca="1" si="88"/>
        <v/>
      </c>
      <c r="AF24" s="49" t="str">
        <f t="shared" ca="1" si="71"/>
        <v/>
      </c>
      <c r="AG24" s="53" t="str">
        <f t="shared" ca="1" si="72"/>
        <v/>
      </c>
      <c r="AH24" s="47" t="str">
        <f t="shared" ca="1" si="89"/>
        <v/>
      </c>
      <c r="AI24" s="111" t="str">
        <f t="shared" ca="1" si="90"/>
        <v/>
      </c>
      <c r="AJ24" s="397" t="str">
        <f t="shared" ca="1" si="73"/>
        <v/>
      </c>
      <c r="AK24" s="372" t="str">
        <f ca="1">IFERROR(INDEX(ICE[], MATCH("tc2" &amp; TEXT(Hvy!$A24, "mmmyy"), ICE[LongCode], 0), MATCH("Text", ICE[#Headers], 0)), "")</f>
        <v/>
      </c>
      <c r="AL24" s="46" t="str">
        <f t="shared" ca="1" si="64"/>
        <v/>
      </c>
      <c r="AM24" s="47" t="str">
        <f t="shared" ca="1" si="91"/>
        <v/>
      </c>
      <c r="AN24" s="46" t="str">
        <f t="shared" ca="1" si="92"/>
        <v/>
      </c>
      <c r="AO24" s="49" t="str">
        <f t="shared" ca="1" si="74"/>
        <v/>
      </c>
      <c r="AP24" s="53" t="str">
        <f t="shared" ca="1" si="65"/>
        <v/>
      </c>
      <c r="AQ24" s="47" t="str">
        <f t="shared" ca="1" si="93"/>
        <v/>
      </c>
      <c r="AR24" s="111" t="str">
        <f t="shared" ca="1" si="94"/>
        <v/>
      </c>
      <c r="AS24" s="397" t="str">
        <f t="shared" ca="1" si="75"/>
        <v/>
      </c>
      <c r="AT24" s="372" t="str">
        <f ca="1">IFERROR(INDEX(ICE[], MATCH("tc14" &amp; TEXT(Hvy!$A24, "mmmyy"), ICE[LongCode], 0), MATCH("Text", ICE[#Headers], 0)), "")</f>
        <v/>
      </c>
      <c r="AU24" s="46" t="str">
        <f t="shared" ca="1" si="76"/>
        <v/>
      </c>
      <c r="AV24" s="47" t="str">
        <f t="shared" ca="1" si="95"/>
        <v/>
      </c>
      <c r="AW24" s="46" t="str">
        <f t="shared" ca="1" si="96"/>
        <v/>
      </c>
      <c r="AX24" s="49" t="str">
        <f t="shared" ca="1" si="77"/>
        <v/>
      </c>
      <c r="AY24" s="53" t="str">
        <f t="shared" ca="1" si="78"/>
        <v/>
      </c>
      <c r="AZ24" s="47" t="str">
        <f t="shared" ca="1" si="97"/>
        <v/>
      </c>
      <c r="BA24" s="111" t="str">
        <f t="shared" ca="1" si="98"/>
        <v/>
      </c>
    </row>
    <row r="25" spans="1:53" x14ac:dyDescent="0.25">
      <c r="A25" s="58">
        <f t="shared" ca="1" si="79"/>
        <v>46447</v>
      </c>
      <c r="B25" s="6">
        <f t="shared" ca="1" si="59"/>
        <v>2027</v>
      </c>
      <c r="C25" s="6" t="str">
        <f t="shared" ca="1" si="66"/>
        <v>Q127</v>
      </c>
      <c r="D25" s="28" t="e">
        <f ca="1">INDEX(ICE[], MATCH(D$18 &amp; TEXT($A25, "mmmyy"), ICE[LongCode], 0), MATCH("Settle", ICE[#Headers], 0))</f>
        <v>#N/A</v>
      </c>
      <c r="E25" s="28" t="e">
        <f ca="1">INDEX(ICE[], MATCH(E$18 &amp; TEXT($A25, "mmmyy"), ICE[LongCode], 0), MATCH("Settle", ICE[#Headers], 0))</f>
        <v>#N/A</v>
      </c>
      <c r="F25" s="28" t="e">
        <f ca="1">INDEX(ICE[], MATCH(F$18 &amp; TEXT($A25, "mmmyy"), ICE[LongCode], 0), MATCH("Settle", ICE[#Headers], 0))</f>
        <v>#N/A</v>
      </c>
      <c r="G25" s="28" t="e">
        <f ca="1">INDEX(ICE[], MATCH(G$18 &amp; TEXT($A25, "mmmyy"), ICE[LongCode], 0), MATCH("Settle", ICE[#Headers], 0))</f>
        <v>#N/A</v>
      </c>
      <c r="H25" s="28" t="e">
        <f ca="1">INDEX(ICE[], MATCH(H$18 &amp; TEXT($A25, "mmmyy"), ICE[LongCode], 0), MATCH("Settle", ICE[#Headers], 0))</f>
        <v>#N/A</v>
      </c>
      <c r="I25" s="397" t="str">
        <f ca="1">IFERROR(INDEX(ICE[], MATCH("td3c" &amp; TEXT(Crd!$A25, "mmmyy"), ICE[LongCode], 0), MATCH("ICE Theoretical Price", ICE[#Headers], 0)), "")</f>
        <v/>
      </c>
      <c r="J25" s="372" t="str">
        <f ca="1">IFERROR(INDEX(ICE[], MATCH("td3c" &amp; TEXT($A25, "mmmyy"), ICE[LongCode], 0), MATCH("Text", ICE[#Headers], 0)), "")</f>
        <v/>
      </c>
      <c r="K25" s="46" t="str">
        <f t="shared" ca="1" si="60"/>
        <v/>
      </c>
      <c r="L25" s="47" t="str">
        <f t="shared" ca="1" si="67"/>
        <v/>
      </c>
      <c r="M25" s="46" t="str">
        <f t="shared" ca="1" si="80"/>
        <v/>
      </c>
      <c r="N25" s="49" t="str">
        <f t="shared" ca="1" si="68"/>
        <v/>
      </c>
      <c r="O25" s="53" t="str">
        <f t="shared" ca="1" si="61"/>
        <v/>
      </c>
      <c r="P25" s="47" t="str">
        <f t="shared" ca="1" si="81"/>
        <v/>
      </c>
      <c r="Q25" s="111" t="str">
        <f t="shared" ca="1" si="82"/>
        <v/>
      </c>
      <c r="R25" s="397" t="str">
        <f ca="1">IFERROR(INDEX(ICE[], MATCH("afra" &amp; TEXT(Crd!$A25, "mmmyy"), ICE[LongCode], 0), MATCH("ICE Theoretical Price", ICE[#Headers], 0)), "")</f>
        <v/>
      </c>
      <c r="S25" s="372" t="str">
        <f ca="1">IFERROR(INDEX(ICE[], MATCH("afra" &amp; TEXT($A25, "mmmyy"), ICE[LongCode], 0), MATCH("Text", ICE[#Headers], 0)), "")</f>
        <v/>
      </c>
      <c r="T25" s="46" t="str">
        <f t="shared" ca="1" si="62"/>
        <v/>
      </c>
      <c r="U25" s="47" t="str">
        <f t="shared" ca="1" si="83"/>
        <v/>
      </c>
      <c r="V25" s="46" t="str">
        <f t="shared" ca="1" si="84"/>
        <v/>
      </c>
      <c r="W25" s="49" t="str">
        <f t="shared" ca="1" si="69"/>
        <v/>
      </c>
      <c r="X25" s="53" t="str">
        <f t="shared" ca="1" si="63"/>
        <v/>
      </c>
      <c r="Y25" s="47" t="str">
        <f t="shared" ca="1" si="85"/>
        <v/>
      </c>
      <c r="Z25" s="111" t="str">
        <f t="shared" ca="1" si="86"/>
        <v/>
      </c>
      <c r="AA25" s="397" t="str">
        <f ca="1">IFERROR(INDEX(ICE[], MATCH("tc5" &amp; TEXT(Crd!$A25, "mmmyy"), ICE[LongCode], 0), MATCH("ICE Theoretical Price", ICE[#Headers], 0)), "")</f>
        <v/>
      </c>
      <c r="AB25" s="372" t="str">
        <f ca="1">IFERROR(INDEX(ICE[], MATCH("tc5" &amp; TEXT(Hvy!$A25, "mmmyy"), ICE[LongCode], 0), MATCH("Text", ICE[#Headers], 0)), "")</f>
        <v/>
      </c>
      <c r="AC25" s="46" t="str">
        <f t="shared" ca="1" si="70"/>
        <v/>
      </c>
      <c r="AD25" s="47" t="str">
        <f t="shared" ca="1" si="87"/>
        <v/>
      </c>
      <c r="AE25" s="46" t="str">
        <f t="shared" ca="1" si="88"/>
        <v/>
      </c>
      <c r="AF25" s="49" t="str">
        <f t="shared" ca="1" si="71"/>
        <v/>
      </c>
      <c r="AG25" s="53" t="str">
        <f t="shared" ca="1" si="72"/>
        <v/>
      </c>
      <c r="AH25" s="47" t="str">
        <f t="shared" ca="1" si="89"/>
        <v/>
      </c>
      <c r="AI25" s="111" t="str">
        <f t="shared" ca="1" si="90"/>
        <v/>
      </c>
      <c r="AJ25" s="397" t="str">
        <f t="shared" ca="1" si="73"/>
        <v/>
      </c>
      <c r="AK25" s="372" t="str">
        <f ca="1">IFERROR(INDEX(ICE[], MATCH("tc2" &amp; TEXT(Hvy!$A25, "mmmyy"), ICE[LongCode], 0), MATCH("Text", ICE[#Headers], 0)), "")</f>
        <v/>
      </c>
      <c r="AL25" s="46" t="str">
        <f t="shared" ca="1" si="64"/>
        <v/>
      </c>
      <c r="AM25" s="47" t="str">
        <f t="shared" ca="1" si="91"/>
        <v/>
      </c>
      <c r="AN25" s="46" t="str">
        <f t="shared" ca="1" si="92"/>
        <v/>
      </c>
      <c r="AO25" s="49" t="str">
        <f t="shared" ca="1" si="74"/>
        <v/>
      </c>
      <c r="AP25" s="53" t="str">
        <f t="shared" ca="1" si="65"/>
        <v/>
      </c>
      <c r="AQ25" s="47" t="str">
        <f t="shared" ca="1" si="93"/>
        <v/>
      </c>
      <c r="AR25" s="111" t="str">
        <f t="shared" ca="1" si="94"/>
        <v/>
      </c>
      <c r="AS25" s="397" t="str">
        <f t="shared" ca="1" si="75"/>
        <v/>
      </c>
      <c r="AT25" s="372" t="str">
        <f ca="1">IFERROR(INDEX(ICE[], MATCH("tc14" &amp; TEXT(Hvy!$A25, "mmmyy"), ICE[LongCode], 0), MATCH("Text", ICE[#Headers], 0)), "")</f>
        <v/>
      </c>
      <c r="AU25" s="46" t="str">
        <f t="shared" ca="1" si="76"/>
        <v/>
      </c>
      <c r="AV25" s="47" t="str">
        <f t="shared" ca="1" si="95"/>
        <v/>
      </c>
      <c r="AW25" s="46" t="str">
        <f t="shared" ca="1" si="96"/>
        <v/>
      </c>
      <c r="AX25" s="49" t="str">
        <f t="shared" ca="1" si="77"/>
        <v/>
      </c>
      <c r="AY25" s="53" t="str">
        <f t="shared" ca="1" si="78"/>
        <v/>
      </c>
      <c r="AZ25" s="47" t="str">
        <f t="shared" ca="1" si="97"/>
        <v/>
      </c>
      <c r="BA25" s="111" t="str">
        <f t="shared" ca="1" si="98"/>
        <v/>
      </c>
    </row>
    <row r="26" spans="1:53" x14ac:dyDescent="0.25">
      <c r="A26" s="58">
        <f t="shared" ca="1" si="79"/>
        <v>46478</v>
      </c>
      <c r="B26" s="6">
        <f t="shared" ca="1" si="59"/>
        <v>2027</v>
      </c>
      <c r="C26" s="6" t="str">
        <f t="shared" ca="1" si="66"/>
        <v>Q227</v>
      </c>
      <c r="D26" s="28" t="e">
        <f ca="1">INDEX(ICE[], MATCH(D$18 &amp; TEXT($A26, "mmmyy"), ICE[LongCode], 0), MATCH("Settle", ICE[#Headers], 0))</f>
        <v>#N/A</v>
      </c>
      <c r="E26" s="28" t="e">
        <f ca="1">INDEX(ICE[], MATCH(E$18 &amp; TEXT($A26, "mmmyy"), ICE[LongCode], 0), MATCH("Settle", ICE[#Headers], 0))</f>
        <v>#N/A</v>
      </c>
      <c r="F26" s="28" t="e">
        <f ca="1">INDEX(ICE[], MATCH(F$18 &amp; TEXT($A26, "mmmyy"), ICE[LongCode], 0), MATCH("Settle", ICE[#Headers], 0))</f>
        <v>#N/A</v>
      </c>
      <c r="G26" s="28" t="e">
        <f ca="1">INDEX(ICE[], MATCH(G$18 &amp; TEXT($A26, "mmmyy"), ICE[LongCode], 0), MATCH("Settle", ICE[#Headers], 0))</f>
        <v>#N/A</v>
      </c>
      <c r="H26" s="28" t="e">
        <f ca="1">INDEX(ICE[], MATCH(H$18 &amp; TEXT($A26, "mmmyy"), ICE[LongCode], 0), MATCH("Settle", ICE[#Headers], 0))</f>
        <v>#N/A</v>
      </c>
      <c r="I26" s="397" t="str">
        <f ca="1">IFERROR(INDEX(ICE[], MATCH("td3c" &amp; TEXT(Crd!$A26, "mmmyy"), ICE[LongCode], 0), MATCH("ICE Theoretical Price", ICE[#Headers], 0)), "")</f>
        <v/>
      </c>
      <c r="J26" s="372" t="str">
        <f ca="1">IFERROR(INDEX(ICE[], MATCH("td3c" &amp; TEXT($A26, "mmmyy"), ICE[LongCode], 0), MATCH("Text", ICE[#Headers], 0)), "")</f>
        <v/>
      </c>
      <c r="K26" s="46" t="str">
        <f t="shared" ca="1" si="60"/>
        <v/>
      </c>
      <c r="L26" s="47" t="str">
        <f t="shared" ca="1" si="67"/>
        <v/>
      </c>
      <c r="M26" s="46" t="str">
        <f t="shared" ca="1" si="80"/>
        <v/>
      </c>
      <c r="N26" s="49" t="str">
        <f t="shared" ca="1" si="68"/>
        <v/>
      </c>
      <c r="O26" s="53" t="str">
        <f t="shared" ca="1" si="61"/>
        <v/>
      </c>
      <c r="P26" s="47" t="str">
        <f t="shared" ca="1" si="81"/>
        <v/>
      </c>
      <c r="Q26" s="111" t="str">
        <f t="shared" ca="1" si="82"/>
        <v/>
      </c>
      <c r="R26" s="397" t="str">
        <f ca="1">IFERROR(INDEX(ICE[], MATCH("afra" &amp; TEXT(Crd!$A26, "mmmyy"), ICE[LongCode], 0), MATCH("ICE Theoretical Price", ICE[#Headers], 0)), "")</f>
        <v/>
      </c>
      <c r="S26" s="372" t="str">
        <f ca="1">IFERROR(INDEX(ICE[], MATCH("afra" &amp; TEXT($A26, "mmmyy"), ICE[LongCode], 0), MATCH("Text", ICE[#Headers], 0)), "")</f>
        <v/>
      </c>
      <c r="T26" s="46" t="str">
        <f t="shared" ca="1" si="62"/>
        <v/>
      </c>
      <c r="U26" s="47" t="str">
        <f t="shared" ca="1" si="83"/>
        <v/>
      </c>
      <c r="V26" s="46" t="str">
        <f t="shared" ca="1" si="84"/>
        <v/>
      </c>
      <c r="W26" s="49" t="str">
        <f t="shared" ca="1" si="69"/>
        <v/>
      </c>
      <c r="X26" s="53" t="str">
        <f t="shared" ca="1" si="63"/>
        <v/>
      </c>
      <c r="Y26" s="47" t="str">
        <f t="shared" ca="1" si="85"/>
        <v/>
      </c>
      <c r="Z26" s="111" t="str">
        <f t="shared" ca="1" si="86"/>
        <v/>
      </c>
      <c r="AA26" s="397" t="str">
        <f ca="1">IFERROR(INDEX(ICE[], MATCH("tc5" &amp; TEXT(Crd!$A26, "mmmyy"), ICE[LongCode], 0), MATCH("ICE Theoretical Price", ICE[#Headers], 0)), "")</f>
        <v/>
      </c>
      <c r="AB26" s="372" t="str">
        <f ca="1">IFERROR(INDEX(ICE[], MATCH("tc5" &amp; TEXT(Hvy!$A26, "mmmyy"), ICE[LongCode], 0), MATCH("Text", ICE[#Headers], 0)), "")</f>
        <v/>
      </c>
      <c r="AC26" s="46" t="str">
        <f t="shared" ca="1" si="70"/>
        <v/>
      </c>
      <c r="AD26" s="47" t="str">
        <f t="shared" ca="1" si="87"/>
        <v/>
      </c>
      <c r="AE26" s="46" t="str">
        <f t="shared" ca="1" si="88"/>
        <v/>
      </c>
      <c r="AF26" s="49" t="str">
        <f t="shared" ca="1" si="71"/>
        <v/>
      </c>
      <c r="AG26" s="53" t="str">
        <f t="shared" ca="1" si="72"/>
        <v/>
      </c>
      <c r="AH26" s="47" t="str">
        <f t="shared" ca="1" si="89"/>
        <v/>
      </c>
      <c r="AI26" s="111" t="str">
        <f t="shared" ca="1" si="90"/>
        <v/>
      </c>
      <c r="AJ26" s="397" t="str">
        <f t="shared" ca="1" si="73"/>
        <v/>
      </c>
      <c r="AK26" s="372" t="str">
        <f ca="1">IFERROR(INDEX(ICE[], MATCH("tc2" &amp; TEXT(Hvy!$A26, "mmmyy"), ICE[LongCode], 0), MATCH("Text", ICE[#Headers], 0)), "")</f>
        <v/>
      </c>
      <c r="AL26" s="46" t="str">
        <f t="shared" ca="1" si="64"/>
        <v/>
      </c>
      <c r="AM26" s="47" t="str">
        <f t="shared" ca="1" si="91"/>
        <v/>
      </c>
      <c r="AN26" s="46" t="str">
        <f t="shared" ca="1" si="92"/>
        <v/>
      </c>
      <c r="AO26" s="49" t="str">
        <f t="shared" ca="1" si="74"/>
        <v/>
      </c>
      <c r="AP26" s="53" t="str">
        <f t="shared" ca="1" si="65"/>
        <v/>
      </c>
      <c r="AQ26" s="47" t="str">
        <f t="shared" ca="1" si="93"/>
        <v/>
      </c>
      <c r="AR26" s="111" t="str">
        <f t="shared" ca="1" si="94"/>
        <v/>
      </c>
      <c r="AS26" s="397" t="str">
        <f t="shared" ca="1" si="75"/>
        <v/>
      </c>
      <c r="AT26" s="372" t="str">
        <f ca="1">IFERROR(INDEX(ICE[], MATCH("tc14" &amp; TEXT(Hvy!$A26, "mmmyy"), ICE[LongCode], 0), MATCH("Text", ICE[#Headers], 0)), "")</f>
        <v/>
      </c>
      <c r="AU26" s="46" t="str">
        <f t="shared" ca="1" si="76"/>
        <v/>
      </c>
      <c r="AV26" s="47" t="str">
        <f t="shared" ca="1" si="95"/>
        <v/>
      </c>
      <c r="AW26" s="46" t="str">
        <f t="shared" ca="1" si="96"/>
        <v/>
      </c>
      <c r="AX26" s="49" t="str">
        <f t="shared" ca="1" si="77"/>
        <v/>
      </c>
      <c r="AY26" s="53" t="str">
        <f t="shared" ca="1" si="78"/>
        <v/>
      </c>
      <c r="AZ26" s="47" t="str">
        <f t="shared" ca="1" si="97"/>
        <v/>
      </c>
      <c r="BA26" s="111" t="str">
        <f t="shared" ca="1" si="98"/>
        <v/>
      </c>
    </row>
    <row r="27" spans="1:53" x14ac:dyDescent="0.25">
      <c r="A27" s="58">
        <f t="shared" ca="1" si="79"/>
        <v>46508</v>
      </c>
      <c r="B27" s="6">
        <f t="shared" ca="1" si="59"/>
        <v>2027</v>
      </c>
      <c r="C27" s="6" t="str">
        <f t="shared" ca="1" si="66"/>
        <v>Q227</v>
      </c>
      <c r="D27" s="28" t="e">
        <f ca="1">INDEX(ICE[], MATCH(D$18 &amp; TEXT($A27, "mmmyy"), ICE[LongCode], 0), MATCH("Settle", ICE[#Headers], 0))</f>
        <v>#N/A</v>
      </c>
      <c r="E27" s="28" t="e">
        <f ca="1">INDEX(ICE[], MATCH(E$18 &amp; TEXT($A27, "mmmyy"), ICE[LongCode], 0), MATCH("Settle", ICE[#Headers], 0))</f>
        <v>#N/A</v>
      </c>
      <c r="F27" s="28" t="e">
        <f ca="1">INDEX(ICE[], MATCH(F$18 &amp; TEXT($A27, "mmmyy"), ICE[LongCode], 0), MATCH("Settle", ICE[#Headers], 0))</f>
        <v>#N/A</v>
      </c>
      <c r="G27" s="28" t="e">
        <f ca="1">INDEX(ICE[], MATCH(G$18 &amp; TEXT($A27, "mmmyy"), ICE[LongCode], 0), MATCH("Settle", ICE[#Headers], 0))</f>
        <v>#N/A</v>
      </c>
      <c r="H27" s="28" t="e">
        <f ca="1">INDEX(ICE[], MATCH(H$18 &amp; TEXT($A27, "mmmyy"), ICE[LongCode], 0), MATCH("Settle", ICE[#Headers], 0))</f>
        <v>#N/A</v>
      </c>
      <c r="I27" s="397" t="str">
        <f ca="1">IFERROR(INDEX(ICE[], MATCH("td3c" &amp; TEXT(Crd!$A27, "mmmyy"), ICE[LongCode], 0), MATCH("ICE Theoretical Price", ICE[#Headers], 0)), "")</f>
        <v/>
      </c>
      <c r="J27" s="372" t="str">
        <f ca="1">IFERROR(INDEX(ICE[], MATCH("td3c" &amp; TEXT($A27, "mmmyy"), ICE[LongCode], 0), MATCH("Text", ICE[#Headers], 0)), "")</f>
        <v/>
      </c>
      <c r="K27" s="46" t="str">
        <f t="shared" ca="1" si="60"/>
        <v/>
      </c>
      <c r="L27" s="47" t="str">
        <f t="shared" ca="1" si="67"/>
        <v/>
      </c>
      <c r="M27" s="46" t="str">
        <f t="shared" ca="1" si="80"/>
        <v/>
      </c>
      <c r="N27" s="49" t="str">
        <f t="shared" ca="1" si="68"/>
        <v/>
      </c>
      <c r="O27" s="53" t="str">
        <f t="shared" ca="1" si="61"/>
        <v/>
      </c>
      <c r="P27" s="47" t="str">
        <f t="shared" ca="1" si="81"/>
        <v/>
      </c>
      <c r="Q27" s="111" t="str">
        <f t="shared" ca="1" si="82"/>
        <v/>
      </c>
      <c r="R27" s="397" t="str">
        <f ca="1">IFERROR(INDEX(ICE[], MATCH("afra" &amp; TEXT(Crd!$A27, "mmmyy"), ICE[LongCode], 0), MATCH("ICE Theoretical Price", ICE[#Headers], 0)), "")</f>
        <v/>
      </c>
      <c r="S27" s="372" t="str">
        <f ca="1">IFERROR(INDEX(ICE[], MATCH("afra" &amp; TEXT($A27, "mmmyy"), ICE[LongCode], 0), MATCH("Text", ICE[#Headers], 0)), "")</f>
        <v/>
      </c>
      <c r="T27" s="46" t="str">
        <f t="shared" ca="1" si="62"/>
        <v/>
      </c>
      <c r="U27" s="47" t="str">
        <f t="shared" ca="1" si="83"/>
        <v/>
      </c>
      <c r="V27" s="46" t="str">
        <f t="shared" ca="1" si="84"/>
        <v/>
      </c>
      <c r="W27" s="49" t="str">
        <f t="shared" ca="1" si="69"/>
        <v/>
      </c>
      <c r="X27" s="53" t="str">
        <f t="shared" ca="1" si="63"/>
        <v/>
      </c>
      <c r="Y27" s="47" t="str">
        <f t="shared" ca="1" si="85"/>
        <v/>
      </c>
      <c r="Z27" s="111" t="str">
        <f t="shared" ca="1" si="86"/>
        <v/>
      </c>
      <c r="AA27" s="397" t="str">
        <f ca="1">IFERROR(INDEX(ICE[], MATCH("tc5" &amp; TEXT(Crd!$A27, "mmmyy"), ICE[LongCode], 0), MATCH("ICE Theoretical Price", ICE[#Headers], 0)), "")</f>
        <v/>
      </c>
      <c r="AB27" s="372" t="str">
        <f ca="1">IFERROR(INDEX(ICE[], MATCH("tc5" &amp; TEXT(Hvy!$A27, "mmmyy"), ICE[LongCode], 0), MATCH("Text", ICE[#Headers], 0)), "")</f>
        <v/>
      </c>
      <c r="AC27" s="46" t="str">
        <f t="shared" ca="1" si="70"/>
        <v/>
      </c>
      <c r="AD27" s="47" t="str">
        <f t="shared" ca="1" si="87"/>
        <v/>
      </c>
      <c r="AE27" s="46" t="str">
        <f t="shared" ca="1" si="88"/>
        <v/>
      </c>
      <c r="AF27" s="49" t="str">
        <f t="shared" ca="1" si="71"/>
        <v/>
      </c>
      <c r="AG27" s="53" t="str">
        <f t="shared" ca="1" si="72"/>
        <v/>
      </c>
      <c r="AH27" s="47" t="str">
        <f t="shared" ca="1" si="89"/>
        <v/>
      </c>
      <c r="AI27" s="111" t="str">
        <f t="shared" ca="1" si="90"/>
        <v/>
      </c>
      <c r="AJ27" s="397" t="str">
        <f t="shared" ca="1" si="73"/>
        <v/>
      </c>
      <c r="AK27" s="372" t="str">
        <f ca="1">IFERROR(INDEX(ICE[], MATCH("tc2" &amp; TEXT(Hvy!$A27, "mmmyy"), ICE[LongCode], 0), MATCH("Text", ICE[#Headers], 0)), "")</f>
        <v/>
      </c>
      <c r="AL27" s="46" t="str">
        <f t="shared" ca="1" si="64"/>
        <v/>
      </c>
      <c r="AM27" s="47" t="str">
        <f t="shared" ca="1" si="91"/>
        <v/>
      </c>
      <c r="AN27" s="46" t="str">
        <f t="shared" ca="1" si="92"/>
        <v/>
      </c>
      <c r="AO27" s="49" t="str">
        <f t="shared" ca="1" si="74"/>
        <v/>
      </c>
      <c r="AP27" s="53" t="str">
        <f t="shared" ca="1" si="65"/>
        <v/>
      </c>
      <c r="AQ27" s="47" t="str">
        <f t="shared" ca="1" si="93"/>
        <v/>
      </c>
      <c r="AR27" s="111" t="str">
        <f t="shared" ca="1" si="94"/>
        <v/>
      </c>
      <c r="AS27" s="397" t="str">
        <f t="shared" ca="1" si="75"/>
        <v/>
      </c>
      <c r="AT27" s="372" t="str">
        <f ca="1">IFERROR(INDEX(ICE[], MATCH("tc14" &amp; TEXT(Hvy!$A27, "mmmyy"), ICE[LongCode], 0), MATCH("Text", ICE[#Headers], 0)), "")</f>
        <v/>
      </c>
      <c r="AU27" s="46" t="str">
        <f t="shared" ca="1" si="76"/>
        <v/>
      </c>
      <c r="AV27" s="47" t="str">
        <f t="shared" ca="1" si="95"/>
        <v/>
      </c>
      <c r="AW27" s="46" t="str">
        <f t="shared" ca="1" si="96"/>
        <v/>
      </c>
      <c r="AX27" s="49" t="str">
        <f t="shared" ca="1" si="77"/>
        <v/>
      </c>
      <c r="AY27" s="53" t="str">
        <f t="shared" ca="1" si="78"/>
        <v/>
      </c>
      <c r="AZ27" s="47" t="str">
        <f t="shared" ca="1" si="97"/>
        <v/>
      </c>
      <c r="BA27" s="111" t="str">
        <f t="shared" ca="1" si="98"/>
        <v/>
      </c>
    </row>
    <row r="28" spans="1:53" x14ac:dyDescent="0.25">
      <c r="A28" s="58">
        <f t="shared" ca="1" si="79"/>
        <v>46539</v>
      </c>
      <c r="B28" s="6">
        <f t="shared" ca="1" si="59"/>
        <v>2027</v>
      </c>
      <c r="C28" s="6" t="str">
        <f t="shared" ca="1" si="66"/>
        <v>Q227</v>
      </c>
      <c r="D28" s="28" t="e">
        <f ca="1">INDEX(ICE[], MATCH(D$18 &amp; TEXT($A28, "mmmyy"), ICE[LongCode], 0), MATCH("Settle", ICE[#Headers], 0))</f>
        <v>#N/A</v>
      </c>
      <c r="E28" s="28" t="e">
        <f ca="1">INDEX(ICE[], MATCH(E$18 &amp; TEXT($A28, "mmmyy"), ICE[LongCode], 0), MATCH("Settle", ICE[#Headers], 0))</f>
        <v>#N/A</v>
      </c>
      <c r="F28" s="28" t="e">
        <f ca="1">INDEX(ICE[], MATCH(F$18 &amp; TEXT($A28, "mmmyy"), ICE[LongCode], 0), MATCH("Settle", ICE[#Headers], 0))</f>
        <v>#N/A</v>
      </c>
      <c r="G28" s="28" t="e">
        <f ca="1">INDEX(ICE[], MATCH(G$18 &amp; TEXT($A28, "mmmyy"), ICE[LongCode], 0), MATCH("Settle", ICE[#Headers], 0))</f>
        <v>#N/A</v>
      </c>
      <c r="H28" s="28" t="e">
        <f ca="1">INDEX(ICE[], MATCH(H$18 &amp; TEXT($A28, "mmmyy"), ICE[LongCode], 0), MATCH("Settle", ICE[#Headers], 0))</f>
        <v>#N/A</v>
      </c>
      <c r="I28" s="397" t="str">
        <f ca="1">IFERROR(INDEX(ICE[], MATCH("td3c" &amp; TEXT(Crd!$A28, "mmmyy"), ICE[LongCode], 0), MATCH("ICE Theoretical Price", ICE[#Headers], 0)), "")</f>
        <v/>
      </c>
      <c r="J28" s="372" t="str">
        <f ca="1">IFERROR(INDEX(ICE[], MATCH("td3c" &amp; TEXT($A28, "mmmyy"), ICE[LongCode], 0), MATCH("Text", ICE[#Headers], 0)), "")</f>
        <v/>
      </c>
      <c r="K28" s="46" t="str">
        <f t="shared" ca="1" si="60"/>
        <v/>
      </c>
      <c r="L28" s="47" t="str">
        <f t="shared" ca="1" si="67"/>
        <v/>
      </c>
      <c r="M28" s="46" t="str">
        <f t="shared" ca="1" si="80"/>
        <v/>
      </c>
      <c r="N28" s="49" t="str">
        <f t="shared" ca="1" si="68"/>
        <v/>
      </c>
      <c r="O28" s="53" t="str">
        <f t="shared" ca="1" si="61"/>
        <v/>
      </c>
      <c r="P28" s="47" t="str">
        <f t="shared" ca="1" si="81"/>
        <v/>
      </c>
      <c r="Q28" s="111" t="str">
        <f t="shared" ca="1" si="82"/>
        <v/>
      </c>
      <c r="R28" s="397" t="str">
        <f ca="1">IFERROR(INDEX(ICE[], MATCH("afra" &amp; TEXT(Crd!$A28, "mmmyy"), ICE[LongCode], 0), MATCH("ICE Theoretical Price", ICE[#Headers], 0)), "")</f>
        <v/>
      </c>
      <c r="S28" s="372" t="str">
        <f ca="1">IFERROR(INDEX(ICE[], MATCH("afra" &amp; TEXT($A28, "mmmyy"), ICE[LongCode], 0), MATCH("Text", ICE[#Headers], 0)), "")</f>
        <v/>
      </c>
      <c r="T28" s="46" t="str">
        <f t="shared" ca="1" si="62"/>
        <v/>
      </c>
      <c r="U28" s="47" t="str">
        <f t="shared" ca="1" si="83"/>
        <v/>
      </c>
      <c r="V28" s="46" t="str">
        <f t="shared" ca="1" si="84"/>
        <v/>
      </c>
      <c r="W28" s="49" t="str">
        <f t="shared" ca="1" si="69"/>
        <v/>
      </c>
      <c r="X28" s="53" t="str">
        <f t="shared" ca="1" si="63"/>
        <v/>
      </c>
      <c r="Y28" s="47" t="str">
        <f t="shared" ca="1" si="85"/>
        <v/>
      </c>
      <c r="Z28" s="111" t="str">
        <f t="shared" ca="1" si="86"/>
        <v/>
      </c>
      <c r="AA28" s="397" t="str">
        <f ca="1">IFERROR(INDEX(ICE[], MATCH("tc5" &amp; TEXT(Crd!$A28, "mmmyy"), ICE[LongCode], 0), MATCH("ICE Theoretical Price", ICE[#Headers], 0)), "")</f>
        <v/>
      </c>
      <c r="AB28" s="372" t="str">
        <f ca="1">IFERROR(INDEX(ICE[], MATCH("tc5" &amp; TEXT(Hvy!$A28, "mmmyy"), ICE[LongCode], 0), MATCH("Text", ICE[#Headers], 0)), "")</f>
        <v/>
      </c>
      <c r="AC28" s="46" t="str">
        <f t="shared" ca="1" si="70"/>
        <v/>
      </c>
      <c r="AD28" s="47" t="str">
        <f t="shared" ca="1" si="87"/>
        <v/>
      </c>
      <c r="AE28" s="46" t="str">
        <f t="shared" ca="1" si="88"/>
        <v/>
      </c>
      <c r="AF28" s="49" t="str">
        <f t="shared" ca="1" si="71"/>
        <v/>
      </c>
      <c r="AG28" s="53" t="str">
        <f t="shared" ca="1" si="72"/>
        <v/>
      </c>
      <c r="AH28" s="47" t="str">
        <f t="shared" ca="1" si="89"/>
        <v/>
      </c>
      <c r="AI28" s="111" t="str">
        <f t="shared" ca="1" si="90"/>
        <v/>
      </c>
      <c r="AJ28" s="397" t="str">
        <f t="shared" ca="1" si="73"/>
        <v/>
      </c>
      <c r="AK28" s="372" t="str">
        <f ca="1">IFERROR(INDEX(ICE[], MATCH("tc2" &amp; TEXT(Hvy!$A28, "mmmyy"), ICE[LongCode], 0), MATCH("Text", ICE[#Headers], 0)), "")</f>
        <v/>
      </c>
      <c r="AL28" s="46" t="str">
        <f t="shared" ca="1" si="64"/>
        <v/>
      </c>
      <c r="AM28" s="47" t="str">
        <f t="shared" ca="1" si="91"/>
        <v/>
      </c>
      <c r="AN28" s="46" t="str">
        <f t="shared" ca="1" si="92"/>
        <v/>
      </c>
      <c r="AO28" s="49" t="str">
        <f t="shared" ca="1" si="74"/>
        <v/>
      </c>
      <c r="AP28" s="53" t="str">
        <f t="shared" ca="1" si="65"/>
        <v/>
      </c>
      <c r="AQ28" s="47" t="str">
        <f t="shared" ca="1" si="93"/>
        <v/>
      </c>
      <c r="AR28" s="111" t="str">
        <f t="shared" ca="1" si="94"/>
        <v/>
      </c>
      <c r="AS28" s="397" t="str">
        <f t="shared" ca="1" si="75"/>
        <v/>
      </c>
      <c r="AT28" s="372" t="str">
        <f ca="1">IFERROR(INDEX(ICE[], MATCH("tc14" &amp; TEXT(Hvy!$A28, "mmmyy"), ICE[LongCode], 0), MATCH("Text", ICE[#Headers], 0)), "")</f>
        <v/>
      </c>
      <c r="AU28" s="46" t="str">
        <f t="shared" ca="1" si="76"/>
        <v/>
      </c>
      <c r="AV28" s="47" t="str">
        <f t="shared" ca="1" si="95"/>
        <v/>
      </c>
      <c r="AW28" s="46" t="str">
        <f t="shared" ca="1" si="96"/>
        <v/>
      </c>
      <c r="AX28" s="49" t="str">
        <f t="shared" ca="1" si="77"/>
        <v/>
      </c>
      <c r="AY28" s="53" t="str">
        <f t="shared" ca="1" si="78"/>
        <v/>
      </c>
      <c r="AZ28" s="47" t="str">
        <f t="shared" ca="1" si="97"/>
        <v/>
      </c>
      <c r="BA28" s="111" t="str">
        <f t="shared" ca="1" si="98"/>
        <v/>
      </c>
    </row>
    <row r="29" spans="1:53" x14ac:dyDescent="0.25">
      <c r="A29" s="58">
        <f t="shared" ca="1" si="79"/>
        <v>46569</v>
      </c>
      <c r="B29" s="6">
        <f t="shared" ca="1" si="59"/>
        <v>2027</v>
      </c>
      <c r="C29" s="6" t="str">
        <f t="shared" ca="1" si="66"/>
        <v>Q327</v>
      </c>
      <c r="D29" s="28" t="e">
        <f ca="1">INDEX(ICE[], MATCH(D$18 &amp; TEXT($A29, "mmmyy"), ICE[LongCode], 0), MATCH("Settle", ICE[#Headers], 0))</f>
        <v>#N/A</v>
      </c>
      <c r="E29" s="28" t="e">
        <f ca="1">INDEX(ICE[], MATCH(E$18 &amp; TEXT($A29, "mmmyy"), ICE[LongCode], 0), MATCH("Settle", ICE[#Headers], 0))</f>
        <v>#N/A</v>
      </c>
      <c r="F29" s="28" t="e">
        <f ca="1">INDEX(ICE[], MATCH(F$18 &amp; TEXT($A29, "mmmyy"), ICE[LongCode], 0), MATCH("Settle", ICE[#Headers], 0))</f>
        <v>#N/A</v>
      </c>
      <c r="G29" s="28" t="e">
        <f ca="1">INDEX(ICE[], MATCH(G$18 &amp; TEXT($A29, "mmmyy"), ICE[LongCode], 0), MATCH("Settle", ICE[#Headers], 0))</f>
        <v>#N/A</v>
      </c>
      <c r="H29" s="28" t="e">
        <f ca="1">INDEX(ICE[], MATCH(H$18 &amp; TEXT($A29, "mmmyy"), ICE[LongCode], 0), MATCH("Settle", ICE[#Headers], 0))</f>
        <v>#N/A</v>
      </c>
      <c r="I29" s="397" t="str">
        <f ca="1">IFERROR(INDEX(ICE[], MATCH("td3c" &amp; TEXT(Crd!$A29, "mmmyy"), ICE[LongCode], 0), MATCH("ICE Theoretical Price", ICE[#Headers], 0)), "")</f>
        <v/>
      </c>
      <c r="J29" s="372" t="str">
        <f ca="1">IFERROR(INDEX(ICE[], MATCH("td3c" &amp; TEXT($A29, "mmmyy"), ICE[LongCode], 0), MATCH("Text", ICE[#Headers], 0)), "")</f>
        <v/>
      </c>
      <c r="K29" s="46" t="str">
        <f t="shared" ca="1" si="60"/>
        <v/>
      </c>
      <c r="L29" s="47" t="str">
        <f t="shared" ca="1" si="67"/>
        <v/>
      </c>
      <c r="M29" s="46" t="str">
        <f t="shared" ca="1" si="80"/>
        <v/>
      </c>
      <c r="N29" s="49" t="str">
        <f t="shared" ca="1" si="68"/>
        <v/>
      </c>
      <c r="O29" s="53" t="str">
        <f t="shared" ca="1" si="61"/>
        <v/>
      </c>
      <c r="P29" s="47" t="str">
        <f t="shared" ca="1" si="81"/>
        <v/>
      </c>
      <c r="Q29" s="111" t="str">
        <f t="shared" ca="1" si="82"/>
        <v/>
      </c>
      <c r="R29" s="397" t="str">
        <f ca="1">IFERROR(INDEX(ICE[], MATCH("afra" &amp; TEXT(Crd!$A29, "mmmyy"), ICE[LongCode], 0), MATCH("ICE Theoretical Price", ICE[#Headers], 0)), "")</f>
        <v/>
      </c>
      <c r="S29" s="372" t="str">
        <f ca="1">IFERROR(INDEX(ICE[], MATCH("afra" &amp; TEXT($A29, "mmmyy"), ICE[LongCode], 0), MATCH("Text", ICE[#Headers], 0)), "")</f>
        <v/>
      </c>
      <c r="T29" s="46" t="str">
        <f t="shared" ca="1" si="62"/>
        <v/>
      </c>
      <c r="U29" s="47" t="str">
        <f t="shared" ca="1" si="83"/>
        <v/>
      </c>
      <c r="V29" s="46" t="str">
        <f t="shared" ca="1" si="84"/>
        <v/>
      </c>
      <c r="W29" s="49" t="str">
        <f t="shared" ca="1" si="69"/>
        <v/>
      </c>
      <c r="X29" s="53" t="str">
        <f t="shared" ca="1" si="63"/>
        <v/>
      </c>
      <c r="Y29" s="47" t="str">
        <f t="shared" ca="1" si="85"/>
        <v/>
      </c>
      <c r="Z29" s="111" t="str">
        <f t="shared" ca="1" si="86"/>
        <v/>
      </c>
      <c r="AA29" s="397" t="str">
        <f ca="1">IFERROR(INDEX(ICE[], MATCH("tc5" &amp; TEXT(Crd!$A29, "mmmyy"), ICE[LongCode], 0), MATCH("ICE Theoretical Price", ICE[#Headers], 0)), "")</f>
        <v/>
      </c>
      <c r="AB29" s="372" t="str">
        <f ca="1">IFERROR(INDEX(ICE[], MATCH("tc5" &amp; TEXT(Hvy!$A29, "mmmyy"), ICE[LongCode], 0), MATCH("Text", ICE[#Headers], 0)), "")</f>
        <v/>
      </c>
      <c r="AC29" s="46" t="str">
        <f t="shared" ca="1" si="70"/>
        <v/>
      </c>
      <c r="AD29" s="47" t="str">
        <f t="shared" ca="1" si="87"/>
        <v/>
      </c>
      <c r="AE29" s="46" t="str">
        <f t="shared" ca="1" si="88"/>
        <v/>
      </c>
      <c r="AF29" s="49" t="str">
        <f t="shared" ca="1" si="71"/>
        <v/>
      </c>
      <c r="AG29" s="53" t="str">
        <f t="shared" ca="1" si="72"/>
        <v/>
      </c>
      <c r="AH29" s="47" t="str">
        <f t="shared" ca="1" si="89"/>
        <v/>
      </c>
      <c r="AI29" s="111" t="str">
        <f t="shared" ca="1" si="90"/>
        <v/>
      </c>
      <c r="AJ29" s="397" t="str">
        <f t="shared" ca="1" si="73"/>
        <v/>
      </c>
      <c r="AK29" s="372" t="str">
        <f ca="1">IFERROR(INDEX(ICE[], MATCH("tc2" &amp; TEXT(Hvy!$A29, "mmmyy"), ICE[LongCode], 0), MATCH("Text", ICE[#Headers], 0)), "")</f>
        <v/>
      </c>
      <c r="AL29" s="46" t="str">
        <f t="shared" ca="1" si="64"/>
        <v/>
      </c>
      <c r="AM29" s="47" t="str">
        <f t="shared" ca="1" si="91"/>
        <v/>
      </c>
      <c r="AN29" s="46" t="str">
        <f t="shared" ca="1" si="92"/>
        <v/>
      </c>
      <c r="AO29" s="49" t="str">
        <f t="shared" ca="1" si="74"/>
        <v/>
      </c>
      <c r="AP29" s="53" t="str">
        <f t="shared" ca="1" si="65"/>
        <v/>
      </c>
      <c r="AQ29" s="47" t="str">
        <f t="shared" ca="1" si="93"/>
        <v/>
      </c>
      <c r="AR29" s="111" t="str">
        <f t="shared" ca="1" si="94"/>
        <v/>
      </c>
      <c r="AS29" s="397" t="str">
        <f t="shared" ca="1" si="75"/>
        <v/>
      </c>
      <c r="AT29" s="372" t="str">
        <f ca="1">IFERROR(INDEX(ICE[], MATCH("tc14" &amp; TEXT(Hvy!$A29, "mmmyy"), ICE[LongCode], 0), MATCH("Text", ICE[#Headers], 0)), "")</f>
        <v/>
      </c>
      <c r="AU29" s="46" t="str">
        <f t="shared" ca="1" si="76"/>
        <v/>
      </c>
      <c r="AV29" s="47" t="str">
        <f t="shared" ca="1" si="95"/>
        <v/>
      </c>
      <c r="AW29" s="46" t="str">
        <f t="shared" ca="1" si="96"/>
        <v/>
      </c>
      <c r="AX29" s="49" t="str">
        <f t="shared" ca="1" si="77"/>
        <v/>
      </c>
      <c r="AY29" s="53" t="str">
        <f t="shared" ca="1" si="78"/>
        <v/>
      </c>
      <c r="AZ29" s="47" t="str">
        <f t="shared" ca="1" si="97"/>
        <v/>
      </c>
      <c r="BA29" s="111" t="str">
        <f t="shared" ca="1" si="98"/>
        <v/>
      </c>
    </row>
    <row r="30" spans="1:53" x14ac:dyDescent="0.25">
      <c r="A30" s="58">
        <f t="shared" ca="1" si="79"/>
        <v>46600</v>
      </c>
      <c r="B30" s="6">
        <f t="shared" ca="1" si="59"/>
        <v>2027</v>
      </c>
      <c r="C30" s="6" t="str">
        <f t="shared" ca="1" si="66"/>
        <v>Q327</v>
      </c>
      <c r="D30" s="28" t="e">
        <f ca="1">INDEX(ICE[], MATCH(D$18 &amp; TEXT($A30, "mmmyy"), ICE[LongCode], 0), MATCH("Settle", ICE[#Headers], 0))</f>
        <v>#N/A</v>
      </c>
      <c r="E30" s="28" t="e">
        <f ca="1">INDEX(ICE[], MATCH(E$18 &amp; TEXT($A30, "mmmyy"), ICE[LongCode], 0), MATCH("Settle", ICE[#Headers], 0))</f>
        <v>#N/A</v>
      </c>
      <c r="F30" s="28" t="e">
        <f ca="1">INDEX(ICE[], MATCH(F$18 &amp; TEXT($A30, "mmmyy"), ICE[LongCode], 0), MATCH("Settle", ICE[#Headers], 0))</f>
        <v>#N/A</v>
      </c>
      <c r="G30" s="28" t="e">
        <f ca="1">INDEX(ICE[], MATCH(G$18 &amp; TEXT($A30, "mmmyy"), ICE[LongCode], 0), MATCH("Settle", ICE[#Headers], 0))</f>
        <v>#N/A</v>
      </c>
      <c r="H30" s="28" t="e">
        <f ca="1">INDEX(ICE[], MATCH(H$18 &amp; TEXT($A30, "mmmyy"), ICE[LongCode], 0), MATCH("Settle", ICE[#Headers], 0))</f>
        <v>#N/A</v>
      </c>
      <c r="I30" s="397" t="str">
        <f ca="1">IFERROR(INDEX(ICE[], MATCH("td3c" &amp; TEXT(Crd!$A30, "mmmyy"), ICE[LongCode], 0), MATCH("ICE Theoretical Price", ICE[#Headers], 0)), "")</f>
        <v/>
      </c>
      <c r="J30" s="372" t="str">
        <f ca="1">IFERROR(INDEX(ICE[], MATCH("td3c" &amp; TEXT($A30, "mmmyy"), ICE[LongCode], 0), MATCH("Text", ICE[#Headers], 0)), "")</f>
        <v/>
      </c>
      <c r="K30" s="46" t="str">
        <f t="shared" ca="1" si="60"/>
        <v/>
      </c>
      <c r="L30" s="47" t="str">
        <f t="shared" ca="1" si="67"/>
        <v/>
      </c>
      <c r="M30" s="46" t="str">
        <f t="shared" ca="1" si="80"/>
        <v/>
      </c>
      <c r="N30" s="49" t="str">
        <f t="shared" ca="1" si="68"/>
        <v/>
      </c>
      <c r="O30" s="53" t="str">
        <f t="shared" ca="1" si="61"/>
        <v/>
      </c>
      <c r="P30" s="47" t="str">
        <f t="shared" ca="1" si="81"/>
        <v/>
      </c>
      <c r="Q30" s="111" t="str">
        <f t="shared" ca="1" si="82"/>
        <v/>
      </c>
      <c r="R30" s="397" t="str">
        <f ca="1">IFERROR(INDEX(ICE[], MATCH("afra" &amp; TEXT(Crd!$A30, "mmmyy"), ICE[LongCode], 0), MATCH("ICE Theoretical Price", ICE[#Headers], 0)), "")</f>
        <v/>
      </c>
      <c r="S30" s="372" t="str">
        <f ca="1">IFERROR(INDEX(ICE[], MATCH("afra" &amp; TEXT($A30, "mmmyy"), ICE[LongCode], 0), MATCH("Text", ICE[#Headers], 0)), "")</f>
        <v/>
      </c>
      <c r="T30" s="46" t="str">
        <f t="shared" ca="1" si="62"/>
        <v/>
      </c>
      <c r="U30" s="47" t="str">
        <f t="shared" ca="1" si="83"/>
        <v/>
      </c>
      <c r="V30" s="46" t="str">
        <f t="shared" ca="1" si="84"/>
        <v/>
      </c>
      <c r="W30" s="49" t="str">
        <f t="shared" ca="1" si="69"/>
        <v/>
      </c>
      <c r="X30" s="53" t="str">
        <f t="shared" ca="1" si="63"/>
        <v/>
      </c>
      <c r="Y30" s="47" t="str">
        <f t="shared" ca="1" si="85"/>
        <v/>
      </c>
      <c r="Z30" s="111" t="str">
        <f t="shared" ca="1" si="86"/>
        <v/>
      </c>
      <c r="AA30" s="397" t="str">
        <f ca="1">IFERROR(INDEX(ICE[], MATCH("tc5" &amp; TEXT(Crd!$A30, "mmmyy"), ICE[LongCode], 0), MATCH("ICE Theoretical Price", ICE[#Headers], 0)), "")</f>
        <v/>
      </c>
      <c r="AB30" s="372" t="str">
        <f ca="1">IFERROR(INDEX(ICE[], MATCH("tc5" &amp; TEXT(Hvy!$A30, "mmmyy"), ICE[LongCode], 0), MATCH("Text", ICE[#Headers], 0)), "")</f>
        <v/>
      </c>
      <c r="AC30" s="46" t="str">
        <f t="shared" ca="1" si="70"/>
        <v/>
      </c>
      <c r="AD30" s="47" t="str">
        <f t="shared" ca="1" si="87"/>
        <v/>
      </c>
      <c r="AE30" s="46" t="str">
        <f t="shared" ca="1" si="88"/>
        <v/>
      </c>
      <c r="AF30" s="49" t="str">
        <f t="shared" ca="1" si="71"/>
        <v/>
      </c>
      <c r="AG30" s="53" t="str">
        <f t="shared" ca="1" si="72"/>
        <v/>
      </c>
      <c r="AH30" s="47" t="str">
        <f t="shared" ca="1" si="89"/>
        <v/>
      </c>
      <c r="AI30" s="111" t="str">
        <f t="shared" ca="1" si="90"/>
        <v/>
      </c>
      <c r="AJ30" s="397" t="str">
        <f t="shared" ca="1" si="73"/>
        <v/>
      </c>
      <c r="AK30" s="372" t="str">
        <f ca="1">IFERROR(INDEX(ICE[], MATCH("tc2" &amp; TEXT(Hvy!$A30, "mmmyy"), ICE[LongCode], 0), MATCH("Text", ICE[#Headers], 0)), "")</f>
        <v/>
      </c>
      <c r="AL30" s="46" t="str">
        <f t="shared" ca="1" si="64"/>
        <v/>
      </c>
      <c r="AM30" s="47" t="str">
        <f t="shared" ca="1" si="91"/>
        <v/>
      </c>
      <c r="AN30" s="46" t="str">
        <f t="shared" ca="1" si="92"/>
        <v/>
      </c>
      <c r="AO30" s="49" t="str">
        <f t="shared" ca="1" si="74"/>
        <v/>
      </c>
      <c r="AP30" s="53" t="str">
        <f t="shared" ca="1" si="65"/>
        <v/>
      </c>
      <c r="AQ30" s="47" t="str">
        <f t="shared" ca="1" si="93"/>
        <v/>
      </c>
      <c r="AR30" s="111" t="str">
        <f t="shared" ca="1" si="94"/>
        <v/>
      </c>
      <c r="AS30" s="397" t="str">
        <f t="shared" ca="1" si="75"/>
        <v/>
      </c>
      <c r="AT30" s="372" t="str">
        <f ca="1">IFERROR(INDEX(ICE[], MATCH("tc14" &amp; TEXT(Hvy!$A30, "mmmyy"), ICE[LongCode], 0), MATCH("Text", ICE[#Headers], 0)), "")</f>
        <v/>
      </c>
      <c r="AU30" s="46" t="str">
        <f t="shared" ca="1" si="76"/>
        <v/>
      </c>
      <c r="AV30" s="47" t="str">
        <f t="shared" ca="1" si="95"/>
        <v/>
      </c>
      <c r="AW30" s="46" t="str">
        <f t="shared" ca="1" si="96"/>
        <v/>
      </c>
      <c r="AX30" s="49" t="str">
        <f t="shared" ca="1" si="77"/>
        <v/>
      </c>
      <c r="AY30" s="53" t="str">
        <f t="shared" ca="1" si="78"/>
        <v/>
      </c>
      <c r="AZ30" s="47" t="str">
        <f t="shared" ca="1" si="97"/>
        <v/>
      </c>
      <c r="BA30" s="111" t="str">
        <f t="shared" ca="1" si="98"/>
        <v/>
      </c>
    </row>
    <row r="31" spans="1:53" x14ac:dyDescent="0.25">
      <c r="A31" s="58">
        <f t="shared" ca="1" si="79"/>
        <v>46631</v>
      </c>
      <c r="B31" s="6">
        <f t="shared" ca="1" si="59"/>
        <v>2027</v>
      </c>
      <c r="C31" s="6" t="str">
        <f t="shared" ca="1" si="66"/>
        <v>Q327</v>
      </c>
      <c r="D31" s="28" t="e">
        <f ca="1">INDEX(ICE[], MATCH(D$18 &amp; TEXT($A31, "mmmyy"), ICE[LongCode], 0), MATCH("Settle", ICE[#Headers], 0))</f>
        <v>#N/A</v>
      </c>
      <c r="E31" s="28" t="e">
        <f ca="1">INDEX(ICE[], MATCH(E$18 &amp; TEXT($A31, "mmmyy"), ICE[LongCode], 0), MATCH("Settle", ICE[#Headers], 0))</f>
        <v>#N/A</v>
      </c>
      <c r="F31" s="28" t="e">
        <f ca="1">INDEX(ICE[], MATCH(F$18 &amp; TEXT($A31, "mmmyy"), ICE[LongCode], 0), MATCH("Settle", ICE[#Headers], 0))</f>
        <v>#N/A</v>
      </c>
      <c r="G31" s="28" t="e">
        <f ca="1">INDEX(ICE[], MATCH(G$18 &amp; TEXT($A31, "mmmyy"), ICE[LongCode], 0), MATCH("Settle", ICE[#Headers], 0))</f>
        <v>#N/A</v>
      </c>
      <c r="H31" s="28" t="e">
        <f ca="1">INDEX(ICE[], MATCH(H$18 &amp; TEXT($A31, "mmmyy"), ICE[LongCode], 0), MATCH("Settle", ICE[#Headers], 0))</f>
        <v>#N/A</v>
      </c>
      <c r="I31" s="397" t="str">
        <f ca="1">IFERROR(INDEX(ICE[], MATCH("td3c" &amp; TEXT(Crd!$A31, "mmmyy"), ICE[LongCode], 0), MATCH("ICE Theoretical Price", ICE[#Headers], 0)), "")</f>
        <v/>
      </c>
      <c r="J31" s="372" t="str">
        <f ca="1">IFERROR(INDEX(ICE[], MATCH("td3c" &amp; TEXT($A31, "mmmyy"), ICE[LongCode], 0), MATCH("Text", ICE[#Headers], 0)), "")</f>
        <v/>
      </c>
      <c r="K31" s="46" t="str">
        <f t="shared" ca="1" si="60"/>
        <v/>
      </c>
      <c r="L31" s="47" t="str">
        <f t="shared" ca="1" si="67"/>
        <v/>
      </c>
      <c r="M31" s="46" t="str">
        <f t="shared" ca="1" si="80"/>
        <v/>
      </c>
      <c r="N31" s="49" t="str">
        <f t="shared" ca="1" si="68"/>
        <v/>
      </c>
      <c r="O31" s="53" t="str">
        <f t="shared" ca="1" si="61"/>
        <v/>
      </c>
      <c r="P31" s="47" t="str">
        <f t="shared" ca="1" si="81"/>
        <v/>
      </c>
      <c r="Q31" s="111" t="str">
        <f t="shared" ca="1" si="82"/>
        <v/>
      </c>
      <c r="R31" s="397" t="str">
        <f ca="1">IFERROR(INDEX(ICE[], MATCH("afra" &amp; TEXT(Crd!$A31, "mmmyy"), ICE[LongCode], 0), MATCH("ICE Theoretical Price", ICE[#Headers], 0)), "")</f>
        <v/>
      </c>
      <c r="S31" s="372" t="str">
        <f ca="1">IFERROR(INDEX(ICE[], MATCH("afra" &amp; TEXT($A31, "mmmyy"), ICE[LongCode], 0), MATCH("Text", ICE[#Headers], 0)), "")</f>
        <v/>
      </c>
      <c r="T31" s="46" t="str">
        <f t="shared" ca="1" si="62"/>
        <v/>
      </c>
      <c r="U31" s="47" t="str">
        <f t="shared" ca="1" si="83"/>
        <v/>
      </c>
      <c r="V31" s="46" t="str">
        <f t="shared" ca="1" si="84"/>
        <v/>
      </c>
      <c r="W31" s="49" t="str">
        <f t="shared" ca="1" si="69"/>
        <v/>
      </c>
      <c r="X31" s="53" t="str">
        <f t="shared" ca="1" si="63"/>
        <v/>
      </c>
      <c r="Y31" s="47" t="str">
        <f t="shared" ca="1" si="85"/>
        <v/>
      </c>
      <c r="Z31" s="111" t="str">
        <f t="shared" ca="1" si="86"/>
        <v/>
      </c>
      <c r="AA31" s="397" t="str">
        <f ca="1">IFERROR(INDEX(ICE[], MATCH("tc5" &amp; TEXT(Crd!$A31, "mmmyy"), ICE[LongCode], 0), MATCH("ICE Theoretical Price", ICE[#Headers], 0)), "")</f>
        <v/>
      </c>
      <c r="AB31" s="372" t="str">
        <f ca="1">IFERROR(INDEX(ICE[], MATCH("tc5" &amp; TEXT(Hvy!$A31, "mmmyy"), ICE[LongCode], 0), MATCH("Text", ICE[#Headers], 0)), "")</f>
        <v/>
      </c>
      <c r="AC31" s="46" t="str">
        <f t="shared" ca="1" si="70"/>
        <v/>
      </c>
      <c r="AD31" s="47" t="str">
        <f t="shared" ca="1" si="87"/>
        <v/>
      </c>
      <c r="AE31" s="46" t="str">
        <f t="shared" ca="1" si="88"/>
        <v/>
      </c>
      <c r="AF31" s="49" t="str">
        <f t="shared" ca="1" si="71"/>
        <v/>
      </c>
      <c r="AG31" s="53" t="str">
        <f t="shared" ca="1" si="72"/>
        <v/>
      </c>
      <c r="AH31" s="47" t="str">
        <f t="shared" ca="1" si="89"/>
        <v/>
      </c>
      <c r="AI31" s="111" t="str">
        <f t="shared" ca="1" si="90"/>
        <v/>
      </c>
      <c r="AJ31" s="397" t="str">
        <f t="shared" ca="1" si="73"/>
        <v/>
      </c>
      <c r="AK31" s="372" t="str">
        <f ca="1">IFERROR(INDEX(ICE[], MATCH("tc2" &amp; TEXT(Hvy!$A31, "mmmyy"), ICE[LongCode], 0), MATCH("Text", ICE[#Headers], 0)), "")</f>
        <v/>
      </c>
      <c r="AL31" s="46" t="str">
        <f t="shared" ca="1" si="64"/>
        <v/>
      </c>
      <c r="AM31" s="47" t="str">
        <f t="shared" ca="1" si="91"/>
        <v/>
      </c>
      <c r="AN31" s="46" t="str">
        <f t="shared" ca="1" si="92"/>
        <v/>
      </c>
      <c r="AO31" s="49" t="str">
        <f t="shared" ca="1" si="74"/>
        <v/>
      </c>
      <c r="AP31" s="53" t="str">
        <f t="shared" ca="1" si="65"/>
        <v/>
      </c>
      <c r="AQ31" s="47" t="str">
        <f t="shared" ca="1" si="93"/>
        <v/>
      </c>
      <c r="AR31" s="111" t="str">
        <f t="shared" ca="1" si="94"/>
        <v/>
      </c>
      <c r="AS31" s="397" t="str">
        <f t="shared" ca="1" si="75"/>
        <v/>
      </c>
      <c r="AT31" s="372" t="str">
        <f ca="1">IFERROR(INDEX(ICE[], MATCH("tc14" &amp; TEXT(Hvy!$A31, "mmmyy"), ICE[LongCode], 0), MATCH("Text", ICE[#Headers], 0)), "")</f>
        <v/>
      </c>
      <c r="AU31" s="46" t="str">
        <f t="shared" ca="1" si="76"/>
        <v/>
      </c>
      <c r="AV31" s="47" t="str">
        <f t="shared" ca="1" si="95"/>
        <v/>
      </c>
      <c r="AW31" s="46" t="str">
        <f t="shared" ca="1" si="96"/>
        <v/>
      </c>
      <c r="AX31" s="49" t="str">
        <f t="shared" ca="1" si="77"/>
        <v/>
      </c>
      <c r="AY31" s="53" t="str">
        <f t="shared" ca="1" si="78"/>
        <v/>
      </c>
      <c r="AZ31" s="47" t="str">
        <f t="shared" ca="1" si="97"/>
        <v/>
      </c>
      <c r="BA31" s="111" t="str">
        <f t="shared" ca="1" si="98"/>
        <v/>
      </c>
    </row>
    <row r="32" spans="1:53" x14ac:dyDescent="0.25">
      <c r="A32" s="58">
        <f t="shared" ca="1" si="79"/>
        <v>46661</v>
      </c>
      <c r="B32" s="6">
        <f t="shared" ca="1" si="59"/>
        <v>2027</v>
      </c>
      <c r="C32" s="6" t="str">
        <f t="shared" ca="1" si="66"/>
        <v>Q427</v>
      </c>
      <c r="D32" s="28" t="e">
        <f ca="1">INDEX(ICE[], MATCH(D$18 &amp; TEXT($A32, "mmmyy"), ICE[LongCode], 0), MATCH("Settle", ICE[#Headers], 0))</f>
        <v>#N/A</v>
      </c>
      <c r="E32" s="28" t="e">
        <f ca="1">INDEX(ICE[], MATCH(E$18 &amp; TEXT($A32, "mmmyy"), ICE[LongCode], 0), MATCH("Settle", ICE[#Headers], 0))</f>
        <v>#N/A</v>
      </c>
      <c r="F32" s="28" t="e">
        <f ca="1">INDEX(ICE[], MATCH(F$18 &amp; TEXT($A32, "mmmyy"), ICE[LongCode], 0), MATCH("Settle", ICE[#Headers], 0))</f>
        <v>#N/A</v>
      </c>
      <c r="G32" s="28" t="e">
        <f ca="1">INDEX(ICE[], MATCH(G$18 &amp; TEXT($A32, "mmmyy"), ICE[LongCode], 0), MATCH("Settle", ICE[#Headers], 0))</f>
        <v>#N/A</v>
      </c>
      <c r="H32" s="28" t="e">
        <f ca="1">INDEX(ICE[], MATCH(H$18 &amp; TEXT($A32, "mmmyy"), ICE[LongCode], 0), MATCH("Settle", ICE[#Headers], 0))</f>
        <v>#N/A</v>
      </c>
      <c r="I32" s="397" t="str">
        <f ca="1">IFERROR(INDEX(ICE[], MATCH("td3c" &amp; TEXT(Crd!$A32, "mmmyy"), ICE[LongCode], 0), MATCH("ICE Theoretical Price", ICE[#Headers], 0)), "")</f>
        <v/>
      </c>
      <c r="J32" s="372" t="str">
        <f ca="1">IFERROR(INDEX(ICE[], MATCH("td3c" &amp; TEXT($A32, "mmmyy"), ICE[LongCode], 0), MATCH("Text", ICE[#Headers], 0)), "")</f>
        <v/>
      </c>
      <c r="K32" s="46" t="str">
        <f t="shared" ca="1" si="60"/>
        <v/>
      </c>
      <c r="L32" s="47" t="str">
        <f t="shared" ca="1" si="67"/>
        <v/>
      </c>
      <c r="M32" s="46" t="str">
        <f t="shared" ca="1" si="80"/>
        <v/>
      </c>
      <c r="N32" s="49" t="str">
        <f t="shared" ca="1" si="68"/>
        <v/>
      </c>
      <c r="O32" s="53" t="str">
        <f t="shared" ca="1" si="61"/>
        <v/>
      </c>
      <c r="P32" s="47" t="str">
        <f t="shared" ca="1" si="81"/>
        <v/>
      </c>
      <c r="Q32" s="111" t="str">
        <f t="shared" ca="1" si="82"/>
        <v/>
      </c>
      <c r="R32" s="397" t="str">
        <f ca="1">IFERROR(INDEX(ICE[], MATCH("afra" &amp; TEXT(Crd!$A32, "mmmyy"), ICE[LongCode], 0), MATCH("ICE Theoretical Price", ICE[#Headers], 0)), "")</f>
        <v/>
      </c>
      <c r="S32" s="372" t="str">
        <f ca="1">IFERROR(INDEX(ICE[], MATCH("afra" &amp; TEXT($A32, "mmmyy"), ICE[LongCode], 0), MATCH("Text", ICE[#Headers], 0)), "")</f>
        <v/>
      </c>
      <c r="T32" s="46" t="str">
        <f t="shared" ca="1" si="62"/>
        <v/>
      </c>
      <c r="U32" s="47" t="str">
        <f t="shared" ca="1" si="83"/>
        <v/>
      </c>
      <c r="V32" s="46" t="str">
        <f t="shared" ca="1" si="84"/>
        <v/>
      </c>
      <c r="W32" s="49" t="str">
        <f t="shared" ca="1" si="69"/>
        <v/>
      </c>
      <c r="X32" s="53" t="str">
        <f t="shared" ca="1" si="63"/>
        <v/>
      </c>
      <c r="Y32" s="47" t="str">
        <f t="shared" ca="1" si="85"/>
        <v/>
      </c>
      <c r="Z32" s="111" t="str">
        <f t="shared" ca="1" si="86"/>
        <v/>
      </c>
      <c r="AA32" s="397" t="str">
        <f ca="1">IFERROR(INDEX(ICE[], MATCH("tc5" &amp; TEXT(Crd!$A32, "mmmyy"), ICE[LongCode], 0), MATCH("ICE Theoretical Price", ICE[#Headers], 0)), "")</f>
        <v/>
      </c>
      <c r="AB32" s="372" t="str">
        <f ca="1">IFERROR(INDEX(ICE[], MATCH("tc5" &amp; TEXT(Hvy!$A32, "mmmyy"), ICE[LongCode], 0), MATCH("Text", ICE[#Headers], 0)), "")</f>
        <v/>
      </c>
      <c r="AC32" s="46" t="str">
        <f t="shared" ca="1" si="70"/>
        <v/>
      </c>
      <c r="AD32" s="47" t="str">
        <f t="shared" ca="1" si="87"/>
        <v/>
      </c>
      <c r="AE32" s="46" t="str">
        <f t="shared" ca="1" si="88"/>
        <v/>
      </c>
      <c r="AF32" s="49" t="str">
        <f t="shared" ca="1" si="71"/>
        <v/>
      </c>
      <c r="AG32" s="53" t="str">
        <f t="shared" ca="1" si="72"/>
        <v/>
      </c>
      <c r="AH32" s="47" t="str">
        <f t="shared" ca="1" si="89"/>
        <v/>
      </c>
      <c r="AI32" s="111" t="str">
        <f t="shared" ca="1" si="90"/>
        <v/>
      </c>
      <c r="AJ32" s="397" t="str">
        <f t="shared" ca="1" si="73"/>
        <v/>
      </c>
      <c r="AK32" s="372" t="str">
        <f ca="1">IFERROR(INDEX(ICE[], MATCH("tc2" &amp; TEXT(Hvy!$A32, "mmmyy"), ICE[LongCode], 0), MATCH("Text", ICE[#Headers], 0)), "")</f>
        <v/>
      </c>
      <c r="AL32" s="46" t="str">
        <f t="shared" ca="1" si="64"/>
        <v/>
      </c>
      <c r="AM32" s="47" t="str">
        <f t="shared" ca="1" si="91"/>
        <v/>
      </c>
      <c r="AN32" s="46" t="str">
        <f t="shared" ca="1" si="92"/>
        <v/>
      </c>
      <c r="AO32" s="49" t="str">
        <f t="shared" ca="1" si="74"/>
        <v/>
      </c>
      <c r="AP32" s="53" t="str">
        <f t="shared" ca="1" si="65"/>
        <v/>
      </c>
      <c r="AQ32" s="47" t="str">
        <f t="shared" ca="1" si="93"/>
        <v/>
      </c>
      <c r="AR32" s="111" t="str">
        <f t="shared" ca="1" si="94"/>
        <v/>
      </c>
      <c r="AS32" s="397" t="str">
        <f t="shared" ca="1" si="75"/>
        <v/>
      </c>
      <c r="AT32" s="372" t="str">
        <f ca="1">IFERROR(INDEX(ICE[], MATCH("tc14" &amp; TEXT(Hvy!$A32, "mmmyy"), ICE[LongCode], 0), MATCH("Text", ICE[#Headers], 0)), "")</f>
        <v/>
      </c>
      <c r="AU32" s="46" t="str">
        <f t="shared" ca="1" si="76"/>
        <v/>
      </c>
      <c r="AV32" s="47" t="str">
        <f t="shared" ca="1" si="95"/>
        <v/>
      </c>
      <c r="AW32" s="46" t="str">
        <f t="shared" ca="1" si="96"/>
        <v/>
      </c>
      <c r="AX32" s="49" t="str">
        <f t="shared" ca="1" si="77"/>
        <v/>
      </c>
      <c r="AY32" s="53" t="str">
        <f t="shared" ca="1" si="78"/>
        <v/>
      </c>
      <c r="AZ32" s="47" t="str">
        <f t="shared" ca="1" si="97"/>
        <v/>
      </c>
      <c r="BA32" s="111" t="str">
        <f t="shared" ca="1" si="98"/>
        <v/>
      </c>
    </row>
    <row r="33" spans="1:53" x14ac:dyDescent="0.25">
      <c r="A33" s="58">
        <f t="shared" ca="1" si="79"/>
        <v>46692</v>
      </c>
      <c r="B33" s="6">
        <f t="shared" ca="1" si="59"/>
        <v>2027</v>
      </c>
      <c r="C33" s="6" t="str">
        <f t="shared" ca="1" si="66"/>
        <v>Q427</v>
      </c>
      <c r="D33" s="28" t="e">
        <f ca="1">INDEX(ICE[], MATCH(D$18 &amp; TEXT($A33, "mmmyy"), ICE[LongCode], 0), MATCH("Settle", ICE[#Headers], 0))</f>
        <v>#N/A</v>
      </c>
      <c r="E33" s="28" t="e">
        <f ca="1">INDEX(ICE[], MATCH(E$18 &amp; TEXT($A33, "mmmyy"), ICE[LongCode], 0), MATCH("Settle", ICE[#Headers], 0))</f>
        <v>#N/A</v>
      </c>
      <c r="F33" s="28" t="e">
        <f ca="1">INDEX(ICE[], MATCH(F$18 &amp; TEXT($A33, "mmmyy"), ICE[LongCode], 0), MATCH("Settle", ICE[#Headers], 0))</f>
        <v>#N/A</v>
      </c>
      <c r="G33" s="28" t="e">
        <f ca="1">INDEX(ICE[], MATCH(G$18 &amp; TEXT($A33, "mmmyy"), ICE[LongCode], 0), MATCH("Settle", ICE[#Headers], 0))</f>
        <v>#N/A</v>
      </c>
      <c r="H33" s="28" t="e">
        <f ca="1">INDEX(ICE[], MATCH(H$18 &amp; TEXT($A33, "mmmyy"), ICE[LongCode], 0), MATCH("Settle", ICE[#Headers], 0))</f>
        <v>#N/A</v>
      </c>
      <c r="I33" s="397" t="str">
        <f ca="1">IFERROR(INDEX(ICE[], MATCH("td3c" &amp; TEXT(Crd!$A33, "mmmyy"), ICE[LongCode], 0), MATCH("ICE Theoretical Price", ICE[#Headers], 0)), "")</f>
        <v/>
      </c>
      <c r="J33" s="372" t="str">
        <f ca="1">IFERROR(INDEX(ICE[], MATCH("td3c" &amp; TEXT($A33, "mmmyy"), ICE[LongCode], 0), MATCH("Text", ICE[#Headers], 0)), "")</f>
        <v/>
      </c>
      <c r="K33" s="46" t="str">
        <f t="shared" ca="1" si="60"/>
        <v/>
      </c>
      <c r="L33" s="47" t="str">
        <f t="shared" ca="1" si="67"/>
        <v/>
      </c>
      <c r="M33" s="46" t="str">
        <f t="shared" ca="1" si="80"/>
        <v/>
      </c>
      <c r="N33" s="49" t="str">
        <f t="shared" ca="1" si="68"/>
        <v/>
      </c>
      <c r="O33" s="53" t="str">
        <f t="shared" ca="1" si="61"/>
        <v/>
      </c>
      <c r="P33" s="47" t="str">
        <f t="shared" ca="1" si="81"/>
        <v/>
      </c>
      <c r="Q33" s="111" t="str">
        <f t="shared" ca="1" si="82"/>
        <v/>
      </c>
      <c r="R33" s="397" t="str">
        <f ca="1">IFERROR(INDEX(ICE[], MATCH("afra" &amp; TEXT(Crd!$A33, "mmmyy"), ICE[LongCode], 0), MATCH("ICE Theoretical Price", ICE[#Headers], 0)), "")</f>
        <v/>
      </c>
      <c r="S33" s="372" t="str">
        <f ca="1">IFERROR(INDEX(ICE[], MATCH("afra" &amp; TEXT($A33, "mmmyy"), ICE[LongCode], 0), MATCH("Text", ICE[#Headers], 0)), "")</f>
        <v/>
      </c>
      <c r="T33" s="46" t="str">
        <f t="shared" ca="1" si="62"/>
        <v/>
      </c>
      <c r="U33" s="47" t="str">
        <f t="shared" ca="1" si="83"/>
        <v/>
      </c>
      <c r="V33" s="46" t="str">
        <f t="shared" ca="1" si="84"/>
        <v/>
      </c>
      <c r="W33" s="49" t="str">
        <f t="shared" ca="1" si="69"/>
        <v/>
      </c>
      <c r="X33" s="53" t="str">
        <f t="shared" ca="1" si="63"/>
        <v/>
      </c>
      <c r="Y33" s="47" t="str">
        <f t="shared" ca="1" si="85"/>
        <v/>
      </c>
      <c r="Z33" s="111" t="str">
        <f t="shared" ca="1" si="86"/>
        <v/>
      </c>
      <c r="AA33" s="397" t="str">
        <f ca="1">IFERROR(INDEX(ICE[], MATCH("tc5" &amp; TEXT(Crd!$A33, "mmmyy"), ICE[LongCode], 0), MATCH("ICE Theoretical Price", ICE[#Headers], 0)), "")</f>
        <v/>
      </c>
      <c r="AB33" s="372" t="str">
        <f ca="1">IFERROR(INDEX(ICE[], MATCH("tc5" &amp; TEXT(Hvy!$A33, "mmmyy"), ICE[LongCode], 0), MATCH("Text", ICE[#Headers], 0)), "")</f>
        <v/>
      </c>
      <c r="AC33" s="46" t="str">
        <f t="shared" ca="1" si="70"/>
        <v/>
      </c>
      <c r="AD33" s="47" t="str">
        <f t="shared" ca="1" si="87"/>
        <v/>
      </c>
      <c r="AE33" s="46" t="str">
        <f t="shared" ca="1" si="88"/>
        <v/>
      </c>
      <c r="AF33" s="49" t="str">
        <f t="shared" ca="1" si="71"/>
        <v/>
      </c>
      <c r="AG33" s="53" t="str">
        <f t="shared" ca="1" si="72"/>
        <v/>
      </c>
      <c r="AH33" s="47" t="str">
        <f t="shared" ca="1" si="89"/>
        <v/>
      </c>
      <c r="AI33" s="111" t="str">
        <f t="shared" ca="1" si="90"/>
        <v/>
      </c>
      <c r="AJ33" s="397" t="str">
        <f t="shared" ca="1" si="73"/>
        <v/>
      </c>
      <c r="AK33" s="372" t="str">
        <f ca="1">IFERROR(INDEX(ICE[], MATCH("tc2" &amp; TEXT(Hvy!$A33, "mmmyy"), ICE[LongCode], 0), MATCH("Text", ICE[#Headers], 0)), "")</f>
        <v/>
      </c>
      <c r="AL33" s="46" t="str">
        <f t="shared" ca="1" si="64"/>
        <v/>
      </c>
      <c r="AM33" s="47" t="str">
        <f t="shared" ca="1" si="91"/>
        <v/>
      </c>
      <c r="AN33" s="46" t="str">
        <f t="shared" ca="1" si="92"/>
        <v/>
      </c>
      <c r="AO33" s="49" t="str">
        <f t="shared" ca="1" si="74"/>
        <v/>
      </c>
      <c r="AP33" s="53" t="str">
        <f t="shared" ca="1" si="65"/>
        <v/>
      </c>
      <c r="AQ33" s="47" t="str">
        <f t="shared" ca="1" si="93"/>
        <v/>
      </c>
      <c r="AR33" s="111" t="str">
        <f t="shared" ca="1" si="94"/>
        <v/>
      </c>
      <c r="AS33" s="397" t="str">
        <f t="shared" ca="1" si="75"/>
        <v/>
      </c>
      <c r="AT33" s="372" t="str">
        <f ca="1">IFERROR(INDEX(ICE[], MATCH("tc14" &amp; TEXT(Hvy!$A33, "mmmyy"), ICE[LongCode], 0), MATCH("Text", ICE[#Headers], 0)), "")</f>
        <v/>
      </c>
      <c r="AU33" s="46" t="str">
        <f t="shared" ca="1" si="76"/>
        <v/>
      </c>
      <c r="AV33" s="47" t="str">
        <f t="shared" ca="1" si="95"/>
        <v/>
      </c>
      <c r="AW33" s="46" t="str">
        <f t="shared" ca="1" si="96"/>
        <v/>
      </c>
      <c r="AX33" s="49" t="str">
        <f t="shared" ca="1" si="77"/>
        <v/>
      </c>
      <c r="AY33" s="53" t="str">
        <f t="shared" ca="1" si="78"/>
        <v/>
      </c>
      <c r="AZ33" s="47" t="str">
        <f t="shared" ca="1" si="97"/>
        <v/>
      </c>
      <c r="BA33" s="111" t="str">
        <f t="shared" ca="1" si="98"/>
        <v/>
      </c>
    </row>
    <row r="34" spans="1:53" x14ac:dyDescent="0.25">
      <c r="A34" s="58">
        <f t="shared" ca="1" si="79"/>
        <v>46722</v>
      </c>
      <c r="B34" s="6">
        <f t="shared" ca="1" si="59"/>
        <v>2027</v>
      </c>
      <c r="C34" s="6" t="str">
        <f t="shared" ca="1" si="66"/>
        <v>Q427</v>
      </c>
      <c r="D34" s="28" t="e">
        <f ca="1">INDEX(ICE[], MATCH(D$18 &amp; TEXT($A34, "mmmyy"), ICE[LongCode], 0), MATCH("Settle", ICE[#Headers], 0))</f>
        <v>#N/A</v>
      </c>
      <c r="E34" s="28" t="e">
        <f ca="1">INDEX(ICE[], MATCH(E$18 &amp; TEXT($A34, "mmmyy"), ICE[LongCode], 0), MATCH("Settle", ICE[#Headers], 0))</f>
        <v>#N/A</v>
      </c>
      <c r="F34" s="28" t="e">
        <f ca="1">INDEX(ICE[], MATCH(F$18 &amp; TEXT($A34, "mmmyy"), ICE[LongCode], 0), MATCH("Settle", ICE[#Headers], 0))</f>
        <v>#N/A</v>
      </c>
      <c r="G34" s="28" t="e">
        <f ca="1">INDEX(ICE[], MATCH(G$18 &amp; TEXT($A34, "mmmyy"), ICE[LongCode], 0), MATCH("Settle", ICE[#Headers], 0))</f>
        <v>#N/A</v>
      </c>
      <c r="H34" s="28" t="e">
        <f ca="1">INDEX(ICE[], MATCH(H$18 &amp; TEXT($A34, "mmmyy"), ICE[LongCode], 0), MATCH("Settle", ICE[#Headers], 0))</f>
        <v>#N/A</v>
      </c>
      <c r="I34" s="397" t="str">
        <f ca="1">IFERROR(INDEX(ICE[], MATCH("td3c" &amp; TEXT(Crd!$A34, "mmmyy"), ICE[LongCode], 0), MATCH("ICE Theoretical Price", ICE[#Headers], 0)), "")</f>
        <v/>
      </c>
      <c r="J34" s="372" t="str">
        <f ca="1">IFERROR(INDEX(ICE[], MATCH("td3c" &amp; TEXT($A34, "mmmyy"), ICE[LongCode], 0), MATCH("Text", ICE[#Headers], 0)), "")</f>
        <v/>
      </c>
      <c r="K34" s="46" t="str">
        <f t="shared" ca="1" si="60"/>
        <v/>
      </c>
      <c r="L34" s="47" t="str">
        <f t="shared" ca="1" si="67"/>
        <v/>
      </c>
      <c r="M34" s="46" t="str">
        <f t="shared" ca="1" si="80"/>
        <v/>
      </c>
      <c r="N34" s="49" t="str">
        <f t="shared" ca="1" si="68"/>
        <v/>
      </c>
      <c r="O34" s="53" t="str">
        <f t="shared" ca="1" si="61"/>
        <v/>
      </c>
      <c r="P34" s="47" t="str">
        <f t="shared" ca="1" si="81"/>
        <v/>
      </c>
      <c r="Q34" s="111" t="str">
        <f t="shared" ca="1" si="82"/>
        <v/>
      </c>
      <c r="R34" s="397" t="str">
        <f ca="1">IFERROR(INDEX(ICE[], MATCH("afra" &amp; TEXT(Crd!$A34, "mmmyy"), ICE[LongCode], 0), MATCH("ICE Theoretical Price", ICE[#Headers], 0)), "")</f>
        <v/>
      </c>
      <c r="S34" s="372" t="str">
        <f ca="1">IFERROR(INDEX(ICE[], MATCH("afra" &amp; TEXT($A34, "mmmyy"), ICE[LongCode], 0), MATCH("Text", ICE[#Headers], 0)), "")</f>
        <v/>
      </c>
      <c r="T34" s="46" t="str">
        <f t="shared" ca="1" si="62"/>
        <v/>
      </c>
      <c r="U34" s="47" t="str">
        <f t="shared" ca="1" si="83"/>
        <v/>
      </c>
      <c r="V34" s="46" t="str">
        <f t="shared" ca="1" si="84"/>
        <v/>
      </c>
      <c r="W34" s="49" t="str">
        <f t="shared" ca="1" si="69"/>
        <v/>
      </c>
      <c r="X34" s="53" t="str">
        <f t="shared" ca="1" si="63"/>
        <v/>
      </c>
      <c r="Y34" s="47" t="str">
        <f t="shared" ca="1" si="85"/>
        <v/>
      </c>
      <c r="Z34" s="111" t="str">
        <f t="shared" ca="1" si="86"/>
        <v/>
      </c>
      <c r="AA34" s="397" t="str">
        <f ca="1">IFERROR(INDEX(ICE[], MATCH("tc5" &amp; TEXT(Crd!$A34, "mmmyy"), ICE[LongCode], 0), MATCH("ICE Theoretical Price", ICE[#Headers], 0)), "")</f>
        <v/>
      </c>
      <c r="AB34" s="372" t="str">
        <f ca="1">IFERROR(INDEX(ICE[], MATCH("tc5" &amp; TEXT(Hvy!$A34, "mmmyy"), ICE[LongCode], 0), MATCH("Text", ICE[#Headers], 0)), "")</f>
        <v/>
      </c>
      <c r="AC34" s="46" t="str">
        <f t="shared" ca="1" si="70"/>
        <v/>
      </c>
      <c r="AD34" s="47" t="str">
        <f t="shared" ca="1" si="87"/>
        <v/>
      </c>
      <c r="AE34" s="46" t="str">
        <f t="shared" ca="1" si="88"/>
        <v/>
      </c>
      <c r="AF34" s="49" t="str">
        <f t="shared" ca="1" si="71"/>
        <v/>
      </c>
      <c r="AG34" s="53" t="str">
        <f t="shared" ca="1" si="72"/>
        <v/>
      </c>
      <c r="AH34" s="47" t="str">
        <f t="shared" ca="1" si="89"/>
        <v/>
      </c>
      <c r="AI34" s="111" t="str">
        <f t="shared" ca="1" si="90"/>
        <v/>
      </c>
      <c r="AJ34" s="397" t="str">
        <f t="shared" ca="1" si="73"/>
        <v/>
      </c>
      <c r="AK34" s="372" t="str">
        <f ca="1">IFERROR(INDEX(ICE[], MATCH("tc2" &amp; TEXT(Hvy!$A34, "mmmyy"), ICE[LongCode], 0), MATCH("Text", ICE[#Headers], 0)), "")</f>
        <v/>
      </c>
      <c r="AL34" s="46" t="str">
        <f t="shared" ca="1" si="64"/>
        <v/>
      </c>
      <c r="AM34" s="47" t="str">
        <f t="shared" ca="1" si="91"/>
        <v/>
      </c>
      <c r="AN34" s="46" t="str">
        <f t="shared" ca="1" si="92"/>
        <v/>
      </c>
      <c r="AO34" s="49" t="str">
        <f t="shared" ca="1" si="74"/>
        <v/>
      </c>
      <c r="AP34" s="53" t="str">
        <f t="shared" ca="1" si="65"/>
        <v/>
      </c>
      <c r="AQ34" s="47" t="str">
        <f t="shared" ca="1" si="93"/>
        <v/>
      </c>
      <c r="AR34" s="111" t="str">
        <f t="shared" ca="1" si="94"/>
        <v/>
      </c>
      <c r="AS34" s="397" t="str">
        <f t="shared" ca="1" si="75"/>
        <v/>
      </c>
      <c r="AT34" s="372" t="str">
        <f ca="1">IFERROR(INDEX(ICE[], MATCH("tc14" &amp; TEXT(Hvy!$A34, "mmmyy"), ICE[LongCode], 0), MATCH("Text", ICE[#Headers], 0)), "")</f>
        <v/>
      </c>
      <c r="AU34" s="46" t="str">
        <f t="shared" ca="1" si="76"/>
        <v/>
      </c>
      <c r="AV34" s="47" t="str">
        <f t="shared" ca="1" si="95"/>
        <v/>
      </c>
      <c r="AW34" s="46" t="str">
        <f t="shared" ca="1" si="96"/>
        <v/>
      </c>
      <c r="AX34" s="49" t="str">
        <f t="shared" ca="1" si="77"/>
        <v/>
      </c>
      <c r="AY34" s="53" t="str">
        <f t="shared" ca="1" si="78"/>
        <v/>
      </c>
      <c r="AZ34" s="47" t="str">
        <f t="shared" ca="1" si="97"/>
        <v/>
      </c>
      <c r="BA34" s="111" t="str">
        <f t="shared" ca="1" si="98"/>
        <v/>
      </c>
    </row>
    <row r="35" spans="1:53" x14ac:dyDescent="0.25">
      <c r="A35" s="58">
        <f t="shared" ca="1" si="79"/>
        <v>46753</v>
      </c>
      <c r="B35" s="6">
        <f t="shared" ca="1" si="59"/>
        <v>2028</v>
      </c>
      <c r="C35" s="6" t="str">
        <f t="shared" ca="1" si="66"/>
        <v>Q128</v>
      </c>
      <c r="D35" s="28" t="e">
        <f ca="1">INDEX(ICE[], MATCH(D$18 &amp; TEXT($A35, "mmmyy"), ICE[LongCode], 0), MATCH("Settle", ICE[#Headers], 0))</f>
        <v>#N/A</v>
      </c>
      <c r="E35" s="28" t="e">
        <f ca="1">INDEX(ICE[], MATCH(E$18 &amp; TEXT($A35, "mmmyy"), ICE[LongCode], 0), MATCH("Settle", ICE[#Headers], 0))</f>
        <v>#N/A</v>
      </c>
      <c r="F35" s="28" t="e">
        <f ca="1">INDEX(ICE[], MATCH(F$18 &amp; TEXT($A35, "mmmyy"), ICE[LongCode], 0), MATCH("Settle", ICE[#Headers], 0))</f>
        <v>#N/A</v>
      </c>
      <c r="G35" s="28" t="e">
        <f ca="1">INDEX(ICE[], MATCH(G$18 &amp; TEXT($A35, "mmmyy"), ICE[LongCode], 0), MATCH("Settle", ICE[#Headers], 0))</f>
        <v>#N/A</v>
      </c>
      <c r="H35" s="28" t="e">
        <f ca="1">INDEX(ICE[], MATCH(H$18 &amp; TEXT($A35, "mmmyy"), ICE[LongCode], 0), MATCH("Settle", ICE[#Headers], 0))</f>
        <v>#N/A</v>
      </c>
      <c r="I35" s="397" t="str">
        <f ca="1">IFERROR(INDEX(ICE[], MATCH("td3c" &amp; TEXT(Crd!$A35, "mmmyy"), ICE[LongCode], 0), MATCH("ICE Theoretical Price", ICE[#Headers], 0)), "")</f>
        <v/>
      </c>
      <c r="J35" s="372" t="str">
        <f ca="1">IFERROR(INDEX(ICE[], MATCH("td3c" &amp; TEXT($A35, "mmmyy"), ICE[LongCode], 0), MATCH("Text", ICE[#Headers], 0)), "")</f>
        <v/>
      </c>
      <c r="K35" s="46" t="str">
        <f t="shared" ca="1" si="60"/>
        <v/>
      </c>
      <c r="L35" s="47" t="str">
        <f t="shared" ca="1" si="67"/>
        <v/>
      </c>
      <c r="M35" s="46" t="str">
        <f t="shared" ca="1" si="80"/>
        <v/>
      </c>
      <c r="N35" s="49" t="str">
        <f t="shared" ca="1" si="68"/>
        <v/>
      </c>
      <c r="O35" s="53" t="str">
        <f t="shared" ca="1" si="61"/>
        <v/>
      </c>
      <c r="P35" s="47" t="str">
        <f t="shared" ca="1" si="81"/>
        <v/>
      </c>
      <c r="Q35" s="111" t="str">
        <f t="shared" ca="1" si="82"/>
        <v/>
      </c>
      <c r="R35" s="397" t="str">
        <f ca="1">IFERROR(INDEX(ICE[], MATCH("afra" &amp; TEXT(Crd!$A35, "mmmyy"), ICE[LongCode], 0), MATCH("ICE Theoretical Price", ICE[#Headers], 0)), "")</f>
        <v/>
      </c>
      <c r="S35" s="372" t="str">
        <f ca="1">IFERROR(INDEX(ICE[], MATCH("afra" &amp; TEXT($A35, "mmmyy"), ICE[LongCode], 0), MATCH("Text", ICE[#Headers], 0)), "")</f>
        <v/>
      </c>
      <c r="T35" s="46" t="str">
        <f t="shared" ca="1" si="62"/>
        <v/>
      </c>
      <c r="U35" s="47" t="str">
        <f t="shared" ca="1" si="83"/>
        <v/>
      </c>
      <c r="V35" s="46" t="str">
        <f t="shared" ca="1" si="84"/>
        <v/>
      </c>
      <c r="W35" s="49" t="str">
        <f t="shared" ca="1" si="69"/>
        <v/>
      </c>
      <c r="X35" s="53" t="str">
        <f t="shared" ca="1" si="63"/>
        <v/>
      </c>
      <c r="Y35" s="47" t="str">
        <f t="shared" ca="1" si="85"/>
        <v/>
      </c>
      <c r="Z35" s="111" t="str">
        <f t="shared" ca="1" si="86"/>
        <v/>
      </c>
      <c r="AA35" s="397" t="str">
        <f ca="1">IFERROR(INDEX(ICE[], MATCH("tc5" &amp; TEXT(Crd!$A35, "mmmyy"), ICE[LongCode], 0), MATCH("ICE Theoretical Price", ICE[#Headers], 0)), "")</f>
        <v/>
      </c>
      <c r="AB35" s="372" t="str">
        <f ca="1">IFERROR(INDEX(ICE[], MATCH("tc5" &amp; TEXT(Hvy!$A35, "mmmyy"), ICE[LongCode], 0), MATCH("Text", ICE[#Headers], 0)), "")</f>
        <v/>
      </c>
      <c r="AC35" s="46" t="str">
        <f t="shared" ca="1" si="70"/>
        <v/>
      </c>
      <c r="AD35" s="47" t="str">
        <f t="shared" ca="1" si="87"/>
        <v/>
      </c>
      <c r="AE35" s="46" t="str">
        <f t="shared" ca="1" si="88"/>
        <v/>
      </c>
      <c r="AF35" s="49" t="str">
        <f t="shared" ca="1" si="71"/>
        <v/>
      </c>
      <c r="AG35" s="53" t="str">
        <f t="shared" ca="1" si="72"/>
        <v/>
      </c>
      <c r="AH35" s="47" t="str">
        <f t="shared" ca="1" si="89"/>
        <v/>
      </c>
      <c r="AI35" s="111" t="str">
        <f t="shared" ca="1" si="90"/>
        <v/>
      </c>
      <c r="AJ35" s="397" t="str">
        <f t="shared" ca="1" si="73"/>
        <v/>
      </c>
      <c r="AK35" s="372" t="str">
        <f ca="1">IFERROR(INDEX(ICE[], MATCH("tc2" &amp; TEXT(Hvy!$A35, "mmmyy"), ICE[LongCode], 0), MATCH("Text", ICE[#Headers], 0)), "")</f>
        <v/>
      </c>
      <c r="AL35" s="46" t="str">
        <f t="shared" ca="1" si="64"/>
        <v/>
      </c>
      <c r="AM35" s="47" t="str">
        <f t="shared" ca="1" si="91"/>
        <v/>
      </c>
      <c r="AN35" s="46" t="str">
        <f t="shared" ca="1" si="92"/>
        <v/>
      </c>
      <c r="AO35" s="49" t="str">
        <f t="shared" ca="1" si="74"/>
        <v/>
      </c>
      <c r="AP35" s="53" t="str">
        <f t="shared" ca="1" si="65"/>
        <v/>
      </c>
      <c r="AQ35" s="47" t="str">
        <f t="shared" ca="1" si="93"/>
        <v/>
      </c>
      <c r="AR35" s="111" t="str">
        <f t="shared" ca="1" si="94"/>
        <v/>
      </c>
      <c r="AS35" s="397" t="str">
        <f t="shared" ca="1" si="75"/>
        <v/>
      </c>
      <c r="AT35" s="372" t="str">
        <f ca="1">IFERROR(INDEX(ICE[], MATCH("tc14" &amp; TEXT(Hvy!$A35, "mmmyy"), ICE[LongCode], 0), MATCH("Text", ICE[#Headers], 0)), "")</f>
        <v/>
      </c>
      <c r="AU35" s="46" t="str">
        <f t="shared" ca="1" si="76"/>
        <v/>
      </c>
      <c r="AV35" s="47" t="str">
        <f t="shared" ca="1" si="95"/>
        <v/>
      </c>
      <c r="AW35" s="46" t="str">
        <f t="shared" ca="1" si="96"/>
        <v/>
      </c>
      <c r="AX35" s="49" t="str">
        <f t="shared" ca="1" si="77"/>
        <v/>
      </c>
      <c r="AY35" s="53" t="str">
        <f t="shared" ca="1" si="78"/>
        <v/>
      </c>
      <c r="AZ35" s="47" t="str">
        <f t="shared" ca="1" si="97"/>
        <v/>
      </c>
      <c r="BA35" s="111" t="str">
        <f t="shared" ca="1" si="98"/>
        <v/>
      </c>
    </row>
    <row r="36" spans="1:53" x14ac:dyDescent="0.25">
      <c r="A36" s="58">
        <f t="shared" ca="1" si="79"/>
        <v>46784</v>
      </c>
      <c r="B36" s="6">
        <f t="shared" ca="1" si="59"/>
        <v>2028</v>
      </c>
      <c r="C36" s="6" t="str">
        <f t="shared" ca="1" si="66"/>
        <v>Q128</v>
      </c>
      <c r="D36" s="28" t="e">
        <f ca="1">INDEX(ICE[], MATCH(D$18 &amp; TEXT($A36, "mmmyy"), ICE[LongCode], 0), MATCH("Settle", ICE[#Headers], 0))</f>
        <v>#N/A</v>
      </c>
      <c r="E36" s="28" t="e">
        <f ca="1">INDEX(ICE[], MATCH(E$18 &amp; TEXT($A36, "mmmyy"), ICE[LongCode], 0), MATCH("Settle", ICE[#Headers], 0))</f>
        <v>#N/A</v>
      </c>
      <c r="F36" s="28" t="e">
        <f ca="1">INDEX(ICE[], MATCH(F$18 &amp; TEXT($A36, "mmmyy"), ICE[LongCode], 0), MATCH("Settle", ICE[#Headers], 0))</f>
        <v>#N/A</v>
      </c>
      <c r="G36" s="28" t="e">
        <f ca="1">INDEX(ICE[], MATCH(G$18 &amp; TEXT($A36, "mmmyy"), ICE[LongCode], 0), MATCH("Settle", ICE[#Headers], 0))</f>
        <v>#N/A</v>
      </c>
      <c r="H36" s="28" t="e">
        <f ca="1">INDEX(ICE[], MATCH(H$18 &amp; TEXT($A36, "mmmyy"), ICE[LongCode], 0), MATCH("Settle", ICE[#Headers], 0))</f>
        <v>#N/A</v>
      </c>
      <c r="I36" s="397" t="str">
        <f ca="1">IFERROR(INDEX(ICE[], MATCH("td3c" &amp; TEXT(Crd!$A36, "mmmyy"), ICE[LongCode], 0), MATCH("ICE Theoretical Price", ICE[#Headers], 0)), "")</f>
        <v/>
      </c>
      <c r="J36" s="372" t="str">
        <f ca="1">IFERROR(INDEX(ICE[], MATCH("td3c" &amp; TEXT($A36, "mmmyy"), ICE[LongCode], 0), MATCH("Text", ICE[#Headers], 0)), "")</f>
        <v/>
      </c>
      <c r="K36" s="46" t="str">
        <f t="shared" ca="1" si="60"/>
        <v/>
      </c>
      <c r="L36" s="47" t="str">
        <f t="shared" ca="1" si="67"/>
        <v/>
      </c>
      <c r="M36" s="46" t="str">
        <f t="shared" ca="1" si="80"/>
        <v/>
      </c>
      <c r="N36" s="49" t="str">
        <f t="shared" ca="1" si="68"/>
        <v/>
      </c>
      <c r="O36" s="53" t="str">
        <f t="shared" ca="1" si="61"/>
        <v/>
      </c>
      <c r="P36" s="47" t="str">
        <f t="shared" ca="1" si="81"/>
        <v/>
      </c>
      <c r="Q36" s="111" t="str">
        <f t="shared" ca="1" si="82"/>
        <v/>
      </c>
      <c r="R36" s="397" t="str">
        <f ca="1">IFERROR(INDEX(ICE[], MATCH("afra" &amp; TEXT(Crd!$A36, "mmmyy"), ICE[LongCode], 0), MATCH("ICE Theoretical Price", ICE[#Headers], 0)), "")</f>
        <v/>
      </c>
      <c r="S36" s="372" t="str">
        <f ca="1">IFERROR(INDEX(ICE[], MATCH("afra" &amp; TEXT($A36, "mmmyy"), ICE[LongCode], 0), MATCH("Text", ICE[#Headers], 0)), "")</f>
        <v/>
      </c>
      <c r="T36" s="46" t="str">
        <f t="shared" ca="1" si="62"/>
        <v/>
      </c>
      <c r="U36" s="47" t="str">
        <f t="shared" ca="1" si="83"/>
        <v/>
      </c>
      <c r="V36" s="46" t="str">
        <f t="shared" ca="1" si="84"/>
        <v/>
      </c>
      <c r="W36" s="49" t="str">
        <f t="shared" ca="1" si="69"/>
        <v/>
      </c>
      <c r="X36" s="53" t="str">
        <f t="shared" ca="1" si="63"/>
        <v/>
      </c>
      <c r="Y36" s="47" t="str">
        <f t="shared" ca="1" si="85"/>
        <v/>
      </c>
      <c r="Z36" s="111" t="str">
        <f t="shared" ca="1" si="86"/>
        <v/>
      </c>
      <c r="AA36" s="397" t="str">
        <f ca="1">IFERROR(INDEX(ICE[], MATCH("tc5" &amp; TEXT(Crd!$A36, "mmmyy"), ICE[LongCode], 0), MATCH("ICE Theoretical Price", ICE[#Headers], 0)), "")</f>
        <v/>
      </c>
      <c r="AB36" s="372" t="str">
        <f ca="1">IFERROR(INDEX(ICE[], MATCH("tc5" &amp; TEXT(Hvy!$A36, "mmmyy"), ICE[LongCode], 0), MATCH("Text", ICE[#Headers], 0)), "")</f>
        <v/>
      </c>
      <c r="AC36" s="46" t="str">
        <f t="shared" ca="1" si="70"/>
        <v/>
      </c>
      <c r="AD36" s="47" t="str">
        <f t="shared" ca="1" si="87"/>
        <v/>
      </c>
      <c r="AE36" s="46" t="str">
        <f t="shared" ca="1" si="88"/>
        <v/>
      </c>
      <c r="AF36" s="49" t="str">
        <f t="shared" ca="1" si="71"/>
        <v/>
      </c>
      <c r="AG36" s="53" t="str">
        <f t="shared" ca="1" si="72"/>
        <v/>
      </c>
      <c r="AH36" s="47" t="str">
        <f t="shared" ca="1" si="89"/>
        <v/>
      </c>
      <c r="AI36" s="111" t="str">
        <f t="shared" ca="1" si="90"/>
        <v/>
      </c>
      <c r="AJ36" s="397" t="str">
        <f t="shared" ca="1" si="73"/>
        <v/>
      </c>
      <c r="AK36" s="372" t="str">
        <f ca="1">IFERROR(INDEX(ICE[], MATCH("tc2" &amp; TEXT(Hvy!$A36, "mmmyy"), ICE[LongCode], 0), MATCH("Text", ICE[#Headers], 0)), "")</f>
        <v/>
      </c>
      <c r="AL36" s="46" t="str">
        <f t="shared" ca="1" si="64"/>
        <v/>
      </c>
      <c r="AM36" s="47" t="str">
        <f t="shared" ca="1" si="91"/>
        <v/>
      </c>
      <c r="AN36" s="46" t="str">
        <f t="shared" ca="1" si="92"/>
        <v/>
      </c>
      <c r="AO36" s="49" t="str">
        <f t="shared" ca="1" si="74"/>
        <v/>
      </c>
      <c r="AP36" s="53" t="str">
        <f t="shared" ca="1" si="65"/>
        <v/>
      </c>
      <c r="AQ36" s="47" t="str">
        <f t="shared" ca="1" si="93"/>
        <v/>
      </c>
      <c r="AR36" s="111" t="str">
        <f t="shared" ca="1" si="94"/>
        <v/>
      </c>
      <c r="AS36" s="397" t="str">
        <f t="shared" ca="1" si="75"/>
        <v/>
      </c>
      <c r="AT36" s="372" t="str">
        <f ca="1">IFERROR(INDEX(ICE[], MATCH("tc14" &amp; TEXT(Hvy!$A36, "mmmyy"), ICE[LongCode], 0), MATCH("Text", ICE[#Headers], 0)), "")</f>
        <v/>
      </c>
      <c r="AU36" s="46" t="str">
        <f t="shared" ca="1" si="76"/>
        <v/>
      </c>
      <c r="AV36" s="47" t="str">
        <f t="shared" ca="1" si="95"/>
        <v/>
      </c>
      <c r="AW36" s="46" t="str">
        <f t="shared" ca="1" si="96"/>
        <v/>
      </c>
      <c r="AX36" s="49" t="str">
        <f t="shared" ca="1" si="77"/>
        <v/>
      </c>
      <c r="AY36" s="53" t="str">
        <f t="shared" ca="1" si="78"/>
        <v/>
      </c>
      <c r="AZ36" s="47" t="str">
        <f t="shared" ca="1" si="97"/>
        <v/>
      </c>
      <c r="BA36" s="111" t="str">
        <f t="shared" ca="1" si="98"/>
        <v/>
      </c>
    </row>
    <row r="37" spans="1:53" x14ac:dyDescent="0.25">
      <c r="A37" s="58">
        <f t="shared" ca="1" si="79"/>
        <v>46813</v>
      </c>
      <c r="B37" s="6">
        <f t="shared" ca="1" si="59"/>
        <v>2028</v>
      </c>
      <c r="C37" s="6" t="str">
        <f t="shared" ca="1" si="66"/>
        <v>Q128</v>
      </c>
      <c r="D37" s="28" t="e">
        <f ca="1">INDEX(ICE[], MATCH(D$18 &amp; TEXT($A37, "mmmyy"), ICE[LongCode], 0), MATCH("Settle", ICE[#Headers], 0))</f>
        <v>#N/A</v>
      </c>
      <c r="E37" s="28" t="e">
        <f ca="1">INDEX(ICE[], MATCH(E$18 &amp; TEXT($A37, "mmmyy"), ICE[LongCode], 0), MATCH("Settle", ICE[#Headers], 0))</f>
        <v>#N/A</v>
      </c>
      <c r="F37" s="28" t="e">
        <f ca="1">INDEX(ICE[], MATCH(F$18 &amp; TEXT($A37, "mmmyy"), ICE[LongCode], 0), MATCH("Settle", ICE[#Headers], 0))</f>
        <v>#N/A</v>
      </c>
      <c r="G37" s="28" t="e">
        <f ca="1">INDEX(ICE[], MATCH(G$18 &amp; TEXT($A37, "mmmyy"), ICE[LongCode], 0), MATCH("Settle", ICE[#Headers], 0))</f>
        <v>#N/A</v>
      </c>
      <c r="H37" s="28" t="e">
        <f ca="1">INDEX(ICE[], MATCH(H$18 &amp; TEXT($A37, "mmmyy"), ICE[LongCode], 0), MATCH("Settle", ICE[#Headers], 0))</f>
        <v>#N/A</v>
      </c>
      <c r="I37" s="397" t="str">
        <f ca="1">IFERROR(INDEX(ICE[], MATCH("td3c" &amp; TEXT(Crd!$A37, "mmmyy"), ICE[LongCode], 0), MATCH("ICE Theoretical Price", ICE[#Headers], 0)), "")</f>
        <v/>
      </c>
      <c r="J37" s="372" t="str">
        <f ca="1">IFERROR(INDEX(ICE[], MATCH("td3c" &amp; TEXT($A37, "mmmyy"), ICE[LongCode], 0), MATCH("Text", ICE[#Headers], 0)), "")</f>
        <v/>
      </c>
      <c r="K37" s="46" t="str">
        <f t="shared" ca="1" si="60"/>
        <v/>
      </c>
      <c r="L37" s="47" t="str">
        <f t="shared" ca="1" si="67"/>
        <v/>
      </c>
      <c r="M37" s="46" t="str">
        <f t="shared" ca="1" si="80"/>
        <v/>
      </c>
      <c r="N37" s="49" t="str">
        <f t="shared" ca="1" si="68"/>
        <v/>
      </c>
      <c r="O37" s="53" t="str">
        <f t="shared" ca="1" si="61"/>
        <v/>
      </c>
      <c r="P37" s="47" t="str">
        <f t="shared" ca="1" si="81"/>
        <v/>
      </c>
      <c r="Q37" s="111" t="str">
        <f t="shared" ca="1" si="82"/>
        <v/>
      </c>
      <c r="R37" s="397" t="str">
        <f ca="1">IFERROR(INDEX(ICE[], MATCH("afra" &amp; TEXT(Crd!$A37, "mmmyy"), ICE[LongCode], 0), MATCH("ICE Theoretical Price", ICE[#Headers], 0)), "")</f>
        <v/>
      </c>
      <c r="S37" s="372" t="str">
        <f ca="1">IFERROR(INDEX(ICE[], MATCH("afra" &amp; TEXT($A37, "mmmyy"), ICE[LongCode], 0), MATCH("Text", ICE[#Headers], 0)), "")</f>
        <v/>
      </c>
      <c r="T37" s="46" t="str">
        <f t="shared" ca="1" si="62"/>
        <v/>
      </c>
      <c r="U37" s="47" t="str">
        <f t="shared" ca="1" si="83"/>
        <v/>
      </c>
      <c r="V37" s="46" t="str">
        <f t="shared" ca="1" si="84"/>
        <v/>
      </c>
      <c r="W37" s="49" t="str">
        <f t="shared" ca="1" si="69"/>
        <v/>
      </c>
      <c r="X37" s="53" t="str">
        <f t="shared" ca="1" si="63"/>
        <v/>
      </c>
      <c r="Y37" s="47" t="str">
        <f t="shared" ca="1" si="85"/>
        <v/>
      </c>
      <c r="Z37" s="111" t="str">
        <f t="shared" ca="1" si="86"/>
        <v/>
      </c>
      <c r="AA37" s="397" t="str">
        <f ca="1">IFERROR(INDEX(ICE[], MATCH("tc5" &amp; TEXT(Crd!$A37, "mmmyy"), ICE[LongCode], 0), MATCH("ICE Theoretical Price", ICE[#Headers], 0)), "")</f>
        <v/>
      </c>
      <c r="AB37" s="372" t="str">
        <f ca="1">IFERROR(INDEX(ICE[], MATCH("tc5" &amp; TEXT(Hvy!$A37, "mmmyy"), ICE[LongCode], 0), MATCH("Text", ICE[#Headers], 0)), "")</f>
        <v/>
      </c>
      <c r="AC37" s="46" t="str">
        <f t="shared" ca="1" si="70"/>
        <v/>
      </c>
      <c r="AD37" s="47" t="str">
        <f t="shared" ca="1" si="87"/>
        <v/>
      </c>
      <c r="AE37" s="46" t="str">
        <f t="shared" ca="1" si="88"/>
        <v/>
      </c>
      <c r="AF37" s="49" t="str">
        <f t="shared" ca="1" si="71"/>
        <v/>
      </c>
      <c r="AG37" s="53" t="str">
        <f t="shared" ca="1" si="72"/>
        <v/>
      </c>
      <c r="AH37" s="47" t="str">
        <f t="shared" ca="1" si="89"/>
        <v/>
      </c>
      <c r="AI37" s="111" t="str">
        <f t="shared" ca="1" si="90"/>
        <v/>
      </c>
      <c r="AJ37" s="397" t="str">
        <f t="shared" ca="1" si="73"/>
        <v/>
      </c>
      <c r="AK37" s="372" t="str">
        <f ca="1">IFERROR(INDEX(ICE[], MATCH("tc2" &amp; TEXT(Hvy!$A37, "mmmyy"), ICE[LongCode], 0), MATCH("Text", ICE[#Headers], 0)), "")</f>
        <v/>
      </c>
      <c r="AL37" s="46" t="str">
        <f t="shared" ca="1" si="64"/>
        <v/>
      </c>
      <c r="AM37" s="47" t="str">
        <f t="shared" ca="1" si="91"/>
        <v/>
      </c>
      <c r="AN37" s="46" t="str">
        <f t="shared" ca="1" si="92"/>
        <v/>
      </c>
      <c r="AO37" s="49" t="str">
        <f t="shared" ca="1" si="74"/>
        <v/>
      </c>
      <c r="AP37" s="53" t="str">
        <f t="shared" ca="1" si="65"/>
        <v/>
      </c>
      <c r="AQ37" s="47" t="str">
        <f t="shared" ca="1" si="93"/>
        <v/>
      </c>
      <c r="AR37" s="111" t="str">
        <f t="shared" ca="1" si="94"/>
        <v/>
      </c>
      <c r="AS37" s="397" t="str">
        <f t="shared" ca="1" si="75"/>
        <v/>
      </c>
      <c r="AT37" s="372" t="str">
        <f ca="1">IFERROR(INDEX(ICE[], MATCH("tc14" &amp; TEXT(Hvy!$A37, "mmmyy"), ICE[LongCode], 0), MATCH("Text", ICE[#Headers], 0)), "")</f>
        <v/>
      </c>
      <c r="AU37" s="46" t="str">
        <f t="shared" ca="1" si="76"/>
        <v/>
      </c>
      <c r="AV37" s="47" t="str">
        <f t="shared" ca="1" si="95"/>
        <v/>
      </c>
      <c r="AW37" s="46" t="str">
        <f t="shared" ca="1" si="96"/>
        <v/>
      </c>
      <c r="AX37" s="49" t="str">
        <f t="shared" ca="1" si="77"/>
        <v/>
      </c>
      <c r="AY37" s="53" t="str">
        <f t="shared" ca="1" si="78"/>
        <v/>
      </c>
      <c r="AZ37" s="47" t="str">
        <f t="shared" ca="1" si="97"/>
        <v/>
      </c>
      <c r="BA37" s="111" t="str">
        <f t="shared" ca="1" si="98"/>
        <v/>
      </c>
    </row>
    <row r="38" spans="1:53" x14ac:dyDescent="0.25">
      <c r="A38" s="58">
        <f t="shared" ca="1" si="79"/>
        <v>46844</v>
      </c>
      <c r="B38" s="6">
        <f t="shared" ca="1" si="59"/>
        <v>2028</v>
      </c>
      <c r="C38" s="6" t="str">
        <f t="shared" ca="1" si="66"/>
        <v>Q228</v>
      </c>
      <c r="D38" s="28" t="e">
        <f ca="1">INDEX(ICE[], MATCH(D$18 &amp; TEXT($A38, "mmmyy"), ICE[LongCode], 0), MATCH("Settle", ICE[#Headers], 0))</f>
        <v>#N/A</v>
      </c>
      <c r="E38" s="28" t="e">
        <f ca="1">INDEX(ICE[], MATCH(E$18 &amp; TEXT($A38, "mmmyy"), ICE[LongCode], 0), MATCH("Settle", ICE[#Headers], 0))</f>
        <v>#N/A</v>
      </c>
      <c r="F38" s="28" t="e">
        <f ca="1">INDEX(ICE[], MATCH(F$18 &amp; TEXT($A38, "mmmyy"), ICE[LongCode], 0), MATCH("Settle", ICE[#Headers], 0))</f>
        <v>#N/A</v>
      </c>
      <c r="G38" s="28" t="e">
        <f ca="1">INDEX(ICE[], MATCH(G$18 &amp; TEXT($A38, "mmmyy"), ICE[LongCode], 0), MATCH("Settle", ICE[#Headers], 0))</f>
        <v>#N/A</v>
      </c>
      <c r="H38" s="28" t="e">
        <f ca="1">INDEX(ICE[], MATCH(H$18 &amp; TEXT($A38, "mmmyy"), ICE[LongCode], 0), MATCH("Settle", ICE[#Headers], 0))</f>
        <v>#N/A</v>
      </c>
      <c r="I38" s="397" t="str">
        <f ca="1">IFERROR(INDEX(ICE[], MATCH("td3c" &amp; TEXT(Crd!$A38, "mmmyy"), ICE[LongCode], 0), MATCH("ICE Theoretical Price", ICE[#Headers], 0)), "")</f>
        <v/>
      </c>
      <c r="J38" s="372" t="str">
        <f ca="1">IFERROR(INDEX(ICE[], MATCH("td3c" &amp; TEXT($A38, "mmmyy"), ICE[LongCode], 0), MATCH("Text", ICE[#Headers], 0)), "")</f>
        <v/>
      </c>
      <c r="K38" s="46" t="str">
        <f t="shared" ca="1" si="60"/>
        <v/>
      </c>
      <c r="L38" s="47" t="str">
        <f t="shared" ca="1" si="67"/>
        <v/>
      </c>
      <c r="M38" s="46" t="str">
        <f t="shared" ca="1" si="80"/>
        <v/>
      </c>
      <c r="N38" s="49" t="str">
        <f t="shared" ca="1" si="68"/>
        <v/>
      </c>
      <c r="O38" s="53" t="str">
        <f t="shared" ca="1" si="61"/>
        <v/>
      </c>
      <c r="P38" s="47" t="str">
        <f t="shared" ca="1" si="81"/>
        <v/>
      </c>
      <c r="Q38" s="111" t="str">
        <f t="shared" ca="1" si="82"/>
        <v/>
      </c>
      <c r="R38" s="397" t="str">
        <f ca="1">IFERROR(INDEX(ICE[], MATCH("afra" &amp; TEXT(Crd!$A38, "mmmyy"), ICE[LongCode], 0), MATCH("ICE Theoretical Price", ICE[#Headers], 0)), "")</f>
        <v/>
      </c>
      <c r="S38" s="372" t="str">
        <f ca="1">IFERROR(INDEX(ICE[], MATCH("afra" &amp; TEXT($A38, "mmmyy"), ICE[LongCode], 0), MATCH("Text", ICE[#Headers], 0)), "")</f>
        <v/>
      </c>
      <c r="T38" s="46" t="str">
        <f t="shared" ca="1" si="62"/>
        <v/>
      </c>
      <c r="U38" s="47" t="str">
        <f t="shared" ca="1" si="83"/>
        <v/>
      </c>
      <c r="V38" s="46" t="str">
        <f t="shared" ca="1" si="84"/>
        <v/>
      </c>
      <c r="W38" s="49" t="str">
        <f t="shared" ca="1" si="69"/>
        <v/>
      </c>
      <c r="X38" s="53" t="str">
        <f t="shared" ca="1" si="63"/>
        <v/>
      </c>
      <c r="Y38" s="47" t="str">
        <f t="shared" ca="1" si="85"/>
        <v/>
      </c>
      <c r="Z38" s="111" t="str">
        <f t="shared" ca="1" si="86"/>
        <v/>
      </c>
      <c r="AA38" s="397" t="str">
        <f ca="1">IFERROR(INDEX(ICE[], MATCH("tc5" &amp; TEXT(Crd!$A38, "mmmyy"), ICE[LongCode], 0), MATCH("ICE Theoretical Price", ICE[#Headers], 0)), "")</f>
        <v/>
      </c>
      <c r="AB38" s="372" t="str">
        <f ca="1">IFERROR(INDEX(ICE[], MATCH("tc5" &amp; TEXT(Hvy!$A38, "mmmyy"), ICE[LongCode], 0), MATCH("Text", ICE[#Headers], 0)), "")</f>
        <v/>
      </c>
      <c r="AC38" s="46" t="str">
        <f t="shared" ca="1" si="70"/>
        <v/>
      </c>
      <c r="AD38" s="47" t="str">
        <f t="shared" ca="1" si="87"/>
        <v/>
      </c>
      <c r="AE38" s="46" t="str">
        <f t="shared" ca="1" si="88"/>
        <v/>
      </c>
      <c r="AF38" s="49" t="str">
        <f t="shared" ca="1" si="71"/>
        <v/>
      </c>
      <c r="AG38" s="53" t="str">
        <f t="shared" ca="1" si="72"/>
        <v/>
      </c>
      <c r="AH38" s="47" t="str">
        <f t="shared" ca="1" si="89"/>
        <v/>
      </c>
      <c r="AI38" s="111" t="str">
        <f t="shared" ca="1" si="90"/>
        <v/>
      </c>
      <c r="AJ38" s="397" t="str">
        <f t="shared" ca="1" si="73"/>
        <v/>
      </c>
      <c r="AK38" s="372" t="str">
        <f ca="1">IFERROR(INDEX(ICE[], MATCH("tc2" &amp; TEXT(Hvy!$A38, "mmmyy"), ICE[LongCode], 0), MATCH("Text", ICE[#Headers], 0)), "")</f>
        <v/>
      </c>
      <c r="AL38" s="46" t="str">
        <f t="shared" ca="1" si="64"/>
        <v/>
      </c>
      <c r="AM38" s="47" t="str">
        <f t="shared" ca="1" si="91"/>
        <v/>
      </c>
      <c r="AN38" s="46" t="str">
        <f t="shared" ca="1" si="92"/>
        <v/>
      </c>
      <c r="AO38" s="49" t="str">
        <f t="shared" ca="1" si="74"/>
        <v/>
      </c>
      <c r="AP38" s="53" t="str">
        <f t="shared" ca="1" si="65"/>
        <v/>
      </c>
      <c r="AQ38" s="47" t="str">
        <f t="shared" ca="1" si="93"/>
        <v/>
      </c>
      <c r="AR38" s="111" t="str">
        <f t="shared" ca="1" si="94"/>
        <v/>
      </c>
      <c r="AS38" s="397" t="str">
        <f t="shared" ca="1" si="75"/>
        <v/>
      </c>
      <c r="AT38" s="372" t="str">
        <f ca="1">IFERROR(INDEX(ICE[], MATCH("tc14" &amp; TEXT(Hvy!$A38, "mmmyy"), ICE[LongCode], 0), MATCH("Text", ICE[#Headers], 0)), "")</f>
        <v/>
      </c>
      <c r="AU38" s="46" t="str">
        <f t="shared" ca="1" si="76"/>
        <v/>
      </c>
      <c r="AV38" s="47" t="str">
        <f t="shared" ca="1" si="95"/>
        <v/>
      </c>
      <c r="AW38" s="46" t="str">
        <f t="shared" ca="1" si="96"/>
        <v/>
      </c>
      <c r="AX38" s="49" t="str">
        <f t="shared" ca="1" si="77"/>
        <v/>
      </c>
      <c r="AY38" s="53" t="str">
        <f t="shared" ca="1" si="78"/>
        <v/>
      </c>
      <c r="AZ38" s="47" t="str">
        <f t="shared" ca="1" si="97"/>
        <v/>
      </c>
      <c r="BA38" s="111" t="str">
        <f t="shared" ca="1" si="98"/>
        <v/>
      </c>
    </row>
    <row r="39" spans="1:53" x14ac:dyDescent="0.25">
      <c r="A39" s="58">
        <f t="shared" ca="1" si="79"/>
        <v>46874</v>
      </c>
      <c r="B39" s="6">
        <f t="shared" ca="1" si="59"/>
        <v>2028</v>
      </c>
      <c r="C39" s="6" t="str">
        <f t="shared" ca="1" si="66"/>
        <v>Q228</v>
      </c>
      <c r="D39" s="28" t="e">
        <f ca="1">INDEX(ICE[], MATCH(D$18 &amp; TEXT($A39, "mmmyy"), ICE[LongCode], 0), MATCH("Settle", ICE[#Headers], 0))</f>
        <v>#N/A</v>
      </c>
      <c r="E39" s="28" t="e">
        <f ca="1">INDEX(ICE[], MATCH(E$18 &amp; TEXT($A39, "mmmyy"), ICE[LongCode], 0), MATCH("Settle", ICE[#Headers], 0))</f>
        <v>#N/A</v>
      </c>
      <c r="F39" s="28" t="e">
        <f ca="1">INDEX(ICE[], MATCH(F$18 &amp; TEXT($A39, "mmmyy"), ICE[LongCode], 0), MATCH("Settle", ICE[#Headers], 0))</f>
        <v>#N/A</v>
      </c>
      <c r="G39" s="28" t="e">
        <f ca="1">INDEX(ICE[], MATCH(G$18 &amp; TEXT($A39, "mmmyy"), ICE[LongCode], 0), MATCH("Settle", ICE[#Headers], 0))</f>
        <v>#N/A</v>
      </c>
      <c r="H39" s="28" t="e">
        <f ca="1">INDEX(ICE[], MATCH(H$18 &amp; TEXT($A39, "mmmyy"), ICE[LongCode], 0), MATCH("Settle", ICE[#Headers], 0))</f>
        <v>#N/A</v>
      </c>
      <c r="I39" s="397" t="str">
        <f ca="1">IFERROR(INDEX(ICE[], MATCH("td3c" &amp; TEXT(Crd!$A39, "mmmyy"), ICE[LongCode], 0), MATCH("ICE Theoretical Price", ICE[#Headers], 0)), "")</f>
        <v/>
      </c>
      <c r="J39" s="372" t="str">
        <f ca="1">IFERROR(INDEX(ICE[], MATCH("td3c" &amp; TEXT($A39, "mmmyy"), ICE[LongCode], 0), MATCH("Text", ICE[#Headers], 0)), "")</f>
        <v/>
      </c>
      <c r="K39" s="46" t="str">
        <f t="shared" ca="1" si="60"/>
        <v/>
      </c>
      <c r="L39" s="47" t="str">
        <f t="shared" ca="1" si="67"/>
        <v/>
      </c>
      <c r="M39" s="46" t="str">
        <f t="shared" ca="1" si="80"/>
        <v/>
      </c>
      <c r="N39" s="49" t="str">
        <f t="shared" ca="1" si="68"/>
        <v/>
      </c>
      <c r="O39" s="53" t="str">
        <f t="shared" ca="1" si="61"/>
        <v/>
      </c>
      <c r="P39" s="47" t="str">
        <f t="shared" ca="1" si="81"/>
        <v/>
      </c>
      <c r="Q39" s="111" t="str">
        <f t="shared" ca="1" si="82"/>
        <v/>
      </c>
      <c r="R39" s="397" t="str">
        <f ca="1">IFERROR(INDEX(ICE[], MATCH("afra" &amp; TEXT(Crd!$A39, "mmmyy"), ICE[LongCode], 0), MATCH("ICE Theoretical Price", ICE[#Headers], 0)), "")</f>
        <v/>
      </c>
      <c r="S39" s="372" t="str">
        <f ca="1">IFERROR(INDEX(ICE[], MATCH("afra" &amp; TEXT($A39, "mmmyy"), ICE[LongCode], 0), MATCH("Text", ICE[#Headers], 0)), "")</f>
        <v/>
      </c>
      <c r="T39" s="46" t="str">
        <f t="shared" ca="1" si="62"/>
        <v/>
      </c>
      <c r="U39" s="47" t="str">
        <f t="shared" ca="1" si="83"/>
        <v/>
      </c>
      <c r="V39" s="46" t="str">
        <f t="shared" ca="1" si="84"/>
        <v/>
      </c>
      <c r="W39" s="49" t="str">
        <f t="shared" ca="1" si="69"/>
        <v/>
      </c>
      <c r="X39" s="53" t="str">
        <f t="shared" ca="1" si="63"/>
        <v/>
      </c>
      <c r="Y39" s="47" t="str">
        <f t="shared" ca="1" si="85"/>
        <v/>
      </c>
      <c r="Z39" s="111" t="str">
        <f t="shared" ca="1" si="86"/>
        <v/>
      </c>
      <c r="AA39" s="397" t="str">
        <f ca="1">IFERROR(INDEX(ICE[], MATCH("tc5" &amp; TEXT(Crd!$A39, "mmmyy"), ICE[LongCode], 0), MATCH("ICE Theoretical Price", ICE[#Headers], 0)), "")</f>
        <v/>
      </c>
      <c r="AB39" s="372" t="str">
        <f ca="1">IFERROR(INDEX(ICE[], MATCH("tc5" &amp; TEXT(Hvy!$A39, "mmmyy"), ICE[LongCode], 0), MATCH("Text", ICE[#Headers], 0)), "")</f>
        <v/>
      </c>
      <c r="AC39" s="46" t="str">
        <f t="shared" ca="1" si="70"/>
        <v/>
      </c>
      <c r="AD39" s="47" t="str">
        <f t="shared" ca="1" si="87"/>
        <v/>
      </c>
      <c r="AE39" s="46" t="str">
        <f t="shared" ca="1" si="88"/>
        <v/>
      </c>
      <c r="AF39" s="49" t="str">
        <f t="shared" ca="1" si="71"/>
        <v/>
      </c>
      <c r="AG39" s="53" t="str">
        <f t="shared" ca="1" si="72"/>
        <v/>
      </c>
      <c r="AH39" s="47" t="str">
        <f t="shared" ca="1" si="89"/>
        <v/>
      </c>
      <c r="AI39" s="111" t="str">
        <f t="shared" ca="1" si="90"/>
        <v/>
      </c>
      <c r="AJ39" s="397" t="str">
        <f t="shared" ca="1" si="73"/>
        <v/>
      </c>
      <c r="AK39" s="372" t="str">
        <f ca="1">IFERROR(INDEX(ICE[], MATCH("tc2" &amp; TEXT(Hvy!$A39, "mmmyy"), ICE[LongCode], 0), MATCH("Text", ICE[#Headers], 0)), "")</f>
        <v/>
      </c>
      <c r="AL39" s="46" t="str">
        <f t="shared" ca="1" si="64"/>
        <v/>
      </c>
      <c r="AM39" s="47" t="str">
        <f t="shared" ca="1" si="91"/>
        <v/>
      </c>
      <c r="AN39" s="46" t="str">
        <f t="shared" ca="1" si="92"/>
        <v/>
      </c>
      <c r="AO39" s="49" t="str">
        <f t="shared" ca="1" si="74"/>
        <v/>
      </c>
      <c r="AP39" s="53" t="str">
        <f t="shared" ca="1" si="65"/>
        <v/>
      </c>
      <c r="AQ39" s="47" t="str">
        <f t="shared" ca="1" si="93"/>
        <v/>
      </c>
      <c r="AR39" s="111" t="str">
        <f t="shared" ca="1" si="94"/>
        <v/>
      </c>
      <c r="AS39" s="397" t="str">
        <f t="shared" ca="1" si="75"/>
        <v/>
      </c>
      <c r="AT39" s="372" t="str">
        <f ca="1">IFERROR(INDEX(ICE[], MATCH("tc14" &amp; TEXT(Hvy!$A39, "mmmyy"), ICE[LongCode], 0), MATCH("Text", ICE[#Headers], 0)), "")</f>
        <v/>
      </c>
      <c r="AU39" s="46" t="str">
        <f t="shared" ca="1" si="76"/>
        <v/>
      </c>
      <c r="AV39" s="47" t="str">
        <f t="shared" ca="1" si="95"/>
        <v/>
      </c>
      <c r="AW39" s="46" t="str">
        <f t="shared" ca="1" si="96"/>
        <v/>
      </c>
      <c r="AX39" s="49" t="str">
        <f t="shared" ca="1" si="77"/>
        <v/>
      </c>
      <c r="AY39" s="53" t="str">
        <f t="shared" ca="1" si="78"/>
        <v/>
      </c>
      <c r="AZ39" s="47" t="str">
        <f t="shared" ca="1" si="97"/>
        <v/>
      </c>
      <c r="BA39" s="111" t="str">
        <f t="shared" ca="1" si="98"/>
        <v/>
      </c>
    </row>
    <row r="40" spans="1:53" x14ac:dyDescent="0.25">
      <c r="A40" s="58">
        <f t="shared" ca="1" si="79"/>
        <v>46905</v>
      </c>
      <c r="B40" s="6">
        <f t="shared" ca="1" si="59"/>
        <v>2028</v>
      </c>
      <c r="C40" s="6" t="str">
        <f t="shared" ca="1" si="66"/>
        <v>Q228</v>
      </c>
      <c r="D40" s="28" t="e">
        <f ca="1">INDEX(ICE[], MATCH(D$18 &amp; TEXT($A40, "mmmyy"), ICE[LongCode], 0), MATCH("Settle", ICE[#Headers], 0))</f>
        <v>#N/A</v>
      </c>
      <c r="E40" s="28" t="e">
        <f ca="1">INDEX(ICE[], MATCH(E$18 &amp; TEXT($A40, "mmmyy"), ICE[LongCode], 0), MATCH("Settle", ICE[#Headers], 0))</f>
        <v>#N/A</v>
      </c>
      <c r="F40" s="28" t="e">
        <f ca="1">INDEX(ICE[], MATCH(F$18 &amp; TEXT($A40, "mmmyy"), ICE[LongCode], 0), MATCH("Settle", ICE[#Headers], 0))</f>
        <v>#N/A</v>
      </c>
      <c r="G40" s="28" t="e">
        <f ca="1">INDEX(ICE[], MATCH(G$18 &amp; TEXT($A40, "mmmyy"), ICE[LongCode], 0), MATCH("Settle", ICE[#Headers], 0))</f>
        <v>#N/A</v>
      </c>
      <c r="H40" s="28" t="e">
        <f ca="1">INDEX(ICE[], MATCH(H$18 &amp; TEXT($A40, "mmmyy"), ICE[LongCode], 0), MATCH("Settle", ICE[#Headers], 0))</f>
        <v>#N/A</v>
      </c>
      <c r="I40" s="397" t="str">
        <f ca="1">IFERROR(INDEX(ICE[], MATCH("td3c" &amp; TEXT(Crd!$A40, "mmmyy"), ICE[LongCode], 0), MATCH("ICE Theoretical Price", ICE[#Headers], 0)), "")</f>
        <v/>
      </c>
      <c r="J40" s="372" t="str">
        <f ca="1">IFERROR(INDEX(ICE[], MATCH("td3c" &amp; TEXT($A40, "mmmyy"), ICE[LongCode], 0), MATCH("Text", ICE[#Headers], 0)), "")</f>
        <v/>
      </c>
      <c r="K40" s="46" t="str">
        <f t="shared" ca="1" si="60"/>
        <v/>
      </c>
      <c r="L40" s="47" t="str">
        <f t="shared" ca="1" si="67"/>
        <v/>
      </c>
      <c r="M40" s="46" t="str">
        <f t="shared" ca="1" si="80"/>
        <v/>
      </c>
      <c r="N40" s="49" t="str">
        <f t="shared" ca="1" si="68"/>
        <v/>
      </c>
      <c r="O40" s="53" t="str">
        <f t="shared" ca="1" si="61"/>
        <v/>
      </c>
      <c r="P40" s="47" t="str">
        <f t="shared" ca="1" si="81"/>
        <v/>
      </c>
      <c r="Q40" s="111" t="str">
        <f t="shared" ca="1" si="82"/>
        <v/>
      </c>
      <c r="R40" s="397" t="str">
        <f ca="1">IFERROR(INDEX(ICE[], MATCH("afra" &amp; TEXT(Crd!$A40, "mmmyy"), ICE[LongCode], 0), MATCH("ICE Theoretical Price", ICE[#Headers], 0)), "")</f>
        <v/>
      </c>
      <c r="S40" s="372" t="str">
        <f ca="1">IFERROR(INDEX(ICE[], MATCH("afra" &amp; TEXT($A40, "mmmyy"), ICE[LongCode], 0), MATCH("Text", ICE[#Headers], 0)), "")</f>
        <v/>
      </c>
      <c r="T40" s="46" t="str">
        <f t="shared" ca="1" si="62"/>
        <v/>
      </c>
      <c r="U40" s="47" t="str">
        <f t="shared" ca="1" si="83"/>
        <v/>
      </c>
      <c r="V40" s="46" t="str">
        <f t="shared" ca="1" si="84"/>
        <v/>
      </c>
      <c r="W40" s="49" t="str">
        <f t="shared" ca="1" si="69"/>
        <v/>
      </c>
      <c r="X40" s="53" t="str">
        <f t="shared" ca="1" si="63"/>
        <v/>
      </c>
      <c r="Y40" s="47" t="str">
        <f t="shared" ca="1" si="85"/>
        <v/>
      </c>
      <c r="Z40" s="111" t="str">
        <f t="shared" ca="1" si="86"/>
        <v/>
      </c>
      <c r="AA40" s="397" t="str">
        <f ca="1">IFERROR(INDEX(ICE[], MATCH("tc5" &amp; TEXT(Crd!$A40, "mmmyy"), ICE[LongCode], 0), MATCH("ICE Theoretical Price", ICE[#Headers], 0)), "")</f>
        <v/>
      </c>
      <c r="AB40" s="372" t="str">
        <f ca="1">IFERROR(INDEX(ICE[], MATCH("tc5" &amp; TEXT(Hvy!$A40, "mmmyy"), ICE[LongCode], 0), MATCH("Text", ICE[#Headers], 0)), "")</f>
        <v/>
      </c>
      <c r="AC40" s="46" t="str">
        <f t="shared" ca="1" si="70"/>
        <v/>
      </c>
      <c r="AD40" s="47" t="str">
        <f t="shared" ca="1" si="87"/>
        <v/>
      </c>
      <c r="AE40" s="46" t="str">
        <f t="shared" ca="1" si="88"/>
        <v/>
      </c>
      <c r="AF40" s="49" t="str">
        <f t="shared" ca="1" si="71"/>
        <v/>
      </c>
      <c r="AG40" s="53" t="str">
        <f t="shared" ca="1" si="72"/>
        <v/>
      </c>
      <c r="AH40" s="47" t="str">
        <f t="shared" ca="1" si="89"/>
        <v/>
      </c>
      <c r="AI40" s="111" t="str">
        <f t="shared" ca="1" si="90"/>
        <v/>
      </c>
      <c r="AJ40" s="397" t="str">
        <f t="shared" ca="1" si="73"/>
        <v/>
      </c>
      <c r="AK40" s="372" t="str">
        <f ca="1">IFERROR(INDEX(ICE[], MATCH("tc2" &amp; TEXT(Hvy!$A40, "mmmyy"), ICE[LongCode], 0), MATCH("Text", ICE[#Headers], 0)), "")</f>
        <v/>
      </c>
      <c r="AL40" s="46" t="str">
        <f t="shared" ca="1" si="64"/>
        <v/>
      </c>
      <c r="AM40" s="47" t="str">
        <f t="shared" ca="1" si="91"/>
        <v/>
      </c>
      <c r="AN40" s="46" t="str">
        <f t="shared" ca="1" si="92"/>
        <v/>
      </c>
      <c r="AO40" s="49" t="str">
        <f t="shared" ca="1" si="74"/>
        <v/>
      </c>
      <c r="AP40" s="53" t="str">
        <f t="shared" ca="1" si="65"/>
        <v/>
      </c>
      <c r="AQ40" s="47" t="str">
        <f t="shared" ca="1" si="93"/>
        <v/>
      </c>
      <c r="AR40" s="111" t="str">
        <f t="shared" ca="1" si="94"/>
        <v/>
      </c>
      <c r="AS40" s="397" t="str">
        <f t="shared" ca="1" si="75"/>
        <v/>
      </c>
      <c r="AT40" s="372" t="str">
        <f ca="1">IFERROR(INDEX(ICE[], MATCH("tc14" &amp; TEXT(Hvy!$A40, "mmmyy"), ICE[LongCode], 0), MATCH("Text", ICE[#Headers], 0)), "")</f>
        <v/>
      </c>
      <c r="AU40" s="46" t="str">
        <f t="shared" ca="1" si="76"/>
        <v/>
      </c>
      <c r="AV40" s="47" t="str">
        <f t="shared" ca="1" si="95"/>
        <v/>
      </c>
      <c r="AW40" s="46" t="str">
        <f t="shared" ca="1" si="96"/>
        <v/>
      </c>
      <c r="AX40" s="49" t="str">
        <f t="shared" ca="1" si="77"/>
        <v/>
      </c>
      <c r="AY40" s="53" t="str">
        <f t="shared" ca="1" si="78"/>
        <v/>
      </c>
      <c r="AZ40" s="47" t="str">
        <f t="shared" ca="1" si="97"/>
        <v/>
      </c>
      <c r="BA40" s="111" t="str">
        <f t="shared" ca="1" si="98"/>
        <v/>
      </c>
    </row>
    <row r="41" spans="1:53" x14ac:dyDescent="0.25">
      <c r="A41" s="58">
        <f t="shared" ca="1" si="79"/>
        <v>46935</v>
      </c>
      <c r="B41" s="6">
        <f t="shared" ca="1" si="59"/>
        <v>2028</v>
      </c>
      <c r="C41" s="6" t="str">
        <f t="shared" ca="1" si="66"/>
        <v>Q328</v>
      </c>
      <c r="D41" s="28" t="e">
        <f ca="1">INDEX(ICE[], MATCH(D$18 &amp; TEXT($A41, "mmmyy"), ICE[LongCode], 0), MATCH("Settle", ICE[#Headers], 0))</f>
        <v>#N/A</v>
      </c>
      <c r="E41" s="28" t="e">
        <f ca="1">INDEX(ICE[], MATCH(E$18 &amp; TEXT($A41, "mmmyy"), ICE[LongCode], 0), MATCH("Settle", ICE[#Headers], 0))</f>
        <v>#N/A</v>
      </c>
      <c r="F41" s="28" t="e">
        <f ca="1">INDEX(ICE[], MATCH(F$18 &amp; TEXT($A41, "mmmyy"), ICE[LongCode], 0), MATCH("Settle", ICE[#Headers], 0))</f>
        <v>#N/A</v>
      </c>
      <c r="G41" s="28" t="e">
        <f ca="1">INDEX(ICE[], MATCH(G$18 &amp; TEXT($A41, "mmmyy"), ICE[LongCode], 0), MATCH("Settle", ICE[#Headers], 0))</f>
        <v>#N/A</v>
      </c>
      <c r="H41" s="28" t="e">
        <f ca="1">INDEX(ICE[], MATCH(H$18 &amp; TEXT($A41, "mmmyy"), ICE[LongCode], 0), MATCH("Settle", ICE[#Headers], 0))</f>
        <v>#N/A</v>
      </c>
      <c r="I41" s="397" t="str">
        <f ca="1">IFERROR(INDEX(ICE[], MATCH("td3c" &amp; TEXT(Crd!$A41, "mmmyy"), ICE[LongCode], 0), MATCH("ICE Theoretical Price", ICE[#Headers], 0)), "")</f>
        <v/>
      </c>
      <c r="J41" s="372" t="str">
        <f ca="1">IFERROR(INDEX(ICE[], MATCH("td3c" &amp; TEXT($A41, "mmmyy"), ICE[LongCode], 0), MATCH("Text", ICE[#Headers], 0)), "")</f>
        <v/>
      </c>
      <c r="K41" s="46" t="str">
        <f t="shared" ca="1" si="60"/>
        <v/>
      </c>
      <c r="L41" s="47" t="str">
        <f t="shared" ca="1" si="67"/>
        <v/>
      </c>
      <c r="M41" s="46" t="str">
        <f t="shared" ca="1" si="80"/>
        <v/>
      </c>
      <c r="N41" s="49" t="str">
        <f t="shared" ca="1" si="68"/>
        <v/>
      </c>
      <c r="O41" s="53" t="str">
        <f t="shared" ca="1" si="61"/>
        <v/>
      </c>
      <c r="P41" s="47" t="str">
        <f t="shared" ca="1" si="81"/>
        <v/>
      </c>
      <c r="Q41" s="111" t="str">
        <f t="shared" ca="1" si="82"/>
        <v/>
      </c>
      <c r="R41" s="397" t="str">
        <f ca="1">IFERROR(INDEX(ICE[], MATCH("afra" &amp; TEXT(Crd!$A41, "mmmyy"), ICE[LongCode], 0), MATCH("ICE Theoretical Price", ICE[#Headers], 0)), "")</f>
        <v/>
      </c>
      <c r="S41" s="372" t="str">
        <f ca="1">IFERROR(INDEX(ICE[], MATCH("afra" &amp; TEXT($A41, "mmmyy"), ICE[LongCode], 0), MATCH("Text", ICE[#Headers], 0)), "")</f>
        <v/>
      </c>
      <c r="T41" s="46" t="str">
        <f t="shared" ca="1" si="62"/>
        <v/>
      </c>
      <c r="U41" s="47" t="str">
        <f t="shared" ca="1" si="83"/>
        <v/>
      </c>
      <c r="V41" s="46" t="str">
        <f t="shared" ca="1" si="84"/>
        <v/>
      </c>
      <c r="W41" s="49" t="str">
        <f t="shared" ca="1" si="69"/>
        <v/>
      </c>
      <c r="X41" s="53" t="str">
        <f t="shared" ca="1" si="63"/>
        <v/>
      </c>
      <c r="Y41" s="47" t="str">
        <f t="shared" ca="1" si="85"/>
        <v/>
      </c>
      <c r="Z41" s="111" t="str">
        <f t="shared" ca="1" si="86"/>
        <v/>
      </c>
      <c r="AA41" s="397" t="str">
        <f ca="1">IFERROR(INDEX(ICE[], MATCH("tc5" &amp; TEXT(Crd!$A41, "mmmyy"), ICE[LongCode], 0), MATCH("ICE Theoretical Price", ICE[#Headers], 0)), "")</f>
        <v/>
      </c>
      <c r="AB41" s="372" t="str">
        <f ca="1">IFERROR(INDEX(ICE[], MATCH("tc5" &amp; TEXT(Hvy!$A41, "mmmyy"), ICE[LongCode], 0), MATCH("Text", ICE[#Headers], 0)), "")</f>
        <v/>
      </c>
      <c r="AC41" s="46" t="str">
        <f t="shared" ca="1" si="70"/>
        <v/>
      </c>
      <c r="AD41" s="47" t="str">
        <f t="shared" ca="1" si="87"/>
        <v/>
      </c>
      <c r="AE41" s="46" t="str">
        <f t="shared" ca="1" si="88"/>
        <v/>
      </c>
      <c r="AF41" s="49" t="str">
        <f t="shared" ca="1" si="71"/>
        <v/>
      </c>
      <c r="AG41" s="53" t="str">
        <f t="shared" ca="1" si="72"/>
        <v/>
      </c>
      <c r="AH41" s="47" t="str">
        <f t="shared" ca="1" si="89"/>
        <v/>
      </c>
      <c r="AI41" s="111" t="str">
        <f t="shared" ca="1" si="90"/>
        <v/>
      </c>
      <c r="AJ41" s="397" t="str">
        <f t="shared" ca="1" si="73"/>
        <v/>
      </c>
      <c r="AK41" s="372" t="str">
        <f ca="1">IFERROR(INDEX(ICE[], MATCH("tc2" &amp; TEXT(Hvy!$A41, "mmmyy"), ICE[LongCode], 0), MATCH("Text", ICE[#Headers], 0)), "")</f>
        <v/>
      </c>
      <c r="AL41" s="46" t="str">
        <f t="shared" ca="1" si="64"/>
        <v/>
      </c>
      <c r="AM41" s="47" t="str">
        <f t="shared" ca="1" si="91"/>
        <v/>
      </c>
      <c r="AN41" s="46" t="str">
        <f t="shared" ca="1" si="92"/>
        <v/>
      </c>
      <c r="AO41" s="49" t="str">
        <f t="shared" ca="1" si="74"/>
        <v/>
      </c>
      <c r="AP41" s="53" t="str">
        <f t="shared" ca="1" si="65"/>
        <v/>
      </c>
      <c r="AQ41" s="47" t="str">
        <f t="shared" ca="1" si="93"/>
        <v/>
      </c>
      <c r="AR41" s="111" t="str">
        <f t="shared" ca="1" si="94"/>
        <v/>
      </c>
      <c r="AS41" s="397" t="str">
        <f t="shared" ca="1" si="75"/>
        <v/>
      </c>
      <c r="AT41" s="372" t="str">
        <f ca="1">IFERROR(INDEX(ICE[], MATCH("tc14" &amp; TEXT(Hvy!$A41, "mmmyy"), ICE[LongCode], 0), MATCH("Text", ICE[#Headers], 0)), "")</f>
        <v/>
      </c>
      <c r="AU41" s="46" t="str">
        <f t="shared" ca="1" si="76"/>
        <v/>
      </c>
      <c r="AV41" s="47" t="str">
        <f t="shared" ca="1" si="95"/>
        <v/>
      </c>
      <c r="AW41" s="46" t="str">
        <f t="shared" ca="1" si="96"/>
        <v/>
      </c>
      <c r="AX41" s="49" t="str">
        <f t="shared" ca="1" si="77"/>
        <v/>
      </c>
      <c r="AY41" s="53" t="str">
        <f t="shared" ca="1" si="78"/>
        <v/>
      </c>
      <c r="AZ41" s="47" t="str">
        <f t="shared" ca="1" si="97"/>
        <v/>
      </c>
      <c r="BA41" s="111" t="str">
        <f t="shared" ca="1" si="98"/>
        <v/>
      </c>
    </row>
    <row r="42" spans="1:53" x14ac:dyDescent="0.25">
      <c r="A42" s="58">
        <f t="shared" ca="1" si="79"/>
        <v>46966</v>
      </c>
      <c r="B42" s="6">
        <f t="shared" ca="1" si="59"/>
        <v>2028</v>
      </c>
      <c r="C42" s="6" t="str">
        <f t="shared" ca="1" si="66"/>
        <v>Q328</v>
      </c>
      <c r="D42" s="28" t="e">
        <f ca="1">INDEX(ICE[], MATCH(D$18 &amp; TEXT($A42, "mmmyy"), ICE[LongCode], 0), MATCH("Settle", ICE[#Headers], 0))</f>
        <v>#N/A</v>
      </c>
      <c r="E42" s="28" t="e">
        <f ca="1">INDEX(ICE[], MATCH(E$18 &amp; TEXT($A42, "mmmyy"), ICE[LongCode], 0), MATCH("Settle", ICE[#Headers], 0))</f>
        <v>#N/A</v>
      </c>
      <c r="F42" s="28" t="e">
        <f ca="1">INDEX(ICE[], MATCH(F$18 &amp; TEXT($A42, "mmmyy"), ICE[LongCode], 0), MATCH("Settle", ICE[#Headers], 0))</f>
        <v>#N/A</v>
      </c>
      <c r="G42" s="28" t="e">
        <f ca="1">INDEX(ICE[], MATCH(G$18 &amp; TEXT($A42, "mmmyy"), ICE[LongCode], 0), MATCH("Settle", ICE[#Headers], 0))</f>
        <v>#N/A</v>
      </c>
      <c r="H42" s="28" t="e">
        <f ca="1">INDEX(ICE[], MATCH(H$18 &amp; TEXT($A42, "mmmyy"), ICE[LongCode], 0), MATCH("Settle", ICE[#Headers], 0))</f>
        <v>#N/A</v>
      </c>
      <c r="I42" s="397" t="str">
        <f ca="1">IFERROR(INDEX(ICE[], MATCH("td3c" &amp; TEXT(Crd!$A42, "mmmyy"), ICE[LongCode], 0), MATCH("ICE Theoretical Price", ICE[#Headers], 0)), "")</f>
        <v/>
      </c>
      <c r="J42" s="372" t="str">
        <f ca="1">IFERROR(INDEX(ICE[], MATCH("td3c" &amp; TEXT($A42, "mmmyy"), ICE[LongCode], 0), MATCH("Text", ICE[#Headers], 0)), "")</f>
        <v/>
      </c>
      <c r="K42" s="46" t="str">
        <f t="shared" ca="1" si="60"/>
        <v/>
      </c>
      <c r="L42" s="47" t="str">
        <f t="shared" ca="1" si="67"/>
        <v/>
      </c>
      <c r="M42" s="46" t="str">
        <f t="shared" ca="1" si="80"/>
        <v/>
      </c>
      <c r="N42" s="49" t="str">
        <f t="shared" ca="1" si="68"/>
        <v/>
      </c>
      <c r="O42" s="53" t="str">
        <f t="shared" ca="1" si="61"/>
        <v/>
      </c>
      <c r="P42" s="47" t="str">
        <f t="shared" ca="1" si="81"/>
        <v/>
      </c>
      <c r="Q42" s="111" t="str">
        <f t="shared" ca="1" si="82"/>
        <v/>
      </c>
      <c r="R42" s="397" t="str">
        <f ca="1">IFERROR(INDEX(ICE[], MATCH("afra" &amp; TEXT(Crd!$A42, "mmmyy"), ICE[LongCode], 0), MATCH("ICE Theoretical Price", ICE[#Headers], 0)), "")</f>
        <v/>
      </c>
      <c r="S42" s="372" t="str">
        <f ca="1">IFERROR(INDEX(ICE[], MATCH("afra" &amp; TEXT($A42, "mmmyy"), ICE[LongCode], 0), MATCH("Text", ICE[#Headers], 0)), "")</f>
        <v/>
      </c>
      <c r="T42" s="46" t="str">
        <f t="shared" ca="1" si="62"/>
        <v/>
      </c>
      <c r="U42" s="47" t="str">
        <f t="shared" ca="1" si="83"/>
        <v/>
      </c>
      <c r="V42" s="46" t="str">
        <f t="shared" ca="1" si="84"/>
        <v/>
      </c>
      <c r="W42" s="49" t="str">
        <f t="shared" ca="1" si="69"/>
        <v/>
      </c>
      <c r="X42" s="53" t="str">
        <f t="shared" ca="1" si="63"/>
        <v/>
      </c>
      <c r="Y42" s="47" t="str">
        <f t="shared" ca="1" si="85"/>
        <v/>
      </c>
      <c r="Z42" s="111" t="str">
        <f t="shared" ca="1" si="86"/>
        <v/>
      </c>
      <c r="AA42" s="397" t="str">
        <f ca="1">IFERROR(INDEX(ICE[], MATCH("tc5" &amp; TEXT(Crd!$A42, "mmmyy"), ICE[LongCode], 0), MATCH("ICE Theoretical Price", ICE[#Headers], 0)), "")</f>
        <v/>
      </c>
      <c r="AB42" s="372" t="str">
        <f ca="1">IFERROR(INDEX(ICE[], MATCH("tc5" &amp; TEXT(Hvy!$A42, "mmmyy"), ICE[LongCode], 0), MATCH("Text", ICE[#Headers], 0)), "")</f>
        <v/>
      </c>
      <c r="AC42" s="46" t="str">
        <f t="shared" ca="1" si="70"/>
        <v/>
      </c>
      <c r="AD42" s="47" t="str">
        <f t="shared" ca="1" si="87"/>
        <v/>
      </c>
      <c r="AE42" s="46" t="str">
        <f t="shared" ca="1" si="88"/>
        <v/>
      </c>
      <c r="AF42" s="49" t="str">
        <f t="shared" ca="1" si="71"/>
        <v/>
      </c>
      <c r="AG42" s="53" t="str">
        <f t="shared" ca="1" si="72"/>
        <v/>
      </c>
      <c r="AH42" s="47" t="str">
        <f t="shared" ca="1" si="89"/>
        <v/>
      </c>
      <c r="AI42" s="111" t="str">
        <f t="shared" ca="1" si="90"/>
        <v/>
      </c>
      <c r="AJ42" s="397" t="str">
        <f t="shared" ca="1" si="73"/>
        <v/>
      </c>
      <c r="AK42" s="372" t="str">
        <f ca="1">IFERROR(INDEX(ICE[], MATCH("tc2" &amp; TEXT(Hvy!$A42, "mmmyy"), ICE[LongCode], 0), MATCH("Text", ICE[#Headers], 0)), "")</f>
        <v/>
      </c>
      <c r="AL42" s="46" t="str">
        <f t="shared" ca="1" si="64"/>
        <v/>
      </c>
      <c r="AM42" s="47" t="str">
        <f t="shared" ca="1" si="91"/>
        <v/>
      </c>
      <c r="AN42" s="46" t="str">
        <f t="shared" ca="1" si="92"/>
        <v/>
      </c>
      <c r="AO42" s="49" t="str">
        <f t="shared" ca="1" si="74"/>
        <v/>
      </c>
      <c r="AP42" s="53" t="str">
        <f t="shared" ca="1" si="65"/>
        <v/>
      </c>
      <c r="AQ42" s="47" t="str">
        <f t="shared" ca="1" si="93"/>
        <v/>
      </c>
      <c r="AR42" s="111" t="str">
        <f t="shared" ca="1" si="94"/>
        <v/>
      </c>
      <c r="AS42" s="397" t="str">
        <f t="shared" ca="1" si="75"/>
        <v/>
      </c>
      <c r="AT42" s="372" t="str">
        <f ca="1">IFERROR(INDEX(ICE[], MATCH("tc14" &amp; TEXT(Hvy!$A42, "mmmyy"), ICE[LongCode], 0), MATCH("Text", ICE[#Headers], 0)), "")</f>
        <v/>
      </c>
      <c r="AU42" s="46" t="str">
        <f t="shared" ca="1" si="76"/>
        <v/>
      </c>
      <c r="AV42" s="47" t="str">
        <f t="shared" ca="1" si="95"/>
        <v/>
      </c>
      <c r="AW42" s="46" t="str">
        <f t="shared" ca="1" si="96"/>
        <v/>
      </c>
      <c r="AX42" s="49" t="str">
        <f t="shared" ca="1" si="77"/>
        <v/>
      </c>
      <c r="AY42" s="53" t="str">
        <f t="shared" ca="1" si="78"/>
        <v/>
      </c>
      <c r="AZ42" s="47" t="str">
        <f t="shared" ca="1" si="97"/>
        <v/>
      </c>
      <c r="BA42" s="111" t="str">
        <f t="shared" ca="1" si="98"/>
        <v/>
      </c>
    </row>
    <row r="43" spans="1:53" x14ac:dyDescent="0.25">
      <c r="A43" s="58">
        <f t="shared" ca="1" si="79"/>
        <v>46997</v>
      </c>
      <c r="B43" s="6">
        <f t="shared" ca="1" si="59"/>
        <v>2028</v>
      </c>
      <c r="C43" s="6" t="str">
        <f t="shared" ca="1" si="66"/>
        <v>Q328</v>
      </c>
      <c r="D43" s="28" t="e">
        <f ca="1">INDEX(ICE[], MATCH(D$18 &amp; TEXT($A43, "mmmyy"), ICE[LongCode], 0), MATCH("Settle", ICE[#Headers], 0))</f>
        <v>#N/A</v>
      </c>
      <c r="E43" s="28" t="e">
        <f ca="1">INDEX(ICE[], MATCH(E$18 &amp; TEXT($A43, "mmmyy"), ICE[LongCode], 0), MATCH("Settle", ICE[#Headers], 0))</f>
        <v>#N/A</v>
      </c>
      <c r="F43" s="28" t="e">
        <f ca="1">INDEX(ICE[], MATCH(F$18 &amp; TEXT($A43, "mmmyy"), ICE[LongCode], 0), MATCH("Settle", ICE[#Headers], 0))</f>
        <v>#N/A</v>
      </c>
      <c r="G43" s="28" t="e">
        <f ca="1">INDEX(ICE[], MATCH(G$18 &amp; TEXT($A43, "mmmyy"), ICE[LongCode], 0), MATCH("Settle", ICE[#Headers], 0))</f>
        <v>#N/A</v>
      </c>
      <c r="H43" s="28" t="e">
        <f ca="1">INDEX(ICE[], MATCH(H$18 &amp; TEXT($A43, "mmmyy"), ICE[LongCode], 0), MATCH("Settle", ICE[#Headers], 0))</f>
        <v>#N/A</v>
      </c>
      <c r="I43" s="397" t="str">
        <f ca="1">IFERROR(INDEX(ICE[], MATCH("td3c" &amp; TEXT(Crd!$A43, "mmmyy"), ICE[LongCode], 0), MATCH("ICE Theoretical Price", ICE[#Headers], 0)), "")</f>
        <v/>
      </c>
      <c r="J43" s="372" t="str">
        <f ca="1">IFERROR(INDEX(ICE[], MATCH("td3c" &amp; TEXT($A43, "mmmyy"), ICE[LongCode], 0), MATCH("Text", ICE[#Headers], 0)), "")</f>
        <v/>
      </c>
      <c r="K43" s="46" t="str">
        <f t="shared" ca="1" si="60"/>
        <v/>
      </c>
      <c r="L43" s="47" t="str">
        <f t="shared" ca="1" si="67"/>
        <v/>
      </c>
      <c r="M43" s="46" t="str">
        <f t="shared" ca="1" si="80"/>
        <v/>
      </c>
      <c r="N43" s="49" t="str">
        <f t="shared" ca="1" si="68"/>
        <v/>
      </c>
      <c r="O43" s="53" t="str">
        <f t="shared" ca="1" si="61"/>
        <v/>
      </c>
      <c r="P43" s="47" t="str">
        <f t="shared" ca="1" si="81"/>
        <v/>
      </c>
      <c r="Q43" s="111" t="str">
        <f t="shared" ca="1" si="82"/>
        <v/>
      </c>
      <c r="R43" s="397" t="str">
        <f ca="1">IFERROR(INDEX(ICE[], MATCH("afra" &amp; TEXT(Crd!$A43, "mmmyy"), ICE[LongCode], 0), MATCH("ICE Theoretical Price", ICE[#Headers], 0)), "")</f>
        <v/>
      </c>
      <c r="S43" s="372" t="str">
        <f ca="1">IFERROR(INDEX(ICE[], MATCH("afra" &amp; TEXT($A43, "mmmyy"), ICE[LongCode], 0), MATCH("Text", ICE[#Headers], 0)), "")</f>
        <v/>
      </c>
      <c r="T43" s="46" t="str">
        <f t="shared" ca="1" si="62"/>
        <v/>
      </c>
      <c r="U43" s="47" t="str">
        <f t="shared" ca="1" si="83"/>
        <v/>
      </c>
      <c r="V43" s="46" t="str">
        <f t="shared" ca="1" si="84"/>
        <v/>
      </c>
      <c r="W43" s="49" t="str">
        <f t="shared" ca="1" si="69"/>
        <v/>
      </c>
      <c r="X43" s="53" t="str">
        <f t="shared" ca="1" si="63"/>
        <v/>
      </c>
      <c r="Y43" s="47" t="str">
        <f t="shared" ca="1" si="85"/>
        <v/>
      </c>
      <c r="Z43" s="111" t="str">
        <f t="shared" ca="1" si="86"/>
        <v/>
      </c>
      <c r="AA43" s="397" t="str">
        <f ca="1">IFERROR(INDEX(ICE[], MATCH("tc5" &amp; TEXT(Crd!$A43, "mmmyy"), ICE[LongCode], 0), MATCH("ICE Theoretical Price", ICE[#Headers], 0)), "")</f>
        <v/>
      </c>
      <c r="AB43" s="372" t="str">
        <f ca="1">IFERROR(INDEX(ICE[], MATCH("tc5" &amp; TEXT(Hvy!$A43, "mmmyy"), ICE[LongCode], 0), MATCH("Text", ICE[#Headers], 0)), "")</f>
        <v/>
      </c>
      <c r="AC43" s="46" t="str">
        <f t="shared" ca="1" si="70"/>
        <v/>
      </c>
      <c r="AD43" s="47" t="str">
        <f t="shared" ca="1" si="87"/>
        <v/>
      </c>
      <c r="AE43" s="46" t="str">
        <f t="shared" ca="1" si="88"/>
        <v/>
      </c>
      <c r="AF43" s="49" t="str">
        <f t="shared" ca="1" si="71"/>
        <v/>
      </c>
      <c r="AG43" s="53" t="str">
        <f t="shared" ca="1" si="72"/>
        <v/>
      </c>
      <c r="AH43" s="47" t="str">
        <f t="shared" ca="1" si="89"/>
        <v/>
      </c>
      <c r="AI43" s="111" t="str">
        <f t="shared" ca="1" si="90"/>
        <v/>
      </c>
      <c r="AJ43" s="397" t="str">
        <f t="shared" ca="1" si="73"/>
        <v/>
      </c>
      <c r="AK43" s="372" t="str">
        <f ca="1">IFERROR(INDEX(ICE[], MATCH("tc2" &amp; TEXT(Hvy!$A43, "mmmyy"), ICE[LongCode], 0), MATCH("Text", ICE[#Headers], 0)), "")</f>
        <v/>
      </c>
      <c r="AL43" s="46" t="str">
        <f t="shared" ca="1" si="64"/>
        <v/>
      </c>
      <c r="AM43" s="47" t="str">
        <f t="shared" ca="1" si="91"/>
        <v/>
      </c>
      <c r="AN43" s="46" t="str">
        <f t="shared" ca="1" si="92"/>
        <v/>
      </c>
      <c r="AO43" s="49" t="str">
        <f t="shared" ca="1" si="74"/>
        <v/>
      </c>
      <c r="AP43" s="53" t="str">
        <f t="shared" ca="1" si="65"/>
        <v/>
      </c>
      <c r="AQ43" s="47" t="str">
        <f t="shared" ca="1" si="93"/>
        <v/>
      </c>
      <c r="AR43" s="111" t="str">
        <f t="shared" ca="1" si="94"/>
        <v/>
      </c>
      <c r="AS43" s="397" t="str">
        <f t="shared" ca="1" si="75"/>
        <v/>
      </c>
      <c r="AT43" s="372" t="str">
        <f ca="1">IFERROR(INDEX(ICE[], MATCH("tc14" &amp; TEXT(Hvy!$A43, "mmmyy"), ICE[LongCode], 0), MATCH("Text", ICE[#Headers], 0)), "")</f>
        <v/>
      </c>
      <c r="AU43" s="46" t="str">
        <f t="shared" ca="1" si="76"/>
        <v/>
      </c>
      <c r="AV43" s="47" t="str">
        <f t="shared" ca="1" si="95"/>
        <v/>
      </c>
      <c r="AW43" s="46" t="str">
        <f t="shared" ca="1" si="96"/>
        <v/>
      </c>
      <c r="AX43" s="49" t="str">
        <f t="shared" ca="1" si="77"/>
        <v/>
      </c>
      <c r="AY43" s="53" t="str">
        <f t="shared" ca="1" si="78"/>
        <v/>
      </c>
      <c r="AZ43" s="47" t="str">
        <f t="shared" ca="1" si="97"/>
        <v/>
      </c>
      <c r="BA43" s="111" t="str">
        <f t="shared" ca="1" si="98"/>
        <v/>
      </c>
    </row>
    <row r="44" spans="1:53" x14ac:dyDescent="0.25">
      <c r="A44" s="58">
        <f t="shared" ca="1" si="79"/>
        <v>47027</v>
      </c>
      <c r="B44" s="6">
        <f t="shared" ca="1" si="59"/>
        <v>2028</v>
      </c>
      <c r="C44" s="6" t="str">
        <f t="shared" ca="1" si="66"/>
        <v>Q428</v>
      </c>
      <c r="D44" s="28" t="e">
        <f ca="1">INDEX(ICE[], MATCH(D$18 &amp; TEXT($A44, "mmmyy"), ICE[LongCode], 0), MATCH("Settle", ICE[#Headers], 0))</f>
        <v>#N/A</v>
      </c>
      <c r="E44" s="28" t="e">
        <f ca="1">INDEX(ICE[], MATCH(E$18 &amp; TEXT($A44, "mmmyy"), ICE[LongCode], 0), MATCH("Settle", ICE[#Headers], 0))</f>
        <v>#N/A</v>
      </c>
      <c r="F44" s="28" t="e">
        <f ca="1">INDEX(ICE[], MATCH(F$18 &amp; TEXT($A44, "mmmyy"), ICE[LongCode], 0), MATCH("Settle", ICE[#Headers], 0))</f>
        <v>#N/A</v>
      </c>
      <c r="G44" s="28" t="e">
        <f ca="1">INDEX(ICE[], MATCH(G$18 &amp; TEXT($A44, "mmmyy"), ICE[LongCode], 0), MATCH("Settle", ICE[#Headers], 0))</f>
        <v>#N/A</v>
      </c>
      <c r="H44" s="28" t="e">
        <f ca="1">INDEX(ICE[], MATCH(H$18 &amp; TEXT($A44, "mmmyy"), ICE[LongCode], 0), MATCH("Settle", ICE[#Headers], 0))</f>
        <v>#N/A</v>
      </c>
      <c r="I44" s="397" t="str">
        <f ca="1">IFERROR(INDEX(ICE[], MATCH("td3c" &amp; TEXT(Crd!$A44, "mmmyy"), ICE[LongCode], 0), MATCH("ICE Theoretical Price", ICE[#Headers], 0)), "")</f>
        <v/>
      </c>
      <c r="J44" s="372" t="str">
        <f ca="1">IFERROR(INDEX(ICE[], MATCH("td3c" &amp; TEXT($A44, "mmmyy"), ICE[LongCode], 0), MATCH("Text", ICE[#Headers], 0)), "")</f>
        <v/>
      </c>
      <c r="K44" s="46" t="str">
        <f t="shared" ca="1" si="60"/>
        <v/>
      </c>
      <c r="L44" s="47" t="str">
        <f t="shared" ca="1" si="67"/>
        <v/>
      </c>
      <c r="M44" s="46" t="str">
        <f t="shared" ca="1" si="80"/>
        <v/>
      </c>
      <c r="N44" s="49" t="str">
        <f t="shared" ca="1" si="68"/>
        <v/>
      </c>
      <c r="O44" s="53" t="str">
        <f t="shared" ca="1" si="61"/>
        <v/>
      </c>
      <c r="P44" s="47" t="str">
        <f t="shared" ca="1" si="81"/>
        <v/>
      </c>
      <c r="Q44" s="111" t="str">
        <f t="shared" ca="1" si="82"/>
        <v/>
      </c>
      <c r="R44" s="397" t="str">
        <f ca="1">IFERROR(INDEX(ICE[], MATCH("afra" &amp; TEXT(Crd!$A44, "mmmyy"), ICE[LongCode], 0), MATCH("ICE Theoretical Price", ICE[#Headers], 0)), "")</f>
        <v/>
      </c>
      <c r="S44" s="372" t="str">
        <f ca="1">IFERROR(INDEX(ICE[], MATCH("afra" &amp; TEXT($A44, "mmmyy"), ICE[LongCode], 0), MATCH("Text", ICE[#Headers], 0)), "")</f>
        <v/>
      </c>
      <c r="T44" s="46" t="str">
        <f t="shared" ca="1" si="62"/>
        <v/>
      </c>
      <c r="U44" s="47" t="str">
        <f t="shared" ca="1" si="83"/>
        <v/>
      </c>
      <c r="V44" s="46" t="str">
        <f t="shared" ca="1" si="84"/>
        <v/>
      </c>
      <c r="W44" s="49" t="str">
        <f t="shared" ca="1" si="69"/>
        <v/>
      </c>
      <c r="X44" s="53" t="str">
        <f t="shared" ca="1" si="63"/>
        <v/>
      </c>
      <c r="Y44" s="47" t="str">
        <f t="shared" ca="1" si="85"/>
        <v/>
      </c>
      <c r="Z44" s="111" t="str">
        <f t="shared" ca="1" si="86"/>
        <v/>
      </c>
      <c r="AA44" s="397" t="str">
        <f ca="1">IFERROR(INDEX(ICE[], MATCH("tc5" &amp; TEXT(Crd!$A44, "mmmyy"), ICE[LongCode], 0), MATCH("ICE Theoretical Price", ICE[#Headers], 0)), "")</f>
        <v/>
      </c>
      <c r="AB44" s="372" t="str">
        <f ca="1">IFERROR(INDEX(ICE[], MATCH("tc5" &amp; TEXT(Hvy!$A44, "mmmyy"), ICE[LongCode], 0), MATCH("Text", ICE[#Headers], 0)), "")</f>
        <v/>
      </c>
      <c r="AC44" s="46" t="str">
        <f t="shared" ca="1" si="70"/>
        <v/>
      </c>
      <c r="AD44" s="47" t="str">
        <f t="shared" ca="1" si="87"/>
        <v/>
      </c>
      <c r="AE44" s="46" t="str">
        <f t="shared" ca="1" si="88"/>
        <v/>
      </c>
      <c r="AF44" s="49" t="str">
        <f t="shared" ca="1" si="71"/>
        <v/>
      </c>
      <c r="AG44" s="53" t="str">
        <f t="shared" ca="1" si="72"/>
        <v/>
      </c>
      <c r="AH44" s="47" t="str">
        <f t="shared" ca="1" si="89"/>
        <v/>
      </c>
      <c r="AI44" s="111" t="str">
        <f t="shared" ca="1" si="90"/>
        <v/>
      </c>
      <c r="AJ44" s="397" t="str">
        <f t="shared" ca="1" si="73"/>
        <v/>
      </c>
      <c r="AK44" s="372" t="str">
        <f ca="1">IFERROR(INDEX(ICE[], MATCH("tc2" &amp; TEXT(Hvy!$A44, "mmmyy"), ICE[LongCode], 0), MATCH("Text", ICE[#Headers], 0)), "")</f>
        <v/>
      </c>
      <c r="AL44" s="46" t="str">
        <f t="shared" ca="1" si="64"/>
        <v/>
      </c>
      <c r="AM44" s="47" t="str">
        <f t="shared" ca="1" si="91"/>
        <v/>
      </c>
      <c r="AN44" s="46" t="str">
        <f t="shared" ca="1" si="92"/>
        <v/>
      </c>
      <c r="AO44" s="49" t="str">
        <f t="shared" ca="1" si="74"/>
        <v/>
      </c>
      <c r="AP44" s="53" t="str">
        <f t="shared" ca="1" si="65"/>
        <v/>
      </c>
      <c r="AQ44" s="47" t="str">
        <f t="shared" ca="1" si="93"/>
        <v/>
      </c>
      <c r="AR44" s="111" t="str">
        <f t="shared" ca="1" si="94"/>
        <v/>
      </c>
      <c r="AS44" s="397" t="str">
        <f t="shared" ca="1" si="75"/>
        <v/>
      </c>
      <c r="AT44" s="372" t="str">
        <f ca="1">IFERROR(INDEX(ICE[], MATCH("tc14" &amp; TEXT(Hvy!$A44, "mmmyy"), ICE[LongCode], 0), MATCH("Text", ICE[#Headers], 0)), "")</f>
        <v/>
      </c>
      <c r="AU44" s="46" t="str">
        <f t="shared" ca="1" si="76"/>
        <v/>
      </c>
      <c r="AV44" s="47" t="str">
        <f t="shared" ca="1" si="95"/>
        <v/>
      </c>
      <c r="AW44" s="46" t="str">
        <f t="shared" ca="1" si="96"/>
        <v/>
      </c>
      <c r="AX44" s="49" t="str">
        <f t="shared" ca="1" si="77"/>
        <v/>
      </c>
      <c r="AY44" s="53" t="str">
        <f t="shared" ca="1" si="78"/>
        <v/>
      </c>
      <c r="AZ44" s="47" t="str">
        <f t="shared" ca="1" si="97"/>
        <v/>
      </c>
      <c r="BA44" s="111" t="str">
        <f t="shared" ca="1" si="98"/>
        <v/>
      </c>
    </row>
    <row r="45" spans="1:53" x14ac:dyDescent="0.25">
      <c r="A45" s="58">
        <f t="shared" ca="1" si="79"/>
        <v>47058</v>
      </c>
      <c r="B45" s="6">
        <f t="shared" ca="1" si="59"/>
        <v>2028</v>
      </c>
      <c r="C45" s="6" t="str">
        <f t="shared" ca="1" si="66"/>
        <v>Q428</v>
      </c>
      <c r="D45" s="28" t="e">
        <f ca="1">INDEX(ICE[], MATCH(D$18 &amp; TEXT($A45, "mmmyy"), ICE[LongCode], 0), MATCH("Settle", ICE[#Headers], 0))</f>
        <v>#N/A</v>
      </c>
      <c r="E45" s="28" t="e">
        <f ca="1">INDEX(ICE[], MATCH(E$18 &amp; TEXT($A45, "mmmyy"), ICE[LongCode], 0), MATCH("Settle", ICE[#Headers], 0))</f>
        <v>#N/A</v>
      </c>
      <c r="F45" s="28" t="e">
        <f ca="1">INDEX(ICE[], MATCH(F$18 &amp; TEXT($A45, "mmmyy"), ICE[LongCode], 0), MATCH("Settle", ICE[#Headers], 0))</f>
        <v>#N/A</v>
      </c>
      <c r="G45" s="28" t="e">
        <f ca="1">INDEX(ICE[], MATCH(G$18 &amp; TEXT($A45, "mmmyy"), ICE[LongCode], 0), MATCH("Settle", ICE[#Headers], 0))</f>
        <v>#N/A</v>
      </c>
      <c r="H45" s="28" t="e">
        <f ca="1">INDEX(ICE[], MATCH(H$18 &amp; TEXT($A45, "mmmyy"), ICE[LongCode], 0), MATCH("Settle", ICE[#Headers], 0))</f>
        <v>#N/A</v>
      </c>
      <c r="I45" s="397" t="str">
        <f ca="1">IFERROR(INDEX(ICE[], MATCH("td3c" &amp; TEXT(Crd!$A45, "mmmyy"), ICE[LongCode], 0), MATCH("ICE Theoretical Price", ICE[#Headers], 0)), "")</f>
        <v/>
      </c>
      <c r="J45" s="372" t="str">
        <f ca="1">IFERROR(INDEX(ICE[], MATCH("td3c" &amp; TEXT($A45, "mmmyy"), ICE[LongCode], 0), MATCH("Text", ICE[#Headers], 0)), "")</f>
        <v/>
      </c>
      <c r="K45" s="46" t="str">
        <f t="shared" ca="1" si="60"/>
        <v/>
      </c>
      <c r="L45" s="47" t="str">
        <f t="shared" ca="1" si="67"/>
        <v/>
      </c>
      <c r="M45" s="46" t="str">
        <f t="shared" ca="1" si="80"/>
        <v/>
      </c>
      <c r="N45" s="49" t="str">
        <f t="shared" ca="1" si="68"/>
        <v/>
      </c>
      <c r="O45" s="53" t="str">
        <f t="shared" ca="1" si="61"/>
        <v/>
      </c>
      <c r="P45" s="47" t="str">
        <f t="shared" ca="1" si="81"/>
        <v/>
      </c>
      <c r="Q45" s="111" t="str">
        <f t="shared" ca="1" si="82"/>
        <v/>
      </c>
      <c r="R45" s="397" t="str">
        <f ca="1">IFERROR(INDEX(ICE[], MATCH("afra" &amp; TEXT(Crd!$A45, "mmmyy"), ICE[LongCode], 0), MATCH("ICE Theoretical Price", ICE[#Headers], 0)), "")</f>
        <v/>
      </c>
      <c r="S45" s="372" t="str">
        <f ca="1">IFERROR(INDEX(ICE[], MATCH("afra" &amp; TEXT($A45, "mmmyy"), ICE[LongCode], 0), MATCH("Text", ICE[#Headers], 0)), "")</f>
        <v/>
      </c>
      <c r="T45" s="46" t="str">
        <f t="shared" ca="1" si="62"/>
        <v/>
      </c>
      <c r="U45" s="47" t="str">
        <f t="shared" ca="1" si="83"/>
        <v/>
      </c>
      <c r="V45" s="46" t="str">
        <f t="shared" ca="1" si="84"/>
        <v/>
      </c>
      <c r="W45" s="49" t="str">
        <f t="shared" ca="1" si="69"/>
        <v/>
      </c>
      <c r="X45" s="53" t="str">
        <f t="shared" ca="1" si="63"/>
        <v/>
      </c>
      <c r="Y45" s="47" t="str">
        <f t="shared" ca="1" si="85"/>
        <v/>
      </c>
      <c r="Z45" s="111" t="str">
        <f t="shared" ca="1" si="86"/>
        <v/>
      </c>
      <c r="AA45" s="397" t="str">
        <f ca="1">IFERROR(INDEX(ICE[], MATCH("tc5" &amp; TEXT(Crd!$A45, "mmmyy"), ICE[LongCode], 0), MATCH("ICE Theoretical Price", ICE[#Headers], 0)), "")</f>
        <v/>
      </c>
      <c r="AB45" s="372" t="str">
        <f ca="1">IFERROR(INDEX(ICE[], MATCH("tc5" &amp; TEXT(Hvy!$A45, "mmmyy"), ICE[LongCode], 0), MATCH("Text", ICE[#Headers], 0)), "")</f>
        <v/>
      </c>
      <c r="AC45" s="46" t="str">
        <f t="shared" ca="1" si="70"/>
        <v/>
      </c>
      <c r="AD45" s="47" t="str">
        <f t="shared" ca="1" si="87"/>
        <v/>
      </c>
      <c r="AE45" s="46" t="str">
        <f t="shared" ca="1" si="88"/>
        <v/>
      </c>
      <c r="AF45" s="49" t="str">
        <f t="shared" ca="1" si="71"/>
        <v/>
      </c>
      <c r="AG45" s="53" t="str">
        <f t="shared" ca="1" si="72"/>
        <v/>
      </c>
      <c r="AH45" s="47" t="str">
        <f t="shared" ca="1" si="89"/>
        <v/>
      </c>
      <c r="AI45" s="111" t="str">
        <f t="shared" ca="1" si="90"/>
        <v/>
      </c>
      <c r="AJ45" s="397" t="str">
        <f t="shared" ca="1" si="73"/>
        <v/>
      </c>
      <c r="AK45" s="372" t="str">
        <f ca="1">IFERROR(INDEX(ICE[], MATCH("tc2" &amp; TEXT(Hvy!$A45, "mmmyy"), ICE[LongCode], 0), MATCH("Text", ICE[#Headers], 0)), "")</f>
        <v/>
      </c>
      <c r="AL45" s="46" t="str">
        <f t="shared" ca="1" si="64"/>
        <v/>
      </c>
      <c r="AM45" s="47" t="str">
        <f t="shared" ca="1" si="91"/>
        <v/>
      </c>
      <c r="AN45" s="46" t="str">
        <f t="shared" ca="1" si="92"/>
        <v/>
      </c>
      <c r="AO45" s="49" t="str">
        <f t="shared" ca="1" si="74"/>
        <v/>
      </c>
      <c r="AP45" s="53" t="str">
        <f t="shared" ca="1" si="65"/>
        <v/>
      </c>
      <c r="AQ45" s="47" t="str">
        <f t="shared" ca="1" si="93"/>
        <v/>
      </c>
      <c r="AR45" s="111" t="str">
        <f t="shared" ca="1" si="94"/>
        <v/>
      </c>
      <c r="AS45" s="397" t="str">
        <f t="shared" ca="1" si="75"/>
        <v/>
      </c>
      <c r="AT45" s="372" t="str">
        <f ca="1">IFERROR(INDEX(ICE[], MATCH("tc14" &amp; TEXT(Hvy!$A45, "mmmyy"), ICE[LongCode], 0), MATCH("Text", ICE[#Headers], 0)), "")</f>
        <v/>
      </c>
      <c r="AU45" s="46" t="str">
        <f t="shared" ca="1" si="76"/>
        <v/>
      </c>
      <c r="AV45" s="47" t="str">
        <f t="shared" ca="1" si="95"/>
        <v/>
      </c>
      <c r="AW45" s="46" t="str">
        <f t="shared" ca="1" si="96"/>
        <v/>
      </c>
      <c r="AX45" s="49" t="str">
        <f t="shared" ca="1" si="77"/>
        <v/>
      </c>
      <c r="AY45" s="53" t="str">
        <f t="shared" ca="1" si="78"/>
        <v/>
      </c>
      <c r="AZ45" s="47" t="str">
        <f t="shared" ca="1" si="97"/>
        <v/>
      </c>
      <c r="BA45" s="111" t="str">
        <f t="shared" ca="1" si="98"/>
        <v/>
      </c>
    </row>
    <row r="46" spans="1:53" x14ac:dyDescent="0.25">
      <c r="A46" s="58">
        <f t="shared" ca="1" si="79"/>
        <v>47088</v>
      </c>
      <c r="B46" s="6">
        <f t="shared" ca="1" si="59"/>
        <v>2028</v>
      </c>
      <c r="C46" s="6" t="str">
        <f t="shared" ca="1" si="66"/>
        <v>Q428</v>
      </c>
      <c r="D46" s="28" t="e">
        <f ca="1">INDEX(ICE[], MATCH(D$18 &amp; TEXT($A46, "mmmyy"), ICE[LongCode], 0), MATCH("Settle", ICE[#Headers], 0))</f>
        <v>#N/A</v>
      </c>
      <c r="E46" s="28" t="e">
        <f ca="1">INDEX(ICE[], MATCH(E$18 &amp; TEXT($A46, "mmmyy"), ICE[LongCode], 0), MATCH("Settle", ICE[#Headers], 0))</f>
        <v>#N/A</v>
      </c>
      <c r="F46" s="28" t="e">
        <f ca="1">INDEX(ICE[], MATCH(F$18 &amp; TEXT($A46, "mmmyy"), ICE[LongCode], 0), MATCH("Settle", ICE[#Headers], 0))</f>
        <v>#N/A</v>
      </c>
      <c r="G46" s="28" t="e">
        <f ca="1">INDEX(ICE[], MATCH(G$18 &amp; TEXT($A46, "mmmyy"), ICE[LongCode], 0), MATCH("Settle", ICE[#Headers], 0))</f>
        <v>#N/A</v>
      </c>
      <c r="H46" s="28" t="e">
        <f ca="1">INDEX(ICE[], MATCH(H$18 &amp; TEXT($A46, "mmmyy"), ICE[LongCode], 0), MATCH("Settle", ICE[#Headers], 0))</f>
        <v>#N/A</v>
      </c>
      <c r="I46" s="397" t="str">
        <f ca="1">IFERROR(INDEX(ICE[], MATCH("td3c" &amp; TEXT(Crd!$A46, "mmmyy"), ICE[LongCode], 0), MATCH("ICE Theoretical Price", ICE[#Headers], 0)), "")</f>
        <v/>
      </c>
      <c r="J46" s="372" t="str">
        <f ca="1">IFERROR(INDEX(ICE[], MATCH("td3c" &amp; TEXT($A46, "mmmyy"), ICE[LongCode], 0), MATCH("Text", ICE[#Headers], 0)), "")</f>
        <v/>
      </c>
      <c r="K46" s="46" t="str">
        <f t="shared" ca="1" si="60"/>
        <v/>
      </c>
      <c r="L46" s="47" t="str">
        <f t="shared" ca="1" si="67"/>
        <v/>
      </c>
      <c r="M46" s="46" t="str">
        <f t="shared" ca="1" si="80"/>
        <v/>
      </c>
      <c r="N46" s="49" t="str">
        <f t="shared" ca="1" si="68"/>
        <v/>
      </c>
      <c r="O46" s="53" t="str">
        <f t="shared" ca="1" si="61"/>
        <v/>
      </c>
      <c r="P46" s="47" t="str">
        <f t="shared" ca="1" si="81"/>
        <v/>
      </c>
      <c r="Q46" s="111" t="str">
        <f t="shared" ca="1" si="82"/>
        <v/>
      </c>
      <c r="R46" s="397" t="str">
        <f ca="1">IFERROR(INDEX(ICE[], MATCH("afra" &amp; TEXT(Crd!$A46, "mmmyy"), ICE[LongCode], 0), MATCH("ICE Theoretical Price", ICE[#Headers], 0)), "")</f>
        <v/>
      </c>
      <c r="S46" s="372" t="str">
        <f ca="1">IFERROR(INDEX(ICE[], MATCH("afra" &amp; TEXT($A46, "mmmyy"), ICE[LongCode], 0), MATCH("Text", ICE[#Headers], 0)), "")</f>
        <v/>
      </c>
      <c r="T46" s="46" t="str">
        <f t="shared" ca="1" si="62"/>
        <v/>
      </c>
      <c r="U46" s="47" t="str">
        <f t="shared" ca="1" si="83"/>
        <v/>
      </c>
      <c r="V46" s="46" t="str">
        <f t="shared" ca="1" si="84"/>
        <v/>
      </c>
      <c r="W46" s="49" t="str">
        <f t="shared" ca="1" si="69"/>
        <v/>
      </c>
      <c r="X46" s="53" t="str">
        <f t="shared" ca="1" si="63"/>
        <v/>
      </c>
      <c r="Y46" s="47" t="str">
        <f t="shared" ca="1" si="85"/>
        <v/>
      </c>
      <c r="Z46" s="111" t="str">
        <f t="shared" ca="1" si="86"/>
        <v/>
      </c>
      <c r="AA46" s="397" t="str">
        <f ca="1">IFERROR(INDEX(ICE[], MATCH("tc5" &amp; TEXT(Crd!$A46, "mmmyy"), ICE[LongCode], 0), MATCH("ICE Theoretical Price", ICE[#Headers], 0)), "")</f>
        <v/>
      </c>
      <c r="AB46" s="372" t="str">
        <f ca="1">IFERROR(INDEX(ICE[], MATCH("tc5" &amp; TEXT(Hvy!$A46, "mmmyy"), ICE[LongCode], 0), MATCH("Text", ICE[#Headers], 0)), "")</f>
        <v/>
      </c>
      <c r="AC46" s="46" t="str">
        <f t="shared" ca="1" si="70"/>
        <v/>
      </c>
      <c r="AD46" s="47" t="str">
        <f t="shared" ca="1" si="87"/>
        <v/>
      </c>
      <c r="AE46" s="46" t="str">
        <f t="shared" ca="1" si="88"/>
        <v/>
      </c>
      <c r="AF46" s="49" t="str">
        <f t="shared" ca="1" si="71"/>
        <v/>
      </c>
      <c r="AG46" s="53" t="str">
        <f t="shared" ca="1" si="72"/>
        <v/>
      </c>
      <c r="AH46" s="47" t="str">
        <f t="shared" ca="1" si="89"/>
        <v/>
      </c>
      <c r="AI46" s="111" t="str">
        <f t="shared" ca="1" si="90"/>
        <v/>
      </c>
      <c r="AJ46" s="397" t="str">
        <f t="shared" ca="1" si="73"/>
        <v/>
      </c>
      <c r="AK46" s="372" t="str">
        <f ca="1">IFERROR(INDEX(ICE[], MATCH("tc2" &amp; TEXT(Hvy!$A46, "mmmyy"), ICE[LongCode], 0), MATCH("Text", ICE[#Headers], 0)), "")</f>
        <v/>
      </c>
      <c r="AL46" s="46" t="str">
        <f t="shared" ca="1" si="64"/>
        <v/>
      </c>
      <c r="AM46" s="47" t="str">
        <f t="shared" ca="1" si="91"/>
        <v/>
      </c>
      <c r="AN46" s="46" t="str">
        <f t="shared" ca="1" si="92"/>
        <v/>
      </c>
      <c r="AO46" s="49" t="str">
        <f t="shared" ca="1" si="74"/>
        <v/>
      </c>
      <c r="AP46" s="53" t="str">
        <f t="shared" ca="1" si="65"/>
        <v/>
      </c>
      <c r="AQ46" s="47" t="str">
        <f t="shared" ca="1" si="93"/>
        <v/>
      </c>
      <c r="AR46" s="111" t="str">
        <f t="shared" ca="1" si="94"/>
        <v/>
      </c>
      <c r="AS46" s="397" t="str">
        <f t="shared" ca="1" si="75"/>
        <v/>
      </c>
      <c r="AT46" s="372" t="str">
        <f ca="1">IFERROR(INDEX(ICE[], MATCH("tc14" &amp; TEXT(Hvy!$A46, "mmmyy"), ICE[LongCode], 0), MATCH("Text", ICE[#Headers], 0)), "")</f>
        <v/>
      </c>
      <c r="AU46" s="46" t="str">
        <f t="shared" ca="1" si="76"/>
        <v/>
      </c>
      <c r="AV46" s="47" t="str">
        <f t="shared" ca="1" si="95"/>
        <v/>
      </c>
      <c r="AW46" s="46" t="str">
        <f t="shared" ca="1" si="96"/>
        <v/>
      </c>
      <c r="AX46" s="49" t="str">
        <f t="shared" ca="1" si="77"/>
        <v/>
      </c>
      <c r="AY46" s="53" t="str">
        <f t="shared" ca="1" si="78"/>
        <v/>
      </c>
      <c r="AZ46" s="47" t="str">
        <f t="shared" ca="1" si="97"/>
        <v/>
      </c>
      <c r="BA46" s="111" t="str">
        <f t="shared" ca="1" si="98"/>
        <v/>
      </c>
    </row>
    <row r="47" spans="1:53" x14ac:dyDescent="0.25">
      <c r="A47" s="58">
        <f t="shared" ca="1" si="79"/>
        <v>47119</v>
      </c>
      <c r="B47" s="6">
        <f t="shared" ca="1" si="59"/>
        <v>2029</v>
      </c>
      <c r="C47" s="6" t="str">
        <f t="shared" ca="1" si="66"/>
        <v>Q129</v>
      </c>
      <c r="D47" s="28" t="e">
        <f ca="1">INDEX(ICE[], MATCH(D$18 &amp; TEXT($A47, "mmmyy"), ICE[LongCode], 0), MATCH("Settle", ICE[#Headers], 0))</f>
        <v>#N/A</v>
      </c>
      <c r="E47" s="28" t="e">
        <f ca="1">INDEX(ICE[], MATCH(E$18 &amp; TEXT($A47, "mmmyy"), ICE[LongCode], 0), MATCH("Settle", ICE[#Headers], 0))</f>
        <v>#N/A</v>
      </c>
      <c r="F47" s="28" t="e">
        <f ca="1">INDEX(ICE[], MATCH(F$18 &amp; TEXT($A47, "mmmyy"), ICE[LongCode], 0), MATCH("Settle", ICE[#Headers], 0))</f>
        <v>#N/A</v>
      </c>
      <c r="G47" s="28" t="e">
        <f ca="1">INDEX(ICE[], MATCH(G$18 &amp; TEXT($A47, "mmmyy"), ICE[LongCode], 0), MATCH("Settle", ICE[#Headers], 0))</f>
        <v>#N/A</v>
      </c>
      <c r="H47" s="28" t="e">
        <f ca="1">INDEX(ICE[], MATCH(H$18 &amp; TEXT($A47, "mmmyy"), ICE[LongCode], 0), MATCH("Settle", ICE[#Headers], 0))</f>
        <v>#N/A</v>
      </c>
      <c r="I47" s="397" t="str">
        <f ca="1">IFERROR(INDEX(ICE[], MATCH("td3c" &amp; TEXT(Crd!$A47, "mmmyy"), ICE[LongCode], 0), MATCH("ICE Theoretical Price", ICE[#Headers], 0)), "")</f>
        <v/>
      </c>
      <c r="J47" s="372" t="str">
        <f ca="1">IFERROR(INDEX(ICE[], MATCH("td3c" &amp; TEXT($A47, "mmmyy"), ICE[LongCode], 0), MATCH("Text", ICE[#Headers], 0)), "")</f>
        <v/>
      </c>
      <c r="K47" s="46" t="str">
        <f t="shared" ca="1" si="60"/>
        <v/>
      </c>
      <c r="L47" s="47" t="str">
        <f t="shared" ca="1" si="67"/>
        <v/>
      </c>
      <c r="M47" s="46" t="str">
        <f t="shared" ca="1" si="80"/>
        <v/>
      </c>
      <c r="N47" s="49" t="str">
        <f t="shared" ca="1" si="68"/>
        <v/>
      </c>
      <c r="O47" s="53" t="str">
        <f t="shared" ca="1" si="61"/>
        <v/>
      </c>
      <c r="P47" s="47" t="str">
        <f t="shared" ca="1" si="81"/>
        <v/>
      </c>
      <c r="Q47" s="111" t="str">
        <f t="shared" ca="1" si="82"/>
        <v/>
      </c>
      <c r="R47" s="397" t="str">
        <f ca="1">IFERROR(INDEX(ICE[], MATCH("afra" &amp; TEXT(Crd!$A47, "mmmyy"), ICE[LongCode], 0), MATCH("ICE Theoretical Price", ICE[#Headers], 0)), "")</f>
        <v/>
      </c>
      <c r="S47" s="372" t="str">
        <f ca="1">IFERROR(INDEX(ICE[], MATCH("afra" &amp; TEXT($A47, "mmmyy"), ICE[LongCode], 0), MATCH("Text", ICE[#Headers], 0)), "")</f>
        <v/>
      </c>
      <c r="T47" s="46" t="str">
        <f t="shared" ca="1" si="62"/>
        <v/>
      </c>
      <c r="U47" s="47" t="str">
        <f t="shared" ca="1" si="83"/>
        <v/>
      </c>
      <c r="V47" s="46" t="str">
        <f t="shared" ca="1" si="84"/>
        <v/>
      </c>
      <c r="W47" s="49" t="str">
        <f t="shared" ca="1" si="69"/>
        <v/>
      </c>
      <c r="X47" s="53" t="str">
        <f t="shared" ca="1" si="63"/>
        <v/>
      </c>
      <c r="Y47" s="47" t="str">
        <f t="shared" ca="1" si="85"/>
        <v/>
      </c>
      <c r="Z47" s="111" t="str">
        <f t="shared" ca="1" si="86"/>
        <v/>
      </c>
      <c r="AA47" s="397" t="str">
        <f ca="1">IFERROR(INDEX(ICE[], MATCH("tc5" &amp; TEXT(Crd!$A47, "mmmyy"), ICE[LongCode], 0), MATCH("ICE Theoretical Price", ICE[#Headers], 0)), "")</f>
        <v/>
      </c>
      <c r="AB47" s="372" t="str">
        <f ca="1">IFERROR(INDEX(ICE[], MATCH("tc5" &amp; TEXT(Hvy!$A47, "mmmyy"), ICE[LongCode], 0), MATCH("Text", ICE[#Headers], 0)), "")</f>
        <v/>
      </c>
      <c r="AC47" s="46" t="str">
        <f t="shared" ca="1" si="70"/>
        <v/>
      </c>
      <c r="AD47" s="47" t="str">
        <f t="shared" ca="1" si="87"/>
        <v/>
      </c>
      <c r="AE47" s="46" t="str">
        <f t="shared" ca="1" si="88"/>
        <v/>
      </c>
      <c r="AF47" s="49" t="str">
        <f t="shared" ca="1" si="71"/>
        <v/>
      </c>
      <c r="AG47" s="53" t="str">
        <f t="shared" ca="1" si="72"/>
        <v/>
      </c>
      <c r="AH47" s="47" t="str">
        <f t="shared" ca="1" si="89"/>
        <v/>
      </c>
      <c r="AI47" s="111" t="str">
        <f t="shared" ca="1" si="90"/>
        <v/>
      </c>
      <c r="AJ47" s="397" t="str">
        <f t="shared" ca="1" si="73"/>
        <v/>
      </c>
      <c r="AK47" s="372" t="str">
        <f ca="1">IFERROR(INDEX(ICE[], MATCH("tc2" &amp; TEXT(Hvy!$A47, "mmmyy"), ICE[LongCode], 0), MATCH("Text", ICE[#Headers], 0)), "")</f>
        <v/>
      </c>
      <c r="AL47" s="46" t="str">
        <f t="shared" ca="1" si="64"/>
        <v/>
      </c>
      <c r="AM47" s="47" t="str">
        <f t="shared" ca="1" si="91"/>
        <v/>
      </c>
      <c r="AN47" s="46" t="str">
        <f t="shared" ca="1" si="92"/>
        <v/>
      </c>
      <c r="AO47" s="49" t="str">
        <f t="shared" ca="1" si="74"/>
        <v/>
      </c>
      <c r="AP47" s="53" t="str">
        <f t="shared" ca="1" si="65"/>
        <v/>
      </c>
      <c r="AQ47" s="47" t="str">
        <f t="shared" ca="1" si="93"/>
        <v/>
      </c>
      <c r="AR47" s="111" t="str">
        <f t="shared" ca="1" si="94"/>
        <v/>
      </c>
      <c r="AS47" s="397" t="str">
        <f t="shared" ca="1" si="75"/>
        <v/>
      </c>
      <c r="AT47" s="372" t="str">
        <f ca="1">IFERROR(INDEX(ICE[], MATCH("tc14" &amp; TEXT(Hvy!$A47, "mmmyy"), ICE[LongCode], 0), MATCH("Text", ICE[#Headers], 0)), "")</f>
        <v/>
      </c>
      <c r="AU47" s="46" t="str">
        <f t="shared" ca="1" si="76"/>
        <v/>
      </c>
      <c r="AV47" s="47" t="str">
        <f t="shared" ca="1" si="95"/>
        <v/>
      </c>
      <c r="AW47" s="46" t="str">
        <f t="shared" ca="1" si="96"/>
        <v/>
      </c>
      <c r="AX47" s="49" t="str">
        <f t="shared" ca="1" si="77"/>
        <v/>
      </c>
      <c r="AY47" s="53" t="str">
        <f t="shared" ca="1" si="78"/>
        <v/>
      </c>
      <c r="AZ47" s="47" t="str">
        <f t="shared" ca="1" si="97"/>
        <v/>
      </c>
      <c r="BA47" s="111" t="str">
        <f t="shared" ca="1" si="98"/>
        <v/>
      </c>
    </row>
    <row r="48" spans="1:53" x14ac:dyDescent="0.25">
      <c r="A48" s="58">
        <f t="shared" ca="1" si="79"/>
        <v>47150</v>
      </c>
      <c r="B48" s="6">
        <f t="shared" ca="1" si="59"/>
        <v>2029</v>
      </c>
      <c r="C48" s="6" t="str">
        <f t="shared" ca="1" si="66"/>
        <v>Q129</v>
      </c>
      <c r="D48" s="28" t="e">
        <f ca="1">INDEX(ICE[], MATCH(D$18 &amp; TEXT($A48, "mmmyy"), ICE[LongCode], 0), MATCH("Settle", ICE[#Headers], 0))</f>
        <v>#N/A</v>
      </c>
      <c r="E48" s="28" t="e">
        <f ca="1">INDEX(ICE[], MATCH(E$18 &amp; TEXT($A48, "mmmyy"), ICE[LongCode], 0), MATCH("Settle", ICE[#Headers], 0))</f>
        <v>#N/A</v>
      </c>
      <c r="F48" s="28" t="e">
        <f ca="1">INDEX(ICE[], MATCH(F$18 &amp; TEXT($A48, "mmmyy"), ICE[LongCode], 0), MATCH("Settle", ICE[#Headers], 0))</f>
        <v>#N/A</v>
      </c>
      <c r="G48" s="28" t="e">
        <f ca="1">INDEX(ICE[], MATCH(G$18 &amp; TEXT($A48, "mmmyy"), ICE[LongCode], 0), MATCH("Settle", ICE[#Headers], 0))</f>
        <v>#N/A</v>
      </c>
      <c r="H48" s="28" t="e">
        <f ca="1">INDEX(ICE[], MATCH(H$18 &amp; TEXT($A48, "mmmyy"), ICE[LongCode], 0), MATCH("Settle", ICE[#Headers], 0))</f>
        <v>#N/A</v>
      </c>
      <c r="I48" s="397" t="str">
        <f ca="1">IFERROR(INDEX(ICE[], MATCH("td3c" &amp; TEXT(Crd!$A48, "mmmyy"), ICE[LongCode], 0), MATCH("ICE Theoretical Price", ICE[#Headers], 0)), "")</f>
        <v/>
      </c>
      <c r="J48" s="372" t="str">
        <f ca="1">IFERROR(INDEX(ICE[], MATCH("td3c" &amp; TEXT($A48, "mmmyy"), ICE[LongCode], 0), MATCH("Text", ICE[#Headers], 0)), "")</f>
        <v/>
      </c>
      <c r="K48" s="46" t="str">
        <f t="shared" ca="1" si="60"/>
        <v/>
      </c>
      <c r="L48" s="47" t="str">
        <f t="shared" ca="1" si="67"/>
        <v/>
      </c>
      <c r="M48" s="46" t="str">
        <f t="shared" ca="1" si="80"/>
        <v/>
      </c>
      <c r="N48" s="49" t="str">
        <f t="shared" ca="1" si="68"/>
        <v/>
      </c>
      <c r="O48" s="53" t="str">
        <f t="shared" ca="1" si="61"/>
        <v/>
      </c>
      <c r="P48" s="47" t="str">
        <f t="shared" ca="1" si="81"/>
        <v/>
      </c>
      <c r="Q48" s="111" t="str">
        <f t="shared" ca="1" si="82"/>
        <v/>
      </c>
      <c r="R48" s="397" t="str">
        <f ca="1">IFERROR(INDEX(ICE[], MATCH("afra" &amp; TEXT(Crd!$A48, "mmmyy"), ICE[LongCode], 0), MATCH("ICE Theoretical Price", ICE[#Headers], 0)), "")</f>
        <v/>
      </c>
      <c r="S48" s="372" t="str">
        <f ca="1">IFERROR(INDEX(ICE[], MATCH("afra" &amp; TEXT($A48, "mmmyy"), ICE[LongCode], 0), MATCH("Text", ICE[#Headers], 0)), "")</f>
        <v/>
      </c>
      <c r="T48" s="46" t="str">
        <f t="shared" ca="1" si="62"/>
        <v/>
      </c>
      <c r="U48" s="47" t="str">
        <f t="shared" ca="1" si="83"/>
        <v/>
      </c>
      <c r="V48" s="46" t="str">
        <f t="shared" ca="1" si="84"/>
        <v/>
      </c>
      <c r="W48" s="49" t="str">
        <f t="shared" ca="1" si="69"/>
        <v/>
      </c>
      <c r="X48" s="53" t="str">
        <f t="shared" ca="1" si="63"/>
        <v/>
      </c>
      <c r="Y48" s="47" t="str">
        <f t="shared" ca="1" si="85"/>
        <v/>
      </c>
      <c r="Z48" s="111" t="str">
        <f t="shared" ca="1" si="86"/>
        <v/>
      </c>
      <c r="AA48" s="397" t="str">
        <f ca="1">IFERROR(INDEX(ICE[], MATCH("tc5" &amp; TEXT(Crd!$A48, "mmmyy"), ICE[LongCode], 0), MATCH("ICE Theoretical Price", ICE[#Headers], 0)), "")</f>
        <v/>
      </c>
      <c r="AB48" s="372" t="str">
        <f ca="1">IFERROR(INDEX(ICE[], MATCH("tc5" &amp; TEXT(Hvy!$A48, "mmmyy"), ICE[LongCode], 0), MATCH("Text", ICE[#Headers], 0)), "")</f>
        <v/>
      </c>
      <c r="AC48" s="46" t="str">
        <f t="shared" ca="1" si="70"/>
        <v/>
      </c>
      <c r="AD48" s="47" t="str">
        <f t="shared" ca="1" si="87"/>
        <v/>
      </c>
      <c r="AE48" s="46" t="str">
        <f t="shared" ca="1" si="88"/>
        <v/>
      </c>
      <c r="AF48" s="49" t="str">
        <f t="shared" ca="1" si="71"/>
        <v/>
      </c>
      <c r="AG48" s="53" t="str">
        <f t="shared" ca="1" si="72"/>
        <v/>
      </c>
      <c r="AH48" s="47" t="str">
        <f t="shared" ca="1" si="89"/>
        <v/>
      </c>
      <c r="AI48" s="111" t="str">
        <f t="shared" ca="1" si="90"/>
        <v/>
      </c>
      <c r="AJ48" s="397" t="str">
        <f t="shared" ca="1" si="73"/>
        <v/>
      </c>
      <c r="AK48" s="372" t="str">
        <f ca="1">IFERROR(INDEX(ICE[], MATCH("tc2" &amp; TEXT(Hvy!$A48, "mmmyy"), ICE[LongCode], 0), MATCH("Text", ICE[#Headers], 0)), "")</f>
        <v/>
      </c>
      <c r="AL48" s="46" t="str">
        <f t="shared" ca="1" si="64"/>
        <v/>
      </c>
      <c r="AM48" s="47" t="str">
        <f t="shared" ca="1" si="91"/>
        <v/>
      </c>
      <c r="AN48" s="46" t="str">
        <f t="shared" ca="1" si="92"/>
        <v/>
      </c>
      <c r="AO48" s="49" t="str">
        <f t="shared" ca="1" si="74"/>
        <v/>
      </c>
      <c r="AP48" s="53" t="str">
        <f t="shared" ca="1" si="65"/>
        <v/>
      </c>
      <c r="AQ48" s="47" t="str">
        <f t="shared" ca="1" si="93"/>
        <v/>
      </c>
      <c r="AR48" s="111" t="str">
        <f t="shared" ca="1" si="94"/>
        <v/>
      </c>
      <c r="AS48" s="397" t="str">
        <f t="shared" ca="1" si="75"/>
        <v/>
      </c>
      <c r="AT48" s="372" t="str">
        <f ca="1">IFERROR(INDEX(ICE[], MATCH("tc14" &amp; TEXT(Hvy!$A48, "mmmyy"), ICE[LongCode], 0), MATCH("Text", ICE[#Headers], 0)), "")</f>
        <v/>
      </c>
      <c r="AU48" s="46" t="str">
        <f t="shared" ca="1" si="76"/>
        <v/>
      </c>
      <c r="AV48" s="47" t="str">
        <f t="shared" ca="1" si="95"/>
        <v/>
      </c>
      <c r="AW48" s="46" t="str">
        <f t="shared" ca="1" si="96"/>
        <v/>
      </c>
      <c r="AX48" s="49" t="str">
        <f t="shared" ca="1" si="77"/>
        <v/>
      </c>
      <c r="AY48" s="53" t="str">
        <f t="shared" ca="1" si="78"/>
        <v/>
      </c>
      <c r="AZ48" s="47" t="str">
        <f t="shared" ca="1" si="97"/>
        <v/>
      </c>
      <c r="BA48" s="111" t="str">
        <f t="shared" ca="1" si="98"/>
        <v/>
      </c>
    </row>
    <row r="49" spans="1:53" x14ac:dyDescent="0.25">
      <c r="A49" s="58">
        <f t="shared" ca="1" si="79"/>
        <v>47178</v>
      </c>
      <c r="B49" s="6">
        <f t="shared" ca="1" si="59"/>
        <v>2029</v>
      </c>
      <c r="C49" s="6" t="str">
        <f t="shared" ca="1" si="66"/>
        <v>Q129</v>
      </c>
      <c r="D49" s="28" t="e">
        <f ca="1">INDEX(ICE[], MATCH(D$18 &amp; TEXT($A49, "mmmyy"), ICE[LongCode], 0), MATCH("Settle", ICE[#Headers], 0))</f>
        <v>#N/A</v>
      </c>
      <c r="E49" s="28" t="e">
        <f ca="1">INDEX(ICE[], MATCH(E$18 &amp; TEXT($A49, "mmmyy"), ICE[LongCode], 0), MATCH("Settle", ICE[#Headers], 0))</f>
        <v>#N/A</v>
      </c>
      <c r="F49" s="28" t="e">
        <f ca="1">INDEX(ICE[], MATCH(F$18 &amp; TEXT($A49, "mmmyy"), ICE[LongCode], 0), MATCH("Settle", ICE[#Headers], 0))</f>
        <v>#N/A</v>
      </c>
      <c r="G49" s="28" t="e">
        <f ca="1">INDEX(ICE[], MATCH(G$18 &amp; TEXT($A49, "mmmyy"), ICE[LongCode], 0), MATCH("Settle", ICE[#Headers], 0))</f>
        <v>#N/A</v>
      </c>
      <c r="H49" s="28" t="e">
        <f ca="1">INDEX(ICE[], MATCH(H$18 &amp; TEXT($A49, "mmmyy"), ICE[LongCode], 0), MATCH("Settle", ICE[#Headers], 0))</f>
        <v>#N/A</v>
      </c>
      <c r="I49" s="397" t="str">
        <f ca="1">IFERROR(INDEX(ICE[], MATCH("td3c" &amp; TEXT(Crd!$A49, "mmmyy"), ICE[LongCode], 0), MATCH("ICE Theoretical Price", ICE[#Headers], 0)), "")</f>
        <v/>
      </c>
      <c r="J49" s="372" t="str">
        <f ca="1">IFERROR(INDEX(ICE[], MATCH("td3c" &amp; TEXT($A49, "mmmyy"), ICE[LongCode], 0), MATCH("Text", ICE[#Headers], 0)), "")</f>
        <v/>
      </c>
      <c r="K49" s="46" t="str">
        <f t="shared" ca="1" si="60"/>
        <v/>
      </c>
      <c r="L49" s="47" t="str">
        <f t="shared" ca="1" si="67"/>
        <v/>
      </c>
      <c r="M49" s="46" t="str">
        <f t="shared" ca="1" si="80"/>
        <v/>
      </c>
      <c r="N49" s="49" t="str">
        <f t="shared" ca="1" si="68"/>
        <v/>
      </c>
      <c r="O49" s="53" t="str">
        <f t="shared" ca="1" si="61"/>
        <v/>
      </c>
      <c r="P49" s="47" t="str">
        <f t="shared" ca="1" si="81"/>
        <v/>
      </c>
      <c r="Q49" s="111" t="str">
        <f t="shared" ca="1" si="82"/>
        <v/>
      </c>
      <c r="R49" s="397" t="str">
        <f ca="1">IFERROR(INDEX(ICE[], MATCH("afra" &amp; TEXT(Crd!$A49, "mmmyy"), ICE[LongCode], 0), MATCH("ICE Theoretical Price", ICE[#Headers], 0)), "")</f>
        <v/>
      </c>
      <c r="S49" s="372" t="str">
        <f ca="1">IFERROR(INDEX(ICE[], MATCH("afra" &amp; TEXT($A49, "mmmyy"), ICE[LongCode], 0), MATCH("Text", ICE[#Headers], 0)), "")</f>
        <v/>
      </c>
      <c r="T49" s="46" t="str">
        <f t="shared" ca="1" si="62"/>
        <v/>
      </c>
      <c r="U49" s="47" t="str">
        <f t="shared" ca="1" si="83"/>
        <v/>
      </c>
      <c r="V49" s="46" t="str">
        <f t="shared" ca="1" si="84"/>
        <v/>
      </c>
      <c r="W49" s="49" t="str">
        <f t="shared" ca="1" si="69"/>
        <v/>
      </c>
      <c r="X49" s="53" t="str">
        <f t="shared" ca="1" si="63"/>
        <v/>
      </c>
      <c r="Y49" s="47" t="str">
        <f t="shared" ca="1" si="85"/>
        <v/>
      </c>
      <c r="Z49" s="111" t="str">
        <f t="shared" ca="1" si="86"/>
        <v/>
      </c>
      <c r="AA49" s="397" t="str">
        <f ca="1">IFERROR(INDEX(ICE[], MATCH("tc5" &amp; TEXT(Crd!$A49, "mmmyy"), ICE[LongCode], 0), MATCH("ICE Theoretical Price", ICE[#Headers], 0)), "")</f>
        <v/>
      </c>
      <c r="AB49" s="372" t="str">
        <f ca="1">IFERROR(INDEX(ICE[], MATCH("tc5" &amp; TEXT(Hvy!$A49, "mmmyy"), ICE[LongCode], 0), MATCH("Text", ICE[#Headers], 0)), "")</f>
        <v/>
      </c>
      <c r="AC49" s="46" t="str">
        <f t="shared" ca="1" si="70"/>
        <v/>
      </c>
      <c r="AD49" s="47" t="str">
        <f t="shared" ca="1" si="87"/>
        <v/>
      </c>
      <c r="AE49" s="46" t="str">
        <f t="shared" ca="1" si="88"/>
        <v/>
      </c>
      <c r="AF49" s="49" t="str">
        <f t="shared" ca="1" si="71"/>
        <v/>
      </c>
      <c r="AG49" s="53" t="str">
        <f t="shared" ca="1" si="72"/>
        <v/>
      </c>
      <c r="AH49" s="47" t="str">
        <f t="shared" ca="1" si="89"/>
        <v/>
      </c>
      <c r="AI49" s="111" t="str">
        <f t="shared" ca="1" si="90"/>
        <v/>
      </c>
      <c r="AJ49" s="397" t="str">
        <f t="shared" ca="1" si="73"/>
        <v/>
      </c>
      <c r="AK49" s="372" t="str">
        <f ca="1">IFERROR(INDEX(ICE[], MATCH("tc2" &amp; TEXT(Hvy!$A49, "mmmyy"), ICE[LongCode], 0), MATCH("Text", ICE[#Headers], 0)), "")</f>
        <v/>
      </c>
      <c r="AL49" s="46" t="str">
        <f t="shared" ca="1" si="64"/>
        <v/>
      </c>
      <c r="AM49" s="47" t="str">
        <f t="shared" ca="1" si="91"/>
        <v/>
      </c>
      <c r="AN49" s="46" t="str">
        <f t="shared" ca="1" si="92"/>
        <v/>
      </c>
      <c r="AO49" s="49" t="str">
        <f t="shared" ca="1" si="74"/>
        <v/>
      </c>
      <c r="AP49" s="53" t="str">
        <f t="shared" ca="1" si="65"/>
        <v/>
      </c>
      <c r="AQ49" s="47" t="str">
        <f t="shared" ca="1" si="93"/>
        <v/>
      </c>
      <c r="AR49" s="111" t="str">
        <f t="shared" ca="1" si="94"/>
        <v/>
      </c>
      <c r="AS49" s="397" t="str">
        <f t="shared" ca="1" si="75"/>
        <v/>
      </c>
      <c r="AT49" s="372" t="str">
        <f ca="1">IFERROR(INDEX(ICE[], MATCH("tc14" &amp; TEXT(Hvy!$A49, "mmmyy"), ICE[LongCode], 0), MATCH("Text", ICE[#Headers], 0)), "")</f>
        <v/>
      </c>
      <c r="AU49" s="46" t="str">
        <f t="shared" ca="1" si="76"/>
        <v/>
      </c>
      <c r="AV49" s="47" t="str">
        <f t="shared" ca="1" si="95"/>
        <v/>
      </c>
      <c r="AW49" s="46" t="str">
        <f t="shared" ca="1" si="96"/>
        <v/>
      </c>
      <c r="AX49" s="49" t="str">
        <f t="shared" ca="1" si="77"/>
        <v/>
      </c>
      <c r="AY49" s="53" t="str">
        <f t="shared" ca="1" si="78"/>
        <v/>
      </c>
      <c r="AZ49" s="47" t="str">
        <f t="shared" ca="1" si="97"/>
        <v/>
      </c>
      <c r="BA49" s="111" t="str">
        <f t="shared" ca="1" si="98"/>
        <v/>
      </c>
    </row>
    <row r="50" spans="1:53" x14ac:dyDescent="0.25">
      <c r="A50" s="58">
        <f t="shared" ca="1" si="79"/>
        <v>47209</v>
      </c>
      <c r="B50" s="6">
        <f t="shared" ca="1" si="59"/>
        <v>2029</v>
      </c>
      <c r="C50" s="6" t="str">
        <f t="shared" ca="1" si="66"/>
        <v>Q229</v>
      </c>
      <c r="D50" s="28" t="e">
        <f ca="1">INDEX(ICE[], MATCH(D$18 &amp; TEXT($A50, "mmmyy"), ICE[LongCode], 0), MATCH("Settle", ICE[#Headers], 0))</f>
        <v>#N/A</v>
      </c>
      <c r="E50" s="28" t="e">
        <f ca="1">INDEX(ICE[], MATCH(E$18 &amp; TEXT($A50, "mmmyy"), ICE[LongCode], 0), MATCH("Settle", ICE[#Headers], 0))</f>
        <v>#N/A</v>
      </c>
      <c r="F50" s="28" t="e">
        <f ca="1">INDEX(ICE[], MATCH(F$18 &amp; TEXT($A50, "mmmyy"), ICE[LongCode], 0), MATCH("Settle", ICE[#Headers], 0))</f>
        <v>#N/A</v>
      </c>
      <c r="G50" s="28" t="e">
        <f ca="1">INDEX(ICE[], MATCH(G$18 &amp; TEXT($A50, "mmmyy"), ICE[LongCode], 0), MATCH("Settle", ICE[#Headers], 0))</f>
        <v>#N/A</v>
      </c>
      <c r="H50" s="28" t="e">
        <f ca="1">INDEX(ICE[], MATCH(H$18 &amp; TEXT($A50, "mmmyy"), ICE[LongCode], 0), MATCH("Settle", ICE[#Headers], 0))</f>
        <v>#N/A</v>
      </c>
      <c r="I50" s="397" t="str">
        <f ca="1">IFERROR(INDEX(ICE[], MATCH("td3c" &amp; TEXT(Crd!$A50, "mmmyy"), ICE[LongCode], 0), MATCH("ICE Theoretical Price", ICE[#Headers], 0)), "")</f>
        <v/>
      </c>
      <c r="J50" s="372" t="str">
        <f ca="1">IFERROR(INDEX(ICE[], MATCH("td3c" &amp; TEXT($A50, "mmmyy"), ICE[LongCode], 0), MATCH("Text", ICE[#Headers], 0)), "")</f>
        <v/>
      </c>
      <c r="K50" s="46" t="str">
        <f t="shared" ca="1" si="60"/>
        <v/>
      </c>
      <c r="L50" s="47" t="str">
        <f t="shared" ca="1" si="67"/>
        <v/>
      </c>
      <c r="M50" s="46" t="str">
        <f t="shared" ca="1" si="80"/>
        <v/>
      </c>
      <c r="N50" s="49" t="str">
        <f t="shared" ca="1" si="68"/>
        <v/>
      </c>
      <c r="O50" s="53" t="str">
        <f t="shared" ca="1" si="61"/>
        <v/>
      </c>
      <c r="P50" s="47" t="str">
        <f t="shared" ca="1" si="81"/>
        <v/>
      </c>
      <c r="Q50" s="111" t="str">
        <f t="shared" ca="1" si="82"/>
        <v/>
      </c>
      <c r="R50" s="397" t="str">
        <f ca="1">IFERROR(INDEX(ICE[], MATCH("afra" &amp; TEXT(Crd!$A50, "mmmyy"), ICE[LongCode], 0), MATCH("ICE Theoretical Price", ICE[#Headers], 0)), "")</f>
        <v/>
      </c>
      <c r="S50" s="372" t="str">
        <f ca="1">IFERROR(INDEX(ICE[], MATCH("afra" &amp; TEXT($A50, "mmmyy"), ICE[LongCode], 0), MATCH("Text", ICE[#Headers], 0)), "")</f>
        <v/>
      </c>
      <c r="T50" s="46" t="str">
        <f t="shared" ca="1" si="62"/>
        <v/>
      </c>
      <c r="U50" s="47" t="str">
        <f t="shared" ca="1" si="83"/>
        <v/>
      </c>
      <c r="V50" s="46" t="str">
        <f t="shared" ca="1" si="84"/>
        <v/>
      </c>
      <c r="W50" s="49" t="str">
        <f t="shared" ca="1" si="69"/>
        <v/>
      </c>
      <c r="X50" s="53" t="str">
        <f t="shared" ca="1" si="63"/>
        <v/>
      </c>
      <c r="Y50" s="47" t="str">
        <f t="shared" ca="1" si="85"/>
        <v/>
      </c>
      <c r="Z50" s="111" t="str">
        <f t="shared" ca="1" si="86"/>
        <v/>
      </c>
      <c r="AA50" s="397" t="str">
        <f ca="1">IFERROR(INDEX(ICE[], MATCH("tc5" &amp; TEXT(Crd!$A50, "mmmyy"), ICE[LongCode], 0), MATCH("ICE Theoretical Price", ICE[#Headers], 0)), "")</f>
        <v/>
      </c>
      <c r="AB50" s="372" t="str">
        <f ca="1">IFERROR(INDEX(ICE[], MATCH("tc5" &amp; TEXT(Hvy!$A50, "mmmyy"), ICE[LongCode], 0), MATCH("Text", ICE[#Headers], 0)), "")</f>
        <v/>
      </c>
      <c r="AC50" s="46" t="str">
        <f t="shared" ca="1" si="70"/>
        <v/>
      </c>
      <c r="AD50" s="47" t="str">
        <f t="shared" ca="1" si="87"/>
        <v/>
      </c>
      <c r="AE50" s="46" t="str">
        <f t="shared" ca="1" si="88"/>
        <v/>
      </c>
      <c r="AF50" s="49" t="str">
        <f t="shared" ca="1" si="71"/>
        <v/>
      </c>
      <c r="AG50" s="53" t="str">
        <f t="shared" ca="1" si="72"/>
        <v/>
      </c>
      <c r="AH50" s="47" t="str">
        <f t="shared" ca="1" si="89"/>
        <v/>
      </c>
      <c r="AI50" s="111" t="str">
        <f t="shared" ca="1" si="90"/>
        <v/>
      </c>
      <c r="AJ50" s="397" t="str">
        <f t="shared" ca="1" si="73"/>
        <v/>
      </c>
      <c r="AK50" s="372" t="str">
        <f ca="1">IFERROR(INDEX(ICE[], MATCH("tc2" &amp; TEXT(Hvy!$A50, "mmmyy"), ICE[LongCode], 0), MATCH("Text", ICE[#Headers], 0)), "")</f>
        <v/>
      </c>
      <c r="AL50" s="46" t="str">
        <f t="shared" ca="1" si="64"/>
        <v/>
      </c>
      <c r="AM50" s="47" t="str">
        <f t="shared" ca="1" si="91"/>
        <v/>
      </c>
      <c r="AN50" s="46" t="str">
        <f t="shared" ca="1" si="92"/>
        <v/>
      </c>
      <c r="AO50" s="49" t="str">
        <f t="shared" ca="1" si="74"/>
        <v/>
      </c>
      <c r="AP50" s="53" t="str">
        <f t="shared" ca="1" si="65"/>
        <v/>
      </c>
      <c r="AQ50" s="47" t="str">
        <f t="shared" ca="1" si="93"/>
        <v/>
      </c>
      <c r="AR50" s="111" t="str">
        <f t="shared" ca="1" si="94"/>
        <v/>
      </c>
      <c r="AS50" s="397" t="str">
        <f t="shared" ca="1" si="75"/>
        <v/>
      </c>
      <c r="AT50" s="372" t="str">
        <f ca="1">IFERROR(INDEX(ICE[], MATCH("tc14" &amp; TEXT(Hvy!$A50, "mmmyy"), ICE[LongCode], 0), MATCH("Text", ICE[#Headers], 0)), "")</f>
        <v/>
      </c>
      <c r="AU50" s="46" t="str">
        <f t="shared" ca="1" si="76"/>
        <v/>
      </c>
      <c r="AV50" s="47" t="str">
        <f t="shared" ca="1" si="95"/>
        <v/>
      </c>
      <c r="AW50" s="46" t="str">
        <f t="shared" ca="1" si="96"/>
        <v/>
      </c>
      <c r="AX50" s="49" t="str">
        <f t="shared" ca="1" si="77"/>
        <v/>
      </c>
      <c r="AY50" s="53" t="str">
        <f t="shared" ca="1" si="78"/>
        <v/>
      </c>
      <c r="AZ50" s="47" t="str">
        <f t="shared" ca="1" si="97"/>
        <v/>
      </c>
      <c r="BA50" s="111" t="str">
        <f t="shared" ca="1" si="98"/>
        <v/>
      </c>
    </row>
    <row r="51" spans="1:53" x14ac:dyDescent="0.25">
      <c r="A51" s="58">
        <f t="shared" ca="1" si="79"/>
        <v>47239</v>
      </c>
      <c r="B51" s="6">
        <f t="shared" ca="1" si="59"/>
        <v>2029</v>
      </c>
      <c r="C51" s="6" t="str">
        <f t="shared" ca="1" si="66"/>
        <v>Q229</v>
      </c>
      <c r="D51" s="28" t="e">
        <f ca="1">INDEX(ICE[], MATCH(D$18 &amp; TEXT($A51, "mmmyy"), ICE[LongCode], 0), MATCH("Settle", ICE[#Headers], 0))</f>
        <v>#N/A</v>
      </c>
      <c r="E51" s="28" t="e">
        <f ca="1">INDEX(ICE[], MATCH(E$18 &amp; TEXT($A51, "mmmyy"), ICE[LongCode], 0), MATCH("Settle", ICE[#Headers], 0))</f>
        <v>#N/A</v>
      </c>
      <c r="F51" s="28" t="e">
        <f ca="1">INDEX(ICE[], MATCH(F$18 &amp; TEXT($A51, "mmmyy"), ICE[LongCode], 0), MATCH("Settle", ICE[#Headers], 0))</f>
        <v>#N/A</v>
      </c>
      <c r="G51" s="28" t="e">
        <f ca="1">INDEX(ICE[], MATCH(G$18 &amp; TEXT($A51, "mmmyy"), ICE[LongCode], 0), MATCH("Settle", ICE[#Headers], 0))</f>
        <v>#N/A</v>
      </c>
      <c r="H51" s="28" t="e">
        <f ca="1">INDEX(ICE[], MATCH(H$18 &amp; TEXT($A51, "mmmyy"), ICE[LongCode], 0), MATCH("Settle", ICE[#Headers], 0))</f>
        <v>#N/A</v>
      </c>
      <c r="I51" s="397" t="str">
        <f ca="1">IFERROR(INDEX(ICE[], MATCH("td3c" &amp; TEXT(Crd!$A51, "mmmyy"), ICE[LongCode], 0), MATCH("ICE Theoretical Price", ICE[#Headers], 0)), "")</f>
        <v/>
      </c>
      <c r="J51" s="372" t="str">
        <f ca="1">IFERROR(INDEX(ICE[], MATCH("td3c" &amp; TEXT($A51, "mmmyy"), ICE[LongCode], 0), MATCH("Text", ICE[#Headers], 0)), "")</f>
        <v/>
      </c>
      <c r="K51" s="46" t="str">
        <f t="shared" ca="1" si="60"/>
        <v/>
      </c>
      <c r="L51" s="47" t="str">
        <f t="shared" ca="1" si="67"/>
        <v/>
      </c>
      <c r="M51" s="46" t="str">
        <f t="shared" ca="1" si="80"/>
        <v/>
      </c>
      <c r="N51" s="49" t="str">
        <f t="shared" ca="1" si="68"/>
        <v/>
      </c>
      <c r="O51" s="53" t="str">
        <f t="shared" ca="1" si="61"/>
        <v/>
      </c>
      <c r="P51" s="47" t="str">
        <f t="shared" ca="1" si="81"/>
        <v/>
      </c>
      <c r="Q51" s="111" t="str">
        <f t="shared" ca="1" si="82"/>
        <v/>
      </c>
      <c r="R51" s="397" t="str">
        <f ca="1">IFERROR(INDEX(ICE[], MATCH("afra" &amp; TEXT(Crd!$A51, "mmmyy"), ICE[LongCode], 0), MATCH("ICE Theoretical Price", ICE[#Headers], 0)), "")</f>
        <v/>
      </c>
      <c r="S51" s="372" t="str">
        <f ca="1">IFERROR(INDEX(ICE[], MATCH("afra" &amp; TEXT($A51, "mmmyy"), ICE[LongCode], 0), MATCH("Text", ICE[#Headers], 0)), "")</f>
        <v/>
      </c>
      <c r="T51" s="46" t="str">
        <f t="shared" ca="1" si="62"/>
        <v/>
      </c>
      <c r="U51" s="47" t="str">
        <f t="shared" ca="1" si="83"/>
        <v/>
      </c>
      <c r="V51" s="46" t="str">
        <f t="shared" ca="1" si="84"/>
        <v/>
      </c>
      <c r="W51" s="49" t="str">
        <f t="shared" ca="1" si="69"/>
        <v/>
      </c>
      <c r="X51" s="53" t="str">
        <f t="shared" ca="1" si="63"/>
        <v/>
      </c>
      <c r="Y51" s="47" t="str">
        <f t="shared" ca="1" si="85"/>
        <v/>
      </c>
      <c r="Z51" s="111" t="str">
        <f t="shared" ca="1" si="86"/>
        <v/>
      </c>
      <c r="AA51" s="397" t="str">
        <f ca="1">IFERROR(INDEX(ICE[], MATCH("tc5" &amp; TEXT(Crd!$A51, "mmmyy"), ICE[LongCode], 0), MATCH("ICE Theoretical Price", ICE[#Headers], 0)), "")</f>
        <v/>
      </c>
      <c r="AB51" s="372" t="str">
        <f ca="1">IFERROR(INDEX(ICE[], MATCH("tc5" &amp; TEXT(Hvy!$A51, "mmmyy"), ICE[LongCode], 0), MATCH("Text", ICE[#Headers], 0)), "")</f>
        <v/>
      </c>
      <c r="AC51" s="46" t="str">
        <f t="shared" ca="1" si="70"/>
        <v/>
      </c>
      <c r="AD51" s="47" t="str">
        <f t="shared" ca="1" si="87"/>
        <v/>
      </c>
      <c r="AE51" s="46" t="str">
        <f t="shared" ca="1" si="88"/>
        <v/>
      </c>
      <c r="AF51" s="49" t="str">
        <f t="shared" ca="1" si="71"/>
        <v/>
      </c>
      <c r="AG51" s="53" t="str">
        <f t="shared" ca="1" si="72"/>
        <v/>
      </c>
      <c r="AH51" s="47" t="str">
        <f t="shared" ca="1" si="89"/>
        <v/>
      </c>
      <c r="AI51" s="111" t="str">
        <f t="shared" ca="1" si="90"/>
        <v/>
      </c>
      <c r="AJ51" s="397" t="str">
        <f t="shared" ca="1" si="73"/>
        <v/>
      </c>
      <c r="AK51" s="372" t="str">
        <f ca="1">IFERROR(INDEX(ICE[], MATCH("tc2" &amp; TEXT(Hvy!$A51, "mmmyy"), ICE[LongCode], 0), MATCH("Text", ICE[#Headers], 0)), "")</f>
        <v/>
      </c>
      <c r="AL51" s="46" t="str">
        <f t="shared" ca="1" si="64"/>
        <v/>
      </c>
      <c r="AM51" s="47" t="str">
        <f t="shared" ca="1" si="91"/>
        <v/>
      </c>
      <c r="AN51" s="46" t="str">
        <f t="shared" ca="1" si="92"/>
        <v/>
      </c>
      <c r="AO51" s="49" t="str">
        <f t="shared" ca="1" si="74"/>
        <v/>
      </c>
      <c r="AP51" s="53" t="str">
        <f t="shared" ca="1" si="65"/>
        <v/>
      </c>
      <c r="AQ51" s="47" t="str">
        <f t="shared" ca="1" si="93"/>
        <v/>
      </c>
      <c r="AR51" s="111" t="str">
        <f t="shared" ca="1" si="94"/>
        <v/>
      </c>
      <c r="AS51" s="397" t="str">
        <f t="shared" ca="1" si="75"/>
        <v/>
      </c>
      <c r="AT51" s="372" t="str">
        <f ca="1">IFERROR(INDEX(ICE[], MATCH("tc14" &amp; TEXT(Hvy!$A51, "mmmyy"), ICE[LongCode], 0), MATCH("Text", ICE[#Headers], 0)), "")</f>
        <v/>
      </c>
      <c r="AU51" s="46" t="str">
        <f t="shared" ca="1" si="76"/>
        <v/>
      </c>
      <c r="AV51" s="47" t="str">
        <f t="shared" ca="1" si="95"/>
        <v/>
      </c>
      <c r="AW51" s="46" t="str">
        <f t="shared" ca="1" si="96"/>
        <v/>
      </c>
      <c r="AX51" s="49" t="str">
        <f t="shared" ca="1" si="77"/>
        <v/>
      </c>
      <c r="AY51" s="53" t="str">
        <f t="shared" ca="1" si="78"/>
        <v/>
      </c>
      <c r="AZ51" s="47" t="str">
        <f t="shared" ca="1" si="97"/>
        <v/>
      </c>
      <c r="BA51" s="111" t="str">
        <f t="shared" ca="1" si="98"/>
        <v/>
      </c>
    </row>
    <row r="52" spans="1:53" x14ac:dyDescent="0.25">
      <c r="A52" s="58">
        <f t="shared" ca="1" si="79"/>
        <v>47270</v>
      </c>
      <c r="B52" s="6">
        <f t="shared" ca="1" si="59"/>
        <v>2029</v>
      </c>
      <c r="C52" s="6" t="str">
        <f t="shared" ca="1" si="66"/>
        <v>Q229</v>
      </c>
      <c r="D52" s="28" t="e">
        <f ca="1">INDEX(ICE[], MATCH(D$18 &amp; TEXT($A52, "mmmyy"), ICE[LongCode], 0), MATCH("Settle", ICE[#Headers], 0))</f>
        <v>#N/A</v>
      </c>
      <c r="E52" s="28" t="e">
        <f ca="1">INDEX(ICE[], MATCH(E$18 &amp; TEXT($A52, "mmmyy"), ICE[LongCode], 0), MATCH("Settle", ICE[#Headers], 0))</f>
        <v>#N/A</v>
      </c>
      <c r="F52" s="28" t="e">
        <f ca="1">INDEX(ICE[], MATCH(F$18 &amp; TEXT($A52, "mmmyy"), ICE[LongCode], 0), MATCH("Settle", ICE[#Headers], 0))</f>
        <v>#N/A</v>
      </c>
      <c r="G52" s="28" t="e">
        <f ca="1">INDEX(ICE[], MATCH(G$18 &amp; TEXT($A52, "mmmyy"), ICE[LongCode], 0), MATCH("Settle", ICE[#Headers], 0))</f>
        <v>#N/A</v>
      </c>
      <c r="H52" s="28" t="e">
        <f ca="1">INDEX(ICE[], MATCH(H$18 &amp; TEXT($A52, "mmmyy"), ICE[LongCode], 0), MATCH("Settle", ICE[#Headers], 0))</f>
        <v>#N/A</v>
      </c>
      <c r="I52" s="397" t="str">
        <f ca="1">IFERROR(INDEX(ICE[], MATCH("td3c" &amp; TEXT(Crd!$A52, "mmmyy"), ICE[LongCode], 0), MATCH("ICE Theoretical Price", ICE[#Headers], 0)), "")</f>
        <v/>
      </c>
      <c r="J52" s="372" t="str">
        <f ca="1">IFERROR(INDEX(ICE[], MATCH("td3c" &amp; TEXT($A52, "mmmyy"), ICE[LongCode], 0), MATCH("Text", ICE[#Headers], 0)), "")</f>
        <v/>
      </c>
      <c r="K52" s="46" t="str">
        <f t="shared" ca="1" si="60"/>
        <v/>
      </c>
      <c r="L52" s="47" t="str">
        <f t="shared" ca="1" si="67"/>
        <v/>
      </c>
      <c r="M52" s="46" t="str">
        <f t="shared" ca="1" si="80"/>
        <v/>
      </c>
      <c r="N52" s="49" t="str">
        <f t="shared" ca="1" si="68"/>
        <v/>
      </c>
      <c r="O52" s="53" t="str">
        <f t="shared" ca="1" si="61"/>
        <v/>
      </c>
      <c r="P52" s="47" t="str">
        <f t="shared" ca="1" si="81"/>
        <v/>
      </c>
      <c r="Q52" s="111" t="str">
        <f t="shared" ca="1" si="82"/>
        <v/>
      </c>
      <c r="R52" s="397" t="str">
        <f ca="1">IFERROR(INDEX(ICE[], MATCH("afra" &amp; TEXT(Crd!$A52, "mmmyy"), ICE[LongCode], 0), MATCH("ICE Theoretical Price", ICE[#Headers], 0)), "")</f>
        <v/>
      </c>
      <c r="S52" s="372" t="str">
        <f ca="1">IFERROR(INDEX(ICE[], MATCH("afra" &amp; TEXT($A52, "mmmyy"), ICE[LongCode], 0), MATCH("Text", ICE[#Headers], 0)), "")</f>
        <v/>
      </c>
      <c r="T52" s="46" t="str">
        <f t="shared" ca="1" si="62"/>
        <v/>
      </c>
      <c r="U52" s="47" t="str">
        <f t="shared" ca="1" si="83"/>
        <v/>
      </c>
      <c r="V52" s="46" t="str">
        <f t="shared" ca="1" si="84"/>
        <v/>
      </c>
      <c r="W52" s="49" t="str">
        <f t="shared" ca="1" si="69"/>
        <v/>
      </c>
      <c r="X52" s="53" t="str">
        <f t="shared" ca="1" si="63"/>
        <v/>
      </c>
      <c r="Y52" s="47" t="str">
        <f t="shared" ca="1" si="85"/>
        <v/>
      </c>
      <c r="Z52" s="111" t="str">
        <f t="shared" ca="1" si="86"/>
        <v/>
      </c>
      <c r="AA52" s="397" t="str">
        <f ca="1">IFERROR(INDEX(ICE[], MATCH("tc5" &amp; TEXT(Crd!$A52, "mmmyy"), ICE[LongCode], 0), MATCH("ICE Theoretical Price", ICE[#Headers], 0)), "")</f>
        <v/>
      </c>
      <c r="AB52" s="372" t="str">
        <f ca="1">IFERROR(INDEX(ICE[], MATCH("tc5" &amp; TEXT(Hvy!$A52, "mmmyy"), ICE[LongCode], 0), MATCH("Text", ICE[#Headers], 0)), "")</f>
        <v/>
      </c>
      <c r="AC52" s="46" t="str">
        <f t="shared" ca="1" si="70"/>
        <v/>
      </c>
      <c r="AD52" s="47" t="str">
        <f t="shared" ca="1" si="87"/>
        <v/>
      </c>
      <c r="AE52" s="46" t="str">
        <f t="shared" ca="1" si="88"/>
        <v/>
      </c>
      <c r="AF52" s="49" t="str">
        <f t="shared" ca="1" si="71"/>
        <v/>
      </c>
      <c r="AG52" s="53" t="str">
        <f t="shared" ca="1" si="72"/>
        <v/>
      </c>
      <c r="AH52" s="47" t="str">
        <f t="shared" ca="1" si="89"/>
        <v/>
      </c>
      <c r="AI52" s="111" t="str">
        <f t="shared" ca="1" si="90"/>
        <v/>
      </c>
      <c r="AJ52" s="397" t="str">
        <f t="shared" ca="1" si="73"/>
        <v/>
      </c>
      <c r="AK52" s="372" t="str">
        <f ca="1">IFERROR(INDEX(ICE[], MATCH("tc2" &amp; TEXT(Hvy!$A52, "mmmyy"), ICE[LongCode], 0), MATCH("Text", ICE[#Headers], 0)), "")</f>
        <v/>
      </c>
      <c r="AL52" s="46" t="str">
        <f t="shared" ca="1" si="64"/>
        <v/>
      </c>
      <c r="AM52" s="47" t="str">
        <f t="shared" ca="1" si="91"/>
        <v/>
      </c>
      <c r="AN52" s="46" t="str">
        <f t="shared" ca="1" si="92"/>
        <v/>
      </c>
      <c r="AO52" s="49" t="str">
        <f t="shared" ca="1" si="74"/>
        <v/>
      </c>
      <c r="AP52" s="53" t="str">
        <f t="shared" ca="1" si="65"/>
        <v/>
      </c>
      <c r="AQ52" s="47" t="str">
        <f t="shared" ca="1" si="93"/>
        <v/>
      </c>
      <c r="AR52" s="111" t="str">
        <f t="shared" ca="1" si="94"/>
        <v/>
      </c>
      <c r="AS52" s="397" t="str">
        <f t="shared" ca="1" si="75"/>
        <v/>
      </c>
      <c r="AT52" s="372" t="str">
        <f ca="1">IFERROR(INDEX(ICE[], MATCH("tc14" &amp; TEXT(Hvy!$A52, "mmmyy"), ICE[LongCode], 0), MATCH("Text", ICE[#Headers], 0)), "")</f>
        <v/>
      </c>
      <c r="AU52" s="46" t="str">
        <f t="shared" ca="1" si="76"/>
        <v/>
      </c>
      <c r="AV52" s="47" t="str">
        <f t="shared" ca="1" si="95"/>
        <v/>
      </c>
      <c r="AW52" s="46" t="str">
        <f t="shared" ca="1" si="96"/>
        <v/>
      </c>
      <c r="AX52" s="49" t="str">
        <f t="shared" ca="1" si="77"/>
        <v/>
      </c>
      <c r="AY52" s="53" t="str">
        <f t="shared" ca="1" si="78"/>
        <v/>
      </c>
      <c r="AZ52" s="47" t="str">
        <f t="shared" ca="1" si="97"/>
        <v/>
      </c>
      <c r="BA52" s="111" t="str">
        <f t="shared" ca="1" si="98"/>
        <v/>
      </c>
    </row>
    <row r="53" spans="1:53" x14ac:dyDescent="0.25">
      <c r="A53" s="58">
        <f t="shared" ca="1" si="79"/>
        <v>47300</v>
      </c>
      <c r="B53" s="6">
        <f t="shared" ca="1" si="59"/>
        <v>2029</v>
      </c>
      <c r="C53" s="6" t="str">
        <f t="shared" ca="1" si="66"/>
        <v>Q329</v>
      </c>
      <c r="D53" s="28" t="e">
        <f ca="1">INDEX(ICE[], MATCH(D$18 &amp; TEXT($A53, "mmmyy"), ICE[LongCode], 0), MATCH("Settle", ICE[#Headers], 0))</f>
        <v>#N/A</v>
      </c>
      <c r="E53" s="28" t="e">
        <f ca="1">INDEX(ICE[], MATCH(E$18 &amp; TEXT($A53, "mmmyy"), ICE[LongCode], 0), MATCH("Settle", ICE[#Headers], 0))</f>
        <v>#N/A</v>
      </c>
      <c r="F53" s="28" t="e">
        <f ca="1">INDEX(ICE[], MATCH(F$18 &amp; TEXT($A53, "mmmyy"), ICE[LongCode], 0), MATCH("Settle", ICE[#Headers], 0))</f>
        <v>#N/A</v>
      </c>
      <c r="G53" s="28" t="e">
        <f ca="1">INDEX(ICE[], MATCH(G$18 &amp; TEXT($A53, "mmmyy"), ICE[LongCode], 0), MATCH("Settle", ICE[#Headers], 0))</f>
        <v>#N/A</v>
      </c>
      <c r="H53" s="28" t="e">
        <f ca="1">INDEX(ICE[], MATCH(H$18 &amp; TEXT($A53, "mmmyy"), ICE[LongCode], 0), MATCH("Settle", ICE[#Headers], 0))</f>
        <v>#N/A</v>
      </c>
      <c r="I53" s="397" t="str">
        <f ca="1">IFERROR(INDEX(ICE[], MATCH("td3c" &amp; TEXT(Crd!$A53, "mmmyy"), ICE[LongCode], 0), MATCH("ICE Theoretical Price", ICE[#Headers], 0)), "")</f>
        <v/>
      </c>
      <c r="J53" s="372" t="str">
        <f ca="1">IFERROR(INDEX(ICE[], MATCH("td3c" &amp; TEXT($A53, "mmmyy"), ICE[LongCode], 0), MATCH("Text", ICE[#Headers], 0)), "")</f>
        <v/>
      </c>
      <c r="K53" s="46" t="str">
        <f t="shared" ca="1" si="60"/>
        <v/>
      </c>
      <c r="L53" s="47" t="str">
        <f t="shared" ca="1" si="67"/>
        <v/>
      </c>
      <c r="M53" s="46" t="str">
        <f t="shared" ca="1" si="80"/>
        <v/>
      </c>
      <c r="N53" s="49" t="str">
        <f t="shared" ca="1" si="68"/>
        <v/>
      </c>
      <c r="O53" s="53" t="str">
        <f t="shared" ca="1" si="61"/>
        <v/>
      </c>
      <c r="P53" s="47" t="str">
        <f t="shared" ca="1" si="81"/>
        <v/>
      </c>
      <c r="Q53" s="111" t="str">
        <f t="shared" ca="1" si="82"/>
        <v/>
      </c>
      <c r="R53" s="397" t="str">
        <f ca="1">IFERROR(INDEX(ICE[], MATCH("afra" &amp; TEXT(Crd!$A53, "mmmyy"), ICE[LongCode], 0), MATCH("ICE Theoretical Price", ICE[#Headers], 0)), "")</f>
        <v/>
      </c>
      <c r="S53" s="372" t="str">
        <f ca="1">IFERROR(INDEX(ICE[], MATCH("afra" &amp; TEXT($A53, "mmmyy"), ICE[LongCode], 0), MATCH("Text", ICE[#Headers], 0)), "")</f>
        <v/>
      </c>
      <c r="T53" s="46" t="str">
        <f t="shared" ca="1" si="62"/>
        <v/>
      </c>
      <c r="U53" s="47" t="str">
        <f t="shared" ca="1" si="83"/>
        <v/>
      </c>
      <c r="V53" s="46" t="str">
        <f t="shared" ca="1" si="84"/>
        <v/>
      </c>
      <c r="W53" s="49" t="str">
        <f t="shared" ca="1" si="69"/>
        <v/>
      </c>
      <c r="X53" s="53" t="str">
        <f t="shared" ca="1" si="63"/>
        <v/>
      </c>
      <c r="Y53" s="47" t="str">
        <f t="shared" ca="1" si="85"/>
        <v/>
      </c>
      <c r="Z53" s="111" t="str">
        <f t="shared" ca="1" si="86"/>
        <v/>
      </c>
      <c r="AA53" s="397" t="str">
        <f ca="1">IFERROR(INDEX(ICE[], MATCH("tc5" &amp; TEXT(Crd!$A53, "mmmyy"), ICE[LongCode], 0), MATCH("ICE Theoretical Price", ICE[#Headers], 0)), "")</f>
        <v/>
      </c>
      <c r="AB53" s="372" t="str">
        <f ca="1">IFERROR(INDEX(ICE[], MATCH("tc5" &amp; TEXT(Hvy!$A53, "mmmyy"), ICE[LongCode], 0), MATCH("Text", ICE[#Headers], 0)), "")</f>
        <v/>
      </c>
      <c r="AC53" s="46" t="str">
        <f t="shared" ca="1" si="70"/>
        <v/>
      </c>
      <c r="AD53" s="47" t="str">
        <f t="shared" ca="1" si="87"/>
        <v/>
      </c>
      <c r="AE53" s="46" t="str">
        <f t="shared" ca="1" si="88"/>
        <v/>
      </c>
      <c r="AF53" s="49" t="str">
        <f t="shared" ca="1" si="71"/>
        <v/>
      </c>
      <c r="AG53" s="53" t="str">
        <f t="shared" ca="1" si="72"/>
        <v/>
      </c>
      <c r="AH53" s="47" t="str">
        <f t="shared" ca="1" si="89"/>
        <v/>
      </c>
      <c r="AI53" s="111" t="str">
        <f t="shared" ca="1" si="90"/>
        <v/>
      </c>
      <c r="AJ53" s="397" t="str">
        <f t="shared" ca="1" si="73"/>
        <v/>
      </c>
      <c r="AK53" s="372" t="str">
        <f ca="1">IFERROR(INDEX(ICE[], MATCH("tc2" &amp; TEXT(Hvy!$A53, "mmmyy"), ICE[LongCode], 0), MATCH("Text", ICE[#Headers], 0)), "")</f>
        <v/>
      </c>
      <c r="AL53" s="46" t="str">
        <f t="shared" ca="1" si="64"/>
        <v/>
      </c>
      <c r="AM53" s="47" t="str">
        <f t="shared" ca="1" si="91"/>
        <v/>
      </c>
      <c r="AN53" s="46" t="str">
        <f t="shared" ca="1" si="92"/>
        <v/>
      </c>
      <c r="AO53" s="49" t="str">
        <f t="shared" ca="1" si="74"/>
        <v/>
      </c>
      <c r="AP53" s="53" t="str">
        <f t="shared" ca="1" si="65"/>
        <v/>
      </c>
      <c r="AQ53" s="47" t="str">
        <f t="shared" ca="1" si="93"/>
        <v/>
      </c>
      <c r="AR53" s="111" t="str">
        <f t="shared" ca="1" si="94"/>
        <v/>
      </c>
      <c r="AS53" s="397" t="str">
        <f t="shared" ca="1" si="75"/>
        <v/>
      </c>
      <c r="AT53" s="372" t="str">
        <f ca="1">IFERROR(INDEX(ICE[], MATCH("tc14" &amp; TEXT(Hvy!$A53, "mmmyy"), ICE[LongCode], 0), MATCH("Text", ICE[#Headers], 0)), "")</f>
        <v/>
      </c>
      <c r="AU53" s="46" t="str">
        <f t="shared" ca="1" si="76"/>
        <v/>
      </c>
      <c r="AV53" s="47" t="str">
        <f t="shared" ca="1" si="95"/>
        <v/>
      </c>
      <c r="AW53" s="46" t="str">
        <f t="shared" ca="1" si="96"/>
        <v/>
      </c>
      <c r="AX53" s="49" t="str">
        <f t="shared" ca="1" si="77"/>
        <v/>
      </c>
      <c r="AY53" s="53" t="str">
        <f t="shared" ca="1" si="78"/>
        <v/>
      </c>
      <c r="AZ53" s="47" t="str">
        <f t="shared" ca="1" si="97"/>
        <v/>
      </c>
      <c r="BA53" s="111" t="str">
        <f t="shared" ca="1" si="98"/>
        <v/>
      </c>
    </row>
    <row r="54" spans="1:53" x14ac:dyDescent="0.25">
      <c r="A54" s="58">
        <f t="shared" ca="1" si="79"/>
        <v>47331</v>
      </c>
      <c r="B54" s="6">
        <f t="shared" ca="1" si="59"/>
        <v>2029</v>
      </c>
      <c r="C54" s="6" t="str">
        <f t="shared" ca="1" si="66"/>
        <v>Q329</v>
      </c>
      <c r="D54" s="28" t="e">
        <f ca="1">INDEX(ICE[], MATCH(D$18 &amp; TEXT($A54, "mmmyy"), ICE[LongCode], 0), MATCH("Settle", ICE[#Headers], 0))</f>
        <v>#N/A</v>
      </c>
      <c r="E54" s="28" t="e">
        <f ca="1">INDEX(ICE[], MATCH(E$18 &amp; TEXT($A54, "mmmyy"), ICE[LongCode], 0), MATCH("Settle", ICE[#Headers], 0))</f>
        <v>#N/A</v>
      </c>
      <c r="F54" s="28" t="e">
        <f ca="1">INDEX(ICE[], MATCH(F$18 &amp; TEXT($A54, "mmmyy"), ICE[LongCode], 0), MATCH("Settle", ICE[#Headers], 0))</f>
        <v>#N/A</v>
      </c>
      <c r="G54" s="28" t="e">
        <f ca="1">INDEX(ICE[], MATCH(G$18 &amp; TEXT($A54, "mmmyy"), ICE[LongCode], 0), MATCH("Settle", ICE[#Headers], 0))</f>
        <v>#N/A</v>
      </c>
      <c r="H54" s="28" t="e">
        <f ca="1">INDEX(ICE[], MATCH(H$18 &amp; TEXT($A54, "mmmyy"), ICE[LongCode], 0), MATCH("Settle", ICE[#Headers], 0))</f>
        <v>#N/A</v>
      </c>
      <c r="I54" s="397" t="str">
        <f ca="1">IFERROR(INDEX(ICE[], MATCH("td3c" &amp; TEXT(Crd!$A54, "mmmyy"), ICE[LongCode], 0), MATCH("ICE Theoretical Price", ICE[#Headers], 0)), "")</f>
        <v/>
      </c>
      <c r="J54" s="372" t="str">
        <f ca="1">IFERROR(INDEX(ICE[], MATCH("td3c" &amp; TEXT($A54, "mmmyy"), ICE[LongCode], 0), MATCH("Text", ICE[#Headers], 0)), "")</f>
        <v/>
      </c>
      <c r="K54" s="46" t="str">
        <f t="shared" ca="1" si="60"/>
        <v/>
      </c>
      <c r="L54" s="47" t="str">
        <f t="shared" ca="1" si="67"/>
        <v/>
      </c>
      <c r="M54" s="46" t="str">
        <f t="shared" ca="1" si="80"/>
        <v/>
      </c>
      <c r="N54" s="49" t="str">
        <f t="shared" ca="1" si="68"/>
        <v/>
      </c>
      <c r="O54" s="53" t="str">
        <f t="shared" ca="1" si="61"/>
        <v/>
      </c>
      <c r="P54" s="47" t="str">
        <f t="shared" ca="1" si="81"/>
        <v/>
      </c>
      <c r="Q54" s="111" t="str">
        <f t="shared" ca="1" si="82"/>
        <v/>
      </c>
      <c r="R54" s="397" t="str">
        <f ca="1">IFERROR(INDEX(ICE[], MATCH("afra" &amp; TEXT(Crd!$A54, "mmmyy"), ICE[LongCode], 0), MATCH("ICE Theoretical Price", ICE[#Headers], 0)), "")</f>
        <v/>
      </c>
      <c r="S54" s="372" t="str">
        <f ca="1">IFERROR(INDEX(ICE[], MATCH("afra" &amp; TEXT($A54, "mmmyy"), ICE[LongCode], 0), MATCH("Text", ICE[#Headers], 0)), "")</f>
        <v/>
      </c>
      <c r="T54" s="46" t="str">
        <f t="shared" ca="1" si="62"/>
        <v/>
      </c>
      <c r="U54" s="47" t="str">
        <f t="shared" ca="1" si="83"/>
        <v/>
      </c>
      <c r="V54" s="46" t="str">
        <f t="shared" ca="1" si="84"/>
        <v/>
      </c>
      <c r="W54" s="49" t="str">
        <f t="shared" ca="1" si="69"/>
        <v/>
      </c>
      <c r="X54" s="53" t="str">
        <f t="shared" ca="1" si="63"/>
        <v/>
      </c>
      <c r="Y54" s="47" t="str">
        <f t="shared" ca="1" si="85"/>
        <v/>
      </c>
      <c r="Z54" s="111" t="str">
        <f t="shared" ca="1" si="86"/>
        <v/>
      </c>
      <c r="AA54" s="397" t="str">
        <f ca="1">IFERROR(INDEX(ICE[], MATCH("tc5" &amp; TEXT(Crd!$A54, "mmmyy"), ICE[LongCode], 0), MATCH("ICE Theoretical Price", ICE[#Headers], 0)), "")</f>
        <v/>
      </c>
      <c r="AB54" s="372" t="str">
        <f ca="1">IFERROR(INDEX(ICE[], MATCH("tc5" &amp; TEXT(Hvy!$A54, "mmmyy"), ICE[LongCode], 0), MATCH("Text", ICE[#Headers], 0)), "")</f>
        <v/>
      </c>
      <c r="AC54" s="46" t="str">
        <f t="shared" ca="1" si="70"/>
        <v/>
      </c>
      <c r="AD54" s="47" t="str">
        <f t="shared" ca="1" si="87"/>
        <v/>
      </c>
      <c r="AE54" s="46" t="str">
        <f t="shared" ca="1" si="88"/>
        <v/>
      </c>
      <c r="AF54" s="49" t="str">
        <f t="shared" ca="1" si="71"/>
        <v/>
      </c>
      <c r="AG54" s="53" t="str">
        <f t="shared" ca="1" si="72"/>
        <v/>
      </c>
      <c r="AH54" s="47" t="str">
        <f t="shared" ca="1" si="89"/>
        <v/>
      </c>
      <c r="AI54" s="111" t="str">
        <f t="shared" ca="1" si="90"/>
        <v/>
      </c>
      <c r="AJ54" s="397" t="str">
        <f t="shared" ca="1" si="73"/>
        <v/>
      </c>
      <c r="AK54" s="372" t="str">
        <f ca="1">IFERROR(INDEX(ICE[], MATCH("tc2" &amp; TEXT(Hvy!$A54, "mmmyy"), ICE[LongCode], 0), MATCH("Text", ICE[#Headers], 0)), "")</f>
        <v/>
      </c>
      <c r="AL54" s="46" t="str">
        <f t="shared" ca="1" si="64"/>
        <v/>
      </c>
      <c r="AM54" s="47" t="str">
        <f t="shared" ca="1" si="91"/>
        <v/>
      </c>
      <c r="AN54" s="46" t="str">
        <f t="shared" ca="1" si="92"/>
        <v/>
      </c>
      <c r="AO54" s="49" t="str">
        <f t="shared" ca="1" si="74"/>
        <v/>
      </c>
      <c r="AP54" s="53" t="str">
        <f t="shared" ca="1" si="65"/>
        <v/>
      </c>
      <c r="AQ54" s="47" t="str">
        <f t="shared" ca="1" si="93"/>
        <v/>
      </c>
      <c r="AR54" s="111" t="str">
        <f t="shared" ca="1" si="94"/>
        <v/>
      </c>
      <c r="AS54" s="397" t="str">
        <f t="shared" ca="1" si="75"/>
        <v/>
      </c>
      <c r="AT54" s="372" t="str">
        <f ca="1">IFERROR(INDEX(ICE[], MATCH("tc14" &amp; TEXT(Hvy!$A54, "mmmyy"), ICE[LongCode], 0), MATCH("Text", ICE[#Headers], 0)), "")</f>
        <v/>
      </c>
      <c r="AU54" s="46" t="str">
        <f t="shared" ca="1" si="76"/>
        <v/>
      </c>
      <c r="AV54" s="47" t="str">
        <f t="shared" ca="1" si="95"/>
        <v/>
      </c>
      <c r="AW54" s="46" t="str">
        <f t="shared" ca="1" si="96"/>
        <v/>
      </c>
      <c r="AX54" s="49" t="str">
        <f t="shared" ca="1" si="77"/>
        <v/>
      </c>
      <c r="AY54" s="53" t="str">
        <f t="shared" ca="1" si="78"/>
        <v/>
      </c>
      <c r="AZ54" s="47" t="str">
        <f t="shared" ca="1" si="97"/>
        <v/>
      </c>
      <c r="BA54" s="111" t="str">
        <f t="shared" ca="1" si="98"/>
        <v/>
      </c>
    </row>
    <row r="55" spans="1:53" x14ac:dyDescent="0.25">
      <c r="A55" s="58">
        <f t="shared" ca="1" si="79"/>
        <v>47362</v>
      </c>
      <c r="B55" s="6">
        <f t="shared" ca="1" si="59"/>
        <v>2029</v>
      </c>
      <c r="C55" s="6" t="str">
        <f t="shared" ca="1" si="66"/>
        <v>Q329</v>
      </c>
      <c r="D55" s="28" t="e">
        <f ca="1">INDEX(ICE[], MATCH(D$18 &amp; TEXT($A55, "mmmyy"), ICE[LongCode], 0), MATCH("Settle", ICE[#Headers], 0))</f>
        <v>#N/A</v>
      </c>
      <c r="E55" s="28" t="e">
        <f ca="1">INDEX(ICE[], MATCH(E$18 &amp; TEXT($A55, "mmmyy"), ICE[LongCode], 0), MATCH("Settle", ICE[#Headers], 0))</f>
        <v>#N/A</v>
      </c>
      <c r="F55" s="28" t="e">
        <f ca="1">INDEX(ICE[], MATCH(F$18 &amp; TEXT($A55, "mmmyy"), ICE[LongCode], 0), MATCH("Settle", ICE[#Headers], 0))</f>
        <v>#N/A</v>
      </c>
      <c r="G55" s="28" t="e">
        <f ca="1">INDEX(ICE[], MATCH(G$18 &amp; TEXT($A55, "mmmyy"), ICE[LongCode], 0), MATCH("Settle", ICE[#Headers], 0))</f>
        <v>#N/A</v>
      </c>
      <c r="H55" s="28" t="e">
        <f ca="1">INDEX(ICE[], MATCH(H$18 &amp; TEXT($A55, "mmmyy"), ICE[LongCode], 0), MATCH("Settle", ICE[#Headers], 0))</f>
        <v>#N/A</v>
      </c>
      <c r="I55" s="397" t="str">
        <f ca="1">IFERROR(INDEX(ICE[], MATCH("td3c" &amp; TEXT(Crd!$A55, "mmmyy"), ICE[LongCode], 0), MATCH("ICE Theoretical Price", ICE[#Headers], 0)), "")</f>
        <v/>
      </c>
      <c r="J55" s="372" t="str">
        <f ca="1">IFERROR(INDEX(ICE[], MATCH("td3c" &amp; TEXT($A55, "mmmyy"), ICE[LongCode], 0), MATCH("Text", ICE[#Headers], 0)), "")</f>
        <v/>
      </c>
      <c r="K55" s="46" t="str">
        <f t="shared" ca="1" si="60"/>
        <v/>
      </c>
      <c r="L55" s="47" t="str">
        <f t="shared" ca="1" si="67"/>
        <v/>
      </c>
      <c r="M55" s="46" t="str">
        <f t="shared" ca="1" si="80"/>
        <v/>
      </c>
      <c r="N55" s="49" t="str">
        <f t="shared" ca="1" si="68"/>
        <v/>
      </c>
      <c r="O55" s="53" t="str">
        <f t="shared" ca="1" si="61"/>
        <v/>
      </c>
      <c r="P55" s="47" t="str">
        <f t="shared" ca="1" si="81"/>
        <v/>
      </c>
      <c r="Q55" s="111" t="str">
        <f t="shared" ca="1" si="82"/>
        <v/>
      </c>
      <c r="R55" s="397" t="str">
        <f ca="1">IFERROR(INDEX(ICE[], MATCH("afra" &amp; TEXT(Crd!$A55, "mmmyy"), ICE[LongCode], 0), MATCH("ICE Theoretical Price", ICE[#Headers], 0)), "")</f>
        <v/>
      </c>
      <c r="S55" s="372" t="str">
        <f ca="1">IFERROR(INDEX(ICE[], MATCH("afra" &amp; TEXT($A55, "mmmyy"), ICE[LongCode], 0), MATCH("Text", ICE[#Headers], 0)), "")</f>
        <v/>
      </c>
      <c r="T55" s="46" t="str">
        <f t="shared" ca="1" si="62"/>
        <v/>
      </c>
      <c r="U55" s="47" t="str">
        <f t="shared" ca="1" si="83"/>
        <v/>
      </c>
      <c r="V55" s="46" t="str">
        <f t="shared" ca="1" si="84"/>
        <v/>
      </c>
      <c r="W55" s="49" t="str">
        <f t="shared" ca="1" si="69"/>
        <v/>
      </c>
      <c r="X55" s="53" t="str">
        <f t="shared" ca="1" si="63"/>
        <v/>
      </c>
      <c r="Y55" s="47" t="str">
        <f t="shared" ca="1" si="85"/>
        <v/>
      </c>
      <c r="Z55" s="111" t="str">
        <f t="shared" ca="1" si="86"/>
        <v/>
      </c>
      <c r="AA55" s="397" t="str">
        <f ca="1">IFERROR(INDEX(ICE[], MATCH("tc5" &amp; TEXT(Crd!$A55, "mmmyy"), ICE[LongCode], 0), MATCH("ICE Theoretical Price", ICE[#Headers], 0)), "")</f>
        <v/>
      </c>
      <c r="AB55" s="372" t="str">
        <f ca="1">IFERROR(INDEX(ICE[], MATCH("tc5" &amp; TEXT(Hvy!$A55, "mmmyy"), ICE[LongCode], 0), MATCH("Text", ICE[#Headers], 0)), "")</f>
        <v/>
      </c>
      <c r="AC55" s="46" t="str">
        <f t="shared" ca="1" si="70"/>
        <v/>
      </c>
      <c r="AD55" s="47" t="str">
        <f t="shared" ca="1" si="87"/>
        <v/>
      </c>
      <c r="AE55" s="46" t="str">
        <f t="shared" ca="1" si="88"/>
        <v/>
      </c>
      <c r="AF55" s="49" t="str">
        <f t="shared" ca="1" si="71"/>
        <v/>
      </c>
      <c r="AG55" s="53" t="str">
        <f t="shared" ca="1" si="72"/>
        <v/>
      </c>
      <c r="AH55" s="47" t="str">
        <f t="shared" ca="1" si="89"/>
        <v/>
      </c>
      <c r="AI55" s="111" t="str">
        <f t="shared" ca="1" si="90"/>
        <v/>
      </c>
      <c r="AJ55" s="397" t="str">
        <f t="shared" ca="1" si="73"/>
        <v/>
      </c>
      <c r="AK55" s="372" t="str">
        <f ca="1">IFERROR(INDEX(ICE[], MATCH("tc2" &amp; TEXT(Hvy!$A55, "mmmyy"), ICE[LongCode], 0), MATCH("Text", ICE[#Headers], 0)), "")</f>
        <v/>
      </c>
      <c r="AL55" s="46" t="str">
        <f t="shared" ca="1" si="64"/>
        <v/>
      </c>
      <c r="AM55" s="47" t="str">
        <f t="shared" ca="1" si="91"/>
        <v/>
      </c>
      <c r="AN55" s="46" t="str">
        <f t="shared" ca="1" si="92"/>
        <v/>
      </c>
      <c r="AO55" s="49" t="str">
        <f t="shared" ca="1" si="74"/>
        <v/>
      </c>
      <c r="AP55" s="53" t="str">
        <f t="shared" ca="1" si="65"/>
        <v/>
      </c>
      <c r="AQ55" s="47" t="str">
        <f t="shared" ca="1" si="93"/>
        <v/>
      </c>
      <c r="AR55" s="111" t="str">
        <f t="shared" ca="1" si="94"/>
        <v/>
      </c>
      <c r="AS55" s="397" t="str">
        <f t="shared" ca="1" si="75"/>
        <v/>
      </c>
      <c r="AT55" s="372" t="str">
        <f ca="1">IFERROR(INDEX(ICE[], MATCH("tc14" &amp; TEXT(Hvy!$A55, "mmmyy"), ICE[LongCode], 0), MATCH("Text", ICE[#Headers], 0)), "")</f>
        <v/>
      </c>
      <c r="AU55" s="46" t="str">
        <f t="shared" ca="1" si="76"/>
        <v/>
      </c>
      <c r="AV55" s="47" t="str">
        <f t="shared" ca="1" si="95"/>
        <v/>
      </c>
      <c r="AW55" s="46" t="str">
        <f t="shared" ca="1" si="96"/>
        <v/>
      </c>
      <c r="AX55" s="49" t="str">
        <f t="shared" ca="1" si="77"/>
        <v/>
      </c>
      <c r="AY55" s="53" t="str">
        <f t="shared" ca="1" si="78"/>
        <v/>
      </c>
      <c r="AZ55" s="47" t="str">
        <f t="shared" ca="1" si="97"/>
        <v/>
      </c>
      <c r="BA55" s="111" t="str">
        <f t="shared" ca="1" si="98"/>
        <v/>
      </c>
    </row>
    <row r="56" spans="1:53" x14ac:dyDescent="0.25">
      <c r="A56" s="58">
        <f t="shared" ca="1" si="79"/>
        <v>47392</v>
      </c>
      <c r="B56" s="6">
        <f t="shared" ca="1" si="59"/>
        <v>2029</v>
      </c>
      <c r="C56" s="6" t="str">
        <f t="shared" ca="1" si="66"/>
        <v>Q429</v>
      </c>
      <c r="D56" s="28" t="e">
        <f ca="1">INDEX(ICE[], MATCH(D$18 &amp; TEXT($A56, "mmmyy"), ICE[LongCode], 0), MATCH("Settle", ICE[#Headers], 0))</f>
        <v>#N/A</v>
      </c>
      <c r="E56" s="28" t="e">
        <f ca="1">INDEX(ICE[], MATCH(E$18 &amp; TEXT($A56, "mmmyy"), ICE[LongCode], 0), MATCH("Settle", ICE[#Headers], 0))</f>
        <v>#N/A</v>
      </c>
      <c r="F56" s="28" t="e">
        <f ca="1">INDEX(ICE[], MATCH(F$18 &amp; TEXT($A56, "mmmyy"), ICE[LongCode], 0), MATCH("Settle", ICE[#Headers], 0))</f>
        <v>#N/A</v>
      </c>
      <c r="G56" s="28" t="e">
        <f ca="1">INDEX(ICE[], MATCH(G$18 &amp; TEXT($A56, "mmmyy"), ICE[LongCode], 0), MATCH("Settle", ICE[#Headers], 0))</f>
        <v>#N/A</v>
      </c>
      <c r="H56" s="28" t="e">
        <f ca="1">INDEX(ICE[], MATCH(H$18 &amp; TEXT($A56, "mmmyy"), ICE[LongCode], 0), MATCH("Settle", ICE[#Headers], 0))</f>
        <v>#N/A</v>
      </c>
      <c r="I56" s="397" t="str">
        <f ca="1">IFERROR(INDEX(ICE[], MATCH("td3c" &amp; TEXT(Crd!$A56, "mmmyy"), ICE[LongCode], 0), MATCH("ICE Theoretical Price", ICE[#Headers], 0)), "")</f>
        <v/>
      </c>
      <c r="J56" s="372" t="str">
        <f ca="1">IFERROR(INDEX(ICE[], MATCH("td3c" &amp; TEXT($A56, "mmmyy"), ICE[LongCode], 0), MATCH("Text", ICE[#Headers], 0)), "")</f>
        <v/>
      </c>
      <c r="K56" s="46" t="str">
        <f t="shared" ca="1" si="60"/>
        <v/>
      </c>
      <c r="L56" s="47" t="str">
        <f t="shared" ca="1" si="67"/>
        <v/>
      </c>
      <c r="M56" s="46" t="str">
        <f t="shared" ca="1" si="80"/>
        <v/>
      </c>
      <c r="N56" s="49" t="str">
        <f t="shared" ca="1" si="68"/>
        <v/>
      </c>
      <c r="O56" s="53" t="str">
        <f t="shared" ca="1" si="61"/>
        <v/>
      </c>
      <c r="P56" s="47" t="str">
        <f t="shared" ca="1" si="81"/>
        <v/>
      </c>
      <c r="Q56" s="111" t="str">
        <f t="shared" ca="1" si="82"/>
        <v/>
      </c>
      <c r="R56" s="397" t="str">
        <f ca="1">IFERROR(INDEX(ICE[], MATCH("afra" &amp; TEXT(Crd!$A56, "mmmyy"), ICE[LongCode], 0), MATCH("ICE Theoretical Price", ICE[#Headers], 0)), "")</f>
        <v/>
      </c>
      <c r="S56" s="372" t="str">
        <f ca="1">IFERROR(INDEX(ICE[], MATCH("afra" &amp; TEXT($A56, "mmmyy"), ICE[LongCode], 0), MATCH("Text", ICE[#Headers], 0)), "")</f>
        <v/>
      </c>
      <c r="T56" s="46" t="str">
        <f t="shared" ca="1" si="62"/>
        <v/>
      </c>
      <c r="U56" s="47" t="str">
        <f t="shared" ca="1" si="83"/>
        <v/>
      </c>
      <c r="V56" s="46" t="str">
        <f t="shared" ca="1" si="84"/>
        <v/>
      </c>
      <c r="W56" s="49" t="str">
        <f t="shared" ca="1" si="69"/>
        <v/>
      </c>
      <c r="X56" s="53" t="str">
        <f t="shared" ca="1" si="63"/>
        <v/>
      </c>
      <c r="Y56" s="47" t="str">
        <f t="shared" ca="1" si="85"/>
        <v/>
      </c>
      <c r="Z56" s="111" t="str">
        <f t="shared" ca="1" si="86"/>
        <v/>
      </c>
      <c r="AA56" s="397" t="str">
        <f ca="1">IFERROR(INDEX(ICE[], MATCH("tc5" &amp; TEXT(Crd!$A56, "mmmyy"), ICE[LongCode], 0), MATCH("ICE Theoretical Price", ICE[#Headers], 0)), "")</f>
        <v/>
      </c>
      <c r="AB56" s="372" t="str">
        <f ca="1">IFERROR(INDEX(ICE[], MATCH("tc5" &amp; TEXT(Hvy!$A56, "mmmyy"), ICE[LongCode], 0), MATCH("Text", ICE[#Headers], 0)), "")</f>
        <v/>
      </c>
      <c r="AC56" s="46" t="str">
        <f t="shared" ca="1" si="70"/>
        <v/>
      </c>
      <c r="AD56" s="47" t="str">
        <f t="shared" ca="1" si="87"/>
        <v/>
      </c>
      <c r="AE56" s="46" t="str">
        <f t="shared" ca="1" si="88"/>
        <v/>
      </c>
      <c r="AF56" s="49" t="str">
        <f t="shared" ca="1" si="71"/>
        <v/>
      </c>
      <c r="AG56" s="53" t="str">
        <f t="shared" ca="1" si="72"/>
        <v/>
      </c>
      <c r="AH56" s="47" t="str">
        <f t="shared" ca="1" si="89"/>
        <v/>
      </c>
      <c r="AI56" s="111" t="str">
        <f t="shared" ca="1" si="90"/>
        <v/>
      </c>
      <c r="AJ56" s="397" t="str">
        <f t="shared" ca="1" si="73"/>
        <v/>
      </c>
      <c r="AK56" s="372" t="str">
        <f ca="1">IFERROR(INDEX(ICE[], MATCH("tc2" &amp; TEXT(Hvy!$A56, "mmmyy"), ICE[LongCode], 0), MATCH("Text", ICE[#Headers], 0)), "")</f>
        <v/>
      </c>
      <c r="AL56" s="46" t="str">
        <f t="shared" ca="1" si="64"/>
        <v/>
      </c>
      <c r="AM56" s="47" t="str">
        <f t="shared" ca="1" si="91"/>
        <v/>
      </c>
      <c r="AN56" s="46" t="str">
        <f t="shared" ca="1" si="92"/>
        <v/>
      </c>
      <c r="AO56" s="49" t="str">
        <f t="shared" ca="1" si="74"/>
        <v/>
      </c>
      <c r="AP56" s="53" t="str">
        <f t="shared" ca="1" si="65"/>
        <v/>
      </c>
      <c r="AQ56" s="47" t="str">
        <f t="shared" ca="1" si="93"/>
        <v/>
      </c>
      <c r="AR56" s="111" t="str">
        <f t="shared" ca="1" si="94"/>
        <v/>
      </c>
      <c r="AS56" s="397" t="str">
        <f t="shared" ca="1" si="75"/>
        <v/>
      </c>
      <c r="AT56" s="372" t="str">
        <f ca="1">IFERROR(INDEX(ICE[], MATCH("tc14" &amp; TEXT(Hvy!$A56, "mmmyy"), ICE[LongCode], 0), MATCH("Text", ICE[#Headers], 0)), "")</f>
        <v/>
      </c>
      <c r="AU56" s="46" t="str">
        <f t="shared" ca="1" si="76"/>
        <v/>
      </c>
      <c r="AV56" s="47" t="str">
        <f t="shared" ca="1" si="95"/>
        <v/>
      </c>
      <c r="AW56" s="46" t="str">
        <f t="shared" ca="1" si="96"/>
        <v/>
      </c>
      <c r="AX56" s="49" t="str">
        <f t="shared" ca="1" si="77"/>
        <v/>
      </c>
      <c r="AY56" s="53" t="str">
        <f t="shared" ca="1" si="78"/>
        <v/>
      </c>
      <c r="AZ56" s="47" t="str">
        <f t="shared" ca="1" si="97"/>
        <v/>
      </c>
      <c r="BA56" s="111" t="str">
        <f t="shared" ca="1" si="98"/>
        <v/>
      </c>
    </row>
    <row r="57" spans="1:53" x14ac:dyDescent="0.25">
      <c r="A57" s="58">
        <f t="shared" ca="1" si="79"/>
        <v>47423</v>
      </c>
      <c r="B57" s="6">
        <f t="shared" ca="1" si="59"/>
        <v>2029</v>
      </c>
      <c r="C57" s="6" t="str">
        <f t="shared" ca="1" si="66"/>
        <v>Q429</v>
      </c>
      <c r="D57" s="28" t="e">
        <f ca="1">INDEX(ICE[], MATCH(D$18 &amp; TEXT($A57, "mmmyy"), ICE[LongCode], 0), MATCH("Settle", ICE[#Headers], 0))</f>
        <v>#N/A</v>
      </c>
      <c r="E57" s="28" t="e">
        <f ca="1">INDEX(ICE[], MATCH(E$18 &amp; TEXT($A57, "mmmyy"), ICE[LongCode], 0), MATCH("Settle", ICE[#Headers], 0))</f>
        <v>#N/A</v>
      </c>
      <c r="F57" s="28" t="e">
        <f ca="1">INDEX(ICE[], MATCH(F$18 &amp; TEXT($A57, "mmmyy"), ICE[LongCode], 0), MATCH("Settle", ICE[#Headers], 0))</f>
        <v>#N/A</v>
      </c>
      <c r="G57" s="28" t="e">
        <f ca="1">INDEX(ICE[], MATCH(G$18 &amp; TEXT($A57, "mmmyy"), ICE[LongCode], 0), MATCH("Settle", ICE[#Headers], 0))</f>
        <v>#N/A</v>
      </c>
      <c r="H57" s="28" t="e">
        <f ca="1">INDEX(ICE[], MATCH(H$18 &amp; TEXT($A57, "mmmyy"), ICE[LongCode], 0), MATCH("Settle", ICE[#Headers], 0))</f>
        <v>#N/A</v>
      </c>
      <c r="I57" s="397" t="str">
        <f ca="1">IFERROR(INDEX(ICE[], MATCH("td3c" &amp; TEXT(Crd!$A57, "mmmyy"), ICE[LongCode], 0), MATCH("ICE Theoretical Price", ICE[#Headers], 0)), "")</f>
        <v/>
      </c>
      <c r="J57" s="372" t="str">
        <f ca="1">IFERROR(INDEX(ICE[], MATCH("td3c" &amp; TEXT($A57, "mmmyy"), ICE[LongCode], 0), MATCH("Text", ICE[#Headers], 0)), "")</f>
        <v/>
      </c>
      <c r="K57" s="46" t="str">
        <f t="shared" ca="1" si="60"/>
        <v/>
      </c>
      <c r="L57" s="47" t="str">
        <f t="shared" ca="1" si="67"/>
        <v/>
      </c>
      <c r="M57" s="46" t="str">
        <f t="shared" ca="1" si="80"/>
        <v/>
      </c>
      <c r="N57" s="49" t="str">
        <f t="shared" ca="1" si="68"/>
        <v/>
      </c>
      <c r="O57" s="53" t="str">
        <f t="shared" ca="1" si="61"/>
        <v/>
      </c>
      <c r="P57" s="47" t="str">
        <f t="shared" ca="1" si="81"/>
        <v/>
      </c>
      <c r="Q57" s="111" t="str">
        <f t="shared" ca="1" si="82"/>
        <v/>
      </c>
      <c r="R57" s="397" t="str">
        <f ca="1">IFERROR(INDEX(ICE[], MATCH("afra" &amp; TEXT(Crd!$A57, "mmmyy"), ICE[LongCode], 0), MATCH("ICE Theoretical Price", ICE[#Headers], 0)), "")</f>
        <v/>
      </c>
      <c r="S57" s="372" t="str">
        <f ca="1">IFERROR(INDEX(ICE[], MATCH("afra" &amp; TEXT($A57, "mmmyy"), ICE[LongCode], 0), MATCH("Text", ICE[#Headers], 0)), "")</f>
        <v/>
      </c>
      <c r="T57" s="46" t="str">
        <f t="shared" ca="1" si="62"/>
        <v/>
      </c>
      <c r="U57" s="47" t="str">
        <f t="shared" ca="1" si="83"/>
        <v/>
      </c>
      <c r="V57" s="46" t="str">
        <f t="shared" ca="1" si="84"/>
        <v/>
      </c>
      <c r="W57" s="49" t="str">
        <f t="shared" ca="1" si="69"/>
        <v/>
      </c>
      <c r="X57" s="53" t="str">
        <f t="shared" ca="1" si="63"/>
        <v/>
      </c>
      <c r="Y57" s="47" t="str">
        <f t="shared" ca="1" si="85"/>
        <v/>
      </c>
      <c r="Z57" s="111" t="str">
        <f t="shared" ca="1" si="86"/>
        <v/>
      </c>
      <c r="AA57" s="397" t="str">
        <f ca="1">IFERROR(INDEX(ICE[], MATCH("tc5" &amp; TEXT(Crd!$A57, "mmmyy"), ICE[LongCode], 0), MATCH("ICE Theoretical Price", ICE[#Headers], 0)), "")</f>
        <v/>
      </c>
      <c r="AB57" s="372" t="str">
        <f ca="1">IFERROR(INDEX(ICE[], MATCH("tc5" &amp; TEXT(Hvy!$A57, "mmmyy"), ICE[LongCode], 0), MATCH("Text", ICE[#Headers], 0)), "")</f>
        <v/>
      </c>
      <c r="AC57" s="46" t="str">
        <f t="shared" ca="1" si="70"/>
        <v/>
      </c>
      <c r="AD57" s="47" t="str">
        <f t="shared" ca="1" si="87"/>
        <v/>
      </c>
      <c r="AE57" s="46" t="str">
        <f t="shared" ca="1" si="88"/>
        <v/>
      </c>
      <c r="AF57" s="49" t="str">
        <f t="shared" ca="1" si="71"/>
        <v/>
      </c>
      <c r="AG57" s="53" t="str">
        <f t="shared" ca="1" si="72"/>
        <v/>
      </c>
      <c r="AH57" s="47" t="str">
        <f t="shared" ca="1" si="89"/>
        <v/>
      </c>
      <c r="AI57" s="111" t="str">
        <f t="shared" ca="1" si="90"/>
        <v/>
      </c>
      <c r="AJ57" s="397" t="str">
        <f t="shared" ca="1" si="73"/>
        <v/>
      </c>
      <c r="AK57" s="372" t="str">
        <f ca="1">IFERROR(INDEX(ICE[], MATCH("tc2" &amp; TEXT(Hvy!$A57, "mmmyy"), ICE[LongCode], 0), MATCH("Text", ICE[#Headers], 0)), "")</f>
        <v/>
      </c>
      <c r="AL57" s="46" t="str">
        <f t="shared" ca="1" si="64"/>
        <v/>
      </c>
      <c r="AM57" s="47" t="str">
        <f t="shared" ca="1" si="91"/>
        <v/>
      </c>
      <c r="AN57" s="46" t="str">
        <f t="shared" ca="1" si="92"/>
        <v/>
      </c>
      <c r="AO57" s="49" t="str">
        <f t="shared" ca="1" si="74"/>
        <v/>
      </c>
      <c r="AP57" s="53" t="str">
        <f t="shared" ca="1" si="65"/>
        <v/>
      </c>
      <c r="AQ57" s="47" t="str">
        <f t="shared" ca="1" si="93"/>
        <v/>
      </c>
      <c r="AR57" s="111" t="str">
        <f t="shared" ca="1" si="94"/>
        <v/>
      </c>
      <c r="AS57" s="397" t="str">
        <f t="shared" ca="1" si="75"/>
        <v/>
      </c>
      <c r="AT57" s="372" t="str">
        <f ca="1">IFERROR(INDEX(ICE[], MATCH("tc14" &amp; TEXT(Hvy!$A57, "mmmyy"), ICE[LongCode], 0), MATCH("Text", ICE[#Headers], 0)), "")</f>
        <v/>
      </c>
      <c r="AU57" s="46" t="str">
        <f t="shared" ca="1" si="76"/>
        <v/>
      </c>
      <c r="AV57" s="47" t="str">
        <f t="shared" ca="1" si="95"/>
        <v/>
      </c>
      <c r="AW57" s="46" t="str">
        <f t="shared" ca="1" si="96"/>
        <v/>
      </c>
      <c r="AX57" s="49" t="str">
        <f t="shared" ca="1" si="77"/>
        <v/>
      </c>
      <c r="AY57" s="53" t="str">
        <f t="shared" ca="1" si="78"/>
        <v/>
      </c>
      <c r="AZ57" s="47" t="str">
        <f t="shared" ca="1" si="97"/>
        <v/>
      </c>
      <c r="BA57" s="111" t="str">
        <f t="shared" ca="1" si="98"/>
        <v/>
      </c>
    </row>
    <row r="58" spans="1:53" x14ac:dyDescent="0.25">
      <c r="A58" s="58">
        <f t="shared" ca="1" si="79"/>
        <v>47453</v>
      </c>
      <c r="B58" s="6">
        <f t="shared" ca="1" si="59"/>
        <v>2029</v>
      </c>
      <c r="C58" s="6" t="str">
        <f t="shared" ca="1" si="66"/>
        <v>Q429</v>
      </c>
      <c r="D58" s="28" t="e">
        <f ca="1">INDEX(ICE[], MATCH(D$18 &amp; TEXT($A58, "mmmyy"), ICE[LongCode], 0), MATCH("Settle", ICE[#Headers], 0))</f>
        <v>#N/A</v>
      </c>
      <c r="E58" s="28" t="e">
        <f ca="1">INDEX(ICE[], MATCH(E$18 &amp; TEXT($A58, "mmmyy"), ICE[LongCode], 0), MATCH("Settle", ICE[#Headers], 0))</f>
        <v>#N/A</v>
      </c>
      <c r="F58" s="28" t="e">
        <f ca="1">INDEX(ICE[], MATCH(F$18 &amp; TEXT($A58, "mmmyy"), ICE[LongCode], 0), MATCH("Settle", ICE[#Headers], 0))</f>
        <v>#N/A</v>
      </c>
      <c r="G58" s="28" t="e">
        <f ca="1">INDEX(ICE[], MATCH(G$18 &amp; TEXT($A58, "mmmyy"), ICE[LongCode], 0), MATCH("Settle", ICE[#Headers], 0))</f>
        <v>#N/A</v>
      </c>
      <c r="H58" s="28" t="e">
        <f ca="1">INDEX(ICE[], MATCH(H$18 &amp; TEXT($A58, "mmmyy"), ICE[LongCode], 0), MATCH("Settle", ICE[#Headers], 0))</f>
        <v>#N/A</v>
      </c>
      <c r="I58" s="397" t="str">
        <f ca="1">IFERROR(INDEX(ICE[], MATCH("td3c" &amp; TEXT(Crd!$A58, "mmmyy"), ICE[LongCode], 0), MATCH("ICE Theoretical Price", ICE[#Headers], 0)), "")</f>
        <v/>
      </c>
      <c r="J58" s="372" t="str">
        <f ca="1">IFERROR(INDEX(ICE[], MATCH("td3c" &amp; TEXT($A58, "mmmyy"), ICE[LongCode], 0), MATCH("Text", ICE[#Headers], 0)), "")</f>
        <v/>
      </c>
      <c r="K58" s="46" t="str">
        <f t="shared" ca="1" si="60"/>
        <v/>
      </c>
      <c r="L58" s="47" t="str">
        <f t="shared" ca="1" si="67"/>
        <v/>
      </c>
      <c r="M58" s="46" t="str">
        <f t="shared" ca="1" si="80"/>
        <v/>
      </c>
      <c r="N58" s="49" t="str">
        <f t="shared" ca="1" si="68"/>
        <v/>
      </c>
      <c r="O58" s="53" t="str">
        <f t="shared" ca="1" si="61"/>
        <v/>
      </c>
      <c r="P58" s="47" t="str">
        <f t="shared" ca="1" si="81"/>
        <v/>
      </c>
      <c r="Q58" s="111" t="str">
        <f t="shared" ca="1" si="82"/>
        <v/>
      </c>
      <c r="R58" s="397" t="str">
        <f ca="1">IFERROR(INDEX(ICE[], MATCH("afra" &amp; TEXT(Crd!$A58, "mmmyy"), ICE[LongCode], 0), MATCH("ICE Theoretical Price", ICE[#Headers], 0)), "")</f>
        <v/>
      </c>
      <c r="S58" s="372" t="str">
        <f ca="1">IFERROR(INDEX(ICE[], MATCH("afra" &amp; TEXT($A58, "mmmyy"), ICE[LongCode], 0), MATCH("Text", ICE[#Headers], 0)), "")</f>
        <v/>
      </c>
      <c r="T58" s="46" t="str">
        <f t="shared" ca="1" si="62"/>
        <v/>
      </c>
      <c r="U58" s="47" t="str">
        <f t="shared" ca="1" si="83"/>
        <v/>
      </c>
      <c r="V58" s="46" t="str">
        <f t="shared" ca="1" si="84"/>
        <v/>
      </c>
      <c r="W58" s="49" t="str">
        <f t="shared" ca="1" si="69"/>
        <v/>
      </c>
      <c r="X58" s="53" t="str">
        <f t="shared" ca="1" si="63"/>
        <v/>
      </c>
      <c r="Y58" s="47" t="str">
        <f t="shared" ca="1" si="85"/>
        <v/>
      </c>
      <c r="Z58" s="111" t="str">
        <f t="shared" ca="1" si="86"/>
        <v/>
      </c>
      <c r="AA58" s="397" t="str">
        <f ca="1">IFERROR(INDEX(ICE[], MATCH("tc5" &amp; TEXT(Crd!$A58, "mmmyy"), ICE[LongCode], 0), MATCH("ICE Theoretical Price", ICE[#Headers], 0)), "")</f>
        <v/>
      </c>
      <c r="AB58" s="372" t="str">
        <f ca="1">IFERROR(INDEX(ICE[], MATCH("tc5" &amp; TEXT(Hvy!$A58, "mmmyy"), ICE[LongCode], 0), MATCH("Text", ICE[#Headers], 0)), "")</f>
        <v/>
      </c>
      <c r="AC58" s="46" t="str">
        <f t="shared" ca="1" si="70"/>
        <v/>
      </c>
      <c r="AD58" s="47" t="str">
        <f t="shared" ca="1" si="87"/>
        <v/>
      </c>
      <c r="AE58" s="46" t="str">
        <f t="shared" ca="1" si="88"/>
        <v/>
      </c>
      <c r="AF58" s="49" t="str">
        <f t="shared" ca="1" si="71"/>
        <v/>
      </c>
      <c r="AG58" s="53" t="str">
        <f t="shared" ca="1" si="72"/>
        <v/>
      </c>
      <c r="AH58" s="47" t="str">
        <f t="shared" ca="1" si="89"/>
        <v/>
      </c>
      <c r="AI58" s="111" t="str">
        <f t="shared" ca="1" si="90"/>
        <v/>
      </c>
      <c r="AJ58" s="397" t="str">
        <f t="shared" ca="1" si="73"/>
        <v/>
      </c>
      <c r="AK58" s="372" t="str">
        <f ca="1">IFERROR(INDEX(ICE[], MATCH("tc2" &amp; TEXT(Hvy!$A58, "mmmyy"), ICE[LongCode], 0), MATCH("Text", ICE[#Headers], 0)), "")</f>
        <v/>
      </c>
      <c r="AL58" s="46" t="str">
        <f t="shared" ca="1" si="64"/>
        <v/>
      </c>
      <c r="AM58" s="47" t="str">
        <f t="shared" ca="1" si="91"/>
        <v/>
      </c>
      <c r="AN58" s="46" t="str">
        <f t="shared" ca="1" si="92"/>
        <v/>
      </c>
      <c r="AO58" s="49" t="str">
        <f t="shared" ca="1" si="74"/>
        <v/>
      </c>
      <c r="AP58" s="53" t="str">
        <f t="shared" ca="1" si="65"/>
        <v/>
      </c>
      <c r="AQ58" s="47" t="str">
        <f t="shared" ca="1" si="93"/>
        <v/>
      </c>
      <c r="AR58" s="111" t="str">
        <f t="shared" ca="1" si="94"/>
        <v/>
      </c>
      <c r="AS58" s="397" t="str">
        <f t="shared" ca="1" si="75"/>
        <v/>
      </c>
      <c r="AT58" s="372" t="str">
        <f ca="1">IFERROR(INDEX(ICE[], MATCH("tc14" &amp; TEXT(Hvy!$A58, "mmmyy"), ICE[LongCode], 0), MATCH("Text", ICE[#Headers], 0)), "")</f>
        <v/>
      </c>
      <c r="AU58" s="46" t="str">
        <f t="shared" ca="1" si="76"/>
        <v/>
      </c>
      <c r="AV58" s="47" t="str">
        <f t="shared" ca="1" si="95"/>
        <v/>
      </c>
      <c r="AW58" s="46" t="str">
        <f t="shared" ca="1" si="96"/>
        <v/>
      </c>
      <c r="AX58" s="49" t="str">
        <f t="shared" ca="1" si="77"/>
        <v/>
      </c>
      <c r="AY58" s="53" t="str">
        <f t="shared" ca="1" si="78"/>
        <v/>
      </c>
      <c r="AZ58" s="47" t="str">
        <f t="shared" ca="1" si="97"/>
        <v/>
      </c>
      <c r="BA58" s="111" t="str">
        <f t="shared" ca="1" si="98"/>
        <v/>
      </c>
    </row>
    <row r="59" spans="1:53" x14ac:dyDescent="0.25">
      <c r="A59" s="58">
        <f t="shared" ca="1" si="79"/>
        <v>47484</v>
      </c>
      <c r="B59" s="6">
        <f t="shared" ca="1" si="59"/>
        <v>2030</v>
      </c>
      <c r="C59" s="6" t="str">
        <f t="shared" ca="1" si="66"/>
        <v>Q130</v>
      </c>
      <c r="D59" s="28" t="e">
        <f ca="1">INDEX(ICE[], MATCH(D$18 &amp; TEXT($A59, "mmmyy"), ICE[LongCode], 0), MATCH("Settle", ICE[#Headers], 0))</f>
        <v>#N/A</v>
      </c>
      <c r="E59" s="28" t="e">
        <f ca="1">INDEX(ICE[], MATCH(E$18 &amp; TEXT($A59, "mmmyy"), ICE[LongCode], 0), MATCH("Settle", ICE[#Headers], 0))</f>
        <v>#N/A</v>
      </c>
      <c r="F59" s="28" t="e">
        <f ca="1">INDEX(ICE[], MATCH(F$18 &amp; TEXT($A59, "mmmyy"), ICE[LongCode], 0), MATCH("Settle", ICE[#Headers], 0))</f>
        <v>#N/A</v>
      </c>
      <c r="G59" s="28" t="e">
        <f ca="1">INDEX(ICE[], MATCH(G$18 &amp; TEXT($A59, "mmmyy"), ICE[LongCode], 0), MATCH("Settle", ICE[#Headers], 0))</f>
        <v>#N/A</v>
      </c>
      <c r="H59" s="28" t="e">
        <f ca="1">INDEX(ICE[], MATCH(H$18 &amp; TEXT($A59, "mmmyy"), ICE[LongCode], 0), MATCH("Settle", ICE[#Headers], 0))</f>
        <v>#N/A</v>
      </c>
      <c r="I59" s="397" t="str">
        <f ca="1">IFERROR(INDEX(ICE[], MATCH("td3c" &amp; TEXT(Crd!$A59, "mmmyy"), ICE[LongCode], 0), MATCH("ICE Theoretical Price", ICE[#Headers], 0)), "")</f>
        <v/>
      </c>
      <c r="J59" s="372" t="str">
        <f ca="1">IFERROR(INDEX(ICE[], MATCH("td3c" &amp; TEXT($A59, "mmmyy"), ICE[LongCode], 0), MATCH("Text", ICE[#Headers], 0)), "")</f>
        <v/>
      </c>
      <c r="K59" s="46" t="str">
        <f t="shared" ca="1" si="60"/>
        <v/>
      </c>
      <c r="L59" s="47" t="str">
        <f t="shared" ca="1" si="67"/>
        <v/>
      </c>
      <c r="M59" s="46" t="str">
        <f t="shared" ca="1" si="80"/>
        <v/>
      </c>
      <c r="N59" s="49" t="str">
        <f t="shared" ca="1" si="68"/>
        <v/>
      </c>
      <c r="O59" s="53" t="str">
        <f t="shared" ca="1" si="61"/>
        <v/>
      </c>
      <c r="P59" s="47" t="str">
        <f t="shared" ca="1" si="81"/>
        <v/>
      </c>
      <c r="Q59" s="111" t="str">
        <f t="shared" ca="1" si="82"/>
        <v/>
      </c>
      <c r="R59" s="397" t="str">
        <f ca="1">IFERROR(INDEX(ICE[], MATCH("afra" &amp; TEXT(Crd!$A59, "mmmyy"), ICE[LongCode], 0), MATCH("ICE Theoretical Price", ICE[#Headers], 0)), "")</f>
        <v/>
      </c>
      <c r="S59" s="372" t="str">
        <f ca="1">IFERROR(INDEX(ICE[], MATCH("afra" &amp; TEXT($A59, "mmmyy"), ICE[LongCode], 0), MATCH("Text", ICE[#Headers], 0)), "")</f>
        <v/>
      </c>
      <c r="T59" s="46" t="str">
        <f t="shared" ca="1" si="62"/>
        <v/>
      </c>
      <c r="U59" s="47" t="str">
        <f t="shared" ca="1" si="83"/>
        <v/>
      </c>
      <c r="V59" s="46" t="str">
        <f t="shared" ca="1" si="84"/>
        <v/>
      </c>
      <c r="W59" s="49" t="str">
        <f t="shared" ca="1" si="69"/>
        <v/>
      </c>
      <c r="X59" s="53" t="str">
        <f t="shared" ca="1" si="63"/>
        <v/>
      </c>
      <c r="Y59" s="47" t="str">
        <f t="shared" ca="1" si="85"/>
        <v/>
      </c>
      <c r="Z59" s="111" t="str">
        <f t="shared" ca="1" si="86"/>
        <v/>
      </c>
      <c r="AA59" s="397" t="str">
        <f ca="1">IFERROR(INDEX(ICE[], MATCH("tc5" &amp; TEXT(Crd!$A59, "mmmyy"), ICE[LongCode], 0), MATCH("ICE Theoretical Price", ICE[#Headers], 0)), "")</f>
        <v/>
      </c>
      <c r="AB59" s="372" t="str">
        <f ca="1">IFERROR(INDEX(ICE[], MATCH("tc5" &amp; TEXT(Hvy!$A59, "mmmyy"), ICE[LongCode], 0), MATCH("Text", ICE[#Headers], 0)), "")</f>
        <v/>
      </c>
      <c r="AC59" s="46" t="str">
        <f t="shared" ca="1" si="70"/>
        <v/>
      </c>
      <c r="AD59" s="47" t="str">
        <f t="shared" ca="1" si="87"/>
        <v/>
      </c>
      <c r="AE59" s="46" t="str">
        <f t="shared" ca="1" si="88"/>
        <v/>
      </c>
      <c r="AF59" s="49" t="str">
        <f t="shared" ca="1" si="71"/>
        <v/>
      </c>
      <c r="AG59" s="53" t="str">
        <f t="shared" ca="1" si="72"/>
        <v/>
      </c>
      <c r="AH59" s="47" t="str">
        <f t="shared" ca="1" si="89"/>
        <v/>
      </c>
      <c r="AI59" s="111" t="str">
        <f t="shared" ca="1" si="90"/>
        <v/>
      </c>
      <c r="AJ59" s="397" t="str">
        <f t="shared" ca="1" si="73"/>
        <v/>
      </c>
      <c r="AK59" s="372" t="str">
        <f ca="1">IFERROR(INDEX(ICE[], MATCH("tc2" &amp; TEXT(Hvy!$A59, "mmmyy"), ICE[LongCode], 0), MATCH("Text", ICE[#Headers], 0)), "")</f>
        <v/>
      </c>
      <c r="AL59" s="46" t="str">
        <f t="shared" ca="1" si="64"/>
        <v/>
      </c>
      <c r="AM59" s="47" t="str">
        <f t="shared" ca="1" si="91"/>
        <v/>
      </c>
      <c r="AN59" s="46" t="str">
        <f t="shared" ca="1" si="92"/>
        <v/>
      </c>
      <c r="AO59" s="49" t="str">
        <f t="shared" ca="1" si="74"/>
        <v/>
      </c>
      <c r="AP59" s="53" t="str">
        <f t="shared" ca="1" si="65"/>
        <v/>
      </c>
      <c r="AQ59" s="47" t="str">
        <f t="shared" ca="1" si="93"/>
        <v/>
      </c>
      <c r="AR59" s="111" t="str">
        <f t="shared" ca="1" si="94"/>
        <v/>
      </c>
      <c r="AS59" s="397" t="str">
        <f t="shared" ca="1" si="75"/>
        <v/>
      </c>
      <c r="AT59" s="372" t="str">
        <f ca="1">IFERROR(INDEX(ICE[], MATCH("tc14" &amp; TEXT(Hvy!$A59, "mmmyy"), ICE[LongCode], 0), MATCH("Text", ICE[#Headers], 0)), "")</f>
        <v/>
      </c>
      <c r="AU59" s="46" t="str">
        <f t="shared" ca="1" si="76"/>
        <v/>
      </c>
      <c r="AV59" s="47" t="str">
        <f t="shared" ca="1" si="95"/>
        <v/>
      </c>
      <c r="AW59" s="46" t="str">
        <f t="shared" ca="1" si="96"/>
        <v/>
      </c>
      <c r="AX59" s="49" t="str">
        <f t="shared" ca="1" si="77"/>
        <v/>
      </c>
      <c r="AY59" s="53" t="str">
        <f t="shared" ca="1" si="78"/>
        <v/>
      </c>
      <c r="AZ59" s="47" t="str">
        <f t="shared" ca="1" si="97"/>
        <v/>
      </c>
      <c r="BA59" s="111" t="str">
        <f t="shared" ca="1" si="98"/>
        <v/>
      </c>
    </row>
    <row r="60" spans="1:53" x14ac:dyDescent="0.25">
      <c r="A60" s="58">
        <f t="shared" ca="1" si="79"/>
        <v>47515</v>
      </c>
      <c r="B60" s="6">
        <f t="shared" ca="1" si="59"/>
        <v>2030</v>
      </c>
      <c r="C60" s="6" t="str">
        <f t="shared" ca="1" si="66"/>
        <v>Q130</v>
      </c>
      <c r="D60" s="28" t="e">
        <f ca="1">INDEX(ICE[], MATCH(D$18 &amp; TEXT($A60, "mmmyy"), ICE[LongCode], 0), MATCH("Settle", ICE[#Headers], 0))</f>
        <v>#N/A</v>
      </c>
      <c r="E60" s="28" t="e">
        <f ca="1">INDEX(ICE[], MATCH(E$18 &amp; TEXT($A60, "mmmyy"), ICE[LongCode], 0), MATCH("Settle", ICE[#Headers], 0))</f>
        <v>#N/A</v>
      </c>
      <c r="F60" s="28" t="e">
        <f ca="1">INDEX(ICE[], MATCH(F$18 &amp; TEXT($A60, "mmmyy"), ICE[LongCode], 0), MATCH("Settle", ICE[#Headers], 0))</f>
        <v>#N/A</v>
      </c>
      <c r="G60" s="28" t="e">
        <f ca="1">INDEX(ICE[], MATCH(G$18 &amp; TEXT($A60, "mmmyy"), ICE[LongCode], 0), MATCH("Settle", ICE[#Headers], 0))</f>
        <v>#N/A</v>
      </c>
      <c r="H60" s="28" t="e">
        <f ca="1">INDEX(ICE[], MATCH(H$18 &amp; TEXT($A60, "mmmyy"), ICE[LongCode], 0), MATCH("Settle", ICE[#Headers], 0))</f>
        <v>#N/A</v>
      </c>
      <c r="I60" s="397" t="str">
        <f ca="1">IFERROR(INDEX(ICE[], MATCH("td3c" &amp; TEXT(Crd!$A60, "mmmyy"), ICE[LongCode], 0), MATCH("ICE Theoretical Price", ICE[#Headers], 0)), "")</f>
        <v/>
      </c>
      <c r="J60" s="372" t="str">
        <f ca="1">IFERROR(INDEX(ICE[], MATCH("td3c" &amp; TEXT($A60, "mmmyy"), ICE[LongCode], 0), MATCH("Text", ICE[#Headers], 0)), "")</f>
        <v/>
      </c>
      <c r="K60" s="46" t="str">
        <f t="shared" ca="1" si="60"/>
        <v/>
      </c>
      <c r="L60" s="47" t="str">
        <f t="shared" ca="1" si="67"/>
        <v/>
      </c>
      <c r="M60" s="46" t="str">
        <f t="shared" ca="1" si="80"/>
        <v/>
      </c>
      <c r="N60" s="49" t="str">
        <f t="shared" ca="1" si="68"/>
        <v/>
      </c>
      <c r="O60" s="53" t="str">
        <f t="shared" ca="1" si="61"/>
        <v/>
      </c>
      <c r="P60" s="47" t="str">
        <f t="shared" ca="1" si="81"/>
        <v/>
      </c>
      <c r="Q60" s="111" t="str">
        <f t="shared" ca="1" si="82"/>
        <v/>
      </c>
      <c r="R60" s="397" t="str">
        <f ca="1">IFERROR(INDEX(ICE[], MATCH("afra" &amp; TEXT(Crd!$A60, "mmmyy"), ICE[LongCode], 0), MATCH("ICE Theoretical Price", ICE[#Headers], 0)), "")</f>
        <v/>
      </c>
      <c r="S60" s="372" t="str">
        <f ca="1">IFERROR(INDEX(ICE[], MATCH("afra" &amp; TEXT($A60, "mmmyy"), ICE[LongCode], 0), MATCH("Text", ICE[#Headers], 0)), "")</f>
        <v/>
      </c>
      <c r="T60" s="46" t="str">
        <f t="shared" ca="1" si="62"/>
        <v/>
      </c>
      <c r="U60" s="47" t="str">
        <f t="shared" ca="1" si="83"/>
        <v/>
      </c>
      <c r="V60" s="46" t="str">
        <f t="shared" ca="1" si="84"/>
        <v/>
      </c>
      <c r="W60" s="49" t="str">
        <f t="shared" ca="1" si="69"/>
        <v/>
      </c>
      <c r="X60" s="53" t="str">
        <f t="shared" ca="1" si="63"/>
        <v/>
      </c>
      <c r="Y60" s="47" t="str">
        <f t="shared" ca="1" si="85"/>
        <v/>
      </c>
      <c r="Z60" s="111" t="str">
        <f t="shared" ca="1" si="86"/>
        <v/>
      </c>
      <c r="AA60" s="397" t="str">
        <f ca="1">IFERROR(INDEX(ICE[], MATCH("tc5" &amp; TEXT(Crd!$A60, "mmmyy"), ICE[LongCode], 0), MATCH("ICE Theoretical Price", ICE[#Headers], 0)), "")</f>
        <v/>
      </c>
      <c r="AB60" s="372" t="str">
        <f ca="1">IFERROR(INDEX(ICE[], MATCH("tc5" &amp; TEXT(Hvy!$A60, "mmmyy"), ICE[LongCode], 0), MATCH("Text", ICE[#Headers], 0)), "")</f>
        <v/>
      </c>
      <c r="AC60" s="46" t="str">
        <f t="shared" ca="1" si="70"/>
        <v/>
      </c>
      <c r="AD60" s="47" t="str">
        <f t="shared" ca="1" si="87"/>
        <v/>
      </c>
      <c r="AE60" s="46" t="str">
        <f t="shared" ca="1" si="88"/>
        <v/>
      </c>
      <c r="AF60" s="49" t="str">
        <f t="shared" ca="1" si="71"/>
        <v/>
      </c>
      <c r="AG60" s="53" t="str">
        <f t="shared" ca="1" si="72"/>
        <v/>
      </c>
      <c r="AH60" s="47" t="str">
        <f t="shared" ca="1" si="89"/>
        <v/>
      </c>
      <c r="AI60" s="111" t="str">
        <f t="shared" ca="1" si="90"/>
        <v/>
      </c>
      <c r="AJ60" s="397" t="str">
        <f t="shared" ca="1" si="73"/>
        <v/>
      </c>
      <c r="AK60" s="372" t="str">
        <f ca="1">IFERROR(INDEX(ICE[], MATCH("tc2" &amp; TEXT(Hvy!$A60, "mmmyy"), ICE[LongCode], 0), MATCH("Text", ICE[#Headers], 0)), "")</f>
        <v/>
      </c>
      <c r="AL60" s="46" t="str">
        <f t="shared" ca="1" si="64"/>
        <v/>
      </c>
      <c r="AM60" s="47" t="str">
        <f t="shared" ca="1" si="91"/>
        <v/>
      </c>
      <c r="AN60" s="46" t="str">
        <f t="shared" ca="1" si="92"/>
        <v/>
      </c>
      <c r="AO60" s="49" t="str">
        <f t="shared" ca="1" si="74"/>
        <v/>
      </c>
      <c r="AP60" s="53" t="str">
        <f t="shared" ca="1" si="65"/>
        <v/>
      </c>
      <c r="AQ60" s="47" t="str">
        <f t="shared" ca="1" si="93"/>
        <v/>
      </c>
      <c r="AR60" s="111" t="str">
        <f t="shared" ca="1" si="94"/>
        <v/>
      </c>
      <c r="AS60" s="397" t="str">
        <f t="shared" ca="1" si="75"/>
        <v/>
      </c>
      <c r="AT60" s="372" t="str">
        <f ca="1">IFERROR(INDEX(ICE[], MATCH("tc14" &amp; TEXT(Hvy!$A60, "mmmyy"), ICE[LongCode], 0), MATCH("Text", ICE[#Headers], 0)), "")</f>
        <v/>
      </c>
      <c r="AU60" s="46" t="str">
        <f t="shared" ca="1" si="76"/>
        <v/>
      </c>
      <c r="AV60" s="47" t="str">
        <f t="shared" ca="1" si="95"/>
        <v/>
      </c>
      <c r="AW60" s="46" t="str">
        <f t="shared" ca="1" si="96"/>
        <v/>
      </c>
      <c r="AX60" s="49" t="str">
        <f t="shared" ca="1" si="77"/>
        <v/>
      </c>
      <c r="AY60" s="53" t="str">
        <f t="shared" ca="1" si="78"/>
        <v/>
      </c>
      <c r="AZ60" s="47" t="str">
        <f t="shared" ca="1" si="97"/>
        <v/>
      </c>
      <c r="BA60" s="111" t="str">
        <f t="shared" ca="1" si="98"/>
        <v/>
      </c>
    </row>
    <row r="61" spans="1:53" x14ac:dyDescent="0.25">
      <c r="A61" s="58">
        <f t="shared" ca="1" si="79"/>
        <v>47543</v>
      </c>
      <c r="B61" s="6">
        <f t="shared" ca="1" si="59"/>
        <v>2030</v>
      </c>
      <c r="C61" s="6" t="str">
        <f t="shared" ca="1" si="66"/>
        <v>Q130</v>
      </c>
      <c r="D61" s="28" t="e">
        <f ca="1">INDEX(ICE[], MATCH(D$18 &amp; TEXT($A61, "mmmyy"), ICE[LongCode], 0), MATCH("Settle", ICE[#Headers], 0))</f>
        <v>#N/A</v>
      </c>
      <c r="E61" s="28" t="e">
        <f ca="1">INDEX(ICE[], MATCH(E$18 &amp; TEXT($A61, "mmmyy"), ICE[LongCode], 0), MATCH("Settle", ICE[#Headers], 0))</f>
        <v>#N/A</v>
      </c>
      <c r="F61" s="28" t="e">
        <f ca="1">INDEX(ICE[], MATCH(F$18 &amp; TEXT($A61, "mmmyy"), ICE[LongCode], 0), MATCH("Settle", ICE[#Headers], 0))</f>
        <v>#N/A</v>
      </c>
      <c r="G61" s="28" t="e">
        <f ca="1">INDEX(ICE[], MATCH(G$18 &amp; TEXT($A61, "mmmyy"), ICE[LongCode], 0), MATCH("Settle", ICE[#Headers], 0))</f>
        <v>#N/A</v>
      </c>
      <c r="H61" s="28" t="e">
        <f ca="1">INDEX(ICE[], MATCH(H$18 &amp; TEXT($A61, "mmmyy"), ICE[LongCode], 0), MATCH("Settle", ICE[#Headers], 0))</f>
        <v>#N/A</v>
      </c>
      <c r="I61" s="397" t="str">
        <f ca="1">IFERROR(INDEX(ICE[], MATCH("td3c" &amp; TEXT(Crd!$A61, "mmmyy"), ICE[LongCode], 0), MATCH("ICE Theoretical Price", ICE[#Headers], 0)), "")</f>
        <v/>
      </c>
      <c r="J61" s="372" t="str">
        <f ca="1">IFERROR(INDEX(ICE[], MATCH("td3c" &amp; TEXT($A61, "mmmyy"), ICE[LongCode], 0), MATCH("Text", ICE[#Headers], 0)), "")</f>
        <v/>
      </c>
      <c r="K61" s="46" t="str">
        <f t="shared" ca="1" si="60"/>
        <v/>
      </c>
      <c r="L61" s="47" t="str">
        <f t="shared" ca="1" si="67"/>
        <v/>
      </c>
      <c r="M61" s="46" t="str">
        <f t="shared" ca="1" si="80"/>
        <v/>
      </c>
      <c r="N61" s="49" t="str">
        <f t="shared" ca="1" si="68"/>
        <v/>
      </c>
      <c r="O61" s="53" t="str">
        <f t="shared" ca="1" si="61"/>
        <v/>
      </c>
      <c r="P61" s="47" t="str">
        <f t="shared" ca="1" si="81"/>
        <v/>
      </c>
      <c r="Q61" s="111" t="str">
        <f t="shared" ca="1" si="82"/>
        <v/>
      </c>
      <c r="R61" s="397" t="str">
        <f ca="1">IFERROR(INDEX(ICE[], MATCH("afra" &amp; TEXT(Crd!$A61, "mmmyy"), ICE[LongCode], 0), MATCH("ICE Theoretical Price", ICE[#Headers], 0)), "")</f>
        <v/>
      </c>
      <c r="S61" s="372" t="str">
        <f ca="1">IFERROR(INDEX(ICE[], MATCH("afra" &amp; TEXT($A61, "mmmyy"), ICE[LongCode], 0), MATCH("Text", ICE[#Headers], 0)), "")</f>
        <v/>
      </c>
      <c r="T61" s="46" t="str">
        <f t="shared" ca="1" si="62"/>
        <v/>
      </c>
      <c r="U61" s="47" t="str">
        <f t="shared" ca="1" si="83"/>
        <v/>
      </c>
      <c r="V61" s="46" t="str">
        <f t="shared" ca="1" si="84"/>
        <v/>
      </c>
      <c r="W61" s="49" t="str">
        <f t="shared" ca="1" si="69"/>
        <v/>
      </c>
      <c r="X61" s="53" t="str">
        <f t="shared" ca="1" si="63"/>
        <v/>
      </c>
      <c r="Y61" s="47" t="str">
        <f t="shared" ca="1" si="85"/>
        <v/>
      </c>
      <c r="Z61" s="111" t="str">
        <f t="shared" ca="1" si="86"/>
        <v/>
      </c>
      <c r="AA61" s="397" t="str">
        <f ca="1">IFERROR(INDEX(ICE[], MATCH("tc5" &amp; TEXT(Crd!$A61, "mmmyy"), ICE[LongCode], 0), MATCH("ICE Theoretical Price", ICE[#Headers], 0)), "")</f>
        <v/>
      </c>
      <c r="AB61" s="372" t="str">
        <f ca="1">IFERROR(INDEX(ICE[], MATCH("tc5" &amp; TEXT(Hvy!$A61, "mmmyy"), ICE[LongCode], 0), MATCH("Text", ICE[#Headers], 0)), "")</f>
        <v/>
      </c>
      <c r="AC61" s="46" t="str">
        <f t="shared" ca="1" si="70"/>
        <v/>
      </c>
      <c r="AD61" s="47" t="str">
        <f t="shared" ca="1" si="87"/>
        <v/>
      </c>
      <c r="AE61" s="46" t="str">
        <f t="shared" ca="1" si="88"/>
        <v/>
      </c>
      <c r="AF61" s="49" t="str">
        <f t="shared" ca="1" si="71"/>
        <v/>
      </c>
      <c r="AG61" s="53" t="str">
        <f t="shared" ca="1" si="72"/>
        <v/>
      </c>
      <c r="AH61" s="47" t="str">
        <f t="shared" ca="1" si="89"/>
        <v/>
      </c>
      <c r="AI61" s="111" t="str">
        <f t="shared" ca="1" si="90"/>
        <v/>
      </c>
      <c r="AJ61" s="397" t="str">
        <f t="shared" ca="1" si="73"/>
        <v/>
      </c>
      <c r="AK61" s="372" t="str">
        <f ca="1">IFERROR(INDEX(ICE[], MATCH("tc2" &amp; TEXT(Hvy!$A61, "mmmyy"), ICE[LongCode], 0), MATCH("Text", ICE[#Headers], 0)), "")</f>
        <v/>
      </c>
      <c r="AL61" s="46" t="str">
        <f t="shared" ca="1" si="64"/>
        <v/>
      </c>
      <c r="AM61" s="47" t="str">
        <f t="shared" ca="1" si="91"/>
        <v/>
      </c>
      <c r="AN61" s="46" t="str">
        <f t="shared" ca="1" si="92"/>
        <v/>
      </c>
      <c r="AO61" s="49" t="str">
        <f t="shared" ca="1" si="74"/>
        <v/>
      </c>
      <c r="AP61" s="53" t="str">
        <f t="shared" ca="1" si="65"/>
        <v/>
      </c>
      <c r="AQ61" s="47" t="str">
        <f t="shared" ca="1" si="93"/>
        <v/>
      </c>
      <c r="AR61" s="111" t="str">
        <f t="shared" ca="1" si="94"/>
        <v/>
      </c>
      <c r="AS61" s="397" t="str">
        <f t="shared" ca="1" si="75"/>
        <v/>
      </c>
      <c r="AT61" s="372" t="str">
        <f ca="1">IFERROR(INDEX(ICE[], MATCH("tc14" &amp; TEXT(Hvy!$A61, "mmmyy"), ICE[LongCode], 0), MATCH("Text", ICE[#Headers], 0)), "")</f>
        <v/>
      </c>
      <c r="AU61" s="46" t="str">
        <f t="shared" ca="1" si="76"/>
        <v/>
      </c>
      <c r="AV61" s="47" t="str">
        <f t="shared" ca="1" si="95"/>
        <v/>
      </c>
      <c r="AW61" s="46" t="str">
        <f t="shared" ca="1" si="96"/>
        <v/>
      </c>
      <c r="AX61" s="49" t="str">
        <f t="shared" ca="1" si="77"/>
        <v/>
      </c>
      <c r="AY61" s="53" t="str">
        <f t="shared" ca="1" si="78"/>
        <v/>
      </c>
      <c r="AZ61" s="47" t="str">
        <f t="shared" ca="1" si="97"/>
        <v/>
      </c>
      <c r="BA61" s="111" t="str">
        <f t="shared" ca="1" si="98"/>
        <v/>
      </c>
    </row>
    <row r="62" spans="1:53" x14ac:dyDescent="0.25">
      <c r="A62" s="58">
        <f t="shared" ca="1" si="79"/>
        <v>47574</v>
      </c>
      <c r="B62" s="6">
        <f t="shared" ca="1" si="59"/>
        <v>2030</v>
      </c>
      <c r="C62" s="6" t="str">
        <f t="shared" ca="1" si="66"/>
        <v>Q230</v>
      </c>
      <c r="D62" s="28" t="e">
        <f ca="1">INDEX(ICE[], MATCH(D$18 &amp; TEXT($A62, "mmmyy"), ICE[LongCode], 0), MATCH("Settle", ICE[#Headers], 0))</f>
        <v>#N/A</v>
      </c>
      <c r="E62" s="28" t="e">
        <f ca="1">INDEX(ICE[], MATCH(E$18 &amp; TEXT($A62, "mmmyy"), ICE[LongCode], 0), MATCH("Settle", ICE[#Headers], 0))</f>
        <v>#N/A</v>
      </c>
      <c r="F62" s="28" t="e">
        <f ca="1">INDEX(ICE[], MATCH(F$18 &amp; TEXT($A62, "mmmyy"), ICE[LongCode], 0), MATCH("Settle", ICE[#Headers], 0))</f>
        <v>#N/A</v>
      </c>
      <c r="G62" s="28" t="e">
        <f ca="1">INDEX(ICE[], MATCH(G$18 &amp; TEXT($A62, "mmmyy"), ICE[LongCode], 0), MATCH("Settle", ICE[#Headers], 0))</f>
        <v>#N/A</v>
      </c>
      <c r="H62" s="28" t="e">
        <f ca="1">INDEX(ICE[], MATCH(H$18 &amp; TEXT($A62, "mmmyy"), ICE[LongCode], 0), MATCH("Settle", ICE[#Headers], 0))</f>
        <v>#N/A</v>
      </c>
      <c r="I62" s="397" t="str">
        <f ca="1">IFERROR(INDEX(ICE[], MATCH("td3c" &amp; TEXT(Crd!$A62, "mmmyy"), ICE[LongCode], 0), MATCH("ICE Theoretical Price", ICE[#Headers], 0)), "")</f>
        <v/>
      </c>
      <c r="J62" s="372" t="str">
        <f ca="1">IFERROR(INDEX(ICE[], MATCH("td3c" &amp; TEXT($A62, "mmmyy"), ICE[LongCode], 0), MATCH("Text", ICE[#Headers], 0)), "")</f>
        <v/>
      </c>
      <c r="K62" s="46" t="str">
        <f t="shared" ca="1" si="60"/>
        <v/>
      </c>
      <c r="L62" s="47" t="str">
        <f t="shared" ca="1" si="67"/>
        <v/>
      </c>
      <c r="M62" s="46" t="str">
        <f t="shared" ca="1" si="80"/>
        <v/>
      </c>
      <c r="N62" s="49" t="str">
        <f t="shared" ca="1" si="68"/>
        <v/>
      </c>
      <c r="O62" s="53" t="str">
        <f t="shared" ca="1" si="61"/>
        <v/>
      </c>
      <c r="P62" s="47" t="str">
        <f t="shared" ca="1" si="81"/>
        <v/>
      </c>
      <c r="Q62" s="111" t="str">
        <f t="shared" ca="1" si="82"/>
        <v/>
      </c>
      <c r="R62" s="397" t="str">
        <f ca="1">IFERROR(INDEX(ICE[], MATCH("afra" &amp; TEXT(Crd!$A62, "mmmyy"), ICE[LongCode], 0), MATCH("ICE Theoretical Price", ICE[#Headers], 0)), "")</f>
        <v/>
      </c>
      <c r="S62" s="372" t="str">
        <f ca="1">IFERROR(INDEX(ICE[], MATCH("afra" &amp; TEXT($A62, "mmmyy"), ICE[LongCode], 0), MATCH("Text", ICE[#Headers], 0)), "")</f>
        <v/>
      </c>
      <c r="T62" s="46" t="str">
        <f t="shared" ca="1" si="62"/>
        <v/>
      </c>
      <c r="U62" s="47" t="str">
        <f t="shared" ca="1" si="83"/>
        <v/>
      </c>
      <c r="V62" s="46" t="str">
        <f t="shared" ca="1" si="84"/>
        <v/>
      </c>
      <c r="W62" s="49" t="str">
        <f t="shared" ca="1" si="69"/>
        <v/>
      </c>
      <c r="X62" s="53" t="str">
        <f t="shared" ca="1" si="63"/>
        <v/>
      </c>
      <c r="Y62" s="47" t="str">
        <f t="shared" ca="1" si="85"/>
        <v/>
      </c>
      <c r="Z62" s="111" t="str">
        <f t="shared" ca="1" si="86"/>
        <v/>
      </c>
      <c r="AA62" s="397" t="str">
        <f ca="1">IFERROR(INDEX(ICE[], MATCH("tc5" &amp; TEXT(Crd!$A62, "mmmyy"), ICE[LongCode], 0), MATCH("ICE Theoretical Price", ICE[#Headers], 0)), "")</f>
        <v/>
      </c>
      <c r="AB62" s="372" t="str">
        <f ca="1">IFERROR(INDEX(ICE[], MATCH("tc5" &amp; TEXT(Hvy!$A62, "mmmyy"), ICE[LongCode], 0), MATCH("Text", ICE[#Headers], 0)), "")</f>
        <v/>
      </c>
      <c r="AC62" s="46" t="str">
        <f t="shared" ca="1" si="70"/>
        <v/>
      </c>
      <c r="AD62" s="47" t="str">
        <f t="shared" ca="1" si="87"/>
        <v/>
      </c>
      <c r="AE62" s="46" t="str">
        <f t="shared" ca="1" si="88"/>
        <v/>
      </c>
      <c r="AF62" s="49" t="str">
        <f t="shared" ca="1" si="71"/>
        <v/>
      </c>
      <c r="AG62" s="53" t="str">
        <f t="shared" ca="1" si="72"/>
        <v/>
      </c>
      <c r="AH62" s="47" t="str">
        <f t="shared" ca="1" si="89"/>
        <v/>
      </c>
      <c r="AI62" s="111" t="str">
        <f t="shared" ca="1" si="90"/>
        <v/>
      </c>
      <c r="AJ62" s="397" t="str">
        <f t="shared" ca="1" si="73"/>
        <v/>
      </c>
      <c r="AK62" s="372" t="str">
        <f ca="1">IFERROR(INDEX(ICE[], MATCH("tc2" &amp; TEXT(Hvy!$A62, "mmmyy"), ICE[LongCode], 0), MATCH("Text", ICE[#Headers], 0)), "")</f>
        <v/>
      </c>
      <c r="AL62" s="46" t="str">
        <f t="shared" ca="1" si="64"/>
        <v/>
      </c>
      <c r="AM62" s="47" t="str">
        <f t="shared" ca="1" si="91"/>
        <v/>
      </c>
      <c r="AN62" s="46" t="str">
        <f t="shared" ca="1" si="92"/>
        <v/>
      </c>
      <c r="AO62" s="49" t="str">
        <f t="shared" ca="1" si="74"/>
        <v/>
      </c>
      <c r="AP62" s="53" t="str">
        <f t="shared" ca="1" si="65"/>
        <v/>
      </c>
      <c r="AQ62" s="47" t="str">
        <f t="shared" ca="1" si="93"/>
        <v/>
      </c>
      <c r="AR62" s="111" t="str">
        <f t="shared" ca="1" si="94"/>
        <v/>
      </c>
      <c r="AS62" s="397" t="str">
        <f t="shared" ca="1" si="75"/>
        <v/>
      </c>
      <c r="AT62" s="372" t="str">
        <f ca="1">IFERROR(INDEX(ICE[], MATCH("tc14" &amp; TEXT(Hvy!$A62, "mmmyy"), ICE[LongCode], 0), MATCH("Text", ICE[#Headers], 0)), "")</f>
        <v/>
      </c>
      <c r="AU62" s="46" t="str">
        <f t="shared" ca="1" si="76"/>
        <v/>
      </c>
      <c r="AV62" s="47" t="str">
        <f t="shared" ca="1" si="95"/>
        <v/>
      </c>
      <c r="AW62" s="46" t="str">
        <f t="shared" ca="1" si="96"/>
        <v/>
      </c>
      <c r="AX62" s="49" t="str">
        <f t="shared" ca="1" si="77"/>
        <v/>
      </c>
      <c r="AY62" s="53" t="str">
        <f t="shared" ca="1" si="78"/>
        <v/>
      </c>
      <c r="AZ62" s="47" t="str">
        <f t="shared" ca="1" si="97"/>
        <v/>
      </c>
      <c r="BA62" s="111" t="str">
        <f t="shared" ca="1" si="98"/>
        <v/>
      </c>
    </row>
    <row r="63" spans="1:53" x14ac:dyDescent="0.25">
      <c r="A63" s="58">
        <f t="shared" ca="1" si="79"/>
        <v>47604</v>
      </c>
      <c r="B63" s="6">
        <f t="shared" ca="1" si="59"/>
        <v>2030</v>
      </c>
      <c r="C63" s="6" t="str">
        <f t="shared" ca="1" si="66"/>
        <v>Q230</v>
      </c>
      <c r="D63" s="28" t="e">
        <f ca="1">INDEX(ICE[], MATCH(D$18 &amp; TEXT($A63, "mmmyy"), ICE[LongCode], 0), MATCH("Settle", ICE[#Headers], 0))</f>
        <v>#N/A</v>
      </c>
      <c r="E63" s="28" t="e">
        <f ca="1">INDEX(ICE[], MATCH(E$18 &amp; TEXT($A63, "mmmyy"), ICE[LongCode], 0), MATCH("Settle", ICE[#Headers], 0))</f>
        <v>#N/A</v>
      </c>
      <c r="F63" s="28" t="e">
        <f ca="1">INDEX(ICE[], MATCH(F$18 &amp; TEXT($A63, "mmmyy"), ICE[LongCode], 0), MATCH("Settle", ICE[#Headers], 0))</f>
        <v>#N/A</v>
      </c>
      <c r="G63" s="28" t="e">
        <f ca="1">INDEX(ICE[], MATCH(G$18 &amp; TEXT($A63, "mmmyy"), ICE[LongCode], 0), MATCH("Settle", ICE[#Headers], 0))</f>
        <v>#N/A</v>
      </c>
      <c r="H63" s="28" t="e">
        <f ca="1">INDEX(ICE[], MATCH(H$18 &amp; TEXT($A63, "mmmyy"), ICE[LongCode], 0), MATCH("Settle", ICE[#Headers], 0))</f>
        <v>#N/A</v>
      </c>
      <c r="I63" s="397" t="str">
        <f ca="1">IFERROR(INDEX(ICE[], MATCH("td3c" &amp; TEXT(Crd!$A63, "mmmyy"), ICE[LongCode], 0), MATCH("ICE Theoretical Price", ICE[#Headers], 0)), "")</f>
        <v/>
      </c>
      <c r="J63" s="372" t="str">
        <f ca="1">IFERROR(INDEX(ICE[], MATCH("td3c" &amp; TEXT($A63, "mmmyy"), ICE[LongCode], 0), MATCH("Text", ICE[#Headers], 0)), "")</f>
        <v/>
      </c>
      <c r="K63" s="46" t="str">
        <f t="shared" ca="1" si="60"/>
        <v/>
      </c>
      <c r="L63" s="47" t="str">
        <f t="shared" ca="1" si="67"/>
        <v/>
      </c>
      <c r="M63" s="46" t="str">
        <f t="shared" ca="1" si="80"/>
        <v/>
      </c>
      <c r="N63" s="49" t="str">
        <f t="shared" ca="1" si="68"/>
        <v/>
      </c>
      <c r="O63" s="53" t="str">
        <f t="shared" ca="1" si="61"/>
        <v/>
      </c>
      <c r="P63" s="47" t="str">
        <f t="shared" ca="1" si="81"/>
        <v/>
      </c>
      <c r="Q63" s="111" t="str">
        <f t="shared" ca="1" si="82"/>
        <v/>
      </c>
      <c r="R63" s="397" t="str">
        <f ca="1">IFERROR(INDEX(ICE[], MATCH("afra" &amp; TEXT(Crd!$A63, "mmmyy"), ICE[LongCode], 0), MATCH("ICE Theoretical Price", ICE[#Headers], 0)), "")</f>
        <v/>
      </c>
      <c r="S63" s="372" t="str">
        <f ca="1">IFERROR(INDEX(ICE[], MATCH("afra" &amp; TEXT($A63, "mmmyy"), ICE[LongCode], 0), MATCH("Text", ICE[#Headers], 0)), "")</f>
        <v/>
      </c>
      <c r="T63" s="46" t="str">
        <f t="shared" ca="1" si="62"/>
        <v/>
      </c>
      <c r="U63" s="47" t="str">
        <f t="shared" ca="1" si="83"/>
        <v/>
      </c>
      <c r="V63" s="46" t="str">
        <f t="shared" ca="1" si="84"/>
        <v/>
      </c>
      <c r="W63" s="49" t="str">
        <f t="shared" ca="1" si="69"/>
        <v/>
      </c>
      <c r="X63" s="53" t="str">
        <f t="shared" ca="1" si="63"/>
        <v/>
      </c>
      <c r="Y63" s="47" t="str">
        <f t="shared" ca="1" si="85"/>
        <v/>
      </c>
      <c r="Z63" s="111" t="str">
        <f t="shared" ca="1" si="86"/>
        <v/>
      </c>
      <c r="AA63" s="397" t="str">
        <f ca="1">IFERROR(INDEX(ICE[], MATCH("tc5" &amp; TEXT(Crd!$A63, "mmmyy"), ICE[LongCode], 0), MATCH("ICE Theoretical Price", ICE[#Headers], 0)), "")</f>
        <v/>
      </c>
      <c r="AB63" s="372" t="str">
        <f ca="1">IFERROR(INDEX(ICE[], MATCH("tc5" &amp; TEXT(Hvy!$A63, "mmmyy"), ICE[LongCode], 0), MATCH("Text", ICE[#Headers], 0)), "")</f>
        <v/>
      </c>
      <c r="AC63" s="46" t="str">
        <f t="shared" ca="1" si="70"/>
        <v/>
      </c>
      <c r="AD63" s="47" t="str">
        <f t="shared" ca="1" si="87"/>
        <v/>
      </c>
      <c r="AE63" s="46" t="str">
        <f t="shared" ca="1" si="88"/>
        <v/>
      </c>
      <c r="AF63" s="49" t="str">
        <f t="shared" ca="1" si="71"/>
        <v/>
      </c>
      <c r="AG63" s="53" t="str">
        <f t="shared" ca="1" si="72"/>
        <v/>
      </c>
      <c r="AH63" s="47" t="str">
        <f t="shared" ca="1" si="89"/>
        <v/>
      </c>
      <c r="AI63" s="111" t="str">
        <f t="shared" ca="1" si="90"/>
        <v/>
      </c>
      <c r="AJ63" s="397" t="str">
        <f t="shared" ca="1" si="73"/>
        <v/>
      </c>
      <c r="AK63" s="372" t="str">
        <f ca="1">IFERROR(INDEX(ICE[], MATCH("tc2" &amp; TEXT(Hvy!$A63, "mmmyy"), ICE[LongCode], 0), MATCH("Text", ICE[#Headers], 0)), "")</f>
        <v/>
      </c>
      <c r="AL63" s="46" t="str">
        <f t="shared" ca="1" si="64"/>
        <v/>
      </c>
      <c r="AM63" s="47" t="str">
        <f t="shared" ca="1" si="91"/>
        <v/>
      </c>
      <c r="AN63" s="46" t="str">
        <f t="shared" ca="1" si="92"/>
        <v/>
      </c>
      <c r="AO63" s="49" t="str">
        <f t="shared" ca="1" si="74"/>
        <v/>
      </c>
      <c r="AP63" s="53" t="str">
        <f t="shared" ca="1" si="65"/>
        <v/>
      </c>
      <c r="AQ63" s="47" t="str">
        <f t="shared" ca="1" si="93"/>
        <v/>
      </c>
      <c r="AR63" s="111" t="str">
        <f t="shared" ca="1" si="94"/>
        <v/>
      </c>
      <c r="AS63" s="397" t="str">
        <f t="shared" ca="1" si="75"/>
        <v/>
      </c>
      <c r="AT63" s="372" t="str">
        <f ca="1">IFERROR(INDEX(ICE[], MATCH("tc14" &amp; TEXT(Hvy!$A63, "mmmyy"), ICE[LongCode], 0), MATCH("Text", ICE[#Headers], 0)), "")</f>
        <v/>
      </c>
      <c r="AU63" s="46" t="str">
        <f t="shared" ca="1" si="76"/>
        <v/>
      </c>
      <c r="AV63" s="47" t="str">
        <f t="shared" ca="1" si="95"/>
        <v/>
      </c>
      <c r="AW63" s="46" t="str">
        <f t="shared" ca="1" si="96"/>
        <v/>
      </c>
      <c r="AX63" s="49" t="str">
        <f t="shared" ca="1" si="77"/>
        <v/>
      </c>
      <c r="AY63" s="53" t="str">
        <f t="shared" ca="1" si="78"/>
        <v/>
      </c>
      <c r="AZ63" s="47" t="str">
        <f t="shared" ca="1" si="97"/>
        <v/>
      </c>
      <c r="BA63" s="111" t="str">
        <f t="shared" ca="1" si="98"/>
        <v/>
      </c>
    </row>
    <row r="64" spans="1:53" x14ac:dyDescent="0.25">
      <c r="A64" s="58">
        <f t="shared" ca="1" si="79"/>
        <v>47635</v>
      </c>
      <c r="B64" s="6">
        <f t="shared" ca="1" si="59"/>
        <v>2030</v>
      </c>
      <c r="C64" s="6" t="str">
        <f t="shared" ca="1" si="66"/>
        <v>Q230</v>
      </c>
      <c r="D64" s="28" t="e">
        <f ca="1">INDEX(ICE[], MATCH(D$18 &amp; TEXT($A64, "mmmyy"), ICE[LongCode], 0), MATCH("Settle", ICE[#Headers], 0))</f>
        <v>#N/A</v>
      </c>
      <c r="E64" s="28" t="e">
        <f ca="1">INDEX(ICE[], MATCH(E$18 &amp; TEXT($A64, "mmmyy"), ICE[LongCode], 0), MATCH("Settle", ICE[#Headers], 0))</f>
        <v>#N/A</v>
      </c>
      <c r="F64" s="28" t="e">
        <f ca="1">INDEX(ICE[], MATCH(F$18 &amp; TEXT($A64, "mmmyy"), ICE[LongCode], 0), MATCH("Settle", ICE[#Headers], 0))</f>
        <v>#N/A</v>
      </c>
      <c r="G64" s="28" t="e">
        <f ca="1">INDEX(ICE[], MATCH(G$18 &amp; TEXT($A64, "mmmyy"), ICE[LongCode], 0), MATCH("Settle", ICE[#Headers], 0))</f>
        <v>#N/A</v>
      </c>
      <c r="H64" s="28" t="e">
        <f ca="1">INDEX(ICE[], MATCH(H$18 &amp; TEXT($A64, "mmmyy"), ICE[LongCode], 0), MATCH("Settle", ICE[#Headers], 0))</f>
        <v>#N/A</v>
      </c>
      <c r="I64" s="397" t="str">
        <f ca="1">IFERROR(INDEX(ICE[], MATCH("td3c" &amp; TEXT(Crd!$A64, "mmmyy"), ICE[LongCode], 0), MATCH("ICE Theoretical Price", ICE[#Headers], 0)), "")</f>
        <v/>
      </c>
      <c r="J64" s="372" t="str">
        <f ca="1">IFERROR(INDEX(ICE[], MATCH("td3c" &amp; TEXT($A64, "mmmyy"), ICE[LongCode], 0), MATCH("Text", ICE[#Headers], 0)), "")</f>
        <v/>
      </c>
      <c r="K64" s="46" t="str">
        <f t="shared" ca="1" si="60"/>
        <v/>
      </c>
      <c r="L64" s="47" t="str">
        <f t="shared" ca="1" si="67"/>
        <v/>
      </c>
      <c r="M64" s="46" t="str">
        <f t="shared" ca="1" si="80"/>
        <v/>
      </c>
      <c r="N64" s="49" t="str">
        <f t="shared" ca="1" si="68"/>
        <v/>
      </c>
      <c r="O64" s="53" t="str">
        <f t="shared" ca="1" si="61"/>
        <v/>
      </c>
      <c r="P64" s="47" t="str">
        <f t="shared" ca="1" si="81"/>
        <v/>
      </c>
      <c r="Q64" s="111" t="str">
        <f t="shared" ca="1" si="82"/>
        <v/>
      </c>
      <c r="R64" s="397" t="str">
        <f ca="1">IFERROR(INDEX(ICE[], MATCH("afra" &amp; TEXT(Crd!$A64, "mmmyy"), ICE[LongCode], 0), MATCH("ICE Theoretical Price", ICE[#Headers], 0)), "")</f>
        <v/>
      </c>
      <c r="S64" s="372" t="str">
        <f ca="1">IFERROR(INDEX(ICE[], MATCH("afra" &amp; TEXT($A64, "mmmyy"), ICE[LongCode], 0), MATCH("Text", ICE[#Headers], 0)), "")</f>
        <v/>
      </c>
      <c r="T64" s="46" t="str">
        <f t="shared" ca="1" si="62"/>
        <v/>
      </c>
      <c r="U64" s="47" t="str">
        <f t="shared" ca="1" si="83"/>
        <v/>
      </c>
      <c r="V64" s="46" t="str">
        <f t="shared" ca="1" si="84"/>
        <v/>
      </c>
      <c r="W64" s="49" t="str">
        <f t="shared" ca="1" si="69"/>
        <v/>
      </c>
      <c r="X64" s="53" t="str">
        <f t="shared" ca="1" si="63"/>
        <v/>
      </c>
      <c r="Y64" s="47" t="str">
        <f t="shared" ca="1" si="85"/>
        <v/>
      </c>
      <c r="Z64" s="111" t="str">
        <f t="shared" ca="1" si="86"/>
        <v/>
      </c>
      <c r="AA64" s="397" t="str">
        <f ca="1">IFERROR(INDEX(ICE[], MATCH("tc5" &amp; TEXT(Crd!$A64, "mmmyy"), ICE[LongCode], 0), MATCH("ICE Theoretical Price", ICE[#Headers], 0)), "")</f>
        <v/>
      </c>
      <c r="AB64" s="372" t="str">
        <f ca="1">IFERROR(INDEX(ICE[], MATCH("tc5" &amp; TEXT(Hvy!$A64, "mmmyy"), ICE[LongCode], 0), MATCH("Text", ICE[#Headers], 0)), "")</f>
        <v/>
      </c>
      <c r="AC64" s="46" t="str">
        <f t="shared" ca="1" si="70"/>
        <v/>
      </c>
      <c r="AD64" s="47" t="str">
        <f t="shared" ca="1" si="87"/>
        <v/>
      </c>
      <c r="AE64" s="46" t="str">
        <f t="shared" ca="1" si="88"/>
        <v/>
      </c>
      <c r="AF64" s="49" t="str">
        <f t="shared" ca="1" si="71"/>
        <v/>
      </c>
      <c r="AG64" s="53" t="str">
        <f t="shared" ca="1" si="72"/>
        <v/>
      </c>
      <c r="AH64" s="47" t="str">
        <f t="shared" ca="1" si="89"/>
        <v/>
      </c>
      <c r="AI64" s="111" t="str">
        <f t="shared" ca="1" si="90"/>
        <v/>
      </c>
      <c r="AJ64" s="397" t="str">
        <f t="shared" ca="1" si="73"/>
        <v/>
      </c>
      <c r="AK64" s="372" t="str">
        <f ca="1">IFERROR(INDEX(ICE[], MATCH("tc2" &amp; TEXT(Hvy!$A64, "mmmyy"), ICE[LongCode], 0), MATCH("Text", ICE[#Headers], 0)), "")</f>
        <v/>
      </c>
      <c r="AL64" s="46" t="str">
        <f t="shared" ca="1" si="64"/>
        <v/>
      </c>
      <c r="AM64" s="47" t="str">
        <f t="shared" ca="1" si="91"/>
        <v/>
      </c>
      <c r="AN64" s="46" t="str">
        <f t="shared" ca="1" si="92"/>
        <v/>
      </c>
      <c r="AO64" s="49" t="str">
        <f t="shared" ca="1" si="74"/>
        <v/>
      </c>
      <c r="AP64" s="53" t="str">
        <f t="shared" ca="1" si="65"/>
        <v/>
      </c>
      <c r="AQ64" s="47" t="str">
        <f t="shared" ca="1" si="93"/>
        <v/>
      </c>
      <c r="AR64" s="111" t="str">
        <f t="shared" ca="1" si="94"/>
        <v/>
      </c>
      <c r="AS64" s="397" t="str">
        <f t="shared" ca="1" si="75"/>
        <v/>
      </c>
      <c r="AT64" s="372" t="str">
        <f ca="1">IFERROR(INDEX(ICE[], MATCH("tc14" &amp; TEXT(Hvy!$A64, "mmmyy"), ICE[LongCode], 0), MATCH("Text", ICE[#Headers], 0)), "")</f>
        <v/>
      </c>
      <c r="AU64" s="46" t="str">
        <f t="shared" ca="1" si="76"/>
        <v/>
      </c>
      <c r="AV64" s="47" t="str">
        <f t="shared" ca="1" si="95"/>
        <v/>
      </c>
      <c r="AW64" s="46" t="str">
        <f t="shared" ca="1" si="96"/>
        <v/>
      </c>
      <c r="AX64" s="49" t="str">
        <f t="shared" ca="1" si="77"/>
        <v/>
      </c>
      <c r="AY64" s="53" t="str">
        <f t="shared" ca="1" si="78"/>
        <v/>
      </c>
      <c r="AZ64" s="47" t="str">
        <f t="shared" ca="1" si="97"/>
        <v/>
      </c>
      <c r="BA64" s="111" t="str">
        <f t="shared" ca="1" si="98"/>
        <v/>
      </c>
    </row>
    <row r="65" spans="1:53" x14ac:dyDescent="0.25">
      <c r="A65" s="58">
        <f t="shared" ca="1" si="79"/>
        <v>47665</v>
      </c>
      <c r="B65" s="6">
        <f t="shared" ca="1" si="59"/>
        <v>2030</v>
      </c>
      <c r="C65" s="6" t="str">
        <f t="shared" ca="1" si="66"/>
        <v>Q330</v>
      </c>
      <c r="D65" s="28" t="e">
        <f ca="1">INDEX(ICE[], MATCH(D$18 &amp; TEXT($A65, "mmmyy"), ICE[LongCode], 0), MATCH("Settle", ICE[#Headers], 0))</f>
        <v>#N/A</v>
      </c>
      <c r="E65" s="28" t="e">
        <f ca="1">INDEX(ICE[], MATCH(E$18 &amp; TEXT($A65, "mmmyy"), ICE[LongCode], 0), MATCH("Settle", ICE[#Headers], 0))</f>
        <v>#N/A</v>
      </c>
      <c r="F65" s="28" t="e">
        <f ca="1">INDEX(ICE[], MATCH(F$18 &amp; TEXT($A65, "mmmyy"), ICE[LongCode], 0), MATCH("Settle", ICE[#Headers], 0))</f>
        <v>#N/A</v>
      </c>
      <c r="G65" s="28" t="e">
        <f ca="1">INDEX(ICE[], MATCH(G$18 &amp; TEXT($A65, "mmmyy"), ICE[LongCode], 0), MATCH("Settle", ICE[#Headers], 0))</f>
        <v>#N/A</v>
      </c>
      <c r="H65" s="28" t="e">
        <f ca="1">INDEX(ICE[], MATCH(H$18 &amp; TEXT($A65, "mmmyy"), ICE[LongCode], 0), MATCH("Settle", ICE[#Headers], 0))</f>
        <v>#N/A</v>
      </c>
      <c r="I65" s="397" t="str">
        <f ca="1">IFERROR(INDEX(ICE[], MATCH("td3c" &amp; TEXT(Crd!$A65, "mmmyy"), ICE[LongCode], 0), MATCH("ICE Theoretical Price", ICE[#Headers], 0)), "")</f>
        <v/>
      </c>
      <c r="J65" s="372" t="str">
        <f ca="1">IFERROR(INDEX(ICE[], MATCH("td3c" &amp; TEXT($A65, "mmmyy"), ICE[LongCode], 0), MATCH("Text", ICE[#Headers], 0)), "")</f>
        <v/>
      </c>
      <c r="K65" s="46" t="str">
        <f t="shared" ca="1" si="60"/>
        <v/>
      </c>
      <c r="L65" s="47" t="str">
        <f t="shared" ca="1" si="67"/>
        <v/>
      </c>
      <c r="M65" s="46" t="str">
        <f t="shared" ca="1" si="80"/>
        <v/>
      </c>
      <c r="N65" s="49" t="str">
        <f t="shared" ca="1" si="68"/>
        <v/>
      </c>
      <c r="O65" s="53" t="str">
        <f t="shared" ca="1" si="61"/>
        <v/>
      </c>
      <c r="P65" s="47" t="str">
        <f t="shared" ca="1" si="81"/>
        <v/>
      </c>
      <c r="Q65" s="111" t="str">
        <f t="shared" ca="1" si="82"/>
        <v/>
      </c>
      <c r="R65" s="397" t="str">
        <f ca="1">IFERROR(INDEX(ICE[], MATCH("afra" &amp; TEXT(Crd!$A65, "mmmyy"), ICE[LongCode], 0), MATCH("ICE Theoretical Price", ICE[#Headers], 0)), "")</f>
        <v/>
      </c>
      <c r="S65" s="372" t="str">
        <f ca="1">IFERROR(INDEX(ICE[], MATCH("afra" &amp; TEXT($A65, "mmmyy"), ICE[LongCode], 0), MATCH("Text", ICE[#Headers], 0)), "")</f>
        <v/>
      </c>
      <c r="T65" s="46" t="str">
        <f t="shared" ca="1" si="62"/>
        <v/>
      </c>
      <c r="U65" s="47" t="str">
        <f t="shared" ca="1" si="83"/>
        <v/>
      </c>
      <c r="V65" s="46" t="str">
        <f t="shared" ca="1" si="84"/>
        <v/>
      </c>
      <c r="W65" s="49" t="str">
        <f t="shared" ca="1" si="69"/>
        <v/>
      </c>
      <c r="X65" s="53" t="str">
        <f t="shared" ca="1" si="63"/>
        <v/>
      </c>
      <c r="Y65" s="47" t="str">
        <f t="shared" ca="1" si="85"/>
        <v/>
      </c>
      <c r="Z65" s="111" t="str">
        <f t="shared" ca="1" si="86"/>
        <v/>
      </c>
      <c r="AA65" s="397" t="str">
        <f ca="1">IFERROR(INDEX(ICE[], MATCH("tc5" &amp; TEXT(Crd!$A65, "mmmyy"), ICE[LongCode], 0), MATCH("ICE Theoretical Price", ICE[#Headers], 0)), "")</f>
        <v/>
      </c>
      <c r="AB65" s="372" t="str">
        <f ca="1">IFERROR(INDEX(ICE[], MATCH("tc5" &amp; TEXT(Hvy!$A65, "mmmyy"), ICE[LongCode], 0), MATCH("Text", ICE[#Headers], 0)), "")</f>
        <v/>
      </c>
      <c r="AC65" s="46" t="str">
        <f t="shared" ca="1" si="70"/>
        <v/>
      </c>
      <c r="AD65" s="47" t="str">
        <f t="shared" ca="1" si="87"/>
        <v/>
      </c>
      <c r="AE65" s="46" t="str">
        <f t="shared" ca="1" si="88"/>
        <v/>
      </c>
      <c r="AF65" s="49" t="str">
        <f t="shared" ca="1" si="71"/>
        <v/>
      </c>
      <c r="AG65" s="53" t="str">
        <f t="shared" ca="1" si="72"/>
        <v/>
      </c>
      <c r="AH65" s="47" t="str">
        <f t="shared" ca="1" si="89"/>
        <v/>
      </c>
      <c r="AI65" s="111" t="str">
        <f t="shared" ca="1" si="90"/>
        <v/>
      </c>
      <c r="AJ65" s="397" t="str">
        <f t="shared" ca="1" si="73"/>
        <v/>
      </c>
      <c r="AK65" s="372" t="str">
        <f ca="1">IFERROR(INDEX(ICE[], MATCH("tc2" &amp; TEXT(Hvy!$A65, "mmmyy"), ICE[LongCode], 0), MATCH("Text", ICE[#Headers], 0)), "")</f>
        <v/>
      </c>
      <c r="AL65" s="46" t="str">
        <f t="shared" ca="1" si="64"/>
        <v/>
      </c>
      <c r="AM65" s="47" t="str">
        <f t="shared" ca="1" si="91"/>
        <v/>
      </c>
      <c r="AN65" s="46" t="str">
        <f t="shared" ca="1" si="92"/>
        <v/>
      </c>
      <c r="AO65" s="49" t="str">
        <f t="shared" ca="1" si="74"/>
        <v/>
      </c>
      <c r="AP65" s="53" t="str">
        <f t="shared" ca="1" si="65"/>
        <v/>
      </c>
      <c r="AQ65" s="47" t="str">
        <f t="shared" ca="1" si="93"/>
        <v/>
      </c>
      <c r="AR65" s="111" t="str">
        <f t="shared" ca="1" si="94"/>
        <v/>
      </c>
      <c r="AS65" s="397" t="str">
        <f t="shared" ca="1" si="75"/>
        <v/>
      </c>
      <c r="AT65" s="372" t="str">
        <f ca="1">IFERROR(INDEX(ICE[], MATCH("tc14" &amp; TEXT(Hvy!$A65, "mmmyy"), ICE[LongCode], 0), MATCH("Text", ICE[#Headers], 0)), "")</f>
        <v/>
      </c>
      <c r="AU65" s="46" t="str">
        <f t="shared" ca="1" si="76"/>
        <v/>
      </c>
      <c r="AV65" s="47" t="str">
        <f t="shared" ca="1" si="95"/>
        <v/>
      </c>
      <c r="AW65" s="46" t="str">
        <f t="shared" ca="1" si="96"/>
        <v/>
      </c>
      <c r="AX65" s="49" t="str">
        <f t="shared" ca="1" si="77"/>
        <v/>
      </c>
      <c r="AY65" s="53" t="str">
        <f t="shared" ca="1" si="78"/>
        <v/>
      </c>
      <c r="AZ65" s="47" t="str">
        <f t="shared" ca="1" si="97"/>
        <v/>
      </c>
      <c r="BA65" s="111" t="str">
        <f t="shared" ca="1" si="98"/>
        <v/>
      </c>
    </row>
    <row r="66" spans="1:53" ht="15.75" thickBot="1" x14ac:dyDescent="0.3">
      <c r="A66" s="58">
        <f t="shared" ca="1" si="79"/>
        <v>47696</v>
      </c>
      <c r="B66" s="6">
        <f t="shared" ca="1" si="59"/>
        <v>2030</v>
      </c>
      <c r="C66" s="6" t="str">
        <f t="shared" ca="1" si="66"/>
        <v>Q330</v>
      </c>
      <c r="D66" s="28" t="e">
        <f ca="1">INDEX(ICE[], MATCH(D$18 &amp; TEXT($A66, "mmmyy"), ICE[LongCode], 0), MATCH("Settle", ICE[#Headers], 0))</f>
        <v>#N/A</v>
      </c>
      <c r="E66" s="28" t="e">
        <f ca="1">INDEX(ICE[], MATCH(E$18 &amp; TEXT($A66, "mmmyy"), ICE[LongCode], 0), MATCH("Settle", ICE[#Headers], 0))</f>
        <v>#N/A</v>
      </c>
      <c r="F66" s="28" t="e">
        <f ca="1">INDEX(ICE[], MATCH(F$18 &amp; TEXT($A66, "mmmyy"), ICE[LongCode], 0), MATCH("Settle", ICE[#Headers], 0))</f>
        <v>#N/A</v>
      </c>
      <c r="G66" s="28" t="e">
        <f ca="1">INDEX(ICE[], MATCH(G$18 &amp; TEXT($A66, "mmmyy"), ICE[LongCode], 0), MATCH("Settle", ICE[#Headers], 0))</f>
        <v>#N/A</v>
      </c>
      <c r="H66" s="28" t="e">
        <f ca="1">INDEX(ICE[], MATCH(H$18 &amp; TEXT($A66, "mmmyy"), ICE[LongCode], 0), MATCH("Settle", ICE[#Headers], 0))</f>
        <v>#N/A</v>
      </c>
      <c r="I66" s="398" t="str">
        <f ca="1">IFERROR(INDEX(ICE[], MATCH("td3c" &amp; TEXT(Crd!$A66, "mmmyy"), ICE[LongCode], 0), MATCH("ICE Theoretical Price", ICE[#Headers], 0)), "")</f>
        <v/>
      </c>
      <c r="J66" s="373" t="str">
        <f ca="1">IFERROR(INDEX(ICE[], MATCH("td3c" &amp; TEXT($A66, "mmmyy"), ICE[LongCode], 0), MATCH("Text", ICE[#Headers], 0)), "")</f>
        <v/>
      </c>
      <c r="K66" s="133" t="str">
        <f t="shared" ca="1" si="60"/>
        <v/>
      </c>
      <c r="L66" s="142" t="str">
        <f t="shared" ca="1" si="67"/>
        <v/>
      </c>
      <c r="M66" s="133" t="str">
        <f t="shared" ca="1" si="80"/>
        <v/>
      </c>
      <c r="N66" s="193" t="str">
        <f t="shared" ca="1" si="68"/>
        <v/>
      </c>
      <c r="O66" s="197" t="str">
        <f t="shared" ca="1" si="61"/>
        <v/>
      </c>
      <c r="P66" s="142" t="str">
        <f t="shared" ca="1" si="81"/>
        <v/>
      </c>
      <c r="Q66" s="135" t="str">
        <f t="shared" ca="1" si="82"/>
        <v/>
      </c>
      <c r="R66" s="398" t="str">
        <f ca="1">IFERROR(INDEX(ICE[], MATCH("afra" &amp; TEXT(Crd!$A66, "mmmyy"), ICE[LongCode], 0), MATCH("ICE Theoretical Price", ICE[#Headers], 0)), "")</f>
        <v/>
      </c>
      <c r="S66" s="373" t="str">
        <f ca="1">IFERROR(INDEX(ICE[], MATCH("afra" &amp; TEXT($A66, "mmmyy"), ICE[LongCode], 0), MATCH("Text", ICE[#Headers], 0)), "")</f>
        <v/>
      </c>
      <c r="T66" s="133" t="str">
        <f t="shared" ca="1" si="62"/>
        <v/>
      </c>
      <c r="U66" s="142" t="str">
        <f t="shared" ca="1" si="83"/>
        <v/>
      </c>
      <c r="V66" s="133" t="str">
        <f t="shared" ca="1" si="84"/>
        <v/>
      </c>
      <c r="W66" s="193" t="str">
        <f t="shared" ca="1" si="69"/>
        <v/>
      </c>
      <c r="X66" s="197" t="str">
        <f t="shared" ca="1" si="63"/>
        <v/>
      </c>
      <c r="Y66" s="142" t="str">
        <f t="shared" ca="1" si="85"/>
        <v/>
      </c>
      <c r="Z66" s="135" t="str">
        <f t="shared" ca="1" si="86"/>
        <v/>
      </c>
      <c r="AA66" s="398" t="str">
        <f ca="1">IFERROR(INDEX(ICE[], MATCH("tc5" &amp; TEXT(Crd!$A66, "mmmyy"), ICE[LongCode], 0), MATCH("ICE Theoretical Price", ICE[#Headers], 0)), "")</f>
        <v/>
      </c>
      <c r="AB66" s="373" t="str">
        <f ca="1">IFERROR(INDEX(ICE[], MATCH("tc5" &amp; TEXT(Hvy!$A66, "mmmyy"), ICE[LongCode], 0), MATCH("Text", ICE[#Headers], 0)), "")</f>
        <v/>
      </c>
      <c r="AC66" s="133" t="str">
        <f t="shared" ca="1" si="70"/>
        <v/>
      </c>
      <c r="AD66" s="142" t="str">
        <f t="shared" ca="1" si="87"/>
        <v/>
      </c>
      <c r="AE66" s="133" t="str">
        <f t="shared" ca="1" si="88"/>
        <v/>
      </c>
      <c r="AF66" s="193" t="str">
        <f t="shared" ca="1" si="71"/>
        <v/>
      </c>
      <c r="AG66" s="197" t="str">
        <f t="shared" ca="1" si="72"/>
        <v/>
      </c>
      <c r="AH66" s="142" t="str">
        <f t="shared" ca="1" si="89"/>
        <v/>
      </c>
      <c r="AI66" s="135" t="str">
        <f t="shared" ca="1" si="90"/>
        <v/>
      </c>
      <c r="AJ66" s="398" t="str">
        <f t="shared" ca="1" si="73"/>
        <v/>
      </c>
      <c r="AK66" s="373" t="str">
        <f ca="1">IFERROR(INDEX(ICE[], MATCH("tc2" &amp; TEXT(Hvy!$A66, "mmmyy"), ICE[LongCode], 0), MATCH("Text", ICE[#Headers], 0)), "")</f>
        <v/>
      </c>
      <c r="AL66" s="133" t="str">
        <f t="shared" ca="1" si="64"/>
        <v/>
      </c>
      <c r="AM66" s="142" t="str">
        <f t="shared" ca="1" si="91"/>
        <v/>
      </c>
      <c r="AN66" s="133" t="str">
        <f t="shared" ca="1" si="92"/>
        <v/>
      </c>
      <c r="AO66" s="193" t="str">
        <f t="shared" ca="1" si="74"/>
        <v/>
      </c>
      <c r="AP66" s="197" t="str">
        <f t="shared" ca="1" si="65"/>
        <v/>
      </c>
      <c r="AQ66" s="142" t="str">
        <f t="shared" ca="1" si="93"/>
        <v/>
      </c>
      <c r="AR66" s="135" t="str">
        <f t="shared" ca="1" si="94"/>
        <v/>
      </c>
      <c r="AS66" s="398" t="str">
        <f t="shared" ca="1" si="75"/>
        <v/>
      </c>
      <c r="AT66" s="373" t="str">
        <f ca="1">IFERROR(INDEX(ICE[], MATCH("tc14" &amp; TEXT(Hvy!$A66, "mmmyy"), ICE[LongCode], 0), MATCH("Text", ICE[#Headers], 0)), "")</f>
        <v/>
      </c>
      <c r="AU66" s="133" t="str">
        <f t="shared" ca="1" si="76"/>
        <v/>
      </c>
      <c r="AV66" s="142" t="str">
        <f t="shared" ca="1" si="95"/>
        <v/>
      </c>
      <c r="AW66" s="133" t="str">
        <f t="shared" ca="1" si="96"/>
        <v/>
      </c>
      <c r="AX66" s="193" t="str">
        <f t="shared" ca="1" si="77"/>
        <v/>
      </c>
      <c r="AY66" s="197" t="str">
        <f t="shared" ca="1" si="78"/>
        <v/>
      </c>
      <c r="AZ66" s="142" t="str">
        <f t="shared" ca="1" si="97"/>
        <v/>
      </c>
      <c r="BA66" s="135" t="str">
        <f t="shared" ca="1" si="98"/>
        <v/>
      </c>
    </row>
    <row r="67" spans="1:53" x14ac:dyDescent="0.25">
      <c r="A67" s="60"/>
      <c r="I67" s="48"/>
      <c r="J67" s="48"/>
      <c r="K67" s="48"/>
      <c r="L67" s="62"/>
      <c r="M67" s="53"/>
      <c r="N67" s="49"/>
      <c r="P67" s="62"/>
      <c r="Q67" s="53"/>
      <c r="R67" s="48"/>
      <c r="S67" s="48"/>
      <c r="T67" s="48"/>
      <c r="U67" s="62"/>
      <c r="V67" s="53"/>
      <c r="W67" s="49"/>
      <c r="Y67" s="62"/>
      <c r="Z67" s="53"/>
      <c r="AA67" s="48"/>
      <c r="AB67" s="48"/>
      <c r="AC67" s="48"/>
      <c r="AD67" s="62"/>
      <c r="AE67" s="53"/>
      <c r="AF67" s="49"/>
      <c r="AH67" s="62"/>
      <c r="AI67" s="53"/>
      <c r="AJ67" s="48"/>
      <c r="AK67" s="48"/>
      <c r="AL67" s="48"/>
      <c r="AM67" s="62"/>
      <c r="AN67" s="53"/>
      <c r="AO67" s="49"/>
      <c r="AQ67" s="62"/>
      <c r="AR67" s="53"/>
      <c r="AS67" s="48"/>
      <c r="AT67" s="48"/>
      <c r="AU67" s="48"/>
      <c r="AV67" s="62"/>
      <c r="AW67" s="53"/>
      <c r="AX67" s="49"/>
      <c r="AZ67" s="62"/>
      <c r="BA67" s="53"/>
    </row>
    <row r="68" spans="1:53" x14ac:dyDescent="0.25">
      <c r="A68" s="60"/>
      <c r="I68" s="48"/>
      <c r="J68" s="48"/>
      <c r="K68" s="48"/>
      <c r="L68" s="47"/>
      <c r="M68" s="53"/>
      <c r="P68" s="47"/>
      <c r="Q68" s="53"/>
      <c r="R68" s="48"/>
      <c r="S68" s="48"/>
      <c r="T68" s="48"/>
      <c r="U68" s="47"/>
      <c r="V68" s="53"/>
      <c r="Y68" s="47"/>
      <c r="Z68" s="53"/>
      <c r="AA68" s="48"/>
      <c r="AB68" s="48"/>
      <c r="AC68" s="48"/>
      <c r="AD68" s="47"/>
      <c r="AE68" s="53"/>
      <c r="AH68" s="47"/>
      <c r="AI68" s="53"/>
      <c r="AJ68" s="48"/>
      <c r="AK68" s="48"/>
      <c r="AL68" s="48"/>
      <c r="AM68" s="47"/>
      <c r="AN68" s="53"/>
      <c r="AQ68" s="47"/>
      <c r="AR68" s="53"/>
      <c r="AS68" s="48"/>
      <c r="AT68" s="48"/>
      <c r="AU68" s="48"/>
      <c r="AV68" s="47"/>
      <c r="AW68" s="53"/>
      <c r="AZ68" s="47"/>
      <c r="BA68" s="53"/>
    </row>
    <row r="69" spans="1:53" x14ac:dyDescent="0.25">
      <c r="A69" s="60"/>
      <c r="I69" s="48"/>
      <c r="J69" s="48"/>
      <c r="K69" s="48"/>
      <c r="L69" s="47"/>
      <c r="M69" s="53"/>
      <c r="P69" s="47"/>
      <c r="Q69" s="53"/>
      <c r="R69" s="48"/>
      <c r="S69" s="48"/>
      <c r="T69" s="48"/>
      <c r="U69" s="47"/>
      <c r="V69" s="53"/>
      <c r="Y69" s="47"/>
      <c r="Z69" s="53"/>
      <c r="AA69" s="48"/>
      <c r="AB69" s="48"/>
      <c r="AC69" s="48"/>
      <c r="AD69" s="47"/>
      <c r="AE69" s="53"/>
      <c r="AH69" s="47"/>
      <c r="AI69" s="53"/>
      <c r="AJ69" s="48"/>
      <c r="AK69" s="48"/>
      <c r="AL69" s="48"/>
      <c r="AM69" s="47"/>
      <c r="AN69" s="53"/>
      <c r="AQ69" s="47"/>
      <c r="AR69" s="53"/>
      <c r="AS69" s="48"/>
      <c r="AT69" s="48"/>
      <c r="AU69" s="48"/>
      <c r="AV69" s="47"/>
      <c r="AW69" s="53"/>
      <c r="AZ69" s="47"/>
      <c r="BA69" s="53"/>
    </row>
    <row r="70" spans="1:53" x14ac:dyDescent="0.25">
      <c r="A70" s="60"/>
      <c r="I70" s="48"/>
      <c r="J70" s="48"/>
      <c r="K70" s="48"/>
      <c r="L70" s="47"/>
      <c r="M70" s="53"/>
      <c r="P70" s="47"/>
      <c r="Q70" s="53"/>
      <c r="R70" s="48"/>
      <c r="S70" s="48"/>
      <c r="T70" s="48"/>
      <c r="U70" s="47"/>
      <c r="V70" s="53"/>
      <c r="Y70" s="47"/>
      <c r="Z70" s="53"/>
      <c r="AA70" s="48"/>
      <c r="AB70" s="48"/>
      <c r="AC70" s="48"/>
      <c r="AD70" s="47"/>
      <c r="AE70" s="53"/>
      <c r="AH70" s="47"/>
      <c r="AI70" s="53"/>
      <c r="AJ70" s="48"/>
      <c r="AK70" s="48"/>
      <c r="AL70" s="48"/>
      <c r="AM70" s="47"/>
      <c r="AN70" s="53"/>
      <c r="AQ70" s="47"/>
      <c r="AR70" s="53"/>
      <c r="AS70" s="48"/>
      <c r="AT70" s="48"/>
      <c r="AU70" s="48"/>
      <c r="AV70" s="47"/>
      <c r="AW70" s="53"/>
      <c r="AZ70" s="47"/>
      <c r="BA70" s="53"/>
    </row>
    <row r="71" spans="1:53" x14ac:dyDescent="0.25">
      <c r="A71" s="60"/>
      <c r="I71" s="48"/>
      <c r="J71" s="48"/>
      <c r="K71" s="48"/>
      <c r="L71" s="47"/>
      <c r="M71" s="53"/>
      <c r="P71" s="47"/>
      <c r="Q71" s="53"/>
      <c r="R71" s="48"/>
      <c r="S71" s="48"/>
      <c r="T71" s="48"/>
      <c r="U71" s="47"/>
      <c r="V71" s="53"/>
      <c r="Y71" s="47"/>
      <c r="Z71" s="53"/>
      <c r="AA71" s="48"/>
      <c r="AB71" s="48"/>
      <c r="AC71" s="48"/>
      <c r="AD71" s="47"/>
      <c r="AE71" s="53"/>
      <c r="AH71" s="47"/>
      <c r="AI71" s="53"/>
      <c r="AJ71" s="48"/>
      <c r="AK71" s="48"/>
      <c r="AL71" s="48"/>
      <c r="AM71" s="47"/>
      <c r="AN71" s="53"/>
      <c r="AQ71" s="47"/>
      <c r="AR71" s="53"/>
      <c r="AS71" s="48"/>
      <c r="AT71" s="48"/>
      <c r="AU71" s="48"/>
      <c r="AV71" s="47"/>
      <c r="AW71" s="53"/>
      <c r="AZ71" s="47"/>
      <c r="BA71" s="53"/>
    </row>
    <row r="72" spans="1:53" x14ac:dyDescent="0.25">
      <c r="A72" s="60"/>
      <c r="I72" s="48"/>
      <c r="J72" s="48"/>
      <c r="K72" s="48"/>
      <c r="L72" s="47"/>
      <c r="M72" s="53"/>
      <c r="P72" s="47"/>
      <c r="Q72" s="53"/>
      <c r="R72" s="48"/>
      <c r="S72" s="48"/>
      <c r="T72" s="48"/>
      <c r="U72" s="47"/>
      <c r="V72" s="53"/>
      <c r="Y72" s="47"/>
      <c r="Z72" s="53"/>
      <c r="AA72" s="48"/>
      <c r="AB72" s="48"/>
      <c r="AC72" s="48"/>
      <c r="AD72" s="47"/>
      <c r="AE72" s="53"/>
      <c r="AH72" s="47"/>
      <c r="AI72" s="53"/>
      <c r="AJ72" s="48"/>
      <c r="AK72" s="48"/>
      <c r="AL72" s="48"/>
      <c r="AM72" s="47"/>
      <c r="AN72" s="53"/>
      <c r="AQ72" s="47"/>
      <c r="AR72" s="53"/>
      <c r="AS72" s="48"/>
      <c r="AT72" s="48"/>
      <c r="AU72" s="48"/>
      <c r="AV72" s="47"/>
      <c r="AW72" s="53"/>
      <c r="AZ72" s="47"/>
      <c r="BA72" s="53"/>
    </row>
    <row r="73" spans="1:53" x14ac:dyDescent="0.25">
      <c r="A73" s="60"/>
      <c r="I73" s="48"/>
      <c r="J73" s="48"/>
      <c r="K73" s="48"/>
      <c r="L73" s="47"/>
      <c r="M73" s="53"/>
      <c r="P73" s="47"/>
      <c r="Q73" s="53"/>
      <c r="R73" s="48"/>
      <c r="S73" s="48"/>
      <c r="T73" s="48"/>
      <c r="U73" s="47"/>
      <c r="V73" s="53"/>
      <c r="Y73" s="47"/>
      <c r="Z73" s="53"/>
      <c r="AA73" s="48"/>
      <c r="AB73" s="48"/>
      <c r="AC73" s="48"/>
      <c r="AD73" s="47"/>
      <c r="AE73" s="53"/>
      <c r="AH73" s="47"/>
      <c r="AI73" s="53"/>
      <c r="AJ73" s="48"/>
      <c r="AK73" s="48"/>
      <c r="AL73" s="48"/>
      <c r="AM73" s="47"/>
      <c r="AN73" s="53"/>
      <c r="AQ73" s="47"/>
      <c r="AR73" s="53"/>
      <c r="AS73" s="48"/>
      <c r="AT73" s="48"/>
      <c r="AU73" s="48"/>
      <c r="AV73" s="47"/>
      <c r="AW73" s="53"/>
      <c r="AZ73" s="47"/>
      <c r="BA73" s="53"/>
    </row>
  </sheetData>
  <conditionalFormatting sqref="K19:K66 M19:M66 O19:O66 Q19:Q66 K5:K14 O5:O14 M5:M14 Q5:Q14 T5:T13 T19:T66 V19:V66 V5:V14 X5:X14 X19:X66 Z19:Z66 Z5:Z14 AC5:AC14 AC19:AC66 AE20:AE66 AE5:AE14 AG5:AG14 AG20:AG66 AI19:AI66 AI5:AI14 AU5:AU14 AU19:AU66 AW19:AW66 AW5:AW14 AY5:AY14 AY19:AY66 BA19:BA66 BA5:BA14 AL5:AL14 AL19:AL66 AN19:AN66 AN5:AN14 AP5:AP14 AP19:AP66 AR19:AR66 AR5:AR14">
    <cfRule type="cellIs" dxfId="91" priority="8" operator="lessThan">
      <formula>0</formula>
    </cfRule>
    <cfRule type="cellIs" dxfId="90" priority="9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B0C96-B1D1-4130-81D5-0E9B1564D710}">
  <sheetPr codeName="Sheet8">
    <tabColor theme="0" tint="-0.14999847407452621"/>
    <pageSetUpPr autoPageBreaks="0"/>
  </sheetPr>
  <dimension ref="A1:G73"/>
  <sheetViews>
    <sheetView zoomScaleNormal="100" workbookViewId="0">
      <pane xSplit="1" ySplit="18" topLeftCell="D19" activePane="bottomRight" state="frozen"/>
      <selection pane="topRight" activeCell="B1" sqref="B1"/>
      <selection pane="bottomLeft" activeCell="A19" sqref="A19"/>
      <selection pane="bottomRight" activeCell="E21" sqref="E21"/>
    </sheetView>
  </sheetViews>
  <sheetFormatPr defaultColWidth="9.140625" defaultRowHeight="15" x14ac:dyDescent="0.25"/>
  <cols>
    <col min="1" max="1" width="12.140625" style="57" customWidth="1"/>
    <col min="2" max="3" width="9.42578125" style="6" hidden="1" customWidth="1"/>
    <col min="4" max="4" width="8.140625" style="51" customWidth="1"/>
    <col min="5" max="5" width="5.7109375" style="67" customWidth="1"/>
    <col min="6" max="6" width="8.140625" style="51" customWidth="1"/>
    <col min="7" max="7" width="5.7109375" style="67" customWidth="1"/>
    <col min="8" max="21" width="9.140625" style="51"/>
    <col min="22" max="22" width="12" style="51" bestFit="1" customWidth="1"/>
    <col min="23" max="16384" width="9.140625" style="51"/>
  </cols>
  <sheetData>
    <row r="1" spans="1:7" x14ac:dyDescent="0.25">
      <c r="A1" s="106">
        <f ca="1">INT(TimeLDN)</f>
        <v>46267</v>
      </c>
      <c r="C1" s="25"/>
    </row>
    <row r="2" spans="1:7" ht="15.75" thickBot="1" x14ac:dyDescent="0.3">
      <c r="A2" s="107">
        <f ca="1">TimeLDN</f>
        <v>46267.465217013887</v>
      </c>
    </row>
    <row r="3" spans="1:7" ht="15.75" thickBot="1" x14ac:dyDescent="0.3">
      <c r="A3" s="54"/>
      <c r="D3" s="459" t="s">
        <v>453</v>
      </c>
      <c r="E3" s="461"/>
      <c r="F3" s="461"/>
      <c r="G3" s="577"/>
    </row>
    <row r="4" spans="1:7" x14ac:dyDescent="0.25">
      <c r="A4" s="54"/>
      <c r="D4" s="578" t="s">
        <v>454</v>
      </c>
      <c r="E4" s="323"/>
      <c r="F4" s="425" t="s">
        <v>455</v>
      </c>
      <c r="G4" s="579"/>
    </row>
    <row r="5" spans="1:7" x14ac:dyDescent="0.25">
      <c r="A5" s="54" t="str">
        <f ca="1">"Q" &amp; INT((MONTH($A$1) + 2) / 3) &amp; TEXT($A$1, "yy")</f>
        <v>Q326</v>
      </c>
      <c r="D5" s="435" t="str">
        <f t="shared" ref="D5:G11" ca="1" si="0">IFERROR(AVERAGEIF($C$19:$C$66, $A5, D$19:D$66), "")</f>
        <v/>
      </c>
      <c r="E5" s="115" t="str">
        <f t="shared" ca="1" si="0"/>
        <v/>
      </c>
      <c r="F5" s="268" t="str">
        <f t="shared" ca="1" si="0"/>
        <v/>
      </c>
      <c r="G5" s="430" t="str">
        <f t="shared" ca="1" si="0"/>
        <v/>
      </c>
    </row>
    <row r="6" spans="1:7" x14ac:dyDescent="0.25">
      <c r="A6" s="54" t="str">
        <f ca="1">IF(LEFT($A5, 2) = "Q4", "Q1" &amp; TEXT(RIGHT($A5, 2) + 1, "00"), "Q" &amp; MID($A5, 2, 1) + 1 &amp; RIGHT($A5, 2))</f>
        <v>Q426</v>
      </c>
      <c r="D6" s="436" t="str">
        <f t="shared" ca="1" si="0"/>
        <v/>
      </c>
      <c r="E6" s="46" t="str">
        <f t="shared" ca="1" si="0"/>
        <v/>
      </c>
      <c r="F6" s="269" t="str">
        <f t="shared" ca="1" si="0"/>
        <v/>
      </c>
      <c r="G6" s="432" t="str">
        <f t="shared" ca="1" si="0"/>
        <v/>
      </c>
    </row>
    <row r="7" spans="1:7" x14ac:dyDescent="0.25">
      <c r="A7" s="54" t="str">
        <f t="shared" ref="A7:A11" ca="1" si="1">IF(LEFT($A6, 2) = "Q4", "Q1" &amp; TEXT(RIGHT($A6, 2) + 1, "00"), "Q" &amp; MID($A6, 2, 1) + 1 &amp; RIGHT($A6, 2))</f>
        <v>Q127</v>
      </c>
      <c r="D7" s="436" t="str">
        <f t="shared" ca="1" si="0"/>
        <v/>
      </c>
      <c r="E7" s="46" t="str">
        <f t="shared" ca="1" si="0"/>
        <v/>
      </c>
      <c r="F7" s="269" t="str">
        <f t="shared" ca="1" si="0"/>
        <v/>
      </c>
      <c r="G7" s="432" t="str">
        <f t="shared" ca="1" si="0"/>
        <v/>
      </c>
    </row>
    <row r="8" spans="1:7" x14ac:dyDescent="0.25">
      <c r="A8" s="54" t="str">
        <f t="shared" ca="1" si="1"/>
        <v>Q227</v>
      </c>
      <c r="D8" s="436" t="str">
        <f t="shared" ca="1" si="0"/>
        <v/>
      </c>
      <c r="E8" s="46" t="str">
        <f t="shared" ca="1" si="0"/>
        <v/>
      </c>
      <c r="F8" s="269" t="str">
        <f t="shared" ca="1" si="0"/>
        <v/>
      </c>
      <c r="G8" s="432" t="str">
        <f t="shared" ca="1" si="0"/>
        <v/>
      </c>
    </row>
    <row r="9" spans="1:7" x14ac:dyDescent="0.25">
      <c r="A9" s="54" t="str">
        <f t="shared" ca="1" si="1"/>
        <v>Q327</v>
      </c>
      <c r="D9" s="436" t="str">
        <f t="shared" ca="1" si="0"/>
        <v/>
      </c>
      <c r="E9" s="46" t="str">
        <f t="shared" ca="1" si="0"/>
        <v/>
      </c>
      <c r="F9" s="269" t="str">
        <f t="shared" ca="1" si="0"/>
        <v/>
      </c>
      <c r="G9" s="432" t="str">
        <f t="shared" ca="1" si="0"/>
        <v/>
      </c>
    </row>
    <row r="10" spans="1:7" x14ac:dyDescent="0.25">
      <c r="A10" s="54" t="str">
        <f t="shared" ca="1" si="1"/>
        <v>Q427</v>
      </c>
      <c r="D10" s="436" t="str">
        <f t="shared" ca="1" si="0"/>
        <v/>
      </c>
      <c r="E10" s="46" t="str">
        <f t="shared" ca="1" si="0"/>
        <v/>
      </c>
      <c r="F10" s="269" t="str">
        <f t="shared" ca="1" si="0"/>
        <v/>
      </c>
      <c r="G10" s="432" t="str">
        <f t="shared" ca="1" si="0"/>
        <v/>
      </c>
    </row>
    <row r="11" spans="1:7" x14ac:dyDescent="0.25">
      <c r="A11" s="54" t="str">
        <f t="shared" ca="1" si="1"/>
        <v>Q128</v>
      </c>
      <c r="D11" s="437" t="str">
        <f t="shared" ca="1" si="0"/>
        <v/>
      </c>
      <c r="E11" s="122" t="str">
        <f t="shared" ca="1" si="0"/>
        <v/>
      </c>
      <c r="F11" s="402" t="str">
        <f t="shared" ca="1" si="0"/>
        <v/>
      </c>
      <c r="G11" s="438" t="str">
        <f t="shared" ca="1" si="0"/>
        <v/>
      </c>
    </row>
    <row r="12" spans="1:7" x14ac:dyDescent="0.25">
      <c r="A12" s="55">
        <f ca="1">YEAR($A$1)</f>
        <v>2026</v>
      </c>
      <c r="D12" s="435" t="str">
        <f t="shared" ref="D12:G14" ca="1" si="2">IFERROR(AVERAGEIF($B$19:$B$66, $A12, D$19:D$66), "")</f>
        <v/>
      </c>
      <c r="E12" s="115" t="str">
        <f t="shared" ca="1" si="2"/>
        <v/>
      </c>
      <c r="F12" s="268" t="str">
        <f t="shared" ca="1" si="2"/>
        <v/>
      </c>
      <c r="G12" s="430" t="str">
        <f t="shared" ca="1" si="2"/>
        <v/>
      </c>
    </row>
    <row r="13" spans="1:7" x14ac:dyDescent="0.25">
      <c r="A13" s="55">
        <f ca="1">$A12 + 1</f>
        <v>2027</v>
      </c>
      <c r="D13" s="436" t="str">
        <f t="shared" ca="1" si="2"/>
        <v/>
      </c>
      <c r="E13" s="46" t="str">
        <f t="shared" ca="1" si="2"/>
        <v/>
      </c>
      <c r="F13" s="269" t="str">
        <f t="shared" ca="1" si="2"/>
        <v/>
      </c>
      <c r="G13" s="432" t="str">
        <f t="shared" ca="1" si="2"/>
        <v/>
      </c>
    </row>
    <row r="14" spans="1:7" ht="15.75" thickBot="1" x14ac:dyDescent="0.3">
      <c r="A14" s="55">
        <f ca="1">$A13 + 1</f>
        <v>2028</v>
      </c>
      <c r="D14" s="439" t="str">
        <f t="shared" ca="1" si="2"/>
        <v/>
      </c>
      <c r="E14" s="464" t="str">
        <f t="shared" ca="1" si="2"/>
        <v/>
      </c>
      <c r="F14" s="481" t="str">
        <f t="shared" ca="1" si="2"/>
        <v/>
      </c>
      <c r="G14" s="434" t="str">
        <f t="shared" ca="1" si="2"/>
        <v/>
      </c>
    </row>
    <row r="15" spans="1:7" x14ac:dyDescent="0.25">
      <c r="A15" s="56"/>
    </row>
    <row r="16" spans="1:7" ht="15.75" thickBot="1" x14ac:dyDescent="0.3"/>
    <row r="17" spans="1:7" ht="15.75" thickBot="1" x14ac:dyDescent="0.3">
      <c r="D17" s="459" t="s">
        <v>453</v>
      </c>
      <c r="E17" s="461"/>
      <c r="F17" s="461"/>
      <c r="G17" s="577"/>
    </row>
    <row r="18" spans="1:7" x14ac:dyDescent="0.25">
      <c r="A18" s="55"/>
      <c r="B18" s="8" t="s">
        <v>285</v>
      </c>
      <c r="C18" s="8" t="s">
        <v>286</v>
      </c>
      <c r="D18" s="580" t="s">
        <v>454</v>
      </c>
      <c r="E18" s="303"/>
      <c r="F18" s="425" t="s">
        <v>455</v>
      </c>
      <c r="G18" s="581"/>
    </row>
    <row r="19" spans="1:7" x14ac:dyDescent="0.25">
      <c r="A19" s="58">
        <f ca="1">EOMONTH(TimeLDN, -1) + 1</f>
        <v>46266</v>
      </c>
      <c r="B19" s="6">
        <f t="shared" ref="B19:B66" ca="1" si="3">YEAR($A19)</f>
        <v>2026</v>
      </c>
      <c r="C19" s="6" t="str">
        <f ca="1">"Q" &amp; INT((MONTH($A19) + 2) / 3)  &amp; TEXT($A19, "yy")</f>
        <v>Q326</v>
      </c>
      <c r="D19" s="429"/>
      <c r="E19" s="115" t="str">
        <f ca="1">IFERROR(IF(AND(ISNUMBER(Futs!$CD19), ISNUMBER(#REF!)), Futs!$CD19 +#REF!, ""), "")</f>
        <v/>
      </c>
      <c r="F19" s="426"/>
      <c r="G19" s="430" t="str">
        <f ca="1">IFERROR(IF(AND(ISNUMBER(Futs!$CD19), ISNUMBER(#REF!)), Futs!$CD19 +#REF!, ""), "")</f>
        <v/>
      </c>
    </row>
    <row r="20" spans="1:7" x14ac:dyDescent="0.25">
      <c r="A20" s="58">
        <f ca="1">EOMONTH($A19, 0) + 1</f>
        <v>46296</v>
      </c>
      <c r="B20" s="6">
        <f t="shared" ca="1" si="3"/>
        <v>2026</v>
      </c>
      <c r="C20" s="6" t="str">
        <f t="shared" ref="C20:C66" ca="1" si="4">"Q" &amp; INT((MONTH($A20) + 2) / 3)  &amp; TEXT($A20, "yy")</f>
        <v>Q426</v>
      </c>
      <c r="D20" s="431" t="str">
        <f ca="1">IFERROR(IF(AND(ISNUMBER(NGL!$S20), ISNUMBER(Lts!$I20), ISNUMBER(Mid!$X20), ISNUMBER(Futs!$DU20), ISNUMBER(Mid!$BL20), ISNUMBER(Mid!$CV20), ISNUMBER(Hvy!$J20), ISNUMBER(Crd!$I20)), 0.0513 * NGL!$S20 + 0.0807 * Lts!$I20 + 0.251 * Lts!$R20 + 0.0935 * Mid!$X20 + 0.292 * (Futs!$DU20 + Mid!$BL20/7.45) + 0.1132 * (Futs!$DU20 + Mid!$CV20/7.45) + 0.1024 * Hvy!$J20 - Crd!$I20, ""), "")</f>
        <v/>
      </c>
      <c r="E20" s="46" t="str">
        <f ca="1">IFERROR(IF(AND(ISNUMBER(NGL!$T20), ISNUMBER(Lts!$K20), ISNUMBER(Lts!$T20), ISNUMBER(Mid!$Y20), ISNUMBER(Futs!$DV20), ISNUMBER(Mid!$BN20), ISNUMBER(Mid!$CX20), ISNUMBER(Hvy!$L20), ISNUMBER(Crd!$K20)),
0.0513 * NGL!$T20 + 0.0807 * Lts!$K20 + 0.251 * Lts!$T20 + 0.0935 * Mid!$Y20 + 0.292 * (Futs!$DV20 + Mid!$BN20/7.45) + 0.1132 * (Futs!$DV20 + Mid!$CX20/7.45) + 0.1024 * Hvy!$L20 - Crd!$K20, ""), "")</f>
        <v/>
      </c>
      <c r="F20" s="427" t="str">
        <f ca="1">IFERROR(IF(AND(ISNUMBER(Lts!$I20), ISNUMBER(Lts!$R20), ISNUMBER(Mid!$X20), ISNUMBER(Futs!$DU20), ISNUMBER(Hvy!$J20), ISNUMBER(Crd!$I20)), 0.15 * Lts!$I20 + 0.2 * Lts!$R20 + 0.2 * Mid!$X20 + 0.3 * Futs!$DU20 + 0.15 * Hvy!$J20 - Crd!$I20, ""), "")</f>
        <v/>
      </c>
      <c r="G20" s="432" t="str">
        <f ca="1">IFERROR(IF(AND(ISNUMBER(Lts!$K20), ISNUMBER(Lts!$T20), ISNUMBER(Mid!$Y20), ISNUMBER(Futs!$DV20), ISNUMBER(Hvy!$L20), ISNUMBER(Crd!$K20)), 0.15 * Lts!$K20 + 0.2 * Lts!$T20 + 0.2 * Mid!$Y20 + 0.3 * Futs!$DV20 + 0.15 * Hvy!$L20 - Crd!$K20, ""), "")</f>
        <v/>
      </c>
    </row>
    <row r="21" spans="1:7" x14ac:dyDescent="0.25">
      <c r="A21" s="58">
        <f t="shared" ref="A21:A66" ca="1" si="5">EOMONTH($A20, 0) + 1</f>
        <v>46327</v>
      </c>
      <c r="B21" s="6">
        <f t="shared" ca="1" si="3"/>
        <v>2026</v>
      </c>
      <c r="C21" s="6" t="str">
        <f t="shared" ca="1" si="4"/>
        <v>Q426</v>
      </c>
      <c r="D21" s="431" t="str">
        <f ca="1">IFERROR(IF(AND(ISNUMBER(NGL!$S21), ISNUMBER(Lts!$I21), ISNUMBER(Mid!$X21), ISNUMBER(Futs!$DU21), ISNUMBER(Mid!$BL21), ISNUMBER(Mid!$CV21), ISNUMBER(Hvy!$J21), ISNUMBER(Crd!$I21)), 0.0513 * NGL!$S21 + 0.0807 * Lts!$I21 + 0.251 * Lts!$R21 + 0.0935 * Mid!$X21 + 0.292 * (Futs!$DU21 + Mid!$BL21/7.45) + 0.1132 * (Futs!$DU21 + Mid!$CV21/7.45) + 0.1024 * Hvy!$J21 - Crd!$I21, ""), "")</f>
        <v/>
      </c>
      <c r="E21" s="46" t="str">
        <f ca="1">IFERROR(IF(AND(ISNUMBER(NGL!$T21), ISNUMBER(Lts!$K21), ISNUMBER(Lts!$T21), ISNUMBER(Mid!$Y21), ISNUMBER(Futs!$DV21), ISNUMBER(Mid!$BN21), ISNUMBER(Mid!$CX21), ISNUMBER(Hvy!$L21), ISNUMBER(Crd!$K21)), 0.0513 * NGL!$T21 + 0.0807 * Lts!$K21 + 0.251 * Lts!$T21 + 0.0935 * Mid!$Y21 + 0.292 * (Futs!$DV21 + Mid!$BN21/7.45) + 0.1132 * (Futs!$DV21 + Mid!$CX21/7.45) + 0.1024 * Hvy!$L21 - Crd!$K21, ""), "")</f>
        <v/>
      </c>
      <c r="F21" s="427" t="str">
        <f ca="1">IFERROR(IF(AND(ISNUMBER(Lts!$I21), ISNUMBER(Lts!$R21), ISNUMBER(Mid!$X21), ISNUMBER(Futs!$DU21), ISNUMBER(Hvy!$J21), ISNUMBER(Crd!$I21)), 0.15 * Lts!$I21 + 0.2 * Lts!$R21 + 0.2 * Mid!$X21 + 0.3 * Futs!$DU21 + 0.15 * Hvy!$J21 - Crd!$I21, ""), "")</f>
        <v/>
      </c>
      <c r="G21" s="432" t="str">
        <f ca="1">IFERROR(IF(AND(ISNUMBER(Lts!$K21), ISNUMBER(Lts!$T21), ISNUMBER(Mid!$Y21), ISNUMBER(Futs!$DV21), ISNUMBER(Hvy!$L21), ISNUMBER(Crd!$K21)), 0.15 * Lts!$K21 + 0.2 * Lts!$T21 + 0.2 * Mid!$Y21 + 0.3 * Futs!$DV21 + 0.15 * Hvy!$L21 - Crd!$K21, ""), "")</f>
        <v/>
      </c>
    </row>
    <row r="22" spans="1:7" x14ac:dyDescent="0.25">
      <c r="A22" s="58">
        <f t="shared" ca="1" si="5"/>
        <v>46357</v>
      </c>
      <c r="B22" s="6">
        <f t="shared" ca="1" si="3"/>
        <v>2026</v>
      </c>
      <c r="C22" s="6" t="str">
        <f t="shared" ca="1" si="4"/>
        <v>Q426</v>
      </c>
      <c r="D22" s="431" t="str">
        <f ca="1">IFERROR(IF(AND(ISNUMBER(NGL!$S22), ISNUMBER(Lts!$I22), ISNUMBER(Mid!$X22), ISNUMBER(Futs!$DU22), ISNUMBER(Mid!$BL22), ISNUMBER(Mid!$CV22), ISNUMBER(Hvy!$J22), ISNUMBER(Crd!$I22)), 0.0513 * NGL!$S22 + 0.0807 * Lts!$I22 + 0.251 * Lts!$R22 + 0.0935 * Mid!$X22 + 0.292 * (Futs!$DU22 + Mid!$BL22/7.45) + 0.1132 * (Futs!$DU22 + Mid!$CV22/7.45) + 0.1024 * Hvy!$J22 - Crd!$I22, ""), "")</f>
        <v/>
      </c>
      <c r="E22" s="46" t="str">
        <f ca="1">IFERROR(IF(AND(ISNUMBER(NGL!$T22), ISNUMBER(Lts!$K22), ISNUMBER(Lts!$T22), ISNUMBER(Mid!$Y22), ISNUMBER(Futs!$DV22), ISNUMBER(Mid!$BN22), ISNUMBER(Mid!$CX22), ISNUMBER(Hvy!$L22), ISNUMBER(Crd!$K22)), 0.0513 * NGL!$T22 + 0.0807 * Lts!$K22 + 0.251 * Lts!$T22 + 0.0935 * Mid!$Y22 + 0.292 * (Futs!$DV22 + Mid!$BN22/7.45) + 0.1132 * (Futs!$DV22 + Mid!$CX22/7.45) + 0.1024 * Hvy!$L22 - Crd!$K22, ""), "")</f>
        <v/>
      </c>
      <c r="F22" s="427" t="str">
        <f ca="1">IFERROR(IF(AND(ISNUMBER(Lts!$I22), ISNUMBER(Lts!$R22), ISNUMBER(Mid!$X22), ISNUMBER(Futs!$DU22), ISNUMBER(Hvy!$J22), ISNUMBER(Crd!$I22)), 0.15 * Lts!$I22 + 0.2 * Lts!$R22 + 0.2 * Mid!$X22 + 0.3 * Futs!$DU22 + 0.15 * Hvy!$J22 - Crd!$I22, ""), "")</f>
        <v/>
      </c>
      <c r="G22" s="432" t="str">
        <f ca="1">IFERROR(IF(AND(ISNUMBER(Lts!$K22), ISNUMBER(Lts!$T22), ISNUMBER(Mid!$Y22), ISNUMBER(Futs!$DV22), ISNUMBER(Hvy!$L22), ISNUMBER(Crd!$K22)), 0.15 * Lts!$K22 + 0.2 * Lts!$T22 + 0.2 * Mid!$Y22 + 0.3 * Futs!$DV22 + 0.15 * Hvy!$L22 - Crd!$K22, ""), "")</f>
        <v/>
      </c>
    </row>
    <row r="23" spans="1:7" x14ac:dyDescent="0.25">
      <c r="A23" s="58">
        <f t="shared" ca="1" si="5"/>
        <v>46388</v>
      </c>
      <c r="B23" s="6">
        <f t="shared" ca="1" si="3"/>
        <v>2027</v>
      </c>
      <c r="C23" s="6" t="str">
        <f t="shared" ca="1" si="4"/>
        <v>Q127</v>
      </c>
      <c r="D23" s="431" t="str">
        <f ca="1">IFERROR(IF(AND(ISNUMBER(NGL!$S23), ISNUMBER(Lts!$I23), ISNUMBER(Mid!$X23), ISNUMBER(Futs!$DU23), ISNUMBER(Mid!$BL23), ISNUMBER(Mid!$CV23), ISNUMBER(Hvy!$J23), ISNUMBER(Crd!$I23)), 0.0513 * NGL!$S23 + 0.0807 * Lts!$I23 + 0.251 * Lts!$R23 + 0.0935 * Mid!$X23 + 0.292 * (Futs!$DU23 + Mid!$BL23/7.45) + 0.1132 * (Futs!$DU23 + Mid!$CV23/7.45) + 0.1024 * Hvy!$J23 - Crd!$I23, ""), "")</f>
        <v/>
      </c>
      <c r="E23" s="46" t="str">
        <f ca="1">IFERROR(IF(AND(ISNUMBER(NGL!$T23), ISNUMBER(Lts!$K23), ISNUMBER(Lts!$T23), ISNUMBER(Mid!$Y23), ISNUMBER(Futs!$DV23), ISNUMBER(Mid!$BN23), ISNUMBER(Mid!$CX23), ISNUMBER(Hvy!$L23), ISNUMBER(Crd!$K23)), 0.0513 * NGL!$T23 + 0.0807 * Lts!$K23 + 0.251 * Lts!$T23 + 0.0935 * Mid!$Y23 + 0.292 * (Futs!$DV23 + Mid!$BN23/7.45) + 0.1132 * (Futs!$DV23 + Mid!$CX23/7.45) + 0.1024 * Hvy!$L23 - Crd!$K23, ""), "")</f>
        <v/>
      </c>
      <c r="F23" s="427" t="str">
        <f ca="1">IFERROR(IF(AND(ISNUMBER(Lts!$I23), ISNUMBER(Lts!$R23), ISNUMBER(Mid!$X23), ISNUMBER(Futs!$DU23), ISNUMBER(Hvy!$J23), ISNUMBER(Crd!$I23)), 0.15 * Lts!$I23 + 0.2 * Lts!$R23 + 0.2 * Mid!$X23 + 0.3 * Futs!$DU23 + 0.15 * Hvy!$J23 - Crd!$I23, ""), "")</f>
        <v/>
      </c>
      <c r="G23" s="432" t="str">
        <f ca="1">IFERROR(IF(AND(ISNUMBER(Lts!$K23), ISNUMBER(Lts!$T23), ISNUMBER(Mid!$Y23), ISNUMBER(Futs!$DV23), ISNUMBER(Hvy!$L23), ISNUMBER(Crd!$K23)), 0.15 * Lts!$K23 + 0.2 * Lts!$T23 + 0.2 * Mid!$Y23 + 0.3 * Futs!$DV23 + 0.15 * Hvy!$L23 - Crd!$K23, ""), "")</f>
        <v/>
      </c>
    </row>
    <row r="24" spans="1:7" x14ac:dyDescent="0.25">
      <c r="A24" s="58">
        <f t="shared" ca="1" si="5"/>
        <v>46419</v>
      </c>
      <c r="B24" s="6">
        <f t="shared" ca="1" si="3"/>
        <v>2027</v>
      </c>
      <c r="C24" s="6" t="str">
        <f t="shared" ca="1" si="4"/>
        <v>Q127</v>
      </c>
      <c r="D24" s="431" t="str">
        <f ca="1">IFERROR(IF(AND(ISNUMBER(NGL!$S24), ISNUMBER(Lts!$I24), ISNUMBER(Mid!$X24), ISNUMBER(Futs!$DU24), ISNUMBER(Mid!$BL24), ISNUMBER(Mid!$CV24), ISNUMBER(Hvy!$J24), ISNUMBER(Crd!$I24)), 0.0513 * NGL!$S24 + 0.0807 * Lts!$I24 + 0.251 * Lts!$R24 + 0.0935 * Mid!$X24 + 0.292 * (Futs!$DU24 + Mid!$BL24/7.45) + 0.1132 * (Futs!$DU24 + Mid!$CV24/7.45) + 0.1024 * Hvy!$J24 - Crd!$I24, ""), "")</f>
        <v/>
      </c>
      <c r="E24" s="46" t="str">
        <f ca="1">IFERROR(IF(AND(ISNUMBER(NGL!$T24), ISNUMBER(Lts!$K24), ISNUMBER(Lts!$T24), ISNUMBER(Mid!$Y24), ISNUMBER(Futs!$DV24), ISNUMBER(Mid!$BN24), ISNUMBER(Mid!$CX24), ISNUMBER(Hvy!$L24), ISNUMBER(Crd!$K24)), 0.0513 * NGL!$T24 + 0.0807 * Lts!$K24 + 0.251 * Lts!$T24 + 0.0935 * Mid!$Y24 + 0.292 * (Futs!$DV24 + Mid!$BN24/7.45) + 0.1132 * (Futs!$DV24 + Mid!$CX24/7.45) + 0.1024 * Hvy!$L24 - Crd!$K24, ""), "")</f>
        <v/>
      </c>
      <c r="F24" s="427" t="str">
        <f ca="1">IFERROR(IF(AND(ISNUMBER(Lts!$I24), ISNUMBER(Lts!$R24), ISNUMBER(Mid!$X24), ISNUMBER(Futs!$DU24), ISNUMBER(Hvy!$J24), ISNUMBER(Crd!$I24)), 0.15 * Lts!$I24 + 0.2 * Lts!$R24 + 0.2 * Mid!$X24 + 0.3 * Futs!$DU24 + 0.15 * Hvy!$J24 - Crd!$I24, ""), "")</f>
        <v/>
      </c>
      <c r="G24" s="432" t="str">
        <f ca="1">IFERROR(IF(AND(ISNUMBER(Lts!$K24), ISNUMBER(Lts!$T24), ISNUMBER(Mid!$Y24), ISNUMBER(Futs!$DV24), ISNUMBER(Hvy!$L24), ISNUMBER(Crd!$K24)), 0.15 * Lts!$K24 + 0.2 * Lts!$T24 + 0.2 * Mid!$Y24 + 0.3 * Futs!$DV24 + 0.15 * Hvy!$L24 - Crd!$K24, ""), "")</f>
        <v/>
      </c>
    </row>
    <row r="25" spans="1:7" x14ac:dyDescent="0.25">
      <c r="A25" s="58">
        <f t="shared" ca="1" si="5"/>
        <v>46447</v>
      </c>
      <c r="B25" s="6">
        <f t="shared" ca="1" si="3"/>
        <v>2027</v>
      </c>
      <c r="C25" s="6" t="str">
        <f t="shared" ca="1" si="4"/>
        <v>Q127</v>
      </c>
      <c r="D25" s="431" t="str">
        <f ca="1">IFERROR(IF(AND(ISNUMBER(NGL!$S25), ISNUMBER(Lts!$I25), ISNUMBER(Mid!$X25), ISNUMBER(Futs!$DU25), ISNUMBER(Mid!$BL25), ISNUMBER(Mid!$CV25), ISNUMBER(Hvy!$J25), ISNUMBER(Crd!$I25)), 0.0513 * NGL!$S25 + 0.0807 * Lts!$I25 + 0.251 * Lts!$R25 + 0.0935 * Mid!$X25 + 0.292 * (Futs!$DU25 + Mid!$BL25/7.45) + 0.1132 * (Futs!$DU25 + Mid!$CV25/7.45) + 0.1024 * Hvy!$J25 - Crd!$I25, ""), "")</f>
        <v/>
      </c>
      <c r="E25" s="46" t="str">
        <f ca="1">IFERROR(IF(AND(ISNUMBER(NGL!$T25), ISNUMBER(Lts!$K25), ISNUMBER(Lts!$T25), ISNUMBER(Mid!$Y25), ISNUMBER(Futs!$DV25), ISNUMBER(Mid!$BN25), ISNUMBER(Mid!$CX25), ISNUMBER(Hvy!$L25), ISNUMBER(Crd!$K25)), 0.0513 * NGL!$T25 + 0.0807 * Lts!$K25 + 0.251 * Lts!$T25 + 0.0935 * Mid!$Y25 + 0.292 * (Futs!$DV25 + Mid!$BN25/7.45) + 0.1132 * (Futs!$DV25 + Mid!$CX25/7.45) + 0.1024 * Hvy!$L25 - Crd!$K25, ""), "")</f>
        <v/>
      </c>
      <c r="F25" s="427" t="str">
        <f ca="1">IFERROR(IF(AND(ISNUMBER(Lts!$I25), ISNUMBER(Lts!$R25), ISNUMBER(Mid!$X25), ISNUMBER(Futs!$DU25), ISNUMBER(Hvy!$J25), ISNUMBER(Crd!$I25)), 0.15 * Lts!$I25 + 0.2 * Lts!$R25 + 0.2 * Mid!$X25 + 0.3 * Futs!$DU25 + 0.15 * Hvy!$J25 - Crd!$I25, ""), "")</f>
        <v/>
      </c>
      <c r="G25" s="432" t="str">
        <f ca="1">IFERROR(IF(AND(ISNUMBER(Lts!$K25), ISNUMBER(Lts!$T25), ISNUMBER(Mid!$Y25), ISNUMBER(Futs!$DV25), ISNUMBER(Hvy!$L25), ISNUMBER(Crd!$K25)), 0.15 * Lts!$K25 + 0.2 * Lts!$T25 + 0.2 * Mid!$Y25 + 0.3 * Futs!$DV25 + 0.15 * Hvy!$L25 - Crd!$K25, ""), "")</f>
        <v/>
      </c>
    </row>
    <row r="26" spans="1:7" x14ac:dyDescent="0.25">
      <c r="A26" s="58">
        <f t="shared" ca="1" si="5"/>
        <v>46478</v>
      </c>
      <c r="B26" s="6">
        <f t="shared" ca="1" si="3"/>
        <v>2027</v>
      </c>
      <c r="C26" s="6" t="str">
        <f t="shared" ca="1" si="4"/>
        <v>Q227</v>
      </c>
      <c r="D26" s="431" t="str">
        <f ca="1">IFERROR(IF(AND(ISNUMBER(NGL!$S26), ISNUMBER(Lts!$I26), ISNUMBER(Mid!$X26), ISNUMBER(Futs!$DU26), ISNUMBER(Mid!$BL26), ISNUMBER(Mid!$CV26), ISNUMBER(Hvy!$J26), ISNUMBER(Crd!$I26)), 0.0513 * NGL!$S26 + 0.0807 * Lts!$I26 + 0.251 * Lts!$R26 + 0.0935 * Mid!$X26 + 0.292 * (Futs!$DU26 + Mid!$BL26/7.45) + 0.1132 * (Futs!$DU26 + Mid!$CV26/7.45) + 0.1024 * Hvy!$J26 - Crd!$I26, ""), "")</f>
        <v/>
      </c>
      <c r="E26" s="46" t="str">
        <f ca="1">IFERROR(IF(AND(ISNUMBER(NGL!$T26), ISNUMBER(Lts!$K26), ISNUMBER(Lts!$T26), ISNUMBER(Mid!$Y26), ISNUMBER(Futs!$DV26), ISNUMBER(Mid!$BN26), ISNUMBER(Mid!$CX26), ISNUMBER(Hvy!$L26), ISNUMBER(Crd!$K26)), 0.0513 * NGL!$T26 + 0.0807 * Lts!$K26 + 0.251 * Lts!$T26 + 0.0935 * Mid!$Y26 + 0.292 * (Futs!$DV26 + Mid!$BN26/7.45) + 0.1132 * (Futs!$DV26 + Mid!$CX26/7.45) + 0.1024 * Hvy!$L26 - Crd!$K26, ""), "")</f>
        <v/>
      </c>
      <c r="F26" s="427" t="str">
        <f ca="1">IFERROR(IF(AND(ISNUMBER(Lts!$I26), ISNUMBER(Lts!$R26), ISNUMBER(Mid!$X26), ISNUMBER(Futs!$DU26), ISNUMBER(Hvy!$J26), ISNUMBER(Crd!$I26)), 0.15 * Lts!$I26 + 0.2 * Lts!$R26 + 0.2 * Mid!$X26 + 0.3 * Futs!$DU26 + 0.15 * Hvy!$J26 - Crd!$I26, ""), "")</f>
        <v/>
      </c>
      <c r="G26" s="432" t="str">
        <f ca="1">IFERROR(IF(AND(ISNUMBER(Lts!$K26), ISNUMBER(Lts!$T26), ISNUMBER(Mid!$Y26), ISNUMBER(Futs!$DV26), ISNUMBER(Hvy!$L26), ISNUMBER(Crd!$K26)), 0.15 * Lts!$K26 + 0.2 * Lts!$T26 + 0.2 * Mid!$Y26 + 0.3 * Futs!$DV26 + 0.15 * Hvy!$L26 - Crd!$K26, ""), "")</f>
        <v/>
      </c>
    </row>
    <row r="27" spans="1:7" x14ac:dyDescent="0.25">
      <c r="A27" s="58">
        <f t="shared" ca="1" si="5"/>
        <v>46508</v>
      </c>
      <c r="B27" s="6">
        <f t="shared" ca="1" si="3"/>
        <v>2027</v>
      </c>
      <c r="C27" s="6" t="str">
        <f t="shared" ca="1" si="4"/>
        <v>Q227</v>
      </c>
      <c r="D27" s="431" t="str">
        <f ca="1">IFERROR(IF(AND(ISNUMBER(NGL!$S27), ISNUMBER(Lts!$I27), ISNUMBER(Mid!$X27), ISNUMBER(Futs!$DU27), ISNUMBER(Mid!$BL27), ISNUMBER(Mid!$CV27), ISNUMBER(Hvy!$J27), ISNUMBER(Crd!$I27)), 0.0513 * NGL!$S27 + 0.0807 * Lts!$I27 + 0.251 * Lts!$R27 + 0.0935 * Mid!$X27 + 0.292 * (Futs!$DU27 + Mid!$BL27/7.45) + 0.1132 * (Futs!$DU27 + Mid!$CV27/7.45) + 0.1024 * Hvy!$J27 - Crd!$I27, ""), "")</f>
        <v/>
      </c>
      <c r="E27" s="46" t="str">
        <f ca="1">IFERROR(IF(AND(ISNUMBER(NGL!$T27), ISNUMBER(Lts!$K27), ISNUMBER(Lts!$T27), ISNUMBER(Mid!$Y27), ISNUMBER(Futs!$DV27), ISNUMBER(Mid!$BN27), ISNUMBER(Mid!$CX27), ISNUMBER(Hvy!$L27), ISNUMBER(Crd!$K27)), 0.0513 * NGL!$T27 + 0.0807 * Lts!$K27 + 0.251 * Lts!$T27 + 0.0935 * Mid!$Y27 + 0.292 * (Futs!$DV27 + Mid!$BN27/7.45) + 0.1132 * (Futs!$DV27 + Mid!$CX27/7.45) + 0.1024 * Hvy!$L27 - Crd!$K27, ""), "")</f>
        <v/>
      </c>
      <c r="F27" s="427" t="str">
        <f ca="1">IFERROR(IF(AND(ISNUMBER(Lts!$I27), ISNUMBER(Lts!$R27), ISNUMBER(Mid!$X27), ISNUMBER(Futs!$DU27), ISNUMBER(Hvy!$J27), ISNUMBER(Crd!$I27)), 0.15 * Lts!$I27 + 0.2 * Lts!$R27 + 0.2 * Mid!$X27 + 0.3 * Futs!$DU27 + 0.15 * Hvy!$J27 - Crd!$I27, ""), "")</f>
        <v/>
      </c>
      <c r="G27" s="432" t="str">
        <f ca="1">IFERROR(IF(AND(ISNUMBER(Lts!$K27), ISNUMBER(Lts!$T27), ISNUMBER(Mid!$Y27), ISNUMBER(Futs!$DV27), ISNUMBER(Hvy!$L27), ISNUMBER(Crd!$K27)), 0.15 * Lts!$K27 + 0.2 * Lts!$T27 + 0.2 * Mid!$Y27 + 0.3 * Futs!$DV27 + 0.15 * Hvy!$L27 - Crd!$K27, ""), "")</f>
        <v/>
      </c>
    </row>
    <row r="28" spans="1:7" x14ac:dyDescent="0.25">
      <c r="A28" s="58">
        <f t="shared" ca="1" si="5"/>
        <v>46539</v>
      </c>
      <c r="B28" s="6">
        <f t="shared" ca="1" si="3"/>
        <v>2027</v>
      </c>
      <c r="C28" s="6" t="str">
        <f t="shared" ca="1" si="4"/>
        <v>Q227</v>
      </c>
      <c r="D28" s="431" t="str">
        <f ca="1">IFERROR(IF(AND(ISNUMBER(NGL!$S28), ISNUMBER(Lts!$I28), ISNUMBER(Mid!$X28), ISNUMBER(Futs!$DU28), ISNUMBER(Mid!$BL28), ISNUMBER(Mid!$CV28), ISNUMBER(Hvy!$J28), ISNUMBER(Crd!$I28)), 0.0513 * NGL!$S28 + 0.0807 * Lts!$I28 + 0.251 * Lts!$R28 + 0.0935 * Mid!$X28 + 0.292 * (Futs!$DU28 + Mid!$BL28/7.45) + 0.1132 * (Futs!$DU28 + Mid!$CV28/7.45) + 0.1024 * Hvy!$J28 - Crd!$I28, ""), "")</f>
        <v/>
      </c>
      <c r="E28" s="46" t="str">
        <f ca="1">IFERROR(IF(AND(ISNUMBER(NGL!$T28), ISNUMBER(Lts!$K28), ISNUMBER(Lts!$T28), ISNUMBER(Mid!$Y28), ISNUMBER(Futs!$DV28), ISNUMBER(Mid!$BN28), ISNUMBER(Mid!$CX28), ISNUMBER(Hvy!$L28), ISNUMBER(Crd!$K28)), 0.0513 * NGL!$T28 + 0.0807 * Lts!$K28 + 0.251 * Lts!$T28 + 0.0935 * Mid!$Y28 + 0.292 * (Futs!$DV28 + Mid!$BN28/7.45) + 0.1132 * (Futs!$DV28 + Mid!$CX28/7.45) + 0.1024 * Hvy!$L28 - Crd!$K28, ""), "")</f>
        <v/>
      </c>
      <c r="F28" s="427" t="str">
        <f ca="1">IFERROR(IF(AND(ISNUMBER(Lts!$I28), ISNUMBER(Lts!$R28), ISNUMBER(Mid!$X28), ISNUMBER(Futs!$DU28), ISNUMBER(Hvy!$J28), ISNUMBER(Crd!$I28)), 0.15 * Lts!$I28 + 0.2 * Lts!$R28 + 0.2 * Mid!$X28 + 0.3 * Futs!$DU28 + 0.15 * Hvy!$J28 - Crd!$I28, ""), "")</f>
        <v/>
      </c>
      <c r="G28" s="432" t="str">
        <f ca="1">IFERROR(IF(AND(ISNUMBER(Lts!$K28), ISNUMBER(Lts!$T28), ISNUMBER(Mid!$Y28), ISNUMBER(Futs!$DV28), ISNUMBER(Hvy!$L28), ISNUMBER(Crd!$K28)), 0.15 * Lts!$K28 + 0.2 * Lts!$T28 + 0.2 * Mid!$Y28 + 0.3 * Futs!$DV28 + 0.15 * Hvy!$L28 - Crd!$K28, ""), "")</f>
        <v/>
      </c>
    </row>
    <row r="29" spans="1:7" x14ac:dyDescent="0.25">
      <c r="A29" s="58">
        <f t="shared" ca="1" si="5"/>
        <v>46569</v>
      </c>
      <c r="B29" s="6">
        <f t="shared" ca="1" si="3"/>
        <v>2027</v>
      </c>
      <c r="C29" s="6" t="str">
        <f t="shared" ca="1" si="4"/>
        <v>Q327</v>
      </c>
      <c r="D29" s="431" t="str">
        <f ca="1">IFERROR(IF(AND(ISNUMBER(NGL!$S29), ISNUMBER(Lts!$I29), ISNUMBER(Mid!$X29), ISNUMBER(Futs!$DU29), ISNUMBER(Mid!$BL29), ISNUMBER(Mid!$CV29), ISNUMBER(Hvy!$J29), ISNUMBER(Crd!$I29)), 0.0513 * NGL!$S29 + 0.0807 * Lts!$I29 + 0.251 * Lts!$R29 + 0.0935 * Mid!$X29 + 0.292 * (Futs!$DU29 + Mid!$BL29/7.45) + 0.1132 * (Futs!$DU29 + Mid!$CV29/7.45) + 0.1024 * Hvy!$J29 - Crd!$I29, ""), "")</f>
        <v/>
      </c>
      <c r="E29" s="46" t="str">
        <f ca="1">IFERROR(IF(AND(ISNUMBER(NGL!$T29), ISNUMBER(Lts!$K29), ISNUMBER(Lts!$T29), ISNUMBER(Mid!$Y29), ISNUMBER(Futs!$DV29), ISNUMBER(Mid!$BN29), ISNUMBER(Mid!$CX29), ISNUMBER(Hvy!$L29), ISNUMBER(Crd!$K29)), 0.0513 * NGL!$T29 + 0.0807 * Lts!$K29 + 0.251 * Lts!$T29 + 0.0935 * Mid!$Y29 + 0.292 * (Futs!$DV29 + Mid!$BN29/7.45) + 0.1132 * (Futs!$DV29 + Mid!$CX29/7.45) + 0.1024 * Hvy!$L29 - Crd!$K29, ""), "")</f>
        <v/>
      </c>
      <c r="F29" s="427" t="str">
        <f ca="1">IFERROR(IF(AND(ISNUMBER(Lts!$I29), ISNUMBER(Lts!$R29), ISNUMBER(Mid!$X29), ISNUMBER(Futs!$DU29), ISNUMBER(Hvy!$J29), ISNUMBER(Crd!$I29)), 0.15 * Lts!$I29 + 0.2 * Lts!$R29 + 0.2 * Mid!$X29 + 0.3 * Futs!$DU29 + 0.15 * Hvy!$J29 - Crd!$I29, ""), "")</f>
        <v/>
      </c>
      <c r="G29" s="432" t="str">
        <f ca="1">IFERROR(IF(AND(ISNUMBER(Lts!$K29), ISNUMBER(Lts!$T29), ISNUMBER(Mid!$Y29), ISNUMBER(Futs!$DV29), ISNUMBER(Hvy!$L29), ISNUMBER(Crd!$K29)), 0.15 * Lts!$K29 + 0.2 * Lts!$T29 + 0.2 * Mid!$Y29 + 0.3 * Futs!$DV29 + 0.15 * Hvy!$L29 - Crd!$K29, ""), "")</f>
        <v/>
      </c>
    </row>
    <row r="30" spans="1:7" x14ac:dyDescent="0.25">
      <c r="A30" s="58">
        <f t="shared" ca="1" si="5"/>
        <v>46600</v>
      </c>
      <c r="B30" s="6">
        <f t="shared" ca="1" si="3"/>
        <v>2027</v>
      </c>
      <c r="C30" s="6" t="str">
        <f t="shared" ca="1" si="4"/>
        <v>Q327</v>
      </c>
      <c r="D30" s="431" t="str">
        <f ca="1">IFERROR(IF(AND(ISNUMBER(NGL!$S30), ISNUMBER(Lts!$I30), ISNUMBER(Mid!$X30), ISNUMBER(Futs!$DU30), ISNUMBER(Mid!$BL30), ISNUMBER(Mid!$CV30), ISNUMBER(Hvy!$J30), ISNUMBER(Crd!$I30)), 0.0513 * NGL!$S30 + 0.0807 * Lts!$I30 + 0.251 * Lts!$R30 + 0.0935 * Mid!$X30 + 0.292 * (Futs!$DU30 + Mid!$BL30/7.45) + 0.1132 * (Futs!$DU30 + Mid!$CV30/7.45) + 0.1024 * Hvy!$J30 - Crd!$I30, ""), "")</f>
        <v/>
      </c>
      <c r="E30" s="46" t="str">
        <f ca="1">IFERROR(IF(AND(ISNUMBER(NGL!$T30), ISNUMBER(Lts!$K30), ISNUMBER(Lts!$T30), ISNUMBER(Mid!$Y30), ISNUMBER(Futs!$DV30), ISNUMBER(Mid!$BN30), ISNUMBER(Mid!$CX30), ISNUMBER(Hvy!$L30), ISNUMBER(Crd!$K30)), 0.0513 * NGL!$T30 + 0.0807 * Lts!$K30 + 0.251 * Lts!$T30 + 0.0935 * Mid!$Y30 + 0.292 * (Futs!$DV30 + Mid!$BN30/7.45) + 0.1132 * (Futs!$DV30 + Mid!$CX30/7.45) + 0.1024 * Hvy!$L30 - Crd!$K30, ""), "")</f>
        <v/>
      </c>
      <c r="F30" s="427" t="str">
        <f ca="1">IFERROR(IF(AND(ISNUMBER(Lts!$I30), ISNUMBER(Lts!$R30), ISNUMBER(Mid!$X30), ISNUMBER(Futs!$DU30), ISNUMBER(Hvy!$J30), ISNUMBER(Crd!$I30)), 0.15 * Lts!$I30 + 0.2 * Lts!$R30 + 0.2 * Mid!$X30 + 0.3 * Futs!$DU30 + 0.15 * Hvy!$J30 - Crd!$I30, ""), "")</f>
        <v/>
      </c>
      <c r="G30" s="432" t="str">
        <f ca="1">IFERROR(IF(AND(ISNUMBER(Lts!$K30), ISNUMBER(Lts!$T30), ISNUMBER(Mid!$Y30), ISNUMBER(Futs!$DV30), ISNUMBER(Hvy!$L30), ISNUMBER(Crd!$K30)), 0.15 * Lts!$K30 + 0.2 * Lts!$T30 + 0.2 * Mid!$Y30 + 0.3 * Futs!$DV30 + 0.15 * Hvy!$L30 - Crd!$K30, ""), "")</f>
        <v/>
      </c>
    </row>
    <row r="31" spans="1:7" x14ac:dyDescent="0.25">
      <c r="A31" s="58">
        <f t="shared" ca="1" si="5"/>
        <v>46631</v>
      </c>
      <c r="B31" s="6">
        <f t="shared" ca="1" si="3"/>
        <v>2027</v>
      </c>
      <c r="C31" s="6" t="str">
        <f t="shared" ca="1" si="4"/>
        <v>Q327</v>
      </c>
      <c r="D31" s="431" t="str">
        <f ca="1">IFERROR(IF(AND(ISNUMBER(NGL!$S31), ISNUMBER(Lts!$I31), ISNUMBER(Mid!$X31), ISNUMBER(Futs!$DU31), ISNUMBER(Mid!$BL31), ISNUMBER(Mid!$CV31), ISNUMBER(Hvy!$J31), ISNUMBER(Crd!$I31)), 0.0513 * NGL!$S31 + 0.0807 * Lts!$I31 + 0.251 * Lts!$R31 + 0.0935 * Mid!$X31 + 0.292 * (Futs!$DU31 + Mid!$BL31/7.45) + 0.1132 * (Futs!$DU31 + Mid!$CV31/7.45) + 0.1024 * Hvy!$J31 - Crd!$I31, ""), "")</f>
        <v/>
      </c>
      <c r="E31" s="46" t="str">
        <f ca="1">IFERROR(IF(AND(ISNUMBER(NGL!$T31), ISNUMBER(Lts!$K31), ISNUMBER(Lts!$T31), ISNUMBER(Mid!$Y31), ISNUMBER(Futs!$DV31), ISNUMBER(Mid!$BN31), ISNUMBER(Mid!$CX31), ISNUMBER(Hvy!$L31), ISNUMBER(Crd!$K31)), 0.0513 * NGL!$T31 + 0.0807 * Lts!$K31 + 0.251 * Lts!$T31 + 0.0935 * Mid!$Y31 + 0.292 * (Futs!$DV31 + Mid!$BN31/7.45) + 0.1132 * (Futs!$DV31 + Mid!$CX31/7.45) + 0.1024 * Hvy!$L31 - Crd!$K31, ""), "")</f>
        <v/>
      </c>
      <c r="F31" s="427" t="str">
        <f ca="1">IFERROR(IF(AND(ISNUMBER(Lts!$I31), ISNUMBER(Lts!$R31), ISNUMBER(Mid!$X31), ISNUMBER(Futs!$DU31), ISNUMBER(Hvy!$J31), ISNUMBER(Crd!$I31)), 0.15 * Lts!$I31 + 0.2 * Lts!$R31 + 0.2 * Mid!$X31 + 0.3 * Futs!$DU31 + 0.15 * Hvy!$J31 - Crd!$I31, ""), "")</f>
        <v/>
      </c>
      <c r="G31" s="432" t="str">
        <f ca="1">IFERROR(IF(AND(ISNUMBER(Lts!$K31), ISNUMBER(Lts!$T31), ISNUMBER(Mid!$Y31), ISNUMBER(Futs!$DV31), ISNUMBER(Hvy!$L31), ISNUMBER(Crd!$K31)), 0.15 * Lts!$K31 + 0.2 * Lts!$T31 + 0.2 * Mid!$Y31 + 0.3 * Futs!$DV31 + 0.15 * Hvy!$L31 - Crd!$K31, ""), "")</f>
        <v/>
      </c>
    </row>
    <row r="32" spans="1:7" x14ac:dyDescent="0.25">
      <c r="A32" s="58">
        <f t="shared" ca="1" si="5"/>
        <v>46661</v>
      </c>
      <c r="B32" s="6">
        <f t="shared" ca="1" si="3"/>
        <v>2027</v>
      </c>
      <c r="C32" s="6" t="str">
        <f t="shared" ca="1" si="4"/>
        <v>Q427</v>
      </c>
      <c r="D32" s="431" t="str">
        <f ca="1">IFERROR(IF(AND(ISNUMBER(NGL!$S32), ISNUMBER(Lts!$I32), ISNUMBER(Mid!$X32), ISNUMBER(Futs!$DU32), ISNUMBER(Mid!$BL32), ISNUMBER(Mid!$CV32), ISNUMBER(Hvy!$J32), ISNUMBER(Crd!$I32)), 0.0513 * NGL!$S32 + 0.0807 * Lts!$I32 + 0.251 * Lts!$R32 + 0.0935 * Mid!$X32 + 0.292 * (Futs!$DU32 + Mid!$BL32/7.45) + 0.1132 * (Futs!$DU32 + Mid!$CV32/7.45) + 0.1024 * Hvy!$J32 - Crd!$I32, ""), "")</f>
        <v/>
      </c>
      <c r="E32" s="46" t="str">
        <f ca="1">IFERROR(IF(AND(ISNUMBER(NGL!$T32), ISNUMBER(Lts!$K32), ISNUMBER(Lts!$T32), ISNUMBER(Mid!$Y32), ISNUMBER(Futs!$DV32), ISNUMBER(Mid!$BN32), ISNUMBER(Mid!$CX32), ISNUMBER(Hvy!$L32), ISNUMBER(Crd!$K32)), 0.0513 * NGL!$T32 + 0.0807 * Lts!$K32 + 0.251 * Lts!$T32 + 0.0935 * Mid!$Y32 + 0.292 * (Futs!$DV32 + Mid!$BN32/7.45) + 0.1132 * (Futs!$DV32 + Mid!$CX32/7.45) + 0.1024 * Hvy!$L32 - Crd!$K32, ""), "")</f>
        <v/>
      </c>
      <c r="F32" s="427" t="str">
        <f ca="1">IFERROR(IF(AND(ISNUMBER(Lts!$I32), ISNUMBER(Lts!$R32), ISNUMBER(Mid!$X32), ISNUMBER(Futs!$DU32), ISNUMBER(Hvy!$J32), ISNUMBER(Crd!$I32)), 0.15 * Lts!$I32 + 0.2 * Lts!$R32 + 0.2 * Mid!$X32 + 0.3 * Futs!$DU32 + 0.15 * Hvy!$J32 - Crd!$I32, ""), "")</f>
        <v/>
      </c>
      <c r="G32" s="432" t="str">
        <f ca="1">IFERROR(IF(AND(ISNUMBER(Lts!$K32), ISNUMBER(Lts!$T32), ISNUMBER(Mid!$Y32), ISNUMBER(Futs!$DV32), ISNUMBER(Hvy!$L32), ISNUMBER(Crd!$K32)), 0.15 * Lts!$K32 + 0.2 * Lts!$T32 + 0.2 * Mid!$Y32 + 0.3 * Futs!$DV32 + 0.15 * Hvy!$L32 - Crd!$K32, ""), "")</f>
        <v/>
      </c>
    </row>
    <row r="33" spans="1:7" x14ac:dyDescent="0.25">
      <c r="A33" s="58">
        <f t="shared" ca="1" si="5"/>
        <v>46692</v>
      </c>
      <c r="B33" s="6">
        <f t="shared" ca="1" si="3"/>
        <v>2027</v>
      </c>
      <c r="C33" s="6" t="str">
        <f t="shared" ca="1" si="4"/>
        <v>Q427</v>
      </c>
      <c r="D33" s="431" t="str">
        <f ca="1">IFERROR(IF(AND(ISNUMBER(NGL!$S33), ISNUMBER(Lts!$I33), ISNUMBER(Mid!$X33), ISNUMBER(Futs!$DU33), ISNUMBER(Mid!$BL33), ISNUMBER(Mid!$CV33), ISNUMBER(Hvy!$J33), ISNUMBER(Crd!$I33)), 0.0513 * NGL!$S33 + 0.0807 * Lts!$I33 + 0.251 * Lts!$R33 + 0.0935 * Mid!$X33 + 0.292 * (Futs!$DU33 + Mid!$BL33/7.45) + 0.1132 * (Futs!$DU33 + Mid!$CV33/7.45) + 0.1024 * Hvy!$J33 - Crd!$I33, ""), "")</f>
        <v/>
      </c>
      <c r="E33" s="46" t="str">
        <f ca="1">IFERROR(IF(AND(ISNUMBER(NGL!$T33), ISNUMBER(Lts!$K33), ISNUMBER(Lts!$T33), ISNUMBER(Mid!$Y33), ISNUMBER(Futs!$DV33), ISNUMBER(Mid!$BN33), ISNUMBER(Mid!$CX33), ISNUMBER(Hvy!$L33), ISNUMBER(Crd!$K33)), 0.0513 * NGL!$T33 + 0.0807 * Lts!$K33 + 0.251 * Lts!$T33 + 0.0935 * Mid!$Y33 + 0.292 * (Futs!$DV33 + Mid!$BN33/7.45) + 0.1132 * (Futs!$DV33 + Mid!$CX33/7.45) + 0.1024 * Hvy!$L33 - Crd!$K33, ""), "")</f>
        <v/>
      </c>
      <c r="F33" s="427" t="str">
        <f ca="1">IFERROR(IF(AND(ISNUMBER(Lts!$I33), ISNUMBER(Lts!$R33), ISNUMBER(Mid!$X33), ISNUMBER(Futs!$DU33), ISNUMBER(Hvy!$J33), ISNUMBER(Crd!$I33)), 0.15 * Lts!$I33 + 0.2 * Lts!$R33 + 0.2 * Mid!$X33 + 0.3 * Futs!$DU33 + 0.15 * Hvy!$J33 - Crd!$I33, ""), "")</f>
        <v/>
      </c>
      <c r="G33" s="432" t="str">
        <f ca="1">IFERROR(IF(AND(ISNUMBER(Lts!$K33), ISNUMBER(Lts!$T33), ISNUMBER(Mid!$Y33), ISNUMBER(Futs!$DV33), ISNUMBER(Hvy!$L33), ISNUMBER(Crd!$K33)), 0.15 * Lts!$K33 + 0.2 * Lts!$T33 + 0.2 * Mid!$Y33 + 0.3 * Futs!$DV33 + 0.15 * Hvy!$L33 - Crd!$K33, ""), "")</f>
        <v/>
      </c>
    </row>
    <row r="34" spans="1:7" x14ac:dyDescent="0.25">
      <c r="A34" s="58">
        <f t="shared" ca="1" si="5"/>
        <v>46722</v>
      </c>
      <c r="B34" s="6">
        <f t="shared" ca="1" si="3"/>
        <v>2027</v>
      </c>
      <c r="C34" s="6" t="str">
        <f t="shared" ca="1" si="4"/>
        <v>Q427</v>
      </c>
      <c r="D34" s="431" t="str">
        <f ca="1">IFERROR(IF(AND(ISNUMBER(NGL!$S34), ISNUMBER(Lts!$I34), ISNUMBER(Mid!$X34), ISNUMBER(Futs!$DU34), ISNUMBER(Mid!$BL34), ISNUMBER(Mid!$CV34), ISNUMBER(Hvy!$J34), ISNUMBER(Crd!$I34)), 0.0513 * NGL!$S34 + 0.0807 * Lts!$I34 + 0.251 * Lts!$R34 + 0.0935 * Mid!$X34 + 0.292 * (Futs!$DU34 + Mid!$BL34/7.45) + 0.1132 * (Futs!$DU34 + Mid!$CV34/7.45) + 0.1024 * Hvy!$J34 - Crd!$I34, ""), "")</f>
        <v/>
      </c>
      <c r="E34" s="46" t="str">
        <f ca="1">IFERROR(IF(AND(ISNUMBER(NGL!$T34), ISNUMBER(Lts!$K34), ISNUMBER(Lts!$T34), ISNUMBER(Mid!$Y34), ISNUMBER(Futs!$DV34), ISNUMBER(Mid!$BN34), ISNUMBER(Mid!$CX34), ISNUMBER(Hvy!$L34), ISNUMBER(Crd!$K34)), 0.0513 * NGL!$T34 + 0.0807 * Lts!$K34 + 0.251 * Lts!$T34 + 0.0935 * Mid!$Y34 + 0.292 * (Futs!$DV34 + Mid!$BN34/7.45) + 0.1132 * (Futs!$DV34 + Mid!$CX34/7.45) + 0.1024 * Hvy!$L34 - Crd!$K34, ""), "")</f>
        <v/>
      </c>
      <c r="F34" s="427" t="str">
        <f ca="1">IFERROR(IF(AND(ISNUMBER(Lts!$I34), ISNUMBER(Lts!$R34), ISNUMBER(Mid!$X34), ISNUMBER(Futs!$DU34), ISNUMBER(Hvy!$J34), ISNUMBER(Crd!$I34)), 0.15 * Lts!$I34 + 0.2 * Lts!$R34 + 0.2 * Mid!$X34 + 0.3 * Futs!$DU34 + 0.15 * Hvy!$J34 - Crd!$I34, ""), "")</f>
        <v/>
      </c>
      <c r="G34" s="432" t="str">
        <f ca="1">IFERROR(IF(AND(ISNUMBER(Lts!$K34), ISNUMBER(Lts!$T34), ISNUMBER(Mid!$Y34), ISNUMBER(Futs!$DV34), ISNUMBER(Hvy!$L34), ISNUMBER(Crd!$K34)), 0.15 * Lts!$K34 + 0.2 * Lts!$T34 + 0.2 * Mid!$Y34 + 0.3 * Futs!$DV34 + 0.15 * Hvy!$L34 - Crd!$K34, ""), "")</f>
        <v/>
      </c>
    </row>
    <row r="35" spans="1:7" x14ac:dyDescent="0.25">
      <c r="A35" s="58">
        <f t="shared" ca="1" si="5"/>
        <v>46753</v>
      </c>
      <c r="B35" s="6">
        <f t="shared" ca="1" si="3"/>
        <v>2028</v>
      </c>
      <c r="C35" s="6" t="str">
        <f t="shared" ca="1" si="4"/>
        <v>Q128</v>
      </c>
      <c r="D35" s="431" t="str">
        <f ca="1">IFERROR(IF(AND(ISNUMBER(NGL!$S35), ISNUMBER(Lts!$I35), ISNUMBER(Mid!$X35), ISNUMBER(Futs!$DU35), ISNUMBER(Mid!$BL35), ISNUMBER(Mid!$CV35), ISNUMBER(Hvy!$J35), ISNUMBER(Crd!$I35)), 0.0513 * NGL!$S35 + 0.0807 * Lts!$I35 + 0.251 * Lts!$R35 + 0.0935 * Mid!$X35 + 0.292 * (Futs!$DU35 + Mid!$BL35/7.45) + 0.1132 * (Futs!$DU35 + Mid!$CV35/7.45) + 0.1024 * Hvy!$J35 - Crd!$I35, ""), "")</f>
        <v/>
      </c>
      <c r="E35" s="46" t="str">
        <f ca="1">IFERROR(IF(AND(ISNUMBER(NGL!$T35), ISNUMBER(Lts!$K35), ISNUMBER(Lts!$T35), ISNUMBER(Mid!$Y35), ISNUMBER(Futs!$DV35), ISNUMBER(Mid!$BN35), ISNUMBER(Mid!$CX35), ISNUMBER(Hvy!$L35), ISNUMBER(Crd!$K35)), 0.0513 * NGL!$T35 + 0.0807 * Lts!$K35 + 0.251 * Lts!$T35 + 0.0935 * Mid!$Y35 + 0.292 * (Futs!$DV35 + Mid!$BN35/7.45) + 0.1132 * (Futs!$DV35 + Mid!$CX35/7.45) + 0.1024 * Hvy!$L35 - Crd!$K35, ""), "")</f>
        <v/>
      </c>
      <c r="F35" s="427" t="str">
        <f ca="1">IFERROR(IF(AND(ISNUMBER(Lts!$I35), ISNUMBER(Lts!$R35), ISNUMBER(Mid!$X35), ISNUMBER(Futs!$DU35), ISNUMBER(Hvy!$J35), ISNUMBER(Crd!$I35)), 0.15 * Lts!$I35 + 0.2 * Lts!$R35 + 0.2 * Mid!$X35 + 0.3 * Futs!$DU35 + 0.15 * Hvy!$J35 - Crd!$I35, ""), "")</f>
        <v/>
      </c>
      <c r="G35" s="432" t="str">
        <f ca="1">IFERROR(IF(AND(ISNUMBER(Lts!$K35), ISNUMBER(Lts!$T35), ISNUMBER(Mid!$Y35), ISNUMBER(Futs!$DV35), ISNUMBER(Hvy!$L35), ISNUMBER(Crd!$K35)), 0.15 * Lts!$K35 + 0.2 * Lts!$T35 + 0.2 * Mid!$Y35 + 0.3 * Futs!$DV35 + 0.15 * Hvy!$L35 - Crd!$K35, ""), "")</f>
        <v/>
      </c>
    </row>
    <row r="36" spans="1:7" x14ac:dyDescent="0.25">
      <c r="A36" s="58">
        <f t="shared" ca="1" si="5"/>
        <v>46784</v>
      </c>
      <c r="B36" s="6">
        <f t="shared" ca="1" si="3"/>
        <v>2028</v>
      </c>
      <c r="C36" s="6" t="str">
        <f t="shared" ca="1" si="4"/>
        <v>Q128</v>
      </c>
      <c r="D36" s="431" t="str">
        <f ca="1">IFERROR(IF(AND(ISNUMBER(NGL!$S36), ISNUMBER(Lts!$I36), ISNUMBER(Mid!$X36), ISNUMBER(Futs!$DU36), ISNUMBER(Mid!$BL36), ISNUMBER(Mid!$CV36), ISNUMBER(Hvy!$J36), ISNUMBER(Crd!$I36)), 0.0513 * NGL!$S36 + 0.0807 * Lts!$I36 + 0.251 * Lts!$R36 + 0.0935 * Mid!$X36 + 0.292 * (Futs!$DU36 + Mid!$BL36/7.45) + 0.1132 * (Futs!$DU36 + Mid!$CV36/7.45) + 0.1024 * Hvy!$J36 - Crd!$I36, ""), "")</f>
        <v/>
      </c>
      <c r="E36" s="46" t="str">
        <f ca="1">IFERROR(IF(AND(ISNUMBER(NGL!$T36), ISNUMBER(Lts!$K36), ISNUMBER(Lts!$T36), ISNUMBER(Mid!$Y36), ISNUMBER(Futs!$DV36), ISNUMBER(Mid!$BN36), ISNUMBER(Mid!$CX36), ISNUMBER(Hvy!$L36), ISNUMBER(Crd!$K36)), 0.0513 * NGL!$T36 + 0.0807 * Lts!$K36 + 0.251 * Lts!$T36 + 0.0935 * Mid!$Y36 + 0.292 * (Futs!$DV36 + Mid!$BN36/7.45) + 0.1132 * (Futs!$DV36 + Mid!$CX36/7.45) + 0.1024 * Hvy!$L36 - Crd!$K36, ""), "")</f>
        <v/>
      </c>
      <c r="F36" s="427" t="str">
        <f ca="1">IFERROR(IF(AND(ISNUMBER(Lts!$I36), ISNUMBER(Lts!$R36), ISNUMBER(Mid!$X36), ISNUMBER(Futs!$DU36), ISNUMBER(Hvy!$J36), ISNUMBER(Crd!$I36)), 0.15 * Lts!$I36 + 0.2 * Lts!$R36 + 0.2 * Mid!$X36 + 0.3 * Futs!$DU36 + 0.15 * Hvy!$J36 - Crd!$I36, ""), "")</f>
        <v/>
      </c>
      <c r="G36" s="432" t="str">
        <f ca="1">IFERROR(IF(AND(ISNUMBER(Lts!$K36), ISNUMBER(Lts!$T36), ISNUMBER(Mid!$Y36), ISNUMBER(Futs!$DV36), ISNUMBER(Hvy!$L36), ISNUMBER(Crd!$K36)), 0.15 * Lts!$K36 + 0.2 * Lts!$T36 + 0.2 * Mid!$Y36 + 0.3 * Futs!$DV36 + 0.15 * Hvy!$L36 - Crd!$K36, ""), "")</f>
        <v/>
      </c>
    </row>
    <row r="37" spans="1:7" x14ac:dyDescent="0.25">
      <c r="A37" s="58">
        <f t="shared" ca="1" si="5"/>
        <v>46813</v>
      </c>
      <c r="B37" s="6">
        <f t="shared" ca="1" si="3"/>
        <v>2028</v>
      </c>
      <c r="C37" s="6" t="str">
        <f t="shared" ca="1" si="4"/>
        <v>Q128</v>
      </c>
      <c r="D37" s="431" t="str">
        <f ca="1">IFERROR(IF(AND(ISNUMBER(NGL!$S37), ISNUMBER(Lts!$I37), ISNUMBER(Mid!$X37), ISNUMBER(Futs!$DU37), ISNUMBER(Mid!$BL37), ISNUMBER(Mid!$CV37), ISNUMBER(Hvy!$J37), ISNUMBER(Crd!$I37)), 0.0513 * NGL!$S37 + 0.0807 * Lts!$I37 + 0.251 * Lts!$R37 + 0.0935 * Mid!$X37 + 0.292 * (Futs!$DU37 + Mid!$BL37/7.45) + 0.1132 * (Futs!$DU37 + Mid!$CV37/7.45) + 0.1024 * Hvy!$J37 - Crd!$I37, ""), "")</f>
        <v/>
      </c>
      <c r="E37" s="46" t="str">
        <f ca="1">IFERROR(IF(AND(ISNUMBER(NGL!$T37), ISNUMBER(Lts!$K37), ISNUMBER(Lts!$T37), ISNUMBER(Mid!$Y37), ISNUMBER(Futs!$DV37), ISNUMBER(Mid!$BN37), ISNUMBER(Mid!$CX37), ISNUMBER(Hvy!$L37), ISNUMBER(Crd!$K37)), 0.0513 * NGL!$T37 + 0.0807 * Lts!$K37 + 0.251 * Lts!$T37 + 0.0935 * Mid!$Y37 + 0.292 * (Futs!$DV37 + Mid!$BN37/7.45) + 0.1132 * (Futs!$DV37 + Mid!$CX37/7.45) + 0.1024 * Hvy!$L37 - Crd!$K37, ""), "")</f>
        <v/>
      </c>
      <c r="F37" s="427" t="str">
        <f ca="1">IFERROR(IF(AND(ISNUMBER(Lts!$I37), ISNUMBER(Lts!$R37), ISNUMBER(Mid!$X37), ISNUMBER(Futs!$DU37), ISNUMBER(Hvy!$J37), ISNUMBER(Crd!$I37)), 0.15 * Lts!$I37 + 0.2 * Lts!$R37 + 0.2 * Mid!$X37 + 0.3 * Futs!$DU37 + 0.15 * Hvy!$J37 - Crd!$I37, ""), "")</f>
        <v/>
      </c>
      <c r="G37" s="432" t="str">
        <f ca="1">IFERROR(IF(AND(ISNUMBER(Lts!$K37), ISNUMBER(Lts!$T37), ISNUMBER(Mid!$Y37), ISNUMBER(Futs!$DV37), ISNUMBER(Hvy!$L37), ISNUMBER(Crd!$K37)), 0.15 * Lts!$K37 + 0.2 * Lts!$T37 + 0.2 * Mid!$Y37 + 0.3 * Futs!$DV37 + 0.15 * Hvy!$L37 - Crd!$K37, ""), "")</f>
        <v/>
      </c>
    </row>
    <row r="38" spans="1:7" x14ac:dyDescent="0.25">
      <c r="A38" s="58">
        <f t="shared" ca="1" si="5"/>
        <v>46844</v>
      </c>
      <c r="B38" s="6">
        <f t="shared" ca="1" si="3"/>
        <v>2028</v>
      </c>
      <c r="C38" s="6" t="str">
        <f t="shared" ca="1" si="4"/>
        <v>Q228</v>
      </c>
      <c r="D38" s="431" t="str">
        <f ca="1">IFERROR(IF(AND(ISNUMBER(NGL!$S38), ISNUMBER(Lts!$I38), ISNUMBER(Mid!$X38), ISNUMBER(Futs!$DU38), ISNUMBER(Mid!$BL38), ISNUMBER(Mid!$CV38), ISNUMBER(Hvy!$J38), ISNUMBER(Crd!$I38)), 0.0513 * NGL!$S38 + 0.0807 * Lts!$I38 + 0.251 * Lts!$R38 + 0.0935 * Mid!$X38 + 0.292 * (Futs!$DU38 + Mid!$BL38/7.45) + 0.1132 * (Futs!$DU38 + Mid!$CV38/7.45) + 0.1024 * Hvy!$J38 - Crd!$I38, ""), "")</f>
        <v/>
      </c>
      <c r="E38" s="46" t="str">
        <f ca="1">IFERROR(IF(AND(ISNUMBER(NGL!$T38), ISNUMBER(Lts!$K38), ISNUMBER(Lts!$T38), ISNUMBER(Mid!$Y38), ISNUMBER(Futs!$DV38), ISNUMBER(Mid!$BN38), ISNUMBER(Mid!$CX38), ISNUMBER(Hvy!$L38), ISNUMBER(Crd!$K38)), 0.0513 * NGL!$T38 + 0.0807 * Lts!$K38 + 0.251 * Lts!$T38 + 0.0935 * Mid!$Y38 + 0.292 * (Futs!$DV38 + Mid!$BN38/7.45) + 0.1132 * (Futs!$DV38 + Mid!$CX38/7.45) + 0.1024 * Hvy!$L38 - Crd!$K38, ""), "")</f>
        <v/>
      </c>
      <c r="F38" s="427" t="str">
        <f ca="1">IFERROR(IF(AND(ISNUMBER(Lts!$I38), ISNUMBER(Lts!$R38), ISNUMBER(Mid!$X38), ISNUMBER(Futs!$DU38), ISNUMBER(Hvy!$J38), ISNUMBER(Crd!$I38)), 0.15 * Lts!$I38 + 0.2 * Lts!$R38 + 0.2 * Mid!$X38 + 0.3 * Futs!$DU38 + 0.15 * Hvy!$J38 - Crd!$I38, ""), "")</f>
        <v/>
      </c>
      <c r="G38" s="432" t="str">
        <f ca="1">IFERROR(IF(AND(ISNUMBER(Lts!$K38), ISNUMBER(Lts!$T38), ISNUMBER(Mid!$Y38), ISNUMBER(Futs!$DV38), ISNUMBER(Hvy!$L38), ISNUMBER(Crd!$K38)), 0.15 * Lts!$K38 + 0.2 * Lts!$T38 + 0.2 * Mid!$Y38 + 0.3 * Futs!$DV38 + 0.15 * Hvy!$L38 - Crd!$K38, ""), "")</f>
        <v/>
      </c>
    </row>
    <row r="39" spans="1:7" x14ac:dyDescent="0.25">
      <c r="A39" s="58">
        <f t="shared" ca="1" si="5"/>
        <v>46874</v>
      </c>
      <c r="B39" s="6">
        <f t="shared" ca="1" si="3"/>
        <v>2028</v>
      </c>
      <c r="C39" s="6" t="str">
        <f t="shared" ca="1" si="4"/>
        <v>Q228</v>
      </c>
      <c r="D39" s="431" t="str">
        <f ca="1">IFERROR(IF(AND(ISNUMBER(NGL!$S39), ISNUMBER(Lts!$I39), ISNUMBER(Mid!$X39), ISNUMBER(Futs!$DU39), ISNUMBER(Mid!$BL39), ISNUMBER(Mid!$CV39), ISNUMBER(Hvy!$J39), ISNUMBER(Crd!$I39)), 0.0513 * NGL!$S39 + 0.0807 * Lts!$I39 + 0.251 * Lts!$R39 + 0.0935 * Mid!$X39 + 0.292 * (Futs!$DU39 + Mid!$BL39/7.45) + 0.1132 * (Futs!$DU39 + Mid!$CV39/7.45) + 0.1024 * Hvy!$J39 - Crd!$I39, ""), "")</f>
        <v/>
      </c>
      <c r="E39" s="46" t="str">
        <f ca="1">IFERROR(IF(AND(ISNUMBER(NGL!$T39), ISNUMBER(Lts!$K39), ISNUMBER(Lts!$T39), ISNUMBER(Mid!$Y39), ISNUMBER(Futs!$DV39), ISNUMBER(Mid!$BN39), ISNUMBER(Mid!$CX39), ISNUMBER(Hvy!$L39), ISNUMBER(Crd!$K39)), 0.0513 * NGL!$T39 + 0.0807 * Lts!$K39 + 0.251 * Lts!$T39 + 0.0935 * Mid!$Y39 + 0.292 * (Futs!$DV39 + Mid!$BN39/7.45) + 0.1132 * (Futs!$DV39 + Mid!$CX39/7.45) + 0.1024 * Hvy!$L39 - Crd!$K39, ""), "")</f>
        <v/>
      </c>
      <c r="F39" s="427" t="str">
        <f ca="1">IFERROR(IF(AND(ISNUMBER(Lts!$I39), ISNUMBER(Lts!$R39), ISNUMBER(Mid!$X39), ISNUMBER(Futs!$DU39), ISNUMBER(Hvy!$J39), ISNUMBER(Crd!$I39)), 0.15 * Lts!$I39 + 0.2 * Lts!$R39 + 0.2 * Mid!$X39 + 0.3 * Futs!$DU39 + 0.15 * Hvy!$J39 - Crd!$I39, ""), "")</f>
        <v/>
      </c>
      <c r="G39" s="432" t="str">
        <f ca="1">IFERROR(IF(AND(ISNUMBER(Lts!$K39), ISNUMBER(Lts!$T39), ISNUMBER(Mid!$Y39), ISNUMBER(Futs!$DV39), ISNUMBER(Hvy!$L39), ISNUMBER(Crd!$K39)), 0.15 * Lts!$K39 + 0.2 * Lts!$T39 + 0.2 * Mid!$Y39 + 0.3 * Futs!$DV39 + 0.15 * Hvy!$L39 - Crd!$K39, ""), "")</f>
        <v/>
      </c>
    </row>
    <row r="40" spans="1:7" x14ac:dyDescent="0.25">
      <c r="A40" s="58">
        <f t="shared" ca="1" si="5"/>
        <v>46905</v>
      </c>
      <c r="B40" s="6">
        <f t="shared" ca="1" si="3"/>
        <v>2028</v>
      </c>
      <c r="C40" s="6" t="str">
        <f t="shared" ca="1" si="4"/>
        <v>Q228</v>
      </c>
      <c r="D40" s="431" t="str">
        <f ca="1">IFERROR(IF(AND(ISNUMBER(NGL!$S40), ISNUMBER(Lts!$I40), ISNUMBER(Mid!$X40), ISNUMBER(Futs!$DU40), ISNUMBER(Mid!$BL40), ISNUMBER(Mid!$CV40), ISNUMBER(Hvy!$J40), ISNUMBER(Crd!$I40)), 0.0513 * NGL!$S40 + 0.0807 * Lts!$I40 + 0.251 * Lts!$R40 + 0.0935 * Mid!$X40 + 0.292 * (Futs!$DU40 + Mid!$BL40/7.45) + 0.1132 * (Futs!$DU40 + Mid!$CV40/7.45) + 0.1024 * Hvy!$J40 - Crd!$I40, ""), "")</f>
        <v/>
      </c>
      <c r="E40" s="46" t="str">
        <f ca="1">IFERROR(IF(AND(ISNUMBER(NGL!$T40), ISNUMBER(Lts!$K40), ISNUMBER(Lts!$T40), ISNUMBER(Mid!$Y40), ISNUMBER(Futs!$DV40), ISNUMBER(Mid!$BN40), ISNUMBER(Mid!$CX40), ISNUMBER(Hvy!$L40), ISNUMBER(Crd!$K40)), 0.0513 * NGL!$T40 + 0.0807 * Lts!$K40 + 0.251 * Lts!$T40 + 0.0935 * Mid!$Y40 + 0.292 * (Futs!$DV40 + Mid!$BN40/7.45) + 0.1132 * (Futs!$DV40 + Mid!$CX40/7.45) + 0.1024 * Hvy!$L40 - Crd!$K40, ""), "")</f>
        <v/>
      </c>
      <c r="F40" s="427" t="str">
        <f ca="1">IFERROR(IF(AND(ISNUMBER(Lts!$I40), ISNUMBER(Lts!$R40), ISNUMBER(Mid!$X40), ISNUMBER(Futs!$DU40), ISNUMBER(Hvy!$J40), ISNUMBER(Crd!$I40)), 0.15 * Lts!$I40 + 0.2 * Lts!$R40 + 0.2 * Mid!$X40 + 0.3 * Futs!$DU40 + 0.15 * Hvy!$J40 - Crd!$I40, ""), "")</f>
        <v/>
      </c>
      <c r="G40" s="432" t="str">
        <f ca="1">IFERROR(IF(AND(ISNUMBER(Lts!$K40), ISNUMBER(Lts!$T40), ISNUMBER(Mid!$Y40), ISNUMBER(Futs!$DV40), ISNUMBER(Hvy!$L40), ISNUMBER(Crd!$K40)), 0.15 * Lts!$K40 + 0.2 * Lts!$T40 + 0.2 * Mid!$Y40 + 0.3 * Futs!$DV40 + 0.15 * Hvy!$L40 - Crd!$K40, ""), "")</f>
        <v/>
      </c>
    </row>
    <row r="41" spans="1:7" x14ac:dyDescent="0.25">
      <c r="A41" s="58">
        <f t="shared" ca="1" si="5"/>
        <v>46935</v>
      </c>
      <c r="B41" s="6">
        <f t="shared" ca="1" si="3"/>
        <v>2028</v>
      </c>
      <c r="C41" s="6" t="str">
        <f t="shared" ca="1" si="4"/>
        <v>Q328</v>
      </c>
      <c r="D41" s="431" t="str">
        <f ca="1">IFERROR(IF(AND(ISNUMBER(NGL!$S41), ISNUMBER(Lts!$I41), ISNUMBER(Mid!$X41), ISNUMBER(Futs!$DU41), ISNUMBER(Mid!$BL41), ISNUMBER(Mid!$CV41), ISNUMBER(Hvy!$J41), ISNUMBER(Crd!$I41)), 0.0513 * NGL!$S41 + 0.0807 * Lts!$I41 + 0.251 * Lts!$R41 + 0.0935 * Mid!$X41 + 0.292 * (Futs!$DU41 + Mid!$BL41/7.45) + 0.1132 * (Futs!$DU41 + Mid!$CV41/7.45) + 0.1024 * Hvy!$J41 - Crd!$I41, ""), "")</f>
        <v/>
      </c>
      <c r="E41" s="46" t="str">
        <f ca="1">IFERROR(IF(AND(ISNUMBER(NGL!$T41), ISNUMBER(Lts!$K41), ISNUMBER(Lts!$T41), ISNUMBER(Mid!$Y41), ISNUMBER(Futs!$DV41), ISNUMBER(Mid!$BN41), ISNUMBER(Mid!$CX41), ISNUMBER(Hvy!$L41), ISNUMBER(Crd!$K41)), 0.0513 * NGL!$T41 + 0.0807 * Lts!$K41 + 0.251 * Lts!$T41 + 0.0935 * Mid!$Y41 + 0.292 * (Futs!$DV41 + Mid!$BN41/7.45) + 0.1132 * (Futs!$DV41 + Mid!$CX41/7.45) + 0.1024 * Hvy!$L41 - Crd!$K41, ""), "")</f>
        <v/>
      </c>
      <c r="F41" s="427" t="str">
        <f ca="1">IFERROR(IF(AND(ISNUMBER(Lts!$I41), ISNUMBER(Lts!$R41), ISNUMBER(Mid!$X41), ISNUMBER(Futs!$DU41), ISNUMBER(Hvy!$J41), ISNUMBER(Crd!$I41)), 0.15 * Lts!$I41 + 0.2 * Lts!$R41 + 0.2 * Mid!$X41 + 0.3 * Futs!$DU41 + 0.15 * Hvy!$J41 - Crd!$I41, ""), "")</f>
        <v/>
      </c>
      <c r="G41" s="432" t="str">
        <f ca="1">IFERROR(IF(AND(ISNUMBER(Lts!$K41), ISNUMBER(Lts!$T41), ISNUMBER(Mid!$Y41), ISNUMBER(Futs!$DV41), ISNUMBER(Hvy!$L41), ISNUMBER(Crd!$K41)), 0.15 * Lts!$K41 + 0.2 * Lts!$T41 + 0.2 * Mid!$Y41 + 0.3 * Futs!$DV41 + 0.15 * Hvy!$L41 - Crd!$K41, ""), "")</f>
        <v/>
      </c>
    </row>
    <row r="42" spans="1:7" x14ac:dyDescent="0.25">
      <c r="A42" s="58">
        <f t="shared" ca="1" si="5"/>
        <v>46966</v>
      </c>
      <c r="B42" s="6">
        <f t="shared" ca="1" si="3"/>
        <v>2028</v>
      </c>
      <c r="C42" s="6" t="str">
        <f t="shared" ca="1" si="4"/>
        <v>Q328</v>
      </c>
      <c r="D42" s="431" t="str">
        <f ca="1">IFERROR(IF(AND(ISNUMBER(NGL!$S42), ISNUMBER(Lts!$I42), ISNUMBER(Mid!$X42), ISNUMBER(Futs!$DU42), ISNUMBER(Mid!$BL42), ISNUMBER(Mid!$CV42), ISNUMBER(Hvy!$J42), ISNUMBER(Crd!$I42)), 0.0513 * NGL!$S42 + 0.0807 * Lts!$I42 + 0.251 * Lts!$R42 + 0.0935 * Mid!$X42 + 0.292 * (Futs!$DU42 + Mid!$BL42/7.45) + 0.1132 * (Futs!$DU42 + Mid!$CV42/7.45) + 0.1024 * Hvy!$J42 - Crd!$I42, ""), "")</f>
        <v/>
      </c>
      <c r="E42" s="46" t="str">
        <f ca="1">IFERROR(IF(AND(ISNUMBER(NGL!$T42), ISNUMBER(Lts!$K42), ISNUMBER(Lts!$T42), ISNUMBER(Mid!$Y42), ISNUMBER(Futs!$DV42), ISNUMBER(Mid!$BN42), ISNUMBER(Mid!$CX42), ISNUMBER(Hvy!$L42), ISNUMBER(Crd!$K42)), 0.0513 * NGL!$T42 + 0.0807 * Lts!$K42 + 0.251 * Lts!$T42 + 0.0935 * Mid!$Y42 + 0.292 * (Futs!$DV42 + Mid!$BN42/7.45) + 0.1132 * (Futs!$DV42 + Mid!$CX42/7.45) + 0.1024 * Hvy!$L42 - Crd!$K42, ""), "")</f>
        <v/>
      </c>
      <c r="F42" s="427" t="str">
        <f ca="1">IFERROR(IF(AND(ISNUMBER(Lts!$I42), ISNUMBER(Lts!$R42), ISNUMBER(Mid!$X42), ISNUMBER(Futs!$DU42), ISNUMBER(Hvy!$J42), ISNUMBER(Crd!$I42)), 0.15 * Lts!$I42 + 0.2 * Lts!$R42 + 0.2 * Mid!$X42 + 0.3 * Futs!$DU42 + 0.15 * Hvy!$J42 - Crd!$I42, ""), "")</f>
        <v/>
      </c>
      <c r="G42" s="432" t="str">
        <f ca="1">IFERROR(IF(AND(ISNUMBER(Lts!$K42), ISNUMBER(Lts!$T42), ISNUMBER(Mid!$Y42), ISNUMBER(Futs!$DV42), ISNUMBER(Hvy!$L42), ISNUMBER(Crd!$K42)), 0.15 * Lts!$K42 + 0.2 * Lts!$T42 + 0.2 * Mid!$Y42 + 0.3 * Futs!$DV42 + 0.15 * Hvy!$L42 - Crd!$K42, ""), "")</f>
        <v/>
      </c>
    </row>
    <row r="43" spans="1:7" x14ac:dyDescent="0.25">
      <c r="A43" s="58">
        <f t="shared" ca="1" si="5"/>
        <v>46997</v>
      </c>
      <c r="B43" s="6">
        <f t="shared" ca="1" si="3"/>
        <v>2028</v>
      </c>
      <c r="C43" s="6" t="str">
        <f t="shared" ca="1" si="4"/>
        <v>Q328</v>
      </c>
      <c r="D43" s="431" t="str">
        <f ca="1">IFERROR(IF(AND(ISNUMBER(NGL!$S43), ISNUMBER(Lts!$I43), ISNUMBER(Mid!$X43), ISNUMBER(Futs!$DU43), ISNUMBER(Mid!$BL43), ISNUMBER(Mid!$CV43), ISNUMBER(Hvy!$J43), ISNUMBER(Crd!$I43)), 0.0513 * NGL!$S43 + 0.0807 * Lts!$I43 + 0.251 * Lts!$R43 + 0.0935 * Mid!$X43 + 0.292 * (Futs!$DU43 + Mid!$BL43/7.45) + 0.1132 * (Futs!$DU43 + Mid!$CV43/7.45) + 0.1024 * Hvy!$J43 - Crd!$I43, ""), "")</f>
        <v/>
      </c>
      <c r="E43" s="46" t="str">
        <f ca="1">IFERROR(IF(AND(ISNUMBER(NGL!$T43), ISNUMBER(Lts!$K43), ISNUMBER(Lts!$T43), ISNUMBER(Mid!$Y43), ISNUMBER(Futs!$DV43), ISNUMBER(Mid!$BN43), ISNUMBER(Mid!$CX43), ISNUMBER(Hvy!$L43), ISNUMBER(Crd!$K43)), 0.0513 * NGL!$T43 + 0.0807 * Lts!$K43 + 0.251 * Lts!$T43 + 0.0935 * Mid!$Y43 + 0.292 * (Futs!$DV43 + Mid!$BN43/7.45) + 0.1132 * (Futs!$DV43 + Mid!$CX43/7.45) + 0.1024 * Hvy!$L43 - Crd!$K43, ""), "")</f>
        <v/>
      </c>
      <c r="F43" s="427" t="str">
        <f ca="1">IFERROR(IF(AND(ISNUMBER(Lts!$I43), ISNUMBER(Lts!$R43), ISNUMBER(Mid!$X43), ISNUMBER(Futs!$DU43), ISNUMBER(Hvy!$J43), ISNUMBER(Crd!$I43)), 0.15 * Lts!$I43 + 0.2 * Lts!$R43 + 0.2 * Mid!$X43 + 0.3 * Futs!$DU43 + 0.15 * Hvy!$J43 - Crd!$I43, ""), "")</f>
        <v/>
      </c>
      <c r="G43" s="432" t="str">
        <f ca="1">IFERROR(IF(AND(ISNUMBER(Lts!$K43), ISNUMBER(Lts!$T43), ISNUMBER(Mid!$Y43), ISNUMBER(Futs!$DV43), ISNUMBER(Hvy!$L43), ISNUMBER(Crd!$K43)), 0.15 * Lts!$K43 + 0.2 * Lts!$T43 + 0.2 * Mid!$Y43 + 0.3 * Futs!$DV43 + 0.15 * Hvy!$L43 - Crd!$K43, ""), "")</f>
        <v/>
      </c>
    </row>
    <row r="44" spans="1:7" x14ac:dyDescent="0.25">
      <c r="A44" s="58">
        <f t="shared" ca="1" si="5"/>
        <v>47027</v>
      </c>
      <c r="B44" s="6">
        <f t="shared" ca="1" si="3"/>
        <v>2028</v>
      </c>
      <c r="C44" s="6" t="str">
        <f t="shared" ca="1" si="4"/>
        <v>Q428</v>
      </c>
      <c r="D44" s="431" t="str">
        <f ca="1">IFERROR(IF(AND(ISNUMBER(NGL!$S44), ISNUMBER(Lts!$I44), ISNUMBER(Mid!$X44), ISNUMBER(Futs!$DU44), ISNUMBER(Mid!$BL44), ISNUMBER(Mid!$CV44), ISNUMBER(Hvy!$J44), ISNUMBER(Crd!$I44)), 0.0513 * NGL!$S44 + 0.0807 * Lts!$I44 + 0.251 * Lts!$R44 + 0.0935 * Mid!$X44 + 0.292 * (Futs!$DU44 + Mid!$BL44/7.45) + 0.1132 * (Futs!$DU44 + Mid!$CV44/7.45) + 0.1024 * Hvy!$J44 - Crd!$I44, ""), "")</f>
        <v/>
      </c>
      <c r="E44" s="46" t="str">
        <f ca="1">IFERROR(IF(AND(ISNUMBER(NGL!$T44), ISNUMBER(Lts!$K44), ISNUMBER(Lts!$T44), ISNUMBER(Mid!$Y44), ISNUMBER(Futs!$DV44), ISNUMBER(Mid!$BN44), ISNUMBER(Mid!$CX44), ISNUMBER(Hvy!$L44), ISNUMBER(Crd!$K44)), 0.0513 * NGL!$T44 + 0.0807 * Lts!$K44 + 0.251 * Lts!$T44 + 0.0935 * Mid!$Y44 + 0.292 * (Futs!$DV44 + Mid!$BN44/7.45) + 0.1132 * (Futs!$DV44 + Mid!$CX44/7.45) + 0.1024 * Hvy!$L44 - Crd!$K44, ""), "")</f>
        <v/>
      </c>
      <c r="F44" s="427" t="str">
        <f ca="1">IFERROR(IF(AND(ISNUMBER(Lts!$I44), ISNUMBER(Lts!$R44), ISNUMBER(Mid!$X44), ISNUMBER(Futs!$DU44), ISNUMBER(Hvy!$J44), ISNUMBER(Crd!$I44)), 0.15 * Lts!$I44 + 0.2 * Lts!$R44 + 0.2 * Mid!$X44 + 0.3 * Futs!$DU44 + 0.15 * Hvy!$J44 - Crd!$I44, ""), "")</f>
        <v/>
      </c>
      <c r="G44" s="432" t="str">
        <f ca="1">IFERROR(IF(AND(ISNUMBER(Lts!$K44), ISNUMBER(Lts!$T44), ISNUMBER(Mid!$Y44), ISNUMBER(Futs!$DV44), ISNUMBER(Hvy!$L44), ISNUMBER(Crd!$K44)), 0.15 * Lts!$K44 + 0.2 * Lts!$T44 + 0.2 * Mid!$Y44 + 0.3 * Futs!$DV44 + 0.15 * Hvy!$L44 - Crd!$K44, ""), "")</f>
        <v/>
      </c>
    </row>
    <row r="45" spans="1:7" x14ac:dyDescent="0.25">
      <c r="A45" s="58">
        <f t="shared" ca="1" si="5"/>
        <v>47058</v>
      </c>
      <c r="B45" s="6">
        <f t="shared" ca="1" si="3"/>
        <v>2028</v>
      </c>
      <c r="C45" s="6" t="str">
        <f t="shared" ca="1" si="4"/>
        <v>Q428</v>
      </c>
      <c r="D45" s="431" t="str">
        <f ca="1">IFERROR(IF(AND(ISNUMBER(NGL!$S45), ISNUMBER(Lts!$I45), ISNUMBER(Mid!$X45), ISNUMBER(Futs!$DU45), ISNUMBER(Mid!$BL45), ISNUMBER(Mid!$CV45), ISNUMBER(Hvy!$J45), ISNUMBER(Crd!$I45)), 0.0513 * NGL!$S45 + 0.0807 * Lts!$I45 + 0.251 * Lts!$R45 + 0.0935 * Mid!$X45 + 0.292 * (Futs!$DU45 + Mid!$BL45/7.45) + 0.1132 * (Futs!$DU45 + Mid!$CV45/7.45) + 0.1024 * Hvy!$J45 - Crd!$I45, ""), "")</f>
        <v/>
      </c>
      <c r="E45" s="46" t="str">
        <f ca="1">IFERROR(IF(AND(ISNUMBER(NGL!$T45), ISNUMBER(Lts!$K45), ISNUMBER(Lts!$T45), ISNUMBER(Mid!$Y45), ISNUMBER(Futs!$DV45), ISNUMBER(Mid!$BN45), ISNUMBER(Mid!$CX45), ISNUMBER(Hvy!$L45), ISNUMBER(Crd!$K45)), 0.0513 * NGL!$T45 + 0.0807 * Lts!$K45 + 0.251 * Lts!$T45 + 0.0935 * Mid!$Y45 + 0.292 * (Futs!$DV45 + Mid!$BN45/7.45) + 0.1132 * (Futs!$DV45 + Mid!$CX45/7.45) + 0.1024 * Hvy!$L45 - Crd!$K45, ""), "")</f>
        <v/>
      </c>
      <c r="F45" s="427" t="str">
        <f ca="1">IFERROR(IF(AND(ISNUMBER(Lts!$I45), ISNUMBER(Lts!$R45), ISNUMBER(Mid!$X45), ISNUMBER(Futs!$DU45), ISNUMBER(Hvy!$J45), ISNUMBER(Crd!$I45)), 0.15 * Lts!$I45 + 0.2 * Lts!$R45 + 0.2 * Mid!$X45 + 0.3 * Futs!$DU45 + 0.15 * Hvy!$J45 - Crd!$I45, ""), "")</f>
        <v/>
      </c>
      <c r="G45" s="432" t="str">
        <f ca="1">IFERROR(IF(AND(ISNUMBER(Lts!$K45), ISNUMBER(Lts!$T45), ISNUMBER(Mid!$Y45), ISNUMBER(Futs!$DV45), ISNUMBER(Hvy!$L45), ISNUMBER(Crd!$K45)), 0.15 * Lts!$K45 + 0.2 * Lts!$T45 + 0.2 * Mid!$Y45 + 0.3 * Futs!$DV45 + 0.15 * Hvy!$L45 - Crd!$K45, ""), "")</f>
        <v/>
      </c>
    </row>
    <row r="46" spans="1:7" x14ac:dyDescent="0.25">
      <c r="A46" s="58">
        <f t="shared" ca="1" si="5"/>
        <v>47088</v>
      </c>
      <c r="B46" s="6">
        <f t="shared" ca="1" si="3"/>
        <v>2028</v>
      </c>
      <c r="C46" s="6" t="str">
        <f t="shared" ca="1" si="4"/>
        <v>Q428</v>
      </c>
      <c r="D46" s="431" t="str">
        <f ca="1">IFERROR(IF(AND(ISNUMBER(NGL!$S46), ISNUMBER(Lts!$I46), ISNUMBER(Mid!$X46), ISNUMBER(Futs!$DU46), ISNUMBER(Mid!$BL46), ISNUMBER(Mid!$CV46), ISNUMBER(Hvy!$J46), ISNUMBER(Crd!$I46)), 0.0513 * NGL!$S46 + 0.0807 * Lts!$I46 + 0.251 * Lts!$R46 + 0.0935 * Mid!$X46 + 0.292 * (Futs!$DU46 + Mid!$BL46/7.45) + 0.1132 * (Futs!$DU46 + Mid!$CV46/7.45) + 0.1024 * Hvy!$J46 - Crd!$I46, ""), "")</f>
        <v/>
      </c>
      <c r="E46" s="46" t="str">
        <f ca="1">IFERROR(IF(AND(ISNUMBER(NGL!$T46), ISNUMBER(Lts!$K46), ISNUMBER(Lts!$T46), ISNUMBER(Mid!$Y46), ISNUMBER(Futs!$DV46), ISNUMBER(Mid!$BN46), ISNUMBER(Mid!$CX46), ISNUMBER(Hvy!$L46), ISNUMBER(Crd!$K46)), 0.0513 * NGL!$T46 + 0.0807 * Lts!$K46 + 0.251 * Lts!$T46 + 0.0935 * Mid!$Y46 + 0.292 * (Futs!$DV46 + Mid!$BN46/7.45) + 0.1132 * (Futs!$DV46 + Mid!$CX46/7.45) + 0.1024 * Hvy!$L46 - Crd!$K46, ""), "")</f>
        <v/>
      </c>
      <c r="F46" s="427" t="str">
        <f ca="1">IFERROR(IF(AND(ISNUMBER(Lts!$I46), ISNUMBER(Lts!$R46), ISNUMBER(Mid!$X46), ISNUMBER(Futs!$DU46), ISNUMBER(Hvy!$J46), ISNUMBER(Crd!$I46)), 0.15 * Lts!$I46 + 0.2 * Lts!$R46 + 0.2 * Mid!$X46 + 0.3 * Futs!$DU46 + 0.15 * Hvy!$J46 - Crd!$I46, ""), "")</f>
        <v/>
      </c>
      <c r="G46" s="432" t="str">
        <f ca="1">IFERROR(IF(AND(ISNUMBER(Lts!$K46), ISNUMBER(Lts!$T46), ISNUMBER(Mid!$Y46), ISNUMBER(Futs!$DV46), ISNUMBER(Hvy!$L46), ISNUMBER(Crd!$K46)), 0.15 * Lts!$K46 + 0.2 * Lts!$T46 + 0.2 * Mid!$Y46 + 0.3 * Futs!$DV46 + 0.15 * Hvy!$L46 - Crd!$K46, ""), "")</f>
        <v/>
      </c>
    </row>
    <row r="47" spans="1:7" x14ac:dyDescent="0.25">
      <c r="A47" s="58">
        <f t="shared" ca="1" si="5"/>
        <v>47119</v>
      </c>
      <c r="B47" s="6">
        <f t="shared" ca="1" si="3"/>
        <v>2029</v>
      </c>
      <c r="C47" s="6" t="str">
        <f t="shared" ca="1" si="4"/>
        <v>Q129</v>
      </c>
      <c r="D47" s="431" t="str">
        <f ca="1">IFERROR(IF(AND(ISNUMBER(NGL!$S47), ISNUMBER(Lts!$I47), ISNUMBER(Mid!$X47), ISNUMBER(Futs!$DU47), ISNUMBER(Mid!$BL47), ISNUMBER(Mid!$CV47), ISNUMBER(Hvy!$J47), ISNUMBER(Crd!$I47)), 0.0513 * NGL!$S47 + 0.0807 * Lts!$I47 + 0.251 * Lts!$R47 + 0.0935 * Mid!$X47 + 0.292 * (Futs!$DU47 + Mid!$BL47/7.45) + 0.1132 * (Futs!$DU47 + Mid!$CV47/7.45) + 0.1024 * Hvy!$J47 - Crd!$I47, ""), "")</f>
        <v/>
      </c>
      <c r="E47" s="46" t="str">
        <f ca="1">IFERROR(IF(AND(ISNUMBER(NGL!$T47), ISNUMBER(Lts!$K47), ISNUMBER(Lts!$T47), ISNUMBER(Mid!$Y47), ISNUMBER(Futs!$DV47), ISNUMBER(Mid!$BN47), ISNUMBER(Mid!$CX47), ISNUMBER(Hvy!$L47), ISNUMBER(Crd!$K47)), 0.0513 * NGL!$T47 + 0.0807 * Lts!$K47 + 0.251 * Lts!$T47 + 0.0935 * Mid!$Y47 + 0.292 * (Futs!$DV47 + Mid!$BN47/7.45) + 0.1132 * (Futs!$DV47 + Mid!$CX47/7.45) + 0.1024 * Hvy!$L47 - Crd!$K47, ""), "")</f>
        <v/>
      </c>
      <c r="F47" s="427" t="str">
        <f ca="1">IFERROR(IF(AND(ISNUMBER(Lts!$I47), ISNUMBER(Lts!$R47), ISNUMBER(Mid!$X47), ISNUMBER(Futs!$DU47), ISNUMBER(Hvy!$J47), ISNUMBER(Crd!$I47)), 0.15 * Lts!$I47 + 0.2 * Lts!$R47 + 0.2 * Mid!$X47 + 0.3 * Futs!$DU47 + 0.15 * Hvy!$J47 - Crd!$I47, ""), "")</f>
        <v/>
      </c>
      <c r="G47" s="432" t="str">
        <f ca="1">IFERROR(IF(AND(ISNUMBER(Lts!$K47), ISNUMBER(Lts!$T47), ISNUMBER(Mid!$Y47), ISNUMBER(Futs!$DV47), ISNUMBER(Hvy!$L47), ISNUMBER(Crd!$K47)), 0.15 * Lts!$K47 + 0.2 * Lts!$T47 + 0.2 * Mid!$Y47 + 0.3 * Futs!$DV47 + 0.15 * Hvy!$L47 - Crd!$K47, ""), "")</f>
        <v/>
      </c>
    </row>
    <row r="48" spans="1:7" x14ac:dyDescent="0.25">
      <c r="A48" s="58">
        <f t="shared" ca="1" si="5"/>
        <v>47150</v>
      </c>
      <c r="B48" s="6">
        <f t="shared" ca="1" si="3"/>
        <v>2029</v>
      </c>
      <c r="C48" s="6" t="str">
        <f t="shared" ca="1" si="4"/>
        <v>Q129</v>
      </c>
      <c r="D48" s="431" t="str">
        <f ca="1">IFERROR(IF(AND(ISNUMBER(NGL!$S48), ISNUMBER(Lts!$I48), ISNUMBER(Mid!$X48), ISNUMBER(Futs!$DU48), ISNUMBER(Mid!$BL48), ISNUMBER(Mid!$CV48), ISNUMBER(Hvy!$J48), ISNUMBER(Crd!$I48)), 0.0513 * NGL!$S48 + 0.0807 * Lts!$I48 + 0.251 * Lts!$R48 + 0.0935 * Mid!$X48 + 0.292 * (Futs!$DU48 + Mid!$BL48/7.45) + 0.1132 * (Futs!$DU48 + Mid!$CV48/7.45) + 0.1024 * Hvy!$J48 - Crd!$I48, ""), "")</f>
        <v/>
      </c>
      <c r="E48" s="46" t="str">
        <f ca="1">IFERROR(IF(AND(ISNUMBER(NGL!$T48), ISNUMBER(Lts!$K48), ISNUMBER(Lts!$T48), ISNUMBER(Mid!$Y48), ISNUMBER(Futs!$DV48), ISNUMBER(Mid!$BN48), ISNUMBER(Mid!$CX48), ISNUMBER(Hvy!$L48), ISNUMBER(Crd!$K48)), 0.0513 * NGL!$T48 + 0.0807 * Lts!$K48 + 0.251 * Lts!$T48 + 0.0935 * Mid!$Y48 + 0.292 * (Futs!$DV48 + Mid!$BN48/7.45) + 0.1132 * (Futs!$DV48 + Mid!$CX48/7.45) + 0.1024 * Hvy!$L48 - Crd!$K48, ""), "")</f>
        <v/>
      </c>
      <c r="F48" s="427" t="str">
        <f ca="1">IFERROR(IF(AND(ISNUMBER(Lts!$I48), ISNUMBER(Lts!$R48), ISNUMBER(Mid!$X48), ISNUMBER(Futs!$DU48), ISNUMBER(Hvy!$J48), ISNUMBER(Crd!$I48)), 0.15 * Lts!$I48 + 0.2 * Lts!$R48 + 0.2 * Mid!$X48 + 0.3 * Futs!$DU48 + 0.15 * Hvy!$J48 - Crd!$I48, ""), "")</f>
        <v/>
      </c>
      <c r="G48" s="432" t="str">
        <f ca="1">IFERROR(IF(AND(ISNUMBER(Lts!$K48), ISNUMBER(Lts!$T48), ISNUMBER(Mid!$Y48), ISNUMBER(Futs!$DV48), ISNUMBER(Hvy!$L48), ISNUMBER(Crd!$K48)), 0.15 * Lts!$K48 + 0.2 * Lts!$T48 + 0.2 * Mid!$Y48 + 0.3 * Futs!$DV48 + 0.15 * Hvy!$L48 - Crd!$K48, ""), "")</f>
        <v/>
      </c>
    </row>
    <row r="49" spans="1:7" x14ac:dyDescent="0.25">
      <c r="A49" s="58">
        <f t="shared" ca="1" si="5"/>
        <v>47178</v>
      </c>
      <c r="B49" s="6">
        <f t="shared" ca="1" si="3"/>
        <v>2029</v>
      </c>
      <c r="C49" s="6" t="str">
        <f t="shared" ca="1" si="4"/>
        <v>Q129</v>
      </c>
      <c r="D49" s="431" t="str">
        <f ca="1">IFERROR(IF(AND(ISNUMBER(NGL!$S49), ISNUMBER(Lts!$I49), ISNUMBER(Mid!$X49), ISNUMBER(Futs!$DU49), ISNUMBER(Mid!$BL49), ISNUMBER(Mid!$CV49), ISNUMBER(Hvy!$J49), ISNUMBER(Crd!$I49)), 0.0513 * NGL!$S49 + 0.0807 * Lts!$I49 + 0.251 * Lts!$R49 + 0.0935 * Mid!$X49 + 0.292 * (Futs!$DU49 + Mid!$BL49/7.45) + 0.1132 * (Futs!$DU49 + Mid!$CV49/7.45) + 0.1024 * Hvy!$J49 - Crd!$I49, ""), "")</f>
        <v/>
      </c>
      <c r="E49" s="46" t="str">
        <f ca="1">IFERROR(IF(AND(ISNUMBER(NGL!$T49), ISNUMBER(Lts!$K49), ISNUMBER(Lts!$T49), ISNUMBER(Mid!$Y49), ISNUMBER(Futs!$DV49), ISNUMBER(Mid!$BN49), ISNUMBER(Mid!$CX49), ISNUMBER(Hvy!$L49), ISNUMBER(Crd!$K49)), 0.0513 * NGL!$T49 + 0.0807 * Lts!$K49 + 0.251 * Lts!$T49 + 0.0935 * Mid!$Y49 + 0.292 * (Futs!$DV49 + Mid!$BN49/7.45) + 0.1132 * (Futs!$DV49 + Mid!$CX49/7.45) + 0.1024 * Hvy!$L49 - Crd!$K49, ""), "")</f>
        <v/>
      </c>
      <c r="F49" s="427" t="str">
        <f ca="1">IFERROR(IF(AND(ISNUMBER(Lts!$I49), ISNUMBER(Lts!$R49), ISNUMBER(Mid!$X49), ISNUMBER(Futs!$DU49), ISNUMBER(Hvy!$J49), ISNUMBER(Crd!$I49)), 0.15 * Lts!$I49 + 0.2 * Lts!$R49 + 0.2 * Mid!$X49 + 0.3 * Futs!$DU49 + 0.15 * Hvy!$J49 - Crd!$I49, ""), "")</f>
        <v/>
      </c>
      <c r="G49" s="432" t="str">
        <f ca="1">IFERROR(IF(AND(ISNUMBER(Lts!$K49), ISNUMBER(Lts!$T49), ISNUMBER(Mid!$Y49), ISNUMBER(Futs!$DV49), ISNUMBER(Hvy!$L49), ISNUMBER(Crd!$K49)), 0.15 * Lts!$K49 + 0.2 * Lts!$T49 + 0.2 * Mid!$Y49 + 0.3 * Futs!$DV49 + 0.15 * Hvy!$L49 - Crd!$K49, ""), "")</f>
        <v/>
      </c>
    </row>
    <row r="50" spans="1:7" x14ac:dyDescent="0.25">
      <c r="A50" s="58">
        <f t="shared" ca="1" si="5"/>
        <v>47209</v>
      </c>
      <c r="B50" s="6">
        <f t="shared" ca="1" si="3"/>
        <v>2029</v>
      </c>
      <c r="C50" s="6" t="str">
        <f t="shared" ca="1" si="4"/>
        <v>Q229</v>
      </c>
      <c r="D50" s="431" t="str">
        <f ca="1">IFERROR(IF(AND(ISNUMBER(NGL!$S50), ISNUMBER(Lts!$I50), ISNUMBER(Mid!$X50), ISNUMBER(Futs!$DU50), ISNUMBER(Mid!$BL50), ISNUMBER(Mid!$CV50), ISNUMBER(Hvy!$J50), ISNUMBER(Crd!$I50)), 0.0513 * NGL!$S50 + 0.0807 * Lts!$I50 + 0.251 * Lts!$R50 + 0.0935 * Mid!$X50 + 0.292 * (Futs!$DU50 + Mid!$BL50/7.45) + 0.1132 * (Futs!$DU50 + Mid!$CV50/7.45) + 0.1024 * Hvy!$J50 - Crd!$I50, ""), "")</f>
        <v/>
      </c>
      <c r="E50" s="46" t="str">
        <f ca="1">IFERROR(IF(AND(ISNUMBER(NGL!$T50), ISNUMBER(Lts!$K50), ISNUMBER(Lts!$T50), ISNUMBER(Mid!$Y50), ISNUMBER(Futs!$DV50), ISNUMBER(Mid!$BN50), ISNUMBER(Mid!$CX50), ISNUMBER(Hvy!$L50), ISNUMBER(Crd!$K50)), 0.0513 * NGL!$T50 + 0.0807 * Lts!$K50 + 0.251 * Lts!$T50 + 0.0935 * Mid!$Y50 + 0.292 * (Futs!$DV50 + Mid!$BN50/7.45) + 0.1132 * (Futs!$DV50 + Mid!$CX50/7.45) + 0.1024 * Hvy!$L50 - Crd!$K50, ""), "")</f>
        <v/>
      </c>
      <c r="F50" s="427" t="str">
        <f ca="1">IFERROR(IF(AND(ISNUMBER(Lts!$I50), ISNUMBER(Lts!$R50), ISNUMBER(Mid!$X50), ISNUMBER(Futs!$DU50), ISNUMBER(Hvy!$J50), ISNUMBER(Crd!$I50)), 0.15 * Lts!$I50 + 0.2 * Lts!$R50 + 0.2 * Mid!$X50 + 0.3 * Futs!$DU50 + 0.15 * Hvy!$J50 - Crd!$I50, ""), "")</f>
        <v/>
      </c>
      <c r="G50" s="432" t="str">
        <f ca="1">IFERROR(IF(AND(ISNUMBER(Lts!$K50), ISNUMBER(Lts!$T50), ISNUMBER(Mid!$Y50), ISNUMBER(Futs!$DV50), ISNUMBER(Hvy!$L50), ISNUMBER(Crd!$K50)), 0.15 * Lts!$K50 + 0.2 * Lts!$T50 + 0.2 * Mid!$Y50 + 0.3 * Futs!$DV50 + 0.15 * Hvy!$L50 - Crd!$K50, ""), "")</f>
        <v/>
      </c>
    </row>
    <row r="51" spans="1:7" x14ac:dyDescent="0.25">
      <c r="A51" s="58">
        <f t="shared" ca="1" si="5"/>
        <v>47239</v>
      </c>
      <c r="B51" s="6">
        <f t="shared" ca="1" si="3"/>
        <v>2029</v>
      </c>
      <c r="C51" s="6" t="str">
        <f t="shared" ca="1" si="4"/>
        <v>Q229</v>
      </c>
      <c r="D51" s="431" t="str">
        <f ca="1">IFERROR(IF(AND(ISNUMBER(NGL!$S51), ISNUMBER(Lts!$I51), ISNUMBER(Mid!$X51), ISNUMBER(Futs!$DU51), ISNUMBER(Mid!$BL51), ISNUMBER(Mid!$CV51), ISNUMBER(Hvy!$J51), ISNUMBER(Crd!$I51)), 0.0513 * NGL!$S51 + 0.0807 * Lts!$I51 + 0.251 * Lts!$R51 + 0.0935 * Mid!$X51 + 0.292 * (Futs!$DU51 + Mid!$BL51/7.45) + 0.1132 * (Futs!$DU51 + Mid!$CV51/7.45) + 0.1024 * Hvy!$J51 - Crd!$I51, ""), "")</f>
        <v/>
      </c>
      <c r="E51" s="46" t="str">
        <f ca="1">IFERROR(IF(AND(ISNUMBER(NGL!$T51), ISNUMBER(Lts!$K51), ISNUMBER(Lts!$T51), ISNUMBER(Mid!$Y51), ISNUMBER(Futs!$DV51), ISNUMBER(Mid!$BN51), ISNUMBER(Mid!$CX51), ISNUMBER(Hvy!$L51), ISNUMBER(Crd!$K51)), 0.0513 * NGL!$T51 + 0.0807 * Lts!$K51 + 0.251 * Lts!$T51 + 0.0935 * Mid!$Y51 + 0.292 * (Futs!$DV51 + Mid!$BN51/7.45) + 0.1132 * (Futs!$DV51 + Mid!$CX51/7.45) + 0.1024 * Hvy!$L51 - Crd!$K51, ""), "")</f>
        <v/>
      </c>
      <c r="F51" s="427" t="str">
        <f ca="1">IFERROR(IF(AND(ISNUMBER(Lts!$I51), ISNUMBER(Lts!$R51), ISNUMBER(Mid!$X51), ISNUMBER(Futs!$DU51), ISNUMBER(Hvy!$J51), ISNUMBER(Crd!$I51)), 0.15 * Lts!$I51 + 0.2 * Lts!$R51 + 0.2 * Mid!$X51 + 0.3 * Futs!$DU51 + 0.15 * Hvy!$J51 - Crd!$I51, ""), "")</f>
        <v/>
      </c>
      <c r="G51" s="432" t="str">
        <f ca="1">IFERROR(IF(AND(ISNUMBER(Lts!$K51), ISNUMBER(Lts!$T51), ISNUMBER(Mid!$Y51), ISNUMBER(Futs!$DV51), ISNUMBER(Hvy!$L51), ISNUMBER(Crd!$K51)), 0.15 * Lts!$K51 + 0.2 * Lts!$T51 + 0.2 * Mid!$Y51 + 0.3 * Futs!$DV51 + 0.15 * Hvy!$L51 - Crd!$K51, ""), "")</f>
        <v/>
      </c>
    </row>
    <row r="52" spans="1:7" x14ac:dyDescent="0.25">
      <c r="A52" s="58">
        <f t="shared" ca="1" si="5"/>
        <v>47270</v>
      </c>
      <c r="B52" s="6">
        <f t="shared" ca="1" si="3"/>
        <v>2029</v>
      </c>
      <c r="C52" s="6" t="str">
        <f t="shared" ca="1" si="4"/>
        <v>Q229</v>
      </c>
      <c r="D52" s="431" t="str">
        <f ca="1">IFERROR(IF(AND(ISNUMBER(NGL!$S52), ISNUMBER(Lts!$I52), ISNUMBER(Mid!$X52), ISNUMBER(Futs!$DU52), ISNUMBER(Mid!$BL52), ISNUMBER(Mid!$CV52), ISNUMBER(Hvy!$J52), ISNUMBER(Crd!$I52)), 0.0513 * NGL!$S52 + 0.0807 * Lts!$I52 + 0.251 * Lts!$R52 + 0.0935 * Mid!$X52 + 0.292 * (Futs!$DU52 + Mid!$BL52/7.45) + 0.1132 * (Futs!$DU52 + Mid!$CV52/7.45) + 0.1024 * Hvy!$J52 - Crd!$I52, ""), "")</f>
        <v/>
      </c>
      <c r="E52" s="46" t="str">
        <f ca="1">IFERROR(IF(AND(ISNUMBER(NGL!$T52), ISNUMBER(Lts!$K52), ISNUMBER(Lts!$T52), ISNUMBER(Mid!$Y52), ISNUMBER(Futs!$DV52), ISNUMBER(Mid!$BN52), ISNUMBER(Mid!$CX52), ISNUMBER(Hvy!$L52), ISNUMBER(Crd!$K52)), 0.0513 * NGL!$T52 + 0.0807 * Lts!$K52 + 0.251 * Lts!$T52 + 0.0935 * Mid!$Y52 + 0.292 * (Futs!$DV52 + Mid!$BN52/7.45) + 0.1132 * (Futs!$DV52 + Mid!$CX52/7.45) + 0.1024 * Hvy!$L52 - Crd!$K52, ""), "")</f>
        <v/>
      </c>
      <c r="F52" s="427" t="str">
        <f ca="1">IFERROR(IF(AND(ISNUMBER(Lts!$I52), ISNUMBER(Lts!$R52), ISNUMBER(Mid!$X52), ISNUMBER(Futs!$DU52), ISNUMBER(Hvy!$J52), ISNUMBER(Crd!$I52)), 0.15 * Lts!$I52 + 0.2 * Lts!$R52 + 0.2 * Mid!$X52 + 0.3 * Futs!$DU52 + 0.15 * Hvy!$J52 - Crd!$I52, ""), "")</f>
        <v/>
      </c>
      <c r="G52" s="432" t="str">
        <f ca="1">IFERROR(IF(AND(ISNUMBER(Lts!$K52), ISNUMBER(Lts!$T52), ISNUMBER(Mid!$Y52), ISNUMBER(Futs!$DV52), ISNUMBER(Hvy!$L52), ISNUMBER(Crd!$K52)), 0.15 * Lts!$K52 + 0.2 * Lts!$T52 + 0.2 * Mid!$Y52 + 0.3 * Futs!$DV52 + 0.15 * Hvy!$L52 - Crd!$K52, ""), "")</f>
        <v/>
      </c>
    </row>
    <row r="53" spans="1:7" x14ac:dyDescent="0.25">
      <c r="A53" s="58">
        <f t="shared" ca="1" si="5"/>
        <v>47300</v>
      </c>
      <c r="B53" s="6">
        <f t="shared" ca="1" si="3"/>
        <v>2029</v>
      </c>
      <c r="C53" s="6" t="str">
        <f t="shared" ca="1" si="4"/>
        <v>Q329</v>
      </c>
      <c r="D53" s="431" t="str">
        <f ca="1">IFERROR(IF(AND(ISNUMBER(NGL!$S53), ISNUMBER(Lts!$I53), ISNUMBER(Mid!$X53), ISNUMBER(Futs!$DU53), ISNUMBER(Mid!$BL53), ISNUMBER(Mid!$CV53), ISNUMBER(Hvy!$J53), ISNUMBER(Crd!$I53)), 0.0513 * NGL!$S53 + 0.0807 * Lts!$I53 + 0.251 * Lts!$R53 + 0.0935 * Mid!$X53 + 0.292 * (Futs!$DU53 + Mid!$BL53/7.45) + 0.1132 * (Futs!$DU53 + Mid!$CV53/7.45) + 0.1024 * Hvy!$J53 - Crd!$I53, ""), "")</f>
        <v/>
      </c>
      <c r="E53" s="46" t="str">
        <f ca="1">IFERROR(IF(AND(ISNUMBER(NGL!$T53), ISNUMBER(Lts!$K53), ISNUMBER(Lts!$T53), ISNUMBER(Mid!$Y53), ISNUMBER(Futs!$DV53), ISNUMBER(Mid!$BN53), ISNUMBER(Mid!$CX53), ISNUMBER(Hvy!$L53), ISNUMBER(Crd!$K53)), 0.0513 * NGL!$T53 + 0.0807 * Lts!$K53 + 0.251 * Lts!$T53 + 0.0935 * Mid!$Y53 + 0.292 * (Futs!$DV53 + Mid!$BN53/7.45) + 0.1132 * (Futs!$DV53 + Mid!$CX53/7.45) + 0.1024 * Hvy!$L53 - Crd!$K53, ""), "")</f>
        <v/>
      </c>
      <c r="F53" s="427" t="str">
        <f ca="1">IFERROR(IF(AND(ISNUMBER(Lts!$I53), ISNUMBER(Lts!$R53), ISNUMBER(Mid!$X53), ISNUMBER(Futs!$DU53), ISNUMBER(Hvy!$J53), ISNUMBER(Crd!$I53)), 0.15 * Lts!$I53 + 0.2 * Lts!$R53 + 0.2 * Mid!$X53 + 0.3 * Futs!$DU53 + 0.15 * Hvy!$J53 - Crd!$I53, ""), "")</f>
        <v/>
      </c>
      <c r="G53" s="432" t="str">
        <f ca="1">IFERROR(IF(AND(ISNUMBER(Lts!$K53), ISNUMBER(Lts!$T53), ISNUMBER(Mid!$Y53), ISNUMBER(Futs!$DV53), ISNUMBER(Hvy!$L53), ISNUMBER(Crd!$K53)), 0.15 * Lts!$K53 + 0.2 * Lts!$T53 + 0.2 * Mid!$Y53 + 0.3 * Futs!$DV53 + 0.15 * Hvy!$L53 - Crd!$K53, ""), "")</f>
        <v/>
      </c>
    </row>
    <row r="54" spans="1:7" x14ac:dyDescent="0.25">
      <c r="A54" s="58">
        <f t="shared" ca="1" si="5"/>
        <v>47331</v>
      </c>
      <c r="B54" s="6">
        <f t="shared" ca="1" si="3"/>
        <v>2029</v>
      </c>
      <c r="C54" s="6" t="str">
        <f t="shared" ca="1" si="4"/>
        <v>Q329</v>
      </c>
      <c r="D54" s="431" t="str">
        <f ca="1">IFERROR(IF(AND(ISNUMBER(NGL!$S54), ISNUMBER(Lts!$I54), ISNUMBER(Mid!$X54), ISNUMBER(Futs!$DU54), ISNUMBER(Mid!$BL54), ISNUMBER(Mid!$CV54), ISNUMBER(Hvy!$J54), ISNUMBER(Crd!$I54)), 0.0513 * NGL!$S54 + 0.0807 * Lts!$I54 + 0.251 * Lts!$R54 + 0.0935 * Mid!$X54 + 0.292 * (Futs!$DU54 + Mid!$BL54/7.45) + 0.1132 * (Futs!$DU54 + Mid!$CV54/7.45) + 0.1024 * Hvy!$J54 - Crd!$I54, ""), "")</f>
        <v/>
      </c>
      <c r="E54" s="46" t="str">
        <f ca="1">IFERROR(IF(AND(ISNUMBER(NGL!$T54), ISNUMBER(Lts!$K54), ISNUMBER(Lts!$T54), ISNUMBER(Mid!$Y54), ISNUMBER(Futs!$DV54), ISNUMBER(Mid!$BN54), ISNUMBER(Mid!$CX54), ISNUMBER(Hvy!$L54), ISNUMBER(Crd!$K54)), 0.0513 * NGL!$T54 + 0.0807 * Lts!$K54 + 0.251 * Lts!$T54 + 0.0935 * Mid!$Y54 + 0.292 * (Futs!$DV54 + Mid!$BN54/7.45) + 0.1132 * (Futs!$DV54 + Mid!$CX54/7.45) + 0.1024 * Hvy!$L54 - Crd!$K54, ""), "")</f>
        <v/>
      </c>
      <c r="F54" s="427" t="str">
        <f ca="1">IFERROR(IF(AND(ISNUMBER(Lts!$I54), ISNUMBER(Lts!$R54), ISNUMBER(Mid!$X54), ISNUMBER(Futs!$DU54), ISNUMBER(Hvy!$J54), ISNUMBER(Crd!$I54)), 0.15 * Lts!$I54 + 0.2 * Lts!$R54 + 0.2 * Mid!$X54 + 0.3 * Futs!$DU54 + 0.15 * Hvy!$J54 - Crd!$I54, ""), "")</f>
        <v/>
      </c>
      <c r="G54" s="432" t="str">
        <f ca="1">IFERROR(IF(AND(ISNUMBER(Lts!$K54), ISNUMBER(Lts!$T54), ISNUMBER(Mid!$Y54), ISNUMBER(Futs!$DV54), ISNUMBER(Hvy!$L54), ISNUMBER(Crd!$K54)), 0.15 * Lts!$K54 + 0.2 * Lts!$T54 + 0.2 * Mid!$Y54 + 0.3 * Futs!$DV54 + 0.15 * Hvy!$L54 - Crd!$K54, ""), "")</f>
        <v/>
      </c>
    </row>
    <row r="55" spans="1:7" x14ac:dyDescent="0.25">
      <c r="A55" s="58">
        <f t="shared" ca="1" si="5"/>
        <v>47362</v>
      </c>
      <c r="B55" s="6">
        <f t="shared" ca="1" si="3"/>
        <v>2029</v>
      </c>
      <c r="C55" s="6" t="str">
        <f t="shared" ca="1" si="4"/>
        <v>Q329</v>
      </c>
      <c r="D55" s="431" t="str">
        <f ca="1">IFERROR(IF(AND(ISNUMBER(NGL!$S55), ISNUMBER(Lts!$I55), ISNUMBER(Mid!$X55), ISNUMBER(Futs!$DU55), ISNUMBER(Mid!$BL55), ISNUMBER(Mid!$CV55), ISNUMBER(Hvy!$J55), ISNUMBER(Crd!$I55)), 0.0513 * NGL!$S55 + 0.0807 * Lts!$I55 + 0.251 * Lts!$R55 + 0.0935 * Mid!$X55 + 0.292 * (Futs!$DU55 + Mid!$BL55/7.45) + 0.1132 * (Futs!$DU55 + Mid!$CV55/7.45) + 0.1024 * Hvy!$J55 - Crd!$I55, ""), "")</f>
        <v/>
      </c>
      <c r="E55" s="46" t="str">
        <f ca="1">IFERROR(IF(AND(ISNUMBER(NGL!$T55), ISNUMBER(Lts!$K55), ISNUMBER(Lts!$T55), ISNUMBER(Mid!$Y55), ISNUMBER(Futs!$DV55), ISNUMBER(Mid!$BN55), ISNUMBER(Mid!$CX55), ISNUMBER(Hvy!$L55), ISNUMBER(Crd!$K55)), 0.0513 * NGL!$T55 + 0.0807 * Lts!$K55 + 0.251 * Lts!$T55 + 0.0935 * Mid!$Y55 + 0.292 * (Futs!$DV55 + Mid!$BN55/7.45) + 0.1132 * (Futs!$DV55 + Mid!$CX55/7.45) + 0.1024 * Hvy!$L55 - Crd!$K55, ""), "")</f>
        <v/>
      </c>
      <c r="F55" s="427" t="str">
        <f ca="1">IFERROR(IF(AND(ISNUMBER(Lts!$I55), ISNUMBER(Lts!$R55), ISNUMBER(Mid!$X55), ISNUMBER(Futs!$DU55), ISNUMBER(Hvy!$J55), ISNUMBER(Crd!$I55)), 0.15 * Lts!$I55 + 0.2 * Lts!$R55 + 0.2 * Mid!$X55 + 0.3 * Futs!$DU55 + 0.15 * Hvy!$J55 - Crd!$I55, ""), "")</f>
        <v/>
      </c>
      <c r="G55" s="432" t="str">
        <f ca="1">IFERROR(IF(AND(ISNUMBER(Lts!$K55), ISNUMBER(Lts!$T55), ISNUMBER(Mid!$Y55), ISNUMBER(Futs!$DV55), ISNUMBER(Hvy!$L55), ISNUMBER(Crd!$K55)), 0.15 * Lts!$K55 + 0.2 * Lts!$T55 + 0.2 * Mid!$Y55 + 0.3 * Futs!$DV55 + 0.15 * Hvy!$L55 - Crd!$K55, ""), "")</f>
        <v/>
      </c>
    </row>
    <row r="56" spans="1:7" x14ac:dyDescent="0.25">
      <c r="A56" s="58">
        <f t="shared" ca="1" si="5"/>
        <v>47392</v>
      </c>
      <c r="B56" s="6">
        <f t="shared" ca="1" si="3"/>
        <v>2029</v>
      </c>
      <c r="C56" s="6" t="str">
        <f t="shared" ca="1" si="4"/>
        <v>Q429</v>
      </c>
      <c r="D56" s="431" t="str">
        <f ca="1">IFERROR(IF(AND(ISNUMBER(NGL!$S56), ISNUMBER(Lts!$I56), ISNUMBER(Mid!$X56), ISNUMBER(Futs!$DU56), ISNUMBER(Mid!$BL56), ISNUMBER(Mid!$CV56), ISNUMBER(Hvy!$J56), ISNUMBER(Crd!$I56)), 0.0513 * NGL!$S56 + 0.0807 * Lts!$I56 + 0.251 * Lts!$R56 + 0.0935 * Mid!$X56 + 0.292 * (Futs!$DU56 + Mid!$BL56/7.45) + 0.1132 * (Futs!$DU56 + Mid!$CV56/7.45) + 0.1024 * Hvy!$J56 - Crd!$I56, ""), "")</f>
        <v/>
      </c>
      <c r="E56" s="46" t="str">
        <f ca="1">IFERROR(IF(AND(ISNUMBER(NGL!$T56), ISNUMBER(Lts!$K56), ISNUMBER(Lts!$T56), ISNUMBER(Mid!$Y56), ISNUMBER(Futs!$DV56), ISNUMBER(Mid!$BN56), ISNUMBER(Mid!$CX56), ISNUMBER(Hvy!$L56), ISNUMBER(Crd!$K56)), 0.0513 * NGL!$T56 + 0.0807 * Lts!$K56 + 0.251 * Lts!$T56 + 0.0935 * Mid!$Y56 + 0.292 * (Futs!$DV56 + Mid!$BN56/7.45) + 0.1132 * (Futs!$DV56 + Mid!$CX56/7.45) + 0.1024 * Hvy!$L56 - Crd!$K56, ""), "")</f>
        <v/>
      </c>
      <c r="F56" s="427" t="str">
        <f ca="1">IFERROR(IF(AND(ISNUMBER(Lts!$I56), ISNUMBER(Lts!$R56), ISNUMBER(Mid!$X56), ISNUMBER(Futs!$DU56), ISNUMBER(Hvy!$J56), ISNUMBER(Crd!$I56)), 0.15 * Lts!$I56 + 0.2 * Lts!$R56 + 0.2 * Mid!$X56 + 0.3 * Futs!$DU56 + 0.15 * Hvy!$J56 - Crd!$I56, ""), "")</f>
        <v/>
      </c>
      <c r="G56" s="432" t="str">
        <f ca="1">IFERROR(IF(AND(ISNUMBER(Lts!$K56), ISNUMBER(Lts!$T56), ISNUMBER(Mid!$Y56), ISNUMBER(Futs!$DV56), ISNUMBER(Hvy!$L56), ISNUMBER(Crd!$K56)), 0.15 * Lts!$K56 + 0.2 * Lts!$T56 + 0.2 * Mid!$Y56 + 0.3 * Futs!$DV56 + 0.15 * Hvy!$L56 - Crd!$K56, ""), "")</f>
        <v/>
      </c>
    </row>
    <row r="57" spans="1:7" x14ac:dyDescent="0.25">
      <c r="A57" s="58">
        <f t="shared" ca="1" si="5"/>
        <v>47423</v>
      </c>
      <c r="B57" s="6">
        <f t="shared" ca="1" si="3"/>
        <v>2029</v>
      </c>
      <c r="C57" s="6" t="str">
        <f t="shared" ca="1" si="4"/>
        <v>Q429</v>
      </c>
      <c r="D57" s="431" t="str">
        <f ca="1">IFERROR(IF(AND(ISNUMBER(NGL!$S57), ISNUMBER(Lts!$I57), ISNUMBER(Mid!$X57), ISNUMBER(Futs!$DU57), ISNUMBER(Mid!$BL57), ISNUMBER(Mid!$CV57), ISNUMBER(Hvy!$J57), ISNUMBER(Crd!$I57)), 0.0513 * NGL!$S57 + 0.0807 * Lts!$I57 + 0.251 * Lts!$R57 + 0.0935 * Mid!$X57 + 0.292 * (Futs!$DU57 + Mid!$BL57/7.45) + 0.1132 * (Futs!$DU57 + Mid!$CV57/7.45) + 0.1024 * Hvy!$J57 - Crd!$I57, ""), "")</f>
        <v/>
      </c>
      <c r="E57" s="46" t="str">
        <f ca="1">IFERROR(IF(AND(ISNUMBER(NGL!$T57), ISNUMBER(Lts!$K57), ISNUMBER(Lts!$T57), ISNUMBER(Mid!$Y57), ISNUMBER(Futs!$DV57), ISNUMBER(Mid!$BN57), ISNUMBER(Mid!$CX57), ISNUMBER(Hvy!$L57), ISNUMBER(Crd!$K57)), 0.0513 * NGL!$T57 + 0.0807 * Lts!$K57 + 0.251 * Lts!$T57 + 0.0935 * Mid!$Y57 + 0.292 * (Futs!$DV57 + Mid!$BN57/7.45) + 0.1132 * (Futs!$DV57 + Mid!$CX57/7.45) + 0.1024 * Hvy!$L57 - Crd!$K57, ""), "")</f>
        <v/>
      </c>
      <c r="F57" s="427" t="str">
        <f ca="1">IFERROR(IF(AND(ISNUMBER(Lts!$I57), ISNUMBER(Lts!$R57), ISNUMBER(Mid!$X57), ISNUMBER(Futs!$DU57), ISNUMBER(Hvy!$J57), ISNUMBER(Crd!$I57)), 0.15 * Lts!$I57 + 0.2 * Lts!$R57 + 0.2 * Mid!$X57 + 0.3 * Futs!$DU57 + 0.15 * Hvy!$J57 - Crd!$I57, ""), "")</f>
        <v/>
      </c>
      <c r="G57" s="432" t="str">
        <f ca="1">IFERROR(IF(AND(ISNUMBER(Lts!$K57), ISNUMBER(Lts!$T57), ISNUMBER(Mid!$Y57), ISNUMBER(Futs!$DV57), ISNUMBER(Hvy!$L57), ISNUMBER(Crd!$K57)), 0.15 * Lts!$K57 + 0.2 * Lts!$T57 + 0.2 * Mid!$Y57 + 0.3 * Futs!$DV57 + 0.15 * Hvy!$L57 - Crd!$K57, ""), "")</f>
        <v/>
      </c>
    </row>
    <row r="58" spans="1:7" x14ac:dyDescent="0.25">
      <c r="A58" s="58">
        <f t="shared" ca="1" si="5"/>
        <v>47453</v>
      </c>
      <c r="B58" s="6">
        <f t="shared" ca="1" si="3"/>
        <v>2029</v>
      </c>
      <c r="C58" s="6" t="str">
        <f t="shared" ca="1" si="4"/>
        <v>Q429</v>
      </c>
      <c r="D58" s="431" t="str">
        <f ca="1">IFERROR(IF(AND(ISNUMBER(NGL!$S58), ISNUMBER(Lts!$I58), ISNUMBER(Mid!$X58), ISNUMBER(Futs!$DU58), ISNUMBER(Mid!$BL58), ISNUMBER(Mid!$CV58), ISNUMBER(Hvy!$J58), ISNUMBER(Crd!$I58)), 0.0513 * NGL!$S58 + 0.0807 * Lts!$I58 + 0.251 * Lts!$R58 + 0.0935 * Mid!$X58 + 0.292 * (Futs!$DU58 + Mid!$BL58/7.45) + 0.1132 * (Futs!$DU58 + Mid!$CV58/7.45) + 0.1024 * Hvy!$J58 - Crd!$I58, ""), "")</f>
        <v/>
      </c>
      <c r="E58" s="46" t="str">
        <f ca="1">IFERROR(IF(AND(ISNUMBER(NGL!$T58), ISNUMBER(Lts!$K58), ISNUMBER(Lts!$T58), ISNUMBER(Mid!$Y58), ISNUMBER(Futs!$DV58), ISNUMBER(Mid!$BN58), ISNUMBER(Mid!$CX58), ISNUMBER(Hvy!$L58), ISNUMBER(Crd!$K58)), 0.0513 * NGL!$T58 + 0.0807 * Lts!$K58 + 0.251 * Lts!$T58 + 0.0935 * Mid!$Y58 + 0.292 * (Futs!$DV58 + Mid!$BN58/7.45) + 0.1132 * (Futs!$DV58 + Mid!$CX58/7.45) + 0.1024 * Hvy!$L58 - Crd!$K58, ""), "")</f>
        <v/>
      </c>
      <c r="F58" s="427" t="str">
        <f ca="1">IFERROR(IF(AND(ISNUMBER(Lts!$I58), ISNUMBER(Lts!$R58), ISNUMBER(Mid!$X58), ISNUMBER(Futs!$DU58), ISNUMBER(Hvy!$J58), ISNUMBER(Crd!$I58)), 0.15 * Lts!$I58 + 0.2 * Lts!$R58 + 0.2 * Mid!$X58 + 0.3 * Futs!$DU58 + 0.15 * Hvy!$J58 - Crd!$I58, ""), "")</f>
        <v/>
      </c>
      <c r="G58" s="432" t="str">
        <f ca="1">IFERROR(IF(AND(ISNUMBER(Lts!$K58), ISNUMBER(Lts!$T58), ISNUMBER(Mid!$Y58), ISNUMBER(Futs!$DV58), ISNUMBER(Hvy!$L58), ISNUMBER(Crd!$K58)), 0.15 * Lts!$K58 + 0.2 * Lts!$T58 + 0.2 * Mid!$Y58 + 0.3 * Futs!$DV58 + 0.15 * Hvy!$L58 - Crd!$K58, ""), "")</f>
        <v/>
      </c>
    </row>
    <row r="59" spans="1:7" x14ac:dyDescent="0.25">
      <c r="A59" s="58">
        <f t="shared" ca="1" si="5"/>
        <v>47484</v>
      </c>
      <c r="B59" s="6">
        <f t="shared" ca="1" si="3"/>
        <v>2030</v>
      </c>
      <c r="C59" s="6" t="str">
        <f t="shared" ca="1" si="4"/>
        <v>Q130</v>
      </c>
      <c r="D59" s="431" t="str">
        <f ca="1">IFERROR(IF(AND(ISNUMBER(NGL!$S59), ISNUMBER(Lts!$I59), ISNUMBER(Mid!$X59), ISNUMBER(Futs!$DU59), ISNUMBER(Mid!$BL59), ISNUMBER(Mid!$CV59), ISNUMBER(Hvy!$J59), ISNUMBER(Crd!$I59)), 0.0513 * NGL!$S59 + 0.0807 * Lts!$I59 + 0.251 * Lts!$R59 + 0.0935 * Mid!$X59 + 0.292 * (Futs!$DU59 + Mid!$BL59/7.45) + 0.1132 * (Futs!$DU59 + Mid!$CV59/7.45) + 0.1024 * Hvy!$J59 - Crd!$I59, ""), "")</f>
        <v/>
      </c>
      <c r="E59" s="46" t="str">
        <f ca="1">IFERROR(IF(AND(ISNUMBER(NGL!$T59), ISNUMBER(Lts!$K59), ISNUMBER(Lts!$T59), ISNUMBER(Mid!$Y59), ISNUMBER(Futs!$DV59), ISNUMBER(Mid!$BN59), ISNUMBER(Mid!$CX59), ISNUMBER(Hvy!$L59), ISNUMBER(Crd!$K59)), 0.0513 * NGL!$T59 + 0.0807 * Lts!$K59 + 0.251 * Lts!$T59 + 0.0935 * Mid!$Y59 + 0.292 * (Futs!$DV59 + Mid!$BN59/7.45) + 0.1132 * (Futs!$DV59 + Mid!$CX59/7.45) + 0.1024 * Hvy!$L59 - Crd!$K59, ""), "")</f>
        <v/>
      </c>
      <c r="F59" s="427" t="str">
        <f ca="1">IFERROR(IF(AND(ISNUMBER(Lts!$I59), ISNUMBER(Lts!$R59), ISNUMBER(Mid!$X59), ISNUMBER(Futs!$DU59), ISNUMBER(Hvy!$J59), ISNUMBER(Crd!$I59)), 0.15 * Lts!$I59 + 0.2 * Lts!$R59 + 0.2 * Mid!$X59 + 0.3 * Futs!$DU59 + 0.15 * Hvy!$J59 - Crd!$I59, ""), "")</f>
        <v/>
      </c>
      <c r="G59" s="432" t="str">
        <f ca="1">IFERROR(IF(AND(ISNUMBER(Lts!$K59), ISNUMBER(Lts!$T59), ISNUMBER(Mid!$Y59), ISNUMBER(Futs!$DV59), ISNUMBER(Hvy!$L59), ISNUMBER(Crd!$K59)), 0.15 * Lts!$K59 + 0.2 * Lts!$T59 + 0.2 * Mid!$Y59 + 0.3 * Futs!$DV59 + 0.15 * Hvy!$L59 - Crd!$K59, ""), "")</f>
        <v/>
      </c>
    </row>
    <row r="60" spans="1:7" x14ac:dyDescent="0.25">
      <c r="A60" s="58">
        <f t="shared" ca="1" si="5"/>
        <v>47515</v>
      </c>
      <c r="B60" s="6">
        <f t="shared" ca="1" si="3"/>
        <v>2030</v>
      </c>
      <c r="C60" s="6" t="str">
        <f t="shared" ca="1" si="4"/>
        <v>Q130</v>
      </c>
      <c r="D60" s="431" t="str">
        <f ca="1">IFERROR(IF(AND(ISNUMBER(NGL!$S60), ISNUMBER(Lts!$I60), ISNUMBER(Mid!$X60), ISNUMBER(Futs!$DU60), ISNUMBER(Mid!$BL60), ISNUMBER(Mid!$CV60), ISNUMBER(Hvy!$J60), ISNUMBER(Crd!$I60)), 0.0513 * NGL!$S60 + 0.0807 * Lts!$I60 + 0.251 * Lts!$R60 + 0.0935 * Mid!$X60 + 0.292 * (Futs!$DU60 + Mid!$BL60/7.45) + 0.1132 * (Futs!$DU60 + Mid!$CV60/7.45) + 0.1024 * Hvy!$J60 - Crd!$I60, ""), "")</f>
        <v/>
      </c>
      <c r="E60" s="46" t="str">
        <f ca="1">IFERROR(IF(AND(ISNUMBER(NGL!$T60), ISNUMBER(Lts!$K60), ISNUMBER(Lts!$T60), ISNUMBER(Mid!$Y60), ISNUMBER(Futs!$DV60), ISNUMBER(Mid!$BN60), ISNUMBER(Mid!$CX60), ISNUMBER(Hvy!$L60), ISNUMBER(Crd!$K60)), 0.0513 * NGL!$T60 + 0.0807 * Lts!$K60 + 0.251 * Lts!$T60 + 0.0935 * Mid!$Y60 + 0.292 * (Futs!$DV60 + Mid!$BN60/7.45) + 0.1132 * (Futs!$DV60 + Mid!$CX60/7.45) + 0.1024 * Hvy!$L60 - Crd!$K60, ""), "")</f>
        <v/>
      </c>
      <c r="F60" s="427" t="str">
        <f ca="1">IFERROR(IF(AND(ISNUMBER(Lts!$I60), ISNUMBER(Lts!$R60), ISNUMBER(Mid!$X60), ISNUMBER(Futs!$DU60), ISNUMBER(Hvy!$J60), ISNUMBER(Crd!$I60)), 0.15 * Lts!$I60 + 0.2 * Lts!$R60 + 0.2 * Mid!$X60 + 0.3 * Futs!$DU60 + 0.15 * Hvy!$J60 - Crd!$I60, ""), "")</f>
        <v/>
      </c>
      <c r="G60" s="432" t="str">
        <f ca="1">IFERROR(IF(AND(ISNUMBER(Lts!$K60), ISNUMBER(Lts!$T60), ISNUMBER(Mid!$Y60), ISNUMBER(Futs!$DV60), ISNUMBER(Hvy!$L60), ISNUMBER(Crd!$K60)), 0.15 * Lts!$K60 + 0.2 * Lts!$T60 + 0.2 * Mid!$Y60 + 0.3 * Futs!$DV60 + 0.15 * Hvy!$L60 - Crd!$K60, ""), "")</f>
        <v/>
      </c>
    </row>
    <row r="61" spans="1:7" x14ac:dyDescent="0.25">
      <c r="A61" s="58">
        <f t="shared" ca="1" si="5"/>
        <v>47543</v>
      </c>
      <c r="B61" s="6">
        <f t="shared" ca="1" si="3"/>
        <v>2030</v>
      </c>
      <c r="C61" s="6" t="str">
        <f t="shared" ca="1" si="4"/>
        <v>Q130</v>
      </c>
      <c r="D61" s="431" t="str">
        <f ca="1">IFERROR(IF(AND(ISNUMBER(NGL!$S61), ISNUMBER(Lts!$I61), ISNUMBER(Mid!$X61), ISNUMBER(Futs!$DU61), ISNUMBER(Mid!$BL61), ISNUMBER(Mid!$CV61), ISNUMBER(Hvy!$J61), ISNUMBER(Crd!$I61)), 0.0513 * NGL!$S61 + 0.0807 * Lts!$I61 + 0.251 * Lts!$R61 + 0.0935 * Mid!$X61 + 0.292 * (Futs!$DU61 + Mid!$BL61/7.45) + 0.1132 * (Futs!$DU61 + Mid!$CV61/7.45) + 0.1024 * Hvy!$J61 - Crd!$I61, ""), "")</f>
        <v/>
      </c>
      <c r="E61" s="46" t="str">
        <f ca="1">IFERROR(IF(AND(ISNUMBER(NGL!$T61), ISNUMBER(Lts!$K61), ISNUMBER(Lts!$T61), ISNUMBER(Mid!$Y61), ISNUMBER(Futs!$DV61), ISNUMBER(Mid!$BN61), ISNUMBER(Mid!$CX61), ISNUMBER(Hvy!$L61), ISNUMBER(Crd!$K61)), 0.0513 * NGL!$T61 + 0.0807 * Lts!$K61 + 0.251 * Lts!$T61 + 0.0935 * Mid!$Y61 + 0.292 * (Futs!$DV61 + Mid!$BN61/7.45) + 0.1132 * (Futs!$DV61 + Mid!$CX61/7.45) + 0.1024 * Hvy!$L61 - Crd!$K61, ""), "")</f>
        <v/>
      </c>
      <c r="F61" s="427" t="str">
        <f ca="1">IFERROR(IF(AND(ISNUMBER(Lts!$I61), ISNUMBER(Lts!$R61), ISNUMBER(Mid!$X61), ISNUMBER(Futs!$DU61), ISNUMBER(Hvy!$J61), ISNUMBER(Crd!$I61)), 0.15 * Lts!$I61 + 0.2 * Lts!$R61 + 0.2 * Mid!$X61 + 0.3 * Futs!$DU61 + 0.15 * Hvy!$J61 - Crd!$I61, ""), "")</f>
        <v/>
      </c>
      <c r="G61" s="432" t="str">
        <f ca="1">IFERROR(IF(AND(ISNUMBER(Lts!$K61), ISNUMBER(Lts!$T61), ISNUMBER(Mid!$Y61), ISNUMBER(Futs!$DV61), ISNUMBER(Hvy!$L61), ISNUMBER(Crd!$K61)), 0.15 * Lts!$K61 + 0.2 * Lts!$T61 + 0.2 * Mid!$Y61 + 0.3 * Futs!$DV61 + 0.15 * Hvy!$L61 - Crd!$K61, ""), "")</f>
        <v/>
      </c>
    </row>
    <row r="62" spans="1:7" x14ac:dyDescent="0.25">
      <c r="A62" s="58">
        <f t="shared" ca="1" si="5"/>
        <v>47574</v>
      </c>
      <c r="B62" s="6">
        <f t="shared" ca="1" si="3"/>
        <v>2030</v>
      </c>
      <c r="C62" s="6" t="str">
        <f t="shared" ca="1" si="4"/>
        <v>Q230</v>
      </c>
      <c r="D62" s="431" t="str">
        <f ca="1">IFERROR(IF(AND(ISNUMBER(NGL!$S62), ISNUMBER(Lts!$I62), ISNUMBER(Mid!$X62), ISNUMBER(Futs!$DU62), ISNUMBER(Mid!$BL62), ISNUMBER(Mid!$CV62), ISNUMBER(Hvy!$J62), ISNUMBER(Crd!$I62)), 0.0513 * NGL!$S62 + 0.0807 * Lts!$I62 + 0.251 * Lts!$R62 + 0.0935 * Mid!$X62 + 0.292 * (Futs!$DU62 + Mid!$BL62/7.45) + 0.1132 * (Futs!$DU62 + Mid!$CV62/7.45) + 0.1024 * Hvy!$J62 - Crd!$I62, ""), "")</f>
        <v/>
      </c>
      <c r="E62" s="46" t="str">
        <f ca="1">IFERROR(IF(AND(ISNUMBER(NGL!$T62), ISNUMBER(Lts!$K62), ISNUMBER(Lts!$T62), ISNUMBER(Mid!$Y62), ISNUMBER(Futs!$DV62), ISNUMBER(Mid!$BN62), ISNUMBER(Mid!$CX62), ISNUMBER(Hvy!$L62), ISNUMBER(Crd!$K62)), 0.0513 * NGL!$T62 + 0.0807 * Lts!$K62 + 0.251 * Lts!$T62 + 0.0935 * Mid!$Y62 + 0.292 * (Futs!$DV62 + Mid!$BN62/7.45) + 0.1132 * (Futs!$DV62 + Mid!$CX62/7.45) + 0.1024 * Hvy!$L62 - Crd!$K62, ""), "")</f>
        <v/>
      </c>
      <c r="F62" s="427" t="str">
        <f ca="1">IFERROR(IF(AND(ISNUMBER(Lts!$I62), ISNUMBER(Lts!$R62), ISNUMBER(Mid!$X62), ISNUMBER(Futs!$DU62), ISNUMBER(Hvy!$J62), ISNUMBER(Crd!$I62)), 0.15 * Lts!$I62 + 0.2 * Lts!$R62 + 0.2 * Mid!$X62 + 0.3 * Futs!$DU62 + 0.15 * Hvy!$J62 - Crd!$I62, ""), "")</f>
        <v/>
      </c>
      <c r="G62" s="432" t="str">
        <f ca="1">IFERROR(IF(AND(ISNUMBER(Lts!$K62), ISNUMBER(Lts!$T62), ISNUMBER(Mid!$Y62), ISNUMBER(Futs!$DV62), ISNUMBER(Hvy!$L62), ISNUMBER(Crd!$K62)), 0.15 * Lts!$K62 + 0.2 * Lts!$T62 + 0.2 * Mid!$Y62 + 0.3 * Futs!$DV62 + 0.15 * Hvy!$L62 - Crd!$K62, ""), "")</f>
        <v/>
      </c>
    </row>
    <row r="63" spans="1:7" x14ac:dyDescent="0.25">
      <c r="A63" s="58">
        <f t="shared" ca="1" si="5"/>
        <v>47604</v>
      </c>
      <c r="B63" s="6">
        <f t="shared" ca="1" si="3"/>
        <v>2030</v>
      </c>
      <c r="C63" s="6" t="str">
        <f t="shared" ca="1" si="4"/>
        <v>Q230</v>
      </c>
      <c r="D63" s="431" t="str">
        <f ca="1">IFERROR(IF(AND(ISNUMBER(NGL!$S63), ISNUMBER(Lts!$I63), ISNUMBER(Mid!$X63), ISNUMBER(Futs!$DU63), ISNUMBER(Mid!$BL63), ISNUMBER(Mid!$CV63), ISNUMBER(Hvy!$J63), ISNUMBER(Crd!$I63)), 0.0513 * NGL!$S63 + 0.0807 * Lts!$I63 + 0.251 * Lts!$R63 + 0.0935 * Mid!$X63 + 0.292 * (Futs!$DU63 + Mid!$BL63/7.45) + 0.1132 * (Futs!$DU63 + Mid!$CV63/7.45) + 0.1024 * Hvy!$J63 - Crd!$I63, ""), "")</f>
        <v/>
      </c>
      <c r="E63" s="46" t="str">
        <f ca="1">IFERROR(IF(AND(ISNUMBER(NGL!$T63), ISNUMBER(Lts!$K63), ISNUMBER(Lts!$T63), ISNUMBER(Mid!$Y63), ISNUMBER(Futs!$DV63), ISNUMBER(Mid!$BN63), ISNUMBER(Mid!$CX63), ISNUMBER(Hvy!$L63), ISNUMBER(Crd!$K63)), 0.0513 * NGL!$T63 + 0.0807 * Lts!$K63 + 0.251 * Lts!$T63 + 0.0935 * Mid!$Y63 + 0.292 * (Futs!$DV63 + Mid!$BN63/7.45) + 0.1132 * (Futs!$DV63 + Mid!$CX63/7.45) + 0.1024 * Hvy!$L63 - Crd!$K63, ""), "")</f>
        <v/>
      </c>
      <c r="F63" s="427" t="str">
        <f ca="1">IFERROR(IF(AND(ISNUMBER(Lts!$I63), ISNUMBER(Lts!$R63), ISNUMBER(Mid!$X63), ISNUMBER(Futs!$DU63), ISNUMBER(Hvy!$J63), ISNUMBER(Crd!$I63)), 0.15 * Lts!$I63 + 0.2 * Lts!$R63 + 0.2 * Mid!$X63 + 0.3 * Futs!$DU63 + 0.15 * Hvy!$J63 - Crd!$I63, ""), "")</f>
        <v/>
      </c>
      <c r="G63" s="432" t="str">
        <f ca="1">IFERROR(IF(AND(ISNUMBER(Lts!$K63), ISNUMBER(Lts!$T63), ISNUMBER(Mid!$Y63), ISNUMBER(Futs!$DV63), ISNUMBER(Hvy!$L63), ISNUMBER(Crd!$K63)), 0.15 * Lts!$K63 + 0.2 * Lts!$T63 + 0.2 * Mid!$Y63 + 0.3 * Futs!$DV63 + 0.15 * Hvy!$L63 - Crd!$K63, ""), "")</f>
        <v/>
      </c>
    </row>
    <row r="64" spans="1:7" x14ac:dyDescent="0.25">
      <c r="A64" s="58">
        <f t="shared" ca="1" si="5"/>
        <v>47635</v>
      </c>
      <c r="B64" s="6">
        <f t="shared" ca="1" si="3"/>
        <v>2030</v>
      </c>
      <c r="C64" s="6" t="str">
        <f t="shared" ca="1" si="4"/>
        <v>Q230</v>
      </c>
      <c r="D64" s="431" t="str">
        <f ca="1">IFERROR(IF(AND(ISNUMBER(NGL!$S64), ISNUMBER(Lts!$I64), ISNUMBER(Mid!$X64), ISNUMBER(Futs!$DU64), ISNUMBER(Mid!$BL64), ISNUMBER(Mid!$CV64), ISNUMBER(Hvy!$J64), ISNUMBER(Crd!$I64)), 0.0513 * NGL!$S64 + 0.0807 * Lts!$I64 + 0.251 * Lts!$R64 + 0.0935 * Mid!$X64 + 0.292 * (Futs!$DU64 + Mid!$BL64/7.45) + 0.1132 * (Futs!$DU64 + Mid!$CV64/7.45) + 0.1024 * Hvy!$J64 - Crd!$I64, ""), "")</f>
        <v/>
      </c>
      <c r="E64" s="46" t="str">
        <f ca="1">IFERROR(IF(AND(ISNUMBER(NGL!$T64), ISNUMBER(Lts!$K64), ISNUMBER(Lts!$T64), ISNUMBER(Mid!$Y64), ISNUMBER(Futs!$DV64), ISNUMBER(Mid!$BN64), ISNUMBER(Mid!$CX64), ISNUMBER(Hvy!$L64), ISNUMBER(Crd!$K64)), 0.0513 * NGL!$T64 + 0.0807 * Lts!$K64 + 0.251 * Lts!$T64 + 0.0935 * Mid!$Y64 + 0.292 * (Futs!$DV64 + Mid!$BN64/7.45) + 0.1132 * (Futs!$DV64 + Mid!$CX64/7.45) + 0.1024 * Hvy!$L64 - Crd!$K64, ""), "")</f>
        <v/>
      </c>
      <c r="F64" s="427" t="str">
        <f ca="1">IFERROR(IF(AND(ISNUMBER(Lts!$I64), ISNUMBER(Lts!$R64), ISNUMBER(Mid!$X64), ISNUMBER(Futs!$DU64), ISNUMBER(Hvy!$J64), ISNUMBER(Crd!$I64)), 0.15 * Lts!$I64 + 0.2 * Lts!$R64 + 0.2 * Mid!$X64 + 0.3 * Futs!$DU64 + 0.15 * Hvy!$J64 - Crd!$I64, ""), "")</f>
        <v/>
      </c>
      <c r="G64" s="432" t="str">
        <f ca="1">IFERROR(IF(AND(ISNUMBER(Lts!$K64), ISNUMBER(Lts!$T64), ISNUMBER(Mid!$Y64), ISNUMBER(Futs!$DV64), ISNUMBER(Hvy!$L64), ISNUMBER(Crd!$K64)), 0.15 * Lts!$K64 + 0.2 * Lts!$T64 + 0.2 * Mid!$Y64 + 0.3 * Futs!$DV64 + 0.15 * Hvy!$L64 - Crd!$K64, ""), "")</f>
        <v/>
      </c>
    </row>
    <row r="65" spans="1:7" x14ac:dyDescent="0.25">
      <c r="A65" s="58">
        <f t="shared" ca="1" si="5"/>
        <v>47665</v>
      </c>
      <c r="B65" s="6">
        <f t="shared" ca="1" si="3"/>
        <v>2030</v>
      </c>
      <c r="C65" s="6" t="str">
        <f t="shared" ca="1" si="4"/>
        <v>Q330</v>
      </c>
      <c r="D65" s="431" t="str">
        <f ca="1">IFERROR(IF(AND(ISNUMBER(NGL!$S65), ISNUMBER(Lts!$I65), ISNUMBER(Mid!$X65), ISNUMBER(Futs!$DU65), ISNUMBER(Mid!$BL65), ISNUMBER(Mid!$CV65), ISNUMBER(Hvy!$J65), ISNUMBER(Crd!$I65)), 0.0513 * NGL!$S65 + 0.0807 * Lts!$I65 + 0.251 * Lts!$R65 + 0.0935 * Mid!$X65 + 0.292 * (Futs!$DU65 + Mid!$BL65/7.45) + 0.1132 * (Futs!$DU65 + Mid!$CV65/7.45) + 0.1024 * Hvy!$J65 - Crd!$I65, ""), "")</f>
        <v/>
      </c>
      <c r="E65" s="46" t="str">
        <f ca="1">IFERROR(IF(AND(ISNUMBER(NGL!$T65), ISNUMBER(Lts!$K65), ISNUMBER(Lts!$T65), ISNUMBER(Mid!$Y65), ISNUMBER(Futs!$DV65), ISNUMBER(Mid!$BN65), ISNUMBER(Mid!$CX65), ISNUMBER(Hvy!$L65), ISNUMBER(Crd!$K65)), 0.0513 * NGL!$T65 + 0.0807 * Lts!$K65 + 0.251 * Lts!$T65 + 0.0935 * Mid!$Y65 + 0.292 * (Futs!$DV65 + Mid!$BN65/7.45) + 0.1132 * (Futs!$DV65 + Mid!$CX65/7.45) + 0.1024 * Hvy!$L65 - Crd!$K65, ""), "")</f>
        <v/>
      </c>
      <c r="F65" s="427" t="str">
        <f ca="1">IFERROR(IF(AND(ISNUMBER(Lts!$I65), ISNUMBER(Lts!$R65), ISNUMBER(Mid!$X65), ISNUMBER(Futs!$DU65), ISNUMBER(Hvy!$J65), ISNUMBER(Crd!$I65)), 0.15 * Lts!$I65 + 0.2 * Lts!$R65 + 0.2 * Mid!$X65 + 0.3 * Futs!$DU65 + 0.15 * Hvy!$J65 - Crd!$I65, ""), "")</f>
        <v/>
      </c>
      <c r="G65" s="432" t="str">
        <f ca="1">IFERROR(IF(AND(ISNUMBER(Lts!$K65), ISNUMBER(Lts!$T65), ISNUMBER(Mid!$Y65), ISNUMBER(Futs!$DV65), ISNUMBER(Hvy!$L65), ISNUMBER(Crd!$K65)), 0.15 * Lts!$K65 + 0.2 * Lts!$T65 + 0.2 * Mid!$Y65 + 0.3 * Futs!$DV65 + 0.15 * Hvy!$L65 - Crd!$K65, ""), "")</f>
        <v/>
      </c>
    </row>
    <row r="66" spans="1:7" ht="15.75" thickBot="1" x14ac:dyDescent="0.3">
      <c r="A66" s="58">
        <f t="shared" ca="1" si="5"/>
        <v>47696</v>
      </c>
      <c r="B66" s="6">
        <f t="shared" ca="1" si="3"/>
        <v>2030</v>
      </c>
      <c r="C66" s="6" t="str">
        <f t="shared" ca="1" si="4"/>
        <v>Q330</v>
      </c>
      <c r="D66" s="433" t="str">
        <f ca="1">IFERROR(IF(AND(ISNUMBER(NGL!$S66), ISNUMBER(Lts!$I66), ISNUMBER(Mid!$X66), ISNUMBER(Futs!$DU66), ISNUMBER(Mid!$BL66), ISNUMBER(Mid!$CV66), ISNUMBER(Hvy!$J66), ISNUMBER(Crd!$I66)), 0.0513 * NGL!$S66 + 0.0807 * Lts!$I66 + 0.251 * Lts!$R66 + 0.0935 * Mid!$X66 + 0.292 * (Futs!$DU66 + Mid!$BL66/7.45) + 0.1132 * (Futs!$DU66 + Mid!$CV66/7.45) + 0.1024 * Hvy!$J66 - Crd!$I66, ""), "")</f>
        <v/>
      </c>
      <c r="E66" s="464" t="str">
        <f ca="1">IFERROR(IF(AND(ISNUMBER(NGL!$T66), ISNUMBER(Lts!$K66), ISNUMBER(Lts!$T66), ISNUMBER(Mid!$Y66), ISNUMBER(Futs!$DV66), ISNUMBER(Mid!$BN66), ISNUMBER(Mid!$CX66), ISNUMBER(Hvy!$L66), ISNUMBER(Crd!$K66)), 0.0513 * NGL!$T66 + 0.0807 * Lts!$K66 + 0.251 * Lts!$T66 + 0.0935 * Mid!$Y66 + 0.292 * (Futs!$DV66 + Mid!$BN66/7.45) + 0.1132 * (Futs!$DV66 + Mid!$CX66/7.45) + 0.1024 * Hvy!$L66 - Crd!$K66, ""), "")</f>
        <v/>
      </c>
      <c r="F66" s="474" t="str">
        <f ca="1">IFERROR(IF(AND(ISNUMBER(Lts!$I66), ISNUMBER(Lts!$R66), ISNUMBER(Mid!$X66), ISNUMBER(Futs!$DU66), ISNUMBER(Hvy!$J66), ISNUMBER(Crd!$I66)), 0.15 * Lts!$I66 + 0.2 * Lts!$R66 + 0.2 * Mid!$X66 + 0.3 * Futs!$DU66 + 0.15 * Hvy!$J66 - Crd!$I66, ""), "")</f>
        <v/>
      </c>
      <c r="G66" s="434" t="str">
        <f ca="1">IFERROR(IF(AND(ISNUMBER(Lts!$K66), ISNUMBER(Lts!$T66), ISNUMBER(Mid!$Y66), ISNUMBER(Futs!$DV66), ISNUMBER(Hvy!$L66), ISNUMBER(Crd!$K66)), 0.15 * Lts!$K66 + 0.2 * Lts!$T66 + 0.2 * Mid!$Y66 + 0.3 * Futs!$DV66 + 0.15 * Hvy!$L66 - Crd!$K66, ""), "")</f>
        <v/>
      </c>
    </row>
    <row r="67" spans="1:7" x14ac:dyDescent="0.25">
      <c r="A67" s="60"/>
      <c r="D67" s="49"/>
      <c r="F67" s="49"/>
    </row>
    <row r="68" spans="1:7" x14ac:dyDescent="0.25">
      <c r="A68" s="60"/>
    </row>
    <row r="69" spans="1:7" x14ac:dyDescent="0.25">
      <c r="A69" s="60"/>
    </row>
    <row r="70" spans="1:7" x14ac:dyDescent="0.25">
      <c r="A70" s="60"/>
    </row>
    <row r="71" spans="1:7" x14ac:dyDescent="0.25">
      <c r="A71" s="60"/>
    </row>
    <row r="72" spans="1:7" x14ac:dyDescent="0.25">
      <c r="A72" s="60"/>
    </row>
    <row r="73" spans="1:7" x14ac:dyDescent="0.25">
      <c r="A73" s="60"/>
    </row>
  </sheetData>
  <conditionalFormatting sqref="E19:E66 E5:E14">
    <cfRule type="cellIs" dxfId="89" priority="3" operator="lessThan">
      <formula>0</formula>
    </cfRule>
    <cfRule type="cellIs" dxfId="88" priority="4" operator="greaterThan">
      <formula>0</formula>
    </cfRule>
  </conditionalFormatting>
  <conditionalFormatting sqref="G19:G66 G5:G14">
    <cfRule type="cellIs" dxfId="87" priority="1" operator="lessThan">
      <formula>0</formula>
    </cfRule>
    <cfRule type="cellIs" dxfId="8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797D-8F11-49CF-BC77-2C261AEB42F5}">
  <sheetPr codeName="Sheet11">
    <tabColor theme="0" tint="-0.249977111117893"/>
    <pageSetUpPr autoPageBreaks="0"/>
  </sheetPr>
  <dimension ref="A1:S60"/>
  <sheetViews>
    <sheetView zoomScaleNormal="100" workbookViewId="0">
      <selection activeCell="O18" sqref="O18"/>
    </sheetView>
  </sheetViews>
  <sheetFormatPr defaultColWidth="9.140625" defaultRowHeight="15" x14ac:dyDescent="0.25"/>
  <cols>
    <col min="1" max="1" width="19" style="83" customWidth="1"/>
    <col min="2" max="2" width="18" style="51" hidden="1" customWidth="1"/>
    <col min="3" max="3" width="11.7109375" style="51" customWidth="1"/>
    <col min="4" max="4" width="12.42578125" style="51" customWidth="1"/>
    <col min="5" max="5" width="9.140625" style="93"/>
    <col min="6" max="6" width="6" style="51" customWidth="1"/>
    <col min="7" max="7" width="17.42578125" style="51" customWidth="1"/>
    <col min="8" max="8" width="18" style="51" hidden="1" customWidth="1"/>
    <col min="9" max="10" width="9.140625" style="89"/>
    <col min="11" max="11" width="9.140625" style="93"/>
    <col min="12" max="16384" width="9.140625" style="51"/>
  </cols>
  <sheetData>
    <row r="1" spans="1:19" x14ac:dyDescent="0.25">
      <c r="A1" s="531" t="s">
        <v>456</v>
      </c>
      <c r="B1" s="532"/>
      <c r="C1" s="533">
        <f>D1-7</f>
        <v>46248</v>
      </c>
      <c r="D1" s="533" cm="1">
        <f t="array" ref="D1">DATEVALUE(_xll.BDP($B$3, "LAST_UPDATE_DT"))</f>
        <v>46255</v>
      </c>
      <c r="E1" s="534" t="s">
        <v>28</v>
      </c>
      <c r="F1" s="273"/>
      <c r="G1" s="535" t="s">
        <v>457</v>
      </c>
      <c r="H1" s="536"/>
      <c r="I1" s="537"/>
      <c r="J1" s="537"/>
      <c r="K1" s="538"/>
    </row>
    <row r="2" spans="1:19" x14ac:dyDescent="0.25">
      <c r="A2" s="506" t="s">
        <v>323</v>
      </c>
      <c r="B2" s="507" t="s">
        <v>458</v>
      </c>
      <c r="C2" s="508" cm="1">
        <f t="array" ref="C2">_xll.BDH($B2, "PX_LAST", C$1, C$1)</f>
        <v>722241</v>
      </c>
      <c r="D2" s="508" cm="1">
        <f t="array" ref="D2">_xll.BDH($B2, "PX_LAST", D$1, D$1)</f>
        <v>718636</v>
      </c>
      <c r="E2" s="509">
        <f t="shared" ref="E2:E10" si="0">$D2-$C2</f>
        <v>-3605</v>
      </c>
      <c r="F2" s="273"/>
      <c r="G2" s="493" t="s">
        <v>459</v>
      </c>
      <c r="H2" s="273" t="s">
        <v>460</v>
      </c>
      <c r="I2" s="494" cm="1">
        <f t="array" ref="I2">_xll.BDH($H2, "PX_LAST", C$1, C$1)</f>
        <v>7826</v>
      </c>
      <c r="J2" s="494" cm="1">
        <f t="array" ref="J2">_xll.BDH($H2, "PX_LAST", D$1, D$1)</f>
        <v>8423</v>
      </c>
      <c r="K2" s="495">
        <f t="shared" ref="K2:K8" si="1">$J2-$I2</f>
        <v>597</v>
      </c>
    </row>
    <row r="3" spans="1:19" x14ac:dyDescent="0.25">
      <c r="A3" s="510" t="s">
        <v>461</v>
      </c>
      <c r="B3" s="273" t="s">
        <v>462</v>
      </c>
      <c r="C3" s="494" cm="1">
        <f t="array" ref="C3">_xll.BDH($B3, "PX_LAST", C$1, C$1)</f>
        <v>428815</v>
      </c>
      <c r="D3" s="494" cm="1">
        <f t="array" ref="D3">_xll.BDH($B3, "PX_LAST", D$1, D$1)</f>
        <v>428910</v>
      </c>
      <c r="E3" s="495">
        <f t="shared" si="0"/>
        <v>95</v>
      </c>
      <c r="F3" s="273"/>
      <c r="G3" s="493" t="s">
        <v>463</v>
      </c>
      <c r="H3" s="273" t="s">
        <v>464</v>
      </c>
      <c r="I3" s="494" cm="1">
        <f t="array" ref="I3">_xll.BDH($H3, "PX_LAST", C$1, C$1)</f>
        <v>100382</v>
      </c>
      <c r="J3" s="494" cm="1">
        <f t="array" ref="J3">_xll.BDH($H3, "PX_LAST", D$1, D$1)</f>
        <v>101195</v>
      </c>
      <c r="K3" s="495">
        <f t="shared" si="1"/>
        <v>813</v>
      </c>
    </row>
    <row r="4" spans="1:19" x14ac:dyDescent="0.25">
      <c r="A4" s="511" t="s">
        <v>465</v>
      </c>
      <c r="B4" s="512" t="s">
        <v>466</v>
      </c>
      <c r="C4" s="513" cm="1">
        <f t="array" ref="C4">_xll.BDH($B4, "PX_LAST", C$1, C$1)</f>
        <v>21252</v>
      </c>
      <c r="D4" s="513" cm="1">
        <f t="array" ref="D4">_xll.BDH($B4, "PX_LAST", D$1, D$1)</f>
        <v>22428</v>
      </c>
      <c r="E4" s="514">
        <f t="shared" si="0"/>
        <v>1176</v>
      </c>
      <c r="F4" s="273"/>
      <c r="G4" s="493" t="s">
        <v>467</v>
      </c>
      <c r="H4" s="273" t="s">
        <v>468</v>
      </c>
      <c r="I4" s="494" cm="1">
        <f t="array" ref="I4">_xll.BDH($H4, "PX_LAST", C$1, C$1)</f>
        <v>253645</v>
      </c>
      <c r="J4" s="494" cm="1">
        <f t="array" ref="J4">_xll.BDH($H4, "PX_LAST", D$1, D$1)</f>
        <v>251424</v>
      </c>
      <c r="K4" s="495">
        <f t="shared" si="1"/>
        <v>-2221</v>
      </c>
    </row>
    <row r="5" spans="1:19" x14ac:dyDescent="0.25">
      <c r="A5" s="515" t="s">
        <v>469</v>
      </c>
      <c r="B5" s="497" t="s">
        <v>470</v>
      </c>
      <c r="C5" s="516" cm="1">
        <f t="array" ref="C5">_xll.BDH($B5, "PX_LAST", C$1, C$1)</f>
        <v>293426</v>
      </c>
      <c r="D5" s="516" cm="1">
        <f t="array" ref="D5">_xll.BDH($B5, "PX_LAST", D$1, D$1)</f>
        <v>289726</v>
      </c>
      <c r="E5" s="505">
        <f t="shared" si="0"/>
        <v>-3700</v>
      </c>
      <c r="F5" s="273"/>
      <c r="G5" s="493" t="s">
        <v>471</v>
      </c>
      <c r="H5" s="273" t="s">
        <v>472</v>
      </c>
      <c r="I5" s="494" cm="1">
        <f t="array" ref="I5">_xll.BDH($H5, "PX_LAST", C$1, C$1)</f>
        <v>22610</v>
      </c>
      <c r="J5" s="494" cm="1">
        <f t="array" ref="J5">_xll.BDH($H5, "PX_LAST", D$1, D$1)</f>
        <v>22524</v>
      </c>
      <c r="K5" s="495">
        <f t="shared" si="1"/>
        <v>-86</v>
      </c>
    </row>
    <row r="6" spans="1:19" x14ac:dyDescent="0.25">
      <c r="A6" s="506" t="s">
        <v>473</v>
      </c>
      <c r="B6" s="507" t="s">
        <v>474</v>
      </c>
      <c r="C6" s="508" cm="1">
        <f t="array" ref="C6">_xll.BDH($B6, "PX_LAST", C$1, C$1)</f>
        <v>209378</v>
      </c>
      <c r="D6" s="508" cm="1">
        <f t="array" ref="D6">_xll.BDH($B6, "PX_LAST", D$1, D$1)</f>
        <v>206842</v>
      </c>
      <c r="E6" s="509">
        <f t="shared" si="0"/>
        <v>-2536</v>
      </c>
      <c r="F6" s="273"/>
      <c r="G6" s="493" t="s">
        <v>475</v>
      </c>
      <c r="H6" s="273" t="s">
        <v>476</v>
      </c>
      <c r="I6" s="494" cm="1">
        <f t="array" ref="I6">_xll.BDH($H6, "PX_LAST", C$1, C$1)</f>
        <v>44352</v>
      </c>
      <c r="J6" s="494" cm="1">
        <f t="array" ref="J6">_xll.BDH($H6, "PX_LAST", D$1, D$1)</f>
        <v>45343</v>
      </c>
      <c r="K6" s="495">
        <f t="shared" si="1"/>
        <v>991</v>
      </c>
    </row>
    <row r="7" spans="1:19" x14ac:dyDescent="0.25">
      <c r="A7" s="510" t="s">
        <v>477</v>
      </c>
      <c r="B7" s="273" t="s">
        <v>478</v>
      </c>
      <c r="C7" s="494" cm="1">
        <f t="array" ref="C7">_xll.BDH($B7, "PX_LAST", C$1, C$1)</f>
        <v>193809</v>
      </c>
      <c r="D7" s="494" cm="1">
        <f t="array" ref="D7">_xll.BDH($B7, "PX_LAST", D$1, D$1)</f>
        <v>192024</v>
      </c>
      <c r="E7" s="495">
        <f t="shared" si="0"/>
        <v>-1785</v>
      </c>
      <c r="F7" s="273"/>
      <c r="G7" s="501" t="s">
        <v>469</v>
      </c>
      <c r="H7" s="502" t="s">
        <v>470</v>
      </c>
      <c r="I7" s="503" cm="1">
        <f t="array" ref="I7">_xll.BDH($H7, "PX_LAST", C$1, C$1)</f>
        <v>293426</v>
      </c>
      <c r="J7" s="503" cm="1">
        <f t="array" ref="J7">_xll.BDH($H7, "PX_LAST", D$1, D$1)</f>
        <v>289726</v>
      </c>
      <c r="K7" s="504">
        <f t="shared" si="1"/>
        <v>-3700</v>
      </c>
    </row>
    <row r="8" spans="1:19" x14ac:dyDescent="0.25">
      <c r="A8" s="515" t="s">
        <v>479</v>
      </c>
      <c r="B8" s="497" t="s">
        <v>480</v>
      </c>
      <c r="C8" s="516" cm="1">
        <f t="array" ref="C8">_xll.BDH($B8, "PX_LAST", C$1, C$1)</f>
        <v>15569</v>
      </c>
      <c r="D8" s="516" cm="1">
        <f t="array" ref="D8">_xll.BDH($B8, "PX_LAST", D$1, D$1)</f>
        <v>14818</v>
      </c>
      <c r="E8" s="505">
        <f t="shared" si="0"/>
        <v>-751</v>
      </c>
      <c r="F8" s="273"/>
      <c r="G8" s="496" t="s">
        <v>481</v>
      </c>
      <c r="H8" s="497" t="s">
        <v>458</v>
      </c>
      <c r="I8" s="516" cm="1">
        <f t="array" ref="I8">_xll.BDH($H8, "PX_LAST", C$1, C$1)</f>
        <v>722241</v>
      </c>
      <c r="J8" s="516" cm="1">
        <f t="array" ref="J8">_xll.BDH($H8, "PX_LAST", D$1, D$1)</f>
        <v>718636</v>
      </c>
      <c r="K8" s="505">
        <f t="shared" si="1"/>
        <v>-3605</v>
      </c>
    </row>
    <row r="9" spans="1:19" x14ac:dyDescent="0.25">
      <c r="A9" s="260" t="s">
        <v>482</v>
      </c>
      <c r="B9" s="261" t="s">
        <v>483</v>
      </c>
      <c r="C9" s="262" cm="1">
        <f t="array" ref="C9">_xll.BDH($B9, "PX_LAST", C$1, C$1)</f>
        <v>105619</v>
      </c>
      <c r="D9" s="262" cm="1">
        <f t="array" ref="D9">_xll.BDH($B9, "PX_LAST", D$1, D$1)</f>
        <v>103391</v>
      </c>
      <c r="E9" s="263">
        <f t="shared" si="0"/>
        <v>-2228</v>
      </c>
      <c r="F9" s="273"/>
      <c r="G9" s="273"/>
      <c r="H9" s="273"/>
      <c r="I9" s="494"/>
      <c r="J9" s="494"/>
      <c r="K9" s="500"/>
    </row>
    <row r="10" spans="1:19" x14ac:dyDescent="0.25">
      <c r="A10" s="493" t="s">
        <v>484</v>
      </c>
      <c r="B10" s="517" t="s">
        <v>485</v>
      </c>
      <c r="C10" s="518" cm="1">
        <f t="array" ref="C10">_xll.BDH($B10, "PX_LAST", C$1, C$1)</f>
        <v>46240</v>
      </c>
      <c r="D10" s="518" cm="1">
        <f t="array" ref="D10">_xll.BDH($B10, "PX_LAST", D$1, D$1)</f>
        <v>45693</v>
      </c>
      <c r="E10" s="519">
        <f t="shared" si="0"/>
        <v>-547</v>
      </c>
      <c r="F10" s="273"/>
      <c r="G10" s="535" t="s">
        <v>486</v>
      </c>
      <c r="H10" s="536"/>
      <c r="I10" s="537"/>
      <c r="J10" s="537"/>
      <c r="K10" s="538"/>
    </row>
    <row r="11" spans="1:19" ht="15.75" thickBot="1" x14ac:dyDescent="0.3">
      <c r="A11" s="520" t="s">
        <v>487</v>
      </c>
      <c r="B11" s="521"/>
      <c r="C11" s="522">
        <f t="shared" ref="C11:D11" si="2">C3+C6+C9+C10</f>
        <v>790052</v>
      </c>
      <c r="D11" s="522">
        <f t="shared" si="2"/>
        <v>784836</v>
      </c>
      <c r="E11" s="523">
        <f>E3+E6+E9+E10</f>
        <v>-5216</v>
      </c>
      <c r="F11" s="273"/>
      <c r="G11" s="493" t="s">
        <v>459</v>
      </c>
      <c r="H11" s="273" t="s">
        <v>488</v>
      </c>
      <c r="I11" s="494" cm="1">
        <f t="array" ref="I11">_xll.BDH($H11, "PX_LAST", C$1, C$1)</f>
        <v>52391</v>
      </c>
      <c r="J11" s="494" cm="1">
        <f t="array" ref="J11">_xll.BDH($H11, "PX_LAST", D$1, D$1)</f>
        <v>52254</v>
      </c>
      <c r="K11" s="495">
        <f t="shared" ref="K11:K16" si="3">$J11-$I11</f>
        <v>-137</v>
      </c>
    </row>
    <row r="12" spans="1:19" ht="15.75" thickTop="1" x14ac:dyDescent="0.25">
      <c r="A12" s="501" t="s">
        <v>489</v>
      </c>
      <c r="B12" s="524"/>
      <c r="C12" s="525">
        <f>SUM(C13:C15)</f>
        <v>430129</v>
      </c>
      <c r="D12" s="525">
        <f>SUM(D13:D15)</f>
        <v>435320</v>
      </c>
      <c r="E12" s="526">
        <f>SUM(E13:E15)</f>
        <v>5191</v>
      </c>
      <c r="F12" s="273"/>
      <c r="G12" s="493" t="s">
        <v>463</v>
      </c>
      <c r="H12" s="273" t="s">
        <v>490</v>
      </c>
      <c r="I12" s="494" cm="1">
        <f t="array" ref="I12">_xll.BDH($H12, "PX_LAST", C$1, C$1)</f>
        <v>43118</v>
      </c>
      <c r="J12" s="494" cm="1">
        <f t="array" ref="J12">_xll.BDH($H12, "PX_LAST", D$1, D$1)</f>
        <v>43264</v>
      </c>
      <c r="K12" s="495">
        <f t="shared" si="3"/>
        <v>146</v>
      </c>
    </row>
    <row r="13" spans="1:19" x14ac:dyDescent="0.25">
      <c r="A13" s="493" t="s">
        <v>491</v>
      </c>
      <c r="B13" s="273" t="s">
        <v>492</v>
      </c>
      <c r="C13" s="494" cm="1">
        <f t="array" ref="C13">_xll.BDH($B13, "PX_LAST", C$1, C$1)</f>
        <v>20711</v>
      </c>
      <c r="D13" s="494" cm="1">
        <f t="array" ref="D13">_xll.BDH($B13, "PX_LAST", D$1, D$1)</f>
        <v>21634</v>
      </c>
      <c r="E13" s="495">
        <f>$D13-$C13</f>
        <v>923</v>
      </c>
      <c r="F13" s="273"/>
      <c r="G13" s="493" t="s">
        <v>467</v>
      </c>
      <c r="H13" s="273" t="s">
        <v>493</v>
      </c>
      <c r="I13" s="494" cm="1">
        <f t="array" ref="I13">_xll.BDH($H13, "PX_LAST", C$1, C$1)</f>
        <v>79507</v>
      </c>
      <c r="J13" s="494" cm="1">
        <f t="array" ref="J13">_xll.BDH($H13, "PX_LAST", D$1, D$1)</f>
        <v>77183</v>
      </c>
      <c r="K13" s="495">
        <f t="shared" si="3"/>
        <v>-2324</v>
      </c>
    </row>
    <row r="14" spans="1:19" x14ac:dyDescent="0.25">
      <c r="A14" s="493" t="s">
        <v>494</v>
      </c>
      <c r="B14" s="273" t="s">
        <v>495</v>
      </c>
      <c r="C14" s="494" cm="1">
        <f t="array" ref="C14">_xll.BDH($B14, "PX_LAST", C$1, C$1)</f>
        <v>107013</v>
      </c>
      <c r="D14" s="494" cm="1">
        <f t="array" ref="D14">_xll.BDH($B14, "PX_LAST", D$1, D$1)</f>
        <v>109483</v>
      </c>
      <c r="E14" s="495">
        <f>$D14-$C14</f>
        <v>2470</v>
      </c>
      <c r="F14" s="273"/>
      <c r="G14" s="493" t="s">
        <v>471</v>
      </c>
      <c r="H14" s="273" t="s">
        <v>496</v>
      </c>
      <c r="I14" s="494" cm="1">
        <f t="array" ref="I14">_xll.BDH($H14, "PX_LAST", C$1, C$1)</f>
        <v>6252</v>
      </c>
      <c r="J14" s="494" cm="1">
        <f t="array" ref="J14">_xll.BDH($H14, "PX_LAST", D$1, D$1)</f>
        <v>6519</v>
      </c>
      <c r="K14" s="495">
        <f t="shared" si="3"/>
        <v>267</v>
      </c>
    </row>
    <row r="15" spans="1:19" x14ac:dyDescent="0.25">
      <c r="A15" s="496" t="s">
        <v>497</v>
      </c>
      <c r="B15" s="497" t="s">
        <v>498</v>
      </c>
      <c r="C15" s="516" cm="1">
        <f t="array" ref="C15">_xll.BDH($B15, "PX_LAST", C$1, C$1)</f>
        <v>302405</v>
      </c>
      <c r="D15" s="516" cm="1">
        <f t="array" ref="D15">_xll.BDH($B15, "PX_LAST", D$1, D$1)</f>
        <v>304203</v>
      </c>
      <c r="E15" s="505">
        <f>$D15-$C15</f>
        <v>1798</v>
      </c>
      <c r="F15" s="273"/>
      <c r="G15" s="501" t="s">
        <v>475</v>
      </c>
      <c r="H15" s="502" t="s">
        <v>499</v>
      </c>
      <c r="I15" s="503" cm="1">
        <f t="array" ref="I15">_xll.BDH($H15, "PX_LAST", C$1, C$1)</f>
        <v>28110</v>
      </c>
      <c r="J15" s="503" cm="1">
        <f t="array" ref="J15">_xll.BDH($H15, "PX_LAST", D$1, D$1)</f>
        <v>27622</v>
      </c>
      <c r="K15" s="504">
        <f t="shared" si="3"/>
        <v>-488</v>
      </c>
      <c r="S15" s="89"/>
    </row>
    <row r="16" spans="1:19" x14ac:dyDescent="0.25">
      <c r="A16" s="260" t="s">
        <v>500</v>
      </c>
      <c r="B16" s="261"/>
      <c r="C16" s="262">
        <f>C11+C12</f>
        <v>1220181</v>
      </c>
      <c r="D16" s="262">
        <f>D11+D12</f>
        <v>1220156</v>
      </c>
      <c r="E16" s="263">
        <f>E11+E12</f>
        <v>-25</v>
      </c>
      <c r="F16" s="273"/>
      <c r="G16" s="496" t="s">
        <v>481</v>
      </c>
      <c r="H16" s="497" t="s">
        <v>474</v>
      </c>
      <c r="I16" s="516" cm="1">
        <f t="array" ref="I16">_xll.BDH($H16, "PX_LAST", C$1, C$1)</f>
        <v>209378</v>
      </c>
      <c r="J16" s="516" cm="1">
        <f t="array" ref="J16">_xll.BDH($H16, "PX_LAST", D$1, D$1)</f>
        <v>206842</v>
      </c>
      <c r="K16" s="505">
        <f t="shared" si="3"/>
        <v>-2536</v>
      </c>
      <c r="S16" s="89"/>
    </row>
    <row r="17" spans="1:19" x14ac:dyDescent="0.25">
      <c r="A17" s="517"/>
      <c r="B17" s="273"/>
      <c r="C17" s="273"/>
      <c r="D17" s="273"/>
      <c r="E17" s="500"/>
      <c r="F17" s="273"/>
      <c r="G17" s="273"/>
      <c r="H17" s="273"/>
      <c r="I17" s="494"/>
      <c r="J17" s="494"/>
      <c r="K17" s="500"/>
    </row>
    <row r="18" spans="1:19" x14ac:dyDescent="0.25">
      <c r="A18" s="517"/>
      <c r="B18" s="273"/>
      <c r="C18" s="273"/>
      <c r="D18" s="273"/>
      <c r="E18" s="500"/>
      <c r="F18" s="273"/>
      <c r="G18" s="535" t="s">
        <v>501</v>
      </c>
      <c r="H18" s="536"/>
      <c r="I18" s="537"/>
      <c r="J18" s="537"/>
      <c r="K18" s="538"/>
      <c r="S18" s="89"/>
    </row>
    <row r="19" spans="1:19" x14ac:dyDescent="0.25">
      <c r="A19" s="535" t="s">
        <v>502</v>
      </c>
      <c r="B19" s="539"/>
      <c r="C19" s="540"/>
      <c r="D19" s="540"/>
      <c r="E19" s="541"/>
      <c r="F19" s="273"/>
      <c r="G19" s="493" t="s">
        <v>459</v>
      </c>
      <c r="H19" s="273" t="s">
        <v>503</v>
      </c>
      <c r="I19" s="494" cm="1">
        <f t="array" ref="I19">_xll.BDH($H19, "PX_LAST", C$1, C$1)</f>
        <v>22215</v>
      </c>
      <c r="J19" s="494" cm="1">
        <f t="array" ref="J19">_xll.BDH($H19, "PX_LAST", D$1, D$1)</f>
        <v>21003</v>
      </c>
      <c r="K19" s="495">
        <f t="shared" ref="K19:K24" si="4">$J19-$I19</f>
        <v>-1212</v>
      </c>
    </row>
    <row r="20" spans="1:19" x14ac:dyDescent="0.25">
      <c r="A20" s="493" t="s">
        <v>504</v>
      </c>
      <c r="B20" s="273" t="s">
        <v>505</v>
      </c>
      <c r="C20" s="494" cm="1">
        <f t="array" ref="C20">_xll.BDH($B20, "PX_LAST", C$1, C$1)</f>
        <v>13830</v>
      </c>
      <c r="D20" s="494" cm="1">
        <f t="array" ref="D20">_xll.BDH($B20, "PX_LAST", D$1, D$1)</f>
        <v>13843</v>
      </c>
      <c r="E20" s="495">
        <f t="shared" ref="E20:E25" si="5">$D20-$C20</f>
        <v>13</v>
      </c>
      <c r="F20" s="273"/>
      <c r="G20" s="493" t="s">
        <v>463</v>
      </c>
      <c r="H20" s="273" t="s">
        <v>506</v>
      </c>
      <c r="I20" s="494" cm="1">
        <f t="array" ref="I20">_xll.BDH($H20, "PX_LAST", C$1, C$1)</f>
        <v>28408</v>
      </c>
      <c r="J20" s="494" cm="1">
        <f t="array" ref="J20">_xll.BDH($H20, "PX_LAST", D$1, D$1)</f>
        <v>28563</v>
      </c>
      <c r="K20" s="495">
        <f t="shared" si="4"/>
        <v>155</v>
      </c>
    </row>
    <row r="21" spans="1:19" x14ac:dyDescent="0.25">
      <c r="A21" s="493" t="s">
        <v>507</v>
      </c>
      <c r="B21" s="273" t="s">
        <v>508</v>
      </c>
      <c r="C21" s="494" cm="1">
        <f t="array" ref="C21">_xll.BDH($B21, "PX_LAST", C$1, C$1)</f>
        <v>29</v>
      </c>
      <c r="D21" s="494" cm="1">
        <f t="array" ref="D21">_xll.BDH($B21, "PX_LAST", D$1, D$1)</f>
        <v>-214</v>
      </c>
      <c r="E21" s="495">
        <f t="shared" si="5"/>
        <v>-243</v>
      </c>
      <c r="F21" s="273"/>
      <c r="G21" s="493" t="s">
        <v>467</v>
      </c>
      <c r="H21" s="273" t="s">
        <v>509</v>
      </c>
      <c r="I21" s="494" cm="1">
        <f t="array" ref="I21">_xll.BDH($H21, "PX_LAST", C$1, C$1)</f>
        <v>40550</v>
      </c>
      <c r="J21" s="494" cm="1">
        <f t="array" ref="J21">_xll.BDH($H21, "PX_LAST", D$1, D$1)</f>
        <v>39556</v>
      </c>
      <c r="K21" s="495">
        <f t="shared" si="4"/>
        <v>-994</v>
      </c>
    </row>
    <row r="22" spans="1:19" x14ac:dyDescent="0.25">
      <c r="A22" s="493" t="s">
        <v>510</v>
      </c>
      <c r="B22" s="273" t="s">
        <v>511</v>
      </c>
      <c r="C22" s="273" cm="1">
        <f t="array" ref="C22">_xll.BDH($B22, "PX_LAST", C$1, C$1)</f>
        <v>886</v>
      </c>
      <c r="D22" s="273" cm="1">
        <f t="array" ref="D22">_xll.BDH($B22, "PX_LAST", D$1, D$1)</f>
        <v>883</v>
      </c>
      <c r="E22" s="495">
        <f t="shared" si="5"/>
        <v>-3</v>
      </c>
      <c r="F22" s="273"/>
      <c r="G22" s="493" t="s">
        <v>471</v>
      </c>
      <c r="H22" s="273" t="s">
        <v>512</v>
      </c>
      <c r="I22" s="494" cm="1">
        <f t="array" ref="I22">_xll.BDH($H22, "PX_LAST", C$1, C$1)</f>
        <v>3399</v>
      </c>
      <c r="J22" s="494" cm="1">
        <f t="array" ref="J22">_xll.BDH($H22, "PX_LAST", D$1, D$1)</f>
        <v>3674</v>
      </c>
      <c r="K22" s="495">
        <f t="shared" si="4"/>
        <v>275</v>
      </c>
    </row>
    <row r="23" spans="1:19" x14ac:dyDescent="0.25">
      <c r="A23" s="493" t="s">
        <v>513</v>
      </c>
      <c r="B23" s="273" t="s">
        <v>514</v>
      </c>
      <c r="C23" s="494" cm="1">
        <f t="array" ref="C23">_xll.BDH($B23, "PX_LAST", C$1, C$1)</f>
        <v>6593</v>
      </c>
      <c r="D23" s="494" cm="1">
        <f t="array" ref="D23">_xll.BDH($B23, "PX_LAST", D$1, D$1)</f>
        <v>6158</v>
      </c>
      <c r="E23" s="495">
        <f t="shared" si="5"/>
        <v>-435</v>
      </c>
      <c r="F23" s="273"/>
      <c r="G23" s="501" t="s">
        <v>475</v>
      </c>
      <c r="H23" s="502" t="s">
        <v>515</v>
      </c>
      <c r="I23" s="503" cm="1">
        <f t="array" ref="I23">_xll.BDH($H23, "PX_LAST", C$1, C$1)</f>
        <v>11046</v>
      </c>
      <c r="J23" s="503" cm="1">
        <f t="array" ref="J23">_xll.BDH($H23, "PX_LAST", D$1, D$1)</f>
        <v>10595</v>
      </c>
      <c r="K23" s="504">
        <f t="shared" si="4"/>
        <v>-451</v>
      </c>
    </row>
    <row r="24" spans="1:19" x14ac:dyDescent="0.25">
      <c r="A24" s="493" t="s">
        <v>516</v>
      </c>
      <c r="B24" s="273" t="s">
        <v>517</v>
      </c>
      <c r="C24" s="494" cm="1">
        <f t="array" ref="C24">_xll.BDH($B24, "PX_LAST", C$1, C$1)</f>
        <v>4066</v>
      </c>
      <c r="D24" s="494" cm="1">
        <f t="array" ref="D24">_xll.BDH($B24, "PX_LAST", D$1, D$1)</f>
        <v>3792</v>
      </c>
      <c r="E24" s="495">
        <f t="shared" si="5"/>
        <v>-274</v>
      </c>
      <c r="F24" s="273"/>
      <c r="G24" s="496" t="s">
        <v>481</v>
      </c>
      <c r="H24" s="497" t="s">
        <v>483</v>
      </c>
      <c r="I24" s="516" cm="1">
        <f t="array" ref="I24">_xll.BDH($H24, "PX_LAST", C$1, C$1)</f>
        <v>105619</v>
      </c>
      <c r="J24" s="516" cm="1">
        <f t="array" ref="J24">_xll.BDH($H24, "PX_LAST", D$1, D$1)</f>
        <v>103391</v>
      </c>
      <c r="K24" s="505">
        <f t="shared" si="4"/>
        <v>-2228</v>
      </c>
    </row>
    <row r="25" spans="1:19" x14ac:dyDescent="0.25">
      <c r="A25" s="501" t="s">
        <v>518</v>
      </c>
      <c r="B25" s="502" t="s">
        <v>519</v>
      </c>
      <c r="C25" s="503" cm="1">
        <f t="array" ref="C25">_xll.BDH($B25, "PX_LAST", C$1, C$1)</f>
        <v>17395</v>
      </c>
      <c r="D25" s="503" cm="1">
        <f t="array" ref="D25">_xll.BDH($B25, "PX_LAST", D$1, D$1)</f>
        <v>17393</v>
      </c>
      <c r="E25" s="504">
        <f t="shared" si="5"/>
        <v>-2</v>
      </c>
      <c r="F25" s="273"/>
      <c r="G25" s="273"/>
      <c r="H25" s="273"/>
      <c r="I25" s="494"/>
      <c r="J25" s="494"/>
      <c r="K25" s="500"/>
    </row>
    <row r="26" spans="1:19" x14ac:dyDescent="0.25">
      <c r="A26" s="496" t="s">
        <v>481</v>
      </c>
      <c r="B26" s="497"/>
      <c r="C26" s="497"/>
      <c r="D26" s="497"/>
      <c r="E26" s="505">
        <f>SUM(D20:D23)*7-SUM(D24:D25)*7</f>
        <v>-3605</v>
      </c>
      <c r="F26" s="273"/>
      <c r="G26" s="535" t="s">
        <v>520</v>
      </c>
      <c r="H26" s="536"/>
      <c r="I26" s="537"/>
      <c r="J26" s="537"/>
      <c r="K26" s="538"/>
    </row>
    <row r="27" spans="1:19" x14ac:dyDescent="0.25">
      <c r="A27" s="517"/>
      <c r="B27" s="273"/>
      <c r="C27" s="273"/>
      <c r="D27" s="273"/>
      <c r="E27" s="500"/>
      <c r="F27" s="273"/>
      <c r="G27" s="493" t="s">
        <v>459</v>
      </c>
      <c r="H27" s="273" t="s">
        <v>521</v>
      </c>
      <c r="I27" s="494" cm="1">
        <f t="array" ref="I27">_xll.BDH($H27, "PX_LAST", C$1, C$1)</f>
        <v>11304</v>
      </c>
      <c r="J27" s="494" cm="1">
        <f t="array" ref="J27">_xll.BDH($H27, "PX_LAST", D$1, D$1)</f>
        <v>10966</v>
      </c>
      <c r="K27" s="495">
        <f t="shared" ref="K27:K32" si="6">$J27-$I27</f>
        <v>-338</v>
      </c>
    </row>
    <row r="28" spans="1:19" x14ac:dyDescent="0.25">
      <c r="A28" s="535" t="s">
        <v>522</v>
      </c>
      <c r="B28" s="539"/>
      <c r="C28" s="539"/>
      <c r="D28" s="539"/>
      <c r="E28" s="541"/>
      <c r="F28" s="273"/>
      <c r="G28" s="493" t="s">
        <v>463</v>
      </c>
      <c r="H28" s="273" t="s">
        <v>523</v>
      </c>
      <c r="I28" s="494" cm="1">
        <f t="array" ref="I28">_xll.BDH($H28, "PX_LAST", C$1, C$1)</f>
        <v>8035</v>
      </c>
      <c r="J28" s="494" cm="1">
        <f t="array" ref="J28">_xll.BDH($H28, "PX_LAST", D$1, D$1)</f>
        <v>8067</v>
      </c>
      <c r="K28" s="495">
        <f t="shared" si="6"/>
        <v>32</v>
      </c>
    </row>
    <row r="29" spans="1:19" x14ac:dyDescent="0.25">
      <c r="A29" s="493" t="s">
        <v>524</v>
      </c>
      <c r="B29" s="273" t="s">
        <v>478</v>
      </c>
      <c r="C29" s="494"/>
      <c r="D29" s="494" cm="1">
        <f t="array" ref="D29">((_xll.BDH($B29, "PX_LAST", D$1, D$1)-_xll.BDH($B29, "PX_LAST", C$1, C$1))-(D30*7-D31*7))/7</f>
        <v>-166</v>
      </c>
      <c r="E29" s="495"/>
      <c r="F29" s="273"/>
      <c r="G29" s="493" t="s">
        <v>467</v>
      </c>
      <c r="H29" s="273" t="s">
        <v>525</v>
      </c>
      <c r="I29" s="494" cm="1">
        <f t="array" ref="I29">_xll.BDH($H29, "PX_LAST", C$1, C$1)</f>
        <v>15408</v>
      </c>
      <c r="J29" s="494" cm="1">
        <f t="array" ref="J29">_xll.BDH($H29, "PX_LAST", D$1, D$1)</f>
        <v>14819</v>
      </c>
      <c r="K29" s="495">
        <f t="shared" si="6"/>
        <v>-589</v>
      </c>
    </row>
    <row r="30" spans="1:19" x14ac:dyDescent="0.25">
      <c r="A30" s="493" t="s">
        <v>513</v>
      </c>
      <c r="B30" s="273" t="s">
        <v>526</v>
      </c>
      <c r="C30" s="494" cm="1">
        <f t="array" ref="C30">_xll.BDH($B30, "PX_LAST", C$1, C$1)</f>
        <v>323</v>
      </c>
      <c r="D30" s="494" cm="1">
        <f t="array" ref="D30">_xll.BDH($B30, "PX_LAST", D$1, D$1)</f>
        <v>511</v>
      </c>
      <c r="E30" s="495">
        <f>$D30-$C30</f>
        <v>188</v>
      </c>
      <c r="F30" s="273"/>
      <c r="G30" s="493" t="s">
        <v>471</v>
      </c>
      <c r="H30" s="273" t="s">
        <v>527</v>
      </c>
      <c r="I30" s="494" cm="1">
        <f t="array" ref="I30">_xll.BDH($H30, "PX_LAST", C$1, C$1)</f>
        <v>713</v>
      </c>
      <c r="J30" s="494" cm="1">
        <f t="array" ref="J30">_xll.BDH($H30, "PX_LAST", D$1, D$1)</f>
        <v>725</v>
      </c>
      <c r="K30" s="495">
        <f t="shared" si="6"/>
        <v>12</v>
      </c>
    </row>
    <row r="31" spans="1:19" x14ac:dyDescent="0.25">
      <c r="A31" s="501" t="s">
        <v>528</v>
      </c>
      <c r="B31" s="502" t="s">
        <v>529</v>
      </c>
      <c r="C31" s="503" cm="1">
        <f t="array" ref="C31">_xll.BDH($B31, "PX_LAST", C$1, C$1)</f>
        <v>619</v>
      </c>
      <c r="D31" s="503" cm="1">
        <f t="array" ref="D31">_xll.BDH($B31, "PX_LAST", D$1, D$1)</f>
        <v>600</v>
      </c>
      <c r="E31" s="504">
        <f>$D31-$C31</f>
        <v>-19</v>
      </c>
      <c r="F31" s="273"/>
      <c r="G31" s="501" t="s">
        <v>475</v>
      </c>
      <c r="H31" s="502" t="s">
        <v>530</v>
      </c>
      <c r="I31" s="503" cm="1">
        <f t="array" ref="I31">_xll.BDH($H31, "PX_LAST", C$1, C$1)</f>
        <v>10780</v>
      </c>
      <c r="J31" s="503" cm="1">
        <f t="array" ref="J31">_xll.BDH($H31, "PX_LAST", D$1, D$1)</f>
        <v>11116</v>
      </c>
      <c r="K31" s="504">
        <f t="shared" si="6"/>
        <v>336</v>
      </c>
    </row>
    <row r="32" spans="1:19" x14ac:dyDescent="0.25">
      <c r="A32" s="496" t="s">
        <v>481</v>
      </c>
      <c r="B32" s="497"/>
      <c r="C32" s="497"/>
      <c r="D32" s="497"/>
      <c r="E32" s="505">
        <f>SUM(D29:D30)*7-SUM(D31)*7</f>
        <v>-1785</v>
      </c>
      <c r="F32" s="273"/>
      <c r="G32" s="496" t="s">
        <v>481</v>
      </c>
      <c r="H32" s="497" t="s">
        <v>485</v>
      </c>
      <c r="I32" s="516" cm="1">
        <f t="array" ref="I32">_xll.BDH($H32, "PX_LAST", C$1, C$1)</f>
        <v>46240</v>
      </c>
      <c r="J32" s="516" cm="1">
        <f t="array" ref="J32">_xll.BDH($H32, "PX_LAST", D$1, D$1)</f>
        <v>45693</v>
      </c>
      <c r="K32" s="505">
        <f t="shared" si="6"/>
        <v>-547</v>
      </c>
    </row>
    <row r="33" spans="1:18" x14ac:dyDescent="0.25">
      <c r="A33" s="517"/>
      <c r="B33" s="273"/>
      <c r="C33" s="273"/>
      <c r="D33" s="273"/>
      <c r="E33" s="500"/>
      <c r="F33" s="273"/>
      <c r="G33" s="273"/>
      <c r="H33" s="273"/>
      <c r="I33" s="494"/>
      <c r="J33" s="494"/>
      <c r="K33" s="500"/>
    </row>
    <row r="34" spans="1:18" x14ac:dyDescent="0.25">
      <c r="A34" s="535" t="s">
        <v>531</v>
      </c>
      <c r="B34" s="539"/>
      <c r="C34" s="539"/>
      <c r="D34" s="539"/>
      <c r="E34" s="541"/>
      <c r="F34" s="273"/>
      <c r="G34" s="535" t="s">
        <v>532</v>
      </c>
      <c r="H34" s="536"/>
      <c r="I34" s="537"/>
      <c r="J34" s="537"/>
      <c r="K34" s="538"/>
    </row>
    <row r="35" spans="1:18" x14ac:dyDescent="0.25">
      <c r="A35" s="493" t="s">
        <v>504</v>
      </c>
      <c r="B35" s="273" t="s">
        <v>533</v>
      </c>
      <c r="C35" s="494" cm="1">
        <f t="array" ref="C35">_xll.BDH($B35, "PX_LAST", C$1, C$1)</f>
        <v>9711</v>
      </c>
      <c r="D35" s="494" cm="1">
        <f t="array" ref="D35">_xll.BDH($B35, "PX_LAST", D$1, D$1)</f>
        <v>9772</v>
      </c>
      <c r="E35" s="495">
        <f>$D35-$C35</f>
        <v>61</v>
      </c>
      <c r="F35" s="273"/>
      <c r="G35" s="493" t="s">
        <v>459</v>
      </c>
      <c r="H35" s="273" t="s">
        <v>534</v>
      </c>
      <c r="I35" s="494" cm="1">
        <f t="array" ref="I35">_xll.BDH($H35, "PX_LAST", C$1, C$1)</f>
        <v>4793</v>
      </c>
      <c r="J35" s="494" cm="1">
        <f t="array" ref="J35">_xll.BDH($H35, "PX_LAST", D$1, D$1)</f>
        <v>5319</v>
      </c>
      <c r="K35" s="495">
        <f t="shared" ref="K35:K40" si="7">$J35-$I35</f>
        <v>526</v>
      </c>
    </row>
    <row r="36" spans="1:18" x14ac:dyDescent="0.25">
      <c r="A36" s="493" t="s">
        <v>513</v>
      </c>
      <c r="B36" s="273" t="s">
        <v>535</v>
      </c>
      <c r="C36" s="494" cm="1">
        <f t="array" ref="C36">_xll.BDH($B36, "PX_LAST", C$1, C$1)</f>
        <v>43</v>
      </c>
      <c r="D36" s="494" cm="1">
        <f t="array" ref="D36">_xll.BDH($B36, "PX_LAST", D$1, D$1)</f>
        <v>53</v>
      </c>
      <c r="E36" s="495">
        <f>$D36-$C36</f>
        <v>10</v>
      </c>
      <c r="F36" s="273"/>
      <c r="G36" s="493" t="s">
        <v>463</v>
      </c>
      <c r="H36" s="273" t="s">
        <v>536</v>
      </c>
      <c r="I36" s="494" cm="1">
        <f t="array" ref="I36">_xll.BDH($H36, "PX_LAST", C$1, C$1)</f>
        <v>1024</v>
      </c>
      <c r="J36" s="494" cm="1">
        <f t="array" ref="J36">_xll.BDH($H36, "PX_LAST", D$1, D$1)</f>
        <v>1022</v>
      </c>
      <c r="K36" s="495">
        <f t="shared" si="7"/>
        <v>-2</v>
      </c>
    </row>
    <row r="37" spans="1:18" x14ac:dyDescent="0.25">
      <c r="A37" s="493" t="s">
        <v>516</v>
      </c>
      <c r="B37" s="273" t="s">
        <v>537</v>
      </c>
      <c r="C37" s="494" cm="1">
        <f t="array" ref="C37">_xll.BDH($B37, "PX_LAST", C$1, C$1)</f>
        <v>852</v>
      </c>
      <c r="D37" s="494" cm="1">
        <f t="array" ref="D37">_xll.BDH($B37, "PX_LAST", D$1, D$1)</f>
        <v>890</v>
      </c>
      <c r="E37" s="495">
        <f>$D37-$C37</f>
        <v>38</v>
      </c>
      <c r="F37" s="273"/>
      <c r="G37" s="493" t="s">
        <v>467</v>
      </c>
      <c r="H37" s="273" t="s">
        <v>538</v>
      </c>
      <c r="I37" s="494" cm="1">
        <f t="array" ref="I37">_xll.BDH($H37, "PX_LAST", C$1, C$1)</f>
        <v>11671</v>
      </c>
      <c r="J37" s="494" cm="1">
        <f t="array" ref="J37">_xll.BDH($H37, "PX_LAST", D$1, D$1)</f>
        <v>12000</v>
      </c>
      <c r="K37" s="495">
        <f t="shared" si="7"/>
        <v>329</v>
      </c>
    </row>
    <row r="38" spans="1:18" x14ac:dyDescent="0.25">
      <c r="A38" s="501" t="s">
        <v>539</v>
      </c>
      <c r="B38" s="502" t="s">
        <v>540</v>
      </c>
      <c r="C38" s="503" cm="1">
        <f t="array" ref="C38">_xll.BDH($B38, "PX_LAST", C$1, C$1)</f>
        <v>8689</v>
      </c>
      <c r="D38" s="503" cm="1">
        <f t="array" ref="D38">_xll.BDH($B38, "PX_LAST", D$1, D$1)</f>
        <v>9043</v>
      </c>
      <c r="E38" s="504">
        <f>$D38-$C38</f>
        <v>354</v>
      </c>
      <c r="F38" s="273"/>
      <c r="G38" s="493" t="s">
        <v>471</v>
      </c>
      <c r="H38" s="273" t="s">
        <v>541</v>
      </c>
      <c r="I38" s="494" cm="1">
        <f t="array" ref="I38">_xll.BDH($H38, "PX_LAST", C$1, C$1)</f>
        <v>179</v>
      </c>
      <c r="J38" s="494" cm="1">
        <f t="array" ref="J38">_xll.BDH($H38, "PX_LAST", D$1, D$1)</f>
        <v>173</v>
      </c>
      <c r="K38" s="495">
        <f t="shared" si="7"/>
        <v>-6</v>
      </c>
    </row>
    <row r="39" spans="1:18" x14ac:dyDescent="0.25">
      <c r="A39" s="496" t="s">
        <v>481</v>
      </c>
      <c r="B39" s="497"/>
      <c r="C39" s="497"/>
      <c r="D39" s="497"/>
      <c r="E39" s="505">
        <f>SUM(D35:D36)*7-SUM(D37:D38)*7</f>
        <v>-756</v>
      </c>
      <c r="F39" s="273"/>
      <c r="G39" s="501" t="s">
        <v>475</v>
      </c>
      <c r="H39" s="502" t="s">
        <v>542</v>
      </c>
      <c r="I39" s="503" cm="1">
        <f t="array" ref="I39">_xll.BDH($H39, "PX_LAST", C$1, C$1)</f>
        <v>3045</v>
      </c>
      <c r="J39" s="503" cm="1">
        <f t="array" ref="J39">_xll.BDH($H39, "PX_LAST", D$1, D$1)</f>
        <v>3120</v>
      </c>
      <c r="K39" s="504">
        <f t="shared" si="7"/>
        <v>75</v>
      </c>
    </row>
    <row r="40" spans="1:18" x14ac:dyDescent="0.25">
      <c r="A40" s="517"/>
      <c r="B40" s="273"/>
      <c r="C40" s="273"/>
      <c r="D40" s="273"/>
      <c r="E40" s="500"/>
      <c r="F40" s="273"/>
      <c r="G40" s="496" t="s">
        <v>481</v>
      </c>
      <c r="H40" s="497" t="s">
        <v>492</v>
      </c>
      <c r="I40" s="516" cm="1">
        <f t="array" ref="I40">_xll.BDH($H40, "PX_LAST", C$1, C$1)</f>
        <v>20711</v>
      </c>
      <c r="J40" s="516" cm="1">
        <f t="array" ref="J40">_xll.BDH($H40, "PX_LAST", D$1, D$1)</f>
        <v>21634</v>
      </c>
      <c r="K40" s="505">
        <f t="shared" si="7"/>
        <v>923</v>
      </c>
    </row>
    <row r="41" spans="1:18" x14ac:dyDescent="0.25">
      <c r="A41" s="535" t="s">
        <v>543</v>
      </c>
      <c r="B41" s="539"/>
      <c r="C41" s="539"/>
      <c r="D41" s="539"/>
      <c r="E41" s="541"/>
      <c r="F41" s="273"/>
      <c r="G41" s="273"/>
      <c r="H41" s="273"/>
      <c r="I41" s="494"/>
      <c r="J41" s="494"/>
      <c r="K41" s="500"/>
    </row>
    <row r="42" spans="1:18" x14ac:dyDescent="0.25">
      <c r="A42" s="493" t="s">
        <v>504</v>
      </c>
      <c r="B42" s="273" t="s">
        <v>544</v>
      </c>
      <c r="C42" s="494" cm="1">
        <f t="array" ref="C42">_xll.BDH($B42, "PX_LAST", C$1, C$1)</f>
        <v>5226</v>
      </c>
      <c r="D42" s="494" cm="1">
        <f t="array" ref="D42">_xll.BDH($B42, "PX_LAST", D$1, D$1)</f>
        <v>5135</v>
      </c>
      <c r="E42" s="495">
        <f>$D42-$C42</f>
        <v>-91</v>
      </c>
      <c r="F42" s="273"/>
      <c r="G42" s="535" t="s">
        <v>545</v>
      </c>
      <c r="H42" s="536"/>
      <c r="I42" s="537"/>
      <c r="J42" s="537"/>
      <c r="K42" s="538"/>
    </row>
    <row r="43" spans="1:18" x14ac:dyDescent="0.25">
      <c r="A43" s="493" t="s">
        <v>513</v>
      </c>
      <c r="B43" s="273" t="s">
        <v>546</v>
      </c>
      <c r="C43" s="494" cm="1">
        <f t="array" ref="C43">_xll.BDH($B43, "PX_LAST", C$1, C$1)</f>
        <v>109</v>
      </c>
      <c r="D43" s="494" cm="1">
        <f t="array" ref="D43">_xll.BDH($B43, "PX_LAST", D$1, D$1)</f>
        <v>176</v>
      </c>
      <c r="E43" s="495">
        <f>$D43-$C43</f>
        <v>67</v>
      </c>
      <c r="F43" s="273"/>
      <c r="G43" s="493" t="s">
        <v>459</v>
      </c>
      <c r="H43" s="273" t="s">
        <v>547</v>
      </c>
      <c r="I43" s="494" cm="1">
        <f t="array" ref="I43">_xll.BDH($H43, "PX_LAST", C$1, C$1)</f>
        <v>784</v>
      </c>
      <c r="J43" s="494" cm="1">
        <f t="array" ref="J43">_xll.BDH($H43, "PX_LAST", D$1, D$1)</f>
        <v>797</v>
      </c>
      <c r="K43" s="495">
        <f t="shared" ref="K43:K48" si="8">$J43-$I43</f>
        <v>13</v>
      </c>
      <c r="R43" s="89"/>
    </row>
    <row r="44" spans="1:18" x14ac:dyDescent="0.25">
      <c r="A44" s="493" t="s">
        <v>516</v>
      </c>
      <c r="B44" s="273" t="s">
        <v>548</v>
      </c>
      <c r="C44" s="494" cm="1">
        <f t="array" ref="C44">_xll.BDH($B44, "PX_LAST", C$1, C$1)</f>
        <v>1601</v>
      </c>
      <c r="D44" s="494" cm="1">
        <f t="array" ref="D44">_xll.BDH($B44, "PX_LAST", D$1, D$1)</f>
        <v>1790</v>
      </c>
      <c r="E44" s="495">
        <f>$D44-$C44</f>
        <v>189</v>
      </c>
      <c r="F44" s="273"/>
      <c r="G44" s="493" t="s">
        <v>463</v>
      </c>
      <c r="H44" s="273" t="s">
        <v>549</v>
      </c>
      <c r="I44" s="494" cm="1">
        <f t="array" ref="I44">_xll.BDH($H44, "PX_LAST", C$1, C$1)</f>
        <v>4329</v>
      </c>
      <c r="J44" s="494" cm="1">
        <f t="array" ref="J44">_xll.BDH($H44, "PX_LAST", D$1, D$1)</f>
        <v>4356</v>
      </c>
      <c r="K44" s="495">
        <f t="shared" si="8"/>
        <v>27</v>
      </c>
    </row>
    <row r="45" spans="1:18" x14ac:dyDescent="0.25">
      <c r="A45" s="501" t="s">
        <v>539</v>
      </c>
      <c r="B45" s="502" t="s">
        <v>550</v>
      </c>
      <c r="C45" s="503" cm="1">
        <f t="array" ref="C45">_xll.BDH($B45, "PX_LAST", C$1, C$1)</f>
        <v>3953</v>
      </c>
      <c r="D45" s="503" cm="1">
        <f t="array" ref="D45">_xll.BDH($B45, "PX_LAST", D$1, D$1)</f>
        <v>3839</v>
      </c>
      <c r="E45" s="504">
        <f>$D45-$C45</f>
        <v>-114</v>
      </c>
      <c r="F45" s="273"/>
      <c r="G45" s="493" t="s">
        <v>467</v>
      </c>
      <c r="H45" s="273" t="s">
        <v>551</v>
      </c>
      <c r="I45" s="494" cm="1">
        <f t="array" ref="I45">_xll.BDH($H45, "PX_LAST", C$1, C$1)</f>
        <v>9619</v>
      </c>
      <c r="J45" s="494" cm="1">
        <f t="array" ref="J45">_xll.BDH($H45, "PX_LAST", D$1, D$1)</f>
        <v>9520</v>
      </c>
      <c r="K45" s="495">
        <f t="shared" si="8"/>
        <v>-99</v>
      </c>
    </row>
    <row r="46" spans="1:18" x14ac:dyDescent="0.25">
      <c r="A46" s="496" t="s">
        <v>481</v>
      </c>
      <c r="B46" s="497"/>
      <c r="C46" s="497"/>
      <c r="D46" s="497"/>
      <c r="E46" s="505">
        <f>SUM(D42:D43)*7-SUM(D44:D45)*7</f>
        <v>-2226</v>
      </c>
      <c r="F46" s="273"/>
      <c r="G46" s="493" t="s">
        <v>471</v>
      </c>
      <c r="H46" s="273" t="s">
        <v>552</v>
      </c>
      <c r="I46" s="494" cm="1">
        <f t="array" ref="I46">_xll.BDH($H46, "PX_LAST", C$1, C$1)</f>
        <v>621</v>
      </c>
      <c r="J46" s="494" cm="1">
        <f t="array" ref="J46">_xll.BDH($H46, "PX_LAST", D$1, D$1)</f>
        <v>667</v>
      </c>
      <c r="K46" s="495">
        <f t="shared" si="8"/>
        <v>46</v>
      </c>
    </row>
    <row r="47" spans="1:18" x14ac:dyDescent="0.25">
      <c r="A47" s="517"/>
      <c r="B47" s="273"/>
      <c r="C47" s="273"/>
      <c r="D47" s="273"/>
      <c r="E47" s="500"/>
      <c r="F47" s="273"/>
      <c r="G47" s="501" t="s">
        <v>475</v>
      </c>
      <c r="H47" s="502" t="s">
        <v>553</v>
      </c>
      <c r="I47" s="503" cm="1">
        <f t="array" ref="I47">_xll.BDH($H47, "PX_LAST", C$1, C$1)</f>
        <v>2041</v>
      </c>
      <c r="J47" s="503" cm="1">
        <f t="array" ref="J47">_xll.BDH($H47, "PX_LAST", D$1, D$1)</f>
        <v>2054</v>
      </c>
      <c r="K47" s="504">
        <f t="shared" si="8"/>
        <v>13</v>
      </c>
    </row>
    <row r="48" spans="1:18" x14ac:dyDescent="0.25">
      <c r="A48" s="535" t="s">
        <v>554</v>
      </c>
      <c r="B48" s="539"/>
      <c r="C48" s="539"/>
      <c r="D48" s="539"/>
      <c r="E48" s="541"/>
      <c r="F48" s="273"/>
      <c r="G48" s="496" t="s">
        <v>555</v>
      </c>
      <c r="H48" s="497" t="s">
        <v>519</v>
      </c>
      <c r="I48" s="516" cm="1">
        <f t="array" ref="I48">_xll.BDH($H48, "PX_LAST", C$1, C$1)</f>
        <v>17395</v>
      </c>
      <c r="J48" s="516" cm="1">
        <f t="array" ref="J48">_xll.BDH($H48, "PX_LAST", D$1, D$1)</f>
        <v>17393</v>
      </c>
      <c r="K48" s="505">
        <f t="shared" si="8"/>
        <v>-2</v>
      </c>
    </row>
    <row r="49" spans="1:11" x14ac:dyDescent="0.25">
      <c r="A49" s="493" t="s">
        <v>504</v>
      </c>
      <c r="B49" s="273" t="s">
        <v>556</v>
      </c>
      <c r="C49" s="494" cm="1">
        <f t="array" ref="C49">_xll.BDH($B49, "PX_LAST", C$1, C$1)</f>
        <v>2047</v>
      </c>
      <c r="D49" s="494" cm="1">
        <f t="array" ref="D49">_xll.BDH($B49, "PX_LAST", D$1, D$1)</f>
        <v>2025</v>
      </c>
      <c r="E49" s="495">
        <f>$D49-$C49</f>
        <v>-22</v>
      </c>
      <c r="F49" s="273"/>
      <c r="G49" s="273"/>
      <c r="H49" s="273"/>
      <c r="I49" s="494"/>
      <c r="J49" s="494"/>
      <c r="K49" s="500"/>
    </row>
    <row r="50" spans="1:11" x14ac:dyDescent="0.25">
      <c r="A50" s="493" t="s">
        <v>513</v>
      </c>
      <c r="B50" s="273" t="s">
        <v>557</v>
      </c>
      <c r="C50" s="494" cm="1">
        <f t="array" ref="C50">_xll.BDH($B50, "PX_LAST", C$1, C$1)</f>
        <v>89</v>
      </c>
      <c r="D50" s="494" cm="1">
        <f t="array" ref="D50">_xll.BDH($B50, "PX_LAST", D$1, D$1)</f>
        <v>28</v>
      </c>
      <c r="E50" s="495">
        <f>$D50-$C50</f>
        <v>-61</v>
      </c>
      <c r="F50" s="273"/>
      <c r="G50" s="535" t="s">
        <v>558</v>
      </c>
      <c r="H50" s="536"/>
      <c r="I50" s="537"/>
      <c r="J50" s="537"/>
      <c r="K50" s="538"/>
    </row>
    <row r="51" spans="1:11" x14ac:dyDescent="0.25">
      <c r="A51" s="493" t="s">
        <v>516</v>
      </c>
      <c r="B51" s="273" t="s">
        <v>559</v>
      </c>
      <c r="C51" s="494" cm="1">
        <f t="array" ref="C51">_xll.BDH($B51, "PX_LAST", C$1, C$1)</f>
        <v>372</v>
      </c>
      <c r="D51" s="494" cm="1">
        <f t="array" ref="D51">_xll.BDH($B51, "PX_LAST", D$1, D$1)</f>
        <v>359</v>
      </c>
      <c r="E51" s="495">
        <f>$D51-$C51</f>
        <v>-13</v>
      </c>
      <c r="F51" s="273"/>
      <c r="G51" s="493" t="s">
        <v>459</v>
      </c>
      <c r="H51" s="273" t="s">
        <v>560</v>
      </c>
      <c r="I51" s="527" cm="1">
        <f t="array" ref="I51">_xll.BDH($H51, "PX_LAST", C$1, C$1)</f>
        <v>84.8</v>
      </c>
      <c r="J51" s="527" cm="1">
        <f t="array" ref="J51">_xll.BDH($H51, "PX_LAST", D$1, D$1)</f>
        <v>86.7</v>
      </c>
      <c r="K51" s="528">
        <f t="shared" ref="K51:K56" si="9">$J51-$I51</f>
        <v>1.9000000000000057</v>
      </c>
    </row>
    <row r="52" spans="1:11" x14ac:dyDescent="0.25">
      <c r="A52" s="501" t="s">
        <v>539</v>
      </c>
      <c r="B52" s="502" t="s">
        <v>561</v>
      </c>
      <c r="C52" s="503" cm="1">
        <f t="array" ref="C52">_xll.BDH($B52, "PX_LAST", C$1, C$1)</f>
        <v>1613</v>
      </c>
      <c r="D52" s="503" cm="1">
        <f t="array" ref="D52">_xll.BDH($B52, "PX_LAST", D$1, D$1)</f>
        <v>1772</v>
      </c>
      <c r="E52" s="504">
        <f>$D52-$C52</f>
        <v>159</v>
      </c>
      <c r="F52" s="273"/>
      <c r="G52" s="493" t="s">
        <v>463</v>
      </c>
      <c r="H52" s="273" t="s">
        <v>562</v>
      </c>
      <c r="I52" s="527" cm="1">
        <f t="array" ref="I52">_xll.BDH($H52, "PX_LAST", C$1, C$1)</f>
        <v>101.2</v>
      </c>
      <c r="J52" s="527" cm="1">
        <f t="array" ref="J52">_xll.BDH($H52, "PX_LAST", D$1, D$1)</f>
        <v>101.8</v>
      </c>
      <c r="K52" s="528">
        <f t="shared" si="9"/>
        <v>0.59999999999999432</v>
      </c>
    </row>
    <row r="53" spans="1:11" x14ac:dyDescent="0.25">
      <c r="A53" s="496" t="s">
        <v>481</v>
      </c>
      <c r="B53" s="497"/>
      <c r="C53" s="497"/>
      <c r="D53" s="497"/>
      <c r="E53" s="505">
        <f>SUM(D49:D50)*7-SUM(D51:D52)*7</f>
        <v>-546</v>
      </c>
      <c r="F53" s="273"/>
      <c r="G53" s="493" t="s">
        <v>467</v>
      </c>
      <c r="H53" s="273" t="s">
        <v>563</v>
      </c>
      <c r="I53" s="527" cm="1">
        <f t="array" ref="I53">_xll.BDH($H53, "PX_LAST", C$1, C$1)</f>
        <v>97.9</v>
      </c>
      <c r="J53" s="527" cm="1">
        <f t="array" ref="J53">_xll.BDH($H53, "PX_LAST", D$1, D$1)</f>
        <v>97</v>
      </c>
      <c r="K53" s="528">
        <f t="shared" si="9"/>
        <v>-0.90000000000000568</v>
      </c>
    </row>
    <row r="54" spans="1:11" x14ac:dyDescent="0.25">
      <c r="A54" s="517"/>
      <c r="B54" s="273"/>
      <c r="C54" s="273"/>
      <c r="D54" s="273"/>
      <c r="E54" s="500"/>
      <c r="F54" s="273"/>
      <c r="G54" s="493" t="s">
        <v>471</v>
      </c>
      <c r="H54" s="273" t="s">
        <v>564</v>
      </c>
      <c r="I54" s="527" cm="1">
        <f t="array" ref="I54">_xll.BDH($H54, "PX_LAST", C$1, C$1)</f>
        <v>94.8</v>
      </c>
      <c r="J54" s="527" cm="1">
        <f t="array" ref="J54">_xll.BDH($H54, "PX_LAST", D$1, D$1)</f>
        <v>101.4</v>
      </c>
      <c r="K54" s="528">
        <f t="shared" si="9"/>
        <v>6.6000000000000085</v>
      </c>
    </row>
    <row r="55" spans="1:11" x14ac:dyDescent="0.25">
      <c r="A55" s="535" t="s">
        <v>565</v>
      </c>
      <c r="B55" s="539"/>
      <c r="C55" s="539"/>
      <c r="D55" s="539"/>
      <c r="E55" s="541"/>
      <c r="F55" s="273"/>
      <c r="G55" s="501" t="s">
        <v>475</v>
      </c>
      <c r="H55" s="502" t="s">
        <v>566</v>
      </c>
      <c r="I55" s="529" cm="1">
        <f t="array" ref="I55">_xll.BDH($H55, "PX_LAST", C$1, C$1)</f>
        <v>92.2</v>
      </c>
      <c r="J55" s="529" cm="1">
        <f t="array" ref="J55">_xll.BDH($H55, "PX_LAST", D$1, D$1)</f>
        <v>93.7</v>
      </c>
      <c r="K55" s="530">
        <f t="shared" si="9"/>
        <v>1.5</v>
      </c>
    </row>
    <row r="56" spans="1:11" x14ac:dyDescent="0.25">
      <c r="A56" s="493" t="s">
        <v>504</v>
      </c>
      <c r="B56" s="273" t="s">
        <v>567</v>
      </c>
      <c r="C56" s="494" cm="1">
        <f t="array" ref="C56">_xll.BDH($B56, "PX_LAST", C$1, C$1)</f>
        <v>366</v>
      </c>
      <c r="D56" s="494" cm="1">
        <f t="array" ref="D56">_xll.BDH($B56, "PX_LAST", D$1, D$1)</f>
        <v>324</v>
      </c>
      <c r="E56" s="495">
        <f>$D56-$C56</f>
        <v>-42</v>
      </c>
      <c r="F56" s="273"/>
      <c r="G56" s="496" t="s">
        <v>568</v>
      </c>
      <c r="H56" s="497" t="s">
        <v>569</v>
      </c>
      <c r="I56" s="498" cm="1">
        <f t="array" ref="I56">_xll.BDH($H56, "PX_LAST", C$1, C$1)</f>
        <v>97.2</v>
      </c>
      <c r="J56" s="498" cm="1">
        <f t="array" ref="J56">_xll.BDH($H56, "PX_LAST", D$1, D$1)</f>
        <v>97.4</v>
      </c>
      <c r="K56" s="499">
        <f t="shared" si="9"/>
        <v>0.20000000000000284</v>
      </c>
    </row>
    <row r="57" spans="1:11" x14ac:dyDescent="0.25">
      <c r="A57" s="493" t="s">
        <v>513</v>
      </c>
      <c r="B57" s="273" t="s">
        <v>570</v>
      </c>
      <c r="C57" s="494" cm="1">
        <f t="array" ref="C57">_xll.BDH($B57, "PX_LAST", C$1, C$1)</f>
        <v>110</v>
      </c>
      <c r="D57" s="494" cm="1">
        <f t="array" ref="D57">_xll.BDH($B57, "PX_LAST", D$1, D$1)</f>
        <v>166</v>
      </c>
      <c r="E57" s="495">
        <f>$D57-$C57</f>
        <v>56</v>
      </c>
      <c r="F57" s="273"/>
      <c r="G57" s="273"/>
      <c r="H57" s="273"/>
      <c r="I57" s="494"/>
      <c r="J57" s="494"/>
      <c r="K57" s="500"/>
    </row>
    <row r="58" spans="1:11" x14ac:dyDescent="0.25">
      <c r="A58" s="493" t="s">
        <v>516</v>
      </c>
      <c r="B58" s="273" t="s">
        <v>571</v>
      </c>
      <c r="C58" s="494" cm="1">
        <f t="array" ref="C58">_xll.BDH($B58, "PX_LAST", C$1, C$1)</f>
        <v>309</v>
      </c>
      <c r="D58" s="494" cm="1">
        <f t="array" ref="D58">_xll.BDH($B58, "PX_LAST", D$1, D$1)</f>
        <v>128</v>
      </c>
      <c r="E58" s="495">
        <f>$D58-$C58</f>
        <v>-181</v>
      </c>
      <c r="F58" s="273"/>
      <c r="G58" s="273"/>
      <c r="H58" s="273"/>
      <c r="I58" s="494"/>
      <c r="J58" s="494"/>
      <c r="K58" s="500"/>
    </row>
    <row r="59" spans="1:11" x14ac:dyDescent="0.25">
      <c r="A59" s="501" t="s">
        <v>539</v>
      </c>
      <c r="B59" s="502" t="s">
        <v>572</v>
      </c>
      <c r="C59" s="503" cm="1">
        <f t="array" ref="C59">_xll.BDH($B59, "PX_LAST", C$1, C$1)</f>
        <v>456</v>
      </c>
      <c r="D59" s="503" cm="1">
        <f t="array" ref="D59">_xll.BDH($B59, "PX_LAST", D$1, D$1)</f>
        <v>230</v>
      </c>
      <c r="E59" s="504">
        <f>$D59-$C59</f>
        <v>-226</v>
      </c>
      <c r="F59" s="273"/>
      <c r="G59" s="273"/>
      <c r="H59" s="273"/>
      <c r="I59" s="494"/>
      <c r="J59" s="494"/>
      <c r="K59" s="500"/>
    </row>
    <row r="60" spans="1:11" x14ac:dyDescent="0.25">
      <c r="A60" s="496" t="s">
        <v>481</v>
      </c>
      <c r="B60" s="497"/>
      <c r="C60" s="497"/>
      <c r="D60" s="497"/>
      <c r="E60" s="505">
        <f>SUM(D56:D57)*7-SUM(D58:D59)*7</f>
        <v>924</v>
      </c>
      <c r="F60" s="273"/>
      <c r="G60" s="273"/>
      <c r="H60" s="273"/>
      <c r="I60" s="494"/>
      <c r="J60" s="494"/>
      <c r="K60" s="500"/>
    </row>
  </sheetData>
  <conditionalFormatting sqref="E2 E26 E6 E9:E12 E16 K11:K16 K19:K24 K27:K32 K35:K40 K43:K48 K51:K56 E32 E39 E46 E53 E60 K2:K8">
    <cfRule type="colorScale" priority="2">
      <colorScale>
        <cfvo type="min"/>
        <cfvo type="num" val="0"/>
        <cfvo type="max"/>
        <color rgb="FF92D050"/>
        <color theme="7"/>
        <color theme="9" tint="0.39997558519241921"/>
      </colorScale>
    </cfRule>
  </conditionalFormatting>
  <conditionalFormatting sqref="E29:E31 E20:E21 E23:E25 E35:E38 E42:E45 E49:E52 E56:E59 K51:K56 E22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scale="7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aveRangeAsPDF_EIA">
                <anchor moveWithCells="1" sizeWithCells="1">
                  <from>
                    <xdr:col>12</xdr:col>
                    <xdr:colOff>123825</xdr:colOff>
                    <xdr:row>3</xdr:row>
                    <xdr:rowOff>66675</xdr:rowOff>
                  </from>
                  <to>
                    <xdr:col>14</xdr:col>
                    <xdr:colOff>200025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56131-CECD-429A-9FEB-FD8DF12383ED}">
  <sheetPr codeName="Sheet12">
    <tabColor theme="0" tint="-0.34998626667073579"/>
    <pageSetUpPr autoPageBreaks="0"/>
  </sheetPr>
  <dimension ref="A1:AG97"/>
  <sheetViews>
    <sheetView zoomScaleNormal="100" workbookViewId="0">
      <selection activeCell="K24" sqref="K24"/>
    </sheetView>
  </sheetViews>
  <sheetFormatPr defaultColWidth="9.140625" defaultRowHeight="15" x14ac:dyDescent="0.25"/>
  <cols>
    <col min="1" max="1" width="23.28515625" style="83" customWidth="1"/>
    <col min="2" max="2" width="23.28515625" style="51" customWidth="1"/>
    <col min="3" max="6" width="23" style="51" hidden="1" customWidth="1"/>
    <col min="7" max="18" width="9" style="96" customWidth="1"/>
    <col min="19" max="19" width="9.140625" style="51"/>
    <col min="20" max="21" width="23.28515625" style="51" customWidth="1"/>
    <col min="22" max="25" width="0" style="51" hidden="1" customWidth="1"/>
    <col min="26" max="33" width="9.140625" style="51" hidden="1" customWidth="1"/>
    <col min="34" max="37" width="9.140625" style="51" customWidth="1"/>
    <col min="38" max="16384" width="9.140625" style="51"/>
  </cols>
  <sheetData>
    <row r="1" spans="1:18" x14ac:dyDescent="0.25">
      <c r="A1" s="836" t="s">
        <v>573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</row>
    <row r="2" spans="1:18" x14ac:dyDescent="0.25">
      <c r="A2" s="101"/>
      <c r="B2" s="101"/>
      <c r="C2" s="102"/>
      <c r="D2" s="102"/>
      <c r="E2" s="102"/>
      <c r="F2" s="102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5">
      <c r="A3" s="101"/>
      <c r="B3" s="102"/>
      <c r="C3" s="102"/>
      <c r="D3" s="102"/>
      <c r="E3" s="102"/>
      <c r="F3" s="102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5">
      <c r="A4" s="102"/>
      <c r="B4" s="102"/>
      <c r="C4" s="102"/>
      <c r="D4" s="102"/>
      <c r="E4" s="102"/>
      <c r="F4" s="102"/>
      <c r="G4" s="254"/>
      <c r="H4" s="255"/>
      <c r="I4" s="255"/>
      <c r="J4" s="255">
        <f>N4-7</f>
        <v>46252</v>
      </c>
      <c r="K4" s="254"/>
      <c r="L4" s="255"/>
      <c r="M4" s="255"/>
      <c r="N4" s="255" cm="1">
        <f t="array" ref="N4">DATEVALUE(_xll.BDP($C$31, "LAST_UPDATE_DT"))</f>
        <v>46259</v>
      </c>
      <c r="O4" s="254"/>
      <c r="P4" s="256"/>
      <c r="Q4" s="256"/>
      <c r="R4" s="257" t="s">
        <v>574</v>
      </c>
    </row>
    <row r="5" spans="1:18" ht="15.75" thickBot="1" x14ac:dyDescent="0.3">
      <c r="A5" s="102"/>
      <c r="B5" s="102"/>
      <c r="C5" s="102"/>
      <c r="D5" s="102"/>
      <c r="E5" s="102"/>
      <c r="F5" s="102"/>
      <c r="G5" s="198" t="s">
        <v>575</v>
      </c>
      <c r="H5" s="199" t="s">
        <v>576</v>
      </c>
      <c r="I5" s="199" t="s">
        <v>577</v>
      </c>
      <c r="J5" s="200" t="s">
        <v>578</v>
      </c>
      <c r="K5" s="198" t="s">
        <v>575</v>
      </c>
      <c r="L5" s="199" t="s">
        <v>576</v>
      </c>
      <c r="M5" s="199" t="s">
        <v>577</v>
      </c>
      <c r="N5" s="200" t="s">
        <v>578</v>
      </c>
      <c r="O5" s="198" t="s">
        <v>575</v>
      </c>
      <c r="P5" s="199" t="s">
        <v>576</v>
      </c>
      <c r="Q5" s="199" t="s">
        <v>577</v>
      </c>
      <c r="R5" s="200" t="s">
        <v>578</v>
      </c>
    </row>
    <row r="6" spans="1:18" ht="15.75" thickTop="1" x14ac:dyDescent="0.25">
      <c r="A6" s="201" t="s">
        <v>579</v>
      </c>
      <c r="B6" s="202" t="s">
        <v>580</v>
      </c>
      <c r="C6" s="202"/>
      <c r="D6" s="202"/>
      <c r="E6" s="202"/>
      <c r="F6" s="202"/>
      <c r="G6" s="203">
        <f>G45+G66</f>
        <v>2188472</v>
      </c>
      <c r="H6" s="204">
        <f>H45+H66</f>
        <v>2141774</v>
      </c>
      <c r="I6" s="204"/>
      <c r="J6" s="205">
        <f t="shared" ref="J6:L7" si="0">J45+J66</f>
        <v>46698</v>
      </c>
      <c r="K6" s="394">
        <f>K45+K66</f>
        <v>2178130</v>
      </c>
      <c r="L6" s="204">
        <f t="shared" si="0"/>
        <v>2111066</v>
      </c>
      <c r="M6" s="204"/>
      <c r="N6" s="205">
        <f>N45+N66</f>
        <v>67064</v>
      </c>
      <c r="O6" s="206">
        <f>K6-G6</f>
        <v>-10342</v>
      </c>
      <c r="P6" s="207">
        <f>L6-H6</f>
        <v>-30708</v>
      </c>
      <c r="Q6" s="207"/>
      <c r="R6" s="208">
        <f>N6-J6</f>
        <v>20366</v>
      </c>
    </row>
    <row r="7" spans="1:18" x14ac:dyDescent="0.25">
      <c r="A7" s="209"/>
      <c r="B7" s="102" t="s">
        <v>581</v>
      </c>
      <c r="C7" s="102"/>
      <c r="D7" s="102"/>
      <c r="E7" s="102"/>
      <c r="F7" s="102"/>
      <c r="G7" s="210">
        <f>G46+G67</f>
        <v>593531</v>
      </c>
      <c r="H7" s="103">
        <f>H46+H67</f>
        <v>868611</v>
      </c>
      <c r="I7" s="103">
        <f>I46+I67</f>
        <v>961912</v>
      </c>
      <c r="J7" s="211">
        <f t="shared" si="0"/>
        <v>-275080</v>
      </c>
      <c r="K7" s="210">
        <f t="shared" si="0"/>
        <v>600631</v>
      </c>
      <c r="L7" s="103">
        <f t="shared" si="0"/>
        <v>867928</v>
      </c>
      <c r="M7" s="103">
        <f>M46+M67</f>
        <v>888487</v>
      </c>
      <c r="N7" s="211">
        <f>N46+N67</f>
        <v>-267297</v>
      </c>
      <c r="O7" s="212">
        <f>K7-G7</f>
        <v>7100</v>
      </c>
      <c r="P7" s="104">
        <f>L7-H7</f>
        <v>-683</v>
      </c>
      <c r="Q7" s="104">
        <f>M7-I7</f>
        <v>-73425</v>
      </c>
      <c r="R7" s="213">
        <f>N7-J7</f>
        <v>7783</v>
      </c>
    </row>
    <row r="8" spans="1:18" x14ac:dyDescent="0.25">
      <c r="A8" s="209"/>
      <c r="B8" s="214" t="s">
        <v>582</v>
      </c>
      <c r="C8" s="102"/>
      <c r="D8" s="102"/>
      <c r="E8" s="102"/>
      <c r="F8" s="102"/>
      <c r="G8" s="215">
        <f t="shared" ref="G8:R8" si="1">SUM(G6:G7)</f>
        <v>2782003</v>
      </c>
      <c r="H8" s="216">
        <f t="shared" si="1"/>
        <v>3010385</v>
      </c>
      <c r="I8" s="216">
        <f t="shared" si="1"/>
        <v>961912</v>
      </c>
      <c r="J8" s="217">
        <f t="shared" si="1"/>
        <v>-228382</v>
      </c>
      <c r="K8" s="215">
        <f t="shared" si="1"/>
        <v>2778761</v>
      </c>
      <c r="L8" s="216">
        <f t="shared" si="1"/>
        <v>2978994</v>
      </c>
      <c r="M8" s="216">
        <f t="shared" si="1"/>
        <v>888487</v>
      </c>
      <c r="N8" s="217">
        <f t="shared" si="1"/>
        <v>-200233</v>
      </c>
      <c r="O8" s="218">
        <f t="shared" si="1"/>
        <v>-3242</v>
      </c>
      <c r="P8" s="219">
        <f t="shared" si="1"/>
        <v>-31391</v>
      </c>
      <c r="Q8" s="219">
        <f t="shared" si="1"/>
        <v>-73425</v>
      </c>
      <c r="R8" s="220">
        <f t="shared" si="1"/>
        <v>28149</v>
      </c>
    </row>
    <row r="9" spans="1:18" x14ac:dyDescent="0.25">
      <c r="A9" s="209"/>
      <c r="B9" s="102" t="s">
        <v>583</v>
      </c>
      <c r="C9" s="102"/>
      <c r="D9" s="102"/>
      <c r="E9" s="102"/>
      <c r="F9" s="102"/>
      <c r="G9" s="210">
        <f t="shared" ref="G9:N10" si="2">G48+G69</f>
        <v>602546</v>
      </c>
      <c r="H9" s="103">
        <f t="shared" si="2"/>
        <v>241383</v>
      </c>
      <c r="I9" s="103">
        <f t="shared" si="2"/>
        <v>837568</v>
      </c>
      <c r="J9" s="211">
        <f t="shared" si="2"/>
        <v>361163</v>
      </c>
      <c r="K9" s="210">
        <f t="shared" si="2"/>
        <v>580995</v>
      </c>
      <c r="L9" s="103">
        <f t="shared" si="2"/>
        <v>247081</v>
      </c>
      <c r="M9" s="103">
        <f t="shared" si="2"/>
        <v>808845</v>
      </c>
      <c r="N9" s="211">
        <f t="shared" si="2"/>
        <v>333914</v>
      </c>
      <c r="O9" s="212">
        <f t="shared" ref="O9:R10" si="3">K9-G9</f>
        <v>-21551</v>
      </c>
      <c r="P9" s="104">
        <f t="shared" si="3"/>
        <v>5698</v>
      </c>
      <c r="Q9" s="104">
        <f t="shared" si="3"/>
        <v>-28723</v>
      </c>
      <c r="R9" s="213">
        <f t="shared" si="3"/>
        <v>-27249</v>
      </c>
    </row>
    <row r="10" spans="1:18" x14ac:dyDescent="0.25">
      <c r="A10" s="209"/>
      <c r="B10" s="102" t="s">
        <v>584</v>
      </c>
      <c r="C10" s="102"/>
      <c r="D10" s="102"/>
      <c r="E10" s="102"/>
      <c r="F10" s="102"/>
      <c r="G10" s="210">
        <f t="shared" si="2"/>
        <v>377395</v>
      </c>
      <c r="H10" s="103">
        <f t="shared" si="2"/>
        <v>583989</v>
      </c>
      <c r="I10" s="103">
        <f t="shared" si="2"/>
        <v>1679774</v>
      </c>
      <c r="J10" s="211">
        <f t="shared" si="2"/>
        <v>-206594</v>
      </c>
      <c r="K10" s="210">
        <f t="shared" si="2"/>
        <v>372236</v>
      </c>
      <c r="L10" s="103">
        <f t="shared" si="2"/>
        <v>571384</v>
      </c>
      <c r="M10" s="103">
        <f t="shared" si="2"/>
        <v>1609610</v>
      </c>
      <c r="N10" s="211">
        <f t="shared" si="2"/>
        <v>-199148</v>
      </c>
      <c r="O10" s="212">
        <f t="shared" si="3"/>
        <v>-5159</v>
      </c>
      <c r="P10" s="104">
        <f t="shared" si="3"/>
        <v>-12605</v>
      </c>
      <c r="Q10" s="104">
        <f t="shared" si="3"/>
        <v>-70164</v>
      </c>
      <c r="R10" s="213">
        <f t="shared" si="3"/>
        <v>7446</v>
      </c>
    </row>
    <row r="11" spans="1:18" x14ac:dyDescent="0.25">
      <c r="A11" s="209"/>
      <c r="B11" s="102" t="s">
        <v>585</v>
      </c>
      <c r="C11" s="102"/>
      <c r="D11" s="102"/>
      <c r="E11" s="102"/>
      <c r="F11" s="102"/>
      <c r="G11" s="210">
        <f>G50+G71</f>
        <v>198161</v>
      </c>
      <c r="H11" s="103">
        <f>H50+H71</f>
        <v>124350</v>
      </c>
      <c r="I11" s="103"/>
      <c r="J11" s="211">
        <f>J50+J71</f>
        <v>73811</v>
      </c>
      <c r="K11" s="210">
        <f>K50+K71</f>
        <v>189280</v>
      </c>
      <c r="L11" s="103">
        <f>L50+L71</f>
        <v>123811</v>
      </c>
      <c r="M11" s="103"/>
      <c r="N11" s="211">
        <f>N50+N71</f>
        <v>65469</v>
      </c>
      <c r="O11" s="212">
        <f>K11-G11</f>
        <v>-8881</v>
      </c>
      <c r="P11" s="104">
        <f>L11-H11</f>
        <v>-539</v>
      </c>
      <c r="Q11" s="104"/>
      <c r="R11" s="213">
        <f>N11-J11</f>
        <v>-8342</v>
      </c>
    </row>
    <row r="12" spans="1:18" ht="15.75" thickBot="1" x14ac:dyDescent="0.3">
      <c r="A12" s="221"/>
      <c r="B12" s="222" t="s">
        <v>586</v>
      </c>
      <c r="C12" s="223"/>
      <c r="D12" s="223"/>
      <c r="E12" s="223"/>
      <c r="F12" s="223"/>
      <c r="G12" s="224">
        <f t="shared" ref="G12:R12" si="4">SUM(G9:G11)</f>
        <v>1178102</v>
      </c>
      <c r="H12" s="225">
        <f t="shared" si="4"/>
        <v>949722</v>
      </c>
      <c r="I12" s="225">
        <f t="shared" si="4"/>
        <v>2517342</v>
      </c>
      <c r="J12" s="226">
        <f t="shared" si="4"/>
        <v>228380</v>
      </c>
      <c r="K12" s="224">
        <f t="shared" si="4"/>
        <v>1142511</v>
      </c>
      <c r="L12" s="225">
        <f t="shared" si="4"/>
        <v>942276</v>
      </c>
      <c r="M12" s="225">
        <f t="shared" si="4"/>
        <v>2418455</v>
      </c>
      <c r="N12" s="226">
        <f t="shared" si="4"/>
        <v>200235</v>
      </c>
      <c r="O12" s="227">
        <f t="shared" si="4"/>
        <v>-35591</v>
      </c>
      <c r="P12" s="228">
        <f t="shared" si="4"/>
        <v>-7446</v>
      </c>
      <c r="Q12" s="228">
        <f t="shared" si="4"/>
        <v>-98887</v>
      </c>
      <c r="R12" s="229">
        <f t="shared" si="4"/>
        <v>-28145</v>
      </c>
    </row>
    <row r="13" spans="1:18" ht="15.75" thickTop="1" x14ac:dyDescent="0.25">
      <c r="A13" s="201" t="s">
        <v>587</v>
      </c>
      <c r="B13" s="202" t="s">
        <v>580</v>
      </c>
      <c r="C13" s="202"/>
      <c r="D13" s="202"/>
      <c r="E13" s="202"/>
      <c r="F13" s="202"/>
      <c r="G13" s="203">
        <f>(G76*7.45)/10+G83+G90</f>
        <v>301052.18</v>
      </c>
      <c r="H13" s="204">
        <f>(H76*7.45)/10+H83+H90</f>
        <v>530864.4</v>
      </c>
      <c r="I13" s="204"/>
      <c r="J13" s="205">
        <f t="shared" ref="J13:L14" si="5">(J76*7.45)/10+J83+J90</f>
        <v>-229812.22</v>
      </c>
      <c r="K13" s="203">
        <f t="shared" si="5"/>
        <v>330093.71999999997</v>
      </c>
      <c r="L13" s="204">
        <f t="shared" si="5"/>
        <v>564613.72499999998</v>
      </c>
      <c r="M13" s="204"/>
      <c r="N13" s="205">
        <f>(N76*7.45)/10+N83+N90</f>
        <v>-234520.005</v>
      </c>
      <c r="O13" s="206">
        <f>K13-G13</f>
        <v>29041.539999999979</v>
      </c>
      <c r="P13" s="207">
        <f>L13-H13</f>
        <v>33749.324999999953</v>
      </c>
      <c r="Q13" s="207"/>
      <c r="R13" s="208">
        <f>N13-J13</f>
        <v>-4707.7850000000035</v>
      </c>
    </row>
    <row r="14" spans="1:18" x14ac:dyDescent="0.25">
      <c r="A14" s="209"/>
      <c r="B14" s="102" t="s">
        <v>581</v>
      </c>
      <c r="C14" s="102"/>
      <c r="D14" s="102"/>
      <c r="E14" s="102"/>
      <c r="F14" s="102"/>
      <c r="G14" s="210">
        <f>(G77*7.45)/10+G84+G91</f>
        <v>306692.18</v>
      </c>
      <c r="H14" s="103">
        <f>(H77*7.45)/10+H84+H91</f>
        <v>58157.184999999998</v>
      </c>
      <c r="I14" s="103">
        <f>(I77*7.45)/10+I84+I91</f>
        <v>105900.83499999999</v>
      </c>
      <c r="J14" s="211">
        <f t="shared" si="5"/>
        <v>248534.995</v>
      </c>
      <c r="K14" s="210">
        <f t="shared" si="5"/>
        <v>306211.755</v>
      </c>
      <c r="L14" s="103">
        <f t="shared" si="5"/>
        <v>57196.505000000005</v>
      </c>
      <c r="M14" s="103">
        <f>(M77*7.45)/10+M84+M91</f>
        <v>108754.58499999999</v>
      </c>
      <c r="N14" s="211">
        <f>(N77*7.45)/10+N84+N91</f>
        <v>249015.25</v>
      </c>
      <c r="O14" s="212">
        <f>K14-G14</f>
        <v>-480.42499999998836</v>
      </c>
      <c r="P14" s="104">
        <f>L14-H14</f>
        <v>-960.67999999999302</v>
      </c>
      <c r="Q14" s="104">
        <f>M14-I14</f>
        <v>2853.75</v>
      </c>
      <c r="R14" s="213">
        <f>N14-J14</f>
        <v>480.25500000000466</v>
      </c>
    </row>
    <row r="15" spans="1:18" x14ac:dyDescent="0.25">
      <c r="A15" s="209"/>
      <c r="B15" s="214" t="s">
        <v>582</v>
      </c>
      <c r="C15" s="102"/>
      <c r="D15" s="102"/>
      <c r="E15" s="102"/>
      <c r="F15" s="102"/>
      <c r="G15" s="215">
        <f t="shared" ref="G15:R15" si="6">SUM(G13:G14)</f>
        <v>607744.36</v>
      </c>
      <c r="H15" s="216">
        <f t="shared" si="6"/>
        <v>589021.58499999996</v>
      </c>
      <c r="I15" s="216">
        <f t="shared" si="6"/>
        <v>105900.83499999999</v>
      </c>
      <c r="J15" s="217">
        <f t="shared" si="6"/>
        <v>18722.774999999994</v>
      </c>
      <c r="K15" s="215">
        <f t="shared" si="6"/>
        <v>636305.47499999998</v>
      </c>
      <c r="L15" s="216">
        <f t="shared" si="6"/>
        <v>621810.23</v>
      </c>
      <c r="M15" s="216">
        <f t="shared" si="6"/>
        <v>108754.58499999999</v>
      </c>
      <c r="N15" s="217">
        <f t="shared" si="6"/>
        <v>14495.244999999995</v>
      </c>
      <c r="O15" s="218">
        <f t="shared" si="6"/>
        <v>28561.114999999991</v>
      </c>
      <c r="P15" s="219">
        <f t="shared" si="6"/>
        <v>32788.64499999996</v>
      </c>
      <c r="Q15" s="219">
        <f t="shared" si="6"/>
        <v>2853.75</v>
      </c>
      <c r="R15" s="220">
        <f t="shared" si="6"/>
        <v>-4227.5299999999988</v>
      </c>
    </row>
    <row r="16" spans="1:18" x14ac:dyDescent="0.25">
      <c r="A16" s="209"/>
      <c r="B16" s="102" t="s">
        <v>583</v>
      </c>
      <c r="C16" s="102"/>
      <c r="D16" s="102"/>
      <c r="E16" s="102"/>
      <c r="F16" s="102"/>
      <c r="G16" s="210">
        <f t="shared" ref="G16:N17" si="7">(G79*7.45)/10+G86+G93</f>
        <v>213559.58499999999</v>
      </c>
      <c r="H16" s="103">
        <f t="shared" si="7"/>
        <v>53835.695</v>
      </c>
      <c r="I16" s="103">
        <f t="shared" si="7"/>
        <v>113419.15</v>
      </c>
      <c r="J16" s="211">
        <f t="shared" si="7"/>
        <v>159723.89000000001</v>
      </c>
      <c r="K16" s="210">
        <f t="shared" si="7"/>
        <v>216652.69500000001</v>
      </c>
      <c r="L16" s="103">
        <f t="shared" si="7"/>
        <v>52924.94</v>
      </c>
      <c r="M16" s="103">
        <f t="shared" si="7"/>
        <v>109866.425</v>
      </c>
      <c r="N16" s="211">
        <f t="shared" si="7"/>
        <v>163727.755</v>
      </c>
      <c r="O16" s="212">
        <f t="shared" ref="O16:R17" si="8">K16-G16</f>
        <v>3093.1100000000151</v>
      </c>
      <c r="P16" s="104">
        <f t="shared" si="8"/>
        <v>-910.75499999999738</v>
      </c>
      <c r="Q16" s="104">
        <f t="shared" si="8"/>
        <v>-3552.7249999999913</v>
      </c>
      <c r="R16" s="213">
        <f t="shared" si="8"/>
        <v>4003.8649999999907</v>
      </c>
    </row>
    <row r="17" spans="1:18" x14ac:dyDescent="0.25">
      <c r="A17" s="209"/>
      <c r="B17" s="102" t="s">
        <v>584</v>
      </c>
      <c r="C17" s="102"/>
      <c r="D17" s="102"/>
      <c r="E17" s="102"/>
      <c r="F17" s="102"/>
      <c r="G17" s="210">
        <f t="shared" si="7"/>
        <v>26919.93</v>
      </c>
      <c r="H17" s="103">
        <f t="shared" si="7"/>
        <v>249770.67499999999</v>
      </c>
      <c r="I17" s="103">
        <f t="shared" si="7"/>
        <v>156989.44</v>
      </c>
      <c r="J17" s="211">
        <f t="shared" si="7"/>
        <v>-222850.745</v>
      </c>
      <c r="K17" s="210">
        <f t="shared" si="7"/>
        <v>27546.014999999999</v>
      </c>
      <c r="L17" s="103">
        <f t="shared" si="7"/>
        <v>249918.89</v>
      </c>
      <c r="M17" s="103">
        <f t="shared" si="7"/>
        <v>149852.92499999999</v>
      </c>
      <c r="N17" s="211">
        <f t="shared" si="7"/>
        <v>-222372.875</v>
      </c>
      <c r="O17" s="212">
        <f t="shared" si="8"/>
        <v>626.08499999999913</v>
      </c>
      <c r="P17" s="104">
        <f t="shared" si="8"/>
        <v>148.21500000002561</v>
      </c>
      <c r="Q17" s="104">
        <f t="shared" si="8"/>
        <v>-7136.515000000014</v>
      </c>
      <c r="R17" s="213">
        <f t="shared" si="8"/>
        <v>477.86999999999534</v>
      </c>
    </row>
    <row r="18" spans="1:18" x14ac:dyDescent="0.25">
      <c r="A18" s="230"/>
      <c r="B18" s="102" t="s">
        <v>585</v>
      </c>
      <c r="C18" s="102"/>
      <c r="D18" s="102"/>
      <c r="E18" s="102"/>
      <c r="F18" s="102"/>
      <c r="G18" s="210">
        <f>(G81*7.45)/10+G88+G95</f>
        <v>109379.905</v>
      </c>
      <c r="H18" s="103">
        <f>(H81*7.45)/10+H88+H95</f>
        <v>64976.824999999997</v>
      </c>
      <c r="I18" s="103"/>
      <c r="J18" s="211">
        <f>(J81*7.45)/10+J88+J95</f>
        <v>44403.08</v>
      </c>
      <c r="K18" s="210">
        <f>(K81*7.45)/10+K88+K95</f>
        <v>109434.58500000001</v>
      </c>
      <c r="L18" s="103">
        <f>(L81*7.45)/10+L88+L95</f>
        <v>65285.71</v>
      </c>
      <c r="M18" s="103"/>
      <c r="N18" s="211">
        <f>(N81*7.45)/10+N88+N95</f>
        <v>44148.875</v>
      </c>
      <c r="O18" s="212">
        <f>K18-G18</f>
        <v>54.680000000007567</v>
      </c>
      <c r="P18" s="104">
        <f>L18-H18</f>
        <v>308.88500000000204</v>
      </c>
      <c r="Q18" s="104"/>
      <c r="R18" s="213">
        <f>N18-J18</f>
        <v>-254.20500000000175</v>
      </c>
    </row>
    <row r="19" spans="1:18" ht="15.75" thickBot="1" x14ac:dyDescent="0.3">
      <c r="A19" s="231"/>
      <c r="B19" s="222" t="s">
        <v>586</v>
      </c>
      <c r="C19" s="223"/>
      <c r="D19" s="223"/>
      <c r="E19" s="223"/>
      <c r="F19" s="223"/>
      <c r="G19" s="224">
        <f t="shared" ref="G19:R19" si="9">SUM(G16:G18)</f>
        <v>349859.42</v>
      </c>
      <c r="H19" s="225">
        <f t="shared" si="9"/>
        <v>368583.19500000001</v>
      </c>
      <c r="I19" s="225">
        <f t="shared" si="9"/>
        <v>270408.58999999997</v>
      </c>
      <c r="J19" s="226">
        <f t="shared" si="9"/>
        <v>-18723.77499999998</v>
      </c>
      <c r="K19" s="224">
        <f t="shared" si="9"/>
        <v>353633.29500000004</v>
      </c>
      <c r="L19" s="225">
        <f t="shared" si="9"/>
        <v>368129.54000000004</v>
      </c>
      <c r="M19" s="225">
        <f t="shared" si="9"/>
        <v>259719.34999999998</v>
      </c>
      <c r="N19" s="226">
        <f t="shared" si="9"/>
        <v>-14496.244999999995</v>
      </c>
      <c r="O19" s="227">
        <f t="shared" si="9"/>
        <v>3773.8750000000218</v>
      </c>
      <c r="P19" s="228">
        <f t="shared" si="9"/>
        <v>-453.65499999996973</v>
      </c>
      <c r="Q19" s="228">
        <f t="shared" si="9"/>
        <v>-10689.240000000005</v>
      </c>
      <c r="R19" s="229">
        <f t="shared" si="9"/>
        <v>4227.5299999999843</v>
      </c>
    </row>
    <row r="20" spans="1:18" ht="15.75" thickTop="1" x14ac:dyDescent="0.25">
      <c r="A20" s="232" t="s">
        <v>588</v>
      </c>
      <c r="B20" s="202" t="s">
        <v>580</v>
      </c>
      <c r="C20" s="202"/>
      <c r="D20" s="202"/>
      <c r="E20" s="202"/>
      <c r="F20" s="202"/>
      <c r="G20" s="203">
        <f>G13+G6</f>
        <v>2489524.1800000002</v>
      </c>
      <c r="H20" s="204">
        <f>H13+H6</f>
        <v>2672638.4</v>
      </c>
      <c r="I20" s="204"/>
      <c r="J20" s="205">
        <f t="shared" ref="J20:L21" si="10">J13+J6</f>
        <v>-183114.22</v>
      </c>
      <c r="K20" s="203">
        <f t="shared" si="10"/>
        <v>2508223.7199999997</v>
      </c>
      <c r="L20" s="204">
        <f t="shared" si="10"/>
        <v>2675679.7250000001</v>
      </c>
      <c r="M20" s="204"/>
      <c r="N20" s="205">
        <f>N13+N6</f>
        <v>-167456.005</v>
      </c>
      <c r="O20" s="206">
        <f>K20-G20</f>
        <v>18699.539999999572</v>
      </c>
      <c r="P20" s="207">
        <f>L20-H20</f>
        <v>3041.3250000001863</v>
      </c>
      <c r="Q20" s="207"/>
      <c r="R20" s="208">
        <f>N20-J20</f>
        <v>15658.214999999997</v>
      </c>
    </row>
    <row r="21" spans="1:18" x14ac:dyDescent="0.25">
      <c r="A21" s="230"/>
      <c r="B21" s="102" t="s">
        <v>581</v>
      </c>
      <c r="C21" s="102"/>
      <c r="D21" s="102"/>
      <c r="E21" s="102"/>
      <c r="F21" s="102"/>
      <c r="G21" s="210">
        <f>G14+G7</f>
        <v>900223.17999999993</v>
      </c>
      <c r="H21" s="103">
        <f>H14+H7</f>
        <v>926768.18500000006</v>
      </c>
      <c r="I21" s="103">
        <f>I14+I7</f>
        <v>1067812.835</v>
      </c>
      <c r="J21" s="211">
        <f t="shared" si="10"/>
        <v>-26545.005000000005</v>
      </c>
      <c r="K21" s="210">
        <f t="shared" si="10"/>
        <v>906842.755</v>
      </c>
      <c r="L21" s="103">
        <f t="shared" si="10"/>
        <v>925124.505</v>
      </c>
      <c r="M21" s="103">
        <f>M14+M7</f>
        <v>997241.58499999996</v>
      </c>
      <c r="N21" s="211">
        <f>N14+N7</f>
        <v>-18281.75</v>
      </c>
      <c r="O21" s="212">
        <f>K21-G21</f>
        <v>6619.5750000000698</v>
      </c>
      <c r="P21" s="104">
        <f>L21-H21</f>
        <v>-1643.6800000000512</v>
      </c>
      <c r="Q21" s="104">
        <f>M21-I21</f>
        <v>-70571.25</v>
      </c>
      <c r="R21" s="213">
        <f>N21-J21</f>
        <v>8263.2550000000047</v>
      </c>
    </row>
    <row r="22" spans="1:18" x14ac:dyDescent="0.25">
      <c r="A22" s="230"/>
      <c r="B22" s="214" t="s">
        <v>582</v>
      </c>
      <c r="C22" s="102"/>
      <c r="D22" s="102"/>
      <c r="E22" s="102"/>
      <c r="F22" s="102"/>
      <c r="G22" s="215">
        <f t="shared" ref="G22:R22" si="11">SUM(G20:G21)</f>
        <v>3389747.3600000003</v>
      </c>
      <c r="H22" s="216">
        <f t="shared" si="11"/>
        <v>3599406.585</v>
      </c>
      <c r="I22" s="216">
        <f t="shared" si="11"/>
        <v>1067812.835</v>
      </c>
      <c r="J22" s="217">
        <f t="shared" si="11"/>
        <v>-209659.22500000001</v>
      </c>
      <c r="K22" s="215">
        <f t="shared" si="11"/>
        <v>3415066.4749999996</v>
      </c>
      <c r="L22" s="216">
        <f t="shared" si="11"/>
        <v>3600804.23</v>
      </c>
      <c r="M22" s="216">
        <f t="shared" si="11"/>
        <v>997241.58499999996</v>
      </c>
      <c r="N22" s="217">
        <f t="shared" si="11"/>
        <v>-185737.755</v>
      </c>
      <c r="O22" s="218">
        <f t="shared" si="11"/>
        <v>25319.114999999641</v>
      </c>
      <c r="P22" s="219">
        <f t="shared" si="11"/>
        <v>1397.645000000135</v>
      </c>
      <c r="Q22" s="219">
        <f t="shared" si="11"/>
        <v>-70571.25</v>
      </c>
      <c r="R22" s="220">
        <f t="shared" si="11"/>
        <v>23921.47</v>
      </c>
    </row>
    <row r="23" spans="1:18" x14ac:dyDescent="0.25">
      <c r="A23" s="230"/>
      <c r="B23" s="102" t="s">
        <v>583</v>
      </c>
      <c r="C23" s="102"/>
      <c r="D23" s="102"/>
      <c r="E23" s="102"/>
      <c r="F23" s="102"/>
      <c r="G23" s="210">
        <f t="shared" ref="G23:N24" si="12">G16+G9</f>
        <v>816105.58499999996</v>
      </c>
      <c r="H23" s="103">
        <f t="shared" si="12"/>
        <v>295218.69500000001</v>
      </c>
      <c r="I23" s="103">
        <f t="shared" si="12"/>
        <v>950987.15</v>
      </c>
      <c r="J23" s="211">
        <f t="shared" si="12"/>
        <v>520886.89</v>
      </c>
      <c r="K23" s="210">
        <f t="shared" si="12"/>
        <v>797647.69500000007</v>
      </c>
      <c r="L23" s="103">
        <f t="shared" si="12"/>
        <v>300005.94</v>
      </c>
      <c r="M23" s="103">
        <f t="shared" si="12"/>
        <v>918711.42500000005</v>
      </c>
      <c r="N23" s="211">
        <f t="shared" si="12"/>
        <v>497641.755</v>
      </c>
      <c r="O23" s="212">
        <f t="shared" ref="O23:R24" si="13">K23-G23</f>
        <v>-18457.889999999898</v>
      </c>
      <c r="P23" s="104">
        <f t="shared" si="13"/>
        <v>4787.2449999999953</v>
      </c>
      <c r="Q23" s="104">
        <f t="shared" si="13"/>
        <v>-32275.724999999977</v>
      </c>
      <c r="R23" s="213">
        <f t="shared" si="13"/>
        <v>-23245.135000000009</v>
      </c>
    </row>
    <row r="24" spans="1:18" x14ac:dyDescent="0.25">
      <c r="A24" s="230"/>
      <c r="B24" s="102" t="s">
        <v>584</v>
      </c>
      <c r="C24" s="102"/>
      <c r="D24" s="102"/>
      <c r="E24" s="102"/>
      <c r="F24" s="102"/>
      <c r="G24" s="210">
        <f t="shared" si="12"/>
        <v>404314.93</v>
      </c>
      <c r="H24" s="103">
        <f t="shared" si="12"/>
        <v>833759.67500000005</v>
      </c>
      <c r="I24" s="103">
        <f t="shared" si="12"/>
        <v>1836763.44</v>
      </c>
      <c r="J24" s="211">
        <f t="shared" si="12"/>
        <v>-429444.745</v>
      </c>
      <c r="K24" s="210">
        <f t="shared" si="12"/>
        <v>399782.01500000001</v>
      </c>
      <c r="L24" s="103">
        <f t="shared" si="12"/>
        <v>821302.89</v>
      </c>
      <c r="M24" s="103">
        <f t="shared" si="12"/>
        <v>1759462.925</v>
      </c>
      <c r="N24" s="211">
        <f t="shared" si="12"/>
        <v>-421520.875</v>
      </c>
      <c r="O24" s="212">
        <f t="shared" si="13"/>
        <v>-4532.914999999979</v>
      </c>
      <c r="P24" s="104">
        <f t="shared" si="13"/>
        <v>-12456.785000000033</v>
      </c>
      <c r="Q24" s="104">
        <f t="shared" si="13"/>
        <v>-77300.514999999898</v>
      </c>
      <c r="R24" s="213">
        <f t="shared" si="13"/>
        <v>7923.8699999999953</v>
      </c>
    </row>
    <row r="25" spans="1:18" x14ac:dyDescent="0.25">
      <c r="A25" s="230"/>
      <c r="B25" s="102" t="s">
        <v>585</v>
      </c>
      <c r="C25" s="102"/>
      <c r="D25" s="102"/>
      <c r="E25" s="102"/>
      <c r="F25" s="102"/>
      <c r="G25" s="210">
        <f>G18+G11</f>
        <v>307540.90500000003</v>
      </c>
      <c r="H25" s="103">
        <f>H18+H11</f>
        <v>189326.82500000001</v>
      </c>
      <c r="I25" s="103"/>
      <c r="J25" s="211">
        <f>J18+J11</f>
        <v>118214.08</v>
      </c>
      <c r="K25" s="210">
        <f>K18+K11</f>
        <v>298714.58500000002</v>
      </c>
      <c r="L25" s="103">
        <f>L18+L11</f>
        <v>189096.71</v>
      </c>
      <c r="M25" s="103"/>
      <c r="N25" s="211">
        <f>N18+N11</f>
        <v>109617.875</v>
      </c>
      <c r="O25" s="212">
        <f>K25-G25</f>
        <v>-8826.320000000007</v>
      </c>
      <c r="P25" s="104">
        <f>L25-H25</f>
        <v>-230.11500000001979</v>
      </c>
      <c r="Q25" s="104"/>
      <c r="R25" s="213">
        <f>N25-J25</f>
        <v>-8596.2050000000017</v>
      </c>
    </row>
    <row r="26" spans="1:18" ht="15.75" thickBot="1" x14ac:dyDescent="0.3">
      <c r="A26" s="231"/>
      <c r="B26" s="222" t="s">
        <v>586</v>
      </c>
      <c r="C26" s="223"/>
      <c r="D26" s="223"/>
      <c r="E26" s="223"/>
      <c r="F26" s="223"/>
      <c r="G26" s="224">
        <f t="shared" ref="G26:R26" si="14">SUM(G23:G25)</f>
        <v>1527961.42</v>
      </c>
      <c r="H26" s="225">
        <f t="shared" si="14"/>
        <v>1318305.1950000001</v>
      </c>
      <c r="I26" s="225">
        <f t="shared" si="14"/>
        <v>2787750.59</v>
      </c>
      <c r="J26" s="226">
        <f t="shared" si="14"/>
        <v>209656.22500000003</v>
      </c>
      <c r="K26" s="224">
        <f t="shared" si="14"/>
        <v>1496144.2949999999</v>
      </c>
      <c r="L26" s="225">
        <f t="shared" si="14"/>
        <v>1310405.54</v>
      </c>
      <c r="M26" s="225">
        <f t="shared" si="14"/>
        <v>2678174.35</v>
      </c>
      <c r="N26" s="226">
        <f t="shared" si="14"/>
        <v>185738.755</v>
      </c>
      <c r="O26" s="227">
        <f t="shared" si="14"/>
        <v>-31817.124999999884</v>
      </c>
      <c r="P26" s="228">
        <f t="shared" si="14"/>
        <v>-7899.655000000057</v>
      </c>
      <c r="Q26" s="228">
        <f t="shared" si="14"/>
        <v>-109576.23999999987</v>
      </c>
      <c r="R26" s="229">
        <f t="shared" si="14"/>
        <v>-23917.470000000016</v>
      </c>
    </row>
    <row r="27" spans="1:18" ht="15.75" thickTop="1" x14ac:dyDescent="0.25">
      <c r="A27" s="101"/>
      <c r="B27" s="102"/>
      <c r="C27" s="102"/>
      <c r="D27" s="102"/>
      <c r="E27" s="102"/>
      <c r="F27" s="102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1:18" x14ac:dyDescent="0.25">
      <c r="A28" s="101"/>
      <c r="B28" s="102"/>
      <c r="C28" s="102"/>
      <c r="D28" s="102"/>
      <c r="E28" s="102"/>
      <c r="F28" s="102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1:18" x14ac:dyDescent="0.25">
      <c r="A29" s="101"/>
      <c r="B29" s="102"/>
      <c r="C29" s="102" t="s">
        <v>589</v>
      </c>
      <c r="D29" s="102"/>
      <c r="E29" s="102"/>
      <c r="F29" s="102"/>
      <c r="G29" s="254"/>
      <c r="H29" s="255"/>
      <c r="I29" s="255"/>
      <c r="J29" s="255">
        <f>N29-7</f>
        <v>46252</v>
      </c>
      <c r="K29" s="254"/>
      <c r="L29" s="255"/>
      <c r="M29" s="255"/>
      <c r="N29" s="255" cm="1">
        <f t="array" ref="N29">DATEVALUE(_xll.BDP($C$31, "LAST_UPDATE_DT"))</f>
        <v>46259</v>
      </c>
      <c r="O29" s="254"/>
      <c r="P29" s="256"/>
      <c r="Q29" s="256"/>
      <c r="R29" s="257" t="s">
        <v>574</v>
      </c>
    </row>
    <row r="30" spans="1:18" ht="15.75" thickBot="1" x14ac:dyDescent="0.3">
      <c r="A30" s="101"/>
      <c r="B30" s="101"/>
      <c r="C30" s="102" t="s">
        <v>590</v>
      </c>
      <c r="D30" s="102" t="s">
        <v>591</v>
      </c>
      <c r="E30" s="102" t="s">
        <v>592</v>
      </c>
      <c r="F30" s="102" t="s">
        <v>593</v>
      </c>
      <c r="G30" s="198" t="s">
        <v>575</v>
      </c>
      <c r="H30" s="105" t="s">
        <v>576</v>
      </c>
      <c r="I30" s="105" t="s">
        <v>577</v>
      </c>
      <c r="J30" s="233" t="s">
        <v>578</v>
      </c>
      <c r="K30" s="198" t="s">
        <v>575</v>
      </c>
      <c r="L30" s="105" t="s">
        <v>576</v>
      </c>
      <c r="M30" s="105" t="s">
        <v>577</v>
      </c>
      <c r="N30" s="233" t="s">
        <v>578</v>
      </c>
      <c r="O30" s="198" t="s">
        <v>575</v>
      </c>
      <c r="P30" s="105" t="s">
        <v>576</v>
      </c>
      <c r="Q30" s="105" t="s">
        <v>577</v>
      </c>
      <c r="R30" s="233" t="s">
        <v>578</v>
      </c>
    </row>
    <row r="31" spans="1:18" ht="15.75" thickTop="1" x14ac:dyDescent="0.25">
      <c r="A31" s="201" t="s">
        <v>594</v>
      </c>
      <c r="B31" s="202" t="s">
        <v>580</v>
      </c>
      <c r="C31" s="202" t="s">
        <v>595</v>
      </c>
      <c r="D31" s="202" t="s">
        <v>596</v>
      </c>
      <c r="E31" s="202"/>
      <c r="F31" s="202" t="s">
        <v>597</v>
      </c>
      <c r="G31" s="203" cm="1">
        <f t="array" ref="G31">_xll.BDH(C31, "PX_LAST", $J$29, $J$29)</f>
        <v>991868</v>
      </c>
      <c r="H31" s="204" cm="1">
        <f t="array" ref="H31">_xll.BDH(D31, "PX_LAST", $J$29, $J$29)</f>
        <v>1367293</v>
      </c>
      <c r="I31" s="204"/>
      <c r="J31" s="205" cm="1">
        <f t="array" ref="J31">_xll.BDH(F31, "PX_LAST", $J$29, $J$29)</f>
        <v>-375425</v>
      </c>
      <c r="K31" s="203" cm="1">
        <f t="array" ref="K31">_xll.BDH(C31, "PX_LAST", $N$29, $N$29)</f>
        <v>1011321</v>
      </c>
      <c r="L31" s="204" cm="1">
        <f t="array" ref="L31">_xll.BDH(D31, "PX_LAST", $N$29, $N$29)</f>
        <v>1351057</v>
      </c>
      <c r="M31" s="204"/>
      <c r="N31" s="205" cm="1">
        <f t="array" ref="N31">_xll.BDH(F31, "PX_LAST", $N$29, $N$29)</f>
        <v>-339736</v>
      </c>
      <c r="O31" s="206">
        <f>K31-G31</f>
        <v>19453</v>
      </c>
      <c r="P31" s="207">
        <f>L31-H31</f>
        <v>-16236</v>
      </c>
      <c r="Q31" s="207"/>
      <c r="R31" s="234">
        <f>N31-J31</f>
        <v>35689</v>
      </c>
    </row>
    <row r="32" spans="1:18" x14ac:dyDescent="0.25">
      <c r="A32" s="209"/>
      <c r="B32" s="102" t="s">
        <v>581</v>
      </c>
      <c r="C32" s="102" t="s">
        <v>598</v>
      </c>
      <c r="D32" s="102" t="s">
        <v>599</v>
      </c>
      <c r="E32" s="102" t="s">
        <v>600</v>
      </c>
      <c r="F32" s="102" t="s">
        <v>601</v>
      </c>
      <c r="G32" s="210" cm="1">
        <f t="array" ref="G32">_xll.BDH(C32, "PX_LAST", $J$29, $J$29)</f>
        <v>434802</v>
      </c>
      <c r="H32" s="103" cm="1">
        <f t="array" ref="H32">_xll.BDH(D32, "PX_LAST", $J$29, $J$29)</f>
        <v>69404</v>
      </c>
      <c r="I32" s="103" cm="1">
        <f t="array" ref="I32">_xll.BDH(E32, "PX_LAST", $J$29, $J$29)</f>
        <v>501903</v>
      </c>
      <c r="J32" s="211" cm="1">
        <f t="array" ref="J32">_xll.BDH(F32, "PX_LAST", $J$29, $J$29)</f>
        <v>365398</v>
      </c>
      <c r="K32" s="210" cm="1">
        <f t="array" ref="K32">_xll.BDH(C32, "PX_LAST", $N$29, $N$29)</f>
        <v>433926</v>
      </c>
      <c r="L32" s="103" cm="1">
        <f t="array" ref="L32">_xll.BDH(D32, "PX_LAST", $N$29, $N$29)</f>
        <v>77784</v>
      </c>
      <c r="M32" s="103" cm="1">
        <f t="array" ref="M32">_xll.BDH(E32, "PX_LAST", $N$29, $N$29)</f>
        <v>439863</v>
      </c>
      <c r="N32" s="211" cm="1">
        <f t="array" ref="N32">_xll.BDH(F32, "PX_LAST", $N$29, $N$29)</f>
        <v>356142</v>
      </c>
      <c r="O32" s="212">
        <f>K32-G32</f>
        <v>-876</v>
      </c>
      <c r="P32" s="104">
        <f>L32-H32</f>
        <v>8380</v>
      </c>
      <c r="Q32" s="104">
        <f>M32-I32</f>
        <v>-62040</v>
      </c>
      <c r="R32" s="235">
        <f>N32-J32</f>
        <v>-9256</v>
      </c>
    </row>
    <row r="33" spans="1:18" x14ac:dyDescent="0.25">
      <c r="A33" s="209"/>
      <c r="B33" s="214" t="s">
        <v>582</v>
      </c>
      <c r="C33" s="102"/>
      <c r="D33" s="102"/>
      <c r="E33" s="102"/>
      <c r="F33" s="102"/>
      <c r="G33" s="215">
        <f>SUM(G31:G32)</f>
        <v>1426670</v>
      </c>
      <c r="H33" s="216">
        <f t="shared" ref="H33:R33" si="15">SUM(H31:H32)</f>
        <v>1436697</v>
      </c>
      <c r="I33" s="216">
        <f t="shared" si="15"/>
        <v>501903</v>
      </c>
      <c r="J33" s="217">
        <f t="shared" si="15"/>
        <v>-10027</v>
      </c>
      <c r="K33" s="215">
        <f t="shared" si="15"/>
        <v>1445247</v>
      </c>
      <c r="L33" s="216">
        <f t="shared" si="15"/>
        <v>1428841</v>
      </c>
      <c r="M33" s="216">
        <f t="shared" si="15"/>
        <v>439863</v>
      </c>
      <c r="N33" s="217">
        <f t="shared" si="15"/>
        <v>16406</v>
      </c>
      <c r="O33" s="218">
        <f t="shared" si="15"/>
        <v>18577</v>
      </c>
      <c r="P33" s="219">
        <f t="shared" si="15"/>
        <v>-7856</v>
      </c>
      <c r="Q33" s="219">
        <f t="shared" si="15"/>
        <v>-62040</v>
      </c>
      <c r="R33" s="236">
        <f t="shared" si="15"/>
        <v>26433</v>
      </c>
    </row>
    <row r="34" spans="1:18" x14ac:dyDescent="0.25">
      <c r="A34" s="209"/>
      <c r="B34" s="102" t="s">
        <v>583</v>
      </c>
      <c r="C34" s="102" t="s">
        <v>602</v>
      </c>
      <c r="D34" s="102" t="s">
        <v>603</v>
      </c>
      <c r="E34" s="102" t="s">
        <v>604</v>
      </c>
      <c r="F34" s="102" t="s">
        <v>605</v>
      </c>
      <c r="G34" s="210" cm="1">
        <f t="array" ref="G34">_xll.BDH(C34, "PX_LAST", $J$29, $J$29)</f>
        <v>383124</v>
      </c>
      <c r="H34" s="103" cm="1">
        <f t="array" ref="H34">_xll.BDH(D34, "PX_LAST", $J$29, $J$29)</f>
        <v>131227</v>
      </c>
      <c r="I34" s="103" cm="1">
        <f t="array" ref="I34">_xll.BDH(E34, "PX_LAST", $J$29, $J$29)</f>
        <v>405805</v>
      </c>
      <c r="J34" s="211" cm="1">
        <f t="array" ref="J34">_xll.BDH(F34, "PX_LAST", $J$29, $J$29)</f>
        <v>251897</v>
      </c>
      <c r="K34" s="210" cm="1">
        <f t="array" ref="K34">_xll.BDH(C34, "PX_LAST", $N$29, $N$29)</f>
        <v>354170</v>
      </c>
      <c r="L34" s="103" cm="1">
        <f t="array" ref="L34">_xll.BDH(D34, "PX_LAST", $N$29, $N$29)</f>
        <v>130572</v>
      </c>
      <c r="M34" s="103" cm="1">
        <f t="array" ref="M34">_xll.BDH(E34, "PX_LAST", $N$29, $N$29)</f>
        <v>352545</v>
      </c>
      <c r="N34" s="211" cm="1">
        <f t="array" ref="N34">_xll.BDH(F34, "PX_LAST", $N$29, $N$29)</f>
        <v>223598</v>
      </c>
      <c r="O34" s="212">
        <f t="shared" ref="O34:O36" si="16">K34-G34</f>
        <v>-28954</v>
      </c>
      <c r="P34" s="104">
        <f t="shared" ref="P34:P36" si="17">L34-H34</f>
        <v>-655</v>
      </c>
      <c r="Q34" s="104">
        <f t="shared" ref="Q34:Q35" si="18">M34-I34</f>
        <v>-53260</v>
      </c>
      <c r="R34" s="235">
        <f t="shared" ref="R34:R36" si="19">N34-J34</f>
        <v>-28299</v>
      </c>
    </row>
    <row r="35" spans="1:18" x14ac:dyDescent="0.25">
      <c r="A35" s="209"/>
      <c r="B35" s="102" t="s">
        <v>584</v>
      </c>
      <c r="C35" s="102" t="s">
        <v>606</v>
      </c>
      <c r="D35" s="102" t="s">
        <v>607</v>
      </c>
      <c r="E35" s="102" t="s">
        <v>608</v>
      </c>
      <c r="F35" s="102" t="s">
        <v>609</v>
      </c>
      <c r="G35" s="210" cm="1">
        <f t="array" ref="G35">_xll.BDH(C35, "PX_LAST", $J$29, $J$29)</f>
        <v>148822</v>
      </c>
      <c r="H35" s="103" cm="1">
        <f t="array" ref="H35">_xll.BDH(D35, "PX_LAST", $J$29, $J$29)</f>
        <v>425881</v>
      </c>
      <c r="I35" s="103" cm="1">
        <f t="array" ref="I35">_xll.BDH(E35, "PX_LAST", $J$29, $J$29)</f>
        <v>661491</v>
      </c>
      <c r="J35" s="211" cm="1">
        <f t="array" ref="J35">_xll.BDH(F35, "PX_LAST", $J$29, $J$29)</f>
        <v>-277059</v>
      </c>
      <c r="K35" s="210" cm="1">
        <f t="array" ref="K35">_xll.BDH(C35, "PX_LAST", $N$29, $N$29)</f>
        <v>150574</v>
      </c>
      <c r="L35" s="103" cm="1">
        <f t="array" ref="L35">_xll.BDH(D35, "PX_LAST", $N$29, $N$29)</f>
        <v>415854</v>
      </c>
      <c r="M35" s="103" cm="1">
        <f t="array" ref="M35">_xll.BDH(E35, "PX_LAST", $N$29, $N$29)</f>
        <v>591646</v>
      </c>
      <c r="N35" s="211" cm="1">
        <f t="array" ref="N35">_xll.BDH(F35, "PX_LAST", $N$29, $N$29)</f>
        <v>-265280</v>
      </c>
      <c r="O35" s="212">
        <f t="shared" si="16"/>
        <v>1752</v>
      </c>
      <c r="P35" s="104">
        <f t="shared" si="17"/>
        <v>-10027</v>
      </c>
      <c r="Q35" s="104">
        <f t="shared" si="18"/>
        <v>-69845</v>
      </c>
      <c r="R35" s="235">
        <f t="shared" si="19"/>
        <v>11779</v>
      </c>
    </row>
    <row r="36" spans="1:18" x14ac:dyDescent="0.25">
      <c r="A36" s="209"/>
      <c r="B36" s="102" t="s">
        <v>585</v>
      </c>
      <c r="C36" s="102" t="s">
        <v>610</v>
      </c>
      <c r="D36" s="102" t="s">
        <v>611</v>
      </c>
      <c r="E36" s="102"/>
      <c r="F36" s="102" t="s">
        <v>612</v>
      </c>
      <c r="G36" s="210" cm="1">
        <f t="array" ref="G36">_xll.BDH(C36, "PX_LAST", $J$29, $J$29)</f>
        <v>84748</v>
      </c>
      <c r="H36" s="103" cm="1">
        <f t="array" ref="H36">_xll.BDH(D36, "PX_LAST", $J$29, $J$29)</f>
        <v>49559</v>
      </c>
      <c r="I36" s="103"/>
      <c r="J36" s="211" cm="1">
        <f t="array" ref="J36">_xll.BDH(F36, "PX_LAST", $J$29, $J$29)</f>
        <v>35189</v>
      </c>
      <c r="K36" s="210" cm="1">
        <f t="array" ref="K36">_xll.BDH(C36, "PX_LAST", $N$29, $N$29)</f>
        <v>75917</v>
      </c>
      <c r="L36" s="103" cm="1">
        <f t="array" ref="L36">_xll.BDH(D36, "PX_LAST", $N$29, $N$29)</f>
        <v>50641</v>
      </c>
      <c r="M36" s="103"/>
      <c r="N36" s="211" cm="1">
        <f t="array" ref="N36">_xll.BDH(F36, "PX_LAST", $N$29, $N$29)</f>
        <v>25276</v>
      </c>
      <c r="O36" s="212">
        <f t="shared" si="16"/>
        <v>-8831</v>
      </c>
      <c r="P36" s="104">
        <f t="shared" si="17"/>
        <v>1082</v>
      </c>
      <c r="Q36" s="104"/>
      <c r="R36" s="235">
        <f t="shared" si="19"/>
        <v>-9913</v>
      </c>
    </row>
    <row r="37" spans="1:18" ht="15.75" thickBot="1" x14ac:dyDescent="0.3">
      <c r="A37" s="221"/>
      <c r="B37" s="222" t="s">
        <v>586</v>
      </c>
      <c r="C37" s="223"/>
      <c r="D37" s="223"/>
      <c r="E37" s="223"/>
      <c r="F37" s="223"/>
      <c r="G37" s="224">
        <f>SUM(G34:G36)</f>
        <v>616694</v>
      </c>
      <c r="H37" s="225">
        <f t="shared" ref="H37:R37" si="20">SUM(H34:H36)</f>
        <v>606667</v>
      </c>
      <c r="I37" s="225">
        <f t="shared" si="20"/>
        <v>1067296</v>
      </c>
      <c r="J37" s="226">
        <f t="shared" si="20"/>
        <v>10027</v>
      </c>
      <c r="K37" s="224">
        <f t="shared" si="20"/>
        <v>580661</v>
      </c>
      <c r="L37" s="225">
        <f t="shared" si="20"/>
        <v>597067</v>
      </c>
      <c r="M37" s="225">
        <f t="shared" si="20"/>
        <v>944191</v>
      </c>
      <c r="N37" s="226">
        <f t="shared" si="20"/>
        <v>-16406</v>
      </c>
      <c r="O37" s="227">
        <f t="shared" si="20"/>
        <v>-36033</v>
      </c>
      <c r="P37" s="228">
        <f t="shared" si="20"/>
        <v>-9600</v>
      </c>
      <c r="Q37" s="228">
        <f t="shared" si="20"/>
        <v>-123105</v>
      </c>
      <c r="R37" s="237">
        <f t="shared" si="20"/>
        <v>-26433</v>
      </c>
    </row>
    <row r="38" spans="1:18" ht="15.75" thickTop="1" x14ac:dyDescent="0.25">
      <c r="A38" s="201" t="s">
        <v>613</v>
      </c>
      <c r="B38" s="202" t="s">
        <v>580</v>
      </c>
      <c r="C38" s="202" t="s">
        <v>614</v>
      </c>
      <c r="D38" s="202" t="s">
        <v>615</v>
      </c>
      <c r="E38" s="202"/>
      <c r="F38" s="202" t="s">
        <v>616</v>
      </c>
      <c r="G38" s="203" cm="1">
        <f t="array" ref="G38">_xll.BDH(C38, "PX_LAST", $J$29, $J$29)</f>
        <v>29160</v>
      </c>
      <c r="H38" s="204" cm="1">
        <f t="array" ref="H38">_xll.BDH(D38, "PX_LAST", $J$29, $J$29)</f>
        <v>60419</v>
      </c>
      <c r="I38" s="204"/>
      <c r="J38" s="205" cm="1">
        <f t="array" ref="J38">_xll.BDH(F38, "PX_LAST", $J$29, $J$29)</f>
        <v>-31259</v>
      </c>
      <c r="K38" s="203" cm="1">
        <f t="array" ref="K38">_xll.BDH(C38, "PX_LAST", $N$29, $N$29)</f>
        <v>27547</v>
      </c>
      <c r="L38" s="204" cm="1">
        <f t="array" ref="L38">_xll.BDH(D38, "PX_LAST", $N$29, $N$29)</f>
        <v>57831</v>
      </c>
      <c r="M38" s="204"/>
      <c r="N38" s="205" cm="1">
        <f t="array" ref="N38">_xll.BDH(F38, "PX_LAST", $N$29, $N$29)</f>
        <v>-30284</v>
      </c>
      <c r="O38" s="206">
        <f>K38-G38</f>
        <v>-1613</v>
      </c>
      <c r="P38" s="207">
        <f>L38-H38</f>
        <v>-2588</v>
      </c>
      <c r="Q38" s="207"/>
      <c r="R38" s="234">
        <f>N38-J38</f>
        <v>975</v>
      </c>
    </row>
    <row r="39" spans="1:18" x14ac:dyDescent="0.25">
      <c r="A39" s="209"/>
      <c r="B39" s="102" t="s">
        <v>581</v>
      </c>
      <c r="C39" s="102" t="s">
        <v>617</v>
      </c>
      <c r="D39" s="102" t="s">
        <v>618</v>
      </c>
      <c r="E39" s="102" t="s">
        <v>619</v>
      </c>
      <c r="F39" s="102" t="s">
        <v>620</v>
      </c>
      <c r="G39" s="210" cm="1">
        <f t="array" ref="G39">_xll.BDH(C39, "PX_LAST", $J$29, $J$29)</f>
        <v>54809</v>
      </c>
      <c r="H39" s="103" cm="1">
        <f t="array" ref="H39">_xll.BDH(D39, "PX_LAST", $J$29, $J$29)</f>
        <v>7913</v>
      </c>
      <c r="I39" s="103" cm="1">
        <f t="array" ref="I39">_xll.BDH(E39, "PX_LAST", $J$29, $J$29)</f>
        <v>39547</v>
      </c>
      <c r="J39" s="211" cm="1">
        <f t="array" ref="J39">_xll.BDH(F39, "PX_LAST", $J$29, $J$29)</f>
        <v>46896</v>
      </c>
      <c r="K39" s="210" cm="1">
        <f t="array" ref="K39">_xll.BDH(C39, "PX_LAST", $N$29, $N$29)</f>
        <v>60348</v>
      </c>
      <c r="L39" s="103" cm="1">
        <f t="array" ref="L39">_xll.BDH(D39, "PX_LAST", $N$29, $N$29)</f>
        <v>6936</v>
      </c>
      <c r="M39" s="103" cm="1">
        <f t="array" ref="M39">_xll.BDH(E39, "PX_LAST", $N$29, $N$29)</f>
        <v>35434</v>
      </c>
      <c r="N39" s="211" cm="1">
        <f t="array" ref="N39">_xll.BDH(F39, "PX_LAST", $N$29, $N$29)</f>
        <v>53412</v>
      </c>
      <c r="O39" s="212">
        <f>K39-G39</f>
        <v>5539</v>
      </c>
      <c r="P39" s="104">
        <f>L39-H39</f>
        <v>-977</v>
      </c>
      <c r="Q39" s="104">
        <f>M39-I39</f>
        <v>-4113</v>
      </c>
      <c r="R39" s="235">
        <f>N39-J39</f>
        <v>6516</v>
      </c>
    </row>
    <row r="40" spans="1:18" x14ac:dyDescent="0.25">
      <c r="A40" s="209"/>
      <c r="B40" s="214" t="s">
        <v>582</v>
      </c>
      <c r="C40" s="102"/>
      <c r="D40" s="102"/>
      <c r="E40" s="102"/>
      <c r="F40" s="102"/>
      <c r="G40" s="215">
        <f>SUM(G38:G39)</f>
        <v>83969</v>
      </c>
      <c r="H40" s="216">
        <f t="shared" ref="H40:R40" si="21">SUM(H38:H39)</f>
        <v>68332</v>
      </c>
      <c r="I40" s="216">
        <f t="shared" si="21"/>
        <v>39547</v>
      </c>
      <c r="J40" s="217">
        <f t="shared" si="21"/>
        <v>15637</v>
      </c>
      <c r="K40" s="215">
        <f t="shared" si="21"/>
        <v>87895</v>
      </c>
      <c r="L40" s="216">
        <f t="shared" si="21"/>
        <v>64767</v>
      </c>
      <c r="M40" s="216">
        <f t="shared" si="21"/>
        <v>35434</v>
      </c>
      <c r="N40" s="217">
        <f t="shared" si="21"/>
        <v>23128</v>
      </c>
      <c r="O40" s="218">
        <f t="shared" si="21"/>
        <v>3926</v>
      </c>
      <c r="P40" s="219">
        <f t="shared" si="21"/>
        <v>-3565</v>
      </c>
      <c r="Q40" s="219">
        <f t="shared" si="21"/>
        <v>-4113</v>
      </c>
      <c r="R40" s="236">
        <f t="shared" si="21"/>
        <v>7491</v>
      </c>
    </row>
    <row r="41" spans="1:18" x14ac:dyDescent="0.25">
      <c r="A41" s="209"/>
      <c r="B41" s="102" t="s">
        <v>583</v>
      </c>
      <c r="C41" s="102" t="s">
        <v>621</v>
      </c>
      <c r="D41" s="102" t="s">
        <v>622</v>
      </c>
      <c r="E41" s="102" t="s">
        <v>623</v>
      </c>
      <c r="F41" s="102" t="s">
        <v>624</v>
      </c>
      <c r="G41" s="210" cm="1">
        <f t="array" ref="G41">_xll.BDH(C41, "PX_LAST", $J$29, $J$29)</f>
        <v>8472</v>
      </c>
      <c r="H41" s="103" cm="1">
        <f t="array" ref="H41">_xll.BDH(D41, "PX_LAST", $J$29, $J$29)</f>
        <v>1480</v>
      </c>
      <c r="I41" s="103" cm="1">
        <f t="array" ref="I41">_xll.BDH(E41, "PX_LAST", $J$29, $J$29)</f>
        <v>5767</v>
      </c>
      <c r="J41" s="211" cm="1">
        <f t="array" ref="J41">_xll.BDH(F41, "PX_LAST", $J$29, $J$29)</f>
        <v>6992</v>
      </c>
      <c r="K41" s="210" cm="1">
        <f t="array" ref="K41">_xll.BDH(C41, "PX_LAST", $N$29, $N$29)</f>
        <v>8559</v>
      </c>
      <c r="L41" s="103" cm="1">
        <f t="array" ref="L41">_xll.BDH(D41, "PX_LAST", $N$29, $N$29)</f>
        <v>1321</v>
      </c>
      <c r="M41" s="103" cm="1">
        <f t="array" ref="M41">_xll.BDH(E41, "PX_LAST", $N$29, $N$29)</f>
        <v>6483</v>
      </c>
      <c r="N41" s="211" cm="1">
        <f t="array" ref="N41">_xll.BDH(F41, "PX_LAST", $N$29, $N$29)</f>
        <v>7238</v>
      </c>
      <c r="O41" s="212">
        <f t="shared" ref="O41:O43" si="22">K41-G41</f>
        <v>87</v>
      </c>
      <c r="P41" s="104">
        <f t="shared" ref="P41:P43" si="23">L41-H41</f>
        <v>-159</v>
      </c>
      <c r="Q41" s="104">
        <f t="shared" ref="Q41:Q42" si="24">M41-I41</f>
        <v>716</v>
      </c>
      <c r="R41" s="235">
        <f t="shared" ref="R41:R43" si="25">N41-J41</f>
        <v>246</v>
      </c>
    </row>
    <row r="42" spans="1:18" x14ac:dyDescent="0.25">
      <c r="A42" s="209"/>
      <c r="B42" s="102" t="s">
        <v>584</v>
      </c>
      <c r="C42" s="102" t="s">
        <v>625</v>
      </c>
      <c r="D42" s="102" t="s">
        <v>626</v>
      </c>
      <c r="E42" s="102" t="s">
        <v>627</v>
      </c>
      <c r="F42" s="102" t="s">
        <v>628</v>
      </c>
      <c r="G42" s="210" cm="1">
        <f t="array" ref="G42">_xll.BDH(C42, "PX_LAST", $J$29, $J$29)</f>
        <v>38803</v>
      </c>
      <c r="H42" s="103" cm="1">
        <f t="array" ref="H42">_xll.BDH(D42, "PX_LAST", $J$29, $J$29)</f>
        <v>62733</v>
      </c>
      <c r="I42" s="103" cm="1">
        <f t="array" ref="I42">_xll.BDH(E42, "PX_LAST", $J$29, $J$29)</f>
        <v>136837</v>
      </c>
      <c r="J42" s="211" cm="1">
        <f t="array" ref="J42">_xll.BDH(F42, "PX_LAST", $J$29, $J$29)</f>
        <v>-23930</v>
      </c>
      <c r="K42" s="210" cm="1">
        <f t="array" ref="K42">_xll.BDH(C42, "PX_LAST", $N$29, $N$29)</f>
        <v>34696</v>
      </c>
      <c r="L42" s="103" cm="1">
        <f t="array" ref="L42">_xll.BDH(D42, "PX_LAST", $N$29, $N$29)</f>
        <v>66955</v>
      </c>
      <c r="M42" s="103" cm="1">
        <f t="array" ref="M42">_xll.BDH(E42, "PX_LAST", $N$29, $N$29)</f>
        <v>134022</v>
      </c>
      <c r="N42" s="211" cm="1">
        <f t="array" ref="N42">_xll.BDH(F42, "PX_LAST", $N$29, $N$29)</f>
        <v>-32259</v>
      </c>
      <c r="O42" s="212">
        <f t="shared" si="22"/>
        <v>-4107</v>
      </c>
      <c r="P42" s="104">
        <f t="shared" si="23"/>
        <v>4222</v>
      </c>
      <c r="Q42" s="104">
        <f t="shared" si="24"/>
        <v>-2815</v>
      </c>
      <c r="R42" s="235">
        <f t="shared" si="25"/>
        <v>-8329</v>
      </c>
    </row>
    <row r="43" spans="1:18" x14ac:dyDescent="0.25">
      <c r="A43" s="230"/>
      <c r="B43" s="102" t="s">
        <v>585</v>
      </c>
      <c r="C43" s="102" t="s">
        <v>629</v>
      </c>
      <c r="D43" s="102" t="s">
        <v>630</v>
      </c>
      <c r="E43" s="102"/>
      <c r="F43" s="102" t="s">
        <v>631</v>
      </c>
      <c r="G43" s="210" cm="1">
        <f t="array" ref="G43">_xll.BDH(C43, "PX_LAST", $J$29, $J$29)</f>
        <v>10072</v>
      </c>
      <c r="H43" s="103" cm="1">
        <f t="array" ref="H43">_xll.BDH(D43, "PX_LAST", $J$29, $J$29)</f>
        <v>8771</v>
      </c>
      <c r="I43" s="103"/>
      <c r="J43" s="211" cm="1">
        <f t="array" ref="J43">_xll.BDH(F43, "PX_LAST", $J$29, $J$29)</f>
        <v>1301</v>
      </c>
      <c r="K43" s="210" cm="1">
        <f t="array" ref="K43">_xll.BDH(C43, "PX_LAST", $N$29, $N$29)</f>
        <v>11295</v>
      </c>
      <c r="L43" s="103" cm="1">
        <f t="array" ref="L43">_xll.BDH(D43, "PX_LAST", $N$29, $N$29)</f>
        <v>9401</v>
      </c>
      <c r="M43" s="103"/>
      <c r="N43" s="211" cm="1">
        <f t="array" ref="N43">_xll.BDH(F43, "PX_LAST", $N$29, $N$29)</f>
        <v>1894</v>
      </c>
      <c r="O43" s="212">
        <f t="shared" si="22"/>
        <v>1223</v>
      </c>
      <c r="P43" s="104">
        <f t="shared" si="23"/>
        <v>630</v>
      </c>
      <c r="Q43" s="104"/>
      <c r="R43" s="235">
        <f t="shared" si="25"/>
        <v>593</v>
      </c>
    </row>
    <row r="44" spans="1:18" ht="15.75" thickBot="1" x14ac:dyDescent="0.3">
      <c r="A44" s="231"/>
      <c r="B44" s="222" t="s">
        <v>586</v>
      </c>
      <c r="C44" s="223"/>
      <c r="D44" s="223"/>
      <c r="E44" s="223"/>
      <c r="F44" s="223"/>
      <c r="G44" s="224">
        <f>SUM(G41:G43)</f>
        <v>57347</v>
      </c>
      <c r="H44" s="225">
        <f t="shared" ref="H44:R44" si="26">SUM(H41:H43)</f>
        <v>72984</v>
      </c>
      <c r="I44" s="225">
        <f t="shared" si="26"/>
        <v>142604</v>
      </c>
      <c r="J44" s="226">
        <f t="shared" si="26"/>
        <v>-15637</v>
      </c>
      <c r="K44" s="224">
        <f t="shared" si="26"/>
        <v>54550</v>
      </c>
      <c r="L44" s="225">
        <f t="shared" si="26"/>
        <v>77677</v>
      </c>
      <c r="M44" s="225">
        <f t="shared" si="26"/>
        <v>140505</v>
      </c>
      <c r="N44" s="226">
        <f t="shared" si="26"/>
        <v>-23127</v>
      </c>
      <c r="O44" s="227">
        <f t="shared" si="26"/>
        <v>-2797</v>
      </c>
      <c r="P44" s="228">
        <f t="shared" si="26"/>
        <v>4693</v>
      </c>
      <c r="Q44" s="228">
        <f t="shared" si="26"/>
        <v>-2099</v>
      </c>
      <c r="R44" s="237">
        <f t="shared" si="26"/>
        <v>-7490</v>
      </c>
    </row>
    <row r="45" spans="1:18" ht="15.75" thickTop="1" x14ac:dyDescent="0.25">
      <c r="A45" s="201" t="s">
        <v>632</v>
      </c>
      <c r="B45" s="202" t="s">
        <v>580</v>
      </c>
      <c r="C45" s="202"/>
      <c r="D45" s="202"/>
      <c r="E45" s="202"/>
      <c r="F45" s="202"/>
      <c r="G45" s="203">
        <f>G31+G38</f>
        <v>1021028</v>
      </c>
      <c r="H45" s="204">
        <f t="shared" ref="H45:N45" si="27">H31+H38</f>
        <v>1427712</v>
      </c>
      <c r="I45" s="204"/>
      <c r="J45" s="205">
        <f t="shared" si="27"/>
        <v>-406684</v>
      </c>
      <c r="K45" s="203">
        <f t="shared" si="27"/>
        <v>1038868</v>
      </c>
      <c r="L45" s="204">
        <f t="shared" si="27"/>
        <v>1408888</v>
      </c>
      <c r="M45" s="204"/>
      <c r="N45" s="205">
        <f t="shared" si="27"/>
        <v>-370020</v>
      </c>
      <c r="O45" s="206">
        <f>K45-G45</f>
        <v>17840</v>
      </c>
      <c r="P45" s="207">
        <f>L45-H45</f>
        <v>-18824</v>
      </c>
      <c r="Q45" s="207"/>
      <c r="R45" s="208">
        <f>N45-J45</f>
        <v>36664</v>
      </c>
    </row>
    <row r="46" spans="1:18" x14ac:dyDescent="0.25">
      <c r="A46" s="209"/>
      <c r="B46" s="102" t="s">
        <v>581</v>
      </c>
      <c r="C46" s="102"/>
      <c r="D46" s="102"/>
      <c r="E46" s="102"/>
      <c r="F46" s="102"/>
      <c r="G46" s="210">
        <f t="shared" ref="G46:N46" si="28">G32+G39</f>
        <v>489611</v>
      </c>
      <c r="H46" s="103">
        <f t="shared" si="28"/>
        <v>77317</v>
      </c>
      <c r="I46" s="103">
        <f t="shared" si="28"/>
        <v>541450</v>
      </c>
      <c r="J46" s="211">
        <f t="shared" si="28"/>
        <v>412294</v>
      </c>
      <c r="K46" s="210">
        <f t="shared" si="28"/>
        <v>494274</v>
      </c>
      <c r="L46" s="103">
        <f t="shared" si="28"/>
        <v>84720</v>
      </c>
      <c r="M46" s="103">
        <f t="shared" si="28"/>
        <v>475297</v>
      </c>
      <c r="N46" s="211">
        <f t="shared" si="28"/>
        <v>409554</v>
      </c>
      <c r="O46" s="212">
        <f>K46-G46</f>
        <v>4663</v>
      </c>
      <c r="P46" s="104">
        <f>L46-H46</f>
        <v>7403</v>
      </c>
      <c r="Q46" s="104">
        <f>M46-I46</f>
        <v>-66153</v>
      </c>
      <c r="R46" s="213">
        <f>N46-J46</f>
        <v>-2740</v>
      </c>
    </row>
    <row r="47" spans="1:18" x14ac:dyDescent="0.25">
      <c r="A47" s="209"/>
      <c r="B47" s="214" t="s">
        <v>582</v>
      </c>
      <c r="C47" s="102"/>
      <c r="D47" s="102"/>
      <c r="E47" s="102"/>
      <c r="F47" s="102"/>
      <c r="G47" s="215">
        <f>SUM(G45:G46)</f>
        <v>1510639</v>
      </c>
      <c r="H47" s="216">
        <f t="shared" ref="H47:R47" si="29">SUM(H45:H46)</f>
        <v>1505029</v>
      </c>
      <c r="I47" s="216">
        <f t="shared" si="29"/>
        <v>541450</v>
      </c>
      <c r="J47" s="217">
        <f t="shared" si="29"/>
        <v>5610</v>
      </c>
      <c r="K47" s="215">
        <f t="shared" si="29"/>
        <v>1533142</v>
      </c>
      <c r="L47" s="216">
        <f t="shared" si="29"/>
        <v>1493608</v>
      </c>
      <c r="M47" s="216">
        <f t="shared" si="29"/>
        <v>475297</v>
      </c>
      <c r="N47" s="217">
        <f t="shared" si="29"/>
        <v>39534</v>
      </c>
      <c r="O47" s="218">
        <f t="shared" si="29"/>
        <v>22503</v>
      </c>
      <c r="P47" s="219">
        <f t="shared" si="29"/>
        <v>-11421</v>
      </c>
      <c r="Q47" s="219">
        <f t="shared" si="29"/>
        <v>-66153</v>
      </c>
      <c r="R47" s="220">
        <f t="shared" si="29"/>
        <v>33924</v>
      </c>
    </row>
    <row r="48" spans="1:18" x14ac:dyDescent="0.25">
      <c r="A48" s="209"/>
      <c r="B48" s="102" t="s">
        <v>583</v>
      </c>
      <c r="C48" s="102"/>
      <c r="D48" s="102"/>
      <c r="E48" s="102"/>
      <c r="F48" s="102"/>
      <c r="G48" s="210">
        <f t="shared" ref="G48:N48" si="30">G34+G41</f>
        <v>391596</v>
      </c>
      <c r="H48" s="103">
        <f t="shared" si="30"/>
        <v>132707</v>
      </c>
      <c r="I48" s="103">
        <f t="shared" si="30"/>
        <v>411572</v>
      </c>
      <c r="J48" s="211">
        <f t="shared" si="30"/>
        <v>258889</v>
      </c>
      <c r="K48" s="210">
        <f t="shared" si="30"/>
        <v>362729</v>
      </c>
      <c r="L48" s="103">
        <f t="shared" si="30"/>
        <v>131893</v>
      </c>
      <c r="M48" s="103">
        <f t="shared" si="30"/>
        <v>359028</v>
      </c>
      <c r="N48" s="211">
        <f t="shared" si="30"/>
        <v>230836</v>
      </c>
      <c r="O48" s="212">
        <f t="shared" ref="O48:O50" si="31">K48-G48</f>
        <v>-28867</v>
      </c>
      <c r="P48" s="104">
        <f t="shared" ref="P48:P50" si="32">L48-H48</f>
        <v>-814</v>
      </c>
      <c r="Q48" s="104">
        <f t="shared" ref="Q48:Q49" si="33">M48-I48</f>
        <v>-52544</v>
      </c>
      <c r="R48" s="213">
        <f t="shared" ref="R48:R50" si="34">N48-J48</f>
        <v>-28053</v>
      </c>
    </row>
    <row r="49" spans="1:18" x14ac:dyDescent="0.25">
      <c r="A49" s="209"/>
      <c r="B49" s="102" t="s">
        <v>584</v>
      </c>
      <c r="C49" s="102"/>
      <c r="D49" s="102"/>
      <c r="E49" s="102"/>
      <c r="F49" s="102"/>
      <c r="G49" s="210">
        <f t="shared" ref="G49:N49" si="35">G35+G42</f>
        <v>187625</v>
      </c>
      <c r="H49" s="103">
        <f t="shared" si="35"/>
        <v>488614</v>
      </c>
      <c r="I49" s="103">
        <f t="shared" si="35"/>
        <v>798328</v>
      </c>
      <c r="J49" s="211">
        <f t="shared" si="35"/>
        <v>-300989</v>
      </c>
      <c r="K49" s="210">
        <f t="shared" si="35"/>
        <v>185270</v>
      </c>
      <c r="L49" s="103">
        <f t="shared" si="35"/>
        <v>482809</v>
      </c>
      <c r="M49" s="103">
        <f t="shared" si="35"/>
        <v>725668</v>
      </c>
      <c r="N49" s="211">
        <f t="shared" si="35"/>
        <v>-297539</v>
      </c>
      <c r="O49" s="212">
        <f t="shared" si="31"/>
        <v>-2355</v>
      </c>
      <c r="P49" s="104">
        <f t="shared" si="32"/>
        <v>-5805</v>
      </c>
      <c r="Q49" s="104">
        <f t="shared" si="33"/>
        <v>-72660</v>
      </c>
      <c r="R49" s="213">
        <f t="shared" si="34"/>
        <v>3450</v>
      </c>
    </row>
    <row r="50" spans="1:18" x14ac:dyDescent="0.25">
      <c r="A50" s="209"/>
      <c r="B50" s="102" t="s">
        <v>585</v>
      </c>
      <c r="C50" s="102"/>
      <c r="D50" s="102"/>
      <c r="E50" s="102"/>
      <c r="F50" s="102"/>
      <c r="G50" s="210">
        <f t="shared" ref="G50:N50" si="36">G36+G43</f>
        <v>94820</v>
      </c>
      <c r="H50" s="103">
        <f t="shared" si="36"/>
        <v>58330</v>
      </c>
      <c r="I50" s="103"/>
      <c r="J50" s="211">
        <f t="shared" si="36"/>
        <v>36490</v>
      </c>
      <c r="K50" s="210">
        <f t="shared" si="36"/>
        <v>87212</v>
      </c>
      <c r="L50" s="103">
        <f t="shared" si="36"/>
        <v>60042</v>
      </c>
      <c r="M50" s="103"/>
      <c r="N50" s="211">
        <f t="shared" si="36"/>
        <v>27170</v>
      </c>
      <c r="O50" s="212">
        <f t="shared" si="31"/>
        <v>-7608</v>
      </c>
      <c r="P50" s="104">
        <f t="shared" si="32"/>
        <v>1712</v>
      </c>
      <c r="Q50" s="104"/>
      <c r="R50" s="213">
        <f t="shared" si="34"/>
        <v>-9320</v>
      </c>
    </row>
    <row r="51" spans="1:18" ht="15.75" thickBot="1" x14ac:dyDescent="0.3">
      <c r="A51" s="221"/>
      <c r="B51" s="222" t="s">
        <v>586</v>
      </c>
      <c r="C51" s="223"/>
      <c r="D51" s="223"/>
      <c r="E51" s="223"/>
      <c r="F51" s="223"/>
      <c r="G51" s="224">
        <f>SUM(G48:G50)</f>
        <v>674041</v>
      </c>
      <c r="H51" s="225">
        <f t="shared" ref="H51:R51" si="37">SUM(H48:H50)</f>
        <v>679651</v>
      </c>
      <c r="I51" s="225">
        <f t="shared" si="37"/>
        <v>1209900</v>
      </c>
      <c r="J51" s="226">
        <f t="shared" si="37"/>
        <v>-5610</v>
      </c>
      <c r="K51" s="224">
        <f t="shared" si="37"/>
        <v>635211</v>
      </c>
      <c r="L51" s="225">
        <f t="shared" si="37"/>
        <v>674744</v>
      </c>
      <c r="M51" s="225">
        <f t="shared" si="37"/>
        <v>1084696</v>
      </c>
      <c r="N51" s="226">
        <f t="shared" si="37"/>
        <v>-39533</v>
      </c>
      <c r="O51" s="227">
        <f t="shared" si="37"/>
        <v>-38830</v>
      </c>
      <c r="P51" s="228">
        <f t="shared" si="37"/>
        <v>-4907</v>
      </c>
      <c r="Q51" s="228">
        <f t="shared" si="37"/>
        <v>-125204</v>
      </c>
      <c r="R51" s="229">
        <f t="shared" si="37"/>
        <v>-33923</v>
      </c>
    </row>
    <row r="52" spans="1:18" ht="15.75" hidden="1" thickTop="1" x14ac:dyDescent="0.25">
      <c r="A52" s="201" t="s">
        <v>633</v>
      </c>
      <c r="B52" s="202" t="s">
        <v>580</v>
      </c>
      <c r="C52" s="202" t="s">
        <v>634</v>
      </c>
      <c r="D52" s="202" t="s">
        <v>635</v>
      </c>
      <c r="E52" s="202"/>
      <c r="F52" s="202" t="s">
        <v>636</v>
      </c>
      <c r="G52" s="203" cm="1">
        <f t="array" ref="G52">_xll.BDH(C52, "PX_LAST", $J$29, $J$29)</f>
        <v>686166</v>
      </c>
      <c r="H52" s="204" cm="1">
        <f t="array" ref="H52">_xll.BDH(D52, "PX_LAST", $J$29, $J$29)</f>
        <v>355579</v>
      </c>
      <c r="I52" s="204"/>
      <c r="J52" s="205" cm="1">
        <f t="array" ref="J52">_xll.BDH(F52, "PX_LAST", $J$29, $J$29)</f>
        <v>330587</v>
      </c>
      <c r="K52" s="203" cm="1">
        <f t="array" ref="K52">_xll.BDH(C52, "PX_LAST", $N$29, $N$29)</f>
        <v>686108</v>
      </c>
      <c r="L52" s="204" cm="1">
        <f t="array" ref="L52">_xll.BDH(D52, "PX_LAST", $N$29, $N$29)</f>
        <v>366461</v>
      </c>
      <c r="M52" s="204"/>
      <c r="N52" s="205" cm="1">
        <f t="array" ref="N52">_xll.BDH(F52, "PX_LAST", $N$29, $N$29)</f>
        <v>319647</v>
      </c>
      <c r="O52" s="206">
        <f>K52-G52</f>
        <v>-58</v>
      </c>
      <c r="P52" s="207">
        <f>L52-H52</f>
        <v>10882</v>
      </c>
      <c r="Q52" s="207"/>
      <c r="R52" s="208">
        <f>N52-J52</f>
        <v>-10940</v>
      </c>
    </row>
    <row r="53" spans="1:18" hidden="1" x14ac:dyDescent="0.25">
      <c r="A53" s="209"/>
      <c r="B53" s="102" t="s">
        <v>581</v>
      </c>
      <c r="C53" s="102" t="s">
        <v>637</v>
      </c>
      <c r="D53" s="102" t="s">
        <v>638</v>
      </c>
      <c r="E53" s="102" t="s">
        <v>639</v>
      </c>
      <c r="F53" s="102" t="s">
        <v>640</v>
      </c>
      <c r="G53" s="210" cm="1">
        <f t="array" ref="G53">_xll.BDH(C53, "PX_LAST", $J$29, $J$29)</f>
        <v>103720</v>
      </c>
      <c r="H53" s="103" cm="1">
        <f t="array" ref="H53">_xll.BDH(D53, "PX_LAST", $J$29, $J$29)</f>
        <v>648691</v>
      </c>
      <c r="I53" s="103" cm="1">
        <f t="array" ref="I53">_xll.BDH(E53, "PX_LAST", $J$29, $J$29)</f>
        <v>277735</v>
      </c>
      <c r="J53" s="211" cm="1">
        <f t="array" ref="J53">_xll.BDH(F53, "PX_LAST", $J$29, $J$29)</f>
        <v>-544971</v>
      </c>
      <c r="K53" s="210" cm="1">
        <f t="array" ref="K53">_xll.BDH(C53, "PX_LAST", $N$29, $N$29)</f>
        <v>106357</v>
      </c>
      <c r="L53" s="103" cm="1">
        <f t="array" ref="L53">_xll.BDH(D53, "PX_LAST", $N$29, $N$29)</f>
        <v>646183</v>
      </c>
      <c r="M53" s="103" cm="1">
        <f t="array" ref="M53">_xll.BDH(E53, "PX_LAST", $N$29, $N$29)</f>
        <v>271928</v>
      </c>
      <c r="N53" s="211" cm="1">
        <f t="array" ref="N53">_xll.BDH(F53, "PX_LAST", $N$29, $N$29)</f>
        <v>-539826</v>
      </c>
      <c r="O53" s="212">
        <f>K53-G53</f>
        <v>2637</v>
      </c>
      <c r="P53" s="104">
        <f>L53-H53</f>
        <v>-2508</v>
      </c>
      <c r="Q53" s="104">
        <f>M53-I53</f>
        <v>-5807</v>
      </c>
      <c r="R53" s="213">
        <f>N53-J53</f>
        <v>5145</v>
      </c>
    </row>
    <row r="54" spans="1:18" hidden="1" x14ac:dyDescent="0.25">
      <c r="A54" s="209"/>
      <c r="B54" s="214" t="s">
        <v>582</v>
      </c>
      <c r="C54" s="102"/>
      <c r="D54" s="102"/>
      <c r="E54" s="102"/>
      <c r="F54" s="102"/>
      <c r="G54" s="215">
        <f>SUM(G52:G53)</f>
        <v>789886</v>
      </c>
      <c r="H54" s="216">
        <f t="shared" ref="H54:R54" si="38">SUM(H52:H53)</f>
        <v>1004270</v>
      </c>
      <c r="I54" s="216">
        <f t="shared" si="38"/>
        <v>277735</v>
      </c>
      <c r="J54" s="217">
        <f t="shared" si="38"/>
        <v>-214384</v>
      </c>
      <c r="K54" s="215">
        <f t="shared" si="38"/>
        <v>792465</v>
      </c>
      <c r="L54" s="216">
        <f t="shared" si="38"/>
        <v>1012644</v>
      </c>
      <c r="M54" s="216">
        <f t="shared" si="38"/>
        <v>271928</v>
      </c>
      <c r="N54" s="217">
        <f t="shared" si="38"/>
        <v>-220179</v>
      </c>
      <c r="O54" s="218">
        <f t="shared" si="38"/>
        <v>2579</v>
      </c>
      <c r="P54" s="219">
        <f t="shared" si="38"/>
        <v>8374</v>
      </c>
      <c r="Q54" s="219">
        <f t="shared" si="38"/>
        <v>-5807</v>
      </c>
      <c r="R54" s="220">
        <f t="shared" si="38"/>
        <v>-5795</v>
      </c>
    </row>
    <row r="55" spans="1:18" hidden="1" x14ac:dyDescent="0.25">
      <c r="A55" s="209"/>
      <c r="B55" s="102" t="s">
        <v>583</v>
      </c>
      <c r="C55" s="102" t="s">
        <v>641</v>
      </c>
      <c r="D55" s="102" t="s">
        <v>642</v>
      </c>
      <c r="E55" s="102" t="s">
        <v>643</v>
      </c>
      <c r="F55" s="102" t="s">
        <v>644</v>
      </c>
      <c r="G55" s="210" cm="1">
        <f t="array" ref="G55">_xll.BDH(C55, "PX_LAST", $J$29, $J$29)</f>
        <v>195631</v>
      </c>
      <c r="H55" s="103" cm="1">
        <f t="array" ref="H55">_xll.BDH(D55, "PX_LAST", $J$29, $J$29)</f>
        <v>91596</v>
      </c>
      <c r="I55" s="103" cm="1">
        <f t="array" ref="I55">_xll.BDH(E55, "PX_LAST", $J$29, $J$29)</f>
        <v>378255</v>
      </c>
      <c r="J55" s="211" cm="1">
        <f t="array" ref="J55">_xll.BDH(F55, "PX_LAST", $J$29, $J$29)</f>
        <v>104035</v>
      </c>
      <c r="K55" s="210" cm="1">
        <f t="array" ref="K55">_xll.BDH(C55, "PX_LAST", $N$29, $N$29)</f>
        <v>203162</v>
      </c>
      <c r="L55" s="103" cm="1">
        <f t="array" ref="L55">_xll.BDH(D55, "PX_LAST", $N$29, $N$29)</f>
        <v>98589</v>
      </c>
      <c r="M55" s="103" cm="1">
        <f t="array" ref="M55">_xll.BDH(E55, "PX_LAST", $N$29, $N$29)</f>
        <v>404055</v>
      </c>
      <c r="N55" s="211" cm="1">
        <f t="array" ref="N55">_xll.BDH(F55, "PX_LAST", $N$29, $N$29)</f>
        <v>104573</v>
      </c>
      <c r="O55" s="212">
        <f t="shared" ref="O55:O57" si="39">K55-G55</f>
        <v>7531</v>
      </c>
      <c r="P55" s="104">
        <f t="shared" ref="P55:P57" si="40">L55-H55</f>
        <v>6993</v>
      </c>
      <c r="Q55" s="104">
        <f t="shared" ref="Q55:Q56" si="41">M55-I55</f>
        <v>25800</v>
      </c>
      <c r="R55" s="213">
        <f t="shared" ref="R55:R57" si="42">N55-J55</f>
        <v>538</v>
      </c>
    </row>
    <row r="56" spans="1:18" hidden="1" x14ac:dyDescent="0.25">
      <c r="A56" s="209"/>
      <c r="B56" s="102" t="s">
        <v>584</v>
      </c>
      <c r="C56" s="102" t="s">
        <v>645</v>
      </c>
      <c r="D56" s="102" t="s">
        <v>646</v>
      </c>
      <c r="E56" s="102" t="s">
        <v>647</v>
      </c>
      <c r="F56" s="102" t="s">
        <v>648</v>
      </c>
      <c r="G56" s="210" cm="1">
        <f t="array" ref="G56">_xll.BDH(C56, "PX_LAST", $J$29, $J$29)</f>
        <v>127992</v>
      </c>
      <c r="H56" s="103" cm="1">
        <f t="array" ref="H56">_xll.BDH(D56, "PX_LAST", $J$29, $J$29)</f>
        <v>52343</v>
      </c>
      <c r="I56" s="103" cm="1">
        <f t="array" ref="I56">_xll.BDH(E56, "PX_LAST", $J$29, $J$29)</f>
        <v>591735</v>
      </c>
      <c r="J56" s="211" cm="1">
        <f t="array" ref="J56">_xll.BDH(F56, "PX_LAST", $J$29, $J$29)</f>
        <v>75649</v>
      </c>
      <c r="K56" s="210" cm="1">
        <f t="array" ref="K56">_xll.BDH(C56, "PX_LAST", $N$29, $N$29)</f>
        <v>130343</v>
      </c>
      <c r="L56" s="103" cm="1">
        <f t="array" ref="L56">_xll.BDH(D56, "PX_LAST", $N$29, $N$29)</f>
        <v>50515</v>
      </c>
      <c r="M56" s="103" cm="1">
        <f t="array" ref="M56">_xll.BDH(E56, "PX_LAST", $N$29, $N$29)</f>
        <v>593998</v>
      </c>
      <c r="N56" s="211" cm="1">
        <f t="array" ref="N56">_xll.BDH(F56, "PX_LAST", $N$29, $N$29)</f>
        <v>79828</v>
      </c>
      <c r="O56" s="212">
        <f t="shared" si="39"/>
        <v>2351</v>
      </c>
      <c r="P56" s="104">
        <f t="shared" si="40"/>
        <v>-1828</v>
      </c>
      <c r="Q56" s="104">
        <f t="shared" si="41"/>
        <v>2263</v>
      </c>
      <c r="R56" s="213">
        <f t="shared" si="42"/>
        <v>4179</v>
      </c>
    </row>
    <row r="57" spans="1:18" hidden="1" x14ac:dyDescent="0.25">
      <c r="A57" s="209"/>
      <c r="B57" s="102" t="s">
        <v>585</v>
      </c>
      <c r="C57" s="102" t="s">
        <v>649</v>
      </c>
      <c r="D57" s="102" t="s">
        <v>650</v>
      </c>
      <c r="E57" s="102"/>
      <c r="F57" s="102" t="s">
        <v>651</v>
      </c>
      <c r="G57" s="210" cm="1">
        <f t="array" ref="G57">_xll.BDH(C57, "PX_LAST", $J$29, $J$29)</f>
        <v>87449</v>
      </c>
      <c r="H57" s="103" cm="1">
        <f t="array" ref="H57">_xll.BDH(D57, "PX_LAST", $J$29, $J$29)</f>
        <v>52749</v>
      </c>
      <c r="I57" s="103"/>
      <c r="J57" s="211" cm="1">
        <f t="array" ref="J57">_xll.BDH(F57, "PX_LAST", $J$29, $J$29)</f>
        <v>34700</v>
      </c>
      <c r="K57" s="210" cm="1">
        <f t="array" ref="K57">_xll.BDH(C57, "PX_LAST", $N$29, $N$29)</f>
        <v>86712</v>
      </c>
      <c r="L57" s="103" cm="1">
        <f t="array" ref="L57">_xll.BDH(D57, "PX_LAST", $N$29, $N$29)</f>
        <v>50933</v>
      </c>
      <c r="M57" s="103"/>
      <c r="N57" s="211" cm="1">
        <f t="array" ref="N57">_xll.BDH(F57, "PX_LAST", $N$29, $N$29)</f>
        <v>35779</v>
      </c>
      <c r="O57" s="212">
        <f t="shared" si="39"/>
        <v>-737</v>
      </c>
      <c r="P57" s="104">
        <f t="shared" si="40"/>
        <v>-1816</v>
      </c>
      <c r="Q57" s="104"/>
      <c r="R57" s="213">
        <f t="shared" si="42"/>
        <v>1079</v>
      </c>
    </row>
    <row r="58" spans="1:18" ht="15.75" hidden="1" thickBot="1" x14ac:dyDescent="0.3">
      <c r="A58" s="221"/>
      <c r="B58" s="222" t="s">
        <v>586</v>
      </c>
      <c r="C58" s="223"/>
      <c r="D58" s="223"/>
      <c r="E58" s="223"/>
      <c r="F58" s="223"/>
      <c r="G58" s="224">
        <f>SUM(G55:G57)</f>
        <v>411072</v>
      </c>
      <c r="H58" s="225">
        <f t="shared" ref="H58:R58" si="43">SUM(H55:H57)</f>
        <v>196688</v>
      </c>
      <c r="I58" s="225">
        <f t="shared" si="43"/>
        <v>969990</v>
      </c>
      <c r="J58" s="226">
        <f t="shared" si="43"/>
        <v>214384</v>
      </c>
      <c r="K58" s="224">
        <f t="shared" si="43"/>
        <v>420217</v>
      </c>
      <c r="L58" s="225">
        <f t="shared" si="43"/>
        <v>200037</v>
      </c>
      <c r="M58" s="225">
        <f t="shared" si="43"/>
        <v>998053</v>
      </c>
      <c r="N58" s="226">
        <f t="shared" si="43"/>
        <v>220180</v>
      </c>
      <c r="O58" s="227">
        <f t="shared" si="43"/>
        <v>9145</v>
      </c>
      <c r="P58" s="228">
        <f t="shared" si="43"/>
        <v>3349</v>
      </c>
      <c r="Q58" s="228">
        <f t="shared" si="43"/>
        <v>28063</v>
      </c>
      <c r="R58" s="229">
        <f t="shared" si="43"/>
        <v>5796</v>
      </c>
    </row>
    <row r="59" spans="1:18" ht="15.75" hidden="1" thickTop="1" x14ac:dyDescent="0.25">
      <c r="A59" s="201" t="s">
        <v>652</v>
      </c>
      <c r="B59" s="202" t="s">
        <v>580</v>
      </c>
      <c r="C59" s="202" t="s">
        <v>653</v>
      </c>
      <c r="D59" s="202" t="s">
        <v>654</v>
      </c>
      <c r="E59" s="202"/>
      <c r="F59" s="202" t="s">
        <v>655</v>
      </c>
      <c r="G59" s="203" cm="1">
        <f t="array" ref="G59">_xll.BDH(C59, "PX_LAST", $J$29, $J$29)</f>
        <v>481278</v>
      </c>
      <c r="H59" s="204" cm="1">
        <f t="array" ref="H59">_xll.BDH(D59, "PX_LAST", $J$29, $J$29)</f>
        <v>358483</v>
      </c>
      <c r="I59" s="204"/>
      <c r="J59" s="205" cm="1">
        <f t="array" ref="J59">_xll.BDH(F59, "PX_LAST", $J$29, $J$29)</f>
        <v>122795</v>
      </c>
      <c r="K59" s="203" cm="1">
        <f t="array" ref="K59">_xll.BDH(C59, "PX_LAST", $N$29, $N$29)</f>
        <v>453154</v>
      </c>
      <c r="L59" s="204" cm="1">
        <f t="array" ref="L59">_xll.BDH(D59, "PX_LAST", $N$29, $N$29)</f>
        <v>335717</v>
      </c>
      <c r="M59" s="204"/>
      <c r="N59" s="205" cm="1">
        <f t="array" ref="N59">_xll.BDH(F59, "PX_LAST", $N$29, $N$29)</f>
        <v>117437</v>
      </c>
      <c r="O59" s="206">
        <f>K59-G59</f>
        <v>-28124</v>
      </c>
      <c r="P59" s="207">
        <f>L59-H59</f>
        <v>-22766</v>
      </c>
      <c r="Q59" s="207"/>
      <c r="R59" s="208">
        <f>N59-J59</f>
        <v>-5358</v>
      </c>
    </row>
    <row r="60" spans="1:18" hidden="1" x14ac:dyDescent="0.25">
      <c r="A60" s="209"/>
      <c r="B60" s="102" t="s">
        <v>581</v>
      </c>
      <c r="C60" s="102" t="s">
        <v>656</v>
      </c>
      <c r="D60" s="102" t="s">
        <v>657</v>
      </c>
      <c r="E60" s="102" t="s">
        <v>658</v>
      </c>
      <c r="F60" s="102" t="s">
        <v>659</v>
      </c>
      <c r="G60" s="210" cm="1">
        <f t="array" ref="G60">_xll.BDH(C60, "PX_LAST", $J$29, $J$29)</f>
        <v>200</v>
      </c>
      <c r="H60" s="103" cm="1">
        <f t="array" ref="H60">_xll.BDH(D60, "PX_LAST", $J$29, $J$29)</f>
        <v>142603</v>
      </c>
      <c r="I60" s="103" cm="1">
        <f t="array" ref="I60">_xll.BDH(E60, "PX_LAST", $J$29, $J$29)</f>
        <v>142727</v>
      </c>
      <c r="J60" s="211" cm="1">
        <f t="array" ref="J60">_xll.BDH(F60, "PX_LAST", $J$29, $J$29)</f>
        <v>-142403</v>
      </c>
      <c r="K60" s="210" cm="1">
        <f t="array" ref="K60">_xll.BDH(C60, "PX_LAST", $N$29, $N$29)</f>
        <v>0</v>
      </c>
      <c r="L60" s="103" cm="1">
        <f t="array" ref="L60">_xll.BDH(D60, "PX_LAST", $N$29, $N$29)</f>
        <v>137025</v>
      </c>
      <c r="M60" s="103" cm="1">
        <f t="array" ref="M60">_xll.BDH(E60, "PX_LAST", $N$29, $N$29)</f>
        <v>141262</v>
      </c>
      <c r="N60" s="211" cm="1">
        <f t="array" ref="N60">_xll.BDH(F60, "PX_LAST", $N$29, $N$29)</f>
        <v>-137025</v>
      </c>
      <c r="O60" s="212">
        <f>K60-G60</f>
        <v>-200</v>
      </c>
      <c r="P60" s="104">
        <f>L60-H60</f>
        <v>-5578</v>
      </c>
      <c r="Q60" s="104">
        <f>M60-I60</f>
        <v>-1465</v>
      </c>
      <c r="R60" s="213">
        <f>N60-J60</f>
        <v>5378</v>
      </c>
    </row>
    <row r="61" spans="1:18" hidden="1" x14ac:dyDescent="0.25">
      <c r="A61" s="209"/>
      <c r="B61" s="238" t="s">
        <v>582</v>
      </c>
      <c r="C61" s="102"/>
      <c r="D61" s="102"/>
      <c r="E61" s="102"/>
      <c r="F61" s="102"/>
      <c r="G61" s="215">
        <f>SUM(G59:G60)</f>
        <v>481478</v>
      </c>
      <c r="H61" s="216">
        <f t="shared" ref="H61:R61" si="44">SUM(H59:H60)</f>
        <v>501086</v>
      </c>
      <c r="I61" s="216">
        <f t="shared" si="44"/>
        <v>142727</v>
      </c>
      <c r="J61" s="217">
        <f t="shared" si="44"/>
        <v>-19608</v>
      </c>
      <c r="K61" s="215">
        <f t="shared" si="44"/>
        <v>453154</v>
      </c>
      <c r="L61" s="216">
        <f t="shared" si="44"/>
        <v>472742</v>
      </c>
      <c r="M61" s="216">
        <f t="shared" si="44"/>
        <v>141262</v>
      </c>
      <c r="N61" s="217">
        <f t="shared" si="44"/>
        <v>-19588</v>
      </c>
      <c r="O61" s="218">
        <f t="shared" si="44"/>
        <v>-28324</v>
      </c>
      <c r="P61" s="219">
        <f t="shared" si="44"/>
        <v>-28344</v>
      </c>
      <c r="Q61" s="219">
        <f t="shared" si="44"/>
        <v>-1465</v>
      </c>
      <c r="R61" s="220">
        <f t="shared" si="44"/>
        <v>20</v>
      </c>
    </row>
    <row r="62" spans="1:18" hidden="1" x14ac:dyDescent="0.25">
      <c r="A62" s="209"/>
      <c r="B62" s="102" t="s">
        <v>583</v>
      </c>
      <c r="C62" s="102" t="s">
        <v>660</v>
      </c>
      <c r="D62" s="102" t="s">
        <v>661</v>
      </c>
      <c r="E62" s="102" t="s">
        <v>662</v>
      </c>
      <c r="F62" s="102" t="s">
        <v>663</v>
      </c>
      <c r="G62" s="210" cm="1">
        <f t="array" ref="G62">_xll.BDH(C62, "PX_LAST", $J$29, $J$29)</f>
        <v>15319</v>
      </c>
      <c r="H62" s="103" cm="1">
        <f t="array" ref="H62">_xll.BDH(D62, "PX_LAST", $J$29, $J$29)</f>
        <v>17080</v>
      </c>
      <c r="I62" s="103" cm="1">
        <f t="array" ref="I62">_xll.BDH(E62, "PX_LAST", $J$29, $J$29)</f>
        <v>47741</v>
      </c>
      <c r="J62" s="211" cm="1">
        <f t="array" ref="J62">_xll.BDH(F62, "PX_LAST", $J$29, $J$29)</f>
        <v>-1761</v>
      </c>
      <c r="K62" s="210" cm="1">
        <f t="array" ref="K62">_xll.BDH(C62, "PX_LAST", $N$29, $N$29)</f>
        <v>15104</v>
      </c>
      <c r="L62" s="103" cm="1">
        <f t="array" ref="L62">_xll.BDH(D62, "PX_LAST", $N$29, $N$29)</f>
        <v>16599</v>
      </c>
      <c r="M62" s="103" cm="1">
        <f t="array" ref="M62">_xll.BDH(E62, "PX_LAST", $N$29, $N$29)</f>
        <v>45762</v>
      </c>
      <c r="N62" s="211" cm="1">
        <f t="array" ref="N62">_xll.BDH(F62, "PX_LAST", $N$29, $N$29)</f>
        <v>-1495</v>
      </c>
      <c r="O62" s="212">
        <f t="shared" ref="O62:O64" si="45">K62-G62</f>
        <v>-215</v>
      </c>
      <c r="P62" s="104">
        <f t="shared" ref="P62:P64" si="46">L62-H62</f>
        <v>-481</v>
      </c>
      <c r="Q62" s="104">
        <f t="shared" ref="Q62:Q63" si="47">M62-I62</f>
        <v>-1979</v>
      </c>
      <c r="R62" s="213">
        <f t="shared" ref="R62:R64" si="48">N62-J62</f>
        <v>266</v>
      </c>
    </row>
    <row r="63" spans="1:18" hidden="1" x14ac:dyDescent="0.25">
      <c r="A63" s="209"/>
      <c r="B63" s="102" t="s">
        <v>584</v>
      </c>
      <c r="C63" s="102" t="s">
        <v>664</v>
      </c>
      <c r="D63" s="102" t="s">
        <v>665</v>
      </c>
      <c r="E63" s="102" t="s">
        <v>666</v>
      </c>
      <c r="F63" s="102" t="s">
        <v>667</v>
      </c>
      <c r="G63" s="210" cm="1">
        <f t="array" ref="G63">_xll.BDH(C63, "PX_LAST", $J$29, $J$29)</f>
        <v>61778</v>
      </c>
      <c r="H63" s="103" cm="1">
        <f t="array" ref="H63">_xll.BDH(D63, "PX_LAST", $J$29, $J$29)</f>
        <v>43032</v>
      </c>
      <c r="I63" s="103" cm="1">
        <f t="array" ref="I63">_xll.BDH(E63, "PX_LAST", $J$29, $J$29)</f>
        <v>289711</v>
      </c>
      <c r="J63" s="211" cm="1">
        <f t="array" ref="J63">_xll.BDH(F63, "PX_LAST", $J$29, $J$29)</f>
        <v>18746</v>
      </c>
      <c r="K63" s="210" cm="1">
        <f t="array" ref="K63">_xll.BDH(C63, "PX_LAST", $N$29, $N$29)</f>
        <v>56623</v>
      </c>
      <c r="L63" s="103" cm="1">
        <f t="array" ref="L63">_xll.BDH(D63, "PX_LAST", $N$29, $N$29)</f>
        <v>38060</v>
      </c>
      <c r="M63" s="103" cm="1">
        <f t="array" ref="M63">_xll.BDH(E63, "PX_LAST", $N$29, $N$29)</f>
        <v>289944</v>
      </c>
      <c r="N63" s="211" cm="1">
        <f t="array" ref="N63">_xll.BDH(F63, "PX_LAST", $N$29, $N$29)</f>
        <v>18563</v>
      </c>
      <c r="O63" s="212">
        <f t="shared" si="45"/>
        <v>-5155</v>
      </c>
      <c r="P63" s="104">
        <f t="shared" si="46"/>
        <v>-4972</v>
      </c>
      <c r="Q63" s="104">
        <f t="shared" si="47"/>
        <v>233</v>
      </c>
      <c r="R63" s="213">
        <f t="shared" si="48"/>
        <v>-183</v>
      </c>
    </row>
    <row r="64" spans="1:18" hidden="1" x14ac:dyDescent="0.25">
      <c r="A64" s="209"/>
      <c r="B64" s="102" t="s">
        <v>585</v>
      </c>
      <c r="C64" s="102" t="s">
        <v>668</v>
      </c>
      <c r="D64" s="102" t="s">
        <v>669</v>
      </c>
      <c r="E64" s="102"/>
      <c r="F64" s="102" t="s">
        <v>670</v>
      </c>
      <c r="G64" s="210" cm="1">
        <f t="array" ref="G64">_xll.BDH(C64, "PX_LAST", $J$29, $J$29)</f>
        <v>15892</v>
      </c>
      <c r="H64" s="103" cm="1">
        <f t="array" ref="H64">_xll.BDH(D64, "PX_LAST", $J$29, $J$29)</f>
        <v>13271</v>
      </c>
      <c r="I64" s="103"/>
      <c r="J64" s="211" cm="1">
        <f t="array" ref="J64">_xll.BDH(F64, "PX_LAST", $J$29, $J$29)</f>
        <v>2621</v>
      </c>
      <c r="K64" s="210" cm="1">
        <f t="array" ref="K64">_xll.BDH(C64, "PX_LAST", $N$29, $N$29)</f>
        <v>15356</v>
      </c>
      <c r="L64" s="103" cm="1">
        <f t="array" ref="L64">_xll.BDH(D64, "PX_LAST", $N$29, $N$29)</f>
        <v>12836</v>
      </c>
      <c r="M64" s="103"/>
      <c r="N64" s="211" cm="1">
        <f t="array" ref="N64">_xll.BDH(F64, "PX_LAST", $N$29, $N$29)</f>
        <v>2520</v>
      </c>
      <c r="O64" s="212">
        <f t="shared" si="45"/>
        <v>-536</v>
      </c>
      <c r="P64" s="104">
        <f t="shared" si="46"/>
        <v>-435</v>
      </c>
      <c r="Q64" s="104"/>
      <c r="R64" s="213">
        <f t="shared" si="48"/>
        <v>-101</v>
      </c>
    </row>
    <row r="65" spans="1:18" ht="15.75" hidden="1" thickBot="1" x14ac:dyDescent="0.3">
      <c r="A65" s="221"/>
      <c r="B65" s="223" t="s">
        <v>586</v>
      </c>
      <c r="C65" s="223"/>
      <c r="D65" s="223"/>
      <c r="E65" s="223"/>
      <c r="F65" s="223"/>
      <c r="G65" s="224">
        <f>SUM(G62:G64)</f>
        <v>92989</v>
      </c>
      <c r="H65" s="225">
        <f t="shared" ref="H65:R65" si="49">SUM(H62:H64)</f>
        <v>73383</v>
      </c>
      <c r="I65" s="225">
        <f t="shared" si="49"/>
        <v>337452</v>
      </c>
      <c r="J65" s="226">
        <f t="shared" si="49"/>
        <v>19606</v>
      </c>
      <c r="K65" s="224">
        <f t="shared" si="49"/>
        <v>87083</v>
      </c>
      <c r="L65" s="225">
        <f t="shared" si="49"/>
        <v>67495</v>
      </c>
      <c r="M65" s="225">
        <f t="shared" si="49"/>
        <v>335706</v>
      </c>
      <c r="N65" s="226">
        <f t="shared" si="49"/>
        <v>19588</v>
      </c>
      <c r="O65" s="227">
        <f t="shared" si="49"/>
        <v>-5906</v>
      </c>
      <c r="P65" s="228">
        <f t="shared" si="49"/>
        <v>-5888</v>
      </c>
      <c r="Q65" s="228">
        <f t="shared" si="49"/>
        <v>-1746</v>
      </c>
      <c r="R65" s="229">
        <f t="shared" si="49"/>
        <v>-18</v>
      </c>
    </row>
    <row r="66" spans="1:18" ht="15.75" thickTop="1" x14ac:dyDescent="0.25">
      <c r="A66" s="201" t="s">
        <v>671</v>
      </c>
      <c r="B66" s="202" t="s">
        <v>580</v>
      </c>
      <c r="C66" s="202"/>
      <c r="D66" s="202"/>
      <c r="E66" s="202"/>
      <c r="F66" s="202"/>
      <c r="G66" s="203">
        <f>G52+G59</f>
        <v>1167444</v>
      </c>
      <c r="H66" s="204">
        <f t="shared" ref="H66" si="50">H52+H59</f>
        <v>714062</v>
      </c>
      <c r="I66" s="204"/>
      <c r="J66" s="205">
        <f t="shared" ref="J66:L66" si="51">J52+J59</f>
        <v>453382</v>
      </c>
      <c r="K66" s="203">
        <f t="shared" si="51"/>
        <v>1139262</v>
      </c>
      <c r="L66" s="204">
        <f t="shared" si="51"/>
        <v>702178</v>
      </c>
      <c r="M66" s="204"/>
      <c r="N66" s="205">
        <f t="shared" ref="N66" si="52">N52+N59</f>
        <v>437084</v>
      </c>
      <c r="O66" s="206">
        <f>K66-G66</f>
        <v>-28182</v>
      </c>
      <c r="P66" s="207">
        <f>L66-H66</f>
        <v>-11884</v>
      </c>
      <c r="Q66" s="207"/>
      <c r="R66" s="208">
        <f>N66-J66</f>
        <v>-16298</v>
      </c>
    </row>
    <row r="67" spans="1:18" x14ac:dyDescent="0.25">
      <c r="A67" s="209"/>
      <c r="B67" s="102" t="s">
        <v>581</v>
      </c>
      <c r="C67" s="102"/>
      <c r="D67" s="102"/>
      <c r="E67" s="102"/>
      <c r="F67" s="102"/>
      <c r="G67" s="210">
        <f t="shared" ref="G67:N67" si="53">G53+G60</f>
        <v>103920</v>
      </c>
      <c r="H67" s="103">
        <f t="shared" si="53"/>
        <v>791294</v>
      </c>
      <c r="I67" s="103">
        <f t="shared" si="53"/>
        <v>420462</v>
      </c>
      <c r="J67" s="211">
        <f t="shared" si="53"/>
        <v>-687374</v>
      </c>
      <c r="K67" s="210">
        <f t="shared" si="53"/>
        <v>106357</v>
      </c>
      <c r="L67" s="103">
        <f t="shared" si="53"/>
        <v>783208</v>
      </c>
      <c r="M67" s="103">
        <f t="shared" si="53"/>
        <v>413190</v>
      </c>
      <c r="N67" s="211">
        <f t="shared" si="53"/>
        <v>-676851</v>
      </c>
      <c r="O67" s="212">
        <f>K67-G67</f>
        <v>2437</v>
      </c>
      <c r="P67" s="104">
        <f>L67-H67</f>
        <v>-8086</v>
      </c>
      <c r="Q67" s="104">
        <f>M67-I67</f>
        <v>-7272</v>
      </c>
      <c r="R67" s="213">
        <f>N67-J67</f>
        <v>10523</v>
      </c>
    </row>
    <row r="68" spans="1:18" x14ac:dyDescent="0.25">
      <c r="A68" s="209"/>
      <c r="B68" s="214" t="s">
        <v>582</v>
      </c>
      <c r="C68" s="102"/>
      <c r="D68" s="102"/>
      <c r="E68" s="102"/>
      <c r="F68" s="102"/>
      <c r="G68" s="215">
        <f>SUM(G66:G67)</f>
        <v>1271364</v>
      </c>
      <c r="H68" s="216">
        <f t="shared" ref="H68:R68" si="54">SUM(H66:H67)</f>
        <v>1505356</v>
      </c>
      <c r="I68" s="216">
        <f t="shared" si="54"/>
        <v>420462</v>
      </c>
      <c r="J68" s="217">
        <f t="shared" si="54"/>
        <v>-233992</v>
      </c>
      <c r="K68" s="215">
        <f t="shared" si="54"/>
        <v>1245619</v>
      </c>
      <c r="L68" s="216">
        <f t="shared" si="54"/>
        <v>1485386</v>
      </c>
      <c r="M68" s="216">
        <f t="shared" si="54"/>
        <v>413190</v>
      </c>
      <c r="N68" s="217">
        <f t="shared" si="54"/>
        <v>-239767</v>
      </c>
      <c r="O68" s="218">
        <f t="shared" si="54"/>
        <v>-25745</v>
      </c>
      <c r="P68" s="219">
        <f t="shared" si="54"/>
        <v>-19970</v>
      </c>
      <c r="Q68" s="219">
        <f t="shared" si="54"/>
        <v>-7272</v>
      </c>
      <c r="R68" s="220">
        <f t="shared" si="54"/>
        <v>-5775</v>
      </c>
    </row>
    <row r="69" spans="1:18" x14ac:dyDescent="0.25">
      <c r="A69" s="209"/>
      <c r="B69" s="102" t="s">
        <v>583</v>
      </c>
      <c r="C69" s="102"/>
      <c r="D69" s="102"/>
      <c r="E69" s="102"/>
      <c r="F69" s="102"/>
      <c r="G69" s="210">
        <f t="shared" ref="G69:N69" si="55">G55+G62</f>
        <v>210950</v>
      </c>
      <c r="H69" s="103">
        <f t="shared" si="55"/>
        <v>108676</v>
      </c>
      <c r="I69" s="103">
        <f t="shared" si="55"/>
        <v>425996</v>
      </c>
      <c r="J69" s="211">
        <f t="shared" si="55"/>
        <v>102274</v>
      </c>
      <c r="K69" s="210">
        <f t="shared" si="55"/>
        <v>218266</v>
      </c>
      <c r="L69" s="103">
        <f t="shared" si="55"/>
        <v>115188</v>
      </c>
      <c r="M69" s="103">
        <f t="shared" si="55"/>
        <v>449817</v>
      </c>
      <c r="N69" s="211">
        <f t="shared" si="55"/>
        <v>103078</v>
      </c>
      <c r="O69" s="212">
        <f t="shared" ref="O69:O71" si="56">K69-G69</f>
        <v>7316</v>
      </c>
      <c r="P69" s="104">
        <f t="shared" ref="P69:P71" si="57">L69-H69</f>
        <v>6512</v>
      </c>
      <c r="Q69" s="104">
        <f t="shared" ref="Q69:Q70" si="58">M69-I69</f>
        <v>23821</v>
      </c>
      <c r="R69" s="213">
        <f t="shared" ref="R69:R71" si="59">N69-J69</f>
        <v>804</v>
      </c>
    </row>
    <row r="70" spans="1:18" x14ac:dyDescent="0.25">
      <c r="A70" s="209"/>
      <c r="B70" s="102" t="s">
        <v>584</v>
      </c>
      <c r="C70" s="102"/>
      <c r="D70" s="102"/>
      <c r="E70" s="102"/>
      <c r="F70" s="102"/>
      <c r="G70" s="210">
        <f t="shared" ref="G70:N70" si="60">G56+G63</f>
        <v>189770</v>
      </c>
      <c r="H70" s="103">
        <f t="shared" si="60"/>
        <v>95375</v>
      </c>
      <c r="I70" s="103">
        <f t="shared" si="60"/>
        <v>881446</v>
      </c>
      <c r="J70" s="211">
        <f t="shared" si="60"/>
        <v>94395</v>
      </c>
      <c r="K70" s="210">
        <f t="shared" si="60"/>
        <v>186966</v>
      </c>
      <c r="L70" s="103">
        <f t="shared" si="60"/>
        <v>88575</v>
      </c>
      <c r="M70" s="103">
        <f t="shared" si="60"/>
        <v>883942</v>
      </c>
      <c r="N70" s="211">
        <f t="shared" si="60"/>
        <v>98391</v>
      </c>
      <c r="O70" s="212">
        <f t="shared" si="56"/>
        <v>-2804</v>
      </c>
      <c r="P70" s="104">
        <f t="shared" si="57"/>
        <v>-6800</v>
      </c>
      <c r="Q70" s="104">
        <f t="shared" si="58"/>
        <v>2496</v>
      </c>
      <c r="R70" s="213">
        <f t="shared" si="59"/>
        <v>3996</v>
      </c>
    </row>
    <row r="71" spans="1:18" x14ac:dyDescent="0.25">
      <c r="A71" s="209"/>
      <c r="B71" s="102" t="s">
        <v>585</v>
      </c>
      <c r="C71" s="102"/>
      <c r="D71" s="102"/>
      <c r="E71" s="102"/>
      <c r="F71" s="102"/>
      <c r="G71" s="210">
        <f t="shared" ref="G71:H71" si="61">G57+G64</f>
        <v>103341</v>
      </c>
      <c r="H71" s="103">
        <f t="shared" si="61"/>
        <v>66020</v>
      </c>
      <c r="I71" s="103"/>
      <c r="J71" s="211">
        <f t="shared" ref="J71:L71" si="62">J57+J64</f>
        <v>37321</v>
      </c>
      <c r="K71" s="210">
        <f t="shared" si="62"/>
        <v>102068</v>
      </c>
      <c r="L71" s="103">
        <f t="shared" si="62"/>
        <v>63769</v>
      </c>
      <c r="M71" s="103"/>
      <c r="N71" s="211">
        <f t="shared" ref="N71" si="63">N57+N64</f>
        <v>38299</v>
      </c>
      <c r="O71" s="212">
        <f t="shared" si="56"/>
        <v>-1273</v>
      </c>
      <c r="P71" s="104">
        <f t="shared" si="57"/>
        <v>-2251</v>
      </c>
      <c r="Q71" s="104"/>
      <c r="R71" s="213">
        <f t="shared" si="59"/>
        <v>978</v>
      </c>
    </row>
    <row r="72" spans="1:18" ht="15.75" thickBot="1" x14ac:dyDescent="0.3">
      <c r="A72" s="221"/>
      <c r="B72" s="222" t="s">
        <v>586</v>
      </c>
      <c r="C72" s="223"/>
      <c r="D72" s="223"/>
      <c r="E72" s="223"/>
      <c r="F72" s="223"/>
      <c r="G72" s="224">
        <f>SUM(G69:G71)</f>
        <v>504061</v>
      </c>
      <c r="H72" s="225">
        <f t="shared" ref="H72:R72" si="64">SUM(H69:H71)</f>
        <v>270071</v>
      </c>
      <c r="I72" s="225">
        <f t="shared" si="64"/>
        <v>1307442</v>
      </c>
      <c r="J72" s="226">
        <f t="shared" si="64"/>
        <v>233990</v>
      </c>
      <c r="K72" s="224">
        <f t="shared" si="64"/>
        <v>507300</v>
      </c>
      <c r="L72" s="225">
        <f t="shared" si="64"/>
        <v>267532</v>
      </c>
      <c r="M72" s="225">
        <f t="shared" si="64"/>
        <v>1333759</v>
      </c>
      <c r="N72" s="226">
        <f t="shared" si="64"/>
        <v>239768</v>
      </c>
      <c r="O72" s="227">
        <f t="shared" si="64"/>
        <v>3239</v>
      </c>
      <c r="P72" s="228">
        <f t="shared" si="64"/>
        <v>-2539</v>
      </c>
      <c r="Q72" s="228">
        <f t="shared" si="64"/>
        <v>26317</v>
      </c>
      <c r="R72" s="229">
        <f t="shared" si="64"/>
        <v>5778</v>
      </c>
    </row>
    <row r="73" spans="1:18" ht="15.75" thickTop="1" x14ac:dyDescent="0.25">
      <c r="A73" s="101"/>
      <c r="B73" s="102"/>
      <c r="C73" s="102"/>
      <c r="D73" s="102"/>
      <c r="E73" s="102"/>
      <c r="F73" s="102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</row>
    <row r="74" spans="1:18" x14ac:dyDescent="0.25">
      <c r="A74" s="102"/>
      <c r="B74" s="102"/>
      <c r="C74" s="102"/>
      <c r="D74" s="102"/>
      <c r="E74" s="102"/>
      <c r="F74" s="102"/>
      <c r="G74" s="254"/>
      <c r="H74" s="255"/>
      <c r="I74" s="255"/>
      <c r="J74" s="255">
        <f>N74-7</f>
        <v>46252</v>
      </c>
      <c r="K74" s="254"/>
      <c r="L74" s="255"/>
      <c r="M74" s="255"/>
      <c r="N74" s="255" cm="1">
        <f t="array" ref="N74">DATEVALUE(_xll.BDP($C$31, "LAST_UPDATE_DT"))</f>
        <v>46259</v>
      </c>
      <c r="O74" s="254"/>
      <c r="P74" s="256"/>
      <c r="Q74" s="256"/>
      <c r="R74" s="258" t="s">
        <v>672</v>
      </c>
    </row>
    <row r="75" spans="1:18" ht="15.75" thickBot="1" x14ac:dyDescent="0.3">
      <c r="A75" s="102"/>
      <c r="B75" s="102"/>
      <c r="C75" s="102"/>
      <c r="D75" s="102"/>
      <c r="E75" s="102"/>
      <c r="F75" s="102"/>
      <c r="G75" s="198" t="s">
        <v>575</v>
      </c>
      <c r="H75" s="105" t="s">
        <v>576</v>
      </c>
      <c r="I75" s="105" t="s">
        <v>577</v>
      </c>
      <c r="J75" s="233" t="s">
        <v>578</v>
      </c>
      <c r="K75" s="198" t="s">
        <v>575</v>
      </c>
      <c r="L75" s="105" t="s">
        <v>576</v>
      </c>
      <c r="M75" s="105" t="s">
        <v>577</v>
      </c>
      <c r="N75" s="233" t="s">
        <v>578</v>
      </c>
      <c r="O75" s="198" t="s">
        <v>575</v>
      </c>
      <c r="P75" s="105" t="s">
        <v>576</v>
      </c>
      <c r="Q75" s="105" t="s">
        <v>577</v>
      </c>
      <c r="R75" s="233" t="s">
        <v>578</v>
      </c>
    </row>
    <row r="76" spans="1:18" ht="15.75" thickTop="1" x14ac:dyDescent="0.25">
      <c r="A76" s="201" t="s">
        <v>673</v>
      </c>
      <c r="B76" s="202" t="s">
        <v>580</v>
      </c>
      <c r="C76" s="202" t="s">
        <v>674</v>
      </c>
      <c r="D76" s="202" t="s">
        <v>675</v>
      </c>
      <c r="E76" s="202"/>
      <c r="F76" s="202" t="s">
        <v>676</v>
      </c>
      <c r="G76" s="203" cm="1">
        <f t="array" ref="G76">_xll.BDH(C76, "PX_LAST", $J$29, $J$29)</f>
        <v>228964</v>
      </c>
      <c r="H76" s="204" cm="1">
        <f t="array" ref="H76">_xll.BDH(D76, "PX_LAST", $J$29, $J$29)</f>
        <v>304120</v>
      </c>
      <c r="I76" s="204"/>
      <c r="J76" s="205" cm="1">
        <f t="array" ref="J76">_xll.BDH(F76, "PX_LAST", $J$29, $J$29)</f>
        <v>-75156</v>
      </c>
      <c r="K76" s="203" cm="1">
        <f t="array" ref="K76">_xll.BDH(C76, "PX_LAST", $N$29, $N$29)</f>
        <v>252856</v>
      </c>
      <c r="L76" s="204" cm="1">
        <f t="array" ref="L76">_xll.BDH(D76, "PX_LAST", $N$29, $N$29)</f>
        <v>327205</v>
      </c>
      <c r="M76" s="204"/>
      <c r="N76" s="205" cm="1">
        <f t="array" ref="N76">_xll.BDH(F76, "PX_LAST", $N$29, $N$29)</f>
        <v>-74349</v>
      </c>
      <c r="O76" s="206">
        <f>K76-G76</f>
        <v>23892</v>
      </c>
      <c r="P76" s="207">
        <f>L76-H76</f>
        <v>23085</v>
      </c>
      <c r="Q76" s="207"/>
      <c r="R76" s="208">
        <f>N76-J76</f>
        <v>807</v>
      </c>
    </row>
    <row r="77" spans="1:18" x14ac:dyDescent="0.25">
      <c r="A77" s="209"/>
      <c r="B77" s="102" t="s">
        <v>581</v>
      </c>
      <c r="C77" s="102" t="s">
        <v>677</v>
      </c>
      <c r="D77" s="102" t="s">
        <v>678</v>
      </c>
      <c r="E77" s="102" t="s">
        <v>679</v>
      </c>
      <c r="F77" s="102" t="s">
        <v>680</v>
      </c>
      <c r="G77" s="210" cm="1">
        <f t="array" ref="G77">_xll.BDH(C77, "PX_LAST", $J$29, $J$29)</f>
        <v>268964</v>
      </c>
      <c r="H77" s="103" cm="1">
        <f t="array" ref="H77">_xll.BDH(D77, "PX_LAST", $J$29, $J$29)</f>
        <v>26313</v>
      </c>
      <c r="I77" s="103" cm="1">
        <f t="array" ref="I77">_xll.BDH(E77, "PX_LAST", $J$29, $J$29)</f>
        <v>105683</v>
      </c>
      <c r="J77" s="211" cm="1">
        <f t="array" ref="J77">_xll.BDH(F77, "PX_LAST", $J$29, $J$29)</f>
        <v>242651</v>
      </c>
      <c r="K77" s="210" cm="1">
        <f t="array" ref="K77">_xll.BDH(C77, "PX_LAST", $N$29, $N$29)</f>
        <v>268099</v>
      </c>
      <c r="L77" s="103" cm="1">
        <f t="array" ref="L77">_xll.BDH(D77, "PX_LAST", $N$29, $N$29)</f>
        <v>21849</v>
      </c>
      <c r="M77" s="103" cm="1">
        <f t="array" ref="M77">_xll.BDH(E77, "PX_LAST", $N$29, $N$29)</f>
        <v>107233</v>
      </c>
      <c r="N77" s="211" cm="1">
        <f t="array" ref="N77">_xll.BDH(F77, "PX_LAST", $N$29, $N$29)</f>
        <v>246250</v>
      </c>
      <c r="O77" s="212">
        <f>K77-G77</f>
        <v>-865</v>
      </c>
      <c r="P77" s="104">
        <f>L77-H77</f>
        <v>-4464</v>
      </c>
      <c r="Q77" s="104">
        <f>M77-I77</f>
        <v>1550</v>
      </c>
      <c r="R77" s="213">
        <f>N77-J77</f>
        <v>3599</v>
      </c>
    </row>
    <row r="78" spans="1:18" x14ac:dyDescent="0.25">
      <c r="A78" s="209"/>
      <c r="B78" s="214" t="s">
        <v>582</v>
      </c>
      <c r="C78" s="102"/>
      <c r="D78" s="102"/>
      <c r="E78" s="102"/>
      <c r="F78" s="102"/>
      <c r="G78" s="215">
        <f>SUM(G76:G77)</f>
        <v>497928</v>
      </c>
      <c r="H78" s="216">
        <f t="shared" ref="H78:R78" si="65">SUM(H76:H77)</f>
        <v>330433</v>
      </c>
      <c r="I78" s="216">
        <f t="shared" si="65"/>
        <v>105683</v>
      </c>
      <c r="J78" s="217">
        <f t="shared" si="65"/>
        <v>167495</v>
      </c>
      <c r="K78" s="215">
        <f t="shared" si="65"/>
        <v>520955</v>
      </c>
      <c r="L78" s="216">
        <f t="shared" si="65"/>
        <v>349054</v>
      </c>
      <c r="M78" s="216">
        <f t="shared" si="65"/>
        <v>107233</v>
      </c>
      <c r="N78" s="217">
        <f t="shared" si="65"/>
        <v>171901</v>
      </c>
      <c r="O78" s="218">
        <f t="shared" si="65"/>
        <v>23027</v>
      </c>
      <c r="P78" s="219">
        <f t="shared" si="65"/>
        <v>18621</v>
      </c>
      <c r="Q78" s="219">
        <f t="shared" si="65"/>
        <v>1550</v>
      </c>
      <c r="R78" s="220">
        <f t="shared" si="65"/>
        <v>4406</v>
      </c>
    </row>
    <row r="79" spans="1:18" x14ac:dyDescent="0.25">
      <c r="A79" s="209"/>
      <c r="B79" s="102" t="s">
        <v>583</v>
      </c>
      <c r="C79" s="102" t="s">
        <v>681</v>
      </c>
      <c r="D79" s="102" t="s">
        <v>682</v>
      </c>
      <c r="E79" s="102" t="s">
        <v>683</v>
      </c>
      <c r="F79" s="102" t="s">
        <v>684</v>
      </c>
      <c r="G79" s="210" cm="1">
        <f t="array" ref="G79">_xll.BDH(C79, "PX_LAST", $J$29, $J$29)</f>
        <v>116633</v>
      </c>
      <c r="H79" s="103" cm="1">
        <f t="array" ref="H79">_xll.BDH(D79, "PX_LAST", $J$29, $J$29)</f>
        <v>24111</v>
      </c>
      <c r="I79" s="103" cm="1">
        <f t="array" ref="I79">_xll.BDH(E79, "PX_LAST", $J$29, $J$29)</f>
        <v>68070</v>
      </c>
      <c r="J79" s="211" cm="1">
        <f t="array" ref="J79">_xll.BDH(F79, "PX_LAST", $J$29, $J$29)</f>
        <v>92522</v>
      </c>
      <c r="K79" s="210" cm="1">
        <f t="array" ref="K79">_xll.BDH(C79, "PX_LAST", $N$29, $N$29)</f>
        <v>113111</v>
      </c>
      <c r="L79" s="103" cm="1">
        <f t="array" ref="L79">_xll.BDH(D79, "PX_LAST", $N$29, $N$29)</f>
        <v>23812</v>
      </c>
      <c r="M79" s="103" cm="1">
        <f t="array" ref="M79">_xll.BDH(E79, "PX_LAST", $N$29, $N$29)</f>
        <v>69265</v>
      </c>
      <c r="N79" s="211" cm="1">
        <f t="array" ref="N79">_xll.BDH(F79, "PX_LAST", $N$29, $N$29)</f>
        <v>89299</v>
      </c>
      <c r="O79" s="212">
        <f t="shared" ref="O79:O81" si="66">K79-G79</f>
        <v>-3522</v>
      </c>
      <c r="P79" s="104">
        <f t="shared" ref="P79:P81" si="67">L79-H79</f>
        <v>-299</v>
      </c>
      <c r="Q79" s="104">
        <f t="shared" ref="Q79:Q80" si="68">M79-I79</f>
        <v>1195</v>
      </c>
      <c r="R79" s="213">
        <f t="shared" ref="R79:R81" si="69">N79-J79</f>
        <v>-3223</v>
      </c>
    </row>
    <row r="80" spans="1:18" x14ac:dyDescent="0.25">
      <c r="A80" s="209"/>
      <c r="B80" s="102" t="s">
        <v>584</v>
      </c>
      <c r="C80" s="102" t="s">
        <v>685</v>
      </c>
      <c r="D80" s="102" t="s">
        <v>686</v>
      </c>
      <c r="E80" s="102" t="s">
        <v>687</v>
      </c>
      <c r="F80" s="102" t="s">
        <v>688</v>
      </c>
      <c r="G80" s="210" cm="1">
        <f t="array" ref="G80">_xll.BDH(C80, "PX_LAST", $J$29, $J$29)</f>
        <v>9114</v>
      </c>
      <c r="H80" s="103" cm="1">
        <f t="array" ref="H80">_xll.BDH(D80, "PX_LAST", $J$29, $J$29)</f>
        <v>282715</v>
      </c>
      <c r="I80" s="103" cm="1">
        <f t="array" ref="I80">_xll.BDH(E80, "PX_LAST", $J$29, $J$29)</f>
        <v>113712</v>
      </c>
      <c r="J80" s="211" cm="1">
        <f t="array" ref="J80">_xll.BDH(F80, "PX_LAST", $J$29, $J$29)</f>
        <v>-273601</v>
      </c>
      <c r="K80" s="210" cm="1">
        <f t="array" ref="K80">_xll.BDH(C80, "PX_LAST", $N$29, $N$29)</f>
        <v>8247</v>
      </c>
      <c r="L80" s="103" cm="1">
        <f t="array" ref="L80">_xll.BDH(D80, "PX_LAST", $N$29, $N$29)</f>
        <v>279122</v>
      </c>
      <c r="M80" s="103" cm="1">
        <f t="array" ref="M80">_xll.BDH(E80, "PX_LAST", $N$29, $N$29)</f>
        <v>110965</v>
      </c>
      <c r="N80" s="211" cm="1">
        <f t="array" ref="N80">_xll.BDH(F80, "PX_LAST", $N$29, $N$29)</f>
        <v>-270875</v>
      </c>
      <c r="O80" s="212">
        <f t="shared" si="66"/>
        <v>-867</v>
      </c>
      <c r="P80" s="104">
        <f t="shared" si="67"/>
        <v>-3593</v>
      </c>
      <c r="Q80" s="104">
        <f t="shared" si="68"/>
        <v>-2747</v>
      </c>
      <c r="R80" s="213">
        <f t="shared" si="69"/>
        <v>2726</v>
      </c>
    </row>
    <row r="81" spans="1:18" x14ac:dyDescent="0.25">
      <c r="A81" s="209"/>
      <c r="B81" s="102" t="s">
        <v>585</v>
      </c>
      <c r="C81" s="102" t="s">
        <v>689</v>
      </c>
      <c r="D81" s="102" t="s">
        <v>690</v>
      </c>
      <c r="E81" s="102"/>
      <c r="F81" s="102" t="s">
        <v>691</v>
      </c>
      <c r="G81" s="210" cm="1">
        <f t="array" ref="G81">_xll.BDH(C81, "PX_LAST", $J$29, $J$29)</f>
        <v>42569</v>
      </c>
      <c r="H81" s="103" cm="1">
        <f t="array" ref="H81">_xll.BDH(D81, "PX_LAST", $J$29, $J$29)</f>
        <v>28985</v>
      </c>
      <c r="I81" s="103"/>
      <c r="J81" s="211" cm="1">
        <f t="array" ref="J81">_xll.BDH(F81, "PX_LAST", $J$29, $J$29)</f>
        <v>13584</v>
      </c>
      <c r="K81" s="210" cm="1">
        <f t="array" ref="K81">_xll.BDH(C81, "PX_LAST", $N$29, $N$29)</f>
        <v>43033</v>
      </c>
      <c r="L81" s="103" cm="1">
        <f t="array" ref="L81">_xll.BDH(D81, "PX_LAST", $N$29, $N$29)</f>
        <v>33358</v>
      </c>
      <c r="M81" s="103"/>
      <c r="N81" s="211" cm="1">
        <f t="array" ref="N81">_xll.BDH(F81, "PX_LAST", $N$29, $N$29)</f>
        <v>9675</v>
      </c>
      <c r="O81" s="212">
        <f t="shared" si="66"/>
        <v>464</v>
      </c>
      <c r="P81" s="104">
        <f t="shared" si="67"/>
        <v>4373</v>
      </c>
      <c r="Q81" s="104"/>
      <c r="R81" s="213">
        <f t="shared" si="69"/>
        <v>-3909</v>
      </c>
    </row>
    <row r="82" spans="1:18" ht="15.75" thickBot="1" x14ac:dyDescent="0.3">
      <c r="A82" s="221"/>
      <c r="B82" s="222" t="s">
        <v>586</v>
      </c>
      <c r="C82" s="223"/>
      <c r="D82" s="223"/>
      <c r="E82" s="223"/>
      <c r="F82" s="223"/>
      <c r="G82" s="224">
        <f>SUM(G79:G81)</f>
        <v>168316</v>
      </c>
      <c r="H82" s="225">
        <f t="shared" ref="H82:R82" si="70">SUM(H79:H81)</f>
        <v>335811</v>
      </c>
      <c r="I82" s="225">
        <f t="shared" si="70"/>
        <v>181782</v>
      </c>
      <c r="J82" s="226">
        <f t="shared" si="70"/>
        <v>-167495</v>
      </c>
      <c r="K82" s="224">
        <f t="shared" si="70"/>
        <v>164391</v>
      </c>
      <c r="L82" s="225">
        <f t="shared" si="70"/>
        <v>336292</v>
      </c>
      <c r="M82" s="225">
        <f t="shared" si="70"/>
        <v>180230</v>
      </c>
      <c r="N82" s="226">
        <f t="shared" si="70"/>
        <v>-171901</v>
      </c>
      <c r="O82" s="227">
        <f t="shared" si="70"/>
        <v>-3925</v>
      </c>
      <c r="P82" s="228">
        <f t="shared" si="70"/>
        <v>481</v>
      </c>
      <c r="Q82" s="228">
        <f t="shared" si="70"/>
        <v>-1552</v>
      </c>
      <c r="R82" s="229">
        <f t="shared" si="70"/>
        <v>-4406</v>
      </c>
    </row>
    <row r="83" spans="1:18" ht="15.75" thickTop="1" x14ac:dyDescent="0.25">
      <c r="A83" s="201" t="s">
        <v>692</v>
      </c>
      <c r="B83" s="202" t="s">
        <v>580</v>
      </c>
      <c r="C83" s="202" t="s">
        <v>693</v>
      </c>
      <c r="D83" s="202" t="s">
        <v>694</v>
      </c>
      <c r="E83" s="202"/>
      <c r="F83" s="202" t="s">
        <v>695</v>
      </c>
      <c r="G83" s="203" cm="1">
        <f t="array" ref="G83">_xll.BDH(C83, "PX_LAST", $J$29, $J$29)</f>
        <v>50832</v>
      </c>
      <c r="H83" s="204" cm="1">
        <f t="array" ref="H83">_xll.BDH(D83, "PX_LAST", $J$29, $J$29)</f>
        <v>134204</v>
      </c>
      <c r="I83" s="204"/>
      <c r="J83" s="205" cm="1">
        <f t="array" ref="J83">_xll.BDH(F83, "PX_LAST", $J$29, $J$29)</f>
        <v>-83372</v>
      </c>
      <c r="K83" s="203" cm="1">
        <f t="array" ref="K83">_xll.BDH(C83, "PX_LAST", $N$29, $N$29)</f>
        <v>54888</v>
      </c>
      <c r="L83" s="204" cm="1">
        <f t="array" ref="L83">_xll.BDH(D83, "PX_LAST", $N$29, $N$29)</f>
        <v>138701</v>
      </c>
      <c r="M83" s="204"/>
      <c r="N83" s="205" cm="1">
        <f t="array" ref="N83">_xll.BDH(F83, "PX_LAST", $N$29, $N$29)</f>
        <v>-83813</v>
      </c>
      <c r="O83" s="206">
        <f>K83-G83</f>
        <v>4056</v>
      </c>
      <c r="P83" s="207">
        <f>L83-H83</f>
        <v>4497</v>
      </c>
      <c r="Q83" s="207"/>
      <c r="R83" s="208">
        <f>N83-J83</f>
        <v>-441</v>
      </c>
    </row>
    <row r="84" spans="1:18" x14ac:dyDescent="0.25">
      <c r="A84" s="209"/>
      <c r="B84" s="102" t="s">
        <v>581</v>
      </c>
      <c r="C84" s="102" t="s">
        <v>696</v>
      </c>
      <c r="D84" s="102" t="s">
        <v>697</v>
      </c>
      <c r="E84" s="102" t="s">
        <v>698</v>
      </c>
      <c r="F84" s="102" t="s">
        <v>699</v>
      </c>
      <c r="G84" s="210" cm="1">
        <f t="array" ref="G84">_xll.BDH(C84, "PX_LAST", $J$29, $J$29)</f>
        <v>56271</v>
      </c>
      <c r="H84" s="103" cm="1">
        <f t="array" ref="H84">_xll.BDH(D84, "PX_LAST", $J$29, $J$29)</f>
        <v>8362</v>
      </c>
      <c r="I84" s="103" cm="1">
        <f t="array" ref="I84">_xll.BDH(E84, "PX_LAST", $J$29, $J$29)</f>
        <v>15760</v>
      </c>
      <c r="J84" s="211" cm="1">
        <f t="array" ref="J84">_xll.BDH(F84, "PX_LAST", $J$29, $J$29)</f>
        <v>47909</v>
      </c>
      <c r="K84" s="210" cm="1">
        <f t="array" ref="K84">_xll.BDH(C84, "PX_LAST", $N$29, $N$29)</f>
        <v>56668</v>
      </c>
      <c r="L84" s="103" cm="1">
        <f t="array" ref="L84">_xll.BDH(D84, "PX_LAST", $N$29, $N$29)</f>
        <v>7158</v>
      </c>
      <c r="M84" s="103" cm="1">
        <f t="array" ref="M84">_xll.BDH(E84, "PX_LAST", $N$29, $N$29)</f>
        <v>16263</v>
      </c>
      <c r="N84" s="211" cm="1">
        <f t="array" ref="N84">_xll.BDH(F84, "PX_LAST", $N$29, $N$29)</f>
        <v>49510</v>
      </c>
      <c r="O84" s="212">
        <f>K84-G84</f>
        <v>397</v>
      </c>
      <c r="P84" s="104">
        <f>L84-H84</f>
        <v>-1204</v>
      </c>
      <c r="Q84" s="104">
        <f>M84-I84</f>
        <v>503</v>
      </c>
      <c r="R84" s="213">
        <f>N84-J84</f>
        <v>1601</v>
      </c>
    </row>
    <row r="85" spans="1:18" x14ac:dyDescent="0.25">
      <c r="A85" s="209"/>
      <c r="B85" s="214" t="s">
        <v>582</v>
      </c>
      <c r="C85" s="102"/>
      <c r="D85" s="102"/>
      <c r="E85" s="102"/>
      <c r="F85" s="102"/>
      <c r="G85" s="215">
        <f>SUM(G83:G84)</f>
        <v>107103</v>
      </c>
      <c r="H85" s="216">
        <f t="shared" ref="H85:R85" si="71">SUM(H83:H84)</f>
        <v>142566</v>
      </c>
      <c r="I85" s="216">
        <f t="shared" si="71"/>
        <v>15760</v>
      </c>
      <c r="J85" s="217">
        <f t="shared" si="71"/>
        <v>-35463</v>
      </c>
      <c r="K85" s="215">
        <f t="shared" si="71"/>
        <v>111556</v>
      </c>
      <c r="L85" s="216">
        <f t="shared" si="71"/>
        <v>145859</v>
      </c>
      <c r="M85" s="216">
        <f t="shared" si="71"/>
        <v>16263</v>
      </c>
      <c r="N85" s="217">
        <f t="shared" si="71"/>
        <v>-34303</v>
      </c>
      <c r="O85" s="218">
        <f t="shared" si="71"/>
        <v>4453</v>
      </c>
      <c r="P85" s="219">
        <f t="shared" si="71"/>
        <v>3293</v>
      </c>
      <c r="Q85" s="219">
        <f t="shared" si="71"/>
        <v>503</v>
      </c>
      <c r="R85" s="220">
        <f t="shared" si="71"/>
        <v>1160</v>
      </c>
    </row>
    <row r="86" spans="1:18" x14ac:dyDescent="0.25">
      <c r="A86" s="209"/>
      <c r="B86" s="102" t="s">
        <v>583</v>
      </c>
      <c r="C86" s="102" t="s">
        <v>700</v>
      </c>
      <c r="D86" s="102" t="s">
        <v>701</v>
      </c>
      <c r="E86" s="102" t="s">
        <v>702</v>
      </c>
      <c r="F86" s="102" t="s">
        <v>703</v>
      </c>
      <c r="G86" s="210" cm="1">
        <f t="array" ref="G86">_xll.BDH(C86, "PX_LAST", $J$29, $J$29)</f>
        <v>39660</v>
      </c>
      <c r="H86" s="103" cm="1">
        <f t="array" ref="H86">_xll.BDH(D86, "PX_LAST", $J$29, $J$29)</f>
        <v>23190</v>
      </c>
      <c r="I86" s="103" cm="1">
        <f t="array" ref="I86">_xll.BDH(E86, "PX_LAST", $J$29, $J$29)</f>
        <v>22312</v>
      </c>
      <c r="J86" s="211" cm="1">
        <f t="array" ref="J86">_xll.BDH(F86, "PX_LAST", $J$29, $J$29)</f>
        <v>16470</v>
      </c>
      <c r="K86" s="210" cm="1">
        <f t="array" ref="K86">_xll.BDH(C86, "PX_LAST", $N$29, $N$29)</f>
        <v>39276</v>
      </c>
      <c r="L86" s="103" cm="1">
        <f t="array" ref="L86">_xll.BDH(D86, "PX_LAST", $N$29, $N$29)</f>
        <v>21934</v>
      </c>
      <c r="M86" s="103" cm="1">
        <f t="array" ref="M86">_xll.BDH(E86, "PX_LAST", $N$29, $N$29)</f>
        <v>21468</v>
      </c>
      <c r="N86" s="211" cm="1">
        <f t="array" ref="N86">_xll.BDH(F86, "PX_LAST", $N$29, $N$29)</f>
        <v>17342</v>
      </c>
      <c r="O86" s="212">
        <f t="shared" ref="O86:O88" si="72">K86-G86</f>
        <v>-384</v>
      </c>
      <c r="P86" s="104">
        <f t="shared" ref="P86:P88" si="73">L86-H86</f>
        <v>-1256</v>
      </c>
      <c r="Q86" s="104">
        <f t="shared" ref="Q86:Q87" si="74">M86-I86</f>
        <v>-844</v>
      </c>
      <c r="R86" s="213">
        <f t="shared" ref="R86:R88" si="75">N86-J86</f>
        <v>872</v>
      </c>
    </row>
    <row r="87" spans="1:18" x14ac:dyDescent="0.25">
      <c r="A87" s="209"/>
      <c r="B87" s="102" t="s">
        <v>584</v>
      </c>
      <c r="C87" s="102" t="s">
        <v>704</v>
      </c>
      <c r="D87" s="102" t="s">
        <v>705</v>
      </c>
      <c r="E87" s="102" t="s">
        <v>706</v>
      </c>
      <c r="F87" s="102" t="s">
        <v>707</v>
      </c>
      <c r="G87" s="210" cm="1">
        <f t="array" ref="G87">_xll.BDH(C87, "PX_LAST", $J$29, $J$29)</f>
        <v>8874</v>
      </c>
      <c r="H87" s="103" cm="1">
        <f t="array" ref="H87">_xll.BDH(D87, "PX_LAST", $J$29, $J$29)</f>
        <v>11514</v>
      </c>
      <c r="I87" s="103" cm="1">
        <f t="array" ref="I87">_xll.BDH(E87, "PX_LAST", $J$29, $J$29)</f>
        <v>38999</v>
      </c>
      <c r="J87" s="211" cm="1">
        <f t="array" ref="J87">_xll.BDH(F87, "PX_LAST", $J$29, $J$29)</f>
        <v>-2640</v>
      </c>
      <c r="K87" s="210" cm="1">
        <f t="array" ref="K87">_xll.BDH(C87, "PX_LAST", $N$29, $N$29)</f>
        <v>9005</v>
      </c>
      <c r="L87" s="103" cm="1">
        <f t="array" ref="L87">_xll.BDH(D87, "PX_LAST", $N$29, $N$29)</f>
        <v>13905</v>
      </c>
      <c r="M87" s="103" cm="1">
        <f t="array" ref="M87">_xll.BDH(E87, "PX_LAST", $N$29, $N$29)</f>
        <v>35623</v>
      </c>
      <c r="N87" s="211" cm="1">
        <f t="array" ref="N87">_xll.BDH(F87, "PX_LAST", $N$29, $N$29)</f>
        <v>-4900</v>
      </c>
      <c r="O87" s="212">
        <f t="shared" si="72"/>
        <v>131</v>
      </c>
      <c r="P87" s="104">
        <f t="shared" si="73"/>
        <v>2391</v>
      </c>
      <c r="Q87" s="104">
        <f t="shared" si="74"/>
        <v>-3376</v>
      </c>
      <c r="R87" s="213">
        <f t="shared" si="75"/>
        <v>-2260</v>
      </c>
    </row>
    <row r="88" spans="1:18" x14ac:dyDescent="0.25">
      <c r="A88" s="209"/>
      <c r="B88" s="102" t="s">
        <v>585</v>
      </c>
      <c r="C88" s="102" t="s">
        <v>708</v>
      </c>
      <c r="D88" s="102" t="s">
        <v>709</v>
      </c>
      <c r="E88" s="102"/>
      <c r="F88" s="102" t="s">
        <v>710</v>
      </c>
      <c r="G88" s="210" cm="1">
        <f t="array" ref="G88">_xll.BDH(C88, "PX_LAST", $J$29, $J$29)</f>
        <v>52036</v>
      </c>
      <c r="H88" s="103" cm="1">
        <f t="array" ref="H88">_xll.BDH(D88, "PX_LAST", $J$29, $J$29)</f>
        <v>30404</v>
      </c>
      <c r="I88" s="103"/>
      <c r="J88" s="211" cm="1">
        <f t="array" ref="J88">_xll.BDH(F88, "PX_LAST", $J$29, $J$29)</f>
        <v>21632</v>
      </c>
      <c r="K88" s="210" cm="1">
        <f t="array" ref="K88">_xll.BDH(C88, "PX_LAST", $N$29, $N$29)</f>
        <v>50966</v>
      </c>
      <c r="L88" s="103" cm="1">
        <f t="array" ref="L88">_xll.BDH(D88, "PX_LAST", $N$29, $N$29)</f>
        <v>29105</v>
      </c>
      <c r="M88" s="103"/>
      <c r="N88" s="211" cm="1">
        <f t="array" ref="N88">_xll.BDH(F88, "PX_LAST", $N$29, $N$29)</f>
        <v>21861</v>
      </c>
      <c r="O88" s="212">
        <f t="shared" si="72"/>
        <v>-1070</v>
      </c>
      <c r="P88" s="104">
        <f t="shared" si="73"/>
        <v>-1299</v>
      </c>
      <c r="Q88" s="104"/>
      <c r="R88" s="213">
        <f t="shared" si="75"/>
        <v>229</v>
      </c>
    </row>
    <row r="89" spans="1:18" ht="15.75" thickBot="1" x14ac:dyDescent="0.3">
      <c r="A89" s="221"/>
      <c r="B89" s="222" t="s">
        <v>586</v>
      </c>
      <c r="C89" s="223"/>
      <c r="D89" s="223"/>
      <c r="E89" s="223"/>
      <c r="F89" s="223"/>
      <c r="G89" s="224">
        <f>SUM(G86:G88)</f>
        <v>100570</v>
      </c>
      <c r="H89" s="225">
        <f t="shared" ref="H89:R89" si="76">SUM(H86:H88)</f>
        <v>65108</v>
      </c>
      <c r="I89" s="225">
        <f t="shared" si="76"/>
        <v>61311</v>
      </c>
      <c r="J89" s="226">
        <f t="shared" si="76"/>
        <v>35462</v>
      </c>
      <c r="K89" s="224">
        <f t="shared" si="76"/>
        <v>99247</v>
      </c>
      <c r="L89" s="225">
        <f t="shared" si="76"/>
        <v>64944</v>
      </c>
      <c r="M89" s="225">
        <f t="shared" si="76"/>
        <v>57091</v>
      </c>
      <c r="N89" s="226">
        <f t="shared" si="76"/>
        <v>34303</v>
      </c>
      <c r="O89" s="227">
        <f t="shared" si="76"/>
        <v>-1323</v>
      </c>
      <c r="P89" s="228">
        <f t="shared" si="76"/>
        <v>-164</v>
      </c>
      <c r="Q89" s="228">
        <f t="shared" si="76"/>
        <v>-4220</v>
      </c>
      <c r="R89" s="229">
        <f t="shared" si="76"/>
        <v>-1159</v>
      </c>
    </row>
    <row r="90" spans="1:18" ht="15.75" thickTop="1" x14ac:dyDescent="0.25">
      <c r="A90" s="201" t="s">
        <v>711</v>
      </c>
      <c r="B90" s="202" t="s">
        <v>580</v>
      </c>
      <c r="C90" s="202" t="s">
        <v>712</v>
      </c>
      <c r="D90" s="202" t="s">
        <v>713</v>
      </c>
      <c r="E90" s="202"/>
      <c r="F90" s="202" t="s">
        <v>714</v>
      </c>
      <c r="G90" s="203" cm="1">
        <f t="array" ref="G90">_xll.BDH(C90, "PX_LAST", $J$29, $J$29)</f>
        <v>79642</v>
      </c>
      <c r="H90" s="204" cm="1">
        <f t="array" ref="H90">_xll.BDH(D90, "PX_LAST", $J$29, $J$29)</f>
        <v>170091</v>
      </c>
      <c r="I90" s="204"/>
      <c r="J90" s="205" cm="1">
        <f t="array" ref="J90">_xll.BDH(F90, "PX_LAST", $J$29, $J$29)</f>
        <v>-90449</v>
      </c>
      <c r="K90" s="203" cm="1">
        <f t="array" ref="K90">_xll.BDH(C90, "PX_LAST", $N$29, $N$29)</f>
        <v>86828</v>
      </c>
      <c r="L90" s="204" cm="1">
        <f t="array" ref="L90">_xll.BDH(D90, "PX_LAST", $N$29, $N$29)</f>
        <v>182145</v>
      </c>
      <c r="M90" s="204"/>
      <c r="N90" s="205" cm="1">
        <f t="array" ref="N90">_xll.BDH(F90, "PX_LAST", $N$29, $N$29)</f>
        <v>-95317</v>
      </c>
      <c r="O90" s="206">
        <f>K90-G90</f>
        <v>7186</v>
      </c>
      <c r="P90" s="207">
        <f>L90-H90</f>
        <v>12054</v>
      </c>
      <c r="Q90" s="207"/>
      <c r="R90" s="208">
        <f>N90-J90</f>
        <v>-4868</v>
      </c>
    </row>
    <row r="91" spans="1:18" x14ac:dyDescent="0.25">
      <c r="A91" s="209"/>
      <c r="B91" s="102" t="s">
        <v>581</v>
      </c>
      <c r="C91" s="102" t="s">
        <v>715</v>
      </c>
      <c r="D91" s="102" t="s">
        <v>716</v>
      </c>
      <c r="E91" s="102" t="s">
        <v>717</v>
      </c>
      <c r="F91" s="102" t="s">
        <v>718</v>
      </c>
      <c r="G91" s="210" cm="1">
        <f t="array" ref="G91">_xll.BDH(C91, "PX_LAST", $J$29, $J$29)</f>
        <v>50043</v>
      </c>
      <c r="H91" s="103" cm="1">
        <f t="array" ref="H91">_xll.BDH(D91, "PX_LAST", $J$29, $J$29)</f>
        <v>30192</v>
      </c>
      <c r="I91" s="103" cm="1">
        <f t="array" ref="I91">_xll.BDH(E91, "PX_LAST", $J$29, $J$29)</f>
        <v>11407</v>
      </c>
      <c r="J91" s="211" cm="1">
        <f t="array" ref="J91">_xll.BDH(F91, "PX_LAST", $J$29, $J$29)</f>
        <v>19851</v>
      </c>
      <c r="K91" s="210" cm="1">
        <f t="array" ref="K91">_xll.BDH(C91, "PX_LAST", $N$29, $N$29)</f>
        <v>49810</v>
      </c>
      <c r="L91" s="103" cm="1">
        <f t="array" ref="L91">_xll.BDH(D91, "PX_LAST", $N$29, $N$29)</f>
        <v>33761</v>
      </c>
      <c r="M91" s="103" cm="1">
        <f t="array" ref="M91">_xll.BDH(E91, "PX_LAST", $N$29, $N$29)</f>
        <v>12603</v>
      </c>
      <c r="N91" s="211" cm="1">
        <f t="array" ref="N91">_xll.BDH(F91, "PX_LAST", $N$29, $N$29)</f>
        <v>16049</v>
      </c>
      <c r="O91" s="212">
        <f>K91-G91</f>
        <v>-233</v>
      </c>
      <c r="P91" s="104">
        <f>L91-H91</f>
        <v>3569</v>
      </c>
      <c r="Q91" s="104">
        <f>M91-I91</f>
        <v>1196</v>
      </c>
      <c r="R91" s="213">
        <f>N91-J91</f>
        <v>-3802</v>
      </c>
    </row>
    <row r="92" spans="1:18" x14ac:dyDescent="0.25">
      <c r="A92" s="209"/>
      <c r="B92" s="214" t="s">
        <v>582</v>
      </c>
      <c r="C92" s="102"/>
      <c r="D92" s="102"/>
      <c r="E92" s="102"/>
      <c r="F92" s="102"/>
      <c r="G92" s="215">
        <f>SUM(G90:G91)</f>
        <v>129685</v>
      </c>
      <c r="H92" s="216">
        <f t="shared" ref="H92:R92" si="77">SUM(H90:H91)</f>
        <v>200283</v>
      </c>
      <c r="I92" s="216">
        <f t="shared" si="77"/>
        <v>11407</v>
      </c>
      <c r="J92" s="217">
        <f t="shared" si="77"/>
        <v>-70598</v>
      </c>
      <c r="K92" s="215">
        <f t="shared" si="77"/>
        <v>136638</v>
      </c>
      <c r="L92" s="216">
        <f t="shared" si="77"/>
        <v>215906</v>
      </c>
      <c r="M92" s="216">
        <f t="shared" si="77"/>
        <v>12603</v>
      </c>
      <c r="N92" s="217">
        <f t="shared" si="77"/>
        <v>-79268</v>
      </c>
      <c r="O92" s="218">
        <f t="shared" si="77"/>
        <v>6953</v>
      </c>
      <c r="P92" s="219">
        <f t="shared" si="77"/>
        <v>15623</v>
      </c>
      <c r="Q92" s="219">
        <f t="shared" si="77"/>
        <v>1196</v>
      </c>
      <c r="R92" s="220">
        <f t="shared" si="77"/>
        <v>-8670</v>
      </c>
    </row>
    <row r="93" spans="1:18" x14ac:dyDescent="0.25">
      <c r="A93" s="209"/>
      <c r="B93" s="102" t="s">
        <v>583</v>
      </c>
      <c r="C93" s="102" t="s">
        <v>719</v>
      </c>
      <c r="D93" s="102" t="s">
        <v>720</v>
      </c>
      <c r="E93" s="102" t="s">
        <v>721</v>
      </c>
      <c r="F93" s="102" t="s">
        <v>722</v>
      </c>
      <c r="G93" s="210" cm="1">
        <f t="array" ref="G93">_xll.BDH(C93, "PX_LAST", $J$29, $J$29)</f>
        <v>87008</v>
      </c>
      <c r="H93" s="103" cm="1">
        <f t="array" ref="H93">_xll.BDH(D93, "PX_LAST", $J$29, $J$29)</f>
        <v>12683</v>
      </c>
      <c r="I93" s="103" cm="1">
        <f t="array" ref="I93">_xll.BDH(E93, "PX_LAST", $J$29, $J$29)</f>
        <v>40395</v>
      </c>
      <c r="J93" s="211" cm="1">
        <f t="array" ref="J93">_xll.BDH(F93, "PX_LAST", $J$29, $J$29)</f>
        <v>74325</v>
      </c>
      <c r="K93" s="210" cm="1">
        <f t="array" ref="K93">_xll.BDH(C93, "PX_LAST", $N$29, $N$29)</f>
        <v>93109</v>
      </c>
      <c r="L93" s="103" cm="1">
        <f t="array" ref="L93">_xll.BDH(D93, "PX_LAST", $N$29, $N$29)</f>
        <v>13251</v>
      </c>
      <c r="M93" s="103" cm="1">
        <f t="array" ref="M93">_xll.BDH(E93, "PX_LAST", $N$29, $N$29)</f>
        <v>36796</v>
      </c>
      <c r="N93" s="211" cm="1">
        <f t="array" ref="N93">_xll.BDH(F93, "PX_LAST", $N$29, $N$29)</f>
        <v>79858</v>
      </c>
      <c r="O93" s="212">
        <f t="shared" ref="O93:O95" si="78">K93-G93</f>
        <v>6101</v>
      </c>
      <c r="P93" s="104">
        <f t="shared" ref="P93:P95" si="79">L93-H93</f>
        <v>568</v>
      </c>
      <c r="Q93" s="104">
        <f t="shared" ref="Q93:Q94" si="80">M93-I93</f>
        <v>-3599</v>
      </c>
      <c r="R93" s="213">
        <f t="shared" ref="R93:R95" si="81">N93-J93</f>
        <v>5533</v>
      </c>
    </row>
    <row r="94" spans="1:18" x14ac:dyDescent="0.25">
      <c r="A94" s="209"/>
      <c r="B94" s="102" t="s">
        <v>584</v>
      </c>
      <c r="C94" s="102" t="s">
        <v>723</v>
      </c>
      <c r="D94" s="102" t="s">
        <v>724</v>
      </c>
      <c r="E94" s="102" t="s">
        <v>725</v>
      </c>
      <c r="F94" s="102" t="s">
        <v>726</v>
      </c>
      <c r="G94" s="210" cm="1">
        <f t="array" ref="G94">_xll.BDH(C94, "PX_LAST", $J$29, $J$29)</f>
        <v>11256</v>
      </c>
      <c r="H94" s="103" cm="1">
        <f t="array" ref="H94">_xll.BDH(D94, "PX_LAST", $J$29, $J$29)</f>
        <v>27634</v>
      </c>
      <c r="I94" s="103" cm="1">
        <f t="array" ref="I94">_xll.BDH(E94, "PX_LAST", $J$29, $J$29)</f>
        <v>33275</v>
      </c>
      <c r="J94" s="211" cm="1">
        <f t="array" ref="J94">_xll.BDH(F94, "PX_LAST", $J$29, $J$29)</f>
        <v>-16378</v>
      </c>
      <c r="K94" s="210" cm="1">
        <f t="array" ref="K94">_xll.BDH(C94, "PX_LAST", $N$29, $N$29)</f>
        <v>12397</v>
      </c>
      <c r="L94" s="103" cm="1">
        <f t="array" ref="L94">_xll.BDH(D94, "PX_LAST", $N$29, $N$29)</f>
        <v>28068</v>
      </c>
      <c r="M94" s="103" cm="1">
        <f t="array" ref="M94">_xll.BDH(E94, "PX_LAST", $N$29, $N$29)</f>
        <v>31561</v>
      </c>
      <c r="N94" s="211" cm="1">
        <f t="array" ref="N94">_xll.BDH(F94, "PX_LAST", $N$29, $N$29)</f>
        <v>-15671</v>
      </c>
      <c r="O94" s="212">
        <f t="shared" si="78"/>
        <v>1141</v>
      </c>
      <c r="P94" s="104">
        <f t="shared" si="79"/>
        <v>434</v>
      </c>
      <c r="Q94" s="104">
        <f t="shared" si="80"/>
        <v>-1714</v>
      </c>
      <c r="R94" s="213">
        <f t="shared" si="81"/>
        <v>707</v>
      </c>
    </row>
    <row r="95" spans="1:18" x14ac:dyDescent="0.25">
      <c r="A95" s="209"/>
      <c r="B95" s="102" t="s">
        <v>585</v>
      </c>
      <c r="C95" s="102" t="s">
        <v>727</v>
      </c>
      <c r="D95" s="102" t="s">
        <v>728</v>
      </c>
      <c r="E95" s="102"/>
      <c r="F95" s="102" t="s">
        <v>729</v>
      </c>
      <c r="G95" s="210" cm="1">
        <f t="array" ref="G95">_xll.BDH(C95, "PX_LAST", $J$29, $J$29)</f>
        <v>25630</v>
      </c>
      <c r="H95" s="103" cm="1">
        <f t="array" ref="H95">_xll.BDH(D95, "PX_LAST", $J$29, $J$29)</f>
        <v>12979</v>
      </c>
      <c r="I95" s="103"/>
      <c r="J95" s="211" cm="1">
        <f t="array" ref="J95">_xll.BDH(F95, "PX_LAST", $J$29, $J$29)</f>
        <v>12651</v>
      </c>
      <c r="K95" s="210" cm="1">
        <f t="array" ref="K95">_xll.BDH(C95, "PX_LAST", $N$29, $N$29)</f>
        <v>26409</v>
      </c>
      <c r="L95" s="103" cm="1">
        <f t="array" ref="L95">_xll.BDH(D95, "PX_LAST", $N$29, $N$29)</f>
        <v>11329</v>
      </c>
      <c r="M95" s="103"/>
      <c r="N95" s="211" cm="1">
        <f t="array" ref="N95">_xll.BDH(F95, "PX_LAST", $N$29, $N$29)</f>
        <v>15080</v>
      </c>
      <c r="O95" s="212">
        <f t="shared" si="78"/>
        <v>779</v>
      </c>
      <c r="P95" s="104">
        <f t="shared" si="79"/>
        <v>-1650</v>
      </c>
      <c r="Q95" s="104"/>
      <c r="R95" s="213">
        <f t="shared" si="81"/>
        <v>2429</v>
      </c>
    </row>
    <row r="96" spans="1:18" ht="15.75" thickBot="1" x14ac:dyDescent="0.3">
      <c r="A96" s="221"/>
      <c r="B96" s="222" t="s">
        <v>586</v>
      </c>
      <c r="C96" s="223"/>
      <c r="D96" s="223"/>
      <c r="E96" s="223"/>
      <c r="F96" s="223"/>
      <c r="G96" s="224">
        <f>SUM(G93:G95)</f>
        <v>123894</v>
      </c>
      <c r="H96" s="225">
        <f t="shared" ref="H96:R96" si="82">SUM(H93:H95)</f>
        <v>53296</v>
      </c>
      <c r="I96" s="225">
        <f t="shared" si="82"/>
        <v>73670</v>
      </c>
      <c r="J96" s="226">
        <f t="shared" si="82"/>
        <v>70598</v>
      </c>
      <c r="K96" s="224">
        <f t="shared" si="82"/>
        <v>131915</v>
      </c>
      <c r="L96" s="225">
        <f t="shared" si="82"/>
        <v>52648</v>
      </c>
      <c r="M96" s="225">
        <f t="shared" si="82"/>
        <v>68357</v>
      </c>
      <c r="N96" s="226">
        <f t="shared" si="82"/>
        <v>79267</v>
      </c>
      <c r="O96" s="227">
        <f t="shared" si="82"/>
        <v>8021</v>
      </c>
      <c r="P96" s="228">
        <f t="shared" si="82"/>
        <v>-648</v>
      </c>
      <c r="Q96" s="228">
        <f t="shared" si="82"/>
        <v>-5313</v>
      </c>
      <c r="R96" s="229">
        <f t="shared" si="82"/>
        <v>8669</v>
      </c>
    </row>
    <row r="97" ht="15.75" thickTop="1" x14ac:dyDescent="0.25"/>
  </sheetData>
  <mergeCells count="1">
    <mergeCell ref="A1:R1"/>
  </mergeCells>
  <conditionalFormatting sqref="R23:R26 R16:R19 R9:R12 R48:R51 R69:R72 R79:R82 R86:R89 R93:R96">
    <cfRule type="colorScale" priority="1">
      <colorScale>
        <cfvo type="num" val="-50000"/>
        <cfvo type="num" val="0"/>
        <cfvo type="num" val="50000"/>
        <color rgb="FFF8696B"/>
        <color theme="0"/>
        <color rgb="FF92D050"/>
      </colorScale>
    </cfRule>
  </conditionalFormatting>
  <pageMargins left="0.25" right="0.25" top="0.75" bottom="0.75" header="0.3" footer="0.3"/>
  <pageSetup paperSize="9" scale="63" fitToWidth="0" fitToHeight="0" orientation="portrait" r:id="rId1"/>
  <ignoredErrors>
    <ignoredError sqref="G22:R22 G68:R68 G47:R47 O51:R51 O72:R72 G78:R78 G82:R82 G85:R85 G89:R89 G92:R9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aveRangeAsPDF">
                <anchor moveWithCells="1" sizeWithCells="1">
                  <from>
                    <xdr:col>19</xdr:col>
                    <xdr:colOff>19050</xdr:colOff>
                    <xdr:row>2</xdr:row>
                    <xdr:rowOff>9525</xdr:rowOff>
                  </from>
                  <to>
                    <xdr:col>20</xdr:col>
                    <xdr:colOff>38100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AAFE8-54E9-4AE6-91EC-916E1B6D4C85}">
  <sheetPr codeName="Sheet16">
    <tabColor theme="0" tint="-0.499984740745262"/>
    <pageSetUpPr autoPageBreaks="0"/>
  </sheetPr>
  <dimension ref="A1:AE41"/>
  <sheetViews>
    <sheetView zoomScaleNormal="100" workbookViewId="0">
      <selection activeCell="L21" sqref="L21"/>
    </sheetView>
  </sheetViews>
  <sheetFormatPr defaultColWidth="9.140625" defaultRowHeight="15" x14ac:dyDescent="0.25"/>
  <cols>
    <col min="1" max="1" width="11.5703125" style="273" customWidth="1"/>
    <col min="2" max="4" width="9.140625" style="273"/>
    <col min="5" max="6" width="11.85546875" style="273" customWidth="1"/>
    <col min="7" max="13" width="9.140625" style="273"/>
    <col min="14" max="14" width="8" style="273" customWidth="1"/>
    <col min="15" max="15" width="9.140625" style="273"/>
    <col min="16" max="16" width="8" style="273" customWidth="1"/>
    <col min="17" max="17" width="9.140625" style="273"/>
    <col min="18" max="18" width="8" style="273" customWidth="1"/>
    <col min="19" max="19" width="9.140625" style="273"/>
    <col min="20" max="20" width="8" style="273" customWidth="1"/>
    <col min="21" max="21" width="9.140625" style="273"/>
    <col min="22" max="22" width="8" style="273" customWidth="1"/>
    <col min="23" max="23" width="9.140625" style="273"/>
    <col min="24" max="24" width="8" style="273" customWidth="1"/>
    <col min="25" max="16384" width="9.140625" style="273"/>
  </cols>
  <sheetData>
    <row r="1" spans="1:31" x14ac:dyDescent="0.25">
      <c r="A1" s="441" t="s">
        <v>730</v>
      </c>
      <c r="B1" s="296" t="s">
        <v>731</v>
      </c>
      <c r="C1" s="296"/>
      <c r="D1" s="296" t="s">
        <v>732</v>
      </c>
      <c r="E1" s="296" t="s">
        <v>733</v>
      </c>
      <c r="F1" s="296"/>
      <c r="G1" s="296" t="s">
        <v>734</v>
      </c>
      <c r="H1" s="296"/>
      <c r="I1" s="297"/>
      <c r="J1" s="296" t="s">
        <v>735</v>
      </c>
      <c r="K1" s="296"/>
      <c r="L1" s="296" t="s">
        <v>736</v>
      </c>
      <c r="M1" s="296"/>
      <c r="N1" s="296" t="s">
        <v>737</v>
      </c>
      <c r="O1" s="297"/>
      <c r="P1" s="296"/>
      <c r="Q1" s="297"/>
      <c r="R1" s="296"/>
      <c r="S1" s="297"/>
      <c r="T1" s="296"/>
      <c r="U1" s="297"/>
      <c r="V1" s="297"/>
      <c r="W1" s="297"/>
      <c r="X1" s="297"/>
      <c r="Y1" s="297"/>
      <c r="Z1" s="296" t="s">
        <v>738</v>
      </c>
      <c r="AA1" s="297"/>
      <c r="AB1" s="297"/>
    </row>
    <row r="2" spans="1:31" x14ac:dyDescent="0.25">
      <c r="B2" s="275" t="s">
        <v>118</v>
      </c>
      <c r="C2" s="275" t="s">
        <v>4</v>
      </c>
      <c r="D2" s="275" t="s">
        <v>739</v>
      </c>
      <c r="E2" s="275" t="s">
        <v>740</v>
      </c>
      <c r="F2" s="275" t="s">
        <v>738</v>
      </c>
      <c r="G2" s="275" t="s">
        <v>741</v>
      </c>
      <c r="H2" s="275" t="s">
        <v>673</v>
      </c>
      <c r="I2" s="275" t="s">
        <v>742</v>
      </c>
      <c r="J2" s="275" t="s">
        <v>350</v>
      </c>
      <c r="K2" s="275" t="s">
        <v>735</v>
      </c>
      <c r="L2" s="275" t="s">
        <v>742</v>
      </c>
      <c r="N2" s="455" t="s">
        <v>743</v>
      </c>
      <c r="O2" s="563"/>
      <c r="P2" s="564" t="s">
        <v>744</v>
      </c>
      <c r="Q2" s="563"/>
      <c r="R2" s="564" t="s">
        <v>745</v>
      </c>
      <c r="S2" s="563"/>
      <c r="T2" s="564" t="s">
        <v>746</v>
      </c>
      <c r="U2" s="563"/>
      <c r="V2" s="454" t="s">
        <v>742</v>
      </c>
      <c r="W2" s="454"/>
      <c r="X2" s="454"/>
      <c r="Y2" s="454"/>
      <c r="AA2" s="293" t="s">
        <v>747</v>
      </c>
      <c r="AB2" s="273" t="s">
        <v>743</v>
      </c>
    </row>
    <row r="3" spans="1:31" x14ac:dyDescent="0.25">
      <c r="A3" s="292" t="s">
        <v>748</v>
      </c>
      <c r="B3" s="295" t="s">
        <v>749</v>
      </c>
      <c r="C3" s="295" t="s">
        <v>749</v>
      </c>
      <c r="D3" s="295" t="s">
        <v>749</v>
      </c>
      <c r="E3" s="295" t="s">
        <v>750</v>
      </c>
      <c r="F3" s="295" t="s">
        <v>750</v>
      </c>
      <c r="G3" s="295" t="s">
        <v>749</v>
      </c>
      <c r="H3" s="295" t="s">
        <v>445</v>
      </c>
      <c r="I3" s="295" t="s">
        <v>445</v>
      </c>
      <c r="J3" s="295" t="s">
        <v>445</v>
      </c>
      <c r="K3" s="295" t="s">
        <v>445</v>
      </c>
      <c r="L3" s="295" t="s">
        <v>445</v>
      </c>
      <c r="M3" s="291"/>
      <c r="N3" s="295"/>
      <c r="O3" s="295" t="s">
        <v>445</v>
      </c>
      <c r="P3" s="295"/>
      <c r="Q3" s="295" t="s">
        <v>445</v>
      </c>
      <c r="R3" s="295"/>
      <c r="S3" s="295" t="s">
        <v>445</v>
      </c>
      <c r="T3" s="295"/>
      <c r="U3" s="295" t="s">
        <v>445</v>
      </c>
      <c r="V3" s="295"/>
      <c r="W3" s="295" t="s">
        <v>445</v>
      </c>
      <c r="X3" s="295"/>
      <c r="Y3" s="295" t="s">
        <v>445</v>
      </c>
      <c r="Z3" s="295"/>
      <c r="AA3" s="295" t="s">
        <v>749</v>
      </c>
      <c r="AB3" s="295" t="s">
        <v>445</v>
      </c>
      <c r="AC3" s="275"/>
      <c r="AD3" s="273" t="s">
        <v>751</v>
      </c>
    </row>
    <row r="4" spans="1:31" x14ac:dyDescent="0.25">
      <c r="A4" s="276">
        <f ca="1">Mid!$A19</f>
        <v>46266</v>
      </c>
      <c r="B4" s="277">
        <f ca="1">IF($C4 = "", INDEX(Mid!$AQ:$AQ, MATCH(Arbs!$A4, Mid!$A:$A, 0)), $C4)</f>
        <v>-9.9679999999999893</v>
      </c>
      <c r="C4" s="278"/>
      <c r="D4" s="279">
        <v>4</v>
      </c>
      <c r="E4" s="561">
        <f>$AD$7 * 100000</f>
        <v>7222000</v>
      </c>
      <c r="F4" s="280">
        <v>1400000</v>
      </c>
      <c r="G4" s="282"/>
      <c r="H4" s="281"/>
      <c r="I4" s="282"/>
      <c r="J4" s="277" t="str">
        <f ca="1">INDEX(Mid!$AG:$AG, MATCH($A4, Mid!$A:$A, 0))</f>
        <v/>
      </c>
      <c r="K4" s="277" t="str">
        <f ca="1">INDEX(Mid!$AB:$AB, MATCH($A4, Mid!$A:$A, 0))</f>
        <v/>
      </c>
      <c r="L4" s="277" t="str">
        <f ca="1">INDEX(Mid!$BU:$BU, MATCH($A4, Mid!$A:$A, 0))</f>
        <v/>
      </c>
      <c r="M4" s="281"/>
      <c r="N4" s="276">
        <f ca="1">EOMONTH($A4, -1)+1</f>
        <v>46266</v>
      </c>
      <c r="O4" s="283" t="str">
        <f ca="1">IF(AND(ISNUMBER($Q4), ISNUMBER($H5)), $Q4 - $H5, "")</f>
        <v/>
      </c>
      <c r="P4" s="276">
        <f ca="1">EOMONTH($A4, 0)+1</f>
        <v>46296</v>
      </c>
      <c r="Q4" s="283" t="str">
        <f t="shared" ref="O4:Q15" ca="1" si="0">IF(AND(ISNUMBER($B4), ISNUMBER($D4), ISNUMBER($E4), ISNUMBER($G5), ISNUMBER($J5)), ($B4 + $D4 + $E4/$AD$4 + $G5)*7.45 + $J5, "")</f>
        <v/>
      </c>
      <c r="R4" s="276">
        <f ca="1">EOMONTH($A4, 1)+1</f>
        <v>46327</v>
      </c>
      <c r="S4" s="283" t="str">
        <f t="shared" ref="S4:S15" ca="1" si="1">IF(AND(ISNUMBER($Q4), ISNUMBER($H6)), $Q4 + $H6, "")</f>
        <v/>
      </c>
      <c r="T4" s="276">
        <f ca="1">EOMONTH($A4, 2)+1</f>
        <v>46357</v>
      </c>
      <c r="U4" s="283" t="str">
        <f t="shared" ref="U4:U14" ca="1" si="2">IF(AND(ISNUMBER($S4), ISNUMBER($H7)), $S4 + $H7, "")</f>
        <v/>
      </c>
      <c r="V4" s="276">
        <f ca="1">EOMONTH($A4, 0)+1</f>
        <v>46296</v>
      </c>
      <c r="W4" s="283" t="str">
        <f t="shared" ref="W4:W15" ca="1" si="3">IF(AND(ISNUMBER($B4), ISNUMBER($D4), ISNUMBER($E4), ISNUMBER($G5), ISNUMBER($K5), ISNUMBER($L5)), ($B4 + $D4 + $E4/$AD$4 + $G5)*7.45 + $K5 - $L5, "")</f>
        <v/>
      </c>
      <c r="X4" s="276">
        <f ca="1">EOMONTH($A4, 1)+1</f>
        <v>46327</v>
      </c>
      <c r="Y4" s="283" t="str">
        <f t="shared" ref="Y4:Y15" ca="1" si="4">IF(AND(ISNUMBER($W4), ISNUMBER($I6)), $W4 + $I6, "")</f>
        <v/>
      </c>
      <c r="Z4" s="276">
        <f ca="1">EOMONTH($A4, 1)+1</f>
        <v>46327</v>
      </c>
      <c r="AA4" s="283" t="str">
        <f t="shared" ref="AA4:AA15" ca="1" si="5">IF(AND(ISNUMBER($B4), ISNUMBER($D4), ISNUMBER($F4), ISNUMBER($G5), ISNUMBER($G6)), $B4 + $D4 + $F4/$AD$4 + $G5 + $G6, "")</f>
        <v/>
      </c>
      <c r="AB4" s="283" t="str">
        <f ca="1">IF(AND(ISNUMBER($AA4), ISNUMBER($J6)), $AA4*7.45 + $J6, "")</f>
        <v/>
      </c>
      <c r="AC4" s="299"/>
      <c r="AD4" s="298">
        <v>745000</v>
      </c>
      <c r="AE4" s="273" t="s">
        <v>752</v>
      </c>
    </row>
    <row r="5" spans="1:31" x14ac:dyDescent="0.25">
      <c r="A5" s="284">
        <f ca="1">Mid!$A20</f>
        <v>46296</v>
      </c>
      <c r="B5" s="285">
        <f ca="1">IF($C5 = "", INDEX(Mid!$AQ:$AQ, MATCH(Arbs!$A5, Mid!$A:$A, 0)), $C5)</f>
        <v>-9.56</v>
      </c>
      <c r="C5" s="286"/>
      <c r="D5" s="287">
        <v>3.5</v>
      </c>
      <c r="E5" s="562">
        <f t="shared" ref="E5:E15" si="6">$AD$7 * 100000</f>
        <v>7222000</v>
      </c>
      <c r="F5" s="288">
        <v>1400000</v>
      </c>
      <c r="G5" s="285" t="str">
        <f ca="1">INDEX(Mid!$AJ:$AJ, MATCH($A5, Mid!$A:$A, 0))</f>
        <v/>
      </c>
      <c r="H5" s="285">
        <f ca="1">INDEX(Futs!$BO:$BO, MATCH($A5, Mid!$A:$A, 0))</f>
        <v>73.875</v>
      </c>
      <c r="I5" s="285" t="str">
        <f ca="1">INDEX(Mid!$CB:$CB, MATCH($A5, Mid!$A:$A, 0))</f>
        <v/>
      </c>
      <c r="J5" s="285" t="str">
        <f ca="1">INDEX(Mid!$AG:$AG, MATCH($A5, Mid!$A:$A, 0))</f>
        <v/>
      </c>
      <c r="K5" s="285" t="str">
        <f ca="1">INDEX(Mid!$AB:$AB, MATCH($A5, Mid!$A:$A, 0))</f>
        <v/>
      </c>
      <c r="L5" s="285" t="str">
        <f ca="1">INDEX(Mid!$BU:$BU, MATCH($A5, Mid!$A:$A, 0))</f>
        <v/>
      </c>
      <c r="M5" s="289"/>
      <c r="N5" s="284">
        <f ca="1">EOMONTH(N4, 0)+1</f>
        <v>46296</v>
      </c>
      <c r="O5" s="290" t="str">
        <f t="shared" ref="O5:O14" ca="1" si="7">IF(AND(ISNUMBER($Q5), ISNUMBER($H6)), $Q5 - $H6, "")</f>
        <v/>
      </c>
      <c r="P5" s="284">
        <f ca="1">EOMONTH(P4, 0)+1</f>
        <v>46327</v>
      </c>
      <c r="Q5" s="290" t="str">
        <f t="shared" ca="1" si="0"/>
        <v/>
      </c>
      <c r="R5" s="284">
        <f ca="1">EOMONTH(R4, 0)+1</f>
        <v>46357</v>
      </c>
      <c r="S5" s="290" t="str">
        <f t="shared" ca="1" si="1"/>
        <v/>
      </c>
      <c r="T5" s="284">
        <f ca="1">EOMONTH(T4, 0)+1</f>
        <v>46388</v>
      </c>
      <c r="U5" s="290" t="str">
        <f t="shared" ca="1" si="2"/>
        <v/>
      </c>
      <c r="V5" s="284">
        <f ca="1">EOMONTH(V4, 0)+1</f>
        <v>46327</v>
      </c>
      <c r="W5" s="290" t="str">
        <f t="shared" ca="1" si="3"/>
        <v/>
      </c>
      <c r="X5" s="284">
        <f ca="1">EOMONTH(X4, 0)+1</f>
        <v>46357</v>
      </c>
      <c r="Y5" s="290" t="str">
        <f t="shared" ca="1" si="4"/>
        <v/>
      </c>
      <c r="Z5" s="284">
        <f t="shared" ref="Z5:Z15" ca="1" si="8">EOMONTH($A5, 1)+1</f>
        <v>46357</v>
      </c>
      <c r="AA5" s="290" t="str">
        <f t="shared" ca="1" si="5"/>
        <v/>
      </c>
      <c r="AB5" s="290" t="str">
        <f t="shared" ref="AB5:AB15" ca="1" si="9">IF(AND(ISNUMBER($AA5), ISNUMBER($J7)), $AA5*7.45 + $J7, "")</f>
        <v/>
      </c>
      <c r="AC5" s="299"/>
    </row>
    <row r="6" spans="1:31" x14ac:dyDescent="0.25">
      <c r="A6" s="284">
        <f ca="1">Mid!$A21</f>
        <v>46327</v>
      </c>
      <c r="B6" s="285">
        <f ca="1">IF($C6 = "", INDEX(Mid!$AQ:$AQ, MATCH(Arbs!$A6, Mid!$A:$A, 0)), $C6)</f>
        <v>-9.1</v>
      </c>
      <c r="C6" s="286"/>
      <c r="D6" s="287">
        <v>3.25</v>
      </c>
      <c r="E6" s="562">
        <f t="shared" si="6"/>
        <v>7222000</v>
      </c>
      <c r="F6" s="288">
        <v>1400000</v>
      </c>
      <c r="G6" s="285" t="str">
        <f ca="1">INDEX(Mid!$AJ:$AJ, MATCH($A6, Mid!$A:$A, 0))</f>
        <v/>
      </c>
      <c r="H6" s="285">
        <f ca="1">INDEX(Futs!$BO:$BO, MATCH($A6, Mid!$A:$A, 0))</f>
        <v>69.875</v>
      </c>
      <c r="I6" s="285" t="str">
        <f ca="1">INDEX(Mid!$CB:$CB, MATCH($A6, Mid!$A:$A, 0))</f>
        <v/>
      </c>
      <c r="J6" s="285" t="str">
        <f ca="1">INDEX(Mid!$AG:$AG, MATCH($A6, Mid!$A:$A, 0))</f>
        <v/>
      </c>
      <c r="K6" s="285" t="str">
        <f ca="1">INDEX(Mid!$AB:$AB, MATCH($A6, Mid!$A:$A, 0))</f>
        <v/>
      </c>
      <c r="L6" s="285" t="str">
        <f ca="1">INDEX(Mid!$BU:$BU, MATCH($A6, Mid!$A:$A, 0))</f>
        <v/>
      </c>
      <c r="M6" s="289"/>
      <c r="N6" s="284">
        <f t="shared" ref="N6:N15" ca="1" si="10">EOMONTH(N5, 0)+1</f>
        <v>46327</v>
      </c>
      <c r="O6" s="290" t="str">
        <f t="shared" ca="1" si="7"/>
        <v/>
      </c>
      <c r="P6" s="284">
        <f t="shared" ref="P6:P15" ca="1" si="11">EOMONTH(P5, 0)+1</f>
        <v>46357</v>
      </c>
      <c r="Q6" s="290" t="str">
        <f t="shared" ca="1" si="0"/>
        <v/>
      </c>
      <c r="R6" s="284">
        <f t="shared" ref="R6:R15" ca="1" si="12">EOMONTH(R5, 0)+1</f>
        <v>46388</v>
      </c>
      <c r="S6" s="290" t="str">
        <f t="shared" ca="1" si="1"/>
        <v/>
      </c>
      <c r="T6" s="284">
        <f t="shared" ref="T6:T15" ca="1" si="13">EOMONTH(T5, 0)+1</f>
        <v>46419</v>
      </c>
      <c r="U6" s="290" t="str">
        <f t="shared" ca="1" si="2"/>
        <v/>
      </c>
      <c r="V6" s="284">
        <f t="shared" ref="V6:V15" ca="1" si="14">EOMONTH(V5, 0)+1</f>
        <v>46357</v>
      </c>
      <c r="W6" s="290" t="str">
        <f t="shared" ca="1" si="3"/>
        <v/>
      </c>
      <c r="X6" s="284">
        <f t="shared" ref="X6:X15" ca="1" si="15">EOMONTH(X5, 0)+1</f>
        <v>46388</v>
      </c>
      <c r="Y6" s="290" t="str">
        <f t="shared" ca="1" si="4"/>
        <v/>
      </c>
      <c r="Z6" s="284">
        <f t="shared" ca="1" si="8"/>
        <v>46388</v>
      </c>
      <c r="AA6" s="290" t="str">
        <f t="shared" ca="1" si="5"/>
        <v/>
      </c>
      <c r="AB6" s="290" t="str">
        <f t="shared" ca="1" si="9"/>
        <v/>
      </c>
      <c r="AC6" s="299"/>
      <c r="AD6" s="273" t="s">
        <v>753</v>
      </c>
    </row>
    <row r="7" spans="1:31" x14ac:dyDescent="0.25">
      <c r="A7" s="284">
        <f ca="1">Mid!$A22</f>
        <v>46357</v>
      </c>
      <c r="B7" s="285">
        <f ca="1">IF($C7 = "", INDEX(Mid!$AQ:$AQ, MATCH(Arbs!$A7, Mid!$A:$A, 0)), $C7)</f>
        <v>-8.64</v>
      </c>
      <c r="C7" s="286"/>
      <c r="D7" s="287">
        <v>3.25</v>
      </c>
      <c r="E7" s="562">
        <f t="shared" si="6"/>
        <v>7222000</v>
      </c>
      <c r="F7" s="288">
        <v>1400000</v>
      </c>
      <c r="G7" s="285" t="str">
        <f ca="1">INDEX(Mid!$AJ:$AJ, MATCH($A7, Mid!$A:$A, 0))</f>
        <v/>
      </c>
      <c r="H7" s="285">
        <f ca="1">INDEX(Futs!$BO:$BO, MATCH($A7, Mid!$A:$A, 0))</f>
        <v>62.375</v>
      </c>
      <c r="I7" s="285" t="str">
        <f ca="1">INDEX(Mid!$CB:$CB, MATCH($A7, Mid!$A:$A, 0))</f>
        <v/>
      </c>
      <c r="J7" s="285" t="str">
        <f ca="1">INDEX(Mid!$AG:$AG, MATCH($A7, Mid!$A:$A, 0))</f>
        <v/>
      </c>
      <c r="K7" s="285" t="str">
        <f ca="1">INDEX(Mid!$AB:$AB, MATCH($A7, Mid!$A:$A, 0))</f>
        <v/>
      </c>
      <c r="L7" s="285" t="str">
        <f ca="1">INDEX(Mid!$BU:$BU, MATCH($A7, Mid!$A:$A, 0))</f>
        <v/>
      </c>
      <c r="M7" s="289"/>
      <c r="N7" s="284">
        <f t="shared" ca="1" si="10"/>
        <v>46357</v>
      </c>
      <c r="O7" s="290" t="str">
        <f t="shared" ca="1" si="7"/>
        <v/>
      </c>
      <c r="P7" s="284">
        <f t="shared" ca="1" si="11"/>
        <v>46388</v>
      </c>
      <c r="Q7" s="290" t="str">
        <f t="shared" ca="1" si="0"/>
        <v/>
      </c>
      <c r="R7" s="284">
        <f t="shared" ca="1" si="12"/>
        <v>46419</v>
      </c>
      <c r="S7" s="290" t="str">
        <f t="shared" ca="1" si="1"/>
        <v/>
      </c>
      <c r="T7" s="284">
        <f t="shared" ca="1" si="13"/>
        <v>46447</v>
      </c>
      <c r="U7" s="290" t="str">
        <f t="shared" ca="1" si="2"/>
        <v/>
      </c>
      <c r="V7" s="284">
        <f t="shared" ca="1" si="14"/>
        <v>46388</v>
      </c>
      <c r="W7" s="290" t="str">
        <f t="shared" ca="1" si="3"/>
        <v/>
      </c>
      <c r="X7" s="284">
        <f t="shared" ca="1" si="15"/>
        <v>46419</v>
      </c>
      <c r="Y7" s="290" t="str">
        <f t="shared" ca="1" si="4"/>
        <v/>
      </c>
      <c r="Z7" s="284">
        <f t="shared" ca="1" si="8"/>
        <v>46419</v>
      </c>
      <c r="AA7" s="290" t="str">
        <f t="shared" ca="1" si="5"/>
        <v/>
      </c>
      <c r="AB7" s="290" t="str">
        <f t="shared" ca="1" si="9"/>
        <v/>
      </c>
      <c r="AC7" s="299"/>
      <c r="AD7" s="419" cm="1">
        <f t="array" ref="AD7">_xll.BDP("NATE0043 PLRT Index", "PX_LAST")</f>
        <v>72.22</v>
      </c>
    </row>
    <row r="8" spans="1:31" x14ac:dyDescent="0.25">
      <c r="A8" s="284">
        <f ca="1">Mid!$A23</f>
        <v>46388</v>
      </c>
      <c r="B8" s="285">
        <f ca="1">IF($C8 = "", INDEX(Mid!$AQ:$AQ, MATCH(Arbs!$A8, Mid!$A:$A, 0)), $C8)</f>
        <v>-7.78</v>
      </c>
      <c r="C8" s="286"/>
      <c r="D8" s="287">
        <v>3.25</v>
      </c>
      <c r="E8" s="562">
        <f t="shared" si="6"/>
        <v>7222000</v>
      </c>
      <c r="F8" s="288">
        <v>1400000</v>
      </c>
      <c r="G8" s="285" t="str">
        <f ca="1">INDEX(Mid!$AJ:$AJ, MATCH($A8, Mid!$A:$A, 0))</f>
        <v/>
      </c>
      <c r="H8" s="285">
        <f ca="1">INDEX(Futs!$BO:$BO, MATCH($A8, Mid!$A:$A, 0))</f>
        <v>46.125</v>
      </c>
      <c r="I8" s="285" t="str">
        <f ca="1">INDEX(Mid!$CB:$CB, MATCH($A8, Mid!$A:$A, 0))</f>
        <v/>
      </c>
      <c r="J8" s="285" t="str">
        <f ca="1">INDEX(Mid!$AG:$AG, MATCH($A8, Mid!$A:$A, 0))</f>
        <v/>
      </c>
      <c r="K8" s="285" t="str">
        <f ca="1">INDEX(Mid!$AB:$AB, MATCH($A8, Mid!$A:$A, 0))</f>
        <v/>
      </c>
      <c r="L8" s="285" t="str">
        <f ca="1">INDEX(Mid!$BU:$BU, MATCH($A8, Mid!$A:$A, 0))</f>
        <v/>
      </c>
      <c r="M8" s="289"/>
      <c r="N8" s="284">
        <f t="shared" ca="1" si="10"/>
        <v>46388</v>
      </c>
      <c r="O8" s="290" t="str">
        <f t="shared" ca="1" si="7"/>
        <v/>
      </c>
      <c r="P8" s="284">
        <f t="shared" ca="1" si="11"/>
        <v>46419</v>
      </c>
      <c r="Q8" s="290" t="str">
        <f t="shared" ca="1" si="0"/>
        <v/>
      </c>
      <c r="R8" s="284">
        <f t="shared" ca="1" si="12"/>
        <v>46447</v>
      </c>
      <c r="S8" s="290" t="str">
        <f t="shared" ca="1" si="1"/>
        <v/>
      </c>
      <c r="T8" s="284">
        <f t="shared" ca="1" si="13"/>
        <v>46478</v>
      </c>
      <c r="U8" s="290" t="str">
        <f t="shared" ca="1" si="2"/>
        <v/>
      </c>
      <c r="V8" s="284">
        <f t="shared" ca="1" si="14"/>
        <v>46419</v>
      </c>
      <c r="W8" s="290" t="str">
        <f t="shared" ca="1" si="3"/>
        <v/>
      </c>
      <c r="X8" s="284">
        <f t="shared" ca="1" si="15"/>
        <v>46447</v>
      </c>
      <c r="Y8" s="290" t="str">
        <f t="shared" ca="1" si="4"/>
        <v/>
      </c>
      <c r="Z8" s="284">
        <f t="shared" ca="1" si="8"/>
        <v>46447</v>
      </c>
      <c r="AA8" s="290" t="str">
        <f t="shared" ca="1" si="5"/>
        <v/>
      </c>
      <c r="AB8" s="290" t="str">
        <f t="shared" ca="1" si="9"/>
        <v/>
      </c>
      <c r="AC8" s="299"/>
    </row>
    <row r="9" spans="1:31" x14ac:dyDescent="0.25">
      <c r="A9" s="284">
        <f ca="1">Mid!$A24</f>
        <v>46419</v>
      </c>
      <c r="B9" s="285">
        <f ca="1">IF($C9 = "", INDEX(Mid!$AQ:$AQ, MATCH(Arbs!$A9, Mid!$A:$A, 0)), $C9)</f>
        <v>-7.62</v>
      </c>
      <c r="C9" s="286"/>
      <c r="D9" s="287">
        <v>3.25</v>
      </c>
      <c r="E9" s="562">
        <f t="shared" si="6"/>
        <v>7222000</v>
      </c>
      <c r="F9" s="288">
        <v>1400000</v>
      </c>
      <c r="G9" s="285" t="str">
        <f ca="1">INDEX(Mid!$AJ:$AJ, MATCH($A9, Mid!$A:$A, 0))</f>
        <v/>
      </c>
      <c r="H9" s="285">
        <f ca="1">INDEX(Futs!$BO:$BO, MATCH($A9, Mid!$A:$A, 0))</f>
        <v>36.5</v>
      </c>
      <c r="I9" s="285" t="str">
        <f ca="1">INDEX(Mid!$CB:$CB, MATCH($A9, Mid!$A:$A, 0))</f>
        <v/>
      </c>
      <c r="J9" s="285" t="str">
        <f ca="1">INDEX(Mid!$AG:$AG, MATCH($A9, Mid!$A:$A, 0))</f>
        <v/>
      </c>
      <c r="K9" s="285" t="str">
        <f ca="1">INDEX(Mid!$AB:$AB, MATCH($A9, Mid!$A:$A, 0))</f>
        <v/>
      </c>
      <c r="L9" s="285" t="str">
        <f ca="1">INDEX(Mid!$BU:$BU, MATCH($A9, Mid!$A:$A, 0))</f>
        <v/>
      </c>
      <c r="M9" s="289"/>
      <c r="N9" s="284">
        <f t="shared" ca="1" si="10"/>
        <v>46419</v>
      </c>
      <c r="O9" s="290" t="str">
        <f t="shared" ca="1" si="7"/>
        <v/>
      </c>
      <c r="P9" s="284">
        <f t="shared" ca="1" si="11"/>
        <v>46447</v>
      </c>
      <c r="Q9" s="290" t="str">
        <f t="shared" ca="1" si="0"/>
        <v/>
      </c>
      <c r="R9" s="284">
        <f t="shared" ca="1" si="12"/>
        <v>46478</v>
      </c>
      <c r="S9" s="290" t="str">
        <f t="shared" ca="1" si="1"/>
        <v/>
      </c>
      <c r="T9" s="284">
        <f t="shared" ca="1" si="13"/>
        <v>46508</v>
      </c>
      <c r="U9" s="290" t="str">
        <f t="shared" ca="1" si="2"/>
        <v/>
      </c>
      <c r="V9" s="284">
        <f t="shared" ca="1" si="14"/>
        <v>46447</v>
      </c>
      <c r="W9" s="290" t="str">
        <f t="shared" ca="1" si="3"/>
        <v/>
      </c>
      <c r="X9" s="284">
        <f t="shared" ca="1" si="15"/>
        <v>46478</v>
      </c>
      <c r="Y9" s="290" t="str">
        <f t="shared" ca="1" si="4"/>
        <v/>
      </c>
      <c r="Z9" s="284">
        <f t="shared" ca="1" si="8"/>
        <v>46478</v>
      </c>
      <c r="AA9" s="290" t="str">
        <f t="shared" ca="1" si="5"/>
        <v/>
      </c>
      <c r="AB9" s="290" t="str">
        <f t="shared" ca="1" si="9"/>
        <v/>
      </c>
      <c r="AC9" s="299"/>
    </row>
    <row r="10" spans="1:31" x14ac:dyDescent="0.25">
      <c r="A10" s="284">
        <f ca="1">Mid!$A25</f>
        <v>46447</v>
      </c>
      <c r="B10" s="285">
        <f ca="1">IF($C10 = "", INDEX(Mid!$AQ:$AQ, MATCH(Arbs!$A10, Mid!$A:$A, 0)), $C10)</f>
        <v>-7.46</v>
      </c>
      <c r="C10" s="286"/>
      <c r="D10" s="287">
        <v>3.25</v>
      </c>
      <c r="E10" s="562">
        <f t="shared" si="6"/>
        <v>7222000</v>
      </c>
      <c r="F10" s="288">
        <v>1400000</v>
      </c>
      <c r="G10" s="285" t="str">
        <f ca="1">INDEX(Mid!$AJ:$AJ, MATCH($A10, Mid!$A:$A, 0))</f>
        <v/>
      </c>
      <c r="H10" s="285">
        <f ca="1">INDEX(Futs!$BO:$BO, MATCH($A10, Mid!$A:$A, 0))</f>
        <v>35.625</v>
      </c>
      <c r="I10" s="285" t="str">
        <f ca="1">INDEX(Mid!$CB:$CB, MATCH($A10, Mid!$A:$A, 0))</f>
        <v/>
      </c>
      <c r="J10" s="285" t="str">
        <f ca="1">INDEX(Mid!$AG:$AG, MATCH($A10, Mid!$A:$A, 0))</f>
        <v/>
      </c>
      <c r="K10" s="285" t="str">
        <f ca="1">INDEX(Mid!$AB:$AB, MATCH($A10, Mid!$A:$A, 0))</f>
        <v/>
      </c>
      <c r="L10" s="285" t="str">
        <f ca="1">INDEX(Mid!$BU:$BU, MATCH($A10, Mid!$A:$A, 0))</f>
        <v/>
      </c>
      <c r="M10" s="289"/>
      <c r="N10" s="284">
        <f t="shared" ca="1" si="10"/>
        <v>46447</v>
      </c>
      <c r="O10" s="290" t="str">
        <f t="shared" ca="1" si="7"/>
        <v/>
      </c>
      <c r="P10" s="284">
        <f t="shared" ca="1" si="11"/>
        <v>46478</v>
      </c>
      <c r="Q10" s="290" t="str">
        <f t="shared" ca="1" si="0"/>
        <v/>
      </c>
      <c r="R10" s="284">
        <f t="shared" ca="1" si="12"/>
        <v>46508</v>
      </c>
      <c r="S10" s="290" t="str">
        <f t="shared" ca="1" si="1"/>
        <v/>
      </c>
      <c r="T10" s="284">
        <f t="shared" ca="1" si="13"/>
        <v>46539</v>
      </c>
      <c r="U10" s="290" t="str">
        <f t="shared" ca="1" si="2"/>
        <v/>
      </c>
      <c r="V10" s="284">
        <f t="shared" ca="1" si="14"/>
        <v>46478</v>
      </c>
      <c r="W10" s="290" t="str">
        <f t="shared" ca="1" si="3"/>
        <v/>
      </c>
      <c r="X10" s="284">
        <f t="shared" ca="1" si="15"/>
        <v>46508</v>
      </c>
      <c r="Y10" s="290" t="str">
        <f t="shared" ca="1" si="4"/>
        <v/>
      </c>
      <c r="Z10" s="284">
        <f t="shared" ca="1" si="8"/>
        <v>46508</v>
      </c>
      <c r="AA10" s="290" t="str">
        <f t="shared" ca="1" si="5"/>
        <v/>
      </c>
      <c r="AB10" s="290" t="str">
        <f t="shared" ca="1" si="9"/>
        <v/>
      </c>
      <c r="AC10" s="299"/>
    </row>
    <row r="11" spans="1:31" x14ac:dyDescent="0.25">
      <c r="A11" s="284">
        <f ca="1">Mid!$A26</f>
        <v>46478</v>
      </c>
      <c r="B11" s="285">
        <f ca="1">IF($C11 = "", INDEX(Mid!$AQ:$AQ, MATCH(Arbs!$A11, Mid!$A:$A, 0)), $C11)</f>
        <v>-6.32</v>
      </c>
      <c r="C11" s="286"/>
      <c r="D11" s="287">
        <v>3.25</v>
      </c>
      <c r="E11" s="562">
        <f t="shared" si="6"/>
        <v>7222000</v>
      </c>
      <c r="F11" s="288">
        <v>1400000</v>
      </c>
      <c r="G11" s="285" t="str">
        <f ca="1">INDEX(Mid!$AJ:$AJ, MATCH($A11, Mid!$A:$A, 0))</f>
        <v/>
      </c>
      <c r="H11" s="285">
        <f ca="1">INDEX(Futs!$BO:$BO, MATCH($A11, Mid!$A:$A, 0))</f>
        <v>36.5</v>
      </c>
      <c r="I11" s="285" t="str">
        <f ca="1">INDEX(Mid!$CB:$CB, MATCH($A11, Mid!$A:$A, 0))</f>
        <v/>
      </c>
      <c r="J11" s="285" t="str">
        <f ca="1">INDEX(Mid!$AG:$AG, MATCH($A11, Mid!$A:$A, 0))</f>
        <v/>
      </c>
      <c r="K11" s="285" t="str">
        <f ca="1">INDEX(Mid!$AB:$AB, MATCH($A11, Mid!$A:$A, 0))</f>
        <v/>
      </c>
      <c r="L11" s="285" t="str">
        <f ca="1">INDEX(Mid!$BU:$BU, MATCH($A11, Mid!$A:$A, 0))</f>
        <v/>
      </c>
      <c r="M11" s="289"/>
      <c r="N11" s="284">
        <f t="shared" ca="1" si="10"/>
        <v>46478</v>
      </c>
      <c r="O11" s="290" t="str">
        <f t="shared" ca="1" si="7"/>
        <v/>
      </c>
      <c r="P11" s="284">
        <f t="shared" ca="1" si="11"/>
        <v>46508</v>
      </c>
      <c r="Q11" s="290" t="str">
        <f t="shared" ca="1" si="0"/>
        <v/>
      </c>
      <c r="R11" s="284">
        <f t="shared" ca="1" si="12"/>
        <v>46539</v>
      </c>
      <c r="S11" s="290" t="str">
        <f t="shared" ca="1" si="1"/>
        <v/>
      </c>
      <c r="T11" s="284">
        <f t="shared" ca="1" si="13"/>
        <v>46569</v>
      </c>
      <c r="U11" s="290" t="str">
        <f t="shared" ca="1" si="2"/>
        <v/>
      </c>
      <c r="V11" s="284">
        <f t="shared" ca="1" si="14"/>
        <v>46508</v>
      </c>
      <c r="W11" s="290" t="str">
        <f t="shared" ca="1" si="3"/>
        <v/>
      </c>
      <c r="X11" s="284">
        <f t="shared" ca="1" si="15"/>
        <v>46539</v>
      </c>
      <c r="Y11" s="290" t="str">
        <f t="shared" ca="1" si="4"/>
        <v/>
      </c>
      <c r="Z11" s="284">
        <f t="shared" ca="1" si="8"/>
        <v>46539</v>
      </c>
      <c r="AA11" s="290" t="str">
        <f t="shared" ca="1" si="5"/>
        <v/>
      </c>
      <c r="AB11" s="290" t="str">
        <f t="shared" ca="1" si="9"/>
        <v/>
      </c>
      <c r="AC11" s="299"/>
    </row>
    <row r="12" spans="1:31" x14ac:dyDescent="0.25">
      <c r="A12" s="284">
        <f ca="1">Mid!$A27</f>
        <v>46508</v>
      </c>
      <c r="B12" s="285">
        <f ca="1">IF($C12 = "", INDEX(Mid!$AQ:$AQ, MATCH(Arbs!$A12, Mid!$A:$A, 0)), $C12)</f>
        <v>-6.32</v>
      </c>
      <c r="C12" s="286"/>
      <c r="D12" s="287">
        <v>3.25</v>
      </c>
      <c r="E12" s="562">
        <f t="shared" si="6"/>
        <v>7222000</v>
      </c>
      <c r="F12" s="288">
        <v>1400000</v>
      </c>
      <c r="G12" s="285" t="str">
        <f ca="1">INDEX(Mid!$AJ:$AJ, MATCH($A12, Mid!$A:$A, 0))</f>
        <v/>
      </c>
      <c r="H12" s="285">
        <f ca="1">INDEX(Futs!$BO:$BO, MATCH($A12, Mid!$A:$A, 0))</f>
        <v>29.375</v>
      </c>
      <c r="I12" s="285" t="str">
        <f ca="1">INDEX(Mid!$CB:$CB, MATCH($A12, Mid!$A:$A, 0))</f>
        <v/>
      </c>
      <c r="J12" s="285" t="str">
        <f ca="1">INDEX(Mid!$AG:$AG, MATCH($A12, Mid!$A:$A, 0))</f>
        <v/>
      </c>
      <c r="K12" s="285" t="str">
        <f ca="1">INDEX(Mid!$AB:$AB, MATCH($A12, Mid!$A:$A, 0))</f>
        <v/>
      </c>
      <c r="L12" s="285" t="str">
        <f ca="1">INDEX(Mid!$BU:$BU, MATCH($A12, Mid!$A:$A, 0))</f>
        <v/>
      </c>
      <c r="M12" s="289"/>
      <c r="N12" s="284">
        <f t="shared" ca="1" si="10"/>
        <v>46508</v>
      </c>
      <c r="O12" s="290" t="str">
        <f t="shared" ca="1" si="7"/>
        <v/>
      </c>
      <c r="P12" s="284">
        <f t="shared" ca="1" si="11"/>
        <v>46539</v>
      </c>
      <c r="Q12" s="290" t="str">
        <f t="shared" ca="1" si="0"/>
        <v/>
      </c>
      <c r="R12" s="284">
        <f t="shared" ca="1" si="12"/>
        <v>46569</v>
      </c>
      <c r="S12" s="290" t="str">
        <f t="shared" ca="1" si="1"/>
        <v/>
      </c>
      <c r="T12" s="284">
        <f t="shared" ca="1" si="13"/>
        <v>46600</v>
      </c>
      <c r="U12" s="290" t="str">
        <f t="shared" ca="1" si="2"/>
        <v/>
      </c>
      <c r="V12" s="284">
        <f t="shared" ca="1" si="14"/>
        <v>46539</v>
      </c>
      <c r="W12" s="290" t="str">
        <f t="shared" ca="1" si="3"/>
        <v/>
      </c>
      <c r="X12" s="284">
        <f t="shared" ca="1" si="15"/>
        <v>46569</v>
      </c>
      <c r="Y12" s="290" t="str">
        <f t="shared" ca="1" si="4"/>
        <v/>
      </c>
      <c r="Z12" s="284">
        <f t="shared" ca="1" si="8"/>
        <v>46569</v>
      </c>
      <c r="AA12" s="290" t="str">
        <f t="shared" ca="1" si="5"/>
        <v/>
      </c>
      <c r="AB12" s="290" t="str">
        <f t="shared" ca="1" si="9"/>
        <v/>
      </c>
      <c r="AC12" s="299"/>
    </row>
    <row r="13" spans="1:31" x14ac:dyDescent="0.25">
      <c r="A13" s="284">
        <f ca="1">Mid!$A28</f>
        <v>46539</v>
      </c>
      <c r="B13" s="285">
        <f ca="1">IF($C13 = "", INDEX(Mid!$AQ:$AQ, MATCH(Arbs!$A13, Mid!$A:$A, 0)), $C13)</f>
        <v>-6.32</v>
      </c>
      <c r="C13" s="286"/>
      <c r="D13" s="287">
        <v>3.25</v>
      </c>
      <c r="E13" s="562">
        <f t="shared" si="6"/>
        <v>7222000</v>
      </c>
      <c r="F13" s="288">
        <v>1400000</v>
      </c>
      <c r="G13" s="285" t="str">
        <f ca="1">INDEX(Mid!$AJ:$AJ, MATCH($A13, Mid!$A:$A, 0))</f>
        <v/>
      </c>
      <c r="H13" s="285">
        <f ca="1">INDEX(Futs!$BO:$BO, MATCH($A13, Mid!$A:$A, 0))</f>
        <v>24.375</v>
      </c>
      <c r="I13" s="285" t="str">
        <f ca="1">INDEX(Mid!$CB:$CB, MATCH($A13, Mid!$A:$A, 0))</f>
        <v/>
      </c>
      <c r="J13" s="285" t="str">
        <f ca="1">INDEX(Mid!$AG:$AG, MATCH($A13, Mid!$A:$A, 0))</f>
        <v/>
      </c>
      <c r="K13" s="285" t="str">
        <f ca="1">INDEX(Mid!$AB:$AB, MATCH($A13, Mid!$A:$A, 0))</f>
        <v/>
      </c>
      <c r="L13" s="285" t="str">
        <f ca="1">INDEX(Mid!$BU:$BU, MATCH($A13, Mid!$A:$A, 0))</f>
        <v/>
      </c>
      <c r="M13" s="289"/>
      <c r="N13" s="284">
        <f t="shared" ca="1" si="10"/>
        <v>46539</v>
      </c>
      <c r="O13" s="290" t="str">
        <f t="shared" ca="1" si="7"/>
        <v/>
      </c>
      <c r="P13" s="284">
        <f t="shared" ca="1" si="11"/>
        <v>46569</v>
      </c>
      <c r="Q13" s="290" t="str">
        <f t="shared" ca="1" si="0"/>
        <v/>
      </c>
      <c r="R13" s="284">
        <f t="shared" ca="1" si="12"/>
        <v>46600</v>
      </c>
      <c r="S13" s="290" t="str">
        <f t="shared" ca="1" si="1"/>
        <v/>
      </c>
      <c r="T13" s="284">
        <f t="shared" ca="1" si="13"/>
        <v>46631</v>
      </c>
      <c r="U13" s="290" t="str">
        <f t="shared" ca="1" si="2"/>
        <v/>
      </c>
      <c r="V13" s="284">
        <f t="shared" ca="1" si="14"/>
        <v>46569</v>
      </c>
      <c r="W13" s="290" t="str">
        <f t="shared" ca="1" si="3"/>
        <v/>
      </c>
      <c r="X13" s="284">
        <f t="shared" ca="1" si="15"/>
        <v>46600</v>
      </c>
      <c r="Y13" s="290" t="str">
        <f t="shared" ca="1" si="4"/>
        <v/>
      </c>
      <c r="Z13" s="284">
        <f t="shared" ca="1" si="8"/>
        <v>46600</v>
      </c>
      <c r="AA13" s="290" t="str">
        <f t="shared" ca="1" si="5"/>
        <v/>
      </c>
      <c r="AB13" s="290" t="str">
        <f t="shared" ca="1" si="9"/>
        <v/>
      </c>
      <c r="AC13" s="299"/>
    </row>
    <row r="14" spans="1:31" x14ac:dyDescent="0.25">
      <c r="A14" s="284">
        <f ca="1">Mid!$A29</f>
        <v>46569</v>
      </c>
      <c r="B14" s="285">
        <f ca="1">IF($C14 = "", INDEX(Mid!$AQ:$AQ, MATCH(Arbs!$A14, Mid!$A:$A, 0)), $C14)</f>
        <v>-5.0200000000000005</v>
      </c>
      <c r="C14" s="286"/>
      <c r="D14" s="287">
        <v>3.25</v>
      </c>
      <c r="E14" s="562">
        <f t="shared" si="6"/>
        <v>7222000</v>
      </c>
      <c r="F14" s="288">
        <v>1400000</v>
      </c>
      <c r="G14" s="285" t="str">
        <f ca="1">INDEX(Mid!$AJ:$AJ, MATCH($A14, Mid!$A:$A, 0))</f>
        <v/>
      </c>
      <c r="H14" s="285">
        <f ca="1">INDEX(Futs!$BO:$BO, MATCH($A14, Mid!$A:$A, 0))</f>
        <v>18.125</v>
      </c>
      <c r="I14" s="285" t="str">
        <f ca="1">INDEX(Mid!$CB:$CB, MATCH($A14, Mid!$A:$A, 0))</f>
        <v/>
      </c>
      <c r="J14" s="285" t="str">
        <f ca="1">INDEX(Mid!$AG:$AG, MATCH($A14, Mid!$A:$A, 0))</f>
        <v/>
      </c>
      <c r="K14" s="285" t="str">
        <f ca="1">INDEX(Mid!$AB:$AB, MATCH($A14, Mid!$A:$A, 0))</f>
        <v/>
      </c>
      <c r="L14" s="285" t="str">
        <f ca="1">INDEX(Mid!$BU:$BU, MATCH($A14, Mid!$A:$A, 0))</f>
        <v/>
      </c>
      <c r="M14" s="289"/>
      <c r="N14" s="284">
        <f t="shared" ca="1" si="10"/>
        <v>46569</v>
      </c>
      <c r="O14" s="290" t="str">
        <f t="shared" ca="1" si="7"/>
        <v/>
      </c>
      <c r="P14" s="284">
        <f t="shared" ca="1" si="11"/>
        <v>46600</v>
      </c>
      <c r="Q14" s="290" t="str">
        <f t="shared" ca="1" si="0"/>
        <v/>
      </c>
      <c r="R14" s="284">
        <f t="shared" ca="1" si="12"/>
        <v>46631</v>
      </c>
      <c r="S14" s="290" t="str">
        <f t="shared" ca="1" si="1"/>
        <v/>
      </c>
      <c r="T14" s="284">
        <f t="shared" ca="1" si="13"/>
        <v>46661</v>
      </c>
      <c r="U14" s="290" t="str">
        <f t="shared" ca="1" si="2"/>
        <v/>
      </c>
      <c r="V14" s="284">
        <f t="shared" ca="1" si="14"/>
        <v>46600</v>
      </c>
      <c r="W14" s="290" t="str">
        <f t="shared" ca="1" si="3"/>
        <v/>
      </c>
      <c r="X14" s="284">
        <f t="shared" ca="1" si="15"/>
        <v>46631</v>
      </c>
      <c r="Y14" s="290" t="str">
        <f t="shared" ca="1" si="4"/>
        <v/>
      </c>
      <c r="Z14" s="284">
        <f t="shared" ca="1" si="8"/>
        <v>46631</v>
      </c>
      <c r="AA14" s="290" t="str">
        <f t="shared" ca="1" si="5"/>
        <v/>
      </c>
      <c r="AB14" s="290" t="str">
        <f t="shared" ca="1" si="9"/>
        <v/>
      </c>
      <c r="AC14" s="299"/>
    </row>
    <row r="15" spans="1:31" x14ac:dyDescent="0.25">
      <c r="A15" s="284">
        <f ca="1">Mid!$A30</f>
        <v>46600</v>
      </c>
      <c r="B15" s="285">
        <f ca="1">IF($C15 = "", INDEX(Mid!$AQ:$AQ, MATCH(Arbs!$A15, Mid!$A:$A, 0)), $C15)</f>
        <v>-5.0200000000000005</v>
      </c>
      <c r="C15" s="286"/>
      <c r="D15" s="287">
        <v>3.25</v>
      </c>
      <c r="E15" s="562">
        <f t="shared" si="6"/>
        <v>7222000</v>
      </c>
      <c r="F15" s="288">
        <v>1400000</v>
      </c>
      <c r="G15" s="285" t="str">
        <f ca="1">INDEX(Mid!$AJ:$AJ, MATCH($A15, Mid!$A:$A, 0))</f>
        <v/>
      </c>
      <c r="H15" s="285">
        <f ca="1">INDEX(Futs!$BO:$BO, MATCH($A15, Mid!$A:$A, 0))</f>
        <v>15.125</v>
      </c>
      <c r="I15" s="285" t="str">
        <f ca="1">INDEX(Mid!$CB:$CB, MATCH($A15, Mid!$A:$A, 0))</f>
        <v/>
      </c>
      <c r="J15" s="285" t="str">
        <f ca="1">INDEX(Mid!$AG:$AG, MATCH($A15, Mid!$A:$A, 0))</f>
        <v/>
      </c>
      <c r="K15" s="285" t="str">
        <f ca="1">INDEX(Mid!$AB:$AB, MATCH($A15, Mid!$A:$A, 0))</f>
        <v/>
      </c>
      <c r="L15" s="285" t="str">
        <f ca="1">INDEX(Mid!$BU:$BU, MATCH($A15, Mid!$A:$A, 0))</f>
        <v/>
      </c>
      <c r="M15" s="289"/>
      <c r="N15" s="284">
        <f t="shared" ca="1" si="10"/>
        <v>46600</v>
      </c>
      <c r="O15" s="290" t="str">
        <f t="shared" ca="1" si="0"/>
        <v/>
      </c>
      <c r="P15" s="284">
        <f t="shared" ca="1" si="11"/>
        <v>46631</v>
      </c>
      <c r="Q15" s="290" t="str">
        <f t="shared" ca="1" si="0"/>
        <v/>
      </c>
      <c r="R15" s="284">
        <f t="shared" ca="1" si="12"/>
        <v>46661</v>
      </c>
      <c r="S15" s="290" t="str">
        <f t="shared" ca="1" si="1"/>
        <v/>
      </c>
      <c r="T15" s="284">
        <f t="shared" ca="1" si="13"/>
        <v>46692</v>
      </c>
      <c r="U15" s="290" t="str">
        <f ca="1">IF(AND(ISNUMBER($S15), ISNUMBER(#REF!)), $S15 +#REF!, "")</f>
        <v/>
      </c>
      <c r="V15" s="284">
        <f t="shared" ca="1" si="14"/>
        <v>46631</v>
      </c>
      <c r="W15" s="290" t="str">
        <f t="shared" ca="1" si="3"/>
        <v/>
      </c>
      <c r="X15" s="284">
        <f t="shared" ca="1" si="15"/>
        <v>46661</v>
      </c>
      <c r="Y15" s="290" t="str">
        <f t="shared" ca="1" si="4"/>
        <v/>
      </c>
      <c r="Z15" s="284">
        <f t="shared" ca="1" si="8"/>
        <v>46661</v>
      </c>
      <c r="AA15" s="290" t="str">
        <f t="shared" ca="1" si="5"/>
        <v/>
      </c>
      <c r="AB15" s="290" t="str">
        <f t="shared" ca="1" si="9"/>
        <v/>
      </c>
      <c r="AC15" s="299"/>
    </row>
    <row r="16" spans="1:31" x14ac:dyDescent="0.25">
      <c r="A16" s="274"/>
    </row>
    <row r="18" spans="1:26" x14ac:dyDescent="0.25">
      <c r="A18" s="441" t="s">
        <v>754</v>
      </c>
      <c r="B18" s="296" t="s">
        <v>755</v>
      </c>
      <c r="C18" s="296"/>
      <c r="D18" s="296" t="s">
        <v>732</v>
      </c>
      <c r="E18" s="296" t="s">
        <v>733</v>
      </c>
      <c r="F18" s="296" t="s">
        <v>250</v>
      </c>
      <c r="G18" s="296" t="s">
        <v>736</v>
      </c>
      <c r="H18" s="296" t="s">
        <v>734</v>
      </c>
      <c r="I18" s="297"/>
      <c r="K18" s="296" t="s">
        <v>756</v>
      </c>
      <c r="L18" s="297"/>
    </row>
    <row r="19" spans="1:26" x14ac:dyDescent="0.25">
      <c r="B19" s="275" t="s">
        <v>757</v>
      </c>
      <c r="C19" s="275" t="s">
        <v>4</v>
      </c>
      <c r="D19" s="275" t="s">
        <v>758</v>
      </c>
      <c r="E19" s="275" t="s">
        <v>759</v>
      </c>
      <c r="F19" s="275" t="s">
        <v>250</v>
      </c>
      <c r="G19" s="275" t="s">
        <v>742</v>
      </c>
      <c r="H19" s="275" t="s">
        <v>673</v>
      </c>
      <c r="I19" s="275" t="s">
        <v>742</v>
      </c>
      <c r="K19" s="273" t="s">
        <v>223</v>
      </c>
      <c r="L19" s="294"/>
      <c r="O19" s="273" t="s">
        <v>760</v>
      </c>
    </row>
    <row r="20" spans="1:26" x14ac:dyDescent="0.25">
      <c r="A20" s="292" t="s">
        <v>748</v>
      </c>
      <c r="B20" s="295" t="s">
        <v>761</v>
      </c>
      <c r="C20" s="295" t="s">
        <v>761</v>
      </c>
      <c r="D20" s="295" t="s">
        <v>761</v>
      </c>
      <c r="E20" s="295" t="s">
        <v>445</v>
      </c>
      <c r="F20" s="295" t="s">
        <v>761</v>
      </c>
      <c r="G20" s="295" t="s">
        <v>445</v>
      </c>
      <c r="H20" s="295" t="s">
        <v>445</v>
      </c>
      <c r="I20" s="295" t="s">
        <v>445</v>
      </c>
      <c r="K20" s="295"/>
      <c r="L20" s="295" t="s">
        <v>445</v>
      </c>
      <c r="O20" s="442" cm="1">
        <f t="array" ref="O20">_xll.BDP("NAUG008A PLDP Index", "PX_LAST")</f>
        <v>35.210500000000003</v>
      </c>
      <c r="P20" s="273" t="s">
        <v>761</v>
      </c>
      <c r="R20" s="273" t="s">
        <v>761</v>
      </c>
    </row>
    <row r="21" spans="1:26" x14ac:dyDescent="0.25">
      <c r="A21" s="276">
        <f ca="1">Mid!$A19</f>
        <v>46266</v>
      </c>
      <c r="B21" s="277" t="str">
        <f ca="1">IF($C21 = "", INDEX(Mid!$DN:$DN, MATCH(Arbs!$A21, Mid!$A:$A, 0)), $C21)</f>
        <v/>
      </c>
      <c r="C21" s="278"/>
      <c r="D21" s="279">
        <v>3</v>
      </c>
      <c r="E21" s="277" t="str">
        <f ca="1">INDEX(FFA!$AS:$AS, MATCH($A21, FFA!$A:$A, 0))</f>
        <v/>
      </c>
      <c r="F21" s="277">
        <f ca="1">INDEX(Futs!$EO:$EO, MATCH(EOMONTH($A21, 0) + 1, Futs!$A:$A, 0))</f>
        <v>34.811434963247052</v>
      </c>
      <c r="G21" s="277" t="str">
        <f ca="1">INDEX(Mid!$BU:$BU, MATCH($A21, Mid!$A:$A, 0))</f>
        <v/>
      </c>
      <c r="H21" s="281"/>
      <c r="I21" s="282"/>
      <c r="K21" s="276">
        <f ca="1">EOMONTH($A21, 0)+1</f>
        <v>46296</v>
      </c>
      <c r="L21" s="283" t="str">
        <f t="shared" ref="L21:L32" ca="1" si="16">IF(AND(ISNUMBER($B21), ISNUMBER($D21), ISNUMBER($E21), ISNUMBER($O$20), ISNUMBER($F21)), ($B21 + $D21 + $F21 - $O$20) * 3.129 + $E21, "")</f>
        <v/>
      </c>
      <c r="N21" s="299"/>
    </row>
    <row r="22" spans="1:26" x14ac:dyDescent="0.25">
      <c r="A22" s="284">
        <f ca="1">Mid!$A20</f>
        <v>46296</v>
      </c>
      <c r="B22" s="285" t="str">
        <f ca="1">IF($C22 = "", INDEX(Mid!$DN:$DN, MATCH(Arbs!$A22, Mid!$A:$A, 0)), $C22)</f>
        <v/>
      </c>
      <c r="C22" s="286"/>
      <c r="D22" s="287">
        <v>3</v>
      </c>
      <c r="E22" s="285" t="str">
        <f ca="1">INDEX(FFA!$AS:$AS, MATCH($A22, FFA!$A:$A, 0))</f>
        <v/>
      </c>
      <c r="F22" s="285">
        <f ca="1">INDEX(Futs!$EO:$EO, MATCH(EOMONTH($A22, 0) + 1, Futs!$A:$A, 0))</f>
        <v>39.847850751038663</v>
      </c>
      <c r="G22" s="285" t="str">
        <f ca="1">INDEX(Mid!$BU:$BU, MATCH($A22, Mid!$A:$A, 0))</f>
        <v/>
      </c>
      <c r="H22" s="285">
        <f ca="1">INDEX(Futs!$BO:$BO, MATCH($A22, Mid!$A:$A, 0))</f>
        <v>73.875</v>
      </c>
      <c r="I22" s="285" t="str">
        <f ca="1">INDEX(Mid!$CB:$CB, MATCH($A22, Mid!$A:$A, 0))</f>
        <v/>
      </c>
      <c r="K22" s="284">
        <f t="shared" ref="K22:K32" ca="1" si="17">EOMONTH($K21, 0)+1</f>
        <v>46327</v>
      </c>
      <c r="L22" s="290" t="str">
        <f t="shared" ca="1" si="16"/>
        <v/>
      </c>
      <c r="O22" s="273" t="s">
        <v>742</v>
      </c>
    </row>
    <row r="23" spans="1:26" x14ac:dyDescent="0.25">
      <c r="A23" s="284">
        <f ca="1">Mid!$A21</f>
        <v>46327</v>
      </c>
      <c r="B23" s="285" t="str">
        <f ca="1">IF($C23 = "", INDEX(Mid!$DN:$DN, MATCH(Arbs!$A23, Mid!$A:$A, 0)), $C23)</f>
        <v/>
      </c>
      <c r="C23" s="286"/>
      <c r="D23" s="287">
        <v>3</v>
      </c>
      <c r="E23" s="285" t="str">
        <f ca="1">INDEX(FFA!$AS:$AS, MATCH($A23, FFA!$A:$A, 0))</f>
        <v/>
      </c>
      <c r="F23" s="285">
        <f ca="1">INDEX(Futs!$EO:$EO, MATCH(EOMONTH($A23, 0) + 1, Futs!$A:$A, 0))</f>
        <v>40.432334611697001</v>
      </c>
      <c r="G23" s="285" t="str">
        <f ca="1">INDEX(Mid!$BU:$BU, MATCH($A23, Mid!$A:$A, 0))</f>
        <v/>
      </c>
      <c r="H23" s="285">
        <f ca="1">INDEX(Futs!$BO:$BO, MATCH($A23, Mid!$A:$A, 0))</f>
        <v>69.875</v>
      </c>
      <c r="I23" s="285" t="str">
        <f ca="1">INDEX(Mid!$CB:$CB, MATCH($A23, Mid!$A:$A, 0))</f>
        <v/>
      </c>
      <c r="K23" s="284">
        <f t="shared" ca="1" si="17"/>
        <v>46357</v>
      </c>
      <c r="L23" s="290" t="str">
        <f t="shared" ca="1" si="16"/>
        <v/>
      </c>
      <c r="O23" s="442" cm="1">
        <f t="array" ref="O23">_xll.BDP("PEURBG00 PLDP Index", "PX_LAST") - _xll.BDP("QS1 Comdty", "PX_SETTLE")</f>
        <v>21</v>
      </c>
    </row>
    <row r="24" spans="1:26" x14ac:dyDescent="0.25">
      <c r="A24" s="284">
        <f ca="1">Mid!$A22</f>
        <v>46357</v>
      </c>
      <c r="B24" s="285" t="str">
        <f ca="1">IF($C24 = "", INDEX(Mid!$DN:$DN, MATCH(Arbs!$A24, Mid!$A:$A, 0)), $C24)</f>
        <v/>
      </c>
      <c r="C24" s="286"/>
      <c r="D24" s="287">
        <v>3</v>
      </c>
      <c r="E24" s="285" t="str">
        <f ca="1">INDEX(FFA!$AS:$AS, MATCH($A24, FFA!$A:$A, 0))</f>
        <v/>
      </c>
      <c r="F24" s="285">
        <f ca="1">INDEX(Futs!$EO:$EO, MATCH(EOMONTH($A24, 0) + 1, Futs!$A:$A, 0))</f>
        <v>41.123465963566616</v>
      </c>
      <c r="G24" s="285" t="str">
        <f ca="1">INDEX(Mid!$BU:$BU, MATCH($A24, Mid!$A:$A, 0))</f>
        <v/>
      </c>
      <c r="H24" s="285">
        <f ca="1">INDEX(Futs!$BO:$BO, MATCH($A24, Mid!$A:$A, 0))</f>
        <v>62.375</v>
      </c>
      <c r="I24" s="285" t="str">
        <f ca="1">INDEX(Mid!$CB:$CB, MATCH($A24, Mid!$A:$A, 0))</f>
        <v/>
      </c>
      <c r="K24" s="284">
        <f t="shared" ca="1" si="17"/>
        <v>46388</v>
      </c>
      <c r="L24" s="290" t="str">
        <f t="shared" ca="1" si="16"/>
        <v/>
      </c>
      <c r="O24" s="299"/>
      <c r="U24" s="299"/>
    </row>
    <row r="25" spans="1:26" x14ac:dyDescent="0.25">
      <c r="A25" s="284">
        <f ca="1">Mid!$A23</f>
        <v>46388</v>
      </c>
      <c r="B25" s="285" t="str">
        <f ca="1">IF($C25 = "", INDEX(Mid!$DN:$DN, MATCH(Arbs!$A25, Mid!$A:$A, 0)), $C25)</f>
        <v/>
      </c>
      <c r="C25" s="286"/>
      <c r="D25" s="287">
        <v>3</v>
      </c>
      <c r="E25" s="285" t="str">
        <f ca="1">INDEX(FFA!$AS:$AS, MATCH($A25, FFA!$A:$A, 0))</f>
        <v/>
      </c>
      <c r="F25" s="285">
        <f ca="1">INDEX(Futs!$EO:$EO, MATCH(EOMONTH($A25, 0) + 1, Futs!$A:$A, 0))</f>
        <v>40.418534675615149</v>
      </c>
      <c r="G25" s="285" t="str">
        <f ca="1">INDEX(Mid!$BU:$BU, MATCH($A25, Mid!$A:$A, 0))</f>
        <v/>
      </c>
      <c r="H25" s="285">
        <f ca="1">INDEX(Futs!$BO:$BO, MATCH($A25, Mid!$A:$A, 0))</f>
        <v>46.125</v>
      </c>
      <c r="I25" s="285" t="str">
        <f ca="1">INDEX(Mid!$CB:$CB, MATCH($A25, Mid!$A:$A, 0))</f>
        <v/>
      </c>
      <c r="K25" s="284">
        <f t="shared" ca="1" si="17"/>
        <v>46419</v>
      </c>
      <c r="L25" s="290" t="str">
        <f t="shared" ca="1" si="16"/>
        <v/>
      </c>
    </row>
    <row r="26" spans="1:26" x14ac:dyDescent="0.25">
      <c r="A26" s="284">
        <f ca="1">Mid!$A24</f>
        <v>46419</v>
      </c>
      <c r="B26" s="285" t="str">
        <f ca="1">IF($C26 = "", INDEX(Mid!$DN:$DN, MATCH(Arbs!$A26, Mid!$A:$A, 0)), $C26)</f>
        <v/>
      </c>
      <c r="C26" s="286"/>
      <c r="D26" s="287">
        <v>3</v>
      </c>
      <c r="E26" s="285" t="str">
        <f ca="1">INDEX(FFA!$AS:$AS, MATCH($A26, FFA!$A:$A, 0))</f>
        <v/>
      </c>
      <c r="F26" s="285">
        <f ca="1">INDEX(Futs!$EO:$EO, MATCH(EOMONTH($A26, 0) + 1, Futs!$A:$A, 0))</f>
        <v>38.578961329498156</v>
      </c>
      <c r="G26" s="285" t="str">
        <f ca="1">INDEX(Mid!$BU:$BU, MATCH($A26, Mid!$A:$A, 0))</f>
        <v/>
      </c>
      <c r="H26" s="285">
        <f ca="1">INDEX(Futs!$BO:$BO, MATCH($A26, Mid!$A:$A, 0))</f>
        <v>36.5</v>
      </c>
      <c r="I26" s="285" t="str">
        <f ca="1">INDEX(Mid!$CB:$CB, MATCH($A26, Mid!$A:$A, 0))</f>
        <v/>
      </c>
      <c r="K26" s="284">
        <f t="shared" ca="1" si="17"/>
        <v>46447</v>
      </c>
      <c r="L26" s="290" t="str">
        <f t="shared" ca="1" si="16"/>
        <v/>
      </c>
      <c r="W26" s="299"/>
    </row>
    <row r="27" spans="1:26" x14ac:dyDescent="0.25">
      <c r="A27" s="284">
        <f ca="1">Mid!$A25</f>
        <v>46447</v>
      </c>
      <c r="B27" s="285" t="str">
        <f ca="1">IF($C27 = "", INDEX(Mid!$DN:$DN, MATCH(Arbs!$A27, Mid!$A:$A, 0)), $C27)</f>
        <v/>
      </c>
      <c r="C27" s="286"/>
      <c r="D27" s="287">
        <v>3</v>
      </c>
      <c r="E27" s="285" t="str">
        <f ca="1">INDEX(FFA!$AS:$AS, MATCH($A27, FFA!$A:$A, 0))</f>
        <v/>
      </c>
      <c r="F27" s="285">
        <f ca="1">INDEX(Futs!$EO:$EO, MATCH(EOMONTH($A27, 0) + 1, Futs!$A:$A, 0))</f>
        <v>36.349030041546769</v>
      </c>
      <c r="G27" s="285" t="str">
        <f ca="1">INDEX(Mid!$BU:$BU, MATCH($A27, Mid!$A:$A, 0))</f>
        <v/>
      </c>
      <c r="H27" s="285">
        <f ca="1">INDEX(Futs!$BO:$BO, MATCH($A27, Mid!$A:$A, 0))</f>
        <v>35.625</v>
      </c>
      <c r="I27" s="285" t="str">
        <f ca="1">INDEX(Mid!$CB:$CB, MATCH($A27, Mid!$A:$A, 0))</f>
        <v/>
      </c>
      <c r="K27" s="284">
        <f t="shared" ca="1" si="17"/>
        <v>46478</v>
      </c>
      <c r="L27" s="290" t="str">
        <f t="shared" ca="1" si="16"/>
        <v/>
      </c>
    </row>
    <row r="28" spans="1:26" x14ac:dyDescent="0.25">
      <c r="A28" s="284">
        <f ca="1">Mid!$A26</f>
        <v>46478</v>
      </c>
      <c r="B28" s="285" t="str">
        <f ca="1">IF($C28 = "", INDEX(Mid!$DN:$DN, MATCH(Arbs!$A28, Mid!$A:$A, 0)), $C28)</f>
        <v/>
      </c>
      <c r="C28" s="286"/>
      <c r="D28" s="287">
        <v>3</v>
      </c>
      <c r="E28" s="285" t="str">
        <f ca="1">INDEX(FFA!$AS:$AS, MATCH($A28, FFA!$A:$A, 0))</f>
        <v/>
      </c>
      <c r="F28" s="285">
        <f ca="1">INDEX(Futs!$EO:$EO, MATCH(EOMONTH($A28, 0) + 1, Futs!$A:$A, 0))</f>
        <v>34.477013422818743</v>
      </c>
      <c r="G28" s="285" t="str">
        <f ca="1">INDEX(Mid!$BU:$BU, MATCH($A28, Mid!$A:$A, 0))</f>
        <v/>
      </c>
      <c r="H28" s="285">
        <f ca="1">INDEX(Futs!$BO:$BO, MATCH($A28, Mid!$A:$A, 0))</f>
        <v>36.5</v>
      </c>
      <c r="I28" s="285" t="str">
        <f ca="1">INDEX(Mid!$CB:$CB, MATCH($A28, Mid!$A:$A, 0))</f>
        <v/>
      </c>
      <c r="K28" s="284">
        <f t="shared" ca="1" si="17"/>
        <v>46508</v>
      </c>
      <c r="L28" s="290" t="str">
        <f t="shared" ca="1" si="16"/>
        <v/>
      </c>
    </row>
    <row r="29" spans="1:26" x14ac:dyDescent="0.25">
      <c r="A29" s="284">
        <f ca="1">Mid!$A27</f>
        <v>46508</v>
      </c>
      <c r="B29" s="285" t="str">
        <f ca="1">IF($C29 = "", INDEX(Mid!$DN:$DN, MATCH(Arbs!$A29, Mid!$A:$A, 0)), $C29)</f>
        <v/>
      </c>
      <c r="C29" s="286"/>
      <c r="D29" s="287">
        <v>3</v>
      </c>
      <c r="E29" s="285" t="str">
        <f ca="1">INDEX(FFA!$AS:$AS, MATCH($A29, FFA!$A:$A, 0))</f>
        <v/>
      </c>
      <c r="F29" s="285">
        <f ca="1">INDEX(Futs!$EO:$EO, MATCH(EOMONTH($A29, 0) + 1, Futs!$A:$A, 0))</f>
        <v>33.067042186001856</v>
      </c>
      <c r="G29" s="285" t="str">
        <f ca="1">INDEX(Mid!$BU:$BU, MATCH($A29, Mid!$A:$A, 0))</f>
        <v/>
      </c>
      <c r="H29" s="285">
        <f ca="1">INDEX(Futs!$BO:$BO, MATCH($A29, Mid!$A:$A, 0))</f>
        <v>29.375</v>
      </c>
      <c r="I29" s="285" t="str">
        <f ca="1">INDEX(Mid!$CB:$CB, MATCH($A29, Mid!$A:$A, 0))</f>
        <v/>
      </c>
      <c r="K29" s="284">
        <f t="shared" ca="1" si="17"/>
        <v>46539</v>
      </c>
      <c r="L29" s="290" t="str">
        <f t="shared" ca="1" si="16"/>
        <v/>
      </c>
      <c r="W29" s="299"/>
    </row>
    <row r="30" spans="1:26" x14ac:dyDescent="0.25">
      <c r="A30" s="284">
        <f ca="1">Mid!$A28</f>
        <v>46539</v>
      </c>
      <c r="B30" s="285" t="str">
        <f ca="1">IF($C30 = "", INDEX(Mid!$DN:$DN, MATCH(Arbs!$A30, Mid!$A:$A, 0)), $C30)</f>
        <v/>
      </c>
      <c r="C30" s="286"/>
      <c r="D30" s="287">
        <v>3</v>
      </c>
      <c r="E30" s="285" t="str">
        <f ca="1">INDEX(FFA!$AS:$AS, MATCH($A30, FFA!$A:$A, 0))</f>
        <v/>
      </c>
      <c r="F30" s="285">
        <f ca="1">INDEX(Futs!$EO:$EO, MATCH(EOMONTH($A30, 0) + 1, Futs!$A:$A, 0))</f>
        <v>32.774627676573971</v>
      </c>
      <c r="G30" s="285" t="str">
        <f ca="1">INDEX(Mid!$BU:$BU, MATCH($A30, Mid!$A:$A, 0))</f>
        <v/>
      </c>
      <c r="H30" s="285">
        <f ca="1">INDEX(Futs!$BO:$BO, MATCH($A30, Mid!$A:$A, 0))</f>
        <v>24.375</v>
      </c>
      <c r="I30" s="285" t="str">
        <f ca="1">INDEX(Mid!$CB:$CB, MATCH($A30, Mid!$A:$A, 0))</f>
        <v/>
      </c>
      <c r="K30" s="284">
        <f t="shared" ca="1" si="17"/>
        <v>46569</v>
      </c>
      <c r="L30" s="290" t="str">
        <f t="shared" ca="1" si="16"/>
        <v/>
      </c>
      <c r="Z30" s="565"/>
    </row>
    <row r="31" spans="1:26" x14ac:dyDescent="0.25">
      <c r="A31" s="284">
        <f ca="1">Mid!$A29</f>
        <v>46569</v>
      </c>
      <c r="B31" s="285" t="str">
        <f ca="1">IF($C31 = "", INDEX(Mid!$DN:$DN, MATCH(Arbs!$A31, Mid!$A:$A, 0)), $C31)</f>
        <v/>
      </c>
      <c r="C31" s="286"/>
      <c r="D31" s="287">
        <v>3</v>
      </c>
      <c r="E31" s="285" t="str">
        <f ca="1">INDEX(FFA!$AS:$AS, MATCH($A31, FFA!$A:$A, 0))</f>
        <v/>
      </c>
      <c r="F31" s="285">
        <f ca="1">INDEX(Futs!$EO:$EO, MATCH(EOMONTH($A31, 0) + 1, Futs!$A:$A, 0))</f>
        <v>32.798440396292733</v>
      </c>
      <c r="G31" s="285" t="str">
        <f ca="1">INDEX(Mid!$BU:$BU, MATCH($A31, Mid!$A:$A, 0))</f>
        <v/>
      </c>
      <c r="H31" s="285">
        <f ca="1">INDEX(Futs!$BO:$BO, MATCH($A31, Mid!$A:$A, 0))</f>
        <v>18.125</v>
      </c>
      <c r="I31" s="285" t="str">
        <f ca="1">INDEX(Mid!$CB:$CB, MATCH($A31, Mid!$A:$A, 0))</f>
        <v/>
      </c>
      <c r="K31" s="284">
        <f t="shared" ca="1" si="17"/>
        <v>46600</v>
      </c>
      <c r="L31" s="290" t="str">
        <f t="shared" ca="1" si="16"/>
        <v/>
      </c>
    </row>
    <row r="32" spans="1:26" x14ac:dyDescent="0.25">
      <c r="A32" s="284">
        <f ca="1">Mid!$A30</f>
        <v>46600</v>
      </c>
      <c r="B32" s="285" t="str">
        <f ca="1">IF($C32 = "", INDEX(Mid!$DN:$DN, MATCH(Arbs!$A32, Mid!$A:$A, 0)), $C32)</f>
        <v/>
      </c>
      <c r="C32" s="286"/>
      <c r="D32" s="287">
        <v>3</v>
      </c>
      <c r="E32" s="285" t="str">
        <f ca="1">INDEX(FFA!$AS:$AS, MATCH($A32, FFA!$A:$A, 0))</f>
        <v/>
      </c>
      <c r="F32" s="285">
        <f ca="1">INDEX(Futs!$EO:$EO, MATCH(EOMONTH($A32, 0) + 1, Futs!$A:$A, 0))</f>
        <v>33.182968999680384</v>
      </c>
      <c r="G32" s="285" t="str">
        <f ca="1">INDEX(Mid!$BU:$BU, MATCH($A32, Mid!$A:$A, 0))</f>
        <v/>
      </c>
      <c r="H32" s="285">
        <f ca="1">INDEX(Futs!$BO:$BO, MATCH($A32, Mid!$A:$A, 0))</f>
        <v>15.125</v>
      </c>
      <c r="I32" s="285" t="str">
        <f ca="1">INDEX(Mid!$CB:$CB, MATCH($A32, Mid!$A:$A, 0))</f>
        <v/>
      </c>
      <c r="K32" s="284">
        <f t="shared" ca="1" si="17"/>
        <v>46631</v>
      </c>
      <c r="L32" s="290" t="str">
        <f t="shared" ca="1" si="16"/>
        <v/>
      </c>
    </row>
    <row r="33" spans="1:13" x14ac:dyDescent="0.25">
      <c r="A33" s="274"/>
    </row>
    <row r="35" spans="1:13" x14ac:dyDescent="0.25">
      <c r="A35" s="441" t="s">
        <v>762</v>
      </c>
      <c r="B35" s="296" t="s">
        <v>763</v>
      </c>
      <c r="C35" s="296" t="s">
        <v>764</v>
      </c>
      <c r="D35" s="296" t="s">
        <v>733</v>
      </c>
      <c r="E35" s="296" t="s">
        <v>765</v>
      </c>
      <c r="H35" s="296"/>
      <c r="I35" s="296" t="s">
        <v>266</v>
      </c>
      <c r="J35" s="296" t="s">
        <v>766</v>
      </c>
      <c r="K35" s="296" t="s">
        <v>261</v>
      </c>
    </row>
    <row r="36" spans="1:13" x14ac:dyDescent="0.25">
      <c r="B36" s="275" t="s">
        <v>266</v>
      </c>
      <c r="C36" s="275" t="s">
        <v>767</v>
      </c>
      <c r="D36" s="275" t="s">
        <v>96</v>
      </c>
      <c r="E36" s="275" t="s">
        <v>768</v>
      </c>
      <c r="H36" s="273" t="s">
        <v>769</v>
      </c>
      <c r="I36" s="294"/>
      <c r="J36" s="294"/>
      <c r="K36" s="294"/>
    </row>
    <row r="37" spans="1:13" x14ac:dyDescent="0.25">
      <c r="A37" s="292" t="s">
        <v>748</v>
      </c>
      <c r="B37" s="295" t="s">
        <v>749</v>
      </c>
      <c r="C37" s="295" t="s">
        <v>749</v>
      </c>
      <c r="D37" s="295" t="s">
        <v>445</v>
      </c>
      <c r="E37" s="295" t="s">
        <v>749</v>
      </c>
      <c r="H37" s="295"/>
      <c r="I37" s="295" t="s">
        <v>749</v>
      </c>
      <c r="J37" s="295" t="s">
        <v>749</v>
      </c>
      <c r="K37" s="295" t="s">
        <v>749</v>
      </c>
      <c r="M37" s="273" t="s">
        <v>770</v>
      </c>
    </row>
    <row r="38" spans="1:13" x14ac:dyDescent="0.25">
      <c r="A38" s="276">
        <f ca="1">Crd!$A20</f>
        <v>46296</v>
      </c>
      <c r="B38" s="279">
        <v>2.85</v>
      </c>
      <c r="C38" s="279">
        <v>2.2000000000000002</v>
      </c>
      <c r="D38" s="277" t="str">
        <f ca="1">INDEX(FFA!$I:$I, MATCH($A38, FFA!$A:$A, 0))</f>
        <v/>
      </c>
      <c r="E38" s="283"/>
      <c r="H38" s="276">
        <f ca="1">EOMONTH($A38, -1)+1</f>
        <v>46296</v>
      </c>
      <c r="I38" s="283" t="str">
        <f ca="1">IF(AND(ISNUMBER($B38), ISNUMBER($D38)), $B38 + $D38/7.33, "")</f>
        <v/>
      </c>
      <c r="J38" s="283" t="str">
        <f ca="1">IF(AND(ISNUMBER($C38), ISNUMBER($M$38), ISNUMBER($D38)), $C38 + $M$38/2 + $D38/7.33, "")</f>
        <v/>
      </c>
      <c r="K38" s="283" t="str">
        <f ca="1">IF(AND(ISNUMBER($E38), ISNUMBER($D38)), $E38 + $D38/7.33, "")</f>
        <v/>
      </c>
      <c r="M38" s="442">
        <v>7.0400000000000004E-2</v>
      </c>
    </row>
    <row r="39" spans="1:13" x14ac:dyDescent="0.25">
      <c r="A39" s="276">
        <f ca="1">Crd!$A21</f>
        <v>46327</v>
      </c>
      <c r="B39" s="279">
        <v>0.7</v>
      </c>
      <c r="C39" s="279"/>
      <c r="D39" s="277" t="str">
        <f ca="1">INDEX(FFA!$I:$I, MATCH($A39, FFA!$A:$A, 0))</f>
        <v/>
      </c>
      <c r="E39" s="283" t="str">
        <f ca="1">INDEX(Futs!$GC:$GC, MATCH($A39, Futs!$A:$A, 0))</f>
        <v/>
      </c>
      <c r="H39" s="276">
        <f ca="1">EOMONTH($A39, 0)+1</f>
        <v>46357</v>
      </c>
      <c r="I39" s="283" t="str">
        <f t="shared" ref="I39:I41" ca="1" si="18">IF(AND(ISNUMBER($B39), ISNUMBER($D39)), $B39 + $D39/7.33, "")</f>
        <v/>
      </c>
      <c r="J39" s="283" t="str">
        <f ca="1">IF(AND(ISNUMBER($C39), ISNUMBER($M$38), ISNUMBER($D39)), $C39 + $M$38 + $D39/7.33, "")</f>
        <v/>
      </c>
      <c r="K39" s="283" t="str">
        <f ca="1">IF(AND(ISNUMBER($E39), ISNUMBER($D39)), $E39 + $D39/7.33, "")</f>
        <v/>
      </c>
    </row>
    <row r="40" spans="1:13" x14ac:dyDescent="0.25">
      <c r="A40" s="284">
        <f ca="1">Crd!$A22</f>
        <v>46357</v>
      </c>
      <c r="B40" s="287"/>
      <c r="C40" s="287"/>
      <c r="D40" s="285" t="str">
        <f ca="1">INDEX(FFA!$I:$I, MATCH($A40, FFA!$A:$A, 0))</f>
        <v/>
      </c>
      <c r="E40" s="285" t="str">
        <f ca="1">INDEX(Futs!$GC:$GC, MATCH($A40, Futs!$A:$A, 0))</f>
        <v/>
      </c>
      <c r="H40" s="284">
        <f ca="1">EOMONTH($H39, 0)+1</f>
        <v>46388</v>
      </c>
      <c r="I40" s="290" t="str">
        <f t="shared" ca="1" si="18"/>
        <v/>
      </c>
      <c r="J40" s="290" t="str">
        <f ca="1">IF(AND(ISNUMBER($C40), ISNUMBER($M$38), ISNUMBER($D40)), $C40 + $M$38 + $D40/7.33, "")</f>
        <v/>
      </c>
      <c r="K40" s="290" t="str">
        <f ca="1">IF(AND(ISNUMBER($E40), ISNUMBER($D40)), $E40 + $D40/7.33, "")</f>
        <v/>
      </c>
    </row>
    <row r="41" spans="1:13" x14ac:dyDescent="0.25">
      <c r="A41" s="284">
        <f ca="1">Crd!$A23</f>
        <v>46388</v>
      </c>
      <c r="B41" s="287"/>
      <c r="C41" s="287"/>
      <c r="D41" s="285" t="str">
        <f ca="1">INDEX(FFA!$I:$I, MATCH($A41, FFA!$A:$A, 0))</f>
        <v/>
      </c>
      <c r="E41" s="285" t="str">
        <f ca="1">INDEX(Futs!$GC:$GC, MATCH($A41, Futs!$A:$A, 0))</f>
        <v/>
      </c>
      <c r="H41" s="284">
        <f ca="1">EOMONTH($H40, 0)+1</f>
        <v>46419</v>
      </c>
      <c r="I41" s="290" t="str">
        <f t="shared" ca="1" si="18"/>
        <v/>
      </c>
      <c r="J41" s="290" t="str">
        <f ca="1">IF(AND(ISNUMBER($C41), ISNUMBER($M$38), ISNUMBER($D41)), $C41 + $M$38 + $D41/7.33, "")</f>
        <v/>
      </c>
      <c r="K41" s="290" t="str">
        <f ca="1">IF(AND(ISNUMBER($E41), ISNUMBER($D41)), $E41 + $D41/7.33,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0C336-7AE9-4B7E-874B-10EA24509A56}">
  <sheetPr codeName="Sheet20"/>
  <dimension ref="A1:I177"/>
  <sheetViews>
    <sheetView workbookViewId="0">
      <selection activeCell="B1" sqref="B1"/>
    </sheetView>
  </sheetViews>
  <sheetFormatPr defaultColWidth="9" defaultRowHeight="15" x14ac:dyDescent="0.25"/>
  <cols>
    <col min="1" max="1" width="10.42578125" style="762" bestFit="1" customWidth="1"/>
    <col min="2" max="5" width="9" style="763"/>
    <col min="6" max="6" width="9" style="762"/>
    <col min="7" max="7" width="9" style="763" customWidth="1"/>
    <col min="8" max="8" width="9" style="762"/>
    <col min="9" max="9" width="9" style="763"/>
    <col min="10" max="13" width="9" style="762"/>
    <col min="14" max="14" width="12.5703125" style="762" customWidth="1"/>
    <col min="15" max="16384" width="9" style="762"/>
  </cols>
  <sheetData>
    <row r="1" spans="1:9" x14ac:dyDescent="0.25">
      <c r="B1" s="763" t="s">
        <v>328</v>
      </c>
      <c r="C1" s="763" t="s">
        <v>266</v>
      </c>
      <c r="D1" s="763" t="s">
        <v>1349</v>
      </c>
      <c r="E1" s="763" t="s">
        <v>1349</v>
      </c>
      <c r="F1" s="762" t="s">
        <v>1350</v>
      </c>
      <c r="G1" s="763" t="s">
        <v>18</v>
      </c>
      <c r="H1" s="762" t="s">
        <v>15</v>
      </c>
      <c r="I1" s="763" t="s">
        <v>1349</v>
      </c>
    </row>
    <row r="2" spans="1:9" x14ac:dyDescent="0.25">
      <c r="A2" s="762" t="s">
        <v>1345</v>
      </c>
      <c r="B2" s="763" t="s">
        <v>1348</v>
      </c>
      <c r="C2" s="763" t="s">
        <v>1347</v>
      </c>
      <c r="D2" s="765" t="s">
        <v>1351</v>
      </c>
      <c r="E2" s="765" t="s">
        <v>1352</v>
      </c>
      <c r="F2" s="764" t="s">
        <v>1346</v>
      </c>
      <c r="I2" s="765" t="s">
        <v>1353</v>
      </c>
    </row>
    <row r="3" spans="1:9" x14ac:dyDescent="0.25">
      <c r="A3" s="827"/>
      <c r="C3" s="763" t="str">
        <f>_xll.BDH(C$2,"PX_LAST","2026-01-01","","Dir=V","CDR=5D","Days=A","Fill=NA","Dts=H","cols=1;rows=175")</f>
        <v>#N/A</v>
      </c>
      <c r="D3" s="763" t="str">
        <f>_xll.BDH(D$2,"PX_LAST","2026-01-01","","Dir=V","CDR=5D","Days=A","Fill=NA","Dts=H","cols=1;rows=175")</f>
        <v>#N/A</v>
      </c>
      <c r="E3" s="763" t="str">
        <f>_xll.BDH(E$2,"PX_LAST","2026-01-01","","Dir=V","CDR=5D","Days=A","Fill=NA","Dts=H","cols=1;rows=175")</f>
        <v>#N/A</v>
      </c>
      <c r="F3" s="763" t="str">
        <f>_xll.BDH(F$2,"PX_LAST","2026-01-01","","Dir=V","CDR=5D","Days=A","Fill=NA","Dts=H","cols=1;rows=175")</f>
        <v>#N/A</v>
      </c>
      <c r="G3" s="763" t="e">
        <f>IF(AND(ISNUMBER($B3),ISNUMBER($D3)),$B3-$D3, NA())</f>
        <v>#N/A</v>
      </c>
      <c r="I3" s="763" t="str">
        <f>_xll.BDH(I$2,"FUT_CUR_GEN_TICKER","2026-01-01","","Dir=V","CDR=5D","Days=A","Fill=NA","Dts=H","cols=1;rows=175")</f>
        <v xml:space="preserve"> .NA.</v>
      </c>
    </row>
    <row r="4" spans="1:9" x14ac:dyDescent="0.25">
      <c r="A4" s="827"/>
      <c r="C4" s="763">
        <v>60.31</v>
      </c>
      <c r="D4" s="763">
        <v>60.07</v>
      </c>
      <c r="E4" s="763">
        <v>59.74</v>
      </c>
      <c r="F4" s="762">
        <v>61.17</v>
      </c>
      <c r="G4" s="763" t="e">
        <f t="shared" ref="G4:G67" si="0">IF(AND(ISNUMBER($B4),ISNUMBER($D4)),$B4-$D4, NA())</f>
        <v>#N/A</v>
      </c>
      <c r="H4" s="763">
        <f>IF(AND(ISNUMBER($C4),ISNUMBER($F4)), $F4 - $C4, NA())</f>
        <v>0.85999999999999943</v>
      </c>
      <c r="I4" s="763" t="s">
        <v>1417</v>
      </c>
    </row>
    <row r="5" spans="1:9" x14ac:dyDescent="0.25">
      <c r="A5" s="827"/>
      <c r="C5" s="763">
        <v>58.25</v>
      </c>
      <c r="D5" s="763">
        <v>61.57</v>
      </c>
      <c r="E5" s="763">
        <v>61.15</v>
      </c>
      <c r="F5" s="762">
        <v>59.76</v>
      </c>
      <c r="G5" s="763" t="e">
        <f t="shared" si="0"/>
        <v>#N/A</v>
      </c>
      <c r="H5" s="763">
        <f t="shared" ref="H5:H68" si="1">IF(AND(ISNUMBER($C5),ISNUMBER($F5)), $F5 - $C5, NA())</f>
        <v>1.509999999999998</v>
      </c>
      <c r="I5" s="763" t="s">
        <v>1417</v>
      </c>
    </row>
    <row r="6" spans="1:9" x14ac:dyDescent="0.25">
      <c r="A6" s="827"/>
      <c r="C6" s="763">
        <v>59.4</v>
      </c>
      <c r="D6" s="763">
        <v>61.58</v>
      </c>
      <c r="E6" s="763">
        <v>61.14</v>
      </c>
      <c r="F6" s="762">
        <v>61.34</v>
      </c>
      <c r="G6" s="763" t="e">
        <f t="shared" si="0"/>
        <v>#N/A</v>
      </c>
      <c r="H6" s="763">
        <f t="shared" si="1"/>
        <v>1.9400000000000048</v>
      </c>
      <c r="I6" s="763" t="s">
        <v>1417</v>
      </c>
    </row>
    <row r="7" spans="1:9" x14ac:dyDescent="0.25">
      <c r="A7" s="827"/>
      <c r="C7" s="763">
        <v>58.3</v>
      </c>
      <c r="D7" s="763">
        <v>60.37</v>
      </c>
      <c r="E7" s="763">
        <v>59.98</v>
      </c>
      <c r="F7" s="762">
        <v>60.22</v>
      </c>
      <c r="G7" s="763" t="e">
        <f t="shared" si="0"/>
        <v>#N/A</v>
      </c>
      <c r="H7" s="763">
        <f t="shared" si="1"/>
        <v>1.9200000000000017</v>
      </c>
      <c r="I7" s="763" t="s">
        <v>1417</v>
      </c>
    </row>
    <row r="8" spans="1:9" x14ac:dyDescent="0.25">
      <c r="A8" s="827"/>
      <c r="C8" s="763">
        <v>58.32</v>
      </c>
      <c r="D8" s="763">
        <v>61.12</v>
      </c>
      <c r="E8" s="763">
        <v>60.64</v>
      </c>
      <c r="F8" s="762">
        <v>60.13</v>
      </c>
      <c r="G8" s="763" t="e">
        <f t="shared" si="0"/>
        <v>#N/A</v>
      </c>
      <c r="H8" s="763">
        <f t="shared" si="1"/>
        <v>1.8100000000000023</v>
      </c>
      <c r="I8" s="763" t="s">
        <v>1417</v>
      </c>
    </row>
    <row r="9" spans="1:9" x14ac:dyDescent="0.25">
      <c r="A9" s="827"/>
      <c r="C9" s="763">
        <v>60.8</v>
      </c>
      <c r="D9" s="763">
        <v>63.65</v>
      </c>
      <c r="E9" s="763">
        <v>63.06</v>
      </c>
      <c r="F9" s="762">
        <v>62.56</v>
      </c>
      <c r="G9" s="763" t="e">
        <f t="shared" si="0"/>
        <v>#N/A</v>
      </c>
      <c r="H9" s="763">
        <f t="shared" si="1"/>
        <v>1.7600000000000051</v>
      </c>
      <c r="I9" s="763" t="s">
        <v>1417</v>
      </c>
    </row>
    <row r="10" spans="1:9" x14ac:dyDescent="0.25">
      <c r="A10" s="827"/>
      <c r="C10" s="763">
        <v>61.405000000000001</v>
      </c>
      <c r="D10" s="763">
        <v>63.52</v>
      </c>
      <c r="E10" s="763">
        <v>62.85</v>
      </c>
      <c r="F10" s="762">
        <v>63.28</v>
      </c>
      <c r="G10" s="763" t="e">
        <f t="shared" si="0"/>
        <v>#N/A</v>
      </c>
      <c r="H10" s="763">
        <f t="shared" si="1"/>
        <v>1.875</v>
      </c>
      <c r="I10" s="763" t="s">
        <v>1417</v>
      </c>
    </row>
    <row r="11" spans="1:9" x14ac:dyDescent="0.25">
      <c r="A11" s="827"/>
      <c r="C11" s="763">
        <v>61.76</v>
      </c>
      <c r="D11" s="763">
        <v>65.760000000000005</v>
      </c>
      <c r="E11" s="763">
        <v>64.959999999999994</v>
      </c>
      <c r="F11" s="762">
        <v>64.290000000000006</v>
      </c>
      <c r="G11" s="763" t="e">
        <f t="shared" si="0"/>
        <v>#N/A</v>
      </c>
      <c r="H11" s="763">
        <f t="shared" si="1"/>
        <v>2.5300000000000082</v>
      </c>
      <c r="I11" s="763" t="s">
        <v>1417</v>
      </c>
    </row>
    <row r="12" spans="1:9" x14ac:dyDescent="0.25">
      <c r="A12" s="827"/>
      <c r="C12" s="763">
        <v>62.41</v>
      </c>
      <c r="D12" s="763">
        <v>65.900000000000006</v>
      </c>
      <c r="E12" s="763">
        <v>65.209999999999994</v>
      </c>
      <c r="F12" s="762">
        <v>65.02</v>
      </c>
      <c r="G12" s="763" t="e">
        <f t="shared" si="0"/>
        <v>#N/A</v>
      </c>
      <c r="H12" s="763">
        <f t="shared" si="1"/>
        <v>2.6099999999999994</v>
      </c>
      <c r="I12" s="763" t="s">
        <v>1417</v>
      </c>
    </row>
    <row r="13" spans="1:9" x14ac:dyDescent="0.25">
      <c r="A13" s="827"/>
      <c r="C13" s="763">
        <v>62.55</v>
      </c>
      <c r="D13" s="763">
        <v>63.6</v>
      </c>
      <c r="E13" s="763">
        <v>63.03</v>
      </c>
      <c r="F13" s="762">
        <v>64.459999999999994</v>
      </c>
      <c r="G13" s="763" t="e">
        <f t="shared" si="0"/>
        <v>#N/A</v>
      </c>
      <c r="H13" s="763">
        <f t="shared" si="1"/>
        <v>1.9099999999999966</v>
      </c>
      <c r="I13" s="763" t="s">
        <v>1417</v>
      </c>
    </row>
    <row r="14" spans="1:9" x14ac:dyDescent="0.25">
      <c r="A14" s="827"/>
      <c r="C14" s="763">
        <v>62.28</v>
      </c>
      <c r="D14" s="763">
        <v>64.510000000000005</v>
      </c>
      <c r="E14" s="763">
        <v>63.82</v>
      </c>
      <c r="F14" s="762">
        <v>63.79</v>
      </c>
      <c r="G14" s="763" t="e">
        <f t="shared" si="0"/>
        <v>#N/A</v>
      </c>
      <c r="H14" s="763">
        <f t="shared" si="1"/>
        <v>1.509999999999998</v>
      </c>
      <c r="I14" s="763" t="s">
        <v>1417</v>
      </c>
    </row>
    <row r="15" spans="1:9" x14ac:dyDescent="0.25">
      <c r="A15" s="827"/>
      <c r="C15" s="763">
        <v>61.95</v>
      </c>
      <c r="D15" s="763">
        <v>64.180000000000007</v>
      </c>
      <c r="E15" s="763">
        <v>63.46</v>
      </c>
      <c r="F15" s="762">
        <v>63.75</v>
      </c>
      <c r="G15" s="763" t="e">
        <f t="shared" si="0"/>
        <v>#N/A</v>
      </c>
      <c r="H15" s="763">
        <f t="shared" si="1"/>
        <v>1.7999999999999972</v>
      </c>
      <c r="I15" s="763" t="s">
        <v>1417</v>
      </c>
    </row>
    <row r="16" spans="1:9" x14ac:dyDescent="0.25">
      <c r="A16" s="827"/>
      <c r="C16" s="763">
        <v>61.8</v>
      </c>
      <c r="D16" s="763">
        <v>64.78</v>
      </c>
      <c r="E16" s="763">
        <v>64.040000000000006</v>
      </c>
      <c r="F16" s="762">
        <v>63.43</v>
      </c>
      <c r="G16" s="763" t="e">
        <f t="shared" si="0"/>
        <v>#N/A</v>
      </c>
      <c r="H16" s="763">
        <f t="shared" si="1"/>
        <v>1.6300000000000026</v>
      </c>
      <c r="I16" s="763" t="s">
        <v>1417</v>
      </c>
    </row>
    <row r="17" spans="1:9" x14ac:dyDescent="0.25">
      <c r="A17" s="827"/>
      <c r="C17" s="763">
        <v>62.34</v>
      </c>
      <c r="D17" s="763">
        <v>64.94</v>
      </c>
      <c r="E17" s="763">
        <v>64.290000000000006</v>
      </c>
      <c r="F17" s="762">
        <v>64.040000000000006</v>
      </c>
      <c r="G17" s="763" t="e">
        <f t="shared" si="0"/>
        <v>#N/A</v>
      </c>
      <c r="H17" s="763">
        <f t="shared" si="1"/>
        <v>1.7000000000000028</v>
      </c>
      <c r="I17" s="763" t="s">
        <v>1417</v>
      </c>
    </row>
    <row r="18" spans="1:9" x14ac:dyDescent="0.25">
      <c r="A18" s="827"/>
      <c r="C18" s="763">
        <v>63.21</v>
      </c>
      <c r="D18" s="763">
        <v>64.28</v>
      </c>
      <c r="E18" s="763">
        <v>63.59</v>
      </c>
      <c r="F18" s="762">
        <v>65.17</v>
      </c>
      <c r="G18" s="763" t="e">
        <f t="shared" si="0"/>
        <v>#N/A</v>
      </c>
      <c r="H18" s="763">
        <f t="shared" si="1"/>
        <v>1.9600000000000009</v>
      </c>
      <c r="I18" s="763" t="s">
        <v>1417</v>
      </c>
    </row>
    <row r="19" spans="1:9" x14ac:dyDescent="0.25">
      <c r="A19" s="827"/>
      <c r="C19" s="763">
        <v>62.27</v>
      </c>
      <c r="D19" s="763">
        <v>65.77</v>
      </c>
      <c r="E19" s="763">
        <v>64.959999999999994</v>
      </c>
      <c r="F19" s="762">
        <v>64.64</v>
      </c>
      <c r="G19" s="763" t="e">
        <f t="shared" si="0"/>
        <v>#N/A</v>
      </c>
      <c r="H19" s="763">
        <f t="shared" si="1"/>
        <v>2.3699999999999974</v>
      </c>
      <c r="I19" s="763" t="s">
        <v>1417</v>
      </c>
    </row>
    <row r="20" spans="1:9" x14ac:dyDescent="0.25">
      <c r="A20" s="827"/>
      <c r="C20" s="763">
        <v>63.555</v>
      </c>
      <c r="D20" s="763">
        <v>65.41</v>
      </c>
      <c r="E20" s="763">
        <v>64.61</v>
      </c>
      <c r="F20" s="762">
        <v>65.75</v>
      </c>
      <c r="G20" s="763" t="e">
        <f t="shared" si="0"/>
        <v>#N/A</v>
      </c>
      <c r="H20" s="763">
        <f t="shared" si="1"/>
        <v>2.1950000000000003</v>
      </c>
      <c r="I20" s="763" t="s">
        <v>1417</v>
      </c>
    </row>
    <row r="21" spans="1:9" x14ac:dyDescent="0.25">
      <c r="A21" s="827"/>
      <c r="C21" s="763">
        <v>62.88</v>
      </c>
      <c r="D21" s="763">
        <v>66.849999999999994</v>
      </c>
      <c r="E21" s="763">
        <v>65.95</v>
      </c>
      <c r="F21" s="762">
        <v>65.239999999999995</v>
      </c>
      <c r="G21" s="763" t="e">
        <f t="shared" si="0"/>
        <v>#N/A</v>
      </c>
      <c r="H21" s="763">
        <f t="shared" si="1"/>
        <v>2.3599999999999923</v>
      </c>
      <c r="I21" s="763" t="s">
        <v>1417</v>
      </c>
    </row>
    <row r="22" spans="1:9" x14ac:dyDescent="0.25">
      <c r="A22" s="827"/>
      <c r="C22" s="763">
        <v>64.66</v>
      </c>
      <c r="D22" s="763">
        <v>68.05</v>
      </c>
      <c r="E22" s="763">
        <v>67.02</v>
      </c>
      <c r="F22" s="762">
        <v>67.83</v>
      </c>
      <c r="G22" s="763" t="e">
        <f t="shared" si="0"/>
        <v>#N/A</v>
      </c>
      <c r="H22" s="763">
        <f t="shared" si="1"/>
        <v>3.1700000000000017</v>
      </c>
      <c r="I22" s="763" t="s">
        <v>1417</v>
      </c>
    </row>
    <row r="23" spans="1:9" x14ac:dyDescent="0.25">
      <c r="A23" s="827"/>
      <c r="C23" s="763">
        <v>66.349999999999994</v>
      </c>
      <c r="D23" s="763">
        <v>70.98</v>
      </c>
      <c r="E23" s="763">
        <v>69.66</v>
      </c>
      <c r="F23" s="762">
        <v>69.459999999999994</v>
      </c>
      <c r="G23" s="763" t="e">
        <f t="shared" si="0"/>
        <v>#N/A</v>
      </c>
      <c r="H23" s="763">
        <f t="shared" si="1"/>
        <v>3.1099999999999994</v>
      </c>
      <c r="I23" s="763" t="s">
        <v>1417</v>
      </c>
    </row>
    <row r="24" spans="1:9" x14ac:dyDescent="0.25">
      <c r="A24" s="827"/>
      <c r="C24" s="763">
        <v>66.540000000000006</v>
      </c>
      <c r="D24" s="763">
        <v>70.900000000000006</v>
      </c>
      <c r="E24" s="763">
        <v>70.099999999999994</v>
      </c>
      <c r="F24" s="762">
        <v>69.819999999999993</v>
      </c>
      <c r="G24" s="763" t="e">
        <f t="shared" si="0"/>
        <v>#N/A</v>
      </c>
      <c r="H24" s="763">
        <f t="shared" si="1"/>
        <v>3.2799999999999869</v>
      </c>
      <c r="I24" s="763" t="s">
        <v>1417</v>
      </c>
    </row>
    <row r="25" spans="1:9" x14ac:dyDescent="0.25">
      <c r="A25" s="827"/>
      <c r="C25" s="763">
        <v>64.989999999999995</v>
      </c>
      <c r="D25" s="763">
        <v>66.19</v>
      </c>
      <c r="E25" s="763">
        <v>65.5</v>
      </c>
      <c r="F25" s="762">
        <v>66.38</v>
      </c>
      <c r="G25" s="763" t="e">
        <f t="shared" si="0"/>
        <v>#N/A</v>
      </c>
      <c r="H25" s="763">
        <f t="shared" si="1"/>
        <v>1.3900000000000006</v>
      </c>
      <c r="I25" s="763" t="s">
        <v>1418</v>
      </c>
    </row>
    <row r="26" spans="1:9" x14ac:dyDescent="0.25">
      <c r="A26" s="827"/>
      <c r="C26" s="763">
        <v>65.094999999999999</v>
      </c>
      <c r="D26" s="763">
        <v>66.94</v>
      </c>
      <c r="E26" s="763">
        <v>66.25</v>
      </c>
      <c r="F26" s="762">
        <v>66.23</v>
      </c>
      <c r="G26" s="763" t="e">
        <f t="shared" si="0"/>
        <v>#N/A</v>
      </c>
      <c r="H26" s="763">
        <f t="shared" si="1"/>
        <v>1.1350000000000051</v>
      </c>
      <c r="I26" s="763" t="s">
        <v>1418</v>
      </c>
    </row>
    <row r="27" spans="1:9" x14ac:dyDescent="0.25">
      <c r="A27" s="827"/>
      <c r="C27" s="763">
        <v>66.784999999999997</v>
      </c>
      <c r="D27" s="763">
        <v>67.37</v>
      </c>
      <c r="E27" s="763">
        <v>66.760000000000005</v>
      </c>
      <c r="F27" s="762">
        <v>67.569999999999993</v>
      </c>
      <c r="G27" s="763" t="e">
        <f t="shared" si="0"/>
        <v>#N/A</v>
      </c>
      <c r="H27" s="763">
        <f t="shared" si="1"/>
        <v>0.78499999999999659</v>
      </c>
      <c r="I27" s="763" t="s">
        <v>1418</v>
      </c>
    </row>
    <row r="28" spans="1:9" x14ac:dyDescent="0.25">
      <c r="A28" s="827"/>
      <c r="C28" s="763">
        <v>67.430000000000007</v>
      </c>
      <c r="D28" s="763">
        <v>67.39</v>
      </c>
      <c r="E28" s="763">
        <v>66.8</v>
      </c>
      <c r="F28" s="762">
        <v>68.290000000000006</v>
      </c>
      <c r="G28" s="763" t="e">
        <f t="shared" si="0"/>
        <v>#N/A</v>
      </c>
      <c r="H28" s="763">
        <f t="shared" si="1"/>
        <v>0.85999999999999943</v>
      </c>
      <c r="I28" s="763" t="s">
        <v>1418</v>
      </c>
    </row>
    <row r="29" spans="1:9" x14ac:dyDescent="0.25">
      <c r="A29" s="827"/>
      <c r="C29" s="763">
        <v>67.739999999999995</v>
      </c>
      <c r="D29" s="763">
        <v>68.540000000000006</v>
      </c>
      <c r="E29" s="763">
        <v>67.91</v>
      </c>
      <c r="F29" s="762">
        <v>68.290000000000006</v>
      </c>
      <c r="G29" s="763" t="e">
        <f t="shared" si="0"/>
        <v>#N/A</v>
      </c>
      <c r="H29" s="763">
        <f t="shared" si="1"/>
        <v>0.55000000000001137</v>
      </c>
      <c r="I29" s="763" t="s">
        <v>1418</v>
      </c>
    </row>
    <row r="30" spans="1:9" x14ac:dyDescent="0.25">
      <c r="A30" s="827"/>
      <c r="C30" s="763">
        <v>66.795000000000002</v>
      </c>
      <c r="D30" s="763">
        <v>69.010000000000005</v>
      </c>
      <c r="E30" s="763">
        <v>68.349999999999994</v>
      </c>
      <c r="F30" s="762">
        <v>67.55</v>
      </c>
      <c r="G30" s="763" t="e">
        <f t="shared" si="0"/>
        <v>#N/A</v>
      </c>
      <c r="H30" s="763">
        <f t="shared" si="1"/>
        <v>0.75499999999999545</v>
      </c>
      <c r="I30" s="763" t="s">
        <v>1418</v>
      </c>
    </row>
    <row r="31" spans="1:9" x14ac:dyDescent="0.25">
      <c r="A31" s="827"/>
      <c r="C31" s="763">
        <v>68</v>
      </c>
      <c r="D31" s="763">
        <v>68.819999999999993</v>
      </c>
      <c r="E31" s="763">
        <v>68.13</v>
      </c>
      <c r="F31" s="762">
        <v>68.97</v>
      </c>
      <c r="G31" s="763" t="e">
        <f t="shared" si="0"/>
        <v>#N/A</v>
      </c>
      <c r="H31" s="763">
        <f t="shared" si="1"/>
        <v>0.96999999999999886</v>
      </c>
      <c r="I31" s="763" t="s">
        <v>1418</v>
      </c>
    </row>
    <row r="32" spans="1:9" x14ac:dyDescent="0.25">
      <c r="A32" s="827"/>
      <c r="C32" s="763">
        <v>68.605000000000004</v>
      </c>
      <c r="D32" s="763">
        <v>69.97</v>
      </c>
      <c r="E32" s="763">
        <v>69.23</v>
      </c>
      <c r="F32" s="762">
        <v>69.56</v>
      </c>
      <c r="G32" s="763" t="e">
        <f t="shared" si="0"/>
        <v>#N/A</v>
      </c>
      <c r="H32" s="763">
        <f t="shared" si="1"/>
        <v>0.95499999999999829</v>
      </c>
      <c r="I32" s="763" t="s">
        <v>1418</v>
      </c>
    </row>
    <row r="33" spans="1:9" x14ac:dyDescent="0.25">
      <c r="A33" s="827"/>
      <c r="C33" s="763">
        <v>68.69</v>
      </c>
      <c r="D33" s="763">
        <v>68</v>
      </c>
      <c r="E33" s="763">
        <v>67.36</v>
      </c>
      <c r="F33" s="762">
        <v>69.7</v>
      </c>
      <c r="G33" s="763" t="e">
        <f t="shared" si="0"/>
        <v>#N/A</v>
      </c>
      <c r="H33" s="763">
        <f t="shared" si="1"/>
        <v>1.0100000000000051</v>
      </c>
      <c r="I33" s="763" t="s">
        <v>1418</v>
      </c>
    </row>
    <row r="34" spans="1:9" x14ac:dyDescent="0.25">
      <c r="A34" s="827"/>
      <c r="C34" s="763">
        <v>66.87</v>
      </c>
      <c r="D34" s="763">
        <v>67.62</v>
      </c>
      <c r="E34" s="763">
        <v>66.98</v>
      </c>
      <c r="F34" s="762">
        <v>67.489999999999995</v>
      </c>
      <c r="G34" s="763" t="e">
        <f t="shared" si="0"/>
        <v>#N/A</v>
      </c>
      <c r="H34" s="763">
        <f t="shared" si="1"/>
        <v>0.61999999999999034</v>
      </c>
      <c r="I34" s="763" t="s">
        <v>1418</v>
      </c>
    </row>
    <row r="35" spans="1:9" x14ac:dyDescent="0.25">
      <c r="A35" s="827"/>
      <c r="C35" s="763">
        <v>67.05</v>
      </c>
      <c r="D35" s="763">
        <v>68.489999999999995</v>
      </c>
      <c r="E35" s="763">
        <v>67.819999999999993</v>
      </c>
      <c r="F35" s="762">
        <v>67.73</v>
      </c>
      <c r="G35" s="763" t="e">
        <f t="shared" si="0"/>
        <v>#N/A</v>
      </c>
      <c r="H35" s="763">
        <f t="shared" si="1"/>
        <v>0.68000000000000682</v>
      </c>
      <c r="I35" s="763" t="s">
        <v>1418</v>
      </c>
    </row>
    <row r="36" spans="1:9" x14ac:dyDescent="0.25">
      <c r="A36" s="827"/>
      <c r="C36" s="763" t="e">
        <v>#N/A</v>
      </c>
      <c r="D36" s="763">
        <v>67.180000000000007</v>
      </c>
      <c r="E36" s="763">
        <v>66.56</v>
      </c>
      <c r="F36" s="762" t="e">
        <v>#N/A</v>
      </c>
      <c r="G36" s="763" t="e">
        <f t="shared" si="0"/>
        <v>#N/A</v>
      </c>
      <c r="H36" s="763" t="e">
        <f t="shared" si="1"/>
        <v>#N/A</v>
      </c>
      <c r="I36" s="763" t="s">
        <v>1418</v>
      </c>
    </row>
    <row r="37" spans="1:9" x14ac:dyDescent="0.25">
      <c r="A37" s="827"/>
      <c r="C37" s="763" t="e">
        <v>#N/A</v>
      </c>
      <c r="D37" s="763">
        <v>69.540000000000006</v>
      </c>
      <c r="E37" s="763">
        <v>69</v>
      </c>
      <c r="F37" s="762" t="e">
        <v>#N/A</v>
      </c>
      <c r="G37" s="763" t="e">
        <f t="shared" si="0"/>
        <v>#N/A</v>
      </c>
      <c r="H37" s="763" t="e">
        <f t="shared" si="1"/>
        <v>#N/A</v>
      </c>
      <c r="I37" s="763" t="s">
        <v>1418</v>
      </c>
    </row>
    <row r="38" spans="1:9" x14ac:dyDescent="0.25">
      <c r="A38" s="827"/>
      <c r="C38" s="763">
        <v>70.150000000000006</v>
      </c>
      <c r="D38" s="763">
        <v>71.53</v>
      </c>
      <c r="E38" s="763">
        <v>71.05</v>
      </c>
      <c r="F38" s="762">
        <v>71.069999999999993</v>
      </c>
      <c r="G38" s="763" t="e">
        <f t="shared" si="0"/>
        <v>#N/A</v>
      </c>
      <c r="H38" s="763">
        <f t="shared" si="1"/>
        <v>0.91999999999998749</v>
      </c>
      <c r="I38" s="763" t="s">
        <v>1418</v>
      </c>
    </row>
    <row r="39" spans="1:9" x14ac:dyDescent="0.25">
      <c r="A39" s="827"/>
      <c r="C39" s="763">
        <v>70.7</v>
      </c>
      <c r="D39" s="763">
        <v>71.27</v>
      </c>
      <c r="E39" s="763">
        <v>70.89</v>
      </c>
      <c r="F39" s="762">
        <v>71.72</v>
      </c>
      <c r="G39" s="763" t="e">
        <f t="shared" si="0"/>
        <v>#N/A</v>
      </c>
      <c r="H39" s="763">
        <f t="shared" si="1"/>
        <v>1.019999999999996</v>
      </c>
      <c r="I39" s="763" t="s">
        <v>1418</v>
      </c>
    </row>
    <row r="40" spans="1:9" x14ac:dyDescent="0.25">
      <c r="A40" s="827"/>
      <c r="C40" s="763">
        <v>70.03</v>
      </c>
      <c r="D40" s="763">
        <v>72.319999999999993</v>
      </c>
      <c r="E40" s="763">
        <v>71.87</v>
      </c>
      <c r="F40" s="762">
        <v>71</v>
      </c>
      <c r="G40" s="763" t="e">
        <f t="shared" si="0"/>
        <v>#N/A</v>
      </c>
      <c r="H40" s="763">
        <f t="shared" si="1"/>
        <v>0.96999999999999886</v>
      </c>
      <c r="I40" s="763" t="s">
        <v>1418</v>
      </c>
    </row>
    <row r="41" spans="1:9" x14ac:dyDescent="0.25">
      <c r="A41" s="827"/>
      <c r="C41" s="763">
        <v>70.48</v>
      </c>
      <c r="D41" s="763">
        <v>71.12</v>
      </c>
      <c r="E41" s="763">
        <v>70.89</v>
      </c>
      <c r="F41" s="762">
        <v>71.61</v>
      </c>
      <c r="G41" s="763" t="e">
        <f t="shared" si="0"/>
        <v>#N/A</v>
      </c>
      <c r="H41" s="763">
        <f t="shared" si="1"/>
        <v>1.1299999999999955</v>
      </c>
      <c r="I41" s="763" t="s">
        <v>1418</v>
      </c>
    </row>
    <row r="42" spans="1:9" x14ac:dyDescent="0.25">
      <c r="A42" s="827"/>
      <c r="C42" s="763">
        <v>70.099999999999994</v>
      </c>
      <c r="D42" s="763">
        <v>70.84</v>
      </c>
      <c r="E42" s="763">
        <v>70.680000000000007</v>
      </c>
      <c r="F42" s="762">
        <v>71.069999999999993</v>
      </c>
      <c r="G42" s="763" t="e">
        <f t="shared" si="0"/>
        <v>#N/A</v>
      </c>
      <c r="H42" s="763">
        <f t="shared" si="1"/>
        <v>0.96999999999999886</v>
      </c>
      <c r="I42" s="763" t="s">
        <v>1418</v>
      </c>
    </row>
    <row r="43" spans="1:9" x14ac:dyDescent="0.25">
      <c r="A43" s="827"/>
      <c r="C43" s="763">
        <v>70.540000000000006</v>
      </c>
      <c r="D43" s="763">
        <v>72.55</v>
      </c>
      <c r="E43" s="763">
        <v>72.3</v>
      </c>
      <c r="F43" s="762">
        <v>70.930000000000007</v>
      </c>
      <c r="G43" s="763" t="e">
        <f t="shared" si="0"/>
        <v>#N/A</v>
      </c>
      <c r="H43" s="763">
        <f t="shared" si="1"/>
        <v>0.39000000000000057</v>
      </c>
      <c r="I43" s="763" t="s">
        <v>1418</v>
      </c>
    </row>
    <row r="44" spans="1:9" x14ac:dyDescent="0.25">
      <c r="A44" s="827"/>
      <c r="C44" s="763">
        <v>71.23</v>
      </c>
      <c r="D44" s="763">
        <v>72.48</v>
      </c>
      <c r="E44" s="763">
        <v>72.34</v>
      </c>
      <c r="F44" s="762">
        <v>71.150000000000006</v>
      </c>
      <c r="G44" s="763" t="e">
        <f t="shared" si="0"/>
        <v>#N/A</v>
      </c>
      <c r="H44" s="763">
        <f t="shared" si="1"/>
        <v>-7.9999999999998295E-2</v>
      </c>
      <c r="I44" s="763" t="s">
        <v>1418</v>
      </c>
    </row>
    <row r="45" spans="1:9" x14ac:dyDescent="0.25">
      <c r="A45" s="827"/>
      <c r="C45" s="763">
        <v>80.8</v>
      </c>
      <c r="D45" s="763">
        <v>78.12</v>
      </c>
      <c r="E45" s="763">
        <v>76.52</v>
      </c>
      <c r="F45" s="762">
        <v>79.989999999999995</v>
      </c>
      <c r="G45" s="763" t="e">
        <f t="shared" si="0"/>
        <v>#N/A</v>
      </c>
      <c r="H45" s="763">
        <f t="shared" si="1"/>
        <v>-0.81000000000000227</v>
      </c>
      <c r="I45" s="763" t="s">
        <v>1419</v>
      </c>
    </row>
    <row r="46" spans="1:9" x14ac:dyDescent="0.25">
      <c r="A46" s="827"/>
      <c r="C46" s="763">
        <v>82.35</v>
      </c>
      <c r="D46" s="763">
        <v>83.55</v>
      </c>
      <c r="E46" s="763">
        <v>80.06</v>
      </c>
      <c r="F46" s="762">
        <v>80.75</v>
      </c>
      <c r="G46" s="763" t="e">
        <f t="shared" si="0"/>
        <v>#N/A</v>
      </c>
      <c r="H46" s="763">
        <f t="shared" si="1"/>
        <v>-1.5999999999999943</v>
      </c>
      <c r="I46" s="763" t="s">
        <v>1419</v>
      </c>
    </row>
    <row r="47" spans="1:9" x14ac:dyDescent="0.25">
      <c r="A47" s="827"/>
      <c r="C47" s="763">
        <v>86.35</v>
      </c>
      <c r="D47" s="763">
        <v>80.81</v>
      </c>
      <c r="E47" s="763">
        <v>77.55</v>
      </c>
      <c r="F47" s="762">
        <v>83.9</v>
      </c>
      <c r="G47" s="763" t="e">
        <f t="shared" si="0"/>
        <v>#N/A</v>
      </c>
      <c r="H47" s="763">
        <f t="shared" si="1"/>
        <v>-2.4499999999999886</v>
      </c>
      <c r="I47" s="763" t="s">
        <v>1419</v>
      </c>
    </row>
    <row r="48" spans="1:9" x14ac:dyDescent="0.25">
      <c r="A48" s="827"/>
      <c r="C48" s="763">
        <v>94.95</v>
      </c>
      <c r="D48" s="763">
        <v>84.73</v>
      </c>
      <c r="E48" s="763">
        <v>80.53</v>
      </c>
      <c r="F48" s="762">
        <v>84.16</v>
      </c>
      <c r="G48" s="763" t="e">
        <f t="shared" si="0"/>
        <v>#N/A</v>
      </c>
      <c r="H48" s="763">
        <f t="shared" si="1"/>
        <v>-10.790000000000006</v>
      </c>
      <c r="I48" s="763" t="s">
        <v>1419</v>
      </c>
    </row>
    <row r="49" spans="1:9" x14ac:dyDescent="0.25">
      <c r="A49" s="827"/>
      <c r="C49" s="763">
        <v>100.45</v>
      </c>
      <c r="D49" s="763">
        <v>91.07</v>
      </c>
      <c r="E49" s="763">
        <v>84.95</v>
      </c>
      <c r="F49" s="762">
        <v>85.83</v>
      </c>
      <c r="G49" s="763" t="e">
        <f t="shared" si="0"/>
        <v>#N/A</v>
      </c>
      <c r="H49" s="763">
        <f t="shared" si="1"/>
        <v>-14.620000000000005</v>
      </c>
      <c r="I49" s="763" t="s">
        <v>1419</v>
      </c>
    </row>
    <row r="50" spans="1:9" x14ac:dyDescent="0.25">
      <c r="A50" s="827"/>
      <c r="C50" s="763">
        <v>125</v>
      </c>
      <c r="D50" s="763">
        <v>100.1</v>
      </c>
      <c r="E50" s="763">
        <v>93.45</v>
      </c>
      <c r="F50" s="762">
        <v>108.91</v>
      </c>
      <c r="G50" s="763" t="e">
        <f t="shared" si="0"/>
        <v>#N/A</v>
      </c>
      <c r="H50" s="763">
        <f t="shared" si="1"/>
        <v>-16.090000000000003</v>
      </c>
      <c r="I50" s="763" t="s">
        <v>1419</v>
      </c>
    </row>
    <row r="51" spans="1:9" x14ac:dyDescent="0.25">
      <c r="A51" s="827"/>
      <c r="C51" s="763">
        <v>115.2</v>
      </c>
      <c r="D51" s="763">
        <v>88.89</v>
      </c>
      <c r="E51" s="763">
        <v>85.49</v>
      </c>
      <c r="F51" s="762">
        <v>91.06</v>
      </c>
      <c r="G51" s="763" t="e">
        <f t="shared" si="0"/>
        <v>#N/A</v>
      </c>
      <c r="H51" s="763">
        <f t="shared" si="1"/>
        <v>-24.14</v>
      </c>
      <c r="I51" s="763" t="s">
        <v>1419</v>
      </c>
    </row>
    <row r="52" spans="1:9" x14ac:dyDescent="0.25">
      <c r="A52" s="827"/>
      <c r="C52" s="763">
        <v>119.55</v>
      </c>
      <c r="D52" s="763">
        <v>92.56</v>
      </c>
      <c r="E52" s="763">
        <v>89</v>
      </c>
      <c r="F52" s="762">
        <v>90.03</v>
      </c>
      <c r="G52" s="763" t="e">
        <f t="shared" si="0"/>
        <v>#N/A</v>
      </c>
      <c r="H52" s="763">
        <f t="shared" si="1"/>
        <v>-29.519999999999996</v>
      </c>
      <c r="I52" s="763" t="s">
        <v>1419</v>
      </c>
    </row>
    <row r="53" spans="1:9" x14ac:dyDescent="0.25">
      <c r="A53" s="827"/>
      <c r="C53" s="763">
        <v>134.4</v>
      </c>
      <c r="D53" s="763">
        <v>99.19</v>
      </c>
      <c r="E53" s="763">
        <v>95.3</v>
      </c>
      <c r="F53" s="762">
        <v>97.76</v>
      </c>
      <c r="G53" s="763" t="e">
        <f t="shared" si="0"/>
        <v>#N/A</v>
      </c>
      <c r="H53" s="763">
        <f t="shared" si="1"/>
        <v>-36.64</v>
      </c>
      <c r="I53" s="763" t="s">
        <v>1419</v>
      </c>
    </row>
    <row r="54" spans="1:9" x14ac:dyDescent="0.25">
      <c r="A54" s="827"/>
      <c r="C54" s="763">
        <v>145.51</v>
      </c>
      <c r="D54" s="763">
        <v>102.03</v>
      </c>
      <c r="E54" s="763">
        <v>97.68</v>
      </c>
      <c r="F54" s="762">
        <v>101.74</v>
      </c>
      <c r="G54" s="763" t="e">
        <f t="shared" si="0"/>
        <v>#N/A</v>
      </c>
      <c r="H54" s="763">
        <f t="shared" si="1"/>
        <v>-43.769999999999996</v>
      </c>
      <c r="I54" s="763" t="s">
        <v>1419</v>
      </c>
    </row>
    <row r="55" spans="1:9" x14ac:dyDescent="0.25">
      <c r="A55" s="827"/>
      <c r="C55" s="763">
        <v>153.24</v>
      </c>
      <c r="D55" s="763">
        <v>103.01</v>
      </c>
      <c r="E55" s="763">
        <v>98.53</v>
      </c>
      <c r="F55" s="762">
        <v>105.81</v>
      </c>
      <c r="G55" s="763" t="e">
        <f t="shared" si="0"/>
        <v>#N/A</v>
      </c>
      <c r="H55" s="763">
        <f t="shared" si="1"/>
        <v>-47.430000000000007</v>
      </c>
      <c r="I55" s="763" t="s">
        <v>1419</v>
      </c>
    </row>
    <row r="56" spans="1:9" x14ac:dyDescent="0.25">
      <c r="A56" s="827"/>
      <c r="C56" s="763">
        <v>157.66</v>
      </c>
      <c r="D56" s="763">
        <v>101.51</v>
      </c>
      <c r="E56" s="763">
        <v>97.64</v>
      </c>
      <c r="F56" s="762">
        <v>104.11</v>
      </c>
      <c r="G56" s="763" t="e">
        <f t="shared" si="0"/>
        <v>#N/A</v>
      </c>
      <c r="H56" s="763">
        <f t="shared" si="1"/>
        <v>-53.55</v>
      </c>
      <c r="I56" s="763" t="s">
        <v>1419</v>
      </c>
    </row>
    <row r="57" spans="1:9" x14ac:dyDescent="0.25">
      <c r="A57" s="827"/>
      <c r="C57" s="763">
        <v>155.55000000000001</v>
      </c>
      <c r="D57" s="763">
        <v>108.37</v>
      </c>
      <c r="E57" s="763">
        <v>103.8</v>
      </c>
      <c r="F57" s="762">
        <v>102.7</v>
      </c>
      <c r="G57" s="763" t="e">
        <f t="shared" si="0"/>
        <v>#N/A</v>
      </c>
      <c r="H57" s="763">
        <f t="shared" si="1"/>
        <v>-52.850000000000009</v>
      </c>
      <c r="I57" s="763" t="s">
        <v>1419</v>
      </c>
    </row>
    <row r="58" spans="1:9" x14ac:dyDescent="0.25">
      <c r="A58" s="827"/>
      <c r="C58" s="763">
        <v>166.8</v>
      </c>
      <c r="D58" s="763">
        <v>111.02</v>
      </c>
      <c r="E58" s="763">
        <v>106.08</v>
      </c>
      <c r="F58" s="762">
        <v>114.13</v>
      </c>
      <c r="G58" s="763" t="e">
        <f t="shared" si="0"/>
        <v>#N/A</v>
      </c>
      <c r="H58" s="763">
        <f t="shared" si="1"/>
        <v>-52.670000000000016</v>
      </c>
      <c r="I58" s="763" t="s">
        <v>1419</v>
      </c>
    </row>
    <row r="59" spans="1:9" x14ac:dyDescent="0.25">
      <c r="A59" s="827"/>
      <c r="C59" s="763">
        <v>158.85</v>
      </c>
      <c r="D59" s="763">
        <v>109.74</v>
      </c>
      <c r="E59" s="763">
        <v>105.34</v>
      </c>
      <c r="F59" s="762">
        <v>107.74</v>
      </c>
      <c r="G59" s="763" t="e">
        <f t="shared" si="0"/>
        <v>#N/A</v>
      </c>
      <c r="H59" s="763">
        <f t="shared" si="1"/>
        <v>-51.11</v>
      </c>
      <c r="I59" s="763" t="s">
        <v>1419</v>
      </c>
    </row>
    <row r="60" spans="1:9" x14ac:dyDescent="0.25">
      <c r="A60" s="827"/>
      <c r="C60" s="763">
        <v>169.75</v>
      </c>
      <c r="D60" s="763">
        <v>103.96</v>
      </c>
      <c r="E60" s="763">
        <v>99.67</v>
      </c>
      <c r="F60" s="762">
        <v>113.98</v>
      </c>
      <c r="G60" s="763" t="e">
        <f t="shared" si="0"/>
        <v>#N/A</v>
      </c>
      <c r="H60" s="763">
        <f t="shared" si="1"/>
        <v>-55.769999999999996</v>
      </c>
      <c r="I60" s="763" t="s">
        <v>1419</v>
      </c>
    </row>
    <row r="61" spans="1:9" x14ac:dyDescent="0.25">
      <c r="A61" s="827"/>
      <c r="C61" s="763">
        <v>157</v>
      </c>
      <c r="D61" s="763">
        <v>103.69</v>
      </c>
      <c r="E61" s="763">
        <v>99.6</v>
      </c>
      <c r="F61" s="762">
        <v>102.55</v>
      </c>
      <c r="G61" s="763" t="e">
        <f t="shared" si="0"/>
        <v>#N/A</v>
      </c>
      <c r="H61" s="763">
        <f t="shared" si="1"/>
        <v>-54.45</v>
      </c>
      <c r="I61" s="763" t="s">
        <v>1419</v>
      </c>
    </row>
    <row r="62" spans="1:9" x14ac:dyDescent="0.25">
      <c r="A62" s="827"/>
      <c r="C62" s="763">
        <v>142.55000000000001</v>
      </c>
      <c r="D62" s="763">
        <v>101.25</v>
      </c>
      <c r="E62" s="763">
        <v>96.72</v>
      </c>
      <c r="F62" s="762">
        <v>98.67</v>
      </c>
      <c r="G62" s="763" t="e">
        <f t="shared" si="0"/>
        <v>#N/A</v>
      </c>
      <c r="H62" s="763">
        <f t="shared" si="1"/>
        <v>-43.88000000000001</v>
      </c>
      <c r="I62" s="763" t="s">
        <v>1419</v>
      </c>
    </row>
    <row r="63" spans="1:9" x14ac:dyDescent="0.25">
      <c r="A63" s="827"/>
      <c r="C63" s="763">
        <v>113.04</v>
      </c>
      <c r="D63" s="763">
        <v>108.87</v>
      </c>
      <c r="E63" s="763">
        <v>102.4</v>
      </c>
      <c r="F63" s="762">
        <v>106.03</v>
      </c>
      <c r="G63" s="763" t="e">
        <f t="shared" si="0"/>
        <v>#N/A</v>
      </c>
      <c r="H63" s="763">
        <f t="shared" si="1"/>
        <v>-7.0100000000000051</v>
      </c>
      <c r="I63" s="763" t="s">
        <v>1419</v>
      </c>
    </row>
    <row r="64" spans="1:9" x14ac:dyDescent="0.25">
      <c r="A64" s="827"/>
      <c r="C64" s="763">
        <v>122.14</v>
      </c>
      <c r="D64" s="763">
        <v>111.67</v>
      </c>
      <c r="E64" s="763">
        <v>104.33</v>
      </c>
      <c r="F64" s="762">
        <v>110.68</v>
      </c>
      <c r="G64" s="763" t="e">
        <f t="shared" si="0"/>
        <v>#N/A</v>
      </c>
      <c r="H64" s="763">
        <f t="shared" si="1"/>
        <v>-11.459999999999994</v>
      </c>
      <c r="I64" s="763" t="s">
        <v>1419</v>
      </c>
    </row>
    <row r="65" spans="1:9" x14ac:dyDescent="0.25">
      <c r="A65" s="827"/>
      <c r="C65" s="763">
        <v>125.29</v>
      </c>
      <c r="D65" s="763">
        <v>112.48</v>
      </c>
      <c r="E65" s="763">
        <v>107.45</v>
      </c>
      <c r="F65" s="762">
        <v>117.09</v>
      </c>
      <c r="G65" s="763" t="e">
        <f t="shared" si="0"/>
        <v>#N/A</v>
      </c>
      <c r="H65" s="763">
        <f t="shared" si="1"/>
        <v>-8.2000000000000028</v>
      </c>
      <c r="I65" s="763" t="s">
        <v>1419</v>
      </c>
    </row>
    <row r="66" spans="1:9" x14ac:dyDescent="0.25">
      <c r="A66" s="827"/>
      <c r="C66" s="763">
        <v>121.1</v>
      </c>
      <c r="D66" s="763">
        <v>118.99</v>
      </c>
      <c r="E66" s="763">
        <v>107.41</v>
      </c>
      <c r="F66" s="762">
        <v>112.71</v>
      </c>
      <c r="G66" s="763" t="e">
        <f t="shared" si="0"/>
        <v>#N/A</v>
      </c>
      <c r="H66" s="763">
        <f t="shared" si="1"/>
        <v>-8.39</v>
      </c>
      <c r="I66" s="763" t="s">
        <v>1419</v>
      </c>
    </row>
    <row r="67" spans="1:9" x14ac:dyDescent="0.25">
      <c r="A67" s="827"/>
      <c r="C67" s="763">
        <v>108.9</v>
      </c>
      <c r="D67" s="763">
        <v>101.88</v>
      </c>
      <c r="E67" s="763">
        <v>93.57</v>
      </c>
      <c r="F67" s="762">
        <v>102.39</v>
      </c>
      <c r="G67" s="763" t="e">
        <f t="shared" si="0"/>
        <v>#N/A</v>
      </c>
      <c r="H67" s="763">
        <f t="shared" si="1"/>
        <v>-6.5100000000000051</v>
      </c>
      <c r="I67" s="763" t="s">
        <v>1420</v>
      </c>
    </row>
    <row r="68" spans="1:9" x14ac:dyDescent="0.25">
      <c r="A68" s="827"/>
      <c r="C68" s="763">
        <v>114.6</v>
      </c>
      <c r="D68" s="763">
        <v>107.07</v>
      </c>
      <c r="E68" s="763">
        <v>97.44</v>
      </c>
      <c r="F68" s="762">
        <v>108.38</v>
      </c>
      <c r="G68" s="763" t="e">
        <f t="shared" ref="G68:G91" si="2">IF(AND(ISNUMBER($B68),ISNUMBER($D68)),$B68-$D68, NA())</f>
        <v>#N/A</v>
      </c>
      <c r="H68" s="763">
        <f t="shared" si="1"/>
        <v>-6.2199999999999989</v>
      </c>
      <c r="I68" s="763" t="s">
        <v>1420</v>
      </c>
    </row>
    <row r="69" spans="1:9" x14ac:dyDescent="0.25">
      <c r="A69" s="827"/>
      <c r="C69" s="763" t="e">
        <v>#N/A</v>
      </c>
      <c r="D69" s="763" t="e">
        <v>#N/A</v>
      </c>
      <c r="E69" s="763" t="e">
        <v>#N/A</v>
      </c>
      <c r="F69" s="762" t="e">
        <v>#N/A</v>
      </c>
      <c r="G69" s="763" t="e">
        <f t="shared" si="2"/>
        <v>#N/A</v>
      </c>
      <c r="H69" s="763" t="e">
        <f t="shared" ref="H69:H91" si="3">IF(AND(ISNUMBER($C69),ISNUMBER($F69)), $F69 - $C69, NA())</f>
        <v>#N/A</v>
      </c>
      <c r="I69" s="763" t="s">
        <v>1416</v>
      </c>
    </row>
    <row r="70" spans="1:9" x14ac:dyDescent="0.25">
      <c r="A70" s="827"/>
      <c r="C70" s="763">
        <v>120.2</v>
      </c>
      <c r="D70" s="763">
        <v>109.62</v>
      </c>
      <c r="E70" s="763">
        <v>99.91</v>
      </c>
      <c r="F70" s="762">
        <v>109.15</v>
      </c>
      <c r="G70" s="763" t="e">
        <f t="shared" si="2"/>
        <v>#N/A</v>
      </c>
      <c r="H70" s="763">
        <f t="shared" si="3"/>
        <v>-11.049999999999997</v>
      </c>
      <c r="I70" s="763" t="s">
        <v>1420</v>
      </c>
    </row>
    <row r="71" spans="1:9" x14ac:dyDescent="0.25">
      <c r="A71" s="827"/>
      <c r="C71" s="763">
        <v>121.86</v>
      </c>
      <c r="D71" s="763">
        <v>110.73</v>
      </c>
      <c r="E71" s="763">
        <v>101.02</v>
      </c>
      <c r="F71" s="762">
        <v>111.17</v>
      </c>
      <c r="G71" s="763" t="e">
        <f t="shared" si="2"/>
        <v>#N/A</v>
      </c>
      <c r="H71" s="763">
        <f t="shared" si="3"/>
        <v>-10.689999999999998</v>
      </c>
      <c r="I71" s="763" t="s">
        <v>1420</v>
      </c>
    </row>
    <row r="72" spans="1:9" x14ac:dyDescent="0.25">
      <c r="A72" s="827"/>
      <c r="C72" s="763">
        <v>101.2</v>
      </c>
      <c r="D72" s="763">
        <v>95.64</v>
      </c>
      <c r="E72" s="763">
        <v>90.53</v>
      </c>
      <c r="F72" s="762">
        <v>96.04</v>
      </c>
      <c r="G72" s="763" t="e">
        <f t="shared" si="2"/>
        <v>#N/A</v>
      </c>
      <c r="H72" s="763">
        <f t="shared" si="3"/>
        <v>-5.1599999999999966</v>
      </c>
      <c r="I72" s="763" t="s">
        <v>1420</v>
      </c>
    </row>
    <row r="73" spans="1:9" x14ac:dyDescent="0.25">
      <c r="A73" s="827"/>
      <c r="C73" s="763">
        <v>102</v>
      </c>
      <c r="D73" s="763">
        <v>99.04</v>
      </c>
      <c r="E73" s="763">
        <v>93.11</v>
      </c>
      <c r="F73" s="762">
        <v>98.46</v>
      </c>
      <c r="G73" s="763" t="e">
        <f t="shared" si="2"/>
        <v>#N/A</v>
      </c>
      <c r="H73" s="763">
        <f t="shared" si="3"/>
        <v>-3.5400000000000063</v>
      </c>
      <c r="I73" s="763" t="s">
        <v>1420</v>
      </c>
    </row>
    <row r="74" spans="1:9" x14ac:dyDescent="0.25">
      <c r="A74" s="827"/>
      <c r="C74" s="763">
        <v>100.86</v>
      </c>
      <c r="D74" s="763">
        <v>96.67</v>
      </c>
      <c r="E74" s="763">
        <v>91.64</v>
      </c>
      <c r="F74" s="762">
        <v>97.98</v>
      </c>
      <c r="G74" s="763" t="e">
        <f t="shared" si="2"/>
        <v>#N/A</v>
      </c>
      <c r="H74" s="763">
        <f t="shared" si="3"/>
        <v>-2.8799999999999955</v>
      </c>
      <c r="I74" s="763" t="s">
        <v>1420</v>
      </c>
    </row>
    <row r="75" spans="1:9" x14ac:dyDescent="0.25">
      <c r="A75" s="827"/>
      <c r="C75" s="763">
        <v>106.5</v>
      </c>
      <c r="D75" s="763">
        <v>101.79</v>
      </c>
      <c r="E75" s="763">
        <v>95.13</v>
      </c>
      <c r="F75" s="762">
        <v>102.6</v>
      </c>
      <c r="G75" s="763" t="e">
        <f t="shared" si="2"/>
        <v>#N/A</v>
      </c>
      <c r="H75" s="763">
        <f t="shared" si="3"/>
        <v>-3.9000000000000057</v>
      </c>
      <c r="I75" s="763" t="s">
        <v>1420</v>
      </c>
    </row>
    <row r="76" spans="1:9" x14ac:dyDescent="0.25">
      <c r="A76" s="827"/>
      <c r="C76" s="763">
        <v>103.15</v>
      </c>
      <c r="D76" s="763">
        <v>96.49</v>
      </c>
      <c r="E76" s="763">
        <v>91.67</v>
      </c>
      <c r="F76" s="762">
        <v>99.02</v>
      </c>
      <c r="G76" s="763" t="e">
        <f t="shared" si="2"/>
        <v>#N/A</v>
      </c>
      <c r="H76" s="763">
        <f t="shared" si="3"/>
        <v>-4.1300000000000097</v>
      </c>
      <c r="I76" s="763" t="s">
        <v>1420</v>
      </c>
    </row>
    <row r="77" spans="1:9" x14ac:dyDescent="0.25">
      <c r="A77" s="827"/>
      <c r="C77" s="763">
        <v>101.09</v>
      </c>
      <c r="D77" s="763">
        <v>95.5</v>
      </c>
      <c r="E77" s="763">
        <v>91.76</v>
      </c>
      <c r="F77" s="762">
        <v>95.39</v>
      </c>
      <c r="G77" s="763" t="e">
        <f t="shared" si="2"/>
        <v>#N/A</v>
      </c>
      <c r="H77" s="763">
        <f t="shared" si="3"/>
        <v>-5.7000000000000028</v>
      </c>
      <c r="I77" s="763" t="s">
        <v>1420</v>
      </c>
    </row>
    <row r="78" spans="1:9" x14ac:dyDescent="0.25">
      <c r="A78" s="827"/>
      <c r="C78" s="763">
        <v>101.8</v>
      </c>
      <c r="D78" s="763">
        <v>98.46</v>
      </c>
      <c r="E78" s="763">
        <v>93.29</v>
      </c>
      <c r="F78" s="762">
        <v>96.82</v>
      </c>
      <c r="G78" s="763" t="e">
        <f t="shared" si="2"/>
        <v>#N/A</v>
      </c>
      <c r="H78" s="763">
        <f t="shared" si="3"/>
        <v>-4.980000000000004</v>
      </c>
      <c r="I78" s="763" t="s">
        <v>1420</v>
      </c>
    </row>
    <row r="79" spans="1:9" x14ac:dyDescent="0.25">
      <c r="A79" s="827"/>
      <c r="C79" s="763">
        <v>102.2</v>
      </c>
      <c r="D79" s="763">
        <v>89.22</v>
      </c>
      <c r="E79" s="763">
        <v>86.13</v>
      </c>
      <c r="F79" s="762">
        <v>98.73</v>
      </c>
      <c r="G79" s="763" t="e">
        <f t="shared" si="2"/>
        <v>#N/A</v>
      </c>
      <c r="H79" s="763">
        <f t="shared" si="3"/>
        <v>-3.4699999999999989</v>
      </c>
      <c r="I79" s="763" t="s">
        <v>1420</v>
      </c>
    </row>
    <row r="80" spans="1:9" x14ac:dyDescent="0.25">
      <c r="A80" s="827"/>
      <c r="C80" s="763">
        <v>98.5</v>
      </c>
      <c r="D80" s="763">
        <v>95.16</v>
      </c>
      <c r="E80" s="763">
        <v>90.35</v>
      </c>
      <c r="F80" s="762">
        <v>96.22</v>
      </c>
      <c r="G80" s="763" t="e">
        <f t="shared" si="2"/>
        <v>#N/A</v>
      </c>
      <c r="H80" s="763">
        <f t="shared" si="3"/>
        <v>-2.2800000000000011</v>
      </c>
      <c r="I80" s="763" t="s">
        <v>1420</v>
      </c>
    </row>
    <row r="81" spans="1:9" x14ac:dyDescent="0.25">
      <c r="A81" s="827"/>
      <c r="C81" s="763">
        <v>94.27</v>
      </c>
      <c r="D81" s="763">
        <v>98.02</v>
      </c>
      <c r="E81" s="763">
        <v>93.13</v>
      </c>
      <c r="F81" s="762">
        <v>94.72</v>
      </c>
      <c r="G81" s="763" t="e">
        <f t="shared" si="2"/>
        <v>#N/A</v>
      </c>
      <c r="H81" s="763">
        <f t="shared" si="3"/>
        <v>0.45000000000000284</v>
      </c>
      <c r="I81" s="763" t="s">
        <v>1420</v>
      </c>
    </row>
    <row r="82" spans="1:9" x14ac:dyDescent="0.25">
      <c r="A82" s="827"/>
      <c r="C82" s="763">
        <v>100.4</v>
      </c>
      <c r="D82" s="763">
        <v>101.26</v>
      </c>
      <c r="E82" s="763">
        <v>95.81</v>
      </c>
      <c r="F82" s="762">
        <v>100.04</v>
      </c>
      <c r="G82" s="763" t="e">
        <f t="shared" si="2"/>
        <v>#N/A</v>
      </c>
      <c r="H82" s="763">
        <f t="shared" si="3"/>
        <v>-0.35999999999999943</v>
      </c>
      <c r="I82" s="763" t="s">
        <v>1420</v>
      </c>
    </row>
    <row r="83" spans="1:9" x14ac:dyDescent="0.25">
      <c r="A83" s="827"/>
      <c r="C83" s="763">
        <v>104.81</v>
      </c>
      <c r="D83" s="763">
        <v>102.94</v>
      </c>
      <c r="E83" s="763">
        <v>97.6</v>
      </c>
      <c r="F83" s="762">
        <v>103.62</v>
      </c>
      <c r="G83" s="763" t="e">
        <f t="shared" si="2"/>
        <v>#N/A</v>
      </c>
      <c r="H83" s="763">
        <f t="shared" si="3"/>
        <v>-1.1899999999999977</v>
      </c>
      <c r="I83" s="763" t="s">
        <v>1420</v>
      </c>
    </row>
    <row r="84" spans="1:9" x14ac:dyDescent="0.25">
      <c r="A84" s="827"/>
      <c r="C84" s="763">
        <v>107.2</v>
      </c>
      <c r="D84" s="763">
        <v>106.14</v>
      </c>
      <c r="E84" s="763">
        <v>99.91</v>
      </c>
      <c r="F84" s="762">
        <v>107.22</v>
      </c>
      <c r="G84" s="763" t="e">
        <f t="shared" si="2"/>
        <v>#N/A</v>
      </c>
      <c r="H84" s="763">
        <f t="shared" si="3"/>
        <v>1.9999999999996021E-2</v>
      </c>
      <c r="I84" s="763" t="s">
        <v>1420</v>
      </c>
    </row>
    <row r="85" spans="1:9" x14ac:dyDescent="0.25">
      <c r="A85" s="827"/>
      <c r="C85" s="763">
        <v>104.2</v>
      </c>
      <c r="D85" s="763">
        <v>108.76</v>
      </c>
      <c r="E85" s="763">
        <v>101.92</v>
      </c>
      <c r="F85" s="762">
        <v>108.75</v>
      </c>
      <c r="G85" s="763" t="e">
        <f t="shared" si="2"/>
        <v>#N/A</v>
      </c>
      <c r="H85" s="763">
        <f t="shared" si="3"/>
        <v>4.5499999999999972</v>
      </c>
      <c r="I85" s="763" t="s">
        <v>1420</v>
      </c>
    </row>
    <row r="86" spans="1:9" x14ac:dyDescent="0.25">
      <c r="A86" s="827"/>
      <c r="C86" s="763">
        <v>107.2</v>
      </c>
      <c r="D86" s="763">
        <v>111.21</v>
      </c>
      <c r="E86" s="763">
        <v>104.07</v>
      </c>
      <c r="F86" s="762">
        <v>110.48</v>
      </c>
      <c r="G86" s="763" t="e">
        <f t="shared" si="2"/>
        <v>#N/A</v>
      </c>
      <c r="H86" s="763">
        <f t="shared" si="3"/>
        <v>3.2800000000000011</v>
      </c>
      <c r="I86" s="763" t="s">
        <v>1420</v>
      </c>
    </row>
    <row r="87" spans="1:9" x14ac:dyDescent="0.25">
      <c r="A87" s="827"/>
      <c r="C87" s="763">
        <v>106.49</v>
      </c>
      <c r="D87" s="763">
        <v>118.09</v>
      </c>
      <c r="E87" s="763">
        <v>109.94</v>
      </c>
      <c r="F87" s="762">
        <v>115.04</v>
      </c>
      <c r="G87" s="763" t="e">
        <f t="shared" si="2"/>
        <v>#N/A</v>
      </c>
      <c r="H87" s="763">
        <f t="shared" si="3"/>
        <v>8.5500000000000114</v>
      </c>
      <c r="I87" s="763" t="s">
        <v>1420</v>
      </c>
    </row>
    <row r="88" spans="1:9" x14ac:dyDescent="0.25">
      <c r="A88" s="827"/>
      <c r="C88" s="763">
        <v>112.2</v>
      </c>
      <c r="D88" s="763">
        <v>114.26</v>
      </c>
      <c r="E88" s="763">
        <v>109.36</v>
      </c>
      <c r="F88" s="762">
        <v>126.93</v>
      </c>
      <c r="G88" s="763" t="e">
        <f t="shared" si="2"/>
        <v>#N/A</v>
      </c>
      <c r="H88" s="763">
        <f t="shared" si="3"/>
        <v>14.730000000000004</v>
      </c>
      <c r="I88" s="763" t="s">
        <v>1420</v>
      </c>
    </row>
    <row r="89" spans="1:9" x14ac:dyDescent="0.25">
      <c r="A89" s="827"/>
      <c r="C89" s="763" t="e">
        <v>#N/A</v>
      </c>
      <c r="D89" s="763">
        <v>108.61</v>
      </c>
      <c r="E89" s="763">
        <v>101.99</v>
      </c>
      <c r="F89" s="762" t="e">
        <v>#N/A</v>
      </c>
      <c r="G89" s="763" t="e">
        <f t="shared" si="2"/>
        <v>#N/A</v>
      </c>
      <c r="H89" s="763" t="e">
        <f t="shared" si="3"/>
        <v>#N/A</v>
      </c>
      <c r="I89" s="763" t="s">
        <v>1421</v>
      </c>
    </row>
    <row r="90" spans="1:9" x14ac:dyDescent="0.25">
      <c r="A90" s="827"/>
      <c r="C90" s="763">
        <v>102.81</v>
      </c>
      <c r="D90" s="763">
        <v>113.8</v>
      </c>
      <c r="E90" s="763">
        <v>107.1</v>
      </c>
      <c r="F90" s="762">
        <v>109.95</v>
      </c>
      <c r="G90" s="763" t="e">
        <f t="shared" si="2"/>
        <v>#N/A</v>
      </c>
      <c r="H90" s="763">
        <f t="shared" si="3"/>
        <v>7.1400000000000006</v>
      </c>
      <c r="I90" s="763" t="s">
        <v>1421</v>
      </c>
    </row>
    <row r="91" spans="1:9" x14ac:dyDescent="0.25">
      <c r="A91" s="827"/>
      <c r="C91" s="763">
        <v>106.6</v>
      </c>
      <c r="D91" s="763">
        <v>110.91</v>
      </c>
      <c r="E91" s="763">
        <v>105.49</v>
      </c>
      <c r="F91" s="762">
        <v>112.92</v>
      </c>
      <c r="G91" s="763" t="e">
        <f t="shared" si="2"/>
        <v>#N/A</v>
      </c>
      <c r="H91" s="763">
        <f t="shared" si="3"/>
        <v>6.3200000000000074</v>
      </c>
      <c r="I91" s="763" t="s">
        <v>1421</v>
      </c>
    </row>
    <row r="92" spans="1:9" x14ac:dyDescent="0.25">
      <c r="A92" s="827"/>
      <c r="C92" s="763">
        <v>103.69</v>
      </c>
      <c r="D92" s="763">
        <v>101.77</v>
      </c>
      <c r="E92" s="763">
        <v>97.65</v>
      </c>
      <c r="F92" s="762">
        <v>106.81</v>
      </c>
      <c r="I92" s="763" t="s">
        <v>1421</v>
      </c>
    </row>
    <row r="93" spans="1:9" x14ac:dyDescent="0.25">
      <c r="A93" s="827"/>
      <c r="C93" s="763">
        <v>97.59</v>
      </c>
      <c r="D93" s="763">
        <v>98.53</v>
      </c>
      <c r="E93" s="763">
        <v>94.88</v>
      </c>
      <c r="F93" s="762">
        <v>100.46</v>
      </c>
      <c r="I93" s="763" t="s">
        <v>1421</v>
      </c>
    </row>
    <row r="94" spans="1:9" x14ac:dyDescent="0.25">
      <c r="A94" s="827"/>
      <c r="C94" s="763">
        <v>97.39</v>
      </c>
      <c r="D94" s="763">
        <v>101.89</v>
      </c>
      <c r="E94" s="763">
        <v>98.03</v>
      </c>
      <c r="F94" s="762">
        <v>100.41</v>
      </c>
      <c r="I94" s="763" t="s">
        <v>1421</v>
      </c>
    </row>
    <row r="95" spans="1:9" x14ac:dyDescent="0.25">
      <c r="A95" s="827"/>
      <c r="C95" s="763">
        <v>101.11</v>
      </c>
      <c r="D95" s="763">
        <v>103.66</v>
      </c>
      <c r="E95" s="763">
        <v>99.84</v>
      </c>
      <c r="F95" s="762">
        <v>104.2</v>
      </c>
      <c r="I95" s="763" t="s">
        <v>1421</v>
      </c>
    </row>
    <row r="96" spans="1:9" x14ac:dyDescent="0.25">
      <c r="A96" s="827"/>
      <c r="C96" s="763">
        <v>104.9</v>
      </c>
      <c r="D96" s="763">
        <v>108.22</v>
      </c>
      <c r="E96" s="763">
        <v>104.02</v>
      </c>
      <c r="F96" s="762">
        <v>107.05</v>
      </c>
      <c r="I96" s="763" t="s">
        <v>1421</v>
      </c>
    </row>
    <row r="97" spans="1:9" x14ac:dyDescent="0.25">
      <c r="A97" s="827"/>
      <c r="C97" s="763">
        <v>104.9</v>
      </c>
      <c r="D97" s="763">
        <v>107.13</v>
      </c>
      <c r="E97" s="763">
        <v>102.94</v>
      </c>
      <c r="F97" s="762">
        <v>106.94</v>
      </c>
      <c r="I97" s="763" t="s">
        <v>1421</v>
      </c>
    </row>
    <row r="98" spans="1:9" x14ac:dyDescent="0.25">
      <c r="A98" s="827"/>
      <c r="C98" s="763">
        <v>105.5</v>
      </c>
      <c r="D98" s="763">
        <v>105.11</v>
      </c>
      <c r="E98" s="763">
        <v>100.96</v>
      </c>
      <c r="F98" s="762">
        <v>106.43</v>
      </c>
      <c r="I98" s="763" t="s">
        <v>1421</v>
      </c>
    </row>
    <row r="99" spans="1:9" x14ac:dyDescent="0.25">
      <c r="A99" s="827"/>
      <c r="C99" s="763">
        <v>107.3</v>
      </c>
      <c r="D99" s="763">
        <v>108.96</v>
      </c>
      <c r="E99" s="763">
        <v>104.31</v>
      </c>
      <c r="F99" s="762">
        <v>109.05</v>
      </c>
      <c r="I99" s="763" t="s">
        <v>1421</v>
      </c>
    </row>
    <row r="100" spans="1:9" x14ac:dyDescent="0.25">
      <c r="A100" s="827"/>
      <c r="C100" s="763">
        <v>107.89</v>
      </c>
      <c r="D100" s="763">
        <v>110.93</v>
      </c>
      <c r="E100" s="763">
        <v>106.37</v>
      </c>
      <c r="F100" s="762">
        <v>110.33</v>
      </c>
      <c r="I100" s="763" t="s">
        <v>1421</v>
      </c>
    </row>
    <row r="101" spans="1:9" x14ac:dyDescent="0.25">
      <c r="A101" s="827"/>
      <c r="C101" s="763">
        <v>106.795</v>
      </c>
      <c r="D101" s="763">
        <v>110.62</v>
      </c>
      <c r="E101" s="763">
        <v>106.22</v>
      </c>
      <c r="F101" s="762">
        <v>110.51</v>
      </c>
      <c r="I101" s="763" t="s">
        <v>1421</v>
      </c>
    </row>
    <row r="102" spans="1:9" x14ac:dyDescent="0.25">
      <c r="A102" s="827"/>
      <c r="C102" s="763">
        <v>106.6</v>
      </c>
      <c r="D102" s="763">
        <v>106.4</v>
      </c>
      <c r="E102" s="763">
        <v>102.3</v>
      </c>
      <c r="F102" s="762">
        <v>109.78</v>
      </c>
      <c r="I102" s="763" t="s">
        <v>1421</v>
      </c>
    </row>
    <row r="103" spans="1:9" x14ac:dyDescent="0.25">
      <c r="A103" s="827"/>
      <c r="C103" s="763">
        <v>103.7</v>
      </c>
      <c r="D103" s="763">
        <v>108.28</v>
      </c>
      <c r="E103" s="763">
        <v>104.55</v>
      </c>
      <c r="F103" s="762">
        <v>105.9</v>
      </c>
      <c r="I103" s="763" t="s">
        <v>1421</v>
      </c>
    </row>
    <row r="104" spans="1:9" x14ac:dyDescent="0.25">
      <c r="A104" s="827"/>
      <c r="C104" s="763">
        <v>104.01</v>
      </c>
      <c r="D104" s="763">
        <v>104.08</v>
      </c>
      <c r="E104" s="763">
        <v>101.06</v>
      </c>
      <c r="F104" s="762">
        <v>105.2</v>
      </c>
      <c r="I104" s="763" t="s">
        <v>1421</v>
      </c>
    </row>
    <row r="105" spans="1:9" x14ac:dyDescent="0.25">
      <c r="A105" s="827"/>
      <c r="C105" s="763">
        <v>98.09</v>
      </c>
      <c r="D105" s="763">
        <v>97.56</v>
      </c>
      <c r="E105" s="763">
        <v>94.66</v>
      </c>
      <c r="F105" s="762">
        <v>99.3</v>
      </c>
      <c r="I105" s="763" t="s">
        <v>1421</v>
      </c>
    </row>
    <row r="106" spans="1:9" x14ac:dyDescent="0.25">
      <c r="A106" s="827"/>
      <c r="C106" s="763">
        <v>98.01</v>
      </c>
      <c r="D106" s="763">
        <v>100.56</v>
      </c>
      <c r="E106" s="763">
        <v>97.62</v>
      </c>
      <c r="F106" s="762">
        <v>99.19</v>
      </c>
      <c r="I106" s="763" t="s">
        <v>1421</v>
      </c>
    </row>
    <row r="107" spans="1:9" x14ac:dyDescent="0.25">
      <c r="A107" s="827"/>
      <c r="C107" s="763" t="e">
        <v>#N/A</v>
      </c>
      <c r="D107" s="763">
        <v>96.49</v>
      </c>
      <c r="E107" s="763">
        <v>94.12</v>
      </c>
      <c r="F107" s="762" t="e">
        <v>#N/A</v>
      </c>
      <c r="I107" s="763" t="s">
        <v>1421</v>
      </c>
    </row>
    <row r="108" spans="1:9" x14ac:dyDescent="0.25">
      <c r="A108" s="827"/>
      <c r="C108" s="763">
        <v>99.21</v>
      </c>
      <c r="D108" s="763">
        <v>94.68</v>
      </c>
      <c r="E108" s="763">
        <v>93.26</v>
      </c>
      <c r="F108" s="762">
        <v>96.74</v>
      </c>
      <c r="I108" s="763" t="s">
        <v>1421</v>
      </c>
    </row>
    <row r="109" spans="1:9" x14ac:dyDescent="0.25">
      <c r="A109" s="827"/>
      <c r="C109" s="763">
        <v>103.7</v>
      </c>
      <c r="D109" s="763">
        <v>91.89</v>
      </c>
      <c r="E109" s="763">
        <v>90.48</v>
      </c>
      <c r="F109" s="762">
        <v>92.54</v>
      </c>
      <c r="I109" s="763" t="s">
        <v>1421</v>
      </c>
    </row>
    <row r="110" spans="1:9" x14ac:dyDescent="0.25">
      <c r="A110" s="827"/>
      <c r="C110" s="763" t="e">
        <v>#N/A</v>
      </c>
      <c r="D110" s="763">
        <v>96.93</v>
      </c>
      <c r="E110" s="763">
        <v>94.16</v>
      </c>
      <c r="F110" s="762" t="e">
        <v>#N/A</v>
      </c>
      <c r="I110" s="763" t="s">
        <v>1287</v>
      </c>
    </row>
    <row r="111" spans="1:9" x14ac:dyDescent="0.25">
      <c r="A111" s="827"/>
      <c r="C111" s="763">
        <v>92.8</v>
      </c>
      <c r="D111" s="763">
        <v>94.69</v>
      </c>
      <c r="E111" s="763">
        <v>92.34</v>
      </c>
      <c r="F111" s="762">
        <v>93.84</v>
      </c>
      <c r="I111" s="763" t="s">
        <v>1287</v>
      </c>
    </row>
    <row r="112" spans="1:9" x14ac:dyDescent="0.25">
      <c r="A112" s="827"/>
      <c r="C112" s="763">
        <v>97.41</v>
      </c>
      <c r="D112" s="763">
        <v>97.59</v>
      </c>
      <c r="E112" s="763">
        <v>95.04</v>
      </c>
      <c r="F112" s="762">
        <v>98.08</v>
      </c>
      <c r="I112" s="763" t="s">
        <v>1287</v>
      </c>
    </row>
    <row r="113" spans="1:9" x14ac:dyDescent="0.25">
      <c r="A113" s="827"/>
      <c r="C113" s="763">
        <v>95.51</v>
      </c>
      <c r="D113" s="763">
        <v>94.83</v>
      </c>
      <c r="E113" s="763">
        <v>92.32</v>
      </c>
      <c r="F113" s="762">
        <v>96.55</v>
      </c>
      <c r="I113" s="763" t="s">
        <v>1287</v>
      </c>
    </row>
    <row r="114" spans="1:9" x14ac:dyDescent="0.25">
      <c r="A114" s="827"/>
      <c r="C114" s="763">
        <v>91.25</v>
      </c>
      <c r="D114" s="763">
        <v>93.77</v>
      </c>
      <c r="E114" s="763">
        <v>91.33</v>
      </c>
      <c r="F114" s="762">
        <v>93.66</v>
      </c>
      <c r="I114" s="763" t="s">
        <v>1287</v>
      </c>
    </row>
    <row r="115" spans="1:9" x14ac:dyDescent="0.25">
      <c r="A115" s="827"/>
      <c r="C115" s="763">
        <v>93.6</v>
      </c>
      <c r="D115" s="763">
        <v>94.75</v>
      </c>
      <c r="E115" s="763">
        <v>92.64</v>
      </c>
      <c r="F115" s="762">
        <v>97.2</v>
      </c>
      <c r="I115" s="763" t="s">
        <v>1287</v>
      </c>
    </row>
    <row r="116" spans="1:9" x14ac:dyDescent="0.25">
      <c r="A116" s="827"/>
      <c r="C116" s="763">
        <v>89.59</v>
      </c>
      <c r="D116" s="763">
        <v>91</v>
      </c>
      <c r="E116" s="763">
        <v>89.41</v>
      </c>
      <c r="F116" s="762">
        <v>92.49</v>
      </c>
      <c r="I116" s="763" t="s">
        <v>1287</v>
      </c>
    </row>
    <row r="117" spans="1:9" x14ac:dyDescent="0.25">
      <c r="A117" s="827"/>
      <c r="C117" s="763">
        <v>87.1</v>
      </c>
      <c r="D117" s="763">
        <v>92.52</v>
      </c>
      <c r="E117" s="763">
        <v>91.05</v>
      </c>
      <c r="F117" s="762">
        <v>92.01</v>
      </c>
      <c r="I117" s="763" t="s">
        <v>1287</v>
      </c>
    </row>
    <row r="118" spans="1:9" x14ac:dyDescent="0.25">
      <c r="A118" s="827"/>
      <c r="C118" s="763">
        <v>88.57</v>
      </c>
      <c r="D118" s="763">
        <v>92.96</v>
      </c>
      <c r="E118" s="763">
        <v>91.48</v>
      </c>
      <c r="F118" s="762">
        <v>92.48</v>
      </c>
      <c r="I118" s="763" t="s">
        <v>1287</v>
      </c>
    </row>
    <row r="119" spans="1:9" x14ac:dyDescent="0.25">
      <c r="A119" s="827"/>
      <c r="C119" s="763">
        <v>83.18</v>
      </c>
      <c r="D119" s="763">
        <v>87.01</v>
      </c>
      <c r="E119" s="763">
        <v>85.88</v>
      </c>
      <c r="F119" s="762">
        <v>85.93</v>
      </c>
      <c r="I119" s="763" t="s">
        <v>1287</v>
      </c>
    </row>
    <row r="120" spans="1:9" x14ac:dyDescent="0.25">
      <c r="A120" s="827"/>
      <c r="C120" s="763">
        <v>78.900000000000006</v>
      </c>
      <c r="D120" s="763">
        <v>83.18</v>
      </c>
      <c r="E120" s="763">
        <v>82.27</v>
      </c>
      <c r="F120" s="762">
        <v>83.02</v>
      </c>
      <c r="I120" s="763" t="s">
        <v>1287</v>
      </c>
    </row>
    <row r="121" spans="1:9" x14ac:dyDescent="0.25">
      <c r="A121" s="827"/>
      <c r="C121" s="763">
        <v>73.19</v>
      </c>
      <c r="D121" s="763">
        <v>79.900000000000006</v>
      </c>
      <c r="E121" s="763">
        <v>79.42</v>
      </c>
      <c r="F121" s="762">
        <v>81.260000000000005</v>
      </c>
      <c r="I121" s="763" t="s">
        <v>1287</v>
      </c>
    </row>
    <row r="122" spans="1:9" x14ac:dyDescent="0.25">
      <c r="A122" s="827"/>
      <c r="C122" s="763">
        <v>73.91</v>
      </c>
      <c r="D122" s="763">
        <v>79.739999999999995</v>
      </c>
      <c r="E122" s="763">
        <v>79.349999999999994</v>
      </c>
      <c r="F122" s="762">
        <v>79.209999999999994</v>
      </c>
      <c r="I122" s="763" t="s">
        <v>1287</v>
      </c>
    </row>
    <row r="123" spans="1:9" x14ac:dyDescent="0.25">
      <c r="A123" s="827"/>
      <c r="C123" s="763">
        <v>73.09</v>
      </c>
      <c r="D123" s="763">
        <v>77.239999999999995</v>
      </c>
      <c r="E123" s="763">
        <v>76.989999999999995</v>
      </c>
      <c r="F123" s="762">
        <v>78.13</v>
      </c>
      <c r="I123" s="763" t="s">
        <v>1287</v>
      </c>
    </row>
    <row r="124" spans="1:9" x14ac:dyDescent="0.25">
      <c r="A124" s="827"/>
      <c r="C124" s="763">
        <v>73.61</v>
      </c>
      <c r="D124" s="763">
        <v>80.36</v>
      </c>
      <c r="E124" s="763">
        <v>79.989999999999995</v>
      </c>
      <c r="F124" s="762">
        <v>79.53</v>
      </c>
      <c r="I124" s="763" t="s">
        <v>1287</v>
      </c>
    </row>
    <row r="125" spans="1:9" x14ac:dyDescent="0.25">
      <c r="A125" s="827"/>
      <c r="C125" s="763">
        <v>72.87</v>
      </c>
      <c r="D125" s="763">
        <v>77.569999999999993</v>
      </c>
      <c r="E125" s="763">
        <v>77.23</v>
      </c>
      <c r="F125" s="762">
        <v>79.53</v>
      </c>
      <c r="I125" s="763" t="s">
        <v>1287</v>
      </c>
    </row>
    <row r="126" spans="1:9" x14ac:dyDescent="0.25">
      <c r="A126" s="827"/>
      <c r="C126" s="763">
        <v>71.77</v>
      </c>
      <c r="D126" s="763">
        <v>77.040000000000006</v>
      </c>
      <c r="E126" s="763">
        <v>76.8</v>
      </c>
      <c r="F126" s="762">
        <v>77.69</v>
      </c>
      <c r="I126" s="763" t="s">
        <v>1287</v>
      </c>
    </row>
    <row r="127" spans="1:9" x14ac:dyDescent="0.25">
      <c r="A127" s="827"/>
      <c r="C127" s="763">
        <v>67.290000000000006</v>
      </c>
      <c r="D127" s="763">
        <v>73.58</v>
      </c>
      <c r="E127" s="763">
        <v>73.64</v>
      </c>
      <c r="F127" s="762">
        <v>75.52</v>
      </c>
      <c r="I127" s="763" t="s">
        <v>1287</v>
      </c>
    </row>
    <row r="128" spans="1:9" x14ac:dyDescent="0.25">
      <c r="A128" s="827"/>
      <c r="C128" s="763">
        <v>64.39</v>
      </c>
      <c r="D128" s="763">
        <v>74.569999999999993</v>
      </c>
      <c r="E128" s="763">
        <v>74.849999999999994</v>
      </c>
      <c r="F128" s="762">
        <v>72.7</v>
      </c>
      <c r="I128" s="763" t="s">
        <v>1287</v>
      </c>
    </row>
    <row r="129" spans="1:9" x14ac:dyDescent="0.25">
      <c r="A129" s="827"/>
      <c r="C129" s="763">
        <v>64.69</v>
      </c>
      <c r="D129" s="763">
        <v>71.58</v>
      </c>
      <c r="E129" s="763">
        <v>72.11</v>
      </c>
      <c r="F129" s="762">
        <v>72.47</v>
      </c>
      <c r="I129" s="763" t="s">
        <v>1287</v>
      </c>
    </row>
    <row r="130" spans="1:9" x14ac:dyDescent="0.25">
      <c r="A130" s="827"/>
      <c r="C130" s="763">
        <v>67.5</v>
      </c>
      <c r="D130" s="763">
        <v>72.92</v>
      </c>
      <c r="E130" s="763">
        <v>73.650000000000006</v>
      </c>
      <c r="F130" s="762">
        <v>72.87</v>
      </c>
      <c r="I130" s="763" t="s">
        <v>1287</v>
      </c>
    </row>
    <row r="131" spans="1:9" x14ac:dyDescent="0.25">
      <c r="A131" s="827"/>
      <c r="C131" s="763">
        <v>68.290000000000006</v>
      </c>
      <c r="D131" s="763">
        <v>73.06</v>
      </c>
      <c r="E131" s="763">
        <v>73.61</v>
      </c>
      <c r="F131" s="762">
        <v>72.930000000000007</v>
      </c>
      <c r="I131" s="763" t="s">
        <v>1287</v>
      </c>
    </row>
    <row r="132" spans="1:9" x14ac:dyDescent="0.25">
      <c r="A132" s="827"/>
      <c r="C132" s="763">
        <v>66.290000000000006</v>
      </c>
      <c r="D132" s="763">
        <v>71.2</v>
      </c>
      <c r="E132" s="763">
        <v>71.63</v>
      </c>
      <c r="F132" s="762">
        <v>72.41</v>
      </c>
      <c r="I132" s="763" t="s">
        <v>1337</v>
      </c>
    </row>
    <row r="133" spans="1:9" x14ac:dyDescent="0.25">
      <c r="A133" s="827"/>
      <c r="C133" s="763">
        <v>63.3</v>
      </c>
      <c r="D133" s="763">
        <v>70.709999999999994</v>
      </c>
      <c r="E133" s="763">
        <v>71.17</v>
      </c>
      <c r="F133" s="762">
        <v>71.08</v>
      </c>
      <c r="I133" s="763" t="s">
        <v>1337</v>
      </c>
    </row>
    <row r="134" spans="1:9" x14ac:dyDescent="0.25">
      <c r="C134" s="763">
        <v>63.8</v>
      </c>
      <c r="D134" s="763">
        <v>71.790000000000006</v>
      </c>
      <c r="E134" s="763">
        <v>72.05</v>
      </c>
      <c r="F134" s="762">
        <v>71.39</v>
      </c>
      <c r="I134" s="763" t="s">
        <v>1337</v>
      </c>
    </row>
    <row r="135" spans="1:9" x14ac:dyDescent="0.25">
      <c r="C135" s="763">
        <v>64.099999999999994</v>
      </c>
      <c r="D135" s="763">
        <v>72.209999999999994</v>
      </c>
      <c r="E135" s="763">
        <v>72.42</v>
      </c>
      <c r="F135" s="762">
        <v>71.22</v>
      </c>
      <c r="I135" s="763" t="s">
        <v>1337</v>
      </c>
    </row>
    <row r="136" spans="1:9" x14ac:dyDescent="0.25">
      <c r="C136" s="763">
        <v>66.489999999999995</v>
      </c>
      <c r="D136" s="763">
        <v>73.849999999999994</v>
      </c>
      <c r="E136" s="763">
        <v>73.88</v>
      </c>
      <c r="F136" s="762">
        <v>72.48</v>
      </c>
      <c r="I136" s="763" t="s">
        <v>1337</v>
      </c>
    </row>
    <row r="137" spans="1:9" x14ac:dyDescent="0.25">
      <c r="C137" s="763">
        <v>70.2</v>
      </c>
      <c r="D137" s="763">
        <v>79.599999999999994</v>
      </c>
      <c r="E137" s="763">
        <v>78.95</v>
      </c>
      <c r="F137" s="762">
        <v>77.89</v>
      </c>
      <c r="I137" s="763" t="s">
        <v>1337</v>
      </c>
    </row>
    <row r="138" spans="1:9" x14ac:dyDescent="0.25">
      <c r="C138" s="763">
        <v>70.47</v>
      </c>
      <c r="D138" s="763">
        <v>76.78</v>
      </c>
      <c r="E138" s="763">
        <v>76.430000000000007</v>
      </c>
      <c r="F138" s="762">
        <v>76.86</v>
      </c>
      <c r="I138" s="763" t="s">
        <v>1337</v>
      </c>
    </row>
    <row r="139" spans="1:9" x14ac:dyDescent="0.25">
      <c r="C139" s="763">
        <v>69.5</v>
      </c>
      <c r="D139" s="763">
        <v>75.75</v>
      </c>
      <c r="E139" s="763">
        <v>75.680000000000007</v>
      </c>
      <c r="F139" s="762">
        <v>75.83</v>
      </c>
      <c r="I139" s="763" t="s">
        <v>1337</v>
      </c>
    </row>
    <row r="140" spans="1:9" x14ac:dyDescent="0.25">
      <c r="C140" s="763">
        <v>72.3</v>
      </c>
      <c r="D140" s="763">
        <v>79.25</v>
      </c>
      <c r="E140" s="763">
        <v>79.040000000000006</v>
      </c>
      <c r="F140" s="762">
        <v>78.05</v>
      </c>
      <c r="I140" s="763" t="s">
        <v>1337</v>
      </c>
    </row>
    <row r="141" spans="1:9" x14ac:dyDescent="0.25">
      <c r="C141" s="763">
        <v>83.2</v>
      </c>
      <c r="D141" s="763">
        <v>83.7</v>
      </c>
      <c r="E141" s="763">
        <v>82.29</v>
      </c>
      <c r="F141" s="762">
        <v>86.16</v>
      </c>
      <c r="I141" s="763" t="s">
        <v>1337</v>
      </c>
    </row>
    <row r="142" spans="1:9" x14ac:dyDescent="0.25">
      <c r="C142" s="763">
        <v>79.290000000000006</v>
      </c>
      <c r="D142" s="763">
        <v>83.49</v>
      </c>
      <c r="E142" s="763">
        <v>82.38</v>
      </c>
      <c r="F142" s="762">
        <v>85.31</v>
      </c>
      <c r="I142" s="763" t="s">
        <v>1337</v>
      </c>
    </row>
    <row r="143" spans="1:9" x14ac:dyDescent="0.25">
      <c r="C143" s="763">
        <v>75.790000000000006</v>
      </c>
      <c r="D143" s="763">
        <v>84.81</v>
      </c>
      <c r="E143" s="763">
        <v>83.54</v>
      </c>
      <c r="F143" s="762">
        <v>84.31</v>
      </c>
      <c r="I143" s="763" t="s">
        <v>1337</v>
      </c>
    </row>
    <row r="144" spans="1:9" x14ac:dyDescent="0.25">
      <c r="C144" s="763">
        <v>76.900000000000006</v>
      </c>
      <c r="D144" s="763">
        <v>86.47</v>
      </c>
      <c r="E144" s="763">
        <v>85.01</v>
      </c>
      <c r="F144" s="762">
        <v>84.76</v>
      </c>
      <c r="I144" s="763" t="s">
        <v>1337</v>
      </c>
    </row>
    <row r="145" spans="3:9" x14ac:dyDescent="0.25">
      <c r="C145" s="763">
        <v>79.709999999999994</v>
      </c>
      <c r="D145" s="763">
        <v>87.96</v>
      </c>
      <c r="E145" s="763">
        <v>86.01</v>
      </c>
      <c r="F145" s="762">
        <v>88.35</v>
      </c>
      <c r="I145" s="763" t="s">
        <v>1337</v>
      </c>
    </row>
    <row r="146" spans="3:9" x14ac:dyDescent="0.25">
      <c r="C146" s="763">
        <v>82.49</v>
      </c>
      <c r="D146" s="763">
        <v>91.49</v>
      </c>
      <c r="E146" s="763">
        <v>88.7</v>
      </c>
      <c r="F146" s="762">
        <v>88.65</v>
      </c>
      <c r="I146" s="763" t="s">
        <v>1337</v>
      </c>
    </row>
    <row r="147" spans="3:9" x14ac:dyDescent="0.25">
      <c r="C147" s="763">
        <v>89.41</v>
      </c>
      <c r="D147" s="763">
        <v>93.95</v>
      </c>
      <c r="E147" s="763">
        <v>89.98</v>
      </c>
      <c r="F147" s="762">
        <v>93.82</v>
      </c>
      <c r="I147" s="763" t="s">
        <v>1337</v>
      </c>
    </row>
    <row r="148" spans="3:9" x14ac:dyDescent="0.25">
      <c r="C148" s="763">
        <v>97.19</v>
      </c>
      <c r="D148" s="763">
        <v>101.05</v>
      </c>
      <c r="E148" s="763">
        <v>94.44</v>
      </c>
      <c r="F148" s="762">
        <v>97.62</v>
      </c>
      <c r="I148" s="763" t="s">
        <v>1337</v>
      </c>
    </row>
    <row r="149" spans="3:9" x14ac:dyDescent="0.25">
      <c r="C149" s="763">
        <v>90.4</v>
      </c>
      <c r="D149" s="763">
        <v>95.73</v>
      </c>
      <c r="E149" s="763">
        <v>90.62</v>
      </c>
      <c r="F149" s="762">
        <v>98.22</v>
      </c>
      <c r="I149" s="763" t="s">
        <v>1337</v>
      </c>
    </row>
    <row r="150" spans="3:9" x14ac:dyDescent="0.25">
      <c r="C150" s="763">
        <v>82.2</v>
      </c>
      <c r="D150" s="763">
        <v>89.58</v>
      </c>
      <c r="E150" s="763">
        <v>86.25</v>
      </c>
      <c r="F150" s="762">
        <v>90.03</v>
      </c>
      <c r="I150" s="763" t="s">
        <v>1337</v>
      </c>
    </row>
    <row r="151" spans="3:9" x14ac:dyDescent="0.25">
      <c r="C151" s="763">
        <v>78.59</v>
      </c>
      <c r="D151" s="763">
        <v>84.57</v>
      </c>
      <c r="E151" s="763">
        <v>82.31</v>
      </c>
      <c r="F151" s="762">
        <v>85.31</v>
      </c>
      <c r="I151" s="763" t="s">
        <v>1337</v>
      </c>
    </row>
    <row r="152" spans="3:9" x14ac:dyDescent="0.25">
      <c r="C152" s="763">
        <v>79.900000000000006</v>
      </c>
      <c r="D152" s="763">
        <v>90.5</v>
      </c>
      <c r="E152" s="763">
        <v>87.75</v>
      </c>
      <c r="F152" s="762">
        <v>87.36</v>
      </c>
      <c r="I152" s="763" t="s">
        <v>1337</v>
      </c>
    </row>
    <row r="153" spans="3:9" x14ac:dyDescent="0.25">
      <c r="C153" s="763">
        <v>81.91</v>
      </c>
      <c r="D153" s="763">
        <v>89.8</v>
      </c>
      <c r="E153" s="763">
        <v>87.14</v>
      </c>
      <c r="F153" s="762">
        <v>91.87</v>
      </c>
      <c r="I153" s="763" t="s">
        <v>1337</v>
      </c>
    </row>
    <row r="154" spans="3:9" x14ac:dyDescent="0.25">
      <c r="C154" s="763">
        <v>81.8</v>
      </c>
      <c r="D154" s="763">
        <v>90.12</v>
      </c>
      <c r="E154" s="763">
        <v>88.28</v>
      </c>
      <c r="F154" s="762">
        <v>88.21</v>
      </c>
      <c r="I154" s="763" t="s">
        <v>1337</v>
      </c>
    </row>
    <row r="155" spans="3:9" x14ac:dyDescent="0.25">
      <c r="C155" s="763">
        <v>78.209999999999994</v>
      </c>
      <c r="D155" s="763">
        <v>84.44</v>
      </c>
      <c r="E155" s="763">
        <v>81.81</v>
      </c>
      <c r="F155" s="762">
        <v>83.89</v>
      </c>
      <c r="I155" s="763" t="s">
        <v>1396</v>
      </c>
    </row>
    <row r="156" spans="3:9" x14ac:dyDescent="0.25">
      <c r="C156" s="763">
        <v>82.9</v>
      </c>
      <c r="D156" s="763">
        <v>80.290000000000006</v>
      </c>
      <c r="E156" s="763">
        <v>78.62</v>
      </c>
      <c r="F156" s="762">
        <v>85.215000000000003</v>
      </c>
      <c r="I156" s="763" t="s">
        <v>1396</v>
      </c>
    </row>
    <row r="157" spans="3:9" x14ac:dyDescent="0.25">
      <c r="C157" s="763">
        <v>79.5</v>
      </c>
      <c r="D157" s="763">
        <v>79.05</v>
      </c>
      <c r="E157" s="763">
        <v>77.52</v>
      </c>
      <c r="F157" s="762">
        <v>80.349999999999994</v>
      </c>
      <c r="I157" s="763" t="s">
        <v>1396</v>
      </c>
    </row>
    <row r="158" spans="3:9" x14ac:dyDescent="0.25">
      <c r="C158" s="763">
        <v>77.44</v>
      </c>
      <c r="D158" s="763">
        <v>81.48</v>
      </c>
      <c r="E158" s="763">
        <v>79.55</v>
      </c>
      <c r="F158" s="762">
        <v>79.78</v>
      </c>
      <c r="I158" s="763" t="s">
        <v>1396</v>
      </c>
    </row>
    <row r="159" spans="3:9" x14ac:dyDescent="0.25">
      <c r="C159" s="763">
        <v>80.75</v>
      </c>
      <c r="D159" s="763">
        <v>83.44</v>
      </c>
      <c r="E159" s="763">
        <v>81.55</v>
      </c>
      <c r="F159" s="762">
        <v>84.26</v>
      </c>
      <c r="I159" s="763" t="s">
        <v>1396</v>
      </c>
    </row>
    <row r="160" spans="3:9" x14ac:dyDescent="0.25">
      <c r="C160" s="763" t="e">
        <v>#N/A</v>
      </c>
      <c r="D160" s="763">
        <v>86.77</v>
      </c>
      <c r="E160" s="763">
        <v>85</v>
      </c>
      <c r="F160" s="762" t="e">
        <v>#N/A</v>
      </c>
      <c r="I160" s="763" t="s">
        <v>1396</v>
      </c>
    </row>
    <row r="161" spans="3:9" x14ac:dyDescent="0.25">
      <c r="C161" s="763">
        <v>88.99</v>
      </c>
      <c r="D161" s="763">
        <v>88.22</v>
      </c>
      <c r="E161" s="763">
        <v>86.04</v>
      </c>
      <c r="F161" s="762">
        <v>89.95</v>
      </c>
      <c r="I161" s="763" t="s">
        <v>1396</v>
      </c>
    </row>
    <row r="162" spans="3:9" x14ac:dyDescent="0.25">
      <c r="C162" s="763">
        <v>88.74</v>
      </c>
      <c r="D162" s="763">
        <v>88.85</v>
      </c>
      <c r="E162" s="763">
        <v>86.45</v>
      </c>
      <c r="F162" s="762">
        <v>89.34</v>
      </c>
      <c r="I162" s="763" t="s">
        <v>1396</v>
      </c>
    </row>
    <row r="163" spans="3:9" x14ac:dyDescent="0.25">
      <c r="C163" s="763">
        <v>88.22</v>
      </c>
      <c r="D163" s="763">
        <v>88.46</v>
      </c>
      <c r="E163" s="763">
        <v>86.46</v>
      </c>
      <c r="F163" s="762">
        <v>87.92</v>
      </c>
      <c r="I163" s="763" t="s">
        <v>1396</v>
      </c>
    </row>
    <row r="164" spans="3:9" x14ac:dyDescent="0.25">
      <c r="C164" s="763">
        <v>88.5</v>
      </c>
      <c r="D164" s="763">
        <v>87.93</v>
      </c>
      <c r="E164" s="763">
        <v>85.93</v>
      </c>
      <c r="F164" s="762">
        <v>88.23</v>
      </c>
      <c r="I164" s="763" t="s">
        <v>1396</v>
      </c>
    </row>
    <row r="165" spans="3:9" x14ac:dyDescent="0.25">
      <c r="C165" s="763">
        <v>87.85</v>
      </c>
      <c r="D165" s="763">
        <v>88.83</v>
      </c>
      <c r="E165" s="763">
        <v>87</v>
      </c>
      <c r="F165" s="762">
        <v>89</v>
      </c>
      <c r="I165" s="763" t="s">
        <v>1396</v>
      </c>
    </row>
    <row r="166" spans="3:9" x14ac:dyDescent="0.25">
      <c r="C166" s="763">
        <v>90.29</v>
      </c>
      <c r="D166" s="763">
        <v>91.76</v>
      </c>
      <c r="E166" s="763">
        <v>90.15</v>
      </c>
      <c r="F166" s="762">
        <v>91.27</v>
      </c>
      <c r="I166" s="763" t="s">
        <v>1396</v>
      </c>
    </row>
    <row r="167" spans="3:9" x14ac:dyDescent="0.25">
      <c r="C167" s="763">
        <v>93.6</v>
      </c>
      <c r="D167" s="763">
        <v>92.38</v>
      </c>
      <c r="E167" s="763">
        <v>90.64</v>
      </c>
      <c r="F167" s="762">
        <v>91.13</v>
      </c>
      <c r="I167" s="763" t="s">
        <v>1396</v>
      </c>
    </row>
    <row r="168" spans="3:9" x14ac:dyDescent="0.25">
      <c r="C168" s="763">
        <v>95.6</v>
      </c>
      <c r="D168" s="763">
        <v>93.58</v>
      </c>
      <c r="E168" s="763">
        <v>91.6</v>
      </c>
      <c r="F168" s="762">
        <v>93.4</v>
      </c>
      <c r="I168" s="763" t="s">
        <v>1396</v>
      </c>
    </row>
    <row r="169" spans="3:9" x14ac:dyDescent="0.25">
      <c r="C169" s="763">
        <v>97.81</v>
      </c>
      <c r="D169" s="763">
        <v>93.91</v>
      </c>
      <c r="E169" s="763">
        <v>92.22</v>
      </c>
      <c r="F169" s="762">
        <v>93.14</v>
      </c>
      <c r="I169" s="763" t="s">
        <v>1396</v>
      </c>
    </row>
    <row r="170" spans="3:9" x14ac:dyDescent="0.25">
      <c r="C170" s="763">
        <v>97.9</v>
      </c>
      <c r="D170" s="763">
        <v>92.26</v>
      </c>
      <c r="E170" s="763">
        <v>90.45</v>
      </c>
      <c r="F170" s="762">
        <v>93.54</v>
      </c>
      <c r="I170" s="763" t="s">
        <v>1396</v>
      </c>
    </row>
    <row r="171" spans="3:9" x14ac:dyDescent="0.25">
      <c r="C171" s="763">
        <v>93</v>
      </c>
      <c r="D171" s="763">
        <v>89.08</v>
      </c>
      <c r="E171" s="763">
        <v>87.72</v>
      </c>
      <c r="F171" s="762">
        <v>91.36</v>
      </c>
      <c r="I171" s="763" t="s">
        <v>1396</v>
      </c>
    </row>
    <row r="172" spans="3:9" x14ac:dyDescent="0.25">
      <c r="C172" s="763">
        <v>87.1</v>
      </c>
      <c r="D172" s="763">
        <v>88.47</v>
      </c>
      <c r="E172" s="763">
        <v>87.3</v>
      </c>
      <c r="F172" s="762">
        <v>86.38</v>
      </c>
      <c r="I172" s="763" t="s">
        <v>1396</v>
      </c>
    </row>
    <row r="173" spans="3:9" x14ac:dyDescent="0.25">
      <c r="C173" s="763">
        <v>90.4</v>
      </c>
      <c r="D173" s="763">
        <v>88.76</v>
      </c>
      <c r="E173" s="763">
        <v>87.26</v>
      </c>
      <c r="F173" s="762">
        <v>87.52</v>
      </c>
      <c r="I173" s="763" t="s">
        <v>1396</v>
      </c>
    </row>
    <row r="174" spans="3:9" x14ac:dyDescent="0.25">
      <c r="C174" s="763">
        <v>93.2</v>
      </c>
      <c r="D174" s="763">
        <v>89.41</v>
      </c>
      <c r="E174" s="763">
        <v>88.26</v>
      </c>
      <c r="F174" s="762">
        <v>89.59</v>
      </c>
      <c r="I174" s="763" t="s">
        <v>1396</v>
      </c>
    </row>
    <row r="175" spans="3:9" x14ac:dyDescent="0.25">
      <c r="C175" s="763">
        <v>94.99</v>
      </c>
      <c r="D175" s="763">
        <v>90.51</v>
      </c>
      <c r="E175" s="763">
        <v>88.32</v>
      </c>
      <c r="F175" s="762">
        <v>91.79</v>
      </c>
      <c r="I175" s="763" t="s">
        <v>1423</v>
      </c>
    </row>
    <row r="176" spans="3:9" x14ac:dyDescent="0.25">
      <c r="C176" s="763">
        <v>99.91</v>
      </c>
      <c r="D176" s="763">
        <v>92.48</v>
      </c>
      <c r="E176" s="763">
        <v>89.83</v>
      </c>
      <c r="F176" s="762">
        <v>92.37</v>
      </c>
      <c r="I176" s="763" t="s">
        <v>1423</v>
      </c>
    </row>
    <row r="177" spans="3:9" x14ac:dyDescent="0.25">
      <c r="C177" s="763">
        <v>102.4</v>
      </c>
      <c r="D177" s="763" t="e">
        <v>#N/A</v>
      </c>
      <c r="E177" s="763" t="e">
        <v>#N/A</v>
      </c>
      <c r="F177" s="762" t="e">
        <v>#N/A</v>
      </c>
      <c r="I177" s="763" t="s">
        <v>1423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91C58-101A-4F61-88CD-C65D4AACF30F}">
  <sheetPr codeName="Sheet13">
    <pageSetUpPr autoPageBreaks="0"/>
  </sheetPr>
  <dimension ref="A1:M117"/>
  <sheetViews>
    <sheetView zoomScale="85" zoomScaleNormal="85" workbookViewId="0">
      <selection activeCell="O38" sqref="O38"/>
    </sheetView>
  </sheetViews>
  <sheetFormatPr defaultColWidth="9.140625" defaultRowHeight="15" x14ac:dyDescent="0.25"/>
  <cols>
    <col min="1" max="1" width="15.28515625" style="51" customWidth="1"/>
    <col min="2" max="2" width="10.42578125" style="49" customWidth="1"/>
    <col min="3" max="4" width="10.42578125" style="65" customWidth="1"/>
    <col min="5" max="5" width="9.140625" style="51"/>
    <col min="6" max="6" width="18.5703125" style="51" customWidth="1"/>
    <col min="7" max="7" width="10" style="51" bestFit="1" customWidth="1"/>
    <col min="8" max="8" width="9.140625" style="51"/>
    <col min="9" max="9" width="13.7109375" style="51" customWidth="1"/>
    <col min="10" max="13" width="10.42578125" style="65" customWidth="1"/>
    <col min="14" max="16" width="9.140625" style="51"/>
    <col min="17" max="17" width="11.28515625" style="51" customWidth="1"/>
    <col min="18" max="18" width="11.7109375" style="51" customWidth="1"/>
    <col min="19" max="16384" width="9.140625" style="51"/>
  </cols>
  <sheetData>
    <row r="1" spans="1:13" x14ac:dyDescent="0.25">
      <c r="A1" s="83" t="s">
        <v>1376</v>
      </c>
      <c r="B1" s="788">
        <v>46194</v>
      </c>
      <c r="J1" s="51"/>
    </row>
    <row r="2" spans="1:13" x14ac:dyDescent="0.25">
      <c r="B2" s="49" t="s">
        <v>1322</v>
      </c>
      <c r="C2" s="65" t="s">
        <v>367</v>
      </c>
      <c r="F2" s="785" t="s">
        <v>1377</v>
      </c>
      <c r="G2" s="784"/>
      <c r="H2" s="784"/>
      <c r="J2" s="785" t="s">
        <v>1382</v>
      </c>
      <c r="K2" s="784"/>
    </row>
    <row r="3" spans="1:13" x14ac:dyDescent="0.25">
      <c r="A3" s="51" t="s">
        <v>1338</v>
      </c>
      <c r="B3" s="787">
        <v>3.25</v>
      </c>
      <c r="C3" s="264">
        <f ca="1">$B3 + $G$4</f>
        <v>1425.13</v>
      </c>
      <c r="D3" s="51"/>
      <c r="G3" s="783" t="s">
        <v>281</v>
      </c>
      <c r="H3" s="84" t="s">
        <v>1375</v>
      </c>
      <c r="J3" s="83" t="s">
        <v>331</v>
      </c>
      <c r="K3" s="48">
        <f ca="1">(K5-1)+(K4-(K5-1))/2</f>
        <v>15.5</v>
      </c>
    </row>
    <row r="4" spans="1:13" x14ac:dyDescent="0.25">
      <c r="A4" s="51" t="s">
        <v>1339</v>
      </c>
      <c r="B4" s="787">
        <v>3.25</v>
      </c>
      <c r="C4" s="264">
        <f ca="1">$B4 + $G$4</f>
        <v>1425.13</v>
      </c>
      <c r="D4" s="753"/>
      <c r="F4" s="83" t="s">
        <v>324</v>
      </c>
      <c r="G4" s="264" cm="1">
        <f t="array" aca="1" ref="G4" ca="1">IF(LEFT(_xll.BDP($H4, "MID"), 1) = "#", NA(), _xll.BDP($H4, "MID"))</f>
        <v>1421.88</v>
      </c>
      <c r="H4" s="754" t="str">
        <f ca="1">"QS" &amp; VLOOKUP(MONTH(EOMONTH($B$7, $B$8)), MthRef[], 2, 0) &amp; RIGHT(YEAR(EOMONTH($B$7, $B$8))) &amp; " Comdty"</f>
        <v>QSU6 Comdty</v>
      </c>
      <c r="J4" s="83" t="s">
        <v>1341</v>
      </c>
      <c r="K4" s="51">
        <f ca="1">DAY(TODAY())</f>
        <v>2</v>
      </c>
    </row>
    <row r="5" spans="1:13" x14ac:dyDescent="0.25">
      <c r="A5" s="51" t="s">
        <v>1340</v>
      </c>
      <c r="B5" s="787">
        <v>3.25</v>
      </c>
      <c r="C5" s="264">
        <f ca="1">$B5 + $G$4</f>
        <v>1425.13</v>
      </c>
      <c r="D5" s="753"/>
      <c r="F5" s="83" t="s">
        <v>325</v>
      </c>
      <c r="G5" s="264" cm="1">
        <f t="array" aca="1" ref="G5" ca="1">IF(LEFT(_xll.BDP($H5, "MID"), 1) = "#", NA(), _xll.BDP($H5, "MID"))</f>
        <v>1348</v>
      </c>
      <c r="H5" s="754" t="str">
        <f ca="1">"QS" &amp; VLOOKUP(MONTH(EOMONTH($B$7, IF($B$8=1, 2, 1))), MthRef[], 2, 0) &amp; RIGHT(YEAR(EOMONTH($B$7, IF($B$8=1, 2, 1)))) &amp; " Comdty"</f>
        <v>QSV6 Comdty</v>
      </c>
      <c r="J5" s="83" t="s">
        <v>1380</v>
      </c>
      <c r="K5" s="51">
        <f ca="1">DAY(DATE(YEAR(TODAY()),MONTH(TODAY())+1,))</f>
        <v>30</v>
      </c>
    </row>
    <row r="6" spans="1:13" x14ac:dyDescent="0.25">
      <c r="D6" s="753"/>
    </row>
    <row r="7" spans="1:13" x14ac:dyDescent="0.25">
      <c r="A7" s="83" t="s">
        <v>1341</v>
      </c>
      <c r="B7" s="61">
        <f ca="1">TODAY()</f>
        <v>46267</v>
      </c>
      <c r="C7" s="51"/>
      <c r="D7" s="51"/>
      <c r="F7" s="785" t="s">
        <v>1378</v>
      </c>
      <c r="G7" s="784"/>
      <c r="H7" s="784"/>
      <c r="I7" s="784"/>
      <c r="J7" s="784"/>
      <c r="K7" s="784"/>
    </row>
    <row r="8" spans="1:13" x14ac:dyDescent="0.25">
      <c r="A8" s="83" t="s">
        <v>269</v>
      </c>
      <c r="B8" s="65" cm="1">
        <f t="array" aca="1" ref="B8" ca="1">IF($B$7 &gt;= DATEVALUE(_xll.BDP("QS" &amp; VLOOKUP(MONTH($B$7), MthRef[], 2, 0) &amp; RIGHT(YEAR($B$7), 1) &amp; " Comdty", "LAST_TRADEABLE_DT")), 1, 0)</f>
        <v>0</v>
      </c>
      <c r="C8" s="51"/>
      <c r="D8" s="51"/>
      <c r="G8" s="84" t="s">
        <v>1383</v>
      </c>
      <c r="H8" s="84" t="s">
        <v>1370</v>
      </c>
      <c r="I8" s="84" t="s">
        <v>1322</v>
      </c>
      <c r="J8" s="83" t="s">
        <v>4</v>
      </c>
      <c r="K8" s="84" t="s">
        <v>1345</v>
      </c>
      <c r="M8" s="83" t="s">
        <v>1389</v>
      </c>
    </row>
    <row r="9" spans="1:13" x14ac:dyDescent="0.25">
      <c r="A9" s="83" t="s">
        <v>1374</v>
      </c>
      <c r="B9" s="264">
        <f ca="1">$G$4 - $G$5</f>
        <v>73.880000000000109</v>
      </c>
      <c r="C9" s="51"/>
      <c r="D9" s="51"/>
      <c r="F9" s="83" t="s">
        <v>1362</v>
      </c>
      <c r="G9" s="264" t="e">
        <f ca="1">$H$9 + $I$9</f>
        <v>#VALUE!</v>
      </c>
      <c r="H9" s="68">
        <f ca="1">Futs!$CG$19</f>
        <v>1369.1071428571429</v>
      </c>
      <c r="I9" s="68" t="str">
        <f>IF(ISNUMBER($J9), $J9, Mid!$BL$19)</f>
        <v/>
      </c>
      <c r="J9" s="786"/>
      <c r="K9" s="92">
        <f ca="1">TODAY() + ($K$3 - $K$4)</f>
        <v>46280.5</v>
      </c>
      <c r="M9" s="48" t="str" cm="1">
        <f t="array" ref="M9">_xll.BDP("ABWEM00 PL Index", "PX_LAST")</f>
        <v>#N/A N/A</v>
      </c>
    </row>
    <row r="10" spans="1:13" x14ac:dyDescent="0.25">
      <c r="A10" s="83" t="s">
        <v>1373</v>
      </c>
      <c r="B10" s="48">
        <f ca="1">$B$9/30</f>
        <v>2.4626666666666703</v>
      </c>
      <c r="C10" s="51"/>
      <c r="D10" s="51"/>
      <c r="F10" s="83" t="s">
        <v>324</v>
      </c>
      <c r="G10" s="68" t="e">
        <f ca="1">$H$10 + $I$10</f>
        <v>#VALUE!</v>
      </c>
      <c r="H10" s="68">
        <f ca="1">Futs!$CG$20</f>
        <v>1300.3579545454545</v>
      </c>
      <c r="I10" s="68" t="str">
        <f ca="1">IF(ISNUMBER($J10), $J10, Mid!$BL$20)</f>
        <v/>
      </c>
      <c r="J10" s="786"/>
      <c r="K10" s="92">
        <f ca="1">EOMONTH(TODAY(), 0) + (EOMONTH(TODAY(), 1) - EOMONTH(TODAY(), 0))/2</f>
        <v>46310.5</v>
      </c>
      <c r="M10" s="48" t="str" cm="1">
        <f t="array" ref="M10">_xll.BDP("AAPRD00 PL Index", "PX_LAST")</f>
        <v>#N/A N/A</v>
      </c>
    </row>
    <row r="11" spans="1:13" x14ac:dyDescent="0.25">
      <c r="D11" s="51"/>
      <c r="M11" s="51"/>
    </row>
    <row r="12" spans="1:13" x14ac:dyDescent="0.25">
      <c r="A12" s="83" t="s">
        <v>1363</v>
      </c>
      <c r="B12" s="68" t="e">
        <f ca="1">$G$9 - $G$10</f>
        <v>#VALUE!</v>
      </c>
      <c r="D12" s="51"/>
      <c r="M12" s="51"/>
    </row>
    <row r="13" spans="1:13" x14ac:dyDescent="0.25">
      <c r="A13" s="83" t="s">
        <v>1342</v>
      </c>
      <c r="B13" s="51">
        <f ca="1">$K$10 - $K$9</f>
        <v>30</v>
      </c>
      <c r="D13" s="51"/>
    </row>
    <row r="14" spans="1:13" x14ac:dyDescent="0.25">
      <c r="A14" s="83" t="s">
        <v>1373</v>
      </c>
      <c r="B14" s="48" t="e">
        <f ca="1">$B$12 / $B$13</f>
        <v>#VALUE!</v>
      </c>
      <c r="C14" s="51"/>
      <c r="D14" s="51"/>
    </row>
    <row r="15" spans="1:13" x14ac:dyDescent="0.25">
      <c r="C15" s="51"/>
      <c r="D15" s="68"/>
    </row>
    <row r="16" spans="1:13" x14ac:dyDescent="0.25">
      <c r="A16" s="83" t="s">
        <v>1371</v>
      </c>
      <c r="B16" s="51">
        <f ca="1">$B$1-$K$9</f>
        <v>-86.5</v>
      </c>
      <c r="C16" s="51"/>
      <c r="D16" s="51"/>
    </row>
    <row r="17" spans="1:13" x14ac:dyDescent="0.25">
      <c r="A17" s="83" t="s">
        <v>1372</v>
      </c>
      <c r="B17" s="264" t="e">
        <f ca="1">$G$9 - ($B$16 * $B$14)</f>
        <v>#VALUE!</v>
      </c>
      <c r="D17" s="51"/>
    </row>
    <row r="18" spans="1:13" x14ac:dyDescent="0.25">
      <c r="B18" s="51"/>
      <c r="D18" s="51"/>
    </row>
    <row r="19" spans="1:13" x14ac:dyDescent="0.25">
      <c r="A19" s="83" t="s">
        <v>1379</v>
      </c>
      <c r="B19" s="51" cm="1">
        <f t="array" ref="B19">_xll.BDH("AMOPM00 PL Index", "PX_LAST", "-1AD", "-1AD", "fill=previous", "days=a")</f>
        <v>29.73</v>
      </c>
      <c r="C19" s="49"/>
      <c r="D19" s="51"/>
    </row>
    <row r="20" spans="1:13" x14ac:dyDescent="0.25">
      <c r="A20" s="83" t="s">
        <v>1368</v>
      </c>
      <c r="B20" s="68" t="e">
        <f ca="1">$B$17 + $B$19</f>
        <v>#VALUE!</v>
      </c>
      <c r="C20" s="51"/>
      <c r="D20" s="51"/>
    </row>
    <row r="21" spans="1:13" x14ac:dyDescent="0.25">
      <c r="A21" s="83" t="s">
        <v>1381</v>
      </c>
      <c r="B21" s="48" t="e">
        <f ca="1">$B$20 - $G$4</f>
        <v>#VALUE!</v>
      </c>
      <c r="C21" s="51"/>
      <c r="D21" s="51"/>
    </row>
    <row r="22" spans="1:13" x14ac:dyDescent="0.25">
      <c r="B22" s="51"/>
      <c r="C22" s="51"/>
      <c r="D22" s="51"/>
    </row>
    <row r="23" spans="1:13" x14ac:dyDescent="0.25">
      <c r="A23" s="83" t="s">
        <v>1369</v>
      </c>
      <c r="B23" s="755" t="e">
        <f ca="1">$B$19 - ($B$21-$B$4)</f>
        <v>#VALUE!</v>
      </c>
      <c r="C23" s="51"/>
      <c r="D23" s="51"/>
    </row>
    <row r="24" spans="1:13" x14ac:dyDescent="0.25">
      <c r="C24" s="51"/>
      <c r="D24" s="51"/>
    </row>
    <row r="25" spans="1:13" x14ac:dyDescent="0.25">
      <c r="B25" s="51"/>
      <c r="C25" s="51"/>
      <c r="D25" s="51"/>
      <c r="J25" s="51"/>
      <c r="K25" s="51"/>
      <c r="L25" s="51"/>
      <c r="M25" s="51"/>
    </row>
    <row r="26" spans="1:13" x14ac:dyDescent="0.25">
      <c r="B26" s="51"/>
      <c r="C26" s="51"/>
      <c r="D26" s="51"/>
      <c r="J26" s="51"/>
      <c r="K26" s="51"/>
      <c r="L26" s="51"/>
      <c r="M26" s="51"/>
    </row>
    <row r="27" spans="1:13" x14ac:dyDescent="0.25">
      <c r="B27" s="51"/>
      <c r="C27" s="51"/>
      <c r="D27" s="51"/>
      <c r="J27" s="51"/>
      <c r="K27" s="51"/>
      <c r="L27" s="51"/>
      <c r="M27" s="51"/>
    </row>
    <row r="28" spans="1:13" x14ac:dyDescent="0.25">
      <c r="B28" s="51"/>
      <c r="C28" s="51"/>
      <c r="D28" s="51"/>
      <c r="J28" s="51"/>
      <c r="K28" s="51"/>
      <c r="L28" s="51"/>
      <c r="M28" s="51"/>
    </row>
    <row r="29" spans="1:13" x14ac:dyDescent="0.25">
      <c r="B29" s="51"/>
      <c r="C29" s="51"/>
      <c r="D29" s="51"/>
      <c r="J29" s="51"/>
      <c r="K29" s="51"/>
      <c r="L29" s="51"/>
      <c r="M29" s="51"/>
    </row>
    <row r="30" spans="1:13" x14ac:dyDescent="0.25">
      <c r="B30" s="51"/>
      <c r="C30" s="51"/>
      <c r="D30" s="51"/>
      <c r="J30" s="51"/>
      <c r="K30" s="51"/>
      <c r="L30" s="51"/>
      <c r="M30" s="51"/>
    </row>
    <row r="31" spans="1:13" x14ac:dyDescent="0.25">
      <c r="B31" s="51"/>
      <c r="C31" s="51"/>
      <c r="D31" s="51"/>
      <c r="J31" s="51"/>
      <c r="K31" s="51"/>
      <c r="L31" s="51"/>
      <c r="M31" s="51"/>
    </row>
    <row r="32" spans="1:13" x14ac:dyDescent="0.25">
      <c r="B32" s="51"/>
      <c r="C32" s="51"/>
      <c r="D32" s="51"/>
      <c r="J32" s="51"/>
      <c r="K32" s="51"/>
      <c r="L32" s="51"/>
      <c r="M32" s="51"/>
    </row>
    <row r="33" s="51" customFormat="1" x14ac:dyDescent="0.25"/>
    <row r="34" s="51" customFormat="1" x14ac:dyDescent="0.25"/>
    <row r="35" s="51" customFormat="1" x14ac:dyDescent="0.25"/>
    <row r="36" s="51" customFormat="1" x14ac:dyDescent="0.25"/>
    <row r="37" s="51" customFormat="1" x14ac:dyDescent="0.25"/>
    <row r="38" s="51" customFormat="1" x14ac:dyDescent="0.25"/>
    <row r="39" s="51" customFormat="1" x14ac:dyDescent="0.25"/>
    <row r="40" s="51" customFormat="1" x14ac:dyDescent="0.25"/>
    <row r="41" s="51" customFormat="1" x14ac:dyDescent="0.25"/>
    <row r="42" s="51" customFormat="1" x14ac:dyDescent="0.25"/>
    <row r="43" s="51" customFormat="1" x14ac:dyDescent="0.25"/>
    <row r="44" s="51" customFormat="1" x14ac:dyDescent="0.25"/>
    <row r="45" s="51" customFormat="1" x14ac:dyDescent="0.25"/>
    <row r="46" s="51" customFormat="1" x14ac:dyDescent="0.25"/>
    <row r="47" s="51" customFormat="1" x14ac:dyDescent="0.25"/>
    <row r="48" s="51" customFormat="1" x14ac:dyDescent="0.25"/>
    <row r="49" spans="2:13" x14ac:dyDescent="0.25">
      <c r="B49" s="51"/>
      <c r="C49" s="51"/>
      <c r="D49" s="51"/>
      <c r="J49" s="51"/>
      <c r="K49" s="51"/>
      <c r="L49" s="51"/>
      <c r="M49" s="51"/>
    </row>
    <row r="50" spans="2:13" x14ac:dyDescent="0.25">
      <c r="B50" s="51"/>
      <c r="C50" s="51"/>
      <c r="D50" s="51"/>
      <c r="J50" s="51"/>
      <c r="K50" s="51"/>
      <c r="L50" s="51"/>
      <c r="M50" s="51"/>
    </row>
    <row r="51" spans="2:13" x14ac:dyDescent="0.25">
      <c r="B51" s="51"/>
      <c r="C51" s="51"/>
      <c r="D51" s="51"/>
      <c r="J51" s="51"/>
      <c r="K51" s="51"/>
      <c r="L51" s="51"/>
      <c r="M51" s="51"/>
    </row>
    <row r="52" spans="2:13" x14ac:dyDescent="0.25">
      <c r="B52" s="51"/>
      <c r="C52" s="51"/>
      <c r="D52" s="51"/>
      <c r="J52" s="51"/>
      <c r="K52" s="51"/>
      <c r="L52" s="51"/>
      <c r="M52" s="51"/>
    </row>
    <row r="53" spans="2:13" x14ac:dyDescent="0.25">
      <c r="B53" s="51"/>
      <c r="C53" s="51"/>
      <c r="D53" s="51"/>
      <c r="J53" s="51"/>
      <c r="K53" s="51"/>
      <c r="L53" s="51"/>
      <c r="M53" s="51"/>
    </row>
    <row r="54" spans="2:13" x14ac:dyDescent="0.25">
      <c r="B54" s="51"/>
      <c r="C54" s="51"/>
      <c r="D54" s="51"/>
      <c r="J54" s="51"/>
      <c r="K54" s="51"/>
      <c r="L54" s="51"/>
      <c r="M54" s="51"/>
    </row>
    <row r="55" spans="2:13" x14ac:dyDescent="0.25">
      <c r="B55" s="51"/>
      <c r="C55" s="51"/>
      <c r="D55" s="51"/>
      <c r="J55" s="51"/>
      <c r="K55" s="51"/>
      <c r="L55" s="51"/>
      <c r="M55" s="51"/>
    </row>
    <row r="56" spans="2:13" x14ac:dyDescent="0.25">
      <c r="B56" s="51"/>
      <c r="C56" s="51"/>
      <c r="D56" s="51"/>
      <c r="J56" s="51"/>
      <c r="K56" s="51"/>
      <c r="L56" s="51"/>
      <c r="M56" s="51"/>
    </row>
    <row r="57" spans="2:13" x14ac:dyDescent="0.25">
      <c r="B57" s="51"/>
      <c r="C57" s="51"/>
      <c r="D57" s="51"/>
      <c r="J57" s="51"/>
      <c r="K57" s="51"/>
      <c r="L57" s="51"/>
      <c r="M57" s="51"/>
    </row>
    <row r="58" spans="2:13" x14ac:dyDescent="0.25">
      <c r="B58" s="51"/>
      <c r="C58" s="51"/>
      <c r="D58" s="51"/>
      <c r="J58" s="51"/>
      <c r="K58" s="51"/>
      <c r="L58" s="51"/>
      <c r="M58" s="51"/>
    </row>
    <row r="59" spans="2:13" x14ac:dyDescent="0.25">
      <c r="B59" s="51"/>
      <c r="C59" s="51"/>
      <c r="D59" s="51"/>
    </row>
    <row r="60" spans="2:13" x14ac:dyDescent="0.25">
      <c r="B60" s="51"/>
      <c r="C60" s="51"/>
      <c r="D60" s="51"/>
    </row>
    <row r="61" spans="2:13" x14ac:dyDescent="0.25">
      <c r="B61" s="51"/>
      <c r="C61" s="51"/>
      <c r="D61" s="51"/>
    </row>
    <row r="62" spans="2:13" x14ac:dyDescent="0.25">
      <c r="B62" s="51"/>
      <c r="C62" s="51"/>
      <c r="D62" s="51"/>
    </row>
    <row r="63" spans="2:13" x14ac:dyDescent="0.25">
      <c r="B63" s="51"/>
      <c r="C63" s="51"/>
      <c r="D63" s="51"/>
    </row>
    <row r="64" spans="2:13" x14ac:dyDescent="0.25">
      <c r="B64" s="51"/>
      <c r="C64" s="51"/>
      <c r="D64" s="51"/>
    </row>
    <row r="65" spans="1:4" x14ac:dyDescent="0.25">
      <c r="A65" s="65"/>
      <c r="B65" s="51"/>
      <c r="C65" s="51"/>
      <c r="D65" s="51"/>
    </row>
    <row r="66" spans="1:4" x14ac:dyDescent="0.25">
      <c r="A66" s="65"/>
      <c r="B66" s="51"/>
      <c r="C66" s="51"/>
      <c r="D66" s="51"/>
    </row>
    <row r="67" spans="1:4" x14ac:dyDescent="0.25">
      <c r="A67" s="65"/>
      <c r="B67" s="51"/>
      <c r="C67" s="51"/>
      <c r="D67" s="51"/>
    </row>
    <row r="68" spans="1:4" x14ac:dyDescent="0.25">
      <c r="A68" s="65"/>
      <c r="B68" s="51"/>
      <c r="C68" s="51"/>
      <c r="D68" s="51"/>
    </row>
    <row r="69" spans="1:4" x14ac:dyDescent="0.25">
      <c r="A69" s="65"/>
    </row>
    <row r="70" spans="1:4" x14ac:dyDescent="0.25">
      <c r="A70" s="65"/>
    </row>
    <row r="71" spans="1:4" x14ac:dyDescent="0.25">
      <c r="A71" s="65"/>
    </row>
    <row r="72" spans="1:4" x14ac:dyDescent="0.25">
      <c r="A72" s="65"/>
    </row>
    <row r="73" spans="1:4" x14ac:dyDescent="0.25">
      <c r="A73" s="65"/>
    </row>
    <row r="74" spans="1:4" x14ac:dyDescent="0.25">
      <c r="A74" s="65"/>
    </row>
    <row r="75" spans="1:4" x14ac:dyDescent="0.25">
      <c r="A75" s="65"/>
    </row>
    <row r="76" spans="1:4" x14ac:dyDescent="0.25">
      <c r="A76" s="65"/>
    </row>
    <row r="77" spans="1:4" x14ac:dyDescent="0.25">
      <c r="A77" s="65"/>
      <c r="C77" s="49"/>
      <c r="D77" s="49"/>
    </row>
    <row r="78" spans="1:4" x14ac:dyDescent="0.25">
      <c r="A78" s="65"/>
    </row>
    <row r="79" spans="1:4" x14ac:dyDescent="0.25">
      <c r="A79" s="65"/>
    </row>
    <row r="80" spans="1:4" x14ac:dyDescent="0.25">
      <c r="A80" s="65"/>
    </row>
    <row r="81" spans="1:1" x14ac:dyDescent="0.25">
      <c r="A81" s="65"/>
    </row>
    <row r="82" spans="1:1" x14ac:dyDescent="0.25">
      <c r="A82" s="65"/>
    </row>
    <row r="83" spans="1:1" x14ac:dyDescent="0.25">
      <c r="A83" s="65"/>
    </row>
    <row r="84" spans="1:1" x14ac:dyDescent="0.25">
      <c r="A84" s="65"/>
    </row>
    <row r="85" spans="1:1" x14ac:dyDescent="0.25">
      <c r="A85" s="65"/>
    </row>
    <row r="86" spans="1:1" x14ac:dyDescent="0.25">
      <c r="A86" s="65"/>
    </row>
    <row r="87" spans="1:1" x14ac:dyDescent="0.25">
      <c r="A87" s="92"/>
    </row>
    <row r="88" spans="1:1" x14ac:dyDescent="0.25">
      <c r="A88" s="92"/>
    </row>
    <row r="89" spans="1:1" x14ac:dyDescent="0.25">
      <c r="A89" s="92"/>
    </row>
    <row r="90" spans="1:1" x14ac:dyDescent="0.25">
      <c r="A90" s="92"/>
    </row>
    <row r="91" spans="1:1" x14ac:dyDescent="0.25">
      <c r="A91" s="92"/>
    </row>
    <row r="92" spans="1:1" x14ac:dyDescent="0.25">
      <c r="A92" s="92"/>
    </row>
    <row r="93" spans="1:1" x14ac:dyDescent="0.25">
      <c r="A93" s="92"/>
    </row>
    <row r="94" spans="1:1" x14ac:dyDescent="0.25">
      <c r="A94" s="92"/>
    </row>
    <row r="95" spans="1:1" x14ac:dyDescent="0.25">
      <c r="A95" s="92"/>
    </row>
    <row r="96" spans="1:1" x14ac:dyDescent="0.25">
      <c r="A96" s="92"/>
    </row>
    <row r="97" spans="1:1" x14ac:dyDescent="0.25">
      <c r="A97" s="92"/>
    </row>
    <row r="98" spans="1:1" x14ac:dyDescent="0.25">
      <c r="A98" s="92"/>
    </row>
    <row r="99" spans="1:1" x14ac:dyDescent="0.25">
      <c r="A99" s="92"/>
    </row>
    <row r="100" spans="1:1" x14ac:dyDescent="0.25">
      <c r="A100" s="92"/>
    </row>
    <row r="101" spans="1:1" x14ac:dyDescent="0.25">
      <c r="A101" s="92"/>
    </row>
    <row r="102" spans="1:1" x14ac:dyDescent="0.25">
      <c r="A102" s="92"/>
    </row>
    <row r="103" spans="1:1" x14ac:dyDescent="0.25">
      <c r="A103" s="92"/>
    </row>
    <row r="104" spans="1:1" x14ac:dyDescent="0.25">
      <c r="A104" s="92"/>
    </row>
    <row r="105" spans="1:1" x14ac:dyDescent="0.25">
      <c r="A105" s="92"/>
    </row>
    <row r="106" spans="1:1" x14ac:dyDescent="0.25">
      <c r="A106" s="92"/>
    </row>
    <row r="107" spans="1:1" x14ac:dyDescent="0.25">
      <c r="A107" s="92"/>
    </row>
    <row r="108" spans="1:1" x14ac:dyDescent="0.25">
      <c r="A108" s="92"/>
    </row>
    <row r="109" spans="1:1" x14ac:dyDescent="0.25">
      <c r="A109" s="92"/>
    </row>
    <row r="110" spans="1:1" x14ac:dyDescent="0.25">
      <c r="A110" s="92"/>
    </row>
    <row r="111" spans="1:1" x14ac:dyDescent="0.25">
      <c r="A111" s="92"/>
    </row>
    <row r="112" spans="1:1" x14ac:dyDescent="0.25">
      <c r="A112" s="92"/>
    </row>
    <row r="113" spans="1:1" x14ac:dyDescent="0.25">
      <c r="A113" s="92"/>
    </row>
    <row r="114" spans="1:1" x14ac:dyDescent="0.25">
      <c r="A114" s="92"/>
    </row>
    <row r="115" spans="1:1" x14ac:dyDescent="0.25">
      <c r="A115" s="92"/>
    </row>
    <row r="116" spans="1:1" x14ac:dyDescent="0.25">
      <c r="A116" s="92"/>
    </row>
    <row r="117" spans="1:1" x14ac:dyDescent="0.25">
      <c r="A117" s="92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759DD-EB89-44AE-83AC-8F3F7BA20E68}">
  <sheetPr codeName="Sheet14">
    <pageSetUpPr autoPageBreaks="0"/>
  </sheetPr>
  <dimension ref="A1:AA2089"/>
  <sheetViews>
    <sheetView workbookViewId="0">
      <selection activeCell="P19" sqref="P19"/>
    </sheetView>
  </sheetViews>
  <sheetFormatPr defaultRowHeight="15" x14ac:dyDescent="0.25"/>
  <cols>
    <col min="1" max="2" width="18.140625" style="3" customWidth="1"/>
    <col min="3" max="3" width="13.42578125" style="3" customWidth="1"/>
    <col min="4" max="4" width="13.42578125" customWidth="1"/>
    <col min="5" max="5" width="17.85546875" style="3" customWidth="1"/>
    <col min="6" max="6" width="42.85546875" style="3" customWidth="1"/>
    <col min="7" max="7" width="28.5703125" bestFit="1" customWidth="1"/>
    <col min="8" max="9" width="13.42578125" customWidth="1"/>
    <col min="10" max="10" width="13.42578125" style="38" customWidth="1"/>
    <col min="11" max="12" width="13.42578125" customWidth="1"/>
    <col min="13" max="13" width="13.42578125" style="38" customWidth="1"/>
    <col min="14" max="16" width="13.42578125" customWidth="1"/>
    <col min="17" max="17" width="13.42578125" style="38" customWidth="1"/>
    <col min="18" max="18" width="13.42578125" style="42" customWidth="1"/>
    <col min="19" max="21" width="13.42578125" customWidth="1"/>
    <col min="22" max="22" width="27.85546875" style="18" customWidth="1"/>
    <col min="23" max="23" width="65.85546875" style="18" customWidth="1"/>
    <col min="26" max="26" width="15.85546875" customWidth="1"/>
  </cols>
  <sheetData>
    <row r="1" spans="1:27" x14ac:dyDescent="0.25">
      <c r="A1" s="2" t="s">
        <v>771</v>
      </c>
      <c r="B1" s="2" t="s">
        <v>772</v>
      </c>
      <c r="C1" s="2" t="s">
        <v>773</v>
      </c>
      <c r="D1" s="1" t="s">
        <v>8</v>
      </c>
      <c r="E1" s="2" t="s">
        <v>774</v>
      </c>
      <c r="F1" s="2" t="s">
        <v>775</v>
      </c>
      <c r="G1" s="1" t="s">
        <v>776</v>
      </c>
      <c r="H1" s="1" t="s">
        <v>777</v>
      </c>
      <c r="I1" s="1" t="s">
        <v>778</v>
      </c>
      <c r="J1" s="39" t="s">
        <v>779</v>
      </c>
      <c r="K1" s="1" t="s">
        <v>780</v>
      </c>
      <c r="L1" s="1" t="s">
        <v>781</v>
      </c>
      <c r="M1" s="39" t="s">
        <v>782</v>
      </c>
      <c r="N1" s="1" t="s">
        <v>101</v>
      </c>
      <c r="O1" s="1" t="s">
        <v>783</v>
      </c>
      <c r="P1" s="1" t="s">
        <v>784</v>
      </c>
      <c r="Q1" s="39" t="s">
        <v>785</v>
      </c>
      <c r="R1" s="40" t="s">
        <v>786</v>
      </c>
      <c r="S1" s="1" t="s">
        <v>787</v>
      </c>
      <c r="T1" s="1" t="s">
        <v>788</v>
      </c>
      <c r="U1" s="35" t="s">
        <v>118</v>
      </c>
      <c r="V1" s="30" t="s">
        <v>789</v>
      </c>
      <c r="W1" s="86" t="s">
        <v>790</v>
      </c>
      <c r="X1" s="34" t="s">
        <v>791</v>
      </c>
    </row>
    <row r="2" spans="1:27" x14ac:dyDescent="0.25">
      <c r="A2" s="37" t="s">
        <v>351</v>
      </c>
      <c r="B2" s="3" t="str">
        <f>RTD("ice.rtd",,$C2 &amp; $D2 &amp; ":" &amp; B$1)</f>
        <v>DBG</v>
      </c>
      <c r="C2" s="3">
        <v>2322725588</v>
      </c>
      <c r="D2" t="s">
        <v>792</v>
      </c>
      <c r="E2" s="3" t="str">
        <f>RTD("ice.rtd",,$C2 &amp; $D2 &amp; ":" &amp; E$1)</f>
        <v>Bal Month</v>
      </c>
      <c r="F2" s="3" t="str">
        <f>ICE[[#This Row],[Prod]]&amp;ICE[[#This Row],[Strip]]</f>
        <v>dflBal Month</v>
      </c>
      <c r="G2" s="18">
        <f>RTD("ice.rtd",,$C2 &amp; $D2 &amp; ":" &amp; G$1)</f>
        <v>3.25</v>
      </c>
      <c r="H2" s="18" t="str">
        <f>RTD("ice.rtd",,$C2 &amp; $D2 &amp; ":" &amp; H$1)</f>
        <v/>
      </c>
      <c r="I2" s="18">
        <f>RTD("ice.rtd",,$C2 &amp; $D2 &amp; ":" &amp; I$1)</f>
        <v>3.2</v>
      </c>
      <c r="J2" s="14">
        <f>IFERROR(MOD(RTD("ice.rtd",,$C2 &amp; $D2 &amp; ":" &amp; J$1), 1), "")</f>
        <v>0.42666997684864327</v>
      </c>
      <c r="K2" s="18">
        <f>RTD("ice.rtd",,$C2 &amp; $D2 &amp; ":" &amp; K$1)</f>
        <v>3.05</v>
      </c>
      <c r="L2" s="36">
        <f>RTD("ice.rtd",,$C2 &amp; $D2 &amp; ":" &amp; L$1)</f>
        <v>20</v>
      </c>
      <c r="M2" s="14">
        <f>IFERROR(MOD(TIMEVALUE(RTD("ice.rtd",,$C2 &amp; $D2 &amp; ":" &amp; M$1)), 1), "")</f>
        <v>0.4115509259259259</v>
      </c>
      <c r="N2" s="36">
        <f>RTD("ice.rtd",,$C2 &amp; $D2 &amp; ":" &amp; N$1)</f>
        <v>110</v>
      </c>
      <c r="O2" s="36">
        <f>RTD("ice.rtd",,$C2 &amp; $D2 &amp; ":" &amp; O$1)</f>
        <v>970</v>
      </c>
      <c r="P2" s="1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2" s="14">
        <f>IF(ICE[[#This Row],[LastType]] = "Scrn", ICE[[#This Row],[LstDate]], IF(ICE[[#This Row],[LastType]] = "Blk", ICE[[#This Row],[LstBlkTime]], ""))</f>
        <v>0.42666997684864327</v>
      </c>
      <c r="R2" s="41">
        <f>IF(ICE[[#This Row],[LastType]] = "Scrn", ICE[[#This Row],[LstPrc]], IF(ICE[[#This Row],[LastType]] = "Blk", ICE[[#This Row],[LstBlkPrc]], ""))</f>
        <v>3.2</v>
      </c>
      <c r="S2" s="36">
        <f>ICE[[#This Row],[Vol]]+ICE[[#This Row],[BlkVol]]</f>
        <v>1080</v>
      </c>
      <c r="T2" s="36">
        <f>RTD("ice.rtd",,$C2 &amp; $D2 &amp; ":" &amp; T$1)</f>
        <v>0</v>
      </c>
      <c r="U2" s="18">
        <f>RTD("ice.rtd",,$C2 &amp; $D2 &amp; ":" &amp; U$1)</f>
        <v>2.4500000000000002</v>
      </c>
      <c r="V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3.25 /  {3.20} |1,080x</v>
      </c>
      <c r="W2" s="18" t="str">
        <f>IFERROR(IF(LEFT(ICE[[#This Row],[Tenor]], 1) = "B", RTD("esrtd",,$B2 &amp; " " &amp; ICE[[#This Row],[Tenor]] &amp; "-IEU", W$1), RTD("esrtd",,$B2 &amp; " " &amp; VLOOKUP(MONTH(ICE[[#This Row],[Strip]]), MthRef[], 2, 0) &amp; RIGHT(YEAR(ICE[[#This Row],[Strip]]), 2) &amp; "-IEU", W$1)), "")</f>
        <v/>
      </c>
      <c r="X2" s="36"/>
    </row>
    <row r="3" spans="1:27" x14ac:dyDescent="0.25">
      <c r="A3" s="37" t="s">
        <v>351</v>
      </c>
      <c r="B3" s="3" t="str">
        <f>RTD("ice.rtd",,$C3 &amp; $D3 &amp; ":" &amp; B$1)</f>
        <v>DBF</v>
      </c>
      <c r="C3" s="3">
        <v>1517</v>
      </c>
      <c r="D3" t="s">
        <v>793</v>
      </c>
      <c r="E3" s="3" t="str">
        <f>RTD("ice.rtd",,$C3 &amp; $D3 &amp; ":" &amp; E$1)</f>
        <v>Sep26</v>
      </c>
      <c r="F3" s="3" t="str">
        <f>ICE[[#This Row],[Prod]]&amp;ICE[[#This Row],[Strip]]</f>
        <v>dflSep26</v>
      </c>
      <c r="G3" s="18">
        <f>RTD("ice.rtd",,$C3 &amp; $D3 &amp; ":" &amp; G$1)</f>
        <v>2.8</v>
      </c>
      <c r="H3" s="18">
        <f>RTD("ice.rtd",,$C3 &amp; $D3 &amp; ":" &amp; H$1)</f>
        <v>3.5</v>
      </c>
      <c r="I3" s="18">
        <f>RTD("ice.rtd",,$C3 &amp; $D3 &amp; ":" &amp; I$1)</f>
        <v>3.05</v>
      </c>
      <c r="J3" s="14">
        <f>IFERROR(MOD(RTD("ice.rtd",,$C3 &amp; $D3 &amp; ":" &amp; J$1), 1), "")</f>
        <v>0.42663729166815756</v>
      </c>
      <c r="K3" s="18">
        <f>RTD("ice.rtd",,$C3 &amp; $D3 &amp; ":" &amp; K$1)</f>
        <v>3</v>
      </c>
      <c r="L3" s="36">
        <f>RTD("ice.rtd",,$C3 &amp; $D3 &amp; ":" &amp; L$1)</f>
        <v>17</v>
      </c>
      <c r="M3" s="14">
        <f>IFERROR(MOD(TIMEVALUE(RTD("ice.rtd",,$C3 &amp; $D3 &amp; ":" &amp; M$1)), 1), "")</f>
        <v>0.44927083333333334</v>
      </c>
      <c r="N3" s="36">
        <f>RTD("ice.rtd",,$C3 &amp; $D3 &amp; ":" &amp; N$1)</f>
        <v>110</v>
      </c>
      <c r="O3" s="36">
        <f>RTD("ice.rtd",,$C3 &amp; $D3 &amp; ":" &amp; O$1)</f>
        <v>17</v>
      </c>
      <c r="P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" s="14">
        <f>IF(ICE[[#This Row],[LastType]] = "Scrn", ICE[[#This Row],[LstDate]], IF(ICE[[#This Row],[LastType]] = "Blk", ICE[[#This Row],[LstBlkTime]], ""))</f>
        <v>0.44927083333333334</v>
      </c>
      <c r="R3" s="41">
        <f>IF(ICE[[#This Row],[LastType]] = "Scrn", ICE[[#This Row],[LstPrc]], IF(ICE[[#This Row],[LastType]] = "Blk", ICE[[#This Row],[LstBlkPrc]], ""))</f>
        <v>3</v>
      </c>
      <c r="S3" s="36">
        <f>ICE[[#This Row],[Vol]]+ICE[[#This Row],[BlkVol]]</f>
        <v>127</v>
      </c>
      <c r="T3" s="36">
        <f>RTD("ice.rtd",,$C3 &amp; $D3 &amp; ":" &amp; T$1)</f>
        <v>99049</v>
      </c>
      <c r="U3" s="18">
        <f>RTD("ice.rtd",,$C3 &amp; $D3 &amp; ":" &amp; U$1)</f>
        <v>2.4500000000000002</v>
      </c>
      <c r="V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2.80 / 3.50 {3.00} |127x</v>
      </c>
      <c r="W3" s="18" t="str">
        <f>IFERROR(IF(LEFT(ICE[[#This Row],[Tenor]], 1) = "B", RTD("esrtd",,$B3 &amp; " " &amp; ICE[[#This Row],[Tenor]] &amp; "-IEU", W$1), RTD("esrtd",,$B3 &amp; " " &amp; VLOOKUP(MONTH(ICE[[#This Row],[Strip]]), MthRef[], 2, 0) &amp; RIGHT(YEAR(ICE[[#This Row],[Strip]]), 2) &amp; "-IEU", W$1)), "")</f>
        <v/>
      </c>
      <c r="X3" s="36"/>
    </row>
    <row r="4" spans="1:27" x14ac:dyDescent="0.25">
      <c r="A4" s="37" t="s">
        <v>351</v>
      </c>
      <c r="B4" s="3" t="str">
        <f>RTD("ice.rtd",,$C4 &amp; $D4 &amp; ":" &amp; B$1)</f>
        <v>DBF</v>
      </c>
      <c r="C4" s="3">
        <v>1517</v>
      </c>
      <c r="D4" t="s">
        <v>324</v>
      </c>
      <c r="E4" s="3" t="str">
        <f>RTD("ice.rtd",,$C4 &amp; $D4 &amp; ":" &amp; E$1)</f>
        <v>Oct26</v>
      </c>
      <c r="F4" s="3" t="str">
        <f>ICE[[#This Row],[Prod]]&amp;ICE[[#This Row],[Strip]]</f>
        <v>dflOct26</v>
      </c>
      <c r="G4" s="18">
        <f>RTD("ice.rtd",,$C4 &amp; $D4 &amp; ":" &amp; G$1)</f>
        <v>3.79</v>
      </c>
      <c r="H4" s="18">
        <f>RTD("ice.rtd",,$C4 &amp; $D4 &amp; ":" &amp; H$1)</f>
        <v>3.89</v>
      </c>
      <c r="I4" s="18">
        <f>RTD("ice.rtd",,$C4 &amp; $D4 &amp; ":" &amp; I$1)</f>
        <v>3.88</v>
      </c>
      <c r="J4" s="14">
        <f>IFERROR(MOD(RTD("ice.rtd",,$C4 &amp; $D4 &amp; ":" &amp; J$1), 1), "")</f>
        <v>0.45809291666955687</v>
      </c>
      <c r="K4" s="18">
        <f>RTD("ice.rtd",,$C4 &amp; $D4 &amp; ":" &amp; K$1)</f>
        <v>3.8</v>
      </c>
      <c r="L4" s="36">
        <f>RTD("ice.rtd",,$C4 &amp; $D4 &amp; ":" &amp; L$1)</f>
        <v>250</v>
      </c>
      <c r="M4" s="14">
        <f>IFERROR(MOD(TIMEVALUE(RTD("ice.rtd",,$C4 &amp; $D4 &amp; ":" &amp; M$1)), 1), "")</f>
        <v>0.45773148148148146</v>
      </c>
      <c r="N4" s="36">
        <f>RTD("ice.rtd",,$C4 &amp; $D4 &amp; ":" &amp; N$1)</f>
        <v>447</v>
      </c>
      <c r="O4" s="36">
        <f>RTD("ice.rtd",,$C4 &amp; $D4 &amp; ":" &amp; O$1)</f>
        <v>2405</v>
      </c>
      <c r="P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" s="14">
        <f>IF(ICE[[#This Row],[LastType]] = "Scrn", ICE[[#This Row],[LstDate]], IF(ICE[[#This Row],[LastType]] = "Blk", ICE[[#This Row],[LstBlkTime]], ""))</f>
        <v>0.45809291666955687</v>
      </c>
      <c r="R4" s="41">
        <f>IF(ICE[[#This Row],[LastType]] = "Scrn", ICE[[#This Row],[LstPrc]], IF(ICE[[#This Row],[LastType]] = "Blk", ICE[[#This Row],[LstBlkPrc]], ""))</f>
        <v>3.88</v>
      </c>
      <c r="S4" s="36">
        <f>ICE[[#This Row],[Vol]]+ICE[[#This Row],[BlkVol]]</f>
        <v>2852</v>
      </c>
      <c r="T4" s="36">
        <f>RTD("ice.rtd",,$C4 &amp; $D4 &amp; ":" &amp; T$1)</f>
        <v>73387</v>
      </c>
      <c r="U4" s="18">
        <f>RTD("ice.rtd",,$C4 &amp; $D4 &amp; ":" &amp; U$1)</f>
        <v>3.22</v>
      </c>
      <c r="V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3.79 / 3.89 {3.88} |2,852x</v>
      </c>
      <c r="W4" s="18" t="str">
        <f>IFERROR(IF(LEFT(ICE[[#This Row],[Tenor]], 1) = "B", RTD("esrtd",,$B4 &amp; " " &amp; ICE[[#This Row],[Tenor]] &amp; "-IEU", W$1), RTD("esrtd",,$B4 &amp; " " &amp; VLOOKUP(MONTH(ICE[[#This Row],[Strip]]), MthRef[], 2, 0) &amp; RIGHT(YEAR(ICE[[#This Row],[Strip]]), 2) &amp; "-IEU", W$1)), "")</f>
        <v/>
      </c>
      <c r="X4" s="36"/>
      <c r="AA4" s="800" t="str">
        <f>IFERROR(RTD("esrtd",,"DBF M26-IEU", W$1), "")</f>
        <v/>
      </c>
    </row>
    <row r="5" spans="1:27" x14ac:dyDescent="0.25">
      <c r="A5" s="37" t="s">
        <v>351</v>
      </c>
      <c r="B5" s="3" t="str">
        <f>RTD("ice.rtd",,$C5 &amp; $D5 &amp; ":" &amp; B$1)</f>
        <v>DBF</v>
      </c>
      <c r="C5" s="3">
        <v>1517</v>
      </c>
      <c r="D5" t="s">
        <v>325</v>
      </c>
      <c r="E5" s="3" t="str">
        <f>RTD("ice.rtd",,$C5 &amp; $D5 &amp; ":" &amp; E$1)</f>
        <v>Nov26</v>
      </c>
      <c r="F5" s="3" t="str">
        <f>ICE[[#This Row],[Prod]]&amp;ICE[[#This Row],[Strip]]</f>
        <v>dflNov26</v>
      </c>
      <c r="G5" s="18">
        <f>RTD("ice.rtd",,$C5 &amp; $D5 &amp; ":" &amp; G$1)</f>
        <v>3.28</v>
      </c>
      <c r="H5" s="18">
        <f>RTD("ice.rtd",,$C5 &amp; $D5 &amp; ":" &amp; H$1)</f>
        <v>3.36</v>
      </c>
      <c r="I5" s="18">
        <f>RTD("ice.rtd",,$C5 &amp; $D5 &amp; ":" &amp; I$1)</f>
        <v>3.32</v>
      </c>
      <c r="J5" s="14">
        <f>IFERROR(MOD(RTD("ice.rtd",,$C5 &amp; $D5 &amp; ":" &amp; J$1), 1), "")</f>
        <v>0.45835217592684785</v>
      </c>
      <c r="K5" s="18">
        <f>RTD("ice.rtd",,$C5 &amp; $D5 &amp; ":" &amp; K$1)</f>
        <v>3.3</v>
      </c>
      <c r="L5" s="36">
        <f>RTD("ice.rtd",,$C5 &amp; $D5 &amp; ":" &amp; L$1)</f>
        <v>50</v>
      </c>
      <c r="M5" s="14">
        <f>IFERROR(MOD(TIMEVALUE(RTD("ice.rtd",,$C5 &amp; $D5 &amp; ":" &amp; M$1)), 1), "")</f>
        <v>0.45093749999999999</v>
      </c>
      <c r="N5" s="36">
        <f>RTD("ice.rtd",,$C5 &amp; $D5 &amp; ":" &amp; N$1)</f>
        <v>354</v>
      </c>
      <c r="O5" s="36">
        <f>RTD("ice.rtd",,$C5 &amp; $D5 &amp; ":" &amp; O$1)</f>
        <v>1475</v>
      </c>
      <c r="P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5" s="14">
        <f>IF(ICE[[#This Row],[LastType]] = "Scrn", ICE[[#This Row],[LstDate]], IF(ICE[[#This Row],[LastType]] = "Blk", ICE[[#This Row],[LstBlkTime]], ""))</f>
        <v>0.45835217592684785</v>
      </c>
      <c r="R5" s="41">
        <f>IF(ICE[[#This Row],[LastType]] = "Scrn", ICE[[#This Row],[LstPrc]], IF(ICE[[#This Row],[LastType]] = "Blk", ICE[[#This Row],[LstBlkPrc]], ""))</f>
        <v>3.32</v>
      </c>
      <c r="S5" s="36">
        <f>ICE[[#This Row],[Vol]]+ICE[[#This Row],[BlkVol]]</f>
        <v>1829</v>
      </c>
      <c r="T5" s="36">
        <f>RTD("ice.rtd",,$C5 &amp; $D5 &amp; ":" &amp; T$1)</f>
        <v>39512</v>
      </c>
      <c r="U5" s="18">
        <f>RTD("ice.rtd",,$C5 &amp; $D5 &amp; ":" &amp; U$1)</f>
        <v>3</v>
      </c>
      <c r="V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3.28 / 3.36 {3.32} |1,829x</v>
      </c>
      <c r="W5" s="18" t="str">
        <f>IFERROR(IF(LEFT(ICE[[#This Row],[Tenor]], 1) = "B", RTD("esrtd",,$B5 &amp; " " &amp; ICE[[#This Row],[Tenor]] &amp; "-IEU", W$1), RTD("esrtd",,$B5 &amp; " " &amp; VLOOKUP(MONTH(ICE[[#This Row],[Strip]]), MthRef[], 2, 0) &amp; RIGHT(YEAR(ICE[[#This Row],[Strip]]), 2) &amp; "-IEU", W$1)), "")</f>
        <v/>
      </c>
      <c r="X5" s="36"/>
    </row>
    <row r="6" spans="1:27" x14ac:dyDescent="0.25">
      <c r="A6" s="37" t="s">
        <v>351</v>
      </c>
      <c r="B6" s="3" t="str">
        <f>RTD("ice.rtd",,$C6 &amp; $D6 &amp; ":" &amp; B$1)</f>
        <v>DBF</v>
      </c>
      <c r="C6" s="3">
        <v>1517</v>
      </c>
      <c r="D6" t="s">
        <v>326</v>
      </c>
      <c r="E6" s="3" t="str">
        <f>RTD("ice.rtd",,$C6 &amp; $D6 &amp; ":" &amp; E$1)</f>
        <v>Dec26</v>
      </c>
      <c r="F6" s="3" t="str">
        <f>ICE[[#This Row],[Prod]]&amp;ICE[[#This Row],[Strip]]</f>
        <v>dflDec26</v>
      </c>
      <c r="G6" s="18">
        <f>RTD("ice.rtd",,$C6 &amp; $D6 &amp; ":" &amp; G$1)</f>
        <v>2.9</v>
      </c>
      <c r="H6" s="18">
        <f>RTD("ice.rtd",,$C6 &amp; $D6 &amp; ":" &amp; H$1)</f>
        <v>2.95</v>
      </c>
      <c r="I6" s="18">
        <f>RTD("ice.rtd",,$C6 &amp; $D6 &amp; ":" &amp; I$1)</f>
        <v>2.9</v>
      </c>
      <c r="J6" s="14">
        <f>IFERROR(MOD(RTD("ice.rtd",,$C6 &amp; $D6 &amp; ":" &amp; J$1), 1), "")</f>
        <v>0.46504788194579305</v>
      </c>
      <c r="K6" s="18">
        <f>RTD("ice.rtd",,$C6 &amp; $D6 &amp; ":" &amp; K$1)</f>
        <v>2.87</v>
      </c>
      <c r="L6" s="36">
        <f>RTD("ice.rtd",,$C6 &amp; $D6 &amp; ":" &amp; L$1)</f>
        <v>50</v>
      </c>
      <c r="M6" s="14">
        <f>IFERROR(MOD(TIMEVALUE(RTD("ice.rtd",,$C6 &amp; $D6 &amp; ":" &amp; M$1)), 1), "")</f>
        <v>0.45093749999999999</v>
      </c>
      <c r="N6" s="36">
        <f>RTD("ice.rtd",,$C6 &amp; $D6 &amp; ":" &amp; N$1)</f>
        <v>132</v>
      </c>
      <c r="O6" s="36">
        <f>RTD("ice.rtd",,$C6 &amp; $D6 &amp; ":" &amp; O$1)</f>
        <v>275</v>
      </c>
      <c r="P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6" s="14">
        <f>IF(ICE[[#This Row],[LastType]] = "Scrn", ICE[[#This Row],[LstDate]], IF(ICE[[#This Row],[LastType]] = "Blk", ICE[[#This Row],[LstBlkTime]], ""))</f>
        <v>0.46504788194579305</v>
      </c>
      <c r="R6" s="41">
        <f>IF(ICE[[#This Row],[LastType]] = "Scrn", ICE[[#This Row],[LstPrc]], IF(ICE[[#This Row],[LastType]] = "Blk", ICE[[#This Row],[LstBlkPrc]], ""))</f>
        <v>2.9</v>
      </c>
      <c r="S6" s="36">
        <f>ICE[[#This Row],[Vol]]+ICE[[#This Row],[BlkVol]]</f>
        <v>407</v>
      </c>
      <c r="T6" s="36">
        <f>RTD("ice.rtd",,$C6 &amp; $D6 &amp; ":" &amp; T$1)</f>
        <v>31112</v>
      </c>
      <c r="U6" s="18">
        <f>RTD("ice.rtd",,$C6 &amp; $D6 &amp; ":" &amp; U$1)</f>
        <v>2.64</v>
      </c>
      <c r="V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2.90 / 2.95 {2.90} |407x</v>
      </c>
      <c r="W6" s="18" t="str">
        <f>IFERROR(IF(LEFT(ICE[[#This Row],[Tenor]], 1) = "B", RTD("esrtd",,$B6 &amp; " " &amp; ICE[[#This Row],[Tenor]] &amp; "-IEU", W$1), RTD("esrtd",,$B6 &amp; " " &amp; VLOOKUP(MONTH(ICE[[#This Row],[Strip]]), MthRef[], 2, 0) &amp; RIGHT(YEAR(ICE[[#This Row],[Strip]]), 2) &amp; "-IEU", W$1)), "")</f>
        <v/>
      </c>
      <c r="X6" s="36"/>
    </row>
    <row r="7" spans="1:27" x14ac:dyDescent="0.25">
      <c r="A7" s="37" t="s">
        <v>351</v>
      </c>
      <c r="B7" s="3" t="str">
        <f>RTD("ice.rtd",,$C7 &amp; $D7 &amp; ":" &amp; B$1)</f>
        <v>DBF</v>
      </c>
      <c r="C7" s="3">
        <v>1517</v>
      </c>
      <c r="D7" t="s">
        <v>794</v>
      </c>
      <c r="E7" s="3" t="str">
        <f>RTD("ice.rtd",,$C7 &amp; $D7 &amp; ":" &amp; E$1)</f>
        <v>Jan27</v>
      </c>
      <c r="F7" s="3" t="str">
        <f>ICE[[#This Row],[Prod]]&amp;ICE[[#This Row],[Strip]]</f>
        <v>dflJan27</v>
      </c>
      <c r="G7" s="18">
        <f>RTD("ice.rtd",,$C7 &amp; $D7 &amp; ":" &amp; G$1)</f>
        <v>2.0499999999999998</v>
      </c>
      <c r="H7" s="18">
        <f>RTD("ice.rtd",,$C7 &amp; $D7 &amp; ":" &amp; H$1)</f>
        <v>2.2999999999999998</v>
      </c>
      <c r="I7" s="18">
        <f>RTD("ice.rtd",,$C7 &amp; $D7 &amp; ":" &amp; I$1)</f>
        <v>2.25</v>
      </c>
      <c r="J7" s="14">
        <f>IFERROR(MOD(RTD("ice.rtd",,$C7 &amp; $D7 &amp; ":" &amp; J$1), 1), "")</f>
        <v>0.46504788194579305</v>
      </c>
      <c r="K7" s="18">
        <f>RTD("ice.rtd",,$C7 &amp; $D7 &amp; ":" &amp; K$1)</f>
        <v>2.16</v>
      </c>
      <c r="L7" s="36">
        <f>RTD("ice.rtd",,$C7 &amp; $D7 &amp; ":" &amp; L$1)</f>
        <v>50</v>
      </c>
      <c r="M7" s="14">
        <f>IFERROR(MOD(TIMEVALUE(RTD("ice.rtd",,$C7 &amp; $D7 &amp; ":" &amp; M$1)), 1), "")</f>
        <v>0.45635416666666667</v>
      </c>
      <c r="N7" s="36">
        <f>RTD("ice.rtd",,$C7 &amp; $D7 &amp; ":" &amp; N$1)</f>
        <v>30</v>
      </c>
      <c r="O7" s="36">
        <f>RTD("ice.rtd",,$C7 &amp; $D7 &amp; ":" &amp; O$1)</f>
        <v>275</v>
      </c>
      <c r="P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7" s="14">
        <f>IF(ICE[[#This Row],[LastType]] = "Scrn", ICE[[#This Row],[LstDate]], IF(ICE[[#This Row],[LastType]] = "Blk", ICE[[#This Row],[LstBlkTime]], ""))</f>
        <v>0.46504788194579305</v>
      </c>
      <c r="R7" s="41">
        <f>IF(ICE[[#This Row],[LastType]] = "Scrn", ICE[[#This Row],[LstPrc]], IF(ICE[[#This Row],[LastType]] = "Blk", ICE[[#This Row],[LstBlkPrc]], ""))</f>
        <v>2.25</v>
      </c>
      <c r="S7" s="36">
        <f>ICE[[#This Row],[Vol]]+ICE[[#This Row],[BlkVol]]</f>
        <v>305</v>
      </c>
      <c r="T7" s="36">
        <f>RTD("ice.rtd",,$C7 &amp; $D7 &amp; ":" &amp; T$1)</f>
        <v>18578</v>
      </c>
      <c r="U7" s="18">
        <f>RTD("ice.rtd",,$C7 &amp; $D7 &amp; ":" &amp; U$1)</f>
        <v>2.12</v>
      </c>
      <c r="V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2.05 / 2.30 {2.25} |305x</v>
      </c>
      <c r="W7" s="18" t="str">
        <f>IFERROR(IF(LEFT(ICE[[#This Row],[Tenor]], 1) = "B", RTD("esrtd",,$B7 &amp; " " &amp; ICE[[#This Row],[Tenor]] &amp; "-IEU", W$1), RTD("esrtd",,$B7 &amp; " " &amp; VLOOKUP(MONTH(ICE[[#This Row],[Strip]]), MthRef[], 2, 0) &amp; RIGHT(YEAR(ICE[[#This Row],[Strip]]), 2) &amp; "-IEU", W$1)), "")</f>
        <v/>
      </c>
      <c r="X7" s="36"/>
    </row>
    <row r="8" spans="1:27" x14ac:dyDescent="0.25">
      <c r="A8" s="37" t="s">
        <v>351</v>
      </c>
      <c r="B8" s="3" t="str">
        <f>RTD("ice.rtd",,$C8 &amp; $D8 &amp; ":" &amp; B$1)</f>
        <v>DBF</v>
      </c>
      <c r="C8" s="3">
        <v>1517</v>
      </c>
      <c r="D8" t="s">
        <v>795</v>
      </c>
      <c r="E8" s="3" t="str">
        <f>RTD("ice.rtd",,$C8 &amp; $D8 &amp; ":" &amp; E$1)</f>
        <v>Feb27</v>
      </c>
      <c r="F8" s="3" t="str">
        <f>ICE[[#This Row],[Prod]]&amp;ICE[[#This Row],[Strip]]</f>
        <v>dflFeb27</v>
      </c>
      <c r="G8" s="18" t="str">
        <f>RTD("ice.rtd",,$C8 &amp; $D8 &amp; ":" &amp; G$1)</f>
        <v/>
      </c>
      <c r="H8" s="18" t="str">
        <f>RTD("ice.rtd",,$C8 &amp; $D8 &amp; ":" &amp; H$1)</f>
        <v/>
      </c>
      <c r="I8" s="18" t="str">
        <f>RTD("ice.rtd",,$C8 &amp; $D8 &amp; ":" &amp; I$1)</f>
        <v/>
      </c>
      <c r="J8" s="14" t="str">
        <f>IFERROR(MOD(RTD("ice.rtd",,$C8 &amp; $D8 &amp; ":" &amp; J$1), 1), "")</f>
        <v/>
      </c>
      <c r="K8" s="18">
        <f>RTD("ice.rtd",,$C8 &amp; $D8 &amp; ":" &amp; K$1)</f>
        <v>1.7</v>
      </c>
      <c r="L8" s="36">
        <f>RTD("ice.rtd",,$C8 &amp; $D8 &amp; ":" &amp; L$1)</f>
        <v>50</v>
      </c>
      <c r="M8" s="14">
        <f>IFERROR(MOD(TIMEVALUE(RTD("ice.rtd",,$C8 &amp; $D8 &amp; ":" &amp; M$1)), 1), "")</f>
        <v>0.45635416666666667</v>
      </c>
      <c r="N8" s="36">
        <f>RTD("ice.rtd",,$C8 &amp; $D8 &amp; ":" &amp; N$1)</f>
        <v>0</v>
      </c>
      <c r="O8" s="36">
        <f>RTD("ice.rtd",,$C8 &amp; $D8 &amp; ":" &amp; O$1)</f>
        <v>275</v>
      </c>
      <c r="P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8" s="14">
        <f>IF(ICE[[#This Row],[LastType]] = "Scrn", ICE[[#This Row],[LstDate]], IF(ICE[[#This Row],[LastType]] = "Blk", ICE[[#This Row],[LstBlkTime]], ""))</f>
        <v>0.45635416666666667</v>
      </c>
      <c r="R8" s="41">
        <f>IF(ICE[[#This Row],[LastType]] = "Scrn", ICE[[#This Row],[LstPrc]], IF(ICE[[#This Row],[LastType]] = "Blk", ICE[[#This Row],[LstBlkPrc]], ""))</f>
        <v>1.7</v>
      </c>
      <c r="S8" s="36">
        <f>ICE[[#This Row],[Vol]]+ICE[[#This Row],[BlkVol]]</f>
        <v>275</v>
      </c>
      <c r="T8" s="36">
        <f>RTD("ice.rtd",,$C8 &amp; $D8 &amp; ":" &amp; T$1)</f>
        <v>21545</v>
      </c>
      <c r="U8" s="18">
        <f>RTD("ice.rtd",,$C8 &amp; $D8 &amp; ":" &amp; U$1)</f>
        <v>1.58</v>
      </c>
      <c r="V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{1.70} |275x</v>
      </c>
      <c r="W8" s="18" t="str">
        <f>IFERROR(IF(LEFT(ICE[[#This Row],[Tenor]], 1) = "B", RTD("esrtd",,$B8 &amp; " " &amp; ICE[[#This Row],[Tenor]] &amp; "-IEU", W$1), RTD("esrtd",,$B8 &amp; " " &amp; VLOOKUP(MONTH(ICE[[#This Row],[Strip]]), MthRef[], 2, 0) &amp; RIGHT(YEAR(ICE[[#This Row],[Strip]]), 2) &amp; "-IEU", W$1)), "")</f>
        <v/>
      </c>
      <c r="X8" s="36"/>
    </row>
    <row r="9" spans="1:27" x14ac:dyDescent="0.25">
      <c r="A9" s="37" t="s">
        <v>351</v>
      </c>
      <c r="B9" s="3" t="str">
        <f>RTD("ice.rtd",,$C9 &amp; $D9 &amp; ":" &amp; B$1)</f>
        <v>DBF</v>
      </c>
      <c r="C9" s="3">
        <v>1517</v>
      </c>
      <c r="D9" t="s">
        <v>113</v>
      </c>
      <c r="E9" s="3" t="str">
        <f>RTD("ice.rtd",,$C9 &amp; $D9 &amp; ":" &amp; E$1)</f>
        <v>Mar27</v>
      </c>
      <c r="F9" s="3" t="str">
        <f>ICE[[#This Row],[Prod]]&amp;ICE[[#This Row],[Strip]]</f>
        <v>dflMar27</v>
      </c>
      <c r="G9" s="18" t="str">
        <f>RTD("ice.rtd",,$C9 &amp; $D9 &amp; ":" &amp; G$1)</f>
        <v/>
      </c>
      <c r="H9" s="18" t="str">
        <f>RTD("ice.rtd",,$C9 &amp; $D9 &amp; ":" &amp; H$1)</f>
        <v/>
      </c>
      <c r="I9" s="18" t="str">
        <f>RTD("ice.rtd",,$C9 &amp; $D9 &amp; ":" &amp; I$1)</f>
        <v/>
      </c>
      <c r="J9" s="14" t="str">
        <f>IFERROR(MOD(RTD("ice.rtd",,$C9 &amp; $D9 &amp; ":" &amp; J$1), 1), "")</f>
        <v/>
      </c>
      <c r="K9" s="18">
        <f>RTD("ice.rtd",,$C9 &amp; $D9 &amp; ":" &amp; K$1)</f>
        <v>1.39</v>
      </c>
      <c r="L9" s="36">
        <f>RTD("ice.rtd",,$C9 &amp; $D9 &amp; ":" &amp; L$1)</f>
        <v>50</v>
      </c>
      <c r="M9" s="14">
        <f>IFERROR(MOD(TIMEVALUE(RTD("ice.rtd",,$C9 &amp; $D9 &amp; ":" &amp; M$1)), 1), "")</f>
        <v>0.45635416666666667</v>
      </c>
      <c r="N9" s="36">
        <f>RTD("ice.rtd",,$C9 &amp; $D9 &amp; ":" &amp; N$1)</f>
        <v>0</v>
      </c>
      <c r="O9" s="36">
        <f>RTD("ice.rtd",,$C9 &amp; $D9 &amp; ":" &amp; O$1)</f>
        <v>275</v>
      </c>
      <c r="P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9" s="14">
        <f>IF(ICE[[#This Row],[LastType]] = "Scrn", ICE[[#This Row],[LstDate]], IF(ICE[[#This Row],[LastType]] = "Blk", ICE[[#This Row],[LstBlkTime]], ""))</f>
        <v>0.45635416666666667</v>
      </c>
      <c r="R9" s="41">
        <f>IF(ICE[[#This Row],[LastType]] = "Scrn", ICE[[#This Row],[LstPrc]], IF(ICE[[#This Row],[LastType]] = "Blk", ICE[[#This Row],[LstBlkPrc]], ""))</f>
        <v>1.39</v>
      </c>
      <c r="S9" s="36">
        <f>ICE[[#This Row],[Vol]]+ICE[[#This Row],[BlkVol]]</f>
        <v>275</v>
      </c>
      <c r="T9" s="36">
        <f>RTD("ice.rtd",,$C9 &amp; $D9 &amp; ":" &amp; T$1)</f>
        <v>17285</v>
      </c>
      <c r="U9" s="18">
        <f>RTD("ice.rtd",,$C9 &amp; $D9 &amp; ":" &amp; U$1)</f>
        <v>1.3</v>
      </c>
      <c r="V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{1.39} |275x</v>
      </c>
      <c r="W9" s="18" t="str">
        <f>IFERROR(IF(LEFT(ICE[[#This Row],[Tenor]], 1) = "B", RTD("esrtd",,$B9 &amp; " " &amp; ICE[[#This Row],[Tenor]] &amp; "-IEU", W$1), RTD("esrtd",,$B9 &amp; " " &amp; VLOOKUP(MONTH(ICE[[#This Row],[Strip]]), MthRef[], 2, 0) &amp; RIGHT(YEAR(ICE[[#This Row],[Strip]]), 2) &amp; "-IEU", W$1)), "")</f>
        <v/>
      </c>
      <c r="X9" s="36"/>
    </row>
    <row r="10" spans="1:27" x14ac:dyDescent="0.25">
      <c r="A10" s="37" t="s">
        <v>351</v>
      </c>
      <c r="B10" s="3" t="str">
        <f>RTD("ice.rtd",,$C10 &amp; $D10 &amp; ":" &amp; B$1)</f>
        <v>DBF</v>
      </c>
      <c r="C10" s="3">
        <v>1517</v>
      </c>
      <c r="D10" t="s">
        <v>796</v>
      </c>
      <c r="E10" s="3" t="str">
        <f>RTD("ice.rtd",,$C10 &amp; $D10 &amp; ":" &amp; E$1)</f>
        <v>Apr27</v>
      </c>
      <c r="F10" s="3" t="str">
        <f>ICE[[#This Row],[Prod]]&amp;ICE[[#This Row],[Strip]]</f>
        <v>dflApr27</v>
      </c>
      <c r="G10" s="18" t="str">
        <f>RTD("ice.rtd",,$C10 &amp; $D10 &amp; ":" &amp; G$1)</f>
        <v/>
      </c>
      <c r="H10" s="18" t="str">
        <f>RTD("ice.rtd",,$C10 &amp; $D10 &amp; ":" &amp; H$1)</f>
        <v/>
      </c>
      <c r="I10" s="18">
        <f>RTD("ice.rtd",,$C10 &amp; $D10 &amp; ":" &amp; I$1)</f>
        <v>1.22</v>
      </c>
      <c r="J10" s="14">
        <f>IFERROR(MOD(RTD("ice.rtd",,$C10 &amp; $D10 &amp; ":" &amp; J$1), 1), "")</f>
        <v>0.38232969907403458</v>
      </c>
      <c r="K10" s="18" t="str">
        <f>RTD("ice.rtd",,$C10 &amp; $D10 &amp; ":" &amp; K$1)</f>
        <v/>
      </c>
      <c r="L10" s="36" t="str">
        <f>RTD("ice.rtd",,$C10 &amp; $D10 &amp; ":" &amp; L$1)</f>
        <v/>
      </c>
      <c r="M10" s="14" t="str">
        <f>IFERROR(MOD(TIMEVALUE(RTD("ice.rtd",,$C10 &amp; $D10 &amp; ":" &amp; M$1)), 1), "")</f>
        <v/>
      </c>
      <c r="N10" s="36">
        <f>RTD("ice.rtd",,$C10 &amp; $D10 &amp; ":" &amp; N$1)</f>
        <v>50</v>
      </c>
      <c r="O10" s="36">
        <f>RTD("ice.rtd",,$C10 &amp; $D10 &amp; ":" &amp; O$1)</f>
        <v>100</v>
      </c>
      <c r="P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0" s="14">
        <f>IF(ICE[[#This Row],[LastType]] = "Scrn", ICE[[#This Row],[LstDate]], IF(ICE[[#This Row],[LastType]] = "Blk", ICE[[#This Row],[LstBlkTime]], ""))</f>
        <v>0.38232969907403458</v>
      </c>
      <c r="R10" s="41">
        <f>IF(ICE[[#This Row],[LastType]] = "Scrn", ICE[[#This Row],[LstPrc]], IF(ICE[[#This Row],[LastType]] = "Blk", ICE[[#This Row],[LstBlkPrc]], ""))</f>
        <v>1.22</v>
      </c>
      <c r="S10" s="36">
        <f>ICE[[#This Row],[Vol]]+ICE[[#This Row],[BlkVol]]</f>
        <v>150</v>
      </c>
      <c r="T10" s="36">
        <f>RTD("ice.rtd",,$C10 &amp; $D10 &amp; ":" &amp; T$1)</f>
        <v>15120</v>
      </c>
      <c r="U10" s="18">
        <f>RTD("ice.rtd",,$C10 &amp; $D10 &amp; ":" &amp; U$1)</f>
        <v>1.02</v>
      </c>
      <c r="V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{1.22} |150x</v>
      </c>
      <c r="W10" s="18" t="str">
        <f>IFERROR(IF(LEFT(ICE[[#This Row],[Tenor]], 1) = "B", RTD("esrtd",,$B10 &amp; " " &amp; ICE[[#This Row],[Tenor]] &amp; "-IEU", W$1), RTD("esrtd",,$B10 &amp; " " &amp; VLOOKUP(MONTH(ICE[[#This Row],[Strip]]), MthRef[], 2, 0) &amp; RIGHT(YEAR(ICE[[#This Row],[Strip]]), 2) &amp; "-IEU", W$1)), "")</f>
        <v/>
      </c>
      <c r="X10" s="36"/>
    </row>
    <row r="11" spans="1:27" x14ac:dyDescent="0.25">
      <c r="A11" s="37" t="s">
        <v>351</v>
      </c>
      <c r="B11" s="3" t="str">
        <f>RTD("ice.rtd",,$C11 &amp; $D11 &amp; ":" &amp; B$1)</f>
        <v>DBF</v>
      </c>
      <c r="C11" s="3">
        <v>1517</v>
      </c>
      <c r="D11" t="s">
        <v>797</v>
      </c>
      <c r="E11" s="3" t="str">
        <f>RTD("ice.rtd",,$C11 &amp; $D11 &amp; ":" &amp; E$1)</f>
        <v>May27</v>
      </c>
      <c r="F11" s="3" t="str">
        <f>ICE[[#This Row],[Prod]]&amp;ICE[[#This Row],[Strip]]</f>
        <v>dflMay27</v>
      </c>
      <c r="G11" s="18" t="str">
        <f>RTD("ice.rtd",,$C11 &amp; $D11 &amp; ":" &amp; G$1)</f>
        <v/>
      </c>
      <c r="H11" s="18" t="str">
        <f>RTD("ice.rtd",,$C11 &amp; $D11 &amp; ":" &amp; H$1)</f>
        <v/>
      </c>
      <c r="I11" s="18">
        <f>RTD("ice.rtd",,$C11 &amp; $D11 &amp; ":" &amp; I$1)</f>
        <v>1.07</v>
      </c>
      <c r="J11" s="14">
        <f>IFERROR(MOD(RTD("ice.rtd",,$C11 &amp; $D11 &amp; ":" &amp; J$1), 1), "")</f>
        <v>0.38232969907403458</v>
      </c>
      <c r="K11" s="18" t="str">
        <f>RTD("ice.rtd",,$C11 &amp; $D11 &amp; ":" &amp; K$1)</f>
        <v/>
      </c>
      <c r="L11" s="36" t="str">
        <f>RTD("ice.rtd",,$C11 &amp; $D11 &amp; ":" &amp; L$1)</f>
        <v/>
      </c>
      <c r="M11" s="14" t="str">
        <f>IFERROR(MOD(TIMEVALUE(RTD("ice.rtd",,$C11 &amp; $D11 &amp; ":" &amp; M$1)), 1), "")</f>
        <v/>
      </c>
      <c r="N11" s="36">
        <f>RTD("ice.rtd",,$C11 &amp; $D11 &amp; ":" &amp; N$1)</f>
        <v>50</v>
      </c>
      <c r="O11" s="36">
        <f>RTD("ice.rtd",,$C11 &amp; $D11 &amp; ":" &amp; O$1)</f>
        <v>100</v>
      </c>
      <c r="P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1" s="14">
        <f>IF(ICE[[#This Row],[LastType]] = "Scrn", ICE[[#This Row],[LstDate]], IF(ICE[[#This Row],[LastType]] = "Blk", ICE[[#This Row],[LstBlkTime]], ""))</f>
        <v>0.38232969907403458</v>
      </c>
      <c r="R11" s="41">
        <f>IF(ICE[[#This Row],[LastType]] = "Scrn", ICE[[#This Row],[LstPrc]], IF(ICE[[#This Row],[LastType]] = "Blk", ICE[[#This Row],[LstBlkPrc]], ""))</f>
        <v>1.07</v>
      </c>
      <c r="S11" s="36">
        <f>ICE[[#This Row],[Vol]]+ICE[[#This Row],[BlkVol]]</f>
        <v>150</v>
      </c>
      <c r="T11" s="36">
        <f>RTD("ice.rtd",,$C11 &amp; $D11 &amp; ":" &amp; T$1)</f>
        <v>10487</v>
      </c>
      <c r="U11" s="18">
        <f>RTD("ice.rtd",,$C11 &amp; $D11 &amp; ":" &amp; U$1)</f>
        <v>0.88</v>
      </c>
      <c r="V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{1.07} |150x</v>
      </c>
      <c r="W11" s="18" t="str">
        <f>IFERROR(IF(LEFT(ICE[[#This Row],[Tenor]], 1) = "B", RTD("esrtd",,$B11 &amp; " " &amp; ICE[[#This Row],[Tenor]] &amp; "-IEU", W$1), RTD("esrtd",,$B11 &amp; " " &amp; VLOOKUP(MONTH(ICE[[#This Row],[Strip]]), MthRef[], 2, 0) &amp; RIGHT(YEAR(ICE[[#This Row],[Strip]]), 2) &amp; "-IEU", W$1)), "")</f>
        <v/>
      </c>
      <c r="X11" s="36"/>
    </row>
    <row r="12" spans="1:27" x14ac:dyDescent="0.25">
      <c r="A12" s="37" t="s">
        <v>351</v>
      </c>
      <c r="B12" s="3" t="str">
        <f>RTD("ice.rtd",,$C12 &amp; $D12 &amp; ":" &amp; B$1)</f>
        <v>DBF</v>
      </c>
      <c r="C12" s="3">
        <v>1517</v>
      </c>
      <c r="D12" t="s">
        <v>798</v>
      </c>
      <c r="E12" s="3" t="str">
        <f>RTD("ice.rtd",,$C12 &amp; $D12 &amp; ":" &amp; E$1)</f>
        <v>Jun27</v>
      </c>
      <c r="F12" s="3" t="str">
        <f>ICE[[#This Row],[Prod]]&amp;ICE[[#This Row],[Strip]]</f>
        <v>dflJun27</v>
      </c>
      <c r="G12" s="18" t="str">
        <f>RTD("ice.rtd",,$C12 &amp; $D12 &amp; ":" &amp; G$1)</f>
        <v/>
      </c>
      <c r="H12" s="18" t="str">
        <f>RTD("ice.rtd",,$C12 &amp; $D12 &amp; ":" &amp; H$1)</f>
        <v/>
      </c>
      <c r="I12" s="18" t="str">
        <f>RTD("ice.rtd",,$C12 &amp; $D12 &amp; ":" &amp; I$1)</f>
        <v/>
      </c>
      <c r="J12" s="14" t="str">
        <f>IFERROR(MOD(RTD("ice.rtd",,$C12 &amp; $D12 &amp; ":" &amp; J$1), 1), "")</f>
        <v/>
      </c>
      <c r="K12" s="18" t="str">
        <f>RTD("ice.rtd",,$C12 &amp; $D12 &amp; ":" &amp; K$1)</f>
        <v/>
      </c>
      <c r="L12" s="36" t="str">
        <f>RTD("ice.rtd",,$C12 &amp; $D12 &amp; ":" &amp; L$1)</f>
        <v/>
      </c>
      <c r="M12" s="14" t="str">
        <f>IFERROR(MOD(TIMEVALUE(RTD("ice.rtd",,$C12 &amp; $D12 &amp; ":" &amp; M$1)), 1), "")</f>
        <v/>
      </c>
      <c r="N12" s="36">
        <f>RTD("ice.rtd",,$C12 &amp; $D12 &amp; ":" &amp; N$1)</f>
        <v>0</v>
      </c>
      <c r="O12" s="36">
        <f>RTD("ice.rtd",,$C12 &amp; $D12 &amp; ":" &amp; O$1)</f>
        <v>100</v>
      </c>
      <c r="P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" s="14" t="str">
        <f>IF(ICE[[#This Row],[LastType]] = "Scrn", ICE[[#This Row],[LstDate]], IF(ICE[[#This Row],[LastType]] = "Blk", ICE[[#This Row],[LstBlkTime]], ""))</f>
        <v/>
      </c>
      <c r="R12" s="41" t="str">
        <f>IF(ICE[[#This Row],[LastType]] = "Scrn", ICE[[#This Row],[LstPrc]], IF(ICE[[#This Row],[LastType]] = "Blk", ICE[[#This Row],[LstBlkPrc]], ""))</f>
        <v/>
      </c>
      <c r="S12" s="36">
        <f>ICE[[#This Row],[Vol]]+ICE[[#This Row],[BlkVol]]</f>
        <v>100</v>
      </c>
      <c r="T12" s="36">
        <f>RTD("ice.rtd",,$C12 &amp; $D12 &amp; ":" &amp; T$1)</f>
        <v>11453</v>
      </c>
      <c r="U12" s="18">
        <f>RTD("ice.rtd",,$C12 &amp; $D12 &amp; ":" &amp; U$1)</f>
        <v>0.8</v>
      </c>
      <c r="V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2" s="18" t="str">
        <f>IFERROR(IF(LEFT(ICE[[#This Row],[Tenor]], 1) = "B", RTD("esrtd",,$B12 &amp; " " &amp; ICE[[#This Row],[Tenor]] &amp; "-IEU", W$1), RTD("esrtd",,$B12 &amp; " " &amp; VLOOKUP(MONTH(ICE[[#This Row],[Strip]]), MthRef[], 2, 0) &amp; RIGHT(YEAR(ICE[[#This Row],[Strip]]), 2) &amp; "-IEU", W$1)), "")</f>
        <v/>
      </c>
      <c r="X12" s="36"/>
    </row>
    <row r="13" spans="1:27" x14ac:dyDescent="0.25">
      <c r="A13" s="37" t="s">
        <v>351</v>
      </c>
      <c r="B13" s="3" t="str">
        <f>RTD("ice.rtd",,$C13 &amp; $D13 &amp; ":" &amp; B$1)</f>
        <v>DBF</v>
      </c>
      <c r="C13" s="3">
        <v>1517</v>
      </c>
      <c r="D13" t="s">
        <v>799</v>
      </c>
      <c r="E13" s="3" t="str">
        <f>RTD("ice.rtd",,$C13 &amp; $D13 &amp; ":" &amp; E$1)</f>
        <v>Jul27</v>
      </c>
      <c r="F13" s="3" t="str">
        <f>ICE[[#This Row],[Prod]]&amp;ICE[[#This Row],[Strip]]</f>
        <v>dflJul27</v>
      </c>
      <c r="G13" s="18" t="str">
        <f>RTD("ice.rtd",,$C13 &amp; $D13 &amp; ":" &amp; G$1)</f>
        <v/>
      </c>
      <c r="H13" s="18" t="str">
        <f>RTD("ice.rtd",,$C13 &amp; $D13 &amp; ":" &amp; H$1)</f>
        <v/>
      </c>
      <c r="I13" s="18" t="str">
        <f>RTD("ice.rtd",,$C13 &amp; $D13 &amp; ":" &amp; I$1)</f>
        <v/>
      </c>
      <c r="J13" s="14" t="str">
        <f>IFERROR(MOD(RTD("ice.rtd",,$C13 &amp; $D13 &amp; ":" &amp; J$1), 1), "")</f>
        <v/>
      </c>
      <c r="K13" s="18" t="str">
        <f>RTD("ice.rtd",,$C13 &amp; $D13 &amp; ":" &amp; K$1)</f>
        <v/>
      </c>
      <c r="L13" s="36" t="str">
        <f>RTD("ice.rtd",,$C13 &amp; $D13 &amp; ":" &amp; L$1)</f>
        <v/>
      </c>
      <c r="M13" s="14" t="str">
        <f>IFERROR(MOD(TIMEVALUE(RTD("ice.rtd",,$C13 &amp; $D13 &amp; ":" &amp; M$1)), 1), "")</f>
        <v/>
      </c>
      <c r="N13" s="36">
        <f>RTD("ice.rtd",,$C13 &amp; $D13 &amp; ":" &amp; N$1)</f>
        <v>0</v>
      </c>
      <c r="O13" s="36">
        <f>RTD("ice.rtd",,$C13 &amp; $D13 &amp; ":" &amp; O$1)</f>
        <v>0</v>
      </c>
      <c r="P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" s="14" t="str">
        <f>IF(ICE[[#This Row],[LastType]] = "Scrn", ICE[[#This Row],[LstDate]], IF(ICE[[#This Row],[LastType]] = "Blk", ICE[[#This Row],[LstBlkTime]], ""))</f>
        <v/>
      </c>
      <c r="R13" s="41" t="str">
        <f>IF(ICE[[#This Row],[LastType]] = "Scrn", ICE[[#This Row],[LstPrc]], IF(ICE[[#This Row],[LastType]] = "Blk", ICE[[#This Row],[LstBlkPrc]], ""))</f>
        <v/>
      </c>
      <c r="S13" s="36">
        <f>ICE[[#This Row],[Vol]]+ICE[[#This Row],[BlkVol]]</f>
        <v>0</v>
      </c>
      <c r="T13" s="36">
        <f>RTD("ice.rtd",,$C13 &amp; $D13 &amp; ":" &amp; T$1)</f>
        <v>16123</v>
      </c>
      <c r="U13" s="18">
        <f>RTD("ice.rtd",,$C13 &amp; $D13 &amp; ":" &amp; U$1)</f>
        <v>0.68</v>
      </c>
      <c r="V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" s="18" t="str">
        <f>IFERROR(IF(LEFT(ICE[[#This Row],[Tenor]], 1) = "B", RTD("esrtd",,$B13 &amp; " " &amp; ICE[[#This Row],[Tenor]] &amp; "-IEU", W$1), RTD("esrtd",,$B13 &amp; " " &amp; VLOOKUP(MONTH(ICE[[#This Row],[Strip]]), MthRef[], 2, 0) &amp; RIGHT(YEAR(ICE[[#This Row],[Strip]]), 2) &amp; "-IEU", W$1)), "")</f>
        <v/>
      </c>
      <c r="X13" s="36"/>
    </row>
    <row r="14" spans="1:27" x14ac:dyDescent="0.25">
      <c r="A14" s="37" t="s">
        <v>351</v>
      </c>
      <c r="B14" s="3" t="str">
        <f>RTD("ice.rtd",,$C14 &amp; $D14 &amp; ":" &amp; B$1)</f>
        <v>DBF</v>
      </c>
      <c r="C14" s="3">
        <v>1517</v>
      </c>
      <c r="D14" t="s">
        <v>800</v>
      </c>
      <c r="E14" s="3" t="str">
        <f>RTD("ice.rtd",,$C14 &amp; $D14 &amp; ":" &amp; E$1)</f>
        <v>Aug27</v>
      </c>
      <c r="F14" s="3" t="str">
        <f>ICE[[#This Row],[Prod]]&amp;ICE[[#This Row],[Strip]]</f>
        <v>dflAug27</v>
      </c>
      <c r="G14" s="18" t="str">
        <f>RTD("ice.rtd",,$C14 &amp; $D14 &amp; ":" &amp; G$1)</f>
        <v/>
      </c>
      <c r="H14" s="18" t="str">
        <f>RTD("ice.rtd",,$C14 &amp; $D14 &amp; ":" &amp; H$1)</f>
        <v/>
      </c>
      <c r="I14" s="18">
        <f>RTD("ice.rtd",,$C14 &amp; $D14 &amp; ":" &amp; I$1)</f>
        <v>1.03</v>
      </c>
      <c r="J14" s="14">
        <f>IFERROR(MOD(RTD("ice.rtd",,$C14 &amp; $D14 &amp; ":" &amp; J$1), 1), "")</f>
        <v>0.32019189815036952</v>
      </c>
      <c r="K14" s="18" t="str">
        <f>RTD("ice.rtd",,$C14 &amp; $D14 &amp; ":" &amp; K$1)</f>
        <v/>
      </c>
      <c r="L14" s="36" t="str">
        <f>RTD("ice.rtd",,$C14 &amp; $D14 &amp; ":" &amp; L$1)</f>
        <v/>
      </c>
      <c r="M14" s="14" t="str">
        <f>IFERROR(MOD(TIMEVALUE(RTD("ice.rtd",,$C14 &amp; $D14 &amp; ":" &amp; M$1)), 1), "")</f>
        <v/>
      </c>
      <c r="N14" s="36">
        <f>RTD("ice.rtd",,$C14 &amp; $D14 &amp; ":" &amp; N$1)</f>
        <v>10</v>
      </c>
      <c r="O14" s="36">
        <f>RTD("ice.rtd",,$C14 &amp; $D14 &amp; ":" &amp; O$1)</f>
        <v>0</v>
      </c>
      <c r="P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4" s="14">
        <f>IF(ICE[[#This Row],[LastType]] = "Scrn", ICE[[#This Row],[LstDate]], IF(ICE[[#This Row],[LastType]] = "Blk", ICE[[#This Row],[LstBlkTime]], ""))</f>
        <v>0.32019189815036952</v>
      </c>
      <c r="R14" s="41">
        <f>IF(ICE[[#This Row],[LastType]] = "Scrn", ICE[[#This Row],[LstPrc]], IF(ICE[[#This Row],[LastType]] = "Blk", ICE[[#This Row],[LstBlkPrc]], ""))</f>
        <v>1.03</v>
      </c>
      <c r="S14" s="36">
        <f>ICE[[#This Row],[Vol]]+ICE[[#This Row],[BlkVol]]</f>
        <v>10</v>
      </c>
      <c r="T14" s="36">
        <f>RTD("ice.rtd",,$C14 &amp; $D14 &amp; ":" &amp; T$1)</f>
        <v>14921</v>
      </c>
      <c r="U14" s="18">
        <f>RTD("ice.rtd",,$C14 &amp; $D14 &amp; ":" &amp; U$1)</f>
        <v>0.62</v>
      </c>
      <c r="V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{1.03} |10x</v>
      </c>
      <c r="W14" s="18" t="str">
        <f>IFERROR(IF(LEFT(ICE[[#This Row],[Tenor]], 1) = "B", RTD("esrtd",,$B14 &amp; " " &amp; ICE[[#This Row],[Tenor]] &amp; "-IEU", W$1), RTD("esrtd",,$B14 &amp; " " &amp; VLOOKUP(MONTH(ICE[[#This Row],[Strip]]), MthRef[], 2, 0) &amp; RIGHT(YEAR(ICE[[#This Row],[Strip]]), 2) &amp; "-IEU", W$1)), "")</f>
        <v/>
      </c>
      <c r="X14" s="36"/>
    </row>
    <row r="15" spans="1:27" x14ac:dyDescent="0.25">
      <c r="A15" s="37" t="s">
        <v>351</v>
      </c>
      <c r="B15" s="3" t="str">
        <f>RTD("ice.rtd",,$C15 &amp; $D15 &amp; ":" &amp; B$1)</f>
        <v>DBF</v>
      </c>
      <c r="C15" s="3">
        <v>1517</v>
      </c>
      <c r="D15" t="s">
        <v>801</v>
      </c>
      <c r="E15" s="3" t="str">
        <f>RTD("ice.rtd",,$C15 &amp; $D15 &amp; ":" &amp; E$1)</f>
        <v>Sep27</v>
      </c>
      <c r="F15" s="3" t="str">
        <f>ICE[[#This Row],[Prod]]&amp;ICE[[#This Row],[Strip]]</f>
        <v>dflSep27</v>
      </c>
      <c r="G15" s="18" t="str">
        <f>RTD("ice.rtd",,$C15 &amp; $D15 &amp; ":" &amp; G$1)</f>
        <v/>
      </c>
      <c r="H15" s="18" t="str">
        <f>RTD("ice.rtd",,$C15 &amp; $D15 &amp; ":" &amp; H$1)</f>
        <v/>
      </c>
      <c r="I15" s="18">
        <f>RTD("ice.rtd",,$C15 &amp; $D15 &amp; ":" &amp; I$1)</f>
        <v>0.97</v>
      </c>
      <c r="J15" s="14">
        <f>IFERROR(MOD(RTD("ice.rtd",,$C15 &amp; $D15 &amp; ":" &amp; J$1), 1), "")</f>
        <v>0.32019189815036952</v>
      </c>
      <c r="K15" s="18" t="str">
        <f>RTD("ice.rtd",,$C15 &amp; $D15 &amp; ":" &amp; K$1)</f>
        <v/>
      </c>
      <c r="L15" s="36" t="str">
        <f>RTD("ice.rtd",,$C15 &amp; $D15 &amp; ":" &amp; L$1)</f>
        <v/>
      </c>
      <c r="M15" s="14" t="str">
        <f>IFERROR(MOD(TIMEVALUE(RTD("ice.rtd",,$C15 &amp; $D15 &amp; ":" &amp; M$1)), 1), "")</f>
        <v/>
      </c>
      <c r="N15" s="36">
        <f>RTD("ice.rtd",,$C15 &amp; $D15 &amp; ":" &amp; N$1)</f>
        <v>10</v>
      </c>
      <c r="O15" s="36">
        <f>RTD("ice.rtd",,$C15 &amp; $D15 &amp; ":" &amp; O$1)</f>
        <v>0</v>
      </c>
      <c r="P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5" s="14">
        <f>IF(ICE[[#This Row],[LastType]] = "Scrn", ICE[[#This Row],[LstDate]], IF(ICE[[#This Row],[LastType]] = "Blk", ICE[[#This Row],[LstBlkTime]], ""))</f>
        <v>0.32019189815036952</v>
      </c>
      <c r="R15" s="41">
        <f>IF(ICE[[#This Row],[LastType]] = "Scrn", ICE[[#This Row],[LstPrc]], IF(ICE[[#This Row],[LastType]] = "Blk", ICE[[#This Row],[LstBlkPrc]], ""))</f>
        <v>0.97</v>
      </c>
      <c r="S15" s="36">
        <f>ICE[[#This Row],[Vol]]+ICE[[#This Row],[BlkVol]]</f>
        <v>10</v>
      </c>
      <c r="T15" s="36">
        <f>RTD("ice.rtd",,$C15 &amp; $D15 &amp; ":" &amp; T$1)</f>
        <v>13631</v>
      </c>
      <c r="U15" s="18">
        <f>RTD("ice.rtd",,$C15 &amp; $D15 &amp; ":" &amp; U$1)</f>
        <v>0.56000000000000005</v>
      </c>
      <c r="V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{0.97} |10x</v>
      </c>
      <c r="W15" s="18" t="str">
        <f>IFERROR(IF(LEFT(ICE[[#This Row],[Tenor]], 1) = "B", RTD("esrtd",,$B15 &amp; " " &amp; ICE[[#This Row],[Tenor]] &amp; "-IEU", W$1), RTD("esrtd",,$B15 &amp; " " &amp; VLOOKUP(MONTH(ICE[[#This Row],[Strip]]), MthRef[], 2, 0) &amp; RIGHT(YEAR(ICE[[#This Row],[Strip]]), 2) &amp; "-IEU", W$1)), "")</f>
        <v/>
      </c>
      <c r="X15" s="36"/>
    </row>
    <row r="16" spans="1:27" x14ac:dyDescent="0.25">
      <c r="A16" s="37" t="s">
        <v>351</v>
      </c>
      <c r="B16" s="3" t="str">
        <f>RTD("ice.rtd",,$C16 &amp; $D16 &amp; ":" &amp; B$1)</f>
        <v>DBF</v>
      </c>
      <c r="C16" s="3">
        <v>1517</v>
      </c>
      <c r="D16" t="s">
        <v>802</v>
      </c>
      <c r="E16" s="3" t="str">
        <f>RTD("ice.rtd",,$C16 &amp; $D16 &amp; ":" &amp; E$1)</f>
        <v>Oct27</v>
      </c>
      <c r="F16" s="3" t="str">
        <f>ICE[[#This Row],[Prod]]&amp;ICE[[#This Row],[Strip]]</f>
        <v>dflOct27</v>
      </c>
      <c r="G16" s="18" t="str">
        <f>RTD("ice.rtd",,$C16 &amp; $D16 &amp; ":" &amp; G$1)</f>
        <v/>
      </c>
      <c r="H16" s="18" t="str">
        <f>RTD("ice.rtd",,$C16 &amp; $D16 &amp; ":" &amp; H$1)</f>
        <v/>
      </c>
      <c r="I16" s="18" t="str">
        <f>RTD("ice.rtd",,$C16 &amp; $D16 &amp; ":" &amp; I$1)</f>
        <v/>
      </c>
      <c r="J16" s="14" t="str">
        <f>IFERROR(MOD(RTD("ice.rtd",,$C16 &amp; $D16 &amp; ":" &amp; J$1), 1), "")</f>
        <v/>
      </c>
      <c r="K16" s="18" t="str">
        <f>RTD("ice.rtd",,$C16 &amp; $D16 &amp; ":" &amp; K$1)</f>
        <v/>
      </c>
      <c r="L16" s="36" t="str">
        <f>RTD("ice.rtd",,$C16 &amp; $D16 &amp; ":" &amp; L$1)</f>
        <v/>
      </c>
      <c r="M16" s="14" t="str">
        <f>IFERROR(MOD(TIMEVALUE(RTD("ice.rtd",,$C16 &amp; $D16 &amp; ":" &amp; M$1)), 1), "")</f>
        <v/>
      </c>
      <c r="N16" s="36">
        <f>RTD("ice.rtd",,$C16 &amp; $D16 &amp; ":" &amp; N$1)</f>
        <v>20</v>
      </c>
      <c r="O16" s="36">
        <f>RTD("ice.rtd",,$C16 &amp; $D16 &amp; ":" &amp; O$1)</f>
        <v>0</v>
      </c>
      <c r="P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" s="14" t="str">
        <f>IF(ICE[[#This Row],[LastType]] = "Scrn", ICE[[#This Row],[LstDate]], IF(ICE[[#This Row],[LastType]] = "Blk", ICE[[#This Row],[LstBlkTime]], ""))</f>
        <v/>
      </c>
      <c r="R16" s="41" t="str">
        <f>IF(ICE[[#This Row],[LastType]] = "Scrn", ICE[[#This Row],[LstPrc]], IF(ICE[[#This Row],[LastType]] = "Blk", ICE[[#This Row],[LstBlkPrc]], ""))</f>
        <v/>
      </c>
      <c r="S16" s="36">
        <f>ICE[[#This Row],[Vol]]+ICE[[#This Row],[BlkVol]]</f>
        <v>20</v>
      </c>
      <c r="T16" s="36">
        <f>RTD("ice.rtd",,$C16 &amp; $D16 &amp; ":" &amp; T$1)</f>
        <v>15401</v>
      </c>
      <c r="U16" s="18">
        <f>RTD("ice.rtd",,$C16 &amp; $D16 &amp; ":" &amp; U$1)</f>
        <v>0.48</v>
      </c>
      <c r="V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6" s="18" t="str">
        <f>IFERROR(IF(LEFT(ICE[[#This Row],[Tenor]], 1) = "B", RTD("esrtd",,$B16 &amp; " " &amp; ICE[[#This Row],[Tenor]] &amp; "-IEU", W$1), RTD("esrtd",,$B16 &amp; " " &amp; VLOOKUP(MONTH(ICE[[#This Row],[Strip]]), MthRef[], 2, 0) &amp; RIGHT(YEAR(ICE[[#This Row],[Strip]]), 2) &amp; "-IEU", W$1)), "")</f>
        <v/>
      </c>
      <c r="X16" s="36"/>
    </row>
    <row r="17" spans="1:26" x14ac:dyDescent="0.25">
      <c r="A17" s="37" t="s">
        <v>351</v>
      </c>
      <c r="B17" s="3" t="str">
        <f>RTD("ice.rtd",,$C17 &amp; $D17 &amp; ":" &amp; B$1)</f>
        <v>DBF</v>
      </c>
      <c r="C17" s="3">
        <v>1517</v>
      </c>
      <c r="D17" t="s">
        <v>803</v>
      </c>
      <c r="E17" s="3" t="str">
        <f>RTD("ice.rtd",,$C17 &amp; $D17 &amp; ":" &amp; E$1)</f>
        <v>Nov27</v>
      </c>
      <c r="F17" s="3" t="str">
        <f>ICE[[#This Row],[Prod]]&amp;ICE[[#This Row],[Strip]]</f>
        <v>dflNov27</v>
      </c>
      <c r="G17" s="18">
        <f>RTD("ice.rtd",,$C17 &amp; $D17 &amp; ":" &amp; G$1)</f>
        <v>0.45</v>
      </c>
      <c r="H17" s="18" t="str">
        <f>RTD("ice.rtd",,$C17 &amp; $D17 &amp; ":" &amp; H$1)</f>
        <v/>
      </c>
      <c r="I17" s="18" t="str">
        <f>RTD("ice.rtd",,$C17 &amp; $D17 &amp; ":" &amp; I$1)</f>
        <v/>
      </c>
      <c r="J17" s="14" t="str">
        <f>IFERROR(MOD(RTD("ice.rtd",,$C17 &amp; $D17 &amp; ":" &amp; J$1), 1), "")</f>
        <v/>
      </c>
      <c r="K17" s="18" t="str">
        <f>RTD("ice.rtd",,$C17 &amp; $D17 &amp; ":" &amp; K$1)</f>
        <v/>
      </c>
      <c r="L17" s="36" t="str">
        <f>RTD("ice.rtd",,$C17 &amp; $D17 &amp; ":" &amp; L$1)</f>
        <v/>
      </c>
      <c r="M17" s="14" t="str">
        <f>IFERROR(MOD(TIMEVALUE(RTD("ice.rtd",,$C17 &amp; $D17 &amp; ":" &amp; M$1)), 1), "")</f>
        <v/>
      </c>
      <c r="N17" s="36">
        <f>RTD("ice.rtd",,$C17 &amp; $D17 &amp; ":" &amp; N$1)</f>
        <v>20</v>
      </c>
      <c r="O17" s="36">
        <f>RTD("ice.rtd",,$C17 &amp; $D17 &amp; ":" &amp; O$1)</f>
        <v>0</v>
      </c>
      <c r="P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" s="14" t="str">
        <f>IF(ICE[[#This Row],[LastType]] = "Scrn", ICE[[#This Row],[LstDate]], IF(ICE[[#This Row],[LastType]] = "Blk", ICE[[#This Row],[LstBlkTime]], ""))</f>
        <v/>
      </c>
      <c r="R17" s="41" t="str">
        <f>IF(ICE[[#This Row],[LastType]] = "Scrn", ICE[[#This Row],[LstPrc]], IF(ICE[[#This Row],[LastType]] = "Blk", ICE[[#This Row],[LstBlkPrc]], ""))</f>
        <v/>
      </c>
      <c r="S17" s="36">
        <f>ICE[[#This Row],[Vol]]+ICE[[#This Row],[BlkVol]]</f>
        <v>20</v>
      </c>
      <c r="T17" s="36">
        <f>RTD("ice.rtd",,$C17 &amp; $D17 &amp; ":" &amp; T$1)</f>
        <v>12210</v>
      </c>
      <c r="U17" s="18">
        <f>RTD("ice.rtd",,$C17 &amp; $D17 &amp; ":" &amp; U$1)</f>
        <v>0.46</v>
      </c>
      <c r="V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0.45 /   |20x</v>
      </c>
      <c r="W17" s="18" t="str">
        <f>IFERROR(IF(LEFT(ICE[[#This Row],[Tenor]], 1) = "B", RTD("esrtd",,$B17 &amp; " " &amp; ICE[[#This Row],[Tenor]] &amp; "-IEU", W$1), RTD("esrtd",,$B17 &amp; " " &amp; VLOOKUP(MONTH(ICE[[#This Row],[Strip]]), MthRef[], 2, 0) &amp; RIGHT(YEAR(ICE[[#This Row],[Strip]]), 2) &amp; "-IEU", W$1)), "")</f>
        <v/>
      </c>
      <c r="X17" s="36"/>
    </row>
    <row r="18" spans="1:26" x14ac:dyDescent="0.25">
      <c r="A18" s="37" t="s">
        <v>351</v>
      </c>
      <c r="B18" s="3" t="str">
        <f>RTD("ice.rtd",,$C18 &amp; $D18 &amp; ":" &amp; B$1)</f>
        <v>DBF</v>
      </c>
      <c r="C18" s="3">
        <v>1517</v>
      </c>
      <c r="D18" t="s">
        <v>804</v>
      </c>
      <c r="E18" s="3" t="str">
        <f>RTD("ice.rtd",,$C18 &amp; $D18 &amp; ":" &amp; E$1)</f>
        <v>Dec27</v>
      </c>
      <c r="F18" s="3" t="str">
        <f>ICE[[#This Row],[Prod]]&amp;ICE[[#This Row],[Strip]]</f>
        <v>dflDec27</v>
      </c>
      <c r="G18" s="18">
        <f>RTD("ice.rtd",,$C18 &amp; $D18 &amp; ":" &amp; G$1)</f>
        <v>0.44</v>
      </c>
      <c r="H18" s="18" t="str">
        <f>RTD("ice.rtd",,$C18 &amp; $D18 &amp; ":" &amp; H$1)</f>
        <v/>
      </c>
      <c r="I18" s="18" t="str">
        <f>RTD("ice.rtd",,$C18 &amp; $D18 &amp; ":" &amp; I$1)</f>
        <v/>
      </c>
      <c r="J18" s="14" t="str">
        <f>IFERROR(MOD(RTD("ice.rtd",,$C18 &amp; $D18 &amp; ":" &amp; J$1), 1), "")</f>
        <v/>
      </c>
      <c r="K18" s="18" t="str">
        <f>RTD("ice.rtd",,$C18 &amp; $D18 &amp; ":" &amp; K$1)</f>
        <v/>
      </c>
      <c r="L18" s="36" t="str">
        <f>RTD("ice.rtd",,$C18 &amp; $D18 &amp; ":" &amp; L$1)</f>
        <v/>
      </c>
      <c r="M18" s="14" t="str">
        <f>IFERROR(MOD(TIMEVALUE(RTD("ice.rtd",,$C18 &amp; $D18 &amp; ":" &amp; M$1)), 1), "")</f>
        <v/>
      </c>
      <c r="N18" s="36">
        <f>RTD("ice.rtd",,$C18 &amp; $D18 &amp; ":" &amp; N$1)</f>
        <v>20</v>
      </c>
      <c r="O18" s="36">
        <f>RTD("ice.rtd",,$C18 &amp; $D18 &amp; ":" &amp; O$1)</f>
        <v>0</v>
      </c>
      <c r="P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" s="14" t="str">
        <f>IF(ICE[[#This Row],[LastType]] = "Scrn", ICE[[#This Row],[LstDate]], IF(ICE[[#This Row],[LastType]] = "Blk", ICE[[#This Row],[LstBlkTime]], ""))</f>
        <v/>
      </c>
      <c r="R18" s="41" t="str">
        <f>IF(ICE[[#This Row],[LastType]] = "Scrn", ICE[[#This Row],[LstPrc]], IF(ICE[[#This Row],[LastType]] = "Blk", ICE[[#This Row],[LstBlkPrc]], ""))</f>
        <v/>
      </c>
      <c r="S18" s="36">
        <f>ICE[[#This Row],[Vol]]+ICE[[#This Row],[BlkVol]]</f>
        <v>20</v>
      </c>
      <c r="T18" s="36">
        <f>RTD("ice.rtd",,$C18 &amp; $D18 &amp; ":" &amp; T$1)</f>
        <v>17188</v>
      </c>
      <c r="U18" s="18">
        <f>RTD("ice.rtd",,$C18 &amp; $D18 &amp; ":" &amp; U$1)</f>
        <v>0.44</v>
      </c>
      <c r="V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0.44 /   |20x</v>
      </c>
      <c r="W18" s="18" t="str">
        <f>IFERROR(IF(LEFT(ICE[[#This Row],[Tenor]], 1) = "B", RTD("esrtd",,$B18 &amp; " " &amp; ICE[[#This Row],[Tenor]] &amp; "-IEU", W$1), RTD("esrtd",,$B18 &amp; " " &amp; VLOOKUP(MONTH(ICE[[#This Row],[Strip]]), MthRef[], 2, 0) &amp; RIGHT(YEAR(ICE[[#This Row],[Strip]]), 2) &amp; "-IEU", W$1)), "")</f>
        <v/>
      </c>
      <c r="X18" s="36"/>
    </row>
    <row r="19" spans="1:26" x14ac:dyDescent="0.25">
      <c r="A19" s="37" t="s">
        <v>351</v>
      </c>
      <c r="B19" s="3" t="str">
        <f>RTD("ice.rtd",,$C19 &amp; $D19 &amp; ":" &amp; B$1)</f>
        <v>DBF</v>
      </c>
      <c r="C19" s="3">
        <v>1517</v>
      </c>
      <c r="D19" t="s">
        <v>805</v>
      </c>
      <c r="E19" s="3" t="str">
        <f>RTD("ice.rtd",,$C19 &amp; $D19 &amp; ":" &amp; E$1)</f>
        <v>Jan28</v>
      </c>
      <c r="F19" s="3" t="str">
        <f>ICE[[#This Row],[Prod]]&amp;ICE[[#This Row],[Strip]]</f>
        <v>dflJan28</v>
      </c>
      <c r="G19" s="18" t="str">
        <f>RTD("ice.rtd",,$C19 &amp; $D19 &amp; ":" &amp; G$1)</f>
        <v/>
      </c>
      <c r="H19" s="18" t="str">
        <f>RTD("ice.rtd",,$C19 &amp; $D19 &amp; ":" &amp; H$1)</f>
        <v/>
      </c>
      <c r="I19" s="18" t="str">
        <f>RTD("ice.rtd",,$C19 &amp; $D19 &amp; ":" &amp; I$1)</f>
        <v/>
      </c>
      <c r="J19" s="14" t="str">
        <f>IFERROR(MOD(RTD("ice.rtd",,$C19 &amp; $D19 &amp; ":" &amp; J$1), 1), "")</f>
        <v/>
      </c>
      <c r="K19" s="18" t="str">
        <f>RTD("ice.rtd",,$C19 &amp; $D19 &amp; ":" &amp; K$1)</f>
        <v/>
      </c>
      <c r="L19" s="36" t="str">
        <f>RTD("ice.rtd",,$C19 &amp; $D19 &amp; ":" &amp; L$1)</f>
        <v/>
      </c>
      <c r="M19" s="14" t="str">
        <f>IFERROR(MOD(TIMEVALUE(RTD("ice.rtd",,$C19 &amp; $D19 &amp; ":" &amp; M$1)), 1), "")</f>
        <v/>
      </c>
      <c r="N19" s="36">
        <f>RTD("ice.rtd",,$C19 &amp; $D19 &amp; ":" &amp; N$1)</f>
        <v>0</v>
      </c>
      <c r="O19" s="36">
        <f>RTD("ice.rtd",,$C19 &amp; $D19 &amp; ":" &amp; O$1)</f>
        <v>0</v>
      </c>
      <c r="P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" s="14" t="str">
        <f>IF(ICE[[#This Row],[LastType]] = "Scrn", ICE[[#This Row],[LstDate]], IF(ICE[[#This Row],[LastType]] = "Blk", ICE[[#This Row],[LstBlkTime]], ""))</f>
        <v/>
      </c>
      <c r="R19" s="41" t="str">
        <f>IF(ICE[[#This Row],[LastType]] = "Scrn", ICE[[#This Row],[LstPrc]], IF(ICE[[#This Row],[LastType]] = "Blk", ICE[[#This Row],[LstBlkPrc]], ""))</f>
        <v/>
      </c>
      <c r="S19" s="36">
        <f>ICE[[#This Row],[Vol]]+ICE[[#This Row],[BlkVol]]</f>
        <v>0</v>
      </c>
      <c r="T19" s="36">
        <f>RTD("ice.rtd",,$C19 &amp; $D19 &amp; ":" &amp; T$1)</f>
        <v>1905</v>
      </c>
      <c r="U19" s="18">
        <f>RTD("ice.rtd",,$C19 &amp; $D19 &amp; ":" &amp; U$1)</f>
        <v>0.4</v>
      </c>
      <c r="V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" s="18" t="str">
        <f>IFERROR(IF(LEFT(ICE[[#This Row],[Tenor]], 1) = "B", RTD("esrtd",,$B19 &amp; " " &amp; ICE[[#This Row],[Tenor]] &amp; "-IEU", W$1), RTD("esrtd",,$B19 &amp; " " &amp; VLOOKUP(MONTH(ICE[[#This Row],[Strip]]), MthRef[], 2, 0) &amp; RIGHT(YEAR(ICE[[#This Row],[Strip]]), 2) &amp; "-IEU", W$1)), "")</f>
        <v/>
      </c>
      <c r="X19" s="36"/>
    </row>
    <row r="20" spans="1:26" x14ac:dyDescent="0.25">
      <c r="A20" s="37" t="s">
        <v>351</v>
      </c>
      <c r="B20" s="3" t="str">
        <f>RTD("ice.rtd",,$C20 &amp; $D20 &amp; ":" &amp; B$1)</f>
        <v>DBF</v>
      </c>
      <c r="C20" s="3">
        <v>1517</v>
      </c>
      <c r="D20" t="s">
        <v>806</v>
      </c>
      <c r="E20" s="3" t="str">
        <f>RTD("ice.rtd",,$C20 &amp; $D20 &amp; ":" &amp; E$1)</f>
        <v>Feb28</v>
      </c>
      <c r="F20" s="3" t="str">
        <f>ICE[[#This Row],[Prod]]&amp;ICE[[#This Row],[Strip]]</f>
        <v>dflFeb28</v>
      </c>
      <c r="G20" s="18" t="str">
        <f>RTD("ice.rtd",,$C20 &amp; $D20 &amp; ":" &amp; G$1)</f>
        <v/>
      </c>
      <c r="H20" s="18" t="str">
        <f>RTD("ice.rtd",,$C20 &amp; $D20 &amp; ":" &amp; H$1)</f>
        <v/>
      </c>
      <c r="I20" s="18" t="str">
        <f>RTD("ice.rtd",,$C20 &amp; $D20 &amp; ":" &amp; I$1)</f>
        <v/>
      </c>
      <c r="J20" s="14" t="str">
        <f>IFERROR(MOD(RTD("ice.rtd",,$C20 &amp; $D20 &amp; ":" &amp; J$1), 1), "")</f>
        <v/>
      </c>
      <c r="K20" s="18" t="str">
        <f>RTD("ice.rtd",,$C20 &amp; $D20 &amp; ":" &amp; K$1)</f>
        <v/>
      </c>
      <c r="L20" s="36" t="str">
        <f>RTD("ice.rtd",,$C20 &amp; $D20 &amp; ":" &amp; L$1)</f>
        <v/>
      </c>
      <c r="M20" s="14" t="str">
        <f>IFERROR(MOD(TIMEVALUE(RTD("ice.rtd",,$C20 &amp; $D20 &amp; ":" &amp; M$1)), 1), "")</f>
        <v/>
      </c>
      <c r="N20" s="36">
        <f>RTD("ice.rtd",,$C20 &amp; $D20 &amp; ":" &amp; N$1)</f>
        <v>0</v>
      </c>
      <c r="O20" s="36">
        <f>RTD("ice.rtd",,$C20 &amp; $D20 &amp; ":" &amp; O$1)</f>
        <v>0</v>
      </c>
      <c r="P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" s="14" t="str">
        <f>IF(ICE[[#This Row],[LastType]] = "Scrn", ICE[[#This Row],[LstDate]], IF(ICE[[#This Row],[LastType]] = "Blk", ICE[[#This Row],[LstBlkTime]], ""))</f>
        <v/>
      </c>
      <c r="R20" s="41" t="str">
        <f>IF(ICE[[#This Row],[LastType]] = "Scrn", ICE[[#This Row],[LstPrc]], IF(ICE[[#This Row],[LastType]] = "Blk", ICE[[#This Row],[LstBlkPrc]], ""))</f>
        <v/>
      </c>
      <c r="S20" s="36">
        <f>ICE[[#This Row],[Vol]]+ICE[[#This Row],[BlkVol]]</f>
        <v>0</v>
      </c>
      <c r="T20" s="36">
        <f>RTD("ice.rtd",,$C20 &amp; $D20 &amp; ":" &amp; T$1)</f>
        <v>1905</v>
      </c>
      <c r="U20" s="18">
        <f>RTD("ice.rtd",,$C20 &amp; $D20 &amp; ":" &amp; U$1)</f>
        <v>0.4</v>
      </c>
      <c r="V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" s="18" t="str">
        <f>IFERROR(IF(LEFT(ICE[[#This Row],[Tenor]], 1) = "B", RTD("esrtd",,$B20 &amp; " " &amp; ICE[[#This Row],[Tenor]] &amp; "-IEU", W$1), RTD("esrtd",,$B20 &amp; " " &amp; VLOOKUP(MONTH(ICE[[#This Row],[Strip]]), MthRef[], 2, 0) &amp; RIGHT(YEAR(ICE[[#This Row],[Strip]]), 2) &amp; "-IEU", W$1)), "")</f>
        <v/>
      </c>
      <c r="X20" s="36"/>
    </row>
    <row r="21" spans="1:26" x14ac:dyDescent="0.25">
      <c r="A21" s="37" t="s">
        <v>351</v>
      </c>
      <c r="B21" s="3" t="str">
        <f>RTD("ice.rtd",,$C21 &amp; $D21 &amp; ":" &amp; B$1)</f>
        <v>DBF</v>
      </c>
      <c r="C21" s="3">
        <v>1517</v>
      </c>
      <c r="D21" t="s">
        <v>807</v>
      </c>
      <c r="E21" s="3" t="str">
        <f>RTD("ice.rtd",,$C21 &amp; $D21 &amp; ":" &amp; E$1)</f>
        <v>Mar28</v>
      </c>
      <c r="F21" s="3" t="str">
        <f>ICE[[#This Row],[Prod]]&amp;ICE[[#This Row],[Strip]]</f>
        <v>dflMar28</v>
      </c>
      <c r="G21" s="18" t="str">
        <f>RTD("ice.rtd",,$C21 &amp; $D21 &amp; ":" &amp; G$1)</f>
        <v/>
      </c>
      <c r="H21" s="18" t="str">
        <f>RTD("ice.rtd",,$C21 &amp; $D21 &amp; ":" &amp; H$1)</f>
        <v/>
      </c>
      <c r="I21" s="18" t="str">
        <f>RTD("ice.rtd",,$C21 &amp; $D21 &amp; ":" &amp; I$1)</f>
        <v/>
      </c>
      <c r="J21" s="14" t="str">
        <f>IFERROR(MOD(RTD("ice.rtd",,$C21 &amp; $D21 &amp; ":" &amp; J$1), 1), "")</f>
        <v/>
      </c>
      <c r="K21" s="18" t="str">
        <f>RTD("ice.rtd",,$C21 &amp; $D21 &amp; ":" &amp; K$1)</f>
        <v/>
      </c>
      <c r="L21" s="36" t="str">
        <f>RTD("ice.rtd",,$C21 &amp; $D21 &amp; ":" &amp; L$1)</f>
        <v/>
      </c>
      <c r="M21" s="14" t="str">
        <f>IFERROR(MOD(TIMEVALUE(RTD("ice.rtd",,$C21 &amp; $D21 &amp; ":" &amp; M$1)), 1), "")</f>
        <v/>
      </c>
      <c r="N21" s="36">
        <f>RTD("ice.rtd",,$C21 &amp; $D21 &amp; ":" &amp; N$1)</f>
        <v>0</v>
      </c>
      <c r="O21" s="36">
        <f>RTD("ice.rtd",,$C21 &amp; $D21 &amp; ":" &amp; O$1)</f>
        <v>0</v>
      </c>
      <c r="P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" s="14" t="str">
        <f>IF(ICE[[#This Row],[LastType]] = "Scrn", ICE[[#This Row],[LstDate]], IF(ICE[[#This Row],[LastType]] = "Blk", ICE[[#This Row],[LstBlkTime]], ""))</f>
        <v/>
      </c>
      <c r="R21" s="41" t="str">
        <f>IF(ICE[[#This Row],[LastType]] = "Scrn", ICE[[#This Row],[LstPrc]], IF(ICE[[#This Row],[LastType]] = "Blk", ICE[[#This Row],[LstBlkPrc]], ""))</f>
        <v/>
      </c>
      <c r="S21" s="36">
        <f>ICE[[#This Row],[Vol]]+ICE[[#This Row],[BlkVol]]</f>
        <v>0</v>
      </c>
      <c r="T21" s="36">
        <f>RTD("ice.rtd",,$C21 &amp; $D21 &amp; ":" &amp; T$1)</f>
        <v>1898</v>
      </c>
      <c r="U21" s="18">
        <f>RTD("ice.rtd",,$C21 &amp; $D21 &amp; ":" &amp; U$1)</f>
        <v>0.4</v>
      </c>
      <c r="V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" s="18" t="str">
        <f>IFERROR(IF(LEFT(ICE[[#This Row],[Tenor]], 1) = "B", RTD("esrtd",,$B21 &amp; " " &amp; ICE[[#This Row],[Tenor]] &amp; "-IEU", W$1), RTD("esrtd",,$B21 &amp; " " &amp; VLOOKUP(MONTH(ICE[[#This Row],[Strip]]), MthRef[], 2, 0) &amp; RIGHT(YEAR(ICE[[#This Row],[Strip]]), 2) &amp; "-IEU", W$1)), "")</f>
        <v/>
      </c>
      <c r="X21" s="36"/>
    </row>
    <row r="22" spans="1:26" x14ac:dyDescent="0.25">
      <c r="A22" s="37" t="s">
        <v>351</v>
      </c>
      <c r="B22" s="3" t="str">
        <f>RTD("ice.rtd",,$C22 &amp; $D22 &amp; ":" &amp; B$1)</f>
        <v>DBF</v>
      </c>
      <c r="C22" s="3">
        <v>1517</v>
      </c>
      <c r="D22" t="s">
        <v>808</v>
      </c>
      <c r="E22" s="3" t="str">
        <f>RTD("ice.rtd",,$C22 &amp; $D22 &amp; ":" &amp; E$1)</f>
        <v>Apr28</v>
      </c>
      <c r="F22" s="3" t="str">
        <f>ICE[[#This Row],[Prod]]&amp;ICE[[#This Row],[Strip]]</f>
        <v>dflApr28</v>
      </c>
      <c r="G22" s="18">
        <f>RTD("ice.rtd",,$C22 &amp; $D22 &amp; ":" &amp; G$1)</f>
        <v>0.34</v>
      </c>
      <c r="H22" s="18" t="str">
        <f>RTD("ice.rtd",,$C22 &amp; $D22 &amp; ":" &amp; H$1)</f>
        <v/>
      </c>
      <c r="I22" s="18" t="str">
        <f>RTD("ice.rtd",,$C22 &amp; $D22 &amp; ":" &amp; I$1)</f>
        <v/>
      </c>
      <c r="J22" s="14" t="str">
        <f>IFERROR(MOD(RTD("ice.rtd",,$C22 &amp; $D22 &amp; ":" &amp; J$1), 1), "")</f>
        <v/>
      </c>
      <c r="K22" s="18" t="str">
        <f>RTD("ice.rtd",,$C22 &amp; $D22 &amp; ":" &amp; K$1)</f>
        <v/>
      </c>
      <c r="L22" s="36" t="str">
        <f>RTD("ice.rtd",,$C22 &amp; $D22 &amp; ":" &amp; L$1)</f>
        <v/>
      </c>
      <c r="M22" s="14" t="str">
        <f>IFERROR(MOD(TIMEVALUE(RTD("ice.rtd",,$C22 &amp; $D22 &amp; ":" &amp; M$1)), 1), "")</f>
        <v/>
      </c>
      <c r="N22" s="36">
        <f>RTD("ice.rtd",,$C22 &amp; $D22 &amp; ":" &amp; N$1)</f>
        <v>2</v>
      </c>
      <c r="O22" s="36">
        <f>RTD("ice.rtd",,$C22 &amp; $D22 &amp; ":" &amp; O$1)</f>
        <v>0</v>
      </c>
      <c r="P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" s="14" t="str">
        <f>IF(ICE[[#This Row],[LastType]] = "Scrn", ICE[[#This Row],[LstDate]], IF(ICE[[#This Row],[LastType]] = "Blk", ICE[[#This Row],[LstBlkTime]], ""))</f>
        <v/>
      </c>
      <c r="R22" s="41" t="str">
        <f>IF(ICE[[#This Row],[LastType]] = "Scrn", ICE[[#This Row],[LstPrc]], IF(ICE[[#This Row],[LastType]] = "Blk", ICE[[#This Row],[LstBlkPrc]], ""))</f>
        <v/>
      </c>
      <c r="S22" s="36">
        <f>ICE[[#This Row],[Vol]]+ICE[[#This Row],[BlkVol]]</f>
        <v>2</v>
      </c>
      <c r="T22" s="36">
        <f>RTD("ice.rtd",,$C22 &amp; $D22 &amp; ":" &amp; T$1)</f>
        <v>3242</v>
      </c>
      <c r="U22" s="18">
        <f>RTD("ice.rtd",,$C22 &amp; $D22 &amp; ":" &amp; U$1)</f>
        <v>0.38</v>
      </c>
      <c r="V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0.34 /   |2x</v>
      </c>
      <c r="W22" s="18" t="str">
        <f>IFERROR(IF(LEFT(ICE[[#This Row],[Tenor]], 1) = "B", RTD("esrtd",,$B22 &amp; " " &amp; ICE[[#This Row],[Tenor]] &amp; "-IEU", W$1), RTD("esrtd",,$B22 &amp; " " &amp; VLOOKUP(MONTH(ICE[[#This Row],[Strip]]), MthRef[], 2, 0) &amp; RIGHT(YEAR(ICE[[#This Row],[Strip]]), 2) &amp; "-IEU", W$1)), "")</f>
        <v/>
      </c>
      <c r="X22" s="36"/>
      <c r="Z22" s="12"/>
    </row>
    <row r="23" spans="1:26" x14ac:dyDescent="0.25">
      <c r="A23" s="37" t="s">
        <v>351</v>
      </c>
      <c r="B23" s="3" t="str">
        <f>RTD("ice.rtd",,$C23 &amp; $D23 &amp; ":" &amp; B$1)</f>
        <v>DBF</v>
      </c>
      <c r="C23" s="3">
        <v>1517</v>
      </c>
      <c r="D23" t="s">
        <v>809</v>
      </c>
      <c r="E23" s="3" t="str">
        <f>RTD("ice.rtd",,$C23 &amp; $D23 &amp; ":" &amp; E$1)</f>
        <v>May28</v>
      </c>
      <c r="F23" s="3" t="str">
        <f>ICE[[#This Row],[Prod]]&amp;ICE[[#This Row],[Strip]]</f>
        <v>dflMay28</v>
      </c>
      <c r="G23" s="18" t="str">
        <f>RTD("ice.rtd",,$C23 &amp; $D23 &amp; ":" &amp; G$1)</f>
        <v/>
      </c>
      <c r="H23" s="18" t="str">
        <f>RTD("ice.rtd",,$C23 &amp; $D23 &amp; ":" &amp; H$1)</f>
        <v/>
      </c>
      <c r="I23" s="18" t="str">
        <f>RTD("ice.rtd",,$C23 &amp; $D23 &amp; ":" &amp; I$1)</f>
        <v/>
      </c>
      <c r="J23" s="14" t="str">
        <f>IFERROR(MOD(RTD("ice.rtd",,$C23 &amp; $D23 &amp; ":" &amp; J$1), 1), "")</f>
        <v/>
      </c>
      <c r="K23" s="18" t="str">
        <f>RTD("ice.rtd",,$C23 &amp; $D23 &amp; ":" &amp; K$1)</f>
        <v/>
      </c>
      <c r="L23" s="36" t="str">
        <f>RTD("ice.rtd",,$C23 &amp; $D23 &amp; ":" &amp; L$1)</f>
        <v/>
      </c>
      <c r="M23" s="14" t="str">
        <f>IFERROR(MOD(TIMEVALUE(RTD("ice.rtd",,$C23 &amp; $D23 &amp; ":" &amp; M$1)), 1), "")</f>
        <v/>
      </c>
      <c r="N23" s="36">
        <f>RTD("ice.rtd",,$C23 &amp; $D23 &amp; ":" &amp; N$1)</f>
        <v>2</v>
      </c>
      <c r="O23" s="36">
        <f>RTD("ice.rtd",,$C23 &amp; $D23 &amp; ":" &amp; O$1)</f>
        <v>0</v>
      </c>
      <c r="P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3" s="14" t="str">
        <f>IF(ICE[[#This Row],[LastType]] = "Scrn", ICE[[#This Row],[LstDate]], IF(ICE[[#This Row],[LastType]] = "Blk", ICE[[#This Row],[LstBlkTime]], ""))</f>
        <v/>
      </c>
      <c r="R23" s="41" t="str">
        <f>IF(ICE[[#This Row],[LastType]] = "Scrn", ICE[[#This Row],[LstPrc]], IF(ICE[[#This Row],[LastType]] = "Blk", ICE[[#This Row],[LstBlkPrc]], ""))</f>
        <v/>
      </c>
      <c r="S23" s="36">
        <f>ICE[[#This Row],[Vol]]+ICE[[#This Row],[BlkVol]]</f>
        <v>2</v>
      </c>
      <c r="T23" s="36">
        <f>RTD("ice.rtd",,$C23 &amp; $D23 &amp; ":" &amp; T$1)</f>
        <v>3241</v>
      </c>
      <c r="U23" s="18">
        <f>RTD("ice.rtd",,$C23 &amp; $D23 &amp; ":" &amp; U$1)</f>
        <v>0.38</v>
      </c>
      <c r="V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23" s="18" t="str">
        <f>IFERROR(IF(LEFT(ICE[[#This Row],[Tenor]], 1) = "B", RTD("esrtd",,$B23 &amp; " " &amp; ICE[[#This Row],[Tenor]] &amp; "-IEU", W$1), RTD("esrtd",,$B23 &amp; " " &amp; VLOOKUP(MONTH(ICE[[#This Row],[Strip]]), MthRef[], 2, 0) &amp; RIGHT(YEAR(ICE[[#This Row],[Strip]]), 2) &amp; "-IEU", W$1)), "")</f>
        <v/>
      </c>
      <c r="X23" s="36"/>
    </row>
    <row r="24" spans="1:26" x14ac:dyDescent="0.25">
      <c r="A24" s="37" t="s">
        <v>351</v>
      </c>
      <c r="B24" s="3" t="str">
        <f>RTD("ice.rtd",,$C24 &amp; $D24 &amp; ":" &amp; B$1)</f>
        <v>DBF</v>
      </c>
      <c r="C24" s="3">
        <v>1517</v>
      </c>
      <c r="D24" t="s">
        <v>810</v>
      </c>
      <c r="E24" s="3" t="str">
        <f>RTD("ice.rtd",,$C24 &amp; $D24 &amp; ":" &amp; E$1)</f>
        <v>Jun28</v>
      </c>
      <c r="F24" s="3" t="str">
        <f>ICE[[#This Row],[Prod]]&amp;ICE[[#This Row],[Strip]]</f>
        <v>dflJun28</v>
      </c>
      <c r="G24" s="18" t="str">
        <f>RTD("ice.rtd",,$C24 &amp; $D24 &amp; ":" &amp; G$1)</f>
        <v/>
      </c>
      <c r="H24" s="18" t="str">
        <f>RTD("ice.rtd",,$C24 &amp; $D24 &amp; ":" &amp; H$1)</f>
        <v/>
      </c>
      <c r="I24" s="18" t="str">
        <f>RTD("ice.rtd",,$C24 &amp; $D24 &amp; ":" &amp; I$1)</f>
        <v/>
      </c>
      <c r="J24" s="14" t="str">
        <f>IFERROR(MOD(RTD("ice.rtd",,$C24 &amp; $D24 &amp; ":" &amp; J$1), 1), "")</f>
        <v/>
      </c>
      <c r="K24" s="18" t="str">
        <f>RTD("ice.rtd",,$C24 &amp; $D24 &amp; ":" &amp; K$1)</f>
        <v/>
      </c>
      <c r="L24" s="36" t="str">
        <f>RTD("ice.rtd",,$C24 &amp; $D24 &amp; ":" &amp; L$1)</f>
        <v/>
      </c>
      <c r="M24" s="14" t="str">
        <f>IFERROR(MOD(TIMEVALUE(RTD("ice.rtd",,$C24 &amp; $D24 &amp; ":" &amp; M$1)), 1), "")</f>
        <v/>
      </c>
      <c r="N24" s="36">
        <f>RTD("ice.rtd",,$C24 &amp; $D24 &amp; ":" &amp; N$1)</f>
        <v>2</v>
      </c>
      <c r="O24" s="36">
        <f>RTD("ice.rtd",,$C24 &amp; $D24 &amp; ":" &amp; O$1)</f>
        <v>0</v>
      </c>
      <c r="P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" s="14" t="str">
        <f>IF(ICE[[#This Row],[LastType]] = "Scrn", ICE[[#This Row],[LstDate]], IF(ICE[[#This Row],[LastType]] = "Blk", ICE[[#This Row],[LstBlkTime]], ""))</f>
        <v/>
      </c>
      <c r="R24" s="41" t="str">
        <f>IF(ICE[[#This Row],[LastType]] = "Scrn", ICE[[#This Row],[LstPrc]], IF(ICE[[#This Row],[LastType]] = "Blk", ICE[[#This Row],[LstBlkPrc]], ""))</f>
        <v/>
      </c>
      <c r="S24" s="36">
        <f>ICE[[#This Row],[Vol]]+ICE[[#This Row],[BlkVol]]</f>
        <v>2</v>
      </c>
      <c r="T24" s="36">
        <f>RTD("ice.rtd",,$C24 &amp; $D24 &amp; ":" &amp; T$1)</f>
        <v>3241</v>
      </c>
      <c r="U24" s="18">
        <f>RTD("ice.rtd",,$C24 &amp; $D24 &amp; ":" &amp; U$1)</f>
        <v>0.38</v>
      </c>
      <c r="V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24" s="18" t="str">
        <f>IFERROR(IF(LEFT(ICE[[#This Row],[Tenor]], 1) = "B", RTD("esrtd",,$B24 &amp; " " &amp; ICE[[#This Row],[Tenor]] &amp; "-IEU", W$1), RTD("esrtd",,$B24 &amp; " " &amp; VLOOKUP(MONTH(ICE[[#This Row],[Strip]]), MthRef[], 2, 0) &amp; RIGHT(YEAR(ICE[[#This Row],[Strip]]), 2) &amp; "-IEU", W$1)), "")</f>
        <v/>
      </c>
      <c r="X24" s="36"/>
    </row>
    <row r="25" spans="1:26" x14ac:dyDescent="0.25">
      <c r="A25" s="37" t="s">
        <v>351</v>
      </c>
      <c r="B25" s="3" t="str">
        <f>RTD("ice.rtd",,$C25 &amp; $D25 &amp; ":" &amp; B$1)</f>
        <v>DBF</v>
      </c>
      <c r="C25" s="3">
        <v>1517</v>
      </c>
      <c r="D25" t="s">
        <v>811</v>
      </c>
      <c r="E25" s="3" t="str">
        <f>RTD("ice.rtd",,$C25 &amp; $D25 &amp; ":" &amp; E$1)</f>
        <v>Jul28</v>
      </c>
      <c r="F25" s="3" t="str">
        <f>ICE[[#This Row],[Prod]]&amp;ICE[[#This Row],[Strip]]</f>
        <v>dflJul28</v>
      </c>
      <c r="G25" s="18" t="str">
        <f>RTD("ice.rtd",,$C25 &amp; $D25 &amp; ":" &amp; G$1)</f>
        <v/>
      </c>
      <c r="H25" s="18" t="str">
        <f>RTD("ice.rtd",,$C25 &amp; $D25 &amp; ":" &amp; H$1)</f>
        <v/>
      </c>
      <c r="I25" s="18" t="str">
        <f>RTD("ice.rtd",,$C25 &amp; $D25 &amp; ":" &amp; I$1)</f>
        <v/>
      </c>
      <c r="J25" s="14" t="str">
        <f>IFERROR(MOD(RTD("ice.rtd",,$C25 &amp; $D25 &amp; ":" &amp; J$1), 1), "")</f>
        <v/>
      </c>
      <c r="K25" s="18" t="str">
        <f>RTD("ice.rtd",,$C25 &amp; $D25 &amp; ":" &amp; K$1)</f>
        <v/>
      </c>
      <c r="L25" s="36" t="str">
        <f>RTD("ice.rtd",,$C25 &amp; $D25 &amp; ":" &amp; L$1)</f>
        <v/>
      </c>
      <c r="M25" s="14" t="str">
        <f>IFERROR(MOD(TIMEVALUE(RTD("ice.rtd",,$C25 &amp; $D25 &amp; ":" &amp; M$1)), 1), "")</f>
        <v/>
      </c>
      <c r="N25" s="36">
        <f>RTD("ice.rtd",,$C25 &amp; $D25 &amp; ":" &amp; N$1)</f>
        <v>5</v>
      </c>
      <c r="O25" s="36">
        <f>RTD("ice.rtd",,$C25 &amp; $D25 &amp; ":" &amp; O$1)</f>
        <v>0</v>
      </c>
      <c r="P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5" s="14" t="str">
        <f>IF(ICE[[#This Row],[LastType]] = "Scrn", ICE[[#This Row],[LstDate]], IF(ICE[[#This Row],[LastType]] = "Blk", ICE[[#This Row],[LstBlkTime]], ""))</f>
        <v/>
      </c>
      <c r="R25" s="41" t="str">
        <f>IF(ICE[[#This Row],[LastType]] = "Scrn", ICE[[#This Row],[LstPrc]], IF(ICE[[#This Row],[LastType]] = "Blk", ICE[[#This Row],[LstBlkPrc]], ""))</f>
        <v/>
      </c>
      <c r="S25" s="36">
        <f>ICE[[#This Row],[Vol]]+ICE[[#This Row],[BlkVol]]</f>
        <v>5</v>
      </c>
      <c r="T25" s="36">
        <f>RTD("ice.rtd",,$C25 &amp; $D25 &amp; ":" &amp; T$1)</f>
        <v>2082</v>
      </c>
      <c r="U25" s="18">
        <f>RTD("ice.rtd",,$C25 &amp; $D25 &amp; ":" &amp; U$1)</f>
        <v>0.37</v>
      </c>
      <c r="V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|5x</v>
      </c>
      <c r="W25" s="18" t="str">
        <f>IFERROR(IF(LEFT(ICE[[#This Row],[Tenor]], 1) = "B", RTD("esrtd",,$B25 &amp; " " &amp; ICE[[#This Row],[Tenor]] &amp; "-IEU", W$1), RTD("esrtd",,$B25 &amp; " " &amp; VLOOKUP(MONTH(ICE[[#This Row],[Strip]]), MthRef[], 2, 0) &amp; RIGHT(YEAR(ICE[[#This Row],[Strip]]), 2) &amp; "-IEU", W$1)), "")</f>
        <v/>
      </c>
      <c r="X25" s="36"/>
    </row>
    <row r="26" spans="1:26" x14ac:dyDescent="0.25">
      <c r="A26" s="37" t="s">
        <v>351</v>
      </c>
      <c r="B26" s="3" t="str">
        <f>RTD("ice.rtd",,$C26 &amp; $D26 &amp; ":" &amp; B$1)</f>
        <v>DBF</v>
      </c>
      <c r="C26" s="3">
        <v>1517</v>
      </c>
      <c r="D26" t="s">
        <v>812</v>
      </c>
      <c r="E26" s="3" t="str">
        <f>RTD("ice.rtd",,$C26 &amp; $D26 &amp; ":" &amp; E$1)</f>
        <v>Aug28</v>
      </c>
      <c r="F26" s="3" t="str">
        <f>ICE[[#This Row],[Prod]]&amp;ICE[[#This Row],[Strip]]</f>
        <v>dflAug28</v>
      </c>
      <c r="G26" s="18" t="str">
        <f>RTD("ice.rtd",,$C26 &amp; $D26 &amp; ":" &amp; G$1)</f>
        <v/>
      </c>
      <c r="H26" s="18" t="str">
        <f>RTD("ice.rtd",,$C26 &amp; $D26 &amp; ":" &amp; H$1)</f>
        <v/>
      </c>
      <c r="I26" s="18" t="str">
        <f>RTD("ice.rtd",,$C26 &amp; $D26 &amp; ":" &amp; I$1)</f>
        <v/>
      </c>
      <c r="J26" s="14" t="str">
        <f>IFERROR(MOD(RTD("ice.rtd",,$C26 &amp; $D26 &amp; ":" &amp; J$1), 1), "")</f>
        <v/>
      </c>
      <c r="K26" s="18" t="str">
        <f>RTD("ice.rtd",,$C26 &amp; $D26 &amp; ":" &amp; K$1)</f>
        <v/>
      </c>
      <c r="L26" s="36" t="str">
        <f>RTD("ice.rtd",,$C26 &amp; $D26 &amp; ":" &amp; L$1)</f>
        <v/>
      </c>
      <c r="M26" s="14" t="str">
        <f>IFERROR(MOD(TIMEVALUE(RTD("ice.rtd",,$C26 &amp; $D26 &amp; ":" &amp; M$1)), 1), "")</f>
        <v/>
      </c>
      <c r="N26" s="36">
        <f>RTD("ice.rtd",,$C26 &amp; $D26 &amp; ":" &amp; N$1)</f>
        <v>5</v>
      </c>
      <c r="O26" s="36">
        <f>RTD("ice.rtd",,$C26 &amp; $D26 &amp; ":" &amp; O$1)</f>
        <v>0</v>
      </c>
      <c r="P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6" s="14" t="str">
        <f>IF(ICE[[#This Row],[LastType]] = "Scrn", ICE[[#This Row],[LstDate]], IF(ICE[[#This Row],[LastType]] = "Blk", ICE[[#This Row],[LstBlkTime]], ""))</f>
        <v/>
      </c>
      <c r="R26" s="41" t="str">
        <f>IF(ICE[[#This Row],[LastType]] = "Scrn", ICE[[#This Row],[LstPrc]], IF(ICE[[#This Row],[LastType]] = "Blk", ICE[[#This Row],[LstBlkPrc]], ""))</f>
        <v/>
      </c>
      <c r="S26" s="36">
        <f>ICE[[#This Row],[Vol]]+ICE[[#This Row],[BlkVol]]</f>
        <v>5</v>
      </c>
      <c r="T26" s="36">
        <f>RTD("ice.rtd",,$C26 &amp; $D26 &amp; ":" &amp; T$1)</f>
        <v>2082</v>
      </c>
      <c r="U26" s="18">
        <f>RTD("ice.rtd",,$C26 &amp; $D26 &amp; ":" &amp; U$1)</f>
        <v>0.37</v>
      </c>
      <c r="V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|5x</v>
      </c>
      <c r="W26" s="18" t="str">
        <f>IFERROR(IF(LEFT(ICE[[#This Row],[Tenor]], 1) = "B", RTD("esrtd",,$B26 &amp; " " &amp; ICE[[#This Row],[Tenor]] &amp; "-IEU", W$1), RTD("esrtd",,$B26 &amp; " " &amp; VLOOKUP(MONTH(ICE[[#This Row],[Strip]]), MthRef[], 2, 0) &amp; RIGHT(YEAR(ICE[[#This Row],[Strip]]), 2) &amp; "-IEU", W$1)), "")</f>
        <v/>
      </c>
      <c r="X26" s="36"/>
    </row>
    <row r="27" spans="1:26" x14ac:dyDescent="0.25">
      <c r="A27" s="37" t="s">
        <v>351</v>
      </c>
      <c r="B27" s="3" t="str">
        <f>RTD("ice.rtd",,$C27 &amp; $D27 &amp; ":" &amp; B$1)</f>
        <v>DBF</v>
      </c>
      <c r="C27" s="3">
        <v>1517</v>
      </c>
      <c r="D27" t="s">
        <v>813</v>
      </c>
      <c r="E27" s="3" t="str">
        <f>RTD("ice.rtd",,$C27 &amp; $D27 &amp; ":" &amp; E$1)</f>
        <v>Sep28</v>
      </c>
      <c r="F27" s="3" t="str">
        <f>ICE[[#This Row],[Prod]]&amp;ICE[[#This Row],[Strip]]</f>
        <v>dflSep28</v>
      </c>
      <c r="G27" s="18" t="str">
        <f>RTD("ice.rtd",,$C27 &amp; $D27 &amp; ":" &amp; G$1)</f>
        <v/>
      </c>
      <c r="H27" s="18" t="str">
        <f>RTD("ice.rtd",,$C27 &amp; $D27 &amp; ":" &amp; H$1)</f>
        <v/>
      </c>
      <c r="I27" s="18" t="str">
        <f>RTD("ice.rtd",,$C27 &amp; $D27 &amp; ":" &amp; I$1)</f>
        <v/>
      </c>
      <c r="J27" s="14" t="str">
        <f>IFERROR(MOD(RTD("ice.rtd",,$C27 &amp; $D27 &amp; ":" &amp; J$1), 1), "")</f>
        <v/>
      </c>
      <c r="K27" s="18" t="str">
        <f>RTD("ice.rtd",,$C27 &amp; $D27 &amp; ":" &amp; K$1)</f>
        <v/>
      </c>
      <c r="L27" s="36" t="str">
        <f>RTD("ice.rtd",,$C27 &amp; $D27 &amp; ":" &amp; L$1)</f>
        <v/>
      </c>
      <c r="M27" s="14" t="str">
        <f>IFERROR(MOD(TIMEVALUE(RTD("ice.rtd",,$C27 &amp; $D27 &amp; ":" &amp; M$1)), 1), "")</f>
        <v/>
      </c>
      <c r="N27" s="36">
        <f>RTD("ice.rtd",,$C27 &amp; $D27 &amp; ":" &amp; N$1)</f>
        <v>5</v>
      </c>
      <c r="O27" s="36">
        <f>RTD("ice.rtd",,$C27 &amp; $D27 &amp; ":" &amp; O$1)</f>
        <v>0</v>
      </c>
      <c r="P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7" s="14" t="str">
        <f>IF(ICE[[#This Row],[LastType]] = "Scrn", ICE[[#This Row],[LstDate]], IF(ICE[[#This Row],[LastType]] = "Blk", ICE[[#This Row],[LstBlkTime]], ""))</f>
        <v/>
      </c>
      <c r="R27" s="41" t="str">
        <f>IF(ICE[[#This Row],[LastType]] = "Scrn", ICE[[#This Row],[LstPrc]], IF(ICE[[#This Row],[LastType]] = "Blk", ICE[[#This Row],[LstBlkPrc]], ""))</f>
        <v/>
      </c>
      <c r="S27" s="36">
        <f>ICE[[#This Row],[Vol]]+ICE[[#This Row],[BlkVol]]</f>
        <v>5</v>
      </c>
      <c r="T27" s="36">
        <f>RTD("ice.rtd",,$C27 &amp; $D27 &amp; ":" &amp; T$1)</f>
        <v>2082</v>
      </c>
      <c r="U27" s="18">
        <f>RTD("ice.rtd",,$C27 &amp; $D27 &amp; ":" &amp; U$1)</f>
        <v>0.37</v>
      </c>
      <c r="V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|5x</v>
      </c>
      <c r="W27" s="18" t="str">
        <f>IFERROR(IF(LEFT(ICE[[#This Row],[Tenor]], 1) = "B", RTD("esrtd",,$B27 &amp; " " &amp; ICE[[#This Row],[Tenor]] &amp; "-IEU", W$1), RTD("esrtd",,$B27 &amp; " " &amp; VLOOKUP(MONTH(ICE[[#This Row],[Strip]]), MthRef[], 2, 0) &amp; RIGHT(YEAR(ICE[[#This Row],[Strip]]), 2) &amp; "-IEU", W$1)), "")</f>
        <v/>
      </c>
      <c r="X27" s="36"/>
      <c r="Z27" s="751"/>
    </row>
    <row r="28" spans="1:26" x14ac:dyDescent="0.25">
      <c r="A28" s="37" t="s">
        <v>351</v>
      </c>
      <c r="B28" s="3" t="str">
        <f>RTD("ice.rtd",,$C28 &amp; $D28 &amp; ":" &amp; B$1)</f>
        <v>DBF</v>
      </c>
      <c r="C28" s="3">
        <v>1517</v>
      </c>
      <c r="D28" t="s">
        <v>814</v>
      </c>
      <c r="E28" s="3" t="str">
        <f>RTD("ice.rtd",,$C28 &amp; $D28 &amp; ":" &amp; E$1)</f>
        <v>Q4 26</v>
      </c>
      <c r="F28" s="3" t="str">
        <f>ICE[[#This Row],[Prod]]&amp;ICE[[#This Row],[Strip]]</f>
        <v>dflQ4 26</v>
      </c>
      <c r="G28" s="18" t="str">
        <f>RTD("ice.rtd",,$C28 &amp; $D28 &amp; ":" &amp; G$1)</f>
        <v/>
      </c>
      <c r="H28" s="18" t="str">
        <f>RTD("ice.rtd",,$C28 &amp; $D28 &amp; ":" &amp; H$1)</f>
        <v/>
      </c>
      <c r="I28" s="18" t="str">
        <f>RTD("ice.rtd",,$C28 &amp; $D28 &amp; ":" &amp; I$1)</f>
        <v/>
      </c>
      <c r="J28" s="14" t="str">
        <f>IFERROR(MOD(RTD("ice.rtd",,$C28 &amp; $D28 &amp; ":" &amp; J$1), 1), "")</f>
        <v/>
      </c>
      <c r="K28" s="18">
        <f>RTD("ice.rtd",,$C28 &amp; $D28 &amp; ":" &amp; K$1)</f>
        <v>3.3</v>
      </c>
      <c r="L28" s="36">
        <f>RTD("ice.rtd",,$C28 &amp; $D28 &amp; ":" &amp; L$1)</f>
        <v>100</v>
      </c>
      <c r="M28" s="14">
        <f>IFERROR(MOD(TIMEVALUE(RTD("ice.rtd",,$C28 &amp; $D28 &amp; ":" &amp; M$1)), 1), "")</f>
        <v>0.45277777777777778</v>
      </c>
      <c r="N28" s="36">
        <f>RTD("ice.rtd",,$C28 &amp; $D28 &amp; ":" &amp; N$1)</f>
        <v>0</v>
      </c>
      <c r="O28" s="36">
        <f>RTD("ice.rtd",,$C28 &amp; $D28 &amp; ":" &amp; O$1)</f>
        <v>125</v>
      </c>
      <c r="P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8" s="14">
        <f>IF(ICE[[#This Row],[LastType]] = "Scrn", ICE[[#This Row],[LstDate]], IF(ICE[[#This Row],[LastType]] = "Blk", ICE[[#This Row],[LstBlkTime]], ""))</f>
        <v>0.45277777777777778</v>
      </c>
      <c r="R28" s="41">
        <f>IF(ICE[[#This Row],[LastType]] = "Scrn", ICE[[#This Row],[LstPrc]], IF(ICE[[#This Row],[LastType]] = "Blk", ICE[[#This Row],[LstBlkPrc]], ""))</f>
        <v>3.3</v>
      </c>
      <c r="S28" s="36">
        <f>ICE[[#This Row],[Vol]]+ICE[[#This Row],[BlkVol]]</f>
        <v>125</v>
      </c>
      <c r="T28" s="36">
        <f>RTD("ice.rtd",,$C28 &amp; $D28 &amp; ":" &amp; T$1)</f>
        <v>0</v>
      </c>
      <c r="U28" s="18">
        <f>RTD("ice.rtd",,$C28 &amp; $D28 &amp; ":" &amp; U$1)</f>
        <v>2.9530000000000003</v>
      </c>
      <c r="V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{3.30} |125x</v>
      </c>
      <c r="W28" s="18" t="str">
        <f>IFERROR(IF(LEFT(ICE[[#This Row],[Tenor]], 1) = "B", RTD("esrtd",,$B28 &amp; " " &amp; ICE[[#This Row],[Tenor]] &amp; "-IEU", W$1), RTD("esrtd",,$B28 &amp; " " &amp; VLOOKUP(MONTH(ICE[[#This Row],[Strip]]), MthRef[], 2, 0) &amp; RIGHT(YEAR(ICE[[#This Row],[Strip]]), 2) &amp; "-IEU", W$1)), "")</f>
        <v/>
      </c>
      <c r="X28" s="36"/>
    </row>
    <row r="29" spans="1:26" x14ac:dyDescent="0.25">
      <c r="A29" s="37" t="s">
        <v>351</v>
      </c>
      <c r="B29" s="3" t="str">
        <f>RTD("ice.rtd",,$C29 &amp; $D29 &amp; ":" &amp; B$1)</f>
        <v>DBF</v>
      </c>
      <c r="C29" s="3">
        <v>1517</v>
      </c>
      <c r="D29" t="s">
        <v>815</v>
      </c>
      <c r="E29" s="3" t="str">
        <f>RTD("ice.rtd",,$C29 &amp; $D29 &amp; ":" &amp; E$1)</f>
        <v>Q1 27</v>
      </c>
      <c r="F29" s="3" t="str">
        <f>ICE[[#This Row],[Prod]]&amp;ICE[[#This Row],[Strip]]</f>
        <v>dflQ1 27</v>
      </c>
      <c r="G29" s="18">
        <f>RTD("ice.rtd",,$C29 &amp; $D29 &amp; ":" &amp; G$1)</f>
        <v>1.75</v>
      </c>
      <c r="H29" s="18" t="str">
        <f>RTD("ice.rtd",,$C29 &amp; $D29 &amp; ":" &amp; H$1)</f>
        <v/>
      </c>
      <c r="I29" s="18" t="str">
        <f>RTD("ice.rtd",,$C29 &amp; $D29 &amp; ":" &amp; I$1)</f>
        <v/>
      </c>
      <c r="J29" s="14" t="str">
        <f>IFERROR(MOD(RTD("ice.rtd",,$C29 &amp; $D29 &amp; ":" &amp; J$1), 1), "")</f>
        <v/>
      </c>
      <c r="K29" s="18">
        <f>RTD("ice.rtd",,$C29 &amp; $D29 &amp; ":" &amp; K$1)</f>
        <v>1.79</v>
      </c>
      <c r="L29" s="36">
        <f>RTD("ice.rtd",,$C29 &amp; $D29 &amp; ":" &amp; L$1)</f>
        <v>25</v>
      </c>
      <c r="M29" s="14">
        <f>IFERROR(MOD(TIMEVALUE(RTD("ice.rtd",,$C29 &amp; $D29 &amp; ":" &amp; M$1)), 1), "")</f>
        <v>0.44667824074074075</v>
      </c>
      <c r="N29" s="36">
        <f>RTD("ice.rtd",,$C29 &amp; $D29 &amp; ":" &amp; N$1)</f>
        <v>0</v>
      </c>
      <c r="O29" s="36">
        <f>RTD("ice.rtd",,$C29 &amp; $D29 &amp; ":" &amp; O$1)</f>
        <v>225</v>
      </c>
      <c r="P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9" s="14">
        <f>IF(ICE[[#This Row],[LastType]] = "Scrn", ICE[[#This Row],[LstDate]], IF(ICE[[#This Row],[LastType]] = "Blk", ICE[[#This Row],[LstBlkTime]], ""))</f>
        <v>0.44667824074074075</v>
      </c>
      <c r="R29" s="41">
        <f>IF(ICE[[#This Row],[LastType]] = "Scrn", ICE[[#This Row],[LstPrc]], IF(ICE[[#This Row],[LastType]] = "Blk", ICE[[#This Row],[LstBlkPrc]], ""))</f>
        <v>1.79</v>
      </c>
      <c r="S29" s="36">
        <f>ICE[[#This Row],[Vol]]+ICE[[#This Row],[BlkVol]]</f>
        <v>225</v>
      </c>
      <c r="T29" s="36">
        <f>RTD("ice.rtd",,$C29 &amp; $D29 &amp; ":" &amp; T$1)</f>
        <v>0</v>
      </c>
      <c r="U29" s="18">
        <f>RTD("ice.rtd",,$C29 &amp; $D29 &amp; ":" &amp; U$1)</f>
        <v>1.667</v>
      </c>
      <c r="V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1.75 /  {1.79} |225x</v>
      </c>
      <c r="W29" s="18" t="str">
        <f>IFERROR(IF(LEFT(ICE[[#This Row],[Tenor]], 1) = "B", RTD("esrtd",,$B29 &amp; " " &amp; ICE[[#This Row],[Tenor]] &amp; "-IEU", W$1), RTD("esrtd",,$B29 &amp; " " &amp; VLOOKUP(MONTH(ICE[[#This Row],[Strip]]), MthRef[], 2, 0) &amp; RIGHT(YEAR(ICE[[#This Row],[Strip]]), 2) &amp; "-IEU", W$1)), "")</f>
        <v/>
      </c>
      <c r="X29" s="36"/>
    </row>
    <row r="30" spans="1:26" x14ac:dyDescent="0.25">
      <c r="A30" s="37" t="s">
        <v>351</v>
      </c>
      <c r="B30" s="3" t="str">
        <f>RTD("ice.rtd",,$C30 &amp; $D30 &amp; ":" &amp; B$1)</f>
        <v>DBF</v>
      </c>
      <c r="C30" s="3">
        <v>1517</v>
      </c>
      <c r="D30" t="s">
        <v>816</v>
      </c>
      <c r="E30" s="3" t="str">
        <f>RTD("ice.rtd",,$C30 &amp; $D30 &amp; ":" &amp; E$1)</f>
        <v>Q2 27</v>
      </c>
      <c r="F30" s="3" t="str">
        <f>ICE[[#This Row],[Prod]]&amp;ICE[[#This Row],[Strip]]</f>
        <v>dflQ2 27</v>
      </c>
      <c r="G30" s="18">
        <f>RTD("ice.rtd",,$C30 &amp; $D30 &amp; ":" &amp; G$1)</f>
        <v>0.15</v>
      </c>
      <c r="H30" s="18">
        <f>RTD("ice.rtd",,$C30 &amp; $D30 &amp; ":" &amp; H$1)</f>
        <v>1.2</v>
      </c>
      <c r="I30" s="18" t="str">
        <f>RTD("ice.rtd",,$C30 &amp; $D30 &amp; ":" &amp; I$1)</f>
        <v/>
      </c>
      <c r="J30" s="14" t="str">
        <f>IFERROR(MOD(RTD("ice.rtd",,$C30 &amp; $D30 &amp; ":" &amp; J$1), 1), "")</f>
        <v/>
      </c>
      <c r="K30" s="18">
        <f>RTD("ice.rtd",,$C30 &amp; $D30 &amp; ":" &amp; K$1)</f>
        <v>0.95</v>
      </c>
      <c r="L30" s="36">
        <f>RTD("ice.rtd",,$C30 &amp; $D30 &amp; ":" &amp; L$1)</f>
        <v>100</v>
      </c>
      <c r="M30" s="14">
        <f>IFERROR(MOD(TIMEVALUE(RTD("ice.rtd",,$C30 &amp; $D30 &amp; ":" &amp; M$1)), 1), "")</f>
        <v>0.45116898148148149</v>
      </c>
      <c r="N30" s="36">
        <f>RTD("ice.rtd",,$C30 &amp; $D30 &amp; ":" &amp; N$1)</f>
        <v>0</v>
      </c>
      <c r="O30" s="36">
        <f>RTD("ice.rtd",,$C30 &amp; $D30 &amp; ":" &amp; O$1)</f>
        <v>100</v>
      </c>
      <c r="P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0" s="14">
        <f>IF(ICE[[#This Row],[LastType]] = "Scrn", ICE[[#This Row],[LstDate]], IF(ICE[[#This Row],[LastType]] = "Blk", ICE[[#This Row],[LstBlkTime]], ""))</f>
        <v>0.45116898148148149</v>
      </c>
      <c r="R30" s="41">
        <f>IF(ICE[[#This Row],[LastType]] = "Scrn", ICE[[#This Row],[LstPrc]], IF(ICE[[#This Row],[LastType]] = "Blk", ICE[[#This Row],[LstBlkPrc]], ""))</f>
        <v>0.95</v>
      </c>
      <c r="S30" s="36">
        <f>ICE[[#This Row],[Vol]]+ICE[[#This Row],[BlkVol]]</f>
        <v>100</v>
      </c>
      <c r="T30" s="36">
        <f>RTD("ice.rtd",,$C30 &amp; $D30 &amp; ":" &amp; T$1)</f>
        <v>0</v>
      </c>
      <c r="U30" s="18">
        <f>RTD("ice.rtd",,$C30 &amp; $D30 &amp; ":" &amp; U$1)</f>
        <v>0.9</v>
      </c>
      <c r="V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0.15 / 1.20 {0.95} |100x</v>
      </c>
      <c r="W30" s="18" t="str">
        <f>IFERROR(IF(LEFT(ICE[[#This Row],[Tenor]], 1) = "B", RTD("esrtd",,$B30 &amp; " " &amp; ICE[[#This Row],[Tenor]] &amp; "-IEU", W$1), RTD("esrtd",,$B30 &amp; " " &amp; VLOOKUP(MONTH(ICE[[#This Row],[Strip]]), MthRef[], 2, 0) &amp; RIGHT(YEAR(ICE[[#This Row],[Strip]]), 2) &amp; "-IEU", W$1)), "")</f>
        <v/>
      </c>
      <c r="X30" s="36"/>
    </row>
    <row r="31" spans="1:26" x14ac:dyDescent="0.25">
      <c r="A31" s="37" t="s">
        <v>351</v>
      </c>
      <c r="B31" s="3" t="str">
        <f>RTD("ice.rtd",,$C31 &amp; $D31 &amp; ":" &amp; B$1)</f>
        <v>DBF</v>
      </c>
      <c r="C31" s="3">
        <v>1517</v>
      </c>
      <c r="D31" t="s">
        <v>817</v>
      </c>
      <c r="E31" s="3" t="str">
        <f>RTD("ice.rtd",,$C31 &amp; $D31 &amp; ":" &amp; E$1)</f>
        <v>Q3 27</v>
      </c>
      <c r="F31" s="3" t="str">
        <f>ICE[[#This Row],[Prod]]&amp;ICE[[#This Row],[Strip]]</f>
        <v>dflQ3 27</v>
      </c>
      <c r="G31" s="18">
        <f>RTD("ice.rtd",,$C31 &amp; $D31 &amp; ":" &amp; G$1)</f>
        <v>0.45</v>
      </c>
      <c r="H31" s="18">
        <f>RTD("ice.rtd",,$C31 &amp; $D31 &amp; ":" &amp; H$1)</f>
        <v>0.69</v>
      </c>
      <c r="I31" s="18" t="str">
        <f>RTD("ice.rtd",,$C31 &amp; $D31 &amp; ":" &amp; I$1)</f>
        <v/>
      </c>
      <c r="J31" s="14" t="str">
        <f>IFERROR(MOD(RTD("ice.rtd",,$C31 &amp; $D31 &amp; ":" &amp; J$1), 1), "")</f>
        <v/>
      </c>
      <c r="K31" s="18" t="str">
        <f>RTD("ice.rtd",,$C31 &amp; $D31 &amp; ":" &amp; K$1)</f>
        <v/>
      </c>
      <c r="L31" s="36" t="str">
        <f>RTD("ice.rtd",,$C31 &amp; $D31 &amp; ":" &amp; L$1)</f>
        <v/>
      </c>
      <c r="M31" s="14" t="str">
        <f>IFERROR(MOD(TIMEVALUE(RTD("ice.rtd",,$C31 &amp; $D31 &amp; ":" &amp; M$1)), 1), "")</f>
        <v/>
      </c>
      <c r="N31" s="36">
        <f>RTD("ice.rtd",,$C31 &amp; $D31 &amp; ":" &amp; N$1)</f>
        <v>0</v>
      </c>
      <c r="O31" s="36">
        <f>RTD("ice.rtd",,$C31 &amp; $D31 &amp; ":" &amp; O$1)</f>
        <v>0</v>
      </c>
      <c r="P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" s="14" t="str">
        <f>IF(ICE[[#This Row],[LastType]] = "Scrn", ICE[[#This Row],[LstDate]], IF(ICE[[#This Row],[LastType]] = "Blk", ICE[[#This Row],[LstBlkTime]], ""))</f>
        <v/>
      </c>
      <c r="R31" s="41" t="str">
        <f>IF(ICE[[#This Row],[LastType]] = "Scrn", ICE[[#This Row],[LstPrc]], IF(ICE[[#This Row],[LastType]] = "Blk", ICE[[#This Row],[LstBlkPrc]], ""))</f>
        <v/>
      </c>
      <c r="S31" s="36">
        <f>ICE[[#This Row],[Vol]]+ICE[[#This Row],[BlkVol]]</f>
        <v>0</v>
      </c>
      <c r="T31" s="36">
        <f>RTD("ice.rtd",,$C31 &amp; $D31 &amp; ":" &amp; T$1)</f>
        <v>0</v>
      </c>
      <c r="U31" s="18">
        <f>RTD("ice.rtd",,$C31 &amp; $D31 &amp; ":" &amp; U$1)</f>
        <v>0.62</v>
      </c>
      <c r="V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0.45 / 0.69 </v>
      </c>
      <c r="W31" s="18" t="str">
        <f>IFERROR(IF(LEFT(ICE[[#This Row],[Tenor]], 1) = "B", RTD("esrtd",,$B31 &amp; " " &amp; ICE[[#This Row],[Tenor]] &amp; "-IEU", W$1), RTD("esrtd",,$B31 &amp; " " &amp; VLOOKUP(MONTH(ICE[[#This Row],[Strip]]), MthRef[], 2, 0) &amp; RIGHT(YEAR(ICE[[#This Row],[Strip]]), 2) &amp; "-IEU", W$1)), "")</f>
        <v/>
      </c>
      <c r="X31" s="36"/>
    </row>
    <row r="32" spans="1:26" x14ac:dyDescent="0.25">
      <c r="A32" s="37" t="s">
        <v>351</v>
      </c>
      <c r="B32" s="3" t="str">
        <f>RTD("ice.rtd",,$C32 &amp; $D32 &amp; ":" &amp; B$1)</f>
        <v>DBF</v>
      </c>
      <c r="C32" s="3">
        <v>1517</v>
      </c>
      <c r="D32" t="s">
        <v>818</v>
      </c>
      <c r="E32" s="3" t="str">
        <f>RTD("ice.rtd",,$C32 &amp; $D32 &amp; ":" &amp; E$1)</f>
        <v>Q4 27</v>
      </c>
      <c r="F32" s="3" t="str">
        <f>ICE[[#This Row],[Prod]]&amp;ICE[[#This Row],[Strip]]</f>
        <v>dflQ4 27</v>
      </c>
      <c r="G32" s="18">
        <f>RTD("ice.rtd",,$C32 &amp; $D32 &amp; ":" &amp; G$1)</f>
        <v>0.4</v>
      </c>
      <c r="H32" s="18">
        <f>RTD("ice.rtd",,$C32 &amp; $D32 &amp; ":" &amp; H$1)</f>
        <v>0.5</v>
      </c>
      <c r="I32" s="18">
        <f>RTD("ice.rtd",,$C32 &amp; $D32 &amp; ":" &amp; I$1)</f>
        <v>0.49</v>
      </c>
      <c r="J32" s="14">
        <f>IFERROR(MOD(RTD("ice.rtd",,$C32 &amp; $D32 &amp; ":" &amp; J$1), 1), "")</f>
        <v>0.43085722222167533</v>
      </c>
      <c r="K32" s="18" t="str">
        <f>RTD("ice.rtd",,$C32 &amp; $D32 &amp; ":" &amp; K$1)</f>
        <v/>
      </c>
      <c r="L32" s="36" t="str">
        <f>RTD("ice.rtd",,$C32 &amp; $D32 &amp; ":" &amp; L$1)</f>
        <v/>
      </c>
      <c r="M32" s="14" t="str">
        <f>IFERROR(MOD(TIMEVALUE(RTD("ice.rtd",,$C32 &amp; $D32 &amp; ":" &amp; M$1)), 1), "")</f>
        <v/>
      </c>
      <c r="N32" s="36">
        <f>RTD("ice.rtd",,$C32 &amp; $D32 &amp; ":" &amp; N$1)</f>
        <v>20</v>
      </c>
      <c r="O32" s="36">
        <f>RTD("ice.rtd",,$C32 &amp; $D32 &amp; ":" &amp; O$1)</f>
        <v>0</v>
      </c>
      <c r="P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32" s="14">
        <f>IF(ICE[[#This Row],[LastType]] = "Scrn", ICE[[#This Row],[LstDate]], IF(ICE[[#This Row],[LastType]] = "Blk", ICE[[#This Row],[LstBlkTime]], ""))</f>
        <v>0.43085722222167533</v>
      </c>
      <c r="R32" s="41">
        <f>IF(ICE[[#This Row],[LastType]] = "Scrn", ICE[[#This Row],[LstPrc]], IF(ICE[[#This Row],[LastType]] = "Blk", ICE[[#This Row],[LstBlkPrc]], ""))</f>
        <v>0.49</v>
      </c>
      <c r="S32" s="36">
        <f>ICE[[#This Row],[Vol]]+ICE[[#This Row],[BlkVol]]</f>
        <v>20</v>
      </c>
      <c r="T32" s="36">
        <f>RTD("ice.rtd",,$C32 &amp; $D32 &amp; ":" &amp; T$1)</f>
        <v>0</v>
      </c>
      <c r="U32" s="18">
        <f>RTD("ice.rtd",,$C32 &amp; $D32 &amp; ":" &amp; U$1)</f>
        <v>0.46</v>
      </c>
      <c r="V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0.40 / 0.50 {0.49} |20x</v>
      </c>
      <c r="W32" s="18" t="str">
        <f>IFERROR(IF(LEFT(ICE[[#This Row],[Tenor]], 1) = "B", RTD("esrtd",,$B32 &amp; " " &amp; ICE[[#This Row],[Tenor]] &amp; "-IEU", W$1), RTD("esrtd",,$B32 &amp; " " &amp; VLOOKUP(MONTH(ICE[[#This Row],[Strip]]), MthRef[], 2, 0) &amp; RIGHT(YEAR(ICE[[#This Row],[Strip]]), 2) &amp; "-IEU", W$1)), "")</f>
        <v/>
      </c>
      <c r="X32" s="36"/>
    </row>
    <row r="33" spans="1:27" x14ac:dyDescent="0.25">
      <c r="A33" s="37" t="s">
        <v>351</v>
      </c>
      <c r="B33" s="3" t="str">
        <f>RTD("ice.rtd",,$C33 &amp; $D33 &amp; ":" &amp; B$1)</f>
        <v>DBF</v>
      </c>
      <c r="C33" s="3">
        <v>1517</v>
      </c>
      <c r="D33" t="s">
        <v>819</v>
      </c>
      <c r="E33" s="3" t="str">
        <f>RTD("ice.rtd",,$C33 &amp; $D33 &amp; ":" &amp; E$1)</f>
        <v>Q1 28</v>
      </c>
      <c r="F33" s="3" t="str">
        <f>ICE[[#This Row],[Prod]]&amp;ICE[[#This Row],[Strip]]</f>
        <v>dflQ1 28</v>
      </c>
      <c r="G33" s="18" t="str">
        <f>RTD("ice.rtd",,$C33 &amp; $D33 &amp; ":" &amp; G$1)</f>
        <v/>
      </c>
      <c r="H33" s="18" t="str">
        <f>RTD("ice.rtd",,$C33 &amp; $D33 &amp; ":" &amp; H$1)</f>
        <v/>
      </c>
      <c r="I33" s="18" t="str">
        <f>RTD("ice.rtd",,$C33 &amp; $D33 &amp; ":" &amp; I$1)</f>
        <v/>
      </c>
      <c r="J33" s="14" t="str">
        <f>IFERROR(MOD(RTD("ice.rtd",,$C33 &amp; $D33 &amp; ":" &amp; J$1), 1), "")</f>
        <v/>
      </c>
      <c r="K33" s="18" t="str">
        <f>RTD("ice.rtd",,$C33 &amp; $D33 &amp; ":" &amp; K$1)</f>
        <v/>
      </c>
      <c r="L33" s="36" t="str">
        <f>RTD("ice.rtd",,$C33 &amp; $D33 &amp; ":" &amp; L$1)</f>
        <v/>
      </c>
      <c r="M33" s="14" t="str">
        <f>IFERROR(MOD(TIMEVALUE(RTD("ice.rtd",,$C33 &amp; $D33 &amp; ":" &amp; M$1)), 1), "")</f>
        <v/>
      </c>
      <c r="N33" s="36">
        <f>RTD("ice.rtd",,$C33 &amp; $D33 &amp; ":" &amp; N$1)</f>
        <v>0</v>
      </c>
      <c r="O33" s="36">
        <f>RTD("ice.rtd",,$C33 &amp; $D33 &amp; ":" &amp; O$1)</f>
        <v>0</v>
      </c>
      <c r="P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" s="14" t="str">
        <f>IF(ICE[[#This Row],[LastType]] = "Scrn", ICE[[#This Row],[LstDate]], IF(ICE[[#This Row],[LastType]] = "Blk", ICE[[#This Row],[LstBlkTime]], ""))</f>
        <v/>
      </c>
      <c r="R33" s="41" t="str">
        <f>IF(ICE[[#This Row],[LastType]] = "Scrn", ICE[[#This Row],[LstPrc]], IF(ICE[[#This Row],[LastType]] = "Blk", ICE[[#This Row],[LstBlkPrc]], ""))</f>
        <v/>
      </c>
      <c r="S33" s="36">
        <f>ICE[[#This Row],[Vol]]+ICE[[#This Row],[BlkVol]]</f>
        <v>0</v>
      </c>
      <c r="T33" s="36">
        <f>RTD("ice.rtd",,$C33 &amp; $D33 &amp; ":" &amp; T$1)</f>
        <v>0</v>
      </c>
      <c r="U33" s="18">
        <f>RTD("ice.rtd",,$C33 &amp; $D33 &amp; ":" &amp; U$1)</f>
        <v>0.4</v>
      </c>
      <c r="V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3" s="18" t="str">
        <f>IFERROR(IF(LEFT(ICE[[#This Row],[Tenor]], 1) = "B", RTD("esrtd",,$B33 &amp; " " &amp; ICE[[#This Row],[Tenor]] &amp; "-IEU", W$1), RTD("esrtd",,$B33 &amp; " " &amp; VLOOKUP(MONTH(ICE[[#This Row],[Strip]]), MthRef[], 2, 0) &amp; RIGHT(YEAR(ICE[[#This Row],[Strip]]), 2) &amp; "-IEU", W$1)), "")</f>
        <v/>
      </c>
      <c r="X33" s="36"/>
    </row>
    <row r="34" spans="1:27" x14ac:dyDescent="0.25">
      <c r="A34" s="37" t="s">
        <v>351</v>
      </c>
      <c r="B34" s="3" t="str">
        <f>RTD("ice.rtd",,$C34 &amp; $D34 &amp; ":" &amp; B$1)</f>
        <v>DBF</v>
      </c>
      <c r="C34" s="3">
        <v>1517</v>
      </c>
      <c r="D34" t="s">
        <v>229</v>
      </c>
      <c r="E34" s="3" t="str">
        <f>RTD("ice.rtd",,$C34 &amp; $D34 &amp; ":" &amp; E$1)</f>
        <v>Q2 28</v>
      </c>
      <c r="F34" s="3" t="str">
        <f>ICE[[#This Row],[Prod]]&amp;ICE[[#This Row],[Strip]]</f>
        <v>dflQ2 28</v>
      </c>
      <c r="G34" s="18" t="str">
        <f>RTD("ice.rtd",,$C34 &amp; $D34 &amp; ":" &amp; G$1)</f>
        <v/>
      </c>
      <c r="H34" s="18" t="str">
        <f>RTD("ice.rtd",,$C34 &amp; $D34 &amp; ":" &amp; H$1)</f>
        <v/>
      </c>
      <c r="I34" s="18">
        <f>RTD("ice.rtd",,$C34 &amp; $D34 &amp; ":" &amp; I$1)</f>
        <v>0.48</v>
      </c>
      <c r="J34" s="14">
        <f>IFERROR(MOD(RTD("ice.rtd",,$C34 &amp; $D34 &amp; ":" &amp; J$1), 1), "")</f>
        <v>0.42281153934891336</v>
      </c>
      <c r="K34" s="18" t="str">
        <f>RTD("ice.rtd",,$C34 &amp; $D34 &amp; ":" &amp; K$1)</f>
        <v/>
      </c>
      <c r="L34" s="36" t="str">
        <f>RTD("ice.rtd",,$C34 &amp; $D34 &amp; ":" &amp; L$1)</f>
        <v/>
      </c>
      <c r="M34" s="14" t="str">
        <f>IFERROR(MOD(TIMEVALUE(RTD("ice.rtd",,$C34 &amp; $D34 &amp; ":" &amp; M$1)), 1), "")</f>
        <v/>
      </c>
      <c r="N34" s="36">
        <f>RTD("ice.rtd",,$C34 &amp; $D34 &amp; ":" &amp; N$1)</f>
        <v>2</v>
      </c>
      <c r="O34" s="36">
        <f>RTD("ice.rtd",,$C34 &amp; $D34 &amp; ":" &amp; O$1)</f>
        <v>0</v>
      </c>
      <c r="P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34" s="14">
        <f>IF(ICE[[#This Row],[LastType]] = "Scrn", ICE[[#This Row],[LstDate]], IF(ICE[[#This Row],[LastType]] = "Blk", ICE[[#This Row],[LstBlkTime]], ""))</f>
        <v>0.42281153934891336</v>
      </c>
      <c r="R34" s="41">
        <f>IF(ICE[[#This Row],[LastType]] = "Scrn", ICE[[#This Row],[LstPrc]], IF(ICE[[#This Row],[LastType]] = "Blk", ICE[[#This Row],[LstBlkPrc]], ""))</f>
        <v>0.48</v>
      </c>
      <c r="S34" s="36">
        <f>ICE[[#This Row],[Vol]]+ICE[[#This Row],[BlkVol]]</f>
        <v>2</v>
      </c>
      <c r="T34" s="36">
        <f>RTD("ice.rtd",,$C34 &amp; $D34 &amp; ":" &amp; T$1)</f>
        <v>0</v>
      </c>
      <c r="U34" s="18">
        <f>RTD("ice.rtd",,$C34 &amp; $D34 &amp; ":" &amp; U$1)</f>
        <v>0.38</v>
      </c>
      <c r="V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{0.48} |2x</v>
      </c>
      <c r="W34" s="18" t="str">
        <f>IFERROR(IF(LEFT(ICE[[#This Row],[Tenor]], 1) = "B", RTD("esrtd",,$B34 &amp; " " &amp; ICE[[#This Row],[Tenor]] &amp; "-IEU", W$1), RTD("esrtd",,$B34 &amp; " " &amp; VLOOKUP(MONTH(ICE[[#This Row],[Strip]]), MthRef[], 2, 0) &amp; RIGHT(YEAR(ICE[[#This Row],[Strip]]), 2) &amp; "-IEU", W$1)), "")</f>
        <v/>
      </c>
      <c r="X34" s="36"/>
    </row>
    <row r="35" spans="1:27" x14ac:dyDescent="0.25">
      <c r="A35" s="37" t="s">
        <v>351</v>
      </c>
      <c r="B35" s="3" t="str">
        <f>RTD("ice.rtd",,$C35 &amp; $D35 &amp; ":" &amp; B$1)</f>
        <v>DBF</v>
      </c>
      <c r="C35" s="3">
        <v>1517</v>
      </c>
      <c r="D35" t="s">
        <v>820</v>
      </c>
      <c r="E35" s="3" t="str">
        <f>RTD("ice.rtd",,$C35 &amp; $D35 &amp; ":" &amp; E$1)</f>
        <v>Q3 28</v>
      </c>
      <c r="F35" s="3" t="str">
        <f>ICE[[#This Row],[Prod]]&amp;ICE[[#This Row],[Strip]]</f>
        <v>dflQ3 28</v>
      </c>
      <c r="G35" s="18" t="str">
        <f>RTD("ice.rtd",,$C35 &amp; $D35 &amp; ":" &amp; G$1)</f>
        <v/>
      </c>
      <c r="H35" s="18" t="str">
        <f>RTD("ice.rtd",,$C35 &amp; $D35 &amp; ":" &amp; H$1)</f>
        <v/>
      </c>
      <c r="I35" s="18">
        <f>RTD("ice.rtd",,$C35 &amp; $D35 &amp; ":" &amp; I$1)</f>
        <v>0.43</v>
      </c>
      <c r="J35" s="14">
        <f>IFERROR(MOD(RTD("ice.rtd",,$C35 &amp; $D35 &amp; ":" &amp; J$1), 1), "")</f>
        <v>0.42281153934891336</v>
      </c>
      <c r="K35" s="18" t="str">
        <f>RTD("ice.rtd",,$C35 &amp; $D35 &amp; ":" &amp; K$1)</f>
        <v/>
      </c>
      <c r="L35" s="36" t="str">
        <f>RTD("ice.rtd",,$C35 &amp; $D35 &amp; ":" &amp; L$1)</f>
        <v/>
      </c>
      <c r="M35" s="14" t="str">
        <f>IFERROR(MOD(TIMEVALUE(RTD("ice.rtd",,$C35 &amp; $D35 &amp; ":" &amp; M$1)), 1), "")</f>
        <v/>
      </c>
      <c r="N35" s="36">
        <f>RTD("ice.rtd",,$C35 &amp; $D35 &amp; ":" &amp; N$1)</f>
        <v>5</v>
      </c>
      <c r="O35" s="36">
        <f>RTD("ice.rtd",,$C35 &amp; $D35 &amp; ":" &amp; O$1)</f>
        <v>0</v>
      </c>
      <c r="P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35" s="14">
        <f>IF(ICE[[#This Row],[LastType]] = "Scrn", ICE[[#This Row],[LstDate]], IF(ICE[[#This Row],[LastType]] = "Blk", ICE[[#This Row],[LstBlkTime]], ""))</f>
        <v>0.42281153934891336</v>
      </c>
      <c r="R35" s="41">
        <f>IF(ICE[[#This Row],[LastType]] = "Scrn", ICE[[#This Row],[LstPrc]], IF(ICE[[#This Row],[LastType]] = "Blk", ICE[[#This Row],[LstBlkPrc]], ""))</f>
        <v>0.43</v>
      </c>
      <c r="S35" s="36">
        <f>ICE[[#This Row],[Vol]]+ICE[[#This Row],[BlkVol]]</f>
        <v>5</v>
      </c>
      <c r="T35" s="36">
        <f>RTD("ice.rtd",,$C35 &amp; $D35 &amp; ":" &amp; T$1)</f>
        <v>0</v>
      </c>
      <c r="U35" s="18">
        <f>RTD("ice.rtd",,$C35 &amp; $D35 &amp; ":" &amp; U$1)</f>
        <v>0.37</v>
      </c>
      <c r="V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{0.43} |5x</v>
      </c>
      <c r="W35" s="18" t="str">
        <f>IFERROR(IF(LEFT(ICE[[#This Row],[Tenor]], 1) = "B", RTD("esrtd",,$B35 &amp; " " &amp; ICE[[#This Row],[Tenor]] &amp; "-IEU", W$1), RTD("esrtd",,$B35 &amp; " " &amp; VLOOKUP(MONTH(ICE[[#This Row],[Strip]]), MthRef[], 2, 0) &amp; RIGHT(YEAR(ICE[[#This Row],[Strip]]), 2) &amp; "-IEU", W$1)), "")</f>
        <v/>
      </c>
      <c r="X35" s="36"/>
    </row>
    <row r="36" spans="1:27" x14ac:dyDescent="0.25">
      <c r="A36" s="37" t="s">
        <v>351</v>
      </c>
      <c r="B36" s="3" t="str">
        <f>RTD("ice.rtd",,$C36 &amp; $D36 &amp; ":" &amp; B$1)</f>
        <v>DBF</v>
      </c>
      <c r="C36" s="3">
        <v>1517</v>
      </c>
      <c r="D36" t="s">
        <v>821</v>
      </c>
      <c r="E36" s="3" t="str">
        <f>RTD("ice.rtd",,$C36 &amp; $D36 &amp; ":" &amp; E$1)</f>
        <v>Q4 28</v>
      </c>
      <c r="F36" s="3" t="str">
        <f>ICE[[#This Row],[Prod]]&amp;ICE[[#This Row],[Strip]]</f>
        <v>dflQ4 28</v>
      </c>
      <c r="G36" s="18" t="str">
        <f>RTD("ice.rtd",,$C36 &amp; $D36 &amp; ":" &amp; G$1)</f>
        <v/>
      </c>
      <c r="H36" s="18" t="str">
        <f>RTD("ice.rtd",,$C36 &amp; $D36 &amp; ":" &amp; H$1)</f>
        <v/>
      </c>
      <c r="I36" s="18">
        <f>RTD("ice.rtd",,$C36 &amp; $D36 &amp; ":" &amp; I$1)</f>
        <v>0.4</v>
      </c>
      <c r="J36" s="14">
        <f>IFERROR(MOD(RTD("ice.rtd",,$C36 &amp; $D36 &amp; ":" &amp; J$1), 1), "")</f>
        <v>0.42203503472410375</v>
      </c>
      <c r="K36" s="18" t="str">
        <f>RTD("ice.rtd",,$C36 &amp; $D36 &amp; ":" &amp; K$1)</f>
        <v/>
      </c>
      <c r="L36" s="36" t="str">
        <f>RTD("ice.rtd",,$C36 &amp; $D36 &amp; ":" &amp; L$1)</f>
        <v/>
      </c>
      <c r="M36" s="14" t="str">
        <f>IFERROR(MOD(TIMEVALUE(RTD("ice.rtd",,$C36 &amp; $D36 &amp; ":" &amp; M$1)), 1), "")</f>
        <v/>
      </c>
      <c r="N36" s="36">
        <f>RTD("ice.rtd",,$C36 &amp; $D36 &amp; ":" &amp; N$1)</f>
        <v>3</v>
      </c>
      <c r="O36" s="36">
        <f>RTD("ice.rtd",,$C36 &amp; $D36 &amp; ":" &amp; O$1)</f>
        <v>0</v>
      </c>
      <c r="P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36" s="14">
        <f>IF(ICE[[#This Row],[LastType]] = "Scrn", ICE[[#This Row],[LstDate]], IF(ICE[[#This Row],[LastType]] = "Blk", ICE[[#This Row],[LstBlkTime]], ""))</f>
        <v>0.42203503472410375</v>
      </c>
      <c r="R36" s="41">
        <f>IF(ICE[[#This Row],[LastType]] = "Scrn", ICE[[#This Row],[LstPrc]], IF(ICE[[#This Row],[LastType]] = "Blk", ICE[[#This Row],[LstBlkPrc]], ""))</f>
        <v>0.4</v>
      </c>
      <c r="S36" s="36">
        <f>ICE[[#This Row],[Vol]]+ICE[[#This Row],[BlkVol]]</f>
        <v>3</v>
      </c>
      <c r="T36" s="36">
        <f>RTD("ice.rtd",,$C36 &amp; $D36 &amp; ":" &amp; T$1)</f>
        <v>0</v>
      </c>
      <c r="U36" s="18">
        <f>RTD("ice.rtd",,$C36 &amp; $D36 &amp; ":" &amp; U$1)</f>
        <v>0.35000000000000003</v>
      </c>
      <c r="V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{0.40} |3x</v>
      </c>
      <c r="W36" s="18" t="str">
        <f>IFERROR(IF(LEFT(ICE[[#This Row],[Tenor]], 1) = "B", RTD("esrtd",,$B36 &amp; " " &amp; ICE[[#This Row],[Tenor]] &amp; "-IEU", W$1), RTD("esrtd",,$B36 &amp; " " &amp; VLOOKUP(MONTH(ICE[[#This Row],[Strip]]), MthRef[], 2, 0) &amp; RIGHT(YEAR(ICE[[#This Row],[Strip]]), 2) &amp; "-IEU", W$1)), "")</f>
        <v/>
      </c>
      <c r="X36" s="36"/>
    </row>
    <row r="37" spans="1:27" x14ac:dyDescent="0.25">
      <c r="A37" s="37" t="s">
        <v>351</v>
      </c>
      <c r="B37" s="3" t="str">
        <f>RTD("ice.rtd",,$C37 &amp; $D37 &amp; ":" &amp; B$1)</f>
        <v>DBF</v>
      </c>
      <c r="C37" s="3">
        <v>1517</v>
      </c>
      <c r="D37" t="s">
        <v>822</v>
      </c>
      <c r="E37" s="3" t="str">
        <f>RTD("ice.rtd",,$C37 &amp; $D37 &amp; ":" &amp; E$1)</f>
        <v>Cal 27</v>
      </c>
      <c r="F37" s="3" t="str">
        <f>ICE[[#This Row],[Prod]]&amp;ICE[[#This Row],[Strip]]</f>
        <v>dflCal 27</v>
      </c>
      <c r="G37" s="18">
        <f>RTD("ice.rtd",,$C37 &amp; $D37 &amp; ":" &amp; G$1)</f>
        <v>0.85</v>
      </c>
      <c r="H37" s="18" t="str">
        <f>RTD("ice.rtd",,$C37 &amp; $D37 &amp; ":" &amp; H$1)</f>
        <v/>
      </c>
      <c r="I37" s="18" t="str">
        <f>RTD("ice.rtd",,$C37 &amp; $D37 &amp; ":" &amp; I$1)</f>
        <v/>
      </c>
      <c r="J37" s="14" t="str">
        <f>IFERROR(MOD(RTD("ice.rtd",,$C37 &amp; $D37 &amp; ":" &amp; J$1), 1), "")</f>
        <v/>
      </c>
      <c r="K37" s="18" t="str">
        <f>RTD("ice.rtd",,$C37 &amp; $D37 &amp; ":" &amp; K$1)</f>
        <v/>
      </c>
      <c r="L37" s="36" t="str">
        <f>RTD("ice.rtd",,$C37 &amp; $D37 &amp; ":" &amp; L$1)</f>
        <v/>
      </c>
      <c r="M37" s="14" t="str">
        <f>IFERROR(MOD(TIMEVALUE(RTD("ice.rtd",,$C37 &amp; $D37 &amp; ":" &amp; M$1)), 1), "")</f>
        <v/>
      </c>
      <c r="N37" s="36">
        <f>RTD("ice.rtd",,$C37 &amp; $D37 &amp; ":" &amp; N$1)</f>
        <v>0</v>
      </c>
      <c r="O37" s="36">
        <f>RTD("ice.rtd",,$C37 &amp; $D37 &amp; ":" &amp; O$1)</f>
        <v>0</v>
      </c>
      <c r="P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7" s="14" t="str">
        <f>IF(ICE[[#This Row],[LastType]] = "Scrn", ICE[[#This Row],[LstDate]], IF(ICE[[#This Row],[LastType]] = "Blk", ICE[[#This Row],[LstBlkTime]], ""))</f>
        <v/>
      </c>
      <c r="R37" s="41" t="str">
        <f>IF(ICE[[#This Row],[LastType]] = "Scrn", ICE[[#This Row],[LstPrc]], IF(ICE[[#This Row],[LastType]] = "Blk", ICE[[#This Row],[LstBlkPrc]], ""))</f>
        <v/>
      </c>
      <c r="S37" s="36">
        <f>ICE[[#This Row],[Vol]]+ICE[[#This Row],[BlkVol]]</f>
        <v>0</v>
      </c>
      <c r="T37" s="36">
        <f>RTD("ice.rtd",,$C37 &amp; $D37 &amp; ":" &amp; T$1)</f>
        <v>0</v>
      </c>
      <c r="U37" s="18">
        <f>RTD("ice.rtd",,$C37 &amp; $D37 &amp; ":" &amp; U$1)</f>
        <v>0.91200000000000003</v>
      </c>
      <c r="V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0.85 /  </v>
      </c>
      <c r="W37" s="18" t="str">
        <f>IFERROR(IF(LEFT(ICE[[#This Row],[Tenor]], 1) = "B", RTD("esrtd",,$B37 &amp; " " &amp; ICE[[#This Row],[Tenor]] &amp; "-IEU", W$1), RTD("esrtd",,$B37 &amp; " " &amp; VLOOKUP(MONTH(ICE[[#This Row],[Strip]]), MthRef[], 2, 0) &amp; RIGHT(YEAR(ICE[[#This Row],[Strip]]), 2) &amp; "-IEU", W$1)), "")</f>
        <v/>
      </c>
      <c r="X37" s="36"/>
    </row>
    <row r="38" spans="1:27" x14ac:dyDescent="0.25">
      <c r="A38" s="37" t="s">
        <v>351</v>
      </c>
      <c r="B38" s="3" t="str">
        <f>RTD("ice.rtd",,$C38 &amp; $D38 &amp; ":" &amp; B$1)</f>
        <v>DBF</v>
      </c>
      <c r="C38" s="3">
        <v>1517</v>
      </c>
      <c r="D38" t="s">
        <v>823</v>
      </c>
      <c r="E38" s="3" t="str">
        <f>RTD("ice.rtd",,$C38 &amp; $D38 &amp; ":" &amp; E$1)</f>
        <v>Cal 28</v>
      </c>
      <c r="F38" s="3" t="str">
        <f>ICE[[#This Row],[Prod]]&amp;ICE[[#This Row],[Strip]]</f>
        <v>dflCal 28</v>
      </c>
      <c r="G38" s="18">
        <f>RTD("ice.rtd",,$C38 &amp; $D38 &amp; ":" &amp; G$1)</f>
        <v>0.4</v>
      </c>
      <c r="H38" s="18" t="str">
        <f>RTD("ice.rtd",,$C38 &amp; $D38 &amp; ":" &amp; H$1)</f>
        <v/>
      </c>
      <c r="I38" s="18" t="str">
        <f>RTD("ice.rtd",,$C38 &amp; $D38 &amp; ":" &amp; I$1)</f>
        <v/>
      </c>
      <c r="J38" s="14" t="str">
        <f>IFERROR(MOD(RTD("ice.rtd",,$C38 &amp; $D38 &amp; ":" &amp; J$1), 1), "")</f>
        <v/>
      </c>
      <c r="K38" s="18" t="str">
        <f>RTD("ice.rtd",,$C38 &amp; $D38 &amp; ":" &amp; K$1)</f>
        <v/>
      </c>
      <c r="L38" s="36" t="str">
        <f>RTD("ice.rtd",,$C38 &amp; $D38 &amp; ":" &amp; L$1)</f>
        <v/>
      </c>
      <c r="M38" s="14" t="str">
        <f>IFERROR(MOD(TIMEVALUE(RTD("ice.rtd",,$C38 &amp; $D38 &amp; ":" &amp; M$1)), 1), "")</f>
        <v/>
      </c>
      <c r="N38" s="36">
        <f>RTD("ice.rtd",,$C38 &amp; $D38 &amp; ":" &amp; N$1)</f>
        <v>0</v>
      </c>
      <c r="O38" s="36">
        <f>RTD("ice.rtd",,$C38 &amp; $D38 &amp; ":" &amp; O$1)</f>
        <v>0</v>
      </c>
      <c r="P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8" s="14" t="str">
        <f>IF(ICE[[#This Row],[LastType]] = "Scrn", ICE[[#This Row],[LstDate]], IF(ICE[[#This Row],[LastType]] = "Blk", ICE[[#This Row],[LstBlkTime]], ""))</f>
        <v/>
      </c>
      <c r="R38" s="41" t="str">
        <f>IF(ICE[[#This Row],[LastType]] = "Scrn", ICE[[#This Row],[LstPrc]], IF(ICE[[#This Row],[LastType]] = "Blk", ICE[[#This Row],[LstBlkPrc]], ""))</f>
        <v/>
      </c>
      <c r="S38" s="36">
        <f>ICE[[#This Row],[Vol]]+ICE[[#This Row],[BlkVol]]</f>
        <v>0</v>
      </c>
      <c r="T38" s="36">
        <f>RTD("ice.rtd",,$C38 &amp; $D38 &amp; ":" &amp; T$1)</f>
        <v>0</v>
      </c>
      <c r="U38" s="18">
        <f>RTD("ice.rtd",,$C38 &amp; $D38 &amp; ":" &amp; U$1)</f>
        <v>0.375</v>
      </c>
      <c r="V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0.40 /  </v>
      </c>
      <c r="W38" s="18" t="str">
        <f>IFERROR(IF(LEFT(ICE[[#This Row],[Tenor]], 1) = "B", RTD("esrtd",,$B38 &amp; " " &amp; ICE[[#This Row],[Tenor]] &amp; "-IEU", W$1), RTD("esrtd",,$B38 &amp; " " &amp; VLOOKUP(MONTH(ICE[[#This Row],[Strip]]), MthRef[], 2, 0) &amp; RIGHT(YEAR(ICE[[#This Row],[Strip]]), 2) &amp; "-IEU", W$1)), "")</f>
        <v/>
      </c>
      <c r="X38" s="36"/>
    </row>
    <row r="39" spans="1:27" x14ac:dyDescent="0.25">
      <c r="A39" s="37" t="s">
        <v>351</v>
      </c>
      <c r="B39" s="3" t="str">
        <f>RTD("ice.rtd",,$C39 &amp; $D39 &amp; ":" &amp; B$1)</f>
        <v>DBF</v>
      </c>
      <c r="C39" s="3">
        <v>1517</v>
      </c>
      <c r="D39" t="s">
        <v>824</v>
      </c>
      <c r="E39" s="3" t="str">
        <f>RTD("ice.rtd",,$C39 &amp; $D39 &amp; ":" &amp; E$1)</f>
        <v>Cal 29</v>
      </c>
      <c r="F39" s="3" t="str">
        <f>ICE[[#This Row],[Prod]]&amp;ICE[[#This Row],[Strip]]</f>
        <v>dflCal 29</v>
      </c>
      <c r="G39" s="18" t="str">
        <f>RTD("ice.rtd",,$C39 &amp; $D39 &amp; ":" &amp; G$1)</f>
        <v/>
      </c>
      <c r="H39" s="18" t="str">
        <f>RTD("ice.rtd",,$C39 &amp; $D39 &amp; ":" &amp; H$1)</f>
        <v/>
      </c>
      <c r="I39" s="18" t="str">
        <f>RTD("ice.rtd",,$C39 &amp; $D39 &amp; ":" &amp; I$1)</f>
        <v/>
      </c>
      <c r="J39" s="14" t="str">
        <f>IFERROR(MOD(RTD("ice.rtd",,$C39 &amp; $D39 &amp; ":" &amp; J$1), 1), "")</f>
        <v/>
      </c>
      <c r="K39" s="18" t="str">
        <f>RTD("ice.rtd",,$C39 &amp; $D39 &amp; ":" &amp; K$1)</f>
        <v/>
      </c>
      <c r="L39" s="36" t="str">
        <f>RTD("ice.rtd",,$C39 &amp; $D39 &amp; ":" &amp; L$1)</f>
        <v/>
      </c>
      <c r="M39" s="14" t="str">
        <f>IFERROR(MOD(TIMEVALUE(RTD("ice.rtd",,$C39 &amp; $D39 &amp; ":" &amp; M$1)), 1), "")</f>
        <v/>
      </c>
      <c r="N39" s="36">
        <f>RTD("ice.rtd",,$C39 &amp; $D39 &amp; ":" &amp; N$1)</f>
        <v>0</v>
      </c>
      <c r="O39" s="36">
        <f>RTD("ice.rtd",,$C39 &amp; $D39 &amp; ":" &amp; O$1)</f>
        <v>0</v>
      </c>
      <c r="P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9" s="14" t="str">
        <f>IF(ICE[[#This Row],[LastType]] = "Scrn", ICE[[#This Row],[LstDate]], IF(ICE[[#This Row],[LastType]] = "Blk", ICE[[#This Row],[LstBlkTime]], ""))</f>
        <v/>
      </c>
      <c r="R39" s="41" t="str">
        <f>IF(ICE[[#This Row],[LastType]] = "Scrn", ICE[[#This Row],[LstPrc]], IF(ICE[[#This Row],[LastType]] = "Blk", ICE[[#This Row],[LstBlkPrc]], ""))</f>
        <v/>
      </c>
      <c r="S39" s="36">
        <f>ICE[[#This Row],[Vol]]+ICE[[#This Row],[BlkVol]]</f>
        <v>0</v>
      </c>
      <c r="T39" s="36">
        <f>RTD("ice.rtd",,$C39 &amp; $D39 &amp; ":" &amp; T$1)</f>
        <v>0</v>
      </c>
      <c r="U39" s="18">
        <f>RTD("ice.rtd",,$C39 &amp; $D39 &amp; ":" &amp; U$1)</f>
        <v>0.33</v>
      </c>
      <c r="V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9" s="18" t="str">
        <f>IFERROR(IF(LEFT(ICE[[#This Row],[Tenor]], 1) = "B", RTD("esrtd",,$B39 &amp; " " &amp; ICE[[#This Row],[Tenor]] &amp; "-IEU", W$1), RTD("esrtd",,$B39 &amp; " " &amp; VLOOKUP(MONTH(ICE[[#This Row],[Strip]]), MthRef[], 2, 0) &amp; RIGHT(YEAR(ICE[[#This Row],[Strip]]), 2) &amp; "-IEU", W$1)), "")</f>
        <v/>
      </c>
      <c r="X39" s="36"/>
    </row>
    <row r="40" spans="1:27" x14ac:dyDescent="0.25">
      <c r="A40" s="37" t="s">
        <v>352</v>
      </c>
      <c r="B40" s="3" t="str">
        <f>RTD("ice.rtd",,$C40 &amp; $D40 &amp; ":" &amp; B$1)</f>
        <v>BOH</v>
      </c>
      <c r="C40" s="3">
        <v>2325825619</v>
      </c>
      <c r="D40" t="s">
        <v>792</v>
      </c>
      <c r="E40" s="3" t="str">
        <f>RTD("ice.rtd",,$C40 &amp; $D40 &amp; ":" &amp; E$1)</f>
        <v>Bal Month</v>
      </c>
      <c r="F40" s="3" t="str">
        <f>ICE[[#This Row],[Prod]]&amp;ICE[[#This Row],[Strip]]</f>
        <v>brdubBal Month</v>
      </c>
      <c r="G40" s="18" t="str">
        <f>RTD("ice.rtd",,$C40 &amp; $D40 &amp; ":" &amp; G$1)</f>
        <v/>
      </c>
      <c r="H40" s="18" t="str">
        <f>RTD("ice.rtd",,$C40 &amp; $D40 &amp; ":" &amp; H$1)</f>
        <v/>
      </c>
      <c r="I40" s="18" t="str">
        <f>RTD("ice.rtd",,$C40 &amp; $D40 &amp; ":" &amp; I$1)</f>
        <v/>
      </c>
      <c r="J40" s="14" t="str">
        <f>IFERROR(MOD(RTD("ice.rtd",,$C40 &amp; $D40 &amp; ":" &amp; J$1), 1), "")</f>
        <v/>
      </c>
      <c r="K40" s="18" t="str">
        <f>RTD("ice.rtd",,$C40 &amp; $D40 &amp; ":" &amp; K$1)</f>
        <v/>
      </c>
      <c r="L40" s="36" t="str">
        <f>RTD("ice.rtd",,$C40 &amp; $D40 &amp; ":" &amp; L$1)</f>
        <v/>
      </c>
      <c r="M40" s="14" t="str">
        <f>IFERROR(MOD(TIMEVALUE(RTD("ice.rtd",,$C40 &amp; $D40 &amp; ":" &amp; M$1)), 1), "")</f>
        <v/>
      </c>
      <c r="N40" s="36">
        <f>RTD("ice.rtd",,$C40 &amp; $D40 &amp; ":" &amp; N$1)</f>
        <v>0</v>
      </c>
      <c r="O40" s="36">
        <f>RTD("ice.rtd",,$C40 &amp; $D40 &amp; ":" &amp; O$1)</f>
        <v>0</v>
      </c>
      <c r="P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0" s="14" t="str">
        <f>IF(ICE[[#This Row],[LastType]] = "Scrn", ICE[[#This Row],[LstDate]], IF(ICE[[#This Row],[LastType]] = "Blk", ICE[[#This Row],[LstBlkTime]], ""))</f>
        <v/>
      </c>
      <c r="R40" s="41" t="str">
        <f>IF(ICE[[#This Row],[LastType]] = "Scrn", ICE[[#This Row],[LstPrc]], IF(ICE[[#This Row],[LastType]] = "Blk", ICE[[#This Row],[LstBlkPrc]], ""))</f>
        <v/>
      </c>
      <c r="S40" s="36">
        <f>ICE[[#This Row],[Vol]]+ICE[[#This Row],[BlkVol]]</f>
        <v>0</v>
      </c>
      <c r="T40" s="36">
        <f>RTD("ice.rtd",,$C40 &amp; $D40 &amp; ":" &amp; T$1)</f>
        <v>0</v>
      </c>
      <c r="U40" s="18">
        <f>RTD("ice.rtd",,$C40 &amp; $D40 &amp; ":" &amp; U$1)</f>
        <v>-4.7</v>
      </c>
      <c r="V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" s="18" t="str">
        <f>IFERROR(IF(LEFT(ICE[[#This Row],[Tenor]], 1) = "B", RTD("esrtd",,$B40 &amp; " " &amp; ICE[[#This Row],[Tenor]] &amp; "-IEU", W$1), RTD("esrtd",,$B40 &amp; " " &amp; VLOOKUP(MONTH(ICE[[#This Row],[Strip]]), MthRef[], 2, 0) &amp; RIGHT(YEAR(ICE[[#This Row],[Strip]]), 2) &amp; "-IEU", W$1)), "")</f>
        <v/>
      </c>
      <c r="X40" s="36"/>
    </row>
    <row r="41" spans="1:27" x14ac:dyDescent="0.25">
      <c r="A41" s="37" t="s">
        <v>352</v>
      </c>
      <c r="B41" s="3" t="str">
        <f>RTD("ice.rtd",,$C41 &amp; $D41 &amp; ":" &amp; B$1)</f>
        <v>BOD</v>
      </c>
      <c r="C41" s="3">
        <v>141587</v>
      </c>
      <c r="D41" t="s">
        <v>793</v>
      </c>
      <c r="E41" s="3" t="str">
        <f>RTD("ice.rtd",,$C41 &amp; $D41 &amp; ":" &amp; E$1)</f>
        <v>Sep26</v>
      </c>
      <c r="F41" s="3" t="str">
        <f>ICE[[#This Row],[Prod]]&amp;ICE[[#This Row],[Strip]]</f>
        <v>brdubSep26</v>
      </c>
      <c r="G41" s="18">
        <f>RTD("ice.rtd",,$C41 &amp; $D41 &amp; ":" &amp; G$1)</f>
        <v>-5.3</v>
      </c>
      <c r="H41" s="18">
        <f>RTD("ice.rtd",,$C41 &amp; $D41 &amp; ":" &amp; H$1)</f>
        <v>-4.25</v>
      </c>
      <c r="I41" s="18">
        <f>RTD("ice.rtd",,$C41 &amp; $D41 &amp; ":" &amp; I$1)</f>
        <v>-5.3</v>
      </c>
      <c r="J41" s="14">
        <f>IFERROR(MOD(RTD("ice.rtd",,$C41 &amp; $D41 &amp; ":" &amp; J$1), 1), "")</f>
        <v>0.395176273144898</v>
      </c>
      <c r="K41" s="18" t="str">
        <f>RTD("ice.rtd",,$C41 &amp; $D41 &amp; ":" &amp; K$1)</f>
        <v/>
      </c>
      <c r="L41" s="36" t="str">
        <f>RTD("ice.rtd",,$C41 &amp; $D41 &amp; ":" &amp; L$1)</f>
        <v/>
      </c>
      <c r="M41" s="14" t="str">
        <f>IFERROR(MOD(TIMEVALUE(RTD("ice.rtd",,$C41 &amp; $D41 &amp; ":" &amp; M$1)), 1), "")</f>
        <v/>
      </c>
      <c r="N41" s="36">
        <f>RTD("ice.rtd",,$C41 &amp; $D41 &amp; ":" &amp; N$1)</f>
        <v>504</v>
      </c>
      <c r="O41" s="36">
        <f>RTD("ice.rtd",,$C41 &amp; $D41 &amp; ":" &amp; O$1)</f>
        <v>0</v>
      </c>
      <c r="P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1" s="14">
        <f>IF(ICE[[#This Row],[LastType]] = "Scrn", ICE[[#This Row],[LstDate]], IF(ICE[[#This Row],[LastType]] = "Blk", ICE[[#This Row],[LstBlkTime]], ""))</f>
        <v>0.395176273144898</v>
      </c>
      <c r="R41" s="41">
        <f>IF(ICE[[#This Row],[LastType]] = "Scrn", ICE[[#This Row],[LstPrc]], IF(ICE[[#This Row],[LastType]] = "Blk", ICE[[#This Row],[LstBlkPrc]], ""))</f>
        <v>-5.3</v>
      </c>
      <c r="S41" s="36">
        <f>ICE[[#This Row],[Vol]]+ICE[[#This Row],[BlkVol]]</f>
        <v>504</v>
      </c>
      <c r="T41" s="36">
        <f>RTD("ice.rtd",,$C41 &amp; $D41 &amp; ":" &amp; T$1)</f>
        <v>85812</v>
      </c>
      <c r="U41" s="18">
        <f>RTD("ice.rtd",,$C41 &amp; $D41 &amp; ":" &amp; U$1)</f>
        <v>-4.7</v>
      </c>
      <c r="V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-5.30 / -4.25 {-5.30} |504x</v>
      </c>
      <c r="W41" s="18" t="str">
        <f>IFERROR(IF(LEFT(ICE[[#This Row],[Tenor]], 1) = "B", RTD("esrtd",,$B41 &amp; " " &amp; ICE[[#This Row],[Tenor]] &amp; "-IEU", W$1), RTD("esrtd",,$B41 &amp; " " &amp; VLOOKUP(MONTH(ICE[[#This Row],[Strip]]), MthRef[], 2, 0) &amp; RIGHT(YEAR(ICE[[#This Row],[Strip]]), 2) &amp; "-IEU", W$1)), "")</f>
        <v/>
      </c>
      <c r="X41" s="36"/>
    </row>
    <row r="42" spans="1:27" x14ac:dyDescent="0.25">
      <c r="A42" s="37" t="s">
        <v>352</v>
      </c>
      <c r="B42" s="3" t="str">
        <f>RTD("ice.rtd",,$C42 &amp; $D42 &amp; ":" &amp; B$1)</f>
        <v>BOD</v>
      </c>
      <c r="C42" s="3">
        <v>141587</v>
      </c>
      <c r="D42" t="s">
        <v>324</v>
      </c>
      <c r="E42" s="3" t="str">
        <f>RTD("ice.rtd",,$C42 &amp; $D42 &amp; ":" &amp; E$1)</f>
        <v>Oct26</v>
      </c>
      <c r="F42" s="3" t="str">
        <f>ICE[[#This Row],[Prod]]&amp;ICE[[#This Row],[Strip]]</f>
        <v>brdubOct26</v>
      </c>
      <c r="G42" s="18">
        <f>RTD("ice.rtd",,$C42 &amp; $D42 &amp; ":" &amp; G$1)</f>
        <v>1.96</v>
      </c>
      <c r="H42" s="18">
        <f>RTD("ice.rtd",,$C42 &amp; $D42 &amp; ":" &amp; H$1)</f>
        <v>2</v>
      </c>
      <c r="I42" s="18">
        <f>RTD("ice.rtd",,$C42 &amp; $D42 &amp; ":" &amp; I$1)</f>
        <v>1.97</v>
      </c>
      <c r="J42" s="14">
        <f>IFERROR(MOD(RTD("ice.rtd",,$C42 &amp; $D42 &amp; ":" &amp; J$1), 1), "")</f>
        <v>0.46428924768406432</v>
      </c>
      <c r="K42" s="18">
        <f>RTD("ice.rtd",,$C42 &amp; $D42 &amp; ":" &amp; K$1)</f>
        <v>2.15</v>
      </c>
      <c r="L42" s="36">
        <f>RTD("ice.rtd",,$C42 &amp; $D42 &amp; ":" &amp; L$1)</f>
        <v>100</v>
      </c>
      <c r="M42" s="14">
        <f>IFERROR(MOD(TIMEVALUE(RTD("ice.rtd",,$C42 &amp; $D42 &amp; ":" &amp; M$1)), 1), "")</f>
        <v>0.44087962962962962</v>
      </c>
      <c r="N42" s="36">
        <f>RTD("ice.rtd",,$C42 &amp; $D42 &amp; ":" &amp; N$1)</f>
        <v>8680</v>
      </c>
      <c r="O42" s="36">
        <f>RTD("ice.rtd",,$C42 &amp; $D42 &amp; ":" &amp; O$1)</f>
        <v>580</v>
      </c>
      <c r="P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2" s="14">
        <f>IF(ICE[[#This Row],[LastType]] = "Scrn", ICE[[#This Row],[LstDate]], IF(ICE[[#This Row],[LastType]] = "Blk", ICE[[#This Row],[LstBlkTime]], ""))</f>
        <v>0.46428924768406432</v>
      </c>
      <c r="R42" s="41">
        <f>IF(ICE[[#This Row],[LastType]] = "Scrn", ICE[[#This Row],[LstPrc]], IF(ICE[[#This Row],[LastType]] = "Blk", ICE[[#This Row],[LstBlkPrc]], ""))</f>
        <v>1.97</v>
      </c>
      <c r="S42" s="36">
        <f>ICE[[#This Row],[Vol]]+ICE[[#This Row],[BlkVol]]</f>
        <v>9260</v>
      </c>
      <c r="T42" s="36">
        <f>RTD("ice.rtd",,$C42 &amp; $D42 &amp; ":" &amp; T$1)</f>
        <v>102250</v>
      </c>
      <c r="U42" s="18">
        <f>RTD("ice.rtd",,$C42 &amp; $D42 &amp; ":" &amp; U$1)</f>
        <v>1.72</v>
      </c>
      <c r="V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1.96 / 2.00 {1.97} |9,260x</v>
      </c>
      <c r="W42" s="18" t="str">
        <f>IFERROR(IF(LEFT(ICE[[#This Row],[Tenor]], 1) = "B", RTD("esrtd",,$B42 &amp; " " &amp; ICE[[#This Row],[Tenor]] &amp; "-IEU", W$1), RTD("esrtd",,$B42 &amp; " " &amp; VLOOKUP(MONTH(ICE[[#This Row],[Strip]]), MthRef[], 2, 0) &amp; RIGHT(YEAR(ICE[[#This Row],[Strip]]), 2) &amp; "-IEU", W$1)), "")</f>
        <v/>
      </c>
      <c r="X42" s="36"/>
    </row>
    <row r="43" spans="1:27" x14ac:dyDescent="0.25">
      <c r="A43" s="37" t="s">
        <v>352</v>
      </c>
      <c r="B43" s="3" t="str">
        <f>RTD("ice.rtd",,$C43 &amp; $D43 &amp; ":" &amp; B$1)</f>
        <v>BOD</v>
      </c>
      <c r="C43" s="3">
        <v>141587</v>
      </c>
      <c r="D43" t="s">
        <v>325</v>
      </c>
      <c r="E43" s="3" t="str">
        <f>RTD("ice.rtd",,$C43 &amp; $D43 &amp; ":" &amp; E$1)</f>
        <v>Nov26</v>
      </c>
      <c r="F43" s="3" t="str">
        <f>ICE[[#This Row],[Prod]]&amp;ICE[[#This Row],[Strip]]</f>
        <v>brdubNov26</v>
      </c>
      <c r="G43" s="18">
        <f>RTD("ice.rtd",,$C43 &amp; $D43 &amp; ":" &amp; G$1)</f>
        <v>3.63</v>
      </c>
      <c r="H43" s="18">
        <f>RTD("ice.rtd",,$C43 &amp; $D43 &amp; ":" &amp; H$1)</f>
        <v>3.67</v>
      </c>
      <c r="I43" s="18">
        <f>RTD("ice.rtd",,$C43 &amp; $D43 &amp; ":" &amp; I$1)</f>
        <v>3.64</v>
      </c>
      <c r="J43" s="14">
        <f>IFERROR(MOD(RTD("ice.rtd",,$C43 &amp; $D43 &amp; ":" &amp; J$1), 1), "")</f>
        <v>0.46369059028074844</v>
      </c>
      <c r="K43" s="18">
        <f>RTD("ice.rtd",,$C43 &amp; $D43 &amp; ":" &amp; K$1)</f>
        <v>3.78</v>
      </c>
      <c r="L43" s="36">
        <f>RTD("ice.rtd",,$C43 &amp; $D43 &amp; ":" &amp; L$1)</f>
        <v>25</v>
      </c>
      <c r="M43" s="14">
        <f>IFERROR(MOD(TIMEVALUE(RTD("ice.rtd",,$C43 &amp; $D43 &amp; ":" &amp; M$1)), 1), "")</f>
        <v>0.45546296296296296</v>
      </c>
      <c r="N43" s="36">
        <f>RTD("ice.rtd",,$C43 &amp; $D43 &amp; ":" &amp; N$1)</f>
        <v>5229</v>
      </c>
      <c r="O43" s="36">
        <f>RTD("ice.rtd",,$C43 &amp; $D43 &amp; ":" &amp; O$1)</f>
        <v>325</v>
      </c>
      <c r="P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3" s="14">
        <f>IF(ICE[[#This Row],[LastType]] = "Scrn", ICE[[#This Row],[LstDate]], IF(ICE[[#This Row],[LastType]] = "Blk", ICE[[#This Row],[LstBlkTime]], ""))</f>
        <v>0.46369059028074844</v>
      </c>
      <c r="R43" s="41">
        <f>IF(ICE[[#This Row],[LastType]] = "Scrn", ICE[[#This Row],[LstPrc]], IF(ICE[[#This Row],[LastType]] = "Blk", ICE[[#This Row],[LstBlkPrc]], ""))</f>
        <v>3.64</v>
      </c>
      <c r="S43" s="36">
        <f>ICE[[#This Row],[Vol]]+ICE[[#This Row],[BlkVol]]</f>
        <v>5554</v>
      </c>
      <c r="T43" s="36">
        <f>RTD("ice.rtd",,$C43 &amp; $D43 &amp; ":" &amp; T$1)</f>
        <v>58720</v>
      </c>
      <c r="U43" s="18">
        <f>RTD("ice.rtd",,$C43 &amp; $D43 &amp; ":" &amp; U$1)</f>
        <v>3.2010000000000001</v>
      </c>
      <c r="V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3.63 / 3.67 {3.64} |5,554x</v>
      </c>
      <c r="W43" s="18" t="str">
        <f>IFERROR(IF(LEFT(ICE[[#This Row],[Tenor]], 1) = "B", RTD("esrtd",,$B43 &amp; " " &amp; ICE[[#This Row],[Tenor]] &amp; "-IEU", W$1), RTD("esrtd",,$B43 &amp; " " &amp; VLOOKUP(MONTH(ICE[[#This Row],[Strip]]), MthRef[], 2, 0) &amp; RIGHT(YEAR(ICE[[#This Row],[Strip]]), 2) &amp; "-IEU", W$1)), "")</f>
        <v/>
      </c>
      <c r="X43" s="36"/>
      <c r="Z43" s="38"/>
      <c r="AA43" s="38"/>
    </row>
    <row r="44" spans="1:27" x14ac:dyDescent="0.25">
      <c r="A44" s="37" t="s">
        <v>352</v>
      </c>
      <c r="B44" s="3" t="str">
        <f>RTD("ice.rtd",,$C44 &amp; $D44 &amp; ":" &amp; B$1)</f>
        <v>BOD</v>
      </c>
      <c r="C44" s="3">
        <v>141587</v>
      </c>
      <c r="D44" t="s">
        <v>326</v>
      </c>
      <c r="E44" s="3" t="str">
        <f>RTD("ice.rtd",,$C44 &amp; $D44 &amp; ":" &amp; E$1)</f>
        <v>Dec26</v>
      </c>
      <c r="F44" s="3" t="str">
        <f>ICE[[#This Row],[Prod]]&amp;ICE[[#This Row],[Strip]]</f>
        <v>brdubDec26</v>
      </c>
      <c r="G44" s="18">
        <f>RTD("ice.rtd",,$C44 &amp; $D44 &amp; ":" &amp; G$1)</f>
        <v>4.01</v>
      </c>
      <c r="H44" s="18">
        <f>RTD("ice.rtd",,$C44 &amp; $D44 &amp; ":" &amp; H$1)</f>
        <v>4.05</v>
      </c>
      <c r="I44" s="18">
        <f>RTD("ice.rtd",,$C44 &amp; $D44 &amp; ":" &amp; I$1)</f>
        <v>4.08</v>
      </c>
      <c r="J44" s="14">
        <f>IFERROR(MOD(RTD("ice.rtd",,$C44 &amp; $D44 &amp; ":" &amp; J$1), 1), "")</f>
        <v>0.46338165509223472</v>
      </c>
      <c r="K44" s="18">
        <f>RTD("ice.rtd",,$C44 &amp; $D44 &amp; ":" &amp; K$1)</f>
        <v>4.0999999999999996</v>
      </c>
      <c r="L44" s="36">
        <f>RTD("ice.rtd",,$C44 &amp; $D44 &amp; ":" &amp; L$1)</f>
        <v>50</v>
      </c>
      <c r="M44" s="14">
        <f>IFERROR(MOD(TIMEVALUE(RTD("ice.rtd",,$C44 &amp; $D44 &amp; ":" &amp; M$1)), 1), "")</f>
        <v>0.43952546296296297</v>
      </c>
      <c r="N44" s="36">
        <f>RTD("ice.rtd",,$C44 &amp; $D44 &amp; ":" &amp; N$1)</f>
        <v>2630</v>
      </c>
      <c r="O44" s="36">
        <f>RTD("ice.rtd",,$C44 &amp; $D44 &amp; ":" &amp; O$1)</f>
        <v>685</v>
      </c>
      <c r="P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4" s="14">
        <f>IF(ICE[[#This Row],[LastType]] = "Scrn", ICE[[#This Row],[LstDate]], IF(ICE[[#This Row],[LastType]] = "Blk", ICE[[#This Row],[LstBlkTime]], ""))</f>
        <v>0.46338165509223472</v>
      </c>
      <c r="R44" s="41">
        <f>IF(ICE[[#This Row],[LastType]] = "Scrn", ICE[[#This Row],[LstPrc]], IF(ICE[[#This Row],[LastType]] = "Blk", ICE[[#This Row],[LstBlkPrc]], ""))</f>
        <v>4.08</v>
      </c>
      <c r="S44" s="36">
        <f>ICE[[#This Row],[Vol]]+ICE[[#This Row],[BlkVol]]</f>
        <v>3315</v>
      </c>
      <c r="T44" s="36">
        <f>RTD("ice.rtd",,$C44 &amp; $D44 &amp; ":" &amp; T$1)</f>
        <v>32525</v>
      </c>
      <c r="U44" s="18">
        <f>RTD("ice.rtd",,$C44 &amp; $D44 &amp; ":" &amp; U$1)</f>
        <v>3.5390000000000001</v>
      </c>
      <c r="V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4.01 / 4.05 {4.08} |3,315x</v>
      </c>
      <c r="W44" s="18" t="str">
        <f>IFERROR(IF(LEFT(ICE[[#This Row],[Tenor]], 1) = "B", RTD("esrtd",,$B44 &amp; " " &amp; ICE[[#This Row],[Tenor]] &amp; "-IEU", W$1), RTD("esrtd",,$B44 &amp; " " &amp; VLOOKUP(MONTH(ICE[[#This Row],[Strip]]), MthRef[], 2, 0) &amp; RIGHT(YEAR(ICE[[#This Row],[Strip]]), 2) &amp; "-IEU", W$1)), "")</f>
        <v/>
      </c>
      <c r="X44" s="36"/>
    </row>
    <row r="45" spans="1:27" x14ac:dyDescent="0.25">
      <c r="A45" s="37" t="s">
        <v>352</v>
      </c>
      <c r="B45" s="3" t="str">
        <f>RTD("ice.rtd",,$C45 &amp; $D45 &amp; ":" &amp; B$1)</f>
        <v>BOD</v>
      </c>
      <c r="C45" s="3">
        <v>141587</v>
      </c>
      <c r="D45" t="s">
        <v>794</v>
      </c>
      <c r="E45" s="3" t="str">
        <f>RTD("ice.rtd",,$C45 &amp; $D45 &amp; ":" &amp; E$1)</f>
        <v>Jan27</v>
      </c>
      <c r="F45" s="3" t="str">
        <f>ICE[[#This Row],[Prod]]&amp;ICE[[#This Row],[Strip]]</f>
        <v>brdubJan27</v>
      </c>
      <c r="G45" s="18">
        <f>RTD("ice.rtd",,$C45 &amp; $D45 &amp; ":" &amp; G$1)</f>
        <v>4.03</v>
      </c>
      <c r="H45" s="18">
        <f>RTD("ice.rtd",,$C45 &amp; $D45 &amp; ":" &amp; H$1)</f>
        <v>4.1100000000000003</v>
      </c>
      <c r="I45" s="18">
        <f>RTD("ice.rtd",,$C45 &amp; $D45 &amp; ":" &amp; I$1)</f>
        <v>4.09</v>
      </c>
      <c r="J45" s="14">
        <f>IFERROR(MOD(RTD("ice.rtd",,$C45 &amp; $D45 &amp; ":" &amp; J$1), 1), "")</f>
        <v>0.45923966434929753</v>
      </c>
      <c r="K45" s="18">
        <f>RTD("ice.rtd",,$C45 &amp; $D45 &amp; ":" &amp; K$1)</f>
        <v>4.12</v>
      </c>
      <c r="L45" s="36">
        <f>RTD("ice.rtd",,$C45 &amp; $D45 &amp; ":" &amp; L$1)</f>
        <v>15</v>
      </c>
      <c r="M45" s="14">
        <f>IFERROR(MOD(TIMEVALUE(RTD("ice.rtd",,$C45 &amp; $D45 &amp; ":" &amp; M$1)), 1), "")</f>
        <v>0.43910879629629629</v>
      </c>
      <c r="N45" s="36">
        <f>RTD("ice.rtd",,$C45 &amp; $D45 &amp; ":" &amp; N$1)</f>
        <v>987</v>
      </c>
      <c r="O45" s="36">
        <f>RTD("ice.rtd",,$C45 &amp; $D45 &amp; ":" &amp; O$1)</f>
        <v>700</v>
      </c>
      <c r="P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5" s="14">
        <f>IF(ICE[[#This Row],[LastType]] = "Scrn", ICE[[#This Row],[LstDate]], IF(ICE[[#This Row],[LastType]] = "Blk", ICE[[#This Row],[LstBlkTime]], ""))</f>
        <v>0.45923966434929753</v>
      </c>
      <c r="R45" s="41">
        <f>IF(ICE[[#This Row],[LastType]] = "Scrn", ICE[[#This Row],[LstPrc]], IF(ICE[[#This Row],[LastType]] = "Blk", ICE[[#This Row],[LstBlkPrc]], ""))</f>
        <v>4.09</v>
      </c>
      <c r="S45" s="36">
        <f>ICE[[#This Row],[Vol]]+ICE[[#This Row],[BlkVol]]</f>
        <v>1687</v>
      </c>
      <c r="T45" s="36">
        <f>RTD("ice.rtd",,$C45 &amp; $D45 &amp; ":" &amp; T$1)</f>
        <v>12803</v>
      </c>
      <c r="U45" s="18">
        <f>RTD("ice.rtd",,$C45 &amp; $D45 &amp; ":" &amp; U$1)</f>
        <v>3.6840000000000002</v>
      </c>
      <c r="V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4.03 / 4.11 {4.09} |1,687x</v>
      </c>
      <c r="W45" s="18" t="str">
        <f>IFERROR(IF(LEFT(ICE[[#This Row],[Tenor]], 1) = "B", RTD("esrtd",,$B45 &amp; " " &amp; ICE[[#This Row],[Tenor]] &amp; "-IEU", W$1), RTD("esrtd",,$B45 &amp; " " &amp; VLOOKUP(MONTH(ICE[[#This Row],[Strip]]), MthRef[], 2, 0) &amp; RIGHT(YEAR(ICE[[#This Row],[Strip]]), 2) &amp; "-IEU", W$1)), "")</f>
        <v/>
      </c>
      <c r="X45" s="36"/>
      <c r="AA45" s="38"/>
    </row>
    <row r="46" spans="1:27" x14ac:dyDescent="0.25">
      <c r="A46" s="37" t="s">
        <v>352</v>
      </c>
      <c r="B46" s="3" t="str">
        <f>RTD("ice.rtd",,$C46 &amp; $D46 &amp; ":" &amp; B$1)</f>
        <v>BOD</v>
      </c>
      <c r="C46" s="3">
        <v>141587</v>
      </c>
      <c r="D46" t="s">
        <v>795</v>
      </c>
      <c r="E46" s="3" t="str">
        <f>RTD("ice.rtd",,$C46 &amp; $D46 &amp; ":" &amp; E$1)</f>
        <v>Feb27</v>
      </c>
      <c r="F46" s="3" t="str">
        <f>ICE[[#This Row],[Prod]]&amp;ICE[[#This Row],[Strip]]</f>
        <v>brdubFeb27</v>
      </c>
      <c r="G46" s="18">
        <f>RTD("ice.rtd",,$C46 &amp; $D46 &amp; ":" &amp; G$1)</f>
        <v>3.86</v>
      </c>
      <c r="H46" s="18">
        <f>RTD("ice.rtd",,$C46 &amp; $D46 &amp; ":" &amp; H$1)</f>
        <v>3.97</v>
      </c>
      <c r="I46" s="18">
        <f>RTD("ice.rtd",,$C46 &amp; $D46 &amp; ":" &amp; I$1)</f>
        <v>3.98</v>
      </c>
      <c r="J46" s="14">
        <f>IFERROR(MOD(RTD("ice.rtd",,$C46 &amp; $D46 &amp; ":" &amp; J$1), 1), "")</f>
        <v>0.45287027777521871</v>
      </c>
      <c r="K46" s="18">
        <f>RTD("ice.rtd",,$C46 &amp; $D46 &amp; ":" &amp; K$1)</f>
        <v>3.96</v>
      </c>
      <c r="L46" s="36">
        <f>RTD("ice.rtd",,$C46 &amp; $D46 &amp; ":" &amp; L$1)</f>
        <v>5</v>
      </c>
      <c r="M46" s="14">
        <f>IFERROR(MOD(TIMEVALUE(RTD("ice.rtd",,$C46 &amp; $D46 &amp; ":" &amp; M$1)), 1), "")</f>
        <v>0.42094907407407406</v>
      </c>
      <c r="N46" s="36">
        <f>RTD("ice.rtd",,$C46 &amp; $D46 &amp; ":" &amp; N$1)</f>
        <v>741</v>
      </c>
      <c r="O46" s="36">
        <f>RTD("ice.rtd",,$C46 &amp; $D46 &amp; ":" &amp; O$1)</f>
        <v>220</v>
      </c>
      <c r="P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6" s="14">
        <f>IF(ICE[[#This Row],[LastType]] = "Scrn", ICE[[#This Row],[LstDate]], IF(ICE[[#This Row],[LastType]] = "Blk", ICE[[#This Row],[LstBlkTime]], ""))</f>
        <v>0.45287027777521871</v>
      </c>
      <c r="R46" s="41">
        <f>IF(ICE[[#This Row],[LastType]] = "Scrn", ICE[[#This Row],[LstPrc]], IF(ICE[[#This Row],[LastType]] = "Blk", ICE[[#This Row],[LstBlkPrc]], ""))</f>
        <v>3.98</v>
      </c>
      <c r="S46" s="36">
        <f>ICE[[#This Row],[Vol]]+ICE[[#This Row],[BlkVol]]</f>
        <v>961</v>
      </c>
      <c r="T46" s="36">
        <f>RTD("ice.rtd",,$C46 &amp; $D46 &amp; ":" &amp; T$1)</f>
        <v>12469</v>
      </c>
      <c r="U46" s="18">
        <f>RTD("ice.rtd",,$C46 &amp; $D46 &amp; ":" &amp; U$1)</f>
        <v>3.589</v>
      </c>
      <c r="V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3.86 / 3.97 {3.98} |961x</v>
      </c>
      <c r="W46" s="18" t="str">
        <f>IFERROR(IF(LEFT(ICE[[#This Row],[Tenor]], 1) = "B", RTD("esrtd",,$B46 &amp; " " &amp; ICE[[#This Row],[Tenor]] &amp; "-IEU", W$1), RTD("esrtd",,$B46 &amp; " " &amp; VLOOKUP(MONTH(ICE[[#This Row],[Strip]]), MthRef[], 2, 0) &amp; RIGHT(YEAR(ICE[[#This Row],[Strip]]), 2) &amp; "-IEU", W$1)), "")</f>
        <v/>
      </c>
      <c r="X46" s="36"/>
    </row>
    <row r="47" spans="1:27" x14ac:dyDescent="0.25">
      <c r="A47" s="37" t="s">
        <v>352</v>
      </c>
      <c r="B47" s="3" t="str">
        <f>RTD("ice.rtd",,$C47 &amp; $D47 &amp; ":" &amp; B$1)</f>
        <v>BOD</v>
      </c>
      <c r="C47" s="3">
        <v>141587</v>
      </c>
      <c r="D47" t="s">
        <v>113</v>
      </c>
      <c r="E47" s="3" t="str">
        <f>RTD("ice.rtd",,$C47 &amp; $D47 &amp; ":" &amp; E$1)</f>
        <v>Mar27</v>
      </c>
      <c r="F47" s="3" t="str">
        <f>ICE[[#This Row],[Prod]]&amp;ICE[[#This Row],[Strip]]</f>
        <v>brdubMar27</v>
      </c>
      <c r="G47" s="18">
        <f>RTD("ice.rtd",,$C47 &amp; $D47 &amp; ":" &amp; G$1)</f>
        <v>3.65</v>
      </c>
      <c r="H47" s="18">
        <f>RTD("ice.rtd",,$C47 &amp; $D47 &amp; ":" &amp; H$1)</f>
        <v>3.84</v>
      </c>
      <c r="I47" s="18">
        <f>RTD("ice.rtd",,$C47 &amp; $D47 &amp; ":" &amp; I$1)</f>
        <v>3.82</v>
      </c>
      <c r="J47" s="14">
        <f>IFERROR(MOD(RTD("ice.rtd",,$C47 &amp; $D47 &amp; ":" &amp; J$1), 1), "")</f>
        <v>0.45287027777521871</v>
      </c>
      <c r="K47" s="18" t="str">
        <f>RTD("ice.rtd",,$C47 &amp; $D47 &amp; ":" &amp; K$1)</f>
        <v/>
      </c>
      <c r="L47" s="36" t="str">
        <f>RTD("ice.rtd",,$C47 &amp; $D47 &amp; ":" &amp; L$1)</f>
        <v/>
      </c>
      <c r="M47" s="14" t="str">
        <f>IFERROR(MOD(TIMEVALUE(RTD("ice.rtd",,$C47 &amp; $D47 &amp; ":" &amp; M$1)), 1), "")</f>
        <v/>
      </c>
      <c r="N47" s="36">
        <f>RTD("ice.rtd",,$C47 &amp; $D47 &amp; ":" &amp; N$1)</f>
        <v>421</v>
      </c>
      <c r="O47" s="36">
        <f>RTD("ice.rtd",,$C47 &amp; $D47 &amp; ":" &amp; O$1)</f>
        <v>215</v>
      </c>
      <c r="P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7" s="14">
        <f>IF(ICE[[#This Row],[LastType]] = "Scrn", ICE[[#This Row],[LstDate]], IF(ICE[[#This Row],[LastType]] = "Blk", ICE[[#This Row],[LstBlkTime]], ""))</f>
        <v>0.45287027777521871</v>
      </c>
      <c r="R47" s="41">
        <f>IF(ICE[[#This Row],[LastType]] = "Scrn", ICE[[#This Row],[LstPrc]], IF(ICE[[#This Row],[LastType]] = "Blk", ICE[[#This Row],[LstBlkPrc]], ""))</f>
        <v>3.82</v>
      </c>
      <c r="S47" s="36">
        <f>ICE[[#This Row],[Vol]]+ICE[[#This Row],[BlkVol]]</f>
        <v>636</v>
      </c>
      <c r="T47" s="36">
        <f>RTD("ice.rtd",,$C47 &amp; $D47 &amp; ":" &amp; T$1)</f>
        <v>8998</v>
      </c>
      <c r="U47" s="18">
        <f>RTD("ice.rtd",,$C47 &amp; $D47 &amp; ":" &amp; U$1)</f>
        <v>3.4740000000000002</v>
      </c>
      <c r="V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3.65 / 3.84 {3.82} |636x</v>
      </c>
      <c r="W47" s="18" t="str">
        <f>IFERROR(IF(LEFT(ICE[[#This Row],[Tenor]], 1) = "B", RTD("esrtd",,$B47 &amp; " " &amp; ICE[[#This Row],[Tenor]] &amp; "-IEU", W$1), RTD("esrtd",,$B47 &amp; " " &amp; VLOOKUP(MONTH(ICE[[#This Row],[Strip]]), MthRef[], 2, 0) &amp; RIGHT(YEAR(ICE[[#This Row],[Strip]]), 2) &amp; "-IEU", W$1)), "")</f>
        <v/>
      </c>
      <c r="X47" s="36"/>
    </row>
    <row r="48" spans="1:27" x14ac:dyDescent="0.25">
      <c r="A48" s="37" t="s">
        <v>352</v>
      </c>
      <c r="B48" s="3" t="str">
        <f>RTD("ice.rtd",,$C48 &amp; $D48 &amp; ":" &amp; B$1)</f>
        <v>BOD</v>
      </c>
      <c r="C48" s="3">
        <v>141587</v>
      </c>
      <c r="D48" t="s">
        <v>796</v>
      </c>
      <c r="E48" s="3" t="str">
        <f>RTD("ice.rtd",,$C48 &amp; $D48 &amp; ":" &amp; E$1)</f>
        <v>Apr27</v>
      </c>
      <c r="F48" s="3" t="str">
        <f>ICE[[#This Row],[Prod]]&amp;ICE[[#This Row],[Strip]]</f>
        <v>brdubApr27</v>
      </c>
      <c r="G48" s="18">
        <f>RTD("ice.rtd",,$C48 &amp; $D48 &amp; ":" &amp; G$1)</f>
        <v>3.5</v>
      </c>
      <c r="H48" s="18">
        <f>RTD("ice.rtd",,$C48 &amp; $D48 &amp; ":" &amp; H$1)</f>
        <v>3.74</v>
      </c>
      <c r="I48" s="18">
        <f>RTD("ice.rtd",,$C48 &amp; $D48 &amp; ":" &amp; I$1)</f>
        <v>3.7</v>
      </c>
      <c r="J48" s="14">
        <f>IFERROR(MOD(RTD("ice.rtd",,$C48 &amp; $D48 &amp; ":" &amp; J$1), 1), "")</f>
        <v>0.42580534722219454</v>
      </c>
      <c r="K48" s="18" t="str">
        <f>RTD("ice.rtd",,$C48 &amp; $D48 &amp; ":" &amp; K$1)</f>
        <v/>
      </c>
      <c r="L48" s="36" t="str">
        <f>RTD("ice.rtd",,$C48 &amp; $D48 &amp; ":" &amp; L$1)</f>
        <v/>
      </c>
      <c r="M48" s="14" t="str">
        <f>IFERROR(MOD(TIMEVALUE(RTD("ice.rtd",,$C48 &amp; $D48 &amp; ":" &amp; M$1)), 1), "")</f>
        <v/>
      </c>
      <c r="N48" s="36">
        <f>RTD("ice.rtd",,$C48 &amp; $D48 &amp; ":" &amp; N$1)</f>
        <v>34</v>
      </c>
      <c r="O48" s="36">
        <f>RTD("ice.rtd",,$C48 &amp; $D48 &amp; ":" &amp; O$1)</f>
        <v>0</v>
      </c>
      <c r="P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8" s="14">
        <f>IF(ICE[[#This Row],[LastType]] = "Scrn", ICE[[#This Row],[LstDate]], IF(ICE[[#This Row],[LastType]] = "Blk", ICE[[#This Row],[LstBlkTime]], ""))</f>
        <v>0.42580534722219454</v>
      </c>
      <c r="R48" s="41">
        <f>IF(ICE[[#This Row],[LastType]] = "Scrn", ICE[[#This Row],[LstPrc]], IF(ICE[[#This Row],[LastType]] = "Blk", ICE[[#This Row],[LstBlkPrc]], ""))</f>
        <v>3.7</v>
      </c>
      <c r="S48" s="36">
        <f>ICE[[#This Row],[Vol]]+ICE[[#This Row],[BlkVol]]</f>
        <v>34</v>
      </c>
      <c r="T48" s="36">
        <f>RTD("ice.rtd",,$C48 &amp; $D48 &amp; ":" &amp; T$1)</f>
        <v>5311</v>
      </c>
      <c r="U48" s="18">
        <f>RTD("ice.rtd",,$C48 &amp; $D48 &amp; ":" &amp; U$1)</f>
        <v>3.3760000000000003</v>
      </c>
      <c r="V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3.50 / 3.74 {3.70} |34x</v>
      </c>
      <c r="W48" s="18" t="str">
        <f>IFERROR(IF(LEFT(ICE[[#This Row],[Tenor]], 1) = "B", RTD("esrtd",,$B48 &amp; " " &amp; ICE[[#This Row],[Tenor]] &amp; "-IEU", W$1), RTD("esrtd",,$B48 &amp; " " &amp; VLOOKUP(MONTH(ICE[[#This Row],[Strip]]), MthRef[], 2, 0) &amp; RIGHT(YEAR(ICE[[#This Row],[Strip]]), 2) &amp; "-IEU", W$1)), "")</f>
        <v/>
      </c>
      <c r="X48" s="36"/>
    </row>
    <row r="49" spans="1:24" x14ac:dyDescent="0.25">
      <c r="A49" s="37" t="s">
        <v>352</v>
      </c>
      <c r="B49" s="3" t="str">
        <f>RTD("ice.rtd",,$C49 &amp; $D49 &amp; ":" &amp; B$1)</f>
        <v>BOD</v>
      </c>
      <c r="C49" s="3">
        <v>141587</v>
      </c>
      <c r="D49" t="s">
        <v>797</v>
      </c>
      <c r="E49" s="3" t="str">
        <f>RTD("ice.rtd",,$C49 &amp; $D49 &amp; ":" &amp; E$1)</f>
        <v>May27</v>
      </c>
      <c r="F49" s="3" t="str">
        <f>ICE[[#This Row],[Prod]]&amp;ICE[[#This Row],[Strip]]</f>
        <v>brdubMay27</v>
      </c>
      <c r="G49" s="18" t="str">
        <f>RTD("ice.rtd",,$C49 &amp; $D49 &amp; ":" &amp; G$1)</f>
        <v/>
      </c>
      <c r="H49" s="18" t="str">
        <f>RTD("ice.rtd",,$C49 &amp; $D49 &amp; ":" &amp; H$1)</f>
        <v/>
      </c>
      <c r="I49" s="18">
        <f>RTD("ice.rtd",,$C49 &amp; $D49 &amp; ":" &amp; I$1)</f>
        <v>3.5</v>
      </c>
      <c r="J49" s="14">
        <f>IFERROR(MOD(RTD("ice.rtd",,$C49 &amp; $D49 &amp; ":" &amp; J$1), 1), "")</f>
        <v>0.42580534722219454</v>
      </c>
      <c r="K49" s="18">
        <f>RTD("ice.rtd",,$C49 &amp; $D49 &amp; ":" &amp; K$1)</f>
        <v>3.53</v>
      </c>
      <c r="L49" s="36">
        <f>RTD("ice.rtd",,$C49 &amp; $D49 &amp; ":" &amp; L$1)</f>
        <v>35</v>
      </c>
      <c r="M49" s="14">
        <f>IFERROR(MOD(TIMEVALUE(RTD("ice.rtd",,$C49 &amp; $D49 &amp; ":" &amp; M$1)), 1), "")</f>
        <v>0.40481481481481479</v>
      </c>
      <c r="N49" s="36">
        <f>RTD("ice.rtd",,$C49 &amp; $D49 &amp; ":" &amp; N$1)</f>
        <v>18</v>
      </c>
      <c r="O49" s="36">
        <f>RTD("ice.rtd",,$C49 &amp; $D49 &amp; ":" &amp; O$1)</f>
        <v>35</v>
      </c>
      <c r="P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9" s="14">
        <f>IF(ICE[[#This Row],[LastType]] = "Scrn", ICE[[#This Row],[LstDate]], IF(ICE[[#This Row],[LastType]] = "Blk", ICE[[#This Row],[LstBlkTime]], ""))</f>
        <v>0.42580534722219454</v>
      </c>
      <c r="R49" s="41">
        <f>IF(ICE[[#This Row],[LastType]] = "Scrn", ICE[[#This Row],[LstPrc]], IF(ICE[[#This Row],[LastType]] = "Blk", ICE[[#This Row],[LstBlkPrc]], ""))</f>
        <v>3.5</v>
      </c>
      <c r="S49" s="36">
        <f>ICE[[#This Row],[Vol]]+ICE[[#This Row],[BlkVol]]</f>
        <v>53</v>
      </c>
      <c r="T49" s="36">
        <f>RTD("ice.rtd",,$C49 &amp; $D49 &amp; ":" &amp; T$1)</f>
        <v>5318</v>
      </c>
      <c r="U49" s="18">
        <f>RTD("ice.rtd",,$C49 &amp; $D49 &amp; ":" &amp; U$1)</f>
        <v>3.2370000000000001</v>
      </c>
      <c r="V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{3.50} |53x</v>
      </c>
      <c r="W49" s="18" t="str">
        <f>IFERROR(IF(LEFT(ICE[[#This Row],[Tenor]], 1) = "B", RTD("esrtd",,$B49 &amp; " " &amp; ICE[[#This Row],[Tenor]] &amp; "-IEU", W$1), RTD("esrtd",,$B49 &amp; " " &amp; VLOOKUP(MONTH(ICE[[#This Row],[Strip]]), MthRef[], 2, 0) &amp; RIGHT(YEAR(ICE[[#This Row],[Strip]]), 2) &amp; "-IEU", W$1)), "")</f>
        <v/>
      </c>
      <c r="X49" s="36"/>
    </row>
    <row r="50" spans="1:24" x14ac:dyDescent="0.25">
      <c r="A50" s="37" t="s">
        <v>352</v>
      </c>
      <c r="B50" s="3" t="str">
        <f>RTD("ice.rtd",,$C50 &amp; $D50 &amp; ":" &amp; B$1)</f>
        <v>BOD</v>
      </c>
      <c r="C50" s="3">
        <v>141587</v>
      </c>
      <c r="D50" t="s">
        <v>798</v>
      </c>
      <c r="E50" s="3" t="str">
        <f>RTD("ice.rtd",,$C50 &amp; $D50 &amp; ":" &amp; E$1)</f>
        <v>Jun27</v>
      </c>
      <c r="F50" s="3" t="str">
        <f>ICE[[#This Row],[Prod]]&amp;ICE[[#This Row],[Strip]]</f>
        <v>brdubJun27</v>
      </c>
      <c r="G50" s="18" t="str">
        <f>RTD("ice.rtd",,$C50 &amp; $D50 &amp; ":" &amp; G$1)</f>
        <v/>
      </c>
      <c r="H50" s="18" t="str">
        <f>RTD("ice.rtd",,$C50 &amp; $D50 &amp; ":" &amp; H$1)</f>
        <v/>
      </c>
      <c r="I50" s="18" t="str">
        <f>RTD("ice.rtd",,$C50 &amp; $D50 &amp; ":" &amp; I$1)</f>
        <v/>
      </c>
      <c r="J50" s="14" t="str">
        <f>IFERROR(MOD(RTD("ice.rtd",,$C50 &amp; $D50 &amp; ":" &amp; J$1), 1), "")</f>
        <v/>
      </c>
      <c r="K50" s="18">
        <f>RTD("ice.rtd",,$C50 &amp; $D50 &amp; ":" &amp; K$1)</f>
        <v>3.43</v>
      </c>
      <c r="L50" s="36">
        <f>RTD("ice.rtd",,$C50 &amp; $D50 &amp; ":" &amp; L$1)</f>
        <v>70</v>
      </c>
      <c r="M50" s="14">
        <f>IFERROR(MOD(TIMEVALUE(RTD("ice.rtd",,$C50 &amp; $D50 &amp; ":" &amp; M$1)), 1), "")</f>
        <v>0.40481481481481479</v>
      </c>
      <c r="N50" s="36">
        <f>RTD("ice.rtd",,$C50 &amp; $D50 &amp; ":" &amp; N$1)</f>
        <v>12</v>
      </c>
      <c r="O50" s="36">
        <f>RTD("ice.rtd",,$C50 &amp; $D50 &amp; ":" &amp; O$1)</f>
        <v>70</v>
      </c>
      <c r="P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0" s="14">
        <f>IF(ICE[[#This Row],[LastType]] = "Scrn", ICE[[#This Row],[LstDate]], IF(ICE[[#This Row],[LastType]] = "Blk", ICE[[#This Row],[LstBlkTime]], ""))</f>
        <v>0.40481481481481479</v>
      </c>
      <c r="R50" s="41">
        <f>IF(ICE[[#This Row],[LastType]] = "Scrn", ICE[[#This Row],[LstPrc]], IF(ICE[[#This Row],[LastType]] = "Blk", ICE[[#This Row],[LstBlkPrc]], ""))</f>
        <v>3.43</v>
      </c>
      <c r="S50" s="36">
        <f>ICE[[#This Row],[Vol]]+ICE[[#This Row],[BlkVol]]</f>
        <v>82</v>
      </c>
      <c r="T50" s="36">
        <f>RTD("ice.rtd",,$C50 &amp; $D50 &amp; ":" &amp; T$1)</f>
        <v>5837</v>
      </c>
      <c r="U50" s="18">
        <f>RTD("ice.rtd",,$C50 &amp; $D50 &amp; ":" &amp; U$1)</f>
        <v>3.1670000000000003</v>
      </c>
      <c r="V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{3.43} |82x</v>
      </c>
      <c r="W50" s="18" t="str">
        <f>IFERROR(IF(LEFT(ICE[[#This Row],[Tenor]], 1) = "B", RTD("esrtd",,$B50 &amp; " " &amp; ICE[[#This Row],[Tenor]] &amp; "-IEU", W$1), RTD("esrtd",,$B50 &amp; " " &amp; VLOOKUP(MONTH(ICE[[#This Row],[Strip]]), MthRef[], 2, 0) &amp; RIGHT(YEAR(ICE[[#This Row],[Strip]]), 2) &amp; "-IEU", W$1)), "")</f>
        <v/>
      </c>
      <c r="X50" s="36"/>
    </row>
    <row r="51" spans="1:24" x14ac:dyDescent="0.25">
      <c r="A51" s="37" t="s">
        <v>352</v>
      </c>
      <c r="B51" s="3" t="str">
        <f>RTD("ice.rtd",,$C51 &amp; $D51 &amp; ":" &amp; B$1)</f>
        <v>BOD</v>
      </c>
      <c r="C51" s="3">
        <v>141587</v>
      </c>
      <c r="D51" t="s">
        <v>799</v>
      </c>
      <c r="E51" s="3" t="str">
        <f>RTD("ice.rtd",,$C51 &amp; $D51 &amp; ":" &amp; E$1)</f>
        <v>Jul27</v>
      </c>
      <c r="F51" s="3" t="str">
        <f>ICE[[#This Row],[Prod]]&amp;ICE[[#This Row],[Strip]]</f>
        <v>brdubJul27</v>
      </c>
      <c r="G51" s="18" t="str">
        <f>RTD("ice.rtd",,$C51 &amp; $D51 &amp; ":" &amp; G$1)</f>
        <v/>
      </c>
      <c r="H51" s="18" t="str">
        <f>RTD("ice.rtd",,$C51 &amp; $D51 &amp; ":" &amp; H$1)</f>
        <v/>
      </c>
      <c r="I51" s="18" t="str">
        <f>RTD("ice.rtd",,$C51 &amp; $D51 &amp; ":" &amp; I$1)</f>
        <v/>
      </c>
      <c r="J51" s="14" t="str">
        <f>IFERROR(MOD(RTD("ice.rtd",,$C51 &amp; $D51 &amp; ":" &amp; J$1), 1), "")</f>
        <v/>
      </c>
      <c r="K51" s="18">
        <f>RTD("ice.rtd",,$C51 &amp; $D51 &amp; ":" &amp; K$1)</f>
        <v>3.39</v>
      </c>
      <c r="L51" s="36">
        <f>RTD("ice.rtd",,$C51 &amp; $D51 &amp; ":" &amp; L$1)</f>
        <v>35</v>
      </c>
      <c r="M51" s="14">
        <f>IFERROR(MOD(TIMEVALUE(RTD("ice.rtd",,$C51 &amp; $D51 &amp; ":" &amp; M$1)), 1), "")</f>
        <v>0.40481481481481479</v>
      </c>
      <c r="N51" s="36">
        <f>RTD("ice.rtd",,$C51 &amp; $D51 &amp; ":" &amp; N$1)</f>
        <v>0</v>
      </c>
      <c r="O51" s="36">
        <f>RTD("ice.rtd",,$C51 &amp; $D51 &amp; ":" &amp; O$1)</f>
        <v>35</v>
      </c>
      <c r="P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1" s="14">
        <f>IF(ICE[[#This Row],[LastType]] = "Scrn", ICE[[#This Row],[LstDate]], IF(ICE[[#This Row],[LastType]] = "Blk", ICE[[#This Row],[LstBlkTime]], ""))</f>
        <v>0.40481481481481479</v>
      </c>
      <c r="R51" s="41">
        <f>IF(ICE[[#This Row],[LastType]] = "Scrn", ICE[[#This Row],[LstPrc]], IF(ICE[[#This Row],[LastType]] = "Blk", ICE[[#This Row],[LstBlkPrc]], ""))</f>
        <v>3.39</v>
      </c>
      <c r="S51" s="36">
        <f>ICE[[#This Row],[Vol]]+ICE[[#This Row],[BlkVol]]</f>
        <v>35</v>
      </c>
      <c r="T51" s="36">
        <f>RTD("ice.rtd",,$C51 &amp; $D51 &amp; ":" &amp; T$1)</f>
        <v>3019</v>
      </c>
      <c r="U51" s="18">
        <f>RTD("ice.rtd",,$C51 &amp; $D51 &amp; ":" &amp; U$1)</f>
        <v>3.1550000000000002</v>
      </c>
      <c r="V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{3.39} |35x</v>
      </c>
      <c r="W51" s="18" t="str">
        <f>IFERROR(IF(LEFT(ICE[[#This Row],[Tenor]], 1) = "B", RTD("esrtd",,$B51 &amp; " " &amp; ICE[[#This Row],[Tenor]] &amp; "-IEU", W$1), RTD("esrtd",,$B51 &amp; " " &amp; VLOOKUP(MONTH(ICE[[#This Row],[Strip]]), MthRef[], 2, 0) &amp; RIGHT(YEAR(ICE[[#This Row],[Strip]]), 2) &amp; "-IEU", W$1)), "")</f>
        <v/>
      </c>
      <c r="X51" s="36"/>
    </row>
    <row r="52" spans="1:24" x14ac:dyDescent="0.25">
      <c r="A52" s="37" t="s">
        <v>352</v>
      </c>
      <c r="B52" s="3" t="str">
        <f>RTD("ice.rtd",,$C52 &amp; $D52 &amp; ":" &amp; B$1)</f>
        <v>BOD</v>
      </c>
      <c r="C52" s="3">
        <v>141587</v>
      </c>
      <c r="D52" t="s">
        <v>800</v>
      </c>
      <c r="E52" s="3" t="str">
        <f>RTD("ice.rtd",,$C52 &amp; $D52 &amp; ":" &amp; E$1)</f>
        <v>Aug27</v>
      </c>
      <c r="F52" s="3" t="str">
        <f>ICE[[#This Row],[Prod]]&amp;ICE[[#This Row],[Strip]]</f>
        <v>brdubAug27</v>
      </c>
      <c r="G52" s="18" t="str">
        <f>RTD("ice.rtd",,$C52 &amp; $D52 &amp; ":" &amp; G$1)</f>
        <v/>
      </c>
      <c r="H52" s="18" t="str">
        <f>RTD("ice.rtd",,$C52 &amp; $D52 &amp; ":" &amp; H$1)</f>
        <v/>
      </c>
      <c r="I52" s="18" t="str">
        <f>RTD("ice.rtd",,$C52 &amp; $D52 &amp; ":" &amp; I$1)</f>
        <v/>
      </c>
      <c r="J52" s="14" t="str">
        <f>IFERROR(MOD(RTD("ice.rtd",,$C52 &amp; $D52 &amp; ":" &amp; J$1), 1), "")</f>
        <v/>
      </c>
      <c r="K52" s="18" t="str">
        <f>RTD("ice.rtd",,$C52 &amp; $D52 &amp; ":" &amp; K$1)</f>
        <v/>
      </c>
      <c r="L52" s="36" t="str">
        <f>RTD("ice.rtd",,$C52 &amp; $D52 &amp; ":" &amp; L$1)</f>
        <v/>
      </c>
      <c r="M52" s="14" t="str">
        <f>IFERROR(MOD(TIMEVALUE(RTD("ice.rtd",,$C52 &amp; $D52 &amp; ":" &amp; M$1)), 1), "")</f>
        <v/>
      </c>
      <c r="N52" s="36">
        <f>RTD("ice.rtd",,$C52 &amp; $D52 &amp; ":" &amp; N$1)</f>
        <v>0</v>
      </c>
      <c r="O52" s="36">
        <f>RTD("ice.rtd",,$C52 &amp; $D52 &amp; ":" &amp; O$1)</f>
        <v>0</v>
      </c>
      <c r="P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" s="14" t="str">
        <f>IF(ICE[[#This Row],[LastType]] = "Scrn", ICE[[#This Row],[LstDate]], IF(ICE[[#This Row],[LastType]] = "Blk", ICE[[#This Row],[LstBlkTime]], ""))</f>
        <v/>
      </c>
      <c r="R52" s="41" t="str">
        <f>IF(ICE[[#This Row],[LastType]] = "Scrn", ICE[[#This Row],[LstPrc]], IF(ICE[[#This Row],[LastType]] = "Blk", ICE[[#This Row],[LstBlkPrc]], ""))</f>
        <v/>
      </c>
      <c r="S52" s="36">
        <f>ICE[[#This Row],[Vol]]+ICE[[#This Row],[BlkVol]]</f>
        <v>0</v>
      </c>
      <c r="T52" s="36">
        <f>RTD("ice.rtd",,$C52 &amp; $D52 &amp; ":" &amp; T$1)</f>
        <v>3118</v>
      </c>
      <c r="U52" s="18">
        <f>RTD("ice.rtd",,$C52 &amp; $D52 &amp; ":" &amp; U$1)</f>
        <v>3.0680000000000001</v>
      </c>
      <c r="V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" s="18" t="str">
        <f>IFERROR(IF(LEFT(ICE[[#This Row],[Tenor]], 1) = "B", RTD("esrtd",,$B52 &amp; " " &amp; ICE[[#This Row],[Tenor]] &amp; "-IEU", W$1), RTD("esrtd",,$B52 &amp; " " &amp; VLOOKUP(MONTH(ICE[[#This Row],[Strip]]), MthRef[], 2, 0) &amp; RIGHT(YEAR(ICE[[#This Row],[Strip]]), 2) &amp; "-IEU", W$1)), "")</f>
        <v/>
      </c>
      <c r="X52" s="36"/>
    </row>
    <row r="53" spans="1:24" x14ac:dyDescent="0.25">
      <c r="A53" s="37" t="s">
        <v>352</v>
      </c>
      <c r="B53" s="3" t="str">
        <f>RTD("ice.rtd",,$C53 &amp; $D53 &amp; ":" &amp; B$1)</f>
        <v>BOD</v>
      </c>
      <c r="C53" s="3">
        <v>141587</v>
      </c>
      <c r="D53" t="s">
        <v>801</v>
      </c>
      <c r="E53" s="3" t="str">
        <f>RTD("ice.rtd",,$C53 &amp; $D53 &amp; ":" &amp; E$1)</f>
        <v>Sep27</v>
      </c>
      <c r="F53" s="3" t="str">
        <f>ICE[[#This Row],[Prod]]&amp;ICE[[#This Row],[Strip]]</f>
        <v>brdubSep27</v>
      </c>
      <c r="G53" s="18" t="str">
        <f>RTD("ice.rtd",,$C53 &amp; $D53 &amp; ":" &amp; G$1)</f>
        <v/>
      </c>
      <c r="H53" s="18" t="str">
        <f>RTD("ice.rtd",,$C53 &amp; $D53 &amp; ":" &amp; H$1)</f>
        <v/>
      </c>
      <c r="I53" s="18" t="str">
        <f>RTD("ice.rtd",,$C53 &amp; $D53 &amp; ":" &amp; I$1)</f>
        <v/>
      </c>
      <c r="J53" s="14" t="str">
        <f>IFERROR(MOD(RTD("ice.rtd",,$C53 &amp; $D53 &amp; ":" &amp; J$1), 1), "")</f>
        <v/>
      </c>
      <c r="K53" s="18" t="str">
        <f>RTD("ice.rtd",,$C53 &amp; $D53 &amp; ":" &amp; K$1)</f>
        <v/>
      </c>
      <c r="L53" s="36" t="str">
        <f>RTD("ice.rtd",,$C53 &amp; $D53 &amp; ":" &amp; L$1)</f>
        <v/>
      </c>
      <c r="M53" s="14" t="str">
        <f>IFERROR(MOD(TIMEVALUE(RTD("ice.rtd",,$C53 &amp; $D53 &amp; ":" &amp; M$1)), 1), "")</f>
        <v/>
      </c>
      <c r="N53" s="36">
        <f>RTD("ice.rtd",,$C53 &amp; $D53 &amp; ":" &amp; N$1)</f>
        <v>0</v>
      </c>
      <c r="O53" s="36">
        <f>RTD("ice.rtd",,$C53 &amp; $D53 &amp; ":" &amp; O$1)</f>
        <v>0</v>
      </c>
      <c r="P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" s="14" t="str">
        <f>IF(ICE[[#This Row],[LastType]] = "Scrn", ICE[[#This Row],[LstDate]], IF(ICE[[#This Row],[LastType]] = "Blk", ICE[[#This Row],[LstBlkTime]], ""))</f>
        <v/>
      </c>
      <c r="R53" s="41" t="str">
        <f>IF(ICE[[#This Row],[LastType]] = "Scrn", ICE[[#This Row],[LstPrc]], IF(ICE[[#This Row],[LastType]] = "Blk", ICE[[#This Row],[LstBlkPrc]], ""))</f>
        <v/>
      </c>
      <c r="S53" s="36">
        <f>ICE[[#This Row],[Vol]]+ICE[[#This Row],[BlkVol]]</f>
        <v>0</v>
      </c>
      <c r="T53" s="36">
        <f>RTD("ice.rtd",,$C53 &amp; $D53 &amp; ":" &amp; T$1)</f>
        <v>2934</v>
      </c>
      <c r="U53" s="18">
        <f>RTD("ice.rtd",,$C53 &amp; $D53 &amp; ":" &amp; U$1)</f>
        <v>2.99</v>
      </c>
      <c r="V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" s="18" t="str">
        <f>IFERROR(IF(LEFT(ICE[[#This Row],[Tenor]], 1) = "B", RTD("esrtd",,$B53 &amp; " " &amp; ICE[[#This Row],[Tenor]] &amp; "-IEU", W$1), RTD("esrtd",,$B53 &amp; " " &amp; VLOOKUP(MONTH(ICE[[#This Row],[Strip]]), MthRef[], 2, 0) &amp; RIGHT(YEAR(ICE[[#This Row],[Strip]]), 2) &amp; "-IEU", W$1)), "")</f>
        <v/>
      </c>
      <c r="X53" s="36"/>
    </row>
    <row r="54" spans="1:24" x14ac:dyDescent="0.25">
      <c r="A54" s="37" t="s">
        <v>352</v>
      </c>
      <c r="B54" s="3" t="str">
        <f>RTD("ice.rtd",,$C54 &amp; $D54 &amp; ":" &amp; B$1)</f>
        <v>BOD</v>
      </c>
      <c r="C54" s="3">
        <v>141587</v>
      </c>
      <c r="D54" t="s">
        <v>802</v>
      </c>
      <c r="E54" s="3" t="str">
        <f>RTD("ice.rtd",,$C54 &amp; $D54 &amp; ":" &amp; E$1)</f>
        <v>Oct27</v>
      </c>
      <c r="F54" s="3" t="str">
        <f>ICE[[#This Row],[Prod]]&amp;ICE[[#This Row],[Strip]]</f>
        <v>brdubOct27</v>
      </c>
      <c r="G54" s="18" t="str">
        <f>RTD("ice.rtd",,$C54 &amp; $D54 &amp; ":" &amp; G$1)</f>
        <v/>
      </c>
      <c r="H54" s="18" t="str">
        <f>RTD("ice.rtd",,$C54 &amp; $D54 &amp; ":" &amp; H$1)</f>
        <v/>
      </c>
      <c r="I54" s="18" t="str">
        <f>RTD("ice.rtd",,$C54 &amp; $D54 &amp; ":" &amp; I$1)</f>
        <v/>
      </c>
      <c r="J54" s="14" t="str">
        <f>IFERROR(MOD(RTD("ice.rtd",,$C54 &amp; $D54 &amp; ":" &amp; J$1), 1), "")</f>
        <v/>
      </c>
      <c r="K54" s="18" t="str">
        <f>RTD("ice.rtd",,$C54 &amp; $D54 &amp; ":" &amp; K$1)</f>
        <v/>
      </c>
      <c r="L54" s="36" t="str">
        <f>RTD("ice.rtd",,$C54 &amp; $D54 &amp; ":" &amp; L$1)</f>
        <v/>
      </c>
      <c r="M54" s="14" t="str">
        <f>IFERROR(MOD(TIMEVALUE(RTD("ice.rtd",,$C54 &amp; $D54 &amp; ":" &amp; M$1)), 1), "")</f>
        <v/>
      </c>
      <c r="N54" s="36">
        <f>RTD("ice.rtd",,$C54 &amp; $D54 &amp; ":" &amp; N$1)</f>
        <v>0</v>
      </c>
      <c r="O54" s="36">
        <f>RTD("ice.rtd",,$C54 &amp; $D54 &amp; ":" &amp; O$1)</f>
        <v>0</v>
      </c>
      <c r="P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" s="14" t="str">
        <f>IF(ICE[[#This Row],[LastType]] = "Scrn", ICE[[#This Row],[LstDate]], IF(ICE[[#This Row],[LastType]] = "Blk", ICE[[#This Row],[LstBlkTime]], ""))</f>
        <v/>
      </c>
      <c r="R54" s="41" t="str">
        <f>IF(ICE[[#This Row],[LastType]] = "Scrn", ICE[[#This Row],[LstPrc]], IF(ICE[[#This Row],[LastType]] = "Blk", ICE[[#This Row],[LstBlkPrc]], ""))</f>
        <v/>
      </c>
      <c r="S54" s="36">
        <f>ICE[[#This Row],[Vol]]+ICE[[#This Row],[BlkVol]]</f>
        <v>0</v>
      </c>
      <c r="T54" s="36">
        <f>RTD("ice.rtd",,$C54 &amp; $D54 &amp; ":" &amp; T$1)</f>
        <v>1708</v>
      </c>
      <c r="U54" s="18">
        <f>RTD("ice.rtd",,$C54 &amp; $D54 &amp; ":" &amp; U$1)</f>
        <v>2.9820000000000002</v>
      </c>
      <c r="V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" s="18" t="str">
        <f>IFERROR(IF(LEFT(ICE[[#This Row],[Tenor]], 1) = "B", RTD("esrtd",,$B54 &amp; " " &amp; ICE[[#This Row],[Tenor]] &amp; "-IEU", W$1), RTD("esrtd",,$B54 &amp; " " &amp; VLOOKUP(MONTH(ICE[[#This Row],[Strip]]), MthRef[], 2, 0) &amp; RIGHT(YEAR(ICE[[#This Row],[Strip]]), 2) &amp; "-IEU", W$1)), "")</f>
        <v/>
      </c>
      <c r="X54" s="36"/>
    </row>
    <row r="55" spans="1:24" x14ac:dyDescent="0.25">
      <c r="A55" s="37" t="s">
        <v>352</v>
      </c>
      <c r="B55" s="3" t="str">
        <f>RTD("ice.rtd",,$C55 &amp; $D55 &amp; ":" &amp; B$1)</f>
        <v>BOD</v>
      </c>
      <c r="C55" s="3">
        <v>141587</v>
      </c>
      <c r="D55" t="s">
        <v>803</v>
      </c>
      <c r="E55" s="3" t="str">
        <f>RTD("ice.rtd",,$C55 &amp; $D55 &amp; ":" &amp; E$1)</f>
        <v>Nov27</v>
      </c>
      <c r="F55" s="3" t="str">
        <f>ICE[[#This Row],[Prod]]&amp;ICE[[#This Row],[Strip]]</f>
        <v>brdubNov27</v>
      </c>
      <c r="G55" s="18" t="str">
        <f>RTD("ice.rtd",,$C55 &amp; $D55 &amp; ":" &amp; G$1)</f>
        <v/>
      </c>
      <c r="H55" s="18" t="str">
        <f>RTD("ice.rtd",,$C55 &amp; $D55 &amp; ":" &amp; H$1)</f>
        <v/>
      </c>
      <c r="I55" s="18" t="str">
        <f>RTD("ice.rtd",,$C55 &amp; $D55 &amp; ":" &amp; I$1)</f>
        <v/>
      </c>
      <c r="J55" s="14" t="str">
        <f>IFERROR(MOD(RTD("ice.rtd",,$C55 &amp; $D55 &amp; ":" &amp; J$1), 1), "")</f>
        <v/>
      </c>
      <c r="K55" s="18" t="str">
        <f>RTD("ice.rtd",,$C55 &amp; $D55 &amp; ":" &amp; K$1)</f>
        <v/>
      </c>
      <c r="L55" s="36" t="str">
        <f>RTD("ice.rtd",,$C55 &amp; $D55 &amp; ":" &amp; L$1)</f>
        <v/>
      </c>
      <c r="M55" s="14" t="str">
        <f>IFERROR(MOD(TIMEVALUE(RTD("ice.rtd",,$C55 &amp; $D55 &amp; ":" &amp; M$1)), 1), "")</f>
        <v/>
      </c>
      <c r="N55" s="36">
        <f>RTD("ice.rtd",,$C55 &amp; $D55 &amp; ":" &amp; N$1)</f>
        <v>0</v>
      </c>
      <c r="O55" s="36">
        <f>RTD("ice.rtd",,$C55 &amp; $D55 &amp; ":" &amp; O$1)</f>
        <v>0</v>
      </c>
      <c r="P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5" s="14" t="str">
        <f>IF(ICE[[#This Row],[LastType]] = "Scrn", ICE[[#This Row],[LstDate]], IF(ICE[[#This Row],[LastType]] = "Blk", ICE[[#This Row],[LstBlkTime]], ""))</f>
        <v/>
      </c>
      <c r="R55" s="41" t="str">
        <f>IF(ICE[[#This Row],[LastType]] = "Scrn", ICE[[#This Row],[LstPrc]], IF(ICE[[#This Row],[LastType]] = "Blk", ICE[[#This Row],[LstBlkPrc]], ""))</f>
        <v/>
      </c>
      <c r="S55" s="36">
        <f>ICE[[#This Row],[Vol]]+ICE[[#This Row],[BlkVol]]</f>
        <v>0</v>
      </c>
      <c r="T55" s="36">
        <f>RTD("ice.rtd",,$C55 &amp; $D55 &amp; ":" &amp; T$1)</f>
        <v>1622</v>
      </c>
      <c r="U55" s="18">
        <f>RTD("ice.rtd",,$C55 &amp; $D55 &amp; ":" &amp; U$1)</f>
        <v>2.9040000000000004</v>
      </c>
      <c r="V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5" s="18" t="str">
        <f>IFERROR(IF(LEFT(ICE[[#This Row],[Tenor]], 1) = "B", RTD("esrtd",,$B55 &amp; " " &amp; ICE[[#This Row],[Tenor]] &amp; "-IEU", W$1), RTD("esrtd",,$B55 &amp; " " &amp; VLOOKUP(MONTH(ICE[[#This Row],[Strip]]), MthRef[], 2, 0) &amp; RIGHT(YEAR(ICE[[#This Row],[Strip]]), 2) &amp; "-IEU", W$1)), "")</f>
        <v/>
      </c>
      <c r="X55" s="36"/>
    </row>
    <row r="56" spans="1:24" x14ac:dyDescent="0.25">
      <c r="A56" s="37" t="s">
        <v>352</v>
      </c>
      <c r="B56" s="3" t="str">
        <f>RTD("ice.rtd",,$C56 &amp; $D56 &amp; ":" &amp; B$1)</f>
        <v>BOD</v>
      </c>
      <c r="C56" s="3">
        <v>141587</v>
      </c>
      <c r="D56" t="s">
        <v>804</v>
      </c>
      <c r="E56" s="3" t="str">
        <f>RTD("ice.rtd",,$C56 &amp; $D56 &amp; ":" &amp; E$1)</f>
        <v>Dec27</v>
      </c>
      <c r="F56" s="3" t="str">
        <f>ICE[[#This Row],[Prod]]&amp;ICE[[#This Row],[Strip]]</f>
        <v>brdubDec27</v>
      </c>
      <c r="G56" s="18" t="str">
        <f>RTD("ice.rtd",,$C56 &amp; $D56 &amp; ":" &amp; G$1)</f>
        <v/>
      </c>
      <c r="H56" s="18" t="str">
        <f>RTD("ice.rtd",,$C56 &amp; $D56 &amp; ":" &amp; H$1)</f>
        <v/>
      </c>
      <c r="I56" s="18" t="str">
        <f>RTD("ice.rtd",,$C56 &amp; $D56 &amp; ":" &amp; I$1)</f>
        <v/>
      </c>
      <c r="J56" s="14" t="str">
        <f>IFERROR(MOD(RTD("ice.rtd",,$C56 &amp; $D56 &amp; ":" &amp; J$1), 1), "")</f>
        <v/>
      </c>
      <c r="K56" s="18" t="str">
        <f>RTD("ice.rtd",,$C56 &amp; $D56 &amp; ":" &amp; K$1)</f>
        <v/>
      </c>
      <c r="L56" s="36" t="str">
        <f>RTD("ice.rtd",,$C56 &amp; $D56 &amp; ":" &amp; L$1)</f>
        <v/>
      </c>
      <c r="M56" s="14" t="str">
        <f>IFERROR(MOD(TIMEVALUE(RTD("ice.rtd",,$C56 &amp; $D56 &amp; ":" &amp; M$1)), 1), "")</f>
        <v/>
      </c>
      <c r="N56" s="36">
        <f>RTD("ice.rtd",,$C56 &amp; $D56 &amp; ":" &amp; N$1)</f>
        <v>0</v>
      </c>
      <c r="O56" s="36">
        <f>RTD("ice.rtd",,$C56 &amp; $D56 &amp; ":" &amp; O$1)</f>
        <v>0</v>
      </c>
      <c r="P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" s="14" t="str">
        <f>IF(ICE[[#This Row],[LastType]] = "Scrn", ICE[[#This Row],[LstDate]], IF(ICE[[#This Row],[LastType]] = "Blk", ICE[[#This Row],[LstBlkTime]], ""))</f>
        <v/>
      </c>
      <c r="R56" s="41" t="str">
        <f>IF(ICE[[#This Row],[LastType]] = "Scrn", ICE[[#This Row],[LstPrc]], IF(ICE[[#This Row],[LastType]] = "Blk", ICE[[#This Row],[LstBlkPrc]], ""))</f>
        <v/>
      </c>
      <c r="S56" s="36">
        <f>ICE[[#This Row],[Vol]]+ICE[[#This Row],[BlkVol]]</f>
        <v>0</v>
      </c>
      <c r="T56" s="36">
        <f>RTD("ice.rtd",,$C56 &amp; $D56 &amp; ":" &amp; T$1)</f>
        <v>1843</v>
      </c>
      <c r="U56" s="18">
        <f>RTD("ice.rtd",,$C56 &amp; $D56 &amp; ":" &amp; U$1)</f>
        <v>2.8250000000000002</v>
      </c>
      <c r="V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" s="18" t="str">
        <f>IFERROR(IF(LEFT(ICE[[#This Row],[Tenor]], 1) = "B", RTD("esrtd",,$B56 &amp; " " &amp; ICE[[#This Row],[Tenor]] &amp; "-IEU", W$1), RTD("esrtd",,$B56 &amp; " " &amp; VLOOKUP(MONTH(ICE[[#This Row],[Strip]]), MthRef[], 2, 0) &amp; RIGHT(YEAR(ICE[[#This Row],[Strip]]), 2) &amp; "-IEU", W$1)), "")</f>
        <v/>
      </c>
      <c r="X56" s="36"/>
    </row>
    <row r="57" spans="1:24" x14ac:dyDescent="0.25">
      <c r="A57" s="37" t="s">
        <v>352</v>
      </c>
      <c r="B57" s="3" t="str">
        <f>RTD("ice.rtd",,$C57 &amp; $D57 &amp; ":" &amp; B$1)</f>
        <v>BOD</v>
      </c>
      <c r="C57" s="3">
        <v>141587</v>
      </c>
      <c r="D57" t="s">
        <v>805</v>
      </c>
      <c r="E57" s="3" t="str">
        <f>RTD("ice.rtd",,$C57 &amp; $D57 &amp; ":" &amp; E$1)</f>
        <v>Jan28</v>
      </c>
      <c r="F57" s="3" t="str">
        <f>ICE[[#This Row],[Prod]]&amp;ICE[[#This Row],[Strip]]</f>
        <v>brdubJan28</v>
      </c>
      <c r="G57" s="18" t="str">
        <f>RTD("ice.rtd",,$C57 &amp; $D57 &amp; ":" &amp; G$1)</f>
        <v/>
      </c>
      <c r="H57" s="18" t="str">
        <f>RTD("ice.rtd",,$C57 &amp; $D57 &amp; ":" &amp; H$1)</f>
        <v/>
      </c>
      <c r="I57" s="18" t="str">
        <f>RTD("ice.rtd",,$C57 &amp; $D57 &amp; ":" &amp; I$1)</f>
        <v/>
      </c>
      <c r="J57" s="14" t="str">
        <f>IFERROR(MOD(RTD("ice.rtd",,$C57 &amp; $D57 &amp; ":" &amp; J$1), 1), "")</f>
        <v/>
      </c>
      <c r="K57" s="18" t="str">
        <f>RTD("ice.rtd",,$C57 &amp; $D57 &amp; ":" &amp; K$1)</f>
        <v/>
      </c>
      <c r="L57" s="36" t="str">
        <f>RTD("ice.rtd",,$C57 &amp; $D57 &amp; ":" &amp; L$1)</f>
        <v/>
      </c>
      <c r="M57" s="14" t="str">
        <f>IFERROR(MOD(TIMEVALUE(RTD("ice.rtd",,$C57 &amp; $D57 &amp; ":" &amp; M$1)), 1), "")</f>
        <v/>
      </c>
      <c r="N57" s="36">
        <f>RTD("ice.rtd",,$C57 &amp; $D57 &amp; ":" &amp; N$1)</f>
        <v>0</v>
      </c>
      <c r="O57" s="36">
        <f>RTD("ice.rtd",,$C57 &amp; $D57 &amp; ":" &amp; O$1)</f>
        <v>0</v>
      </c>
      <c r="P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" s="14" t="str">
        <f>IF(ICE[[#This Row],[LastType]] = "Scrn", ICE[[#This Row],[LstDate]], IF(ICE[[#This Row],[LastType]] = "Blk", ICE[[#This Row],[LstBlkTime]], ""))</f>
        <v/>
      </c>
      <c r="R57" s="41" t="str">
        <f>IF(ICE[[#This Row],[LastType]] = "Scrn", ICE[[#This Row],[LstPrc]], IF(ICE[[#This Row],[LastType]] = "Blk", ICE[[#This Row],[LstBlkPrc]], ""))</f>
        <v/>
      </c>
      <c r="S57" s="36">
        <f>ICE[[#This Row],[Vol]]+ICE[[#This Row],[BlkVol]]</f>
        <v>0</v>
      </c>
      <c r="T57" s="36">
        <f>RTD("ice.rtd",,$C57 &amp; $D57 &amp; ":" &amp; T$1)</f>
        <v>182</v>
      </c>
      <c r="U57" s="18">
        <f>RTD("ice.rtd",,$C57 &amp; $D57 &amp; ":" &amp; U$1)</f>
        <v>2.677</v>
      </c>
      <c r="V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" s="18" t="str">
        <f>IFERROR(IF(LEFT(ICE[[#This Row],[Tenor]], 1) = "B", RTD("esrtd",,$B57 &amp; " " &amp; ICE[[#This Row],[Tenor]] &amp; "-IEU", W$1), RTD("esrtd",,$B57 &amp; " " &amp; VLOOKUP(MONTH(ICE[[#This Row],[Strip]]), MthRef[], 2, 0) &amp; RIGHT(YEAR(ICE[[#This Row],[Strip]]), 2) &amp; "-IEU", W$1)), "")</f>
        <v/>
      </c>
      <c r="X57" s="36"/>
    </row>
    <row r="58" spans="1:24" x14ac:dyDescent="0.25">
      <c r="A58" s="37" t="s">
        <v>352</v>
      </c>
      <c r="B58" s="3" t="str">
        <f>RTD("ice.rtd",,$C58 &amp; $D58 &amp; ":" &amp; B$1)</f>
        <v>BOD</v>
      </c>
      <c r="C58" s="3">
        <v>141587</v>
      </c>
      <c r="D58" t="s">
        <v>806</v>
      </c>
      <c r="E58" s="3" t="str">
        <f>RTD("ice.rtd",,$C58 &amp; $D58 &amp; ":" &amp; E$1)</f>
        <v>Feb28</v>
      </c>
      <c r="F58" s="3" t="str">
        <f>ICE[[#This Row],[Prod]]&amp;ICE[[#This Row],[Strip]]</f>
        <v>brdubFeb28</v>
      </c>
      <c r="G58" s="18" t="str">
        <f>RTD("ice.rtd",,$C58 &amp; $D58 &amp; ":" &amp; G$1)</f>
        <v/>
      </c>
      <c r="H58" s="18" t="str">
        <f>RTD("ice.rtd",,$C58 &amp; $D58 &amp; ":" &amp; H$1)</f>
        <v/>
      </c>
      <c r="I58" s="18" t="str">
        <f>RTD("ice.rtd",,$C58 &amp; $D58 &amp; ":" &amp; I$1)</f>
        <v/>
      </c>
      <c r="J58" s="14" t="str">
        <f>IFERROR(MOD(RTD("ice.rtd",,$C58 &amp; $D58 &amp; ":" &amp; J$1), 1), "")</f>
        <v/>
      </c>
      <c r="K58" s="18" t="str">
        <f>RTD("ice.rtd",,$C58 &amp; $D58 &amp; ":" &amp; K$1)</f>
        <v/>
      </c>
      <c r="L58" s="36" t="str">
        <f>RTD("ice.rtd",,$C58 &amp; $D58 &amp; ":" &amp; L$1)</f>
        <v/>
      </c>
      <c r="M58" s="14" t="str">
        <f>IFERROR(MOD(TIMEVALUE(RTD("ice.rtd",,$C58 &amp; $D58 &amp; ":" &amp; M$1)), 1), "")</f>
        <v/>
      </c>
      <c r="N58" s="36">
        <f>RTD("ice.rtd",,$C58 &amp; $D58 &amp; ":" &amp; N$1)</f>
        <v>0</v>
      </c>
      <c r="O58" s="36">
        <f>RTD("ice.rtd",,$C58 &amp; $D58 &amp; ":" &amp; O$1)</f>
        <v>0</v>
      </c>
      <c r="P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" s="14" t="str">
        <f>IF(ICE[[#This Row],[LastType]] = "Scrn", ICE[[#This Row],[LstDate]], IF(ICE[[#This Row],[LastType]] = "Blk", ICE[[#This Row],[LstBlkTime]], ""))</f>
        <v/>
      </c>
      <c r="R58" s="41" t="str">
        <f>IF(ICE[[#This Row],[LastType]] = "Scrn", ICE[[#This Row],[LstPrc]], IF(ICE[[#This Row],[LastType]] = "Blk", ICE[[#This Row],[LstBlkPrc]], ""))</f>
        <v/>
      </c>
      <c r="S58" s="36">
        <f>ICE[[#This Row],[Vol]]+ICE[[#This Row],[BlkVol]]</f>
        <v>0</v>
      </c>
      <c r="T58" s="36">
        <f>RTD("ice.rtd",,$C58 &amp; $D58 &amp; ":" &amp; T$1)</f>
        <v>132</v>
      </c>
      <c r="U58" s="18">
        <f>RTD("ice.rtd",,$C58 &amp; $D58 &amp; ":" &amp; U$1)</f>
        <v>2.552</v>
      </c>
      <c r="V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" s="18" t="str">
        <f>IFERROR(IF(LEFT(ICE[[#This Row],[Tenor]], 1) = "B", RTD("esrtd",,$B58 &amp; " " &amp; ICE[[#This Row],[Tenor]] &amp; "-IEU", W$1), RTD("esrtd",,$B58 &amp; " " &amp; VLOOKUP(MONTH(ICE[[#This Row],[Strip]]), MthRef[], 2, 0) &amp; RIGHT(YEAR(ICE[[#This Row],[Strip]]), 2) &amp; "-IEU", W$1)), "")</f>
        <v/>
      </c>
      <c r="X58" s="36"/>
    </row>
    <row r="59" spans="1:24" x14ac:dyDescent="0.25">
      <c r="A59" s="37" t="s">
        <v>352</v>
      </c>
      <c r="B59" s="3" t="str">
        <f>RTD("ice.rtd",,$C59 &amp; $D59 &amp; ":" &amp; B$1)</f>
        <v>BOD</v>
      </c>
      <c r="C59" s="3">
        <v>141587</v>
      </c>
      <c r="D59" t="s">
        <v>807</v>
      </c>
      <c r="E59" s="3" t="str">
        <f>RTD("ice.rtd",,$C59 &amp; $D59 &amp; ":" &amp; E$1)</f>
        <v>Mar28</v>
      </c>
      <c r="F59" s="3" t="str">
        <f>ICE[[#This Row],[Prod]]&amp;ICE[[#This Row],[Strip]]</f>
        <v>brdubMar28</v>
      </c>
      <c r="G59" s="18" t="str">
        <f>RTD("ice.rtd",,$C59 &amp; $D59 &amp; ":" &amp; G$1)</f>
        <v/>
      </c>
      <c r="H59" s="18" t="str">
        <f>RTD("ice.rtd",,$C59 &amp; $D59 &amp; ":" &amp; H$1)</f>
        <v/>
      </c>
      <c r="I59" s="18" t="str">
        <f>RTD("ice.rtd",,$C59 &amp; $D59 &amp; ":" &amp; I$1)</f>
        <v/>
      </c>
      <c r="J59" s="14" t="str">
        <f>IFERROR(MOD(RTD("ice.rtd",,$C59 &amp; $D59 &amp; ":" &amp; J$1), 1), "")</f>
        <v/>
      </c>
      <c r="K59" s="18" t="str">
        <f>RTD("ice.rtd",,$C59 &amp; $D59 &amp; ":" &amp; K$1)</f>
        <v/>
      </c>
      <c r="L59" s="36" t="str">
        <f>RTD("ice.rtd",,$C59 &amp; $D59 &amp; ":" &amp; L$1)</f>
        <v/>
      </c>
      <c r="M59" s="14" t="str">
        <f>IFERROR(MOD(TIMEVALUE(RTD("ice.rtd",,$C59 &amp; $D59 &amp; ":" &amp; M$1)), 1), "")</f>
        <v/>
      </c>
      <c r="N59" s="36">
        <f>RTD("ice.rtd",,$C59 &amp; $D59 &amp; ":" &amp; N$1)</f>
        <v>0</v>
      </c>
      <c r="O59" s="36">
        <f>RTD("ice.rtd",,$C59 &amp; $D59 &amp; ":" &amp; O$1)</f>
        <v>0</v>
      </c>
      <c r="P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" s="14" t="str">
        <f>IF(ICE[[#This Row],[LastType]] = "Scrn", ICE[[#This Row],[LstDate]], IF(ICE[[#This Row],[LastType]] = "Blk", ICE[[#This Row],[LstBlkTime]], ""))</f>
        <v/>
      </c>
      <c r="R59" s="41" t="str">
        <f>IF(ICE[[#This Row],[LastType]] = "Scrn", ICE[[#This Row],[LstPrc]], IF(ICE[[#This Row],[LastType]] = "Blk", ICE[[#This Row],[LstBlkPrc]], ""))</f>
        <v/>
      </c>
      <c r="S59" s="36">
        <f>ICE[[#This Row],[Vol]]+ICE[[#This Row],[BlkVol]]</f>
        <v>0</v>
      </c>
      <c r="T59" s="36">
        <f>RTD("ice.rtd",,$C59 &amp; $D59 &amp; ":" &amp; T$1)</f>
        <v>132</v>
      </c>
      <c r="U59" s="18">
        <f>RTD("ice.rtd",,$C59 &amp; $D59 &amp; ":" &amp; U$1)</f>
        <v>2.5100000000000002</v>
      </c>
      <c r="V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" s="18" t="str">
        <f>IFERROR(IF(LEFT(ICE[[#This Row],[Tenor]], 1) = "B", RTD("esrtd",,$B59 &amp; " " &amp; ICE[[#This Row],[Tenor]] &amp; "-IEU", W$1), RTD("esrtd",,$B59 &amp; " " &amp; VLOOKUP(MONTH(ICE[[#This Row],[Strip]]), MthRef[], 2, 0) &amp; RIGHT(YEAR(ICE[[#This Row],[Strip]]), 2) &amp; "-IEU", W$1)), "")</f>
        <v/>
      </c>
      <c r="X59" s="36"/>
    </row>
    <row r="60" spans="1:24" x14ac:dyDescent="0.25">
      <c r="A60" s="37" t="s">
        <v>352</v>
      </c>
      <c r="B60" s="3" t="str">
        <f>RTD("ice.rtd",,$C60 &amp; $D60 &amp; ":" &amp; B$1)</f>
        <v>BOD</v>
      </c>
      <c r="C60" s="3">
        <v>141587</v>
      </c>
      <c r="D60" t="s">
        <v>808</v>
      </c>
      <c r="E60" s="3" t="str">
        <f>RTD("ice.rtd",,$C60 &amp; $D60 &amp; ":" &amp; E$1)</f>
        <v>Apr28</v>
      </c>
      <c r="F60" s="3" t="str">
        <f>ICE[[#This Row],[Prod]]&amp;ICE[[#This Row],[Strip]]</f>
        <v>brdubApr28</v>
      </c>
      <c r="G60" s="18" t="str">
        <f>RTD("ice.rtd",,$C60 &amp; $D60 &amp; ":" &amp; G$1)</f>
        <v/>
      </c>
      <c r="H60" s="18" t="str">
        <f>RTD("ice.rtd",,$C60 &amp; $D60 &amp; ":" &amp; H$1)</f>
        <v/>
      </c>
      <c r="I60" s="18" t="str">
        <f>RTD("ice.rtd",,$C60 &amp; $D60 &amp; ":" &amp; I$1)</f>
        <v/>
      </c>
      <c r="J60" s="14" t="str">
        <f>IFERROR(MOD(RTD("ice.rtd",,$C60 &amp; $D60 &amp; ":" &amp; J$1), 1), "")</f>
        <v/>
      </c>
      <c r="K60" s="18" t="str">
        <f>RTD("ice.rtd",,$C60 &amp; $D60 &amp; ":" &amp; K$1)</f>
        <v/>
      </c>
      <c r="L60" s="36" t="str">
        <f>RTD("ice.rtd",,$C60 &amp; $D60 &amp; ":" &amp; L$1)</f>
        <v/>
      </c>
      <c r="M60" s="14" t="str">
        <f>IFERROR(MOD(TIMEVALUE(RTD("ice.rtd",,$C60 &amp; $D60 &amp; ":" &amp; M$1)), 1), "")</f>
        <v/>
      </c>
      <c r="N60" s="36">
        <f>RTD("ice.rtd",,$C60 &amp; $D60 &amp; ":" &amp; N$1)</f>
        <v>0</v>
      </c>
      <c r="O60" s="36">
        <f>RTD("ice.rtd",,$C60 &amp; $D60 &amp; ":" &amp; O$1)</f>
        <v>0</v>
      </c>
      <c r="P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" s="14" t="str">
        <f>IF(ICE[[#This Row],[LastType]] = "Scrn", ICE[[#This Row],[LstDate]], IF(ICE[[#This Row],[LastType]] = "Blk", ICE[[#This Row],[LstBlkTime]], ""))</f>
        <v/>
      </c>
      <c r="R60" s="41" t="str">
        <f>IF(ICE[[#This Row],[LastType]] = "Scrn", ICE[[#This Row],[LstPrc]], IF(ICE[[#This Row],[LastType]] = "Blk", ICE[[#This Row],[LstBlkPrc]], ""))</f>
        <v/>
      </c>
      <c r="S60" s="36">
        <f>ICE[[#This Row],[Vol]]+ICE[[#This Row],[BlkVol]]</f>
        <v>0</v>
      </c>
      <c r="T60" s="36">
        <f>RTD("ice.rtd",,$C60 &amp; $D60 &amp; ":" &amp; T$1)</f>
        <v>105</v>
      </c>
      <c r="U60" s="18">
        <f>RTD("ice.rtd",,$C60 &amp; $D60 &amp; ":" &amp; U$1)</f>
        <v>2.4890000000000003</v>
      </c>
      <c r="V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" s="18" t="str">
        <f>IFERROR(IF(LEFT(ICE[[#This Row],[Tenor]], 1) = "B", RTD("esrtd",,$B60 &amp; " " &amp; ICE[[#This Row],[Tenor]] &amp; "-IEU", W$1), RTD("esrtd",,$B60 &amp; " " &amp; VLOOKUP(MONTH(ICE[[#This Row],[Strip]]), MthRef[], 2, 0) &amp; RIGHT(YEAR(ICE[[#This Row],[Strip]]), 2) &amp; "-IEU", W$1)), "")</f>
        <v/>
      </c>
      <c r="X60" s="36"/>
    </row>
    <row r="61" spans="1:24" x14ac:dyDescent="0.25">
      <c r="A61" s="37" t="s">
        <v>352</v>
      </c>
      <c r="B61" s="3" t="str">
        <f>RTD("ice.rtd",,$C61 &amp; $D61 &amp; ":" &amp; B$1)</f>
        <v>BOD</v>
      </c>
      <c r="C61" s="3">
        <v>141587</v>
      </c>
      <c r="D61" t="s">
        <v>809</v>
      </c>
      <c r="E61" s="3" t="str">
        <f>RTD("ice.rtd",,$C61 &amp; $D61 &amp; ":" &amp; E$1)</f>
        <v>May28</v>
      </c>
      <c r="F61" s="3" t="str">
        <f>ICE[[#This Row],[Prod]]&amp;ICE[[#This Row],[Strip]]</f>
        <v>brdubMay28</v>
      </c>
      <c r="G61" s="18" t="str">
        <f>RTD("ice.rtd",,$C61 &amp; $D61 &amp; ":" &amp; G$1)</f>
        <v/>
      </c>
      <c r="H61" s="18" t="str">
        <f>RTD("ice.rtd",,$C61 &amp; $D61 &amp; ":" &amp; H$1)</f>
        <v/>
      </c>
      <c r="I61" s="18" t="str">
        <f>RTD("ice.rtd",,$C61 &amp; $D61 &amp; ":" &amp; I$1)</f>
        <v/>
      </c>
      <c r="J61" s="14" t="str">
        <f>IFERROR(MOD(RTD("ice.rtd",,$C61 &amp; $D61 &amp; ":" &amp; J$1), 1), "")</f>
        <v/>
      </c>
      <c r="K61" s="18" t="str">
        <f>RTD("ice.rtd",,$C61 &amp; $D61 &amp; ":" &amp; K$1)</f>
        <v/>
      </c>
      <c r="L61" s="36" t="str">
        <f>RTD("ice.rtd",,$C61 &amp; $D61 &amp; ":" &amp; L$1)</f>
        <v/>
      </c>
      <c r="M61" s="14" t="str">
        <f>IFERROR(MOD(TIMEVALUE(RTD("ice.rtd",,$C61 &amp; $D61 &amp; ":" &amp; M$1)), 1), "")</f>
        <v/>
      </c>
      <c r="N61" s="36">
        <f>RTD("ice.rtd",,$C61 &amp; $D61 &amp; ":" &amp; N$1)</f>
        <v>0</v>
      </c>
      <c r="O61" s="36">
        <f>RTD("ice.rtd",,$C61 &amp; $D61 &amp; ":" &amp; O$1)</f>
        <v>0</v>
      </c>
      <c r="P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" s="14" t="str">
        <f>IF(ICE[[#This Row],[LastType]] = "Scrn", ICE[[#This Row],[LstDate]], IF(ICE[[#This Row],[LastType]] = "Blk", ICE[[#This Row],[LstBlkTime]], ""))</f>
        <v/>
      </c>
      <c r="R61" s="41" t="str">
        <f>IF(ICE[[#This Row],[LastType]] = "Scrn", ICE[[#This Row],[LstPrc]], IF(ICE[[#This Row],[LastType]] = "Blk", ICE[[#This Row],[LstBlkPrc]], ""))</f>
        <v/>
      </c>
      <c r="S61" s="36">
        <f>ICE[[#This Row],[Vol]]+ICE[[#This Row],[BlkVol]]</f>
        <v>0</v>
      </c>
      <c r="T61" s="36">
        <f>RTD("ice.rtd",,$C61 &amp; $D61 &amp; ":" &amp; T$1)</f>
        <v>105</v>
      </c>
      <c r="U61" s="18">
        <f>RTD("ice.rtd",,$C61 &amp; $D61 &amp; ":" &amp; U$1)</f>
        <v>2.4580000000000002</v>
      </c>
      <c r="V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" s="18" t="str">
        <f>IFERROR(IF(LEFT(ICE[[#This Row],[Tenor]], 1) = "B", RTD("esrtd",,$B61 &amp; " " &amp; ICE[[#This Row],[Tenor]] &amp; "-IEU", W$1), RTD("esrtd",,$B61 &amp; " " &amp; VLOOKUP(MONTH(ICE[[#This Row],[Strip]]), MthRef[], 2, 0) &amp; RIGHT(YEAR(ICE[[#This Row],[Strip]]), 2) &amp; "-IEU", W$1)), "")</f>
        <v/>
      </c>
      <c r="X61" s="36"/>
    </row>
    <row r="62" spans="1:24" x14ac:dyDescent="0.25">
      <c r="A62" s="37" t="s">
        <v>352</v>
      </c>
      <c r="B62" s="3" t="str">
        <f>RTD("ice.rtd",,$C62 &amp; $D62 &amp; ":" &amp; B$1)</f>
        <v>BOD</v>
      </c>
      <c r="C62" s="3">
        <v>141587</v>
      </c>
      <c r="D62" t="s">
        <v>810</v>
      </c>
      <c r="E62" s="3" t="str">
        <f>RTD("ice.rtd",,$C62 &amp; $D62 &amp; ":" &amp; E$1)</f>
        <v>Jun28</v>
      </c>
      <c r="F62" s="3" t="str">
        <f>ICE[[#This Row],[Prod]]&amp;ICE[[#This Row],[Strip]]</f>
        <v>brdubJun28</v>
      </c>
      <c r="G62" s="18" t="str">
        <f>RTD("ice.rtd",,$C62 &amp; $D62 &amp; ":" &amp; G$1)</f>
        <v/>
      </c>
      <c r="H62" s="18" t="str">
        <f>RTD("ice.rtd",,$C62 &amp; $D62 &amp; ":" &amp; H$1)</f>
        <v/>
      </c>
      <c r="I62" s="18" t="str">
        <f>RTD("ice.rtd",,$C62 &amp; $D62 &amp; ":" &amp; I$1)</f>
        <v/>
      </c>
      <c r="J62" s="14" t="str">
        <f>IFERROR(MOD(RTD("ice.rtd",,$C62 &amp; $D62 &amp; ":" &amp; J$1), 1), "")</f>
        <v/>
      </c>
      <c r="K62" s="18" t="str">
        <f>RTD("ice.rtd",,$C62 &amp; $D62 &amp; ":" &amp; K$1)</f>
        <v/>
      </c>
      <c r="L62" s="36" t="str">
        <f>RTD("ice.rtd",,$C62 &amp; $D62 &amp; ":" &amp; L$1)</f>
        <v/>
      </c>
      <c r="M62" s="14" t="str">
        <f>IFERROR(MOD(TIMEVALUE(RTD("ice.rtd",,$C62 &amp; $D62 &amp; ":" &amp; M$1)), 1), "")</f>
        <v/>
      </c>
      <c r="N62" s="36">
        <f>RTD("ice.rtd",,$C62 &amp; $D62 &amp; ":" &amp; N$1)</f>
        <v>0</v>
      </c>
      <c r="O62" s="36">
        <f>RTD("ice.rtd",,$C62 &amp; $D62 &amp; ":" &amp; O$1)</f>
        <v>0</v>
      </c>
      <c r="P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" s="14" t="str">
        <f>IF(ICE[[#This Row],[LastType]] = "Scrn", ICE[[#This Row],[LstDate]], IF(ICE[[#This Row],[LastType]] = "Blk", ICE[[#This Row],[LstBlkTime]], ""))</f>
        <v/>
      </c>
      <c r="R62" s="41" t="str">
        <f>IF(ICE[[#This Row],[LastType]] = "Scrn", ICE[[#This Row],[LstPrc]], IF(ICE[[#This Row],[LastType]] = "Blk", ICE[[#This Row],[LstBlkPrc]], ""))</f>
        <v/>
      </c>
      <c r="S62" s="36">
        <f>ICE[[#This Row],[Vol]]+ICE[[#This Row],[BlkVol]]</f>
        <v>0</v>
      </c>
      <c r="T62" s="36">
        <f>RTD("ice.rtd",,$C62 &amp; $D62 &amp; ":" &amp; T$1)</f>
        <v>105</v>
      </c>
      <c r="U62" s="18">
        <f>RTD("ice.rtd",,$C62 &amp; $D62 &amp; ":" &amp; U$1)</f>
        <v>2.4159999999999999</v>
      </c>
      <c r="V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" s="18" t="str">
        <f>IFERROR(IF(LEFT(ICE[[#This Row],[Tenor]], 1) = "B", RTD("esrtd",,$B62 &amp; " " &amp; ICE[[#This Row],[Tenor]] &amp; "-IEU", W$1), RTD("esrtd",,$B62 &amp; " " &amp; VLOOKUP(MONTH(ICE[[#This Row],[Strip]]), MthRef[], 2, 0) &amp; RIGHT(YEAR(ICE[[#This Row],[Strip]]), 2) &amp; "-IEU", W$1)), "")</f>
        <v/>
      </c>
      <c r="X62" s="36"/>
    </row>
    <row r="63" spans="1:24" x14ac:dyDescent="0.25">
      <c r="A63" s="37" t="s">
        <v>352</v>
      </c>
      <c r="B63" s="3" t="str">
        <f>RTD("ice.rtd",,$C63 &amp; $D63 &amp; ":" &amp; B$1)</f>
        <v>BOD</v>
      </c>
      <c r="C63" s="3">
        <v>141587</v>
      </c>
      <c r="D63" t="s">
        <v>811</v>
      </c>
      <c r="E63" s="3" t="str">
        <f>RTD("ice.rtd",,$C63 &amp; $D63 &amp; ":" &amp; E$1)</f>
        <v>Jul28</v>
      </c>
      <c r="F63" s="3" t="str">
        <f>ICE[[#This Row],[Prod]]&amp;ICE[[#This Row],[Strip]]</f>
        <v>brdubJul28</v>
      </c>
      <c r="G63" s="18" t="str">
        <f>RTD("ice.rtd",,$C63 &amp; $D63 &amp; ":" &amp; G$1)</f>
        <v/>
      </c>
      <c r="H63" s="18" t="str">
        <f>RTD("ice.rtd",,$C63 &amp; $D63 &amp; ":" &amp; H$1)</f>
        <v/>
      </c>
      <c r="I63" s="18" t="str">
        <f>RTD("ice.rtd",,$C63 &amp; $D63 &amp; ":" &amp; I$1)</f>
        <v/>
      </c>
      <c r="J63" s="14" t="str">
        <f>IFERROR(MOD(RTD("ice.rtd",,$C63 &amp; $D63 &amp; ":" &amp; J$1), 1), "")</f>
        <v/>
      </c>
      <c r="K63" s="18" t="str">
        <f>RTD("ice.rtd",,$C63 &amp; $D63 &amp; ":" &amp; K$1)</f>
        <v/>
      </c>
      <c r="L63" s="36" t="str">
        <f>RTD("ice.rtd",,$C63 &amp; $D63 &amp; ":" &amp; L$1)</f>
        <v/>
      </c>
      <c r="M63" s="14" t="str">
        <f>IFERROR(MOD(TIMEVALUE(RTD("ice.rtd",,$C63 &amp; $D63 &amp; ":" &amp; M$1)), 1), "")</f>
        <v/>
      </c>
      <c r="N63" s="36">
        <f>RTD("ice.rtd",,$C63 &amp; $D63 &amp; ":" &amp; N$1)</f>
        <v>0</v>
      </c>
      <c r="O63" s="36">
        <f>RTD("ice.rtd",,$C63 &amp; $D63 &amp; ":" &amp; O$1)</f>
        <v>0</v>
      </c>
      <c r="P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" s="14" t="str">
        <f>IF(ICE[[#This Row],[LastType]] = "Scrn", ICE[[#This Row],[LstDate]], IF(ICE[[#This Row],[LastType]] = "Blk", ICE[[#This Row],[LstBlkTime]], ""))</f>
        <v/>
      </c>
      <c r="R63" s="41" t="str">
        <f>IF(ICE[[#This Row],[LastType]] = "Scrn", ICE[[#This Row],[LstPrc]], IF(ICE[[#This Row],[LastType]] = "Blk", ICE[[#This Row],[LstBlkPrc]], ""))</f>
        <v/>
      </c>
      <c r="S63" s="36">
        <f>ICE[[#This Row],[Vol]]+ICE[[#This Row],[BlkVol]]</f>
        <v>0</v>
      </c>
      <c r="T63" s="36">
        <f>RTD("ice.rtd",,$C63 &amp; $D63 &amp; ":" &amp; T$1)</f>
        <v>73</v>
      </c>
      <c r="U63" s="18">
        <f>RTD("ice.rtd",,$C63 &amp; $D63 &amp; ":" &amp; U$1)</f>
        <v>2.3940000000000001</v>
      </c>
      <c r="V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" s="18" t="str">
        <f>IFERROR(IF(LEFT(ICE[[#This Row],[Tenor]], 1) = "B", RTD("esrtd",,$B63 &amp; " " &amp; ICE[[#This Row],[Tenor]] &amp; "-IEU", W$1), RTD("esrtd",,$B63 &amp; " " &amp; VLOOKUP(MONTH(ICE[[#This Row],[Strip]]), MthRef[], 2, 0) &amp; RIGHT(YEAR(ICE[[#This Row],[Strip]]), 2) &amp; "-IEU", W$1)), "")</f>
        <v/>
      </c>
      <c r="X63" s="36"/>
    </row>
    <row r="64" spans="1:24" x14ac:dyDescent="0.25">
      <c r="A64" s="37" t="s">
        <v>352</v>
      </c>
      <c r="B64" s="3" t="str">
        <f>RTD("ice.rtd",,$C64 &amp; $D64 &amp; ":" &amp; B$1)</f>
        <v>BOD</v>
      </c>
      <c r="C64" s="3">
        <v>141587</v>
      </c>
      <c r="D64" t="s">
        <v>812</v>
      </c>
      <c r="E64" s="3" t="str">
        <f>RTD("ice.rtd",,$C64 &amp; $D64 &amp; ":" &amp; E$1)</f>
        <v>Aug28</v>
      </c>
      <c r="F64" s="3" t="str">
        <f>ICE[[#This Row],[Prod]]&amp;ICE[[#This Row],[Strip]]</f>
        <v>brdubAug28</v>
      </c>
      <c r="G64" s="18" t="str">
        <f>RTD("ice.rtd",,$C64 &amp; $D64 &amp; ":" &amp; G$1)</f>
        <v/>
      </c>
      <c r="H64" s="18" t="str">
        <f>RTD("ice.rtd",,$C64 &amp; $D64 &amp; ":" &amp; H$1)</f>
        <v/>
      </c>
      <c r="I64" s="18" t="str">
        <f>RTD("ice.rtd",,$C64 &amp; $D64 &amp; ":" &amp; I$1)</f>
        <v/>
      </c>
      <c r="J64" s="14" t="str">
        <f>IFERROR(MOD(RTD("ice.rtd",,$C64 &amp; $D64 &amp; ":" &amp; J$1), 1), "")</f>
        <v/>
      </c>
      <c r="K64" s="18" t="str">
        <f>RTD("ice.rtd",,$C64 &amp; $D64 &amp; ":" &amp; K$1)</f>
        <v/>
      </c>
      <c r="L64" s="36" t="str">
        <f>RTD("ice.rtd",,$C64 &amp; $D64 &amp; ":" &amp; L$1)</f>
        <v/>
      </c>
      <c r="M64" s="14" t="str">
        <f>IFERROR(MOD(TIMEVALUE(RTD("ice.rtd",,$C64 &amp; $D64 &amp; ":" &amp; M$1)), 1), "")</f>
        <v/>
      </c>
      <c r="N64" s="36">
        <f>RTD("ice.rtd",,$C64 &amp; $D64 &amp; ":" &amp; N$1)</f>
        <v>0</v>
      </c>
      <c r="O64" s="36">
        <f>RTD("ice.rtd",,$C64 &amp; $D64 &amp; ":" &amp; O$1)</f>
        <v>0</v>
      </c>
      <c r="P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" s="14" t="str">
        <f>IF(ICE[[#This Row],[LastType]] = "Scrn", ICE[[#This Row],[LstDate]], IF(ICE[[#This Row],[LastType]] = "Blk", ICE[[#This Row],[LstBlkTime]], ""))</f>
        <v/>
      </c>
      <c r="R64" s="41" t="str">
        <f>IF(ICE[[#This Row],[LastType]] = "Scrn", ICE[[#This Row],[LstPrc]], IF(ICE[[#This Row],[LastType]] = "Blk", ICE[[#This Row],[LstBlkPrc]], ""))</f>
        <v/>
      </c>
      <c r="S64" s="36">
        <f>ICE[[#This Row],[Vol]]+ICE[[#This Row],[BlkVol]]</f>
        <v>0</v>
      </c>
      <c r="T64" s="36">
        <f>RTD("ice.rtd",,$C64 &amp; $D64 &amp; ":" &amp; T$1)</f>
        <v>73</v>
      </c>
      <c r="U64" s="18">
        <f>RTD("ice.rtd",,$C64 &amp; $D64 &amp; ":" &amp; U$1)</f>
        <v>2.3109999999999999</v>
      </c>
      <c r="V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" s="18" t="str">
        <f>IFERROR(IF(LEFT(ICE[[#This Row],[Tenor]], 1) = "B", RTD("esrtd",,$B64 &amp; " " &amp; ICE[[#This Row],[Tenor]] &amp; "-IEU", W$1), RTD("esrtd",,$B64 &amp; " " &amp; VLOOKUP(MONTH(ICE[[#This Row],[Strip]]), MthRef[], 2, 0) &amp; RIGHT(YEAR(ICE[[#This Row],[Strip]]), 2) &amp; "-IEU", W$1)), "")</f>
        <v/>
      </c>
      <c r="X64" s="36"/>
    </row>
    <row r="65" spans="1:24" x14ac:dyDescent="0.25">
      <c r="A65" s="37" t="s">
        <v>352</v>
      </c>
      <c r="B65" s="3" t="str">
        <f>RTD("ice.rtd",,$C65 &amp; $D65 &amp; ":" &amp; B$1)</f>
        <v>BOD</v>
      </c>
      <c r="C65" s="3">
        <v>141587</v>
      </c>
      <c r="D65" t="s">
        <v>813</v>
      </c>
      <c r="E65" s="3" t="str">
        <f>RTD("ice.rtd",,$C65 &amp; $D65 &amp; ":" &amp; E$1)</f>
        <v>Sep28</v>
      </c>
      <c r="F65" s="3" t="str">
        <f>ICE[[#This Row],[Prod]]&amp;ICE[[#This Row],[Strip]]</f>
        <v>brdubSep28</v>
      </c>
      <c r="G65" s="18" t="str">
        <f>RTD("ice.rtd",,$C65 &amp; $D65 &amp; ":" &amp; G$1)</f>
        <v/>
      </c>
      <c r="H65" s="18" t="str">
        <f>RTD("ice.rtd",,$C65 &amp; $D65 &amp; ":" &amp; H$1)</f>
        <v/>
      </c>
      <c r="I65" s="18" t="str">
        <f>RTD("ice.rtd",,$C65 &amp; $D65 &amp; ":" &amp; I$1)</f>
        <v/>
      </c>
      <c r="J65" s="14" t="str">
        <f>IFERROR(MOD(RTD("ice.rtd",,$C65 &amp; $D65 &amp; ":" &amp; J$1), 1), "")</f>
        <v/>
      </c>
      <c r="K65" s="18" t="str">
        <f>RTD("ice.rtd",,$C65 &amp; $D65 &amp; ":" &amp; K$1)</f>
        <v/>
      </c>
      <c r="L65" s="36" t="str">
        <f>RTD("ice.rtd",,$C65 &amp; $D65 &amp; ":" &amp; L$1)</f>
        <v/>
      </c>
      <c r="M65" s="14" t="str">
        <f>IFERROR(MOD(TIMEVALUE(RTD("ice.rtd",,$C65 &amp; $D65 &amp; ":" &amp; M$1)), 1), "")</f>
        <v/>
      </c>
      <c r="N65" s="36">
        <f>RTD("ice.rtd",,$C65 &amp; $D65 &amp; ":" &amp; N$1)</f>
        <v>0</v>
      </c>
      <c r="O65" s="36">
        <f>RTD("ice.rtd",,$C65 &amp; $D65 &amp; ":" &amp; O$1)</f>
        <v>0</v>
      </c>
      <c r="P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" s="14" t="str">
        <f>IF(ICE[[#This Row],[LastType]] = "Scrn", ICE[[#This Row],[LstDate]], IF(ICE[[#This Row],[LastType]] = "Blk", ICE[[#This Row],[LstBlkTime]], ""))</f>
        <v/>
      </c>
      <c r="R65" s="41" t="str">
        <f>IF(ICE[[#This Row],[LastType]] = "Scrn", ICE[[#This Row],[LstPrc]], IF(ICE[[#This Row],[LastType]] = "Blk", ICE[[#This Row],[LstBlkPrc]], ""))</f>
        <v/>
      </c>
      <c r="S65" s="36">
        <f>ICE[[#This Row],[Vol]]+ICE[[#This Row],[BlkVol]]</f>
        <v>0</v>
      </c>
      <c r="T65" s="36">
        <f>RTD("ice.rtd",,$C65 &amp; $D65 &amp; ":" &amp; T$1)</f>
        <v>73</v>
      </c>
      <c r="U65" s="18">
        <f>RTD("ice.rtd",,$C65 &amp; $D65 &amp; ":" &amp; U$1)</f>
        <v>2.2690000000000001</v>
      </c>
      <c r="V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" s="18" t="str">
        <f>IFERROR(IF(LEFT(ICE[[#This Row],[Tenor]], 1) = "B", RTD("esrtd",,$B65 &amp; " " &amp; ICE[[#This Row],[Tenor]] &amp; "-IEU", W$1), RTD("esrtd",,$B65 &amp; " " &amp; VLOOKUP(MONTH(ICE[[#This Row],[Strip]]), MthRef[], 2, 0) &amp; RIGHT(YEAR(ICE[[#This Row],[Strip]]), 2) &amp; "-IEU", W$1)), "")</f>
        <v/>
      </c>
      <c r="X65" s="36"/>
    </row>
    <row r="66" spans="1:24" x14ac:dyDescent="0.25">
      <c r="A66" s="37" t="s">
        <v>352</v>
      </c>
      <c r="B66" s="3" t="str">
        <f>RTD("ice.rtd",,$C66 &amp; $D66 &amp; ":" &amp; B$1)</f>
        <v>BOD</v>
      </c>
      <c r="C66" s="3">
        <v>141587</v>
      </c>
      <c r="D66" t="s">
        <v>814</v>
      </c>
      <c r="E66" s="3" t="str">
        <f>RTD("ice.rtd",,$C66 &amp; $D66 &amp; ":" &amp; E$1)</f>
        <v>Q4 26</v>
      </c>
      <c r="F66" s="3" t="str">
        <f>ICE[[#This Row],[Prod]]&amp;ICE[[#This Row],[Strip]]</f>
        <v>brdubQ4 26</v>
      </c>
      <c r="G66" s="18">
        <f>RTD("ice.rtd",,$C66 &amp; $D66 &amp; ":" &amp; G$1)</f>
        <v>3.19</v>
      </c>
      <c r="H66" s="18">
        <f>RTD("ice.rtd",,$C66 &amp; $D66 &amp; ":" &amp; H$1)</f>
        <v>3.25</v>
      </c>
      <c r="I66" s="18">
        <f>RTD("ice.rtd",,$C66 &amp; $D66 &amp; ":" &amp; I$1)</f>
        <v>3.24</v>
      </c>
      <c r="J66" s="14">
        <f>IFERROR(MOD(RTD("ice.rtd",,$C66 &amp; $D66 &amp; ":" &amp; J$1), 1), "")</f>
        <v>0.46166658564470708</v>
      </c>
      <c r="K66" s="18" t="str">
        <f>RTD("ice.rtd",,$C66 &amp; $D66 &amp; ":" &amp; K$1)</f>
        <v/>
      </c>
      <c r="L66" s="36" t="str">
        <f>RTD("ice.rtd",,$C66 &amp; $D66 &amp; ":" &amp; L$1)</f>
        <v/>
      </c>
      <c r="M66" s="14" t="str">
        <f>IFERROR(MOD(TIMEVALUE(RTD("ice.rtd",,$C66 &amp; $D66 &amp; ":" &amp; M$1)), 1), "")</f>
        <v/>
      </c>
      <c r="N66" s="36">
        <f>RTD("ice.rtd",,$C66 &amp; $D66 &amp; ":" &amp; N$1)</f>
        <v>263</v>
      </c>
      <c r="O66" s="36">
        <f>RTD("ice.rtd",,$C66 &amp; $D66 &amp; ":" &amp; O$1)</f>
        <v>0</v>
      </c>
      <c r="P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66" s="14">
        <f>IF(ICE[[#This Row],[LastType]] = "Scrn", ICE[[#This Row],[LstDate]], IF(ICE[[#This Row],[LastType]] = "Blk", ICE[[#This Row],[LstBlkTime]], ""))</f>
        <v>0.46166658564470708</v>
      </c>
      <c r="R66" s="41">
        <f>IF(ICE[[#This Row],[LastType]] = "Scrn", ICE[[#This Row],[LstPrc]], IF(ICE[[#This Row],[LastType]] = "Blk", ICE[[#This Row],[LstBlkPrc]], ""))</f>
        <v>3.24</v>
      </c>
      <c r="S66" s="36">
        <f>ICE[[#This Row],[Vol]]+ICE[[#This Row],[BlkVol]]</f>
        <v>263</v>
      </c>
      <c r="T66" s="36">
        <f>RTD("ice.rtd",,$C66 &amp; $D66 &amp; ":" &amp; T$1)</f>
        <v>0</v>
      </c>
      <c r="U66" s="18">
        <f>RTD("ice.rtd",,$C66 &amp; $D66 &amp; ":" &amp; U$1)</f>
        <v>2.82</v>
      </c>
      <c r="V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3.19 / 3.25 {3.24} |263x</v>
      </c>
      <c r="W66" s="18" t="str">
        <f>IFERROR(IF(LEFT(ICE[[#This Row],[Tenor]], 1) = "B", RTD("esrtd",,$B66 &amp; " " &amp; ICE[[#This Row],[Tenor]] &amp; "-IEU", W$1), RTD("esrtd",,$B66 &amp; " " &amp; VLOOKUP(MONTH(ICE[[#This Row],[Strip]]), MthRef[], 2, 0) &amp; RIGHT(YEAR(ICE[[#This Row],[Strip]]), 2) &amp; "-IEU", W$1)), "")</f>
        <v/>
      </c>
      <c r="X66" s="36"/>
    </row>
    <row r="67" spans="1:24" x14ac:dyDescent="0.25">
      <c r="A67" s="37" t="s">
        <v>352</v>
      </c>
      <c r="B67" s="3" t="str">
        <f>RTD("ice.rtd",,$C67 &amp; $D67 &amp; ":" &amp; B$1)</f>
        <v>BOD</v>
      </c>
      <c r="C67" s="3">
        <v>141587</v>
      </c>
      <c r="D67" t="s">
        <v>815</v>
      </c>
      <c r="E67" s="3" t="str">
        <f>RTD("ice.rtd",,$C67 &amp; $D67 &amp; ":" &amp; E$1)</f>
        <v>Q1 27</v>
      </c>
      <c r="F67" s="3" t="str">
        <f>ICE[[#This Row],[Prod]]&amp;ICE[[#This Row],[Strip]]</f>
        <v>brdubQ1 27</v>
      </c>
      <c r="G67" s="18">
        <f>RTD("ice.rtd",,$C67 &amp; $D67 &amp; ":" &amp; G$1)</f>
        <v>3.82</v>
      </c>
      <c r="H67" s="18">
        <f>RTD("ice.rtd",,$C67 &amp; $D67 &amp; ":" &amp; H$1)</f>
        <v>3.95</v>
      </c>
      <c r="I67" s="18">
        <f>RTD("ice.rtd",,$C67 &amp; $D67 &amp; ":" &amp; I$1)</f>
        <v>3.95</v>
      </c>
      <c r="J67" s="14">
        <f>IFERROR(MOD(RTD("ice.rtd",,$C67 &amp; $D67 &amp; ":" &amp; J$1), 1), "")</f>
        <v>0.4528702662064461</v>
      </c>
      <c r="K67" s="18">
        <f>RTD("ice.rtd",,$C67 &amp; $D67 &amp; ":" &amp; K$1)</f>
        <v>3.9</v>
      </c>
      <c r="L67" s="36">
        <f>RTD("ice.rtd",,$C67 &amp; $D67 &amp; ":" &amp; L$1)</f>
        <v>25</v>
      </c>
      <c r="M67" s="14">
        <f>IFERROR(MOD(TIMEVALUE(RTD("ice.rtd",,$C67 &amp; $D67 &amp; ":" &amp; M$1)), 1), "")</f>
        <v>0.45571759259259259</v>
      </c>
      <c r="N67" s="36">
        <f>RTD("ice.rtd",,$C67 &amp; $D67 &amp; ":" &amp; N$1)</f>
        <v>197</v>
      </c>
      <c r="O67" s="36">
        <f>RTD("ice.rtd",,$C67 &amp; $D67 &amp; ":" &amp; O$1)</f>
        <v>215</v>
      </c>
      <c r="P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67" s="14">
        <f>IF(ICE[[#This Row],[LastType]] = "Scrn", ICE[[#This Row],[LstDate]], IF(ICE[[#This Row],[LastType]] = "Blk", ICE[[#This Row],[LstBlkTime]], ""))</f>
        <v>0.45571759259259259</v>
      </c>
      <c r="R67" s="41">
        <f>IF(ICE[[#This Row],[LastType]] = "Scrn", ICE[[#This Row],[LstPrc]], IF(ICE[[#This Row],[LastType]] = "Blk", ICE[[#This Row],[LstBlkPrc]], ""))</f>
        <v>3.9</v>
      </c>
      <c r="S67" s="36">
        <f>ICE[[#This Row],[Vol]]+ICE[[#This Row],[BlkVol]]</f>
        <v>412</v>
      </c>
      <c r="T67" s="36">
        <f>RTD("ice.rtd",,$C67 &amp; $D67 &amp; ":" &amp; T$1)</f>
        <v>0</v>
      </c>
      <c r="U67" s="18">
        <f>RTD("ice.rtd",,$C67 &amp; $D67 &amp; ":" &amp; U$1)</f>
        <v>3.5820000000000003</v>
      </c>
      <c r="V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3.82 / 3.95 {3.90} |412x</v>
      </c>
      <c r="W67" s="18" t="str">
        <f>IFERROR(IF(LEFT(ICE[[#This Row],[Tenor]], 1) = "B", RTD("esrtd",,$B67 &amp; " " &amp; ICE[[#This Row],[Tenor]] &amp; "-IEU", W$1), RTD("esrtd",,$B67 &amp; " " &amp; VLOOKUP(MONTH(ICE[[#This Row],[Strip]]), MthRef[], 2, 0) &amp; RIGHT(YEAR(ICE[[#This Row],[Strip]]), 2) &amp; "-IEU", W$1)), "")</f>
        <v/>
      </c>
      <c r="X67" s="36"/>
    </row>
    <row r="68" spans="1:24" x14ac:dyDescent="0.25">
      <c r="A68" s="37" t="s">
        <v>352</v>
      </c>
      <c r="B68" s="3" t="str">
        <f>RTD("ice.rtd",,$C68 &amp; $D68 &amp; ":" &amp; B$1)</f>
        <v>BOD</v>
      </c>
      <c r="C68" s="3">
        <v>141587</v>
      </c>
      <c r="D68" t="s">
        <v>816</v>
      </c>
      <c r="E68" s="3" t="str">
        <f>RTD("ice.rtd",,$C68 &amp; $D68 &amp; ":" &amp; E$1)</f>
        <v>Q2 27</v>
      </c>
      <c r="F68" s="3" t="str">
        <f>ICE[[#This Row],[Prod]]&amp;ICE[[#This Row],[Strip]]</f>
        <v>brdubQ2 27</v>
      </c>
      <c r="G68" s="18">
        <f>RTD("ice.rtd",,$C68 &amp; $D68 &amp; ":" &amp; G$1)</f>
        <v>3.32</v>
      </c>
      <c r="H68" s="18">
        <f>RTD("ice.rtd",,$C68 &amp; $D68 &amp; ":" &amp; H$1)</f>
        <v>3.55</v>
      </c>
      <c r="I68" s="18">
        <f>RTD("ice.rtd",,$C68 &amp; $D68 &amp; ":" &amp; I$1)</f>
        <v>3.5</v>
      </c>
      <c r="J68" s="14">
        <f>IFERROR(MOD(RTD("ice.rtd",,$C68 &amp; $D68 &amp; ":" &amp; J$1), 1), "")</f>
        <v>0.42580534722219454</v>
      </c>
      <c r="K68" s="18" t="str">
        <f>RTD("ice.rtd",,$C68 &amp; $D68 &amp; ":" &amp; K$1)</f>
        <v/>
      </c>
      <c r="L68" s="36" t="str">
        <f>RTD("ice.rtd",,$C68 &amp; $D68 &amp; ":" &amp; L$1)</f>
        <v/>
      </c>
      <c r="M68" s="14" t="str">
        <f>IFERROR(MOD(TIMEVALUE(RTD("ice.rtd",,$C68 &amp; $D68 &amp; ":" &amp; M$1)), 1), "")</f>
        <v/>
      </c>
      <c r="N68" s="36">
        <f>RTD("ice.rtd",,$C68 &amp; $D68 &amp; ":" &amp; N$1)</f>
        <v>12</v>
      </c>
      <c r="O68" s="36">
        <f>RTD("ice.rtd",,$C68 &amp; $D68 &amp; ":" &amp; O$1)</f>
        <v>0</v>
      </c>
      <c r="P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68" s="14">
        <f>IF(ICE[[#This Row],[LastType]] = "Scrn", ICE[[#This Row],[LstDate]], IF(ICE[[#This Row],[LastType]] = "Blk", ICE[[#This Row],[LstBlkTime]], ""))</f>
        <v>0.42580534722219454</v>
      </c>
      <c r="R68" s="41">
        <f>IF(ICE[[#This Row],[LastType]] = "Scrn", ICE[[#This Row],[LstPrc]], IF(ICE[[#This Row],[LastType]] = "Blk", ICE[[#This Row],[LstBlkPrc]], ""))</f>
        <v>3.5</v>
      </c>
      <c r="S68" s="36">
        <f>ICE[[#This Row],[Vol]]+ICE[[#This Row],[BlkVol]]</f>
        <v>12</v>
      </c>
      <c r="T68" s="36">
        <f>RTD("ice.rtd",,$C68 &amp; $D68 &amp; ":" &amp; T$1)</f>
        <v>0</v>
      </c>
      <c r="U68" s="18">
        <f>RTD("ice.rtd",,$C68 &amp; $D68 &amp; ":" &amp; U$1)</f>
        <v>3.2600000000000002</v>
      </c>
      <c r="V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3.32 / 3.55 {3.50} |12x</v>
      </c>
      <c r="W68" s="18" t="str">
        <f>IFERROR(IF(LEFT(ICE[[#This Row],[Tenor]], 1) = "B", RTD("esrtd",,$B68 &amp; " " &amp; ICE[[#This Row],[Tenor]] &amp; "-IEU", W$1), RTD("esrtd",,$B68 &amp; " " &amp; VLOOKUP(MONTH(ICE[[#This Row],[Strip]]), MthRef[], 2, 0) &amp; RIGHT(YEAR(ICE[[#This Row],[Strip]]), 2) &amp; "-IEU", W$1)), "")</f>
        <v/>
      </c>
      <c r="X68" s="36"/>
    </row>
    <row r="69" spans="1:24" x14ac:dyDescent="0.25">
      <c r="A69" s="37" t="s">
        <v>352</v>
      </c>
      <c r="B69" s="3" t="str">
        <f>RTD("ice.rtd",,$C69 &amp; $D69 &amp; ":" &amp; B$1)</f>
        <v>BOD</v>
      </c>
      <c r="C69" s="3">
        <v>141587</v>
      </c>
      <c r="D69" t="s">
        <v>817</v>
      </c>
      <c r="E69" s="3" t="str">
        <f>RTD("ice.rtd",,$C69 &amp; $D69 &amp; ":" &amp; E$1)</f>
        <v>Q3 27</v>
      </c>
      <c r="F69" s="3" t="str">
        <f>ICE[[#This Row],[Prod]]&amp;ICE[[#This Row],[Strip]]</f>
        <v>brdubQ3 27</v>
      </c>
      <c r="G69" s="18">
        <f>RTD("ice.rtd",,$C69 &amp; $D69 &amp; ":" &amp; G$1)</f>
        <v>3.1</v>
      </c>
      <c r="H69" s="18">
        <f>RTD("ice.rtd",,$C69 &amp; $D69 &amp; ":" &amp; H$1)</f>
        <v>3.4</v>
      </c>
      <c r="I69" s="18" t="str">
        <f>RTD("ice.rtd",,$C69 &amp; $D69 &amp; ":" &amp; I$1)</f>
        <v/>
      </c>
      <c r="J69" s="14" t="str">
        <f>IFERROR(MOD(RTD("ice.rtd",,$C69 &amp; $D69 &amp; ":" &amp; J$1), 1), "")</f>
        <v/>
      </c>
      <c r="K69" s="18" t="str">
        <f>RTD("ice.rtd",,$C69 &amp; $D69 &amp; ":" &amp; K$1)</f>
        <v/>
      </c>
      <c r="L69" s="36" t="str">
        <f>RTD("ice.rtd",,$C69 &amp; $D69 &amp; ":" &amp; L$1)</f>
        <v/>
      </c>
      <c r="M69" s="14" t="str">
        <f>IFERROR(MOD(TIMEVALUE(RTD("ice.rtd",,$C69 &amp; $D69 &amp; ":" &amp; M$1)), 1), "")</f>
        <v/>
      </c>
      <c r="N69" s="36">
        <f>RTD("ice.rtd",,$C69 &amp; $D69 &amp; ":" &amp; N$1)</f>
        <v>0</v>
      </c>
      <c r="O69" s="36">
        <f>RTD("ice.rtd",,$C69 &amp; $D69 &amp; ":" &amp; O$1)</f>
        <v>0</v>
      </c>
      <c r="P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" s="14" t="str">
        <f>IF(ICE[[#This Row],[LastType]] = "Scrn", ICE[[#This Row],[LstDate]], IF(ICE[[#This Row],[LastType]] = "Blk", ICE[[#This Row],[LstBlkTime]], ""))</f>
        <v/>
      </c>
      <c r="R69" s="41" t="str">
        <f>IF(ICE[[#This Row],[LastType]] = "Scrn", ICE[[#This Row],[LstPrc]], IF(ICE[[#This Row],[LastType]] = "Blk", ICE[[#This Row],[LstBlkPrc]], ""))</f>
        <v/>
      </c>
      <c r="S69" s="36">
        <f>ICE[[#This Row],[Vol]]+ICE[[#This Row],[BlkVol]]</f>
        <v>0</v>
      </c>
      <c r="T69" s="36">
        <f>RTD("ice.rtd",,$C69 &amp; $D69 &amp; ":" &amp; T$1)</f>
        <v>0</v>
      </c>
      <c r="U69" s="18">
        <f>RTD("ice.rtd",,$C69 &amp; $D69 &amp; ":" &amp; U$1)</f>
        <v>3.0710000000000002</v>
      </c>
      <c r="V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3.10 / 3.40 </v>
      </c>
      <c r="W69" s="18" t="str">
        <f>IFERROR(IF(LEFT(ICE[[#This Row],[Tenor]], 1) = "B", RTD("esrtd",,$B69 &amp; " " &amp; ICE[[#This Row],[Tenor]] &amp; "-IEU", W$1), RTD("esrtd",,$B69 &amp; " " &amp; VLOOKUP(MONTH(ICE[[#This Row],[Strip]]), MthRef[], 2, 0) &amp; RIGHT(YEAR(ICE[[#This Row],[Strip]]), 2) &amp; "-IEU", W$1)), "")</f>
        <v/>
      </c>
      <c r="X69" s="36"/>
    </row>
    <row r="70" spans="1:24" x14ac:dyDescent="0.25">
      <c r="A70" s="37" t="s">
        <v>352</v>
      </c>
      <c r="B70" s="3" t="str">
        <f>RTD("ice.rtd",,$C70 &amp; $D70 &amp; ":" &amp; B$1)</f>
        <v>BOD</v>
      </c>
      <c r="C70" s="3">
        <v>141587</v>
      </c>
      <c r="D70" t="s">
        <v>818</v>
      </c>
      <c r="E70" s="3" t="str">
        <f>RTD("ice.rtd",,$C70 &amp; $D70 &amp; ":" &amp; E$1)</f>
        <v>Q4 27</v>
      </c>
      <c r="F70" s="3" t="str">
        <f>ICE[[#This Row],[Prod]]&amp;ICE[[#This Row],[Strip]]</f>
        <v>brdubQ4 27</v>
      </c>
      <c r="G70" s="18">
        <f>RTD("ice.rtd",,$C70 &amp; $D70 &amp; ":" &amp; G$1)</f>
        <v>2.75</v>
      </c>
      <c r="H70" s="18">
        <f>RTD("ice.rtd",,$C70 &amp; $D70 &amp; ":" &amp; H$1)</f>
        <v>3.2</v>
      </c>
      <c r="I70" s="18" t="str">
        <f>RTD("ice.rtd",,$C70 &amp; $D70 &amp; ":" &amp; I$1)</f>
        <v/>
      </c>
      <c r="J70" s="14" t="str">
        <f>IFERROR(MOD(RTD("ice.rtd",,$C70 &amp; $D70 &amp; ":" &amp; J$1), 1), "")</f>
        <v/>
      </c>
      <c r="K70" s="18" t="str">
        <f>RTD("ice.rtd",,$C70 &amp; $D70 &amp; ":" &amp; K$1)</f>
        <v/>
      </c>
      <c r="L70" s="36" t="str">
        <f>RTD("ice.rtd",,$C70 &amp; $D70 &amp; ":" &amp; L$1)</f>
        <v/>
      </c>
      <c r="M70" s="14" t="str">
        <f>IFERROR(MOD(TIMEVALUE(RTD("ice.rtd",,$C70 &amp; $D70 &amp; ":" &amp; M$1)), 1), "")</f>
        <v/>
      </c>
      <c r="N70" s="36">
        <f>RTD("ice.rtd",,$C70 &amp; $D70 &amp; ":" &amp; N$1)</f>
        <v>0</v>
      </c>
      <c r="O70" s="36">
        <f>RTD("ice.rtd",,$C70 &amp; $D70 &amp; ":" &amp; O$1)</f>
        <v>0</v>
      </c>
      <c r="P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" s="14" t="str">
        <f>IF(ICE[[#This Row],[LastType]] = "Scrn", ICE[[#This Row],[LstDate]], IF(ICE[[#This Row],[LastType]] = "Blk", ICE[[#This Row],[LstBlkTime]], ""))</f>
        <v/>
      </c>
      <c r="R70" s="41" t="str">
        <f>IF(ICE[[#This Row],[LastType]] = "Scrn", ICE[[#This Row],[LstPrc]], IF(ICE[[#This Row],[LastType]] = "Blk", ICE[[#This Row],[LstBlkPrc]], ""))</f>
        <v/>
      </c>
      <c r="S70" s="36">
        <f>ICE[[#This Row],[Vol]]+ICE[[#This Row],[BlkVol]]</f>
        <v>0</v>
      </c>
      <c r="T70" s="36">
        <f>RTD("ice.rtd",,$C70 &amp; $D70 &amp; ":" &amp; T$1)</f>
        <v>0</v>
      </c>
      <c r="U70" s="18">
        <f>RTD("ice.rtd",,$C70 &amp; $D70 &amp; ":" &amp; U$1)</f>
        <v>2.9040000000000004</v>
      </c>
      <c r="V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2.75 / 3.20 </v>
      </c>
      <c r="W70" s="18" t="str">
        <f>IFERROR(IF(LEFT(ICE[[#This Row],[Tenor]], 1) = "B", RTD("esrtd",,$B70 &amp; " " &amp; ICE[[#This Row],[Tenor]] &amp; "-IEU", W$1), RTD("esrtd",,$B70 &amp; " " &amp; VLOOKUP(MONTH(ICE[[#This Row],[Strip]]), MthRef[], 2, 0) &amp; RIGHT(YEAR(ICE[[#This Row],[Strip]]), 2) &amp; "-IEU", W$1)), "")</f>
        <v/>
      </c>
      <c r="X70" s="36"/>
    </row>
    <row r="71" spans="1:24" x14ac:dyDescent="0.25">
      <c r="A71" s="37" t="s">
        <v>352</v>
      </c>
      <c r="B71" s="3" t="str">
        <f>RTD("ice.rtd",,$C71 &amp; $D71 &amp; ":" &amp; B$1)</f>
        <v>BOD</v>
      </c>
      <c r="C71" s="3">
        <v>141587</v>
      </c>
      <c r="D71" t="s">
        <v>819</v>
      </c>
      <c r="E71" s="3" t="str">
        <f>RTD("ice.rtd",,$C71 &amp; $D71 &amp; ":" &amp; E$1)</f>
        <v>Q1 28</v>
      </c>
      <c r="F71" s="3" t="str">
        <f>ICE[[#This Row],[Prod]]&amp;ICE[[#This Row],[Strip]]</f>
        <v>brdubQ1 28</v>
      </c>
      <c r="G71" s="18">
        <f>RTD("ice.rtd",,$C71 &amp; $D71 &amp; ":" &amp; G$1)</f>
        <v>2.2000000000000002</v>
      </c>
      <c r="H71" s="18">
        <f>RTD("ice.rtd",,$C71 &amp; $D71 &amp; ":" &amp; H$1)</f>
        <v>3.09</v>
      </c>
      <c r="I71" s="18" t="str">
        <f>RTD("ice.rtd",,$C71 &amp; $D71 &amp; ":" &amp; I$1)</f>
        <v/>
      </c>
      <c r="J71" s="14" t="str">
        <f>IFERROR(MOD(RTD("ice.rtd",,$C71 &amp; $D71 &amp; ":" &amp; J$1), 1), "")</f>
        <v/>
      </c>
      <c r="K71" s="18" t="str">
        <f>RTD("ice.rtd",,$C71 &amp; $D71 &amp; ":" &amp; K$1)</f>
        <v/>
      </c>
      <c r="L71" s="36" t="str">
        <f>RTD("ice.rtd",,$C71 &amp; $D71 &amp; ":" &amp; L$1)</f>
        <v/>
      </c>
      <c r="M71" s="14" t="str">
        <f>IFERROR(MOD(TIMEVALUE(RTD("ice.rtd",,$C71 &amp; $D71 &amp; ":" &amp; M$1)), 1), "")</f>
        <v/>
      </c>
      <c r="N71" s="36">
        <f>RTD("ice.rtd",,$C71 &amp; $D71 &amp; ":" &amp; N$1)</f>
        <v>0</v>
      </c>
      <c r="O71" s="36">
        <f>RTD("ice.rtd",,$C71 &amp; $D71 &amp; ":" &amp; O$1)</f>
        <v>0</v>
      </c>
      <c r="P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" s="14" t="str">
        <f>IF(ICE[[#This Row],[LastType]] = "Scrn", ICE[[#This Row],[LstDate]], IF(ICE[[#This Row],[LastType]] = "Blk", ICE[[#This Row],[LstBlkTime]], ""))</f>
        <v/>
      </c>
      <c r="R71" s="41" t="str">
        <f>IF(ICE[[#This Row],[LastType]] = "Scrn", ICE[[#This Row],[LstPrc]], IF(ICE[[#This Row],[LastType]] = "Blk", ICE[[#This Row],[LstBlkPrc]], ""))</f>
        <v/>
      </c>
      <c r="S71" s="36">
        <f>ICE[[#This Row],[Vol]]+ICE[[#This Row],[BlkVol]]</f>
        <v>0</v>
      </c>
      <c r="T71" s="36">
        <f>RTD("ice.rtd",,$C71 &amp; $D71 &amp; ":" &amp; T$1)</f>
        <v>0</v>
      </c>
      <c r="U71" s="18">
        <f>RTD("ice.rtd",,$C71 &amp; $D71 &amp; ":" &amp; U$1)</f>
        <v>2.58</v>
      </c>
      <c r="V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2.20 / 3.09 </v>
      </c>
      <c r="W71" s="18" t="str">
        <f>IFERROR(IF(LEFT(ICE[[#This Row],[Tenor]], 1) = "B", RTD("esrtd",,$B71 &amp; " " &amp; ICE[[#This Row],[Tenor]] &amp; "-IEU", W$1), RTD("esrtd",,$B71 &amp; " " &amp; VLOOKUP(MONTH(ICE[[#This Row],[Strip]]), MthRef[], 2, 0) &amp; RIGHT(YEAR(ICE[[#This Row],[Strip]]), 2) &amp; "-IEU", W$1)), "")</f>
        <v/>
      </c>
      <c r="X71" s="36"/>
    </row>
    <row r="72" spans="1:24" x14ac:dyDescent="0.25">
      <c r="A72" s="37" t="s">
        <v>352</v>
      </c>
      <c r="B72" s="3" t="str">
        <f>RTD("ice.rtd",,$C72 &amp; $D72 &amp; ":" &amp; B$1)</f>
        <v>BOD</v>
      </c>
      <c r="C72" s="3">
        <v>141587</v>
      </c>
      <c r="D72" t="s">
        <v>229</v>
      </c>
      <c r="E72" s="3" t="str">
        <f>RTD("ice.rtd",,$C72 &amp; $D72 &amp; ":" &amp; E$1)</f>
        <v>Q2 28</v>
      </c>
      <c r="F72" s="3" t="str">
        <f>ICE[[#This Row],[Prod]]&amp;ICE[[#This Row],[Strip]]</f>
        <v>brdubQ2 28</v>
      </c>
      <c r="G72" s="18" t="str">
        <f>RTD("ice.rtd",,$C72 &amp; $D72 &amp; ":" &amp; G$1)</f>
        <v/>
      </c>
      <c r="H72" s="18" t="str">
        <f>RTD("ice.rtd",,$C72 &amp; $D72 &amp; ":" &amp; H$1)</f>
        <v/>
      </c>
      <c r="I72" s="18" t="str">
        <f>RTD("ice.rtd",,$C72 &amp; $D72 &amp; ":" &amp; I$1)</f>
        <v/>
      </c>
      <c r="J72" s="14" t="str">
        <f>IFERROR(MOD(RTD("ice.rtd",,$C72 &amp; $D72 &amp; ":" &amp; J$1), 1), "")</f>
        <v/>
      </c>
      <c r="K72" s="18" t="str">
        <f>RTD("ice.rtd",,$C72 &amp; $D72 &amp; ":" &amp; K$1)</f>
        <v/>
      </c>
      <c r="L72" s="36" t="str">
        <f>RTD("ice.rtd",,$C72 &amp; $D72 &amp; ":" &amp; L$1)</f>
        <v/>
      </c>
      <c r="M72" s="14" t="str">
        <f>IFERROR(MOD(TIMEVALUE(RTD("ice.rtd",,$C72 &amp; $D72 &amp; ":" &amp; M$1)), 1), "")</f>
        <v/>
      </c>
      <c r="N72" s="36">
        <f>RTD("ice.rtd",,$C72 &amp; $D72 &amp; ":" &amp; N$1)</f>
        <v>0</v>
      </c>
      <c r="O72" s="36">
        <f>RTD("ice.rtd",,$C72 &amp; $D72 &amp; ":" &amp; O$1)</f>
        <v>0</v>
      </c>
      <c r="P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" s="14" t="str">
        <f>IF(ICE[[#This Row],[LastType]] = "Scrn", ICE[[#This Row],[LstDate]], IF(ICE[[#This Row],[LastType]] = "Blk", ICE[[#This Row],[LstBlkTime]], ""))</f>
        <v/>
      </c>
      <c r="R72" s="41" t="str">
        <f>IF(ICE[[#This Row],[LastType]] = "Scrn", ICE[[#This Row],[LstPrc]], IF(ICE[[#This Row],[LastType]] = "Blk", ICE[[#This Row],[LstBlkPrc]], ""))</f>
        <v/>
      </c>
      <c r="S72" s="36">
        <f>ICE[[#This Row],[Vol]]+ICE[[#This Row],[BlkVol]]</f>
        <v>0</v>
      </c>
      <c r="T72" s="36">
        <f>RTD("ice.rtd",,$C72 &amp; $D72 &amp; ":" &amp; T$1)</f>
        <v>0</v>
      </c>
      <c r="U72" s="18">
        <f>RTD("ice.rtd",,$C72 &amp; $D72 &amp; ":" &amp; U$1)</f>
        <v>2.4540000000000002</v>
      </c>
      <c r="V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" s="18" t="str">
        <f>IFERROR(IF(LEFT(ICE[[#This Row],[Tenor]], 1) = "B", RTD("esrtd",,$B72 &amp; " " &amp; ICE[[#This Row],[Tenor]] &amp; "-IEU", W$1), RTD("esrtd",,$B72 &amp; " " &amp; VLOOKUP(MONTH(ICE[[#This Row],[Strip]]), MthRef[], 2, 0) &amp; RIGHT(YEAR(ICE[[#This Row],[Strip]]), 2) &amp; "-IEU", W$1)), "")</f>
        <v/>
      </c>
      <c r="X72" s="36"/>
    </row>
    <row r="73" spans="1:24" x14ac:dyDescent="0.25">
      <c r="A73" s="37" t="s">
        <v>352</v>
      </c>
      <c r="B73" s="3" t="str">
        <f>RTD("ice.rtd",,$C73 &amp; $D73 &amp; ":" &amp; B$1)</f>
        <v>BOD</v>
      </c>
      <c r="C73" s="3">
        <v>141587</v>
      </c>
      <c r="D73" t="s">
        <v>820</v>
      </c>
      <c r="E73" s="3" t="str">
        <f>RTD("ice.rtd",,$C73 &amp; $D73 &amp; ":" &amp; E$1)</f>
        <v>Q3 28</v>
      </c>
      <c r="F73" s="3" t="str">
        <f>ICE[[#This Row],[Prod]]&amp;ICE[[#This Row],[Strip]]</f>
        <v>brdubQ3 28</v>
      </c>
      <c r="G73" s="18" t="str">
        <f>RTD("ice.rtd",,$C73 &amp; $D73 &amp; ":" &amp; G$1)</f>
        <v/>
      </c>
      <c r="H73" s="18" t="str">
        <f>RTD("ice.rtd",,$C73 &amp; $D73 &amp; ":" &amp; H$1)</f>
        <v/>
      </c>
      <c r="I73" s="18" t="str">
        <f>RTD("ice.rtd",,$C73 &amp; $D73 &amp; ":" &amp; I$1)</f>
        <v/>
      </c>
      <c r="J73" s="14" t="str">
        <f>IFERROR(MOD(RTD("ice.rtd",,$C73 &amp; $D73 &amp; ":" &amp; J$1), 1), "")</f>
        <v/>
      </c>
      <c r="K73" s="18" t="str">
        <f>RTD("ice.rtd",,$C73 &amp; $D73 &amp; ":" &amp; K$1)</f>
        <v/>
      </c>
      <c r="L73" s="36" t="str">
        <f>RTD("ice.rtd",,$C73 &amp; $D73 &amp; ":" &amp; L$1)</f>
        <v/>
      </c>
      <c r="M73" s="14" t="str">
        <f>IFERROR(MOD(TIMEVALUE(RTD("ice.rtd",,$C73 &amp; $D73 &amp; ":" &amp; M$1)), 1), "")</f>
        <v/>
      </c>
      <c r="N73" s="36">
        <f>RTD("ice.rtd",,$C73 &amp; $D73 &amp; ":" &amp; N$1)</f>
        <v>0</v>
      </c>
      <c r="O73" s="36">
        <f>RTD("ice.rtd",,$C73 &amp; $D73 &amp; ":" &amp; O$1)</f>
        <v>0</v>
      </c>
      <c r="P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" s="14" t="str">
        <f>IF(ICE[[#This Row],[LastType]] = "Scrn", ICE[[#This Row],[LstDate]], IF(ICE[[#This Row],[LastType]] = "Blk", ICE[[#This Row],[LstBlkTime]], ""))</f>
        <v/>
      </c>
      <c r="R73" s="41" t="str">
        <f>IF(ICE[[#This Row],[LastType]] = "Scrn", ICE[[#This Row],[LstPrc]], IF(ICE[[#This Row],[LastType]] = "Blk", ICE[[#This Row],[LstBlkPrc]], ""))</f>
        <v/>
      </c>
      <c r="S73" s="36">
        <f>ICE[[#This Row],[Vol]]+ICE[[#This Row],[BlkVol]]</f>
        <v>0</v>
      </c>
      <c r="T73" s="36">
        <f>RTD("ice.rtd",,$C73 &amp; $D73 &amp; ":" &amp; T$1)</f>
        <v>0</v>
      </c>
      <c r="U73" s="18">
        <f>RTD("ice.rtd",,$C73 &amp; $D73 &amp; ":" &amp; U$1)</f>
        <v>2.3250000000000002</v>
      </c>
      <c r="V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" s="18" t="str">
        <f>IFERROR(IF(LEFT(ICE[[#This Row],[Tenor]], 1) = "B", RTD("esrtd",,$B73 &amp; " " &amp; ICE[[#This Row],[Tenor]] &amp; "-IEU", W$1), RTD("esrtd",,$B73 &amp; " " &amp; VLOOKUP(MONTH(ICE[[#This Row],[Strip]]), MthRef[], 2, 0) &amp; RIGHT(YEAR(ICE[[#This Row],[Strip]]), 2) &amp; "-IEU", W$1)), "")</f>
        <v/>
      </c>
      <c r="X73" s="36"/>
    </row>
    <row r="74" spans="1:24" x14ac:dyDescent="0.25">
      <c r="A74" s="37" t="s">
        <v>352</v>
      </c>
      <c r="B74" s="3" t="str">
        <f>RTD("ice.rtd",,$C74 &amp; $D74 &amp; ":" &amp; B$1)</f>
        <v>BOD</v>
      </c>
      <c r="C74" s="3">
        <v>141587</v>
      </c>
      <c r="D74" t="s">
        <v>821</v>
      </c>
      <c r="E74" s="3" t="str">
        <f>RTD("ice.rtd",,$C74 &amp; $D74 &amp; ":" &amp; E$1)</f>
        <v>Q4 28</v>
      </c>
      <c r="F74" s="3" t="str">
        <f>ICE[[#This Row],[Prod]]&amp;ICE[[#This Row],[Strip]]</f>
        <v>brdubQ4 28</v>
      </c>
      <c r="G74" s="18" t="str">
        <f>RTD("ice.rtd",,$C74 &amp; $D74 &amp; ":" &amp; G$1)</f>
        <v/>
      </c>
      <c r="H74" s="18" t="str">
        <f>RTD("ice.rtd",,$C74 &amp; $D74 &amp; ":" &amp; H$1)</f>
        <v/>
      </c>
      <c r="I74" s="18" t="str">
        <f>RTD("ice.rtd",,$C74 &amp; $D74 &amp; ":" &amp; I$1)</f>
        <v/>
      </c>
      <c r="J74" s="14" t="str">
        <f>IFERROR(MOD(RTD("ice.rtd",,$C74 &amp; $D74 &amp; ":" &amp; J$1), 1), "")</f>
        <v/>
      </c>
      <c r="K74" s="18" t="str">
        <f>RTD("ice.rtd",,$C74 &amp; $D74 &amp; ":" &amp; K$1)</f>
        <v/>
      </c>
      <c r="L74" s="36" t="str">
        <f>RTD("ice.rtd",,$C74 &amp; $D74 &amp; ":" &amp; L$1)</f>
        <v/>
      </c>
      <c r="M74" s="14" t="str">
        <f>IFERROR(MOD(TIMEVALUE(RTD("ice.rtd",,$C74 &amp; $D74 &amp; ":" &amp; M$1)), 1), "")</f>
        <v/>
      </c>
      <c r="N74" s="36">
        <f>RTD("ice.rtd",,$C74 &amp; $D74 &amp; ":" &amp; N$1)</f>
        <v>0</v>
      </c>
      <c r="O74" s="36">
        <f>RTD("ice.rtd",,$C74 &amp; $D74 &amp; ":" &amp; O$1)</f>
        <v>0</v>
      </c>
      <c r="P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" s="14" t="str">
        <f>IF(ICE[[#This Row],[LastType]] = "Scrn", ICE[[#This Row],[LstDate]], IF(ICE[[#This Row],[LastType]] = "Blk", ICE[[#This Row],[LstBlkTime]], ""))</f>
        <v/>
      </c>
      <c r="R74" s="41" t="str">
        <f>IF(ICE[[#This Row],[LastType]] = "Scrn", ICE[[#This Row],[LstPrc]], IF(ICE[[#This Row],[LastType]] = "Blk", ICE[[#This Row],[LstBlkPrc]], ""))</f>
        <v/>
      </c>
      <c r="S74" s="36">
        <f>ICE[[#This Row],[Vol]]+ICE[[#This Row],[BlkVol]]</f>
        <v>0</v>
      </c>
      <c r="T74" s="36">
        <f>RTD("ice.rtd",,$C74 &amp; $D74 &amp; ":" &amp; T$1)</f>
        <v>0</v>
      </c>
      <c r="U74" s="18">
        <f>RTD("ice.rtd",,$C74 &amp; $D74 &amp; ":" &amp; U$1)</f>
        <v>2.1840000000000002</v>
      </c>
      <c r="V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" s="18" t="str">
        <f>IFERROR(IF(LEFT(ICE[[#This Row],[Tenor]], 1) = "B", RTD("esrtd",,$B74 &amp; " " &amp; ICE[[#This Row],[Tenor]] &amp; "-IEU", W$1), RTD("esrtd",,$B74 &amp; " " &amp; VLOOKUP(MONTH(ICE[[#This Row],[Strip]]), MthRef[], 2, 0) &amp; RIGHT(YEAR(ICE[[#This Row],[Strip]]), 2) &amp; "-IEU", W$1)), "")</f>
        <v/>
      </c>
      <c r="X74" s="36"/>
    </row>
    <row r="75" spans="1:24" x14ac:dyDescent="0.25">
      <c r="A75" s="37" t="s">
        <v>352</v>
      </c>
      <c r="B75" s="3" t="str">
        <f>RTD("ice.rtd",,$C75 &amp; $D75 &amp; ":" &amp; B$1)</f>
        <v>BOD</v>
      </c>
      <c r="C75" s="3">
        <v>141587</v>
      </c>
      <c r="D75" t="s">
        <v>822</v>
      </c>
      <c r="E75" s="3" t="str">
        <f>RTD("ice.rtd",,$C75 &amp; $D75 &amp; ":" &amp; E$1)</f>
        <v>Cal 27</v>
      </c>
      <c r="F75" s="3" t="str">
        <f>ICE[[#This Row],[Prod]]&amp;ICE[[#This Row],[Strip]]</f>
        <v>brdubCal 27</v>
      </c>
      <c r="G75" s="18">
        <f>RTD("ice.rtd",,$C75 &amp; $D75 &amp; ":" &amp; G$1)</f>
        <v>3.1</v>
      </c>
      <c r="H75" s="18">
        <f>RTD("ice.rtd",,$C75 &amp; $D75 &amp; ":" &amp; H$1)</f>
        <v>3.7</v>
      </c>
      <c r="I75" s="18" t="str">
        <f>RTD("ice.rtd",,$C75 &amp; $D75 &amp; ":" &amp; I$1)</f>
        <v/>
      </c>
      <c r="J75" s="14" t="str">
        <f>IFERROR(MOD(RTD("ice.rtd",,$C75 &amp; $D75 &amp; ":" &amp; J$1), 1), "")</f>
        <v/>
      </c>
      <c r="K75" s="18" t="str">
        <f>RTD("ice.rtd",,$C75 &amp; $D75 &amp; ":" &amp; K$1)</f>
        <v/>
      </c>
      <c r="L75" s="36" t="str">
        <f>RTD("ice.rtd",,$C75 &amp; $D75 &amp; ":" &amp; L$1)</f>
        <v/>
      </c>
      <c r="M75" s="14" t="str">
        <f>IFERROR(MOD(TIMEVALUE(RTD("ice.rtd",,$C75 &amp; $D75 &amp; ":" &amp; M$1)), 1), "")</f>
        <v/>
      </c>
      <c r="N75" s="36">
        <f>RTD("ice.rtd",,$C75 &amp; $D75 &amp; ":" &amp; N$1)</f>
        <v>0</v>
      </c>
      <c r="O75" s="36">
        <f>RTD("ice.rtd",,$C75 &amp; $D75 &amp; ":" &amp; O$1)</f>
        <v>0</v>
      </c>
      <c r="P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" s="14" t="str">
        <f>IF(ICE[[#This Row],[LastType]] = "Scrn", ICE[[#This Row],[LstDate]], IF(ICE[[#This Row],[LastType]] = "Blk", ICE[[#This Row],[LstBlkTime]], ""))</f>
        <v/>
      </c>
      <c r="R75" s="41" t="str">
        <f>IF(ICE[[#This Row],[LastType]] = "Scrn", ICE[[#This Row],[LstPrc]], IF(ICE[[#This Row],[LastType]] = "Blk", ICE[[#This Row],[LstBlkPrc]], ""))</f>
        <v/>
      </c>
      <c r="S75" s="36">
        <f>ICE[[#This Row],[Vol]]+ICE[[#This Row],[BlkVol]]</f>
        <v>0</v>
      </c>
      <c r="T75" s="36">
        <f>RTD("ice.rtd",,$C75 &amp; $D75 &amp; ":" &amp; T$1)</f>
        <v>0</v>
      </c>
      <c r="U75" s="18">
        <f>RTD("ice.rtd",,$C75 &amp; $D75 &amp; ":" &amp; U$1)</f>
        <v>3.2040000000000002</v>
      </c>
      <c r="V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3.10 / 3.70 </v>
      </c>
      <c r="W75" s="18" t="str">
        <f>IFERROR(IF(LEFT(ICE[[#This Row],[Tenor]], 1) = "B", RTD("esrtd",,$B75 &amp; " " &amp; ICE[[#This Row],[Tenor]] &amp; "-IEU", W$1), RTD("esrtd",,$B75 &amp; " " &amp; VLOOKUP(MONTH(ICE[[#This Row],[Strip]]), MthRef[], 2, 0) &amp; RIGHT(YEAR(ICE[[#This Row],[Strip]]), 2) &amp; "-IEU", W$1)), "")</f>
        <v/>
      </c>
      <c r="X75" s="36"/>
    </row>
    <row r="76" spans="1:24" x14ac:dyDescent="0.25">
      <c r="A76" s="37" t="s">
        <v>352</v>
      </c>
      <c r="B76" s="3" t="str">
        <f>RTD("ice.rtd",,$C76 &amp; $D76 &amp; ":" &amp; B$1)</f>
        <v>BOD</v>
      </c>
      <c r="C76" s="3">
        <v>141587</v>
      </c>
      <c r="D76" t="s">
        <v>823</v>
      </c>
      <c r="E76" s="3" t="str">
        <f>RTD("ice.rtd",,$C76 &amp; $D76 &amp; ":" &amp; E$1)</f>
        <v>Cal 28</v>
      </c>
      <c r="F76" s="3" t="str">
        <f>ICE[[#This Row],[Prod]]&amp;ICE[[#This Row],[Strip]]</f>
        <v>brdubCal 28</v>
      </c>
      <c r="G76" s="18">
        <f>RTD("ice.rtd",,$C76 &amp; $D76 &amp; ":" &amp; G$1)</f>
        <v>1.9</v>
      </c>
      <c r="H76" s="18">
        <f>RTD("ice.rtd",,$C76 &amp; $D76 &amp; ":" &amp; H$1)</f>
        <v>2.5</v>
      </c>
      <c r="I76" s="18" t="str">
        <f>RTD("ice.rtd",,$C76 &amp; $D76 &amp; ":" &amp; I$1)</f>
        <v/>
      </c>
      <c r="J76" s="14" t="str">
        <f>IFERROR(MOD(RTD("ice.rtd",,$C76 &amp; $D76 &amp; ":" &amp; J$1), 1), "")</f>
        <v/>
      </c>
      <c r="K76" s="18" t="str">
        <f>RTD("ice.rtd",,$C76 &amp; $D76 &amp; ":" &amp; K$1)</f>
        <v/>
      </c>
      <c r="L76" s="36" t="str">
        <f>RTD("ice.rtd",,$C76 &amp; $D76 &amp; ":" &amp; L$1)</f>
        <v/>
      </c>
      <c r="M76" s="14" t="str">
        <f>IFERROR(MOD(TIMEVALUE(RTD("ice.rtd",,$C76 &amp; $D76 &amp; ":" &amp; M$1)), 1), "")</f>
        <v/>
      </c>
      <c r="N76" s="36">
        <f>RTD("ice.rtd",,$C76 &amp; $D76 &amp; ":" &amp; N$1)</f>
        <v>0</v>
      </c>
      <c r="O76" s="36">
        <f>RTD("ice.rtd",,$C76 &amp; $D76 &amp; ":" &amp; O$1)</f>
        <v>0</v>
      </c>
      <c r="P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" s="14" t="str">
        <f>IF(ICE[[#This Row],[LastType]] = "Scrn", ICE[[#This Row],[LstDate]], IF(ICE[[#This Row],[LastType]] = "Blk", ICE[[#This Row],[LstBlkTime]], ""))</f>
        <v/>
      </c>
      <c r="R76" s="41" t="str">
        <f>IF(ICE[[#This Row],[LastType]] = "Scrn", ICE[[#This Row],[LstPrc]], IF(ICE[[#This Row],[LastType]] = "Blk", ICE[[#This Row],[LstBlkPrc]], ""))</f>
        <v/>
      </c>
      <c r="S76" s="36">
        <f>ICE[[#This Row],[Vol]]+ICE[[#This Row],[BlkVol]]</f>
        <v>0</v>
      </c>
      <c r="T76" s="36">
        <f>RTD("ice.rtd",,$C76 &amp; $D76 &amp; ":" &amp; T$1)</f>
        <v>0</v>
      </c>
      <c r="U76" s="18">
        <f>RTD("ice.rtd",,$C76 &amp; $D76 &amp; ":" &amp; U$1)</f>
        <v>2.3860000000000001</v>
      </c>
      <c r="V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1.90 / 2.50 </v>
      </c>
      <c r="W76" s="18" t="str">
        <f>IFERROR(IF(LEFT(ICE[[#This Row],[Tenor]], 1) = "B", RTD("esrtd",,$B76 &amp; " " &amp; ICE[[#This Row],[Tenor]] &amp; "-IEU", W$1), RTD("esrtd",,$B76 &amp; " " &amp; VLOOKUP(MONTH(ICE[[#This Row],[Strip]]), MthRef[], 2, 0) &amp; RIGHT(YEAR(ICE[[#This Row],[Strip]]), 2) &amp; "-IEU", W$1)), "")</f>
        <v/>
      </c>
      <c r="X76" s="36"/>
    </row>
    <row r="77" spans="1:24" x14ac:dyDescent="0.25">
      <c r="A77" s="37" t="s">
        <v>352</v>
      </c>
      <c r="B77" s="3" t="str">
        <f>RTD("ice.rtd",,$C77 &amp; $D77 &amp; ":" &amp; B$1)</f>
        <v>BOD</v>
      </c>
      <c r="C77" s="3">
        <v>141587</v>
      </c>
      <c r="D77" t="s">
        <v>824</v>
      </c>
      <c r="E77" s="3" t="str">
        <f>RTD("ice.rtd",,$C77 &amp; $D77 &amp; ":" &amp; E$1)</f>
        <v>Cal 29</v>
      </c>
      <c r="F77" s="3" t="str">
        <f>ICE[[#This Row],[Prod]]&amp;ICE[[#This Row],[Strip]]</f>
        <v>brdubCal 29</v>
      </c>
      <c r="G77" s="18" t="str">
        <f>RTD("ice.rtd",,$C77 &amp; $D77 &amp; ":" &amp; G$1)</f>
        <v/>
      </c>
      <c r="H77" s="18">
        <f>RTD("ice.rtd",,$C77 &amp; $D77 &amp; ":" &amp; H$1)</f>
        <v>2.5</v>
      </c>
      <c r="I77" s="18" t="str">
        <f>RTD("ice.rtd",,$C77 &amp; $D77 &amp; ":" &amp; I$1)</f>
        <v/>
      </c>
      <c r="J77" s="14" t="str">
        <f>IFERROR(MOD(RTD("ice.rtd",,$C77 &amp; $D77 &amp; ":" &amp; J$1), 1), "")</f>
        <v/>
      </c>
      <c r="K77" s="18" t="str">
        <f>RTD("ice.rtd",,$C77 &amp; $D77 &amp; ":" &amp; K$1)</f>
        <v/>
      </c>
      <c r="L77" s="36" t="str">
        <f>RTD("ice.rtd",,$C77 &amp; $D77 &amp; ":" &amp; L$1)</f>
        <v/>
      </c>
      <c r="M77" s="14" t="str">
        <f>IFERROR(MOD(TIMEVALUE(RTD("ice.rtd",,$C77 &amp; $D77 &amp; ":" &amp; M$1)), 1), "")</f>
        <v/>
      </c>
      <c r="N77" s="36">
        <f>RTD("ice.rtd",,$C77 &amp; $D77 &amp; ":" &amp; N$1)</f>
        <v>0</v>
      </c>
      <c r="O77" s="36">
        <f>RTD("ice.rtd",,$C77 &amp; $D77 &amp; ":" &amp; O$1)</f>
        <v>0</v>
      </c>
      <c r="P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" s="14" t="str">
        <f>IF(ICE[[#This Row],[LastType]] = "Scrn", ICE[[#This Row],[LstDate]], IF(ICE[[#This Row],[LastType]] = "Blk", ICE[[#This Row],[LstBlkTime]], ""))</f>
        <v/>
      </c>
      <c r="R77" s="41" t="str">
        <f>IF(ICE[[#This Row],[LastType]] = "Scrn", ICE[[#This Row],[LstPrc]], IF(ICE[[#This Row],[LastType]] = "Blk", ICE[[#This Row],[LstBlkPrc]], ""))</f>
        <v/>
      </c>
      <c r="S77" s="36">
        <f>ICE[[#This Row],[Vol]]+ICE[[#This Row],[BlkVol]]</f>
        <v>0</v>
      </c>
      <c r="T77" s="36">
        <f>RTD("ice.rtd",,$C77 &amp; $D77 &amp; ":" &amp; T$1)</f>
        <v>0</v>
      </c>
      <c r="U77" s="18">
        <f>RTD("ice.rtd",,$C77 &amp; $D77 &amp; ":" &amp; U$1)</f>
        <v>2.14</v>
      </c>
      <c r="V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2.50 </v>
      </c>
      <c r="W77" s="18" t="str">
        <f>IFERROR(IF(LEFT(ICE[[#This Row],[Tenor]], 1) = "B", RTD("esrtd",,$B77 &amp; " " &amp; ICE[[#This Row],[Tenor]] &amp; "-IEU", W$1), RTD("esrtd",,$B77 &amp; " " &amp; VLOOKUP(MONTH(ICE[[#This Row],[Strip]]), MthRef[], 2, 0) &amp; RIGHT(YEAR(ICE[[#This Row],[Strip]]), 2) &amp; "-IEU", W$1)), "")</f>
        <v/>
      </c>
      <c r="X77" s="36"/>
    </row>
    <row r="78" spans="1:24" x14ac:dyDescent="0.25">
      <c r="A78" s="37" t="s">
        <v>411</v>
      </c>
      <c r="B78" s="3" t="str">
        <f>RTD("ice.rtd",,$C78 &amp; $D78 &amp; ":" &amp; B$1)</f>
        <v>UME</v>
      </c>
      <c r="C78" s="3">
        <v>2185324625</v>
      </c>
      <c r="D78" t="s">
        <v>792</v>
      </c>
      <c r="E78" s="3" t="str">
        <f>RTD("ice.rtd",,$C78 &amp; $D78 &amp; ":" &amp; E$1)</f>
        <v>Bal Month</v>
      </c>
      <c r="F78" s="3" t="str">
        <f>ICE[[#This Row],[Prod]]&amp;ICE[[#This Row],[Strip]]</f>
        <v>jetccndiffBal Month</v>
      </c>
      <c r="G78" s="18" t="str">
        <f>RTD("ice.rtd",,$C78 &amp; $D78 &amp; ":" &amp; G$1)</f>
        <v/>
      </c>
      <c r="H78" s="18" t="str">
        <f>RTD("ice.rtd",,$C78 &amp; $D78 &amp; ":" &amp; H$1)</f>
        <v/>
      </c>
      <c r="I78" s="18" t="str">
        <f>RTD("ice.rtd",,$C78 &amp; $D78 &amp; ":" &amp; I$1)</f>
        <v/>
      </c>
      <c r="J78" s="14" t="str">
        <f>IFERROR(MOD(RTD("ice.rtd",,$C78 &amp; $D78 &amp; ":" &amp; J$1), 1), "")</f>
        <v/>
      </c>
      <c r="K78" s="18" t="str">
        <f>RTD("ice.rtd",,$C78 &amp; $D78 &amp; ":" &amp; K$1)</f>
        <v/>
      </c>
      <c r="L78" s="36" t="str">
        <f>RTD("ice.rtd",,$C78 &amp; $D78 &amp; ":" &amp; L$1)</f>
        <v/>
      </c>
      <c r="M78" s="14" t="str">
        <f>IFERROR(MOD(TIMEVALUE(RTD("ice.rtd",,$C78 &amp; $D78 &amp; ":" &amp; M$1)), 1), "")</f>
        <v/>
      </c>
      <c r="N78" s="36">
        <f>RTD("ice.rtd",,$C78 &amp; $D78 &amp; ":" &amp; N$1)</f>
        <v>0</v>
      </c>
      <c r="O78" s="36">
        <f>RTD("ice.rtd",,$C78 &amp; $D78 &amp; ":" &amp; O$1)</f>
        <v>0</v>
      </c>
      <c r="P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" s="14" t="str">
        <f>IF(ICE[[#This Row],[LastType]] = "Scrn", ICE[[#This Row],[LstDate]], IF(ICE[[#This Row],[LastType]] = "Blk", ICE[[#This Row],[LstBlkTime]], ""))</f>
        <v/>
      </c>
      <c r="R78" s="41" t="str">
        <f>IF(ICE[[#This Row],[LastType]] = "Scrn", ICE[[#This Row],[LstPrc]], IF(ICE[[#This Row],[LastType]] = "Blk", ICE[[#This Row],[LstBlkPrc]], ""))</f>
        <v/>
      </c>
      <c r="S78" s="36">
        <f>ICE[[#This Row],[Vol]]+ICE[[#This Row],[BlkVol]]</f>
        <v>0</v>
      </c>
      <c r="T78" s="36">
        <f>RTD("ice.rtd",,$C78 &amp; $D78 &amp; ":" &amp; T$1)</f>
        <v>0</v>
      </c>
      <c r="U78" s="18">
        <f>RTD("ice.rtd",,$C78 &amp; $D78 &amp; ":" &amp; U$1)</f>
        <v>61</v>
      </c>
      <c r="V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" s="18" t="str">
        <f>IFERROR(IF(LEFT(ICE[[#This Row],[Tenor]], 1) = "B", RTD("esrtd",,$B78 &amp; " " &amp; ICE[[#This Row],[Tenor]] &amp; "-IEU", W$1), RTD("esrtd",,$B78 &amp; " " &amp; VLOOKUP(MONTH(ICE[[#This Row],[Strip]]), MthRef[], 2, 0) &amp; RIGHT(YEAR(ICE[[#This Row],[Strip]]), 2) &amp; "-IEU", W$1)), "")</f>
        <v/>
      </c>
      <c r="X78" s="36"/>
    </row>
    <row r="79" spans="1:24" x14ac:dyDescent="0.25">
      <c r="A79" s="37" t="s">
        <v>411</v>
      </c>
      <c r="B79" s="3" t="str">
        <f>RTD("ice.rtd",,$C79 &amp; $D79 &amp; ":" &amp; B$1)</f>
        <v>ULJ</v>
      </c>
      <c r="C79" s="3">
        <v>34414099</v>
      </c>
      <c r="D79" t="s">
        <v>793</v>
      </c>
      <c r="E79" s="3" t="str">
        <f>RTD("ice.rtd",,$C79 &amp; $D79 &amp; ":" &amp; E$1)</f>
        <v>Sep26</v>
      </c>
      <c r="F79" s="3" t="str">
        <f>ICE[[#This Row],[Prod]]&amp;ICE[[#This Row],[Strip]]</f>
        <v>jetccndiffSep26</v>
      </c>
      <c r="G79" s="18">
        <f>RTD("ice.rtd",,$C79 &amp; $D79 &amp; ":" &amp; G$1)</f>
        <v>58</v>
      </c>
      <c r="H79" s="18">
        <f>RTD("ice.rtd",,$C79 &amp; $D79 &amp; ":" &amp; H$1)</f>
        <v>69.5</v>
      </c>
      <c r="I79" s="18" t="str">
        <f>RTD("ice.rtd",,$C79 &amp; $D79 &amp; ":" &amp; I$1)</f>
        <v/>
      </c>
      <c r="J79" s="14" t="str">
        <f>IFERROR(MOD(RTD("ice.rtd",,$C79 &amp; $D79 &amp; ":" &amp; J$1), 1), "")</f>
        <v/>
      </c>
      <c r="K79" s="18" t="str">
        <f>RTD("ice.rtd",,$C79 &amp; $D79 &amp; ":" &amp; K$1)</f>
        <v/>
      </c>
      <c r="L79" s="36" t="str">
        <f>RTD("ice.rtd",,$C79 &amp; $D79 &amp; ":" &amp; L$1)</f>
        <v/>
      </c>
      <c r="M79" s="14" t="str">
        <f>IFERROR(MOD(TIMEVALUE(RTD("ice.rtd",,$C79 &amp; $D79 &amp; ":" &amp; M$1)), 1), "")</f>
        <v/>
      </c>
      <c r="N79" s="36">
        <f>RTD("ice.rtd",,$C79 &amp; $D79 &amp; ":" &amp; N$1)</f>
        <v>0</v>
      </c>
      <c r="O79" s="36">
        <f>RTD("ice.rtd",,$C79 &amp; $D79 &amp; ":" &amp; O$1)</f>
        <v>0</v>
      </c>
      <c r="P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" s="14" t="str">
        <f>IF(ICE[[#This Row],[LastType]] = "Scrn", ICE[[#This Row],[LstDate]], IF(ICE[[#This Row],[LastType]] = "Blk", ICE[[#This Row],[LstBlkTime]], ""))</f>
        <v/>
      </c>
      <c r="R79" s="41" t="str">
        <f>IF(ICE[[#This Row],[LastType]] = "Scrn", ICE[[#This Row],[LstPrc]], IF(ICE[[#This Row],[LastType]] = "Blk", ICE[[#This Row],[LstBlkPrc]], ""))</f>
        <v/>
      </c>
      <c r="S79" s="36">
        <f>ICE[[#This Row],[Vol]]+ICE[[#This Row],[BlkVol]]</f>
        <v>0</v>
      </c>
      <c r="T79" s="36">
        <f>RTD("ice.rtd",,$C79 &amp; $D79 &amp; ":" &amp; T$1)</f>
        <v>2161</v>
      </c>
      <c r="U79" s="18">
        <f>RTD("ice.rtd",,$C79 &amp; $D79 &amp; ":" &amp; U$1)</f>
        <v>61</v>
      </c>
      <c r="V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58.00 / 69.50 </v>
      </c>
      <c r="W79" s="18" t="str">
        <f>IFERROR(IF(LEFT(ICE[[#This Row],[Tenor]], 1) = "B", RTD("esrtd",,$B79 &amp; " " &amp; ICE[[#This Row],[Tenor]] &amp; "-IEU", W$1), RTD("esrtd",,$B79 &amp; " " &amp; VLOOKUP(MONTH(ICE[[#This Row],[Strip]]), MthRef[], 2, 0) &amp; RIGHT(YEAR(ICE[[#This Row],[Strip]]), 2) &amp; "-IEU", W$1)), "")</f>
        <v/>
      </c>
      <c r="X79" s="36"/>
    </row>
    <row r="80" spans="1:24" x14ac:dyDescent="0.25">
      <c r="A80" s="37" t="s">
        <v>411</v>
      </c>
      <c r="B80" s="3" t="str">
        <f>RTD("ice.rtd",,$C80 &amp; $D80 &amp; ":" &amp; B$1)</f>
        <v>ULJ</v>
      </c>
      <c r="C80" s="3">
        <v>34414099</v>
      </c>
      <c r="D80" t="s">
        <v>324</v>
      </c>
      <c r="E80" s="3" t="str">
        <f>RTD("ice.rtd",,$C80 &amp; $D80 &amp; ":" &amp; E$1)</f>
        <v>Oct26</v>
      </c>
      <c r="F80" s="3" t="str">
        <f>ICE[[#This Row],[Prod]]&amp;ICE[[#This Row],[Strip]]</f>
        <v>jetccndiffOct26</v>
      </c>
      <c r="G80" s="18">
        <f>RTD("ice.rtd",,$C80 &amp; $D80 &amp; ":" &amp; G$1)</f>
        <v>76.5</v>
      </c>
      <c r="H80" s="18">
        <f>RTD("ice.rtd",,$C80 &amp; $D80 &amp; ":" &amp; H$1)</f>
        <v>88</v>
      </c>
      <c r="I80" s="18" t="str">
        <f>RTD("ice.rtd",,$C80 &amp; $D80 &amp; ":" &amp; I$1)</f>
        <v/>
      </c>
      <c r="J80" s="14" t="str">
        <f>IFERROR(MOD(RTD("ice.rtd",,$C80 &amp; $D80 &amp; ":" &amp; J$1), 1), "")</f>
        <v/>
      </c>
      <c r="K80" s="18">
        <f>RTD("ice.rtd",,$C80 &amp; $D80 &amp; ":" &amp; K$1)</f>
        <v>87</v>
      </c>
      <c r="L80" s="36">
        <f>RTD("ice.rtd",,$C80 &amp; $D80 &amp; ":" &amp; L$1)</f>
        <v>5</v>
      </c>
      <c r="M80" s="14">
        <f>IFERROR(MOD(TIMEVALUE(RTD("ice.rtd",,$C80 &amp; $D80 &amp; ":" &amp; M$1)), 1), "")</f>
        <v>0.42533564814814817</v>
      </c>
      <c r="N80" s="36">
        <f>RTD("ice.rtd",,$C80 &amp; $D80 &amp; ":" &amp; N$1)</f>
        <v>0</v>
      </c>
      <c r="O80" s="36">
        <f>RTD("ice.rtd",,$C80 &amp; $D80 &amp; ":" &amp; O$1)</f>
        <v>140</v>
      </c>
      <c r="P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80" s="14">
        <f>IF(ICE[[#This Row],[LastType]] = "Scrn", ICE[[#This Row],[LstDate]], IF(ICE[[#This Row],[LastType]] = "Blk", ICE[[#This Row],[LstBlkTime]], ""))</f>
        <v>0.42533564814814817</v>
      </c>
      <c r="R80" s="41">
        <f>IF(ICE[[#This Row],[LastType]] = "Scrn", ICE[[#This Row],[LstPrc]], IF(ICE[[#This Row],[LastType]] = "Blk", ICE[[#This Row],[LstBlkPrc]], ""))</f>
        <v>87</v>
      </c>
      <c r="S80" s="36">
        <f>ICE[[#This Row],[Vol]]+ICE[[#This Row],[BlkVol]]</f>
        <v>140</v>
      </c>
      <c r="T80" s="36">
        <f>RTD("ice.rtd",,$C80 &amp; $D80 &amp; ":" &amp; T$1)</f>
        <v>1708</v>
      </c>
      <c r="U80" s="18">
        <f>RTD("ice.rtd",,$C80 &amp; $D80 &amp; ":" &amp; U$1)</f>
        <v>79</v>
      </c>
      <c r="V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76.50 / 88.00 {87.00} |140x</v>
      </c>
      <c r="W80" s="18" t="str">
        <f>IFERROR(IF(LEFT(ICE[[#This Row],[Tenor]], 1) = "B", RTD("esrtd",,$B80 &amp; " " &amp; ICE[[#This Row],[Tenor]] &amp; "-IEU", W$1), RTD("esrtd",,$B80 &amp; " " &amp; VLOOKUP(MONTH(ICE[[#This Row],[Strip]]), MthRef[], 2, 0) &amp; RIGHT(YEAR(ICE[[#This Row],[Strip]]), 2) &amp; "-IEU", W$1)), "")</f>
        <v/>
      </c>
      <c r="X80" s="36"/>
    </row>
    <row r="81" spans="1:24" x14ac:dyDescent="0.25">
      <c r="A81" s="37" t="s">
        <v>411</v>
      </c>
      <c r="B81" s="3" t="str">
        <f>RTD("ice.rtd",,$C81 &amp; $D81 &amp; ":" &amp; B$1)</f>
        <v>ULJ</v>
      </c>
      <c r="C81" s="3">
        <v>34414099</v>
      </c>
      <c r="D81" t="s">
        <v>325</v>
      </c>
      <c r="E81" s="3" t="str">
        <f>RTD("ice.rtd",,$C81 &amp; $D81 &amp; ":" &amp; E$1)</f>
        <v>Nov26</v>
      </c>
      <c r="F81" s="3" t="str">
        <f>ICE[[#This Row],[Prod]]&amp;ICE[[#This Row],[Strip]]</f>
        <v>jetccndiffNov26</v>
      </c>
      <c r="G81" s="18">
        <f>RTD("ice.rtd",,$C81 &amp; $D81 &amp; ":" &amp; G$1)</f>
        <v>82</v>
      </c>
      <c r="H81" s="18" t="str">
        <f>RTD("ice.rtd",,$C81 &amp; $D81 &amp; ":" &amp; H$1)</f>
        <v/>
      </c>
      <c r="I81" s="18" t="str">
        <f>RTD("ice.rtd",,$C81 &amp; $D81 &amp; ":" &amp; I$1)</f>
        <v/>
      </c>
      <c r="J81" s="14" t="str">
        <f>IFERROR(MOD(RTD("ice.rtd",,$C81 &amp; $D81 &amp; ":" &amp; J$1), 1), "")</f>
        <v/>
      </c>
      <c r="K81" s="18" t="str">
        <f>RTD("ice.rtd",,$C81 &amp; $D81 &amp; ":" &amp; K$1)</f>
        <v/>
      </c>
      <c r="L81" s="36" t="str">
        <f>RTD("ice.rtd",,$C81 &amp; $D81 &amp; ":" &amp; L$1)</f>
        <v/>
      </c>
      <c r="M81" s="14" t="str">
        <f>IFERROR(MOD(TIMEVALUE(RTD("ice.rtd",,$C81 &amp; $D81 &amp; ":" &amp; M$1)), 1), "")</f>
        <v/>
      </c>
      <c r="N81" s="36">
        <f>RTD("ice.rtd",,$C81 &amp; $D81 &amp; ":" &amp; N$1)</f>
        <v>0</v>
      </c>
      <c r="O81" s="36">
        <f>RTD("ice.rtd",,$C81 &amp; $D81 &amp; ":" &amp; O$1)</f>
        <v>0</v>
      </c>
      <c r="P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" s="14" t="str">
        <f>IF(ICE[[#This Row],[LastType]] = "Scrn", ICE[[#This Row],[LstDate]], IF(ICE[[#This Row],[LastType]] = "Blk", ICE[[#This Row],[LstBlkTime]], ""))</f>
        <v/>
      </c>
      <c r="R81" s="41" t="str">
        <f>IF(ICE[[#This Row],[LastType]] = "Scrn", ICE[[#This Row],[LstPrc]], IF(ICE[[#This Row],[LastType]] = "Blk", ICE[[#This Row],[LstBlkPrc]], ""))</f>
        <v/>
      </c>
      <c r="S81" s="36">
        <f>ICE[[#This Row],[Vol]]+ICE[[#This Row],[BlkVol]]</f>
        <v>0</v>
      </c>
      <c r="T81" s="36">
        <f>RTD("ice.rtd",,$C81 &amp; $D81 &amp; ":" &amp; T$1)</f>
        <v>1476</v>
      </c>
      <c r="U81" s="18">
        <f>RTD("ice.rtd",,$C81 &amp; $D81 &amp; ":" &amp; U$1)</f>
        <v>102</v>
      </c>
      <c r="V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82.00 /  </v>
      </c>
      <c r="W81" s="18" t="str">
        <f>IFERROR(IF(LEFT(ICE[[#This Row],[Tenor]], 1) = "B", RTD("esrtd",,$B81 &amp; " " &amp; ICE[[#This Row],[Tenor]] &amp; "-IEU", W$1), RTD("esrtd",,$B81 &amp; " " &amp; VLOOKUP(MONTH(ICE[[#This Row],[Strip]]), MthRef[], 2, 0) &amp; RIGHT(YEAR(ICE[[#This Row],[Strip]]), 2) &amp; "-IEU", W$1)), "")</f>
        <v/>
      </c>
      <c r="X81" s="36"/>
    </row>
    <row r="82" spans="1:24" x14ac:dyDescent="0.25">
      <c r="A82" s="37" t="s">
        <v>411</v>
      </c>
      <c r="B82" s="3" t="str">
        <f>RTD("ice.rtd",,$C82 &amp; $D82 &amp; ":" &amp; B$1)</f>
        <v>ULJ</v>
      </c>
      <c r="C82" s="3">
        <v>34414099</v>
      </c>
      <c r="D82" t="s">
        <v>326</v>
      </c>
      <c r="E82" s="3" t="str">
        <f>RTD("ice.rtd",,$C82 &amp; $D82 &amp; ":" &amp; E$1)</f>
        <v>Dec26</v>
      </c>
      <c r="F82" s="3" t="str">
        <f>ICE[[#This Row],[Prod]]&amp;ICE[[#This Row],[Strip]]</f>
        <v>jetccndiffDec26</v>
      </c>
      <c r="G82" s="18">
        <f>RTD("ice.rtd",,$C82 &amp; $D82 &amp; ":" &amp; G$1)</f>
        <v>103</v>
      </c>
      <c r="H82" s="18" t="str">
        <f>RTD("ice.rtd",,$C82 &amp; $D82 &amp; ":" &amp; H$1)</f>
        <v/>
      </c>
      <c r="I82" s="18" t="str">
        <f>RTD("ice.rtd",,$C82 &amp; $D82 &amp; ":" &amp; I$1)</f>
        <v/>
      </c>
      <c r="J82" s="14" t="str">
        <f>IFERROR(MOD(RTD("ice.rtd",,$C82 &amp; $D82 &amp; ":" &amp; J$1), 1), "")</f>
        <v/>
      </c>
      <c r="K82" s="18">
        <f>RTD("ice.rtd",,$C82 &amp; $D82 &amp; ":" &amp; K$1)</f>
        <v>111</v>
      </c>
      <c r="L82" s="36">
        <f>RTD("ice.rtd",,$C82 &amp; $D82 &amp; ":" &amp; L$1)</f>
        <v>1</v>
      </c>
      <c r="M82" s="14">
        <f>IFERROR(MOD(TIMEVALUE(RTD("ice.rtd",,$C82 &amp; $D82 &amp; ":" &amp; M$1)), 1), "")</f>
        <v>0.39298611111111109</v>
      </c>
      <c r="N82" s="36">
        <f>RTD("ice.rtd",,$C82 &amp; $D82 &amp; ":" &amp; N$1)</f>
        <v>0</v>
      </c>
      <c r="O82" s="36">
        <f>RTD("ice.rtd",,$C82 &amp; $D82 &amp; ":" &amp; O$1)</f>
        <v>56</v>
      </c>
      <c r="P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82" s="14">
        <f>IF(ICE[[#This Row],[LastType]] = "Scrn", ICE[[#This Row],[LstDate]], IF(ICE[[#This Row],[LastType]] = "Blk", ICE[[#This Row],[LstBlkTime]], ""))</f>
        <v>0.39298611111111109</v>
      </c>
      <c r="R82" s="41">
        <f>IF(ICE[[#This Row],[LastType]] = "Scrn", ICE[[#This Row],[LstPrc]], IF(ICE[[#This Row],[LastType]] = "Blk", ICE[[#This Row],[LstBlkPrc]], ""))</f>
        <v>111</v>
      </c>
      <c r="S82" s="36">
        <f>ICE[[#This Row],[Vol]]+ICE[[#This Row],[BlkVol]]</f>
        <v>56</v>
      </c>
      <c r="T82" s="36">
        <f>RTD("ice.rtd",,$C82 &amp; $D82 &amp; ":" &amp; T$1)</f>
        <v>1396</v>
      </c>
      <c r="U82" s="18">
        <f>RTD("ice.rtd",,$C82 &amp; $D82 &amp; ":" &amp; U$1)</f>
        <v>112</v>
      </c>
      <c r="V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103.00 /  {111.00} |56x</v>
      </c>
      <c r="W82" s="18" t="str">
        <f>IFERROR(IF(LEFT(ICE[[#This Row],[Tenor]], 1) = "B", RTD("esrtd",,$B82 &amp; " " &amp; ICE[[#This Row],[Tenor]] &amp; "-IEU", W$1), RTD("esrtd",,$B82 &amp; " " &amp; VLOOKUP(MONTH(ICE[[#This Row],[Strip]]), MthRef[], 2, 0) &amp; RIGHT(YEAR(ICE[[#This Row],[Strip]]), 2) &amp; "-IEU", W$1)), "")</f>
        <v/>
      </c>
      <c r="X82" s="36"/>
    </row>
    <row r="83" spans="1:24" x14ac:dyDescent="0.25">
      <c r="A83" s="37" t="s">
        <v>411</v>
      </c>
      <c r="B83" s="3" t="str">
        <f>RTD("ice.rtd",,$C83 &amp; $D83 &amp; ":" &amp; B$1)</f>
        <v>ULJ</v>
      </c>
      <c r="C83" s="3">
        <v>34414099</v>
      </c>
      <c r="D83" t="s">
        <v>794</v>
      </c>
      <c r="E83" s="3" t="str">
        <f>RTD("ice.rtd",,$C83 &amp; $D83 &amp; ":" &amp; E$1)</f>
        <v>Jan27</v>
      </c>
      <c r="F83" s="3" t="str">
        <f>ICE[[#This Row],[Prod]]&amp;ICE[[#This Row],[Strip]]</f>
        <v>jetccndiffJan27</v>
      </c>
      <c r="G83" s="18" t="str">
        <f>RTD("ice.rtd",,$C83 &amp; $D83 &amp; ":" &amp; G$1)</f>
        <v/>
      </c>
      <c r="H83" s="18" t="str">
        <f>RTD("ice.rtd",,$C83 &amp; $D83 &amp; ":" &amp; H$1)</f>
        <v/>
      </c>
      <c r="I83" s="18" t="str">
        <f>RTD("ice.rtd",,$C83 &amp; $D83 &amp; ":" &amp; I$1)</f>
        <v/>
      </c>
      <c r="J83" s="14" t="str">
        <f>IFERROR(MOD(RTD("ice.rtd",,$C83 &amp; $D83 &amp; ":" &amp; J$1), 1), "")</f>
        <v/>
      </c>
      <c r="K83" s="18" t="str">
        <f>RTD("ice.rtd",,$C83 &amp; $D83 &amp; ":" &amp; K$1)</f>
        <v/>
      </c>
      <c r="L83" s="36" t="str">
        <f>RTD("ice.rtd",,$C83 &amp; $D83 &amp; ":" &amp; L$1)</f>
        <v/>
      </c>
      <c r="M83" s="14" t="str">
        <f>IFERROR(MOD(TIMEVALUE(RTD("ice.rtd",,$C83 &amp; $D83 &amp; ":" &amp; M$1)), 1), "")</f>
        <v/>
      </c>
      <c r="N83" s="36">
        <f>RTD("ice.rtd",,$C83 &amp; $D83 &amp; ":" &amp; N$1)</f>
        <v>0</v>
      </c>
      <c r="O83" s="36">
        <f>RTD("ice.rtd",,$C83 &amp; $D83 &amp; ":" &amp; O$1)</f>
        <v>0</v>
      </c>
      <c r="P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" s="14" t="str">
        <f>IF(ICE[[#This Row],[LastType]] = "Scrn", ICE[[#This Row],[LstDate]], IF(ICE[[#This Row],[LastType]] = "Blk", ICE[[#This Row],[LstBlkTime]], ""))</f>
        <v/>
      </c>
      <c r="R83" s="41" t="str">
        <f>IF(ICE[[#This Row],[LastType]] = "Scrn", ICE[[#This Row],[LstPrc]], IF(ICE[[#This Row],[LastType]] = "Blk", ICE[[#This Row],[LstBlkPrc]], ""))</f>
        <v/>
      </c>
      <c r="S83" s="36">
        <f>ICE[[#This Row],[Vol]]+ICE[[#This Row],[BlkVol]]</f>
        <v>0</v>
      </c>
      <c r="T83" s="36">
        <f>RTD("ice.rtd",,$C83 &amp; $D83 &amp; ":" &amp; T$1)</f>
        <v>902</v>
      </c>
      <c r="U83" s="18">
        <f>RTD("ice.rtd",,$C83 &amp; $D83 &amp; ":" &amp; U$1)</f>
        <v>102</v>
      </c>
      <c r="V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" s="18" t="str">
        <f>IFERROR(IF(LEFT(ICE[[#This Row],[Tenor]], 1) = "B", RTD("esrtd",,$B83 &amp; " " &amp; ICE[[#This Row],[Tenor]] &amp; "-IEU", W$1), RTD("esrtd",,$B83 &amp; " " &amp; VLOOKUP(MONTH(ICE[[#This Row],[Strip]]), MthRef[], 2, 0) &amp; RIGHT(YEAR(ICE[[#This Row],[Strip]]), 2) &amp; "-IEU", W$1)), "")</f>
        <v/>
      </c>
      <c r="X83" s="36"/>
    </row>
    <row r="84" spans="1:24" x14ac:dyDescent="0.25">
      <c r="A84" s="37" t="s">
        <v>411</v>
      </c>
      <c r="B84" s="3" t="str">
        <f>RTD("ice.rtd",,$C84 &amp; $D84 &amp; ":" &amp; B$1)</f>
        <v>ULJ</v>
      </c>
      <c r="C84" s="3">
        <v>34414099</v>
      </c>
      <c r="D84" t="s">
        <v>795</v>
      </c>
      <c r="E84" s="3" t="str">
        <f>RTD("ice.rtd",,$C84 &amp; $D84 &amp; ":" &amp; E$1)</f>
        <v>Feb27</v>
      </c>
      <c r="F84" s="3" t="str">
        <f>ICE[[#This Row],[Prod]]&amp;ICE[[#This Row],[Strip]]</f>
        <v>jetccndiffFeb27</v>
      </c>
      <c r="G84" s="18" t="str">
        <f>RTD("ice.rtd",,$C84 &amp; $D84 &amp; ":" &amp; G$1)</f>
        <v/>
      </c>
      <c r="H84" s="18" t="str">
        <f>RTD("ice.rtd",,$C84 &amp; $D84 &amp; ":" &amp; H$1)</f>
        <v/>
      </c>
      <c r="I84" s="18" t="str">
        <f>RTD("ice.rtd",,$C84 &amp; $D84 &amp; ":" &amp; I$1)</f>
        <v/>
      </c>
      <c r="J84" s="14" t="str">
        <f>IFERROR(MOD(RTD("ice.rtd",,$C84 &amp; $D84 &amp; ":" &amp; J$1), 1), "")</f>
        <v/>
      </c>
      <c r="K84" s="18" t="str">
        <f>RTD("ice.rtd",,$C84 &amp; $D84 &amp; ":" &amp; K$1)</f>
        <v/>
      </c>
      <c r="L84" s="36" t="str">
        <f>RTD("ice.rtd",,$C84 &amp; $D84 &amp; ":" &amp; L$1)</f>
        <v/>
      </c>
      <c r="M84" s="14" t="str">
        <f>IFERROR(MOD(TIMEVALUE(RTD("ice.rtd",,$C84 &amp; $D84 &amp; ":" &amp; M$1)), 1), "")</f>
        <v/>
      </c>
      <c r="N84" s="36">
        <f>RTD("ice.rtd",,$C84 &amp; $D84 &amp; ":" &amp; N$1)</f>
        <v>0</v>
      </c>
      <c r="O84" s="36">
        <f>RTD("ice.rtd",,$C84 &amp; $D84 &amp; ":" &amp; O$1)</f>
        <v>0</v>
      </c>
      <c r="P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4" s="14" t="str">
        <f>IF(ICE[[#This Row],[LastType]] = "Scrn", ICE[[#This Row],[LstDate]], IF(ICE[[#This Row],[LastType]] = "Blk", ICE[[#This Row],[LstBlkTime]], ""))</f>
        <v/>
      </c>
      <c r="R84" s="41" t="str">
        <f>IF(ICE[[#This Row],[LastType]] = "Scrn", ICE[[#This Row],[LstPrc]], IF(ICE[[#This Row],[LastType]] = "Blk", ICE[[#This Row],[LstBlkPrc]], ""))</f>
        <v/>
      </c>
      <c r="S84" s="36">
        <f>ICE[[#This Row],[Vol]]+ICE[[#This Row],[BlkVol]]</f>
        <v>0</v>
      </c>
      <c r="T84" s="36">
        <f>RTD("ice.rtd",,$C84 &amp; $D84 &amp; ":" &amp; T$1)</f>
        <v>828</v>
      </c>
      <c r="U84" s="18">
        <f>RTD("ice.rtd",,$C84 &amp; $D84 &amp; ":" &amp; U$1)</f>
        <v>101</v>
      </c>
      <c r="V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4" s="18" t="str">
        <f>IFERROR(IF(LEFT(ICE[[#This Row],[Tenor]], 1) = "B", RTD("esrtd",,$B84 &amp; " " &amp; ICE[[#This Row],[Tenor]] &amp; "-IEU", W$1), RTD("esrtd",,$B84 &amp; " " &amp; VLOOKUP(MONTH(ICE[[#This Row],[Strip]]), MthRef[], 2, 0) &amp; RIGHT(YEAR(ICE[[#This Row],[Strip]]), 2) &amp; "-IEU", W$1)), "")</f>
        <v/>
      </c>
      <c r="X84" s="36"/>
    </row>
    <row r="85" spans="1:24" x14ac:dyDescent="0.25">
      <c r="A85" s="37" t="s">
        <v>411</v>
      </c>
      <c r="B85" s="3" t="str">
        <f>RTD("ice.rtd",,$C85 &amp; $D85 &amp; ":" &amp; B$1)</f>
        <v>ULJ</v>
      </c>
      <c r="C85" s="3">
        <v>34414099</v>
      </c>
      <c r="D85" t="s">
        <v>113</v>
      </c>
      <c r="E85" s="3" t="str">
        <f>RTD("ice.rtd",,$C85 &amp; $D85 &amp; ":" &amp; E$1)</f>
        <v>Mar27</v>
      </c>
      <c r="F85" s="3" t="str">
        <f>ICE[[#This Row],[Prod]]&amp;ICE[[#This Row],[Strip]]</f>
        <v>jetccndiffMar27</v>
      </c>
      <c r="G85" s="18" t="str">
        <f>RTD("ice.rtd",,$C85 &amp; $D85 &amp; ":" &amp; G$1)</f>
        <v/>
      </c>
      <c r="H85" s="18" t="str">
        <f>RTD("ice.rtd",,$C85 &amp; $D85 &amp; ":" &amp; H$1)</f>
        <v/>
      </c>
      <c r="I85" s="18" t="str">
        <f>RTD("ice.rtd",,$C85 &amp; $D85 &amp; ":" &amp; I$1)</f>
        <v/>
      </c>
      <c r="J85" s="14" t="str">
        <f>IFERROR(MOD(RTD("ice.rtd",,$C85 &amp; $D85 &amp; ":" &amp; J$1), 1), "")</f>
        <v/>
      </c>
      <c r="K85" s="18" t="str">
        <f>RTD("ice.rtd",,$C85 &amp; $D85 &amp; ":" &amp; K$1)</f>
        <v/>
      </c>
      <c r="L85" s="36" t="str">
        <f>RTD("ice.rtd",,$C85 &amp; $D85 &amp; ":" &amp; L$1)</f>
        <v/>
      </c>
      <c r="M85" s="14" t="str">
        <f>IFERROR(MOD(TIMEVALUE(RTD("ice.rtd",,$C85 &amp; $D85 &amp; ":" &amp; M$1)), 1), "")</f>
        <v/>
      </c>
      <c r="N85" s="36">
        <f>RTD("ice.rtd",,$C85 &amp; $D85 &amp; ":" &amp; N$1)</f>
        <v>0</v>
      </c>
      <c r="O85" s="36">
        <f>RTD("ice.rtd",,$C85 &amp; $D85 &amp; ":" &amp; O$1)</f>
        <v>0</v>
      </c>
      <c r="P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5" s="14" t="str">
        <f>IF(ICE[[#This Row],[LastType]] = "Scrn", ICE[[#This Row],[LstDate]], IF(ICE[[#This Row],[LastType]] = "Blk", ICE[[#This Row],[LstBlkTime]], ""))</f>
        <v/>
      </c>
      <c r="R85" s="41" t="str">
        <f>IF(ICE[[#This Row],[LastType]] = "Scrn", ICE[[#This Row],[LstPrc]], IF(ICE[[#This Row],[LastType]] = "Blk", ICE[[#This Row],[LstBlkPrc]], ""))</f>
        <v/>
      </c>
      <c r="S85" s="36">
        <f>ICE[[#This Row],[Vol]]+ICE[[#This Row],[BlkVol]]</f>
        <v>0</v>
      </c>
      <c r="T85" s="36">
        <f>RTD("ice.rtd",,$C85 &amp; $D85 &amp; ":" &amp; T$1)</f>
        <v>699</v>
      </c>
      <c r="U85" s="18">
        <f>RTD("ice.rtd",,$C85 &amp; $D85 &amp; ":" &amp; U$1)</f>
        <v>100</v>
      </c>
      <c r="V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" s="18" t="str">
        <f>IFERROR(IF(LEFT(ICE[[#This Row],[Tenor]], 1) = "B", RTD("esrtd",,$B85 &amp; " " &amp; ICE[[#This Row],[Tenor]] &amp; "-IEU", W$1), RTD("esrtd",,$B85 &amp; " " &amp; VLOOKUP(MONTH(ICE[[#This Row],[Strip]]), MthRef[], 2, 0) &amp; RIGHT(YEAR(ICE[[#This Row],[Strip]]), 2) &amp; "-IEU", W$1)), "")</f>
        <v/>
      </c>
      <c r="X85" s="36"/>
    </row>
    <row r="86" spans="1:24" x14ac:dyDescent="0.25">
      <c r="A86" s="37" t="s">
        <v>411</v>
      </c>
      <c r="B86" s="3" t="str">
        <f>RTD("ice.rtd",,$C86 &amp; $D86 &amp; ":" &amp; B$1)</f>
        <v>ULJ</v>
      </c>
      <c r="C86" s="3">
        <v>34414099</v>
      </c>
      <c r="D86" t="s">
        <v>796</v>
      </c>
      <c r="E86" s="3" t="str">
        <f>RTD("ice.rtd",,$C86 &amp; $D86 &amp; ":" &amp; E$1)</f>
        <v>Apr27</v>
      </c>
      <c r="F86" s="3" t="str">
        <f>ICE[[#This Row],[Prod]]&amp;ICE[[#This Row],[Strip]]</f>
        <v>jetccndiffApr27</v>
      </c>
      <c r="G86" s="18" t="str">
        <f>RTD("ice.rtd",,$C86 &amp; $D86 &amp; ":" &amp; G$1)</f>
        <v/>
      </c>
      <c r="H86" s="18" t="str">
        <f>RTD("ice.rtd",,$C86 &amp; $D86 &amp; ":" &amp; H$1)</f>
        <v/>
      </c>
      <c r="I86" s="18" t="str">
        <f>RTD("ice.rtd",,$C86 &amp; $D86 &amp; ":" &amp; I$1)</f>
        <v/>
      </c>
      <c r="J86" s="14" t="str">
        <f>IFERROR(MOD(RTD("ice.rtd",,$C86 &amp; $D86 &amp; ":" &amp; J$1), 1), "")</f>
        <v/>
      </c>
      <c r="K86" s="18" t="str">
        <f>RTD("ice.rtd",,$C86 &amp; $D86 &amp; ":" &amp; K$1)</f>
        <v/>
      </c>
      <c r="L86" s="36" t="str">
        <f>RTD("ice.rtd",,$C86 &amp; $D86 &amp; ":" &amp; L$1)</f>
        <v/>
      </c>
      <c r="M86" s="14" t="str">
        <f>IFERROR(MOD(TIMEVALUE(RTD("ice.rtd",,$C86 &amp; $D86 &amp; ":" &amp; M$1)), 1), "")</f>
        <v/>
      </c>
      <c r="N86" s="36">
        <f>RTD("ice.rtd",,$C86 &amp; $D86 &amp; ":" &amp; N$1)</f>
        <v>0</v>
      </c>
      <c r="O86" s="36">
        <f>RTD("ice.rtd",,$C86 &amp; $D86 &amp; ":" &amp; O$1)</f>
        <v>0</v>
      </c>
      <c r="P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6" s="14" t="str">
        <f>IF(ICE[[#This Row],[LastType]] = "Scrn", ICE[[#This Row],[LstDate]], IF(ICE[[#This Row],[LastType]] = "Blk", ICE[[#This Row],[LstBlkTime]], ""))</f>
        <v/>
      </c>
      <c r="R86" s="41" t="str">
        <f>IF(ICE[[#This Row],[LastType]] = "Scrn", ICE[[#This Row],[LstPrc]], IF(ICE[[#This Row],[LastType]] = "Blk", ICE[[#This Row],[LstBlkPrc]], ""))</f>
        <v/>
      </c>
      <c r="S86" s="36">
        <f>ICE[[#This Row],[Vol]]+ICE[[#This Row],[BlkVol]]</f>
        <v>0</v>
      </c>
      <c r="T86" s="36">
        <f>RTD("ice.rtd",,$C86 &amp; $D86 &amp; ":" &amp; T$1)</f>
        <v>542</v>
      </c>
      <c r="U86" s="18">
        <f>RTD("ice.rtd",,$C86 &amp; $D86 &amp; ":" &amp; U$1)</f>
        <v>98</v>
      </c>
      <c r="V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" s="18" t="str">
        <f>IFERROR(IF(LEFT(ICE[[#This Row],[Tenor]], 1) = "B", RTD("esrtd",,$B86 &amp; " " &amp; ICE[[#This Row],[Tenor]] &amp; "-IEU", W$1), RTD("esrtd",,$B86 &amp; " " &amp; VLOOKUP(MONTH(ICE[[#This Row],[Strip]]), MthRef[], 2, 0) &amp; RIGHT(YEAR(ICE[[#This Row],[Strip]]), 2) &amp; "-IEU", W$1)), "")</f>
        <v/>
      </c>
      <c r="X86" s="36"/>
    </row>
    <row r="87" spans="1:24" x14ac:dyDescent="0.25">
      <c r="A87" s="37" t="s">
        <v>411</v>
      </c>
      <c r="B87" s="3" t="str">
        <f>RTD("ice.rtd",,$C87 &amp; $D87 &amp; ":" &amp; B$1)</f>
        <v>ULJ</v>
      </c>
      <c r="C87" s="3">
        <v>34414099</v>
      </c>
      <c r="D87" t="s">
        <v>797</v>
      </c>
      <c r="E87" s="3" t="str">
        <f>RTD("ice.rtd",,$C87 &amp; $D87 &amp; ":" &amp; E$1)</f>
        <v>May27</v>
      </c>
      <c r="F87" s="3" t="str">
        <f>ICE[[#This Row],[Prod]]&amp;ICE[[#This Row],[Strip]]</f>
        <v>jetccndiffMay27</v>
      </c>
      <c r="G87" s="18">
        <f>RTD("ice.rtd",,$C87 &amp; $D87 &amp; ":" &amp; G$1)</f>
        <v>93</v>
      </c>
      <c r="H87" s="18" t="str">
        <f>RTD("ice.rtd",,$C87 &amp; $D87 &amp; ":" &amp; H$1)</f>
        <v/>
      </c>
      <c r="I87" s="18" t="str">
        <f>RTD("ice.rtd",,$C87 &amp; $D87 &amp; ":" &amp; I$1)</f>
        <v/>
      </c>
      <c r="J87" s="14" t="str">
        <f>IFERROR(MOD(RTD("ice.rtd",,$C87 &amp; $D87 &amp; ":" &amp; J$1), 1), "")</f>
        <v/>
      </c>
      <c r="K87" s="18" t="str">
        <f>RTD("ice.rtd",,$C87 &amp; $D87 &amp; ":" &amp; K$1)</f>
        <v/>
      </c>
      <c r="L87" s="36" t="str">
        <f>RTD("ice.rtd",,$C87 &amp; $D87 &amp; ":" &amp; L$1)</f>
        <v/>
      </c>
      <c r="M87" s="14" t="str">
        <f>IFERROR(MOD(TIMEVALUE(RTD("ice.rtd",,$C87 &amp; $D87 &amp; ":" &amp; M$1)), 1), "")</f>
        <v/>
      </c>
      <c r="N87" s="36">
        <f>RTD("ice.rtd",,$C87 &amp; $D87 &amp; ":" &amp; N$1)</f>
        <v>0</v>
      </c>
      <c r="O87" s="36">
        <f>RTD("ice.rtd",,$C87 &amp; $D87 &amp; ":" &amp; O$1)</f>
        <v>0</v>
      </c>
      <c r="P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7" s="14" t="str">
        <f>IF(ICE[[#This Row],[LastType]] = "Scrn", ICE[[#This Row],[LstDate]], IF(ICE[[#This Row],[LastType]] = "Blk", ICE[[#This Row],[LstBlkTime]], ""))</f>
        <v/>
      </c>
      <c r="R87" s="41" t="str">
        <f>IF(ICE[[#This Row],[LastType]] = "Scrn", ICE[[#This Row],[LstPrc]], IF(ICE[[#This Row],[LastType]] = "Blk", ICE[[#This Row],[LstBlkPrc]], ""))</f>
        <v/>
      </c>
      <c r="S87" s="36">
        <f>ICE[[#This Row],[Vol]]+ICE[[#This Row],[BlkVol]]</f>
        <v>0</v>
      </c>
      <c r="T87" s="36">
        <f>RTD("ice.rtd",,$C87 &amp; $D87 &amp; ":" &amp; T$1)</f>
        <v>523</v>
      </c>
      <c r="U87" s="18">
        <f>RTD("ice.rtd",,$C87 &amp; $D87 &amp; ":" &amp; U$1)</f>
        <v>97</v>
      </c>
      <c r="V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93.00 /  </v>
      </c>
      <c r="W87" s="18" t="str">
        <f>IFERROR(IF(LEFT(ICE[[#This Row],[Tenor]], 1) = "B", RTD("esrtd",,$B87 &amp; " " &amp; ICE[[#This Row],[Tenor]] &amp; "-IEU", W$1), RTD("esrtd",,$B87 &amp; " " &amp; VLOOKUP(MONTH(ICE[[#This Row],[Strip]]), MthRef[], 2, 0) &amp; RIGHT(YEAR(ICE[[#This Row],[Strip]]), 2) &amp; "-IEU", W$1)), "")</f>
        <v/>
      </c>
      <c r="X87" s="36"/>
    </row>
    <row r="88" spans="1:24" x14ac:dyDescent="0.25">
      <c r="A88" s="37" t="s">
        <v>411</v>
      </c>
      <c r="B88" s="3" t="str">
        <f>RTD("ice.rtd",,$C88 &amp; $D88 &amp; ":" &amp; B$1)</f>
        <v>ULJ</v>
      </c>
      <c r="C88" s="3">
        <v>34414099</v>
      </c>
      <c r="D88" t="s">
        <v>798</v>
      </c>
      <c r="E88" s="3" t="str">
        <f>RTD("ice.rtd",,$C88 &amp; $D88 &amp; ":" &amp; E$1)</f>
        <v>Jun27</v>
      </c>
      <c r="F88" s="3" t="str">
        <f>ICE[[#This Row],[Prod]]&amp;ICE[[#This Row],[Strip]]</f>
        <v>jetccndiffJun27</v>
      </c>
      <c r="G88" s="18">
        <f>RTD("ice.rtd",,$C88 &amp; $D88 &amp; ":" &amp; G$1)</f>
        <v>92</v>
      </c>
      <c r="H88" s="18" t="str">
        <f>RTD("ice.rtd",,$C88 &amp; $D88 &amp; ":" &amp; H$1)</f>
        <v/>
      </c>
      <c r="I88" s="18" t="str">
        <f>RTD("ice.rtd",,$C88 &amp; $D88 &amp; ":" &amp; I$1)</f>
        <v/>
      </c>
      <c r="J88" s="14" t="str">
        <f>IFERROR(MOD(RTD("ice.rtd",,$C88 &amp; $D88 &amp; ":" &amp; J$1), 1), "")</f>
        <v/>
      </c>
      <c r="K88" s="18" t="str">
        <f>RTD("ice.rtd",,$C88 &amp; $D88 &amp; ":" &amp; K$1)</f>
        <v/>
      </c>
      <c r="L88" s="36" t="str">
        <f>RTD("ice.rtd",,$C88 &amp; $D88 &amp; ":" &amp; L$1)</f>
        <v/>
      </c>
      <c r="M88" s="14" t="str">
        <f>IFERROR(MOD(TIMEVALUE(RTD("ice.rtd",,$C88 &amp; $D88 &amp; ":" &amp; M$1)), 1), "")</f>
        <v/>
      </c>
      <c r="N88" s="36">
        <f>RTD("ice.rtd",,$C88 &amp; $D88 &amp; ":" &amp; N$1)</f>
        <v>0</v>
      </c>
      <c r="O88" s="36">
        <f>RTD("ice.rtd",,$C88 &amp; $D88 &amp; ":" &amp; O$1)</f>
        <v>0</v>
      </c>
      <c r="P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8" s="14" t="str">
        <f>IF(ICE[[#This Row],[LastType]] = "Scrn", ICE[[#This Row],[LstDate]], IF(ICE[[#This Row],[LastType]] = "Blk", ICE[[#This Row],[LstBlkTime]], ""))</f>
        <v/>
      </c>
      <c r="R88" s="41" t="str">
        <f>IF(ICE[[#This Row],[LastType]] = "Scrn", ICE[[#This Row],[LstPrc]], IF(ICE[[#This Row],[LastType]] = "Blk", ICE[[#This Row],[LstBlkPrc]], ""))</f>
        <v/>
      </c>
      <c r="S88" s="36">
        <f>ICE[[#This Row],[Vol]]+ICE[[#This Row],[BlkVol]]</f>
        <v>0</v>
      </c>
      <c r="T88" s="36">
        <f>RTD("ice.rtd",,$C88 &amp; $D88 &amp; ":" &amp; T$1)</f>
        <v>493</v>
      </c>
      <c r="U88" s="18">
        <f>RTD("ice.rtd",,$C88 &amp; $D88 &amp; ":" &amp; U$1)</f>
        <v>96</v>
      </c>
      <c r="V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92.00 /  </v>
      </c>
      <c r="W88" s="18" t="str">
        <f>IFERROR(IF(LEFT(ICE[[#This Row],[Tenor]], 1) = "B", RTD("esrtd",,$B88 &amp; " " &amp; ICE[[#This Row],[Tenor]] &amp; "-IEU", W$1), RTD("esrtd",,$B88 &amp; " " &amp; VLOOKUP(MONTH(ICE[[#This Row],[Strip]]), MthRef[], 2, 0) &amp; RIGHT(YEAR(ICE[[#This Row],[Strip]]), 2) &amp; "-IEU", W$1)), "")</f>
        <v/>
      </c>
      <c r="X88" s="36"/>
    </row>
    <row r="89" spans="1:24" x14ac:dyDescent="0.25">
      <c r="A89" s="37" t="s">
        <v>411</v>
      </c>
      <c r="B89" s="3" t="str">
        <f>RTD("ice.rtd",,$C89 &amp; $D89 &amp; ":" &amp; B$1)</f>
        <v>ULJ</v>
      </c>
      <c r="C89" s="3">
        <v>34414099</v>
      </c>
      <c r="D89" t="s">
        <v>799</v>
      </c>
      <c r="E89" s="3" t="str">
        <f>RTD("ice.rtd",,$C89 &amp; $D89 &amp; ":" &amp; E$1)</f>
        <v>Jul27</v>
      </c>
      <c r="F89" s="3" t="str">
        <f>ICE[[#This Row],[Prod]]&amp;ICE[[#This Row],[Strip]]</f>
        <v>jetccndiffJul27</v>
      </c>
      <c r="G89" s="18">
        <f>RTD("ice.rtd",,$C89 &amp; $D89 &amp; ":" &amp; G$1)</f>
        <v>91.5</v>
      </c>
      <c r="H89" s="18" t="str">
        <f>RTD("ice.rtd",,$C89 &amp; $D89 &amp; ":" &amp; H$1)</f>
        <v/>
      </c>
      <c r="I89" s="18" t="str">
        <f>RTD("ice.rtd",,$C89 &amp; $D89 &amp; ":" &amp; I$1)</f>
        <v/>
      </c>
      <c r="J89" s="14" t="str">
        <f>IFERROR(MOD(RTD("ice.rtd",,$C89 &amp; $D89 &amp; ":" &amp; J$1), 1), "")</f>
        <v/>
      </c>
      <c r="K89" s="18" t="str">
        <f>RTD("ice.rtd",,$C89 &amp; $D89 &amp; ":" &amp; K$1)</f>
        <v/>
      </c>
      <c r="L89" s="36" t="str">
        <f>RTD("ice.rtd",,$C89 &amp; $D89 &amp; ":" &amp; L$1)</f>
        <v/>
      </c>
      <c r="M89" s="14" t="str">
        <f>IFERROR(MOD(TIMEVALUE(RTD("ice.rtd",,$C89 &amp; $D89 &amp; ":" &amp; M$1)), 1), "")</f>
        <v/>
      </c>
      <c r="N89" s="36">
        <f>RTD("ice.rtd",,$C89 &amp; $D89 &amp; ":" &amp; N$1)</f>
        <v>0</v>
      </c>
      <c r="O89" s="36">
        <f>RTD("ice.rtd",,$C89 &amp; $D89 &amp; ":" &amp; O$1)</f>
        <v>0</v>
      </c>
      <c r="P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" s="14" t="str">
        <f>IF(ICE[[#This Row],[LastType]] = "Scrn", ICE[[#This Row],[LstDate]], IF(ICE[[#This Row],[LastType]] = "Blk", ICE[[#This Row],[LstBlkTime]], ""))</f>
        <v/>
      </c>
      <c r="R89" s="41" t="str">
        <f>IF(ICE[[#This Row],[LastType]] = "Scrn", ICE[[#This Row],[LstPrc]], IF(ICE[[#This Row],[LastType]] = "Blk", ICE[[#This Row],[LstBlkPrc]], ""))</f>
        <v/>
      </c>
      <c r="S89" s="36">
        <f>ICE[[#This Row],[Vol]]+ICE[[#This Row],[BlkVol]]</f>
        <v>0</v>
      </c>
      <c r="T89" s="36">
        <f>RTD("ice.rtd",,$C89 &amp; $D89 &amp; ":" &amp; T$1)</f>
        <v>382</v>
      </c>
      <c r="U89" s="18">
        <f>RTD("ice.rtd",,$C89 &amp; $D89 &amp; ":" &amp; U$1)</f>
        <v>94</v>
      </c>
      <c r="V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91.50 /  </v>
      </c>
      <c r="W89" s="18" t="str">
        <f>IFERROR(IF(LEFT(ICE[[#This Row],[Tenor]], 1) = "B", RTD("esrtd",,$B89 &amp; " " &amp; ICE[[#This Row],[Tenor]] &amp; "-IEU", W$1), RTD("esrtd",,$B89 &amp; " " &amp; VLOOKUP(MONTH(ICE[[#This Row],[Strip]]), MthRef[], 2, 0) &amp; RIGHT(YEAR(ICE[[#This Row],[Strip]]), 2) &amp; "-IEU", W$1)), "")</f>
        <v/>
      </c>
      <c r="X89" s="36"/>
    </row>
    <row r="90" spans="1:24" x14ac:dyDescent="0.25">
      <c r="A90" s="37" t="s">
        <v>411</v>
      </c>
      <c r="B90" s="3" t="str">
        <f>RTD("ice.rtd",,$C90 &amp; $D90 &amp; ":" &amp; B$1)</f>
        <v>ULJ</v>
      </c>
      <c r="C90" s="3">
        <v>34414099</v>
      </c>
      <c r="D90" t="s">
        <v>800</v>
      </c>
      <c r="E90" s="3" t="str">
        <f>RTD("ice.rtd",,$C90 &amp; $D90 &amp; ":" &amp; E$1)</f>
        <v>Aug27</v>
      </c>
      <c r="F90" s="3" t="str">
        <f>ICE[[#This Row],[Prod]]&amp;ICE[[#This Row],[Strip]]</f>
        <v>jetccndiffAug27</v>
      </c>
      <c r="G90" s="18" t="str">
        <f>RTD("ice.rtd",,$C90 &amp; $D90 &amp; ":" &amp; G$1)</f>
        <v/>
      </c>
      <c r="H90" s="18" t="str">
        <f>RTD("ice.rtd",,$C90 &amp; $D90 &amp; ":" &amp; H$1)</f>
        <v/>
      </c>
      <c r="I90" s="18" t="str">
        <f>RTD("ice.rtd",,$C90 &amp; $D90 &amp; ":" &amp; I$1)</f>
        <v/>
      </c>
      <c r="J90" s="14" t="str">
        <f>IFERROR(MOD(RTD("ice.rtd",,$C90 &amp; $D90 &amp; ":" &amp; J$1), 1), "")</f>
        <v/>
      </c>
      <c r="K90" s="18" t="str">
        <f>RTD("ice.rtd",,$C90 &amp; $D90 &amp; ":" &amp; K$1)</f>
        <v/>
      </c>
      <c r="L90" s="36" t="str">
        <f>RTD("ice.rtd",,$C90 &amp; $D90 &amp; ":" &amp; L$1)</f>
        <v/>
      </c>
      <c r="M90" s="14" t="str">
        <f>IFERROR(MOD(TIMEVALUE(RTD("ice.rtd",,$C90 &amp; $D90 &amp; ":" &amp; M$1)), 1), "")</f>
        <v/>
      </c>
      <c r="N90" s="36">
        <f>RTD("ice.rtd",,$C90 &amp; $D90 &amp; ":" &amp; N$1)</f>
        <v>0</v>
      </c>
      <c r="O90" s="36">
        <f>RTD("ice.rtd",,$C90 &amp; $D90 &amp; ":" &amp; O$1)</f>
        <v>0</v>
      </c>
      <c r="P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" s="14" t="str">
        <f>IF(ICE[[#This Row],[LastType]] = "Scrn", ICE[[#This Row],[LstDate]], IF(ICE[[#This Row],[LastType]] = "Blk", ICE[[#This Row],[LstBlkTime]], ""))</f>
        <v/>
      </c>
      <c r="R90" s="41" t="str">
        <f>IF(ICE[[#This Row],[LastType]] = "Scrn", ICE[[#This Row],[LstPrc]], IF(ICE[[#This Row],[LastType]] = "Blk", ICE[[#This Row],[LstBlkPrc]], ""))</f>
        <v/>
      </c>
      <c r="S90" s="36">
        <f>ICE[[#This Row],[Vol]]+ICE[[#This Row],[BlkVol]]</f>
        <v>0</v>
      </c>
      <c r="T90" s="36">
        <f>RTD("ice.rtd",,$C90 &amp; $D90 &amp; ":" &amp; T$1)</f>
        <v>359</v>
      </c>
      <c r="U90" s="18">
        <f>RTD("ice.rtd",,$C90 &amp; $D90 &amp; ":" &amp; U$1)</f>
        <v>93</v>
      </c>
      <c r="V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" s="18" t="str">
        <f>IFERROR(IF(LEFT(ICE[[#This Row],[Tenor]], 1) = "B", RTD("esrtd",,$B90 &amp; " " &amp; ICE[[#This Row],[Tenor]] &amp; "-IEU", W$1), RTD("esrtd",,$B90 &amp; " " &amp; VLOOKUP(MONTH(ICE[[#This Row],[Strip]]), MthRef[], 2, 0) &amp; RIGHT(YEAR(ICE[[#This Row],[Strip]]), 2) &amp; "-IEU", W$1)), "")</f>
        <v/>
      </c>
      <c r="X90" s="36"/>
    </row>
    <row r="91" spans="1:24" x14ac:dyDescent="0.25">
      <c r="A91" s="37" t="s">
        <v>411</v>
      </c>
      <c r="B91" s="3" t="str">
        <f>RTD("ice.rtd",,$C91 &amp; $D91 &amp; ":" &amp; B$1)</f>
        <v>ULJ</v>
      </c>
      <c r="C91" s="3">
        <v>34414099</v>
      </c>
      <c r="D91" t="s">
        <v>801</v>
      </c>
      <c r="E91" s="3" t="str">
        <f>RTD("ice.rtd",,$C91 &amp; $D91 &amp; ":" &amp; E$1)</f>
        <v>Sep27</v>
      </c>
      <c r="F91" s="3" t="str">
        <f>ICE[[#This Row],[Prod]]&amp;ICE[[#This Row],[Strip]]</f>
        <v>jetccndiffSep27</v>
      </c>
      <c r="G91" s="18" t="str">
        <f>RTD("ice.rtd",,$C91 &amp; $D91 &amp; ":" &amp; G$1)</f>
        <v/>
      </c>
      <c r="H91" s="18" t="str">
        <f>RTD("ice.rtd",,$C91 &amp; $D91 &amp; ":" &amp; H$1)</f>
        <v/>
      </c>
      <c r="I91" s="18" t="str">
        <f>RTD("ice.rtd",,$C91 &amp; $D91 &amp; ":" &amp; I$1)</f>
        <v/>
      </c>
      <c r="J91" s="14" t="str">
        <f>IFERROR(MOD(RTD("ice.rtd",,$C91 &amp; $D91 &amp; ":" &amp; J$1), 1), "")</f>
        <v/>
      </c>
      <c r="K91" s="18" t="str">
        <f>RTD("ice.rtd",,$C91 &amp; $D91 &amp; ":" &amp; K$1)</f>
        <v/>
      </c>
      <c r="L91" s="36" t="str">
        <f>RTD("ice.rtd",,$C91 &amp; $D91 &amp; ":" &amp; L$1)</f>
        <v/>
      </c>
      <c r="M91" s="14" t="str">
        <f>IFERROR(MOD(TIMEVALUE(RTD("ice.rtd",,$C91 &amp; $D91 &amp; ":" &amp; M$1)), 1), "")</f>
        <v/>
      </c>
      <c r="N91" s="36">
        <f>RTD("ice.rtd",,$C91 &amp; $D91 &amp; ":" &amp; N$1)</f>
        <v>0</v>
      </c>
      <c r="O91" s="36">
        <f>RTD("ice.rtd",,$C91 &amp; $D91 &amp; ":" &amp; O$1)</f>
        <v>0</v>
      </c>
      <c r="P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" s="14" t="str">
        <f>IF(ICE[[#This Row],[LastType]] = "Scrn", ICE[[#This Row],[LstDate]], IF(ICE[[#This Row],[LastType]] = "Blk", ICE[[#This Row],[LstBlkTime]], ""))</f>
        <v/>
      </c>
      <c r="R91" s="41" t="str">
        <f>IF(ICE[[#This Row],[LastType]] = "Scrn", ICE[[#This Row],[LstPrc]], IF(ICE[[#This Row],[LastType]] = "Blk", ICE[[#This Row],[LstBlkPrc]], ""))</f>
        <v/>
      </c>
      <c r="S91" s="36">
        <f>ICE[[#This Row],[Vol]]+ICE[[#This Row],[BlkVol]]</f>
        <v>0</v>
      </c>
      <c r="T91" s="36">
        <f>RTD("ice.rtd",,$C91 &amp; $D91 &amp; ":" &amp; T$1)</f>
        <v>371</v>
      </c>
      <c r="U91" s="18">
        <f>RTD("ice.rtd",,$C91 &amp; $D91 &amp; ":" &amp; U$1)</f>
        <v>92</v>
      </c>
      <c r="V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" s="18" t="str">
        <f>IFERROR(IF(LEFT(ICE[[#This Row],[Tenor]], 1) = "B", RTD("esrtd",,$B91 &amp; " " &amp; ICE[[#This Row],[Tenor]] &amp; "-IEU", W$1), RTD("esrtd",,$B91 &amp; " " &amp; VLOOKUP(MONTH(ICE[[#This Row],[Strip]]), MthRef[], 2, 0) &amp; RIGHT(YEAR(ICE[[#This Row],[Strip]]), 2) &amp; "-IEU", W$1)), "")</f>
        <v/>
      </c>
      <c r="X91" s="36"/>
    </row>
    <row r="92" spans="1:24" x14ac:dyDescent="0.25">
      <c r="A92" s="37" t="s">
        <v>411</v>
      </c>
      <c r="B92" s="3" t="str">
        <f>RTD("ice.rtd",,$C92 &amp; $D92 &amp; ":" &amp; B$1)</f>
        <v>ULJ</v>
      </c>
      <c r="C92" s="3">
        <v>34414099</v>
      </c>
      <c r="D92" t="s">
        <v>802</v>
      </c>
      <c r="E92" s="3" t="str">
        <f>RTD("ice.rtd",,$C92 &amp; $D92 &amp; ":" &amp; E$1)</f>
        <v>Oct27</v>
      </c>
      <c r="F92" s="3" t="str">
        <f>ICE[[#This Row],[Prod]]&amp;ICE[[#This Row],[Strip]]</f>
        <v>jetccndiffOct27</v>
      </c>
      <c r="G92" s="18" t="str">
        <f>RTD("ice.rtd",,$C92 &amp; $D92 &amp; ":" &amp; G$1)</f>
        <v/>
      </c>
      <c r="H92" s="18" t="str">
        <f>RTD("ice.rtd",,$C92 &amp; $D92 &amp; ":" &amp; H$1)</f>
        <v/>
      </c>
      <c r="I92" s="18" t="str">
        <f>RTD("ice.rtd",,$C92 &amp; $D92 &amp; ":" &amp; I$1)</f>
        <v/>
      </c>
      <c r="J92" s="14" t="str">
        <f>IFERROR(MOD(RTD("ice.rtd",,$C92 &amp; $D92 &amp; ":" &amp; J$1), 1), "")</f>
        <v/>
      </c>
      <c r="K92" s="18" t="str">
        <f>RTD("ice.rtd",,$C92 &amp; $D92 &amp; ":" &amp; K$1)</f>
        <v/>
      </c>
      <c r="L92" s="36" t="str">
        <f>RTD("ice.rtd",,$C92 &amp; $D92 &amp; ":" &amp; L$1)</f>
        <v/>
      </c>
      <c r="M92" s="14" t="str">
        <f>IFERROR(MOD(TIMEVALUE(RTD("ice.rtd",,$C92 &amp; $D92 &amp; ":" &amp; M$1)), 1), "")</f>
        <v/>
      </c>
      <c r="N92" s="36">
        <f>RTD("ice.rtd",,$C92 &amp; $D92 &amp; ":" &amp; N$1)</f>
        <v>0</v>
      </c>
      <c r="O92" s="36">
        <f>RTD("ice.rtd",,$C92 &amp; $D92 &amp; ":" &amp; O$1)</f>
        <v>0</v>
      </c>
      <c r="P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" s="14" t="str">
        <f>IF(ICE[[#This Row],[LastType]] = "Scrn", ICE[[#This Row],[LstDate]], IF(ICE[[#This Row],[LastType]] = "Blk", ICE[[#This Row],[LstBlkTime]], ""))</f>
        <v/>
      </c>
      <c r="R92" s="41" t="str">
        <f>IF(ICE[[#This Row],[LastType]] = "Scrn", ICE[[#This Row],[LstPrc]], IF(ICE[[#This Row],[LastType]] = "Blk", ICE[[#This Row],[LstBlkPrc]], ""))</f>
        <v/>
      </c>
      <c r="S92" s="36">
        <f>ICE[[#This Row],[Vol]]+ICE[[#This Row],[BlkVol]]</f>
        <v>0</v>
      </c>
      <c r="T92" s="36">
        <f>RTD("ice.rtd",,$C92 &amp; $D92 &amp; ":" &amp; T$1)</f>
        <v>206</v>
      </c>
      <c r="U92" s="18">
        <f>RTD("ice.rtd",,$C92 &amp; $D92 &amp; ":" &amp; U$1)</f>
        <v>89</v>
      </c>
      <c r="V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" s="18" t="str">
        <f>IFERROR(IF(LEFT(ICE[[#This Row],[Tenor]], 1) = "B", RTD("esrtd",,$B92 &amp; " " &amp; ICE[[#This Row],[Tenor]] &amp; "-IEU", W$1), RTD("esrtd",,$B92 &amp; " " &amp; VLOOKUP(MONTH(ICE[[#This Row],[Strip]]), MthRef[], 2, 0) &amp; RIGHT(YEAR(ICE[[#This Row],[Strip]]), 2) &amp; "-IEU", W$1)), "")</f>
        <v/>
      </c>
      <c r="X92" s="36"/>
    </row>
    <row r="93" spans="1:24" x14ac:dyDescent="0.25">
      <c r="A93" s="37" t="s">
        <v>411</v>
      </c>
      <c r="B93" s="3" t="str">
        <f>RTD("ice.rtd",,$C93 &amp; $D93 &amp; ":" &amp; B$1)</f>
        <v>ULJ</v>
      </c>
      <c r="C93" s="3">
        <v>34414099</v>
      </c>
      <c r="D93" t="s">
        <v>803</v>
      </c>
      <c r="E93" s="3" t="str">
        <f>RTD("ice.rtd",,$C93 &amp; $D93 &amp; ":" &amp; E$1)</f>
        <v>Nov27</v>
      </c>
      <c r="F93" s="3" t="str">
        <f>ICE[[#This Row],[Prod]]&amp;ICE[[#This Row],[Strip]]</f>
        <v>jetccndiffNov27</v>
      </c>
      <c r="G93" s="18" t="str">
        <f>RTD("ice.rtd",,$C93 &amp; $D93 &amp; ":" &amp; G$1)</f>
        <v/>
      </c>
      <c r="H93" s="18" t="str">
        <f>RTD("ice.rtd",,$C93 &amp; $D93 &amp; ":" &amp; H$1)</f>
        <v/>
      </c>
      <c r="I93" s="18" t="str">
        <f>RTD("ice.rtd",,$C93 &amp; $D93 &amp; ":" &amp; I$1)</f>
        <v/>
      </c>
      <c r="J93" s="14" t="str">
        <f>IFERROR(MOD(RTD("ice.rtd",,$C93 &amp; $D93 &amp; ":" &amp; J$1), 1), "")</f>
        <v/>
      </c>
      <c r="K93" s="18" t="str">
        <f>RTD("ice.rtd",,$C93 &amp; $D93 &amp; ":" &amp; K$1)</f>
        <v/>
      </c>
      <c r="L93" s="36" t="str">
        <f>RTD("ice.rtd",,$C93 &amp; $D93 &amp; ":" &amp; L$1)</f>
        <v/>
      </c>
      <c r="M93" s="14" t="str">
        <f>IFERROR(MOD(TIMEVALUE(RTD("ice.rtd",,$C93 &amp; $D93 &amp; ":" &amp; M$1)), 1), "")</f>
        <v/>
      </c>
      <c r="N93" s="36">
        <f>RTD("ice.rtd",,$C93 &amp; $D93 &amp; ":" &amp; N$1)</f>
        <v>0</v>
      </c>
      <c r="O93" s="36">
        <f>RTD("ice.rtd",,$C93 &amp; $D93 &amp; ":" &amp; O$1)</f>
        <v>0</v>
      </c>
      <c r="P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" s="14" t="str">
        <f>IF(ICE[[#This Row],[LastType]] = "Scrn", ICE[[#This Row],[LstDate]], IF(ICE[[#This Row],[LastType]] = "Blk", ICE[[#This Row],[LstBlkTime]], ""))</f>
        <v/>
      </c>
      <c r="R93" s="41" t="str">
        <f>IF(ICE[[#This Row],[LastType]] = "Scrn", ICE[[#This Row],[LstPrc]], IF(ICE[[#This Row],[LastType]] = "Blk", ICE[[#This Row],[LstBlkPrc]], ""))</f>
        <v/>
      </c>
      <c r="S93" s="36">
        <f>ICE[[#This Row],[Vol]]+ICE[[#This Row],[BlkVol]]</f>
        <v>0</v>
      </c>
      <c r="T93" s="36">
        <f>RTD("ice.rtd",,$C93 &amp; $D93 &amp; ":" &amp; T$1)</f>
        <v>206</v>
      </c>
      <c r="U93" s="18">
        <f>RTD("ice.rtd",,$C93 &amp; $D93 &amp; ":" &amp; U$1)</f>
        <v>88</v>
      </c>
      <c r="V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" s="18" t="str">
        <f>IFERROR(IF(LEFT(ICE[[#This Row],[Tenor]], 1) = "B", RTD("esrtd",,$B93 &amp; " " &amp; ICE[[#This Row],[Tenor]] &amp; "-IEU", W$1), RTD("esrtd",,$B93 &amp; " " &amp; VLOOKUP(MONTH(ICE[[#This Row],[Strip]]), MthRef[], 2, 0) &amp; RIGHT(YEAR(ICE[[#This Row],[Strip]]), 2) &amp; "-IEU", W$1)), "")</f>
        <v/>
      </c>
      <c r="X93" s="36"/>
    </row>
    <row r="94" spans="1:24" x14ac:dyDescent="0.25">
      <c r="A94" s="37" t="s">
        <v>411</v>
      </c>
      <c r="B94" s="3" t="str">
        <f>RTD("ice.rtd",,$C94 &amp; $D94 &amp; ":" &amp; B$1)</f>
        <v>ULJ</v>
      </c>
      <c r="C94" s="3">
        <v>34414099</v>
      </c>
      <c r="D94" t="s">
        <v>804</v>
      </c>
      <c r="E94" s="3" t="str">
        <f>RTD("ice.rtd",,$C94 &amp; $D94 &amp; ":" &amp; E$1)</f>
        <v>Dec27</v>
      </c>
      <c r="F94" s="3" t="str">
        <f>ICE[[#This Row],[Prod]]&amp;ICE[[#This Row],[Strip]]</f>
        <v>jetccndiffDec27</v>
      </c>
      <c r="G94" s="18" t="str">
        <f>RTD("ice.rtd",,$C94 &amp; $D94 &amp; ":" &amp; G$1)</f>
        <v/>
      </c>
      <c r="H94" s="18" t="str">
        <f>RTD("ice.rtd",,$C94 &amp; $D94 &amp; ":" &amp; H$1)</f>
        <v/>
      </c>
      <c r="I94" s="18" t="str">
        <f>RTD("ice.rtd",,$C94 &amp; $D94 &amp; ":" &amp; I$1)</f>
        <v/>
      </c>
      <c r="J94" s="14" t="str">
        <f>IFERROR(MOD(RTD("ice.rtd",,$C94 &amp; $D94 &amp; ":" &amp; J$1), 1), "")</f>
        <v/>
      </c>
      <c r="K94" s="18" t="str">
        <f>RTD("ice.rtd",,$C94 &amp; $D94 &amp; ":" &amp; K$1)</f>
        <v/>
      </c>
      <c r="L94" s="36" t="str">
        <f>RTD("ice.rtd",,$C94 &amp; $D94 &amp; ":" &amp; L$1)</f>
        <v/>
      </c>
      <c r="M94" s="14" t="str">
        <f>IFERROR(MOD(TIMEVALUE(RTD("ice.rtd",,$C94 &amp; $D94 &amp; ":" &amp; M$1)), 1), "")</f>
        <v/>
      </c>
      <c r="N94" s="36">
        <f>RTD("ice.rtd",,$C94 &amp; $D94 &amp; ":" &amp; N$1)</f>
        <v>0</v>
      </c>
      <c r="O94" s="36">
        <f>RTD("ice.rtd",,$C94 &amp; $D94 &amp; ":" &amp; O$1)</f>
        <v>0</v>
      </c>
      <c r="P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" s="14" t="str">
        <f>IF(ICE[[#This Row],[LastType]] = "Scrn", ICE[[#This Row],[LstDate]], IF(ICE[[#This Row],[LastType]] = "Blk", ICE[[#This Row],[LstBlkTime]], ""))</f>
        <v/>
      </c>
      <c r="R94" s="41" t="str">
        <f>IF(ICE[[#This Row],[LastType]] = "Scrn", ICE[[#This Row],[LstPrc]], IF(ICE[[#This Row],[LastType]] = "Blk", ICE[[#This Row],[LstBlkPrc]], ""))</f>
        <v/>
      </c>
      <c r="S94" s="36">
        <f>ICE[[#This Row],[Vol]]+ICE[[#This Row],[BlkVol]]</f>
        <v>0</v>
      </c>
      <c r="T94" s="36">
        <f>RTD("ice.rtd",,$C94 &amp; $D94 &amp; ":" &amp; T$1)</f>
        <v>233</v>
      </c>
      <c r="U94" s="18">
        <f>RTD("ice.rtd",,$C94 &amp; $D94 &amp; ":" &amp; U$1)</f>
        <v>87</v>
      </c>
      <c r="V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" s="18" t="str">
        <f>IFERROR(IF(LEFT(ICE[[#This Row],[Tenor]], 1) = "B", RTD("esrtd",,$B94 &amp; " " &amp; ICE[[#This Row],[Tenor]] &amp; "-IEU", W$1), RTD("esrtd",,$B94 &amp; " " &amp; VLOOKUP(MONTH(ICE[[#This Row],[Strip]]), MthRef[], 2, 0) &amp; RIGHT(YEAR(ICE[[#This Row],[Strip]]), 2) &amp; "-IEU", W$1)), "")</f>
        <v/>
      </c>
      <c r="X94" s="36"/>
    </row>
    <row r="95" spans="1:24" x14ac:dyDescent="0.25">
      <c r="A95" s="37" t="s">
        <v>411</v>
      </c>
      <c r="B95" s="3" t="str">
        <f>RTD("ice.rtd",,$C95 &amp; $D95 &amp; ":" &amp; B$1)</f>
        <v>ULJ</v>
      </c>
      <c r="C95" s="3">
        <v>34414099</v>
      </c>
      <c r="D95" t="s">
        <v>805</v>
      </c>
      <c r="E95" s="3" t="str">
        <f>RTD("ice.rtd",,$C95 &amp; $D95 &amp; ":" &amp; E$1)</f>
        <v>Jan28</v>
      </c>
      <c r="F95" s="3" t="str">
        <f>ICE[[#This Row],[Prod]]&amp;ICE[[#This Row],[Strip]]</f>
        <v>jetccndiffJan28</v>
      </c>
      <c r="G95" s="18" t="str">
        <f>RTD("ice.rtd",,$C95 &amp; $D95 &amp; ":" &amp; G$1)</f>
        <v/>
      </c>
      <c r="H95" s="18" t="str">
        <f>RTD("ice.rtd",,$C95 &amp; $D95 &amp; ":" &amp; H$1)</f>
        <v/>
      </c>
      <c r="I95" s="18" t="str">
        <f>RTD("ice.rtd",,$C95 &amp; $D95 &amp; ":" &amp; I$1)</f>
        <v/>
      </c>
      <c r="J95" s="14" t="str">
        <f>IFERROR(MOD(RTD("ice.rtd",,$C95 &amp; $D95 &amp; ":" &amp; J$1), 1), "")</f>
        <v/>
      </c>
      <c r="K95" s="18" t="str">
        <f>RTD("ice.rtd",,$C95 &amp; $D95 &amp; ":" &amp; K$1)</f>
        <v/>
      </c>
      <c r="L95" s="36" t="str">
        <f>RTD("ice.rtd",,$C95 &amp; $D95 &amp; ":" &amp; L$1)</f>
        <v/>
      </c>
      <c r="M95" s="14" t="str">
        <f>IFERROR(MOD(TIMEVALUE(RTD("ice.rtd",,$C95 &amp; $D95 &amp; ":" &amp; M$1)), 1), "")</f>
        <v/>
      </c>
      <c r="N95" s="36">
        <f>RTD("ice.rtd",,$C95 &amp; $D95 &amp; ":" &amp; N$1)</f>
        <v>0</v>
      </c>
      <c r="O95" s="36">
        <f>RTD("ice.rtd",,$C95 &amp; $D95 &amp; ":" &amp; O$1)</f>
        <v>0</v>
      </c>
      <c r="P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" s="14" t="str">
        <f>IF(ICE[[#This Row],[LastType]] = "Scrn", ICE[[#This Row],[LstDate]], IF(ICE[[#This Row],[LastType]] = "Blk", ICE[[#This Row],[LstBlkTime]], ""))</f>
        <v/>
      </c>
      <c r="R95" s="41" t="str">
        <f>IF(ICE[[#This Row],[LastType]] = "Scrn", ICE[[#This Row],[LstPrc]], IF(ICE[[#This Row],[LastType]] = "Blk", ICE[[#This Row],[LstBlkPrc]], ""))</f>
        <v/>
      </c>
      <c r="S95" s="36">
        <f>ICE[[#This Row],[Vol]]+ICE[[#This Row],[BlkVol]]</f>
        <v>0</v>
      </c>
      <c r="T95" s="36">
        <f>RTD("ice.rtd",,$C95 &amp; $D95 &amp; ":" &amp; T$1)</f>
        <v>86</v>
      </c>
      <c r="U95" s="18">
        <f>RTD("ice.rtd",,$C95 &amp; $D95 &amp; ":" &amp; U$1)</f>
        <v>85</v>
      </c>
      <c r="V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" s="18" t="str">
        <f>IFERROR(IF(LEFT(ICE[[#This Row],[Tenor]], 1) = "B", RTD("esrtd",,$B95 &amp; " " &amp; ICE[[#This Row],[Tenor]] &amp; "-IEU", W$1), RTD("esrtd",,$B95 &amp; " " &amp; VLOOKUP(MONTH(ICE[[#This Row],[Strip]]), MthRef[], 2, 0) &amp; RIGHT(YEAR(ICE[[#This Row],[Strip]]), 2) &amp; "-IEU", W$1)), "")</f>
        <v/>
      </c>
      <c r="X95" s="36"/>
    </row>
    <row r="96" spans="1:24" x14ac:dyDescent="0.25">
      <c r="A96" s="37" t="s">
        <v>411</v>
      </c>
      <c r="B96" s="3" t="str">
        <f>RTD("ice.rtd",,$C96 &amp; $D96 &amp; ":" &amp; B$1)</f>
        <v>ULJ</v>
      </c>
      <c r="C96" s="3">
        <v>34414099</v>
      </c>
      <c r="D96" t="s">
        <v>806</v>
      </c>
      <c r="E96" s="3" t="str">
        <f>RTD("ice.rtd",,$C96 &amp; $D96 &amp; ":" &amp; E$1)</f>
        <v>Feb28</v>
      </c>
      <c r="F96" s="3" t="str">
        <f>ICE[[#This Row],[Prod]]&amp;ICE[[#This Row],[Strip]]</f>
        <v>jetccndiffFeb28</v>
      </c>
      <c r="G96" s="18" t="str">
        <f>RTD("ice.rtd",,$C96 &amp; $D96 &amp; ":" &amp; G$1)</f>
        <v/>
      </c>
      <c r="H96" s="18" t="str">
        <f>RTD("ice.rtd",,$C96 &amp; $D96 &amp; ":" &amp; H$1)</f>
        <v/>
      </c>
      <c r="I96" s="18" t="str">
        <f>RTD("ice.rtd",,$C96 &amp; $D96 &amp; ":" &amp; I$1)</f>
        <v/>
      </c>
      <c r="J96" s="14" t="str">
        <f>IFERROR(MOD(RTD("ice.rtd",,$C96 &amp; $D96 &amp; ":" &amp; J$1), 1), "")</f>
        <v/>
      </c>
      <c r="K96" s="18" t="str">
        <f>RTD("ice.rtd",,$C96 &amp; $D96 &amp; ":" &amp; K$1)</f>
        <v/>
      </c>
      <c r="L96" s="36" t="str">
        <f>RTD("ice.rtd",,$C96 &amp; $D96 &amp; ":" &amp; L$1)</f>
        <v/>
      </c>
      <c r="M96" s="14" t="str">
        <f>IFERROR(MOD(TIMEVALUE(RTD("ice.rtd",,$C96 &amp; $D96 &amp; ":" &amp; M$1)), 1), "")</f>
        <v/>
      </c>
      <c r="N96" s="36">
        <f>RTD("ice.rtd",,$C96 &amp; $D96 &amp; ":" &amp; N$1)</f>
        <v>0</v>
      </c>
      <c r="O96" s="36">
        <f>RTD("ice.rtd",,$C96 &amp; $D96 &amp; ":" &amp; O$1)</f>
        <v>0</v>
      </c>
      <c r="P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" s="14" t="str">
        <f>IF(ICE[[#This Row],[LastType]] = "Scrn", ICE[[#This Row],[LstDate]], IF(ICE[[#This Row],[LastType]] = "Blk", ICE[[#This Row],[LstBlkTime]], ""))</f>
        <v/>
      </c>
      <c r="R96" s="41" t="str">
        <f>IF(ICE[[#This Row],[LastType]] = "Scrn", ICE[[#This Row],[LstPrc]], IF(ICE[[#This Row],[LastType]] = "Blk", ICE[[#This Row],[LstBlkPrc]], ""))</f>
        <v/>
      </c>
      <c r="S96" s="36">
        <f>ICE[[#This Row],[Vol]]+ICE[[#This Row],[BlkVol]]</f>
        <v>0</v>
      </c>
      <c r="T96" s="36">
        <f>RTD("ice.rtd",,$C96 &amp; $D96 &amp; ":" &amp; T$1)</f>
        <v>80</v>
      </c>
      <c r="U96" s="18">
        <f>RTD("ice.rtd",,$C96 &amp; $D96 &amp; ":" &amp; U$1)</f>
        <v>85</v>
      </c>
      <c r="V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" s="18" t="str">
        <f>IFERROR(IF(LEFT(ICE[[#This Row],[Tenor]], 1) = "B", RTD("esrtd",,$B96 &amp; " " &amp; ICE[[#This Row],[Tenor]] &amp; "-IEU", W$1), RTD("esrtd",,$B96 &amp; " " &amp; VLOOKUP(MONTH(ICE[[#This Row],[Strip]]), MthRef[], 2, 0) &amp; RIGHT(YEAR(ICE[[#This Row],[Strip]]), 2) &amp; "-IEU", W$1)), "")</f>
        <v/>
      </c>
      <c r="X96" s="36"/>
    </row>
    <row r="97" spans="1:24" x14ac:dyDescent="0.25">
      <c r="A97" s="37" t="s">
        <v>411</v>
      </c>
      <c r="B97" s="3" t="str">
        <f>RTD("ice.rtd",,$C97 &amp; $D97 &amp; ":" &amp; B$1)</f>
        <v>ULJ</v>
      </c>
      <c r="C97" s="3">
        <v>34414099</v>
      </c>
      <c r="D97" t="s">
        <v>807</v>
      </c>
      <c r="E97" s="3" t="str">
        <f>RTD("ice.rtd",,$C97 &amp; $D97 &amp; ":" &amp; E$1)</f>
        <v>Mar28</v>
      </c>
      <c r="F97" s="3" t="str">
        <f>ICE[[#This Row],[Prod]]&amp;ICE[[#This Row],[Strip]]</f>
        <v>jetccndiffMar28</v>
      </c>
      <c r="G97" s="18" t="str">
        <f>RTD("ice.rtd",,$C97 &amp; $D97 &amp; ":" &amp; G$1)</f>
        <v/>
      </c>
      <c r="H97" s="18" t="str">
        <f>RTD("ice.rtd",,$C97 &amp; $D97 &amp; ":" &amp; H$1)</f>
        <v/>
      </c>
      <c r="I97" s="18" t="str">
        <f>RTD("ice.rtd",,$C97 &amp; $D97 &amp; ":" &amp; I$1)</f>
        <v/>
      </c>
      <c r="J97" s="14" t="str">
        <f>IFERROR(MOD(RTD("ice.rtd",,$C97 &amp; $D97 &amp; ":" &amp; J$1), 1), "")</f>
        <v/>
      </c>
      <c r="K97" s="18" t="str">
        <f>RTD("ice.rtd",,$C97 &amp; $D97 &amp; ":" &amp; K$1)</f>
        <v/>
      </c>
      <c r="L97" s="36" t="str">
        <f>RTD("ice.rtd",,$C97 &amp; $D97 &amp; ":" &amp; L$1)</f>
        <v/>
      </c>
      <c r="M97" s="14" t="str">
        <f>IFERROR(MOD(TIMEVALUE(RTD("ice.rtd",,$C97 &amp; $D97 &amp; ":" &amp; M$1)), 1), "")</f>
        <v/>
      </c>
      <c r="N97" s="36">
        <f>RTD("ice.rtd",,$C97 &amp; $D97 &amp; ":" &amp; N$1)</f>
        <v>0</v>
      </c>
      <c r="O97" s="36">
        <f>RTD("ice.rtd",,$C97 &amp; $D97 &amp; ":" &amp; O$1)</f>
        <v>0</v>
      </c>
      <c r="P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" s="14" t="str">
        <f>IF(ICE[[#This Row],[LastType]] = "Scrn", ICE[[#This Row],[LstDate]], IF(ICE[[#This Row],[LastType]] = "Blk", ICE[[#This Row],[LstBlkTime]], ""))</f>
        <v/>
      </c>
      <c r="R97" s="41" t="str">
        <f>IF(ICE[[#This Row],[LastType]] = "Scrn", ICE[[#This Row],[LstPrc]], IF(ICE[[#This Row],[LastType]] = "Blk", ICE[[#This Row],[LstBlkPrc]], ""))</f>
        <v/>
      </c>
      <c r="S97" s="36">
        <f>ICE[[#This Row],[Vol]]+ICE[[#This Row],[BlkVol]]</f>
        <v>0</v>
      </c>
      <c r="T97" s="36">
        <f>RTD("ice.rtd",,$C97 &amp; $D97 &amp; ":" &amp; T$1)</f>
        <v>80</v>
      </c>
      <c r="U97" s="18">
        <f>RTD("ice.rtd",,$C97 &amp; $D97 &amp; ":" &amp; U$1)</f>
        <v>85</v>
      </c>
      <c r="V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" s="18" t="str">
        <f>IFERROR(IF(LEFT(ICE[[#This Row],[Tenor]], 1) = "B", RTD("esrtd",,$B97 &amp; " " &amp; ICE[[#This Row],[Tenor]] &amp; "-IEU", W$1), RTD("esrtd",,$B97 &amp; " " &amp; VLOOKUP(MONTH(ICE[[#This Row],[Strip]]), MthRef[], 2, 0) &amp; RIGHT(YEAR(ICE[[#This Row],[Strip]]), 2) &amp; "-IEU", W$1)), "")</f>
        <v/>
      </c>
      <c r="X97" s="36"/>
    </row>
    <row r="98" spans="1:24" x14ac:dyDescent="0.25">
      <c r="A98" s="37" t="s">
        <v>411</v>
      </c>
      <c r="B98" s="3" t="str">
        <f>RTD("ice.rtd",,$C98 &amp; $D98 &amp; ":" &amp; B$1)</f>
        <v>ULJ</v>
      </c>
      <c r="C98" s="3">
        <v>34414099</v>
      </c>
      <c r="D98" t="s">
        <v>808</v>
      </c>
      <c r="E98" s="3" t="str">
        <f>RTD("ice.rtd",,$C98 &amp; $D98 &amp; ":" &amp; E$1)</f>
        <v>Apr28</v>
      </c>
      <c r="F98" s="3" t="str">
        <f>ICE[[#This Row],[Prod]]&amp;ICE[[#This Row],[Strip]]</f>
        <v>jetccndiffApr28</v>
      </c>
      <c r="G98" s="18" t="str">
        <f>RTD("ice.rtd",,$C98 &amp; $D98 &amp; ":" &amp; G$1)</f>
        <v/>
      </c>
      <c r="H98" s="18" t="str">
        <f>RTD("ice.rtd",,$C98 &amp; $D98 &amp; ":" &amp; H$1)</f>
        <v/>
      </c>
      <c r="I98" s="18" t="str">
        <f>RTD("ice.rtd",,$C98 &amp; $D98 &amp; ":" &amp; I$1)</f>
        <v/>
      </c>
      <c r="J98" s="14" t="str">
        <f>IFERROR(MOD(RTD("ice.rtd",,$C98 &amp; $D98 &amp; ":" &amp; J$1), 1), "")</f>
        <v/>
      </c>
      <c r="K98" s="18" t="str">
        <f>RTD("ice.rtd",,$C98 &amp; $D98 &amp; ":" &amp; K$1)</f>
        <v/>
      </c>
      <c r="L98" s="36" t="str">
        <f>RTD("ice.rtd",,$C98 &amp; $D98 &amp; ":" &amp; L$1)</f>
        <v/>
      </c>
      <c r="M98" s="14" t="str">
        <f>IFERROR(MOD(TIMEVALUE(RTD("ice.rtd",,$C98 &amp; $D98 &amp; ":" &amp; M$1)), 1), "")</f>
        <v/>
      </c>
      <c r="N98" s="36">
        <f>RTD("ice.rtd",,$C98 &amp; $D98 &amp; ":" &amp; N$1)</f>
        <v>0</v>
      </c>
      <c r="O98" s="36">
        <f>RTD("ice.rtd",,$C98 &amp; $D98 &amp; ":" &amp; O$1)</f>
        <v>0</v>
      </c>
      <c r="P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" s="14" t="str">
        <f>IF(ICE[[#This Row],[LastType]] = "Scrn", ICE[[#This Row],[LstDate]], IF(ICE[[#This Row],[LastType]] = "Blk", ICE[[#This Row],[LstBlkTime]], ""))</f>
        <v/>
      </c>
      <c r="R98" s="41" t="str">
        <f>IF(ICE[[#This Row],[LastType]] = "Scrn", ICE[[#This Row],[LstPrc]], IF(ICE[[#This Row],[LastType]] = "Blk", ICE[[#This Row],[LstBlkPrc]], ""))</f>
        <v/>
      </c>
      <c r="S98" s="36">
        <f>ICE[[#This Row],[Vol]]+ICE[[#This Row],[BlkVol]]</f>
        <v>0</v>
      </c>
      <c r="T98" s="36">
        <f>RTD("ice.rtd",,$C98 &amp; $D98 &amp; ":" &amp; T$1)</f>
        <v>10</v>
      </c>
      <c r="U98" s="18">
        <f>RTD("ice.rtd",,$C98 &amp; $D98 &amp; ":" &amp; U$1)</f>
        <v>85</v>
      </c>
      <c r="V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" s="18" t="str">
        <f>IFERROR(IF(LEFT(ICE[[#This Row],[Tenor]], 1) = "B", RTD("esrtd",,$B98 &amp; " " &amp; ICE[[#This Row],[Tenor]] &amp; "-IEU", W$1), RTD("esrtd",,$B98 &amp; " " &amp; VLOOKUP(MONTH(ICE[[#This Row],[Strip]]), MthRef[], 2, 0) &amp; RIGHT(YEAR(ICE[[#This Row],[Strip]]), 2) &amp; "-IEU", W$1)), "")</f>
        <v/>
      </c>
      <c r="X98" s="36"/>
    </row>
    <row r="99" spans="1:24" x14ac:dyDescent="0.25">
      <c r="A99" s="37" t="s">
        <v>411</v>
      </c>
      <c r="B99" s="3" t="str">
        <f>RTD("ice.rtd",,$C99 &amp; $D99 &amp; ":" &amp; B$1)</f>
        <v>ULJ</v>
      </c>
      <c r="C99" s="3">
        <v>34414099</v>
      </c>
      <c r="D99" t="s">
        <v>809</v>
      </c>
      <c r="E99" s="3" t="str">
        <f>RTD("ice.rtd",,$C99 &amp; $D99 &amp; ":" &amp; E$1)</f>
        <v>May28</v>
      </c>
      <c r="F99" s="3" t="str">
        <f>ICE[[#This Row],[Prod]]&amp;ICE[[#This Row],[Strip]]</f>
        <v>jetccndiffMay28</v>
      </c>
      <c r="G99" s="18" t="str">
        <f>RTD("ice.rtd",,$C99 &amp; $D99 &amp; ":" &amp; G$1)</f>
        <v/>
      </c>
      <c r="H99" s="18" t="str">
        <f>RTD("ice.rtd",,$C99 &amp; $D99 &amp; ":" &amp; H$1)</f>
        <v/>
      </c>
      <c r="I99" s="18" t="str">
        <f>RTD("ice.rtd",,$C99 &amp; $D99 &amp; ":" &amp; I$1)</f>
        <v/>
      </c>
      <c r="J99" s="14" t="str">
        <f>IFERROR(MOD(RTD("ice.rtd",,$C99 &amp; $D99 &amp; ":" &amp; J$1), 1), "")</f>
        <v/>
      </c>
      <c r="K99" s="18" t="str">
        <f>RTD("ice.rtd",,$C99 &amp; $D99 &amp; ":" &amp; K$1)</f>
        <v/>
      </c>
      <c r="L99" s="36" t="str">
        <f>RTD("ice.rtd",,$C99 &amp; $D99 &amp; ":" &amp; L$1)</f>
        <v/>
      </c>
      <c r="M99" s="14" t="str">
        <f>IFERROR(MOD(TIMEVALUE(RTD("ice.rtd",,$C99 &amp; $D99 &amp; ":" &amp; M$1)), 1), "")</f>
        <v/>
      </c>
      <c r="N99" s="36">
        <f>RTD("ice.rtd",,$C99 &amp; $D99 &amp; ":" &amp; N$1)</f>
        <v>0</v>
      </c>
      <c r="O99" s="36">
        <f>RTD("ice.rtd",,$C99 &amp; $D99 &amp; ":" &amp; O$1)</f>
        <v>0</v>
      </c>
      <c r="P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" s="14" t="str">
        <f>IF(ICE[[#This Row],[LastType]] = "Scrn", ICE[[#This Row],[LstDate]], IF(ICE[[#This Row],[LastType]] = "Blk", ICE[[#This Row],[LstBlkTime]], ""))</f>
        <v/>
      </c>
      <c r="R99" s="41" t="str">
        <f>IF(ICE[[#This Row],[LastType]] = "Scrn", ICE[[#This Row],[LstPrc]], IF(ICE[[#This Row],[LastType]] = "Blk", ICE[[#This Row],[LstBlkPrc]], ""))</f>
        <v/>
      </c>
      <c r="S99" s="36">
        <f>ICE[[#This Row],[Vol]]+ICE[[#This Row],[BlkVol]]</f>
        <v>0</v>
      </c>
      <c r="T99" s="36">
        <f>RTD("ice.rtd",,$C99 &amp; $D99 &amp; ":" &amp; T$1)</f>
        <v>15</v>
      </c>
      <c r="U99" s="18">
        <f>RTD("ice.rtd",,$C99 &amp; $D99 &amp; ":" &amp; U$1)</f>
        <v>85</v>
      </c>
      <c r="V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" s="18" t="str">
        <f>IFERROR(IF(LEFT(ICE[[#This Row],[Tenor]], 1) = "B", RTD("esrtd",,$B99 &amp; " " &amp; ICE[[#This Row],[Tenor]] &amp; "-IEU", W$1), RTD("esrtd",,$B99 &amp; " " &amp; VLOOKUP(MONTH(ICE[[#This Row],[Strip]]), MthRef[], 2, 0) &amp; RIGHT(YEAR(ICE[[#This Row],[Strip]]), 2) &amp; "-IEU", W$1)), "")</f>
        <v/>
      </c>
      <c r="X99" s="36"/>
    </row>
    <row r="100" spans="1:24" x14ac:dyDescent="0.25">
      <c r="A100" s="37" t="s">
        <v>411</v>
      </c>
      <c r="B100" s="3" t="str">
        <f>RTD("ice.rtd",,$C100 &amp; $D100 &amp; ":" &amp; B$1)</f>
        <v>ULJ</v>
      </c>
      <c r="C100" s="3">
        <v>34414099</v>
      </c>
      <c r="D100" t="s">
        <v>810</v>
      </c>
      <c r="E100" s="3" t="str">
        <f>RTD("ice.rtd",,$C100 &amp; $D100 &amp; ":" &amp; E$1)</f>
        <v>Jun28</v>
      </c>
      <c r="F100" s="3" t="str">
        <f>ICE[[#This Row],[Prod]]&amp;ICE[[#This Row],[Strip]]</f>
        <v>jetccndiffJun28</v>
      </c>
      <c r="G100" s="18" t="str">
        <f>RTD("ice.rtd",,$C100 &amp; $D100 &amp; ":" &amp; G$1)</f>
        <v/>
      </c>
      <c r="H100" s="18" t="str">
        <f>RTD("ice.rtd",,$C100 &amp; $D100 &amp; ":" &amp; H$1)</f>
        <v/>
      </c>
      <c r="I100" s="18" t="str">
        <f>RTD("ice.rtd",,$C100 &amp; $D100 &amp; ":" &amp; I$1)</f>
        <v/>
      </c>
      <c r="J100" s="14" t="str">
        <f>IFERROR(MOD(RTD("ice.rtd",,$C100 &amp; $D100 &amp; ":" &amp; J$1), 1), "")</f>
        <v/>
      </c>
      <c r="K100" s="18" t="str">
        <f>RTD("ice.rtd",,$C100 &amp; $D100 &amp; ":" &amp; K$1)</f>
        <v/>
      </c>
      <c r="L100" s="36" t="str">
        <f>RTD("ice.rtd",,$C100 &amp; $D100 &amp; ":" &amp; L$1)</f>
        <v/>
      </c>
      <c r="M100" s="14" t="str">
        <f>IFERROR(MOD(TIMEVALUE(RTD("ice.rtd",,$C100 &amp; $D100 &amp; ":" &amp; M$1)), 1), "")</f>
        <v/>
      </c>
      <c r="N100" s="36">
        <f>RTD("ice.rtd",,$C100 &amp; $D100 &amp; ":" &amp; N$1)</f>
        <v>0</v>
      </c>
      <c r="O100" s="36">
        <f>RTD("ice.rtd",,$C100 &amp; $D100 &amp; ":" &amp; O$1)</f>
        <v>0</v>
      </c>
      <c r="P1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" s="14" t="str">
        <f>IF(ICE[[#This Row],[LastType]] = "Scrn", ICE[[#This Row],[LstDate]], IF(ICE[[#This Row],[LastType]] = "Blk", ICE[[#This Row],[LstBlkTime]], ""))</f>
        <v/>
      </c>
      <c r="R100" s="41" t="str">
        <f>IF(ICE[[#This Row],[LastType]] = "Scrn", ICE[[#This Row],[LstPrc]], IF(ICE[[#This Row],[LastType]] = "Blk", ICE[[#This Row],[LstBlkPrc]], ""))</f>
        <v/>
      </c>
      <c r="S100" s="36">
        <f>ICE[[#This Row],[Vol]]+ICE[[#This Row],[BlkVol]]</f>
        <v>0</v>
      </c>
      <c r="T100" s="36">
        <f>RTD("ice.rtd",,$C100 &amp; $D100 &amp; ":" &amp; T$1)</f>
        <v>10</v>
      </c>
      <c r="U100" s="18">
        <f>RTD("ice.rtd",,$C100 &amp; $D100 &amp; ":" &amp; U$1)</f>
        <v>85</v>
      </c>
      <c r="V1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" s="18" t="str">
        <f>IFERROR(IF(LEFT(ICE[[#This Row],[Tenor]], 1) = "B", RTD("esrtd",,$B100 &amp; " " &amp; ICE[[#This Row],[Tenor]] &amp; "-IEU", W$1), RTD("esrtd",,$B100 &amp; " " &amp; VLOOKUP(MONTH(ICE[[#This Row],[Strip]]), MthRef[], 2, 0) &amp; RIGHT(YEAR(ICE[[#This Row],[Strip]]), 2) &amp; "-IEU", W$1)), "")</f>
        <v/>
      </c>
      <c r="X100" s="36"/>
    </row>
    <row r="101" spans="1:24" x14ac:dyDescent="0.25">
      <c r="A101" s="37" t="s">
        <v>411</v>
      </c>
      <c r="B101" s="3" t="str">
        <f>RTD("ice.rtd",,$C101 &amp; $D101 &amp; ":" &amp; B$1)</f>
        <v>ULJ</v>
      </c>
      <c r="C101" s="3">
        <v>34414099</v>
      </c>
      <c r="D101" t="s">
        <v>811</v>
      </c>
      <c r="E101" s="3" t="str">
        <f>RTD("ice.rtd",,$C101 &amp; $D101 &amp; ":" &amp; E$1)</f>
        <v>Jul28</v>
      </c>
      <c r="F101" s="3" t="str">
        <f>ICE[[#This Row],[Prod]]&amp;ICE[[#This Row],[Strip]]</f>
        <v>jetccndiffJul28</v>
      </c>
      <c r="G101" s="18" t="str">
        <f>RTD("ice.rtd",,$C101 &amp; $D101 &amp; ":" &amp; G$1)</f>
        <v/>
      </c>
      <c r="H101" s="18" t="str">
        <f>RTD("ice.rtd",,$C101 &amp; $D101 &amp; ":" &amp; H$1)</f>
        <v/>
      </c>
      <c r="I101" s="18" t="str">
        <f>RTD("ice.rtd",,$C101 &amp; $D101 &amp; ":" &amp; I$1)</f>
        <v/>
      </c>
      <c r="J101" s="14" t="str">
        <f>IFERROR(MOD(RTD("ice.rtd",,$C101 &amp; $D101 &amp; ":" &amp; J$1), 1), "")</f>
        <v/>
      </c>
      <c r="K101" s="18" t="str">
        <f>RTD("ice.rtd",,$C101 &amp; $D101 &amp; ":" &amp; K$1)</f>
        <v/>
      </c>
      <c r="L101" s="36" t="str">
        <f>RTD("ice.rtd",,$C101 &amp; $D101 &amp; ":" &amp; L$1)</f>
        <v/>
      </c>
      <c r="M101" s="14" t="str">
        <f>IFERROR(MOD(TIMEVALUE(RTD("ice.rtd",,$C101 &amp; $D101 &amp; ":" &amp; M$1)), 1), "")</f>
        <v/>
      </c>
      <c r="N101" s="36">
        <f>RTD("ice.rtd",,$C101 &amp; $D101 &amp; ":" &amp; N$1)</f>
        <v>0</v>
      </c>
      <c r="O101" s="36">
        <f>RTD("ice.rtd",,$C101 &amp; $D101 &amp; ":" &amp; O$1)</f>
        <v>0</v>
      </c>
      <c r="P1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" s="14" t="str">
        <f>IF(ICE[[#This Row],[LastType]] = "Scrn", ICE[[#This Row],[LstDate]], IF(ICE[[#This Row],[LastType]] = "Blk", ICE[[#This Row],[LstBlkTime]], ""))</f>
        <v/>
      </c>
      <c r="R101" s="41" t="str">
        <f>IF(ICE[[#This Row],[LastType]] = "Scrn", ICE[[#This Row],[LstPrc]], IF(ICE[[#This Row],[LastType]] = "Blk", ICE[[#This Row],[LstBlkPrc]], ""))</f>
        <v/>
      </c>
      <c r="S101" s="36">
        <f>ICE[[#This Row],[Vol]]+ICE[[#This Row],[BlkVol]]</f>
        <v>0</v>
      </c>
      <c r="T101" s="36">
        <f>RTD("ice.rtd",,$C101 &amp; $D101 &amp; ":" &amp; T$1)</f>
        <v>6</v>
      </c>
      <c r="U101" s="18">
        <f>RTD("ice.rtd",,$C101 &amp; $D101 &amp; ":" &amp; U$1)</f>
        <v>85</v>
      </c>
      <c r="V1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" s="18" t="str">
        <f>IFERROR(IF(LEFT(ICE[[#This Row],[Tenor]], 1) = "B", RTD("esrtd",,$B101 &amp; " " &amp; ICE[[#This Row],[Tenor]] &amp; "-IEU", W$1), RTD("esrtd",,$B101 &amp; " " &amp; VLOOKUP(MONTH(ICE[[#This Row],[Strip]]), MthRef[], 2, 0) &amp; RIGHT(YEAR(ICE[[#This Row],[Strip]]), 2) &amp; "-IEU", W$1)), "")</f>
        <v/>
      </c>
      <c r="X101" s="36"/>
    </row>
    <row r="102" spans="1:24" x14ac:dyDescent="0.25">
      <c r="A102" s="37" t="s">
        <v>411</v>
      </c>
      <c r="B102" s="3" t="str">
        <f>RTD("ice.rtd",,$C102 &amp; $D102 &amp; ":" &amp; B$1)</f>
        <v>ULJ</v>
      </c>
      <c r="C102" s="3">
        <v>34414099</v>
      </c>
      <c r="D102" t="s">
        <v>812</v>
      </c>
      <c r="E102" s="3" t="str">
        <f>RTD("ice.rtd",,$C102 &amp; $D102 &amp; ":" &amp; E$1)</f>
        <v>Aug28</v>
      </c>
      <c r="F102" s="3" t="str">
        <f>ICE[[#This Row],[Prod]]&amp;ICE[[#This Row],[Strip]]</f>
        <v>jetccndiffAug28</v>
      </c>
      <c r="G102" s="18" t="str">
        <f>RTD("ice.rtd",,$C102 &amp; $D102 &amp; ":" &amp; G$1)</f>
        <v/>
      </c>
      <c r="H102" s="18" t="str">
        <f>RTD("ice.rtd",,$C102 &amp; $D102 &amp; ":" &amp; H$1)</f>
        <v/>
      </c>
      <c r="I102" s="18" t="str">
        <f>RTD("ice.rtd",,$C102 &amp; $D102 &amp; ":" &amp; I$1)</f>
        <v/>
      </c>
      <c r="J102" s="14" t="str">
        <f>IFERROR(MOD(RTD("ice.rtd",,$C102 &amp; $D102 &amp; ":" &amp; J$1), 1), "")</f>
        <v/>
      </c>
      <c r="K102" s="18" t="str">
        <f>RTD("ice.rtd",,$C102 &amp; $D102 &amp; ":" &amp; K$1)</f>
        <v/>
      </c>
      <c r="L102" s="36" t="str">
        <f>RTD("ice.rtd",,$C102 &amp; $D102 &amp; ":" &amp; L$1)</f>
        <v/>
      </c>
      <c r="M102" s="14" t="str">
        <f>IFERROR(MOD(TIMEVALUE(RTD("ice.rtd",,$C102 &amp; $D102 &amp; ":" &amp; M$1)), 1), "")</f>
        <v/>
      </c>
      <c r="N102" s="36">
        <f>RTD("ice.rtd",,$C102 &amp; $D102 &amp; ":" &amp; N$1)</f>
        <v>0</v>
      </c>
      <c r="O102" s="36">
        <f>RTD("ice.rtd",,$C102 &amp; $D102 &amp; ":" &amp; O$1)</f>
        <v>0</v>
      </c>
      <c r="P1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" s="14" t="str">
        <f>IF(ICE[[#This Row],[LastType]] = "Scrn", ICE[[#This Row],[LstDate]], IF(ICE[[#This Row],[LastType]] = "Blk", ICE[[#This Row],[LstBlkTime]], ""))</f>
        <v/>
      </c>
      <c r="R102" s="41" t="str">
        <f>IF(ICE[[#This Row],[LastType]] = "Scrn", ICE[[#This Row],[LstPrc]], IF(ICE[[#This Row],[LastType]] = "Blk", ICE[[#This Row],[LstBlkPrc]], ""))</f>
        <v/>
      </c>
      <c r="S102" s="36">
        <f>ICE[[#This Row],[Vol]]+ICE[[#This Row],[BlkVol]]</f>
        <v>0</v>
      </c>
      <c r="T102" s="36">
        <f>RTD("ice.rtd",,$C102 &amp; $D102 &amp; ":" &amp; T$1)</f>
        <v>6</v>
      </c>
      <c r="U102" s="18">
        <f>RTD("ice.rtd",,$C102 &amp; $D102 &amp; ":" &amp; U$1)</f>
        <v>85</v>
      </c>
      <c r="V1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" s="18" t="str">
        <f>IFERROR(IF(LEFT(ICE[[#This Row],[Tenor]], 1) = "B", RTD("esrtd",,$B102 &amp; " " &amp; ICE[[#This Row],[Tenor]] &amp; "-IEU", W$1), RTD("esrtd",,$B102 &amp; " " &amp; VLOOKUP(MONTH(ICE[[#This Row],[Strip]]), MthRef[], 2, 0) &amp; RIGHT(YEAR(ICE[[#This Row],[Strip]]), 2) &amp; "-IEU", W$1)), "")</f>
        <v/>
      </c>
      <c r="X102" s="36"/>
    </row>
    <row r="103" spans="1:24" x14ac:dyDescent="0.25">
      <c r="A103" s="37" t="s">
        <v>411</v>
      </c>
      <c r="B103" s="3" t="str">
        <f>RTD("ice.rtd",,$C103 &amp; $D103 &amp; ":" &amp; B$1)</f>
        <v>ULJ</v>
      </c>
      <c r="C103" s="3">
        <v>34414099</v>
      </c>
      <c r="D103" t="s">
        <v>813</v>
      </c>
      <c r="E103" s="3" t="str">
        <f>RTD("ice.rtd",,$C103 &amp; $D103 &amp; ":" &amp; E$1)</f>
        <v>Sep28</v>
      </c>
      <c r="F103" s="3" t="str">
        <f>ICE[[#This Row],[Prod]]&amp;ICE[[#This Row],[Strip]]</f>
        <v>jetccndiffSep28</v>
      </c>
      <c r="G103" s="18" t="str">
        <f>RTD("ice.rtd",,$C103 &amp; $D103 &amp; ":" &amp; G$1)</f>
        <v/>
      </c>
      <c r="H103" s="18" t="str">
        <f>RTD("ice.rtd",,$C103 &amp; $D103 &amp; ":" &amp; H$1)</f>
        <v/>
      </c>
      <c r="I103" s="18" t="str">
        <f>RTD("ice.rtd",,$C103 &amp; $D103 &amp; ":" &amp; I$1)</f>
        <v/>
      </c>
      <c r="J103" s="14" t="str">
        <f>IFERROR(MOD(RTD("ice.rtd",,$C103 &amp; $D103 &amp; ":" &amp; J$1), 1), "")</f>
        <v/>
      </c>
      <c r="K103" s="18" t="str">
        <f>RTD("ice.rtd",,$C103 &amp; $D103 &amp; ":" &amp; K$1)</f>
        <v/>
      </c>
      <c r="L103" s="36" t="str">
        <f>RTD("ice.rtd",,$C103 &amp; $D103 &amp; ":" &amp; L$1)</f>
        <v/>
      </c>
      <c r="M103" s="14" t="str">
        <f>IFERROR(MOD(TIMEVALUE(RTD("ice.rtd",,$C103 &amp; $D103 &amp; ":" &amp; M$1)), 1), "")</f>
        <v/>
      </c>
      <c r="N103" s="36">
        <f>RTD("ice.rtd",,$C103 &amp; $D103 &amp; ":" &amp; N$1)</f>
        <v>0</v>
      </c>
      <c r="O103" s="36">
        <f>RTD("ice.rtd",,$C103 &amp; $D103 &amp; ":" &amp; O$1)</f>
        <v>0</v>
      </c>
      <c r="P1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" s="14" t="str">
        <f>IF(ICE[[#This Row],[LastType]] = "Scrn", ICE[[#This Row],[LstDate]], IF(ICE[[#This Row],[LastType]] = "Blk", ICE[[#This Row],[LstBlkTime]], ""))</f>
        <v/>
      </c>
      <c r="R103" s="41" t="str">
        <f>IF(ICE[[#This Row],[LastType]] = "Scrn", ICE[[#This Row],[LstPrc]], IF(ICE[[#This Row],[LastType]] = "Blk", ICE[[#This Row],[LstBlkPrc]], ""))</f>
        <v/>
      </c>
      <c r="S103" s="36">
        <f>ICE[[#This Row],[Vol]]+ICE[[#This Row],[BlkVol]]</f>
        <v>0</v>
      </c>
      <c r="T103" s="36">
        <f>RTD("ice.rtd",,$C103 &amp; $D103 &amp; ":" &amp; T$1)</f>
        <v>6</v>
      </c>
      <c r="U103" s="18">
        <f>RTD("ice.rtd",,$C103 &amp; $D103 &amp; ":" &amp; U$1)</f>
        <v>85</v>
      </c>
      <c r="V1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3" s="18" t="str">
        <f>IFERROR(IF(LEFT(ICE[[#This Row],[Tenor]], 1) = "B", RTD("esrtd",,$B103 &amp; " " &amp; ICE[[#This Row],[Tenor]] &amp; "-IEU", W$1), RTD("esrtd",,$B103 &amp; " " &amp; VLOOKUP(MONTH(ICE[[#This Row],[Strip]]), MthRef[], 2, 0) &amp; RIGHT(YEAR(ICE[[#This Row],[Strip]]), 2) &amp; "-IEU", W$1)), "")</f>
        <v/>
      </c>
      <c r="X103" s="36"/>
    </row>
    <row r="104" spans="1:24" x14ac:dyDescent="0.25">
      <c r="A104" s="37" t="s">
        <v>411</v>
      </c>
      <c r="B104" s="3" t="str">
        <f>RTD("ice.rtd",,$C104 &amp; $D104 &amp; ":" &amp; B$1)</f>
        <v>ULJ</v>
      </c>
      <c r="C104" s="3">
        <v>34414099</v>
      </c>
      <c r="D104" t="s">
        <v>814</v>
      </c>
      <c r="E104" s="3" t="str">
        <f>RTD("ice.rtd",,$C104 &amp; $D104 &amp; ":" &amp; E$1)</f>
        <v>Q4 26</v>
      </c>
      <c r="F104" s="3" t="str">
        <f>ICE[[#This Row],[Prod]]&amp;ICE[[#This Row],[Strip]]</f>
        <v>jetccndiffQ4 26</v>
      </c>
      <c r="G104" s="18" t="str">
        <f>RTD("ice.rtd",,$C104 &amp; $D104 &amp; ":" &amp; G$1)</f>
        <v/>
      </c>
      <c r="H104" s="18" t="str">
        <f>RTD("ice.rtd",,$C104 &amp; $D104 &amp; ":" &amp; H$1)</f>
        <v/>
      </c>
      <c r="I104" s="18" t="str">
        <f>RTD("ice.rtd",,$C104 &amp; $D104 &amp; ":" &amp; I$1)</f>
        <v/>
      </c>
      <c r="J104" s="14" t="str">
        <f>IFERROR(MOD(RTD("ice.rtd",,$C104 &amp; $D104 &amp; ":" &amp; J$1), 1), "")</f>
        <v/>
      </c>
      <c r="K104" s="18" t="str">
        <f>RTD("ice.rtd",,$C104 &amp; $D104 &amp; ":" &amp; K$1)</f>
        <v/>
      </c>
      <c r="L104" s="36" t="str">
        <f>RTD("ice.rtd",,$C104 &amp; $D104 &amp; ":" &amp; L$1)</f>
        <v/>
      </c>
      <c r="M104" s="14" t="str">
        <f>IFERROR(MOD(TIMEVALUE(RTD("ice.rtd",,$C104 &amp; $D104 &amp; ":" &amp; M$1)), 1), "")</f>
        <v/>
      </c>
      <c r="N104" s="36">
        <f>RTD("ice.rtd",,$C104 &amp; $D104 &amp; ":" &amp; N$1)</f>
        <v>0</v>
      </c>
      <c r="O104" s="36">
        <f>RTD("ice.rtd",,$C104 &amp; $D104 &amp; ":" &amp; O$1)</f>
        <v>0</v>
      </c>
      <c r="P1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" s="14" t="str">
        <f>IF(ICE[[#This Row],[LastType]] = "Scrn", ICE[[#This Row],[LstDate]], IF(ICE[[#This Row],[LastType]] = "Blk", ICE[[#This Row],[LstBlkTime]], ""))</f>
        <v/>
      </c>
      <c r="R104" s="41" t="str">
        <f>IF(ICE[[#This Row],[LastType]] = "Scrn", ICE[[#This Row],[LstPrc]], IF(ICE[[#This Row],[LastType]] = "Blk", ICE[[#This Row],[LstBlkPrc]], ""))</f>
        <v/>
      </c>
      <c r="S104" s="36">
        <f>ICE[[#This Row],[Vol]]+ICE[[#This Row],[BlkVol]]</f>
        <v>0</v>
      </c>
      <c r="T104" s="36">
        <f>RTD("ice.rtd",,$C104 &amp; $D104 &amp; ":" &amp; T$1)</f>
        <v>0</v>
      </c>
      <c r="U104" s="18">
        <f>RTD("ice.rtd",,$C104 &amp; $D104 &amp; ":" &amp; U$1)</f>
        <v>97.667000000000002</v>
      </c>
      <c r="V1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4" s="18" t="str">
        <f>IFERROR(IF(LEFT(ICE[[#This Row],[Tenor]], 1) = "B", RTD("esrtd",,$B104 &amp; " " &amp; ICE[[#This Row],[Tenor]] &amp; "-IEU", W$1), RTD("esrtd",,$B104 &amp; " " &amp; VLOOKUP(MONTH(ICE[[#This Row],[Strip]]), MthRef[], 2, 0) &amp; RIGHT(YEAR(ICE[[#This Row],[Strip]]), 2) &amp; "-IEU", W$1)), "")</f>
        <v/>
      </c>
      <c r="X104" s="36"/>
    </row>
    <row r="105" spans="1:24" x14ac:dyDescent="0.25">
      <c r="A105" s="37" t="s">
        <v>411</v>
      </c>
      <c r="B105" s="3" t="str">
        <f>RTD("ice.rtd",,$C105 &amp; $D105 &amp; ":" &amp; B$1)</f>
        <v>ULJ</v>
      </c>
      <c r="C105" s="3">
        <v>34414099</v>
      </c>
      <c r="D105" t="s">
        <v>815</v>
      </c>
      <c r="E105" s="3" t="str">
        <f>RTD("ice.rtd",,$C105 &amp; $D105 &amp; ":" &amp; E$1)</f>
        <v>Q1 27</v>
      </c>
      <c r="F105" s="3" t="str">
        <f>ICE[[#This Row],[Prod]]&amp;ICE[[#This Row],[Strip]]</f>
        <v>jetccndiffQ1 27</v>
      </c>
      <c r="G105" s="18" t="str">
        <f>RTD("ice.rtd",,$C105 &amp; $D105 &amp; ":" &amp; G$1)</f>
        <v/>
      </c>
      <c r="H105" s="18" t="str">
        <f>RTD("ice.rtd",,$C105 &amp; $D105 &amp; ":" &amp; H$1)</f>
        <v/>
      </c>
      <c r="I105" s="18" t="str">
        <f>RTD("ice.rtd",,$C105 &amp; $D105 &amp; ":" &amp; I$1)</f>
        <v/>
      </c>
      <c r="J105" s="14" t="str">
        <f>IFERROR(MOD(RTD("ice.rtd",,$C105 &amp; $D105 &amp; ":" &amp; J$1), 1), "")</f>
        <v/>
      </c>
      <c r="K105" s="18" t="str">
        <f>RTD("ice.rtd",,$C105 &amp; $D105 &amp; ":" &amp; K$1)</f>
        <v/>
      </c>
      <c r="L105" s="36" t="str">
        <f>RTD("ice.rtd",,$C105 &amp; $D105 &amp; ":" &amp; L$1)</f>
        <v/>
      </c>
      <c r="M105" s="14" t="str">
        <f>IFERROR(MOD(TIMEVALUE(RTD("ice.rtd",,$C105 &amp; $D105 &amp; ":" &amp; M$1)), 1), "")</f>
        <v/>
      </c>
      <c r="N105" s="36">
        <f>RTD("ice.rtd",,$C105 &amp; $D105 &amp; ":" &amp; N$1)</f>
        <v>0</v>
      </c>
      <c r="O105" s="36">
        <f>RTD("ice.rtd",,$C105 &amp; $D105 &amp; ":" &amp; O$1)</f>
        <v>0</v>
      </c>
      <c r="P1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" s="14" t="str">
        <f>IF(ICE[[#This Row],[LastType]] = "Scrn", ICE[[#This Row],[LstDate]], IF(ICE[[#This Row],[LastType]] = "Blk", ICE[[#This Row],[LstBlkTime]], ""))</f>
        <v/>
      </c>
      <c r="R105" s="41" t="str">
        <f>IF(ICE[[#This Row],[LastType]] = "Scrn", ICE[[#This Row],[LstPrc]], IF(ICE[[#This Row],[LastType]] = "Blk", ICE[[#This Row],[LstBlkPrc]], ""))</f>
        <v/>
      </c>
      <c r="S105" s="36">
        <f>ICE[[#This Row],[Vol]]+ICE[[#This Row],[BlkVol]]</f>
        <v>0</v>
      </c>
      <c r="T105" s="36">
        <f>RTD("ice.rtd",,$C105 &amp; $D105 &amp; ":" &amp; T$1)</f>
        <v>0</v>
      </c>
      <c r="U105" s="18">
        <f>RTD("ice.rtd",,$C105 &amp; $D105 &amp; ":" &amp; U$1)</f>
        <v>101</v>
      </c>
      <c r="V1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" s="18" t="str">
        <f>IFERROR(IF(LEFT(ICE[[#This Row],[Tenor]], 1) = "B", RTD("esrtd",,$B105 &amp; " " &amp; ICE[[#This Row],[Tenor]] &amp; "-IEU", W$1), RTD("esrtd",,$B105 &amp; " " &amp; VLOOKUP(MONTH(ICE[[#This Row],[Strip]]), MthRef[], 2, 0) &amp; RIGHT(YEAR(ICE[[#This Row],[Strip]]), 2) &amp; "-IEU", W$1)), "")</f>
        <v/>
      </c>
      <c r="X105" s="36"/>
    </row>
    <row r="106" spans="1:24" x14ac:dyDescent="0.25">
      <c r="A106" s="37" t="s">
        <v>411</v>
      </c>
      <c r="B106" s="3" t="str">
        <f>RTD("ice.rtd",,$C106 &amp; $D106 &amp; ":" &amp; B$1)</f>
        <v>ULJ</v>
      </c>
      <c r="C106" s="3">
        <v>34414099</v>
      </c>
      <c r="D106" t="s">
        <v>816</v>
      </c>
      <c r="E106" s="3" t="str">
        <f>RTD("ice.rtd",,$C106 &amp; $D106 &amp; ":" &amp; E$1)</f>
        <v>Q2 27</v>
      </c>
      <c r="F106" s="3" t="str">
        <f>ICE[[#This Row],[Prod]]&amp;ICE[[#This Row],[Strip]]</f>
        <v>jetccndiffQ2 27</v>
      </c>
      <c r="G106" s="18" t="str">
        <f>RTD("ice.rtd",,$C106 &amp; $D106 &amp; ":" &amp; G$1)</f>
        <v/>
      </c>
      <c r="H106" s="18" t="str">
        <f>RTD("ice.rtd",,$C106 &amp; $D106 &amp; ":" &amp; H$1)</f>
        <v/>
      </c>
      <c r="I106" s="18" t="str">
        <f>RTD("ice.rtd",,$C106 &amp; $D106 &amp; ":" &amp; I$1)</f>
        <v/>
      </c>
      <c r="J106" s="14" t="str">
        <f>IFERROR(MOD(RTD("ice.rtd",,$C106 &amp; $D106 &amp; ":" &amp; J$1), 1), "")</f>
        <v/>
      </c>
      <c r="K106" s="18" t="str">
        <f>RTD("ice.rtd",,$C106 &amp; $D106 &amp; ":" &amp; K$1)</f>
        <v/>
      </c>
      <c r="L106" s="36" t="str">
        <f>RTD("ice.rtd",,$C106 &amp; $D106 &amp; ":" &amp; L$1)</f>
        <v/>
      </c>
      <c r="M106" s="14" t="str">
        <f>IFERROR(MOD(TIMEVALUE(RTD("ice.rtd",,$C106 &amp; $D106 &amp; ":" &amp; M$1)), 1), "")</f>
        <v/>
      </c>
      <c r="N106" s="36">
        <f>RTD("ice.rtd",,$C106 &amp; $D106 &amp; ":" &amp; N$1)</f>
        <v>0</v>
      </c>
      <c r="O106" s="36">
        <f>RTD("ice.rtd",,$C106 &amp; $D106 &amp; ":" &amp; O$1)</f>
        <v>0</v>
      </c>
      <c r="P1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" s="14" t="str">
        <f>IF(ICE[[#This Row],[LastType]] = "Scrn", ICE[[#This Row],[LstDate]], IF(ICE[[#This Row],[LastType]] = "Blk", ICE[[#This Row],[LstBlkTime]], ""))</f>
        <v/>
      </c>
      <c r="R106" s="41" t="str">
        <f>IF(ICE[[#This Row],[LastType]] = "Scrn", ICE[[#This Row],[LstPrc]], IF(ICE[[#This Row],[LastType]] = "Blk", ICE[[#This Row],[LstBlkPrc]], ""))</f>
        <v/>
      </c>
      <c r="S106" s="36">
        <f>ICE[[#This Row],[Vol]]+ICE[[#This Row],[BlkVol]]</f>
        <v>0</v>
      </c>
      <c r="T106" s="36">
        <f>RTD("ice.rtd",,$C106 &amp; $D106 &amp; ":" &amp; T$1)</f>
        <v>0</v>
      </c>
      <c r="U106" s="18">
        <f>RTD("ice.rtd",,$C106 &amp; $D106 &amp; ":" &amp; U$1)</f>
        <v>97</v>
      </c>
      <c r="V1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" s="18" t="str">
        <f>IFERROR(IF(LEFT(ICE[[#This Row],[Tenor]], 1) = "B", RTD("esrtd",,$B106 &amp; " " &amp; ICE[[#This Row],[Tenor]] &amp; "-IEU", W$1), RTD("esrtd",,$B106 &amp; " " &amp; VLOOKUP(MONTH(ICE[[#This Row],[Strip]]), MthRef[], 2, 0) &amp; RIGHT(YEAR(ICE[[#This Row],[Strip]]), 2) &amp; "-IEU", W$1)), "")</f>
        <v/>
      </c>
      <c r="X106" s="36"/>
    </row>
    <row r="107" spans="1:24" x14ac:dyDescent="0.25">
      <c r="A107" s="37" t="s">
        <v>411</v>
      </c>
      <c r="B107" s="3" t="str">
        <f>RTD("ice.rtd",,$C107 &amp; $D107 &amp; ":" &amp; B$1)</f>
        <v>ULJ</v>
      </c>
      <c r="C107" s="3">
        <v>34414099</v>
      </c>
      <c r="D107" t="s">
        <v>817</v>
      </c>
      <c r="E107" s="3" t="str">
        <f>RTD("ice.rtd",,$C107 &amp; $D107 &amp; ":" &amp; E$1)</f>
        <v>Q3 27</v>
      </c>
      <c r="F107" s="3" t="str">
        <f>ICE[[#This Row],[Prod]]&amp;ICE[[#This Row],[Strip]]</f>
        <v>jetccndiffQ3 27</v>
      </c>
      <c r="G107" s="18" t="str">
        <f>RTD("ice.rtd",,$C107 &amp; $D107 &amp; ":" &amp; G$1)</f>
        <v/>
      </c>
      <c r="H107" s="18">
        <f>RTD("ice.rtd",,$C107 &amp; $D107 &amp; ":" &amp; H$1)</f>
        <v>130</v>
      </c>
      <c r="I107" s="18" t="str">
        <f>RTD("ice.rtd",,$C107 &amp; $D107 &amp; ":" &amp; I$1)</f>
        <v/>
      </c>
      <c r="J107" s="14" t="str">
        <f>IFERROR(MOD(RTD("ice.rtd",,$C107 &amp; $D107 &amp; ":" &amp; J$1), 1), "")</f>
        <v/>
      </c>
      <c r="K107" s="18" t="str">
        <f>RTD("ice.rtd",,$C107 &amp; $D107 &amp; ":" &amp; K$1)</f>
        <v/>
      </c>
      <c r="L107" s="36" t="str">
        <f>RTD("ice.rtd",,$C107 &amp; $D107 &amp; ":" &amp; L$1)</f>
        <v/>
      </c>
      <c r="M107" s="14" t="str">
        <f>IFERROR(MOD(TIMEVALUE(RTD("ice.rtd",,$C107 &amp; $D107 &amp; ":" &amp; M$1)), 1), "")</f>
        <v/>
      </c>
      <c r="N107" s="36">
        <f>RTD("ice.rtd",,$C107 &amp; $D107 &amp; ":" &amp; N$1)</f>
        <v>0</v>
      </c>
      <c r="O107" s="36">
        <f>RTD("ice.rtd",,$C107 &amp; $D107 &amp; ":" &amp; O$1)</f>
        <v>0</v>
      </c>
      <c r="P1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7" s="14" t="str">
        <f>IF(ICE[[#This Row],[LastType]] = "Scrn", ICE[[#This Row],[LstDate]], IF(ICE[[#This Row],[LastType]] = "Blk", ICE[[#This Row],[LstBlkTime]], ""))</f>
        <v/>
      </c>
      <c r="R107" s="41" t="str">
        <f>IF(ICE[[#This Row],[LastType]] = "Scrn", ICE[[#This Row],[LstPrc]], IF(ICE[[#This Row],[LastType]] = "Blk", ICE[[#This Row],[LstBlkPrc]], ""))</f>
        <v/>
      </c>
      <c r="S107" s="36">
        <f>ICE[[#This Row],[Vol]]+ICE[[#This Row],[BlkVol]]</f>
        <v>0</v>
      </c>
      <c r="T107" s="36">
        <f>RTD("ice.rtd",,$C107 &amp; $D107 &amp; ":" &amp; T$1)</f>
        <v>0</v>
      </c>
      <c r="U107" s="18">
        <f>RTD("ice.rtd",,$C107 &amp; $D107 &amp; ":" &amp; U$1)</f>
        <v>93</v>
      </c>
      <c r="V1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130.00 </v>
      </c>
      <c r="W107" s="18" t="str">
        <f>IFERROR(IF(LEFT(ICE[[#This Row],[Tenor]], 1) = "B", RTD("esrtd",,$B107 &amp; " " &amp; ICE[[#This Row],[Tenor]] &amp; "-IEU", W$1), RTD("esrtd",,$B107 &amp; " " &amp; VLOOKUP(MONTH(ICE[[#This Row],[Strip]]), MthRef[], 2, 0) &amp; RIGHT(YEAR(ICE[[#This Row],[Strip]]), 2) &amp; "-IEU", W$1)), "")</f>
        <v/>
      </c>
      <c r="X107" s="36"/>
    </row>
    <row r="108" spans="1:24" x14ac:dyDescent="0.25">
      <c r="A108" s="37" t="s">
        <v>411</v>
      </c>
      <c r="B108" s="3" t="str">
        <f>RTD("ice.rtd",,$C108 &amp; $D108 &amp; ":" &amp; B$1)</f>
        <v>ULJ</v>
      </c>
      <c r="C108" s="3">
        <v>34414099</v>
      </c>
      <c r="D108" t="s">
        <v>818</v>
      </c>
      <c r="E108" s="3" t="str">
        <f>RTD("ice.rtd",,$C108 &amp; $D108 &amp; ":" &amp; E$1)</f>
        <v>Q4 27</v>
      </c>
      <c r="F108" s="3" t="str">
        <f>ICE[[#This Row],[Prod]]&amp;ICE[[#This Row],[Strip]]</f>
        <v>jetccndiffQ4 27</v>
      </c>
      <c r="G108" s="18" t="str">
        <f>RTD("ice.rtd",,$C108 &amp; $D108 &amp; ":" &amp; G$1)</f>
        <v/>
      </c>
      <c r="H108" s="18">
        <f>RTD("ice.rtd",,$C108 &amp; $D108 &amp; ":" &amp; H$1)</f>
        <v>130</v>
      </c>
      <c r="I108" s="18" t="str">
        <f>RTD("ice.rtd",,$C108 &amp; $D108 &amp; ":" &amp; I$1)</f>
        <v/>
      </c>
      <c r="J108" s="14" t="str">
        <f>IFERROR(MOD(RTD("ice.rtd",,$C108 &amp; $D108 &amp; ":" &amp; J$1), 1), "")</f>
        <v/>
      </c>
      <c r="K108" s="18" t="str">
        <f>RTD("ice.rtd",,$C108 &amp; $D108 &amp; ":" &amp; K$1)</f>
        <v/>
      </c>
      <c r="L108" s="36" t="str">
        <f>RTD("ice.rtd",,$C108 &amp; $D108 &amp; ":" &amp; L$1)</f>
        <v/>
      </c>
      <c r="M108" s="14" t="str">
        <f>IFERROR(MOD(TIMEVALUE(RTD("ice.rtd",,$C108 &amp; $D108 &amp; ":" &amp; M$1)), 1), "")</f>
        <v/>
      </c>
      <c r="N108" s="36">
        <f>RTD("ice.rtd",,$C108 &amp; $D108 &amp; ":" &amp; N$1)</f>
        <v>0</v>
      </c>
      <c r="O108" s="36">
        <f>RTD("ice.rtd",,$C108 &amp; $D108 &amp; ":" &amp; O$1)</f>
        <v>0</v>
      </c>
      <c r="P1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8" s="14" t="str">
        <f>IF(ICE[[#This Row],[LastType]] = "Scrn", ICE[[#This Row],[LstDate]], IF(ICE[[#This Row],[LastType]] = "Blk", ICE[[#This Row],[LstBlkTime]], ""))</f>
        <v/>
      </c>
      <c r="R108" s="41" t="str">
        <f>IF(ICE[[#This Row],[LastType]] = "Scrn", ICE[[#This Row],[LstPrc]], IF(ICE[[#This Row],[LastType]] = "Blk", ICE[[#This Row],[LstBlkPrc]], ""))</f>
        <v/>
      </c>
      <c r="S108" s="36">
        <f>ICE[[#This Row],[Vol]]+ICE[[#This Row],[BlkVol]]</f>
        <v>0</v>
      </c>
      <c r="T108" s="36">
        <f>RTD("ice.rtd",,$C108 &amp; $D108 &amp; ":" &amp; T$1)</f>
        <v>0</v>
      </c>
      <c r="U108" s="18">
        <f>RTD("ice.rtd",,$C108 &amp; $D108 &amp; ":" &amp; U$1)</f>
        <v>88</v>
      </c>
      <c r="V1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130.00 </v>
      </c>
      <c r="W108" s="18" t="str">
        <f>IFERROR(IF(LEFT(ICE[[#This Row],[Tenor]], 1) = "B", RTD("esrtd",,$B108 &amp; " " &amp; ICE[[#This Row],[Tenor]] &amp; "-IEU", W$1), RTD("esrtd",,$B108 &amp; " " &amp; VLOOKUP(MONTH(ICE[[#This Row],[Strip]]), MthRef[], 2, 0) &amp; RIGHT(YEAR(ICE[[#This Row],[Strip]]), 2) &amp; "-IEU", W$1)), "")</f>
        <v/>
      </c>
      <c r="X108" s="36"/>
    </row>
    <row r="109" spans="1:24" x14ac:dyDescent="0.25">
      <c r="A109" s="37" t="s">
        <v>411</v>
      </c>
      <c r="B109" s="3" t="str">
        <f>RTD("ice.rtd",,$C109 &amp; $D109 &amp; ":" &amp; B$1)</f>
        <v>ULJ</v>
      </c>
      <c r="C109" s="3">
        <v>34414099</v>
      </c>
      <c r="D109" t="s">
        <v>819</v>
      </c>
      <c r="E109" s="3" t="str">
        <f>RTD("ice.rtd",,$C109 &amp; $D109 &amp; ":" &amp; E$1)</f>
        <v>Q1 28</v>
      </c>
      <c r="F109" s="3" t="str">
        <f>ICE[[#This Row],[Prod]]&amp;ICE[[#This Row],[Strip]]</f>
        <v>jetccndiffQ1 28</v>
      </c>
      <c r="G109" s="18" t="str">
        <f>RTD("ice.rtd",,$C109 &amp; $D109 &amp; ":" &amp; G$1)</f>
        <v/>
      </c>
      <c r="H109" s="18" t="str">
        <f>RTD("ice.rtd",,$C109 &amp; $D109 &amp; ":" &amp; H$1)</f>
        <v/>
      </c>
      <c r="I109" s="18" t="str">
        <f>RTD("ice.rtd",,$C109 &amp; $D109 &amp; ":" &amp; I$1)</f>
        <v/>
      </c>
      <c r="J109" s="14" t="str">
        <f>IFERROR(MOD(RTD("ice.rtd",,$C109 &amp; $D109 &amp; ":" &amp; J$1), 1), "")</f>
        <v/>
      </c>
      <c r="K109" s="18" t="str">
        <f>RTD("ice.rtd",,$C109 &amp; $D109 &amp; ":" &amp; K$1)</f>
        <v/>
      </c>
      <c r="L109" s="36" t="str">
        <f>RTD("ice.rtd",,$C109 &amp; $D109 &amp; ":" &amp; L$1)</f>
        <v/>
      </c>
      <c r="M109" s="14" t="str">
        <f>IFERROR(MOD(TIMEVALUE(RTD("ice.rtd",,$C109 &amp; $D109 &amp; ":" &amp; M$1)), 1), "")</f>
        <v/>
      </c>
      <c r="N109" s="36">
        <f>RTD("ice.rtd",,$C109 &amp; $D109 &amp; ":" &amp; N$1)</f>
        <v>0</v>
      </c>
      <c r="O109" s="36">
        <f>RTD("ice.rtd",,$C109 &amp; $D109 &amp; ":" &amp; O$1)</f>
        <v>0</v>
      </c>
      <c r="P1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9" s="14" t="str">
        <f>IF(ICE[[#This Row],[LastType]] = "Scrn", ICE[[#This Row],[LstDate]], IF(ICE[[#This Row],[LastType]] = "Blk", ICE[[#This Row],[LstBlkTime]], ""))</f>
        <v/>
      </c>
      <c r="R109" s="41" t="str">
        <f>IF(ICE[[#This Row],[LastType]] = "Scrn", ICE[[#This Row],[LstPrc]], IF(ICE[[#This Row],[LastType]] = "Blk", ICE[[#This Row],[LstBlkPrc]], ""))</f>
        <v/>
      </c>
      <c r="S109" s="36">
        <f>ICE[[#This Row],[Vol]]+ICE[[#This Row],[BlkVol]]</f>
        <v>0</v>
      </c>
      <c r="T109" s="36">
        <f>RTD("ice.rtd",,$C109 &amp; $D109 &amp; ":" &amp; T$1)</f>
        <v>0</v>
      </c>
      <c r="U109" s="18">
        <f>RTD("ice.rtd",,$C109 &amp; $D109 &amp; ":" &amp; U$1)</f>
        <v>85</v>
      </c>
      <c r="V1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" s="18" t="str">
        <f>IFERROR(IF(LEFT(ICE[[#This Row],[Tenor]], 1) = "B", RTD("esrtd",,$B109 &amp; " " &amp; ICE[[#This Row],[Tenor]] &amp; "-IEU", W$1), RTD("esrtd",,$B109 &amp; " " &amp; VLOOKUP(MONTH(ICE[[#This Row],[Strip]]), MthRef[], 2, 0) &amp; RIGHT(YEAR(ICE[[#This Row],[Strip]]), 2) &amp; "-IEU", W$1)), "")</f>
        <v/>
      </c>
      <c r="X109" s="36"/>
    </row>
    <row r="110" spans="1:24" x14ac:dyDescent="0.25">
      <c r="A110" s="37" t="s">
        <v>411</v>
      </c>
      <c r="B110" s="3" t="str">
        <f>RTD("ice.rtd",,$C110 &amp; $D110 &amp; ":" &amp; B$1)</f>
        <v>ULJ</v>
      </c>
      <c r="C110" s="3">
        <v>34414099</v>
      </c>
      <c r="D110" t="s">
        <v>229</v>
      </c>
      <c r="E110" s="3" t="str">
        <f>RTD("ice.rtd",,$C110 &amp; $D110 &amp; ":" &amp; E$1)</f>
        <v>Q2 28</v>
      </c>
      <c r="F110" s="3" t="str">
        <f>ICE[[#This Row],[Prod]]&amp;ICE[[#This Row],[Strip]]</f>
        <v>jetccndiffQ2 28</v>
      </c>
      <c r="G110" s="18" t="str">
        <f>RTD("ice.rtd",,$C110 &amp; $D110 &amp; ":" &amp; G$1)</f>
        <v/>
      </c>
      <c r="H110" s="18" t="str">
        <f>RTD("ice.rtd",,$C110 &amp; $D110 &amp; ":" &amp; H$1)</f>
        <v/>
      </c>
      <c r="I110" s="18" t="str">
        <f>RTD("ice.rtd",,$C110 &amp; $D110 &amp; ":" &amp; I$1)</f>
        <v/>
      </c>
      <c r="J110" s="14" t="str">
        <f>IFERROR(MOD(RTD("ice.rtd",,$C110 &amp; $D110 &amp; ":" &amp; J$1), 1), "")</f>
        <v/>
      </c>
      <c r="K110" s="18" t="str">
        <f>RTD("ice.rtd",,$C110 &amp; $D110 &amp; ":" &amp; K$1)</f>
        <v/>
      </c>
      <c r="L110" s="36" t="str">
        <f>RTD("ice.rtd",,$C110 &amp; $D110 &amp; ":" &amp; L$1)</f>
        <v/>
      </c>
      <c r="M110" s="14" t="str">
        <f>IFERROR(MOD(TIMEVALUE(RTD("ice.rtd",,$C110 &amp; $D110 &amp; ":" &amp; M$1)), 1), "")</f>
        <v/>
      </c>
      <c r="N110" s="36">
        <f>RTD("ice.rtd",,$C110 &amp; $D110 &amp; ":" &amp; N$1)</f>
        <v>0</v>
      </c>
      <c r="O110" s="36">
        <f>RTD("ice.rtd",,$C110 &amp; $D110 &amp; ":" &amp; O$1)</f>
        <v>0</v>
      </c>
      <c r="P1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0" s="14" t="str">
        <f>IF(ICE[[#This Row],[LastType]] = "Scrn", ICE[[#This Row],[LstDate]], IF(ICE[[#This Row],[LastType]] = "Blk", ICE[[#This Row],[LstBlkTime]], ""))</f>
        <v/>
      </c>
      <c r="R110" s="41" t="str">
        <f>IF(ICE[[#This Row],[LastType]] = "Scrn", ICE[[#This Row],[LstPrc]], IF(ICE[[#This Row],[LastType]] = "Blk", ICE[[#This Row],[LstBlkPrc]], ""))</f>
        <v/>
      </c>
      <c r="S110" s="36">
        <f>ICE[[#This Row],[Vol]]+ICE[[#This Row],[BlkVol]]</f>
        <v>0</v>
      </c>
      <c r="T110" s="36">
        <f>RTD("ice.rtd",,$C110 &amp; $D110 &amp; ":" &amp; T$1)</f>
        <v>0</v>
      </c>
      <c r="U110" s="18">
        <f>RTD("ice.rtd",,$C110 &amp; $D110 &amp; ":" &amp; U$1)</f>
        <v>85</v>
      </c>
      <c r="V1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" s="18" t="str">
        <f>IFERROR(IF(LEFT(ICE[[#This Row],[Tenor]], 1) = "B", RTD("esrtd",,$B110 &amp; " " &amp; ICE[[#This Row],[Tenor]] &amp; "-IEU", W$1), RTD("esrtd",,$B110 &amp; " " &amp; VLOOKUP(MONTH(ICE[[#This Row],[Strip]]), MthRef[], 2, 0) &amp; RIGHT(YEAR(ICE[[#This Row],[Strip]]), 2) &amp; "-IEU", W$1)), "")</f>
        <v/>
      </c>
      <c r="X110" s="36"/>
    </row>
    <row r="111" spans="1:24" x14ac:dyDescent="0.25">
      <c r="A111" s="37" t="s">
        <v>411</v>
      </c>
      <c r="B111" s="3" t="str">
        <f>RTD("ice.rtd",,$C111 &amp; $D111 &amp; ":" &amp; B$1)</f>
        <v>ULJ</v>
      </c>
      <c r="C111" s="3">
        <v>34414099</v>
      </c>
      <c r="D111" t="s">
        <v>820</v>
      </c>
      <c r="E111" s="3" t="str">
        <f>RTD("ice.rtd",,$C111 &amp; $D111 &amp; ":" &amp; E$1)</f>
        <v>Q3 28</v>
      </c>
      <c r="F111" s="3" t="str">
        <f>ICE[[#This Row],[Prod]]&amp;ICE[[#This Row],[Strip]]</f>
        <v>jetccndiffQ3 28</v>
      </c>
      <c r="G111" s="18" t="str">
        <f>RTD("ice.rtd",,$C111 &amp; $D111 &amp; ":" &amp; G$1)</f>
        <v/>
      </c>
      <c r="H111" s="18" t="str">
        <f>RTD("ice.rtd",,$C111 &amp; $D111 &amp; ":" &amp; H$1)</f>
        <v/>
      </c>
      <c r="I111" s="18" t="str">
        <f>RTD("ice.rtd",,$C111 &amp; $D111 &amp; ":" &amp; I$1)</f>
        <v/>
      </c>
      <c r="J111" s="14" t="str">
        <f>IFERROR(MOD(RTD("ice.rtd",,$C111 &amp; $D111 &amp; ":" &amp; J$1), 1), "")</f>
        <v/>
      </c>
      <c r="K111" s="18" t="str">
        <f>RTD("ice.rtd",,$C111 &amp; $D111 &amp; ":" &amp; K$1)</f>
        <v/>
      </c>
      <c r="L111" s="36" t="str">
        <f>RTD("ice.rtd",,$C111 &amp; $D111 &amp; ":" &amp; L$1)</f>
        <v/>
      </c>
      <c r="M111" s="14" t="str">
        <f>IFERROR(MOD(TIMEVALUE(RTD("ice.rtd",,$C111 &amp; $D111 &amp; ":" &amp; M$1)), 1), "")</f>
        <v/>
      </c>
      <c r="N111" s="36">
        <f>RTD("ice.rtd",,$C111 &amp; $D111 &amp; ":" &amp; N$1)</f>
        <v>0</v>
      </c>
      <c r="O111" s="36">
        <f>RTD("ice.rtd",,$C111 &amp; $D111 &amp; ":" &amp; O$1)</f>
        <v>0</v>
      </c>
      <c r="P1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" s="14" t="str">
        <f>IF(ICE[[#This Row],[LastType]] = "Scrn", ICE[[#This Row],[LstDate]], IF(ICE[[#This Row],[LastType]] = "Blk", ICE[[#This Row],[LstBlkTime]], ""))</f>
        <v/>
      </c>
      <c r="R111" s="41" t="str">
        <f>IF(ICE[[#This Row],[LastType]] = "Scrn", ICE[[#This Row],[LstPrc]], IF(ICE[[#This Row],[LastType]] = "Blk", ICE[[#This Row],[LstBlkPrc]], ""))</f>
        <v/>
      </c>
      <c r="S111" s="36">
        <f>ICE[[#This Row],[Vol]]+ICE[[#This Row],[BlkVol]]</f>
        <v>0</v>
      </c>
      <c r="T111" s="36">
        <f>RTD("ice.rtd",,$C111 &amp; $D111 &amp; ":" &amp; T$1)</f>
        <v>0</v>
      </c>
      <c r="U111" s="18">
        <f>RTD("ice.rtd",,$C111 &amp; $D111 &amp; ":" &amp; U$1)</f>
        <v>85</v>
      </c>
      <c r="V1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" s="18" t="str">
        <f>IFERROR(IF(LEFT(ICE[[#This Row],[Tenor]], 1) = "B", RTD("esrtd",,$B111 &amp; " " &amp; ICE[[#This Row],[Tenor]] &amp; "-IEU", W$1), RTD("esrtd",,$B111 &amp; " " &amp; VLOOKUP(MONTH(ICE[[#This Row],[Strip]]), MthRef[], 2, 0) &amp; RIGHT(YEAR(ICE[[#This Row],[Strip]]), 2) &amp; "-IEU", W$1)), "")</f>
        <v/>
      </c>
      <c r="X111" s="36"/>
    </row>
    <row r="112" spans="1:24" x14ac:dyDescent="0.25">
      <c r="A112" s="37" t="s">
        <v>411</v>
      </c>
      <c r="B112" s="3" t="str">
        <f>RTD("ice.rtd",,$C112 &amp; $D112 &amp; ":" &amp; B$1)</f>
        <v>ULJ</v>
      </c>
      <c r="C112" s="3">
        <v>34414099</v>
      </c>
      <c r="D112" t="s">
        <v>821</v>
      </c>
      <c r="E112" s="3" t="str">
        <f>RTD("ice.rtd",,$C112 &amp; $D112 &amp; ":" &amp; E$1)</f>
        <v>Q4 28</v>
      </c>
      <c r="F112" s="3" t="str">
        <f>ICE[[#This Row],[Prod]]&amp;ICE[[#This Row],[Strip]]</f>
        <v>jetccndiffQ4 28</v>
      </c>
      <c r="G112" s="18" t="str">
        <f>RTD("ice.rtd",,$C112 &amp; $D112 &amp; ":" &amp; G$1)</f>
        <v/>
      </c>
      <c r="H112" s="18" t="str">
        <f>RTD("ice.rtd",,$C112 &amp; $D112 &amp; ":" &amp; H$1)</f>
        <v/>
      </c>
      <c r="I112" s="18" t="str">
        <f>RTD("ice.rtd",,$C112 &amp; $D112 &amp; ":" &amp; I$1)</f>
        <v/>
      </c>
      <c r="J112" s="14" t="str">
        <f>IFERROR(MOD(RTD("ice.rtd",,$C112 &amp; $D112 &amp; ":" &amp; J$1), 1), "")</f>
        <v/>
      </c>
      <c r="K112" s="18" t="str">
        <f>RTD("ice.rtd",,$C112 &amp; $D112 &amp; ":" &amp; K$1)</f>
        <v/>
      </c>
      <c r="L112" s="36" t="str">
        <f>RTD("ice.rtd",,$C112 &amp; $D112 &amp; ":" &amp; L$1)</f>
        <v/>
      </c>
      <c r="M112" s="14" t="str">
        <f>IFERROR(MOD(TIMEVALUE(RTD("ice.rtd",,$C112 &amp; $D112 &amp; ":" &amp; M$1)), 1), "")</f>
        <v/>
      </c>
      <c r="N112" s="36">
        <f>RTD("ice.rtd",,$C112 &amp; $D112 &amp; ":" &amp; N$1)</f>
        <v>0</v>
      </c>
      <c r="O112" s="36">
        <f>RTD("ice.rtd",,$C112 &amp; $D112 &amp; ":" &amp; O$1)</f>
        <v>0</v>
      </c>
      <c r="P1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" s="14" t="str">
        <f>IF(ICE[[#This Row],[LastType]] = "Scrn", ICE[[#This Row],[LstDate]], IF(ICE[[#This Row],[LastType]] = "Blk", ICE[[#This Row],[LstBlkTime]], ""))</f>
        <v/>
      </c>
      <c r="R112" s="41" t="str">
        <f>IF(ICE[[#This Row],[LastType]] = "Scrn", ICE[[#This Row],[LstPrc]], IF(ICE[[#This Row],[LastType]] = "Blk", ICE[[#This Row],[LstBlkPrc]], ""))</f>
        <v/>
      </c>
      <c r="S112" s="36">
        <f>ICE[[#This Row],[Vol]]+ICE[[#This Row],[BlkVol]]</f>
        <v>0</v>
      </c>
      <c r="T112" s="36">
        <f>RTD("ice.rtd",,$C112 &amp; $D112 &amp; ":" &amp; T$1)</f>
        <v>0</v>
      </c>
      <c r="U112" s="18">
        <f>RTD("ice.rtd",,$C112 &amp; $D112 &amp; ":" &amp; U$1)</f>
        <v>85</v>
      </c>
      <c r="V1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" s="18" t="str">
        <f>IFERROR(IF(LEFT(ICE[[#This Row],[Tenor]], 1) = "B", RTD("esrtd",,$B112 &amp; " " &amp; ICE[[#This Row],[Tenor]] &amp; "-IEU", W$1), RTD("esrtd",,$B112 &amp; " " &amp; VLOOKUP(MONTH(ICE[[#This Row],[Strip]]), MthRef[], 2, 0) &amp; RIGHT(YEAR(ICE[[#This Row],[Strip]]), 2) &amp; "-IEU", W$1)), "")</f>
        <v/>
      </c>
      <c r="X112" s="36"/>
    </row>
    <row r="113" spans="1:24" x14ac:dyDescent="0.25">
      <c r="A113" s="37" t="s">
        <v>411</v>
      </c>
      <c r="B113" s="3" t="str">
        <f>RTD("ice.rtd",,$C113 &amp; $D113 &amp; ":" &amp; B$1)</f>
        <v>ULJ</v>
      </c>
      <c r="C113" s="3">
        <v>34414099</v>
      </c>
      <c r="D113" t="s">
        <v>822</v>
      </c>
      <c r="E113" s="3" t="str">
        <f>RTD("ice.rtd",,$C113 &amp; $D113 &amp; ":" &amp; E$1)</f>
        <v>Cal 27</v>
      </c>
      <c r="F113" s="3" t="str">
        <f>ICE[[#This Row],[Prod]]&amp;ICE[[#This Row],[Strip]]</f>
        <v>jetccndiffCal 27</v>
      </c>
      <c r="G113" s="18" t="str">
        <f>RTD("ice.rtd",,$C113 &amp; $D113 &amp; ":" &amp; G$1)</f>
        <v/>
      </c>
      <c r="H113" s="18" t="str">
        <f>RTD("ice.rtd",,$C113 &amp; $D113 &amp; ":" &amp; H$1)</f>
        <v/>
      </c>
      <c r="I113" s="18" t="str">
        <f>RTD("ice.rtd",,$C113 &amp; $D113 &amp; ":" &amp; I$1)</f>
        <v/>
      </c>
      <c r="J113" s="14" t="str">
        <f>IFERROR(MOD(RTD("ice.rtd",,$C113 &amp; $D113 &amp; ":" &amp; J$1), 1), "")</f>
        <v/>
      </c>
      <c r="K113" s="18" t="str">
        <f>RTD("ice.rtd",,$C113 &amp; $D113 &amp; ":" &amp; K$1)</f>
        <v/>
      </c>
      <c r="L113" s="36" t="str">
        <f>RTD("ice.rtd",,$C113 &amp; $D113 &amp; ":" &amp; L$1)</f>
        <v/>
      </c>
      <c r="M113" s="14" t="str">
        <f>IFERROR(MOD(TIMEVALUE(RTD("ice.rtd",,$C113 &amp; $D113 &amp; ":" &amp; M$1)), 1), "")</f>
        <v/>
      </c>
      <c r="N113" s="36">
        <f>RTD("ice.rtd",,$C113 &amp; $D113 &amp; ":" &amp; N$1)</f>
        <v>0</v>
      </c>
      <c r="O113" s="36">
        <f>RTD("ice.rtd",,$C113 &amp; $D113 &amp; ":" &amp; O$1)</f>
        <v>0</v>
      </c>
      <c r="P1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" s="14" t="str">
        <f>IF(ICE[[#This Row],[LastType]] = "Scrn", ICE[[#This Row],[LstDate]], IF(ICE[[#This Row],[LastType]] = "Blk", ICE[[#This Row],[LstBlkTime]], ""))</f>
        <v/>
      </c>
      <c r="R113" s="41" t="str">
        <f>IF(ICE[[#This Row],[LastType]] = "Scrn", ICE[[#This Row],[LstPrc]], IF(ICE[[#This Row],[LastType]] = "Blk", ICE[[#This Row],[LstBlkPrc]], ""))</f>
        <v/>
      </c>
      <c r="S113" s="36">
        <f>ICE[[#This Row],[Vol]]+ICE[[#This Row],[BlkVol]]</f>
        <v>0</v>
      </c>
      <c r="T113" s="36">
        <f>RTD("ice.rtd",,$C113 &amp; $D113 &amp; ":" &amp; T$1)</f>
        <v>0</v>
      </c>
      <c r="U113" s="18">
        <f>RTD("ice.rtd",,$C113 &amp; $D113 &amp; ":" &amp; U$1)</f>
        <v>94.75</v>
      </c>
      <c r="V1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" s="18" t="str">
        <f>IFERROR(IF(LEFT(ICE[[#This Row],[Tenor]], 1) = "B", RTD("esrtd",,$B113 &amp; " " &amp; ICE[[#This Row],[Tenor]] &amp; "-IEU", W$1), RTD("esrtd",,$B113 &amp; " " &amp; VLOOKUP(MONTH(ICE[[#This Row],[Strip]]), MthRef[], 2, 0) &amp; RIGHT(YEAR(ICE[[#This Row],[Strip]]), 2) &amp; "-IEU", W$1)), "")</f>
        <v/>
      </c>
      <c r="X113" s="36"/>
    </row>
    <row r="114" spans="1:24" x14ac:dyDescent="0.25">
      <c r="A114" s="37" t="s">
        <v>411</v>
      </c>
      <c r="B114" s="3" t="str">
        <f>RTD("ice.rtd",,$C114 &amp; $D114 &amp; ":" &amp; B$1)</f>
        <v>ULJ</v>
      </c>
      <c r="C114" s="3">
        <v>34414099</v>
      </c>
      <c r="D114" t="s">
        <v>823</v>
      </c>
      <c r="E114" s="3" t="str">
        <f>RTD("ice.rtd",,$C114 &amp; $D114 &amp; ":" &amp; E$1)</f>
        <v>Cal 28</v>
      </c>
      <c r="F114" s="3" t="str">
        <f>ICE[[#This Row],[Prod]]&amp;ICE[[#This Row],[Strip]]</f>
        <v>jetccndiffCal 28</v>
      </c>
      <c r="G114" s="18" t="str">
        <f>RTD("ice.rtd",,$C114 &amp; $D114 &amp; ":" &amp; G$1)</f>
        <v/>
      </c>
      <c r="H114" s="18" t="str">
        <f>RTD("ice.rtd",,$C114 &amp; $D114 &amp; ":" &amp; H$1)</f>
        <v/>
      </c>
      <c r="I114" s="18" t="str">
        <f>RTD("ice.rtd",,$C114 &amp; $D114 &amp; ":" &amp; I$1)</f>
        <v/>
      </c>
      <c r="J114" s="14" t="str">
        <f>IFERROR(MOD(RTD("ice.rtd",,$C114 &amp; $D114 &amp; ":" &amp; J$1), 1), "")</f>
        <v/>
      </c>
      <c r="K114" s="18" t="str">
        <f>RTD("ice.rtd",,$C114 &amp; $D114 &amp; ":" &amp; K$1)</f>
        <v/>
      </c>
      <c r="L114" s="36" t="str">
        <f>RTD("ice.rtd",,$C114 &amp; $D114 &amp; ":" &amp; L$1)</f>
        <v/>
      </c>
      <c r="M114" s="14" t="str">
        <f>IFERROR(MOD(TIMEVALUE(RTD("ice.rtd",,$C114 &amp; $D114 &amp; ":" &amp; M$1)), 1), "")</f>
        <v/>
      </c>
      <c r="N114" s="36">
        <f>RTD("ice.rtd",,$C114 &amp; $D114 &amp; ":" &amp; N$1)</f>
        <v>0</v>
      </c>
      <c r="O114" s="36">
        <f>RTD("ice.rtd",,$C114 &amp; $D114 &amp; ":" &amp; O$1)</f>
        <v>0</v>
      </c>
      <c r="P1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" s="14" t="str">
        <f>IF(ICE[[#This Row],[LastType]] = "Scrn", ICE[[#This Row],[LstDate]], IF(ICE[[#This Row],[LastType]] = "Blk", ICE[[#This Row],[LstBlkTime]], ""))</f>
        <v/>
      </c>
      <c r="R114" s="41" t="str">
        <f>IF(ICE[[#This Row],[LastType]] = "Scrn", ICE[[#This Row],[LstPrc]], IF(ICE[[#This Row],[LastType]] = "Blk", ICE[[#This Row],[LstBlkPrc]], ""))</f>
        <v/>
      </c>
      <c r="S114" s="36">
        <f>ICE[[#This Row],[Vol]]+ICE[[#This Row],[BlkVol]]</f>
        <v>0</v>
      </c>
      <c r="T114" s="36">
        <f>RTD("ice.rtd",,$C114 &amp; $D114 &amp; ":" &amp; T$1)</f>
        <v>0</v>
      </c>
      <c r="U114" s="18">
        <f>RTD("ice.rtd",,$C114 &amp; $D114 &amp; ":" &amp; U$1)</f>
        <v>85</v>
      </c>
      <c r="V1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4" s="18" t="str">
        <f>IFERROR(IF(LEFT(ICE[[#This Row],[Tenor]], 1) = "B", RTD("esrtd",,$B114 &amp; " " &amp; ICE[[#This Row],[Tenor]] &amp; "-IEU", W$1), RTD("esrtd",,$B114 &amp; " " &amp; VLOOKUP(MONTH(ICE[[#This Row],[Strip]]), MthRef[], 2, 0) &amp; RIGHT(YEAR(ICE[[#This Row],[Strip]]), 2) &amp; "-IEU", W$1)), "")</f>
        <v/>
      </c>
      <c r="X114" s="36"/>
    </row>
    <row r="115" spans="1:24" x14ac:dyDescent="0.25">
      <c r="A115" s="37" t="s">
        <v>411</v>
      </c>
      <c r="B115" s="3" t="str">
        <f>RTD("ice.rtd",,$C115 &amp; $D115 &amp; ":" &amp; B$1)</f>
        <v>ULJ</v>
      </c>
      <c r="C115" s="3">
        <v>34414099</v>
      </c>
      <c r="D115" t="s">
        <v>824</v>
      </c>
      <c r="E115" s="3" t="str">
        <f>RTD("ice.rtd",,$C115 &amp; $D115 &amp; ":" &amp; E$1)</f>
        <v>Cal 29</v>
      </c>
      <c r="F115" s="3" t="str">
        <f>ICE[[#This Row],[Prod]]&amp;ICE[[#This Row],[Strip]]</f>
        <v>jetccndiffCal 29</v>
      </c>
      <c r="G115" s="18" t="str">
        <f>RTD("ice.rtd",,$C115 &amp; $D115 &amp; ":" &amp; G$1)</f>
        <v/>
      </c>
      <c r="H115" s="18" t="str">
        <f>RTD("ice.rtd",,$C115 &amp; $D115 &amp; ":" &amp; H$1)</f>
        <v/>
      </c>
      <c r="I115" s="18" t="str">
        <f>RTD("ice.rtd",,$C115 &amp; $D115 &amp; ":" &amp; I$1)</f>
        <v/>
      </c>
      <c r="J115" s="14" t="str">
        <f>IFERROR(MOD(RTD("ice.rtd",,$C115 &amp; $D115 &amp; ":" &amp; J$1), 1), "")</f>
        <v/>
      </c>
      <c r="K115" s="18" t="str">
        <f>RTD("ice.rtd",,$C115 &amp; $D115 &amp; ":" &amp; K$1)</f>
        <v/>
      </c>
      <c r="L115" s="36" t="str">
        <f>RTD("ice.rtd",,$C115 &amp; $D115 &amp; ":" &amp; L$1)</f>
        <v/>
      </c>
      <c r="M115" s="14" t="str">
        <f>IFERROR(MOD(TIMEVALUE(RTD("ice.rtd",,$C115 &amp; $D115 &amp; ":" &amp; M$1)), 1), "")</f>
        <v/>
      </c>
      <c r="N115" s="36">
        <f>RTD("ice.rtd",,$C115 &amp; $D115 &amp; ":" &amp; N$1)</f>
        <v>0</v>
      </c>
      <c r="O115" s="36">
        <f>RTD("ice.rtd",,$C115 &amp; $D115 &amp; ":" &amp; O$1)</f>
        <v>0</v>
      </c>
      <c r="P1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" s="14" t="str">
        <f>IF(ICE[[#This Row],[LastType]] = "Scrn", ICE[[#This Row],[LstDate]], IF(ICE[[#This Row],[LastType]] = "Blk", ICE[[#This Row],[LstBlkTime]], ""))</f>
        <v/>
      </c>
      <c r="R115" s="41" t="str">
        <f>IF(ICE[[#This Row],[LastType]] = "Scrn", ICE[[#This Row],[LstPrc]], IF(ICE[[#This Row],[LastType]] = "Blk", ICE[[#This Row],[LstBlkPrc]], ""))</f>
        <v/>
      </c>
      <c r="S115" s="36">
        <f>ICE[[#This Row],[Vol]]+ICE[[#This Row],[BlkVol]]</f>
        <v>0</v>
      </c>
      <c r="T115" s="36">
        <f>RTD("ice.rtd",,$C115 &amp; $D115 &amp; ":" &amp; T$1)</f>
        <v>0</v>
      </c>
      <c r="U115" s="18">
        <f>RTD("ice.rtd",,$C115 &amp; $D115 &amp; ":" &amp; U$1)</f>
        <v>90</v>
      </c>
      <c r="V1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" s="18" t="str">
        <f>IFERROR(IF(LEFT(ICE[[#This Row],[Tenor]], 1) = "B", RTD("esrtd",,$B115 &amp; " " &amp; ICE[[#This Row],[Tenor]] &amp; "-IEU", W$1), RTD("esrtd",,$B115 &amp; " " &amp; VLOOKUP(MONTH(ICE[[#This Row],[Strip]]), MthRef[], 2, 0) &amp; RIGHT(YEAR(ICE[[#This Row],[Strip]]), 2) &amp; "-IEU", W$1)), "")</f>
        <v/>
      </c>
      <c r="X115" s="36"/>
    </row>
    <row r="116" spans="1:24" x14ac:dyDescent="0.25">
      <c r="A116" s="37" t="s">
        <v>412</v>
      </c>
      <c r="B116" s="3" t="str">
        <f>RTD("ice.rtd",,$C116 &amp; $D116 &amp; ":" &amp; B$1)</f>
        <v>GSL</v>
      </c>
      <c r="C116" s="3">
        <v>2009523367</v>
      </c>
      <c r="D116" t="s">
        <v>792</v>
      </c>
      <c r="E116" s="3" t="str">
        <f>RTD("ice.rtd",,$C116 &amp; $D116 &amp; ":" &amp; E$1)</f>
        <v>Bal Month</v>
      </c>
      <c r="F116" s="3" t="str">
        <f>ICE[[#This Row],[Prod]]&amp;ICE[[#This Row],[Strip]]</f>
        <v>goewBal Month</v>
      </c>
      <c r="G116" s="18">
        <f>RTD("ice.rtd",,$C116 &amp; $D116 &amp; ":" &amp; G$1)</f>
        <v>-141</v>
      </c>
      <c r="H116" s="18" t="str">
        <f>RTD("ice.rtd",,$C116 &amp; $D116 &amp; ":" &amp; H$1)</f>
        <v/>
      </c>
      <c r="I116" s="18">
        <f>RTD("ice.rtd",,$C116 &amp; $D116 &amp; ":" &amp; I$1)</f>
        <v>-142</v>
      </c>
      <c r="J116" s="14">
        <f>IFERROR(MOD(RTD("ice.rtd",,$C116 &amp; $D116 &amp; ":" &amp; J$1), 1), "")</f>
        <v>0.37311612268240424</v>
      </c>
      <c r="K116" s="18">
        <f>RTD("ice.rtd",,$C116 &amp; $D116 &amp; ":" &amp; K$1)</f>
        <v>-139</v>
      </c>
      <c r="L116" s="36">
        <f>RTD("ice.rtd",,$C116 &amp; $D116 &amp; ":" &amp; L$1)</f>
        <v>25</v>
      </c>
      <c r="M116" s="14">
        <f>IFERROR(MOD(TIMEVALUE(RTD("ice.rtd",,$C116 &amp; $D116 &amp; ":" &amp; M$1)), 1), "")</f>
        <v>0.39532407407407405</v>
      </c>
      <c r="N116" s="36">
        <f>RTD("ice.rtd",,$C116 &amp; $D116 &amp; ":" &amp; N$1)</f>
        <v>200</v>
      </c>
      <c r="O116" s="36">
        <f>RTD("ice.rtd",,$C116 &amp; $D116 &amp; ":" &amp; O$1)</f>
        <v>862</v>
      </c>
      <c r="P1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16" s="14">
        <f>IF(ICE[[#This Row],[LastType]] = "Scrn", ICE[[#This Row],[LstDate]], IF(ICE[[#This Row],[LastType]] = "Blk", ICE[[#This Row],[LstBlkTime]], ""))</f>
        <v>0.39532407407407405</v>
      </c>
      <c r="R116" s="41">
        <f>IF(ICE[[#This Row],[LastType]] = "Scrn", ICE[[#This Row],[LstPrc]], IF(ICE[[#This Row],[LastType]] = "Blk", ICE[[#This Row],[LstBlkPrc]], ""))</f>
        <v>-139</v>
      </c>
      <c r="S116" s="36">
        <f>ICE[[#This Row],[Vol]]+ICE[[#This Row],[BlkVol]]</f>
        <v>1062</v>
      </c>
      <c r="T116" s="36">
        <f>RTD("ice.rtd",,$C116 &amp; $D116 &amp; ":" &amp; T$1)</f>
        <v>0</v>
      </c>
      <c r="U116" s="18">
        <f>RTD("ice.rtd",,$C116 &amp; $D116 &amp; ":" &amp; U$1)</f>
        <v>-140.547</v>
      </c>
      <c r="V1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-141.00 /  {-139.00} |1,062x</v>
      </c>
      <c r="W116" s="18" t="str">
        <f>IFERROR(IF(LEFT(ICE[[#This Row],[Tenor]], 1) = "B", RTD("esrtd",,$B116 &amp; " " &amp; ICE[[#This Row],[Tenor]] &amp; "-IEU", W$1), RTD("esrtd",,$B116 &amp; " " &amp; VLOOKUP(MONTH(ICE[[#This Row],[Strip]]), MthRef[], 2, 0) &amp; RIGHT(YEAR(ICE[[#This Row],[Strip]]), 2) &amp; "-IEU", W$1)), "")</f>
        <v/>
      </c>
      <c r="X116" s="36"/>
    </row>
    <row r="117" spans="1:24" x14ac:dyDescent="0.25">
      <c r="A117" s="37" t="s">
        <v>412</v>
      </c>
      <c r="B117" s="3" t="str">
        <f>RTD("ice.rtd",,$C117 &amp; $D117 &amp; ":" &amp; B$1)</f>
        <v>BAP</v>
      </c>
      <c r="C117" s="3">
        <v>1986823075</v>
      </c>
      <c r="D117" t="s">
        <v>793</v>
      </c>
      <c r="E117" s="3" t="str">
        <f>RTD("ice.rtd",,$C117 &amp; $D117 &amp; ":" &amp; E$1)</f>
        <v>Sep26</v>
      </c>
      <c r="F117" s="3" t="str">
        <f>ICE[[#This Row],[Prod]]&amp;ICE[[#This Row],[Strip]]</f>
        <v>goewSep26</v>
      </c>
      <c r="G117" s="18" t="str">
        <f>RTD("ice.rtd",,$C117 &amp; $D117 &amp; ":" &amp; G$1)</f>
        <v/>
      </c>
      <c r="H117" s="18">
        <f>RTD("ice.rtd",,$C117 &amp; $D117 &amp; ":" &amp; H$1)</f>
        <v>-88.5</v>
      </c>
      <c r="I117" s="18" t="str">
        <f>RTD("ice.rtd",,$C117 &amp; $D117 &amp; ":" &amp; I$1)</f>
        <v/>
      </c>
      <c r="J117" s="14" t="str">
        <f>IFERROR(MOD(RTD("ice.rtd",,$C117 &amp; $D117 &amp; ":" &amp; J$1), 1), "")</f>
        <v/>
      </c>
      <c r="K117" s="18" t="str">
        <f>RTD("ice.rtd",,$C117 &amp; $D117 &amp; ":" &amp; K$1)</f>
        <v/>
      </c>
      <c r="L117" s="36" t="str">
        <f>RTD("ice.rtd",,$C117 &amp; $D117 &amp; ":" &amp; L$1)</f>
        <v/>
      </c>
      <c r="M117" s="14" t="str">
        <f>IFERROR(MOD(TIMEVALUE(RTD("ice.rtd",,$C117 &amp; $D117 &amp; ":" &amp; M$1)), 1), "")</f>
        <v/>
      </c>
      <c r="N117" s="36">
        <f>RTD("ice.rtd",,$C117 &amp; $D117 &amp; ":" &amp; N$1)</f>
        <v>0</v>
      </c>
      <c r="O117" s="36">
        <f>RTD("ice.rtd",,$C117 &amp; $D117 &amp; ":" &amp; O$1)</f>
        <v>0</v>
      </c>
      <c r="P1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" s="14" t="str">
        <f>IF(ICE[[#This Row],[LastType]] = "Scrn", ICE[[#This Row],[LstDate]], IF(ICE[[#This Row],[LastType]] = "Blk", ICE[[#This Row],[LstBlkTime]], ""))</f>
        <v/>
      </c>
      <c r="R117" s="41" t="str">
        <f>IF(ICE[[#This Row],[LastType]] = "Scrn", ICE[[#This Row],[LstPrc]], IF(ICE[[#This Row],[LastType]] = "Blk", ICE[[#This Row],[LstBlkPrc]], ""))</f>
        <v/>
      </c>
      <c r="S117" s="36">
        <f>ICE[[#This Row],[Vol]]+ICE[[#This Row],[BlkVol]]</f>
        <v>0</v>
      </c>
      <c r="T117" s="36">
        <f>RTD("ice.rtd",,$C117 &amp; $D117 &amp; ":" &amp; T$1)</f>
        <v>38576</v>
      </c>
      <c r="U117" s="18">
        <f>RTD("ice.rtd",,$C117 &amp; $D117 &amp; ":" &amp; U$1)</f>
        <v>-140.547</v>
      </c>
      <c r="V1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-88.50 </v>
      </c>
      <c r="W117" s="18" t="str">
        <f>IFERROR(IF(LEFT(ICE[[#This Row],[Tenor]], 1) = "B", RTD("esrtd",,$B117 &amp; " " &amp; ICE[[#This Row],[Tenor]] &amp; "-IEU", W$1), RTD("esrtd",,$B117 &amp; " " &amp; VLOOKUP(MONTH(ICE[[#This Row],[Strip]]), MthRef[], 2, 0) &amp; RIGHT(YEAR(ICE[[#This Row],[Strip]]), 2) &amp; "-IEU", W$1)), "")</f>
        <v/>
      </c>
      <c r="X117" s="36"/>
    </row>
    <row r="118" spans="1:24" x14ac:dyDescent="0.25">
      <c r="A118" s="37" t="s">
        <v>412</v>
      </c>
      <c r="B118" s="3" t="str">
        <f>RTD("ice.rtd",,$C118 &amp; $D118 &amp; ":" &amp; B$1)</f>
        <v>BAP</v>
      </c>
      <c r="C118" s="3">
        <v>1986823075</v>
      </c>
      <c r="D118" t="s">
        <v>324</v>
      </c>
      <c r="E118" s="3" t="str">
        <f>RTD("ice.rtd",,$C118 &amp; $D118 &amp; ":" &amp; E$1)</f>
        <v>Oct26</v>
      </c>
      <c r="F118" s="3" t="str">
        <f>ICE[[#This Row],[Prod]]&amp;ICE[[#This Row],[Strip]]</f>
        <v>goewOct26</v>
      </c>
      <c r="G118" s="18">
        <f>RTD("ice.rtd",,$C118 &amp; $D118 &amp; ":" &amp; G$1)</f>
        <v>-109</v>
      </c>
      <c r="H118" s="18">
        <f>RTD("ice.rtd",,$C118 &amp; $D118 &amp; ":" &amp; H$1)</f>
        <v>-104.5</v>
      </c>
      <c r="I118" s="18">
        <f>RTD("ice.rtd",,$C118 &amp; $D118 &amp; ":" &amp; I$1)</f>
        <v>-105.25</v>
      </c>
      <c r="J118" s="14">
        <f>IFERROR(MOD(RTD("ice.rtd",,$C118 &amp; $D118 &amp; ":" &amp; J$1), 1), "")</f>
        <v>0.42170434027502779</v>
      </c>
      <c r="K118" s="18">
        <f>RTD("ice.rtd",,$C118 &amp; $D118 &amp; ":" &amp; K$1)</f>
        <v>-111</v>
      </c>
      <c r="L118" s="36">
        <f>RTD("ice.rtd",,$C118 &amp; $D118 &amp; ":" &amp; L$1)</f>
        <v>50</v>
      </c>
      <c r="M118" s="14">
        <f>IFERROR(MOD(TIMEVALUE(RTD("ice.rtd",,$C118 &amp; $D118 &amp; ":" &amp; M$1)), 1), "")</f>
        <v>0.39603009259259259</v>
      </c>
      <c r="N118" s="36">
        <f>RTD("ice.rtd",,$C118 &amp; $D118 &amp; ":" &amp; N$1)</f>
        <v>925</v>
      </c>
      <c r="O118" s="36">
        <f>RTD("ice.rtd",,$C118 &amp; $D118 &amp; ":" &amp; O$1)</f>
        <v>199</v>
      </c>
      <c r="P1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18" s="14">
        <f>IF(ICE[[#This Row],[LastType]] = "Scrn", ICE[[#This Row],[LstDate]], IF(ICE[[#This Row],[LastType]] = "Blk", ICE[[#This Row],[LstBlkTime]], ""))</f>
        <v>0.42170434027502779</v>
      </c>
      <c r="R118" s="41">
        <f>IF(ICE[[#This Row],[LastType]] = "Scrn", ICE[[#This Row],[LstPrc]], IF(ICE[[#This Row],[LastType]] = "Blk", ICE[[#This Row],[LstBlkPrc]], ""))</f>
        <v>-105.25</v>
      </c>
      <c r="S118" s="36">
        <f>ICE[[#This Row],[Vol]]+ICE[[#This Row],[BlkVol]]</f>
        <v>1124</v>
      </c>
      <c r="T118" s="36">
        <f>RTD("ice.rtd",,$C118 &amp; $D118 &amp; ":" &amp; T$1)</f>
        <v>15670</v>
      </c>
      <c r="U118" s="18">
        <f>RTD("ice.rtd",,$C118 &amp; $D118 &amp; ":" &amp; U$1)</f>
        <v>-105.004</v>
      </c>
      <c r="V1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-109.00 / -104.50 {-105.25} |1,124x</v>
      </c>
      <c r="W118" s="18" t="str">
        <f>IFERROR(IF(LEFT(ICE[[#This Row],[Tenor]], 1) = "B", RTD("esrtd",,$B118 &amp; " " &amp; ICE[[#This Row],[Tenor]] &amp; "-IEU", W$1), RTD("esrtd",,$B118 &amp; " " &amp; VLOOKUP(MONTH(ICE[[#This Row],[Strip]]), MthRef[], 2, 0) &amp; RIGHT(YEAR(ICE[[#This Row],[Strip]]), 2) &amp; "-IEU", W$1)), "")</f>
        <v/>
      </c>
      <c r="X118" s="36"/>
    </row>
    <row r="119" spans="1:24" x14ac:dyDescent="0.25">
      <c r="A119" s="37" t="s">
        <v>412</v>
      </c>
      <c r="B119" s="3" t="str">
        <f>RTD("ice.rtd",,$C119 &amp; $D119 &amp; ":" &amp; B$1)</f>
        <v>BAP</v>
      </c>
      <c r="C119" s="3">
        <v>1986823075</v>
      </c>
      <c r="D119" t="s">
        <v>325</v>
      </c>
      <c r="E119" s="3" t="str">
        <f>RTD("ice.rtd",,$C119 &amp; $D119 &amp; ":" &amp; E$1)</f>
        <v>Nov26</v>
      </c>
      <c r="F119" s="3" t="str">
        <f>ICE[[#This Row],[Prod]]&amp;ICE[[#This Row],[Strip]]</f>
        <v>goewNov26</v>
      </c>
      <c r="G119" s="18">
        <f>RTD("ice.rtd",,$C119 &amp; $D119 &amp; ":" &amp; G$1)</f>
        <v>-95</v>
      </c>
      <c r="H119" s="18">
        <f>RTD("ice.rtd",,$C119 &amp; $D119 &amp; ":" &amp; H$1)</f>
        <v>-87</v>
      </c>
      <c r="I119" s="18">
        <f>RTD("ice.rtd",,$C119 &amp; $D119 &amp; ":" &amp; I$1)</f>
        <v>-95</v>
      </c>
      <c r="J119" s="14">
        <f>IFERROR(MOD(RTD("ice.rtd",,$C119 &amp; $D119 &amp; ":" &amp; J$1), 1), "")</f>
        <v>0.33753346064622747</v>
      </c>
      <c r="K119" s="18">
        <f>RTD("ice.rtd",,$C119 &amp; $D119 &amp; ":" &amp; K$1)</f>
        <v>-92.5</v>
      </c>
      <c r="L119" s="36">
        <f>RTD("ice.rtd",,$C119 &amp; $D119 &amp; ":" &amp; L$1)</f>
        <v>70</v>
      </c>
      <c r="M119" s="14">
        <f>IFERROR(MOD(TIMEVALUE(RTD("ice.rtd",,$C119 &amp; $D119 &amp; ":" &amp; M$1)), 1), "")</f>
        <v>0.44240740740740742</v>
      </c>
      <c r="N119" s="36">
        <f>RTD("ice.rtd",,$C119 &amp; $D119 &amp; ":" &amp; N$1)</f>
        <v>50</v>
      </c>
      <c r="O119" s="36">
        <f>RTD("ice.rtd",,$C119 &amp; $D119 &amp; ":" &amp; O$1)</f>
        <v>552</v>
      </c>
      <c r="P1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19" s="14">
        <f>IF(ICE[[#This Row],[LastType]] = "Scrn", ICE[[#This Row],[LstDate]], IF(ICE[[#This Row],[LastType]] = "Blk", ICE[[#This Row],[LstBlkTime]], ""))</f>
        <v>0.44240740740740742</v>
      </c>
      <c r="R119" s="41">
        <f>IF(ICE[[#This Row],[LastType]] = "Scrn", ICE[[#This Row],[LstPrc]], IF(ICE[[#This Row],[LastType]] = "Blk", ICE[[#This Row],[LstBlkPrc]], ""))</f>
        <v>-92.5</v>
      </c>
      <c r="S119" s="36">
        <f>ICE[[#This Row],[Vol]]+ICE[[#This Row],[BlkVol]]</f>
        <v>602</v>
      </c>
      <c r="T119" s="36">
        <f>RTD("ice.rtd",,$C119 &amp; $D119 &amp; ":" &amp; T$1)</f>
        <v>13731</v>
      </c>
      <c r="U119" s="18">
        <f>RTD("ice.rtd",,$C119 &amp; $D119 &amp; ":" &amp; U$1)</f>
        <v>-86.994</v>
      </c>
      <c r="V1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-95.00 / -87.00 {-92.50} |602x</v>
      </c>
      <c r="W119" s="18" t="str">
        <f>IFERROR(IF(LEFT(ICE[[#This Row],[Tenor]], 1) = "B", RTD("esrtd",,$B119 &amp; " " &amp; ICE[[#This Row],[Tenor]] &amp; "-IEU", W$1), RTD("esrtd",,$B119 &amp; " " &amp; VLOOKUP(MONTH(ICE[[#This Row],[Strip]]), MthRef[], 2, 0) &amp; RIGHT(YEAR(ICE[[#This Row],[Strip]]), 2) &amp; "-IEU", W$1)), "")</f>
        <v/>
      </c>
      <c r="X119" s="36"/>
    </row>
    <row r="120" spans="1:24" x14ac:dyDescent="0.25">
      <c r="A120" s="37" t="s">
        <v>412</v>
      </c>
      <c r="B120" s="3" t="str">
        <f>RTD("ice.rtd",,$C120 &amp; $D120 &amp; ":" &amp; B$1)</f>
        <v>BAP</v>
      </c>
      <c r="C120" s="3">
        <v>1986823075</v>
      </c>
      <c r="D120" t="s">
        <v>326</v>
      </c>
      <c r="E120" s="3" t="str">
        <f>RTD("ice.rtd",,$C120 &amp; $D120 &amp; ":" &amp; E$1)</f>
        <v>Dec26</v>
      </c>
      <c r="F120" s="3" t="str">
        <f>ICE[[#This Row],[Prod]]&amp;ICE[[#This Row],[Strip]]</f>
        <v>goewDec26</v>
      </c>
      <c r="G120" s="18">
        <f>RTD("ice.rtd",,$C120 &amp; $D120 &amp; ":" &amp; G$1)</f>
        <v>-79</v>
      </c>
      <c r="H120" s="18">
        <f>RTD("ice.rtd",,$C120 &amp; $D120 &amp; ":" &amp; H$1)</f>
        <v>-72</v>
      </c>
      <c r="I120" s="18" t="str">
        <f>RTD("ice.rtd",,$C120 &amp; $D120 &amp; ":" &amp; I$1)</f>
        <v/>
      </c>
      <c r="J120" s="14" t="str">
        <f>IFERROR(MOD(RTD("ice.rtd",,$C120 &amp; $D120 &amp; ":" &amp; J$1), 1), "")</f>
        <v/>
      </c>
      <c r="K120" s="18">
        <f>RTD("ice.rtd",,$C120 &amp; $D120 &amp; ":" &amp; K$1)</f>
        <v>-75.5</v>
      </c>
      <c r="L120" s="36">
        <f>RTD("ice.rtd",,$C120 &amp; $D120 &amp; ":" &amp; L$1)</f>
        <v>70</v>
      </c>
      <c r="M120" s="14">
        <f>IFERROR(MOD(TIMEVALUE(RTD("ice.rtd",,$C120 &amp; $D120 &amp; ":" &amp; M$1)), 1), "")</f>
        <v>0.44240740740740742</v>
      </c>
      <c r="N120" s="36">
        <f>RTD("ice.rtd",,$C120 &amp; $D120 &amp; ":" &amp; N$1)</f>
        <v>0</v>
      </c>
      <c r="O120" s="36">
        <f>RTD("ice.rtd",,$C120 &amp; $D120 &amp; ":" &amp; O$1)</f>
        <v>1062</v>
      </c>
      <c r="P1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20" s="14">
        <f>IF(ICE[[#This Row],[LastType]] = "Scrn", ICE[[#This Row],[LstDate]], IF(ICE[[#This Row],[LastType]] = "Blk", ICE[[#This Row],[LstBlkTime]], ""))</f>
        <v>0.44240740740740742</v>
      </c>
      <c r="R120" s="41">
        <f>IF(ICE[[#This Row],[LastType]] = "Scrn", ICE[[#This Row],[LstPrc]], IF(ICE[[#This Row],[LastType]] = "Blk", ICE[[#This Row],[LstBlkPrc]], ""))</f>
        <v>-75.5</v>
      </c>
      <c r="S120" s="36">
        <f>ICE[[#This Row],[Vol]]+ICE[[#This Row],[BlkVol]]</f>
        <v>1062</v>
      </c>
      <c r="T120" s="36">
        <f>RTD("ice.rtd",,$C120 &amp; $D120 &amp; ":" &amp; T$1)</f>
        <v>14887</v>
      </c>
      <c r="U120" s="18">
        <f>RTD("ice.rtd",,$C120 &amp; $D120 &amp; ":" &amp; U$1)</f>
        <v>-75.866</v>
      </c>
      <c r="V1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-79.00 / -72.00 {-75.50} |1,062x</v>
      </c>
      <c r="W120" s="18" t="str">
        <f>IFERROR(IF(LEFT(ICE[[#This Row],[Tenor]], 1) = "B", RTD("esrtd",,$B120 &amp; " " &amp; ICE[[#This Row],[Tenor]] &amp; "-IEU", W$1), RTD("esrtd",,$B120 &amp; " " &amp; VLOOKUP(MONTH(ICE[[#This Row],[Strip]]), MthRef[], 2, 0) &amp; RIGHT(YEAR(ICE[[#This Row],[Strip]]), 2) &amp; "-IEU", W$1)), "")</f>
        <v/>
      </c>
      <c r="X120" s="36"/>
    </row>
    <row r="121" spans="1:24" x14ac:dyDescent="0.25">
      <c r="A121" s="37" t="s">
        <v>412</v>
      </c>
      <c r="B121" s="3" t="str">
        <f>RTD("ice.rtd",,$C121 &amp; $D121 &amp; ":" &amp; B$1)</f>
        <v>BAP</v>
      </c>
      <c r="C121" s="3">
        <v>1986823075</v>
      </c>
      <c r="D121" t="s">
        <v>794</v>
      </c>
      <c r="E121" s="3" t="str">
        <f>RTD("ice.rtd",,$C121 &amp; $D121 &amp; ":" &amp; E$1)</f>
        <v>Jan27</v>
      </c>
      <c r="F121" s="3" t="str">
        <f>ICE[[#This Row],[Prod]]&amp;ICE[[#This Row],[Strip]]</f>
        <v>goewJan27</v>
      </c>
      <c r="G121" s="18">
        <f>RTD("ice.rtd",,$C121 &amp; $D121 &amp; ":" &amp; G$1)</f>
        <v>-77</v>
      </c>
      <c r="H121" s="18">
        <f>RTD("ice.rtd",,$C121 &amp; $D121 &amp; ":" &amp; H$1)</f>
        <v>-61.5</v>
      </c>
      <c r="I121" s="18" t="str">
        <f>RTD("ice.rtd",,$C121 &amp; $D121 &amp; ":" &amp; I$1)</f>
        <v/>
      </c>
      <c r="J121" s="14" t="str">
        <f>IFERROR(MOD(RTD("ice.rtd",,$C121 &amp; $D121 &amp; ":" &amp; J$1), 1), "")</f>
        <v/>
      </c>
      <c r="K121" s="18">
        <f>RTD("ice.rtd",,$C121 &amp; $D121 &amp; ":" &amp; K$1)</f>
        <v>-69.25</v>
      </c>
      <c r="L121" s="36">
        <f>RTD("ice.rtd",,$C121 &amp; $D121 &amp; ":" &amp; L$1)</f>
        <v>50</v>
      </c>
      <c r="M121" s="14">
        <f>IFERROR(MOD(TIMEVALUE(RTD("ice.rtd",,$C121 &amp; $D121 &amp; ":" &amp; M$1)), 1), "")</f>
        <v>0.42824074074074076</v>
      </c>
      <c r="N121" s="36">
        <f>RTD("ice.rtd",,$C121 &amp; $D121 &amp; ":" &amp; N$1)</f>
        <v>0</v>
      </c>
      <c r="O121" s="36">
        <f>RTD("ice.rtd",,$C121 &amp; $D121 &amp; ":" &amp; O$1)</f>
        <v>620</v>
      </c>
      <c r="P1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21" s="14">
        <f>IF(ICE[[#This Row],[LastType]] = "Scrn", ICE[[#This Row],[LstDate]], IF(ICE[[#This Row],[LastType]] = "Blk", ICE[[#This Row],[LstBlkTime]], ""))</f>
        <v>0.42824074074074076</v>
      </c>
      <c r="R121" s="41">
        <f>IF(ICE[[#This Row],[LastType]] = "Scrn", ICE[[#This Row],[LstPrc]], IF(ICE[[#This Row],[LastType]] = "Blk", ICE[[#This Row],[LstBlkPrc]], ""))</f>
        <v>-69.25</v>
      </c>
      <c r="S121" s="36">
        <f>ICE[[#This Row],[Vol]]+ICE[[#This Row],[BlkVol]]</f>
        <v>620</v>
      </c>
      <c r="T121" s="36">
        <f>RTD("ice.rtd",,$C121 &amp; $D121 &amp; ":" &amp; T$1)</f>
        <v>6739</v>
      </c>
      <c r="U121" s="18">
        <f>RTD("ice.rtd",,$C121 &amp; $D121 &amp; ":" &amp; U$1)</f>
        <v>-70.965000000000003</v>
      </c>
      <c r="V1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-77.00 / -61.50 {-69.25} |620x</v>
      </c>
      <c r="W121" s="18" t="str">
        <f>IFERROR(IF(LEFT(ICE[[#This Row],[Tenor]], 1) = "B", RTD("esrtd",,$B121 &amp; " " &amp; ICE[[#This Row],[Tenor]] &amp; "-IEU", W$1), RTD("esrtd",,$B121 &amp; " " &amp; VLOOKUP(MONTH(ICE[[#This Row],[Strip]]), MthRef[], 2, 0) &amp; RIGHT(YEAR(ICE[[#This Row],[Strip]]), 2) &amp; "-IEU", W$1)), "")</f>
        <v/>
      </c>
      <c r="X121" s="36"/>
    </row>
    <row r="122" spans="1:24" x14ac:dyDescent="0.25">
      <c r="A122" s="37" t="s">
        <v>412</v>
      </c>
      <c r="B122" s="3" t="str">
        <f>RTD("ice.rtd",,$C122 &amp; $D122 &amp; ":" &amp; B$1)</f>
        <v>BAP</v>
      </c>
      <c r="C122" s="3">
        <v>1986823075</v>
      </c>
      <c r="D122" t="s">
        <v>795</v>
      </c>
      <c r="E122" s="3" t="str">
        <f>RTD("ice.rtd",,$C122 &amp; $D122 &amp; ":" &amp; E$1)</f>
        <v>Feb27</v>
      </c>
      <c r="F122" s="3" t="str">
        <f>ICE[[#This Row],[Prod]]&amp;ICE[[#This Row],[Strip]]</f>
        <v>goewFeb27</v>
      </c>
      <c r="G122" s="18" t="str">
        <f>RTD("ice.rtd",,$C122 &amp; $D122 &amp; ":" &amp; G$1)</f>
        <v/>
      </c>
      <c r="H122" s="18" t="str">
        <f>RTD("ice.rtd",,$C122 &amp; $D122 &amp; ":" &amp; H$1)</f>
        <v/>
      </c>
      <c r="I122" s="18" t="str">
        <f>RTD("ice.rtd",,$C122 &amp; $D122 &amp; ":" &amp; I$1)</f>
        <v/>
      </c>
      <c r="J122" s="14" t="str">
        <f>IFERROR(MOD(RTD("ice.rtd",,$C122 &amp; $D122 &amp; ":" &amp; J$1), 1), "")</f>
        <v/>
      </c>
      <c r="K122" s="18" t="str">
        <f>RTD("ice.rtd",,$C122 &amp; $D122 &amp; ":" &amp; K$1)</f>
        <v/>
      </c>
      <c r="L122" s="36" t="str">
        <f>RTD("ice.rtd",,$C122 &amp; $D122 &amp; ":" &amp; L$1)</f>
        <v/>
      </c>
      <c r="M122" s="14" t="str">
        <f>IFERROR(MOD(TIMEVALUE(RTD("ice.rtd",,$C122 &amp; $D122 &amp; ":" &amp; M$1)), 1), "")</f>
        <v/>
      </c>
      <c r="N122" s="36">
        <f>RTD("ice.rtd",,$C122 &amp; $D122 &amp; ":" &amp; N$1)</f>
        <v>0</v>
      </c>
      <c r="O122" s="36">
        <f>RTD("ice.rtd",,$C122 &amp; $D122 &amp; ":" &amp; O$1)</f>
        <v>20</v>
      </c>
      <c r="P1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" s="14" t="str">
        <f>IF(ICE[[#This Row],[LastType]] = "Scrn", ICE[[#This Row],[LstDate]], IF(ICE[[#This Row],[LastType]] = "Blk", ICE[[#This Row],[LstBlkTime]], ""))</f>
        <v/>
      </c>
      <c r="R122" s="41" t="str">
        <f>IF(ICE[[#This Row],[LastType]] = "Scrn", ICE[[#This Row],[LstPrc]], IF(ICE[[#This Row],[LastType]] = "Blk", ICE[[#This Row],[LstBlkPrc]], ""))</f>
        <v/>
      </c>
      <c r="S122" s="36">
        <f>ICE[[#This Row],[Vol]]+ICE[[#This Row],[BlkVol]]</f>
        <v>20</v>
      </c>
      <c r="T122" s="36">
        <f>RTD("ice.rtd",,$C122 &amp; $D122 &amp; ":" &amp; T$1)</f>
        <v>4495</v>
      </c>
      <c r="U122" s="18">
        <f>RTD("ice.rtd",,$C122 &amp; $D122 &amp; ":" &amp; U$1)</f>
        <v>-68.070000000000007</v>
      </c>
      <c r="V1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22" s="18" t="str">
        <f>IFERROR(IF(LEFT(ICE[[#This Row],[Tenor]], 1) = "B", RTD("esrtd",,$B122 &amp; " " &amp; ICE[[#This Row],[Tenor]] &amp; "-IEU", W$1), RTD("esrtd",,$B122 &amp; " " &amp; VLOOKUP(MONTH(ICE[[#This Row],[Strip]]), MthRef[], 2, 0) &amp; RIGHT(YEAR(ICE[[#This Row],[Strip]]), 2) &amp; "-IEU", W$1)), "")</f>
        <v/>
      </c>
      <c r="X122" s="36"/>
    </row>
    <row r="123" spans="1:24" x14ac:dyDescent="0.25">
      <c r="A123" s="37" t="s">
        <v>412</v>
      </c>
      <c r="B123" s="3" t="str">
        <f>RTD("ice.rtd",,$C123 &amp; $D123 &amp; ":" &amp; B$1)</f>
        <v>BAP</v>
      </c>
      <c r="C123" s="3">
        <v>1986823075</v>
      </c>
      <c r="D123" t="s">
        <v>113</v>
      </c>
      <c r="E123" s="3" t="str">
        <f>RTD("ice.rtd",,$C123 &amp; $D123 &amp; ":" &amp; E$1)</f>
        <v>Mar27</v>
      </c>
      <c r="F123" s="3" t="str">
        <f>ICE[[#This Row],[Prod]]&amp;ICE[[#This Row],[Strip]]</f>
        <v>goewMar27</v>
      </c>
      <c r="G123" s="18" t="str">
        <f>RTD("ice.rtd",,$C123 &amp; $D123 &amp; ":" &amp; G$1)</f>
        <v/>
      </c>
      <c r="H123" s="18" t="str">
        <f>RTD("ice.rtd",,$C123 &amp; $D123 &amp; ":" &amp; H$1)</f>
        <v/>
      </c>
      <c r="I123" s="18" t="str">
        <f>RTD("ice.rtd",,$C123 &amp; $D123 &amp; ":" &amp; I$1)</f>
        <v/>
      </c>
      <c r="J123" s="14" t="str">
        <f>IFERROR(MOD(RTD("ice.rtd",,$C123 &amp; $D123 &amp; ":" &amp; J$1), 1), "")</f>
        <v/>
      </c>
      <c r="K123" s="18" t="str">
        <f>RTD("ice.rtd",,$C123 &amp; $D123 &amp; ":" &amp; K$1)</f>
        <v/>
      </c>
      <c r="L123" s="36" t="str">
        <f>RTD("ice.rtd",,$C123 &amp; $D123 &amp; ":" &amp; L$1)</f>
        <v/>
      </c>
      <c r="M123" s="14" t="str">
        <f>IFERROR(MOD(TIMEVALUE(RTD("ice.rtd",,$C123 &amp; $D123 &amp; ":" &amp; M$1)), 1), "")</f>
        <v/>
      </c>
      <c r="N123" s="36">
        <f>RTD("ice.rtd",,$C123 &amp; $D123 &amp; ":" &amp; N$1)</f>
        <v>0</v>
      </c>
      <c r="O123" s="36">
        <f>RTD("ice.rtd",,$C123 &amp; $D123 &amp; ":" &amp; O$1)</f>
        <v>20</v>
      </c>
      <c r="P1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" s="14" t="str">
        <f>IF(ICE[[#This Row],[LastType]] = "Scrn", ICE[[#This Row],[LstDate]], IF(ICE[[#This Row],[LastType]] = "Blk", ICE[[#This Row],[LstBlkTime]], ""))</f>
        <v/>
      </c>
      <c r="R123" s="41" t="str">
        <f>IF(ICE[[#This Row],[LastType]] = "Scrn", ICE[[#This Row],[LstPrc]], IF(ICE[[#This Row],[LastType]] = "Blk", ICE[[#This Row],[LstBlkPrc]], ""))</f>
        <v/>
      </c>
      <c r="S123" s="36">
        <f>ICE[[#This Row],[Vol]]+ICE[[#This Row],[BlkVol]]</f>
        <v>20</v>
      </c>
      <c r="T123" s="36">
        <f>RTD("ice.rtd",,$C123 &amp; $D123 &amp; ":" &amp; T$1)</f>
        <v>3997</v>
      </c>
      <c r="U123" s="18">
        <f>RTD("ice.rtd",,$C123 &amp; $D123 &amp; ":" &amp; U$1)</f>
        <v>-60.702000000000005</v>
      </c>
      <c r="V1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23" s="18" t="str">
        <f>IFERROR(IF(LEFT(ICE[[#This Row],[Tenor]], 1) = "B", RTD("esrtd",,$B123 &amp; " " &amp; ICE[[#This Row],[Tenor]] &amp; "-IEU", W$1), RTD("esrtd",,$B123 &amp; " " &amp; VLOOKUP(MONTH(ICE[[#This Row],[Strip]]), MthRef[], 2, 0) &amp; RIGHT(YEAR(ICE[[#This Row],[Strip]]), 2) &amp; "-IEU", W$1)), "")</f>
        <v/>
      </c>
      <c r="X123" s="36"/>
    </row>
    <row r="124" spans="1:24" x14ac:dyDescent="0.25">
      <c r="A124" s="37" t="s">
        <v>412</v>
      </c>
      <c r="B124" s="3" t="str">
        <f>RTD("ice.rtd",,$C124 &amp; $D124 &amp; ":" &amp; B$1)</f>
        <v>BAP</v>
      </c>
      <c r="C124" s="3">
        <v>1986823075</v>
      </c>
      <c r="D124" t="s">
        <v>796</v>
      </c>
      <c r="E124" s="3" t="str">
        <f>RTD("ice.rtd",,$C124 &amp; $D124 &amp; ":" &amp; E$1)</f>
        <v>Apr27</v>
      </c>
      <c r="F124" s="3" t="str">
        <f>ICE[[#This Row],[Prod]]&amp;ICE[[#This Row],[Strip]]</f>
        <v>goewApr27</v>
      </c>
      <c r="G124" s="18" t="str">
        <f>RTD("ice.rtd",,$C124 &amp; $D124 &amp; ":" &amp; G$1)</f>
        <v/>
      </c>
      <c r="H124" s="18" t="str">
        <f>RTD("ice.rtd",,$C124 &amp; $D124 &amp; ":" &amp; H$1)</f>
        <v/>
      </c>
      <c r="I124" s="18" t="str">
        <f>RTD("ice.rtd",,$C124 &amp; $D124 &amp; ":" &amp; I$1)</f>
        <v/>
      </c>
      <c r="J124" s="14" t="str">
        <f>IFERROR(MOD(RTD("ice.rtd",,$C124 &amp; $D124 &amp; ":" &amp; J$1), 1), "")</f>
        <v/>
      </c>
      <c r="K124" s="18">
        <f>RTD("ice.rtd",,$C124 &amp; $D124 &amp; ":" &amp; K$1)</f>
        <v>-48.5</v>
      </c>
      <c r="L124" s="36">
        <f>RTD("ice.rtd",,$C124 &amp; $D124 &amp; ":" &amp; L$1)</f>
        <v>50</v>
      </c>
      <c r="M124" s="14">
        <f>IFERROR(MOD(TIMEVALUE(RTD("ice.rtd",,$C124 &amp; $D124 &amp; ":" &amp; M$1)), 1), "")</f>
        <v>0.44263888888888892</v>
      </c>
      <c r="N124" s="36">
        <f>RTD("ice.rtd",,$C124 &amp; $D124 &amp; ":" &amp; N$1)</f>
        <v>0</v>
      </c>
      <c r="O124" s="36">
        <f>RTD("ice.rtd",,$C124 &amp; $D124 &amp; ":" &amp; O$1)</f>
        <v>170</v>
      </c>
      <c r="P1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24" s="14">
        <f>IF(ICE[[#This Row],[LastType]] = "Scrn", ICE[[#This Row],[LstDate]], IF(ICE[[#This Row],[LastType]] = "Blk", ICE[[#This Row],[LstBlkTime]], ""))</f>
        <v>0.44263888888888892</v>
      </c>
      <c r="R124" s="41">
        <f>IF(ICE[[#This Row],[LastType]] = "Scrn", ICE[[#This Row],[LstPrc]], IF(ICE[[#This Row],[LastType]] = "Blk", ICE[[#This Row],[LstBlkPrc]], ""))</f>
        <v>-48.5</v>
      </c>
      <c r="S124" s="36">
        <f>ICE[[#This Row],[Vol]]+ICE[[#This Row],[BlkVol]]</f>
        <v>170</v>
      </c>
      <c r="T124" s="36">
        <f>RTD("ice.rtd",,$C124 &amp; $D124 &amp; ":" &amp; T$1)</f>
        <v>2681</v>
      </c>
      <c r="U124" s="18">
        <f>RTD("ice.rtd",,$C124 &amp; $D124 &amp; ":" &amp; U$1)</f>
        <v>-54.024000000000001</v>
      </c>
      <c r="V1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{-48.50} |170x</v>
      </c>
      <c r="W124" s="18" t="str">
        <f>IFERROR(IF(LEFT(ICE[[#This Row],[Tenor]], 1) = "B", RTD("esrtd",,$B124 &amp; " " &amp; ICE[[#This Row],[Tenor]] &amp; "-IEU", W$1), RTD("esrtd",,$B124 &amp; " " &amp; VLOOKUP(MONTH(ICE[[#This Row],[Strip]]), MthRef[], 2, 0) &amp; RIGHT(YEAR(ICE[[#This Row],[Strip]]), 2) &amp; "-IEU", W$1)), "")</f>
        <v/>
      </c>
      <c r="X124" s="36"/>
    </row>
    <row r="125" spans="1:24" x14ac:dyDescent="0.25">
      <c r="A125" s="37" t="s">
        <v>412</v>
      </c>
      <c r="B125" s="3" t="str">
        <f>RTD("ice.rtd",,$C125 &amp; $D125 &amp; ":" &amp; B$1)</f>
        <v>BAP</v>
      </c>
      <c r="C125" s="3">
        <v>1986823075</v>
      </c>
      <c r="D125" t="s">
        <v>797</v>
      </c>
      <c r="E125" s="3" t="str">
        <f>RTD("ice.rtd",,$C125 &amp; $D125 &amp; ":" &amp; E$1)</f>
        <v>May27</v>
      </c>
      <c r="F125" s="3" t="str">
        <f>ICE[[#This Row],[Prod]]&amp;ICE[[#This Row],[Strip]]</f>
        <v>goewMay27</v>
      </c>
      <c r="G125" s="18" t="str">
        <f>RTD("ice.rtd",,$C125 &amp; $D125 &amp; ":" &amp; G$1)</f>
        <v/>
      </c>
      <c r="H125" s="18" t="str">
        <f>RTD("ice.rtd",,$C125 &amp; $D125 &amp; ":" &amp; H$1)</f>
        <v/>
      </c>
      <c r="I125" s="18" t="str">
        <f>RTD("ice.rtd",,$C125 &amp; $D125 &amp; ":" &amp; I$1)</f>
        <v/>
      </c>
      <c r="J125" s="14" t="str">
        <f>IFERROR(MOD(RTD("ice.rtd",,$C125 &amp; $D125 &amp; ":" &amp; J$1), 1), "")</f>
        <v/>
      </c>
      <c r="K125" s="18" t="str">
        <f>RTD("ice.rtd",,$C125 &amp; $D125 &amp; ":" &amp; K$1)</f>
        <v/>
      </c>
      <c r="L125" s="36" t="str">
        <f>RTD("ice.rtd",,$C125 &amp; $D125 &amp; ":" &amp; L$1)</f>
        <v/>
      </c>
      <c r="M125" s="14" t="str">
        <f>IFERROR(MOD(TIMEVALUE(RTD("ice.rtd",,$C125 &amp; $D125 &amp; ":" &amp; M$1)), 1), "")</f>
        <v/>
      </c>
      <c r="N125" s="36">
        <f>RTD("ice.rtd",,$C125 &amp; $D125 &amp; ":" &amp; N$1)</f>
        <v>0</v>
      </c>
      <c r="O125" s="36">
        <f>RTD("ice.rtd",,$C125 &amp; $D125 &amp; ":" &amp; O$1)</f>
        <v>20</v>
      </c>
      <c r="P1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" s="14" t="str">
        <f>IF(ICE[[#This Row],[LastType]] = "Scrn", ICE[[#This Row],[LstDate]], IF(ICE[[#This Row],[LastType]] = "Blk", ICE[[#This Row],[LstBlkTime]], ""))</f>
        <v/>
      </c>
      <c r="R125" s="41" t="str">
        <f>IF(ICE[[#This Row],[LastType]] = "Scrn", ICE[[#This Row],[LstPrc]], IF(ICE[[#This Row],[LastType]] = "Blk", ICE[[#This Row],[LstBlkPrc]], ""))</f>
        <v/>
      </c>
      <c r="S125" s="36">
        <f>ICE[[#This Row],[Vol]]+ICE[[#This Row],[BlkVol]]</f>
        <v>20</v>
      </c>
      <c r="T125" s="36">
        <f>RTD("ice.rtd",,$C125 &amp; $D125 &amp; ":" &amp; T$1)</f>
        <v>2283</v>
      </c>
      <c r="U125" s="18">
        <f>RTD("ice.rtd",,$C125 &amp; $D125 &amp; ":" &amp; U$1)</f>
        <v>-50.528000000000006</v>
      </c>
      <c r="V1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25" s="18" t="str">
        <f>IFERROR(IF(LEFT(ICE[[#This Row],[Tenor]], 1) = "B", RTD("esrtd",,$B125 &amp; " " &amp; ICE[[#This Row],[Tenor]] &amp; "-IEU", W$1), RTD("esrtd",,$B125 &amp; " " &amp; VLOOKUP(MONTH(ICE[[#This Row],[Strip]]), MthRef[], 2, 0) &amp; RIGHT(YEAR(ICE[[#This Row],[Strip]]), 2) &amp; "-IEU", W$1)), "")</f>
        <v/>
      </c>
      <c r="X125" s="36"/>
    </row>
    <row r="126" spans="1:24" x14ac:dyDescent="0.25">
      <c r="A126" s="37" t="s">
        <v>412</v>
      </c>
      <c r="B126" s="3" t="str">
        <f>RTD("ice.rtd",,$C126 &amp; $D126 &amp; ":" &amp; B$1)</f>
        <v>BAP</v>
      </c>
      <c r="C126" s="3">
        <v>1986823075</v>
      </c>
      <c r="D126" t="s">
        <v>798</v>
      </c>
      <c r="E126" s="3" t="str">
        <f>RTD("ice.rtd",,$C126 &amp; $D126 &amp; ":" &amp; E$1)</f>
        <v>Jun27</v>
      </c>
      <c r="F126" s="3" t="str">
        <f>ICE[[#This Row],[Prod]]&amp;ICE[[#This Row],[Strip]]</f>
        <v>goewJun27</v>
      </c>
      <c r="G126" s="18" t="str">
        <f>RTD("ice.rtd",,$C126 &amp; $D126 &amp; ":" &amp; G$1)</f>
        <v/>
      </c>
      <c r="H126" s="18" t="str">
        <f>RTD("ice.rtd",,$C126 &amp; $D126 &amp; ":" &amp; H$1)</f>
        <v/>
      </c>
      <c r="I126" s="18" t="str">
        <f>RTD("ice.rtd",,$C126 &amp; $D126 &amp; ":" &amp; I$1)</f>
        <v/>
      </c>
      <c r="J126" s="14" t="str">
        <f>IFERROR(MOD(RTD("ice.rtd",,$C126 &amp; $D126 &amp; ":" &amp; J$1), 1), "")</f>
        <v/>
      </c>
      <c r="K126" s="18" t="str">
        <f>RTD("ice.rtd",,$C126 &amp; $D126 &amp; ":" &amp; K$1)</f>
        <v/>
      </c>
      <c r="L126" s="36" t="str">
        <f>RTD("ice.rtd",,$C126 &amp; $D126 &amp; ":" &amp; L$1)</f>
        <v/>
      </c>
      <c r="M126" s="14" t="str">
        <f>IFERROR(MOD(TIMEVALUE(RTD("ice.rtd",,$C126 &amp; $D126 &amp; ":" &amp; M$1)), 1), "")</f>
        <v/>
      </c>
      <c r="N126" s="36">
        <f>RTD("ice.rtd",,$C126 &amp; $D126 &amp; ":" &amp; N$1)</f>
        <v>0</v>
      </c>
      <c r="O126" s="36">
        <f>RTD("ice.rtd",,$C126 &amp; $D126 &amp; ":" &amp; O$1)</f>
        <v>20</v>
      </c>
      <c r="P1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" s="14" t="str">
        <f>IF(ICE[[#This Row],[LastType]] = "Scrn", ICE[[#This Row],[LstDate]], IF(ICE[[#This Row],[LastType]] = "Blk", ICE[[#This Row],[LstBlkTime]], ""))</f>
        <v/>
      </c>
      <c r="R126" s="41" t="str">
        <f>IF(ICE[[#This Row],[LastType]] = "Scrn", ICE[[#This Row],[LstPrc]], IF(ICE[[#This Row],[LastType]] = "Blk", ICE[[#This Row],[LstBlkPrc]], ""))</f>
        <v/>
      </c>
      <c r="S126" s="36">
        <f>ICE[[#This Row],[Vol]]+ICE[[#This Row],[BlkVol]]</f>
        <v>20</v>
      </c>
      <c r="T126" s="36">
        <f>RTD("ice.rtd",,$C126 &amp; $D126 &amp; ":" &amp; T$1)</f>
        <v>2463</v>
      </c>
      <c r="U126" s="18">
        <f>RTD("ice.rtd",,$C126 &amp; $D126 &amp; ":" &amp; U$1)</f>
        <v>-47.062000000000005</v>
      </c>
      <c r="V1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26" s="18" t="str">
        <f>IFERROR(IF(LEFT(ICE[[#This Row],[Tenor]], 1) = "B", RTD("esrtd",,$B126 &amp; " " &amp; ICE[[#This Row],[Tenor]] &amp; "-IEU", W$1), RTD("esrtd",,$B126 &amp; " " &amp; VLOOKUP(MONTH(ICE[[#This Row],[Strip]]), MthRef[], 2, 0) &amp; RIGHT(YEAR(ICE[[#This Row],[Strip]]), 2) &amp; "-IEU", W$1)), "")</f>
        <v/>
      </c>
      <c r="X126" s="36"/>
    </row>
    <row r="127" spans="1:24" x14ac:dyDescent="0.25">
      <c r="A127" s="37" t="s">
        <v>412</v>
      </c>
      <c r="B127" s="3" t="str">
        <f>RTD("ice.rtd",,$C127 &amp; $D127 &amp; ":" &amp; B$1)</f>
        <v>BAP</v>
      </c>
      <c r="C127" s="3">
        <v>1986823075</v>
      </c>
      <c r="D127" t="s">
        <v>799</v>
      </c>
      <c r="E127" s="3" t="str">
        <f>RTD("ice.rtd",,$C127 &amp; $D127 &amp; ":" &amp; E$1)</f>
        <v>Jul27</v>
      </c>
      <c r="F127" s="3" t="str">
        <f>ICE[[#This Row],[Prod]]&amp;ICE[[#This Row],[Strip]]</f>
        <v>goewJul27</v>
      </c>
      <c r="G127" s="18" t="str">
        <f>RTD("ice.rtd",,$C127 &amp; $D127 &amp; ":" &amp; G$1)</f>
        <v/>
      </c>
      <c r="H127" s="18" t="str">
        <f>RTD("ice.rtd",,$C127 &amp; $D127 &amp; ":" &amp; H$1)</f>
        <v/>
      </c>
      <c r="I127" s="18" t="str">
        <f>RTD("ice.rtd",,$C127 &amp; $D127 &amp; ":" &amp; I$1)</f>
        <v/>
      </c>
      <c r="J127" s="14" t="str">
        <f>IFERROR(MOD(RTD("ice.rtd",,$C127 &amp; $D127 &amp; ":" &amp; J$1), 1), "")</f>
        <v/>
      </c>
      <c r="K127" s="18" t="str">
        <f>RTD("ice.rtd",,$C127 &amp; $D127 &amp; ":" &amp; K$1)</f>
        <v/>
      </c>
      <c r="L127" s="36" t="str">
        <f>RTD("ice.rtd",,$C127 &amp; $D127 &amp; ":" &amp; L$1)</f>
        <v/>
      </c>
      <c r="M127" s="14" t="str">
        <f>IFERROR(MOD(TIMEVALUE(RTD("ice.rtd",,$C127 &amp; $D127 &amp; ":" &amp; M$1)), 1), "")</f>
        <v/>
      </c>
      <c r="N127" s="36">
        <f>RTD("ice.rtd",,$C127 &amp; $D127 &amp; ":" &amp; N$1)</f>
        <v>0</v>
      </c>
      <c r="O127" s="36">
        <f>RTD("ice.rtd",,$C127 &amp; $D127 &amp; ":" &amp; O$1)</f>
        <v>20</v>
      </c>
      <c r="P1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" s="14" t="str">
        <f>IF(ICE[[#This Row],[LastType]] = "Scrn", ICE[[#This Row],[LstDate]], IF(ICE[[#This Row],[LastType]] = "Blk", ICE[[#This Row],[LstBlkTime]], ""))</f>
        <v/>
      </c>
      <c r="R127" s="41" t="str">
        <f>IF(ICE[[#This Row],[LastType]] = "Scrn", ICE[[#This Row],[LstPrc]], IF(ICE[[#This Row],[LastType]] = "Blk", ICE[[#This Row],[LstBlkPrc]], ""))</f>
        <v/>
      </c>
      <c r="S127" s="36">
        <f>ICE[[#This Row],[Vol]]+ICE[[#This Row],[BlkVol]]</f>
        <v>20</v>
      </c>
      <c r="T127" s="36">
        <f>RTD("ice.rtd",,$C127 &amp; $D127 &amp; ":" &amp; T$1)</f>
        <v>991</v>
      </c>
      <c r="U127" s="18">
        <f>RTD("ice.rtd",,$C127 &amp; $D127 &amp; ":" &amp; U$1)</f>
        <v>-45.012</v>
      </c>
      <c r="V1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27" s="18" t="str">
        <f>IFERROR(IF(LEFT(ICE[[#This Row],[Tenor]], 1) = "B", RTD("esrtd",,$B127 &amp; " " &amp; ICE[[#This Row],[Tenor]] &amp; "-IEU", W$1), RTD("esrtd",,$B127 &amp; " " &amp; VLOOKUP(MONTH(ICE[[#This Row],[Strip]]), MthRef[], 2, 0) &amp; RIGHT(YEAR(ICE[[#This Row],[Strip]]), 2) &amp; "-IEU", W$1)), "")</f>
        <v/>
      </c>
      <c r="X127" s="36"/>
    </row>
    <row r="128" spans="1:24" x14ac:dyDescent="0.25">
      <c r="A128" s="37" t="s">
        <v>412</v>
      </c>
      <c r="B128" s="3" t="str">
        <f>RTD("ice.rtd",,$C128 &amp; $D128 &amp; ":" &amp; B$1)</f>
        <v>BAP</v>
      </c>
      <c r="C128" s="3">
        <v>1986823075</v>
      </c>
      <c r="D128" t="s">
        <v>800</v>
      </c>
      <c r="E128" s="3" t="str">
        <f>RTD("ice.rtd",,$C128 &amp; $D128 &amp; ":" &amp; E$1)</f>
        <v>Aug27</v>
      </c>
      <c r="F128" s="3" t="str">
        <f>ICE[[#This Row],[Prod]]&amp;ICE[[#This Row],[Strip]]</f>
        <v>goewAug27</v>
      </c>
      <c r="G128" s="18" t="str">
        <f>RTD("ice.rtd",,$C128 &amp; $D128 &amp; ":" &amp; G$1)</f>
        <v/>
      </c>
      <c r="H128" s="18" t="str">
        <f>RTD("ice.rtd",,$C128 &amp; $D128 &amp; ":" &amp; H$1)</f>
        <v/>
      </c>
      <c r="I128" s="18" t="str">
        <f>RTD("ice.rtd",,$C128 &amp; $D128 &amp; ":" &amp; I$1)</f>
        <v/>
      </c>
      <c r="J128" s="14" t="str">
        <f>IFERROR(MOD(RTD("ice.rtd",,$C128 &amp; $D128 &amp; ":" &amp; J$1), 1), "")</f>
        <v/>
      </c>
      <c r="K128" s="18" t="str">
        <f>RTD("ice.rtd",,$C128 &amp; $D128 &amp; ":" &amp; K$1)</f>
        <v/>
      </c>
      <c r="L128" s="36" t="str">
        <f>RTD("ice.rtd",,$C128 &amp; $D128 &amp; ":" &amp; L$1)</f>
        <v/>
      </c>
      <c r="M128" s="14" t="str">
        <f>IFERROR(MOD(TIMEVALUE(RTD("ice.rtd",,$C128 &amp; $D128 &amp; ":" &amp; M$1)), 1), "")</f>
        <v/>
      </c>
      <c r="N128" s="36">
        <f>RTD("ice.rtd",,$C128 &amp; $D128 &amp; ":" &amp; N$1)</f>
        <v>0</v>
      </c>
      <c r="O128" s="36">
        <f>RTD("ice.rtd",,$C128 &amp; $D128 &amp; ":" &amp; O$1)</f>
        <v>20</v>
      </c>
      <c r="P1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" s="14" t="str">
        <f>IF(ICE[[#This Row],[LastType]] = "Scrn", ICE[[#This Row],[LstDate]], IF(ICE[[#This Row],[LastType]] = "Blk", ICE[[#This Row],[LstBlkTime]], ""))</f>
        <v/>
      </c>
      <c r="R128" s="41" t="str">
        <f>IF(ICE[[#This Row],[LastType]] = "Scrn", ICE[[#This Row],[LstPrc]], IF(ICE[[#This Row],[LastType]] = "Blk", ICE[[#This Row],[LstBlkPrc]], ""))</f>
        <v/>
      </c>
      <c r="S128" s="36">
        <f>ICE[[#This Row],[Vol]]+ICE[[#This Row],[BlkVol]]</f>
        <v>20</v>
      </c>
      <c r="T128" s="36">
        <f>RTD("ice.rtd",,$C128 &amp; $D128 &amp; ":" &amp; T$1)</f>
        <v>945</v>
      </c>
      <c r="U128" s="18">
        <f>RTD("ice.rtd",,$C128 &amp; $D128 &amp; ":" &amp; U$1)</f>
        <v>-44.606999999999999</v>
      </c>
      <c r="V1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28" s="18" t="str">
        <f>IFERROR(IF(LEFT(ICE[[#This Row],[Tenor]], 1) = "B", RTD("esrtd",,$B128 &amp; " " &amp; ICE[[#This Row],[Tenor]] &amp; "-IEU", W$1), RTD("esrtd",,$B128 &amp; " " &amp; VLOOKUP(MONTH(ICE[[#This Row],[Strip]]), MthRef[], 2, 0) &amp; RIGHT(YEAR(ICE[[#This Row],[Strip]]), 2) &amp; "-IEU", W$1)), "")</f>
        <v/>
      </c>
      <c r="X128" s="36"/>
    </row>
    <row r="129" spans="1:24" x14ac:dyDescent="0.25">
      <c r="A129" s="37" t="s">
        <v>412</v>
      </c>
      <c r="B129" s="3" t="str">
        <f>RTD("ice.rtd",,$C129 &amp; $D129 &amp; ":" &amp; B$1)</f>
        <v>BAP</v>
      </c>
      <c r="C129" s="3">
        <v>1986823075</v>
      </c>
      <c r="D129" t="s">
        <v>801</v>
      </c>
      <c r="E129" s="3" t="str">
        <f>RTD("ice.rtd",,$C129 &amp; $D129 &amp; ":" &amp; E$1)</f>
        <v>Sep27</v>
      </c>
      <c r="F129" s="3" t="str">
        <f>ICE[[#This Row],[Prod]]&amp;ICE[[#This Row],[Strip]]</f>
        <v>goewSep27</v>
      </c>
      <c r="G129" s="18" t="str">
        <f>RTD("ice.rtd",,$C129 &amp; $D129 &amp; ":" &amp; G$1)</f>
        <v/>
      </c>
      <c r="H129" s="18" t="str">
        <f>RTD("ice.rtd",,$C129 &amp; $D129 &amp; ":" &amp; H$1)</f>
        <v/>
      </c>
      <c r="I129" s="18" t="str">
        <f>RTD("ice.rtd",,$C129 &amp; $D129 &amp; ":" &amp; I$1)</f>
        <v/>
      </c>
      <c r="J129" s="14" t="str">
        <f>IFERROR(MOD(RTD("ice.rtd",,$C129 &amp; $D129 &amp; ":" &amp; J$1), 1), "")</f>
        <v/>
      </c>
      <c r="K129" s="18" t="str">
        <f>RTD("ice.rtd",,$C129 &amp; $D129 &amp; ":" &amp; K$1)</f>
        <v/>
      </c>
      <c r="L129" s="36" t="str">
        <f>RTD("ice.rtd",,$C129 &amp; $D129 &amp; ":" &amp; L$1)</f>
        <v/>
      </c>
      <c r="M129" s="14" t="str">
        <f>IFERROR(MOD(TIMEVALUE(RTD("ice.rtd",,$C129 &amp; $D129 &amp; ":" &amp; M$1)), 1), "")</f>
        <v/>
      </c>
      <c r="N129" s="36">
        <f>RTD("ice.rtd",,$C129 &amp; $D129 &amp; ":" &amp; N$1)</f>
        <v>0</v>
      </c>
      <c r="O129" s="36">
        <f>RTD("ice.rtd",,$C129 &amp; $D129 &amp; ":" &amp; O$1)</f>
        <v>20</v>
      </c>
      <c r="P1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" s="14" t="str">
        <f>IF(ICE[[#This Row],[LastType]] = "Scrn", ICE[[#This Row],[LstDate]], IF(ICE[[#This Row],[LastType]] = "Blk", ICE[[#This Row],[LstBlkTime]], ""))</f>
        <v/>
      </c>
      <c r="R129" s="41" t="str">
        <f>IF(ICE[[#This Row],[LastType]] = "Scrn", ICE[[#This Row],[LstPrc]], IF(ICE[[#This Row],[LastType]] = "Blk", ICE[[#This Row],[LstBlkPrc]], ""))</f>
        <v/>
      </c>
      <c r="S129" s="36">
        <f>ICE[[#This Row],[Vol]]+ICE[[#This Row],[BlkVol]]</f>
        <v>20</v>
      </c>
      <c r="T129" s="36">
        <f>RTD("ice.rtd",,$C129 &amp; $D129 &amp; ":" &amp; T$1)</f>
        <v>1002</v>
      </c>
      <c r="U129" s="18">
        <f>RTD("ice.rtd",,$C129 &amp; $D129 &amp; ":" &amp; U$1)</f>
        <v>-44.724000000000004</v>
      </c>
      <c r="V1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29" s="18" t="str">
        <f>IFERROR(IF(LEFT(ICE[[#This Row],[Tenor]], 1) = "B", RTD("esrtd",,$B129 &amp; " " &amp; ICE[[#This Row],[Tenor]] &amp; "-IEU", W$1), RTD("esrtd",,$B129 &amp; " " &amp; VLOOKUP(MONTH(ICE[[#This Row],[Strip]]), MthRef[], 2, 0) &amp; RIGHT(YEAR(ICE[[#This Row],[Strip]]), 2) &amp; "-IEU", W$1)), "")</f>
        <v/>
      </c>
      <c r="X129" s="36"/>
    </row>
    <row r="130" spans="1:24" x14ac:dyDescent="0.25">
      <c r="A130" s="37" t="s">
        <v>412</v>
      </c>
      <c r="B130" s="3" t="str">
        <f>RTD("ice.rtd",,$C130 &amp; $D130 &amp; ":" &amp; B$1)</f>
        <v>BAP</v>
      </c>
      <c r="C130" s="3">
        <v>1986823075</v>
      </c>
      <c r="D130" t="s">
        <v>802</v>
      </c>
      <c r="E130" s="3" t="str">
        <f>RTD("ice.rtd",,$C130 &amp; $D130 &amp; ":" &amp; E$1)</f>
        <v>Oct27</v>
      </c>
      <c r="F130" s="3" t="str">
        <f>ICE[[#This Row],[Prod]]&amp;ICE[[#This Row],[Strip]]</f>
        <v>goewOct27</v>
      </c>
      <c r="G130" s="18" t="str">
        <f>RTD("ice.rtd",,$C130 &amp; $D130 &amp; ":" &amp; G$1)</f>
        <v/>
      </c>
      <c r="H130" s="18" t="str">
        <f>RTD("ice.rtd",,$C130 &amp; $D130 &amp; ":" &amp; H$1)</f>
        <v/>
      </c>
      <c r="I130" s="18" t="str">
        <f>RTD("ice.rtd",,$C130 &amp; $D130 &amp; ":" &amp; I$1)</f>
        <v/>
      </c>
      <c r="J130" s="14" t="str">
        <f>IFERROR(MOD(RTD("ice.rtd",,$C130 &amp; $D130 &amp; ":" &amp; J$1), 1), "")</f>
        <v/>
      </c>
      <c r="K130" s="18" t="str">
        <f>RTD("ice.rtd",,$C130 &amp; $D130 &amp; ":" &amp; K$1)</f>
        <v/>
      </c>
      <c r="L130" s="36" t="str">
        <f>RTD("ice.rtd",,$C130 &amp; $D130 &amp; ":" &amp; L$1)</f>
        <v/>
      </c>
      <c r="M130" s="14" t="str">
        <f>IFERROR(MOD(TIMEVALUE(RTD("ice.rtd",,$C130 &amp; $D130 &amp; ":" &amp; M$1)), 1), "")</f>
        <v/>
      </c>
      <c r="N130" s="36">
        <f>RTD("ice.rtd",,$C130 &amp; $D130 &amp; ":" &amp; N$1)</f>
        <v>0</v>
      </c>
      <c r="O130" s="36">
        <f>RTD("ice.rtd",,$C130 &amp; $D130 &amp; ":" &amp; O$1)</f>
        <v>20</v>
      </c>
      <c r="P1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0" s="14" t="str">
        <f>IF(ICE[[#This Row],[LastType]] = "Scrn", ICE[[#This Row],[LstDate]], IF(ICE[[#This Row],[LastType]] = "Blk", ICE[[#This Row],[LstBlkTime]], ""))</f>
        <v/>
      </c>
      <c r="R130" s="41" t="str">
        <f>IF(ICE[[#This Row],[LastType]] = "Scrn", ICE[[#This Row],[LstPrc]], IF(ICE[[#This Row],[LastType]] = "Blk", ICE[[#This Row],[LstBlkPrc]], ""))</f>
        <v/>
      </c>
      <c r="S130" s="36">
        <f>ICE[[#This Row],[Vol]]+ICE[[#This Row],[BlkVol]]</f>
        <v>20</v>
      </c>
      <c r="T130" s="36">
        <f>RTD("ice.rtd",,$C130 &amp; $D130 &amp; ":" &amp; T$1)</f>
        <v>1300</v>
      </c>
      <c r="U130" s="18">
        <f>RTD("ice.rtd",,$C130 &amp; $D130 &amp; ":" &amp; U$1)</f>
        <v>-44.023000000000003</v>
      </c>
      <c r="V1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30" s="18" t="str">
        <f>IFERROR(IF(LEFT(ICE[[#This Row],[Tenor]], 1) = "B", RTD("esrtd",,$B130 &amp; " " &amp; ICE[[#This Row],[Tenor]] &amp; "-IEU", W$1), RTD("esrtd",,$B130 &amp; " " &amp; VLOOKUP(MONTH(ICE[[#This Row],[Strip]]), MthRef[], 2, 0) &amp; RIGHT(YEAR(ICE[[#This Row],[Strip]]), 2) &amp; "-IEU", W$1)), "")</f>
        <v/>
      </c>
      <c r="X130" s="36"/>
    </row>
    <row r="131" spans="1:24" x14ac:dyDescent="0.25">
      <c r="A131" s="37" t="s">
        <v>412</v>
      </c>
      <c r="B131" s="3" t="str">
        <f>RTD("ice.rtd",,$C131 &amp; $D131 &amp; ":" &amp; B$1)</f>
        <v>BAP</v>
      </c>
      <c r="C131" s="3">
        <v>1986823075</v>
      </c>
      <c r="D131" t="s">
        <v>803</v>
      </c>
      <c r="E131" s="3" t="str">
        <f>RTD("ice.rtd",,$C131 &amp; $D131 &amp; ":" &amp; E$1)</f>
        <v>Nov27</v>
      </c>
      <c r="F131" s="3" t="str">
        <f>ICE[[#This Row],[Prod]]&amp;ICE[[#This Row],[Strip]]</f>
        <v>goewNov27</v>
      </c>
      <c r="G131" s="18" t="str">
        <f>RTD("ice.rtd",,$C131 &amp; $D131 &amp; ":" &amp; G$1)</f>
        <v/>
      </c>
      <c r="H131" s="18" t="str">
        <f>RTD("ice.rtd",,$C131 &amp; $D131 &amp; ":" &amp; H$1)</f>
        <v/>
      </c>
      <c r="I131" s="18" t="str">
        <f>RTD("ice.rtd",,$C131 &amp; $D131 &amp; ":" &amp; I$1)</f>
        <v/>
      </c>
      <c r="J131" s="14" t="str">
        <f>IFERROR(MOD(RTD("ice.rtd",,$C131 &amp; $D131 &amp; ":" &amp; J$1), 1), "")</f>
        <v/>
      </c>
      <c r="K131" s="18" t="str">
        <f>RTD("ice.rtd",,$C131 &amp; $D131 &amp; ":" &amp; K$1)</f>
        <v/>
      </c>
      <c r="L131" s="36" t="str">
        <f>RTD("ice.rtd",,$C131 &amp; $D131 &amp; ":" &amp; L$1)</f>
        <v/>
      </c>
      <c r="M131" s="14" t="str">
        <f>IFERROR(MOD(TIMEVALUE(RTD("ice.rtd",,$C131 &amp; $D131 &amp; ":" &amp; M$1)), 1), "")</f>
        <v/>
      </c>
      <c r="N131" s="36">
        <f>RTD("ice.rtd",,$C131 &amp; $D131 &amp; ":" &amp; N$1)</f>
        <v>0</v>
      </c>
      <c r="O131" s="36">
        <f>RTD("ice.rtd",,$C131 &amp; $D131 &amp; ":" &amp; O$1)</f>
        <v>20</v>
      </c>
      <c r="P1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" s="14" t="str">
        <f>IF(ICE[[#This Row],[LastType]] = "Scrn", ICE[[#This Row],[LstDate]], IF(ICE[[#This Row],[LastType]] = "Blk", ICE[[#This Row],[LstBlkTime]], ""))</f>
        <v/>
      </c>
      <c r="R131" s="41" t="str">
        <f>IF(ICE[[#This Row],[LastType]] = "Scrn", ICE[[#This Row],[LstPrc]], IF(ICE[[#This Row],[LastType]] = "Blk", ICE[[#This Row],[LstBlkPrc]], ""))</f>
        <v/>
      </c>
      <c r="S131" s="36">
        <f>ICE[[#This Row],[Vol]]+ICE[[#This Row],[BlkVol]]</f>
        <v>20</v>
      </c>
      <c r="T131" s="36">
        <f>RTD("ice.rtd",,$C131 &amp; $D131 &amp; ":" &amp; T$1)</f>
        <v>1130</v>
      </c>
      <c r="U131" s="18">
        <f>RTD("ice.rtd",,$C131 &amp; $D131 &amp; ":" &amp; U$1)</f>
        <v>-42.251000000000005</v>
      </c>
      <c r="V1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31" s="18" t="str">
        <f>IFERROR(IF(LEFT(ICE[[#This Row],[Tenor]], 1) = "B", RTD("esrtd",,$B131 &amp; " " &amp; ICE[[#This Row],[Tenor]] &amp; "-IEU", W$1), RTD("esrtd",,$B131 &amp; " " &amp; VLOOKUP(MONTH(ICE[[#This Row],[Strip]]), MthRef[], 2, 0) &amp; RIGHT(YEAR(ICE[[#This Row],[Strip]]), 2) &amp; "-IEU", W$1)), "")</f>
        <v/>
      </c>
      <c r="X131" s="36"/>
    </row>
    <row r="132" spans="1:24" x14ac:dyDescent="0.25">
      <c r="A132" s="37" t="s">
        <v>412</v>
      </c>
      <c r="B132" s="3" t="str">
        <f>RTD("ice.rtd",,$C132 &amp; $D132 &amp; ":" &amp; B$1)</f>
        <v>BAP</v>
      </c>
      <c r="C132" s="3">
        <v>1986823075</v>
      </c>
      <c r="D132" t="s">
        <v>804</v>
      </c>
      <c r="E132" s="3" t="str">
        <f>RTD("ice.rtd",,$C132 &amp; $D132 &amp; ":" &amp; E$1)</f>
        <v>Dec27</v>
      </c>
      <c r="F132" s="3" t="str">
        <f>ICE[[#This Row],[Prod]]&amp;ICE[[#This Row],[Strip]]</f>
        <v>goewDec27</v>
      </c>
      <c r="G132" s="18" t="str">
        <f>RTD("ice.rtd",,$C132 &amp; $D132 &amp; ":" &amp; G$1)</f>
        <v/>
      </c>
      <c r="H132" s="18" t="str">
        <f>RTD("ice.rtd",,$C132 &amp; $D132 &amp; ":" &amp; H$1)</f>
        <v/>
      </c>
      <c r="I132" s="18" t="str">
        <f>RTD("ice.rtd",,$C132 &amp; $D132 &amp; ":" &amp; I$1)</f>
        <v/>
      </c>
      <c r="J132" s="14" t="str">
        <f>IFERROR(MOD(RTD("ice.rtd",,$C132 &amp; $D132 &amp; ":" &amp; J$1), 1), "")</f>
        <v/>
      </c>
      <c r="K132" s="18" t="str">
        <f>RTD("ice.rtd",,$C132 &amp; $D132 &amp; ":" &amp; K$1)</f>
        <v/>
      </c>
      <c r="L132" s="36" t="str">
        <f>RTD("ice.rtd",,$C132 &amp; $D132 &amp; ":" &amp; L$1)</f>
        <v/>
      </c>
      <c r="M132" s="14" t="str">
        <f>IFERROR(MOD(TIMEVALUE(RTD("ice.rtd",,$C132 &amp; $D132 &amp; ":" &amp; M$1)), 1), "")</f>
        <v/>
      </c>
      <c r="N132" s="36">
        <f>RTD("ice.rtd",,$C132 &amp; $D132 &amp; ":" &amp; N$1)</f>
        <v>0</v>
      </c>
      <c r="O132" s="36">
        <f>RTD("ice.rtd",,$C132 &amp; $D132 &amp; ":" &amp; O$1)</f>
        <v>20</v>
      </c>
      <c r="P1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2" s="14" t="str">
        <f>IF(ICE[[#This Row],[LastType]] = "Scrn", ICE[[#This Row],[LstDate]], IF(ICE[[#This Row],[LastType]] = "Blk", ICE[[#This Row],[LstBlkTime]], ""))</f>
        <v/>
      </c>
      <c r="R132" s="41" t="str">
        <f>IF(ICE[[#This Row],[LastType]] = "Scrn", ICE[[#This Row],[LstPrc]], IF(ICE[[#This Row],[LastType]] = "Blk", ICE[[#This Row],[LstBlkPrc]], ""))</f>
        <v/>
      </c>
      <c r="S132" s="36">
        <f>ICE[[#This Row],[Vol]]+ICE[[#This Row],[BlkVol]]</f>
        <v>20</v>
      </c>
      <c r="T132" s="36">
        <f>RTD("ice.rtd",,$C132 &amp; $D132 &amp; ":" &amp; T$1)</f>
        <v>1275</v>
      </c>
      <c r="U132" s="18">
        <f>RTD("ice.rtd",,$C132 &amp; $D132 &amp; ":" &amp; U$1)</f>
        <v>-41.843000000000004</v>
      </c>
      <c r="V1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|20x</v>
      </c>
      <c r="W132" s="18" t="str">
        <f>IFERROR(IF(LEFT(ICE[[#This Row],[Tenor]], 1) = "B", RTD("esrtd",,$B132 &amp; " " &amp; ICE[[#This Row],[Tenor]] &amp; "-IEU", W$1), RTD("esrtd",,$B132 &amp; " " &amp; VLOOKUP(MONTH(ICE[[#This Row],[Strip]]), MthRef[], 2, 0) &amp; RIGHT(YEAR(ICE[[#This Row],[Strip]]), 2) &amp; "-IEU", W$1)), "")</f>
        <v/>
      </c>
      <c r="X132" s="36"/>
    </row>
    <row r="133" spans="1:24" x14ac:dyDescent="0.25">
      <c r="A133" s="37" t="s">
        <v>412</v>
      </c>
      <c r="B133" s="3" t="str">
        <f>RTD("ice.rtd",,$C133 &amp; $D133 &amp; ":" &amp; B$1)</f>
        <v>BAP</v>
      </c>
      <c r="C133" s="3">
        <v>1986823075</v>
      </c>
      <c r="D133" t="s">
        <v>805</v>
      </c>
      <c r="E133" s="3" t="str">
        <f>RTD("ice.rtd",,$C133 &amp; $D133 &amp; ":" &amp; E$1)</f>
        <v>Jan28</v>
      </c>
      <c r="F133" s="3" t="str">
        <f>ICE[[#This Row],[Prod]]&amp;ICE[[#This Row],[Strip]]</f>
        <v>goewJan28</v>
      </c>
      <c r="G133" s="18" t="str">
        <f>RTD("ice.rtd",,$C133 &amp; $D133 &amp; ":" &amp; G$1)</f>
        <v/>
      </c>
      <c r="H133" s="18" t="str">
        <f>RTD("ice.rtd",,$C133 &amp; $D133 &amp; ":" &amp; H$1)</f>
        <v/>
      </c>
      <c r="I133" s="18" t="str">
        <f>RTD("ice.rtd",,$C133 &amp; $D133 &amp; ":" &amp; I$1)</f>
        <v/>
      </c>
      <c r="J133" s="14" t="str">
        <f>IFERROR(MOD(RTD("ice.rtd",,$C133 &amp; $D133 &amp; ":" &amp; J$1), 1), "")</f>
        <v/>
      </c>
      <c r="K133" s="18" t="str">
        <f>RTD("ice.rtd",,$C133 &amp; $D133 &amp; ":" &amp; K$1)</f>
        <v/>
      </c>
      <c r="L133" s="36" t="str">
        <f>RTD("ice.rtd",,$C133 &amp; $D133 &amp; ":" &amp; L$1)</f>
        <v/>
      </c>
      <c r="M133" s="14" t="str">
        <f>IFERROR(MOD(TIMEVALUE(RTD("ice.rtd",,$C133 &amp; $D133 &amp; ":" &amp; M$1)), 1), "")</f>
        <v/>
      </c>
      <c r="N133" s="36">
        <f>RTD("ice.rtd",,$C133 &amp; $D133 &amp; ":" &amp; N$1)</f>
        <v>0</v>
      </c>
      <c r="O133" s="36">
        <f>RTD("ice.rtd",,$C133 &amp; $D133 &amp; ":" &amp; O$1)</f>
        <v>0</v>
      </c>
      <c r="P1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" s="14" t="str">
        <f>IF(ICE[[#This Row],[LastType]] = "Scrn", ICE[[#This Row],[LstDate]], IF(ICE[[#This Row],[LastType]] = "Blk", ICE[[#This Row],[LstBlkTime]], ""))</f>
        <v/>
      </c>
      <c r="R133" s="41" t="str">
        <f>IF(ICE[[#This Row],[LastType]] = "Scrn", ICE[[#This Row],[LstPrc]], IF(ICE[[#This Row],[LastType]] = "Blk", ICE[[#This Row],[LstBlkPrc]], ""))</f>
        <v/>
      </c>
      <c r="S133" s="36">
        <f>ICE[[#This Row],[Vol]]+ICE[[#This Row],[BlkVol]]</f>
        <v>0</v>
      </c>
      <c r="T133" s="36">
        <f>RTD("ice.rtd",,$C133 &amp; $D133 &amp; ":" &amp; T$1)</f>
        <v>730</v>
      </c>
      <c r="U133" s="18">
        <f>RTD("ice.rtd",,$C133 &amp; $D133 &amp; ":" &amp; U$1)</f>
        <v>-43.185000000000002</v>
      </c>
      <c r="V1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3" s="18" t="str">
        <f>IFERROR(IF(LEFT(ICE[[#This Row],[Tenor]], 1) = "B", RTD("esrtd",,$B133 &amp; " " &amp; ICE[[#This Row],[Tenor]] &amp; "-IEU", W$1), RTD("esrtd",,$B133 &amp; " " &amp; VLOOKUP(MONTH(ICE[[#This Row],[Strip]]), MthRef[], 2, 0) &amp; RIGHT(YEAR(ICE[[#This Row],[Strip]]), 2) &amp; "-IEU", W$1)), "")</f>
        <v/>
      </c>
      <c r="X133" s="36"/>
    </row>
    <row r="134" spans="1:24" x14ac:dyDescent="0.25">
      <c r="A134" s="37" t="s">
        <v>412</v>
      </c>
      <c r="B134" s="3" t="str">
        <f>RTD("ice.rtd",,$C134 &amp; $D134 &amp; ":" &amp; B$1)</f>
        <v>BAP</v>
      </c>
      <c r="C134" s="3">
        <v>1986823075</v>
      </c>
      <c r="D134" t="s">
        <v>806</v>
      </c>
      <c r="E134" s="3" t="str">
        <f>RTD("ice.rtd",,$C134 &amp; $D134 &amp; ":" &amp; E$1)</f>
        <v>Feb28</v>
      </c>
      <c r="F134" s="3" t="str">
        <f>ICE[[#This Row],[Prod]]&amp;ICE[[#This Row],[Strip]]</f>
        <v>goewFeb28</v>
      </c>
      <c r="G134" s="18" t="str">
        <f>RTD("ice.rtd",,$C134 &amp; $D134 &amp; ":" &amp; G$1)</f>
        <v/>
      </c>
      <c r="H134" s="18" t="str">
        <f>RTD("ice.rtd",,$C134 &amp; $D134 &amp; ":" &amp; H$1)</f>
        <v/>
      </c>
      <c r="I134" s="18" t="str">
        <f>RTD("ice.rtd",,$C134 &amp; $D134 &amp; ":" &amp; I$1)</f>
        <v/>
      </c>
      <c r="J134" s="14" t="str">
        <f>IFERROR(MOD(RTD("ice.rtd",,$C134 &amp; $D134 &amp; ":" &amp; J$1), 1), "")</f>
        <v/>
      </c>
      <c r="K134" s="18" t="str">
        <f>RTD("ice.rtd",,$C134 &amp; $D134 &amp; ":" &amp; K$1)</f>
        <v/>
      </c>
      <c r="L134" s="36" t="str">
        <f>RTD("ice.rtd",,$C134 &amp; $D134 &amp; ":" &amp; L$1)</f>
        <v/>
      </c>
      <c r="M134" s="14" t="str">
        <f>IFERROR(MOD(TIMEVALUE(RTD("ice.rtd",,$C134 &amp; $D134 &amp; ":" &amp; M$1)), 1), "")</f>
        <v/>
      </c>
      <c r="N134" s="36">
        <f>RTD("ice.rtd",,$C134 &amp; $D134 &amp; ":" &amp; N$1)</f>
        <v>0</v>
      </c>
      <c r="O134" s="36">
        <f>RTD("ice.rtd",,$C134 &amp; $D134 &amp; ":" &amp; O$1)</f>
        <v>0</v>
      </c>
      <c r="P1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" s="14" t="str">
        <f>IF(ICE[[#This Row],[LastType]] = "Scrn", ICE[[#This Row],[LstDate]], IF(ICE[[#This Row],[LastType]] = "Blk", ICE[[#This Row],[LstBlkTime]], ""))</f>
        <v/>
      </c>
      <c r="R134" s="41" t="str">
        <f>IF(ICE[[#This Row],[LastType]] = "Scrn", ICE[[#This Row],[LstPrc]], IF(ICE[[#This Row],[LastType]] = "Blk", ICE[[#This Row],[LstBlkPrc]], ""))</f>
        <v/>
      </c>
      <c r="S134" s="36">
        <f>ICE[[#This Row],[Vol]]+ICE[[#This Row],[BlkVol]]</f>
        <v>0</v>
      </c>
      <c r="T134" s="36">
        <f>RTD("ice.rtd",,$C134 &amp; $D134 &amp; ":" &amp; T$1)</f>
        <v>730</v>
      </c>
      <c r="U134" s="18">
        <f>RTD("ice.rtd",,$C134 &amp; $D134 &amp; ":" &amp; U$1)</f>
        <v>-43.987000000000002</v>
      </c>
      <c r="V1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4" s="18" t="str">
        <f>IFERROR(IF(LEFT(ICE[[#This Row],[Tenor]], 1) = "B", RTD("esrtd",,$B134 &amp; " " &amp; ICE[[#This Row],[Tenor]] &amp; "-IEU", W$1), RTD("esrtd",,$B134 &amp; " " &amp; VLOOKUP(MONTH(ICE[[#This Row],[Strip]]), MthRef[], 2, 0) &amp; RIGHT(YEAR(ICE[[#This Row],[Strip]]), 2) &amp; "-IEU", W$1)), "")</f>
        <v/>
      </c>
      <c r="X134" s="36"/>
    </row>
    <row r="135" spans="1:24" x14ac:dyDescent="0.25">
      <c r="A135" s="37" t="s">
        <v>412</v>
      </c>
      <c r="B135" s="3" t="str">
        <f>RTD("ice.rtd",,$C135 &amp; $D135 &amp; ":" &amp; B$1)</f>
        <v>BAP</v>
      </c>
      <c r="C135" s="3">
        <v>1986823075</v>
      </c>
      <c r="D135" t="s">
        <v>807</v>
      </c>
      <c r="E135" s="3" t="str">
        <f>RTD("ice.rtd",,$C135 &amp; $D135 &amp; ":" &amp; E$1)</f>
        <v>Mar28</v>
      </c>
      <c r="F135" s="3" t="str">
        <f>ICE[[#This Row],[Prod]]&amp;ICE[[#This Row],[Strip]]</f>
        <v>goewMar28</v>
      </c>
      <c r="G135" s="18" t="str">
        <f>RTD("ice.rtd",,$C135 &amp; $D135 &amp; ":" &amp; G$1)</f>
        <v/>
      </c>
      <c r="H135" s="18" t="str">
        <f>RTD("ice.rtd",,$C135 &amp; $D135 &amp; ":" &amp; H$1)</f>
        <v/>
      </c>
      <c r="I135" s="18" t="str">
        <f>RTD("ice.rtd",,$C135 &amp; $D135 &amp; ":" &amp; I$1)</f>
        <v/>
      </c>
      <c r="J135" s="14" t="str">
        <f>IFERROR(MOD(RTD("ice.rtd",,$C135 &amp; $D135 &amp; ":" &amp; J$1), 1), "")</f>
        <v/>
      </c>
      <c r="K135" s="18" t="str">
        <f>RTD("ice.rtd",,$C135 &amp; $D135 &amp; ":" &amp; K$1)</f>
        <v/>
      </c>
      <c r="L135" s="36" t="str">
        <f>RTD("ice.rtd",,$C135 &amp; $D135 &amp; ":" &amp; L$1)</f>
        <v/>
      </c>
      <c r="M135" s="14" t="str">
        <f>IFERROR(MOD(TIMEVALUE(RTD("ice.rtd",,$C135 &amp; $D135 &amp; ":" &amp; M$1)), 1), "")</f>
        <v/>
      </c>
      <c r="N135" s="36">
        <f>RTD("ice.rtd",,$C135 &amp; $D135 &amp; ":" &amp; N$1)</f>
        <v>0</v>
      </c>
      <c r="O135" s="36">
        <f>RTD("ice.rtd",,$C135 &amp; $D135 &amp; ":" &amp; O$1)</f>
        <v>0</v>
      </c>
      <c r="P1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" s="14" t="str">
        <f>IF(ICE[[#This Row],[LastType]] = "Scrn", ICE[[#This Row],[LstDate]], IF(ICE[[#This Row],[LastType]] = "Blk", ICE[[#This Row],[LstBlkTime]], ""))</f>
        <v/>
      </c>
      <c r="R135" s="41" t="str">
        <f>IF(ICE[[#This Row],[LastType]] = "Scrn", ICE[[#This Row],[LstPrc]], IF(ICE[[#This Row],[LastType]] = "Blk", ICE[[#This Row],[LstBlkPrc]], ""))</f>
        <v/>
      </c>
      <c r="S135" s="36">
        <f>ICE[[#This Row],[Vol]]+ICE[[#This Row],[BlkVol]]</f>
        <v>0</v>
      </c>
      <c r="T135" s="36">
        <f>RTD("ice.rtd",,$C135 &amp; $D135 &amp; ":" &amp; T$1)</f>
        <v>730</v>
      </c>
      <c r="U135" s="18">
        <f>RTD("ice.rtd",,$C135 &amp; $D135 &amp; ":" &amp; U$1)</f>
        <v>-43.024999999999999</v>
      </c>
      <c r="V1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5" s="18" t="str">
        <f>IFERROR(IF(LEFT(ICE[[#This Row],[Tenor]], 1) = "B", RTD("esrtd",,$B135 &amp; " " &amp; ICE[[#This Row],[Tenor]] &amp; "-IEU", W$1), RTD("esrtd",,$B135 &amp; " " &amp; VLOOKUP(MONTH(ICE[[#This Row],[Strip]]), MthRef[], 2, 0) &amp; RIGHT(YEAR(ICE[[#This Row],[Strip]]), 2) &amp; "-IEU", W$1)), "")</f>
        <v/>
      </c>
      <c r="X135" s="36"/>
    </row>
    <row r="136" spans="1:24" x14ac:dyDescent="0.25">
      <c r="A136" s="37" t="s">
        <v>412</v>
      </c>
      <c r="B136" s="3" t="str">
        <f>RTD("ice.rtd",,$C136 &amp; $D136 &amp; ":" &amp; B$1)</f>
        <v>BAP</v>
      </c>
      <c r="C136" s="3">
        <v>1986823075</v>
      </c>
      <c r="D136" t="s">
        <v>808</v>
      </c>
      <c r="E136" s="3" t="str">
        <f>RTD("ice.rtd",,$C136 &amp; $D136 &amp; ":" &amp; E$1)</f>
        <v>Apr28</v>
      </c>
      <c r="F136" s="3" t="str">
        <f>ICE[[#This Row],[Prod]]&amp;ICE[[#This Row],[Strip]]</f>
        <v>goewApr28</v>
      </c>
      <c r="G136" s="18" t="str">
        <f>RTD("ice.rtd",,$C136 &amp; $D136 &amp; ":" &amp; G$1)</f>
        <v/>
      </c>
      <c r="H136" s="18" t="str">
        <f>RTD("ice.rtd",,$C136 &amp; $D136 &amp; ":" &amp; H$1)</f>
        <v/>
      </c>
      <c r="I136" s="18" t="str">
        <f>RTD("ice.rtd",,$C136 &amp; $D136 &amp; ":" &amp; I$1)</f>
        <v/>
      </c>
      <c r="J136" s="14" t="str">
        <f>IFERROR(MOD(RTD("ice.rtd",,$C136 &amp; $D136 &amp; ":" &amp; J$1), 1), "")</f>
        <v/>
      </c>
      <c r="K136" s="18" t="str">
        <f>RTD("ice.rtd",,$C136 &amp; $D136 &amp; ":" &amp; K$1)</f>
        <v/>
      </c>
      <c r="L136" s="36" t="str">
        <f>RTD("ice.rtd",,$C136 &amp; $D136 &amp; ":" &amp; L$1)</f>
        <v/>
      </c>
      <c r="M136" s="14" t="str">
        <f>IFERROR(MOD(TIMEVALUE(RTD("ice.rtd",,$C136 &amp; $D136 &amp; ":" &amp; M$1)), 1), "")</f>
        <v/>
      </c>
      <c r="N136" s="36">
        <f>RTD("ice.rtd",,$C136 &amp; $D136 &amp; ":" &amp; N$1)</f>
        <v>0</v>
      </c>
      <c r="O136" s="36">
        <f>RTD("ice.rtd",,$C136 &amp; $D136 &amp; ":" &amp; O$1)</f>
        <v>0</v>
      </c>
      <c r="P1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" s="14" t="str">
        <f>IF(ICE[[#This Row],[LastType]] = "Scrn", ICE[[#This Row],[LstDate]], IF(ICE[[#This Row],[LastType]] = "Blk", ICE[[#This Row],[LstBlkTime]], ""))</f>
        <v/>
      </c>
      <c r="R136" s="41" t="str">
        <f>IF(ICE[[#This Row],[LastType]] = "Scrn", ICE[[#This Row],[LstPrc]], IF(ICE[[#This Row],[LastType]] = "Blk", ICE[[#This Row],[LstBlkPrc]], ""))</f>
        <v/>
      </c>
      <c r="S136" s="36">
        <f>ICE[[#This Row],[Vol]]+ICE[[#This Row],[BlkVol]]</f>
        <v>0</v>
      </c>
      <c r="T136" s="36">
        <f>RTD("ice.rtd",,$C136 &amp; $D136 &amp; ":" &amp; T$1)</f>
        <v>50</v>
      </c>
      <c r="U136" s="18">
        <f>RTD("ice.rtd",,$C136 &amp; $D136 &amp; ":" &amp; U$1)</f>
        <v>-40.507000000000005</v>
      </c>
      <c r="V1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6" s="18" t="str">
        <f>IFERROR(IF(LEFT(ICE[[#This Row],[Tenor]], 1) = "B", RTD("esrtd",,$B136 &amp; " " &amp; ICE[[#This Row],[Tenor]] &amp; "-IEU", W$1), RTD("esrtd",,$B136 &amp; " " &amp; VLOOKUP(MONTH(ICE[[#This Row],[Strip]]), MthRef[], 2, 0) &amp; RIGHT(YEAR(ICE[[#This Row],[Strip]]), 2) &amp; "-IEU", W$1)), "")</f>
        <v/>
      </c>
      <c r="X136" s="36"/>
    </row>
    <row r="137" spans="1:24" x14ac:dyDescent="0.25">
      <c r="A137" s="37" t="s">
        <v>412</v>
      </c>
      <c r="B137" s="3" t="str">
        <f>RTD("ice.rtd",,$C137 &amp; $D137 &amp; ":" &amp; B$1)</f>
        <v>BAP</v>
      </c>
      <c r="C137" s="3">
        <v>1986823075</v>
      </c>
      <c r="D137" t="s">
        <v>809</v>
      </c>
      <c r="E137" s="3" t="str">
        <f>RTD("ice.rtd",,$C137 &amp; $D137 &amp; ":" &amp; E$1)</f>
        <v>May28</v>
      </c>
      <c r="F137" s="3" t="str">
        <f>ICE[[#This Row],[Prod]]&amp;ICE[[#This Row],[Strip]]</f>
        <v>goewMay28</v>
      </c>
      <c r="G137" s="18" t="str">
        <f>RTD("ice.rtd",,$C137 &amp; $D137 &amp; ":" &amp; G$1)</f>
        <v/>
      </c>
      <c r="H137" s="18" t="str">
        <f>RTD("ice.rtd",,$C137 &amp; $D137 &amp; ":" &amp; H$1)</f>
        <v/>
      </c>
      <c r="I137" s="18" t="str">
        <f>RTD("ice.rtd",,$C137 &amp; $D137 &amp; ":" &amp; I$1)</f>
        <v/>
      </c>
      <c r="J137" s="14" t="str">
        <f>IFERROR(MOD(RTD("ice.rtd",,$C137 &amp; $D137 &amp; ":" &amp; J$1), 1), "")</f>
        <v/>
      </c>
      <c r="K137" s="18" t="str">
        <f>RTD("ice.rtd",,$C137 &amp; $D137 &amp; ":" &amp; K$1)</f>
        <v/>
      </c>
      <c r="L137" s="36" t="str">
        <f>RTD("ice.rtd",,$C137 &amp; $D137 &amp; ":" &amp; L$1)</f>
        <v/>
      </c>
      <c r="M137" s="14" t="str">
        <f>IFERROR(MOD(TIMEVALUE(RTD("ice.rtd",,$C137 &amp; $D137 &amp; ":" &amp; M$1)), 1), "")</f>
        <v/>
      </c>
      <c r="N137" s="36">
        <f>RTD("ice.rtd",,$C137 &amp; $D137 &amp; ":" &amp; N$1)</f>
        <v>0</v>
      </c>
      <c r="O137" s="36">
        <f>RTD("ice.rtd",,$C137 &amp; $D137 &amp; ":" &amp; O$1)</f>
        <v>0</v>
      </c>
      <c r="P1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" s="14" t="str">
        <f>IF(ICE[[#This Row],[LastType]] = "Scrn", ICE[[#This Row],[LstDate]], IF(ICE[[#This Row],[LastType]] = "Blk", ICE[[#This Row],[LstBlkTime]], ""))</f>
        <v/>
      </c>
      <c r="R137" s="41" t="str">
        <f>IF(ICE[[#This Row],[LastType]] = "Scrn", ICE[[#This Row],[LstPrc]], IF(ICE[[#This Row],[LastType]] = "Blk", ICE[[#This Row],[LstBlkPrc]], ""))</f>
        <v/>
      </c>
      <c r="S137" s="36">
        <f>ICE[[#This Row],[Vol]]+ICE[[#This Row],[BlkVol]]</f>
        <v>0</v>
      </c>
      <c r="T137" s="36">
        <f>RTD("ice.rtd",,$C137 &amp; $D137 &amp; ":" &amp; T$1)</f>
        <v>50</v>
      </c>
      <c r="U137" s="18">
        <f>RTD("ice.rtd",,$C137 &amp; $D137 &amp; ":" &amp; U$1)</f>
        <v>-38.077000000000005</v>
      </c>
      <c r="V1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7" s="18" t="str">
        <f>IFERROR(IF(LEFT(ICE[[#This Row],[Tenor]], 1) = "B", RTD("esrtd",,$B137 &amp; " " &amp; ICE[[#This Row],[Tenor]] &amp; "-IEU", W$1), RTD("esrtd",,$B137 &amp; " " &amp; VLOOKUP(MONTH(ICE[[#This Row],[Strip]]), MthRef[], 2, 0) &amp; RIGHT(YEAR(ICE[[#This Row],[Strip]]), 2) &amp; "-IEU", W$1)), "")</f>
        <v/>
      </c>
      <c r="X137" s="36"/>
    </row>
    <row r="138" spans="1:24" x14ac:dyDescent="0.25">
      <c r="A138" s="37" t="s">
        <v>412</v>
      </c>
      <c r="B138" s="3" t="str">
        <f>RTD("ice.rtd",,$C138 &amp; $D138 &amp; ":" &amp; B$1)</f>
        <v>BAP</v>
      </c>
      <c r="C138" s="3">
        <v>1986823075</v>
      </c>
      <c r="D138" t="s">
        <v>810</v>
      </c>
      <c r="E138" s="3" t="str">
        <f>RTD("ice.rtd",,$C138 &amp; $D138 &amp; ":" &amp; E$1)</f>
        <v>Jun28</v>
      </c>
      <c r="F138" s="3" t="str">
        <f>ICE[[#This Row],[Prod]]&amp;ICE[[#This Row],[Strip]]</f>
        <v>goewJun28</v>
      </c>
      <c r="G138" s="18" t="str">
        <f>RTD("ice.rtd",,$C138 &amp; $D138 &amp; ":" &amp; G$1)</f>
        <v/>
      </c>
      <c r="H138" s="18" t="str">
        <f>RTD("ice.rtd",,$C138 &amp; $D138 &amp; ":" &amp; H$1)</f>
        <v/>
      </c>
      <c r="I138" s="18" t="str">
        <f>RTD("ice.rtd",,$C138 &amp; $D138 &amp; ":" &amp; I$1)</f>
        <v/>
      </c>
      <c r="J138" s="14" t="str">
        <f>IFERROR(MOD(RTD("ice.rtd",,$C138 &amp; $D138 &amp; ":" &amp; J$1), 1), "")</f>
        <v/>
      </c>
      <c r="K138" s="18" t="str">
        <f>RTD("ice.rtd",,$C138 &amp; $D138 &amp; ":" &amp; K$1)</f>
        <v/>
      </c>
      <c r="L138" s="36" t="str">
        <f>RTD("ice.rtd",,$C138 &amp; $D138 &amp; ":" &amp; L$1)</f>
        <v/>
      </c>
      <c r="M138" s="14" t="str">
        <f>IFERROR(MOD(TIMEVALUE(RTD("ice.rtd",,$C138 &amp; $D138 &amp; ":" &amp; M$1)), 1), "")</f>
        <v/>
      </c>
      <c r="N138" s="36">
        <f>RTD("ice.rtd",,$C138 &amp; $D138 &amp; ":" &amp; N$1)</f>
        <v>0</v>
      </c>
      <c r="O138" s="36">
        <f>RTD("ice.rtd",,$C138 &amp; $D138 &amp; ":" &amp; O$1)</f>
        <v>0</v>
      </c>
      <c r="P1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" s="14" t="str">
        <f>IF(ICE[[#This Row],[LastType]] = "Scrn", ICE[[#This Row],[LstDate]], IF(ICE[[#This Row],[LastType]] = "Blk", ICE[[#This Row],[LstBlkTime]], ""))</f>
        <v/>
      </c>
      <c r="R138" s="41" t="str">
        <f>IF(ICE[[#This Row],[LastType]] = "Scrn", ICE[[#This Row],[LstPrc]], IF(ICE[[#This Row],[LastType]] = "Blk", ICE[[#This Row],[LstBlkPrc]], ""))</f>
        <v/>
      </c>
      <c r="S138" s="36">
        <f>ICE[[#This Row],[Vol]]+ICE[[#This Row],[BlkVol]]</f>
        <v>0</v>
      </c>
      <c r="T138" s="36">
        <f>RTD("ice.rtd",,$C138 &amp; $D138 &amp; ":" &amp; T$1)</f>
        <v>50</v>
      </c>
      <c r="U138" s="18">
        <f>RTD("ice.rtd",,$C138 &amp; $D138 &amp; ":" &amp; U$1)</f>
        <v>-37.450000000000003</v>
      </c>
      <c r="V1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8" s="18" t="str">
        <f>IFERROR(IF(LEFT(ICE[[#This Row],[Tenor]], 1) = "B", RTD("esrtd",,$B138 &amp; " " &amp; ICE[[#This Row],[Tenor]] &amp; "-IEU", W$1), RTD("esrtd",,$B138 &amp; " " &amp; VLOOKUP(MONTH(ICE[[#This Row],[Strip]]), MthRef[], 2, 0) &amp; RIGHT(YEAR(ICE[[#This Row],[Strip]]), 2) &amp; "-IEU", W$1)), "")</f>
        <v/>
      </c>
      <c r="X138" s="36"/>
    </row>
    <row r="139" spans="1:24" x14ac:dyDescent="0.25">
      <c r="A139" s="37" t="s">
        <v>412</v>
      </c>
      <c r="B139" s="3" t="str">
        <f>RTD("ice.rtd",,$C139 &amp; $D139 &amp; ":" &amp; B$1)</f>
        <v>BAP</v>
      </c>
      <c r="C139" s="3">
        <v>1986823075</v>
      </c>
      <c r="D139" t="s">
        <v>811</v>
      </c>
      <c r="E139" s="3" t="str">
        <f>RTD("ice.rtd",,$C139 &amp; $D139 &amp; ":" &amp; E$1)</f>
        <v>Jul28</v>
      </c>
      <c r="F139" s="3" t="str">
        <f>ICE[[#This Row],[Prod]]&amp;ICE[[#This Row],[Strip]]</f>
        <v>goewJul28</v>
      </c>
      <c r="G139" s="18" t="str">
        <f>RTD("ice.rtd",,$C139 &amp; $D139 &amp; ":" &amp; G$1)</f>
        <v/>
      </c>
      <c r="H139" s="18" t="str">
        <f>RTD("ice.rtd",,$C139 &amp; $D139 &amp; ":" &amp; H$1)</f>
        <v/>
      </c>
      <c r="I139" s="18" t="str">
        <f>RTD("ice.rtd",,$C139 &amp; $D139 &amp; ":" &amp; I$1)</f>
        <v/>
      </c>
      <c r="J139" s="14" t="str">
        <f>IFERROR(MOD(RTD("ice.rtd",,$C139 &amp; $D139 &amp; ":" &amp; J$1), 1), "")</f>
        <v/>
      </c>
      <c r="K139" s="18" t="str">
        <f>RTD("ice.rtd",,$C139 &amp; $D139 &amp; ":" &amp; K$1)</f>
        <v/>
      </c>
      <c r="L139" s="36" t="str">
        <f>RTD("ice.rtd",,$C139 &amp; $D139 &amp; ":" &amp; L$1)</f>
        <v/>
      </c>
      <c r="M139" s="14" t="str">
        <f>IFERROR(MOD(TIMEVALUE(RTD("ice.rtd",,$C139 &amp; $D139 &amp; ":" &amp; M$1)), 1), "")</f>
        <v/>
      </c>
      <c r="N139" s="36">
        <f>RTD("ice.rtd",,$C139 &amp; $D139 &amp; ":" &amp; N$1)</f>
        <v>0</v>
      </c>
      <c r="O139" s="36">
        <f>RTD("ice.rtd",,$C139 &amp; $D139 &amp; ":" &amp; O$1)</f>
        <v>0</v>
      </c>
      <c r="P1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" s="14" t="str">
        <f>IF(ICE[[#This Row],[LastType]] = "Scrn", ICE[[#This Row],[LstDate]], IF(ICE[[#This Row],[LastType]] = "Blk", ICE[[#This Row],[LstBlkTime]], ""))</f>
        <v/>
      </c>
      <c r="R139" s="41" t="str">
        <f>IF(ICE[[#This Row],[LastType]] = "Scrn", ICE[[#This Row],[LstPrc]], IF(ICE[[#This Row],[LastType]] = "Blk", ICE[[#This Row],[LstBlkPrc]], ""))</f>
        <v/>
      </c>
      <c r="S139" s="36">
        <f>ICE[[#This Row],[Vol]]+ICE[[#This Row],[BlkVol]]</f>
        <v>0</v>
      </c>
      <c r="T139" s="36">
        <f>RTD("ice.rtd",,$C139 &amp; $D139 &amp; ":" &amp; T$1)</f>
        <v>50</v>
      </c>
      <c r="U139" s="18">
        <f>RTD("ice.rtd",,$C139 &amp; $D139 &amp; ":" &amp; U$1)</f>
        <v>-37.015999999999998</v>
      </c>
      <c r="V1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" s="18" t="str">
        <f>IFERROR(IF(LEFT(ICE[[#This Row],[Tenor]], 1) = "B", RTD("esrtd",,$B139 &amp; " " &amp; ICE[[#This Row],[Tenor]] &amp; "-IEU", W$1), RTD("esrtd",,$B139 &amp; " " &amp; VLOOKUP(MONTH(ICE[[#This Row],[Strip]]), MthRef[], 2, 0) &amp; RIGHT(YEAR(ICE[[#This Row],[Strip]]), 2) &amp; "-IEU", W$1)), "")</f>
        <v/>
      </c>
      <c r="X139" s="36"/>
    </row>
    <row r="140" spans="1:24" x14ac:dyDescent="0.25">
      <c r="A140" s="37" t="s">
        <v>412</v>
      </c>
      <c r="B140" s="3" t="str">
        <f>RTD("ice.rtd",,$C140 &amp; $D140 &amp; ":" &amp; B$1)</f>
        <v>BAP</v>
      </c>
      <c r="C140" s="3">
        <v>1986823075</v>
      </c>
      <c r="D140" t="s">
        <v>812</v>
      </c>
      <c r="E140" s="3" t="str">
        <f>RTD("ice.rtd",,$C140 &amp; $D140 &amp; ":" &amp; E$1)</f>
        <v>Aug28</v>
      </c>
      <c r="F140" s="3" t="str">
        <f>ICE[[#This Row],[Prod]]&amp;ICE[[#This Row],[Strip]]</f>
        <v>goewAug28</v>
      </c>
      <c r="G140" s="18" t="str">
        <f>RTD("ice.rtd",,$C140 &amp; $D140 &amp; ":" &amp; G$1)</f>
        <v/>
      </c>
      <c r="H140" s="18" t="str">
        <f>RTD("ice.rtd",,$C140 &amp; $D140 &amp; ":" &amp; H$1)</f>
        <v/>
      </c>
      <c r="I140" s="18" t="str">
        <f>RTD("ice.rtd",,$C140 &amp; $D140 &amp; ":" &amp; I$1)</f>
        <v/>
      </c>
      <c r="J140" s="14" t="str">
        <f>IFERROR(MOD(RTD("ice.rtd",,$C140 &amp; $D140 &amp; ":" &amp; J$1), 1), "")</f>
        <v/>
      </c>
      <c r="K140" s="18" t="str">
        <f>RTD("ice.rtd",,$C140 &amp; $D140 &amp; ":" &amp; K$1)</f>
        <v/>
      </c>
      <c r="L140" s="36" t="str">
        <f>RTD("ice.rtd",,$C140 &amp; $D140 &amp; ":" &amp; L$1)</f>
        <v/>
      </c>
      <c r="M140" s="14" t="str">
        <f>IFERROR(MOD(TIMEVALUE(RTD("ice.rtd",,$C140 &amp; $D140 &amp; ":" &amp; M$1)), 1), "")</f>
        <v/>
      </c>
      <c r="N140" s="36">
        <f>RTD("ice.rtd",,$C140 &amp; $D140 &amp; ":" &amp; N$1)</f>
        <v>0</v>
      </c>
      <c r="O140" s="36">
        <f>RTD("ice.rtd",,$C140 &amp; $D140 &amp; ":" &amp; O$1)</f>
        <v>0</v>
      </c>
      <c r="P1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" s="14" t="str">
        <f>IF(ICE[[#This Row],[LastType]] = "Scrn", ICE[[#This Row],[LstDate]], IF(ICE[[#This Row],[LastType]] = "Blk", ICE[[#This Row],[LstBlkTime]], ""))</f>
        <v/>
      </c>
      <c r="R140" s="41" t="str">
        <f>IF(ICE[[#This Row],[LastType]] = "Scrn", ICE[[#This Row],[LstPrc]], IF(ICE[[#This Row],[LastType]] = "Blk", ICE[[#This Row],[LstBlkPrc]], ""))</f>
        <v/>
      </c>
      <c r="S140" s="36">
        <f>ICE[[#This Row],[Vol]]+ICE[[#This Row],[BlkVol]]</f>
        <v>0</v>
      </c>
      <c r="T140" s="36">
        <f>RTD("ice.rtd",,$C140 &amp; $D140 &amp; ":" &amp; T$1)</f>
        <v>50</v>
      </c>
      <c r="U140" s="18">
        <f>RTD("ice.rtd",,$C140 &amp; $D140 &amp; ":" &amp; U$1)</f>
        <v>-37.241</v>
      </c>
      <c r="V1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" s="18" t="str">
        <f>IFERROR(IF(LEFT(ICE[[#This Row],[Tenor]], 1) = "B", RTD("esrtd",,$B140 &amp; " " &amp; ICE[[#This Row],[Tenor]] &amp; "-IEU", W$1), RTD("esrtd",,$B140 &amp; " " &amp; VLOOKUP(MONTH(ICE[[#This Row],[Strip]]), MthRef[], 2, 0) &amp; RIGHT(YEAR(ICE[[#This Row],[Strip]]), 2) &amp; "-IEU", W$1)), "")</f>
        <v/>
      </c>
      <c r="X140" s="36"/>
    </row>
    <row r="141" spans="1:24" x14ac:dyDescent="0.25">
      <c r="A141" s="37" t="s">
        <v>412</v>
      </c>
      <c r="B141" s="3" t="str">
        <f>RTD("ice.rtd",,$C141 &amp; $D141 &amp; ":" &amp; B$1)</f>
        <v>BAP</v>
      </c>
      <c r="C141" s="3">
        <v>1986823075</v>
      </c>
      <c r="D141" t="s">
        <v>813</v>
      </c>
      <c r="E141" s="3" t="str">
        <f>RTD("ice.rtd",,$C141 &amp; $D141 &amp; ":" &amp; E$1)</f>
        <v>Sep28</v>
      </c>
      <c r="F141" s="3" t="str">
        <f>ICE[[#This Row],[Prod]]&amp;ICE[[#This Row],[Strip]]</f>
        <v>goewSep28</v>
      </c>
      <c r="G141" s="18" t="str">
        <f>RTD("ice.rtd",,$C141 &amp; $D141 &amp; ":" &amp; G$1)</f>
        <v/>
      </c>
      <c r="H141" s="18" t="str">
        <f>RTD("ice.rtd",,$C141 &amp; $D141 &amp; ":" &amp; H$1)</f>
        <v/>
      </c>
      <c r="I141" s="18" t="str">
        <f>RTD("ice.rtd",,$C141 &amp; $D141 &amp; ":" &amp; I$1)</f>
        <v/>
      </c>
      <c r="J141" s="14" t="str">
        <f>IFERROR(MOD(RTD("ice.rtd",,$C141 &amp; $D141 &amp; ":" &amp; J$1), 1), "")</f>
        <v/>
      </c>
      <c r="K141" s="18" t="str">
        <f>RTD("ice.rtd",,$C141 &amp; $D141 &amp; ":" &amp; K$1)</f>
        <v/>
      </c>
      <c r="L141" s="36" t="str">
        <f>RTD("ice.rtd",,$C141 &amp; $D141 &amp; ":" &amp; L$1)</f>
        <v/>
      </c>
      <c r="M141" s="14" t="str">
        <f>IFERROR(MOD(TIMEVALUE(RTD("ice.rtd",,$C141 &amp; $D141 &amp; ":" &amp; M$1)), 1), "")</f>
        <v/>
      </c>
      <c r="N141" s="36">
        <f>RTD("ice.rtd",,$C141 &amp; $D141 &amp; ":" &amp; N$1)</f>
        <v>0</v>
      </c>
      <c r="O141" s="36">
        <f>RTD("ice.rtd",,$C141 &amp; $D141 &amp; ":" &amp; O$1)</f>
        <v>0</v>
      </c>
      <c r="P1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" s="14" t="str">
        <f>IF(ICE[[#This Row],[LastType]] = "Scrn", ICE[[#This Row],[LstDate]], IF(ICE[[#This Row],[LastType]] = "Blk", ICE[[#This Row],[LstBlkTime]], ""))</f>
        <v/>
      </c>
      <c r="R141" s="41" t="str">
        <f>IF(ICE[[#This Row],[LastType]] = "Scrn", ICE[[#This Row],[LstPrc]], IF(ICE[[#This Row],[LastType]] = "Blk", ICE[[#This Row],[LstBlkPrc]], ""))</f>
        <v/>
      </c>
      <c r="S141" s="36">
        <f>ICE[[#This Row],[Vol]]+ICE[[#This Row],[BlkVol]]</f>
        <v>0</v>
      </c>
      <c r="T141" s="36">
        <f>RTD("ice.rtd",,$C141 &amp; $D141 &amp; ":" &amp; T$1)</f>
        <v>50</v>
      </c>
      <c r="U141" s="18">
        <f>RTD("ice.rtd",,$C141 &amp; $D141 &amp; ":" &amp; U$1)</f>
        <v>-38.563000000000002</v>
      </c>
      <c r="V1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" s="18" t="str">
        <f>IFERROR(IF(LEFT(ICE[[#This Row],[Tenor]], 1) = "B", RTD("esrtd",,$B141 &amp; " " &amp; ICE[[#This Row],[Tenor]] &amp; "-IEU", W$1), RTD("esrtd",,$B141 &amp; " " &amp; VLOOKUP(MONTH(ICE[[#This Row],[Strip]]), MthRef[], 2, 0) &amp; RIGHT(YEAR(ICE[[#This Row],[Strip]]), 2) &amp; "-IEU", W$1)), "")</f>
        <v/>
      </c>
      <c r="X141" s="36"/>
    </row>
    <row r="142" spans="1:24" x14ac:dyDescent="0.25">
      <c r="A142" s="37" t="s">
        <v>412</v>
      </c>
      <c r="B142" s="3" t="str">
        <f>RTD("ice.rtd",,$C142 &amp; $D142 &amp; ":" &amp; B$1)</f>
        <v>BAP</v>
      </c>
      <c r="C142" s="3">
        <v>1986823075</v>
      </c>
      <c r="D142" t="s">
        <v>814</v>
      </c>
      <c r="E142" s="3" t="str">
        <f>RTD("ice.rtd",,$C142 &amp; $D142 &amp; ":" &amp; E$1)</f>
        <v>Q4 26</v>
      </c>
      <c r="F142" s="3" t="str">
        <f>ICE[[#This Row],[Prod]]&amp;ICE[[#This Row],[Strip]]</f>
        <v>goewQ4 26</v>
      </c>
      <c r="G142" s="18" t="str">
        <f>RTD("ice.rtd",,$C142 &amp; $D142 &amp; ":" &amp; G$1)</f>
        <v/>
      </c>
      <c r="H142" s="18">
        <f>RTD("ice.rtd",,$C142 &amp; $D142 &amp; ":" &amp; H$1)</f>
        <v>-80.25</v>
      </c>
      <c r="I142" s="18" t="str">
        <f>RTD("ice.rtd",,$C142 &amp; $D142 &amp; ":" &amp; I$1)</f>
        <v/>
      </c>
      <c r="J142" s="14" t="str">
        <f>IFERROR(MOD(RTD("ice.rtd",,$C142 &amp; $D142 &amp; ":" &amp; J$1), 1), "")</f>
        <v/>
      </c>
      <c r="K142" s="18">
        <f>RTD("ice.rtd",,$C142 &amp; $D142 &amp; ":" &amp; K$1)</f>
        <v>-93.5</v>
      </c>
      <c r="L142" s="36">
        <f>RTD("ice.rtd",,$C142 &amp; $D142 &amp; ":" &amp; L$1)</f>
        <v>22</v>
      </c>
      <c r="M142" s="14">
        <f>IFERROR(MOD(TIMEVALUE(RTD("ice.rtd",,$C142 &amp; $D142 &amp; ":" &amp; M$1)), 1), "")</f>
        <v>0.38250000000000001</v>
      </c>
      <c r="N142" s="36">
        <f>RTD("ice.rtd",,$C142 &amp; $D142 &amp; ":" &amp; N$1)</f>
        <v>0</v>
      </c>
      <c r="O142" s="36">
        <f>RTD("ice.rtd",,$C142 &amp; $D142 &amp; ":" &amp; O$1)</f>
        <v>22</v>
      </c>
      <c r="P1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42" s="14">
        <f>IF(ICE[[#This Row],[LastType]] = "Scrn", ICE[[#This Row],[LstDate]], IF(ICE[[#This Row],[LastType]] = "Blk", ICE[[#This Row],[LstBlkTime]], ""))</f>
        <v>0.38250000000000001</v>
      </c>
      <c r="R142" s="41">
        <f>IF(ICE[[#This Row],[LastType]] = "Scrn", ICE[[#This Row],[LstPrc]], IF(ICE[[#This Row],[LastType]] = "Blk", ICE[[#This Row],[LstBlkPrc]], ""))</f>
        <v>-93.5</v>
      </c>
      <c r="S142" s="36">
        <f>ICE[[#This Row],[Vol]]+ICE[[#This Row],[BlkVol]]</f>
        <v>22</v>
      </c>
      <c r="T142" s="36">
        <f>RTD("ice.rtd",,$C142 &amp; $D142 &amp; ":" &amp; T$1)</f>
        <v>0</v>
      </c>
      <c r="U142" s="18">
        <f>RTD("ice.rtd",,$C142 &amp; $D142 &amp; ":" &amp; U$1)</f>
        <v>-89.288000000000011</v>
      </c>
      <c r="V1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-80.25 {-93.50} |22x</v>
      </c>
      <c r="W142" s="18" t="str">
        <f>IFERROR(IF(LEFT(ICE[[#This Row],[Tenor]], 1) = "B", RTD("esrtd",,$B142 &amp; " " &amp; ICE[[#This Row],[Tenor]] &amp; "-IEU", W$1), RTD("esrtd",,$B142 &amp; " " &amp; VLOOKUP(MONTH(ICE[[#This Row],[Strip]]), MthRef[], 2, 0) &amp; RIGHT(YEAR(ICE[[#This Row],[Strip]]), 2) &amp; "-IEU", W$1)), "")</f>
        <v/>
      </c>
      <c r="X142" s="36"/>
    </row>
    <row r="143" spans="1:24" x14ac:dyDescent="0.25">
      <c r="A143" s="37" t="s">
        <v>412</v>
      </c>
      <c r="B143" s="3" t="str">
        <f>RTD("ice.rtd",,$C143 &amp; $D143 &amp; ":" &amp; B$1)</f>
        <v>BAP</v>
      </c>
      <c r="C143" s="3">
        <v>1986823075</v>
      </c>
      <c r="D143" t="s">
        <v>815</v>
      </c>
      <c r="E143" s="3" t="str">
        <f>RTD("ice.rtd",,$C143 &amp; $D143 &amp; ":" &amp; E$1)</f>
        <v>Q1 27</v>
      </c>
      <c r="F143" s="3" t="str">
        <f>ICE[[#This Row],[Prod]]&amp;ICE[[#This Row],[Strip]]</f>
        <v>goewQ1 27</v>
      </c>
      <c r="G143" s="18" t="str">
        <f>RTD("ice.rtd",,$C143 &amp; $D143 &amp; ":" &amp; G$1)</f>
        <v/>
      </c>
      <c r="H143" s="18" t="str">
        <f>RTD("ice.rtd",,$C143 &amp; $D143 &amp; ":" &amp; H$1)</f>
        <v/>
      </c>
      <c r="I143" s="18" t="str">
        <f>RTD("ice.rtd",,$C143 &amp; $D143 &amp; ":" &amp; I$1)</f>
        <v/>
      </c>
      <c r="J143" s="14" t="str">
        <f>IFERROR(MOD(RTD("ice.rtd",,$C143 &amp; $D143 &amp; ":" &amp; J$1), 1), "")</f>
        <v/>
      </c>
      <c r="K143" s="18" t="str">
        <f>RTD("ice.rtd",,$C143 &amp; $D143 &amp; ":" &amp; K$1)</f>
        <v/>
      </c>
      <c r="L143" s="36" t="str">
        <f>RTD("ice.rtd",,$C143 &amp; $D143 &amp; ":" &amp; L$1)</f>
        <v/>
      </c>
      <c r="M143" s="14" t="str">
        <f>IFERROR(MOD(TIMEVALUE(RTD("ice.rtd",,$C143 &amp; $D143 &amp; ":" &amp; M$1)), 1), "")</f>
        <v/>
      </c>
      <c r="N143" s="36">
        <f>RTD("ice.rtd",,$C143 &amp; $D143 &amp; ":" &amp; N$1)</f>
        <v>0</v>
      </c>
      <c r="O143" s="36">
        <f>RTD("ice.rtd",,$C143 &amp; $D143 &amp; ":" &amp; O$1)</f>
        <v>0</v>
      </c>
      <c r="P1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" s="14" t="str">
        <f>IF(ICE[[#This Row],[LastType]] = "Scrn", ICE[[#This Row],[LstDate]], IF(ICE[[#This Row],[LastType]] = "Blk", ICE[[#This Row],[LstBlkTime]], ""))</f>
        <v/>
      </c>
      <c r="R143" s="41" t="str">
        <f>IF(ICE[[#This Row],[LastType]] = "Scrn", ICE[[#This Row],[LstPrc]], IF(ICE[[#This Row],[LastType]] = "Blk", ICE[[#This Row],[LstBlkPrc]], ""))</f>
        <v/>
      </c>
      <c r="S143" s="36">
        <f>ICE[[#This Row],[Vol]]+ICE[[#This Row],[BlkVol]]</f>
        <v>0</v>
      </c>
      <c r="T143" s="36">
        <f>RTD("ice.rtd",,$C143 &amp; $D143 &amp; ":" &amp; T$1)</f>
        <v>0</v>
      </c>
      <c r="U143" s="18">
        <f>RTD("ice.rtd",,$C143 &amp; $D143 &amp; ":" &amp; U$1)</f>
        <v>-66.579000000000008</v>
      </c>
      <c r="V1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" s="18" t="str">
        <f>IFERROR(IF(LEFT(ICE[[#This Row],[Tenor]], 1) = "B", RTD("esrtd",,$B143 &amp; " " &amp; ICE[[#This Row],[Tenor]] &amp; "-IEU", W$1), RTD("esrtd",,$B143 &amp; " " &amp; VLOOKUP(MONTH(ICE[[#This Row],[Strip]]), MthRef[], 2, 0) &amp; RIGHT(YEAR(ICE[[#This Row],[Strip]]), 2) &amp; "-IEU", W$1)), "")</f>
        <v/>
      </c>
      <c r="X143" s="36"/>
    </row>
    <row r="144" spans="1:24" x14ac:dyDescent="0.25">
      <c r="A144" s="37" t="s">
        <v>412</v>
      </c>
      <c r="B144" s="3" t="str">
        <f>RTD("ice.rtd",,$C144 &amp; $D144 &amp; ":" &amp; B$1)</f>
        <v>BAP</v>
      </c>
      <c r="C144" s="3">
        <v>1986823075</v>
      </c>
      <c r="D144" t="s">
        <v>816</v>
      </c>
      <c r="E144" s="3" t="str">
        <f>RTD("ice.rtd",,$C144 &amp; $D144 &amp; ":" &amp; E$1)</f>
        <v>Q2 27</v>
      </c>
      <c r="F144" s="3" t="str">
        <f>ICE[[#This Row],[Prod]]&amp;ICE[[#This Row],[Strip]]</f>
        <v>goewQ2 27</v>
      </c>
      <c r="G144" s="18" t="str">
        <f>RTD("ice.rtd",,$C144 &amp; $D144 &amp; ":" &amp; G$1)</f>
        <v/>
      </c>
      <c r="H144" s="18" t="str">
        <f>RTD("ice.rtd",,$C144 &amp; $D144 &amp; ":" &amp; H$1)</f>
        <v/>
      </c>
      <c r="I144" s="18" t="str">
        <f>RTD("ice.rtd",,$C144 &amp; $D144 &amp; ":" &amp; I$1)</f>
        <v/>
      </c>
      <c r="J144" s="14" t="str">
        <f>IFERROR(MOD(RTD("ice.rtd",,$C144 &amp; $D144 &amp; ":" &amp; J$1), 1), "")</f>
        <v/>
      </c>
      <c r="K144" s="18" t="str">
        <f>RTD("ice.rtd",,$C144 &amp; $D144 &amp; ":" &amp; K$1)</f>
        <v/>
      </c>
      <c r="L144" s="36" t="str">
        <f>RTD("ice.rtd",,$C144 &amp; $D144 &amp; ":" &amp; L$1)</f>
        <v/>
      </c>
      <c r="M144" s="14" t="str">
        <f>IFERROR(MOD(TIMEVALUE(RTD("ice.rtd",,$C144 &amp; $D144 &amp; ":" &amp; M$1)), 1), "")</f>
        <v/>
      </c>
      <c r="N144" s="36">
        <f>RTD("ice.rtd",,$C144 &amp; $D144 &amp; ":" &amp; N$1)</f>
        <v>0</v>
      </c>
      <c r="O144" s="36">
        <f>RTD("ice.rtd",,$C144 &amp; $D144 &amp; ":" &amp; O$1)</f>
        <v>0</v>
      </c>
      <c r="P1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" s="14" t="str">
        <f>IF(ICE[[#This Row],[LastType]] = "Scrn", ICE[[#This Row],[LstDate]], IF(ICE[[#This Row],[LastType]] = "Blk", ICE[[#This Row],[LstBlkTime]], ""))</f>
        <v/>
      </c>
      <c r="R144" s="41" t="str">
        <f>IF(ICE[[#This Row],[LastType]] = "Scrn", ICE[[#This Row],[LstPrc]], IF(ICE[[#This Row],[LastType]] = "Blk", ICE[[#This Row],[LstBlkPrc]], ""))</f>
        <v/>
      </c>
      <c r="S144" s="36">
        <f>ICE[[#This Row],[Vol]]+ICE[[#This Row],[BlkVol]]</f>
        <v>0</v>
      </c>
      <c r="T144" s="36">
        <f>RTD("ice.rtd",,$C144 &amp; $D144 &amp; ":" &amp; T$1)</f>
        <v>0</v>
      </c>
      <c r="U144" s="18">
        <f>RTD("ice.rtd",,$C144 &amp; $D144 &amp; ":" &amp; U$1)</f>
        <v>-50.538000000000004</v>
      </c>
      <c r="V1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" s="18" t="str">
        <f>IFERROR(IF(LEFT(ICE[[#This Row],[Tenor]], 1) = "B", RTD("esrtd",,$B144 &amp; " " &amp; ICE[[#This Row],[Tenor]] &amp; "-IEU", W$1), RTD("esrtd",,$B144 &amp; " " &amp; VLOOKUP(MONTH(ICE[[#This Row],[Strip]]), MthRef[], 2, 0) &amp; RIGHT(YEAR(ICE[[#This Row],[Strip]]), 2) &amp; "-IEU", W$1)), "")</f>
        <v/>
      </c>
      <c r="X144" s="36"/>
    </row>
    <row r="145" spans="1:25" x14ac:dyDescent="0.25">
      <c r="A145" s="37" t="s">
        <v>412</v>
      </c>
      <c r="B145" s="3" t="str">
        <f>RTD("ice.rtd",,$C145 &amp; $D145 &amp; ":" &amp; B$1)</f>
        <v>BAP</v>
      </c>
      <c r="C145" s="3">
        <v>1986823075</v>
      </c>
      <c r="D145" t="s">
        <v>817</v>
      </c>
      <c r="E145" s="3" t="str">
        <f>RTD("ice.rtd",,$C145 &amp; $D145 &amp; ":" &amp; E$1)</f>
        <v>Q3 27</v>
      </c>
      <c r="F145" s="3" t="str">
        <f>ICE[[#This Row],[Prod]]&amp;ICE[[#This Row],[Strip]]</f>
        <v>goewQ3 27</v>
      </c>
      <c r="G145" s="18" t="str">
        <f>RTD("ice.rtd",,$C145 &amp; $D145 &amp; ":" &amp; G$1)</f>
        <v/>
      </c>
      <c r="H145" s="18" t="str">
        <f>RTD("ice.rtd",,$C145 &amp; $D145 &amp; ":" &amp; H$1)</f>
        <v/>
      </c>
      <c r="I145" s="18" t="str">
        <f>RTD("ice.rtd",,$C145 &amp; $D145 &amp; ":" &amp; I$1)</f>
        <v/>
      </c>
      <c r="J145" s="14" t="str">
        <f>IFERROR(MOD(RTD("ice.rtd",,$C145 &amp; $D145 &amp; ":" &amp; J$1), 1), "")</f>
        <v/>
      </c>
      <c r="K145" s="18" t="str">
        <f>RTD("ice.rtd",,$C145 &amp; $D145 &amp; ":" &amp; K$1)</f>
        <v/>
      </c>
      <c r="L145" s="36" t="str">
        <f>RTD("ice.rtd",,$C145 &amp; $D145 &amp; ":" &amp; L$1)</f>
        <v/>
      </c>
      <c r="M145" s="14" t="str">
        <f>IFERROR(MOD(TIMEVALUE(RTD("ice.rtd",,$C145 &amp; $D145 &amp; ":" &amp; M$1)), 1), "")</f>
        <v/>
      </c>
      <c r="N145" s="36">
        <f>RTD("ice.rtd",,$C145 &amp; $D145 &amp; ":" &amp; N$1)</f>
        <v>0</v>
      </c>
      <c r="O145" s="36">
        <f>RTD("ice.rtd",,$C145 &amp; $D145 &amp; ":" &amp; O$1)</f>
        <v>0</v>
      </c>
      <c r="P1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" s="14" t="str">
        <f>IF(ICE[[#This Row],[LastType]] = "Scrn", ICE[[#This Row],[LstDate]], IF(ICE[[#This Row],[LastType]] = "Blk", ICE[[#This Row],[LstBlkTime]], ""))</f>
        <v/>
      </c>
      <c r="R145" s="41" t="str">
        <f>IF(ICE[[#This Row],[LastType]] = "Scrn", ICE[[#This Row],[LstPrc]], IF(ICE[[#This Row],[LastType]] = "Blk", ICE[[#This Row],[LstBlkPrc]], ""))</f>
        <v/>
      </c>
      <c r="S145" s="36">
        <f>ICE[[#This Row],[Vol]]+ICE[[#This Row],[BlkVol]]</f>
        <v>0</v>
      </c>
      <c r="T145" s="36">
        <f>RTD("ice.rtd",,$C145 &amp; $D145 &amp; ":" &amp; T$1)</f>
        <v>0</v>
      </c>
      <c r="U145" s="18">
        <f>RTD("ice.rtd",,$C145 &amp; $D145 &amp; ":" &amp; U$1)</f>
        <v>-44.780999999999999</v>
      </c>
      <c r="V1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" s="18" t="str">
        <f>IFERROR(IF(LEFT(ICE[[#This Row],[Tenor]], 1) = "B", RTD("esrtd",,$B145 &amp; " " &amp; ICE[[#This Row],[Tenor]] &amp; "-IEU", W$1), RTD("esrtd",,$B145 &amp; " " &amp; VLOOKUP(MONTH(ICE[[#This Row],[Strip]]), MthRef[], 2, 0) &amp; RIGHT(YEAR(ICE[[#This Row],[Strip]]), 2) &amp; "-IEU", W$1)), "")</f>
        <v/>
      </c>
      <c r="X145" s="36"/>
    </row>
    <row r="146" spans="1:25" x14ac:dyDescent="0.25">
      <c r="A146" s="37" t="s">
        <v>412</v>
      </c>
      <c r="B146" s="3" t="str">
        <f>RTD("ice.rtd",,$C146 &amp; $D146 &amp; ":" &amp; B$1)</f>
        <v>BAP</v>
      </c>
      <c r="C146" s="3">
        <v>1986823075</v>
      </c>
      <c r="D146" t="s">
        <v>818</v>
      </c>
      <c r="E146" s="3" t="str">
        <f>RTD("ice.rtd",,$C146 &amp; $D146 &amp; ":" &amp; E$1)</f>
        <v>Q4 27</v>
      </c>
      <c r="F146" s="3" t="str">
        <f>ICE[[#This Row],[Prod]]&amp;ICE[[#This Row],[Strip]]</f>
        <v>goewQ4 27</v>
      </c>
      <c r="G146" s="18" t="str">
        <f>RTD("ice.rtd",,$C146 &amp; $D146 &amp; ":" &amp; G$1)</f>
        <v/>
      </c>
      <c r="H146" s="18" t="str">
        <f>RTD("ice.rtd",,$C146 &amp; $D146 &amp; ":" &amp; H$1)</f>
        <v/>
      </c>
      <c r="I146" s="18" t="str">
        <f>RTD("ice.rtd",,$C146 &amp; $D146 &amp; ":" &amp; I$1)</f>
        <v/>
      </c>
      <c r="J146" s="14" t="str">
        <f>IFERROR(MOD(RTD("ice.rtd",,$C146 &amp; $D146 &amp; ":" &amp; J$1), 1), "")</f>
        <v/>
      </c>
      <c r="K146" s="18" t="str">
        <f>RTD("ice.rtd",,$C146 &amp; $D146 &amp; ":" &amp; K$1)</f>
        <v/>
      </c>
      <c r="L146" s="36" t="str">
        <f>RTD("ice.rtd",,$C146 &amp; $D146 &amp; ":" &amp; L$1)</f>
        <v/>
      </c>
      <c r="M146" s="14" t="str">
        <f>IFERROR(MOD(TIMEVALUE(RTD("ice.rtd",,$C146 &amp; $D146 &amp; ":" &amp; M$1)), 1), "")</f>
        <v/>
      </c>
      <c r="N146" s="36">
        <f>RTD("ice.rtd",,$C146 &amp; $D146 &amp; ":" &amp; N$1)</f>
        <v>0</v>
      </c>
      <c r="O146" s="36">
        <f>RTD("ice.rtd",,$C146 &amp; $D146 &amp; ":" &amp; O$1)</f>
        <v>0</v>
      </c>
      <c r="P1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" s="14" t="str">
        <f>IF(ICE[[#This Row],[LastType]] = "Scrn", ICE[[#This Row],[LstDate]], IF(ICE[[#This Row],[LastType]] = "Blk", ICE[[#This Row],[LstBlkTime]], ""))</f>
        <v/>
      </c>
      <c r="R146" s="41" t="str">
        <f>IF(ICE[[#This Row],[LastType]] = "Scrn", ICE[[#This Row],[LstPrc]], IF(ICE[[#This Row],[LastType]] = "Blk", ICE[[#This Row],[LstBlkPrc]], ""))</f>
        <v/>
      </c>
      <c r="S146" s="36">
        <f>ICE[[#This Row],[Vol]]+ICE[[#This Row],[BlkVol]]</f>
        <v>0</v>
      </c>
      <c r="T146" s="36">
        <f>RTD("ice.rtd",,$C146 &amp; $D146 &amp; ":" &amp; T$1)</f>
        <v>0</v>
      </c>
      <c r="U146" s="18">
        <f>RTD("ice.rtd",,$C146 &amp; $D146 &amp; ":" &amp; U$1)</f>
        <v>-42.706000000000003</v>
      </c>
      <c r="V1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" s="18" t="str">
        <f>IFERROR(IF(LEFT(ICE[[#This Row],[Tenor]], 1) = "B", RTD("esrtd",,$B146 &amp; " " &amp; ICE[[#This Row],[Tenor]] &amp; "-IEU", W$1), RTD("esrtd",,$B146 &amp; " " &amp; VLOOKUP(MONTH(ICE[[#This Row],[Strip]]), MthRef[], 2, 0) &amp; RIGHT(YEAR(ICE[[#This Row],[Strip]]), 2) &amp; "-IEU", W$1)), "")</f>
        <v/>
      </c>
      <c r="X146" s="36"/>
    </row>
    <row r="147" spans="1:25" x14ac:dyDescent="0.25">
      <c r="A147" s="37" t="s">
        <v>412</v>
      </c>
      <c r="B147" s="3" t="str">
        <f>RTD("ice.rtd",,$C147 &amp; $D147 &amp; ":" &amp; B$1)</f>
        <v>BAP</v>
      </c>
      <c r="C147" s="3">
        <v>1986823075</v>
      </c>
      <c r="D147" t="s">
        <v>819</v>
      </c>
      <c r="E147" s="3" t="str">
        <f>RTD("ice.rtd",,$C147 &amp; $D147 &amp; ":" &amp; E$1)</f>
        <v>Q1 28</v>
      </c>
      <c r="F147" s="3" t="str">
        <f>ICE[[#This Row],[Prod]]&amp;ICE[[#This Row],[Strip]]</f>
        <v>goewQ1 28</v>
      </c>
      <c r="G147" s="18" t="str">
        <f>RTD("ice.rtd",,$C147 &amp; $D147 &amp; ":" &amp; G$1)</f>
        <v/>
      </c>
      <c r="H147" s="18" t="str">
        <f>RTD("ice.rtd",,$C147 &amp; $D147 &amp; ":" &amp; H$1)</f>
        <v/>
      </c>
      <c r="I147" s="18" t="str">
        <f>RTD("ice.rtd",,$C147 &amp; $D147 &amp; ":" &amp; I$1)</f>
        <v/>
      </c>
      <c r="J147" s="14" t="str">
        <f>IFERROR(MOD(RTD("ice.rtd",,$C147 &amp; $D147 &amp; ":" &amp; J$1), 1), "")</f>
        <v/>
      </c>
      <c r="K147" s="18" t="str">
        <f>RTD("ice.rtd",,$C147 &amp; $D147 &amp; ":" &amp; K$1)</f>
        <v/>
      </c>
      <c r="L147" s="36" t="str">
        <f>RTD("ice.rtd",,$C147 &amp; $D147 &amp; ":" &amp; L$1)</f>
        <v/>
      </c>
      <c r="M147" s="14" t="str">
        <f>IFERROR(MOD(TIMEVALUE(RTD("ice.rtd",,$C147 &amp; $D147 &amp; ":" &amp; M$1)), 1), "")</f>
        <v/>
      </c>
      <c r="N147" s="36">
        <f>RTD("ice.rtd",,$C147 &amp; $D147 &amp; ":" &amp; N$1)</f>
        <v>0</v>
      </c>
      <c r="O147" s="36">
        <f>RTD("ice.rtd",,$C147 &amp; $D147 &amp; ":" &amp; O$1)</f>
        <v>0</v>
      </c>
      <c r="P1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" s="14" t="str">
        <f>IF(ICE[[#This Row],[LastType]] = "Scrn", ICE[[#This Row],[LstDate]], IF(ICE[[#This Row],[LastType]] = "Blk", ICE[[#This Row],[LstBlkTime]], ""))</f>
        <v/>
      </c>
      <c r="R147" s="41" t="str">
        <f>IF(ICE[[#This Row],[LastType]] = "Scrn", ICE[[#This Row],[LstPrc]], IF(ICE[[#This Row],[LastType]] = "Blk", ICE[[#This Row],[LstBlkPrc]], ""))</f>
        <v/>
      </c>
      <c r="S147" s="36">
        <f>ICE[[#This Row],[Vol]]+ICE[[#This Row],[BlkVol]]</f>
        <v>0</v>
      </c>
      <c r="T147" s="36">
        <f>RTD("ice.rtd",,$C147 &amp; $D147 &amp; ":" &amp; T$1)</f>
        <v>0</v>
      </c>
      <c r="U147" s="18">
        <f>RTD("ice.rtd",,$C147 &amp; $D147 &amp; ":" &amp; U$1)</f>
        <v>-43.399000000000001</v>
      </c>
      <c r="V1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" s="18" t="str">
        <f>IFERROR(IF(LEFT(ICE[[#This Row],[Tenor]], 1) = "B", RTD("esrtd",,$B147 &amp; " " &amp; ICE[[#This Row],[Tenor]] &amp; "-IEU", W$1), RTD("esrtd",,$B147 &amp; " " &amp; VLOOKUP(MONTH(ICE[[#This Row],[Strip]]), MthRef[], 2, 0) &amp; RIGHT(YEAR(ICE[[#This Row],[Strip]]), 2) &amp; "-IEU", W$1)), "")</f>
        <v/>
      </c>
      <c r="X147" s="36"/>
    </row>
    <row r="148" spans="1:25" x14ac:dyDescent="0.25">
      <c r="A148" s="37" t="s">
        <v>412</v>
      </c>
      <c r="B148" s="3" t="str">
        <f>RTD("ice.rtd",,$C148 &amp; $D148 &amp; ":" &amp; B$1)</f>
        <v>BAP</v>
      </c>
      <c r="C148" s="3">
        <v>1986823075</v>
      </c>
      <c r="D148" t="s">
        <v>229</v>
      </c>
      <c r="E148" s="3" t="str">
        <f>RTD("ice.rtd",,$C148 &amp; $D148 &amp; ":" &amp; E$1)</f>
        <v>Q2 28</v>
      </c>
      <c r="F148" s="3" t="str">
        <f>ICE[[#This Row],[Prod]]&amp;ICE[[#This Row],[Strip]]</f>
        <v>goewQ2 28</v>
      </c>
      <c r="G148" s="18" t="str">
        <f>RTD("ice.rtd",,$C148 &amp; $D148 &amp; ":" &amp; G$1)</f>
        <v/>
      </c>
      <c r="H148" s="18" t="str">
        <f>RTD("ice.rtd",,$C148 &amp; $D148 &amp; ":" &amp; H$1)</f>
        <v/>
      </c>
      <c r="I148" s="18" t="str">
        <f>RTD("ice.rtd",,$C148 &amp; $D148 &amp; ":" &amp; I$1)</f>
        <v/>
      </c>
      <c r="J148" s="14" t="str">
        <f>IFERROR(MOD(RTD("ice.rtd",,$C148 &amp; $D148 &amp; ":" &amp; J$1), 1), "")</f>
        <v/>
      </c>
      <c r="K148" s="18" t="str">
        <f>RTD("ice.rtd",,$C148 &amp; $D148 &amp; ":" &amp; K$1)</f>
        <v/>
      </c>
      <c r="L148" s="36" t="str">
        <f>RTD("ice.rtd",,$C148 &amp; $D148 &amp; ":" &amp; L$1)</f>
        <v/>
      </c>
      <c r="M148" s="14" t="str">
        <f>IFERROR(MOD(TIMEVALUE(RTD("ice.rtd",,$C148 &amp; $D148 &amp; ":" &amp; M$1)), 1), "")</f>
        <v/>
      </c>
      <c r="N148" s="36">
        <f>RTD("ice.rtd",,$C148 &amp; $D148 &amp; ":" &amp; N$1)</f>
        <v>0</v>
      </c>
      <c r="O148" s="36">
        <f>RTD("ice.rtd",,$C148 &amp; $D148 &amp; ":" &amp; O$1)</f>
        <v>0</v>
      </c>
      <c r="P1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" s="14" t="str">
        <f>IF(ICE[[#This Row],[LastType]] = "Scrn", ICE[[#This Row],[LstDate]], IF(ICE[[#This Row],[LastType]] = "Blk", ICE[[#This Row],[LstBlkTime]], ""))</f>
        <v/>
      </c>
      <c r="R148" s="41" t="str">
        <f>IF(ICE[[#This Row],[LastType]] = "Scrn", ICE[[#This Row],[LstPrc]], IF(ICE[[#This Row],[LastType]] = "Blk", ICE[[#This Row],[LstBlkPrc]], ""))</f>
        <v/>
      </c>
      <c r="S148" s="36">
        <f>ICE[[#This Row],[Vol]]+ICE[[#This Row],[BlkVol]]</f>
        <v>0</v>
      </c>
      <c r="T148" s="36">
        <f>RTD("ice.rtd",,$C148 &amp; $D148 &amp; ":" &amp; T$1)</f>
        <v>0</v>
      </c>
      <c r="U148" s="18">
        <f>RTD("ice.rtd",,$C148 &amp; $D148 &amp; ":" &amp; U$1)</f>
        <v>-38.678000000000004</v>
      </c>
      <c r="V1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" s="18" t="str">
        <f>IFERROR(IF(LEFT(ICE[[#This Row],[Tenor]], 1) = "B", RTD("esrtd",,$B148 &amp; " " &amp; ICE[[#This Row],[Tenor]] &amp; "-IEU", W$1), RTD("esrtd",,$B148 &amp; " " &amp; VLOOKUP(MONTH(ICE[[#This Row],[Strip]]), MthRef[], 2, 0) &amp; RIGHT(YEAR(ICE[[#This Row],[Strip]]), 2) &amp; "-IEU", W$1)), "")</f>
        <v/>
      </c>
      <c r="X148" s="36"/>
    </row>
    <row r="149" spans="1:25" x14ac:dyDescent="0.25">
      <c r="A149" s="37" t="s">
        <v>412</v>
      </c>
      <c r="B149" s="3" t="str">
        <f>RTD("ice.rtd",,$C149 &amp; $D149 &amp; ":" &amp; B$1)</f>
        <v>BAP</v>
      </c>
      <c r="C149" s="3">
        <v>1986823075</v>
      </c>
      <c r="D149" t="s">
        <v>820</v>
      </c>
      <c r="E149" s="3" t="str">
        <f>RTD("ice.rtd",,$C149 &amp; $D149 &amp; ":" &amp; E$1)</f>
        <v>Q3 28</v>
      </c>
      <c r="F149" s="3" t="str">
        <f>ICE[[#This Row],[Prod]]&amp;ICE[[#This Row],[Strip]]</f>
        <v>goewQ3 28</v>
      </c>
      <c r="G149" s="18" t="str">
        <f>RTD("ice.rtd",,$C149 &amp; $D149 &amp; ":" &amp; G$1)</f>
        <v/>
      </c>
      <c r="H149" s="18" t="str">
        <f>RTD("ice.rtd",,$C149 &amp; $D149 &amp; ":" &amp; H$1)</f>
        <v/>
      </c>
      <c r="I149" s="18" t="str">
        <f>RTD("ice.rtd",,$C149 &amp; $D149 &amp; ":" &amp; I$1)</f>
        <v/>
      </c>
      <c r="J149" s="14" t="str">
        <f>IFERROR(MOD(RTD("ice.rtd",,$C149 &amp; $D149 &amp; ":" &amp; J$1), 1), "")</f>
        <v/>
      </c>
      <c r="K149" s="18" t="str">
        <f>RTD("ice.rtd",,$C149 &amp; $D149 &amp; ":" &amp; K$1)</f>
        <v/>
      </c>
      <c r="L149" s="36" t="str">
        <f>RTD("ice.rtd",,$C149 &amp; $D149 &amp; ":" &amp; L$1)</f>
        <v/>
      </c>
      <c r="M149" s="14" t="str">
        <f>IFERROR(MOD(TIMEVALUE(RTD("ice.rtd",,$C149 &amp; $D149 &amp; ":" &amp; M$1)), 1), "")</f>
        <v/>
      </c>
      <c r="N149" s="36">
        <f>RTD("ice.rtd",,$C149 &amp; $D149 &amp; ":" &amp; N$1)</f>
        <v>0</v>
      </c>
      <c r="O149" s="36">
        <f>RTD("ice.rtd",,$C149 &amp; $D149 &amp; ":" &amp; O$1)</f>
        <v>0</v>
      </c>
      <c r="P1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" s="14" t="str">
        <f>IF(ICE[[#This Row],[LastType]] = "Scrn", ICE[[#This Row],[LstDate]], IF(ICE[[#This Row],[LastType]] = "Blk", ICE[[#This Row],[LstBlkTime]], ""))</f>
        <v/>
      </c>
      <c r="R149" s="41" t="str">
        <f>IF(ICE[[#This Row],[LastType]] = "Scrn", ICE[[#This Row],[LstPrc]], IF(ICE[[#This Row],[LastType]] = "Blk", ICE[[#This Row],[LstBlkPrc]], ""))</f>
        <v/>
      </c>
      <c r="S149" s="36">
        <f>ICE[[#This Row],[Vol]]+ICE[[#This Row],[BlkVol]]</f>
        <v>0</v>
      </c>
      <c r="T149" s="36">
        <f>RTD("ice.rtd",,$C149 &amp; $D149 &amp; ":" &amp; T$1)</f>
        <v>0</v>
      </c>
      <c r="U149" s="18">
        <f>RTD("ice.rtd",,$C149 &amp; $D149 &amp; ":" &amp; U$1)</f>
        <v>-37.606999999999999</v>
      </c>
      <c r="V1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" s="18" t="str">
        <f>IFERROR(IF(LEFT(ICE[[#This Row],[Tenor]], 1) = "B", RTD("esrtd",,$B149 &amp; " " &amp; ICE[[#This Row],[Tenor]] &amp; "-IEU", W$1), RTD("esrtd",,$B149 &amp; " " &amp; VLOOKUP(MONTH(ICE[[#This Row],[Strip]]), MthRef[], 2, 0) &amp; RIGHT(YEAR(ICE[[#This Row],[Strip]]), 2) &amp; "-IEU", W$1)), "")</f>
        <v/>
      </c>
      <c r="X149" s="36"/>
    </row>
    <row r="150" spans="1:25" x14ac:dyDescent="0.25">
      <c r="A150" s="37" t="s">
        <v>412</v>
      </c>
      <c r="B150" s="3" t="str">
        <f>RTD("ice.rtd",,$C150 &amp; $D150 &amp; ":" &amp; B$1)</f>
        <v>BAP</v>
      </c>
      <c r="C150" s="3">
        <v>1986823075</v>
      </c>
      <c r="D150" t="s">
        <v>821</v>
      </c>
      <c r="E150" s="3" t="str">
        <f>RTD("ice.rtd",,$C150 &amp; $D150 &amp; ":" &amp; E$1)</f>
        <v>Q4 28</v>
      </c>
      <c r="F150" s="3" t="str">
        <f>ICE[[#This Row],[Prod]]&amp;ICE[[#This Row],[Strip]]</f>
        <v>goewQ4 28</v>
      </c>
      <c r="G150" s="18" t="str">
        <f>RTD("ice.rtd",,$C150 &amp; $D150 &amp; ":" &amp; G$1)</f>
        <v/>
      </c>
      <c r="H150" s="18" t="str">
        <f>RTD("ice.rtd",,$C150 &amp; $D150 &amp; ":" &amp; H$1)</f>
        <v/>
      </c>
      <c r="I150" s="18" t="str">
        <f>RTD("ice.rtd",,$C150 &amp; $D150 &amp; ":" &amp; I$1)</f>
        <v/>
      </c>
      <c r="J150" s="14" t="str">
        <f>IFERROR(MOD(RTD("ice.rtd",,$C150 &amp; $D150 &amp; ":" &amp; J$1), 1), "")</f>
        <v/>
      </c>
      <c r="K150" s="18" t="str">
        <f>RTD("ice.rtd",,$C150 &amp; $D150 &amp; ":" &amp; K$1)</f>
        <v/>
      </c>
      <c r="L150" s="36" t="str">
        <f>RTD("ice.rtd",,$C150 &amp; $D150 &amp; ":" &amp; L$1)</f>
        <v/>
      </c>
      <c r="M150" s="14" t="str">
        <f>IFERROR(MOD(TIMEVALUE(RTD("ice.rtd",,$C150 &amp; $D150 &amp; ":" &amp; M$1)), 1), "")</f>
        <v/>
      </c>
      <c r="N150" s="36">
        <f>RTD("ice.rtd",,$C150 &amp; $D150 &amp; ":" &amp; N$1)</f>
        <v>0</v>
      </c>
      <c r="O150" s="36">
        <f>RTD("ice.rtd",,$C150 &amp; $D150 &amp; ":" &amp; O$1)</f>
        <v>0</v>
      </c>
      <c r="P1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" s="14" t="str">
        <f>IF(ICE[[#This Row],[LastType]] = "Scrn", ICE[[#This Row],[LstDate]], IF(ICE[[#This Row],[LastType]] = "Blk", ICE[[#This Row],[LstBlkTime]], ""))</f>
        <v/>
      </c>
      <c r="R150" s="41" t="str">
        <f>IF(ICE[[#This Row],[LastType]] = "Scrn", ICE[[#This Row],[LstPrc]], IF(ICE[[#This Row],[LastType]] = "Blk", ICE[[#This Row],[LstBlkPrc]], ""))</f>
        <v/>
      </c>
      <c r="S150" s="36">
        <f>ICE[[#This Row],[Vol]]+ICE[[#This Row],[BlkVol]]</f>
        <v>0</v>
      </c>
      <c r="T150" s="36">
        <f>RTD("ice.rtd",,$C150 &amp; $D150 &amp; ":" &amp; T$1)</f>
        <v>0</v>
      </c>
      <c r="U150" s="18">
        <f>RTD("ice.rtd",,$C150 &amp; $D150 &amp; ":" &amp; U$1)</f>
        <v>-38.230000000000004</v>
      </c>
      <c r="V1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" s="18" t="str">
        <f>IFERROR(IF(LEFT(ICE[[#This Row],[Tenor]], 1) = "B", RTD("esrtd",,$B150 &amp; " " &amp; ICE[[#This Row],[Tenor]] &amp; "-IEU", W$1), RTD("esrtd",,$B150 &amp; " " &amp; VLOOKUP(MONTH(ICE[[#This Row],[Strip]]), MthRef[], 2, 0) &amp; RIGHT(YEAR(ICE[[#This Row],[Strip]]), 2) &amp; "-IEU", W$1)), "")</f>
        <v/>
      </c>
      <c r="X150" s="36"/>
    </row>
    <row r="151" spans="1:25" x14ac:dyDescent="0.25">
      <c r="A151" s="37" t="s">
        <v>412</v>
      </c>
      <c r="B151" s="3" t="str">
        <f>RTD("ice.rtd",,$C151 &amp; $D151 &amp; ":" &amp; B$1)</f>
        <v>BAP</v>
      </c>
      <c r="C151" s="3">
        <v>1986823075</v>
      </c>
      <c r="D151" t="s">
        <v>822</v>
      </c>
      <c r="E151" s="3" t="str">
        <f>RTD("ice.rtd",,$C151 &amp; $D151 &amp; ":" &amp; E$1)</f>
        <v>Cal 27</v>
      </c>
      <c r="F151" s="3" t="str">
        <f>ICE[[#This Row],[Prod]]&amp;ICE[[#This Row],[Strip]]</f>
        <v>goewCal 27</v>
      </c>
      <c r="G151" s="18" t="str">
        <f>RTD("ice.rtd",,$C151 &amp; $D151 &amp; ":" &amp; G$1)</f>
        <v/>
      </c>
      <c r="H151" s="18" t="str">
        <f>RTD("ice.rtd",,$C151 &amp; $D151 &amp; ":" &amp; H$1)</f>
        <v/>
      </c>
      <c r="I151" s="18" t="str">
        <f>RTD("ice.rtd",,$C151 &amp; $D151 &amp; ":" &amp; I$1)</f>
        <v/>
      </c>
      <c r="J151" s="14" t="str">
        <f>IFERROR(MOD(RTD("ice.rtd",,$C151 &amp; $D151 &amp; ":" &amp; J$1), 1), "")</f>
        <v/>
      </c>
      <c r="K151" s="18">
        <f>RTD("ice.rtd",,$C151 &amp; $D151 &amp; ":" &amp; K$1)</f>
        <v>-49.5</v>
      </c>
      <c r="L151" s="36">
        <f>RTD("ice.rtd",,$C151 &amp; $D151 &amp; ":" &amp; L$1)</f>
        <v>15</v>
      </c>
      <c r="M151" s="14">
        <f>IFERROR(MOD(TIMEVALUE(RTD("ice.rtd",,$C151 &amp; $D151 &amp; ":" &amp; M$1)), 1), "")</f>
        <v>0.34218749999999998</v>
      </c>
      <c r="N151" s="36">
        <f>RTD("ice.rtd",,$C151 &amp; $D151 &amp; ":" &amp; N$1)</f>
        <v>0</v>
      </c>
      <c r="O151" s="36">
        <f>RTD("ice.rtd",,$C151 &amp; $D151 &amp; ":" &amp; O$1)</f>
        <v>20</v>
      </c>
      <c r="P1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51" s="14">
        <f>IF(ICE[[#This Row],[LastType]] = "Scrn", ICE[[#This Row],[LstDate]], IF(ICE[[#This Row],[LastType]] = "Blk", ICE[[#This Row],[LstBlkTime]], ""))</f>
        <v>0.34218749999999998</v>
      </c>
      <c r="R151" s="41">
        <f>IF(ICE[[#This Row],[LastType]] = "Scrn", ICE[[#This Row],[LstPrc]], IF(ICE[[#This Row],[LastType]] = "Blk", ICE[[#This Row],[LstBlkPrc]], ""))</f>
        <v>-49.5</v>
      </c>
      <c r="S151" s="36">
        <f>ICE[[#This Row],[Vol]]+ICE[[#This Row],[BlkVol]]</f>
        <v>20</v>
      </c>
      <c r="T151" s="36">
        <f>RTD("ice.rtd",,$C151 &amp; $D151 &amp; ":" &amp; T$1)</f>
        <v>0</v>
      </c>
      <c r="U151" s="18">
        <f>RTD("ice.rtd",,$C151 &amp; $D151 &amp; ":" &amp; U$1)</f>
        <v>-51.151000000000003</v>
      </c>
      <c r="V1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{-49.50} |20x</v>
      </c>
      <c r="W151" s="18" t="str">
        <f>IFERROR(IF(LEFT(ICE[[#This Row],[Tenor]], 1) = "B", RTD("esrtd",,$B151 &amp; " " &amp; ICE[[#This Row],[Tenor]] &amp; "-IEU", W$1), RTD("esrtd",,$B151 &amp; " " &amp; VLOOKUP(MONTH(ICE[[#This Row],[Strip]]), MthRef[], 2, 0) &amp; RIGHT(YEAR(ICE[[#This Row],[Strip]]), 2) &amp; "-IEU", W$1)), "")</f>
        <v/>
      </c>
      <c r="X151" s="36"/>
    </row>
    <row r="152" spans="1:25" x14ac:dyDescent="0.25">
      <c r="A152" s="37" t="s">
        <v>412</v>
      </c>
      <c r="B152" s="3" t="str">
        <f>RTD("ice.rtd",,$C152 &amp; $D152 &amp; ":" &amp; B$1)</f>
        <v>BAP</v>
      </c>
      <c r="C152" s="3">
        <v>1986823075</v>
      </c>
      <c r="D152" t="s">
        <v>823</v>
      </c>
      <c r="E152" s="3" t="str">
        <f>RTD("ice.rtd",,$C152 &amp; $D152 &amp; ":" &amp; E$1)</f>
        <v>Cal 28</v>
      </c>
      <c r="F152" s="3" t="str">
        <f>ICE[[#This Row],[Prod]]&amp;ICE[[#This Row],[Strip]]</f>
        <v>goewCal 28</v>
      </c>
      <c r="G152" s="18" t="str">
        <f>RTD("ice.rtd",,$C152 &amp; $D152 &amp; ":" &amp; G$1)</f>
        <v/>
      </c>
      <c r="H152" s="18" t="str">
        <f>RTD("ice.rtd",,$C152 &amp; $D152 &amp; ":" &amp; H$1)</f>
        <v/>
      </c>
      <c r="I152" s="18" t="str">
        <f>RTD("ice.rtd",,$C152 &amp; $D152 &amp; ":" &amp; I$1)</f>
        <v/>
      </c>
      <c r="J152" s="14" t="str">
        <f>IFERROR(MOD(RTD("ice.rtd",,$C152 &amp; $D152 &amp; ":" &amp; J$1), 1), "")</f>
        <v/>
      </c>
      <c r="K152" s="18" t="str">
        <f>RTD("ice.rtd",,$C152 &amp; $D152 &amp; ":" &amp; K$1)</f>
        <v/>
      </c>
      <c r="L152" s="36" t="str">
        <f>RTD("ice.rtd",,$C152 &amp; $D152 &amp; ":" &amp; L$1)</f>
        <v/>
      </c>
      <c r="M152" s="14" t="str">
        <f>IFERROR(MOD(TIMEVALUE(RTD("ice.rtd",,$C152 &amp; $D152 &amp; ":" &amp; M$1)), 1), "")</f>
        <v/>
      </c>
      <c r="N152" s="36">
        <f>RTD("ice.rtd",,$C152 &amp; $D152 &amp; ":" &amp; N$1)</f>
        <v>0</v>
      </c>
      <c r="O152" s="36">
        <f>RTD("ice.rtd",,$C152 &amp; $D152 &amp; ":" &amp; O$1)</f>
        <v>0</v>
      </c>
      <c r="P1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" s="14" t="str">
        <f>IF(ICE[[#This Row],[LastType]] = "Scrn", ICE[[#This Row],[LstDate]], IF(ICE[[#This Row],[LastType]] = "Blk", ICE[[#This Row],[LstBlkTime]], ""))</f>
        <v/>
      </c>
      <c r="R152" s="41" t="str">
        <f>IF(ICE[[#This Row],[LastType]] = "Scrn", ICE[[#This Row],[LstPrc]], IF(ICE[[#This Row],[LastType]] = "Blk", ICE[[#This Row],[LstBlkPrc]], ""))</f>
        <v/>
      </c>
      <c r="S152" s="36">
        <f>ICE[[#This Row],[Vol]]+ICE[[#This Row],[BlkVol]]</f>
        <v>0</v>
      </c>
      <c r="T152" s="36">
        <f>RTD("ice.rtd",,$C152 &amp; $D152 &amp; ":" &amp; T$1)</f>
        <v>0</v>
      </c>
      <c r="U152" s="18">
        <f>RTD("ice.rtd",,$C152 &amp; $D152 &amp; ":" &amp; U$1)</f>
        <v>-39.478000000000002</v>
      </c>
      <c r="V1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" s="18" t="str">
        <f>IFERROR(IF(LEFT(ICE[[#This Row],[Tenor]], 1) = "B", RTD("esrtd",,$B152 &amp; " " &amp; ICE[[#This Row],[Tenor]] &amp; "-IEU", W$1), RTD("esrtd",,$B152 &amp; " " &amp; VLOOKUP(MONTH(ICE[[#This Row],[Strip]]), MthRef[], 2, 0) &amp; RIGHT(YEAR(ICE[[#This Row],[Strip]]), 2) &amp; "-IEU", W$1)), "")</f>
        <v/>
      </c>
      <c r="X152" s="36"/>
    </row>
    <row r="153" spans="1:25" x14ac:dyDescent="0.25">
      <c r="A153" s="37" t="s">
        <v>412</v>
      </c>
      <c r="B153" s="3" t="str">
        <f>RTD("ice.rtd",,$C153 &amp; $D153 &amp; ":" &amp; B$1)</f>
        <v>BAP</v>
      </c>
      <c r="C153" s="3">
        <v>1986823075</v>
      </c>
      <c r="D153" t="s">
        <v>824</v>
      </c>
      <c r="E153" s="3" t="str">
        <f>RTD("ice.rtd",,$C153 &amp; $D153 &amp; ":" &amp; E$1)</f>
        <v>Cal 29</v>
      </c>
      <c r="F153" s="3" t="str">
        <f>ICE[[#This Row],[Prod]]&amp;ICE[[#This Row],[Strip]]</f>
        <v>goewCal 29</v>
      </c>
      <c r="G153" s="18" t="str">
        <f>RTD("ice.rtd",,$C153 &amp; $D153 &amp; ":" &amp; G$1)</f>
        <v/>
      </c>
      <c r="H153" s="18" t="str">
        <f>RTD("ice.rtd",,$C153 &amp; $D153 &amp; ":" &amp; H$1)</f>
        <v/>
      </c>
      <c r="I153" s="18" t="str">
        <f>RTD("ice.rtd",,$C153 &amp; $D153 &amp; ":" &amp; I$1)</f>
        <v/>
      </c>
      <c r="J153" s="14" t="str">
        <f>IFERROR(MOD(RTD("ice.rtd",,$C153 &amp; $D153 &amp; ":" &amp; J$1), 1), "")</f>
        <v/>
      </c>
      <c r="K153" s="18" t="str">
        <f>RTD("ice.rtd",,$C153 &amp; $D153 &amp; ":" &amp; K$1)</f>
        <v/>
      </c>
      <c r="L153" s="36" t="str">
        <f>RTD("ice.rtd",,$C153 &amp; $D153 &amp; ":" &amp; L$1)</f>
        <v/>
      </c>
      <c r="M153" s="14" t="str">
        <f>IFERROR(MOD(TIMEVALUE(RTD("ice.rtd",,$C153 &amp; $D153 &amp; ":" &amp; M$1)), 1), "")</f>
        <v/>
      </c>
      <c r="N153" s="36">
        <f>RTD("ice.rtd",,$C153 &amp; $D153 &amp; ":" &amp; N$1)</f>
        <v>0</v>
      </c>
      <c r="O153" s="36">
        <f>RTD("ice.rtd",,$C153 &amp; $D153 &amp; ":" &amp; O$1)</f>
        <v>0</v>
      </c>
      <c r="P1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" s="14" t="str">
        <f>IF(ICE[[#This Row],[LastType]] = "Scrn", ICE[[#This Row],[LstDate]], IF(ICE[[#This Row],[LastType]] = "Blk", ICE[[#This Row],[LstBlkTime]], ""))</f>
        <v/>
      </c>
      <c r="R153" s="41" t="str">
        <f>IF(ICE[[#This Row],[LastType]] = "Scrn", ICE[[#This Row],[LstPrc]], IF(ICE[[#This Row],[LastType]] = "Blk", ICE[[#This Row],[LstBlkPrc]], ""))</f>
        <v/>
      </c>
      <c r="S153" s="36">
        <f>ICE[[#This Row],[Vol]]+ICE[[#This Row],[BlkVol]]</f>
        <v>0</v>
      </c>
      <c r="T153" s="36">
        <f>RTD("ice.rtd",,$C153 &amp; $D153 &amp; ":" &amp; T$1)</f>
        <v>0</v>
      </c>
      <c r="U153" s="18">
        <f>RTD("ice.rtd",,$C153 &amp; $D153 &amp; ":" &amp; U$1)</f>
        <v>-47.550000000000004</v>
      </c>
      <c r="V1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" s="18" t="str">
        <f>IFERROR(IF(LEFT(ICE[[#This Row],[Tenor]], 1) = "B", RTD("esrtd",,$B153 &amp; " " &amp; ICE[[#This Row],[Tenor]] &amp; "-IEU", W$1), RTD("esrtd",,$B153 &amp; " " &amp; VLOOKUP(MONTH(ICE[[#This Row],[Strip]]), MthRef[], 2, 0) &amp; RIGHT(YEAR(ICE[[#This Row],[Strip]]), 2) &amp; "-IEU", W$1)), "")</f>
        <v/>
      </c>
      <c r="X153" s="36"/>
    </row>
    <row r="154" spans="1:25" x14ac:dyDescent="0.25">
      <c r="A154" s="37" t="s">
        <v>413</v>
      </c>
      <c r="B154" s="3" t="str">
        <f>RTD("ice.rtd",,$C154 &amp; $D154 &amp; ":" &amp; B$1)</f>
        <v>BAT</v>
      </c>
      <c r="C154" s="3">
        <v>1987023077</v>
      </c>
      <c r="D154" t="s">
        <v>792</v>
      </c>
      <c r="E154" s="3" t="str">
        <f>RTD("ice.rtd",,$C154 &amp; $D154 &amp; ":" &amp; E$1)</f>
        <v>Bal Month</v>
      </c>
      <c r="F154" s="3" t="str">
        <f>ICE[[#This Row],[Prod]]&amp;ICE[[#This Row],[Strip]]</f>
        <v>regradeBal Month</v>
      </c>
      <c r="G154" s="18">
        <f>RTD("ice.rtd",,$C154 &amp; $D154 &amp; ":" &amp; G$1)</f>
        <v>-7</v>
      </c>
      <c r="H154" s="18" t="str">
        <f>RTD("ice.rtd",,$C154 &amp; $D154 &amp; ":" &amp; H$1)</f>
        <v/>
      </c>
      <c r="I154" s="18" t="str">
        <f>RTD("ice.rtd",,$C154 &amp; $D154 &amp; ":" &amp; I$1)</f>
        <v/>
      </c>
      <c r="J154" s="14" t="str">
        <f>IFERROR(MOD(RTD("ice.rtd",,$C154 &amp; $D154 &amp; ":" &amp; J$1), 1), "")</f>
        <v/>
      </c>
      <c r="K154" s="18">
        <f>RTD("ice.rtd",,$C154 &amp; $D154 &amp; ":" &amp; K$1)</f>
        <v>-5.5</v>
      </c>
      <c r="L154" s="36">
        <f>RTD("ice.rtd",,$C154 &amp; $D154 &amp; ":" &amp; L$1)</f>
        <v>25</v>
      </c>
      <c r="M154" s="14">
        <f>IFERROR(MOD(TIMEVALUE(RTD("ice.rtd",,$C154 &amp; $D154 &amp; ":" &amp; M$1)), 1), "")</f>
        <v>0.45303240740740741</v>
      </c>
      <c r="N154" s="36">
        <f>RTD("ice.rtd",,$C154 &amp; $D154 &amp; ":" &amp; N$1)</f>
        <v>0</v>
      </c>
      <c r="O154" s="36">
        <f>RTD("ice.rtd",,$C154 &amp; $D154 &amp; ":" &amp; O$1)</f>
        <v>215</v>
      </c>
      <c r="P1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54" s="14">
        <f>IF(ICE[[#This Row],[LastType]] = "Scrn", ICE[[#This Row],[LstDate]], IF(ICE[[#This Row],[LastType]] = "Blk", ICE[[#This Row],[LstBlkTime]], ""))</f>
        <v>0.45303240740740741</v>
      </c>
      <c r="R154" s="41">
        <f>IF(ICE[[#This Row],[LastType]] = "Scrn", ICE[[#This Row],[LstPrc]], IF(ICE[[#This Row],[LastType]] = "Blk", ICE[[#This Row],[LstBlkPrc]], ""))</f>
        <v>-5.5</v>
      </c>
      <c r="S154" s="36">
        <f>ICE[[#This Row],[Vol]]+ICE[[#This Row],[BlkVol]]</f>
        <v>215</v>
      </c>
      <c r="T154" s="36">
        <f>RTD("ice.rtd",,$C154 &amp; $D154 &amp; ":" &amp; T$1)</f>
        <v>0</v>
      </c>
      <c r="U154" s="18">
        <f>RTD("ice.rtd",,$C154 &amp; $D154 &amp; ":" &amp; U$1)</f>
        <v>-5.7469999999999999</v>
      </c>
      <c r="V1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-7.00 /  {-5.50} |215x</v>
      </c>
      <c r="W154" s="18" t="str">
        <f>IFERROR(IF(LEFT(ICE[[#This Row],[Tenor]], 1) = "B", RTD("esrtd",,$B154 &amp; " " &amp; ICE[[#This Row],[Tenor]] &amp; "-IEU", W$1), RTD("esrtd",,$B154 &amp; " " &amp; VLOOKUP(MONTH(ICE[[#This Row],[Strip]]), MthRef[], 2, 0) &amp; RIGHT(YEAR(ICE[[#This Row],[Strip]]), 2) &amp; "-IEU", W$1)), "")</f>
        <v/>
      </c>
      <c r="X154" s="36"/>
    </row>
    <row r="155" spans="1:25" x14ac:dyDescent="0.25">
      <c r="A155" s="37" t="s">
        <v>413</v>
      </c>
      <c r="B155" s="3" t="str">
        <f>RTD("ice.rtd",,$C155 &amp; $D155 &amp; ":" &amp; B$1)</f>
        <v>BAQ</v>
      </c>
      <c r="C155" s="3">
        <v>1986923076</v>
      </c>
      <c r="D155" t="s">
        <v>793</v>
      </c>
      <c r="E155" s="3" t="str">
        <f>RTD("ice.rtd",,$C155 &amp; $D155 &amp; ":" &amp; E$1)</f>
        <v>Sep26</v>
      </c>
      <c r="F155" s="3" t="str">
        <f>ICE[[#This Row],[Prod]]&amp;ICE[[#This Row],[Strip]]</f>
        <v>regradeSep26</v>
      </c>
      <c r="G155" s="18">
        <f>RTD("ice.rtd",,$C155 &amp; $D155 &amp; ":" &amp; G$1)</f>
        <v>-6</v>
      </c>
      <c r="H155" s="18" t="str">
        <f>RTD("ice.rtd",,$C155 &amp; $D155 &amp; ":" &amp; H$1)</f>
        <v/>
      </c>
      <c r="I155" s="18">
        <f>RTD("ice.rtd",,$C155 &amp; $D155 &amp; ":" &amp; I$1)</f>
        <v>-5.5</v>
      </c>
      <c r="J155" s="14">
        <f>IFERROR(MOD(RTD("ice.rtd",,$C155 &amp; $D155 &amp; ":" &amp; J$1), 1), "")</f>
        <v>0.42626925926015247</v>
      </c>
      <c r="K155" s="18" t="str">
        <f>RTD("ice.rtd",,$C155 &amp; $D155 &amp; ":" &amp; K$1)</f>
        <v/>
      </c>
      <c r="L155" s="36" t="str">
        <f>RTD("ice.rtd",,$C155 &amp; $D155 &amp; ":" &amp; L$1)</f>
        <v/>
      </c>
      <c r="M155" s="14" t="str">
        <f>IFERROR(MOD(TIMEVALUE(RTD("ice.rtd",,$C155 &amp; $D155 &amp; ":" &amp; M$1)), 1), "")</f>
        <v/>
      </c>
      <c r="N155" s="36">
        <f>RTD("ice.rtd",,$C155 &amp; $D155 &amp; ":" &amp; N$1)</f>
        <v>25</v>
      </c>
      <c r="O155" s="36">
        <f>RTD("ice.rtd",,$C155 &amp; $D155 &amp; ":" &amp; O$1)</f>
        <v>0</v>
      </c>
      <c r="P1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55" s="14">
        <f>IF(ICE[[#This Row],[LastType]] = "Scrn", ICE[[#This Row],[LstDate]], IF(ICE[[#This Row],[LastType]] = "Blk", ICE[[#This Row],[LstBlkTime]], ""))</f>
        <v>0.42626925926015247</v>
      </c>
      <c r="R155" s="41">
        <f>IF(ICE[[#This Row],[LastType]] = "Scrn", ICE[[#This Row],[LstPrc]], IF(ICE[[#This Row],[LastType]] = "Blk", ICE[[#This Row],[LstBlkPrc]], ""))</f>
        <v>-5.5</v>
      </c>
      <c r="S155" s="36">
        <f>ICE[[#This Row],[Vol]]+ICE[[#This Row],[BlkVol]]</f>
        <v>25</v>
      </c>
      <c r="T155" s="36">
        <f>RTD("ice.rtd",,$C155 &amp; $D155 &amp; ":" &amp; T$1)</f>
        <v>14469</v>
      </c>
      <c r="U155" s="18">
        <f>RTD("ice.rtd",,$C155 &amp; $D155 &amp; ":" &amp; U$1)</f>
        <v>-5.7469999999999999</v>
      </c>
      <c r="V1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-6.00 /  {-5.50} |25x</v>
      </c>
      <c r="W155" s="18" t="str">
        <f>IFERROR(IF(LEFT(ICE[[#This Row],[Tenor]], 1) = "B", RTD("esrtd",,$B155 &amp; " " &amp; ICE[[#This Row],[Tenor]] &amp; "-IEU", W$1), RTD("esrtd",,$B155 &amp; " " &amp; VLOOKUP(MONTH(ICE[[#This Row],[Strip]]), MthRef[], 2, 0) &amp; RIGHT(YEAR(ICE[[#This Row],[Strip]]), 2) &amp; "-IEU", W$1)), "")</f>
        <v/>
      </c>
      <c r="X155" s="36"/>
    </row>
    <row r="156" spans="1:25" x14ac:dyDescent="0.25">
      <c r="A156" s="37" t="s">
        <v>413</v>
      </c>
      <c r="B156" s="3" t="str">
        <f>RTD("ice.rtd",,$C156 &amp; $D156 &amp; ":" &amp; B$1)</f>
        <v>BAQ</v>
      </c>
      <c r="C156" s="3">
        <v>1986923076</v>
      </c>
      <c r="D156" t="s">
        <v>324</v>
      </c>
      <c r="E156" s="3" t="str">
        <f>RTD("ice.rtd",,$C156 &amp; $D156 &amp; ":" &amp; E$1)</f>
        <v>Oct26</v>
      </c>
      <c r="F156" s="3" t="str">
        <f>ICE[[#This Row],[Prod]]&amp;ICE[[#This Row],[Strip]]</f>
        <v>regradeOct26</v>
      </c>
      <c r="G156" s="18">
        <f>RTD("ice.rtd",,$C156 &amp; $D156 &amp; ":" &amp; G$1)</f>
        <v>-1.95</v>
      </c>
      <c r="H156" s="18">
        <f>RTD("ice.rtd",,$C156 &amp; $D156 &amp; ":" &amp; H$1)</f>
        <v>-1.6</v>
      </c>
      <c r="I156" s="18">
        <f>RTD("ice.rtd",,$C156 &amp; $D156 &amp; ":" &amp; I$1)</f>
        <v>-1.6</v>
      </c>
      <c r="J156" s="14">
        <f>IFERROR(MOD(RTD("ice.rtd",,$C156 &amp; $D156 &amp; ":" &amp; J$1), 1), "")</f>
        <v>0.46033157407509862</v>
      </c>
      <c r="K156" s="18">
        <f>RTD("ice.rtd",,$C156 &amp; $D156 &amp; ":" &amp; K$1)</f>
        <v>-1.75</v>
      </c>
      <c r="L156" s="36">
        <f>RTD("ice.rtd",,$C156 &amp; $D156 &amp; ":" &amp; L$1)</f>
        <v>25</v>
      </c>
      <c r="M156" s="14">
        <f>IFERROR(MOD(TIMEVALUE(RTD("ice.rtd",,$C156 &amp; $D156 &amp; ":" &amp; M$1)), 1), "")</f>
        <v>0.45849537037037036</v>
      </c>
      <c r="N156" s="36">
        <f>RTD("ice.rtd",,$C156 &amp; $D156 &amp; ":" &amp; N$1)</f>
        <v>250</v>
      </c>
      <c r="O156" s="36">
        <f>RTD("ice.rtd",,$C156 &amp; $D156 &amp; ":" &amp; O$1)</f>
        <v>220</v>
      </c>
      <c r="P1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56" s="14">
        <f>IF(ICE[[#This Row],[LastType]] = "Scrn", ICE[[#This Row],[LstDate]], IF(ICE[[#This Row],[LastType]] = "Blk", ICE[[#This Row],[LstBlkTime]], ""))</f>
        <v>0.46033157407509862</v>
      </c>
      <c r="R156" s="41">
        <f>IF(ICE[[#This Row],[LastType]] = "Scrn", ICE[[#This Row],[LstPrc]], IF(ICE[[#This Row],[LastType]] = "Blk", ICE[[#This Row],[LstBlkPrc]], ""))</f>
        <v>-1.6</v>
      </c>
      <c r="S156" s="36">
        <f>ICE[[#This Row],[Vol]]+ICE[[#This Row],[BlkVol]]</f>
        <v>470</v>
      </c>
      <c r="T156" s="36">
        <f>RTD("ice.rtd",,$C156 &amp; $D156 &amp; ":" &amp; T$1)</f>
        <v>9059</v>
      </c>
      <c r="U156" s="18">
        <f>RTD("ice.rtd",,$C156 &amp; $D156 &amp; ":" &amp; U$1)</f>
        <v>-2.25</v>
      </c>
      <c r="V1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-1.95 / -1.60 {-1.60} |470x</v>
      </c>
      <c r="W156" s="18" t="str">
        <f>IFERROR(IF(LEFT(ICE[[#This Row],[Tenor]], 1) = "B", RTD("esrtd",,$B156 &amp; " " &amp; ICE[[#This Row],[Tenor]] &amp; "-IEU", W$1), RTD("esrtd",,$B156 &amp; " " &amp; VLOOKUP(MONTH(ICE[[#This Row],[Strip]]), MthRef[], 2, 0) &amp; RIGHT(YEAR(ICE[[#This Row],[Strip]]), 2) &amp; "-IEU", W$1)), "")</f>
        <v/>
      </c>
      <c r="X156" s="36"/>
    </row>
    <row r="157" spans="1:25" x14ac:dyDescent="0.25">
      <c r="A157" s="37" t="s">
        <v>413</v>
      </c>
      <c r="B157" s="3" t="str">
        <f>RTD("ice.rtd",,$C157 &amp; $D157 &amp; ":" &amp; B$1)</f>
        <v>BAQ</v>
      </c>
      <c r="C157" s="3">
        <v>1986923076</v>
      </c>
      <c r="D157" t="s">
        <v>325</v>
      </c>
      <c r="E157" s="3" t="str">
        <f>RTD("ice.rtd",,$C157 &amp; $D157 &amp; ":" &amp; E$1)</f>
        <v>Nov26</v>
      </c>
      <c r="F157" s="3" t="str">
        <f>ICE[[#This Row],[Prod]]&amp;ICE[[#This Row],[Strip]]</f>
        <v>regradeNov26</v>
      </c>
      <c r="G157" s="18">
        <f>RTD("ice.rtd",,$C157 &amp; $D157 &amp; ":" &amp; G$1)</f>
        <v>0.15</v>
      </c>
      <c r="H157" s="18">
        <f>RTD("ice.rtd",,$C157 &amp; $D157 &amp; ":" &amp; H$1)</f>
        <v>1.65</v>
      </c>
      <c r="I157" s="18">
        <f>RTD("ice.rtd",,$C157 &amp; $D157 &amp; ":" &amp; I$1)</f>
        <v>0.25</v>
      </c>
      <c r="J157" s="14">
        <f>IFERROR(MOD(RTD("ice.rtd",,$C157 &amp; $D157 &amp; ":" &amp; J$1), 1), "")</f>
        <v>0.3928138657429372</v>
      </c>
      <c r="K157" s="18">
        <f>RTD("ice.rtd",,$C157 &amp; $D157 &amp; ":" &amp; K$1)</f>
        <v>0.5</v>
      </c>
      <c r="L157" s="36">
        <f>RTD("ice.rtd",,$C157 &amp; $D157 &amp; ":" &amp; L$1)</f>
        <v>50</v>
      </c>
      <c r="M157" s="14">
        <f>IFERROR(MOD(TIMEVALUE(RTD("ice.rtd",,$C157 &amp; $D157 &amp; ":" &amp; M$1)), 1), "")</f>
        <v>0.45164351851851853</v>
      </c>
      <c r="N157" s="36">
        <f>RTD("ice.rtd",,$C157 &amp; $D157 &amp; ":" &amp; N$1)</f>
        <v>50</v>
      </c>
      <c r="O157" s="36">
        <f>RTD("ice.rtd",,$C157 &amp; $D157 &amp; ":" &amp; O$1)</f>
        <v>50</v>
      </c>
      <c r="P1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57" s="14">
        <f>IF(ICE[[#This Row],[LastType]] = "Scrn", ICE[[#This Row],[LstDate]], IF(ICE[[#This Row],[LastType]] = "Blk", ICE[[#This Row],[LstBlkTime]], ""))</f>
        <v>0.45164351851851853</v>
      </c>
      <c r="R157" s="41">
        <f>IF(ICE[[#This Row],[LastType]] = "Scrn", ICE[[#This Row],[LstPrc]], IF(ICE[[#This Row],[LastType]] = "Blk", ICE[[#This Row],[LstBlkPrc]], ""))</f>
        <v>0.5</v>
      </c>
      <c r="S157" s="36">
        <f>ICE[[#This Row],[Vol]]+ICE[[#This Row],[BlkVol]]</f>
        <v>100</v>
      </c>
      <c r="T157" s="36">
        <f>RTD("ice.rtd",,$C157 &amp; $D157 &amp; ":" &amp; T$1)</f>
        <v>8996</v>
      </c>
      <c r="U157" s="18">
        <f>RTD("ice.rtd",,$C157 &amp; $D157 &amp; ":" &amp; U$1)</f>
        <v>0.5</v>
      </c>
      <c r="V1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0.15 / 1.65 {0.50} |100x</v>
      </c>
      <c r="W157" s="18" t="str">
        <f>IFERROR(IF(LEFT(ICE[[#This Row],[Tenor]], 1) = "B", RTD("esrtd",,$B157 &amp; " " &amp; ICE[[#This Row],[Tenor]] &amp; "-IEU", W$1), RTD("esrtd",,$B157 &amp; " " &amp; VLOOKUP(MONTH(ICE[[#This Row],[Strip]]), MthRef[], 2, 0) &amp; RIGHT(YEAR(ICE[[#This Row],[Strip]]), 2) &amp; "-IEU", W$1)), "")</f>
        <v/>
      </c>
      <c r="X157" s="36"/>
    </row>
    <row r="158" spans="1:25" x14ac:dyDescent="0.25">
      <c r="A158" s="37" t="s">
        <v>413</v>
      </c>
      <c r="B158" s="3" t="str">
        <f>RTD("ice.rtd",,$C158 &amp; $D158 &amp; ":" &amp; B$1)</f>
        <v>BAQ</v>
      </c>
      <c r="C158" s="3">
        <v>1986923076</v>
      </c>
      <c r="D158" t="s">
        <v>326</v>
      </c>
      <c r="E158" s="3" t="str">
        <f>RTD("ice.rtd",,$C158 &amp; $D158 &amp; ":" &amp; E$1)</f>
        <v>Dec26</v>
      </c>
      <c r="F158" s="3" t="str">
        <f>ICE[[#This Row],[Prod]]&amp;ICE[[#This Row],[Strip]]</f>
        <v>regradeDec26</v>
      </c>
      <c r="G158" s="18">
        <f>RTD("ice.rtd",,$C158 &amp; $D158 &amp; ":" &amp; G$1)</f>
        <v>2.25</v>
      </c>
      <c r="H158" s="18">
        <f>RTD("ice.rtd",,$C158 &amp; $D158 &amp; ":" &amp; H$1)</f>
        <v>3</v>
      </c>
      <c r="I158" s="18">
        <f>RTD("ice.rtd",,$C158 &amp; $D158 &amp; ":" &amp; I$1)</f>
        <v>2.7</v>
      </c>
      <c r="J158" s="14">
        <f>IFERROR(MOD(RTD("ice.rtd",,$C158 &amp; $D158 &amp; ":" &amp; J$1), 1), "")</f>
        <v>0.45270804398023756</v>
      </c>
      <c r="K158" s="18" t="str">
        <f>RTD("ice.rtd",,$C158 &amp; $D158 &amp; ":" &amp; K$1)</f>
        <v/>
      </c>
      <c r="L158" s="36" t="str">
        <f>RTD("ice.rtd",,$C158 &amp; $D158 &amp; ":" &amp; L$1)</f>
        <v/>
      </c>
      <c r="M158" s="14" t="str">
        <f>IFERROR(MOD(TIMEVALUE(RTD("ice.rtd",,$C158 &amp; $D158 &amp; ":" &amp; M$1)), 1), "")</f>
        <v/>
      </c>
      <c r="N158" s="36">
        <f>RTD("ice.rtd",,$C158 &amp; $D158 &amp; ":" &amp; N$1)</f>
        <v>50</v>
      </c>
      <c r="O158" s="36">
        <f>RTD("ice.rtd",,$C158 &amp; $D158 &amp; ":" &amp; O$1)</f>
        <v>0</v>
      </c>
      <c r="P1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58" s="14">
        <f>IF(ICE[[#This Row],[LastType]] = "Scrn", ICE[[#This Row],[LstDate]], IF(ICE[[#This Row],[LastType]] = "Blk", ICE[[#This Row],[LstBlkTime]], ""))</f>
        <v>0.45270804398023756</v>
      </c>
      <c r="R158" s="41">
        <f>IF(ICE[[#This Row],[LastType]] = "Scrn", ICE[[#This Row],[LstPrc]], IF(ICE[[#This Row],[LastType]] = "Blk", ICE[[#This Row],[LstBlkPrc]], ""))</f>
        <v>2.7</v>
      </c>
      <c r="S158" s="36">
        <f>ICE[[#This Row],[Vol]]+ICE[[#This Row],[BlkVol]]</f>
        <v>50</v>
      </c>
      <c r="T158" s="36">
        <f>RTD("ice.rtd",,$C158 &amp; $D158 &amp; ":" &amp; T$1)</f>
        <v>9809</v>
      </c>
      <c r="U158" s="18">
        <f>RTD("ice.rtd",,$C158 &amp; $D158 &amp; ":" &amp; U$1)</f>
        <v>2.8000000000000003</v>
      </c>
      <c r="V1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2.25 / 3.00 {2.70} |50x</v>
      </c>
      <c r="W158" s="18" t="str">
        <f>IFERROR(IF(LEFT(ICE[[#This Row],[Tenor]], 1) = "B", RTD("esrtd",,$B158 &amp; " " &amp; ICE[[#This Row],[Tenor]] &amp; "-IEU", W$1), RTD("esrtd",,$B158 &amp; " " &amp; VLOOKUP(MONTH(ICE[[#This Row],[Strip]]), MthRef[], 2, 0) &amp; RIGHT(YEAR(ICE[[#This Row],[Strip]]), 2) &amp; "-IEU", W$1)), "")</f>
        <v/>
      </c>
      <c r="X158" s="36"/>
    </row>
    <row r="159" spans="1:25" x14ac:dyDescent="0.25">
      <c r="A159" s="37" t="s">
        <v>413</v>
      </c>
      <c r="B159" s="3" t="str">
        <f>RTD("ice.rtd",,$C159 &amp; $D159 &amp; ":" &amp; B$1)</f>
        <v>BAQ</v>
      </c>
      <c r="C159" s="3">
        <v>1986923076</v>
      </c>
      <c r="D159" t="s">
        <v>794</v>
      </c>
      <c r="E159" s="3" t="str">
        <f>RTD("ice.rtd",,$C159 &amp; $D159 &amp; ":" &amp; E$1)</f>
        <v>Jan27</v>
      </c>
      <c r="F159" s="3" t="str">
        <f>ICE[[#This Row],[Prod]]&amp;ICE[[#This Row],[Strip]]</f>
        <v>regradeJan27</v>
      </c>
      <c r="G159" s="18" t="str">
        <f>RTD("ice.rtd",,$C159 &amp; $D159 &amp; ":" &amp; G$1)</f>
        <v/>
      </c>
      <c r="H159" s="18" t="str">
        <f>RTD("ice.rtd",,$C159 &amp; $D159 &amp; ":" &amp; H$1)</f>
        <v/>
      </c>
      <c r="I159" s="18" t="str">
        <f>RTD("ice.rtd",,$C159 &amp; $D159 &amp; ":" &amp; I$1)</f>
        <v/>
      </c>
      <c r="J159" s="14" t="str">
        <f>IFERROR(MOD(RTD("ice.rtd",,$C159 &amp; $D159 &amp; ":" &amp; J$1), 1), "")</f>
        <v/>
      </c>
      <c r="K159" s="18">
        <f>RTD("ice.rtd",,$C159 &amp; $D159 &amp; ":" &amp; K$1)</f>
        <v>3.08</v>
      </c>
      <c r="L159" s="36">
        <f>RTD("ice.rtd",,$C159 &amp; $D159 &amp; ":" &amp; L$1)</f>
        <v>50</v>
      </c>
      <c r="M159" s="14">
        <f>IFERROR(MOD(TIMEVALUE(RTD("ice.rtd",,$C159 &amp; $D159 &amp; ":" &amp; M$1)), 1), "")</f>
        <v>0.36989583333333331</v>
      </c>
      <c r="N159" s="36">
        <f>RTD("ice.rtd",,$C159 &amp; $D159 &amp; ":" &amp; N$1)</f>
        <v>0</v>
      </c>
      <c r="O159" s="36">
        <f>RTD("ice.rtd",,$C159 &amp; $D159 &amp; ":" &amp; O$1)</f>
        <v>50</v>
      </c>
      <c r="P1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59" s="14">
        <f>IF(ICE[[#This Row],[LastType]] = "Scrn", ICE[[#This Row],[LstDate]], IF(ICE[[#This Row],[LastType]] = "Blk", ICE[[#This Row],[LstBlkTime]], ""))</f>
        <v>0.36989583333333331</v>
      </c>
      <c r="R159" s="41">
        <f>IF(ICE[[#This Row],[LastType]] = "Scrn", ICE[[#This Row],[LstPrc]], IF(ICE[[#This Row],[LastType]] = "Blk", ICE[[#This Row],[LstBlkPrc]], ""))</f>
        <v>3.08</v>
      </c>
      <c r="S159" s="36">
        <f>ICE[[#This Row],[Vol]]+ICE[[#This Row],[BlkVol]]</f>
        <v>50</v>
      </c>
      <c r="T159" s="36">
        <f>RTD("ice.rtd",,$C159 &amp; $D159 &amp; ":" &amp; T$1)</f>
        <v>5099</v>
      </c>
      <c r="U159" s="18">
        <f>RTD("ice.rtd",,$C159 &amp; $D159 &amp; ":" &amp; U$1)</f>
        <v>3.25</v>
      </c>
      <c r="V1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{3.08} |50x</v>
      </c>
      <c r="W159" s="18" t="str">
        <f>IFERROR(IF(LEFT(ICE[[#This Row],[Tenor]], 1) = "B", RTD("esrtd",,$B159 &amp; " " &amp; ICE[[#This Row],[Tenor]] &amp; "-IEU", W$1), RTD("esrtd",,$B159 &amp; " " &amp; VLOOKUP(MONTH(ICE[[#This Row],[Strip]]), MthRef[], 2, 0) &amp; RIGHT(YEAR(ICE[[#This Row],[Strip]]), 2) &amp; "-IEU", W$1)), "")</f>
        <v/>
      </c>
      <c r="X159" s="36"/>
      <c r="Y159" t="str">
        <f>RTD("ice.rtd",,"1987023077B0:BstLiftPrc")</f>
        <v/>
      </c>
    </row>
    <row r="160" spans="1:25" x14ac:dyDescent="0.25">
      <c r="A160" s="37" t="s">
        <v>413</v>
      </c>
      <c r="B160" s="3" t="str">
        <f>RTD("ice.rtd",,$C160 &amp; $D160 &amp; ":" &amp; B$1)</f>
        <v>BAQ</v>
      </c>
      <c r="C160" s="3">
        <v>1986923076</v>
      </c>
      <c r="D160" t="s">
        <v>795</v>
      </c>
      <c r="E160" s="3" t="str">
        <f>RTD("ice.rtd",,$C160 &amp; $D160 &amp; ":" &amp; E$1)</f>
        <v>Feb27</v>
      </c>
      <c r="F160" s="3" t="str">
        <f>ICE[[#This Row],[Prod]]&amp;ICE[[#This Row],[Strip]]</f>
        <v>regradeFeb27</v>
      </c>
      <c r="G160" s="18" t="str">
        <f>RTD("ice.rtd",,$C160 &amp; $D160 &amp; ":" &amp; G$1)</f>
        <v/>
      </c>
      <c r="H160" s="18" t="str">
        <f>RTD("ice.rtd",,$C160 &amp; $D160 &amp; ":" &amp; H$1)</f>
        <v/>
      </c>
      <c r="I160" s="18" t="str">
        <f>RTD("ice.rtd",,$C160 &amp; $D160 &amp; ":" &amp; I$1)</f>
        <v/>
      </c>
      <c r="J160" s="14" t="str">
        <f>IFERROR(MOD(RTD("ice.rtd",,$C160 &amp; $D160 &amp; ":" &amp; J$1), 1), "")</f>
        <v/>
      </c>
      <c r="K160" s="18" t="str">
        <f>RTD("ice.rtd",,$C160 &amp; $D160 &amp; ":" &amp; K$1)</f>
        <v/>
      </c>
      <c r="L160" s="36" t="str">
        <f>RTD("ice.rtd",,$C160 &amp; $D160 &amp; ":" &amp; L$1)</f>
        <v/>
      </c>
      <c r="M160" s="14" t="str">
        <f>IFERROR(MOD(TIMEVALUE(RTD("ice.rtd",,$C160 &amp; $D160 &amp; ":" &amp; M$1)), 1), "")</f>
        <v/>
      </c>
      <c r="N160" s="36">
        <f>RTD("ice.rtd",,$C160 &amp; $D160 &amp; ":" &amp; N$1)</f>
        <v>0</v>
      </c>
      <c r="O160" s="36">
        <f>RTD("ice.rtd",,$C160 &amp; $D160 &amp; ":" &amp; O$1)</f>
        <v>0</v>
      </c>
      <c r="P1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" s="14" t="str">
        <f>IF(ICE[[#This Row],[LastType]] = "Scrn", ICE[[#This Row],[LstDate]], IF(ICE[[#This Row],[LastType]] = "Blk", ICE[[#This Row],[LstBlkTime]], ""))</f>
        <v/>
      </c>
      <c r="R160" s="41" t="str">
        <f>IF(ICE[[#This Row],[LastType]] = "Scrn", ICE[[#This Row],[LstPrc]], IF(ICE[[#This Row],[LastType]] = "Blk", ICE[[#This Row],[LstBlkPrc]], ""))</f>
        <v/>
      </c>
      <c r="S160" s="36">
        <f>ICE[[#This Row],[Vol]]+ICE[[#This Row],[BlkVol]]</f>
        <v>0</v>
      </c>
      <c r="T160" s="36">
        <f>RTD("ice.rtd",,$C160 &amp; $D160 &amp; ":" &amp; T$1)</f>
        <v>3929</v>
      </c>
      <c r="U160" s="18">
        <f>RTD("ice.rtd",,$C160 &amp; $D160 &amp; ":" &amp; U$1)</f>
        <v>2.8000000000000003</v>
      </c>
      <c r="V1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" s="18" t="str">
        <f>IFERROR(IF(LEFT(ICE[[#This Row],[Tenor]], 1) = "B", RTD("esrtd",,$B160 &amp; " " &amp; ICE[[#This Row],[Tenor]] &amp; "-IEU", W$1), RTD("esrtd",,$B160 &amp; " " &amp; VLOOKUP(MONTH(ICE[[#This Row],[Strip]]), MthRef[], 2, 0) &amp; RIGHT(YEAR(ICE[[#This Row],[Strip]]), 2) &amp; "-IEU", W$1)), "")</f>
        <v/>
      </c>
      <c r="X160" s="36"/>
    </row>
    <row r="161" spans="1:27" x14ac:dyDescent="0.25">
      <c r="A161" s="37" t="s">
        <v>413</v>
      </c>
      <c r="B161" s="3" t="str">
        <f>RTD("ice.rtd",,$C161 &amp; $D161 &amp; ":" &amp; B$1)</f>
        <v>BAQ</v>
      </c>
      <c r="C161" s="3">
        <v>1986923076</v>
      </c>
      <c r="D161" t="s">
        <v>113</v>
      </c>
      <c r="E161" s="3" t="str">
        <f>RTD("ice.rtd",,$C161 &amp; $D161 &amp; ":" &amp; E$1)</f>
        <v>Mar27</v>
      </c>
      <c r="F161" s="3" t="str">
        <f>ICE[[#This Row],[Prod]]&amp;ICE[[#This Row],[Strip]]</f>
        <v>regradeMar27</v>
      </c>
      <c r="G161" s="18" t="str">
        <f>RTD("ice.rtd",,$C161 &amp; $D161 &amp; ":" &amp; G$1)</f>
        <v/>
      </c>
      <c r="H161" s="18" t="str">
        <f>RTD("ice.rtd",,$C161 &amp; $D161 &amp; ":" &amp; H$1)</f>
        <v/>
      </c>
      <c r="I161" s="18" t="str">
        <f>RTD("ice.rtd",,$C161 &amp; $D161 &amp; ":" &amp; I$1)</f>
        <v/>
      </c>
      <c r="J161" s="14" t="str">
        <f>IFERROR(MOD(RTD("ice.rtd",,$C161 &amp; $D161 &amp; ":" &amp; J$1), 1), "")</f>
        <v/>
      </c>
      <c r="K161" s="18" t="str">
        <f>RTD("ice.rtd",,$C161 &amp; $D161 &amp; ":" &amp; K$1)</f>
        <v/>
      </c>
      <c r="L161" s="36" t="str">
        <f>RTD("ice.rtd",,$C161 &amp; $D161 &amp; ":" &amp; L$1)</f>
        <v/>
      </c>
      <c r="M161" s="14" t="str">
        <f>IFERROR(MOD(TIMEVALUE(RTD("ice.rtd",,$C161 &amp; $D161 &amp; ":" &amp; M$1)), 1), "")</f>
        <v/>
      </c>
      <c r="N161" s="36">
        <f>RTD("ice.rtd",,$C161 &amp; $D161 &amp; ":" &amp; N$1)</f>
        <v>0</v>
      </c>
      <c r="O161" s="36">
        <f>RTD("ice.rtd",,$C161 &amp; $D161 &amp; ":" &amp; O$1)</f>
        <v>0</v>
      </c>
      <c r="P1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" s="14" t="str">
        <f>IF(ICE[[#This Row],[LastType]] = "Scrn", ICE[[#This Row],[LstDate]], IF(ICE[[#This Row],[LastType]] = "Blk", ICE[[#This Row],[LstBlkTime]], ""))</f>
        <v/>
      </c>
      <c r="R161" s="41" t="str">
        <f>IF(ICE[[#This Row],[LastType]] = "Scrn", ICE[[#This Row],[LstPrc]], IF(ICE[[#This Row],[LastType]] = "Blk", ICE[[#This Row],[LstBlkPrc]], ""))</f>
        <v/>
      </c>
      <c r="S161" s="36">
        <f>ICE[[#This Row],[Vol]]+ICE[[#This Row],[BlkVol]]</f>
        <v>0</v>
      </c>
      <c r="T161" s="36">
        <f>RTD("ice.rtd",,$C161 &amp; $D161 &amp; ":" &amp; T$1)</f>
        <v>3720</v>
      </c>
      <c r="U161" s="18">
        <f>RTD("ice.rtd",,$C161 &amp; $D161 &amp; ":" &amp; U$1)</f>
        <v>2.35</v>
      </c>
      <c r="V1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" s="18" t="str">
        <f>IFERROR(IF(LEFT(ICE[[#This Row],[Tenor]], 1) = "B", RTD("esrtd",,$B161 &amp; " " &amp; ICE[[#This Row],[Tenor]] &amp; "-IEU", W$1), RTD("esrtd",,$B161 &amp; " " &amp; VLOOKUP(MONTH(ICE[[#This Row],[Strip]]), MthRef[], 2, 0) &amp; RIGHT(YEAR(ICE[[#This Row],[Strip]]), 2) &amp; "-IEU", W$1)), "")</f>
        <v/>
      </c>
      <c r="X161" s="36"/>
    </row>
    <row r="162" spans="1:27" x14ac:dyDescent="0.25">
      <c r="A162" s="37" t="s">
        <v>413</v>
      </c>
      <c r="B162" s="3" t="str">
        <f>RTD("ice.rtd",,$C162 &amp; $D162 &amp; ":" &amp; B$1)</f>
        <v>BAQ</v>
      </c>
      <c r="C162" s="3">
        <v>1986923076</v>
      </c>
      <c r="D162" t="s">
        <v>796</v>
      </c>
      <c r="E162" s="3" t="str">
        <f>RTD("ice.rtd",,$C162 &amp; $D162 &amp; ":" &amp; E$1)</f>
        <v>Apr27</v>
      </c>
      <c r="F162" s="3" t="str">
        <f>ICE[[#This Row],[Prod]]&amp;ICE[[#This Row],[Strip]]</f>
        <v>regradeApr27</v>
      </c>
      <c r="G162" s="18" t="str">
        <f>RTD("ice.rtd",,$C162 &amp; $D162 &amp; ":" &amp; G$1)</f>
        <v/>
      </c>
      <c r="H162" s="18" t="str">
        <f>RTD("ice.rtd",,$C162 &amp; $D162 &amp; ":" &amp; H$1)</f>
        <v/>
      </c>
      <c r="I162" s="18" t="str">
        <f>RTD("ice.rtd",,$C162 &amp; $D162 &amp; ":" &amp; I$1)</f>
        <v/>
      </c>
      <c r="J162" s="14" t="str">
        <f>IFERROR(MOD(RTD("ice.rtd",,$C162 &amp; $D162 &amp; ":" &amp; J$1), 1), "")</f>
        <v/>
      </c>
      <c r="K162" s="18" t="str">
        <f>RTD("ice.rtd",,$C162 &amp; $D162 &amp; ":" &amp; K$1)</f>
        <v/>
      </c>
      <c r="L162" s="36" t="str">
        <f>RTD("ice.rtd",,$C162 &amp; $D162 &amp; ":" &amp; L$1)</f>
        <v/>
      </c>
      <c r="M162" s="14" t="str">
        <f>IFERROR(MOD(TIMEVALUE(RTD("ice.rtd",,$C162 &amp; $D162 &amp; ":" &amp; M$1)), 1), "")</f>
        <v/>
      </c>
      <c r="N162" s="36">
        <f>RTD("ice.rtd",,$C162 &amp; $D162 &amp; ":" &amp; N$1)</f>
        <v>0</v>
      </c>
      <c r="O162" s="36">
        <f>RTD("ice.rtd",,$C162 &amp; $D162 &amp; ":" &amp; O$1)</f>
        <v>0</v>
      </c>
      <c r="P1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" s="14" t="str">
        <f>IF(ICE[[#This Row],[LastType]] = "Scrn", ICE[[#This Row],[LstDate]], IF(ICE[[#This Row],[LastType]] = "Blk", ICE[[#This Row],[LstBlkTime]], ""))</f>
        <v/>
      </c>
      <c r="R162" s="41" t="str">
        <f>IF(ICE[[#This Row],[LastType]] = "Scrn", ICE[[#This Row],[LstPrc]], IF(ICE[[#This Row],[LastType]] = "Blk", ICE[[#This Row],[LstBlkPrc]], ""))</f>
        <v/>
      </c>
      <c r="S162" s="36">
        <f>ICE[[#This Row],[Vol]]+ICE[[#This Row],[BlkVol]]</f>
        <v>0</v>
      </c>
      <c r="T162" s="36">
        <f>RTD("ice.rtd",,$C162 &amp; $D162 &amp; ":" &amp; T$1)</f>
        <v>2376</v>
      </c>
      <c r="U162" s="18">
        <f>RTD("ice.rtd",,$C162 &amp; $D162 &amp; ":" &amp; U$1)</f>
        <v>2</v>
      </c>
      <c r="V1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" s="18" t="str">
        <f>IFERROR(IF(LEFT(ICE[[#This Row],[Tenor]], 1) = "B", RTD("esrtd",,$B162 &amp; " " &amp; ICE[[#This Row],[Tenor]] &amp; "-IEU", W$1), RTD("esrtd",,$B162 &amp; " " &amp; VLOOKUP(MONTH(ICE[[#This Row],[Strip]]), MthRef[], 2, 0) &amp; RIGHT(YEAR(ICE[[#This Row],[Strip]]), 2) &amp; "-IEU", W$1)), "")</f>
        <v/>
      </c>
      <c r="X162" s="36"/>
    </row>
    <row r="163" spans="1:27" x14ac:dyDescent="0.25">
      <c r="A163" s="37" t="s">
        <v>413</v>
      </c>
      <c r="B163" s="3" t="str">
        <f>RTD("ice.rtd",,$C163 &amp; $D163 &amp; ":" &amp; B$1)</f>
        <v>BAQ</v>
      </c>
      <c r="C163" s="3">
        <v>1986923076</v>
      </c>
      <c r="D163" t="s">
        <v>797</v>
      </c>
      <c r="E163" s="3" t="str">
        <f>RTD("ice.rtd",,$C163 &amp; $D163 &amp; ":" &amp; E$1)</f>
        <v>May27</v>
      </c>
      <c r="F163" s="3" t="str">
        <f>ICE[[#This Row],[Prod]]&amp;ICE[[#This Row],[Strip]]</f>
        <v>regradeMay27</v>
      </c>
      <c r="G163" s="18" t="str">
        <f>RTD("ice.rtd",,$C163 &amp; $D163 &amp; ":" &amp; G$1)</f>
        <v/>
      </c>
      <c r="H163" s="18" t="str">
        <f>RTD("ice.rtd",,$C163 &amp; $D163 &amp; ":" &amp; H$1)</f>
        <v/>
      </c>
      <c r="I163" s="18" t="str">
        <f>RTD("ice.rtd",,$C163 &amp; $D163 &amp; ":" &amp; I$1)</f>
        <v/>
      </c>
      <c r="J163" s="14" t="str">
        <f>IFERROR(MOD(RTD("ice.rtd",,$C163 &amp; $D163 &amp; ":" &amp; J$1), 1), "")</f>
        <v/>
      </c>
      <c r="K163" s="18" t="str">
        <f>RTD("ice.rtd",,$C163 &amp; $D163 &amp; ":" &amp; K$1)</f>
        <v/>
      </c>
      <c r="L163" s="36" t="str">
        <f>RTD("ice.rtd",,$C163 &amp; $D163 &amp; ":" &amp; L$1)</f>
        <v/>
      </c>
      <c r="M163" s="14" t="str">
        <f>IFERROR(MOD(TIMEVALUE(RTD("ice.rtd",,$C163 &amp; $D163 &amp; ":" &amp; M$1)), 1), "")</f>
        <v/>
      </c>
      <c r="N163" s="36">
        <f>RTD("ice.rtd",,$C163 &amp; $D163 &amp; ":" &amp; N$1)</f>
        <v>0</v>
      </c>
      <c r="O163" s="36">
        <f>RTD("ice.rtd",,$C163 &amp; $D163 &amp; ":" &amp; O$1)</f>
        <v>0</v>
      </c>
      <c r="P1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" s="14" t="str">
        <f>IF(ICE[[#This Row],[LastType]] = "Scrn", ICE[[#This Row],[LstDate]], IF(ICE[[#This Row],[LastType]] = "Blk", ICE[[#This Row],[LstBlkTime]], ""))</f>
        <v/>
      </c>
      <c r="R163" s="41" t="str">
        <f>IF(ICE[[#This Row],[LastType]] = "Scrn", ICE[[#This Row],[LstPrc]], IF(ICE[[#This Row],[LastType]] = "Blk", ICE[[#This Row],[LstBlkPrc]], ""))</f>
        <v/>
      </c>
      <c r="S163" s="36">
        <f>ICE[[#This Row],[Vol]]+ICE[[#This Row],[BlkVol]]</f>
        <v>0</v>
      </c>
      <c r="T163" s="36">
        <f>RTD("ice.rtd",,$C163 &amp; $D163 &amp; ":" &amp; T$1)</f>
        <v>2306</v>
      </c>
      <c r="U163" s="18">
        <f>RTD("ice.rtd",,$C163 &amp; $D163 &amp; ":" &amp; U$1)</f>
        <v>1.9000000000000001</v>
      </c>
      <c r="V1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" s="18" t="str">
        <f>IFERROR(IF(LEFT(ICE[[#This Row],[Tenor]], 1) = "B", RTD("esrtd",,$B163 &amp; " " &amp; ICE[[#This Row],[Tenor]] &amp; "-IEU", W$1), RTD("esrtd",,$B163 &amp; " " &amp; VLOOKUP(MONTH(ICE[[#This Row],[Strip]]), MthRef[], 2, 0) &amp; RIGHT(YEAR(ICE[[#This Row],[Strip]]), 2) &amp; "-IEU", W$1)), "")</f>
        <v/>
      </c>
      <c r="X163" s="36"/>
    </row>
    <row r="164" spans="1:27" x14ac:dyDescent="0.25">
      <c r="A164" s="37" t="s">
        <v>413</v>
      </c>
      <c r="B164" s="3" t="str">
        <f>RTD("ice.rtd",,$C164 &amp; $D164 &amp; ":" &amp; B$1)</f>
        <v>BAQ</v>
      </c>
      <c r="C164" s="3">
        <v>1986923076</v>
      </c>
      <c r="D164" t="s">
        <v>798</v>
      </c>
      <c r="E164" s="3" t="str">
        <f>RTD("ice.rtd",,$C164 &amp; $D164 &amp; ":" &amp; E$1)</f>
        <v>Jun27</v>
      </c>
      <c r="F164" s="3" t="str">
        <f>ICE[[#This Row],[Prod]]&amp;ICE[[#This Row],[Strip]]</f>
        <v>regradeJun27</v>
      </c>
      <c r="G164" s="18" t="str">
        <f>RTD("ice.rtd",,$C164 &amp; $D164 &amp; ":" &amp; G$1)</f>
        <v/>
      </c>
      <c r="H164" s="18" t="str">
        <f>RTD("ice.rtd",,$C164 &amp; $D164 &amp; ":" &amp; H$1)</f>
        <v/>
      </c>
      <c r="I164" s="18" t="str">
        <f>RTD("ice.rtd",,$C164 &amp; $D164 &amp; ":" &amp; I$1)</f>
        <v/>
      </c>
      <c r="J164" s="14" t="str">
        <f>IFERROR(MOD(RTD("ice.rtd",,$C164 &amp; $D164 &amp; ":" &amp; J$1), 1), "")</f>
        <v/>
      </c>
      <c r="K164" s="18" t="str">
        <f>RTD("ice.rtd",,$C164 &amp; $D164 &amp; ":" &amp; K$1)</f>
        <v/>
      </c>
      <c r="L164" s="36" t="str">
        <f>RTD("ice.rtd",,$C164 &amp; $D164 &amp; ":" &amp; L$1)</f>
        <v/>
      </c>
      <c r="M164" s="14" t="str">
        <f>IFERROR(MOD(TIMEVALUE(RTD("ice.rtd",,$C164 &amp; $D164 &amp; ":" &amp; M$1)), 1), "")</f>
        <v/>
      </c>
      <c r="N164" s="36">
        <f>RTD("ice.rtd",,$C164 &amp; $D164 &amp; ":" &amp; N$1)</f>
        <v>0</v>
      </c>
      <c r="O164" s="36">
        <f>RTD("ice.rtd",,$C164 &amp; $D164 &amp; ":" &amp; O$1)</f>
        <v>0</v>
      </c>
      <c r="P1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4" s="14" t="str">
        <f>IF(ICE[[#This Row],[LastType]] = "Scrn", ICE[[#This Row],[LstDate]], IF(ICE[[#This Row],[LastType]] = "Blk", ICE[[#This Row],[LstBlkTime]], ""))</f>
        <v/>
      </c>
      <c r="R164" s="41" t="str">
        <f>IF(ICE[[#This Row],[LastType]] = "Scrn", ICE[[#This Row],[LstPrc]], IF(ICE[[#This Row],[LastType]] = "Blk", ICE[[#This Row],[LstBlkPrc]], ""))</f>
        <v/>
      </c>
      <c r="S164" s="36">
        <f>ICE[[#This Row],[Vol]]+ICE[[#This Row],[BlkVol]]</f>
        <v>0</v>
      </c>
      <c r="T164" s="36">
        <f>RTD("ice.rtd",,$C164 &amp; $D164 &amp; ":" &amp; T$1)</f>
        <v>2361</v>
      </c>
      <c r="U164" s="18">
        <f>RTD("ice.rtd",,$C164 &amp; $D164 &amp; ":" &amp; U$1)</f>
        <v>1.8</v>
      </c>
      <c r="V1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4" s="18" t="str">
        <f>IFERROR(IF(LEFT(ICE[[#This Row],[Tenor]], 1) = "B", RTD("esrtd",,$B164 &amp; " " &amp; ICE[[#This Row],[Tenor]] &amp; "-IEU", W$1), RTD("esrtd",,$B164 &amp; " " &amp; VLOOKUP(MONTH(ICE[[#This Row],[Strip]]), MthRef[], 2, 0) &amp; RIGHT(YEAR(ICE[[#This Row],[Strip]]), 2) &amp; "-IEU", W$1)), "")</f>
        <v/>
      </c>
      <c r="X164" s="36"/>
    </row>
    <row r="165" spans="1:27" x14ac:dyDescent="0.25">
      <c r="A165" s="37" t="s">
        <v>413</v>
      </c>
      <c r="B165" s="3" t="str">
        <f>RTD("ice.rtd",,$C165 &amp; $D165 &amp; ":" &amp; B$1)</f>
        <v>BAQ</v>
      </c>
      <c r="C165" s="3">
        <v>1986923076</v>
      </c>
      <c r="D165" t="s">
        <v>799</v>
      </c>
      <c r="E165" s="3" t="str">
        <f>RTD("ice.rtd",,$C165 &amp; $D165 &amp; ":" &amp; E$1)</f>
        <v>Jul27</v>
      </c>
      <c r="F165" s="3" t="str">
        <f>ICE[[#This Row],[Prod]]&amp;ICE[[#This Row],[Strip]]</f>
        <v>regradeJul27</v>
      </c>
      <c r="G165" s="18" t="str">
        <f>RTD("ice.rtd",,$C165 &amp; $D165 &amp; ":" &amp; G$1)</f>
        <v/>
      </c>
      <c r="H165" s="18" t="str">
        <f>RTD("ice.rtd",,$C165 &amp; $D165 &amp; ":" &amp; H$1)</f>
        <v/>
      </c>
      <c r="I165" s="18" t="str">
        <f>RTD("ice.rtd",,$C165 &amp; $D165 &amp; ":" &amp; I$1)</f>
        <v/>
      </c>
      <c r="J165" s="14" t="str">
        <f>IFERROR(MOD(RTD("ice.rtd",,$C165 &amp; $D165 &amp; ":" &amp; J$1), 1), "")</f>
        <v/>
      </c>
      <c r="K165" s="18" t="str">
        <f>RTD("ice.rtd",,$C165 &amp; $D165 &amp; ":" &amp; K$1)</f>
        <v/>
      </c>
      <c r="L165" s="36" t="str">
        <f>RTD("ice.rtd",,$C165 &amp; $D165 &amp; ":" &amp; L$1)</f>
        <v/>
      </c>
      <c r="M165" s="14" t="str">
        <f>IFERROR(MOD(TIMEVALUE(RTD("ice.rtd",,$C165 &amp; $D165 &amp; ":" &amp; M$1)), 1), "")</f>
        <v/>
      </c>
      <c r="N165" s="36">
        <f>RTD("ice.rtd",,$C165 &amp; $D165 &amp; ":" &amp; N$1)</f>
        <v>0</v>
      </c>
      <c r="O165" s="36">
        <f>RTD("ice.rtd",,$C165 &amp; $D165 &amp; ":" &amp; O$1)</f>
        <v>0</v>
      </c>
      <c r="P1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" s="14" t="str">
        <f>IF(ICE[[#This Row],[LastType]] = "Scrn", ICE[[#This Row],[LstDate]], IF(ICE[[#This Row],[LastType]] = "Blk", ICE[[#This Row],[LstBlkTime]], ""))</f>
        <v/>
      </c>
      <c r="R165" s="41" t="str">
        <f>IF(ICE[[#This Row],[LastType]] = "Scrn", ICE[[#This Row],[LstPrc]], IF(ICE[[#This Row],[LastType]] = "Blk", ICE[[#This Row],[LstBlkPrc]], ""))</f>
        <v/>
      </c>
      <c r="S165" s="36">
        <f>ICE[[#This Row],[Vol]]+ICE[[#This Row],[BlkVol]]</f>
        <v>0</v>
      </c>
      <c r="T165" s="36">
        <f>RTD("ice.rtd",,$C165 &amp; $D165 &amp; ":" &amp; T$1)</f>
        <v>841</v>
      </c>
      <c r="U165" s="18">
        <f>RTD("ice.rtd",,$C165 &amp; $D165 &amp; ":" &amp; U$1)</f>
        <v>1.9000000000000001</v>
      </c>
      <c r="V1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" s="18" t="str">
        <f>IFERROR(IF(LEFT(ICE[[#This Row],[Tenor]], 1) = "B", RTD("esrtd",,$B165 &amp; " " &amp; ICE[[#This Row],[Tenor]] &amp; "-IEU", W$1), RTD("esrtd",,$B165 &amp; " " &amp; VLOOKUP(MONTH(ICE[[#This Row],[Strip]]), MthRef[], 2, 0) &amp; RIGHT(YEAR(ICE[[#This Row],[Strip]]), 2) &amp; "-IEU", W$1)), "")</f>
        <v/>
      </c>
      <c r="X165" s="36"/>
    </row>
    <row r="166" spans="1:27" x14ac:dyDescent="0.25">
      <c r="A166" s="37" t="s">
        <v>413</v>
      </c>
      <c r="B166" s="3" t="str">
        <f>RTD("ice.rtd",,$C166 &amp; $D166 &amp; ":" &amp; B$1)</f>
        <v>BAQ</v>
      </c>
      <c r="C166" s="3">
        <v>1986923076</v>
      </c>
      <c r="D166" t="s">
        <v>800</v>
      </c>
      <c r="E166" s="3" t="str">
        <f>RTD("ice.rtd",,$C166 &amp; $D166 &amp; ":" &amp; E$1)</f>
        <v>Aug27</v>
      </c>
      <c r="F166" s="3" t="str">
        <f>ICE[[#This Row],[Prod]]&amp;ICE[[#This Row],[Strip]]</f>
        <v>regradeAug27</v>
      </c>
      <c r="G166" s="18" t="str">
        <f>RTD("ice.rtd",,$C166 &amp; $D166 &amp; ":" &amp; G$1)</f>
        <v/>
      </c>
      <c r="H166" s="18" t="str">
        <f>RTD("ice.rtd",,$C166 &amp; $D166 &amp; ":" &amp; H$1)</f>
        <v/>
      </c>
      <c r="I166" s="18" t="str">
        <f>RTD("ice.rtd",,$C166 &amp; $D166 &amp; ":" &amp; I$1)</f>
        <v/>
      </c>
      <c r="J166" s="14" t="str">
        <f>IFERROR(MOD(RTD("ice.rtd",,$C166 &amp; $D166 &amp; ":" &amp; J$1), 1), "")</f>
        <v/>
      </c>
      <c r="K166" s="18" t="str">
        <f>RTD("ice.rtd",,$C166 &amp; $D166 &amp; ":" &amp; K$1)</f>
        <v/>
      </c>
      <c r="L166" s="36" t="str">
        <f>RTD("ice.rtd",,$C166 &amp; $D166 &amp; ":" &amp; L$1)</f>
        <v/>
      </c>
      <c r="M166" s="14" t="str">
        <f>IFERROR(MOD(TIMEVALUE(RTD("ice.rtd",,$C166 &amp; $D166 &amp; ":" &amp; M$1)), 1), "")</f>
        <v/>
      </c>
      <c r="N166" s="36">
        <f>RTD("ice.rtd",,$C166 &amp; $D166 &amp; ":" &amp; N$1)</f>
        <v>0</v>
      </c>
      <c r="O166" s="36">
        <f>RTD("ice.rtd",,$C166 &amp; $D166 &amp; ":" &amp; O$1)</f>
        <v>0</v>
      </c>
      <c r="P1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6" s="14" t="str">
        <f>IF(ICE[[#This Row],[LastType]] = "Scrn", ICE[[#This Row],[LstDate]], IF(ICE[[#This Row],[LastType]] = "Blk", ICE[[#This Row],[LstBlkTime]], ""))</f>
        <v/>
      </c>
      <c r="R166" s="41" t="str">
        <f>IF(ICE[[#This Row],[LastType]] = "Scrn", ICE[[#This Row],[LstPrc]], IF(ICE[[#This Row],[LastType]] = "Blk", ICE[[#This Row],[LstBlkPrc]], ""))</f>
        <v/>
      </c>
      <c r="S166" s="36">
        <f>ICE[[#This Row],[Vol]]+ICE[[#This Row],[BlkVol]]</f>
        <v>0</v>
      </c>
      <c r="T166" s="36">
        <f>RTD("ice.rtd",,$C166 &amp; $D166 &amp; ":" &amp; T$1)</f>
        <v>866</v>
      </c>
      <c r="U166" s="18">
        <f>RTD("ice.rtd",,$C166 &amp; $D166 &amp; ":" &amp; U$1)</f>
        <v>2.1</v>
      </c>
      <c r="V1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6" s="18" t="str">
        <f>IFERROR(IF(LEFT(ICE[[#This Row],[Tenor]], 1) = "B", RTD("esrtd",,$B166 &amp; " " &amp; ICE[[#This Row],[Tenor]] &amp; "-IEU", W$1), RTD("esrtd",,$B166 &amp; " " &amp; VLOOKUP(MONTH(ICE[[#This Row],[Strip]]), MthRef[], 2, 0) &amp; RIGHT(YEAR(ICE[[#This Row],[Strip]]), 2) &amp; "-IEU", W$1)), "")</f>
        <v/>
      </c>
      <c r="X166" s="36"/>
    </row>
    <row r="167" spans="1:27" x14ac:dyDescent="0.25">
      <c r="A167" s="37" t="s">
        <v>413</v>
      </c>
      <c r="B167" s="3" t="str">
        <f>RTD("ice.rtd",,$C167 &amp; $D167 &amp; ":" &amp; B$1)</f>
        <v>BAQ</v>
      </c>
      <c r="C167" s="3">
        <v>1986923076</v>
      </c>
      <c r="D167" t="s">
        <v>801</v>
      </c>
      <c r="E167" s="3" t="str">
        <f>RTD("ice.rtd",,$C167 &amp; $D167 &amp; ":" &amp; E$1)</f>
        <v>Sep27</v>
      </c>
      <c r="F167" s="3" t="str">
        <f>ICE[[#This Row],[Prod]]&amp;ICE[[#This Row],[Strip]]</f>
        <v>regradeSep27</v>
      </c>
      <c r="G167" s="18" t="str">
        <f>RTD("ice.rtd",,$C167 &amp; $D167 &amp; ":" &amp; G$1)</f>
        <v/>
      </c>
      <c r="H167" s="18" t="str">
        <f>RTD("ice.rtd",,$C167 &amp; $D167 &amp; ":" &amp; H$1)</f>
        <v/>
      </c>
      <c r="I167" s="18" t="str">
        <f>RTD("ice.rtd",,$C167 &amp; $D167 &amp; ":" &amp; I$1)</f>
        <v/>
      </c>
      <c r="J167" s="14" t="str">
        <f>IFERROR(MOD(RTD("ice.rtd",,$C167 &amp; $D167 &amp; ":" &amp; J$1), 1), "")</f>
        <v/>
      </c>
      <c r="K167" s="18" t="str">
        <f>RTD("ice.rtd",,$C167 &amp; $D167 &amp; ":" &amp; K$1)</f>
        <v/>
      </c>
      <c r="L167" s="36" t="str">
        <f>RTD("ice.rtd",,$C167 &amp; $D167 &amp; ":" &amp; L$1)</f>
        <v/>
      </c>
      <c r="M167" s="14" t="str">
        <f>IFERROR(MOD(TIMEVALUE(RTD("ice.rtd",,$C167 &amp; $D167 &amp; ":" &amp; M$1)), 1), "")</f>
        <v/>
      </c>
      <c r="N167" s="36">
        <f>RTD("ice.rtd",,$C167 &amp; $D167 &amp; ":" &amp; N$1)</f>
        <v>0</v>
      </c>
      <c r="O167" s="36">
        <f>RTD("ice.rtd",,$C167 &amp; $D167 &amp; ":" &amp; O$1)</f>
        <v>0</v>
      </c>
      <c r="P1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7" s="14" t="str">
        <f>IF(ICE[[#This Row],[LastType]] = "Scrn", ICE[[#This Row],[LstDate]], IF(ICE[[#This Row],[LastType]] = "Blk", ICE[[#This Row],[LstBlkTime]], ""))</f>
        <v/>
      </c>
      <c r="R167" s="41" t="str">
        <f>IF(ICE[[#This Row],[LastType]] = "Scrn", ICE[[#This Row],[LstPrc]], IF(ICE[[#This Row],[LastType]] = "Blk", ICE[[#This Row],[LstBlkPrc]], ""))</f>
        <v/>
      </c>
      <c r="S167" s="36">
        <f>ICE[[#This Row],[Vol]]+ICE[[#This Row],[BlkVol]]</f>
        <v>0</v>
      </c>
      <c r="T167" s="36">
        <f>RTD("ice.rtd",,$C167 &amp; $D167 &amp; ":" &amp; T$1)</f>
        <v>841</v>
      </c>
      <c r="U167" s="18">
        <f>RTD("ice.rtd",,$C167 &amp; $D167 &amp; ":" &amp; U$1)</f>
        <v>2.3000000000000003</v>
      </c>
      <c r="V1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7" s="18" t="str">
        <f>IFERROR(IF(LEFT(ICE[[#This Row],[Tenor]], 1) = "B", RTD("esrtd",,$B167 &amp; " " &amp; ICE[[#This Row],[Tenor]] &amp; "-IEU", W$1), RTD("esrtd",,$B167 &amp; " " &amp; VLOOKUP(MONTH(ICE[[#This Row],[Strip]]), MthRef[], 2, 0) &amp; RIGHT(YEAR(ICE[[#This Row],[Strip]]), 2) &amp; "-IEU", W$1)), "")</f>
        <v/>
      </c>
      <c r="X167" s="36"/>
    </row>
    <row r="168" spans="1:27" x14ac:dyDescent="0.25">
      <c r="A168" s="37" t="s">
        <v>413</v>
      </c>
      <c r="B168" s="3" t="str">
        <f>RTD("ice.rtd",,$C168 &amp; $D168 &amp; ":" &amp; B$1)</f>
        <v>BAQ</v>
      </c>
      <c r="C168" s="3">
        <v>1986923076</v>
      </c>
      <c r="D168" t="s">
        <v>802</v>
      </c>
      <c r="E168" s="3" t="str">
        <f>RTD("ice.rtd",,$C168 &amp; $D168 &amp; ":" &amp; E$1)</f>
        <v>Oct27</v>
      </c>
      <c r="F168" s="3" t="str">
        <f>ICE[[#This Row],[Prod]]&amp;ICE[[#This Row],[Strip]]</f>
        <v>regradeOct27</v>
      </c>
      <c r="G168" s="18" t="str">
        <f>RTD("ice.rtd",,$C168 &amp; $D168 &amp; ":" &amp; G$1)</f>
        <v/>
      </c>
      <c r="H168" s="18" t="str">
        <f>RTD("ice.rtd",,$C168 &amp; $D168 &amp; ":" &amp; H$1)</f>
        <v/>
      </c>
      <c r="I168" s="18" t="str">
        <f>RTD("ice.rtd",,$C168 &amp; $D168 &amp; ":" &amp; I$1)</f>
        <v/>
      </c>
      <c r="J168" s="14" t="str">
        <f>IFERROR(MOD(RTD("ice.rtd",,$C168 &amp; $D168 &amp; ":" &amp; J$1), 1), "")</f>
        <v/>
      </c>
      <c r="K168" s="18" t="str">
        <f>RTD("ice.rtd",,$C168 &amp; $D168 &amp; ":" &amp; K$1)</f>
        <v/>
      </c>
      <c r="L168" s="36" t="str">
        <f>RTD("ice.rtd",,$C168 &amp; $D168 &amp; ":" &amp; L$1)</f>
        <v/>
      </c>
      <c r="M168" s="14" t="str">
        <f>IFERROR(MOD(TIMEVALUE(RTD("ice.rtd",,$C168 &amp; $D168 &amp; ":" &amp; M$1)), 1), "")</f>
        <v/>
      </c>
      <c r="N168" s="36">
        <f>RTD("ice.rtd",,$C168 &amp; $D168 &amp; ":" &amp; N$1)</f>
        <v>0</v>
      </c>
      <c r="O168" s="36">
        <f>RTD("ice.rtd",,$C168 &amp; $D168 &amp; ":" &amp; O$1)</f>
        <v>0</v>
      </c>
      <c r="P1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" s="14" t="str">
        <f>IF(ICE[[#This Row],[LastType]] = "Scrn", ICE[[#This Row],[LstDate]], IF(ICE[[#This Row],[LastType]] = "Blk", ICE[[#This Row],[LstBlkTime]], ""))</f>
        <v/>
      </c>
      <c r="R168" s="41" t="str">
        <f>IF(ICE[[#This Row],[LastType]] = "Scrn", ICE[[#This Row],[LstPrc]], IF(ICE[[#This Row],[LastType]] = "Blk", ICE[[#This Row],[LstBlkPrc]], ""))</f>
        <v/>
      </c>
      <c r="S168" s="36">
        <f>ICE[[#This Row],[Vol]]+ICE[[#This Row],[BlkVol]]</f>
        <v>0</v>
      </c>
      <c r="T168" s="36">
        <f>RTD("ice.rtd",,$C168 &amp; $D168 &amp; ":" &amp; T$1)</f>
        <v>1631</v>
      </c>
      <c r="U168" s="18">
        <f>RTD("ice.rtd",,$C168 &amp; $D168 &amp; ":" &amp; U$1)</f>
        <v>2.5500000000000003</v>
      </c>
      <c r="V1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" s="18" t="str">
        <f>IFERROR(IF(LEFT(ICE[[#This Row],[Tenor]], 1) = "B", RTD("esrtd",,$B168 &amp; " " &amp; ICE[[#This Row],[Tenor]] &amp; "-IEU", W$1), RTD("esrtd",,$B168 &amp; " " &amp; VLOOKUP(MONTH(ICE[[#This Row],[Strip]]), MthRef[], 2, 0) &amp; RIGHT(YEAR(ICE[[#This Row],[Strip]]), 2) &amp; "-IEU", W$1)), "")</f>
        <v/>
      </c>
      <c r="X168" s="36"/>
    </row>
    <row r="169" spans="1:27" x14ac:dyDescent="0.25">
      <c r="A169" s="37" t="s">
        <v>413</v>
      </c>
      <c r="B169" s="3" t="str">
        <f>RTD("ice.rtd",,$C169 &amp; $D169 &amp; ":" &amp; B$1)</f>
        <v>BAQ</v>
      </c>
      <c r="C169" s="3">
        <v>1986923076</v>
      </c>
      <c r="D169" t="s">
        <v>803</v>
      </c>
      <c r="E169" s="3" t="str">
        <f>RTD("ice.rtd",,$C169 &amp; $D169 &amp; ":" &amp; E$1)</f>
        <v>Nov27</v>
      </c>
      <c r="F169" s="3" t="str">
        <f>ICE[[#This Row],[Prod]]&amp;ICE[[#This Row],[Strip]]</f>
        <v>regradeNov27</v>
      </c>
      <c r="G169" s="18" t="str">
        <f>RTD("ice.rtd",,$C169 &amp; $D169 &amp; ":" &amp; G$1)</f>
        <v/>
      </c>
      <c r="H169" s="18" t="str">
        <f>RTD("ice.rtd",,$C169 &amp; $D169 &amp; ":" &amp; H$1)</f>
        <v/>
      </c>
      <c r="I169" s="18" t="str">
        <f>RTD("ice.rtd",,$C169 &amp; $D169 &amp; ":" &amp; I$1)</f>
        <v/>
      </c>
      <c r="J169" s="14" t="str">
        <f>IFERROR(MOD(RTD("ice.rtd",,$C169 &amp; $D169 &amp; ":" &amp; J$1), 1), "")</f>
        <v/>
      </c>
      <c r="K169" s="18" t="str">
        <f>RTD("ice.rtd",,$C169 &amp; $D169 &amp; ":" &amp; K$1)</f>
        <v/>
      </c>
      <c r="L169" s="36" t="str">
        <f>RTD("ice.rtd",,$C169 &amp; $D169 &amp; ":" &amp; L$1)</f>
        <v/>
      </c>
      <c r="M169" s="14" t="str">
        <f>IFERROR(MOD(TIMEVALUE(RTD("ice.rtd",,$C169 &amp; $D169 &amp; ":" &amp; M$1)), 1), "")</f>
        <v/>
      </c>
      <c r="N169" s="36">
        <f>RTD("ice.rtd",,$C169 &amp; $D169 &amp; ":" &amp; N$1)</f>
        <v>0</v>
      </c>
      <c r="O169" s="36">
        <f>RTD("ice.rtd",,$C169 &amp; $D169 &amp; ":" &amp; O$1)</f>
        <v>0</v>
      </c>
      <c r="P1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" s="14" t="str">
        <f>IF(ICE[[#This Row],[LastType]] = "Scrn", ICE[[#This Row],[LstDate]], IF(ICE[[#This Row],[LastType]] = "Blk", ICE[[#This Row],[LstBlkTime]], ""))</f>
        <v/>
      </c>
      <c r="R169" s="41" t="str">
        <f>IF(ICE[[#This Row],[LastType]] = "Scrn", ICE[[#This Row],[LstPrc]], IF(ICE[[#This Row],[LastType]] = "Blk", ICE[[#This Row],[LstBlkPrc]], ""))</f>
        <v/>
      </c>
      <c r="S169" s="36">
        <f>ICE[[#This Row],[Vol]]+ICE[[#This Row],[BlkVol]]</f>
        <v>0</v>
      </c>
      <c r="T169" s="36">
        <f>RTD("ice.rtd",,$C169 &amp; $D169 &amp; ":" &amp; T$1)</f>
        <v>1591</v>
      </c>
      <c r="U169" s="18">
        <f>RTD("ice.rtd",,$C169 &amp; $D169 &amp; ":" &amp; U$1)</f>
        <v>2.75</v>
      </c>
      <c r="V1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" s="18" t="str">
        <f>IFERROR(IF(LEFT(ICE[[#This Row],[Tenor]], 1) = "B", RTD("esrtd",,$B169 &amp; " " &amp; ICE[[#This Row],[Tenor]] &amp; "-IEU", W$1), RTD("esrtd",,$B169 &amp; " " &amp; VLOOKUP(MONTH(ICE[[#This Row],[Strip]]), MthRef[], 2, 0) &amp; RIGHT(YEAR(ICE[[#This Row],[Strip]]), 2) &amp; "-IEU", W$1)), "")</f>
        <v/>
      </c>
      <c r="X169" s="36"/>
    </row>
    <row r="170" spans="1:27" x14ac:dyDescent="0.25">
      <c r="A170" s="37" t="s">
        <v>413</v>
      </c>
      <c r="B170" s="3" t="str">
        <f>RTD("ice.rtd",,$C170 &amp; $D170 &amp; ":" &amp; B$1)</f>
        <v>BAQ</v>
      </c>
      <c r="C170" s="3">
        <v>1986923076</v>
      </c>
      <c r="D170" t="s">
        <v>804</v>
      </c>
      <c r="E170" s="3" t="str">
        <f>RTD("ice.rtd",,$C170 &amp; $D170 &amp; ":" &amp; E$1)</f>
        <v>Dec27</v>
      </c>
      <c r="F170" s="3" t="str">
        <f>ICE[[#This Row],[Prod]]&amp;ICE[[#This Row],[Strip]]</f>
        <v>regradeDec27</v>
      </c>
      <c r="G170" s="18" t="str">
        <f>RTD("ice.rtd",,$C170 &amp; $D170 &amp; ":" &amp; G$1)</f>
        <v/>
      </c>
      <c r="H170" s="18" t="str">
        <f>RTD("ice.rtd",,$C170 &amp; $D170 &amp; ":" &amp; H$1)</f>
        <v/>
      </c>
      <c r="I170" s="18" t="str">
        <f>RTD("ice.rtd",,$C170 &amp; $D170 &amp; ":" &amp; I$1)</f>
        <v/>
      </c>
      <c r="J170" s="14" t="str">
        <f>IFERROR(MOD(RTD("ice.rtd",,$C170 &amp; $D170 &amp; ":" &amp; J$1), 1), "")</f>
        <v/>
      </c>
      <c r="K170" s="18" t="str">
        <f>RTD("ice.rtd",,$C170 &amp; $D170 &amp; ":" &amp; K$1)</f>
        <v/>
      </c>
      <c r="L170" s="36" t="str">
        <f>RTD("ice.rtd",,$C170 &amp; $D170 &amp; ":" &amp; L$1)</f>
        <v/>
      </c>
      <c r="M170" s="14" t="str">
        <f>IFERROR(MOD(TIMEVALUE(RTD("ice.rtd",,$C170 &amp; $D170 &amp; ":" &amp; M$1)), 1), "")</f>
        <v/>
      </c>
      <c r="N170" s="36">
        <f>RTD("ice.rtd",,$C170 &amp; $D170 &amp; ":" &amp; N$1)</f>
        <v>0</v>
      </c>
      <c r="O170" s="36">
        <f>RTD("ice.rtd",,$C170 &amp; $D170 &amp; ":" &amp; O$1)</f>
        <v>0</v>
      </c>
      <c r="P1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" s="14" t="str">
        <f>IF(ICE[[#This Row],[LastType]] = "Scrn", ICE[[#This Row],[LstDate]], IF(ICE[[#This Row],[LastType]] = "Blk", ICE[[#This Row],[LstBlkTime]], ""))</f>
        <v/>
      </c>
      <c r="R170" s="41" t="str">
        <f>IF(ICE[[#This Row],[LastType]] = "Scrn", ICE[[#This Row],[LstPrc]], IF(ICE[[#This Row],[LastType]] = "Blk", ICE[[#This Row],[LstBlkPrc]], ""))</f>
        <v/>
      </c>
      <c r="S170" s="36">
        <f>ICE[[#This Row],[Vol]]+ICE[[#This Row],[BlkVol]]</f>
        <v>0</v>
      </c>
      <c r="T170" s="36">
        <f>RTD("ice.rtd",,$C170 &amp; $D170 &amp; ":" &amp; T$1)</f>
        <v>1636</v>
      </c>
      <c r="U170" s="18">
        <f>RTD("ice.rtd",,$C170 &amp; $D170 &amp; ":" &amp; U$1)</f>
        <v>2.95</v>
      </c>
      <c r="V1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" s="18" t="str">
        <f>IFERROR(IF(LEFT(ICE[[#This Row],[Tenor]], 1) = "B", RTD("esrtd",,$B170 &amp; " " &amp; ICE[[#This Row],[Tenor]] &amp; "-IEU", W$1), RTD("esrtd",,$B170 &amp; " " &amp; VLOOKUP(MONTH(ICE[[#This Row],[Strip]]), MthRef[], 2, 0) &amp; RIGHT(YEAR(ICE[[#This Row],[Strip]]), 2) &amp; "-IEU", W$1)), "")</f>
        <v/>
      </c>
      <c r="X170" s="36"/>
    </row>
    <row r="171" spans="1:27" x14ac:dyDescent="0.25">
      <c r="A171" s="37" t="s">
        <v>413</v>
      </c>
      <c r="B171" s="3" t="str">
        <f>RTD("ice.rtd",,$C171 &amp; $D171 &amp; ":" &amp; B$1)</f>
        <v>BAQ</v>
      </c>
      <c r="C171" s="3">
        <v>1986923076</v>
      </c>
      <c r="D171" t="s">
        <v>805</v>
      </c>
      <c r="E171" s="3" t="str">
        <f>RTD("ice.rtd",,$C171 &amp; $D171 &amp; ":" &amp; E$1)</f>
        <v>Jan28</v>
      </c>
      <c r="F171" s="3" t="str">
        <f>ICE[[#This Row],[Prod]]&amp;ICE[[#This Row],[Strip]]</f>
        <v>regradeJan28</v>
      </c>
      <c r="G171" s="18" t="str">
        <f>RTD("ice.rtd",,$C171 &amp; $D171 &amp; ":" &amp; G$1)</f>
        <v/>
      </c>
      <c r="H171" s="18" t="str">
        <f>RTD("ice.rtd",,$C171 &amp; $D171 &amp; ":" &amp; H$1)</f>
        <v/>
      </c>
      <c r="I171" s="18" t="str">
        <f>RTD("ice.rtd",,$C171 &amp; $D171 &amp; ":" &amp; I$1)</f>
        <v/>
      </c>
      <c r="J171" s="14" t="str">
        <f>IFERROR(MOD(RTD("ice.rtd",,$C171 &amp; $D171 &amp; ":" &amp; J$1), 1), "")</f>
        <v/>
      </c>
      <c r="K171" s="18" t="str">
        <f>RTD("ice.rtd",,$C171 &amp; $D171 &amp; ":" &amp; K$1)</f>
        <v/>
      </c>
      <c r="L171" s="36" t="str">
        <f>RTD("ice.rtd",,$C171 &amp; $D171 &amp; ":" &amp; L$1)</f>
        <v/>
      </c>
      <c r="M171" s="14" t="str">
        <f>IFERROR(MOD(TIMEVALUE(RTD("ice.rtd",,$C171 &amp; $D171 &amp; ":" &amp; M$1)), 1), "")</f>
        <v/>
      </c>
      <c r="N171" s="36">
        <f>RTD("ice.rtd",,$C171 &amp; $D171 &amp; ":" &amp; N$1)</f>
        <v>0</v>
      </c>
      <c r="O171" s="36">
        <f>RTD("ice.rtd",,$C171 &amp; $D171 &amp; ":" &amp; O$1)</f>
        <v>0</v>
      </c>
      <c r="P1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" s="14" t="str">
        <f>IF(ICE[[#This Row],[LastType]] = "Scrn", ICE[[#This Row],[LstDate]], IF(ICE[[#This Row],[LastType]] = "Blk", ICE[[#This Row],[LstBlkTime]], ""))</f>
        <v/>
      </c>
      <c r="R171" s="41" t="str">
        <f>IF(ICE[[#This Row],[LastType]] = "Scrn", ICE[[#This Row],[LstPrc]], IF(ICE[[#This Row],[LastType]] = "Blk", ICE[[#This Row],[LstBlkPrc]], ""))</f>
        <v/>
      </c>
      <c r="S171" s="36">
        <f>ICE[[#This Row],[Vol]]+ICE[[#This Row],[BlkVol]]</f>
        <v>0</v>
      </c>
      <c r="T171" s="36">
        <f>RTD("ice.rtd",,$C171 &amp; $D171 &amp; ":" &amp; T$1)</f>
        <v>500</v>
      </c>
      <c r="U171" s="18">
        <f>RTD("ice.rtd",,$C171 &amp; $D171 &amp; ":" &amp; U$1)</f>
        <v>2.95</v>
      </c>
      <c r="V1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" s="18" t="str">
        <f>IFERROR(IF(LEFT(ICE[[#This Row],[Tenor]], 1) = "B", RTD("esrtd",,$B171 &amp; " " &amp; ICE[[#This Row],[Tenor]] &amp; "-IEU", W$1), RTD("esrtd",,$B171 &amp; " " &amp; VLOOKUP(MONTH(ICE[[#This Row],[Strip]]), MthRef[], 2, 0) &amp; RIGHT(YEAR(ICE[[#This Row],[Strip]]), 2) &amp; "-IEU", W$1)), "")</f>
        <v/>
      </c>
      <c r="X171" s="36"/>
      <c r="AA171">
        <f>RTD("ice.rtd",,"18851683M1:BstLiftPrc")</f>
        <v>-0.3</v>
      </c>
    </row>
    <row r="172" spans="1:27" x14ac:dyDescent="0.25">
      <c r="A172" s="37" t="s">
        <v>413</v>
      </c>
      <c r="B172" s="3" t="str">
        <f>RTD("ice.rtd",,$C172 &amp; $D172 &amp; ":" &amp; B$1)</f>
        <v>BAQ</v>
      </c>
      <c r="C172" s="3">
        <v>1986923076</v>
      </c>
      <c r="D172" t="s">
        <v>806</v>
      </c>
      <c r="E172" s="3" t="str">
        <f>RTD("ice.rtd",,$C172 &amp; $D172 &amp; ":" &amp; E$1)</f>
        <v>Feb28</v>
      </c>
      <c r="F172" s="3" t="str">
        <f>ICE[[#This Row],[Prod]]&amp;ICE[[#This Row],[Strip]]</f>
        <v>regradeFeb28</v>
      </c>
      <c r="G172" s="18" t="str">
        <f>RTD("ice.rtd",,$C172 &amp; $D172 &amp; ":" &amp; G$1)</f>
        <v/>
      </c>
      <c r="H172" s="18" t="str">
        <f>RTD("ice.rtd",,$C172 &amp; $D172 &amp; ":" &amp; H$1)</f>
        <v/>
      </c>
      <c r="I172" s="18" t="str">
        <f>RTD("ice.rtd",,$C172 &amp; $D172 &amp; ":" &amp; I$1)</f>
        <v/>
      </c>
      <c r="J172" s="14" t="str">
        <f>IFERROR(MOD(RTD("ice.rtd",,$C172 &amp; $D172 &amp; ":" &amp; J$1), 1), "")</f>
        <v/>
      </c>
      <c r="K172" s="18" t="str">
        <f>RTD("ice.rtd",,$C172 &amp; $D172 &amp; ":" &amp; K$1)</f>
        <v/>
      </c>
      <c r="L172" s="36" t="str">
        <f>RTD("ice.rtd",,$C172 &amp; $D172 &amp; ":" &amp; L$1)</f>
        <v/>
      </c>
      <c r="M172" s="14" t="str">
        <f>IFERROR(MOD(TIMEVALUE(RTD("ice.rtd",,$C172 &amp; $D172 &amp; ":" &amp; M$1)), 1), "")</f>
        <v/>
      </c>
      <c r="N172" s="36">
        <f>RTD("ice.rtd",,$C172 &amp; $D172 &amp; ":" &amp; N$1)</f>
        <v>0</v>
      </c>
      <c r="O172" s="36">
        <f>RTD("ice.rtd",,$C172 &amp; $D172 &amp; ":" &amp; O$1)</f>
        <v>0</v>
      </c>
      <c r="P1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" s="14" t="str">
        <f>IF(ICE[[#This Row],[LastType]] = "Scrn", ICE[[#This Row],[LstDate]], IF(ICE[[#This Row],[LastType]] = "Blk", ICE[[#This Row],[LstBlkTime]], ""))</f>
        <v/>
      </c>
      <c r="R172" s="41" t="str">
        <f>IF(ICE[[#This Row],[LastType]] = "Scrn", ICE[[#This Row],[LstPrc]], IF(ICE[[#This Row],[LastType]] = "Blk", ICE[[#This Row],[LstBlkPrc]], ""))</f>
        <v/>
      </c>
      <c r="S172" s="36">
        <f>ICE[[#This Row],[Vol]]+ICE[[#This Row],[BlkVol]]</f>
        <v>0</v>
      </c>
      <c r="T172" s="36">
        <f>RTD("ice.rtd",,$C172 &amp; $D172 &amp; ":" &amp; T$1)</f>
        <v>500</v>
      </c>
      <c r="U172" s="18">
        <f>RTD("ice.rtd",,$C172 &amp; $D172 &amp; ":" &amp; U$1)</f>
        <v>2.95</v>
      </c>
      <c r="V1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" s="18" t="str">
        <f>IFERROR(IF(LEFT(ICE[[#This Row],[Tenor]], 1) = "B", RTD("esrtd",,$B172 &amp; " " &amp; ICE[[#This Row],[Tenor]] &amp; "-IEU", W$1), RTD("esrtd",,$B172 &amp; " " &amp; VLOOKUP(MONTH(ICE[[#This Row],[Strip]]), MthRef[], 2, 0) &amp; RIGHT(YEAR(ICE[[#This Row],[Strip]]), 2) &amp; "-IEU", W$1)), "")</f>
        <v/>
      </c>
      <c r="X172" s="36"/>
    </row>
    <row r="173" spans="1:27" x14ac:dyDescent="0.25">
      <c r="A173" s="37" t="s">
        <v>413</v>
      </c>
      <c r="B173" s="3" t="str">
        <f>RTD("ice.rtd",,$C173 &amp; $D173 &amp; ":" &amp; B$1)</f>
        <v>BAQ</v>
      </c>
      <c r="C173" s="3">
        <v>1986923076</v>
      </c>
      <c r="D173" t="s">
        <v>807</v>
      </c>
      <c r="E173" s="3" t="str">
        <f>RTD("ice.rtd",,$C173 &amp; $D173 &amp; ":" &amp; E$1)</f>
        <v>Mar28</v>
      </c>
      <c r="F173" s="3" t="str">
        <f>ICE[[#This Row],[Prod]]&amp;ICE[[#This Row],[Strip]]</f>
        <v>regradeMar28</v>
      </c>
      <c r="G173" s="18" t="str">
        <f>RTD("ice.rtd",,$C173 &amp; $D173 &amp; ":" &amp; G$1)</f>
        <v/>
      </c>
      <c r="H173" s="18" t="str">
        <f>RTD("ice.rtd",,$C173 &amp; $D173 &amp; ":" &amp; H$1)</f>
        <v/>
      </c>
      <c r="I173" s="18" t="str">
        <f>RTD("ice.rtd",,$C173 &amp; $D173 &amp; ":" &amp; I$1)</f>
        <v/>
      </c>
      <c r="J173" s="14" t="str">
        <f>IFERROR(MOD(RTD("ice.rtd",,$C173 &amp; $D173 &amp; ":" &amp; J$1), 1), "")</f>
        <v/>
      </c>
      <c r="K173" s="18" t="str">
        <f>RTD("ice.rtd",,$C173 &amp; $D173 &amp; ":" &amp; K$1)</f>
        <v/>
      </c>
      <c r="L173" s="36" t="str">
        <f>RTD("ice.rtd",,$C173 &amp; $D173 &amp; ":" &amp; L$1)</f>
        <v/>
      </c>
      <c r="M173" s="14" t="str">
        <f>IFERROR(MOD(TIMEVALUE(RTD("ice.rtd",,$C173 &amp; $D173 &amp; ":" &amp; M$1)), 1), "")</f>
        <v/>
      </c>
      <c r="N173" s="36">
        <f>RTD("ice.rtd",,$C173 &amp; $D173 &amp; ":" &amp; N$1)</f>
        <v>0</v>
      </c>
      <c r="O173" s="36">
        <f>RTD("ice.rtd",,$C173 &amp; $D173 &amp; ":" &amp; O$1)</f>
        <v>0</v>
      </c>
      <c r="P1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" s="14" t="str">
        <f>IF(ICE[[#This Row],[LastType]] = "Scrn", ICE[[#This Row],[LstDate]], IF(ICE[[#This Row],[LastType]] = "Blk", ICE[[#This Row],[LstBlkTime]], ""))</f>
        <v/>
      </c>
      <c r="R173" s="41" t="str">
        <f>IF(ICE[[#This Row],[LastType]] = "Scrn", ICE[[#This Row],[LstPrc]], IF(ICE[[#This Row],[LastType]] = "Blk", ICE[[#This Row],[LstBlkPrc]], ""))</f>
        <v/>
      </c>
      <c r="S173" s="36">
        <f>ICE[[#This Row],[Vol]]+ICE[[#This Row],[BlkVol]]</f>
        <v>0</v>
      </c>
      <c r="T173" s="36">
        <f>RTD("ice.rtd",,$C173 &amp; $D173 &amp; ":" &amp; T$1)</f>
        <v>500</v>
      </c>
      <c r="U173" s="18">
        <f>RTD("ice.rtd",,$C173 &amp; $D173 &amp; ":" &amp; U$1)</f>
        <v>2.95</v>
      </c>
      <c r="V1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" s="18" t="str">
        <f>IFERROR(IF(LEFT(ICE[[#This Row],[Tenor]], 1) = "B", RTD("esrtd",,$B173 &amp; " " &amp; ICE[[#This Row],[Tenor]] &amp; "-IEU", W$1), RTD("esrtd",,$B173 &amp; " " &amp; VLOOKUP(MONTH(ICE[[#This Row],[Strip]]), MthRef[], 2, 0) &amp; RIGHT(YEAR(ICE[[#This Row],[Strip]]), 2) &amp; "-IEU", W$1)), "")</f>
        <v/>
      </c>
      <c r="X173" s="36"/>
    </row>
    <row r="174" spans="1:27" x14ac:dyDescent="0.25">
      <c r="A174" s="37" t="s">
        <v>413</v>
      </c>
      <c r="B174" s="3" t="str">
        <f>RTD("ice.rtd",,$C174 &amp; $D174 &amp; ":" &amp; B$1)</f>
        <v>BAQ</v>
      </c>
      <c r="C174" s="3">
        <v>1986923076</v>
      </c>
      <c r="D174" t="s">
        <v>808</v>
      </c>
      <c r="E174" s="3" t="str">
        <f>RTD("ice.rtd",,$C174 &amp; $D174 &amp; ":" &amp; E$1)</f>
        <v>Apr28</v>
      </c>
      <c r="F174" s="3" t="str">
        <f>ICE[[#This Row],[Prod]]&amp;ICE[[#This Row],[Strip]]</f>
        <v>regradeApr28</v>
      </c>
      <c r="G174" s="18" t="str">
        <f>RTD("ice.rtd",,$C174 &amp; $D174 &amp; ":" &amp; G$1)</f>
        <v/>
      </c>
      <c r="H174" s="18" t="str">
        <f>RTD("ice.rtd",,$C174 &amp; $D174 &amp; ":" &amp; H$1)</f>
        <v/>
      </c>
      <c r="I174" s="18" t="str">
        <f>RTD("ice.rtd",,$C174 &amp; $D174 &amp; ":" &amp; I$1)</f>
        <v/>
      </c>
      <c r="J174" s="14" t="str">
        <f>IFERROR(MOD(RTD("ice.rtd",,$C174 &amp; $D174 &amp; ":" &amp; J$1), 1), "")</f>
        <v/>
      </c>
      <c r="K174" s="18" t="str">
        <f>RTD("ice.rtd",,$C174 &amp; $D174 &amp; ":" &amp; K$1)</f>
        <v/>
      </c>
      <c r="L174" s="36" t="str">
        <f>RTD("ice.rtd",,$C174 &amp; $D174 &amp; ":" &amp; L$1)</f>
        <v/>
      </c>
      <c r="M174" s="14" t="str">
        <f>IFERROR(MOD(TIMEVALUE(RTD("ice.rtd",,$C174 &amp; $D174 &amp; ":" &amp; M$1)), 1), "")</f>
        <v/>
      </c>
      <c r="N174" s="36">
        <f>RTD("ice.rtd",,$C174 &amp; $D174 &amp; ":" &amp; N$1)</f>
        <v>0</v>
      </c>
      <c r="O174" s="36">
        <f>RTD("ice.rtd",,$C174 &amp; $D174 &amp; ":" &amp; O$1)</f>
        <v>0</v>
      </c>
      <c r="P1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" s="14" t="str">
        <f>IF(ICE[[#This Row],[LastType]] = "Scrn", ICE[[#This Row],[LstDate]], IF(ICE[[#This Row],[LastType]] = "Blk", ICE[[#This Row],[LstBlkTime]], ""))</f>
        <v/>
      </c>
      <c r="R174" s="41" t="str">
        <f>IF(ICE[[#This Row],[LastType]] = "Scrn", ICE[[#This Row],[LstPrc]], IF(ICE[[#This Row],[LastType]] = "Blk", ICE[[#This Row],[LstBlkPrc]], ""))</f>
        <v/>
      </c>
      <c r="S174" s="36">
        <f>ICE[[#This Row],[Vol]]+ICE[[#This Row],[BlkVol]]</f>
        <v>0</v>
      </c>
      <c r="T174" s="36">
        <f>RTD("ice.rtd",,$C174 &amp; $D174 &amp; ":" &amp; T$1)</f>
        <v>0</v>
      </c>
      <c r="U174" s="18">
        <f>RTD("ice.rtd",,$C174 &amp; $D174 &amp; ":" &amp; U$1)</f>
        <v>2.95</v>
      </c>
      <c r="V1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4" s="18" t="str">
        <f>IFERROR(IF(LEFT(ICE[[#This Row],[Tenor]], 1) = "B", RTD("esrtd",,$B174 &amp; " " &amp; ICE[[#This Row],[Tenor]] &amp; "-IEU", W$1), RTD("esrtd",,$B174 &amp; " " &amp; VLOOKUP(MONTH(ICE[[#This Row],[Strip]]), MthRef[], 2, 0) &amp; RIGHT(YEAR(ICE[[#This Row],[Strip]]), 2) &amp; "-IEU", W$1)), "")</f>
        <v/>
      </c>
      <c r="X174" s="36"/>
    </row>
    <row r="175" spans="1:27" x14ac:dyDescent="0.25">
      <c r="A175" s="37" t="s">
        <v>413</v>
      </c>
      <c r="B175" s="3" t="str">
        <f>RTD("ice.rtd",,$C175 &amp; $D175 &amp; ":" &amp; B$1)</f>
        <v>BAQ</v>
      </c>
      <c r="C175" s="3">
        <v>1986923076</v>
      </c>
      <c r="D175" t="s">
        <v>809</v>
      </c>
      <c r="E175" s="3" t="str">
        <f>RTD("ice.rtd",,$C175 &amp; $D175 &amp; ":" &amp; E$1)</f>
        <v>May28</v>
      </c>
      <c r="F175" s="3" t="str">
        <f>ICE[[#This Row],[Prod]]&amp;ICE[[#This Row],[Strip]]</f>
        <v>regradeMay28</v>
      </c>
      <c r="G175" s="18" t="str">
        <f>RTD("ice.rtd",,$C175 &amp; $D175 &amp; ":" &amp; G$1)</f>
        <v/>
      </c>
      <c r="H175" s="18" t="str">
        <f>RTD("ice.rtd",,$C175 &amp; $D175 &amp; ":" &amp; H$1)</f>
        <v/>
      </c>
      <c r="I175" s="18" t="str">
        <f>RTD("ice.rtd",,$C175 &amp; $D175 &amp; ":" &amp; I$1)</f>
        <v/>
      </c>
      <c r="J175" s="14" t="str">
        <f>IFERROR(MOD(RTD("ice.rtd",,$C175 &amp; $D175 &amp; ":" &amp; J$1), 1), "")</f>
        <v/>
      </c>
      <c r="K175" s="18" t="str">
        <f>RTD("ice.rtd",,$C175 &amp; $D175 &amp; ":" &amp; K$1)</f>
        <v/>
      </c>
      <c r="L175" s="36" t="str">
        <f>RTD("ice.rtd",,$C175 &amp; $D175 &amp; ":" &amp; L$1)</f>
        <v/>
      </c>
      <c r="M175" s="14" t="str">
        <f>IFERROR(MOD(TIMEVALUE(RTD("ice.rtd",,$C175 &amp; $D175 &amp; ":" &amp; M$1)), 1), "")</f>
        <v/>
      </c>
      <c r="N175" s="36">
        <f>RTD("ice.rtd",,$C175 &amp; $D175 &amp; ":" &amp; N$1)</f>
        <v>0</v>
      </c>
      <c r="O175" s="36">
        <f>RTD("ice.rtd",,$C175 &amp; $D175 &amp; ":" &amp; O$1)</f>
        <v>0</v>
      </c>
      <c r="P1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" s="14" t="str">
        <f>IF(ICE[[#This Row],[LastType]] = "Scrn", ICE[[#This Row],[LstDate]], IF(ICE[[#This Row],[LastType]] = "Blk", ICE[[#This Row],[LstBlkTime]], ""))</f>
        <v/>
      </c>
      <c r="R175" s="41" t="str">
        <f>IF(ICE[[#This Row],[LastType]] = "Scrn", ICE[[#This Row],[LstPrc]], IF(ICE[[#This Row],[LastType]] = "Blk", ICE[[#This Row],[LstBlkPrc]], ""))</f>
        <v/>
      </c>
      <c r="S175" s="36">
        <f>ICE[[#This Row],[Vol]]+ICE[[#This Row],[BlkVol]]</f>
        <v>0</v>
      </c>
      <c r="T175" s="36">
        <f>RTD("ice.rtd",,$C175 &amp; $D175 &amp; ":" &amp; T$1)</f>
        <v>0</v>
      </c>
      <c r="U175" s="18">
        <f>RTD("ice.rtd",,$C175 &amp; $D175 &amp; ":" &amp; U$1)</f>
        <v>2.95</v>
      </c>
      <c r="V1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" s="18" t="str">
        <f>IFERROR(IF(LEFT(ICE[[#This Row],[Tenor]], 1) = "B", RTD("esrtd",,$B175 &amp; " " &amp; ICE[[#This Row],[Tenor]] &amp; "-IEU", W$1), RTD("esrtd",,$B175 &amp; " " &amp; VLOOKUP(MONTH(ICE[[#This Row],[Strip]]), MthRef[], 2, 0) &amp; RIGHT(YEAR(ICE[[#This Row],[Strip]]), 2) &amp; "-IEU", W$1)), "")</f>
        <v/>
      </c>
      <c r="X175" s="36"/>
    </row>
    <row r="176" spans="1:27" x14ac:dyDescent="0.25">
      <c r="A176" s="37" t="s">
        <v>413</v>
      </c>
      <c r="B176" s="3" t="str">
        <f>RTD("ice.rtd",,$C176 &amp; $D176 &amp; ":" &amp; B$1)</f>
        <v>BAQ</v>
      </c>
      <c r="C176" s="3">
        <v>1986923076</v>
      </c>
      <c r="D176" t="s">
        <v>810</v>
      </c>
      <c r="E176" s="3" t="str">
        <f>RTD("ice.rtd",,$C176 &amp; $D176 &amp; ":" &amp; E$1)</f>
        <v>Jun28</v>
      </c>
      <c r="F176" s="3" t="str">
        <f>ICE[[#This Row],[Prod]]&amp;ICE[[#This Row],[Strip]]</f>
        <v>regradeJun28</v>
      </c>
      <c r="G176" s="18" t="str">
        <f>RTD("ice.rtd",,$C176 &amp; $D176 &amp; ":" &amp; G$1)</f>
        <v/>
      </c>
      <c r="H176" s="18" t="str">
        <f>RTD("ice.rtd",,$C176 &amp; $D176 &amp; ":" &amp; H$1)</f>
        <v/>
      </c>
      <c r="I176" s="18" t="str">
        <f>RTD("ice.rtd",,$C176 &amp; $D176 &amp; ":" &amp; I$1)</f>
        <v/>
      </c>
      <c r="J176" s="14" t="str">
        <f>IFERROR(MOD(RTD("ice.rtd",,$C176 &amp; $D176 &amp; ":" &amp; J$1), 1), "")</f>
        <v/>
      </c>
      <c r="K176" s="18" t="str">
        <f>RTD("ice.rtd",,$C176 &amp; $D176 &amp; ":" &amp; K$1)</f>
        <v/>
      </c>
      <c r="L176" s="36" t="str">
        <f>RTD("ice.rtd",,$C176 &amp; $D176 &amp; ":" &amp; L$1)</f>
        <v/>
      </c>
      <c r="M176" s="14" t="str">
        <f>IFERROR(MOD(TIMEVALUE(RTD("ice.rtd",,$C176 &amp; $D176 &amp; ":" &amp; M$1)), 1), "")</f>
        <v/>
      </c>
      <c r="N176" s="36">
        <f>RTD("ice.rtd",,$C176 &amp; $D176 &amp; ":" &amp; N$1)</f>
        <v>0</v>
      </c>
      <c r="O176" s="36">
        <f>RTD("ice.rtd",,$C176 &amp; $D176 &amp; ":" &amp; O$1)</f>
        <v>0</v>
      </c>
      <c r="P1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" s="14" t="str">
        <f>IF(ICE[[#This Row],[LastType]] = "Scrn", ICE[[#This Row],[LstDate]], IF(ICE[[#This Row],[LastType]] = "Blk", ICE[[#This Row],[LstBlkTime]], ""))</f>
        <v/>
      </c>
      <c r="R176" s="41" t="str">
        <f>IF(ICE[[#This Row],[LastType]] = "Scrn", ICE[[#This Row],[LstPrc]], IF(ICE[[#This Row],[LastType]] = "Blk", ICE[[#This Row],[LstBlkPrc]], ""))</f>
        <v/>
      </c>
      <c r="S176" s="36">
        <f>ICE[[#This Row],[Vol]]+ICE[[#This Row],[BlkVol]]</f>
        <v>0</v>
      </c>
      <c r="T176" s="36">
        <f>RTD("ice.rtd",,$C176 &amp; $D176 &amp; ":" &amp; T$1)</f>
        <v>0</v>
      </c>
      <c r="U176" s="18">
        <f>RTD("ice.rtd",,$C176 &amp; $D176 &amp; ":" &amp; U$1)</f>
        <v>2.95</v>
      </c>
      <c r="V1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6" s="18" t="str">
        <f>IFERROR(IF(LEFT(ICE[[#This Row],[Tenor]], 1) = "B", RTD("esrtd",,$B176 &amp; " " &amp; ICE[[#This Row],[Tenor]] &amp; "-IEU", W$1), RTD("esrtd",,$B176 &amp; " " &amp; VLOOKUP(MONTH(ICE[[#This Row],[Strip]]), MthRef[], 2, 0) &amp; RIGHT(YEAR(ICE[[#This Row],[Strip]]), 2) &amp; "-IEU", W$1)), "")</f>
        <v/>
      </c>
      <c r="X176" s="36"/>
    </row>
    <row r="177" spans="1:24" x14ac:dyDescent="0.25">
      <c r="A177" s="37" t="s">
        <v>413</v>
      </c>
      <c r="B177" s="3" t="str">
        <f>RTD("ice.rtd",,$C177 &amp; $D177 &amp; ":" &amp; B$1)</f>
        <v>BAQ</v>
      </c>
      <c r="C177" s="3">
        <v>1986923076</v>
      </c>
      <c r="D177" t="s">
        <v>811</v>
      </c>
      <c r="E177" s="3" t="str">
        <f>RTD("ice.rtd",,$C177 &amp; $D177 &amp; ":" &amp; E$1)</f>
        <v>Jul28</v>
      </c>
      <c r="F177" s="3" t="str">
        <f>ICE[[#This Row],[Prod]]&amp;ICE[[#This Row],[Strip]]</f>
        <v>regradeJul28</v>
      </c>
      <c r="G177" s="18" t="str">
        <f>RTD("ice.rtd",,$C177 &amp; $D177 &amp; ":" &amp; G$1)</f>
        <v/>
      </c>
      <c r="H177" s="18" t="str">
        <f>RTD("ice.rtd",,$C177 &amp; $D177 &amp; ":" &amp; H$1)</f>
        <v/>
      </c>
      <c r="I177" s="18" t="str">
        <f>RTD("ice.rtd",,$C177 &amp; $D177 &amp; ":" &amp; I$1)</f>
        <v/>
      </c>
      <c r="J177" s="14" t="str">
        <f>IFERROR(MOD(RTD("ice.rtd",,$C177 &amp; $D177 &amp; ":" &amp; J$1), 1), "")</f>
        <v/>
      </c>
      <c r="K177" s="18" t="str">
        <f>RTD("ice.rtd",,$C177 &amp; $D177 &amp; ":" &amp; K$1)</f>
        <v/>
      </c>
      <c r="L177" s="36" t="str">
        <f>RTD("ice.rtd",,$C177 &amp; $D177 &amp; ":" &amp; L$1)</f>
        <v/>
      </c>
      <c r="M177" s="14" t="str">
        <f>IFERROR(MOD(TIMEVALUE(RTD("ice.rtd",,$C177 &amp; $D177 &amp; ":" &amp; M$1)), 1), "")</f>
        <v/>
      </c>
      <c r="N177" s="36">
        <f>RTD("ice.rtd",,$C177 &amp; $D177 &amp; ":" &amp; N$1)</f>
        <v>0</v>
      </c>
      <c r="O177" s="36">
        <f>RTD("ice.rtd",,$C177 &amp; $D177 &amp; ":" &amp; O$1)</f>
        <v>0</v>
      </c>
      <c r="P1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" s="14" t="str">
        <f>IF(ICE[[#This Row],[LastType]] = "Scrn", ICE[[#This Row],[LstDate]], IF(ICE[[#This Row],[LastType]] = "Blk", ICE[[#This Row],[LstBlkTime]], ""))</f>
        <v/>
      </c>
      <c r="R177" s="41" t="str">
        <f>IF(ICE[[#This Row],[LastType]] = "Scrn", ICE[[#This Row],[LstPrc]], IF(ICE[[#This Row],[LastType]] = "Blk", ICE[[#This Row],[LstBlkPrc]], ""))</f>
        <v/>
      </c>
      <c r="S177" s="36">
        <f>ICE[[#This Row],[Vol]]+ICE[[#This Row],[BlkVol]]</f>
        <v>0</v>
      </c>
      <c r="T177" s="36">
        <f>RTD("ice.rtd",,$C177 &amp; $D177 &amp; ":" &amp; T$1)</f>
        <v>0</v>
      </c>
      <c r="U177" s="18">
        <f>RTD("ice.rtd",,$C177 &amp; $D177 &amp; ":" &amp; U$1)</f>
        <v>2.95</v>
      </c>
      <c r="V1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7" s="18" t="str">
        <f>IFERROR(IF(LEFT(ICE[[#This Row],[Tenor]], 1) = "B", RTD("esrtd",,$B177 &amp; " " &amp; ICE[[#This Row],[Tenor]] &amp; "-IEU", W$1), RTD("esrtd",,$B177 &amp; " " &amp; VLOOKUP(MONTH(ICE[[#This Row],[Strip]]), MthRef[], 2, 0) &amp; RIGHT(YEAR(ICE[[#This Row],[Strip]]), 2) &amp; "-IEU", W$1)), "")</f>
        <v/>
      </c>
      <c r="X177" s="36"/>
    </row>
    <row r="178" spans="1:24" x14ac:dyDescent="0.25">
      <c r="A178" s="37" t="s">
        <v>413</v>
      </c>
      <c r="B178" s="3" t="str">
        <f>RTD("ice.rtd",,$C178 &amp; $D178 &amp; ":" &amp; B$1)</f>
        <v>BAQ</v>
      </c>
      <c r="C178" s="3">
        <v>1986923076</v>
      </c>
      <c r="D178" t="s">
        <v>812</v>
      </c>
      <c r="E178" s="3" t="str">
        <f>RTD("ice.rtd",,$C178 &amp; $D178 &amp; ":" &amp; E$1)</f>
        <v>Aug28</v>
      </c>
      <c r="F178" s="3" t="str">
        <f>ICE[[#This Row],[Prod]]&amp;ICE[[#This Row],[Strip]]</f>
        <v>regradeAug28</v>
      </c>
      <c r="G178" s="18" t="str">
        <f>RTD("ice.rtd",,$C178 &amp; $D178 &amp; ":" &amp; G$1)</f>
        <v/>
      </c>
      <c r="H178" s="18" t="str">
        <f>RTD("ice.rtd",,$C178 &amp; $D178 &amp; ":" &amp; H$1)</f>
        <v/>
      </c>
      <c r="I178" s="18" t="str">
        <f>RTD("ice.rtd",,$C178 &amp; $D178 &amp; ":" &amp; I$1)</f>
        <v/>
      </c>
      <c r="J178" s="14" t="str">
        <f>IFERROR(MOD(RTD("ice.rtd",,$C178 &amp; $D178 &amp; ":" &amp; J$1), 1), "")</f>
        <v/>
      </c>
      <c r="K178" s="18" t="str">
        <f>RTD("ice.rtd",,$C178 &amp; $D178 &amp; ":" &amp; K$1)</f>
        <v/>
      </c>
      <c r="L178" s="36" t="str">
        <f>RTD("ice.rtd",,$C178 &amp; $D178 &amp; ":" &amp; L$1)</f>
        <v/>
      </c>
      <c r="M178" s="14" t="str">
        <f>IFERROR(MOD(TIMEVALUE(RTD("ice.rtd",,$C178 &amp; $D178 &amp; ":" &amp; M$1)), 1), "")</f>
        <v/>
      </c>
      <c r="N178" s="36">
        <f>RTD("ice.rtd",,$C178 &amp; $D178 &amp; ":" &amp; N$1)</f>
        <v>0</v>
      </c>
      <c r="O178" s="36">
        <f>RTD("ice.rtd",,$C178 &amp; $D178 &amp; ":" &amp; O$1)</f>
        <v>0</v>
      </c>
      <c r="P1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" s="14" t="str">
        <f>IF(ICE[[#This Row],[LastType]] = "Scrn", ICE[[#This Row],[LstDate]], IF(ICE[[#This Row],[LastType]] = "Blk", ICE[[#This Row],[LstBlkTime]], ""))</f>
        <v/>
      </c>
      <c r="R178" s="41" t="str">
        <f>IF(ICE[[#This Row],[LastType]] = "Scrn", ICE[[#This Row],[LstPrc]], IF(ICE[[#This Row],[LastType]] = "Blk", ICE[[#This Row],[LstBlkPrc]], ""))</f>
        <v/>
      </c>
      <c r="S178" s="36">
        <f>ICE[[#This Row],[Vol]]+ICE[[#This Row],[BlkVol]]</f>
        <v>0</v>
      </c>
      <c r="T178" s="36">
        <f>RTD("ice.rtd",,$C178 &amp; $D178 &amp; ":" &amp; T$1)</f>
        <v>0</v>
      </c>
      <c r="U178" s="18">
        <f>RTD("ice.rtd",,$C178 &amp; $D178 &amp; ":" &amp; U$1)</f>
        <v>2.97</v>
      </c>
      <c r="V1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8" s="18" t="str">
        <f>IFERROR(IF(LEFT(ICE[[#This Row],[Tenor]], 1) = "B", RTD("esrtd",,$B178 &amp; " " &amp; ICE[[#This Row],[Tenor]] &amp; "-IEU", W$1), RTD("esrtd",,$B178 &amp; " " &amp; VLOOKUP(MONTH(ICE[[#This Row],[Strip]]), MthRef[], 2, 0) &amp; RIGHT(YEAR(ICE[[#This Row],[Strip]]), 2) &amp; "-IEU", W$1)), "")</f>
        <v/>
      </c>
      <c r="X178" s="36"/>
    </row>
    <row r="179" spans="1:24" x14ac:dyDescent="0.25">
      <c r="A179" s="37" t="s">
        <v>413</v>
      </c>
      <c r="B179" s="3" t="str">
        <f>RTD("ice.rtd",,$C179 &amp; $D179 &amp; ":" &amp; B$1)</f>
        <v>BAQ</v>
      </c>
      <c r="C179" s="3">
        <v>1986923076</v>
      </c>
      <c r="D179" t="s">
        <v>813</v>
      </c>
      <c r="E179" s="3" t="str">
        <f>RTD("ice.rtd",,$C179 &amp; $D179 &amp; ":" &amp; E$1)</f>
        <v>Sep28</v>
      </c>
      <c r="F179" s="3" t="str">
        <f>ICE[[#This Row],[Prod]]&amp;ICE[[#This Row],[Strip]]</f>
        <v>regradeSep28</v>
      </c>
      <c r="G179" s="18" t="str">
        <f>RTD("ice.rtd",,$C179 &amp; $D179 &amp; ":" &amp; G$1)</f>
        <v/>
      </c>
      <c r="H179" s="18" t="str">
        <f>RTD("ice.rtd",,$C179 &amp; $D179 &amp; ":" &amp; H$1)</f>
        <v/>
      </c>
      <c r="I179" s="18" t="str">
        <f>RTD("ice.rtd",,$C179 &amp; $D179 &amp; ":" &amp; I$1)</f>
        <v/>
      </c>
      <c r="J179" s="14" t="str">
        <f>IFERROR(MOD(RTD("ice.rtd",,$C179 &amp; $D179 &amp; ":" &amp; J$1), 1), "")</f>
        <v/>
      </c>
      <c r="K179" s="18" t="str">
        <f>RTD("ice.rtd",,$C179 &amp; $D179 &amp; ":" &amp; K$1)</f>
        <v/>
      </c>
      <c r="L179" s="36" t="str">
        <f>RTD("ice.rtd",,$C179 &amp; $D179 &amp; ":" &amp; L$1)</f>
        <v/>
      </c>
      <c r="M179" s="14" t="str">
        <f>IFERROR(MOD(TIMEVALUE(RTD("ice.rtd",,$C179 &amp; $D179 &amp; ":" &amp; M$1)), 1), "")</f>
        <v/>
      </c>
      <c r="N179" s="36">
        <f>RTD("ice.rtd",,$C179 &amp; $D179 &amp; ":" &amp; N$1)</f>
        <v>0</v>
      </c>
      <c r="O179" s="36">
        <f>RTD("ice.rtd",,$C179 &amp; $D179 &amp; ":" &amp; O$1)</f>
        <v>0</v>
      </c>
      <c r="P1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" s="14" t="str">
        <f>IF(ICE[[#This Row],[LastType]] = "Scrn", ICE[[#This Row],[LstDate]], IF(ICE[[#This Row],[LastType]] = "Blk", ICE[[#This Row],[LstBlkTime]], ""))</f>
        <v/>
      </c>
      <c r="R179" s="41" t="str">
        <f>IF(ICE[[#This Row],[LastType]] = "Scrn", ICE[[#This Row],[LstPrc]], IF(ICE[[#This Row],[LastType]] = "Blk", ICE[[#This Row],[LstBlkPrc]], ""))</f>
        <v/>
      </c>
      <c r="S179" s="36">
        <f>ICE[[#This Row],[Vol]]+ICE[[#This Row],[BlkVol]]</f>
        <v>0</v>
      </c>
      <c r="T179" s="36">
        <f>RTD("ice.rtd",,$C179 &amp; $D179 &amp; ":" &amp; T$1)</f>
        <v>0</v>
      </c>
      <c r="U179" s="18">
        <f>RTD("ice.rtd",,$C179 &amp; $D179 &amp; ":" &amp; U$1)</f>
        <v>2.99</v>
      </c>
      <c r="V1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9" s="18" t="str">
        <f>IFERROR(IF(LEFT(ICE[[#This Row],[Tenor]], 1) = "B", RTD("esrtd",,$B179 &amp; " " &amp; ICE[[#This Row],[Tenor]] &amp; "-IEU", W$1), RTD("esrtd",,$B179 &amp; " " &amp; VLOOKUP(MONTH(ICE[[#This Row],[Strip]]), MthRef[], 2, 0) &amp; RIGHT(YEAR(ICE[[#This Row],[Strip]]), 2) &amp; "-IEU", W$1)), "")</f>
        <v/>
      </c>
      <c r="X179" s="36"/>
    </row>
    <row r="180" spans="1:24" x14ac:dyDescent="0.25">
      <c r="A180" s="37" t="s">
        <v>413</v>
      </c>
      <c r="B180" s="3" t="str">
        <f>RTD("ice.rtd",,$C180 &amp; $D180 &amp; ":" &amp; B$1)</f>
        <v>BAQ</v>
      </c>
      <c r="C180" s="3">
        <v>1986923076</v>
      </c>
      <c r="D180" t="s">
        <v>814</v>
      </c>
      <c r="E180" s="3" t="str">
        <f>RTD("ice.rtd",,$C180 &amp; $D180 &amp; ":" &amp; E$1)</f>
        <v>Q4 26</v>
      </c>
      <c r="F180" s="3" t="str">
        <f>ICE[[#This Row],[Prod]]&amp;ICE[[#This Row],[Strip]]</f>
        <v>regradeQ4 26</v>
      </c>
      <c r="G180" s="18">
        <f>RTD("ice.rtd",,$C180 &amp; $D180 &amp; ":" &amp; G$1)</f>
        <v>-0.9</v>
      </c>
      <c r="H180" s="18">
        <f>RTD("ice.rtd",,$C180 &amp; $D180 &amp; ":" &amp; H$1)</f>
        <v>2.4</v>
      </c>
      <c r="I180" s="18" t="str">
        <f>RTD("ice.rtd",,$C180 &amp; $D180 &amp; ":" &amp; I$1)</f>
        <v/>
      </c>
      <c r="J180" s="14" t="str">
        <f>IFERROR(MOD(RTD("ice.rtd",,$C180 &amp; $D180 &amp; ":" &amp; J$1), 1), "")</f>
        <v/>
      </c>
      <c r="K180" s="18" t="str">
        <f>RTD("ice.rtd",,$C180 &amp; $D180 &amp; ":" &amp; K$1)</f>
        <v/>
      </c>
      <c r="L180" s="36" t="str">
        <f>RTD("ice.rtd",,$C180 &amp; $D180 &amp; ":" &amp; L$1)</f>
        <v/>
      </c>
      <c r="M180" s="14" t="str">
        <f>IFERROR(MOD(TIMEVALUE(RTD("ice.rtd",,$C180 &amp; $D180 &amp; ":" &amp; M$1)), 1), "")</f>
        <v/>
      </c>
      <c r="N180" s="36">
        <f>RTD("ice.rtd",,$C180 &amp; $D180 &amp; ":" &amp; N$1)</f>
        <v>0</v>
      </c>
      <c r="O180" s="36">
        <f>RTD("ice.rtd",,$C180 &amp; $D180 &amp; ":" &amp; O$1)</f>
        <v>0</v>
      </c>
      <c r="P1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" s="14" t="str">
        <f>IF(ICE[[#This Row],[LastType]] = "Scrn", ICE[[#This Row],[LstDate]], IF(ICE[[#This Row],[LastType]] = "Blk", ICE[[#This Row],[LstBlkTime]], ""))</f>
        <v/>
      </c>
      <c r="R180" s="41" t="str">
        <f>IF(ICE[[#This Row],[LastType]] = "Scrn", ICE[[#This Row],[LstPrc]], IF(ICE[[#This Row],[LastType]] = "Blk", ICE[[#This Row],[LstBlkPrc]], ""))</f>
        <v/>
      </c>
      <c r="S180" s="36">
        <f>ICE[[#This Row],[Vol]]+ICE[[#This Row],[BlkVol]]</f>
        <v>0</v>
      </c>
      <c r="T180" s="36">
        <f>RTD("ice.rtd",,$C180 &amp; $D180 &amp; ":" &amp; T$1)</f>
        <v>0</v>
      </c>
      <c r="U180" s="18">
        <f>RTD("ice.rtd",,$C180 &amp; $D180 &amp; ":" &amp; U$1)</f>
        <v>0.35000000000000003</v>
      </c>
      <c r="V1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-0.90 / 2.40 </v>
      </c>
      <c r="W180" s="18" t="str">
        <f>IFERROR(IF(LEFT(ICE[[#This Row],[Tenor]], 1) = "B", RTD("esrtd",,$B180 &amp; " " &amp; ICE[[#This Row],[Tenor]] &amp; "-IEU", W$1), RTD("esrtd",,$B180 &amp; " " &amp; VLOOKUP(MONTH(ICE[[#This Row],[Strip]]), MthRef[], 2, 0) &amp; RIGHT(YEAR(ICE[[#This Row],[Strip]]), 2) &amp; "-IEU", W$1)), "")</f>
        <v/>
      </c>
      <c r="X180" s="36"/>
    </row>
    <row r="181" spans="1:24" x14ac:dyDescent="0.25">
      <c r="A181" s="37" t="s">
        <v>413</v>
      </c>
      <c r="B181" s="3" t="str">
        <f>RTD("ice.rtd",,$C181 &amp; $D181 &amp; ":" &amp; B$1)</f>
        <v>BAQ</v>
      </c>
      <c r="C181" s="3">
        <v>1986923076</v>
      </c>
      <c r="D181" t="s">
        <v>815</v>
      </c>
      <c r="E181" s="3" t="str">
        <f>RTD("ice.rtd",,$C181 &amp; $D181 &amp; ":" &amp; E$1)</f>
        <v>Q1 27</v>
      </c>
      <c r="F181" s="3" t="str">
        <f>ICE[[#This Row],[Prod]]&amp;ICE[[#This Row],[Strip]]</f>
        <v>regradeQ1 27</v>
      </c>
      <c r="G181" s="18">
        <f>RTD("ice.rtd",,$C181 &amp; $D181 &amp; ":" &amp; G$1)</f>
        <v>0.3</v>
      </c>
      <c r="H181" s="18">
        <f>RTD("ice.rtd",,$C181 &amp; $D181 &amp; ":" &amp; H$1)</f>
        <v>3</v>
      </c>
      <c r="I181" s="18" t="str">
        <f>RTD("ice.rtd",,$C181 &amp; $D181 &amp; ":" &amp; I$1)</f>
        <v/>
      </c>
      <c r="J181" s="14" t="str">
        <f>IFERROR(MOD(RTD("ice.rtd",,$C181 &amp; $D181 &amp; ":" &amp; J$1), 1), "")</f>
        <v/>
      </c>
      <c r="K181" s="18" t="str">
        <f>RTD("ice.rtd",,$C181 &amp; $D181 &amp; ":" &amp; K$1)</f>
        <v/>
      </c>
      <c r="L181" s="36" t="str">
        <f>RTD("ice.rtd",,$C181 &amp; $D181 &amp; ":" &amp; L$1)</f>
        <v/>
      </c>
      <c r="M181" s="14" t="str">
        <f>IFERROR(MOD(TIMEVALUE(RTD("ice.rtd",,$C181 &amp; $D181 &amp; ":" &amp; M$1)), 1), "")</f>
        <v/>
      </c>
      <c r="N181" s="36">
        <f>RTD("ice.rtd",,$C181 &amp; $D181 &amp; ":" &amp; N$1)</f>
        <v>0</v>
      </c>
      <c r="O181" s="36">
        <f>RTD("ice.rtd",,$C181 &amp; $D181 &amp; ":" &amp; O$1)</f>
        <v>0</v>
      </c>
      <c r="P1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" s="14" t="str">
        <f>IF(ICE[[#This Row],[LastType]] = "Scrn", ICE[[#This Row],[LstDate]], IF(ICE[[#This Row],[LastType]] = "Blk", ICE[[#This Row],[LstBlkTime]], ""))</f>
        <v/>
      </c>
      <c r="R181" s="41" t="str">
        <f>IF(ICE[[#This Row],[LastType]] = "Scrn", ICE[[#This Row],[LstPrc]], IF(ICE[[#This Row],[LastType]] = "Blk", ICE[[#This Row],[LstBlkPrc]], ""))</f>
        <v/>
      </c>
      <c r="S181" s="36">
        <f>ICE[[#This Row],[Vol]]+ICE[[#This Row],[BlkVol]]</f>
        <v>0</v>
      </c>
      <c r="T181" s="36">
        <f>RTD("ice.rtd",,$C181 &amp; $D181 &amp; ":" &amp; T$1)</f>
        <v>0</v>
      </c>
      <c r="U181" s="18">
        <f>RTD("ice.rtd",,$C181 &amp; $D181 &amp; ":" &amp; U$1)</f>
        <v>2.8000000000000003</v>
      </c>
      <c r="V1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0.30 / 3.00 </v>
      </c>
      <c r="W181" s="18" t="str">
        <f>IFERROR(IF(LEFT(ICE[[#This Row],[Tenor]], 1) = "B", RTD("esrtd",,$B181 &amp; " " &amp; ICE[[#This Row],[Tenor]] &amp; "-IEU", W$1), RTD("esrtd",,$B181 &amp; " " &amp; VLOOKUP(MONTH(ICE[[#This Row],[Strip]]), MthRef[], 2, 0) &amp; RIGHT(YEAR(ICE[[#This Row],[Strip]]), 2) &amp; "-IEU", W$1)), "")</f>
        <v/>
      </c>
      <c r="X181" s="36"/>
    </row>
    <row r="182" spans="1:24" x14ac:dyDescent="0.25">
      <c r="A182" s="37" t="s">
        <v>413</v>
      </c>
      <c r="B182" s="3" t="str">
        <f>RTD("ice.rtd",,$C182 &amp; $D182 &amp; ":" &amp; B$1)</f>
        <v>BAQ</v>
      </c>
      <c r="C182" s="3">
        <v>1986923076</v>
      </c>
      <c r="D182" t="s">
        <v>816</v>
      </c>
      <c r="E182" s="3" t="str">
        <f>RTD("ice.rtd",,$C182 &amp; $D182 &amp; ":" &amp; E$1)</f>
        <v>Q2 27</v>
      </c>
      <c r="F182" s="3" t="str">
        <f>ICE[[#This Row],[Prod]]&amp;ICE[[#This Row],[Strip]]</f>
        <v>regradeQ2 27</v>
      </c>
      <c r="G182" s="18">
        <f>RTD("ice.rtd",,$C182 &amp; $D182 &amp; ":" &amp; G$1)</f>
        <v>0.9</v>
      </c>
      <c r="H182" s="18">
        <f>RTD("ice.rtd",,$C182 &amp; $D182 &amp; ":" &amp; H$1)</f>
        <v>2</v>
      </c>
      <c r="I182" s="18" t="str">
        <f>RTD("ice.rtd",,$C182 &amp; $D182 &amp; ":" &amp; I$1)</f>
        <v/>
      </c>
      <c r="J182" s="14" t="str">
        <f>IFERROR(MOD(RTD("ice.rtd",,$C182 &amp; $D182 &amp; ":" &amp; J$1), 1), "")</f>
        <v/>
      </c>
      <c r="K182" s="18" t="str">
        <f>RTD("ice.rtd",,$C182 &amp; $D182 &amp; ":" &amp; K$1)</f>
        <v/>
      </c>
      <c r="L182" s="36" t="str">
        <f>RTD("ice.rtd",,$C182 &amp; $D182 &amp; ":" &amp; L$1)</f>
        <v/>
      </c>
      <c r="M182" s="14" t="str">
        <f>IFERROR(MOD(TIMEVALUE(RTD("ice.rtd",,$C182 &amp; $D182 &amp; ":" &amp; M$1)), 1), "")</f>
        <v/>
      </c>
      <c r="N182" s="36">
        <f>RTD("ice.rtd",,$C182 &amp; $D182 &amp; ":" &amp; N$1)</f>
        <v>0</v>
      </c>
      <c r="O182" s="36">
        <f>RTD("ice.rtd",,$C182 &amp; $D182 &amp; ":" &amp; O$1)</f>
        <v>0</v>
      </c>
      <c r="P1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" s="14" t="str">
        <f>IF(ICE[[#This Row],[LastType]] = "Scrn", ICE[[#This Row],[LstDate]], IF(ICE[[#This Row],[LastType]] = "Blk", ICE[[#This Row],[LstBlkTime]], ""))</f>
        <v/>
      </c>
      <c r="R182" s="41" t="str">
        <f>IF(ICE[[#This Row],[LastType]] = "Scrn", ICE[[#This Row],[LstPrc]], IF(ICE[[#This Row],[LastType]] = "Blk", ICE[[#This Row],[LstBlkPrc]], ""))</f>
        <v/>
      </c>
      <c r="S182" s="36">
        <f>ICE[[#This Row],[Vol]]+ICE[[#This Row],[BlkVol]]</f>
        <v>0</v>
      </c>
      <c r="T182" s="36">
        <f>RTD("ice.rtd",,$C182 &amp; $D182 &amp; ":" &amp; T$1)</f>
        <v>0</v>
      </c>
      <c r="U182" s="18">
        <f>RTD("ice.rtd",,$C182 &amp; $D182 &amp; ":" &amp; U$1)</f>
        <v>1.9000000000000001</v>
      </c>
      <c r="V1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0.90 / 2.00 </v>
      </c>
      <c r="W182" s="18" t="str">
        <f>IFERROR(IF(LEFT(ICE[[#This Row],[Tenor]], 1) = "B", RTD("esrtd",,$B182 &amp; " " &amp; ICE[[#This Row],[Tenor]] &amp; "-IEU", W$1), RTD("esrtd",,$B182 &amp; " " &amp; VLOOKUP(MONTH(ICE[[#This Row],[Strip]]), MthRef[], 2, 0) &amp; RIGHT(YEAR(ICE[[#This Row],[Strip]]), 2) &amp; "-IEU", W$1)), "")</f>
        <v/>
      </c>
      <c r="X182" s="36"/>
    </row>
    <row r="183" spans="1:24" x14ac:dyDescent="0.25">
      <c r="A183" s="37" t="s">
        <v>413</v>
      </c>
      <c r="B183" s="3" t="str">
        <f>RTD("ice.rtd",,$C183 &amp; $D183 &amp; ":" &amp; B$1)</f>
        <v>BAQ</v>
      </c>
      <c r="C183" s="3">
        <v>1986923076</v>
      </c>
      <c r="D183" t="s">
        <v>817</v>
      </c>
      <c r="E183" s="3" t="str">
        <f>RTD("ice.rtd",,$C183 &amp; $D183 &amp; ":" &amp; E$1)</f>
        <v>Q3 27</v>
      </c>
      <c r="F183" s="3" t="str">
        <f>ICE[[#This Row],[Prod]]&amp;ICE[[#This Row],[Strip]]</f>
        <v>regradeQ3 27</v>
      </c>
      <c r="G183" s="18" t="str">
        <f>RTD("ice.rtd",,$C183 &amp; $D183 &amp; ":" &amp; G$1)</f>
        <v/>
      </c>
      <c r="H183" s="18">
        <f>RTD("ice.rtd",,$C183 &amp; $D183 &amp; ":" &amp; H$1)</f>
        <v>3.95</v>
      </c>
      <c r="I183" s="18" t="str">
        <f>RTD("ice.rtd",,$C183 &amp; $D183 &amp; ":" &amp; I$1)</f>
        <v/>
      </c>
      <c r="J183" s="14" t="str">
        <f>IFERROR(MOD(RTD("ice.rtd",,$C183 &amp; $D183 &amp; ":" &amp; J$1), 1), "")</f>
        <v/>
      </c>
      <c r="K183" s="18" t="str">
        <f>RTD("ice.rtd",,$C183 &amp; $D183 &amp; ":" &amp; K$1)</f>
        <v/>
      </c>
      <c r="L183" s="36" t="str">
        <f>RTD("ice.rtd",,$C183 &amp; $D183 &amp; ":" &amp; L$1)</f>
        <v/>
      </c>
      <c r="M183" s="14" t="str">
        <f>IFERROR(MOD(TIMEVALUE(RTD("ice.rtd",,$C183 &amp; $D183 &amp; ":" &amp; M$1)), 1), "")</f>
        <v/>
      </c>
      <c r="N183" s="36">
        <f>RTD("ice.rtd",,$C183 &amp; $D183 &amp; ":" &amp; N$1)</f>
        <v>0</v>
      </c>
      <c r="O183" s="36">
        <f>RTD("ice.rtd",,$C183 &amp; $D183 &amp; ":" &amp; O$1)</f>
        <v>0</v>
      </c>
      <c r="P1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" s="14" t="str">
        <f>IF(ICE[[#This Row],[LastType]] = "Scrn", ICE[[#This Row],[LstDate]], IF(ICE[[#This Row],[LastType]] = "Blk", ICE[[#This Row],[LstBlkTime]], ""))</f>
        <v/>
      </c>
      <c r="R183" s="41" t="str">
        <f>IF(ICE[[#This Row],[LastType]] = "Scrn", ICE[[#This Row],[LstPrc]], IF(ICE[[#This Row],[LastType]] = "Blk", ICE[[#This Row],[LstBlkPrc]], ""))</f>
        <v/>
      </c>
      <c r="S183" s="36">
        <f>ICE[[#This Row],[Vol]]+ICE[[#This Row],[BlkVol]]</f>
        <v>0</v>
      </c>
      <c r="T183" s="36">
        <f>RTD("ice.rtd",,$C183 &amp; $D183 &amp; ":" &amp; T$1)</f>
        <v>0</v>
      </c>
      <c r="U183" s="18">
        <f>RTD("ice.rtd",,$C183 &amp; $D183 &amp; ":" &amp; U$1)</f>
        <v>2.1</v>
      </c>
      <c r="V1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3.95 </v>
      </c>
      <c r="W183" s="18" t="str">
        <f>IFERROR(IF(LEFT(ICE[[#This Row],[Tenor]], 1) = "B", RTD("esrtd",,$B183 &amp; " " &amp; ICE[[#This Row],[Tenor]] &amp; "-IEU", W$1), RTD("esrtd",,$B183 &amp; " " &amp; VLOOKUP(MONTH(ICE[[#This Row],[Strip]]), MthRef[], 2, 0) &amp; RIGHT(YEAR(ICE[[#This Row],[Strip]]), 2) &amp; "-IEU", W$1)), "")</f>
        <v/>
      </c>
      <c r="X183" s="36"/>
    </row>
    <row r="184" spans="1:24" x14ac:dyDescent="0.25">
      <c r="A184" s="37" t="s">
        <v>413</v>
      </c>
      <c r="B184" s="3" t="str">
        <f>RTD("ice.rtd",,$C184 &amp; $D184 &amp; ":" &amp; B$1)</f>
        <v>BAQ</v>
      </c>
      <c r="C184" s="3">
        <v>1986923076</v>
      </c>
      <c r="D184" t="s">
        <v>818</v>
      </c>
      <c r="E184" s="3" t="str">
        <f>RTD("ice.rtd",,$C184 &amp; $D184 &amp; ":" &amp; E$1)</f>
        <v>Q4 27</v>
      </c>
      <c r="F184" s="3" t="str">
        <f>ICE[[#This Row],[Prod]]&amp;ICE[[#This Row],[Strip]]</f>
        <v>regradeQ4 27</v>
      </c>
      <c r="G184" s="18" t="str">
        <f>RTD("ice.rtd",,$C184 &amp; $D184 &amp; ":" &amp; G$1)</f>
        <v/>
      </c>
      <c r="H184" s="18">
        <f>RTD("ice.rtd",,$C184 &amp; $D184 &amp; ":" &amp; H$1)</f>
        <v>3.95</v>
      </c>
      <c r="I184" s="18" t="str">
        <f>RTD("ice.rtd",,$C184 &amp; $D184 &amp; ":" &amp; I$1)</f>
        <v/>
      </c>
      <c r="J184" s="14" t="str">
        <f>IFERROR(MOD(RTD("ice.rtd",,$C184 &amp; $D184 &amp; ":" &amp; J$1), 1), "")</f>
        <v/>
      </c>
      <c r="K184" s="18" t="str">
        <f>RTD("ice.rtd",,$C184 &amp; $D184 &amp; ":" &amp; K$1)</f>
        <v/>
      </c>
      <c r="L184" s="36" t="str">
        <f>RTD("ice.rtd",,$C184 &amp; $D184 &amp; ":" &amp; L$1)</f>
        <v/>
      </c>
      <c r="M184" s="14" t="str">
        <f>IFERROR(MOD(TIMEVALUE(RTD("ice.rtd",,$C184 &amp; $D184 &amp; ":" &amp; M$1)), 1), "")</f>
        <v/>
      </c>
      <c r="N184" s="36">
        <f>RTD("ice.rtd",,$C184 &amp; $D184 &amp; ":" &amp; N$1)</f>
        <v>0</v>
      </c>
      <c r="O184" s="36">
        <f>RTD("ice.rtd",,$C184 &amp; $D184 &amp; ":" &amp; O$1)</f>
        <v>0</v>
      </c>
      <c r="P1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" s="14" t="str">
        <f>IF(ICE[[#This Row],[LastType]] = "Scrn", ICE[[#This Row],[LstDate]], IF(ICE[[#This Row],[LastType]] = "Blk", ICE[[#This Row],[LstBlkTime]], ""))</f>
        <v/>
      </c>
      <c r="R184" s="41" t="str">
        <f>IF(ICE[[#This Row],[LastType]] = "Scrn", ICE[[#This Row],[LstPrc]], IF(ICE[[#This Row],[LastType]] = "Blk", ICE[[#This Row],[LstBlkPrc]], ""))</f>
        <v/>
      </c>
      <c r="S184" s="36">
        <f>ICE[[#This Row],[Vol]]+ICE[[#This Row],[BlkVol]]</f>
        <v>0</v>
      </c>
      <c r="T184" s="36">
        <f>RTD("ice.rtd",,$C184 &amp; $D184 &amp; ":" &amp; T$1)</f>
        <v>0</v>
      </c>
      <c r="U184" s="18">
        <f>RTD("ice.rtd",,$C184 &amp; $D184 &amp; ":" &amp; U$1)</f>
        <v>2.75</v>
      </c>
      <c r="V1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3.95 </v>
      </c>
      <c r="W184" s="18" t="str">
        <f>IFERROR(IF(LEFT(ICE[[#This Row],[Tenor]], 1) = "B", RTD("esrtd",,$B184 &amp; " " &amp; ICE[[#This Row],[Tenor]] &amp; "-IEU", W$1), RTD("esrtd",,$B184 &amp; " " &amp; VLOOKUP(MONTH(ICE[[#This Row],[Strip]]), MthRef[], 2, 0) &amp; RIGHT(YEAR(ICE[[#This Row],[Strip]]), 2) &amp; "-IEU", W$1)), "")</f>
        <v/>
      </c>
      <c r="X184" s="36"/>
    </row>
    <row r="185" spans="1:24" x14ac:dyDescent="0.25">
      <c r="A185" s="37" t="s">
        <v>413</v>
      </c>
      <c r="B185" s="3" t="str">
        <f>RTD("ice.rtd",,$C185 &amp; $D185 &amp; ":" &amp; B$1)</f>
        <v>BAQ</v>
      </c>
      <c r="C185" s="3">
        <v>1986923076</v>
      </c>
      <c r="D185" t="s">
        <v>819</v>
      </c>
      <c r="E185" s="3" t="str">
        <f>RTD("ice.rtd",,$C185 &amp; $D185 &amp; ":" &amp; E$1)</f>
        <v>Q1 28</v>
      </c>
      <c r="F185" s="3" t="str">
        <f>ICE[[#This Row],[Prod]]&amp;ICE[[#This Row],[Strip]]</f>
        <v>regradeQ1 28</v>
      </c>
      <c r="G185" s="18" t="str">
        <f>RTD("ice.rtd",,$C185 &amp; $D185 &amp; ":" &amp; G$1)</f>
        <v/>
      </c>
      <c r="H185" s="18" t="str">
        <f>RTD("ice.rtd",,$C185 &amp; $D185 &amp; ":" &amp; H$1)</f>
        <v/>
      </c>
      <c r="I185" s="18" t="str">
        <f>RTD("ice.rtd",,$C185 &amp; $D185 &amp; ":" &amp; I$1)</f>
        <v/>
      </c>
      <c r="J185" s="14" t="str">
        <f>IFERROR(MOD(RTD("ice.rtd",,$C185 &amp; $D185 &amp; ":" &amp; J$1), 1), "")</f>
        <v/>
      </c>
      <c r="K185" s="18" t="str">
        <f>RTD("ice.rtd",,$C185 &amp; $D185 &amp; ":" &amp; K$1)</f>
        <v/>
      </c>
      <c r="L185" s="36" t="str">
        <f>RTD("ice.rtd",,$C185 &amp; $D185 &amp; ":" &amp; L$1)</f>
        <v/>
      </c>
      <c r="M185" s="14" t="str">
        <f>IFERROR(MOD(TIMEVALUE(RTD("ice.rtd",,$C185 &amp; $D185 &amp; ":" &amp; M$1)), 1), "")</f>
        <v/>
      </c>
      <c r="N185" s="36">
        <f>RTD("ice.rtd",,$C185 &amp; $D185 &amp; ":" &amp; N$1)</f>
        <v>0</v>
      </c>
      <c r="O185" s="36">
        <f>RTD("ice.rtd",,$C185 &amp; $D185 &amp; ":" &amp; O$1)</f>
        <v>0</v>
      </c>
      <c r="P1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" s="14" t="str">
        <f>IF(ICE[[#This Row],[LastType]] = "Scrn", ICE[[#This Row],[LstDate]], IF(ICE[[#This Row],[LastType]] = "Blk", ICE[[#This Row],[LstBlkTime]], ""))</f>
        <v/>
      </c>
      <c r="R185" s="41" t="str">
        <f>IF(ICE[[#This Row],[LastType]] = "Scrn", ICE[[#This Row],[LstPrc]], IF(ICE[[#This Row],[LastType]] = "Blk", ICE[[#This Row],[LstBlkPrc]], ""))</f>
        <v/>
      </c>
      <c r="S185" s="36">
        <f>ICE[[#This Row],[Vol]]+ICE[[#This Row],[BlkVol]]</f>
        <v>0</v>
      </c>
      <c r="T185" s="36">
        <f>RTD("ice.rtd",,$C185 &amp; $D185 &amp; ":" &amp; T$1)</f>
        <v>0</v>
      </c>
      <c r="U185" s="18">
        <f>RTD("ice.rtd",,$C185 &amp; $D185 &amp; ":" &amp; U$1)</f>
        <v>2.95</v>
      </c>
      <c r="V1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85" s="18" t="str">
        <f>IFERROR(IF(LEFT(ICE[[#This Row],[Tenor]], 1) = "B", RTD("esrtd",,$B185 &amp; " " &amp; ICE[[#This Row],[Tenor]] &amp; "-IEU", W$1), RTD("esrtd",,$B185 &amp; " " &amp; VLOOKUP(MONTH(ICE[[#This Row],[Strip]]), MthRef[], 2, 0) &amp; RIGHT(YEAR(ICE[[#This Row],[Strip]]), 2) &amp; "-IEU", W$1)), "")</f>
        <v/>
      </c>
      <c r="X185" s="36"/>
    </row>
    <row r="186" spans="1:24" x14ac:dyDescent="0.25">
      <c r="A186" s="37" t="s">
        <v>413</v>
      </c>
      <c r="B186" s="3" t="str">
        <f>RTD("ice.rtd",,$C186 &amp; $D186 &amp; ":" &amp; B$1)</f>
        <v>BAQ</v>
      </c>
      <c r="C186" s="3">
        <v>1986923076</v>
      </c>
      <c r="D186" t="s">
        <v>229</v>
      </c>
      <c r="E186" s="3" t="str">
        <f>RTD("ice.rtd",,$C186 &amp; $D186 &amp; ":" &amp; E$1)</f>
        <v>Q2 28</v>
      </c>
      <c r="F186" s="3" t="str">
        <f>ICE[[#This Row],[Prod]]&amp;ICE[[#This Row],[Strip]]</f>
        <v>regradeQ2 28</v>
      </c>
      <c r="G186" s="18" t="str">
        <f>RTD("ice.rtd",,$C186 &amp; $D186 &amp; ":" &amp; G$1)</f>
        <v/>
      </c>
      <c r="H186" s="18" t="str">
        <f>RTD("ice.rtd",,$C186 &amp; $D186 &amp; ":" &amp; H$1)</f>
        <v/>
      </c>
      <c r="I186" s="18" t="str">
        <f>RTD("ice.rtd",,$C186 &amp; $D186 &amp; ":" &amp; I$1)</f>
        <v/>
      </c>
      <c r="J186" s="14" t="str">
        <f>IFERROR(MOD(RTD("ice.rtd",,$C186 &amp; $D186 &amp; ":" &amp; J$1), 1), "")</f>
        <v/>
      </c>
      <c r="K186" s="18" t="str">
        <f>RTD("ice.rtd",,$C186 &amp; $D186 &amp; ":" &amp; K$1)</f>
        <v/>
      </c>
      <c r="L186" s="36" t="str">
        <f>RTD("ice.rtd",,$C186 &amp; $D186 &amp; ":" &amp; L$1)</f>
        <v/>
      </c>
      <c r="M186" s="14" t="str">
        <f>IFERROR(MOD(TIMEVALUE(RTD("ice.rtd",,$C186 &amp; $D186 &amp; ":" &amp; M$1)), 1), "")</f>
        <v/>
      </c>
      <c r="N186" s="36">
        <f>RTD("ice.rtd",,$C186 &amp; $D186 &amp; ":" &amp; N$1)</f>
        <v>0</v>
      </c>
      <c r="O186" s="36">
        <f>RTD("ice.rtd",,$C186 &amp; $D186 &amp; ":" &amp; O$1)</f>
        <v>0</v>
      </c>
      <c r="P1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" s="14" t="str">
        <f>IF(ICE[[#This Row],[LastType]] = "Scrn", ICE[[#This Row],[LstDate]], IF(ICE[[#This Row],[LastType]] = "Blk", ICE[[#This Row],[LstBlkTime]], ""))</f>
        <v/>
      </c>
      <c r="R186" s="41" t="str">
        <f>IF(ICE[[#This Row],[LastType]] = "Scrn", ICE[[#This Row],[LstPrc]], IF(ICE[[#This Row],[LastType]] = "Blk", ICE[[#This Row],[LstBlkPrc]], ""))</f>
        <v/>
      </c>
      <c r="S186" s="36">
        <f>ICE[[#This Row],[Vol]]+ICE[[#This Row],[BlkVol]]</f>
        <v>0</v>
      </c>
      <c r="T186" s="36">
        <f>RTD("ice.rtd",,$C186 &amp; $D186 &amp; ":" &amp; T$1)</f>
        <v>0</v>
      </c>
      <c r="U186" s="18">
        <f>RTD("ice.rtd",,$C186 &amp; $D186 &amp; ":" &amp; U$1)</f>
        <v>2.95</v>
      </c>
      <c r="V1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86" s="18" t="str">
        <f>IFERROR(IF(LEFT(ICE[[#This Row],[Tenor]], 1) = "B", RTD("esrtd",,$B186 &amp; " " &amp; ICE[[#This Row],[Tenor]] &amp; "-IEU", W$1), RTD("esrtd",,$B186 &amp; " " &amp; VLOOKUP(MONTH(ICE[[#This Row],[Strip]]), MthRef[], 2, 0) &amp; RIGHT(YEAR(ICE[[#This Row],[Strip]]), 2) &amp; "-IEU", W$1)), "")</f>
        <v/>
      </c>
      <c r="X186" s="36"/>
    </row>
    <row r="187" spans="1:24" x14ac:dyDescent="0.25">
      <c r="A187" s="37" t="s">
        <v>413</v>
      </c>
      <c r="B187" s="3" t="str">
        <f>RTD("ice.rtd",,$C187 &amp; $D187 &amp; ":" &amp; B$1)</f>
        <v>BAQ</v>
      </c>
      <c r="C187" s="3">
        <v>1986923076</v>
      </c>
      <c r="D187" t="s">
        <v>820</v>
      </c>
      <c r="E187" s="3" t="str">
        <f>RTD("ice.rtd",,$C187 &amp; $D187 &amp; ":" &amp; E$1)</f>
        <v>Q3 28</v>
      </c>
      <c r="F187" s="3" t="str">
        <f>ICE[[#This Row],[Prod]]&amp;ICE[[#This Row],[Strip]]</f>
        <v>regradeQ3 28</v>
      </c>
      <c r="G187" s="18" t="str">
        <f>RTD("ice.rtd",,$C187 &amp; $D187 &amp; ":" &amp; G$1)</f>
        <v/>
      </c>
      <c r="H187" s="18" t="str">
        <f>RTD("ice.rtd",,$C187 &amp; $D187 &amp; ":" &amp; H$1)</f>
        <v/>
      </c>
      <c r="I187" s="18" t="str">
        <f>RTD("ice.rtd",,$C187 &amp; $D187 &amp; ":" &amp; I$1)</f>
        <v/>
      </c>
      <c r="J187" s="14" t="str">
        <f>IFERROR(MOD(RTD("ice.rtd",,$C187 &amp; $D187 &amp; ":" &amp; J$1), 1), "")</f>
        <v/>
      </c>
      <c r="K187" s="18" t="str">
        <f>RTD("ice.rtd",,$C187 &amp; $D187 &amp; ":" &amp; K$1)</f>
        <v/>
      </c>
      <c r="L187" s="36" t="str">
        <f>RTD("ice.rtd",,$C187 &amp; $D187 &amp; ":" &amp; L$1)</f>
        <v/>
      </c>
      <c r="M187" s="14" t="str">
        <f>IFERROR(MOD(TIMEVALUE(RTD("ice.rtd",,$C187 &amp; $D187 &amp; ":" &amp; M$1)), 1), "")</f>
        <v/>
      </c>
      <c r="N187" s="36">
        <f>RTD("ice.rtd",,$C187 &amp; $D187 &amp; ":" &amp; N$1)</f>
        <v>0</v>
      </c>
      <c r="O187" s="36">
        <f>RTD("ice.rtd",,$C187 &amp; $D187 &amp; ":" &amp; O$1)</f>
        <v>0</v>
      </c>
      <c r="P1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" s="14" t="str">
        <f>IF(ICE[[#This Row],[LastType]] = "Scrn", ICE[[#This Row],[LstDate]], IF(ICE[[#This Row],[LastType]] = "Blk", ICE[[#This Row],[LstBlkTime]], ""))</f>
        <v/>
      </c>
      <c r="R187" s="41" t="str">
        <f>IF(ICE[[#This Row],[LastType]] = "Scrn", ICE[[#This Row],[LstPrc]], IF(ICE[[#This Row],[LastType]] = "Blk", ICE[[#This Row],[LstBlkPrc]], ""))</f>
        <v/>
      </c>
      <c r="S187" s="36">
        <f>ICE[[#This Row],[Vol]]+ICE[[#This Row],[BlkVol]]</f>
        <v>0</v>
      </c>
      <c r="T187" s="36">
        <f>RTD("ice.rtd",,$C187 &amp; $D187 &amp; ":" &amp; T$1)</f>
        <v>0</v>
      </c>
      <c r="U187" s="18">
        <f>RTD("ice.rtd",,$C187 &amp; $D187 &amp; ":" &amp; U$1)</f>
        <v>2.97</v>
      </c>
      <c r="V1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87" s="18" t="str">
        <f>IFERROR(IF(LEFT(ICE[[#This Row],[Tenor]], 1) = "B", RTD("esrtd",,$B187 &amp; " " &amp; ICE[[#This Row],[Tenor]] &amp; "-IEU", W$1), RTD("esrtd",,$B187 &amp; " " &amp; VLOOKUP(MONTH(ICE[[#This Row],[Strip]]), MthRef[], 2, 0) &amp; RIGHT(YEAR(ICE[[#This Row],[Strip]]), 2) &amp; "-IEU", W$1)), "")</f>
        <v/>
      </c>
      <c r="X187" s="36"/>
    </row>
    <row r="188" spans="1:24" x14ac:dyDescent="0.25">
      <c r="A188" s="37" t="s">
        <v>413</v>
      </c>
      <c r="B188" s="3" t="str">
        <f>RTD("ice.rtd",,$C188 &amp; $D188 &amp; ":" &amp; B$1)</f>
        <v>BAQ</v>
      </c>
      <c r="C188" s="3">
        <v>1986923076</v>
      </c>
      <c r="D188" t="s">
        <v>821</v>
      </c>
      <c r="E188" s="3" t="str">
        <f>RTD("ice.rtd",,$C188 &amp; $D188 &amp; ":" &amp; E$1)</f>
        <v>Q4 28</v>
      </c>
      <c r="F188" s="3" t="str">
        <f>ICE[[#This Row],[Prod]]&amp;ICE[[#This Row],[Strip]]</f>
        <v>regradeQ4 28</v>
      </c>
      <c r="G188" s="18" t="str">
        <f>RTD("ice.rtd",,$C188 &amp; $D188 &amp; ":" &amp; G$1)</f>
        <v/>
      </c>
      <c r="H188" s="18" t="str">
        <f>RTD("ice.rtd",,$C188 &amp; $D188 &amp; ":" &amp; H$1)</f>
        <v/>
      </c>
      <c r="I188" s="18" t="str">
        <f>RTD("ice.rtd",,$C188 &amp; $D188 &amp; ":" &amp; I$1)</f>
        <v/>
      </c>
      <c r="J188" s="14" t="str">
        <f>IFERROR(MOD(RTD("ice.rtd",,$C188 &amp; $D188 &amp; ":" &amp; J$1), 1), "")</f>
        <v/>
      </c>
      <c r="K188" s="18" t="str">
        <f>RTD("ice.rtd",,$C188 &amp; $D188 &amp; ":" &amp; K$1)</f>
        <v/>
      </c>
      <c r="L188" s="36" t="str">
        <f>RTD("ice.rtd",,$C188 &amp; $D188 &amp; ":" &amp; L$1)</f>
        <v/>
      </c>
      <c r="M188" s="14" t="str">
        <f>IFERROR(MOD(TIMEVALUE(RTD("ice.rtd",,$C188 &amp; $D188 &amp; ":" &amp; M$1)), 1), "")</f>
        <v/>
      </c>
      <c r="N188" s="36">
        <f>RTD("ice.rtd",,$C188 &amp; $D188 &amp; ":" &amp; N$1)</f>
        <v>0</v>
      </c>
      <c r="O188" s="36">
        <f>RTD("ice.rtd",,$C188 &amp; $D188 &amp; ":" &amp; O$1)</f>
        <v>0</v>
      </c>
      <c r="P1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" s="14" t="str">
        <f>IF(ICE[[#This Row],[LastType]] = "Scrn", ICE[[#This Row],[LstDate]], IF(ICE[[#This Row],[LastType]] = "Blk", ICE[[#This Row],[LstBlkTime]], ""))</f>
        <v/>
      </c>
      <c r="R188" s="41" t="str">
        <f>IF(ICE[[#This Row],[LastType]] = "Scrn", ICE[[#This Row],[LstPrc]], IF(ICE[[#This Row],[LastType]] = "Blk", ICE[[#This Row],[LstBlkPrc]], ""))</f>
        <v/>
      </c>
      <c r="S188" s="36">
        <f>ICE[[#This Row],[Vol]]+ICE[[#This Row],[BlkVol]]</f>
        <v>0</v>
      </c>
      <c r="T188" s="36">
        <f>RTD("ice.rtd",,$C188 &amp; $D188 &amp; ":" &amp; T$1)</f>
        <v>0</v>
      </c>
      <c r="U188" s="18">
        <f>RTD("ice.rtd",,$C188 &amp; $D188 &amp; ":" &amp; U$1)</f>
        <v>3.0300000000000002</v>
      </c>
      <c r="V1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88" s="18" t="str">
        <f>IFERROR(IF(LEFT(ICE[[#This Row],[Tenor]], 1) = "B", RTD("esrtd",,$B188 &amp; " " &amp; ICE[[#This Row],[Tenor]] &amp; "-IEU", W$1), RTD("esrtd",,$B188 &amp; " " &amp; VLOOKUP(MONTH(ICE[[#This Row],[Strip]]), MthRef[], 2, 0) &amp; RIGHT(YEAR(ICE[[#This Row],[Strip]]), 2) &amp; "-IEU", W$1)), "")</f>
        <v/>
      </c>
      <c r="X188" s="36"/>
    </row>
    <row r="189" spans="1:24" x14ac:dyDescent="0.25">
      <c r="A189" s="37" t="s">
        <v>413</v>
      </c>
      <c r="B189" s="3" t="str">
        <f>RTD("ice.rtd",,$C189 &amp; $D189 &amp; ":" &amp; B$1)</f>
        <v>BAQ</v>
      </c>
      <c r="C189" s="3">
        <v>1986923076</v>
      </c>
      <c r="D189" t="s">
        <v>822</v>
      </c>
      <c r="E189" s="3" t="str">
        <f>RTD("ice.rtd",,$C189 &amp; $D189 &amp; ":" &amp; E$1)</f>
        <v>Cal 27</v>
      </c>
      <c r="F189" s="3" t="str">
        <f>ICE[[#This Row],[Prod]]&amp;ICE[[#This Row],[Strip]]</f>
        <v>regradeCal 27</v>
      </c>
      <c r="G189" s="18" t="str">
        <f>RTD("ice.rtd",,$C189 &amp; $D189 &amp; ":" &amp; G$1)</f>
        <v/>
      </c>
      <c r="H189" s="18" t="str">
        <f>RTD("ice.rtd",,$C189 &amp; $D189 &amp; ":" &amp; H$1)</f>
        <v/>
      </c>
      <c r="I189" s="18" t="str">
        <f>RTD("ice.rtd",,$C189 &amp; $D189 &amp; ":" &amp; I$1)</f>
        <v/>
      </c>
      <c r="J189" s="14" t="str">
        <f>IFERROR(MOD(RTD("ice.rtd",,$C189 &amp; $D189 &amp; ":" &amp; J$1), 1), "")</f>
        <v/>
      </c>
      <c r="K189" s="18" t="str">
        <f>RTD("ice.rtd",,$C189 &amp; $D189 &amp; ":" &amp; K$1)</f>
        <v/>
      </c>
      <c r="L189" s="36" t="str">
        <f>RTD("ice.rtd",,$C189 &amp; $D189 &amp; ":" &amp; L$1)</f>
        <v/>
      </c>
      <c r="M189" s="14" t="str">
        <f>IFERROR(MOD(TIMEVALUE(RTD("ice.rtd",,$C189 &amp; $D189 &amp; ":" &amp; M$1)), 1), "")</f>
        <v/>
      </c>
      <c r="N189" s="36">
        <f>RTD("ice.rtd",,$C189 &amp; $D189 &amp; ":" &amp; N$1)</f>
        <v>0</v>
      </c>
      <c r="O189" s="36">
        <f>RTD("ice.rtd",,$C189 &amp; $D189 &amp; ":" &amp; O$1)</f>
        <v>0</v>
      </c>
      <c r="P1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" s="14" t="str">
        <f>IF(ICE[[#This Row],[LastType]] = "Scrn", ICE[[#This Row],[LstDate]], IF(ICE[[#This Row],[LastType]] = "Blk", ICE[[#This Row],[LstBlkTime]], ""))</f>
        <v/>
      </c>
      <c r="R189" s="41" t="str">
        <f>IF(ICE[[#This Row],[LastType]] = "Scrn", ICE[[#This Row],[LstPrc]], IF(ICE[[#This Row],[LastType]] = "Blk", ICE[[#This Row],[LstBlkPrc]], ""))</f>
        <v/>
      </c>
      <c r="S189" s="36">
        <f>ICE[[#This Row],[Vol]]+ICE[[#This Row],[BlkVol]]</f>
        <v>0</v>
      </c>
      <c r="T189" s="36">
        <f>RTD("ice.rtd",,$C189 &amp; $D189 &amp; ":" &amp; T$1)</f>
        <v>0</v>
      </c>
      <c r="U189" s="18">
        <f>RTD("ice.rtd",,$C189 &amp; $D189 &amp; ":" &amp; U$1)</f>
        <v>2.3879999999999999</v>
      </c>
      <c r="V1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89" s="18" t="str">
        <f>IFERROR(IF(LEFT(ICE[[#This Row],[Tenor]], 1) = "B", RTD("esrtd",,$B189 &amp; " " &amp; ICE[[#This Row],[Tenor]] &amp; "-IEU", W$1), RTD("esrtd",,$B189 &amp; " " &amp; VLOOKUP(MONTH(ICE[[#This Row],[Strip]]), MthRef[], 2, 0) &amp; RIGHT(YEAR(ICE[[#This Row],[Strip]]), 2) &amp; "-IEU", W$1)), "")</f>
        <v/>
      </c>
      <c r="X189" s="36"/>
    </row>
    <row r="190" spans="1:24" x14ac:dyDescent="0.25">
      <c r="A190" s="37" t="s">
        <v>413</v>
      </c>
      <c r="B190" s="3" t="str">
        <f>RTD("ice.rtd",,$C190 &amp; $D190 &amp; ":" &amp; B$1)</f>
        <v>BAQ</v>
      </c>
      <c r="C190" s="3">
        <v>1986923076</v>
      </c>
      <c r="D190" t="s">
        <v>823</v>
      </c>
      <c r="E190" s="3" t="str">
        <f>RTD("ice.rtd",,$C190 &amp; $D190 &amp; ":" &amp; E$1)</f>
        <v>Cal 28</v>
      </c>
      <c r="F190" s="3" t="str">
        <f>ICE[[#This Row],[Prod]]&amp;ICE[[#This Row],[Strip]]</f>
        <v>regradeCal 28</v>
      </c>
      <c r="G190" s="18" t="str">
        <f>RTD("ice.rtd",,$C190 &amp; $D190 &amp; ":" &amp; G$1)</f>
        <v/>
      </c>
      <c r="H190" s="18" t="str">
        <f>RTD("ice.rtd",,$C190 &amp; $D190 &amp; ":" &amp; H$1)</f>
        <v/>
      </c>
      <c r="I190" s="18" t="str">
        <f>RTD("ice.rtd",,$C190 &amp; $D190 &amp; ":" &amp; I$1)</f>
        <v/>
      </c>
      <c r="J190" s="14" t="str">
        <f>IFERROR(MOD(RTD("ice.rtd",,$C190 &amp; $D190 &amp; ":" &amp; J$1), 1), "")</f>
        <v/>
      </c>
      <c r="K190" s="18" t="str">
        <f>RTD("ice.rtd",,$C190 &amp; $D190 &amp; ":" &amp; K$1)</f>
        <v/>
      </c>
      <c r="L190" s="36" t="str">
        <f>RTD("ice.rtd",,$C190 &amp; $D190 &amp; ":" &amp; L$1)</f>
        <v/>
      </c>
      <c r="M190" s="14" t="str">
        <f>IFERROR(MOD(TIMEVALUE(RTD("ice.rtd",,$C190 &amp; $D190 &amp; ":" &amp; M$1)), 1), "")</f>
        <v/>
      </c>
      <c r="N190" s="36">
        <f>RTD("ice.rtd",,$C190 &amp; $D190 &amp; ":" &amp; N$1)</f>
        <v>0</v>
      </c>
      <c r="O190" s="36">
        <f>RTD("ice.rtd",,$C190 &amp; $D190 &amp; ":" &amp; O$1)</f>
        <v>0</v>
      </c>
      <c r="P1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" s="14" t="str">
        <f>IF(ICE[[#This Row],[LastType]] = "Scrn", ICE[[#This Row],[LstDate]], IF(ICE[[#This Row],[LastType]] = "Blk", ICE[[#This Row],[LstBlkTime]], ""))</f>
        <v/>
      </c>
      <c r="R190" s="41" t="str">
        <f>IF(ICE[[#This Row],[LastType]] = "Scrn", ICE[[#This Row],[LstPrc]], IF(ICE[[#This Row],[LastType]] = "Blk", ICE[[#This Row],[LstBlkPrc]], ""))</f>
        <v/>
      </c>
      <c r="S190" s="36">
        <f>ICE[[#This Row],[Vol]]+ICE[[#This Row],[BlkVol]]</f>
        <v>0</v>
      </c>
      <c r="T190" s="36">
        <f>RTD("ice.rtd",,$C190 &amp; $D190 &amp; ":" &amp; T$1)</f>
        <v>0</v>
      </c>
      <c r="U190" s="18">
        <f>RTD("ice.rtd",,$C190 &amp; $D190 &amp; ":" &amp; U$1)</f>
        <v>2.9750000000000001</v>
      </c>
      <c r="V1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0" s="18" t="str">
        <f>IFERROR(IF(LEFT(ICE[[#This Row],[Tenor]], 1) = "B", RTD("esrtd",,$B190 &amp; " " &amp; ICE[[#This Row],[Tenor]] &amp; "-IEU", W$1), RTD("esrtd",,$B190 &amp; " " &amp; VLOOKUP(MONTH(ICE[[#This Row],[Strip]]), MthRef[], 2, 0) &amp; RIGHT(YEAR(ICE[[#This Row],[Strip]]), 2) &amp; "-IEU", W$1)), "")</f>
        <v/>
      </c>
      <c r="X190" s="36"/>
    </row>
    <row r="191" spans="1:24" x14ac:dyDescent="0.25">
      <c r="A191" s="37" t="s">
        <v>413</v>
      </c>
      <c r="B191" s="3" t="str">
        <f>RTD("ice.rtd",,$C191 &amp; $D191 &amp; ":" &amp; B$1)</f>
        <v>BAQ</v>
      </c>
      <c r="C191" s="3">
        <v>1986923076</v>
      </c>
      <c r="D191" t="s">
        <v>824</v>
      </c>
      <c r="E191" s="3" t="str">
        <f>RTD("ice.rtd",,$C191 &amp; $D191 &amp; ":" &amp; E$1)</f>
        <v>Cal 29</v>
      </c>
      <c r="F191" s="3" t="str">
        <f>ICE[[#This Row],[Prod]]&amp;ICE[[#This Row],[Strip]]</f>
        <v>regradeCal 29</v>
      </c>
      <c r="G191" s="18" t="str">
        <f>RTD("ice.rtd",,$C191 &amp; $D191 &amp; ":" &amp; G$1)</f>
        <v/>
      </c>
      <c r="H191" s="18" t="str">
        <f>RTD("ice.rtd",,$C191 &amp; $D191 &amp; ":" &amp; H$1)</f>
        <v/>
      </c>
      <c r="I191" s="18" t="str">
        <f>RTD("ice.rtd",,$C191 &amp; $D191 &amp; ":" &amp; I$1)</f>
        <v/>
      </c>
      <c r="J191" s="14" t="str">
        <f>IFERROR(MOD(RTD("ice.rtd",,$C191 &amp; $D191 &amp; ":" &amp; J$1), 1), "")</f>
        <v/>
      </c>
      <c r="K191" s="18" t="str">
        <f>RTD("ice.rtd",,$C191 &amp; $D191 &amp; ":" &amp; K$1)</f>
        <v/>
      </c>
      <c r="L191" s="36" t="str">
        <f>RTD("ice.rtd",,$C191 &amp; $D191 &amp; ":" &amp; L$1)</f>
        <v/>
      </c>
      <c r="M191" s="14" t="str">
        <f>IFERROR(MOD(TIMEVALUE(RTD("ice.rtd",,$C191 &amp; $D191 &amp; ":" &amp; M$1)), 1), "")</f>
        <v/>
      </c>
      <c r="N191" s="36">
        <f>RTD("ice.rtd",,$C191 &amp; $D191 &amp; ":" &amp; N$1)</f>
        <v>0</v>
      </c>
      <c r="O191" s="36">
        <f>RTD("ice.rtd",,$C191 &amp; $D191 &amp; ":" &amp; O$1)</f>
        <v>0</v>
      </c>
      <c r="P1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" s="14" t="str">
        <f>IF(ICE[[#This Row],[LastType]] = "Scrn", ICE[[#This Row],[LstDate]], IF(ICE[[#This Row],[LastType]] = "Blk", ICE[[#This Row],[LstBlkTime]], ""))</f>
        <v/>
      </c>
      <c r="R191" s="41" t="str">
        <f>IF(ICE[[#This Row],[LastType]] = "Scrn", ICE[[#This Row],[LstPrc]], IF(ICE[[#This Row],[LastType]] = "Blk", ICE[[#This Row],[LstBlkPrc]], ""))</f>
        <v/>
      </c>
      <c r="S191" s="36">
        <f>ICE[[#This Row],[Vol]]+ICE[[#This Row],[BlkVol]]</f>
        <v>0</v>
      </c>
      <c r="T191" s="36">
        <f>RTD("ice.rtd",,$C191 &amp; $D191 &amp; ":" &amp; T$1)</f>
        <v>0</v>
      </c>
      <c r="U191" s="18">
        <f>RTD("ice.rtd",,$C191 &amp; $D191 &amp; ":" &amp; U$1)</f>
        <v>2.3180000000000001</v>
      </c>
      <c r="V1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1" s="18" t="str">
        <f>IFERROR(IF(LEFT(ICE[[#This Row],[Tenor]], 1) = "B", RTD("esrtd",,$B191 &amp; " " &amp; ICE[[#This Row],[Tenor]] &amp; "-IEU", W$1), RTD("esrtd",,$B191 &amp; " " &amp; VLOOKUP(MONTH(ICE[[#This Row],[Strip]]), MthRef[], 2, 0) &amp; RIGHT(YEAR(ICE[[#This Row],[Strip]]), 2) &amp; "-IEU", W$1)), "")</f>
        <v/>
      </c>
      <c r="X191" s="36"/>
    </row>
    <row r="192" spans="1:24" x14ac:dyDescent="0.25">
      <c r="A192" s="37" t="s">
        <v>825</v>
      </c>
      <c r="B192" s="3" t="str">
        <f>RTD("ice.rtd",,$C192 &amp; $D192 &amp; ":" &amp; B$1)</f>
        <v>NCB</v>
      </c>
      <c r="C192" s="3">
        <v>2324625607</v>
      </c>
      <c r="D192" t="s">
        <v>792</v>
      </c>
      <c r="E192" s="3" t="str">
        <f>RTD("ice.rtd",,$C192 &amp; $D192 &amp; ":" &amp; E$1)</f>
        <v>Bal Month</v>
      </c>
      <c r="F192" s="3" t="str">
        <f>ICE[[#This Row],[Prod]]&amp;ICE[[#This Row],[Strip]]</f>
        <v>napbrxmtBal Month</v>
      </c>
      <c r="G192" s="18" t="str">
        <f>RTD("ice.rtd",,$C192 &amp; $D192 &amp; ":" &amp; G$1)</f>
        <v/>
      </c>
      <c r="H192" s="18" t="str">
        <f>RTD("ice.rtd",,$C192 &amp; $D192 &amp; ":" &amp; H$1)</f>
        <v/>
      </c>
      <c r="I192" s="18" t="str">
        <f>RTD("ice.rtd",,$C192 &amp; $D192 &amp; ":" &amp; I$1)</f>
        <v/>
      </c>
      <c r="J192" s="14" t="str">
        <f>IFERROR(MOD(RTD("ice.rtd",,$C192 &amp; $D192 &amp; ":" &amp; J$1), 1), "")</f>
        <v/>
      </c>
      <c r="K192" s="18" t="str">
        <f>RTD("ice.rtd",,$C192 &amp; $D192 &amp; ":" &amp; K$1)</f>
        <v/>
      </c>
      <c r="L192" s="36" t="str">
        <f>RTD("ice.rtd",,$C192 &amp; $D192 &amp; ":" &amp; L$1)</f>
        <v/>
      </c>
      <c r="M192" s="14" t="str">
        <f>IFERROR(MOD(TIMEVALUE(RTD("ice.rtd",,$C192 &amp; $D192 &amp; ":" &amp; M$1)), 1), "")</f>
        <v/>
      </c>
      <c r="N192" s="36">
        <f>RTD("ice.rtd",,$C192 &amp; $D192 &amp; ":" &amp; N$1)</f>
        <v>0</v>
      </c>
      <c r="O192" s="36">
        <f>RTD("ice.rtd",,$C192 &amp; $D192 &amp; ":" &amp; O$1)</f>
        <v>0</v>
      </c>
      <c r="P1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" s="14" t="str">
        <f>IF(ICE[[#This Row],[LastType]] = "Scrn", ICE[[#This Row],[LstDate]], IF(ICE[[#This Row],[LastType]] = "Blk", ICE[[#This Row],[LstBlkTime]], ""))</f>
        <v/>
      </c>
      <c r="R192" s="41" t="str">
        <f>IF(ICE[[#This Row],[LastType]] = "Scrn", ICE[[#This Row],[LstPrc]], IF(ICE[[#This Row],[LastType]] = "Blk", ICE[[#This Row],[LstBlkPrc]], ""))</f>
        <v/>
      </c>
      <c r="S192" s="36">
        <f>ICE[[#This Row],[Vol]]+ICE[[#This Row],[BlkVol]]</f>
        <v>0</v>
      </c>
      <c r="T192" s="36">
        <f>RTD("ice.rtd",,$C192 &amp; $D192 &amp; ":" &amp; T$1)</f>
        <v>0</v>
      </c>
      <c r="U192" s="18">
        <f>RTD("ice.rtd",,$C192 &amp; $D192 &amp; ":" &amp; U$1)</f>
        <v>-4.2640000000000002</v>
      </c>
      <c r="V1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2" s="18" t="str">
        <f>IFERROR(IF(LEFT(ICE[[#This Row],[Tenor]], 1) = "B", RTD("esrtd",,$B192 &amp; " " &amp; ICE[[#This Row],[Tenor]] &amp; "-IEU", W$1), RTD("esrtd",,$B192 &amp; " " &amp; VLOOKUP(MONTH(ICE[[#This Row],[Strip]]), MthRef[], 2, 0) &amp; RIGHT(YEAR(ICE[[#This Row],[Strip]]), 2) &amp; "-IEU", W$1)), "")</f>
        <v/>
      </c>
      <c r="X192" s="36"/>
    </row>
    <row r="193" spans="1:24" x14ac:dyDescent="0.25">
      <c r="A193" s="37" t="s">
        <v>825</v>
      </c>
      <c r="B193" s="3" t="str">
        <f>RTD("ice.rtd",,$C193 &amp; $D193 &amp; ":" &amp; B$1)</f>
        <v>NOB</v>
      </c>
      <c r="C193" s="3">
        <v>18851683</v>
      </c>
      <c r="D193" t="s">
        <v>793</v>
      </c>
      <c r="E193" s="3" t="str">
        <f>RTD("ice.rtd",,$C193 &amp; $D193 &amp; ":" &amp; E$1)</f>
        <v>Sep26</v>
      </c>
      <c r="F193" s="3" t="str">
        <f>ICE[[#This Row],[Prod]]&amp;ICE[[#This Row],[Strip]]</f>
        <v>napbrxmtSep26</v>
      </c>
      <c r="G193" s="18" t="str">
        <f>RTD("ice.rtd",,$C193 &amp; $D193 &amp; ":" &amp; G$1)</f>
        <v/>
      </c>
      <c r="H193" s="18" t="str">
        <f>RTD("ice.rtd",,$C193 &amp; $D193 &amp; ":" &amp; H$1)</f>
        <v/>
      </c>
      <c r="I193" s="18" t="str">
        <f>RTD("ice.rtd",,$C193 &amp; $D193 &amp; ":" &amp; I$1)</f>
        <v/>
      </c>
      <c r="J193" s="14" t="str">
        <f>IFERROR(MOD(RTD("ice.rtd",,$C193 &amp; $D193 &amp; ":" &amp; J$1), 1), "")</f>
        <v/>
      </c>
      <c r="K193" s="18" t="str">
        <f>RTD("ice.rtd",,$C193 &amp; $D193 &amp; ":" &amp; K$1)</f>
        <v/>
      </c>
      <c r="L193" s="36" t="str">
        <f>RTD("ice.rtd",,$C193 &amp; $D193 &amp; ":" &amp; L$1)</f>
        <v/>
      </c>
      <c r="M193" s="14" t="str">
        <f>IFERROR(MOD(TIMEVALUE(RTD("ice.rtd",,$C193 &amp; $D193 &amp; ":" &amp; M$1)), 1), "")</f>
        <v/>
      </c>
      <c r="N193" s="36">
        <f>RTD("ice.rtd",,$C193 &amp; $D193 &amp; ":" &amp; N$1)</f>
        <v>0</v>
      </c>
      <c r="O193" s="36">
        <f>RTD("ice.rtd",,$C193 &amp; $D193 &amp; ":" &amp; O$1)</f>
        <v>0</v>
      </c>
      <c r="P1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" s="14" t="str">
        <f>IF(ICE[[#This Row],[LastType]] = "Scrn", ICE[[#This Row],[LstDate]], IF(ICE[[#This Row],[LastType]] = "Blk", ICE[[#This Row],[LstBlkTime]], ""))</f>
        <v/>
      </c>
      <c r="R193" s="41" t="str">
        <f>IF(ICE[[#This Row],[LastType]] = "Scrn", ICE[[#This Row],[LstPrc]], IF(ICE[[#This Row],[LastType]] = "Blk", ICE[[#This Row],[LstBlkPrc]], ""))</f>
        <v/>
      </c>
      <c r="S193" s="36">
        <f>ICE[[#This Row],[Vol]]+ICE[[#This Row],[BlkVol]]</f>
        <v>0</v>
      </c>
      <c r="T193" s="36">
        <f>RTD("ice.rtd",,$C193 &amp; $D193 &amp; ":" &amp; T$1)</f>
        <v>703</v>
      </c>
      <c r="U193" s="18">
        <f>RTD("ice.rtd",,$C193 &amp; $D193 &amp; ":" &amp; U$1)</f>
        <v>-4.2640000000000002</v>
      </c>
      <c r="V1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3" s="18" t="str">
        <f>IFERROR(IF(LEFT(ICE[[#This Row],[Tenor]], 1) = "B", RTD("esrtd",,$B193 &amp; " " &amp; ICE[[#This Row],[Tenor]] &amp; "-IEU", W$1), RTD("esrtd",,$B193 &amp; " " &amp; VLOOKUP(MONTH(ICE[[#This Row],[Strip]]), MthRef[], 2, 0) &amp; RIGHT(YEAR(ICE[[#This Row],[Strip]]), 2) &amp; "-IEU", W$1)), "")</f>
        <v/>
      </c>
      <c r="X193" s="36"/>
    </row>
    <row r="194" spans="1:24" x14ac:dyDescent="0.25">
      <c r="A194" s="37" t="s">
        <v>825</v>
      </c>
      <c r="B194" s="3" t="str">
        <f>RTD("ice.rtd",,$C194 &amp; $D194 &amp; ":" &amp; B$1)</f>
        <v>NOB</v>
      </c>
      <c r="C194" s="3">
        <v>18851683</v>
      </c>
      <c r="D194" t="s">
        <v>324</v>
      </c>
      <c r="E194" s="3" t="str">
        <f>RTD("ice.rtd",,$C194 &amp; $D194 &amp; ":" &amp; E$1)</f>
        <v>Oct26</v>
      </c>
      <c r="F194" s="3" t="str">
        <f>ICE[[#This Row],[Prod]]&amp;ICE[[#This Row],[Strip]]</f>
        <v>napbrxmtOct26</v>
      </c>
      <c r="G194" s="18">
        <f>RTD("ice.rtd",,$C194 &amp; $D194 &amp; ":" &amp; G$1)</f>
        <v>-7.5</v>
      </c>
      <c r="H194" s="18">
        <f>RTD("ice.rtd",,$C194 &amp; $D194 &amp; ":" &amp; H$1)</f>
        <v>-0.3</v>
      </c>
      <c r="I194" s="18">
        <f>RTD("ice.rtd",,$C194 &amp; $D194 &amp; ":" &amp; I$1)</f>
        <v>-3.95</v>
      </c>
      <c r="J194" s="14">
        <f>IFERROR(MOD(RTD("ice.rtd",,$C194 &amp; $D194 &amp; ":" &amp; J$1), 1), "")</f>
        <v>0.43586834490997717</v>
      </c>
      <c r="K194" s="18">
        <f>RTD("ice.rtd",,$C194 &amp; $D194 &amp; ":" &amp; K$1)</f>
        <v>-3.95</v>
      </c>
      <c r="L194" s="36">
        <f>RTD("ice.rtd",,$C194 &amp; $D194 &amp; ":" &amp; L$1)</f>
        <v>5</v>
      </c>
      <c r="M194" s="14">
        <f>IFERROR(MOD(TIMEVALUE(RTD("ice.rtd",,$C194 &amp; $D194 &amp; ":" &amp; M$1)), 1), "")</f>
        <v>0.43913194444444442</v>
      </c>
      <c r="N194" s="36">
        <f>RTD("ice.rtd",,$C194 &amp; $D194 &amp; ":" &amp; N$1)</f>
        <v>1</v>
      </c>
      <c r="O194" s="36">
        <f>RTD("ice.rtd",,$C194 &amp; $D194 &amp; ":" &amp; O$1)</f>
        <v>24</v>
      </c>
      <c r="P1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94" s="14">
        <f>IF(ICE[[#This Row],[LastType]] = "Scrn", ICE[[#This Row],[LstDate]], IF(ICE[[#This Row],[LastType]] = "Blk", ICE[[#This Row],[LstBlkTime]], ""))</f>
        <v>0.43913194444444442</v>
      </c>
      <c r="R194" s="41">
        <f>IF(ICE[[#This Row],[LastType]] = "Scrn", ICE[[#This Row],[LstPrc]], IF(ICE[[#This Row],[LastType]] = "Blk", ICE[[#This Row],[LstBlkPrc]], ""))</f>
        <v>-3.95</v>
      </c>
      <c r="S194" s="36">
        <f>ICE[[#This Row],[Vol]]+ICE[[#This Row],[BlkVol]]</f>
        <v>25</v>
      </c>
      <c r="T194" s="36">
        <f>RTD("ice.rtd",,$C194 &amp; $D194 &amp; ":" &amp; T$1)</f>
        <v>522</v>
      </c>
      <c r="U194" s="18">
        <f>RTD("ice.rtd",,$C194 &amp; $D194 &amp; ":" &amp; U$1)</f>
        <v>-3.7</v>
      </c>
      <c r="V1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-7.50 / -0.30 {-3.95} |25x</v>
      </c>
      <c r="W194" s="18" t="str">
        <f>IFERROR(IF(LEFT(ICE[[#This Row],[Tenor]], 1) = "B", RTD("esrtd",,$B194 &amp; " " &amp; ICE[[#This Row],[Tenor]] &amp; "-IEU", W$1), RTD("esrtd",,$B194 &amp; " " &amp; VLOOKUP(MONTH(ICE[[#This Row],[Strip]]), MthRef[], 2, 0) &amp; RIGHT(YEAR(ICE[[#This Row],[Strip]]), 2) &amp; "-IEU", W$1)), "")</f>
        <v/>
      </c>
      <c r="X194" s="36"/>
    </row>
    <row r="195" spans="1:24" x14ac:dyDescent="0.25">
      <c r="A195" s="37" t="s">
        <v>825</v>
      </c>
      <c r="B195" s="3" t="str">
        <f>RTD("ice.rtd",,$C195 &amp; $D195 &amp; ":" &amp; B$1)</f>
        <v>NOB</v>
      </c>
      <c r="C195" s="3">
        <v>18851683</v>
      </c>
      <c r="D195" t="s">
        <v>325</v>
      </c>
      <c r="E195" s="3" t="str">
        <f>RTD("ice.rtd",,$C195 &amp; $D195 &amp; ":" &amp; E$1)</f>
        <v>Nov26</v>
      </c>
      <c r="F195" s="3" t="str">
        <f>ICE[[#This Row],[Prod]]&amp;ICE[[#This Row],[Strip]]</f>
        <v>napbrxmtNov26</v>
      </c>
      <c r="G195" s="18">
        <f>RTD("ice.rtd",,$C195 &amp; $D195 &amp; ":" &amp; G$1)</f>
        <v>-7.76</v>
      </c>
      <c r="H195" s="18">
        <f>RTD("ice.rtd",,$C195 &amp; $D195 &amp; ":" &amp; H$1)</f>
        <v>-0.56000000000000005</v>
      </c>
      <c r="I195" s="18" t="str">
        <f>RTD("ice.rtd",,$C195 &amp; $D195 &amp; ":" &amp; I$1)</f>
        <v/>
      </c>
      <c r="J195" s="14" t="str">
        <f>IFERROR(MOD(RTD("ice.rtd",,$C195 &amp; $D195 &amp; ":" &amp; J$1), 1), "")</f>
        <v/>
      </c>
      <c r="K195" s="18" t="str">
        <f>RTD("ice.rtd",,$C195 &amp; $D195 &amp; ":" &amp; K$1)</f>
        <v/>
      </c>
      <c r="L195" s="36" t="str">
        <f>RTD("ice.rtd",,$C195 &amp; $D195 &amp; ":" &amp; L$1)</f>
        <v/>
      </c>
      <c r="M195" s="14" t="str">
        <f>IFERROR(MOD(TIMEVALUE(RTD("ice.rtd",,$C195 &amp; $D195 &amp; ":" &amp; M$1)), 1), "")</f>
        <v/>
      </c>
      <c r="N195" s="36">
        <f>RTD("ice.rtd",,$C195 &amp; $D195 &amp; ":" &amp; N$1)</f>
        <v>0</v>
      </c>
      <c r="O195" s="36">
        <f>RTD("ice.rtd",,$C195 &amp; $D195 &amp; ":" &amp; O$1)</f>
        <v>0</v>
      </c>
      <c r="P1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" s="14" t="str">
        <f>IF(ICE[[#This Row],[LastType]] = "Scrn", ICE[[#This Row],[LstDate]], IF(ICE[[#This Row],[LastType]] = "Blk", ICE[[#This Row],[LstBlkTime]], ""))</f>
        <v/>
      </c>
      <c r="R195" s="41" t="str">
        <f>IF(ICE[[#This Row],[LastType]] = "Scrn", ICE[[#This Row],[LstPrc]], IF(ICE[[#This Row],[LastType]] = "Blk", ICE[[#This Row],[LstBlkPrc]], ""))</f>
        <v/>
      </c>
      <c r="S195" s="36">
        <f>ICE[[#This Row],[Vol]]+ICE[[#This Row],[BlkVol]]</f>
        <v>0</v>
      </c>
      <c r="T195" s="36">
        <f>RTD("ice.rtd",,$C195 &amp; $D195 &amp; ":" &amp; T$1)</f>
        <v>389</v>
      </c>
      <c r="U195" s="18">
        <f>RTD("ice.rtd",,$C195 &amp; $D195 &amp; ":" &amp; U$1)</f>
        <v>-4.0470000000000006</v>
      </c>
      <c r="V1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-7.76 / -0.56 </v>
      </c>
      <c r="W195" s="18" t="str">
        <f>IFERROR(IF(LEFT(ICE[[#This Row],[Tenor]], 1) = "B", RTD("esrtd",,$B195 &amp; " " &amp; ICE[[#This Row],[Tenor]] &amp; "-IEU", W$1), RTD("esrtd",,$B195 &amp; " " &amp; VLOOKUP(MONTH(ICE[[#This Row],[Strip]]), MthRef[], 2, 0) &amp; RIGHT(YEAR(ICE[[#This Row],[Strip]]), 2) &amp; "-IEU", W$1)), "")</f>
        <v/>
      </c>
      <c r="X195" s="36"/>
    </row>
    <row r="196" spans="1:24" x14ac:dyDescent="0.25">
      <c r="A196" s="37" t="s">
        <v>825</v>
      </c>
      <c r="B196" s="3" t="str">
        <f>RTD("ice.rtd",,$C196 &amp; $D196 &amp; ":" &amp; B$1)</f>
        <v>NOB</v>
      </c>
      <c r="C196" s="3">
        <v>18851683</v>
      </c>
      <c r="D196" t="s">
        <v>326</v>
      </c>
      <c r="E196" s="3" t="str">
        <f>RTD("ice.rtd",,$C196 &amp; $D196 &amp; ":" &amp; E$1)</f>
        <v>Dec26</v>
      </c>
      <c r="F196" s="3" t="str">
        <f>ICE[[#This Row],[Prod]]&amp;ICE[[#This Row],[Strip]]</f>
        <v>napbrxmtDec26</v>
      </c>
      <c r="G196" s="18">
        <f>RTD("ice.rtd",,$C196 &amp; $D196 &amp; ":" &amp; G$1)</f>
        <v>-8.27</v>
      </c>
      <c r="H196" s="18">
        <f>RTD("ice.rtd",,$C196 &amp; $D196 &amp; ":" &amp; H$1)</f>
        <v>-1.07</v>
      </c>
      <c r="I196" s="18" t="str">
        <f>RTD("ice.rtd",,$C196 &amp; $D196 &amp; ":" &amp; I$1)</f>
        <v/>
      </c>
      <c r="J196" s="14" t="str">
        <f>IFERROR(MOD(RTD("ice.rtd",,$C196 &amp; $D196 &amp; ":" &amp; J$1), 1), "")</f>
        <v/>
      </c>
      <c r="K196" s="18" t="str">
        <f>RTD("ice.rtd",,$C196 &amp; $D196 &amp; ":" &amp; K$1)</f>
        <v/>
      </c>
      <c r="L196" s="36" t="str">
        <f>RTD("ice.rtd",,$C196 &amp; $D196 &amp; ":" &amp; L$1)</f>
        <v/>
      </c>
      <c r="M196" s="14" t="str">
        <f>IFERROR(MOD(TIMEVALUE(RTD("ice.rtd",,$C196 &amp; $D196 &amp; ":" &amp; M$1)), 1), "")</f>
        <v/>
      </c>
      <c r="N196" s="36">
        <f>RTD("ice.rtd",,$C196 &amp; $D196 &amp; ":" &amp; N$1)</f>
        <v>0</v>
      </c>
      <c r="O196" s="36">
        <f>RTD("ice.rtd",,$C196 &amp; $D196 &amp; ":" &amp; O$1)</f>
        <v>0</v>
      </c>
      <c r="P1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" s="14" t="str">
        <f>IF(ICE[[#This Row],[LastType]] = "Scrn", ICE[[#This Row],[LstDate]], IF(ICE[[#This Row],[LastType]] = "Blk", ICE[[#This Row],[LstBlkTime]], ""))</f>
        <v/>
      </c>
      <c r="R196" s="41" t="str">
        <f>IF(ICE[[#This Row],[LastType]] = "Scrn", ICE[[#This Row],[LstPrc]], IF(ICE[[#This Row],[LastType]] = "Blk", ICE[[#This Row],[LstBlkPrc]], ""))</f>
        <v/>
      </c>
      <c r="S196" s="36">
        <f>ICE[[#This Row],[Vol]]+ICE[[#This Row],[BlkVol]]</f>
        <v>0</v>
      </c>
      <c r="T196" s="36">
        <f>RTD("ice.rtd",,$C196 &amp; $D196 &amp; ":" &amp; T$1)</f>
        <v>339</v>
      </c>
      <c r="U196" s="18">
        <f>RTD("ice.rtd",,$C196 &amp; $D196 &amp; ":" &amp; U$1)</f>
        <v>-4.577</v>
      </c>
      <c r="V1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-8.27 / -1.07 </v>
      </c>
      <c r="W196" s="18" t="str">
        <f>IFERROR(IF(LEFT(ICE[[#This Row],[Tenor]], 1) = "B", RTD("esrtd",,$B196 &amp; " " &amp; ICE[[#This Row],[Tenor]] &amp; "-IEU", W$1), RTD("esrtd",,$B196 &amp; " " &amp; VLOOKUP(MONTH(ICE[[#This Row],[Strip]]), MthRef[], 2, 0) &amp; RIGHT(YEAR(ICE[[#This Row],[Strip]]), 2) &amp; "-IEU", W$1)), "")</f>
        <v/>
      </c>
      <c r="X196" s="36"/>
    </row>
    <row r="197" spans="1:24" x14ac:dyDescent="0.25">
      <c r="A197" s="37" t="s">
        <v>825</v>
      </c>
      <c r="B197" s="3" t="str">
        <f>RTD("ice.rtd",,$C197 &amp; $D197 &amp; ":" &amp; B$1)</f>
        <v>NOB</v>
      </c>
      <c r="C197" s="3">
        <v>18851683</v>
      </c>
      <c r="D197" t="s">
        <v>794</v>
      </c>
      <c r="E197" s="3" t="str">
        <f>RTD("ice.rtd",,$C197 &amp; $D197 &amp; ":" &amp; E$1)</f>
        <v>Jan27</v>
      </c>
      <c r="F197" s="3" t="str">
        <f>ICE[[#This Row],[Prod]]&amp;ICE[[#This Row],[Strip]]</f>
        <v>napbrxmtJan27</v>
      </c>
      <c r="G197" s="18">
        <f>RTD("ice.rtd",,$C197 &amp; $D197 &amp; ":" &amp; G$1)</f>
        <v>-8.23</v>
      </c>
      <c r="H197" s="18">
        <f>RTD("ice.rtd",,$C197 &amp; $D197 &amp; ":" &amp; H$1)</f>
        <v>-1.04</v>
      </c>
      <c r="I197" s="18" t="str">
        <f>RTD("ice.rtd",,$C197 &amp; $D197 &amp; ":" &amp; I$1)</f>
        <v/>
      </c>
      <c r="J197" s="14" t="str">
        <f>IFERROR(MOD(RTD("ice.rtd",,$C197 &amp; $D197 &amp; ":" &amp; J$1), 1), "")</f>
        <v/>
      </c>
      <c r="K197" s="18" t="str">
        <f>RTD("ice.rtd",,$C197 &amp; $D197 &amp; ":" &amp; K$1)</f>
        <v/>
      </c>
      <c r="L197" s="36" t="str">
        <f>RTD("ice.rtd",,$C197 &amp; $D197 &amp; ":" &amp; L$1)</f>
        <v/>
      </c>
      <c r="M197" s="14" t="str">
        <f>IFERROR(MOD(TIMEVALUE(RTD("ice.rtd",,$C197 &amp; $D197 &amp; ":" &amp; M$1)), 1), "")</f>
        <v/>
      </c>
      <c r="N197" s="36">
        <f>RTD("ice.rtd",,$C197 &amp; $D197 &amp; ":" &amp; N$1)</f>
        <v>0</v>
      </c>
      <c r="O197" s="36">
        <f>RTD("ice.rtd",,$C197 &amp; $D197 &amp; ":" &amp; O$1)</f>
        <v>0</v>
      </c>
      <c r="P1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" s="14" t="str">
        <f>IF(ICE[[#This Row],[LastType]] = "Scrn", ICE[[#This Row],[LstDate]], IF(ICE[[#This Row],[LastType]] = "Blk", ICE[[#This Row],[LstBlkTime]], ""))</f>
        <v/>
      </c>
      <c r="R197" s="41" t="str">
        <f>IF(ICE[[#This Row],[LastType]] = "Scrn", ICE[[#This Row],[LstPrc]], IF(ICE[[#This Row],[LastType]] = "Blk", ICE[[#This Row],[LstBlkPrc]], ""))</f>
        <v/>
      </c>
      <c r="S197" s="36">
        <f>ICE[[#This Row],[Vol]]+ICE[[#This Row],[BlkVol]]</f>
        <v>0</v>
      </c>
      <c r="T197" s="36">
        <f>RTD("ice.rtd",,$C197 &amp; $D197 &amp; ":" &amp; T$1)</f>
        <v>330</v>
      </c>
      <c r="U197" s="18">
        <f>RTD("ice.rtd",,$C197 &amp; $D197 &amp; ":" &amp; U$1)</f>
        <v>-4.5910000000000002</v>
      </c>
      <c r="V1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-8.23 / -1.04 </v>
      </c>
      <c r="W197" s="18" t="str">
        <f>IFERROR(IF(LEFT(ICE[[#This Row],[Tenor]], 1) = "B", RTD("esrtd",,$B197 &amp; " " &amp; ICE[[#This Row],[Tenor]] &amp; "-IEU", W$1), RTD("esrtd",,$B197 &amp; " " &amp; VLOOKUP(MONTH(ICE[[#This Row],[Strip]]), MthRef[], 2, 0) &amp; RIGHT(YEAR(ICE[[#This Row],[Strip]]), 2) &amp; "-IEU", W$1)), "")</f>
        <v/>
      </c>
      <c r="X197" s="36"/>
    </row>
    <row r="198" spans="1:24" x14ac:dyDescent="0.25">
      <c r="A198" s="37" t="s">
        <v>825</v>
      </c>
      <c r="B198" s="3" t="str">
        <f>RTD("ice.rtd",,$C198 &amp; $D198 &amp; ":" &amp; B$1)</f>
        <v>NOB</v>
      </c>
      <c r="C198" s="3">
        <v>18851683</v>
      </c>
      <c r="D198" t="s">
        <v>795</v>
      </c>
      <c r="E198" s="3" t="str">
        <f>RTD("ice.rtd",,$C198 &amp; $D198 &amp; ":" &amp; E$1)</f>
        <v>Feb27</v>
      </c>
      <c r="F198" s="3" t="str">
        <f>ICE[[#This Row],[Prod]]&amp;ICE[[#This Row],[Strip]]</f>
        <v>napbrxmtFeb27</v>
      </c>
      <c r="G198" s="18">
        <f>RTD("ice.rtd",,$C198 &amp; $D198 &amp; ":" &amp; G$1)</f>
        <v>-8.6</v>
      </c>
      <c r="H198" s="18">
        <f>RTD("ice.rtd",,$C198 &amp; $D198 &amp; ":" &amp; H$1)</f>
        <v>-1.41</v>
      </c>
      <c r="I198" s="18" t="str">
        <f>RTD("ice.rtd",,$C198 &amp; $D198 &amp; ":" &amp; I$1)</f>
        <v/>
      </c>
      <c r="J198" s="14" t="str">
        <f>IFERROR(MOD(RTD("ice.rtd",,$C198 &amp; $D198 &amp; ":" &amp; J$1), 1), "")</f>
        <v/>
      </c>
      <c r="K198" s="18" t="str">
        <f>RTD("ice.rtd",,$C198 &amp; $D198 &amp; ":" &amp; K$1)</f>
        <v/>
      </c>
      <c r="L198" s="36" t="str">
        <f>RTD("ice.rtd",,$C198 &amp; $D198 &amp; ":" &amp; L$1)</f>
        <v/>
      </c>
      <c r="M198" s="14" t="str">
        <f>IFERROR(MOD(TIMEVALUE(RTD("ice.rtd",,$C198 &amp; $D198 &amp; ":" &amp; M$1)), 1), "")</f>
        <v/>
      </c>
      <c r="N198" s="36">
        <f>RTD("ice.rtd",,$C198 &amp; $D198 &amp; ":" &amp; N$1)</f>
        <v>0</v>
      </c>
      <c r="O198" s="36">
        <f>RTD("ice.rtd",,$C198 &amp; $D198 &amp; ":" &amp; O$1)</f>
        <v>0</v>
      </c>
      <c r="P1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" s="14" t="str">
        <f>IF(ICE[[#This Row],[LastType]] = "Scrn", ICE[[#This Row],[LstDate]], IF(ICE[[#This Row],[LastType]] = "Blk", ICE[[#This Row],[LstBlkTime]], ""))</f>
        <v/>
      </c>
      <c r="R198" s="41" t="str">
        <f>IF(ICE[[#This Row],[LastType]] = "Scrn", ICE[[#This Row],[LstPrc]], IF(ICE[[#This Row],[LastType]] = "Blk", ICE[[#This Row],[LstBlkPrc]], ""))</f>
        <v/>
      </c>
      <c r="S198" s="36">
        <f>ICE[[#This Row],[Vol]]+ICE[[#This Row],[BlkVol]]</f>
        <v>0</v>
      </c>
      <c r="T198" s="36">
        <f>RTD("ice.rtd",,$C198 &amp; $D198 &amp; ":" &amp; T$1)</f>
        <v>328</v>
      </c>
      <c r="U198" s="18">
        <f>RTD("ice.rtd",,$C198 &amp; $D198 &amp; ":" &amp; U$1)</f>
        <v>-4.9880000000000004</v>
      </c>
      <c r="V1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-8.60 / -1.41 </v>
      </c>
      <c r="W198" s="18" t="str">
        <f>IFERROR(IF(LEFT(ICE[[#This Row],[Tenor]], 1) = "B", RTD("esrtd",,$B198 &amp; " " &amp; ICE[[#This Row],[Tenor]] &amp; "-IEU", W$1), RTD("esrtd",,$B198 &amp; " " &amp; VLOOKUP(MONTH(ICE[[#This Row],[Strip]]), MthRef[], 2, 0) &amp; RIGHT(YEAR(ICE[[#This Row],[Strip]]), 2) &amp; "-IEU", W$1)), "")</f>
        <v/>
      </c>
      <c r="X198" s="36"/>
    </row>
    <row r="199" spans="1:24" x14ac:dyDescent="0.25">
      <c r="A199" s="37" t="s">
        <v>825</v>
      </c>
      <c r="B199" s="3" t="str">
        <f>RTD("ice.rtd",,$C199 &amp; $D199 &amp; ":" &amp; B$1)</f>
        <v>NOB</v>
      </c>
      <c r="C199" s="3">
        <v>18851683</v>
      </c>
      <c r="D199" t="s">
        <v>113</v>
      </c>
      <c r="E199" s="3" t="str">
        <f>RTD("ice.rtd",,$C199 &amp; $D199 &amp; ":" &amp; E$1)</f>
        <v>Mar27</v>
      </c>
      <c r="F199" s="3" t="str">
        <f>ICE[[#This Row],[Prod]]&amp;ICE[[#This Row],[Strip]]</f>
        <v>napbrxmtMar27</v>
      </c>
      <c r="G199" s="18">
        <f>RTD("ice.rtd",,$C199 &amp; $D199 &amp; ":" &amp; G$1)</f>
        <v>-9.2899999999999991</v>
      </c>
      <c r="H199" s="18">
        <f>RTD("ice.rtd",,$C199 &amp; $D199 &amp; ":" &amp; H$1)</f>
        <v>-2.1</v>
      </c>
      <c r="I199" s="18" t="str">
        <f>RTD("ice.rtd",,$C199 &amp; $D199 &amp; ":" &amp; I$1)</f>
        <v/>
      </c>
      <c r="J199" s="14" t="str">
        <f>IFERROR(MOD(RTD("ice.rtd",,$C199 &amp; $D199 &amp; ":" &amp; J$1), 1), "")</f>
        <v/>
      </c>
      <c r="K199" s="18" t="str">
        <f>RTD("ice.rtd",,$C199 &amp; $D199 &amp; ":" &amp; K$1)</f>
        <v/>
      </c>
      <c r="L199" s="36" t="str">
        <f>RTD("ice.rtd",,$C199 &amp; $D199 &amp; ":" &amp; L$1)</f>
        <v/>
      </c>
      <c r="M199" s="14" t="str">
        <f>IFERROR(MOD(TIMEVALUE(RTD("ice.rtd",,$C199 &amp; $D199 &amp; ":" &amp; M$1)), 1), "")</f>
        <v/>
      </c>
      <c r="N199" s="36">
        <f>RTD("ice.rtd",,$C199 &amp; $D199 &amp; ":" &amp; N$1)</f>
        <v>0</v>
      </c>
      <c r="O199" s="36">
        <f>RTD("ice.rtd",,$C199 &amp; $D199 &amp; ":" &amp; O$1)</f>
        <v>0</v>
      </c>
      <c r="P1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9" s="14" t="str">
        <f>IF(ICE[[#This Row],[LastType]] = "Scrn", ICE[[#This Row],[LstDate]], IF(ICE[[#This Row],[LastType]] = "Blk", ICE[[#This Row],[LstBlkTime]], ""))</f>
        <v/>
      </c>
      <c r="R199" s="41" t="str">
        <f>IF(ICE[[#This Row],[LastType]] = "Scrn", ICE[[#This Row],[LstPrc]], IF(ICE[[#This Row],[LastType]] = "Blk", ICE[[#This Row],[LstBlkPrc]], ""))</f>
        <v/>
      </c>
      <c r="S199" s="36">
        <f>ICE[[#This Row],[Vol]]+ICE[[#This Row],[BlkVol]]</f>
        <v>0</v>
      </c>
      <c r="T199" s="36">
        <f>RTD("ice.rtd",,$C199 &amp; $D199 &amp; ":" &amp; T$1)</f>
        <v>341</v>
      </c>
      <c r="U199" s="18">
        <f>RTD("ice.rtd",,$C199 &amp; $D199 &amp; ":" &amp; U$1)</f>
        <v>-5.7309999999999999</v>
      </c>
      <c r="V1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-9.29 / -2.10 </v>
      </c>
      <c r="W199" s="18" t="str">
        <f>IFERROR(IF(LEFT(ICE[[#This Row],[Tenor]], 1) = "B", RTD("esrtd",,$B199 &amp; " " &amp; ICE[[#This Row],[Tenor]] &amp; "-IEU", W$1), RTD("esrtd",,$B199 &amp; " " &amp; VLOOKUP(MONTH(ICE[[#This Row],[Strip]]), MthRef[], 2, 0) &amp; RIGHT(YEAR(ICE[[#This Row],[Strip]]), 2) &amp; "-IEU", W$1)), "")</f>
        <v/>
      </c>
      <c r="X199" s="36"/>
    </row>
    <row r="200" spans="1:24" x14ac:dyDescent="0.25">
      <c r="A200" s="37" t="s">
        <v>825</v>
      </c>
      <c r="B200" s="3" t="str">
        <f>RTD("ice.rtd",,$C200 &amp; $D200 &amp; ":" &amp; B$1)</f>
        <v>NOB</v>
      </c>
      <c r="C200" s="3">
        <v>18851683</v>
      </c>
      <c r="D200" t="s">
        <v>796</v>
      </c>
      <c r="E200" s="3" t="str">
        <f>RTD("ice.rtd",,$C200 &amp; $D200 &amp; ":" &amp; E$1)</f>
        <v>Apr27</v>
      </c>
      <c r="F200" s="3" t="str">
        <f>ICE[[#This Row],[Prod]]&amp;ICE[[#This Row],[Strip]]</f>
        <v>napbrxmtApr27</v>
      </c>
      <c r="G200" s="18">
        <f>RTD("ice.rtd",,$C200 &amp; $D200 &amp; ":" &amp; G$1)</f>
        <v>-10.199999999999999</v>
      </c>
      <c r="H200" s="18">
        <f>RTD("ice.rtd",,$C200 &amp; $D200 &amp; ":" &amp; H$1)</f>
        <v>-3.01</v>
      </c>
      <c r="I200" s="18" t="str">
        <f>RTD("ice.rtd",,$C200 &amp; $D200 &amp; ":" &amp; I$1)</f>
        <v/>
      </c>
      <c r="J200" s="14" t="str">
        <f>IFERROR(MOD(RTD("ice.rtd",,$C200 &amp; $D200 &amp; ":" &amp; J$1), 1), "")</f>
        <v/>
      </c>
      <c r="K200" s="18" t="str">
        <f>RTD("ice.rtd",,$C200 &amp; $D200 &amp; ":" &amp; K$1)</f>
        <v/>
      </c>
      <c r="L200" s="36" t="str">
        <f>RTD("ice.rtd",,$C200 &amp; $D200 &amp; ":" &amp; L$1)</f>
        <v/>
      </c>
      <c r="M200" s="14" t="str">
        <f>IFERROR(MOD(TIMEVALUE(RTD("ice.rtd",,$C200 &amp; $D200 &amp; ":" &amp; M$1)), 1), "")</f>
        <v/>
      </c>
      <c r="N200" s="36">
        <f>RTD("ice.rtd",,$C200 &amp; $D200 &amp; ":" &amp; N$1)</f>
        <v>0</v>
      </c>
      <c r="O200" s="36">
        <f>RTD("ice.rtd",,$C200 &amp; $D200 &amp; ":" &amp; O$1)</f>
        <v>0</v>
      </c>
      <c r="P2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" s="14" t="str">
        <f>IF(ICE[[#This Row],[LastType]] = "Scrn", ICE[[#This Row],[LstDate]], IF(ICE[[#This Row],[LastType]] = "Blk", ICE[[#This Row],[LstBlkTime]], ""))</f>
        <v/>
      </c>
      <c r="R200" s="41" t="str">
        <f>IF(ICE[[#This Row],[LastType]] = "Scrn", ICE[[#This Row],[LstPrc]], IF(ICE[[#This Row],[LastType]] = "Blk", ICE[[#This Row],[LstBlkPrc]], ""))</f>
        <v/>
      </c>
      <c r="S200" s="36">
        <f>ICE[[#This Row],[Vol]]+ICE[[#This Row],[BlkVol]]</f>
        <v>0</v>
      </c>
      <c r="T200" s="36">
        <f>RTD("ice.rtd",,$C200 &amp; $D200 &amp; ":" &amp; T$1)</f>
        <v>139</v>
      </c>
      <c r="U200" s="18">
        <f>RTD("ice.rtd",,$C200 &amp; $D200 &amp; ":" &amp; U$1)</f>
        <v>-6.6020000000000003</v>
      </c>
      <c r="V2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-10.20 / -3.01 </v>
      </c>
      <c r="W200" s="18" t="str">
        <f>IFERROR(IF(LEFT(ICE[[#This Row],[Tenor]], 1) = "B", RTD("esrtd",,$B200 &amp; " " &amp; ICE[[#This Row],[Tenor]] &amp; "-IEU", W$1), RTD("esrtd",,$B200 &amp; " " &amp; VLOOKUP(MONTH(ICE[[#This Row],[Strip]]), MthRef[], 2, 0) &amp; RIGHT(YEAR(ICE[[#This Row],[Strip]]), 2) &amp; "-IEU", W$1)), "")</f>
        <v/>
      </c>
      <c r="X200" s="36"/>
    </row>
    <row r="201" spans="1:24" x14ac:dyDescent="0.25">
      <c r="A201" s="37" t="s">
        <v>825</v>
      </c>
      <c r="B201" s="3" t="str">
        <f>RTD("ice.rtd",,$C201 &amp; $D201 &amp; ":" &amp; B$1)</f>
        <v>NOB</v>
      </c>
      <c r="C201" s="3">
        <v>18851683</v>
      </c>
      <c r="D201" t="s">
        <v>797</v>
      </c>
      <c r="E201" s="3" t="str">
        <f>RTD("ice.rtd",,$C201 &amp; $D201 &amp; ":" &amp; E$1)</f>
        <v>May27</v>
      </c>
      <c r="F201" s="3" t="str">
        <f>ICE[[#This Row],[Prod]]&amp;ICE[[#This Row],[Strip]]</f>
        <v>napbrxmtMay27</v>
      </c>
      <c r="G201" s="18">
        <f>RTD("ice.rtd",,$C201 &amp; $D201 &amp; ":" &amp; G$1)</f>
        <v>-10.61</v>
      </c>
      <c r="H201" s="18">
        <f>RTD("ice.rtd",,$C201 &amp; $D201 &amp; ":" &amp; H$1)</f>
        <v>-3.42</v>
      </c>
      <c r="I201" s="18" t="str">
        <f>RTD("ice.rtd",,$C201 &amp; $D201 &amp; ":" &amp; I$1)</f>
        <v/>
      </c>
      <c r="J201" s="14" t="str">
        <f>IFERROR(MOD(RTD("ice.rtd",,$C201 &amp; $D201 &amp; ":" &amp; J$1), 1), "")</f>
        <v/>
      </c>
      <c r="K201" s="18" t="str">
        <f>RTD("ice.rtd",,$C201 &amp; $D201 &amp; ":" &amp; K$1)</f>
        <v/>
      </c>
      <c r="L201" s="36" t="str">
        <f>RTD("ice.rtd",,$C201 &amp; $D201 &amp; ":" &amp; L$1)</f>
        <v/>
      </c>
      <c r="M201" s="14" t="str">
        <f>IFERROR(MOD(TIMEVALUE(RTD("ice.rtd",,$C201 &amp; $D201 &amp; ":" &amp; M$1)), 1), "")</f>
        <v/>
      </c>
      <c r="N201" s="36">
        <f>RTD("ice.rtd",,$C201 &amp; $D201 &amp; ":" &amp; N$1)</f>
        <v>0</v>
      </c>
      <c r="O201" s="36">
        <f>RTD("ice.rtd",,$C201 &amp; $D201 &amp; ":" &amp; O$1)</f>
        <v>0</v>
      </c>
      <c r="P2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" s="14" t="str">
        <f>IF(ICE[[#This Row],[LastType]] = "Scrn", ICE[[#This Row],[LstDate]], IF(ICE[[#This Row],[LastType]] = "Blk", ICE[[#This Row],[LstBlkTime]], ""))</f>
        <v/>
      </c>
      <c r="R201" s="41" t="str">
        <f>IF(ICE[[#This Row],[LastType]] = "Scrn", ICE[[#This Row],[LstPrc]], IF(ICE[[#This Row],[LastType]] = "Blk", ICE[[#This Row],[LstBlkPrc]], ""))</f>
        <v/>
      </c>
      <c r="S201" s="36">
        <f>ICE[[#This Row],[Vol]]+ICE[[#This Row],[BlkVol]]</f>
        <v>0</v>
      </c>
      <c r="T201" s="36">
        <f>RTD("ice.rtd",,$C201 &amp; $D201 &amp; ":" &amp; T$1)</f>
        <v>139</v>
      </c>
      <c r="U201" s="18">
        <f>RTD("ice.rtd",,$C201 &amp; $D201 &amp; ":" &amp; U$1)</f>
        <v>-7.0340000000000007</v>
      </c>
      <c r="V2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-10.61 / -3.42 </v>
      </c>
      <c r="W201" s="18" t="str">
        <f>IFERROR(IF(LEFT(ICE[[#This Row],[Tenor]], 1) = "B", RTD("esrtd",,$B201 &amp; " " &amp; ICE[[#This Row],[Tenor]] &amp; "-IEU", W$1), RTD("esrtd",,$B201 &amp; " " &amp; VLOOKUP(MONTH(ICE[[#This Row],[Strip]]), MthRef[], 2, 0) &amp; RIGHT(YEAR(ICE[[#This Row],[Strip]]), 2) &amp; "-IEU", W$1)), "")</f>
        <v/>
      </c>
      <c r="X201" s="36"/>
    </row>
    <row r="202" spans="1:24" x14ac:dyDescent="0.25">
      <c r="A202" s="37" t="s">
        <v>825</v>
      </c>
      <c r="B202" s="3" t="str">
        <f>RTD("ice.rtd",,$C202 &amp; $D202 &amp; ":" &amp; B$1)</f>
        <v>NOB</v>
      </c>
      <c r="C202" s="3">
        <v>18851683</v>
      </c>
      <c r="D202" t="s">
        <v>798</v>
      </c>
      <c r="E202" s="3" t="str">
        <f>RTD("ice.rtd",,$C202 &amp; $D202 &amp; ":" &amp; E$1)</f>
        <v>Jun27</v>
      </c>
      <c r="F202" s="3" t="str">
        <f>ICE[[#This Row],[Prod]]&amp;ICE[[#This Row],[Strip]]</f>
        <v>napbrxmtJun27</v>
      </c>
      <c r="G202" s="18">
        <f>RTD("ice.rtd",,$C202 &amp; $D202 &amp; ":" &amp; G$1)</f>
        <v>-10.99</v>
      </c>
      <c r="H202" s="18">
        <f>RTD("ice.rtd",,$C202 &amp; $D202 &amp; ":" &amp; H$1)</f>
        <v>-3.79</v>
      </c>
      <c r="I202" s="18" t="str">
        <f>RTD("ice.rtd",,$C202 &amp; $D202 &amp; ":" &amp; I$1)</f>
        <v/>
      </c>
      <c r="J202" s="14" t="str">
        <f>IFERROR(MOD(RTD("ice.rtd",,$C202 &amp; $D202 &amp; ":" &amp; J$1), 1), "")</f>
        <v/>
      </c>
      <c r="K202" s="18" t="str">
        <f>RTD("ice.rtd",,$C202 &amp; $D202 &amp; ":" &amp; K$1)</f>
        <v/>
      </c>
      <c r="L202" s="36" t="str">
        <f>RTD("ice.rtd",,$C202 &amp; $D202 &amp; ":" &amp; L$1)</f>
        <v/>
      </c>
      <c r="M202" s="14" t="str">
        <f>IFERROR(MOD(TIMEVALUE(RTD("ice.rtd",,$C202 &amp; $D202 &amp; ":" &amp; M$1)), 1), "")</f>
        <v/>
      </c>
      <c r="N202" s="36">
        <f>RTD("ice.rtd",,$C202 &amp; $D202 &amp; ":" &amp; N$1)</f>
        <v>0</v>
      </c>
      <c r="O202" s="36">
        <f>RTD("ice.rtd",,$C202 &amp; $D202 &amp; ":" &amp; O$1)</f>
        <v>0</v>
      </c>
      <c r="P2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" s="14" t="str">
        <f>IF(ICE[[#This Row],[LastType]] = "Scrn", ICE[[#This Row],[LstDate]], IF(ICE[[#This Row],[LastType]] = "Blk", ICE[[#This Row],[LstBlkTime]], ""))</f>
        <v/>
      </c>
      <c r="R202" s="41" t="str">
        <f>IF(ICE[[#This Row],[LastType]] = "Scrn", ICE[[#This Row],[LstPrc]], IF(ICE[[#This Row],[LastType]] = "Blk", ICE[[#This Row],[LstBlkPrc]], ""))</f>
        <v/>
      </c>
      <c r="S202" s="36">
        <f>ICE[[#This Row],[Vol]]+ICE[[#This Row],[BlkVol]]</f>
        <v>0</v>
      </c>
      <c r="T202" s="36">
        <f>RTD("ice.rtd",,$C202 &amp; $D202 &amp; ":" &amp; T$1)</f>
        <v>154</v>
      </c>
      <c r="U202" s="18">
        <f>RTD("ice.rtd",,$C202 &amp; $D202 &amp; ":" &amp; U$1)</f>
        <v>-7.431</v>
      </c>
      <c r="V2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-10.99 / -3.79 </v>
      </c>
      <c r="W202" s="18" t="str">
        <f>IFERROR(IF(LEFT(ICE[[#This Row],[Tenor]], 1) = "B", RTD("esrtd",,$B202 &amp; " " &amp; ICE[[#This Row],[Tenor]] &amp; "-IEU", W$1), RTD("esrtd",,$B202 &amp; " " &amp; VLOOKUP(MONTH(ICE[[#This Row],[Strip]]), MthRef[], 2, 0) &amp; RIGHT(YEAR(ICE[[#This Row],[Strip]]), 2) &amp; "-IEU", W$1)), "")</f>
        <v/>
      </c>
      <c r="X202" s="36"/>
    </row>
    <row r="203" spans="1:24" x14ac:dyDescent="0.25">
      <c r="A203" s="37" t="s">
        <v>825</v>
      </c>
      <c r="B203" s="3" t="str">
        <f>RTD("ice.rtd",,$C203 &amp; $D203 &amp; ":" &amp; B$1)</f>
        <v>NOB</v>
      </c>
      <c r="C203" s="3">
        <v>18851683</v>
      </c>
      <c r="D203" t="s">
        <v>799</v>
      </c>
      <c r="E203" s="3" t="str">
        <f>RTD("ice.rtd",,$C203 &amp; $D203 &amp; ":" &amp; E$1)</f>
        <v>Jul27</v>
      </c>
      <c r="F203" s="3" t="str">
        <f>ICE[[#This Row],[Prod]]&amp;ICE[[#This Row],[Strip]]</f>
        <v>napbrxmtJul27</v>
      </c>
      <c r="G203" s="18">
        <f>RTD("ice.rtd",,$C203 &amp; $D203 &amp; ":" &amp; G$1)</f>
        <v>-11.24</v>
      </c>
      <c r="H203" s="18">
        <f>RTD("ice.rtd",,$C203 &amp; $D203 &amp; ":" &amp; H$1)</f>
        <v>-4.05</v>
      </c>
      <c r="I203" s="18" t="str">
        <f>RTD("ice.rtd",,$C203 &amp; $D203 &amp; ":" &amp; I$1)</f>
        <v/>
      </c>
      <c r="J203" s="14" t="str">
        <f>IFERROR(MOD(RTD("ice.rtd",,$C203 &amp; $D203 &amp; ":" &amp; J$1), 1), "")</f>
        <v/>
      </c>
      <c r="K203" s="18" t="str">
        <f>RTD("ice.rtd",,$C203 &amp; $D203 &amp; ":" &amp; K$1)</f>
        <v/>
      </c>
      <c r="L203" s="36" t="str">
        <f>RTD("ice.rtd",,$C203 &amp; $D203 &amp; ":" &amp; L$1)</f>
        <v/>
      </c>
      <c r="M203" s="14" t="str">
        <f>IFERROR(MOD(TIMEVALUE(RTD("ice.rtd",,$C203 &amp; $D203 &amp; ":" &amp; M$1)), 1), "")</f>
        <v/>
      </c>
      <c r="N203" s="36">
        <f>RTD("ice.rtd",,$C203 &amp; $D203 &amp; ":" &amp; N$1)</f>
        <v>0</v>
      </c>
      <c r="O203" s="36">
        <f>RTD("ice.rtd",,$C203 &amp; $D203 &amp; ":" &amp; O$1)</f>
        <v>0</v>
      </c>
      <c r="P2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" s="14" t="str">
        <f>IF(ICE[[#This Row],[LastType]] = "Scrn", ICE[[#This Row],[LstDate]], IF(ICE[[#This Row],[LastType]] = "Blk", ICE[[#This Row],[LstBlkTime]], ""))</f>
        <v/>
      </c>
      <c r="R203" s="41" t="str">
        <f>IF(ICE[[#This Row],[LastType]] = "Scrn", ICE[[#This Row],[LstPrc]], IF(ICE[[#This Row],[LastType]] = "Blk", ICE[[#This Row],[LstBlkPrc]], ""))</f>
        <v/>
      </c>
      <c r="S203" s="36">
        <f>ICE[[#This Row],[Vol]]+ICE[[#This Row],[BlkVol]]</f>
        <v>0</v>
      </c>
      <c r="T203" s="36">
        <f>RTD("ice.rtd",,$C203 &amp; $D203 &amp; ":" &amp; T$1)</f>
        <v>89</v>
      </c>
      <c r="U203" s="18">
        <f>RTD("ice.rtd",,$C203 &amp; $D203 &amp; ":" &amp; U$1)</f>
        <v>-7.7130000000000001</v>
      </c>
      <c r="V2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-11.24 / -4.05 </v>
      </c>
      <c r="W203" s="18" t="str">
        <f>IFERROR(IF(LEFT(ICE[[#This Row],[Tenor]], 1) = "B", RTD("esrtd",,$B203 &amp; " " &amp; ICE[[#This Row],[Tenor]] &amp; "-IEU", W$1), RTD("esrtd",,$B203 &amp; " " &amp; VLOOKUP(MONTH(ICE[[#This Row],[Strip]]), MthRef[], 2, 0) &amp; RIGHT(YEAR(ICE[[#This Row],[Strip]]), 2) &amp; "-IEU", W$1)), "")</f>
        <v/>
      </c>
      <c r="X203" s="36"/>
    </row>
    <row r="204" spans="1:24" x14ac:dyDescent="0.25">
      <c r="A204" s="37" t="s">
        <v>825</v>
      </c>
      <c r="B204" s="3" t="str">
        <f>RTD("ice.rtd",,$C204 &amp; $D204 &amp; ":" &amp; B$1)</f>
        <v>NOB</v>
      </c>
      <c r="C204" s="3">
        <v>18851683</v>
      </c>
      <c r="D204" t="s">
        <v>800</v>
      </c>
      <c r="E204" s="3" t="str">
        <f>RTD("ice.rtd",,$C204 &amp; $D204 &amp; ":" &amp; E$1)</f>
        <v>Aug27</v>
      </c>
      <c r="F204" s="3" t="str">
        <f>ICE[[#This Row],[Prod]]&amp;ICE[[#This Row],[Strip]]</f>
        <v>napbrxmtAug27</v>
      </c>
      <c r="G204" s="18">
        <f>RTD("ice.rtd",,$C204 &amp; $D204 &amp; ":" &amp; G$1)</f>
        <v>-11.41</v>
      </c>
      <c r="H204" s="18">
        <f>RTD("ice.rtd",,$C204 &amp; $D204 &amp; ":" &amp; H$1)</f>
        <v>-4.22</v>
      </c>
      <c r="I204" s="18" t="str">
        <f>RTD("ice.rtd",,$C204 &amp; $D204 &amp; ":" &amp; I$1)</f>
        <v/>
      </c>
      <c r="J204" s="14" t="str">
        <f>IFERROR(MOD(RTD("ice.rtd",,$C204 &amp; $D204 &amp; ":" &amp; J$1), 1), "")</f>
        <v/>
      </c>
      <c r="K204" s="18" t="str">
        <f>RTD("ice.rtd",,$C204 &amp; $D204 &amp; ":" &amp; K$1)</f>
        <v/>
      </c>
      <c r="L204" s="36" t="str">
        <f>RTD("ice.rtd",,$C204 &amp; $D204 &amp; ":" &amp; L$1)</f>
        <v/>
      </c>
      <c r="M204" s="14" t="str">
        <f>IFERROR(MOD(TIMEVALUE(RTD("ice.rtd",,$C204 &amp; $D204 &amp; ":" &amp; M$1)), 1), "")</f>
        <v/>
      </c>
      <c r="N204" s="36">
        <f>RTD("ice.rtd",,$C204 &amp; $D204 &amp; ":" &amp; N$1)</f>
        <v>0</v>
      </c>
      <c r="O204" s="36">
        <f>RTD("ice.rtd",,$C204 &amp; $D204 &amp; ":" &amp; O$1)</f>
        <v>0</v>
      </c>
      <c r="P2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" s="14" t="str">
        <f>IF(ICE[[#This Row],[LastType]] = "Scrn", ICE[[#This Row],[LstDate]], IF(ICE[[#This Row],[LastType]] = "Blk", ICE[[#This Row],[LstBlkTime]], ""))</f>
        <v/>
      </c>
      <c r="R204" s="41" t="str">
        <f>IF(ICE[[#This Row],[LastType]] = "Scrn", ICE[[#This Row],[LstPrc]], IF(ICE[[#This Row],[LastType]] = "Blk", ICE[[#This Row],[LstBlkPrc]], ""))</f>
        <v/>
      </c>
      <c r="S204" s="36">
        <f>ICE[[#This Row],[Vol]]+ICE[[#This Row],[BlkVol]]</f>
        <v>0</v>
      </c>
      <c r="T204" s="36">
        <f>RTD("ice.rtd",,$C204 &amp; $D204 &amp; ":" &amp; T$1)</f>
        <v>89</v>
      </c>
      <c r="U204" s="18">
        <f>RTD("ice.rtd",,$C204 &amp; $D204 &amp; ":" &amp; U$1)</f>
        <v>-7.907</v>
      </c>
      <c r="V2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-11.41 / -4.22 </v>
      </c>
      <c r="W204" s="18" t="str">
        <f>IFERROR(IF(LEFT(ICE[[#This Row],[Tenor]], 1) = "B", RTD("esrtd",,$B204 &amp; " " &amp; ICE[[#This Row],[Tenor]] &amp; "-IEU", W$1), RTD("esrtd",,$B204 &amp; " " &amp; VLOOKUP(MONTH(ICE[[#This Row],[Strip]]), MthRef[], 2, 0) &amp; RIGHT(YEAR(ICE[[#This Row],[Strip]]), 2) &amp; "-IEU", W$1)), "")</f>
        <v/>
      </c>
      <c r="X204" s="36"/>
    </row>
    <row r="205" spans="1:24" x14ac:dyDescent="0.25">
      <c r="A205" s="37" t="s">
        <v>825</v>
      </c>
      <c r="B205" s="3" t="str">
        <f>RTD("ice.rtd",,$C205 &amp; $D205 &amp; ":" &amp; B$1)</f>
        <v>NOB</v>
      </c>
      <c r="C205" s="3">
        <v>18851683</v>
      </c>
      <c r="D205" t="s">
        <v>801</v>
      </c>
      <c r="E205" s="3" t="str">
        <f>RTD("ice.rtd",,$C205 &amp; $D205 &amp; ":" &amp; E$1)</f>
        <v>Sep27</v>
      </c>
      <c r="F205" s="3" t="str">
        <f>ICE[[#This Row],[Prod]]&amp;ICE[[#This Row],[Strip]]</f>
        <v>napbrxmtSep27</v>
      </c>
      <c r="G205" s="18">
        <f>RTD("ice.rtd",,$C205 &amp; $D205 &amp; ":" &amp; G$1)</f>
        <v>-11.49</v>
      </c>
      <c r="H205" s="18">
        <f>RTD("ice.rtd",,$C205 &amp; $D205 &amp; ":" &amp; H$1)</f>
        <v>-4.3</v>
      </c>
      <c r="I205" s="18" t="str">
        <f>RTD("ice.rtd",,$C205 &amp; $D205 &amp; ":" &amp; I$1)</f>
        <v/>
      </c>
      <c r="J205" s="14" t="str">
        <f>IFERROR(MOD(RTD("ice.rtd",,$C205 &amp; $D205 &amp; ":" &amp; J$1), 1), "")</f>
        <v/>
      </c>
      <c r="K205" s="18" t="str">
        <f>RTD("ice.rtd",,$C205 &amp; $D205 &amp; ":" &amp; K$1)</f>
        <v/>
      </c>
      <c r="L205" s="36" t="str">
        <f>RTD("ice.rtd",,$C205 &amp; $D205 &amp; ":" &amp; L$1)</f>
        <v/>
      </c>
      <c r="M205" s="14" t="str">
        <f>IFERROR(MOD(TIMEVALUE(RTD("ice.rtd",,$C205 &amp; $D205 &amp; ":" &amp; M$1)), 1), "")</f>
        <v/>
      </c>
      <c r="N205" s="36">
        <f>RTD("ice.rtd",,$C205 &amp; $D205 &amp; ":" &amp; N$1)</f>
        <v>0</v>
      </c>
      <c r="O205" s="36">
        <f>RTD("ice.rtd",,$C205 &amp; $D205 &amp; ":" &amp; O$1)</f>
        <v>0</v>
      </c>
      <c r="P2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5" s="14" t="str">
        <f>IF(ICE[[#This Row],[LastType]] = "Scrn", ICE[[#This Row],[LstDate]], IF(ICE[[#This Row],[LastType]] = "Blk", ICE[[#This Row],[LstBlkTime]], ""))</f>
        <v/>
      </c>
      <c r="R205" s="41" t="str">
        <f>IF(ICE[[#This Row],[LastType]] = "Scrn", ICE[[#This Row],[LstPrc]], IF(ICE[[#This Row],[LastType]] = "Blk", ICE[[#This Row],[LstBlkPrc]], ""))</f>
        <v/>
      </c>
      <c r="S205" s="36">
        <f>ICE[[#This Row],[Vol]]+ICE[[#This Row],[BlkVol]]</f>
        <v>0</v>
      </c>
      <c r="T205" s="36">
        <f>RTD("ice.rtd",,$C205 &amp; $D205 &amp; ":" &amp; T$1)</f>
        <v>99</v>
      </c>
      <c r="U205" s="18">
        <f>RTD("ice.rtd",,$C205 &amp; $D205 &amp; ":" &amp; U$1)</f>
        <v>-7.99</v>
      </c>
      <c r="V2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-11.49 / -4.30 </v>
      </c>
      <c r="W205" s="18" t="str">
        <f>IFERROR(IF(LEFT(ICE[[#This Row],[Tenor]], 1) = "B", RTD("esrtd",,$B205 &amp; " " &amp; ICE[[#This Row],[Tenor]] &amp; "-IEU", W$1), RTD("esrtd",,$B205 &amp; " " &amp; VLOOKUP(MONTH(ICE[[#This Row],[Strip]]), MthRef[], 2, 0) &amp; RIGHT(YEAR(ICE[[#This Row],[Strip]]), 2) &amp; "-IEU", W$1)), "")</f>
        <v/>
      </c>
      <c r="X205" s="36"/>
    </row>
    <row r="206" spans="1:24" x14ac:dyDescent="0.25">
      <c r="A206" s="37" t="s">
        <v>825</v>
      </c>
      <c r="B206" s="3" t="str">
        <f>RTD("ice.rtd",,$C206 &amp; $D206 &amp; ":" &amp; B$1)</f>
        <v>NOB</v>
      </c>
      <c r="C206" s="3">
        <v>18851683</v>
      </c>
      <c r="D206" t="s">
        <v>802</v>
      </c>
      <c r="E206" s="3" t="str">
        <f>RTD("ice.rtd",,$C206 &amp; $D206 &amp; ":" &amp; E$1)</f>
        <v>Oct27</v>
      </c>
      <c r="F206" s="3" t="str">
        <f>ICE[[#This Row],[Prod]]&amp;ICE[[#This Row],[Strip]]</f>
        <v>napbrxmtOct27</v>
      </c>
      <c r="G206" s="18">
        <f>RTD("ice.rtd",,$C206 &amp; $D206 &amp; ":" &amp; G$1)</f>
        <v>-11.49</v>
      </c>
      <c r="H206" s="18">
        <f>RTD("ice.rtd",,$C206 &amp; $D206 &amp; ":" &amp; H$1)</f>
        <v>-4.29</v>
      </c>
      <c r="I206" s="18" t="str">
        <f>RTD("ice.rtd",,$C206 &amp; $D206 &amp; ":" &amp; I$1)</f>
        <v/>
      </c>
      <c r="J206" s="14" t="str">
        <f>IFERROR(MOD(RTD("ice.rtd",,$C206 &amp; $D206 &amp; ":" &amp; J$1), 1), "")</f>
        <v/>
      </c>
      <c r="K206" s="18" t="str">
        <f>RTD("ice.rtd",,$C206 &amp; $D206 &amp; ":" &amp; K$1)</f>
        <v/>
      </c>
      <c r="L206" s="36" t="str">
        <f>RTD("ice.rtd",,$C206 &amp; $D206 &amp; ":" &amp; L$1)</f>
        <v/>
      </c>
      <c r="M206" s="14" t="str">
        <f>IFERROR(MOD(TIMEVALUE(RTD("ice.rtd",,$C206 &amp; $D206 &amp; ":" &amp; M$1)), 1), "")</f>
        <v/>
      </c>
      <c r="N206" s="36">
        <f>RTD("ice.rtd",,$C206 &amp; $D206 &amp; ":" &amp; N$1)</f>
        <v>0</v>
      </c>
      <c r="O206" s="36">
        <f>RTD("ice.rtd",,$C206 &amp; $D206 &amp; ":" &amp; O$1)</f>
        <v>0</v>
      </c>
      <c r="P2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6" s="14" t="str">
        <f>IF(ICE[[#This Row],[LastType]] = "Scrn", ICE[[#This Row],[LstDate]], IF(ICE[[#This Row],[LastType]] = "Blk", ICE[[#This Row],[LstBlkTime]], ""))</f>
        <v/>
      </c>
      <c r="R206" s="41" t="str">
        <f>IF(ICE[[#This Row],[LastType]] = "Scrn", ICE[[#This Row],[LstPrc]], IF(ICE[[#This Row],[LastType]] = "Blk", ICE[[#This Row],[LstBlkPrc]], ""))</f>
        <v/>
      </c>
      <c r="S206" s="36">
        <f>ICE[[#This Row],[Vol]]+ICE[[#This Row],[BlkVol]]</f>
        <v>0</v>
      </c>
      <c r="T206" s="36">
        <f>RTD("ice.rtd",,$C206 &amp; $D206 &amp; ":" &amp; T$1)</f>
        <v>91</v>
      </c>
      <c r="U206" s="18">
        <f>RTD("ice.rtd",,$C206 &amp; $D206 &amp; ":" &amp; U$1)</f>
        <v>-7.9720000000000004</v>
      </c>
      <c r="V2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-11.49 / -4.29 </v>
      </c>
      <c r="W206" s="18" t="str">
        <f>IFERROR(IF(LEFT(ICE[[#This Row],[Tenor]], 1) = "B", RTD("esrtd",,$B206 &amp; " " &amp; ICE[[#This Row],[Tenor]] &amp; "-IEU", W$1), RTD("esrtd",,$B206 &amp; " " &amp; VLOOKUP(MONTH(ICE[[#This Row],[Strip]]), MthRef[], 2, 0) &amp; RIGHT(YEAR(ICE[[#This Row],[Strip]]), 2) &amp; "-IEU", W$1)), "")</f>
        <v/>
      </c>
      <c r="X206" s="36"/>
    </row>
    <row r="207" spans="1:24" x14ac:dyDescent="0.25">
      <c r="A207" s="37" t="s">
        <v>825</v>
      </c>
      <c r="B207" s="3" t="str">
        <f>RTD("ice.rtd",,$C207 &amp; $D207 &amp; ":" &amp; B$1)</f>
        <v>NOB</v>
      </c>
      <c r="C207" s="3">
        <v>18851683</v>
      </c>
      <c r="D207" t="s">
        <v>803</v>
      </c>
      <c r="E207" s="3" t="str">
        <f>RTD("ice.rtd",,$C207 &amp; $D207 &amp; ":" &amp; E$1)</f>
        <v>Nov27</v>
      </c>
      <c r="F207" s="3" t="str">
        <f>ICE[[#This Row],[Prod]]&amp;ICE[[#This Row],[Strip]]</f>
        <v>napbrxmtNov27</v>
      </c>
      <c r="G207" s="18">
        <f>RTD("ice.rtd",,$C207 &amp; $D207 &amp; ":" &amp; G$1)</f>
        <v>-11.58</v>
      </c>
      <c r="H207" s="18">
        <f>RTD("ice.rtd",,$C207 &amp; $D207 &amp; ":" &amp; H$1)</f>
        <v>-4.38</v>
      </c>
      <c r="I207" s="18" t="str">
        <f>RTD("ice.rtd",,$C207 &amp; $D207 &amp; ":" &amp; I$1)</f>
        <v/>
      </c>
      <c r="J207" s="14" t="str">
        <f>IFERROR(MOD(RTD("ice.rtd",,$C207 &amp; $D207 &amp; ":" &amp; J$1), 1), "")</f>
        <v/>
      </c>
      <c r="K207" s="18" t="str">
        <f>RTD("ice.rtd",,$C207 &amp; $D207 &amp; ":" &amp; K$1)</f>
        <v/>
      </c>
      <c r="L207" s="36" t="str">
        <f>RTD("ice.rtd",,$C207 &amp; $D207 &amp; ":" &amp; L$1)</f>
        <v/>
      </c>
      <c r="M207" s="14" t="str">
        <f>IFERROR(MOD(TIMEVALUE(RTD("ice.rtd",,$C207 &amp; $D207 &amp; ":" &amp; M$1)), 1), "")</f>
        <v/>
      </c>
      <c r="N207" s="36">
        <f>RTD("ice.rtd",,$C207 &amp; $D207 &amp; ":" &amp; N$1)</f>
        <v>0</v>
      </c>
      <c r="O207" s="36">
        <f>RTD("ice.rtd",,$C207 &amp; $D207 &amp; ":" &amp; O$1)</f>
        <v>0</v>
      </c>
      <c r="P2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7" s="14" t="str">
        <f>IF(ICE[[#This Row],[LastType]] = "Scrn", ICE[[#This Row],[LstDate]], IF(ICE[[#This Row],[LastType]] = "Blk", ICE[[#This Row],[LstBlkTime]], ""))</f>
        <v/>
      </c>
      <c r="R207" s="41" t="str">
        <f>IF(ICE[[#This Row],[LastType]] = "Scrn", ICE[[#This Row],[LstPrc]], IF(ICE[[#This Row],[LastType]] = "Blk", ICE[[#This Row],[LstBlkPrc]], ""))</f>
        <v/>
      </c>
      <c r="S207" s="36">
        <f>ICE[[#This Row],[Vol]]+ICE[[#This Row],[BlkVol]]</f>
        <v>0</v>
      </c>
      <c r="T207" s="36">
        <f>RTD("ice.rtd",,$C207 &amp; $D207 &amp; ":" &amp; T$1)</f>
        <v>84</v>
      </c>
      <c r="U207" s="18">
        <f>RTD("ice.rtd",,$C207 &amp; $D207 &amp; ":" &amp; U$1)</f>
        <v>-8.0590000000000011</v>
      </c>
      <c r="V2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-11.58 / -4.38 </v>
      </c>
      <c r="W207" s="18" t="str">
        <f>IFERROR(IF(LEFT(ICE[[#This Row],[Tenor]], 1) = "B", RTD("esrtd",,$B207 &amp; " " &amp; ICE[[#This Row],[Tenor]] &amp; "-IEU", W$1), RTD("esrtd",,$B207 &amp; " " &amp; VLOOKUP(MONTH(ICE[[#This Row],[Strip]]), MthRef[], 2, 0) &amp; RIGHT(YEAR(ICE[[#This Row],[Strip]]), 2) &amp; "-IEU", W$1)), "")</f>
        <v/>
      </c>
      <c r="X207" s="36"/>
    </row>
    <row r="208" spans="1:24" x14ac:dyDescent="0.25">
      <c r="A208" s="37" t="s">
        <v>825</v>
      </c>
      <c r="B208" s="3" t="str">
        <f>RTD("ice.rtd",,$C208 &amp; $D208 &amp; ":" &amp; B$1)</f>
        <v>NOB</v>
      </c>
      <c r="C208" s="3">
        <v>18851683</v>
      </c>
      <c r="D208" t="s">
        <v>804</v>
      </c>
      <c r="E208" s="3" t="str">
        <f>RTD("ice.rtd",,$C208 &amp; $D208 &amp; ":" &amp; E$1)</f>
        <v>Dec27</v>
      </c>
      <c r="F208" s="3" t="str">
        <f>ICE[[#This Row],[Prod]]&amp;ICE[[#This Row],[Strip]]</f>
        <v>napbrxmtDec27</v>
      </c>
      <c r="G208" s="18">
        <f>RTD("ice.rtd",,$C208 &amp; $D208 &amp; ":" &amp; G$1)</f>
        <v>-11.69</v>
      </c>
      <c r="H208" s="18">
        <f>RTD("ice.rtd",,$C208 &amp; $D208 &amp; ":" &amp; H$1)</f>
        <v>-4.5</v>
      </c>
      <c r="I208" s="18" t="str">
        <f>RTD("ice.rtd",,$C208 &amp; $D208 &amp; ":" &amp; I$1)</f>
        <v/>
      </c>
      <c r="J208" s="14" t="str">
        <f>IFERROR(MOD(RTD("ice.rtd",,$C208 &amp; $D208 &amp; ":" &amp; J$1), 1), "")</f>
        <v/>
      </c>
      <c r="K208" s="18" t="str">
        <f>RTD("ice.rtd",,$C208 &amp; $D208 &amp; ":" &amp; K$1)</f>
        <v/>
      </c>
      <c r="L208" s="36" t="str">
        <f>RTD("ice.rtd",,$C208 &amp; $D208 &amp; ":" &amp; L$1)</f>
        <v/>
      </c>
      <c r="M208" s="14" t="str">
        <f>IFERROR(MOD(TIMEVALUE(RTD("ice.rtd",,$C208 &amp; $D208 &amp; ":" &amp; M$1)), 1), "")</f>
        <v/>
      </c>
      <c r="N208" s="36">
        <f>RTD("ice.rtd",,$C208 &amp; $D208 &amp; ":" &amp; N$1)</f>
        <v>0</v>
      </c>
      <c r="O208" s="36">
        <f>RTD("ice.rtd",,$C208 &amp; $D208 &amp; ":" &amp; O$1)</f>
        <v>0</v>
      </c>
      <c r="P2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8" s="14" t="str">
        <f>IF(ICE[[#This Row],[LastType]] = "Scrn", ICE[[#This Row],[LstDate]], IF(ICE[[#This Row],[LastType]] = "Blk", ICE[[#This Row],[LstBlkTime]], ""))</f>
        <v/>
      </c>
      <c r="R208" s="41" t="str">
        <f>IF(ICE[[#This Row],[LastType]] = "Scrn", ICE[[#This Row],[LstPrc]], IF(ICE[[#This Row],[LastType]] = "Blk", ICE[[#This Row],[LstBlkPrc]], ""))</f>
        <v/>
      </c>
      <c r="S208" s="36">
        <f>ICE[[#This Row],[Vol]]+ICE[[#This Row],[BlkVol]]</f>
        <v>0</v>
      </c>
      <c r="T208" s="36">
        <f>RTD("ice.rtd",,$C208 &amp; $D208 &amp; ":" &amp; T$1)</f>
        <v>97</v>
      </c>
      <c r="U208" s="18">
        <f>RTD("ice.rtd",,$C208 &amp; $D208 &amp; ":" &amp; U$1)</f>
        <v>-8.1910000000000007</v>
      </c>
      <c r="V2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-11.69 / -4.50 </v>
      </c>
      <c r="W208" s="18" t="str">
        <f>IFERROR(IF(LEFT(ICE[[#This Row],[Tenor]], 1) = "B", RTD("esrtd",,$B208 &amp; " " &amp; ICE[[#This Row],[Tenor]] &amp; "-IEU", W$1), RTD("esrtd",,$B208 &amp; " " &amp; VLOOKUP(MONTH(ICE[[#This Row],[Strip]]), MthRef[], 2, 0) &amp; RIGHT(YEAR(ICE[[#This Row],[Strip]]), 2) &amp; "-IEU", W$1)), "")</f>
        <v/>
      </c>
      <c r="X208" s="36"/>
    </row>
    <row r="209" spans="1:24" x14ac:dyDescent="0.25">
      <c r="A209" s="37" t="s">
        <v>825</v>
      </c>
      <c r="B209" s="3" t="str">
        <f>RTD("ice.rtd",,$C209 &amp; $D209 &amp; ":" &amp; B$1)</f>
        <v>NOB</v>
      </c>
      <c r="C209" s="3">
        <v>18851683</v>
      </c>
      <c r="D209" t="s">
        <v>805</v>
      </c>
      <c r="E209" s="3" t="str">
        <f>RTD("ice.rtd",,$C209 &amp; $D209 &amp; ":" &amp; E$1)</f>
        <v>Jan28</v>
      </c>
      <c r="F209" s="3" t="str">
        <f>ICE[[#This Row],[Prod]]&amp;ICE[[#This Row],[Strip]]</f>
        <v>napbrxmtJan28</v>
      </c>
      <c r="G209" s="18" t="str">
        <f>RTD("ice.rtd",,$C209 &amp; $D209 &amp; ":" &amp; G$1)</f>
        <v/>
      </c>
      <c r="H209" s="18" t="str">
        <f>RTD("ice.rtd",,$C209 &amp; $D209 &amp; ":" &amp; H$1)</f>
        <v/>
      </c>
      <c r="I209" s="18" t="str">
        <f>RTD("ice.rtd",,$C209 &amp; $D209 &amp; ":" &amp; I$1)</f>
        <v/>
      </c>
      <c r="J209" s="14" t="str">
        <f>IFERROR(MOD(RTD("ice.rtd",,$C209 &amp; $D209 &amp; ":" &amp; J$1), 1), "")</f>
        <v/>
      </c>
      <c r="K209" s="18" t="str">
        <f>RTD("ice.rtd",,$C209 &amp; $D209 &amp; ":" &amp; K$1)</f>
        <v/>
      </c>
      <c r="L209" s="36" t="str">
        <f>RTD("ice.rtd",,$C209 &amp; $D209 &amp; ":" &amp; L$1)</f>
        <v/>
      </c>
      <c r="M209" s="14" t="str">
        <f>IFERROR(MOD(TIMEVALUE(RTD("ice.rtd",,$C209 &amp; $D209 &amp; ":" &amp; M$1)), 1), "")</f>
        <v/>
      </c>
      <c r="N209" s="36">
        <f>RTD("ice.rtd",,$C209 &amp; $D209 &amp; ":" &amp; N$1)</f>
        <v>0</v>
      </c>
      <c r="O209" s="36">
        <f>RTD("ice.rtd",,$C209 &amp; $D209 &amp; ":" &amp; O$1)</f>
        <v>0</v>
      </c>
      <c r="P2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9" s="14" t="str">
        <f>IF(ICE[[#This Row],[LastType]] = "Scrn", ICE[[#This Row],[LstDate]], IF(ICE[[#This Row],[LastType]] = "Blk", ICE[[#This Row],[LstBlkTime]], ""))</f>
        <v/>
      </c>
      <c r="R209" s="41" t="str">
        <f>IF(ICE[[#This Row],[LastType]] = "Scrn", ICE[[#This Row],[LstPrc]], IF(ICE[[#This Row],[LastType]] = "Blk", ICE[[#This Row],[LstBlkPrc]], ""))</f>
        <v/>
      </c>
      <c r="S209" s="36">
        <f>ICE[[#This Row],[Vol]]+ICE[[#This Row],[BlkVol]]</f>
        <v>0</v>
      </c>
      <c r="T209" s="36">
        <f>RTD("ice.rtd",,$C209 &amp; $D209 &amp; ":" &amp; T$1)</f>
        <v>13</v>
      </c>
      <c r="U209" s="18">
        <f>RTD("ice.rtd",,$C209 &amp; $D209 &amp; ":" &amp; U$1)</f>
        <v>-8.0630000000000006</v>
      </c>
      <c r="V2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9" s="18" t="str">
        <f>IFERROR(IF(LEFT(ICE[[#This Row],[Tenor]], 1) = "B", RTD("esrtd",,$B209 &amp; " " &amp; ICE[[#This Row],[Tenor]] &amp; "-IEU", W$1), RTD("esrtd",,$B209 &amp; " " &amp; VLOOKUP(MONTH(ICE[[#This Row],[Strip]]), MthRef[], 2, 0) &amp; RIGHT(YEAR(ICE[[#This Row],[Strip]]), 2) &amp; "-IEU", W$1)), "")</f>
        <v/>
      </c>
      <c r="X209" s="36"/>
    </row>
    <row r="210" spans="1:24" x14ac:dyDescent="0.25">
      <c r="A210" s="37" t="s">
        <v>825</v>
      </c>
      <c r="B210" s="3" t="str">
        <f>RTD("ice.rtd",,$C210 &amp; $D210 &amp; ":" &amp; B$1)</f>
        <v>NOB</v>
      </c>
      <c r="C210" s="3">
        <v>18851683</v>
      </c>
      <c r="D210" t="s">
        <v>806</v>
      </c>
      <c r="E210" s="3" t="str">
        <f>RTD("ice.rtd",,$C210 &amp; $D210 &amp; ":" &amp; E$1)</f>
        <v>Feb28</v>
      </c>
      <c r="F210" s="3" t="str">
        <f>ICE[[#This Row],[Prod]]&amp;ICE[[#This Row],[Strip]]</f>
        <v>napbrxmtFeb28</v>
      </c>
      <c r="G210" s="18" t="str">
        <f>RTD("ice.rtd",,$C210 &amp; $D210 &amp; ":" &amp; G$1)</f>
        <v/>
      </c>
      <c r="H210" s="18" t="str">
        <f>RTD("ice.rtd",,$C210 &amp; $D210 &amp; ":" &amp; H$1)</f>
        <v/>
      </c>
      <c r="I210" s="18" t="str">
        <f>RTD("ice.rtd",,$C210 &amp; $D210 &amp; ":" &amp; I$1)</f>
        <v/>
      </c>
      <c r="J210" s="14" t="str">
        <f>IFERROR(MOD(RTD("ice.rtd",,$C210 &amp; $D210 &amp; ":" &amp; J$1), 1), "")</f>
        <v/>
      </c>
      <c r="K210" s="18" t="str">
        <f>RTD("ice.rtd",,$C210 &amp; $D210 &amp; ":" &amp; K$1)</f>
        <v/>
      </c>
      <c r="L210" s="36" t="str">
        <f>RTD("ice.rtd",,$C210 &amp; $D210 &amp; ":" &amp; L$1)</f>
        <v/>
      </c>
      <c r="M210" s="14" t="str">
        <f>IFERROR(MOD(TIMEVALUE(RTD("ice.rtd",,$C210 &amp; $D210 &amp; ":" &amp; M$1)), 1), "")</f>
        <v/>
      </c>
      <c r="N210" s="36">
        <f>RTD("ice.rtd",,$C210 &amp; $D210 &amp; ":" &amp; N$1)</f>
        <v>0</v>
      </c>
      <c r="O210" s="36">
        <f>RTD("ice.rtd",,$C210 &amp; $D210 &amp; ":" &amp; O$1)</f>
        <v>0</v>
      </c>
      <c r="P2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0" s="14" t="str">
        <f>IF(ICE[[#This Row],[LastType]] = "Scrn", ICE[[#This Row],[LstDate]], IF(ICE[[#This Row],[LastType]] = "Blk", ICE[[#This Row],[LstBlkTime]], ""))</f>
        <v/>
      </c>
      <c r="R210" s="41" t="str">
        <f>IF(ICE[[#This Row],[LastType]] = "Scrn", ICE[[#This Row],[LstPrc]], IF(ICE[[#This Row],[LastType]] = "Blk", ICE[[#This Row],[LstBlkPrc]], ""))</f>
        <v/>
      </c>
      <c r="S210" s="36">
        <f>ICE[[#This Row],[Vol]]+ICE[[#This Row],[BlkVol]]</f>
        <v>0</v>
      </c>
      <c r="T210" s="36">
        <f>RTD("ice.rtd",,$C210 &amp; $D210 &amp; ":" &amp; T$1)</f>
        <v>13</v>
      </c>
      <c r="U210" s="18">
        <f>RTD("ice.rtd",,$C210 &amp; $D210 &amp; ":" &amp; U$1)</f>
        <v>-8.1750000000000007</v>
      </c>
      <c r="V2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0" s="18" t="str">
        <f>IFERROR(IF(LEFT(ICE[[#This Row],[Tenor]], 1) = "B", RTD("esrtd",,$B210 &amp; " " &amp; ICE[[#This Row],[Tenor]] &amp; "-IEU", W$1), RTD("esrtd",,$B210 &amp; " " &amp; VLOOKUP(MONTH(ICE[[#This Row],[Strip]]), MthRef[], 2, 0) &amp; RIGHT(YEAR(ICE[[#This Row],[Strip]]), 2) &amp; "-IEU", W$1)), "")</f>
        <v/>
      </c>
      <c r="X210" s="36"/>
    </row>
    <row r="211" spans="1:24" x14ac:dyDescent="0.25">
      <c r="A211" s="37" t="s">
        <v>825</v>
      </c>
      <c r="B211" s="3" t="str">
        <f>RTD("ice.rtd",,$C211 &amp; $D211 &amp; ":" &amp; B$1)</f>
        <v>NOB</v>
      </c>
      <c r="C211" s="3">
        <v>18851683</v>
      </c>
      <c r="D211" t="s">
        <v>807</v>
      </c>
      <c r="E211" s="3" t="str">
        <f>RTD("ice.rtd",,$C211 &amp; $D211 &amp; ":" &amp; E$1)</f>
        <v>Mar28</v>
      </c>
      <c r="F211" s="3" t="str">
        <f>ICE[[#This Row],[Prod]]&amp;ICE[[#This Row],[Strip]]</f>
        <v>napbrxmtMar28</v>
      </c>
      <c r="G211" s="18" t="str">
        <f>RTD("ice.rtd",,$C211 &amp; $D211 &amp; ":" &amp; G$1)</f>
        <v/>
      </c>
      <c r="H211" s="18" t="str">
        <f>RTD("ice.rtd",,$C211 &amp; $D211 &amp; ":" &amp; H$1)</f>
        <v/>
      </c>
      <c r="I211" s="18" t="str">
        <f>RTD("ice.rtd",,$C211 &amp; $D211 &amp; ":" &amp; I$1)</f>
        <v/>
      </c>
      <c r="J211" s="14" t="str">
        <f>IFERROR(MOD(RTD("ice.rtd",,$C211 &amp; $D211 &amp; ":" &amp; J$1), 1), "")</f>
        <v/>
      </c>
      <c r="K211" s="18" t="str">
        <f>RTD("ice.rtd",,$C211 &amp; $D211 &amp; ":" &amp; K$1)</f>
        <v/>
      </c>
      <c r="L211" s="36" t="str">
        <f>RTD("ice.rtd",,$C211 &amp; $D211 &amp; ":" &amp; L$1)</f>
        <v/>
      </c>
      <c r="M211" s="14" t="str">
        <f>IFERROR(MOD(TIMEVALUE(RTD("ice.rtd",,$C211 &amp; $D211 &amp; ":" &amp; M$1)), 1), "")</f>
        <v/>
      </c>
      <c r="N211" s="36">
        <f>RTD("ice.rtd",,$C211 &amp; $D211 &amp; ":" &amp; N$1)</f>
        <v>0</v>
      </c>
      <c r="O211" s="36">
        <f>RTD("ice.rtd",,$C211 &amp; $D211 &amp; ":" &amp; O$1)</f>
        <v>0</v>
      </c>
      <c r="P2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1" s="14" t="str">
        <f>IF(ICE[[#This Row],[LastType]] = "Scrn", ICE[[#This Row],[LstDate]], IF(ICE[[#This Row],[LastType]] = "Blk", ICE[[#This Row],[LstBlkTime]], ""))</f>
        <v/>
      </c>
      <c r="R211" s="41" t="str">
        <f>IF(ICE[[#This Row],[LastType]] = "Scrn", ICE[[#This Row],[LstPrc]], IF(ICE[[#This Row],[LastType]] = "Blk", ICE[[#This Row],[LstBlkPrc]], ""))</f>
        <v/>
      </c>
      <c r="S211" s="36">
        <f>ICE[[#This Row],[Vol]]+ICE[[#This Row],[BlkVol]]</f>
        <v>0</v>
      </c>
      <c r="T211" s="36">
        <f>RTD("ice.rtd",,$C211 &amp; $D211 &amp; ":" &amp; T$1)</f>
        <v>13</v>
      </c>
      <c r="U211" s="18">
        <f>RTD("ice.rtd",,$C211 &amp; $D211 &amp; ":" &amp; U$1)</f>
        <v>-8.4390000000000001</v>
      </c>
      <c r="V2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1" s="18" t="str">
        <f>IFERROR(IF(LEFT(ICE[[#This Row],[Tenor]], 1) = "B", RTD("esrtd",,$B211 &amp; " " &amp; ICE[[#This Row],[Tenor]] &amp; "-IEU", W$1), RTD("esrtd",,$B211 &amp; " " &amp; VLOOKUP(MONTH(ICE[[#This Row],[Strip]]), MthRef[], 2, 0) &amp; RIGHT(YEAR(ICE[[#This Row],[Strip]]), 2) &amp; "-IEU", W$1)), "")</f>
        <v/>
      </c>
      <c r="X211" s="36"/>
    </row>
    <row r="212" spans="1:24" x14ac:dyDescent="0.25">
      <c r="A212" s="37" t="s">
        <v>825</v>
      </c>
      <c r="B212" s="3" t="str">
        <f>RTD("ice.rtd",,$C212 &amp; $D212 &amp; ":" &amp; B$1)</f>
        <v>NOB</v>
      </c>
      <c r="C212" s="3">
        <v>18851683</v>
      </c>
      <c r="D212" t="s">
        <v>808</v>
      </c>
      <c r="E212" s="3" t="str">
        <f>RTD("ice.rtd",,$C212 &amp; $D212 &amp; ":" &amp; E$1)</f>
        <v>Apr28</v>
      </c>
      <c r="F212" s="3" t="str">
        <f>ICE[[#This Row],[Prod]]&amp;ICE[[#This Row],[Strip]]</f>
        <v>napbrxmtApr28</v>
      </c>
      <c r="G212" s="18" t="str">
        <f>RTD("ice.rtd",,$C212 &amp; $D212 &amp; ":" &amp; G$1)</f>
        <v/>
      </c>
      <c r="H212" s="18" t="str">
        <f>RTD("ice.rtd",,$C212 &amp; $D212 &amp; ":" &amp; H$1)</f>
        <v/>
      </c>
      <c r="I212" s="18" t="str">
        <f>RTD("ice.rtd",,$C212 &amp; $D212 &amp; ":" &amp; I$1)</f>
        <v/>
      </c>
      <c r="J212" s="14" t="str">
        <f>IFERROR(MOD(RTD("ice.rtd",,$C212 &amp; $D212 &amp; ":" &amp; J$1), 1), "")</f>
        <v/>
      </c>
      <c r="K212" s="18" t="str">
        <f>RTD("ice.rtd",,$C212 &amp; $D212 &amp; ":" &amp; K$1)</f>
        <v/>
      </c>
      <c r="L212" s="36" t="str">
        <f>RTD("ice.rtd",,$C212 &amp; $D212 &amp; ":" &amp; L$1)</f>
        <v/>
      </c>
      <c r="M212" s="14" t="str">
        <f>IFERROR(MOD(TIMEVALUE(RTD("ice.rtd",,$C212 &amp; $D212 &amp; ":" &amp; M$1)), 1), "")</f>
        <v/>
      </c>
      <c r="N212" s="36">
        <f>RTD("ice.rtd",,$C212 &amp; $D212 &amp; ":" &amp; N$1)</f>
        <v>0</v>
      </c>
      <c r="O212" s="36">
        <f>RTD("ice.rtd",,$C212 &amp; $D212 &amp; ":" &amp; O$1)</f>
        <v>0</v>
      </c>
      <c r="P2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2" s="14" t="str">
        <f>IF(ICE[[#This Row],[LastType]] = "Scrn", ICE[[#This Row],[LstDate]], IF(ICE[[#This Row],[LastType]] = "Blk", ICE[[#This Row],[LstBlkTime]], ""))</f>
        <v/>
      </c>
      <c r="R212" s="41" t="str">
        <f>IF(ICE[[#This Row],[LastType]] = "Scrn", ICE[[#This Row],[LstPrc]], IF(ICE[[#This Row],[LastType]] = "Blk", ICE[[#This Row],[LstBlkPrc]], ""))</f>
        <v/>
      </c>
      <c r="S212" s="36">
        <f>ICE[[#This Row],[Vol]]+ICE[[#This Row],[BlkVol]]</f>
        <v>0</v>
      </c>
      <c r="T212" s="36">
        <f>RTD("ice.rtd",,$C212 &amp; $D212 &amp; ":" &amp; T$1)</f>
        <v>13</v>
      </c>
      <c r="U212" s="18">
        <f>RTD("ice.rtd",,$C212 &amp; $D212 &amp; ":" &amp; U$1)</f>
        <v>-8.8580000000000005</v>
      </c>
      <c r="V2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2" s="18" t="str">
        <f>IFERROR(IF(LEFT(ICE[[#This Row],[Tenor]], 1) = "B", RTD("esrtd",,$B212 &amp; " " &amp; ICE[[#This Row],[Tenor]] &amp; "-IEU", W$1), RTD("esrtd",,$B212 &amp; " " &amp; VLOOKUP(MONTH(ICE[[#This Row],[Strip]]), MthRef[], 2, 0) &amp; RIGHT(YEAR(ICE[[#This Row],[Strip]]), 2) &amp; "-IEU", W$1)), "")</f>
        <v/>
      </c>
      <c r="X212" s="36"/>
    </row>
    <row r="213" spans="1:24" x14ac:dyDescent="0.25">
      <c r="A213" s="37" t="s">
        <v>825</v>
      </c>
      <c r="B213" s="3" t="str">
        <f>RTD("ice.rtd",,$C213 &amp; $D213 &amp; ":" &amp; B$1)</f>
        <v>NOB</v>
      </c>
      <c r="C213" s="3">
        <v>18851683</v>
      </c>
      <c r="D213" t="s">
        <v>809</v>
      </c>
      <c r="E213" s="3" t="str">
        <f>RTD("ice.rtd",,$C213 &amp; $D213 &amp; ":" &amp; E$1)</f>
        <v>May28</v>
      </c>
      <c r="F213" s="3" t="str">
        <f>ICE[[#This Row],[Prod]]&amp;ICE[[#This Row],[Strip]]</f>
        <v>napbrxmtMay28</v>
      </c>
      <c r="G213" s="18" t="str">
        <f>RTD("ice.rtd",,$C213 &amp; $D213 &amp; ":" &amp; G$1)</f>
        <v/>
      </c>
      <c r="H213" s="18" t="str">
        <f>RTD("ice.rtd",,$C213 &amp; $D213 &amp; ":" &amp; H$1)</f>
        <v/>
      </c>
      <c r="I213" s="18" t="str">
        <f>RTD("ice.rtd",,$C213 &amp; $D213 &amp; ":" &amp; I$1)</f>
        <v/>
      </c>
      <c r="J213" s="14" t="str">
        <f>IFERROR(MOD(RTD("ice.rtd",,$C213 &amp; $D213 &amp; ":" &amp; J$1), 1), "")</f>
        <v/>
      </c>
      <c r="K213" s="18" t="str">
        <f>RTD("ice.rtd",,$C213 &amp; $D213 &amp; ":" &amp; K$1)</f>
        <v/>
      </c>
      <c r="L213" s="36" t="str">
        <f>RTD("ice.rtd",,$C213 &amp; $D213 &amp; ":" &amp; L$1)</f>
        <v/>
      </c>
      <c r="M213" s="14" t="str">
        <f>IFERROR(MOD(TIMEVALUE(RTD("ice.rtd",,$C213 &amp; $D213 &amp; ":" &amp; M$1)), 1), "")</f>
        <v/>
      </c>
      <c r="N213" s="36">
        <f>RTD("ice.rtd",,$C213 &amp; $D213 &amp; ":" &amp; N$1)</f>
        <v>0</v>
      </c>
      <c r="O213" s="36">
        <f>RTD("ice.rtd",,$C213 &amp; $D213 &amp; ":" &amp; O$1)</f>
        <v>0</v>
      </c>
      <c r="P2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3" s="14" t="str">
        <f>IF(ICE[[#This Row],[LastType]] = "Scrn", ICE[[#This Row],[LstDate]], IF(ICE[[#This Row],[LastType]] = "Blk", ICE[[#This Row],[LstBlkTime]], ""))</f>
        <v/>
      </c>
      <c r="R213" s="41" t="str">
        <f>IF(ICE[[#This Row],[LastType]] = "Scrn", ICE[[#This Row],[LstPrc]], IF(ICE[[#This Row],[LastType]] = "Blk", ICE[[#This Row],[LstBlkPrc]], ""))</f>
        <v/>
      </c>
      <c r="S213" s="36">
        <f>ICE[[#This Row],[Vol]]+ICE[[#This Row],[BlkVol]]</f>
        <v>0</v>
      </c>
      <c r="T213" s="36">
        <f>RTD("ice.rtd",,$C213 &amp; $D213 &amp; ":" &amp; T$1)</f>
        <v>13</v>
      </c>
      <c r="U213" s="18">
        <f>RTD("ice.rtd",,$C213 &amp; $D213 &amp; ":" &amp; U$1)</f>
        <v>-9.1159999999999997</v>
      </c>
      <c r="V2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3" s="18" t="str">
        <f>IFERROR(IF(LEFT(ICE[[#This Row],[Tenor]], 1) = "B", RTD("esrtd",,$B213 &amp; " " &amp; ICE[[#This Row],[Tenor]] &amp; "-IEU", W$1), RTD("esrtd",,$B213 &amp; " " &amp; VLOOKUP(MONTH(ICE[[#This Row],[Strip]]), MthRef[], 2, 0) &amp; RIGHT(YEAR(ICE[[#This Row],[Strip]]), 2) &amp; "-IEU", W$1)), "")</f>
        <v/>
      </c>
      <c r="X213" s="36"/>
    </row>
    <row r="214" spans="1:24" x14ac:dyDescent="0.25">
      <c r="A214" s="37" t="s">
        <v>825</v>
      </c>
      <c r="B214" s="3" t="str">
        <f>RTD("ice.rtd",,$C214 &amp; $D214 &amp; ":" &amp; B$1)</f>
        <v>NOB</v>
      </c>
      <c r="C214" s="3">
        <v>18851683</v>
      </c>
      <c r="D214" t="s">
        <v>810</v>
      </c>
      <c r="E214" s="3" t="str">
        <f>RTD("ice.rtd",,$C214 &amp; $D214 &amp; ":" &amp; E$1)</f>
        <v>Jun28</v>
      </c>
      <c r="F214" s="3" t="str">
        <f>ICE[[#This Row],[Prod]]&amp;ICE[[#This Row],[Strip]]</f>
        <v>napbrxmtJun28</v>
      </c>
      <c r="G214" s="18" t="str">
        <f>RTD("ice.rtd",,$C214 &amp; $D214 &amp; ":" &amp; G$1)</f>
        <v/>
      </c>
      <c r="H214" s="18" t="str">
        <f>RTD("ice.rtd",,$C214 &amp; $D214 &amp; ":" &amp; H$1)</f>
        <v/>
      </c>
      <c r="I214" s="18" t="str">
        <f>RTD("ice.rtd",,$C214 &amp; $D214 &amp; ":" &amp; I$1)</f>
        <v/>
      </c>
      <c r="J214" s="14" t="str">
        <f>IFERROR(MOD(RTD("ice.rtd",,$C214 &amp; $D214 &amp; ":" &amp; J$1), 1), "")</f>
        <v/>
      </c>
      <c r="K214" s="18" t="str">
        <f>RTD("ice.rtd",,$C214 &amp; $D214 &amp; ":" &amp; K$1)</f>
        <v/>
      </c>
      <c r="L214" s="36" t="str">
        <f>RTD("ice.rtd",,$C214 &amp; $D214 &amp; ":" &amp; L$1)</f>
        <v/>
      </c>
      <c r="M214" s="14" t="str">
        <f>IFERROR(MOD(TIMEVALUE(RTD("ice.rtd",,$C214 &amp; $D214 &amp; ":" &amp; M$1)), 1), "")</f>
        <v/>
      </c>
      <c r="N214" s="36">
        <f>RTD("ice.rtd",,$C214 &amp; $D214 &amp; ":" &amp; N$1)</f>
        <v>0</v>
      </c>
      <c r="O214" s="36">
        <f>RTD("ice.rtd",,$C214 &amp; $D214 &amp; ":" &amp; O$1)</f>
        <v>0</v>
      </c>
      <c r="P2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4" s="14" t="str">
        <f>IF(ICE[[#This Row],[LastType]] = "Scrn", ICE[[#This Row],[LstDate]], IF(ICE[[#This Row],[LastType]] = "Blk", ICE[[#This Row],[LstBlkTime]], ""))</f>
        <v/>
      </c>
      <c r="R214" s="41" t="str">
        <f>IF(ICE[[#This Row],[LastType]] = "Scrn", ICE[[#This Row],[LstPrc]], IF(ICE[[#This Row],[LastType]] = "Blk", ICE[[#This Row],[LstBlkPrc]], ""))</f>
        <v/>
      </c>
      <c r="S214" s="36">
        <f>ICE[[#This Row],[Vol]]+ICE[[#This Row],[BlkVol]]</f>
        <v>0</v>
      </c>
      <c r="T214" s="36">
        <f>RTD("ice.rtd",,$C214 &amp; $D214 &amp; ":" &amp; T$1)</f>
        <v>13</v>
      </c>
      <c r="U214" s="18">
        <f>RTD("ice.rtd",,$C214 &amp; $D214 &amp; ":" &amp; U$1)</f>
        <v>-9.2490000000000006</v>
      </c>
      <c r="V2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4" s="18" t="str">
        <f>IFERROR(IF(LEFT(ICE[[#This Row],[Tenor]], 1) = "B", RTD("esrtd",,$B214 &amp; " " &amp; ICE[[#This Row],[Tenor]] &amp; "-IEU", W$1), RTD("esrtd",,$B214 &amp; " " &amp; VLOOKUP(MONTH(ICE[[#This Row],[Strip]]), MthRef[], 2, 0) &amp; RIGHT(YEAR(ICE[[#This Row],[Strip]]), 2) &amp; "-IEU", W$1)), "")</f>
        <v/>
      </c>
      <c r="X214" s="36"/>
    </row>
    <row r="215" spans="1:24" x14ac:dyDescent="0.25">
      <c r="A215" s="37" t="s">
        <v>825</v>
      </c>
      <c r="B215" s="3" t="str">
        <f>RTD("ice.rtd",,$C215 &amp; $D215 &amp; ":" &amp; B$1)</f>
        <v>NOB</v>
      </c>
      <c r="C215" s="3">
        <v>18851683</v>
      </c>
      <c r="D215" t="s">
        <v>811</v>
      </c>
      <c r="E215" s="3" t="str">
        <f>RTD("ice.rtd",,$C215 &amp; $D215 &amp; ":" &amp; E$1)</f>
        <v>Jul28</v>
      </c>
      <c r="F215" s="3" t="str">
        <f>ICE[[#This Row],[Prod]]&amp;ICE[[#This Row],[Strip]]</f>
        <v>napbrxmtJul28</v>
      </c>
      <c r="G215" s="18" t="str">
        <f>RTD("ice.rtd",,$C215 &amp; $D215 &amp; ":" &amp; G$1)</f>
        <v/>
      </c>
      <c r="H215" s="18" t="str">
        <f>RTD("ice.rtd",,$C215 &amp; $D215 &amp; ":" &amp; H$1)</f>
        <v/>
      </c>
      <c r="I215" s="18" t="str">
        <f>RTD("ice.rtd",,$C215 &amp; $D215 &amp; ":" &amp; I$1)</f>
        <v/>
      </c>
      <c r="J215" s="14" t="str">
        <f>IFERROR(MOD(RTD("ice.rtd",,$C215 &amp; $D215 &amp; ":" &amp; J$1), 1), "")</f>
        <v/>
      </c>
      <c r="K215" s="18" t="str">
        <f>RTD("ice.rtd",,$C215 &amp; $D215 &amp; ":" &amp; K$1)</f>
        <v/>
      </c>
      <c r="L215" s="36" t="str">
        <f>RTD("ice.rtd",,$C215 &amp; $D215 &amp; ":" &amp; L$1)</f>
        <v/>
      </c>
      <c r="M215" s="14" t="str">
        <f>IFERROR(MOD(TIMEVALUE(RTD("ice.rtd",,$C215 &amp; $D215 &amp; ":" &amp; M$1)), 1), "")</f>
        <v/>
      </c>
      <c r="N215" s="36">
        <f>RTD("ice.rtd",,$C215 &amp; $D215 &amp; ":" &amp; N$1)</f>
        <v>0</v>
      </c>
      <c r="O215" s="36">
        <f>RTD("ice.rtd",,$C215 &amp; $D215 &amp; ":" &amp; O$1)</f>
        <v>0</v>
      </c>
      <c r="P2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5" s="14" t="str">
        <f>IF(ICE[[#This Row],[LastType]] = "Scrn", ICE[[#This Row],[LstDate]], IF(ICE[[#This Row],[LastType]] = "Blk", ICE[[#This Row],[LstBlkTime]], ""))</f>
        <v/>
      </c>
      <c r="R215" s="41" t="str">
        <f>IF(ICE[[#This Row],[LastType]] = "Scrn", ICE[[#This Row],[LstPrc]], IF(ICE[[#This Row],[LastType]] = "Blk", ICE[[#This Row],[LstBlkPrc]], ""))</f>
        <v/>
      </c>
      <c r="S215" s="36">
        <f>ICE[[#This Row],[Vol]]+ICE[[#This Row],[BlkVol]]</f>
        <v>0</v>
      </c>
      <c r="T215" s="36">
        <f>RTD("ice.rtd",,$C215 &amp; $D215 &amp; ":" &amp; T$1)</f>
        <v>13</v>
      </c>
      <c r="U215" s="18">
        <f>RTD("ice.rtd",,$C215 &amp; $D215 &amp; ":" &amp; U$1)</f>
        <v>-9.2520000000000007</v>
      </c>
      <c r="V2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5" s="18" t="str">
        <f>IFERROR(IF(LEFT(ICE[[#This Row],[Tenor]], 1) = "B", RTD("esrtd",,$B215 &amp; " " &amp; ICE[[#This Row],[Tenor]] &amp; "-IEU", W$1), RTD("esrtd",,$B215 &amp; " " &amp; VLOOKUP(MONTH(ICE[[#This Row],[Strip]]), MthRef[], 2, 0) &amp; RIGHT(YEAR(ICE[[#This Row],[Strip]]), 2) &amp; "-IEU", W$1)), "")</f>
        <v/>
      </c>
      <c r="X215" s="36"/>
    </row>
    <row r="216" spans="1:24" x14ac:dyDescent="0.25">
      <c r="A216" s="37" t="s">
        <v>825</v>
      </c>
      <c r="B216" s="3" t="str">
        <f>RTD("ice.rtd",,$C216 &amp; $D216 &amp; ":" &amp; B$1)</f>
        <v>NOB</v>
      </c>
      <c r="C216" s="3">
        <v>18851683</v>
      </c>
      <c r="D216" t="s">
        <v>812</v>
      </c>
      <c r="E216" s="3" t="str">
        <f>RTD("ice.rtd",,$C216 &amp; $D216 &amp; ":" &amp; E$1)</f>
        <v>Aug28</v>
      </c>
      <c r="F216" s="3" t="str">
        <f>ICE[[#This Row],[Prod]]&amp;ICE[[#This Row],[Strip]]</f>
        <v>napbrxmtAug28</v>
      </c>
      <c r="G216" s="18" t="str">
        <f>RTD("ice.rtd",,$C216 &amp; $D216 &amp; ":" &amp; G$1)</f>
        <v/>
      </c>
      <c r="H216" s="18" t="str">
        <f>RTD("ice.rtd",,$C216 &amp; $D216 &amp; ":" &amp; H$1)</f>
        <v/>
      </c>
      <c r="I216" s="18" t="str">
        <f>RTD("ice.rtd",,$C216 &amp; $D216 &amp; ":" &amp; I$1)</f>
        <v/>
      </c>
      <c r="J216" s="14" t="str">
        <f>IFERROR(MOD(RTD("ice.rtd",,$C216 &amp; $D216 &amp; ":" &amp; J$1), 1), "")</f>
        <v/>
      </c>
      <c r="K216" s="18" t="str">
        <f>RTD("ice.rtd",,$C216 &amp; $D216 &amp; ":" &amp; K$1)</f>
        <v/>
      </c>
      <c r="L216" s="36" t="str">
        <f>RTD("ice.rtd",,$C216 &amp; $D216 &amp; ":" &amp; L$1)</f>
        <v/>
      </c>
      <c r="M216" s="14" t="str">
        <f>IFERROR(MOD(TIMEVALUE(RTD("ice.rtd",,$C216 &amp; $D216 &amp; ":" &amp; M$1)), 1), "")</f>
        <v/>
      </c>
      <c r="N216" s="36">
        <f>RTD("ice.rtd",,$C216 &amp; $D216 &amp; ":" &amp; N$1)</f>
        <v>0</v>
      </c>
      <c r="O216" s="36">
        <f>RTD("ice.rtd",,$C216 &amp; $D216 &amp; ":" &amp; O$1)</f>
        <v>0</v>
      </c>
      <c r="P2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6" s="14" t="str">
        <f>IF(ICE[[#This Row],[LastType]] = "Scrn", ICE[[#This Row],[LstDate]], IF(ICE[[#This Row],[LastType]] = "Blk", ICE[[#This Row],[LstBlkTime]], ""))</f>
        <v/>
      </c>
      <c r="R216" s="41" t="str">
        <f>IF(ICE[[#This Row],[LastType]] = "Scrn", ICE[[#This Row],[LstPrc]], IF(ICE[[#This Row],[LastType]] = "Blk", ICE[[#This Row],[LstBlkPrc]], ""))</f>
        <v/>
      </c>
      <c r="S216" s="36">
        <f>ICE[[#This Row],[Vol]]+ICE[[#This Row],[BlkVol]]</f>
        <v>0</v>
      </c>
      <c r="T216" s="36">
        <f>RTD("ice.rtd",,$C216 &amp; $D216 &amp; ":" &amp; T$1)</f>
        <v>13</v>
      </c>
      <c r="U216" s="18">
        <f>RTD("ice.rtd",,$C216 &amp; $D216 &amp; ":" &amp; U$1)</f>
        <v>-9.1810000000000009</v>
      </c>
      <c r="V2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6" s="18" t="str">
        <f>IFERROR(IF(LEFT(ICE[[#This Row],[Tenor]], 1) = "B", RTD("esrtd",,$B216 &amp; " " &amp; ICE[[#This Row],[Tenor]] &amp; "-IEU", W$1), RTD("esrtd",,$B216 &amp; " " &amp; VLOOKUP(MONTH(ICE[[#This Row],[Strip]]), MthRef[], 2, 0) &amp; RIGHT(YEAR(ICE[[#This Row],[Strip]]), 2) &amp; "-IEU", W$1)), "")</f>
        <v/>
      </c>
      <c r="X216" s="36"/>
    </row>
    <row r="217" spans="1:24" x14ac:dyDescent="0.25">
      <c r="A217" s="37" t="s">
        <v>825</v>
      </c>
      <c r="B217" s="3" t="str">
        <f>RTD("ice.rtd",,$C217 &amp; $D217 &amp; ":" &amp; B$1)</f>
        <v>NOB</v>
      </c>
      <c r="C217" s="3">
        <v>18851683</v>
      </c>
      <c r="D217" t="s">
        <v>813</v>
      </c>
      <c r="E217" s="3" t="str">
        <f>RTD("ice.rtd",,$C217 &amp; $D217 &amp; ":" &amp; E$1)</f>
        <v>Sep28</v>
      </c>
      <c r="F217" s="3" t="str">
        <f>ICE[[#This Row],[Prod]]&amp;ICE[[#This Row],[Strip]]</f>
        <v>napbrxmtSep28</v>
      </c>
      <c r="G217" s="18" t="str">
        <f>RTD("ice.rtd",,$C217 &amp; $D217 &amp; ":" &amp; G$1)</f>
        <v/>
      </c>
      <c r="H217" s="18" t="str">
        <f>RTD("ice.rtd",,$C217 &amp; $D217 &amp; ":" &amp; H$1)</f>
        <v/>
      </c>
      <c r="I217" s="18" t="str">
        <f>RTD("ice.rtd",,$C217 &amp; $D217 &amp; ":" &amp; I$1)</f>
        <v/>
      </c>
      <c r="J217" s="14" t="str">
        <f>IFERROR(MOD(RTD("ice.rtd",,$C217 &amp; $D217 &amp; ":" &amp; J$1), 1), "")</f>
        <v/>
      </c>
      <c r="K217" s="18" t="str">
        <f>RTD("ice.rtd",,$C217 &amp; $D217 &amp; ":" &amp; K$1)</f>
        <v/>
      </c>
      <c r="L217" s="36" t="str">
        <f>RTD("ice.rtd",,$C217 &amp; $D217 &amp; ":" &amp; L$1)</f>
        <v/>
      </c>
      <c r="M217" s="14" t="str">
        <f>IFERROR(MOD(TIMEVALUE(RTD("ice.rtd",,$C217 &amp; $D217 &amp; ":" &amp; M$1)), 1), "")</f>
        <v/>
      </c>
      <c r="N217" s="36">
        <f>RTD("ice.rtd",,$C217 &amp; $D217 &amp; ":" &amp; N$1)</f>
        <v>0</v>
      </c>
      <c r="O217" s="36">
        <f>RTD("ice.rtd",,$C217 &amp; $D217 &amp; ":" &amp; O$1)</f>
        <v>0</v>
      </c>
      <c r="P2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7" s="14" t="str">
        <f>IF(ICE[[#This Row],[LastType]] = "Scrn", ICE[[#This Row],[LstDate]], IF(ICE[[#This Row],[LastType]] = "Blk", ICE[[#This Row],[LstBlkTime]], ""))</f>
        <v/>
      </c>
      <c r="R217" s="41" t="str">
        <f>IF(ICE[[#This Row],[LastType]] = "Scrn", ICE[[#This Row],[LstPrc]], IF(ICE[[#This Row],[LastType]] = "Blk", ICE[[#This Row],[LstBlkPrc]], ""))</f>
        <v/>
      </c>
      <c r="S217" s="36">
        <f>ICE[[#This Row],[Vol]]+ICE[[#This Row],[BlkVol]]</f>
        <v>0</v>
      </c>
      <c r="T217" s="36">
        <f>RTD("ice.rtd",,$C217 &amp; $D217 &amp; ":" &amp; T$1)</f>
        <v>13</v>
      </c>
      <c r="U217" s="18">
        <f>RTD("ice.rtd",,$C217 &amp; $D217 &amp; ":" &amp; U$1)</f>
        <v>-9.0530000000000008</v>
      </c>
      <c r="V2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17" s="18" t="str">
        <f>IFERROR(IF(LEFT(ICE[[#This Row],[Tenor]], 1) = "B", RTD("esrtd",,$B217 &amp; " " &amp; ICE[[#This Row],[Tenor]] &amp; "-IEU", W$1), RTD("esrtd",,$B217 &amp; " " &amp; VLOOKUP(MONTH(ICE[[#This Row],[Strip]]), MthRef[], 2, 0) &amp; RIGHT(YEAR(ICE[[#This Row],[Strip]]), 2) &amp; "-IEU", W$1)), "")</f>
        <v/>
      </c>
      <c r="X217" s="36"/>
    </row>
    <row r="218" spans="1:24" x14ac:dyDescent="0.25">
      <c r="A218" s="37" t="s">
        <v>825</v>
      </c>
      <c r="B218" s="3" t="str">
        <f>RTD("ice.rtd",,$C218 &amp; $D218 &amp; ":" &amp; B$1)</f>
        <v>NOB</v>
      </c>
      <c r="C218" s="3">
        <v>18851683</v>
      </c>
      <c r="D218" t="s">
        <v>814</v>
      </c>
      <c r="E218" s="3" t="str">
        <f>RTD("ice.rtd",,$C218 &amp; $D218 &amp; ":" &amp; E$1)</f>
        <v>Q4 26</v>
      </c>
      <c r="F218" s="3" t="str">
        <f>ICE[[#This Row],[Prod]]&amp;ICE[[#This Row],[Strip]]</f>
        <v>napbrxmtQ4 26</v>
      </c>
      <c r="G218" s="18">
        <f>RTD("ice.rtd",,$C218 &amp; $D218 &amp; ":" &amp; G$1)</f>
        <v>-7.84</v>
      </c>
      <c r="H218" s="18">
        <f>RTD("ice.rtd",,$C218 &amp; $D218 &amp; ":" &amp; H$1)</f>
        <v>-0.65</v>
      </c>
      <c r="I218" s="18" t="str">
        <f>RTD("ice.rtd",,$C218 &amp; $D218 &amp; ":" &amp; I$1)</f>
        <v/>
      </c>
      <c r="J218" s="14" t="str">
        <f>IFERROR(MOD(RTD("ice.rtd",,$C218 &amp; $D218 &amp; ":" &amp; J$1), 1), "")</f>
        <v/>
      </c>
      <c r="K218" s="18" t="str">
        <f>RTD("ice.rtd",,$C218 &amp; $D218 &amp; ":" &amp; K$1)</f>
        <v/>
      </c>
      <c r="L218" s="36" t="str">
        <f>RTD("ice.rtd",,$C218 &amp; $D218 &amp; ":" &amp; L$1)</f>
        <v/>
      </c>
      <c r="M218" s="14" t="str">
        <f>IFERROR(MOD(TIMEVALUE(RTD("ice.rtd",,$C218 &amp; $D218 &amp; ":" &amp; M$1)), 1), "")</f>
        <v/>
      </c>
      <c r="N218" s="36">
        <f>RTD("ice.rtd",,$C218 &amp; $D218 &amp; ":" &amp; N$1)</f>
        <v>0</v>
      </c>
      <c r="O218" s="36">
        <f>RTD("ice.rtd",,$C218 &amp; $D218 &amp; ":" &amp; O$1)</f>
        <v>0</v>
      </c>
      <c r="P2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8" s="14" t="str">
        <f>IF(ICE[[#This Row],[LastType]] = "Scrn", ICE[[#This Row],[LstDate]], IF(ICE[[#This Row],[LastType]] = "Blk", ICE[[#This Row],[LstBlkTime]], ""))</f>
        <v/>
      </c>
      <c r="R218" s="41" t="str">
        <f>IF(ICE[[#This Row],[LastType]] = "Scrn", ICE[[#This Row],[LstPrc]], IF(ICE[[#This Row],[LastType]] = "Blk", ICE[[#This Row],[LstBlkPrc]], ""))</f>
        <v/>
      </c>
      <c r="S218" s="36">
        <f>ICE[[#This Row],[Vol]]+ICE[[#This Row],[BlkVol]]</f>
        <v>0</v>
      </c>
      <c r="T218" s="36">
        <f>RTD("ice.rtd",,$C218 &amp; $D218 &amp; ":" &amp; T$1)</f>
        <v>0</v>
      </c>
      <c r="U218" s="18">
        <f>RTD("ice.rtd",,$C218 &amp; $D218 &amp; ":" &amp; U$1)</f>
        <v>-4.1080000000000005</v>
      </c>
      <c r="V2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-7.84 / -0.65 </v>
      </c>
      <c r="W218" s="18" t="str">
        <f>IFERROR(IF(LEFT(ICE[[#This Row],[Tenor]], 1) = "B", RTD("esrtd",,$B218 &amp; " " &amp; ICE[[#This Row],[Tenor]] &amp; "-IEU", W$1), RTD("esrtd",,$B218 &amp; " " &amp; VLOOKUP(MONTH(ICE[[#This Row],[Strip]]), MthRef[], 2, 0) &amp; RIGHT(YEAR(ICE[[#This Row],[Strip]]), 2) &amp; "-IEU", W$1)), "")</f>
        <v/>
      </c>
      <c r="X218" s="36"/>
    </row>
    <row r="219" spans="1:24" x14ac:dyDescent="0.25">
      <c r="A219" s="37" t="s">
        <v>825</v>
      </c>
      <c r="B219" s="3" t="str">
        <f>RTD("ice.rtd",,$C219 &amp; $D219 &amp; ":" &amp; B$1)</f>
        <v>NOB</v>
      </c>
      <c r="C219" s="3">
        <v>18851683</v>
      </c>
      <c r="D219" t="s">
        <v>815</v>
      </c>
      <c r="E219" s="3" t="str">
        <f>RTD("ice.rtd",,$C219 &amp; $D219 &amp; ":" &amp; E$1)</f>
        <v>Q1 27</v>
      </c>
      <c r="F219" s="3" t="str">
        <f>ICE[[#This Row],[Prod]]&amp;ICE[[#This Row],[Strip]]</f>
        <v>napbrxmtQ1 27</v>
      </c>
      <c r="G219" s="18">
        <f>RTD("ice.rtd",,$C219 &amp; $D219 &amp; ":" &amp; G$1)</f>
        <v>-6.6</v>
      </c>
      <c r="H219" s="18">
        <f>RTD("ice.rtd",,$C219 &amp; $D219 &amp; ":" &amp; H$1)</f>
        <v>-1.51</v>
      </c>
      <c r="I219" s="18" t="str">
        <f>RTD("ice.rtd",,$C219 &amp; $D219 &amp; ":" &amp; I$1)</f>
        <v/>
      </c>
      <c r="J219" s="14" t="str">
        <f>IFERROR(MOD(RTD("ice.rtd",,$C219 &amp; $D219 &amp; ":" &amp; J$1), 1), "")</f>
        <v/>
      </c>
      <c r="K219" s="18" t="str">
        <f>RTD("ice.rtd",,$C219 &amp; $D219 &amp; ":" &amp; K$1)</f>
        <v/>
      </c>
      <c r="L219" s="36" t="str">
        <f>RTD("ice.rtd",,$C219 &amp; $D219 &amp; ":" &amp; L$1)</f>
        <v/>
      </c>
      <c r="M219" s="14" t="str">
        <f>IFERROR(MOD(TIMEVALUE(RTD("ice.rtd",,$C219 &amp; $D219 &amp; ":" &amp; M$1)), 1), "")</f>
        <v/>
      </c>
      <c r="N219" s="36">
        <f>RTD("ice.rtd",,$C219 &amp; $D219 &amp; ":" &amp; N$1)</f>
        <v>0</v>
      </c>
      <c r="O219" s="36">
        <f>RTD("ice.rtd",,$C219 &amp; $D219 &amp; ":" &amp; O$1)</f>
        <v>0</v>
      </c>
      <c r="P2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19" s="14" t="str">
        <f>IF(ICE[[#This Row],[LastType]] = "Scrn", ICE[[#This Row],[LstDate]], IF(ICE[[#This Row],[LastType]] = "Blk", ICE[[#This Row],[LstBlkTime]], ""))</f>
        <v/>
      </c>
      <c r="R219" s="41" t="str">
        <f>IF(ICE[[#This Row],[LastType]] = "Scrn", ICE[[#This Row],[LstPrc]], IF(ICE[[#This Row],[LastType]] = "Blk", ICE[[#This Row],[LstBlkPrc]], ""))</f>
        <v/>
      </c>
      <c r="S219" s="36">
        <f>ICE[[#This Row],[Vol]]+ICE[[#This Row],[BlkVol]]</f>
        <v>0</v>
      </c>
      <c r="T219" s="36">
        <f>RTD("ice.rtd",,$C219 &amp; $D219 &amp; ":" &amp; T$1)</f>
        <v>0</v>
      </c>
      <c r="U219" s="18">
        <f>RTD("ice.rtd",,$C219 &amp; $D219 &amp; ":" &amp; U$1)</f>
        <v>-5.1030000000000006</v>
      </c>
      <c r="V2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-6.60 / -1.51 </v>
      </c>
      <c r="W219" s="18" t="str">
        <f>IFERROR(IF(LEFT(ICE[[#This Row],[Tenor]], 1) = "B", RTD("esrtd",,$B219 &amp; " " &amp; ICE[[#This Row],[Tenor]] &amp; "-IEU", W$1), RTD("esrtd",,$B219 &amp; " " &amp; VLOOKUP(MONTH(ICE[[#This Row],[Strip]]), MthRef[], 2, 0) &amp; RIGHT(YEAR(ICE[[#This Row],[Strip]]), 2) &amp; "-IEU", W$1)), "")</f>
        <v/>
      </c>
      <c r="X219" s="36"/>
    </row>
    <row r="220" spans="1:24" x14ac:dyDescent="0.25">
      <c r="A220" s="37" t="s">
        <v>825</v>
      </c>
      <c r="B220" s="3" t="str">
        <f>RTD("ice.rtd",,$C220 &amp; $D220 &amp; ":" &amp; B$1)</f>
        <v>NOB</v>
      </c>
      <c r="C220" s="3">
        <v>18851683</v>
      </c>
      <c r="D220" t="s">
        <v>816</v>
      </c>
      <c r="E220" s="3" t="str">
        <f>RTD("ice.rtd",,$C220 &amp; $D220 &amp; ":" &amp; E$1)</f>
        <v>Q2 27</v>
      </c>
      <c r="F220" s="3" t="str">
        <f>ICE[[#This Row],[Prod]]&amp;ICE[[#This Row],[Strip]]</f>
        <v>napbrxmtQ2 27</v>
      </c>
      <c r="G220" s="18">
        <f>RTD("ice.rtd",,$C220 &amp; $D220 &amp; ":" &amp; G$1)</f>
        <v>-8.85</v>
      </c>
      <c r="H220" s="18">
        <f>RTD("ice.rtd",,$C220 &amp; $D220 &amp; ":" &amp; H$1)</f>
        <v>-3.4</v>
      </c>
      <c r="I220" s="18" t="str">
        <f>RTD("ice.rtd",,$C220 &amp; $D220 &amp; ":" &amp; I$1)</f>
        <v/>
      </c>
      <c r="J220" s="14" t="str">
        <f>IFERROR(MOD(RTD("ice.rtd",,$C220 &amp; $D220 &amp; ":" &amp; J$1), 1), "")</f>
        <v/>
      </c>
      <c r="K220" s="18" t="str">
        <f>RTD("ice.rtd",,$C220 &amp; $D220 &amp; ":" &amp; K$1)</f>
        <v/>
      </c>
      <c r="L220" s="36" t="str">
        <f>RTD("ice.rtd",,$C220 &amp; $D220 &amp; ":" &amp; L$1)</f>
        <v/>
      </c>
      <c r="M220" s="14" t="str">
        <f>IFERROR(MOD(TIMEVALUE(RTD("ice.rtd",,$C220 &amp; $D220 &amp; ":" &amp; M$1)), 1), "")</f>
        <v/>
      </c>
      <c r="N220" s="36">
        <f>RTD("ice.rtd",,$C220 &amp; $D220 &amp; ":" &amp; N$1)</f>
        <v>0</v>
      </c>
      <c r="O220" s="36">
        <f>RTD("ice.rtd",,$C220 &amp; $D220 &amp; ":" &amp; O$1)</f>
        <v>0</v>
      </c>
      <c r="P2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0" s="14" t="str">
        <f>IF(ICE[[#This Row],[LastType]] = "Scrn", ICE[[#This Row],[LstDate]], IF(ICE[[#This Row],[LastType]] = "Blk", ICE[[#This Row],[LstBlkTime]], ""))</f>
        <v/>
      </c>
      <c r="R220" s="41" t="str">
        <f>IF(ICE[[#This Row],[LastType]] = "Scrn", ICE[[#This Row],[LstPrc]], IF(ICE[[#This Row],[LastType]] = "Blk", ICE[[#This Row],[LstBlkPrc]], ""))</f>
        <v/>
      </c>
      <c r="S220" s="36">
        <f>ICE[[#This Row],[Vol]]+ICE[[#This Row],[BlkVol]]</f>
        <v>0</v>
      </c>
      <c r="T220" s="36">
        <f>RTD("ice.rtd",,$C220 &amp; $D220 &amp; ":" &amp; T$1)</f>
        <v>0</v>
      </c>
      <c r="U220" s="18">
        <f>RTD("ice.rtd",,$C220 &amp; $D220 &amp; ":" &amp; U$1)</f>
        <v>-7.0220000000000002</v>
      </c>
      <c r="V2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-8.85 / -3.40 </v>
      </c>
      <c r="W220" s="18" t="str">
        <f>IFERROR(IF(LEFT(ICE[[#This Row],[Tenor]], 1) = "B", RTD("esrtd",,$B220 &amp; " " &amp; ICE[[#This Row],[Tenor]] &amp; "-IEU", W$1), RTD("esrtd",,$B220 &amp; " " &amp; VLOOKUP(MONTH(ICE[[#This Row],[Strip]]), MthRef[], 2, 0) &amp; RIGHT(YEAR(ICE[[#This Row],[Strip]]), 2) &amp; "-IEU", W$1)), "")</f>
        <v/>
      </c>
      <c r="X220" s="36"/>
    </row>
    <row r="221" spans="1:24" x14ac:dyDescent="0.25">
      <c r="A221" s="37" t="s">
        <v>825</v>
      </c>
      <c r="B221" s="3" t="str">
        <f>RTD("ice.rtd",,$C221 &amp; $D221 &amp; ":" &amp; B$1)</f>
        <v>NOB</v>
      </c>
      <c r="C221" s="3">
        <v>18851683</v>
      </c>
      <c r="D221" t="s">
        <v>817</v>
      </c>
      <c r="E221" s="3" t="str">
        <f>RTD("ice.rtd",,$C221 &amp; $D221 &amp; ":" &amp; E$1)</f>
        <v>Q3 27</v>
      </c>
      <c r="F221" s="3" t="str">
        <f>ICE[[#This Row],[Prod]]&amp;ICE[[#This Row],[Strip]]</f>
        <v>napbrxmtQ3 27</v>
      </c>
      <c r="G221" s="18">
        <f>RTD("ice.rtd",,$C221 &amp; $D221 &amp; ":" &amp; G$1)</f>
        <v>-11.38</v>
      </c>
      <c r="H221" s="18">
        <f>RTD("ice.rtd",,$C221 &amp; $D221 &amp; ":" &amp; H$1)</f>
        <v>-4.1900000000000004</v>
      </c>
      <c r="I221" s="18" t="str">
        <f>RTD("ice.rtd",,$C221 &amp; $D221 &amp; ":" &amp; I$1)</f>
        <v/>
      </c>
      <c r="J221" s="14" t="str">
        <f>IFERROR(MOD(RTD("ice.rtd",,$C221 &amp; $D221 &amp; ":" &amp; J$1), 1), "")</f>
        <v/>
      </c>
      <c r="K221" s="18" t="str">
        <f>RTD("ice.rtd",,$C221 &amp; $D221 &amp; ":" &amp; K$1)</f>
        <v/>
      </c>
      <c r="L221" s="36" t="str">
        <f>RTD("ice.rtd",,$C221 &amp; $D221 &amp; ":" &amp; L$1)</f>
        <v/>
      </c>
      <c r="M221" s="14" t="str">
        <f>IFERROR(MOD(TIMEVALUE(RTD("ice.rtd",,$C221 &amp; $D221 &amp; ":" &amp; M$1)), 1), "")</f>
        <v/>
      </c>
      <c r="N221" s="36">
        <f>RTD("ice.rtd",,$C221 &amp; $D221 &amp; ":" &amp; N$1)</f>
        <v>0</v>
      </c>
      <c r="O221" s="36">
        <f>RTD("ice.rtd",,$C221 &amp; $D221 &amp; ":" &amp; O$1)</f>
        <v>0</v>
      </c>
      <c r="P2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1" s="14" t="str">
        <f>IF(ICE[[#This Row],[LastType]] = "Scrn", ICE[[#This Row],[LstDate]], IF(ICE[[#This Row],[LastType]] = "Blk", ICE[[#This Row],[LstBlkTime]], ""))</f>
        <v/>
      </c>
      <c r="R221" s="41" t="str">
        <f>IF(ICE[[#This Row],[LastType]] = "Scrn", ICE[[#This Row],[LstPrc]], IF(ICE[[#This Row],[LastType]] = "Blk", ICE[[#This Row],[LstBlkPrc]], ""))</f>
        <v/>
      </c>
      <c r="S221" s="36">
        <f>ICE[[#This Row],[Vol]]+ICE[[#This Row],[BlkVol]]</f>
        <v>0</v>
      </c>
      <c r="T221" s="36">
        <f>RTD("ice.rtd",,$C221 &amp; $D221 &amp; ":" &amp; T$1)</f>
        <v>0</v>
      </c>
      <c r="U221" s="18">
        <f>RTD("ice.rtd",,$C221 &amp; $D221 &amp; ":" &amp; U$1)</f>
        <v>-7.87</v>
      </c>
      <c r="V2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-11.38 / -4.19 </v>
      </c>
      <c r="W221" s="18" t="str">
        <f>IFERROR(IF(LEFT(ICE[[#This Row],[Tenor]], 1) = "B", RTD("esrtd",,$B221 &amp; " " &amp; ICE[[#This Row],[Tenor]] &amp; "-IEU", W$1), RTD("esrtd",,$B221 &amp; " " &amp; VLOOKUP(MONTH(ICE[[#This Row],[Strip]]), MthRef[], 2, 0) &amp; RIGHT(YEAR(ICE[[#This Row],[Strip]]), 2) &amp; "-IEU", W$1)), "")</f>
        <v/>
      </c>
      <c r="X221" s="36"/>
    </row>
    <row r="222" spans="1:24" x14ac:dyDescent="0.25">
      <c r="A222" s="37" t="s">
        <v>825</v>
      </c>
      <c r="B222" s="3" t="str">
        <f>RTD("ice.rtd",,$C222 &amp; $D222 &amp; ":" &amp; B$1)</f>
        <v>NOB</v>
      </c>
      <c r="C222" s="3">
        <v>18851683</v>
      </c>
      <c r="D222" t="s">
        <v>818</v>
      </c>
      <c r="E222" s="3" t="str">
        <f>RTD("ice.rtd",,$C222 &amp; $D222 &amp; ":" &amp; E$1)</f>
        <v>Q4 27</v>
      </c>
      <c r="F222" s="3" t="str">
        <f>ICE[[#This Row],[Prod]]&amp;ICE[[#This Row],[Strip]]</f>
        <v>napbrxmtQ4 27</v>
      </c>
      <c r="G222" s="18">
        <f>RTD("ice.rtd",,$C222 &amp; $D222 &amp; ":" &amp; G$1)</f>
        <v>-11.58</v>
      </c>
      <c r="H222" s="18">
        <f>RTD("ice.rtd",,$C222 &amp; $D222 &amp; ":" &amp; H$1)</f>
        <v>-4.3899999999999997</v>
      </c>
      <c r="I222" s="18" t="str">
        <f>RTD("ice.rtd",,$C222 &amp; $D222 &amp; ":" &amp; I$1)</f>
        <v/>
      </c>
      <c r="J222" s="14" t="str">
        <f>IFERROR(MOD(RTD("ice.rtd",,$C222 &amp; $D222 &amp; ":" &amp; J$1), 1), "")</f>
        <v/>
      </c>
      <c r="K222" s="18" t="str">
        <f>RTD("ice.rtd",,$C222 &amp; $D222 &amp; ":" &amp; K$1)</f>
        <v/>
      </c>
      <c r="L222" s="36" t="str">
        <f>RTD("ice.rtd",,$C222 &amp; $D222 &amp; ":" &amp; L$1)</f>
        <v/>
      </c>
      <c r="M222" s="14" t="str">
        <f>IFERROR(MOD(TIMEVALUE(RTD("ice.rtd",,$C222 &amp; $D222 &amp; ":" &amp; M$1)), 1), "")</f>
        <v/>
      </c>
      <c r="N222" s="36">
        <f>RTD("ice.rtd",,$C222 &amp; $D222 &amp; ":" &amp; N$1)</f>
        <v>0</v>
      </c>
      <c r="O222" s="36">
        <f>RTD("ice.rtd",,$C222 &amp; $D222 &amp; ":" &amp; O$1)</f>
        <v>0</v>
      </c>
      <c r="P2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2" s="14" t="str">
        <f>IF(ICE[[#This Row],[LastType]] = "Scrn", ICE[[#This Row],[LstDate]], IF(ICE[[#This Row],[LastType]] = "Blk", ICE[[#This Row],[LstBlkTime]], ""))</f>
        <v/>
      </c>
      <c r="R222" s="41" t="str">
        <f>IF(ICE[[#This Row],[LastType]] = "Scrn", ICE[[#This Row],[LstPrc]], IF(ICE[[#This Row],[LastType]] = "Blk", ICE[[#This Row],[LstBlkPrc]], ""))</f>
        <v/>
      </c>
      <c r="S222" s="36">
        <f>ICE[[#This Row],[Vol]]+ICE[[#This Row],[BlkVol]]</f>
        <v>0</v>
      </c>
      <c r="T222" s="36">
        <f>RTD("ice.rtd",,$C222 &amp; $D222 &amp; ":" &amp; T$1)</f>
        <v>0</v>
      </c>
      <c r="U222" s="18">
        <f>RTD("ice.rtd",,$C222 &amp; $D222 &amp; ":" &amp; U$1)</f>
        <v>-8.0739999999999998</v>
      </c>
      <c r="V2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-11.58 / -4.39 </v>
      </c>
      <c r="W222" s="18" t="str">
        <f>IFERROR(IF(LEFT(ICE[[#This Row],[Tenor]], 1) = "B", RTD("esrtd",,$B222 &amp; " " &amp; ICE[[#This Row],[Tenor]] &amp; "-IEU", W$1), RTD("esrtd",,$B222 &amp; " " &amp; VLOOKUP(MONTH(ICE[[#This Row],[Strip]]), MthRef[], 2, 0) &amp; RIGHT(YEAR(ICE[[#This Row],[Strip]]), 2) &amp; "-IEU", W$1)), "")</f>
        <v/>
      </c>
      <c r="X222" s="36"/>
    </row>
    <row r="223" spans="1:24" x14ac:dyDescent="0.25">
      <c r="A223" s="37" t="s">
        <v>825</v>
      </c>
      <c r="B223" s="3" t="str">
        <f>RTD("ice.rtd",,$C223 &amp; $D223 &amp; ":" &amp; B$1)</f>
        <v>NOB</v>
      </c>
      <c r="C223" s="3">
        <v>18851683</v>
      </c>
      <c r="D223" t="s">
        <v>819</v>
      </c>
      <c r="E223" s="3" t="str">
        <f>RTD("ice.rtd",,$C223 &amp; $D223 &amp; ":" &amp; E$1)</f>
        <v>Q1 28</v>
      </c>
      <c r="F223" s="3" t="str">
        <f>ICE[[#This Row],[Prod]]&amp;ICE[[#This Row],[Strip]]</f>
        <v>napbrxmtQ1 28</v>
      </c>
      <c r="G223" s="18" t="str">
        <f>RTD("ice.rtd",,$C223 &amp; $D223 &amp; ":" &amp; G$1)</f>
        <v/>
      </c>
      <c r="H223" s="18" t="str">
        <f>RTD("ice.rtd",,$C223 &amp; $D223 &amp; ":" &amp; H$1)</f>
        <v/>
      </c>
      <c r="I223" s="18" t="str">
        <f>RTD("ice.rtd",,$C223 &amp; $D223 &amp; ":" &amp; I$1)</f>
        <v/>
      </c>
      <c r="J223" s="14" t="str">
        <f>IFERROR(MOD(RTD("ice.rtd",,$C223 &amp; $D223 &amp; ":" &amp; J$1), 1), "")</f>
        <v/>
      </c>
      <c r="K223" s="18" t="str">
        <f>RTD("ice.rtd",,$C223 &amp; $D223 &amp; ":" &amp; K$1)</f>
        <v/>
      </c>
      <c r="L223" s="36" t="str">
        <f>RTD("ice.rtd",,$C223 &amp; $D223 &amp; ":" &amp; L$1)</f>
        <v/>
      </c>
      <c r="M223" s="14" t="str">
        <f>IFERROR(MOD(TIMEVALUE(RTD("ice.rtd",,$C223 &amp; $D223 &amp; ":" &amp; M$1)), 1), "")</f>
        <v/>
      </c>
      <c r="N223" s="36">
        <f>RTD("ice.rtd",,$C223 &amp; $D223 &amp; ":" &amp; N$1)</f>
        <v>0</v>
      </c>
      <c r="O223" s="36">
        <f>RTD("ice.rtd",,$C223 &amp; $D223 &amp; ":" &amp; O$1)</f>
        <v>0</v>
      </c>
      <c r="P2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3" s="14" t="str">
        <f>IF(ICE[[#This Row],[LastType]] = "Scrn", ICE[[#This Row],[LstDate]], IF(ICE[[#This Row],[LastType]] = "Blk", ICE[[#This Row],[LstBlkTime]], ""))</f>
        <v/>
      </c>
      <c r="R223" s="41" t="str">
        <f>IF(ICE[[#This Row],[LastType]] = "Scrn", ICE[[#This Row],[LstPrc]], IF(ICE[[#This Row],[LastType]] = "Blk", ICE[[#This Row],[LstBlkPrc]], ""))</f>
        <v/>
      </c>
      <c r="S223" s="36">
        <f>ICE[[#This Row],[Vol]]+ICE[[#This Row],[BlkVol]]</f>
        <v>0</v>
      </c>
      <c r="T223" s="36">
        <f>RTD("ice.rtd",,$C223 &amp; $D223 &amp; ":" &amp; T$1)</f>
        <v>0</v>
      </c>
      <c r="U223" s="18">
        <f>RTD("ice.rtd",,$C223 &amp; $D223 &amp; ":" &amp; U$1)</f>
        <v>-8.2260000000000009</v>
      </c>
      <c r="V2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23" s="18" t="str">
        <f>IFERROR(IF(LEFT(ICE[[#This Row],[Tenor]], 1) = "B", RTD("esrtd",,$B223 &amp; " " &amp; ICE[[#This Row],[Tenor]] &amp; "-IEU", W$1), RTD("esrtd",,$B223 &amp; " " &amp; VLOOKUP(MONTH(ICE[[#This Row],[Strip]]), MthRef[], 2, 0) &amp; RIGHT(YEAR(ICE[[#This Row],[Strip]]), 2) &amp; "-IEU", W$1)), "")</f>
        <v/>
      </c>
      <c r="X223" s="36"/>
    </row>
    <row r="224" spans="1:24" x14ac:dyDescent="0.25">
      <c r="A224" s="37" t="s">
        <v>825</v>
      </c>
      <c r="B224" s="3" t="str">
        <f>RTD("ice.rtd",,$C224 &amp; $D224 &amp; ":" &amp; B$1)</f>
        <v>NOB</v>
      </c>
      <c r="C224" s="3">
        <v>18851683</v>
      </c>
      <c r="D224" t="s">
        <v>229</v>
      </c>
      <c r="E224" s="3" t="str">
        <f>RTD("ice.rtd",,$C224 &amp; $D224 &amp; ":" &amp; E$1)</f>
        <v>Q2 28</v>
      </c>
      <c r="F224" s="3" t="str">
        <f>ICE[[#This Row],[Prod]]&amp;ICE[[#This Row],[Strip]]</f>
        <v>napbrxmtQ2 28</v>
      </c>
      <c r="G224" s="18" t="str">
        <f>RTD("ice.rtd",,$C224 &amp; $D224 &amp; ":" &amp; G$1)</f>
        <v/>
      </c>
      <c r="H224" s="18" t="str">
        <f>RTD("ice.rtd",,$C224 &amp; $D224 &amp; ":" &amp; H$1)</f>
        <v/>
      </c>
      <c r="I224" s="18" t="str">
        <f>RTD("ice.rtd",,$C224 &amp; $D224 &amp; ":" &amp; I$1)</f>
        <v/>
      </c>
      <c r="J224" s="14" t="str">
        <f>IFERROR(MOD(RTD("ice.rtd",,$C224 &amp; $D224 &amp; ":" &amp; J$1), 1), "")</f>
        <v/>
      </c>
      <c r="K224" s="18" t="str">
        <f>RTD("ice.rtd",,$C224 &amp; $D224 &amp; ":" &amp; K$1)</f>
        <v/>
      </c>
      <c r="L224" s="36" t="str">
        <f>RTD("ice.rtd",,$C224 &amp; $D224 &amp; ":" &amp; L$1)</f>
        <v/>
      </c>
      <c r="M224" s="14" t="str">
        <f>IFERROR(MOD(TIMEVALUE(RTD("ice.rtd",,$C224 &amp; $D224 &amp; ":" &amp; M$1)), 1), "")</f>
        <v/>
      </c>
      <c r="N224" s="36">
        <f>RTD("ice.rtd",,$C224 &amp; $D224 &amp; ":" &amp; N$1)</f>
        <v>0</v>
      </c>
      <c r="O224" s="36">
        <f>RTD("ice.rtd",,$C224 &amp; $D224 &amp; ":" &amp; O$1)</f>
        <v>0</v>
      </c>
      <c r="P2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4" s="14" t="str">
        <f>IF(ICE[[#This Row],[LastType]] = "Scrn", ICE[[#This Row],[LstDate]], IF(ICE[[#This Row],[LastType]] = "Blk", ICE[[#This Row],[LstBlkTime]], ""))</f>
        <v/>
      </c>
      <c r="R224" s="41" t="str">
        <f>IF(ICE[[#This Row],[LastType]] = "Scrn", ICE[[#This Row],[LstPrc]], IF(ICE[[#This Row],[LastType]] = "Blk", ICE[[#This Row],[LstBlkPrc]], ""))</f>
        <v/>
      </c>
      <c r="S224" s="36">
        <f>ICE[[#This Row],[Vol]]+ICE[[#This Row],[BlkVol]]</f>
        <v>0</v>
      </c>
      <c r="T224" s="36">
        <f>RTD("ice.rtd",,$C224 &amp; $D224 &amp; ":" &amp; T$1)</f>
        <v>0</v>
      </c>
      <c r="U224" s="18">
        <f>RTD("ice.rtd",,$C224 &amp; $D224 &amp; ":" &amp; U$1)</f>
        <v>-9.0739999999999998</v>
      </c>
      <c r="V2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24" s="18" t="str">
        <f>IFERROR(IF(LEFT(ICE[[#This Row],[Tenor]], 1) = "B", RTD("esrtd",,$B224 &amp; " " &amp; ICE[[#This Row],[Tenor]] &amp; "-IEU", W$1), RTD("esrtd",,$B224 &amp; " " &amp; VLOOKUP(MONTH(ICE[[#This Row],[Strip]]), MthRef[], 2, 0) &amp; RIGHT(YEAR(ICE[[#This Row],[Strip]]), 2) &amp; "-IEU", W$1)), "")</f>
        <v/>
      </c>
      <c r="X224" s="36"/>
    </row>
    <row r="225" spans="1:26" x14ac:dyDescent="0.25">
      <c r="A225" s="37" t="s">
        <v>825</v>
      </c>
      <c r="B225" s="3" t="str">
        <f>RTD("ice.rtd",,$C225 &amp; $D225 &amp; ":" &amp; B$1)</f>
        <v>NOB</v>
      </c>
      <c r="C225" s="3">
        <v>18851683</v>
      </c>
      <c r="D225" t="s">
        <v>820</v>
      </c>
      <c r="E225" s="3" t="str">
        <f>RTD("ice.rtd",,$C225 &amp; $D225 &amp; ":" &amp; E$1)</f>
        <v>Q3 28</v>
      </c>
      <c r="F225" s="3" t="str">
        <f>ICE[[#This Row],[Prod]]&amp;ICE[[#This Row],[Strip]]</f>
        <v>napbrxmtQ3 28</v>
      </c>
      <c r="G225" s="18" t="str">
        <f>RTD("ice.rtd",,$C225 &amp; $D225 &amp; ":" &amp; G$1)</f>
        <v/>
      </c>
      <c r="H225" s="18" t="str">
        <f>RTD("ice.rtd",,$C225 &amp; $D225 &amp; ":" &amp; H$1)</f>
        <v/>
      </c>
      <c r="I225" s="18" t="str">
        <f>RTD("ice.rtd",,$C225 &amp; $D225 &amp; ":" &amp; I$1)</f>
        <v/>
      </c>
      <c r="J225" s="14" t="str">
        <f>IFERROR(MOD(RTD("ice.rtd",,$C225 &amp; $D225 &amp; ":" &amp; J$1), 1), "")</f>
        <v/>
      </c>
      <c r="K225" s="18" t="str">
        <f>RTD("ice.rtd",,$C225 &amp; $D225 &amp; ":" &amp; K$1)</f>
        <v/>
      </c>
      <c r="L225" s="36" t="str">
        <f>RTD("ice.rtd",,$C225 &amp; $D225 &amp; ":" &amp; L$1)</f>
        <v/>
      </c>
      <c r="M225" s="14" t="str">
        <f>IFERROR(MOD(TIMEVALUE(RTD("ice.rtd",,$C225 &amp; $D225 &amp; ":" &amp; M$1)), 1), "")</f>
        <v/>
      </c>
      <c r="N225" s="36">
        <f>RTD("ice.rtd",,$C225 &amp; $D225 &amp; ":" &amp; N$1)</f>
        <v>0</v>
      </c>
      <c r="O225" s="36">
        <f>RTD("ice.rtd",,$C225 &amp; $D225 &amp; ":" &amp; O$1)</f>
        <v>0</v>
      </c>
      <c r="P2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5" s="14" t="str">
        <f>IF(ICE[[#This Row],[LastType]] = "Scrn", ICE[[#This Row],[LstDate]], IF(ICE[[#This Row],[LastType]] = "Blk", ICE[[#This Row],[LstBlkTime]], ""))</f>
        <v/>
      </c>
      <c r="R225" s="41" t="str">
        <f>IF(ICE[[#This Row],[LastType]] = "Scrn", ICE[[#This Row],[LstPrc]], IF(ICE[[#This Row],[LastType]] = "Blk", ICE[[#This Row],[LstBlkPrc]], ""))</f>
        <v/>
      </c>
      <c r="S225" s="36">
        <f>ICE[[#This Row],[Vol]]+ICE[[#This Row],[BlkVol]]</f>
        <v>0</v>
      </c>
      <c r="T225" s="36">
        <f>RTD("ice.rtd",,$C225 &amp; $D225 &amp; ":" &amp; T$1)</f>
        <v>0</v>
      </c>
      <c r="U225" s="18">
        <f>RTD("ice.rtd",,$C225 &amp; $D225 &amp; ":" &amp; U$1)</f>
        <v>-9.1620000000000008</v>
      </c>
      <c r="V2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25" s="18" t="str">
        <f>IFERROR(IF(LEFT(ICE[[#This Row],[Tenor]], 1) = "B", RTD("esrtd",,$B225 &amp; " " &amp; ICE[[#This Row],[Tenor]] &amp; "-IEU", W$1), RTD("esrtd",,$B225 &amp; " " &amp; VLOOKUP(MONTH(ICE[[#This Row],[Strip]]), MthRef[], 2, 0) &amp; RIGHT(YEAR(ICE[[#This Row],[Strip]]), 2) &amp; "-IEU", W$1)), "")</f>
        <v/>
      </c>
      <c r="X225" s="36"/>
    </row>
    <row r="226" spans="1:26" x14ac:dyDescent="0.25">
      <c r="A226" s="37" t="s">
        <v>825</v>
      </c>
      <c r="B226" s="3" t="str">
        <f>RTD("ice.rtd",,$C226 &amp; $D226 &amp; ":" &amp; B$1)</f>
        <v>NOB</v>
      </c>
      <c r="C226" s="3">
        <v>18851683</v>
      </c>
      <c r="D226" t="s">
        <v>821</v>
      </c>
      <c r="E226" s="3" t="str">
        <f>RTD("ice.rtd",,$C226 &amp; $D226 &amp; ":" &amp; E$1)</f>
        <v>Q4 28</v>
      </c>
      <c r="F226" s="3" t="str">
        <f>ICE[[#This Row],[Prod]]&amp;ICE[[#This Row],[Strip]]</f>
        <v>napbrxmtQ4 28</v>
      </c>
      <c r="G226" s="18" t="str">
        <f>RTD("ice.rtd",,$C226 &amp; $D226 &amp; ":" &amp; G$1)</f>
        <v/>
      </c>
      <c r="H226" s="18" t="str">
        <f>RTD("ice.rtd",,$C226 &amp; $D226 &amp; ":" &amp; H$1)</f>
        <v/>
      </c>
      <c r="I226" s="18" t="str">
        <f>RTD("ice.rtd",,$C226 &amp; $D226 &amp; ":" &amp; I$1)</f>
        <v/>
      </c>
      <c r="J226" s="14" t="str">
        <f>IFERROR(MOD(RTD("ice.rtd",,$C226 &amp; $D226 &amp; ":" &amp; J$1), 1), "")</f>
        <v/>
      </c>
      <c r="K226" s="18" t="str">
        <f>RTD("ice.rtd",,$C226 &amp; $D226 &amp; ":" &amp; K$1)</f>
        <v/>
      </c>
      <c r="L226" s="36" t="str">
        <f>RTD("ice.rtd",,$C226 &amp; $D226 &amp; ":" &amp; L$1)</f>
        <v/>
      </c>
      <c r="M226" s="14" t="str">
        <f>IFERROR(MOD(TIMEVALUE(RTD("ice.rtd",,$C226 &amp; $D226 &amp; ":" &amp; M$1)), 1), "")</f>
        <v/>
      </c>
      <c r="N226" s="36">
        <f>RTD("ice.rtd",,$C226 &amp; $D226 &amp; ":" &amp; N$1)</f>
        <v>0</v>
      </c>
      <c r="O226" s="36">
        <f>RTD("ice.rtd",,$C226 &amp; $D226 &amp; ":" &amp; O$1)</f>
        <v>0</v>
      </c>
      <c r="P2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6" s="14" t="str">
        <f>IF(ICE[[#This Row],[LastType]] = "Scrn", ICE[[#This Row],[LstDate]], IF(ICE[[#This Row],[LastType]] = "Blk", ICE[[#This Row],[LstBlkTime]], ""))</f>
        <v/>
      </c>
      <c r="R226" s="41" t="str">
        <f>IF(ICE[[#This Row],[LastType]] = "Scrn", ICE[[#This Row],[LstPrc]], IF(ICE[[#This Row],[LastType]] = "Blk", ICE[[#This Row],[LstBlkPrc]], ""))</f>
        <v/>
      </c>
      <c r="S226" s="36">
        <f>ICE[[#This Row],[Vol]]+ICE[[#This Row],[BlkVol]]</f>
        <v>0</v>
      </c>
      <c r="T226" s="36">
        <f>RTD("ice.rtd",,$C226 &amp; $D226 &amp; ":" &amp; T$1)</f>
        <v>0</v>
      </c>
      <c r="U226" s="18">
        <f>RTD("ice.rtd",,$C226 &amp; $D226 &amp; ":" &amp; U$1)</f>
        <v>-8.745000000000001</v>
      </c>
      <c r="V2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26" s="18" t="str">
        <f>IFERROR(IF(LEFT(ICE[[#This Row],[Tenor]], 1) = "B", RTD("esrtd",,$B226 &amp; " " &amp; ICE[[#This Row],[Tenor]] &amp; "-IEU", W$1), RTD("esrtd",,$B226 &amp; " " &amp; VLOOKUP(MONTH(ICE[[#This Row],[Strip]]), MthRef[], 2, 0) &amp; RIGHT(YEAR(ICE[[#This Row],[Strip]]), 2) &amp; "-IEU", W$1)), "")</f>
        <v/>
      </c>
      <c r="X226" s="36"/>
    </row>
    <row r="227" spans="1:26" x14ac:dyDescent="0.25">
      <c r="A227" s="37" t="s">
        <v>825</v>
      </c>
      <c r="B227" s="3" t="str">
        <f>RTD("ice.rtd",,$C227 &amp; $D227 &amp; ":" &amp; B$1)</f>
        <v>NOB</v>
      </c>
      <c r="C227" s="3">
        <v>18851683</v>
      </c>
      <c r="D227" t="s">
        <v>822</v>
      </c>
      <c r="E227" s="3" t="str">
        <f>RTD("ice.rtd",,$C227 &amp; $D227 &amp; ":" &amp; E$1)</f>
        <v>Cal 27</v>
      </c>
      <c r="F227" s="3" t="str">
        <f>ICE[[#This Row],[Prod]]&amp;ICE[[#This Row],[Strip]]</f>
        <v>napbrxmtCal 27</v>
      </c>
      <c r="G227" s="18">
        <f>RTD("ice.rtd",,$C227 &amp; $D227 &amp; ":" &amp; G$1)</f>
        <v>-10.57</v>
      </c>
      <c r="H227" s="18">
        <f>RTD("ice.rtd",,$C227 &amp; $D227 &amp; ":" &amp; H$1)</f>
        <v>-3.38</v>
      </c>
      <c r="I227" s="18" t="str">
        <f>RTD("ice.rtd",,$C227 &amp; $D227 &amp; ":" &amp; I$1)</f>
        <v/>
      </c>
      <c r="J227" s="14" t="str">
        <f>IFERROR(MOD(RTD("ice.rtd",,$C227 &amp; $D227 &amp; ":" &amp; J$1), 1), "")</f>
        <v/>
      </c>
      <c r="K227" s="18" t="str">
        <f>RTD("ice.rtd",,$C227 &amp; $D227 &amp; ":" &amp; K$1)</f>
        <v/>
      </c>
      <c r="L227" s="36" t="str">
        <f>RTD("ice.rtd",,$C227 &amp; $D227 &amp; ":" &amp; L$1)</f>
        <v/>
      </c>
      <c r="M227" s="14" t="str">
        <f>IFERROR(MOD(TIMEVALUE(RTD("ice.rtd",,$C227 &amp; $D227 &amp; ":" &amp; M$1)), 1), "")</f>
        <v/>
      </c>
      <c r="N227" s="36">
        <f>RTD("ice.rtd",,$C227 &amp; $D227 &amp; ":" &amp; N$1)</f>
        <v>0</v>
      </c>
      <c r="O227" s="36">
        <f>RTD("ice.rtd",,$C227 &amp; $D227 &amp; ":" &amp; O$1)</f>
        <v>0</v>
      </c>
      <c r="P2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7" s="14" t="str">
        <f>IF(ICE[[#This Row],[LastType]] = "Scrn", ICE[[#This Row],[LstDate]], IF(ICE[[#This Row],[LastType]] = "Blk", ICE[[#This Row],[LstBlkTime]], ""))</f>
        <v/>
      </c>
      <c r="R227" s="41" t="str">
        <f>IF(ICE[[#This Row],[LastType]] = "Scrn", ICE[[#This Row],[LstPrc]], IF(ICE[[#This Row],[LastType]] = "Blk", ICE[[#This Row],[LstBlkPrc]], ""))</f>
        <v/>
      </c>
      <c r="S227" s="36">
        <f>ICE[[#This Row],[Vol]]+ICE[[#This Row],[BlkVol]]</f>
        <v>0</v>
      </c>
      <c r="T227" s="36">
        <f>RTD("ice.rtd",,$C227 &amp; $D227 &amp; ":" &amp; T$1)</f>
        <v>0</v>
      </c>
      <c r="U227" s="18">
        <f>RTD("ice.rtd",,$C227 &amp; $D227 &amp; ":" &amp; U$1)</f>
        <v>-7.0170000000000003</v>
      </c>
      <c r="V2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-10.57 / -3.38 </v>
      </c>
      <c r="W227" s="18" t="str">
        <f>IFERROR(IF(LEFT(ICE[[#This Row],[Tenor]], 1) = "B", RTD("esrtd",,$B227 &amp; " " &amp; ICE[[#This Row],[Tenor]] &amp; "-IEU", W$1), RTD("esrtd",,$B227 &amp; " " &amp; VLOOKUP(MONTH(ICE[[#This Row],[Strip]]), MthRef[], 2, 0) &amp; RIGHT(YEAR(ICE[[#This Row],[Strip]]), 2) &amp; "-IEU", W$1)), "")</f>
        <v/>
      </c>
      <c r="X227" s="36"/>
    </row>
    <row r="228" spans="1:26" x14ac:dyDescent="0.25">
      <c r="A228" s="37" t="s">
        <v>825</v>
      </c>
      <c r="B228" s="3" t="str">
        <f>RTD("ice.rtd",,$C228 &amp; $D228 &amp; ":" &amp; B$1)</f>
        <v>NOB</v>
      </c>
      <c r="C228" s="3">
        <v>18851683</v>
      </c>
      <c r="D228" t="s">
        <v>823</v>
      </c>
      <c r="E228" s="3" t="str">
        <f>RTD("ice.rtd",,$C228 &amp; $D228 &amp; ":" &amp; E$1)</f>
        <v>Cal 28</v>
      </c>
      <c r="F228" s="3" t="str">
        <f>ICE[[#This Row],[Prod]]&amp;ICE[[#This Row],[Strip]]</f>
        <v>napbrxmtCal 28</v>
      </c>
      <c r="G228" s="18" t="str">
        <f>RTD("ice.rtd",,$C228 &amp; $D228 &amp; ":" &amp; G$1)</f>
        <v/>
      </c>
      <c r="H228" s="18" t="str">
        <f>RTD("ice.rtd",,$C228 &amp; $D228 &amp; ":" &amp; H$1)</f>
        <v/>
      </c>
      <c r="I228" s="18" t="str">
        <f>RTD("ice.rtd",,$C228 &amp; $D228 &amp; ":" &amp; I$1)</f>
        <v/>
      </c>
      <c r="J228" s="14" t="str">
        <f>IFERROR(MOD(RTD("ice.rtd",,$C228 &amp; $D228 &amp; ":" &amp; J$1), 1), "")</f>
        <v/>
      </c>
      <c r="K228" s="18" t="str">
        <f>RTD("ice.rtd",,$C228 &amp; $D228 &amp; ":" &amp; K$1)</f>
        <v/>
      </c>
      <c r="L228" s="36" t="str">
        <f>RTD("ice.rtd",,$C228 &amp; $D228 &amp; ":" &amp; L$1)</f>
        <v/>
      </c>
      <c r="M228" s="14" t="str">
        <f>IFERROR(MOD(TIMEVALUE(RTD("ice.rtd",,$C228 &amp; $D228 &amp; ":" &amp; M$1)), 1), "")</f>
        <v/>
      </c>
      <c r="N228" s="36">
        <f>RTD("ice.rtd",,$C228 &amp; $D228 &amp; ":" &amp; N$1)</f>
        <v>0</v>
      </c>
      <c r="O228" s="36">
        <f>RTD("ice.rtd",,$C228 &amp; $D228 &amp; ":" &amp; O$1)</f>
        <v>0</v>
      </c>
      <c r="P2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8" s="14" t="str">
        <f>IF(ICE[[#This Row],[LastType]] = "Scrn", ICE[[#This Row],[LstDate]], IF(ICE[[#This Row],[LastType]] = "Blk", ICE[[#This Row],[LstBlkTime]], ""))</f>
        <v/>
      </c>
      <c r="R228" s="41" t="str">
        <f>IF(ICE[[#This Row],[LastType]] = "Scrn", ICE[[#This Row],[LstPrc]], IF(ICE[[#This Row],[LastType]] = "Blk", ICE[[#This Row],[LstBlkPrc]], ""))</f>
        <v/>
      </c>
      <c r="S228" s="36">
        <f>ICE[[#This Row],[Vol]]+ICE[[#This Row],[BlkVol]]</f>
        <v>0</v>
      </c>
      <c r="T228" s="36">
        <f>RTD("ice.rtd",,$C228 &amp; $D228 &amp; ":" &amp; T$1)</f>
        <v>0</v>
      </c>
      <c r="U228" s="18">
        <f>RTD("ice.rtd",,$C228 &amp; $D228 &amp; ":" &amp; U$1)</f>
        <v>-8.8019999999999996</v>
      </c>
      <c r="V2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28" s="18" t="str">
        <f>IFERROR(IF(LEFT(ICE[[#This Row],[Tenor]], 1) = "B", RTD("esrtd",,$B228 &amp; " " &amp; ICE[[#This Row],[Tenor]] &amp; "-IEU", W$1), RTD("esrtd",,$B228 &amp; " " &amp; VLOOKUP(MONTH(ICE[[#This Row],[Strip]]), MthRef[], 2, 0) &amp; RIGHT(YEAR(ICE[[#This Row],[Strip]]), 2) &amp; "-IEU", W$1)), "")</f>
        <v/>
      </c>
      <c r="X228" s="36"/>
    </row>
    <row r="229" spans="1:26" x14ac:dyDescent="0.25">
      <c r="A229" s="37" t="s">
        <v>825</v>
      </c>
      <c r="B229" s="3" t="str">
        <f>RTD("ice.rtd",,$C229 &amp; $D229 &amp; ":" &amp; B$1)</f>
        <v>NOB</v>
      </c>
      <c r="C229" s="3">
        <v>18851683</v>
      </c>
      <c r="D229" t="s">
        <v>824</v>
      </c>
      <c r="E229" s="3" t="str">
        <f>RTD("ice.rtd",,$C229 &amp; $D229 &amp; ":" &amp; E$1)</f>
        <v>Cal 29</v>
      </c>
      <c r="F229" s="3" t="str">
        <f>ICE[[#This Row],[Prod]]&amp;ICE[[#This Row],[Strip]]</f>
        <v>napbrxmtCal 29</v>
      </c>
      <c r="G229" s="18" t="str">
        <f>RTD("ice.rtd",,$C229 &amp; $D229 &amp; ":" &amp; G$1)</f>
        <v/>
      </c>
      <c r="H229" s="18" t="str">
        <f>RTD("ice.rtd",,$C229 &amp; $D229 &amp; ":" &amp; H$1)</f>
        <v/>
      </c>
      <c r="I229" s="18" t="str">
        <f>RTD("ice.rtd",,$C229 &amp; $D229 &amp; ":" &amp; I$1)</f>
        <v/>
      </c>
      <c r="J229" s="14" t="str">
        <f>IFERROR(MOD(RTD("ice.rtd",,$C229 &amp; $D229 &amp; ":" &amp; J$1), 1), "")</f>
        <v/>
      </c>
      <c r="K229" s="18" t="str">
        <f>RTD("ice.rtd",,$C229 &amp; $D229 &amp; ":" &amp; K$1)</f>
        <v/>
      </c>
      <c r="L229" s="36" t="str">
        <f>RTD("ice.rtd",,$C229 &amp; $D229 &amp; ":" &amp; L$1)</f>
        <v/>
      </c>
      <c r="M229" s="14" t="str">
        <f>IFERROR(MOD(TIMEVALUE(RTD("ice.rtd",,$C229 &amp; $D229 &amp; ":" &amp; M$1)), 1), "")</f>
        <v/>
      </c>
      <c r="N229" s="36">
        <f>RTD("ice.rtd",,$C229 &amp; $D229 &amp; ":" &amp; N$1)</f>
        <v>0</v>
      </c>
      <c r="O229" s="36">
        <f>RTD("ice.rtd",,$C229 &amp; $D229 &amp; ":" &amp; O$1)</f>
        <v>0</v>
      </c>
      <c r="P2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29" s="14" t="str">
        <f>IF(ICE[[#This Row],[LastType]] = "Scrn", ICE[[#This Row],[LstDate]], IF(ICE[[#This Row],[LastType]] = "Blk", ICE[[#This Row],[LstBlkTime]], ""))</f>
        <v/>
      </c>
      <c r="R229" s="41" t="str">
        <f>IF(ICE[[#This Row],[LastType]] = "Scrn", ICE[[#This Row],[LstPrc]], IF(ICE[[#This Row],[LastType]] = "Blk", ICE[[#This Row],[LstBlkPrc]], ""))</f>
        <v/>
      </c>
      <c r="S229" s="36">
        <f>ICE[[#This Row],[Vol]]+ICE[[#This Row],[BlkVol]]</f>
        <v>0</v>
      </c>
      <c r="T229" s="36">
        <f>RTD("ice.rtd",,$C229 &amp; $D229 &amp; ":" &amp; T$1)</f>
        <v>0</v>
      </c>
      <c r="U229" s="18">
        <f>RTD("ice.rtd",,$C229 &amp; $D229 &amp; ":" &amp; U$1)</f>
        <v>-7.86</v>
      </c>
      <c r="V2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29" s="18" t="str">
        <f>IFERROR(IF(LEFT(ICE[[#This Row],[Tenor]], 1) = "B", RTD("esrtd",,$B229 &amp; " " &amp; ICE[[#This Row],[Tenor]] &amp; "-IEU", W$1), RTD("esrtd",,$B229 &amp; " " &amp; VLOOKUP(MONTH(ICE[[#This Row],[Strip]]), MthRef[], 2, 0) &amp; RIGHT(YEAR(ICE[[#This Row],[Strip]]), 2) &amp; "-IEU", W$1)), "")</f>
        <v/>
      </c>
      <c r="X229" s="36"/>
    </row>
    <row r="230" spans="1:26" x14ac:dyDescent="0.25">
      <c r="A230" s="37" t="s">
        <v>826</v>
      </c>
      <c r="B230" s="3" t="str">
        <f>RTD("ice.rtd",,$C230 &amp; $D230 &amp; ":" &amp; B$1)</f>
        <v>NBL</v>
      </c>
      <c r="C230" s="3">
        <v>2049123570</v>
      </c>
      <c r="D230" t="s">
        <v>792</v>
      </c>
      <c r="E230" s="3" t="str">
        <f>RTD("ice.rtd",,$C230 &amp; $D230 &amp; ":" &amp; E$1)</f>
        <v>Bal Month</v>
      </c>
      <c r="F230" s="3" t="str">
        <f>ICE[[#This Row],[Prod]]&amp;ICE[[#This Row],[Strip]]</f>
        <v>napbrxbblBal Month</v>
      </c>
      <c r="G230" s="18" t="str">
        <f>RTD("ice.rtd",,$C230 &amp; $D230 &amp; ":" &amp; G$1)</f>
        <v/>
      </c>
      <c r="H230" s="18" t="str">
        <f>RTD("ice.rtd",,$C230 &amp; $D230 &amp; ":" &amp; H$1)</f>
        <v/>
      </c>
      <c r="I230" s="18" t="str">
        <f>RTD("ice.rtd",,$C230 &amp; $D230 &amp; ":" &amp; I$1)</f>
        <v/>
      </c>
      <c r="J230" s="14" t="str">
        <f>IFERROR(MOD(RTD("ice.rtd",,$C230 &amp; $D230 &amp; ":" &amp; J$1), 1), "")</f>
        <v/>
      </c>
      <c r="K230" s="18" t="str">
        <f>RTD("ice.rtd",,$C230 &amp; $D230 &amp; ":" &amp; K$1)</f>
        <v/>
      </c>
      <c r="L230" s="36" t="str">
        <f>RTD("ice.rtd",,$C230 &amp; $D230 &amp; ":" &amp; L$1)</f>
        <v/>
      </c>
      <c r="M230" s="14" t="str">
        <f>IFERROR(MOD(TIMEVALUE(RTD("ice.rtd",,$C230 &amp; $D230 &amp; ":" &amp; M$1)), 1), "")</f>
        <v/>
      </c>
      <c r="N230" s="36">
        <f>RTD("ice.rtd",,$C230 &amp; $D230 &amp; ":" &amp; N$1)</f>
        <v>0</v>
      </c>
      <c r="O230" s="36">
        <f>RTD("ice.rtd",,$C230 &amp; $D230 &amp; ":" &amp; O$1)</f>
        <v>0</v>
      </c>
      <c r="P2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30" s="14" t="str">
        <f>IF(ICE[[#This Row],[LastType]] = "Scrn", ICE[[#This Row],[LstDate]], IF(ICE[[#This Row],[LastType]] = "Blk", ICE[[#This Row],[LstBlkTime]], ""))</f>
        <v/>
      </c>
      <c r="R230" s="41" t="str">
        <f>IF(ICE[[#This Row],[LastType]] = "Scrn", ICE[[#This Row],[LstPrc]], IF(ICE[[#This Row],[LastType]] = "Blk", ICE[[#This Row],[LstBlkPrc]], ""))</f>
        <v/>
      </c>
      <c r="S230" s="36">
        <f>ICE[[#This Row],[Vol]]+ICE[[#This Row],[BlkVol]]</f>
        <v>0</v>
      </c>
      <c r="T230" s="36">
        <f>RTD("ice.rtd",,$C230 &amp; $D230 &amp; ":" &amp; T$1)</f>
        <v>0</v>
      </c>
      <c r="U230" s="18">
        <f>RTD("ice.rtd",,$C230 &amp; $D230 &amp; ":" &amp; U$1)</f>
        <v>-4.2640000000000002</v>
      </c>
      <c r="V2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30" s="18" t="str">
        <f>IFERROR(IF(LEFT(ICE[[#This Row],[Tenor]], 1) = "B", RTD("esrtd",,$B230 &amp; " " &amp; ICE[[#This Row],[Tenor]] &amp; "-IEU", W$1), RTD("esrtd",,$B230 &amp; " " &amp; VLOOKUP(MONTH(ICE[[#This Row],[Strip]]), MthRef[], 2, 0) &amp; RIGHT(YEAR(ICE[[#This Row],[Strip]]), 2) &amp; "-IEU", W$1)), "")</f>
        <v/>
      </c>
      <c r="X230" s="36"/>
    </row>
    <row r="231" spans="1:26" x14ac:dyDescent="0.25">
      <c r="A231" s="37" t="s">
        <v>826</v>
      </c>
      <c r="B231" s="3" t="str">
        <f>RTD("ice.rtd",,$C231 &amp; $D231 &amp; ":" &amp; B$1)</f>
        <v>NBB</v>
      </c>
      <c r="C231" s="3">
        <v>57409036</v>
      </c>
      <c r="D231" t="s">
        <v>793</v>
      </c>
      <c r="E231" s="3" t="str">
        <f>RTD("ice.rtd",,$C231 &amp; $D231 &amp; ":" &amp; E$1)</f>
        <v>Sep26</v>
      </c>
      <c r="F231" s="3" t="str">
        <f>ICE[[#This Row],[Prod]]&amp;ICE[[#This Row],[Strip]]</f>
        <v>napbrxbblSep26</v>
      </c>
      <c r="G231" s="18" t="str">
        <f>RTD("ice.rtd",,$C231 &amp; $D231 &amp; ":" &amp; G$1)</f>
        <v/>
      </c>
      <c r="H231" s="18" t="str">
        <f>RTD("ice.rtd",,$C231 &amp; $D231 &amp; ":" &amp; H$1)</f>
        <v/>
      </c>
      <c r="I231" s="18" t="str">
        <f>RTD("ice.rtd",,$C231 &amp; $D231 &amp; ":" &amp; I$1)</f>
        <v/>
      </c>
      <c r="J231" s="14" t="str">
        <f>IFERROR(MOD(RTD("ice.rtd",,$C231 &amp; $D231 &amp; ":" &amp; J$1), 1), "")</f>
        <v/>
      </c>
      <c r="K231" s="18" t="str">
        <f>RTD("ice.rtd",,$C231 &amp; $D231 &amp; ":" &amp; K$1)</f>
        <v/>
      </c>
      <c r="L231" s="36" t="str">
        <f>RTD("ice.rtd",,$C231 &amp; $D231 &amp; ":" &amp; L$1)</f>
        <v/>
      </c>
      <c r="M231" s="14" t="str">
        <f>IFERROR(MOD(TIMEVALUE(RTD("ice.rtd",,$C231 &amp; $D231 &amp; ":" &amp; M$1)), 1), "")</f>
        <v/>
      </c>
      <c r="N231" s="36">
        <f>RTD("ice.rtd",,$C231 &amp; $D231 &amp; ":" &amp; N$1)</f>
        <v>0</v>
      </c>
      <c r="O231" s="36">
        <f>RTD("ice.rtd",,$C231 &amp; $D231 &amp; ":" &amp; O$1)</f>
        <v>0</v>
      </c>
      <c r="P2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31" s="14" t="str">
        <f>IF(ICE[[#This Row],[LastType]] = "Scrn", ICE[[#This Row],[LstDate]], IF(ICE[[#This Row],[LastType]] = "Blk", ICE[[#This Row],[LstBlkTime]], ""))</f>
        <v/>
      </c>
      <c r="R231" s="41" t="str">
        <f>IF(ICE[[#This Row],[LastType]] = "Scrn", ICE[[#This Row],[LstPrc]], IF(ICE[[#This Row],[LastType]] = "Blk", ICE[[#This Row],[LstBlkPrc]], ""))</f>
        <v/>
      </c>
      <c r="S231" s="36">
        <f>ICE[[#This Row],[Vol]]+ICE[[#This Row],[BlkVol]]</f>
        <v>0</v>
      </c>
      <c r="T231" s="36">
        <f>RTD("ice.rtd",,$C231 &amp; $D231 &amp; ":" &amp; T$1)</f>
        <v>13945</v>
      </c>
      <c r="U231" s="18">
        <f>RTD("ice.rtd",,$C231 &amp; $D231 &amp; ":" &amp; U$1)</f>
        <v>-4.2640000000000002</v>
      </c>
      <c r="V2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31" s="18" t="str">
        <f>IFERROR(IF(LEFT(ICE[[#This Row],[Tenor]], 1) = "B", RTD("esrtd",,$B231 &amp; " " &amp; ICE[[#This Row],[Tenor]] &amp; "-IEU", W$1), RTD("esrtd",,$B231 &amp; " " &amp; VLOOKUP(MONTH(ICE[[#This Row],[Strip]]), MthRef[], 2, 0) &amp; RIGHT(YEAR(ICE[[#This Row],[Strip]]), 2) &amp; "-IEU", W$1)), "")</f>
        <v/>
      </c>
      <c r="X231" s="36"/>
    </row>
    <row r="232" spans="1:26" x14ac:dyDescent="0.25">
      <c r="A232" s="37" t="s">
        <v>826</v>
      </c>
      <c r="B232" s="3" t="str">
        <f>RTD("ice.rtd",,$C232 &amp; $D232 &amp; ":" &amp; B$1)</f>
        <v>NBB</v>
      </c>
      <c r="C232" s="3">
        <v>57409036</v>
      </c>
      <c r="D232" t="s">
        <v>324</v>
      </c>
      <c r="E232" s="3" t="str">
        <f>RTD("ice.rtd",,$C232 &amp; $D232 &amp; ":" &amp; E$1)</f>
        <v>Oct26</v>
      </c>
      <c r="F232" s="3" t="str">
        <f>ICE[[#This Row],[Prod]]&amp;ICE[[#This Row],[Strip]]</f>
        <v>napbrxbblOct26</v>
      </c>
      <c r="G232" s="18">
        <f>RTD("ice.rtd",,$C232 &amp; $D232 &amp; ":" &amp; G$1)</f>
        <v>-7.5</v>
      </c>
      <c r="H232" s="18">
        <f>RTD("ice.rtd",,$C232 &amp; $D232 &amp; ":" &amp; H$1)</f>
        <v>-0.3</v>
      </c>
      <c r="I232" s="18" t="str">
        <f>RTD("ice.rtd",,$C232 &amp; $D232 &amp; ":" &amp; I$1)</f>
        <v/>
      </c>
      <c r="J232" s="14" t="str">
        <f>IFERROR(MOD(RTD("ice.rtd",,$C232 &amp; $D232 &amp; ":" &amp; J$1), 1), "")</f>
        <v/>
      </c>
      <c r="K232" s="18">
        <f>RTD("ice.rtd",,$C232 &amp; $D232 &amp; ":" &amp; K$1)</f>
        <v>-3.9</v>
      </c>
      <c r="L232" s="36">
        <f>RTD("ice.rtd",,$C232 &amp; $D232 &amp; ":" &amp; L$1)</f>
        <v>50</v>
      </c>
      <c r="M232" s="14">
        <f>IFERROR(MOD(TIMEVALUE(RTD("ice.rtd",,$C232 &amp; $D232 &amp; ":" &amp; M$1)), 1), "")</f>
        <v>0.45023148148148145</v>
      </c>
      <c r="N232" s="36">
        <f>RTD("ice.rtd",,$C232 &amp; $D232 &amp; ":" &amp; N$1)</f>
        <v>0</v>
      </c>
      <c r="O232" s="36">
        <f>RTD("ice.rtd",,$C232 &amp; $D232 &amp; ":" &amp; O$1)</f>
        <v>540</v>
      </c>
      <c r="P2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32" s="14">
        <f>IF(ICE[[#This Row],[LastType]] = "Scrn", ICE[[#This Row],[LstDate]], IF(ICE[[#This Row],[LastType]] = "Blk", ICE[[#This Row],[LstBlkTime]], ""))</f>
        <v>0.45023148148148145</v>
      </c>
      <c r="R232" s="41">
        <f>IF(ICE[[#This Row],[LastType]] = "Scrn", ICE[[#This Row],[LstPrc]], IF(ICE[[#This Row],[LastType]] = "Blk", ICE[[#This Row],[LstBlkPrc]], ""))</f>
        <v>-3.9</v>
      </c>
      <c r="S232" s="36">
        <f>ICE[[#This Row],[Vol]]+ICE[[#This Row],[BlkVol]]</f>
        <v>540</v>
      </c>
      <c r="T232" s="36">
        <f>RTD("ice.rtd",,$C232 &amp; $D232 &amp; ":" &amp; T$1)</f>
        <v>9958</v>
      </c>
      <c r="U232" s="18">
        <f>RTD("ice.rtd",,$C232 &amp; $D232 &amp; ":" &amp; U$1)</f>
        <v>-3.7</v>
      </c>
      <c r="V2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-7.50 / -0.30 {-3.90} |540x</v>
      </c>
      <c r="W232" s="18" t="str">
        <f>IFERROR(IF(LEFT(ICE[[#This Row],[Tenor]], 1) = "B", RTD("esrtd",,$B232 &amp; " " &amp; ICE[[#This Row],[Tenor]] &amp; "-IEU", W$1), RTD("esrtd",,$B232 &amp; " " &amp; VLOOKUP(MONTH(ICE[[#This Row],[Strip]]), MthRef[], 2, 0) &amp; RIGHT(YEAR(ICE[[#This Row],[Strip]]), 2) &amp; "-IEU", W$1)), "")</f>
        <v/>
      </c>
      <c r="X232" s="36"/>
    </row>
    <row r="233" spans="1:26" x14ac:dyDescent="0.25">
      <c r="A233" s="37" t="s">
        <v>826</v>
      </c>
      <c r="B233" s="3" t="str">
        <f>RTD("ice.rtd",,$C233 &amp; $D233 &amp; ":" &amp; B$1)</f>
        <v>NBB</v>
      </c>
      <c r="C233" s="3">
        <v>57409036</v>
      </c>
      <c r="D233" t="s">
        <v>325</v>
      </c>
      <c r="E233" s="3" t="str">
        <f>RTD("ice.rtd",,$C233 &amp; $D233 &amp; ":" &amp; E$1)</f>
        <v>Nov26</v>
      </c>
      <c r="F233" s="3" t="str">
        <f>ICE[[#This Row],[Prod]]&amp;ICE[[#This Row],[Strip]]</f>
        <v>napbrxbblNov26</v>
      </c>
      <c r="G233" s="18">
        <f>RTD("ice.rtd",,$C233 &amp; $D233 &amp; ":" &amp; G$1)</f>
        <v>-7.76</v>
      </c>
      <c r="H233" s="18">
        <f>RTD("ice.rtd",,$C233 &amp; $D233 &amp; ":" &amp; H$1)</f>
        <v>-0.56000000000000005</v>
      </c>
      <c r="I233" s="18" t="str">
        <f>RTD("ice.rtd",,$C233 &amp; $D233 &amp; ":" &amp; I$1)</f>
        <v/>
      </c>
      <c r="J233" s="14" t="str">
        <f>IFERROR(MOD(RTD("ice.rtd",,$C233 &amp; $D233 &amp; ":" &amp; J$1), 1), "")</f>
        <v/>
      </c>
      <c r="K233" s="18" t="str">
        <f>RTD("ice.rtd",,$C233 &amp; $D233 &amp; ":" &amp; K$1)</f>
        <v/>
      </c>
      <c r="L233" s="36" t="str">
        <f>RTD("ice.rtd",,$C233 &amp; $D233 &amp; ":" &amp; L$1)</f>
        <v/>
      </c>
      <c r="M233" s="14" t="str">
        <f>IFERROR(MOD(TIMEVALUE(RTD("ice.rtd",,$C233 &amp; $D233 &amp; ":" &amp; M$1)), 1), "")</f>
        <v/>
      </c>
      <c r="N233" s="36">
        <f>RTD("ice.rtd",,$C233 &amp; $D233 &amp; ":" &amp; N$1)</f>
        <v>0</v>
      </c>
      <c r="O233" s="36">
        <f>RTD("ice.rtd",,$C233 &amp; $D233 &amp; ":" &amp; O$1)</f>
        <v>110</v>
      </c>
      <c r="P2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33" s="14" t="str">
        <f>IF(ICE[[#This Row],[LastType]] = "Scrn", ICE[[#This Row],[LstDate]], IF(ICE[[#This Row],[LastType]] = "Blk", ICE[[#This Row],[LstBlkTime]], ""))</f>
        <v/>
      </c>
      <c r="R233" s="41" t="str">
        <f>IF(ICE[[#This Row],[LastType]] = "Scrn", ICE[[#This Row],[LstPrc]], IF(ICE[[#This Row],[LastType]] = "Blk", ICE[[#This Row],[LstBlkPrc]], ""))</f>
        <v/>
      </c>
      <c r="S233" s="36">
        <f>ICE[[#This Row],[Vol]]+ICE[[#This Row],[BlkVol]]</f>
        <v>110</v>
      </c>
      <c r="T233" s="36">
        <f>RTD("ice.rtd",,$C233 &amp; $D233 &amp; ":" &amp; T$1)</f>
        <v>8557</v>
      </c>
      <c r="U233" s="18">
        <f>RTD("ice.rtd",,$C233 &amp; $D233 &amp; ":" &amp; U$1)</f>
        <v>-4.0470000000000006</v>
      </c>
      <c r="V2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-7.76 / -0.56  |110x</v>
      </c>
      <c r="W233" s="18" t="str">
        <f>IFERROR(IF(LEFT(ICE[[#This Row],[Tenor]], 1) = "B", RTD("esrtd",,$B233 &amp; " " &amp; ICE[[#This Row],[Tenor]] &amp; "-IEU", W$1), RTD("esrtd",,$B233 &amp; " " &amp; VLOOKUP(MONTH(ICE[[#This Row],[Strip]]), MthRef[], 2, 0) &amp; RIGHT(YEAR(ICE[[#This Row],[Strip]]), 2) &amp; "-IEU", W$1)), "")</f>
        <v/>
      </c>
      <c r="X233" s="36"/>
    </row>
    <row r="234" spans="1:26" x14ac:dyDescent="0.25">
      <c r="A234" s="37" t="s">
        <v>826</v>
      </c>
      <c r="B234" s="3" t="str">
        <f>RTD("ice.rtd",,$C234 &amp; $D234 &amp; ":" &amp; B$1)</f>
        <v>NBB</v>
      </c>
      <c r="C234" s="3">
        <v>57409036</v>
      </c>
      <c r="D234" t="s">
        <v>326</v>
      </c>
      <c r="E234" s="3" t="str">
        <f>RTD("ice.rtd",,$C234 &amp; $D234 &amp; ":" &amp; E$1)</f>
        <v>Dec26</v>
      </c>
      <c r="F234" s="3" t="str">
        <f>ICE[[#This Row],[Prod]]&amp;ICE[[#This Row],[Strip]]</f>
        <v>napbrxbblDec26</v>
      </c>
      <c r="G234" s="18">
        <f>RTD("ice.rtd",,$C234 &amp; $D234 &amp; ":" &amp; G$1)</f>
        <v>-8.27</v>
      </c>
      <c r="H234" s="18">
        <f>RTD("ice.rtd",,$C234 &amp; $D234 &amp; ":" &amp; H$1)</f>
        <v>-1.07</v>
      </c>
      <c r="I234" s="18" t="str">
        <f>RTD("ice.rtd",,$C234 &amp; $D234 &amp; ":" &amp; I$1)</f>
        <v/>
      </c>
      <c r="J234" s="14" t="str">
        <f>IFERROR(MOD(RTD("ice.rtd",,$C234 &amp; $D234 &amp; ":" &amp; J$1), 1), "")</f>
        <v/>
      </c>
      <c r="K234" s="18">
        <f>RTD("ice.rtd",,$C234 &amp; $D234 &amp; ":" &amp; K$1)</f>
        <v>-4.7</v>
      </c>
      <c r="L234" s="36">
        <f>RTD("ice.rtd",,$C234 &amp; $D234 &amp; ":" &amp; L$1)</f>
        <v>75</v>
      </c>
      <c r="M234" s="14">
        <f>IFERROR(MOD(TIMEVALUE(RTD("ice.rtd",,$C234 &amp; $D234 &amp; ":" &amp; M$1)), 1), "")</f>
        <v>0.46056712962962965</v>
      </c>
      <c r="N234" s="36">
        <f>RTD("ice.rtd",,$C234 &amp; $D234 &amp; ":" &amp; N$1)</f>
        <v>0</v>
      </c>
      <c r="O234" s="36">
        <f>RTD("ice.rtd",,$C234 &amp; $D234 &amp; ":" &amp; O$1)</f>
        <v>260</v>
      </c>
      <c r="P2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34" s="14">
        <f>IF(ICE[[#This Row],[LastType]] = "Scrn", ICE[[#This Row],[LstDate]], IF(ICE[[#This Row],[LastType]] = "Blk", ICE[[#This Row],[LstBlkTime]], ""))</f>
        <v>0.46056712962962965</v>
      </c>
      <c r="R234" s="41">
        <f>IF(ICE[[#This Row],[LastType]] = "Scrn", ICE[[#This Row],[LstPrc]], IF(ICE[[#This Row],[LastType]] = "Blk", ICE[[#This Row],[LstBlkPrc]], ""))</f>
        <v>-4.7</v>
      </c>
      <c r="S234" s="36">
        <f>ICE[[#This Row],[Vol]]+ICE[[#This Row],[BlkVol]]</f>
        <v>260</v>
      </c>
      <c r="T234" s="36">
        <f>RTD("ice.rtd",,$C234 &amp; $D234 &amp; ":" &amp; T$1)</f>
        <v>9552</v>
      </c>
      <c r="U234" s="18">
        <f>RTD("ice.rtd",,$C234 &amp; $D234 &amp; ":" &amp; U$1)</f>
        <v>-4.577</v>
      </c>
      <c r="V2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-8.27 / -1.07 {-4.70} |260x</v>
      </c>
      <c r="W234" s="18" t="str">
        <f>IFERROR(IF(LEFT(ICE[[#This Row],[Tenor]], 1) = "B", RTD("esrtd",,$B234 &amp; " " &amp; ICE[[#This Row],[Tenor]] &amp; "-IEU", W$1), RTD("esrtd",,$B234 &amp; " " &amp; VLOOKUP(MONTH(ICE[[#This Row],[Strip]]), MthRef[], 2, 0) &amp; RIGHT(YEAR(ICE[[#This Row],[Strip]]), 2) &amp; "-IEU", W$1)), "")</f>
        <v/>
      </c>
      <c r="X234" s="36"/>
    </row>
    <row r="235" spans="1:26" x14ac:dyDescent="0.25">
      <c r="A235" s="37" t="s">
        <v>826</v>
      </c>
      <c r="B235" s="3" t="str">
        <f>RTD("ice.rtd",,$C235 &amp; $D235 &amp; ":" &amp; B$1)</f>
        <v>NBB</v>
      </c>
      <c r="C235" s="3">
        <v>57409036</v>
      </c>
      <c r="D235" t="s">
        <v>794</v>
      </c>
      <c r="E235" s="3" t="str">
        <f>RTD("ice.rtd",,$C235 &amp; $D235 &amp; ":" &amp; E$1)</f>
        <v>Jan27</v>
      </c>
      <c r="F235" s="3" t="str">
        <f>ICE[[#This Row],[Prod]]&amp;ICE[[#This Row],[Strip]]</f>
        <v>napbrxbblJan27</v>
      </c>
      <c r="G235" s="18">
        <f>RTD("ice.rtd",,$C235 &amp; $D235 &amp; ":" &amp; G$1)</f>
        <v>-8.23</v>
      </c>
      <c r="H235" s="18">
        <f>RTD("ice.rtd",,$C235 &amp; $D235 &amp; ":" &amp; H$1)</f>
        <v>-1.04</v>
      </c>
      <c r="I235" s="18" t="str">
        <f>RTD("ice.rtd",,$C235 &amp; $D235 &amp; ":" &amp; I$1)</f>
        <v/>
      </c>
      <c r="J235" s="14" t="str">
        <f>IFERROR(MOD(RTD("ice.rtd",,$C235 &amp; $D235 &amp; ":" &amp; J$1), 1), "")</f>
        <v/>
      </c>
      <c r="K235" s="18" t="str">
        <f>RTD("ice.rtd",,$C235 &amp; $D235 &amp; ":" &amp; K$1)</f>
        <v/>
      </c>
      <c r="L235" s="36" t="str">
        <f>RTD("ice.rtd",,$C235 &amp; $D235 &amp; ":" &amp; L$1)</f>
        <v/>
      </c>
      <c r="M235" s="14" t="str">
        <f>IFERROR(MOD(TIMEVALUE(RTD("ice.rtd",,$C235 &amp; $D235 &amp; ":" &amp; M$1)), 1), "")</f>
        <v/>
      </c>
      <c r="N235" s="36">
        <f>RTD("ice.rtd",,$C235 &amp; $D235 &amp; ":" &amp; N$1)</f>
        <v>0</v>
      </c>
      <c r="O235" s="36">
        <f>RTD("ice.rtd",,$C235 &amp; $D235 &amp; ":" &amp; O$1)</f>
        <v>89</v>
      </c>
      <c r="P2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35" s="14" t="str">
        <f>IF(ICE[[#This Row],[LastType]] = "Scrn", ICE[[#This Row],[LstDate]], IF(ICE[[#This Row],[LastType]] = "Blk", ICE[[#This Row],[LstBlkTime]], ""))</f>
        <v/>
      </c>
      <c r="R235" s="41" t="str">
        <f>IF(ICE[[#This Row],[LastType]] = "Scrn", ICE[[#This Row],[LstPrc]], IF(ICE[[#This Row],[LastType]] = "Blk", ICE[[#This Row],[LstBlkPrc]], ""))</f>
        <v/>
      </c>
      <c r="S235" s="36">
        <f>ICE[[#This Row],[Vol]]+ICE[[#This Row],[BlkVol]]</f>
        <v>89</v>
      </c>
      <c r="T235" s="36">
        <f>RTD("ice.rtd",,$C235 &amp; $D235 &amp; ":" &amp; T$1)</f>
        <v>7540</v>
      </c>
      <c r="U235" s="18">
        <f>RTD("ice.rtd",,$C235 &amp; $D235 &amp; ":" &amp; U$1)</f>
        <v>-4.5910000000000002</v>
      </c>
      <c r="V2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-8.23 / -1.04  |89x</v>
      </c>
      <c r="W235" s="18" t="str">
        <f>IFERROR(IF(LEFT(ICE[[#This Row],[Tenor]], 1) = "B", RTD("esrtd",,$B235 &amp; " " &amp; ICE[[#This Row],[Tenor]] &amp; "-IEU", W$1), RTD("esrtd",,$B235 &amp; " " &amp; VLOOKUP(MONTH(ICE[[#This Row],[Strip]]), MthRef[], 2, 0) &amp; RIGHT(YEAR(ICE[[#This Row],[Strip]]), 2) &amp; "-IEU", W$1)), "")</f>
        <v/>
      </c>
      <c r="X235" s="36"/>
      <c r="Z235" s="43"/>
    </row>
    <row r="236" spans="1:26" x14ac:dyDescent="0.25">
      <c r="A236" s="37" t="s">
        <v>826</v>
      </c>
      <c r="B236" s="3" t="str">
        <f>RTD("ice.rtd",,$C236 &amp; $D236 &amp; ":" &amp; B$1)</f>
        <v>NBB</v>
      </c>
      <c r="C236" s="3">
        <v>57409036</v>
      </c>
      <c r="D236" t="s">
        <v>795</v>
      </c>
      <c r="E236" s="3" t="str">
        <f>RTD("ice.rtd",,$C236 &amp; $D236 &amp; ":" &amp; E$1)</f>
        <v>Feb27</v>
      </c>
      <c r="F236" s="3" t="str">
        <f>ICE[[#This Row],[Prod]]&amp;ICE[[#This Row],[Strip]]</f>
        <v>napbrxbblFeb27</v>
      </c>
      <c r="G236" s="18">
        <f>RTD("ice.rtd",,$C236 &amp; $D236 &amp; ":" &amp; G$1)</f>
        <v>-8.6</v>
      </c>
      <c r="H236" s="18">
        <f>RTD("ice.rtd",,$C236 &amp; $D236 &amp; ":" &amp; H$1)</f>
        <v>-1.41</v>
      </c>
      <c r="I236" s="18" t="str">
        <f>RTD("ice.rtd",,$C236 &amp; $D236 &amp; ":" &amp; I$1)</f>
        <v/>
      </c>
      <c r="J236" s="14" t="str">
        <f>IFERROR(MOD(RTD("ice.rtd",,$C236 &amp; $D236 &amp; ":" &amp; J$1), 1), "")</f>
        <v/>
      </c>
      <c r="K236" s="18" t="str">
        <f>RTD("ice.rtd",,$C236 &amp; $D236 &amp; ":" &amp; K$1)</f>
        <v/>
      </c>
      <c r="L236" s="36" t="str">
        <f>RTD("ice.rtd",,$C236 &amp; $D236 &amp; ":" &amp; L$1)</f>
        <v/>
      </c>
      <c r="M236" s="14" t="str">
        <f>IFERROR(MOD(TIMEVALUE(RTD("ice.rtd",,$C236 &amp; $D236 &amp; ":" &amp; M$1)), 1), "")</f>
        <v/>
      </c>
      <c r="N236" s="36">
        <f>RTD("ice.rtd",,$C236 &amp; $D236 &amp; ":" &amp; N$1)</f>
        <v>0</v>
      </c>
      <c r="O236" s="36">
        <f>RTD("ice.rtd",,$C236 &amp; $D236 &amp; ":" &amp; O$1)</f>
        <v>89</v>
      </c>
      <c r="P2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36" s="14" t="str">
        <f>IF(ICE[[#This Row],[LastType]] = "Scrn", ICE[[#This Row],[LstDate]], IF(ICE[[#This Row],[LastType]] = "Blk", ICE[[#This Row],[LstBlkTime]], ""))</f>
        <v/>
      </c>
      <c r="R236" s="41" t="str">
        <f>IF(ICE[[#This Row],[LastType]] = "Scrn", ICE[[#This Row],[LstPrc]], IF(ICE[[#This Row],[LastType]] = "Blk", ICE[[#This Row],[LstBlkPrc]], ""))</f>
        <v/>
      </c>
      <c r="S236" s="36">
        <f>ICE[[#This Row],[Vol]]+ICE[[#This Row],[BlkVol]]</f>
        <v>89</v>
      </c>
      <c r="T236" s="36">
        <f>RTD("ice.rtd",,$C236 &amp; $D236 &amp; ":" &amp; T$1)</f>
        <v>8208</v>
      </c>
      <c r="U236" s="18">
        <f>RTD("ice.rtd",,$C236 &amp; $D236 &amp; ":" &amp; U$1)</f>
        <v>-4.9880000000000004</v>
      </c>
      <c r="V2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-8.60 / -1.41  |89x</v>
      </c>
      <c r="W236" s="18" t="str">
        <f>IFERROR(IF(LEFT(ICE[[#This Row],[Tenor]], 1) = "B", RTD("esrtd",,$B236 &amp; " " &amp; ICE[[#This Row],[Tenor]] &amp; "-IEU", W$1), RTD("esrtd",,$B236 &amp; " " &amp; VLOOKUP(MONTH(ICE[[#This Row],[Strip]]), MthRef[], 2, 0) &amp; RIGHT(YEAR(ICE[[#This Row],[Strip]]), 2) &amp; "-IEU", W$1)), "")</f>
        <v/>
      </c>
      <c r="X236" s="36"/>
    </row>
    <row r="237" spans="1:26" x14ac:dyDescent="0.25">
      <c r="A237" s="37" t="s">
        <v>826</v>
      </c>
      <c r="B237" s="3" t="str">
        <f>RTD("ice.rtd",,$C237 &amp; $D237 &amp; ":" &amp; B$1)</f>
        <v>NBB</v>
      </c>
      <c r="C237" s="3">
        <v>57409036</v>
      </c>
      <c r="D237" t="s">
        <v>113</v>
      </c>
      <c r="E237" s="3" t="str">
        <f>RTD("ice.rtd",,$C237 &amp; $D237 &amp; ":" &amp; E$1)</f>
        <v>Mar27</v>
      </c>
      <c r="F237" s="3" t="str">
        <f>ICE[[#This Row],[Prod]]&amp;ICE[[#This Row],[Strip]]</f>
        <v>napbrxbblMar27</v>
      </c>
      <c r="G237" s="18">
        <f>RTD("ice.rtd",,$C237 &amp; $D237 &amp; ":" &amp; G$1)</f>
        <v>-9.2899999999999991</v>
      </c>
      <c r="H237" s="18">
        <f>RTD("ice.rtd",,$C237 &amp; $D237 &amp; ":" &amp; H$1)</f>
        <v>-2.1</v>
      </c>
      <c r="I237" s="18" t="str">
        <f>RTD("ice.rtd",,$C237 &amp; $D237 &amp; ":" &amp; I$1)</f>
        <v/>
      </c>
      <c r="J237" s="14" t="str">
        <f>IFERROR(MOD(RTD("ice.rtd",,$C237 &amp; $D237 &amp; ":" &amp; J$1), 1), "")</f>
        <v/>
      </c>
      <c r="K237" s="18">
        <f>RTD("ice.rtd",,$C237 &amp; $D237 &amp; ":" &amp; K$1)</f>
        <v>-5.5</v>
      </c>
      <c r="L237" s="36">
        <f>RTD("ice.rtd",,$C237 &amp; $D237 &amp; ":" &amp; L$1)</f>
        <v>55</v>
      </c>
      <c r="M237" s="14">
        <f>IFERROR(MOD(TIMEVALUE(RTD("ice.rtd",,$C237 &amp; $D237 &amp; ":" &amp; M$1)), 1), "")</f>
        <v>0.35340277777777779</v>
      </c>
      <c r="N237" s="36">
        <f>RTD("ice.rtd",,$C237 &amp; $D237 &amp; ":" &amp; N$1)</f>
        <v>0</v>
      </c>
      <c r="O237" s="36">
        <f>RTD("ice.rtd",,$C237 &amp; $D237 &amp; ":" &amp; O$1)</f>
        <v>294</v>
      </c>
      <c r="P2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37" s="14">
        <f>IF(ICE[[#This Row],[LastType]] = "Scrn", ICE[[#This Row],[LstDate]], IF(ICE[[#This Row],[LastType]] = "Blk", ICE[[#This Row],[LstBlkTime]], ""))</f>
        <v>0.35340277777777779</v>
      </c>
      <c r="R237" s="41">
        <f>IF(ICE[[#This Row],[LastType]] = "Scrn", ICE[[#This Row],[LstPrc]], IF(ICE[[#This Row],[LastType]] = "Blk", ICE[[#This Row],[LstBlkPrc]], ""))</f>
        <v>-5.5</v>
      </c>
      <c r="S237" s="36">
        <f>ICE[[#This Row],[Vol]]+ICE[[#This Row],[BlkVol]]</f>
        <v>294</v>
      </c>
      <c r="T237" s="36">
        <f>RTD("ice.rtd",,$C237 &amp; $D237 &amp; ":" &amp; T$1)</f>
        <v>7423</v>
      </c>
      <c r="U237" s="18">
        <f>RTD("ice.rtd",,$C237 &amp; $D237 &amp; ":" &amp; U$1)</f>
        <v>-5.7309999999999999</v>
      </c>
      <c r="V2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-9.29 / -2.10 {-5.50} |294x</v>
      </c>
      <c r="W237" s="18" t="str">
        <f>IFERROR(IF(LEFT(ICE[[#This Row],[Tenor]], 1) = "B", RTD("esrtd",,$B237 &amp; " " &amp; ICE[[#This Row],[Tenor]] &amp; "-IEU", W$1), RTD("esrtd",,$B237 &amp; " " &amp; VLOOKUP(MONTH(ICE[[#This Row],[Strip]]), MthRef[], 2, 0) &amp; RIGHT(YEAR(ICE[[#This Row],[Strip]]), 2) &amp; "-IEU", W$1)), "")</f>
        <v/>
      </c>
      <c r="X237" s="36"/>
    </row>
    <row r="238" spans="1:26" x14ac:dyDescent="0.25">
      <c r="A238" s="37" t="s">
        <v>826</v>
      </c>
      <c r="B238" s="3" t="str">
        <f>RTD("ice.rtd",,$C238 &amp; $D238 &amp; ":" &amp; B$1)</f>
        <v>NBB</v>
      </c>
      <c r="C238" s="3">
        <v>57409036</v>
      </c>
      <c r="D238" t="s">
        <v>796</v>
      </c>
      <c r="E238" s="3" t="str">
        <f>RTD("ice.rtd",,$C238 &amp; $D238 &amp; ":" &amp; E$1)</f>
        <v>Apr27</v>
      </c>
      <c r="F238" s="3" t="str">
        <f>ICE[[#This Row],[Prod]]&amp;ICE[[#This Row],[Strip]]</f>
        <v>napbrxbblApr27</v>
      </c>
      <c r="G238" s="18">
        <f>RTD("ice.rtd",,$C238 &amp; $D238 &amp; ":" &amp; G$1)</f>
        <v>-10.199999999999999</v>
      </c>
      <c r="H238" s="18">
        <f>RTD("ice.rtd",,$C238 &amp; $D238 &amp; ":" &amp; H$1)</f>
        <v>-3.01</v>
      </c>
      <c r="I238" s="18" t="str">
        <f>RTD("ice.rtd",,$C238 &amp; $D238 &amp; ":" &amp; I$1)</f>
        <v/>
      </c>
      <c r="J238" s="14" t="str">
        <f>IFERROR(MOD(RTD("ice.rtd",,$C238 &amp; $D238 &amp; ":" &amp; J$1), 1), "")</f>
        <v/>
      </c>
      <c r="K238" s="18">
        <f>RTD("ice.rtd",,$C238 &amp; $D238 &amp; ":" &amp; K$1)</f>
        <v>-6.4</v>
      </c>
      <c r="L238" s="36">
        <f>RTD("ice.rtd",,$C238 &amp; $D238 &amp; ":" &amp; L$1)</f>
        <v>55</v>
      </c>
      <c r="M238" s="14">
        <f>IFERROR(MOD(TIMEVALUE(RTD("ice.rtd",,$C238 &amp; $D238 &amp; ":" &amp; M$1)), 1), "")</f>
        <v>0.35340277777777779</v>
      </c>
      <c r="N238" s="36">
        <f>RTD("ice.rtd",,$C238 &amp; $D238 &amp; ":" &amp; N$1)</f>
        <v>0</v>
      </c>
      <c r="O238" s="36">
        <f>RTD("ice.rtd",,$C238 &amp; $D238 &amp; ":" &amp; O$1)</f>
        <v>359</v>
      </c>
      <c r="P2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38" s="14">
        <f>IF(ICE[[#This Row],[LastType]] = "Scrn", ICE[[#This Row],[LstDate]], IF(ICE[[#This Row],[LastType]] = "Blk", ICE[[#This Row],[LstBlkTime]], ""))</f>
        <v>0.35340277777777779</v>
      </c>
      <c r="R238" s="41">
        <f>IF(ICE[[#This Row],[LastType]] = "Scrn", ICE[[#This Row],[LstPrc]], IF(ICE[[#This Row],[LastType]] = "Blk", ICE[[#This Row],[LstBlkPrc]], ""))</f>
        <v>-6.4</v>
      </c>
      <c r="S238" s="36">
        <f>ICE[[#This Row],[Vol]]+ICE[[#This Row],[BlkVol]]</f>
        <v>359</v>
      </c>
      <c r="T238" s="36">
        <f>RTD("ice.rtd",,$C238 &amp; $D238 &amp; ":" &amp; T$1)</f>
        <v>2391</v>
      </c>
      <c r="U238" s="18">
        <f>RTD("ice.rtd",,$C238 &amp; $D238 &amp; ":" &amp; U$1)</f>
        <v>-6.6020000000000003</v>
      </c>
      <c r="V2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-10.20 / -3.01 {-6.40} |359x</v>
      </c>
      <c r="W238" s="18" t="str">
        <f>IFERROR(IF(LEFT(ICE[[#This Row],[Tenor]], 1) = "B", RTD("esrtd",,$B238 &amp; " " &amp; ICE[[#This Row],[Tenor]] &amp; "-IEU", W$1), RTD("esrtd",,$B238 &amp; " " &amp; VLOOKUP(MONTH(ICE[[#This Row],[Strip]]), MthRef[], 2, 0) &amp; RIGHT(YEAR(ICE[[#This Row],[Strip]]), 2) &amp; "-IEU", W$1)), "")</f>
        <v/>
      </c>
      <c r="X238" s="36"/>
    </row>
    <row r="239" spans="1:26" x14ac:dyDescent="0.25">
      <c r="A239" s="37" t="s">
        <v>826</v>
      </c>
      <c r="B239" s="3" t="str">
        <f>RTD("ice.rtd",,$C239 &amp; $D239 &amp; ":" &amp; B$1)</f>
        <v>NBB</v>
      </c>
      <c r="C239" s="3">
        <v>57409036</v>
      </c>
      <c r="D239" t="s">
        <v>797</v>
      </c>
      <c r="E239" s="3" t="str">
        <f>RTD("ice.rtd",,$C239 &amp; $D239 &amp; ":" &amp; E$1)</f>
        <v>May27</v>
      </c>
      <c r="F239" s="3" t="str">
        <f>ICE[[#This Row],[Prod]]&amp;ICE[[#This Row],[Strip]]</f>
        <v>napbrxbblMay27</v>
      </c>
      <c r="G239" s="18">
        <f>RTD("ice.rtd",,$C239 &amp; $D239 &amp; ":" &amp; G$1)</f>
        <v>-10.61</v>
      </c>
      <c r="H239" s="18">
        <f>RTD("ice.rtd",,$C239 &amp; $D239 &amp; ":" &amp; H$1)</f>
        <v>-3.42</v>
      </c>
      <c r="I239" s="18" t="str">
        <f>RTD("ice.rtd",,$C239 &amp; $D239 &amp; ":" &amp; I$1)</f>
        <v/>
      </c>
      <c r="J239" s="14" t="str">
        <f>IFERROR(MOD(RTD("ice.rtd",,$C239 &amp; $D239 &amp; ":" &amp; J$1), 1), "")</f>
        <v/>
      </c>
      <c r="K239" s="18" t="str">
        <f>RTD("ice.rtd",,$C239 &amp; $D239 &amp; ":" &amp; K$1)</f>
        <v/>
      </c>
      <c r="L239" s="36" t="str">
        <f>RTD("ice.rtd",,$C239 &amp; $D239 &amp; ":" &amp; L$1)</f>
        <v/>
      </c>
      <c r="M239" s="14" t="str">
        <f>IFERROR(MOD(TIMEVALUE(RTD("ice.rtd",,$C239 &amp; $D239 &amp; ":" &amp; M$1)), 1), "")</f>
        <v/>
      </c>
      <c r="N239" s="36">
        <f>RTD("ice.rtd",,$C239 &amp; $D239 &amp; ":" &amp; N$1)</f>
        <v>0</v>
      </c>
      <c r="O239" s="36">
        <f>RTD("ice.rtd",,$C239 &amp; $D239 &amp; ":" &amp; O$1)</f>
        <v>154</v>
      </c>
      <c r="P2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39" s="14" t="str">
        <f>IF(ICE[[#This Row],[LastType]] = "Scrn", ICE[[#This Row],[LstDate]], IF(ICE[[#This Row],[LastType]] = "Blk", ICE[[#This Row],[LstBlkTime]], ""))</f>
        <v/>
      </c>
      <c r="R239" s="41" t="str">
        <f>IF(ICE[[#This Row],[LastType]] = "Scrn", ICE[[#This Row],[LstPrc]], IF(ICE[[#This Row],[LastType]] = "Blk", ICE[[#This Row],[LstBlkPrc]], ""))</f>
        <v/>
      </c>
      <c r="S239" s="36">
        <f>ICE[[#This Row],[Vol]]+ICE[[#This Row],[BlkVol]]</f>
        <v>154</v>
      </c>
      <c r="T239" s="36">
        <f>RTD("ice.rtd",,$C239 &amp; $D239 &amp; ":" &amp; T$1)</f>
        <v>2492</v>
      </c>
      <c r="U239" s="18">
        <f>RTD("ice.rtd",,$C239 &amp; $D239 &amp; ":" &amp; U$1)</f>
        <v>-7.0340000000000007</v>
      </c>
      <c r="V2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-10.61 / -3.42  |154x</v>
      </c>
      <c r="W239" s="18" t="str">
        <f>IFERROR(IF(LEFT(ICE[[#This Row],[Tenor]], 1) = "B", RTD("esrtd",,$B239 &amp; " " &amp; ICE[[#This Row],[Tenor]] &amp; "-IEU", W$1), RTD("esrtd",,$B239 &amp; " " &amp; VLOOKUP(MONTH(ICE[[#This Row],[Strip]]), MthRef[], 2, 0) &amp; RIGHT(YEAR(ICE[[#This Row],[Strip]]), 2) &amp; "-IEU", W$1)), "")</f>
        <v/>
      </c>
      <c r="X239" s="36"/>
    </row>
    <row r="240" spans="1:26" x14ac:dyDescent="0.25">
      <c r="A240" s="37" t="s">
        <v>826</v>
      </c>
      <c r="B240" s="3" t="str">
        <f>RTD("ice.rtd",,$C240 &amp; $D240 &amp; ":" &amp; B$1)</f>
        <v>NBB</v>
      </c>
      <c r="C240" s="3">
        <v>57409036</v>
      </c>
      <c r="D240" t="s">
        <v>798</v>
      </c>
      <c r="E240" s="3" t="str">
        <f>RTD("ice.rtd",,$C240 &amp; $D240 &amp; ":" &amp; E$1)</f>
        <v>Jun27</v>
      </c>
      <c r="F240" s="3" t="str">
        <f>ICE[[#This Row],[Prod]]&amp;ICE[[#This Row],[Strip]]</f>
        <v>napbrxbblJun27</v>
      </c>
      <c r="G240" s="18">
        <f>RTD("ice.rtd",,$C240 &amp; $D240 &amp; ":" &amp; G$1)</f>
        <v>-10.99</v>
      </c>
      <c r="H240" s="18">
        <f>RTD("ice.rtd",,$C240 &amp; $D240 &amp; ":" &amp; H$1)</f>
        <v>-3.79</v>
      </c>
      <c r="I240" s="18" t="str">
        <f>RTD("ice.rtd",,$C240 &amp; $D240 &amp; ":" &amp; I$1)</f>
        <v/>
      </c>
      <c r="J240" s="14" t="str">
        <f>IFERROR(MOD(RTD("ice.rtd",,$C240 &amp; $D240 &amp; ":" &amp; J$1), 1), "")</f>
        <v/>
      </c>
      <c r="K240" s="18" t="str">
        <f>RTD("ice.rtd",,$C240 &amp; $D240 &amp; ":" &amp; K$1)</f>
        <v/>
      </c>
      <c r="L240" s="36" t="str">
        <f>RTD("ice.rtd",,$C240 &amp; $D240 &amp; ":" &amp; L$1)</f>
        <v/>
      </c>
      <c r="M240" s="14" t="str">
        <f>IFERROR(MOD(TIMEVALUE(RTD("ice.rtd",,$C240 &amp; $D240 &amp; ":" &amp; M$1)), 1), "")</f>
        <v/>
      </c>
      <c r="N240" s="36">
        <f>RTD("ice.rtd",,$C240 &amp; $D240 &amp; ":" &amp; N$1)</f>
        <v>0</v>
      </c>
      <c r="O240" s="36">
        <f>RTD("ice.rtd",,$C240 &amp; $D240 &amp; ":" &amp; O$1)</f>
        <v>154</v>
      </c>
      <c r="P2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0" s="14" t="str">
        <f>IF(ICE[[#This Row],[LastType]] = "Scrn", ICE[[#This Row],[LstDate]], IF(ICE[[#This Row],[LastType]] = "Blk", ICE[[#This Row],[LstBlkTime]], ""))</f>
        <v/>
      </c>
      <c r="R240" s="41" t="str">
        <f>IF(ICE[[#This Row],[LastType]] = "Scrn", ICE[[#This Row],[LstPrc]], IF(ICE[[#This Row],[LastType]] = "Blk", ICE[[#This Row],[LstBlkPrc]], ""))</f>
        <v/>
      </c>
      <c r="S240" s="36">
        <f>ICE[[#This Row],[Vol]]+ICE[[#This Row],[BlkVol]]</f>
        <v>154</v>
      </c>
      <c r="T240" s="36">
        <f>RTD("ice.rtd",,$C240 &amp; $D240 &amp; ":" &amp; T$1)</f>
        <v>2732</v>
      </c>
      <c r="U240" s="18">
        <f>RTD("ice.rtd",,$C240 &amp; $D240 &amp; ":" &amp; U$1)</f>
        <v>-7.431</v>
      </c>
      <c r="V2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-10.99 / -3.79  |154x</v>
      </c>
      <c r="W240" s="18" t="str">
        <f>IFERROR(IF(LEFT(ICE[[#This Row],[Tenor]], 1) = "B", RTD("esrtd",,$B240 &amp; " " &amp; ICE[[#This Row],[Tenor]] &amp; "-IEU", W$1), RTD("esrtd",,$B240 &amp; " " &amp; VLOOKUP(MONTH(ICE[[#This Row],[Strip]]), MthRef[], 2, 0) &amp; RIGHT(YEAR(ICE[[#This Row],[Strip]]), 2) &amp; "-IEU", W$1)), "")</f>
        <v/>
      </c>
      <c r="X240" s="36"/>
    </row>
    <row r="241" spans="1:26" x14ac:dyDescent="0.25">
      <c r="A241" s="37" t="s">
        <v>826</v>
      </c>
      <c r="B241" s="3" t="str">
        <f>RTD("ice.rtd",,$C241 &amp; $D241 &amp; ":" &amp; B$1)</f>
        <v>NBB</v>
      </c>
      <c r="C241" s="3">
        <v>57409036</v>
      </c>
      <c r="D241" t="s">
        <v>799</v>
      </c>
      <c r="E241" s="3" t="str">
        <f>RTD("ice.rtd",,$C241 &amp; $D241 &amp; ":" &amp; E$1)</f>
        <v>Jul27</v>
      </c>
      <c r="F241" s="3" t="str">
        <f>ICE[[#This Row],[Prod]]&amp;ICE[[#This Row],[Strip]]</f>
        <v>napbrxbblJul27</v>
      </c>
      <c r="G241" s="18">
        <f>RTD("ice.rtd",,$C241 &amp; $D241 &amp; ":" &amp; G$1)</f>
        <v>-11.24</v>
      </c>
      <c r="H241" s="18">
        <f>RTD("ice.rtd",,$C241 &amp; $D241 &amp; ":" &amp; H$1)</f>
        <v>-4.05</v>
      </c>
      <c r="I241" s="18" t="str">
        <f>RTD("ice.rtd",,$C241 &amp; $D241 &amp; ":" &amp; I$1)</f>
        <v/>
      </c>
      <c r="J241" s="14" t="str">
        <f>IFERROR(MOD(RTD("ice.rtd",,$C241 &amp; $D241 &amp; ":" &amp; J$1), 1), "")</f>
        <v/>
      </c>
      <c r="K241" s="18" t="str">
        <f>RTD("ice.rtd",,$C241 &amp; $D241 &amp; ":" &amp; K$1)</f>
        <v/>
      </c>
      <c r="L241" s="36" t="str">
        <f>RTD("ice.rtd",,$C241 &amp; $D241 &amp; ":" &amp; L$1)</f>
        <v/>
      </c>
      <c r="M241" s="14" t="str">
        <f>IFERROR(MOD(TIMEVALUE(RTD("ice.rtd",,$C241 &amp; $D241 &amp; ":" &amp; M$1)), 1), "")</f>
        <v/>
      </c>
      <c r="N241" s="36">
        <f>RTD("ice.rtd",,$C241 &amp; $D241 &amp; ":" &amp; N$1)</f>
        <v>0</v>
      </c>
      <c r="O241" s="36">
        <f>RTD("ice.rtd",,$C241 &amp; $D241 &amp; ":" &amp; O$1)</f>
        <v>123</v>
      </c>
      <c r="P2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1" s="14" t="str">
        <f>IF(ICE[[#This Row],[LastType]] = "Scrn", ICE[[#This Row],[LstDate]], IF(ICE[[#This Row],[LastType]] = "Blk", ICE[[#This Row],[LstBlkTime]], ""))</f>
        <v/>
      </c>
      <c r="R241" s="41" t="str">
        <f>IF(ICE[[#This Row],[LastType]] = "Scrn", ICE[[#This Row],[LstPrc]], IF(ICE[[#This Row],[LastType]] = "Blk", ICE[[#This Row],[LstBlkPrc]], ""))</f>
        <v/>
      </c>
      <c r="S241" s="36">
        <f>ICE[[#This Row],[Vol]]+ICE[[#This Row],[BlkVol]]</f>
        <v>123</v>
      </c>
      <c r="T241" s="36">
        <f>RTD("ice.rtd",,$C241 &amp; $D241 &amp; ":" &amp; T$1)</f>
        <v>3504</v>
      </c>
      <c r="U241" s="18">
        <f>RTD("ice.rtd",,$C241 &amp; $D241 &amp; ":" &amp; U$1)</f>
        <v>-7.7130000000000001</v>
      </c>
      <c r="V2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-11.24 / -4.05  |123x</v>
      </c>
      <c r="W241" s="18" t="str">
        <f>IFERROR(IF(LEFT(ICE[[#This Row],[Tenor]], 1) = "B", RTD("esrtd",,$B241 &amp; " " &amp; ICE[[#This Row],[Tenor]] &amp; "-IEU", W$1), RTD("esrtd",,$B241 &amp; " " &amp; VLOOKUP(MONTH(ICE[[#This Row],[Strip]]), MthRef[], 2, 0) &amp; RIGHT(YEAR(ICE[[#This Row],[Strip]]), 2) &amp; "-IEU", W$1)), "")</f>
        <v/>
      </c>
      <c r="X241" s="36"/>
    </row>
    <row r="242" spans="1:26" x14ac:dyDescent="0.25">
      <c r="A242" s="37" t="s">
        <v>826</v>
      </c>
      <c r="B242" s="3" t="str">
        <f>RTD("ice.rtd",,$C242 &amp; $D242 &amp; ":" &amp; B$1)</f>
        <v>NBB</v>
      </c>
      <c r="C242" s="3">
        <v>57409036</v>
      </c>
      <c r="D242" t="s">
        <v>800</v>
      </c>
      <c r="E242" s="3" t="str">
        <f>RTD("ice.rtd",,$C242 &amp; $D242 &amp; ":" &amp; E$1)</f>
        <v>Aug27</v>
      </c>
      <c r="F242" s="3" t="str">
        <f>ICE[[#This Row],[Prod]]&amp;ICE[[#This Row],[Strip]]</f>
        <v>napbrxbblAug27</v>
      </c>
      <c r="G242" s="18">
        <f>RTD("ice.rtd",,$C242 &amp; $D242 &amp; ":" &amp; G$1)</f>
        <v>-11.41</v>
      </c>
      <c r="H242" s="18">
        <f>RTD("ice.rtd",,$C242 &amp; $D242 &amp; ":" &amp; H$1)</f>
        <v>-4.22</v>
      </c>
      <c r="I242" s="18" t="str">
        <f>RTD("ice.rtd",,$C242 &amp; $D242 &amp; ":" &amp; I$1)</f>
        <v/>
      </c>
      <c r="J242" s="14" t="str">
        <f>IFERROR(MOD(RTD("ice.rtd",,$C242 &amp; $D242 &amp; ":" &amp; J$1), 1), "")</f>
        <v/>
      </c>
      <c r="K242" s="18" t="str">
        <f>RTD("ice.rtd",,$C242 &amp; $D242 &amp; ":" &amp; K$1)</f>
        <v/>
      </c>
      <c r="L242" s="36" t="str">
        <f>RTD("ice.rtd",,$C242 &amp; $D242 &amp; ":" &amp; L$1)</f>
        <v/>
      </c>
      <c r="M242" s="14" t="str">
        <f>IFERROR(MOD(TIMEVALUE(RTD("ice.rtd",,$C242 &amp; $D242 &amp; ":" &amp; M$1)), 1), "")</f>
        <v/>
      </c>
      <c r="N242" s="36">
        <f>RTD("ice.rtd",,$C242 &amp; $D242 &amp; ":" &amp; N$1)</f>
        <v>0</v>
      </c>
      <c r="O242" s="36">
        <f>RTD("ice.rtd",,$C242 &amp; $D242 &amp; ":" &amp; O$1)</f>
        <v>123</v>
      </c>
      <c r="P2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2" s="14" t="str">
        <f>IF(ICE[[#This Row],[LastType]] = "Scrn", ICE[[#This Row],[LstDate]], IF(ICE[[#This Row],[LastType]] = "Blk", ICE[[#This Row],[LstBlkTime]], ""))</f>
        <v/>
      </c>
      <c r="R242" s="41" t="str">
        <f>IF(ICE[[#This Row],[LastType]] = "Scrn", ICE[[#This Row],[LstPrc]], IF(ICE[[#This Row],[LastType]] = "Blk", ICE[[#This Row],[LstBlkPrc]], ""))</f>
        <v/>
      </c>
      <c r="S242" s="36">
        <f>ICE[[#This Row],[Vol]]+ICE[[#This Row],[BlkVol]]</f>
        <v>123</v>
      </c>
      <c r="T242" s="36">
        <f>RTD("ice.rtd",,$C242 &amp; $D242 &amp; ":" &amp; T$1)</f>
        <v>3514</v>
      </c>
      <c r="U242" s="18">
        <f>RTD("ice.rtd",,$C242 &amp; $D242 &amp; ":" &amp; U$1)</f>
        <v>-7.907</v>
      </c>
      <c r="V2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-11.41 / -4.22  |123x</v>
      </c>
      <c r="W242" s="18" t="str">
        <f>IFERROR(IF(LEFT(ICE[[#This Row],[Tenor]], 1) = "B", RTD("esrtd",,$B242 &amp; " " &amp; ICE[[#This Row],[Tenor]] &amp; "-IEU", W$1), RTD("esrtd",,$B242 &amp; " " &amp; VLOOKUP(MONTH(ICE[[#This Row],[Strip]]), MthRef[], 2, 0) &amp; RIGHT(YEAR(ICE[[#This Row],[Strip]]), 2) &amp; "-IEU", W$1)), "")</f>
        <v/>
      </c>
      <c r="X242" s="36"/>
    </row>
    <row r="243" spans="1:26" x14ac:dyDescent="0.25">
      <c r="A243" s="37" t="s">
        <v>826</v>
      </c>
      <c r="B243" s="3" t="str">
        <f>RTD("ice.rtd",,$C243 &amp; $D243 &amp; ":" &amp; B$1)</f>
        <v>NBB</v>
      </c>
      <c r="C243" s="3">
        <v>57409036</v>
      </c>
      <c r="D243" t="s">
        <v>801</v>
      </c>
      <c r="E243" s="3" t="str">
        <f>RTD("ice.rtd",,$C243 &amp; $D243 &amp; ":" &amp; E$1)</f>
        <v>Sep27</v>
      </c>
      <c r="F243" s="3" t="str">
        <f>ICE[[#This Row],[Prod]]&amp;ICE[[#This Row],[Strip]]</f>
        <v>napbrxbblSep27</v>
      </c>
      <c r="G243" s="18">
        <f>RTD("ice.rtd",,$C243 &amp; $D243 &amp; ":" &amp; G$1)</f>
        <v>-11.49</v>
      </c>
      <c r="H243" s="18">
        <f>RTD("ice.rtd",,$C243 &amp; $D243 &amp; ":" &amp; H$1)</f>
        <v>-4.3</v>
      </c>
      <c r="I243" s="18" t="str">
        <f>RTD("ice.rtd",,$C243 &amp; $D243 &amp; ":" &amp; I$1)</f>
        <v/>
      </c>
      <c r="J243" s="14" t="str">
        <f>IFERROR(MOD(RTD("ice.rtd",,$C243 &amp; $D243 &amp; ":" &amp; J$1), 1), "")</f>
        <v/>
      </c>
      <c r="K243" s="18" t="str">
        <f>RTD("ice.rtd",,$C243 &amp; $D243 &amp; ":" &amp; K$1)</f>
        <v/>
      </c>
      <c r="L243" s="36" t="str">
        <f>RTD("ice.rtd",,$C243 &amp; $D243 &amp; ":" &amp; L$1)</f>
        <v/>
      </c>
      <c r="M243" s="14" t="str">
        <f>IFERROR(MOD(TIMEVALUE(RTD("ice.rtd",,$C243 &amp; $D243 &amp; ":" &amp; M$1)), 1), "")</f>
        <v/>
      </c>
      <c r="N243" s="36">
        <f>RTD("ice.rtd",,$C243 &amp; $D243 &amp; ":" &amp; N$1)</f>
        <v>0</v>
      </c>
      <c r="O243" s="36">
        <f>RTD("ice.rtd",,$C243 &amp; $D243 &amp; ":" &amp; O$1)</f>
        <v>123</v>
      </c>
      <c r="P2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3" s="14" t="str">
        <f>IF(ICE[[#This Row],[LastType]] = "Scrn", ICE[[#This Row],[LstDate]], IF(ICE[[#This Row],[LastType]] = "Blk", ICE[[#This Row],[LstBlkTime]], ""))</f>
        <v/>
      </c>
      <c r="R243" s="41" t="str">
        <f>IF(ICE[[#This Row],[LastType]] = "Scrn", ICE[[#This Row],[LstPrc]], IF(ICE[[#This Row],[LastType]] = "Blk", ICE[[#This Row],[LstBlkPrc]], ""))</f>
        <v/>
      </c>
      <c r="S243" s="36">
        <f>ICE[[#This Row],[Vol]]+ICE[[#This Row],[BlkVol]]</f>
        <v>123</v>
      </c>
      <c r="T243" s="36">
        <f>RTD("ice.rtd",,$C243 &amp; $D243 &amp; ":" &amp; T$1)</f>
        <v>3447</v>
      </c>
      <c r="U243" s="18">
        <f>RTD("ice.rtd",,$C243 &amp; $D243 &amp; ":" &amp; U$1)</f>
        <v>-7.99</v>
      </c>
      <c r="V2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-11.49 / -4.30  |123x</v>
      </c>
      <c r="W243" s="18" t="str">
        <f>IFERROR(IF(LEFT(ICE[[#This Row],[Tenor]], 1) = "B", RTD("esrtd",,$B243 &amp; " " &amp; ICE[[#This Row],[Tenor]] &amp; "-IEU", W$1), RTD("esrtd",,$B243 &amp; " " &amp; VLOOKUP(MONTH(ICE[[#This Row],[Strip]]), MthRef[], 2, 0) &amp; RIGHT(YEAR(ICE[[#This Row],[Strip]]), 2) &amp; "-IEU", W$1)), "")</f>
        <v/>
      </c>
      <c r="X243" s="36"/>
    </row>
    <row r="244" spans="1:26" x14ac:dyDescent="0.25">
      <c r="A244" s="37" t="s">
        <v>826</v>
      </c>
      <c r="B244" s="3" t="str">
        <f>RTD("ice.rtd",,$C244 &amp; $D244 &amp; ":" &amp; B$1)</f>
        <v>NBB</v>
      </c>
      <c r="C244" s="3">
        <v>57409036</v>
      </c>
      <c r="D244" t="s">
        <v>802</v>
      </c>
      <c r="E244" s="3" t="str">
        <f>RTD("ice.rtd",,$C244 &amp; $D244 &amp; ":" &amp; E$1)</f>
        <v>Oct27</v>
      </c>
      <c r="F244" s="3" t="str">
        <f>ICE[[#This Row],[Prod]]&amp;ICE[[#This Row],[Strip]]</f>
        <v>napbrxbblOct27</v>
      </c>
      <c r="G244" s="18">
        <f>RTD("ice.rtd",,$C244 &amp; $D244 &amp; ":" &amp; G$1)</f>
        <v>-11.49</v>
      </c>
      <c r="H244" s="18">
        <f>RTD("ice.rtd",,$C244 &amp; $D244 &amp; ":" &amp; H$1)</f>
        <v>-4.29</v>
      </c>
      <c r="I244" s="18" t="str">
        <f>RTD("ice.rtd",,$C244 &amp; $D244 &amp; ":" &amp; I$1)</f>
        <v/>
      </c>
      <c r="J244" s="14" t="str">
        <f>IFERROR(MOD(RTD("ice.rtd",,$C244 &amp; $D244 &amp; ":" &amp; J$1), 1), "")</f>
        <v/>
      </c>
      <c r="K244" s="18" t="str">
        <f>RTD("ice.rtd",,$C244 &amp; $D244 &amp; ":" &amp; K$1)</f>
        <v/>
      </c>
      <c r="L244" s="36" t="str">
        <f>RTD("ice.rtd",,$C244 &amp; $D244 &amp; ":" &amp; L$1)</f>
        <v/>
      </c>
      <c r="M244" s="14" t="str">
        <f>IFERROR(MOD(TIMEVALUE(RTD("ice.rtd",,$C244 &amp; $D244 &amp; ":" &amp; M$1)), 1), "")</f>
        <v/>
      </c>
      <c r="N244" s="36">
        <f>RTD("ice.rtd",,$C244 &amp; $D244 &amp; ":" &amp; N$1)</f>
        <v>0</v>
      </c>
      <c r="O244" s="36">
        <f>RTD("ice.rtd",,$C244 &amp; $D244 &amp; ":" &amp; O$1)</f>
        <v>58</v>
      </c>
      <c r="P2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4" s="14" t="str">
        <f>IF(ICE[[#This Row],[LastType]] = "Scrn", ICE[[#This Row],[LstDate]], IF(ICE[[#This Row],[LastType]] = "Blk", ICE[[#This Row],[LstBlkTime]], ""))</f>
        <v/>
      </c>
      <c r="R244" s="41" t="str">
        <f>IF(ICE[[#This Row],[LastType]] = "Scrn", ICE[[#This Row],[LstPrc]], IF(ICE[[#This Row],[LastType]] = "Blk", ICE[[#This Row],[LstBlkPrc]], ""))</f>
        <v/>
      </c>
      <c r="S244" s="36">
        <f>ICE[[#This Row],[Vol]]+ICE[[#This Row],[BlkVol]]</f>
        <v>58</v>
      </c>
      <c r="T244" s="36">
        <f>RTD("ice.rtd",,$C244 &amp; $D244 &amp; ":" &amp; T$1)</f>
        <v>2957</v>
      </c>
      <c r="U244" s="18">
        <f>RTD("ice.rtd",,$C244 &amp; $D244 &amp; ":" &amp; U$1)</f>
        <v>-7.9720000000000004</v>
      </c>
      <c r="V2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-11.49 / -4.29  |58x</v>
      </c>
      <c r="W244" s="18" t="str">
        <f>IFERROR(IF(LEFT(ICE[[#This Row],[Tenor]], 1) = "B", RTD("esrtd",,$B244 &amp; " " &amp; ICE[[#This Row],[Tenor]] &amp; "-IEU", W$1), RTD("esrtd",,$B244 &amp; " " &amp; VLOOKUP(MONTH(ICE[[#This Row],[Strip]]), MthRef[], 2, 0) &amp; RIGHT(YEAR(ICE[[#This Row],[Strip]]), 2) &amp; "-IEU", W$1)), "")</f>
        <v/>
      </c>
      <c r="X244" s="36"/>
    </row>
    <row r="245" spans="1:26" x14ac:dyDescent="0.25">
      <c r="A245" s="37" t="s">
        <v>826</v>
      </c>
      <c r="B245" s="3" t="str">
        <f>RTD("ice.rtd",,$C245 &amp; $D245 &amp; ":" &amp; B$1)</f>
        <v>NBB</v>
      </c>
      <c r="C245" s="3">
        <v>57409036</v>
      </c>
      <c r="D245" t="s">
        <v>803</v>
      </c>
      <c r="E245" s="3" t="str">
        <f>RTD("ice.rtd",,$C245 &amp; $D245 &amp; ":" &amp; E$1)</f>
        <v>Nov27</v>
      </c>
      <c r="F245" s="3" t="str">
        <f>ICE[[#This Row],[Prod]]&amp;ICE[[#This Row],[Strip]]</f>
        <v>napbrxbblNov27</v>
      </c>
      <c r="G245" s="18">
        <f>RTD("ice.rtd",,$C245 &amp; $D245 &amp; ":" &amp; G$1)</f>
        <v>-11.58</v>
      </c>
      <c r="H245" s="18">
        <f>RTD("ice.rtd",,$C245 &amp; $D245 &amp; ":" &amp; H$1)</f>
        <v>-4.38</v>
      </c>
      <c r="I245" s="18" t="str">
        <f>RTD("ice.rtd",,$C245 &amp; $D245 &amp; ":" &amp; I$1)</f>
        <v/>
      </c>
      <c r="J245" s="14" t="str">
        <f>IFERROR(MOD(RTD("ice.rtd",,$C245 &amp; $D245 &amp; ":" &amp; J$1), 1), "")</f>
        <v/>
      </c>
      <c r="K245" s="18" t="str">
        <f>RTD("ice.rtd",,$C245 &amp; $D245 &amp; ":" &amp; K$1)</f>
        <v/>
      </c>
      <c r="L245" s="36" t="str">
        <f>RTD("ice.rtd",,$C245 &amp; $D245 &amp; ":" &amp; L$1)</f>
        <v/>
      </c>
      <c r="M245" s="14" t="str">
        <f>IFERROR(MOD(TIMEVALUE(RTD("ice.rtd",,$C245 &amp; $D245 &amp; ":" &amp; M$1)), 1), "")</f>
        <v/>
      </c>
      <c r="N245" s="36">
        <f>RTD("ice.rtd",,$C245 &amp; $D245 &amp; ":" &amp; N$1)</f>
        <v>0</v>
      </c>
      <c r="O245" s="36">
        <f>RTD("ice.rtd",,$C245 &amp; $D245 &amp; ":" &amp; O$1)</f>
        <v>58</v>
      </c>
      <c r="P2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5" s="14" t="str">
        <f>IF(ICE[[#This Row],[LastType]] = "Scrn", ICE[[#This Row],[LstDate]], IF(ICE[[#This Row],[LastType]] = "Blk", ICE[[#This Row],[LstBlkTime]], ""))</f>
        <v/>
      </c>
      <c r="R245" s="41" t="str">
        <f>IF(ICE[[#This Row],[LastType]] = "Scrn", ICE[[#This Row],[LstPrc]], IF(ICE[[#This Row],[LastType]] = "Blk", ICE[[#This Row],[LstBlkPrc]], ""))</f>
        <v/>
      </c>
      <c r="S245" s="36">
        <f>ICE[[#This Row],[Vol]]+ICE[[#This Row],[BlkVol]]</f>
        <v>58</v>
      </c>
      <c r="T245" s="36">
        <f>RTD("ice.rtd",,$C245 &amp; $D245 &amp; ":" &amp; T$1)</f>
        <v>2969</v>
      </c>
      <c r="U245" s="18">
        <f>RTD("ice.rtd",,$C245 &amp; $D245 &amp; ":" &amp; U$1)</f>
        <v>-8.0590000000000011</v>
      </c>
      <c r="V2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-11.58 / -4.38  |58x</v>
      </c>
      <c r="W245" s="18" t="str">
        <f>IFERROR(IF(LEFT(ICE[[#This Row],[Tenor]], 1) = "B", RTD("esrtd",,$B245 &amp; " " &amp; ICE[[#This Row],[Tenor]] &amp; "-IEU", W$1), RTD("esrtd",,$B245 &amp; " " &amp; VLOOKUP(MONTH(ICE[[#This Row],[Strip]]), MthRef[], 2, 0) &amp; RIGHT(YEAR(ICE[[#This Row],[Strip]]), 2) &amp; "-IEU", W$1)), "")</f>
        <v/>
      </c>
      <c r="X245" s="36"/>
    </row>
    <row r="246" spans="1:26" x14ac:dyDescent="0.25">
      <c r="A246" s="37" t="s">
        <v>826</v>
      </c>
      <c r="B246" s="3" t="str">
        <f>RTD("ice.rtd",,$C246 &amp; $D246 &amp; ":" &amp; B$1)</f>
        <v>NBB</v>
      </c>
      <c r="C246" s="3">
        <v>57409036</v>
      </c>
      <c r="D246" t="s">
        <v>804</v>
      </c>
      <c r="E246" s="3" t="str">
        <f>RTD("ice.rtd",,$C246 &amp; $D246 &amp; ":" &amp; E$1)</f>
        <v>Dec27</v>
      </c>
      <c r="F246" s="3" t="str">
        <f>ICE[[#This Row],[Prod]]&amp;ICE[[#This Row],[Strip]]</f>
        <v>napbrxbblDec27</v>
      </c>
      <c r="G246" s="18">
        <f>RTD("ice.rtd",,$C246 &amp; $D246 &amp; ":" &amp; G$1)</f>
        <v>-11.69</v>
      </c>
      <c r="H246" s="18">
        <f>RTD("ice.rtd",,$C246 &amp; $D246 &amp; ":" &amp; H$1)</f>
        <v>-4.5</v>
      </c>
      <c r="I246" s="18" t="str">
        <f>RTD("ice.rtd",,$C246 &amp; $D246 &amp; ":" &amp; I$1)</f>
        <v/>
      </c>
      <c r="J246" s="14" t="str">
        <f>IFERROR(MOD(RTD("ice.rtd",,$C246 &amp; $D246 &amp; ":" &amp; J$1), 1), "")</f>
        <v/>
      </c>
      <c r="K246" s="18" t="str">
        <f>RTD("ice.rtd",,$C246 &amp; $D246 &amp; ":" &amp; K$1)</f>
        <v/>
      </c>
      <c r="L246" s="36" t="str">
        <f>RTD("ice.rtd",,$C246 &amp; $D246 &amp; ":" &amp; L$1)</f>
        <v/>
      </c>
      <c r="M246" s="14" t="str">
        <f>IFERROR(MOD(TIMEVALUE(RTD("ice.rtd",,$C246 &amp; $D246 &amp; ":" &amp; M$1)), 1), "")</f>
        <v/>
      </c>
      <c r="N246" s="36">
        <f>RTD("ice.rtd",,$C246 &amp; $D246 &amp; ":" &amp; N$1)</f>
        <v>0</v>
      </c>
      <c r="O246" s="36">
        <f>RTD("ice.rtd",,$C246 &amp; $D246 &amp; ":" &amp; O$1)</f>
        <v>58</v>
      </c>
      <c r="P2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6" s="14" t="str">
        <f>IF(ICE[[#This Row],[LastType]] = "Scrn", ICE[[#This Row],[LstDate]], IF(ICE[[#This Row],[LastType]] = "Blk", ICE[[#This Row],[LstBlkTime]], ""))</f>
        <v/>
      </c>
      <c r="R246" s="41" t="str">
        <f>IF(ICE[[#This Row],[LastType]] = "Scrn", ICE[[#This Row],[LstPrc]], IF(ICE[[#This Row],[LastType]] = "Blk", ICE[[#This Row],[LstBlkPrc]], ""))</f>
        <v/>
      </c>
      <c r="S246" s="36">
        <f>ICE[[#This Row],[Vol]]+ICE[[#This Row],[BlkVol]]</f>
        <v>58</v>
      </c>
      <c r="T246" s="36">
        <f>RTD("ice.rtd",,$C246 &amp; $D246 &amp; ":" &amp; T$1)</f>
        <v>3355</v>
      </c>
      <c r="U246" s="18">
        <f>RTD("ice.rtd",,$C246 &amp; $D246 &amp; ":" &amp; U$1)</f>
        <v>-8.1910000000000007</v>
      </c>
      <c r="V2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-11.69 / -4.50  |58x</v>
      </c>
      <c r="W246" s="18" t="str">
        <f>IFERROR(IF(LEFT(ICE[[#This Row],[Tenor]], 1) = "B", RTD("esrtd",,$B246 &amp; " " &amp; ICE[[#This Row],[Tenor]] &amp; "-IEU", W$1), RTD("esrtd",,$B246 &amp; " " &amp; VLOOKUP(MONTH(ICE[[#This Row],[Strip]]), MthRef[], 2, 0) &amp; RIGHT(YEAR(ICE[[#This Row],[Strip]]), 2) &amp; "-IEU", W$1)), "")</f>
        <v/>
      </c>
      <c r="X246" s="36"/>
    </row>
    <row r="247" spans="1:26" x14ac:dyDescent="0.25">
      <c r="A247" s="37" t="s">
        <v>826</v>
      </c>
      <c r="B247" s="3" t="str">
        <f>RTD("ice.rtd",,$C247 &amp; $D247 &amp; ":" &amp; B$1)</f>
        <v>NBB</v>
      </c>
      <c r="C247" s="3">
        <v>57409036</v>
      </c>
      <c r="D247" t="s">
        <v>805</v>
      </c>
      <c r="E247" s="3" t="str">
        <f>RTD("ice.rtd",,$C247 &amp; $D247 &amp; ":" &amp; E$1)</f>
        <v>Jan28</v>
      </c>
      <c r="F247" s="3" t="str">
        <f>ICE[[#This Row],[Prod]]&amp;ICE[[#This Row],[Strip]]</f>
        <v>napbrxbblJan28</v>
      </c>
      <c r="G247" s="18" t="str">
        <f>RTD("ice.rtd",,$C247 &amp; $D247 &amp; ":" &amp; G$1)</f>
        <v/>
      </c>
      <c r="H247" s="18" t="str">
        <f>RTD("ice.rtd",,$C247 &amp; $D247 &amp; ":" &amp; H$1)</f>
        <v/>
      </c>
      <c r="I247" s="18" t="str">
        <f>RTD("ice.rtd",,$C247 &amp; $D247 &amp; ":" &amp; I$1)</f>
        <v/>
      </c>
      <c r="J247" s="14" t="str">
        <f>IFERROR(MOD(RTD("ice.rtd",,$C247 &amp; $D247 &amp; ":" &amp; J$1), 1), "")</f>
        <v/>
      </c>
      <c r="K247" s="18" t="str">
        <f>RTD("ice.rtd",,$C247 &amp; $D247 &amp; ":" &amp; K$1)</f>
        <v/>
      </c>
      <c r="L247" s="36" t="str">
        <f>RTD("ice.rtd",,$C247 &amp; $D247 &amp; ":" &amp; L$1)</f>
        <v/>
      </c>
      <c r="M247" s="14" t="str">
        <f>IFERROR(MOD(TIMEVALUE(RTD("ice.rtd",,$C247 &amp; $D247 &amp; ":" &amp; M$1)), 1), "")</f>
        <v/>
      </c>
      <c r="N247" s="36">
        <f>RTD("ice.rtd",,$C247 &amp; $D247 &amp; ":" &amp; N$1)</f>
        <v>0</v>
      </c>
      <c r="O247" s="36">
        <f>RTD("ice.rtd",,$C247 &amp; $D247 &amp; ":" &amp; O$1)</f>
        <v>40</v>
      </c>
      <c r="P2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7" s="14" t="str">
        <f>IF(ICE[[#This Row],[LastType]] = "Scrn", ICE[[#This Row],[LstDate]], IF(ICE[[#This Row],[LastType]] = "Blk", ICE[[#This Row],[LstBlkTime]], ""))</f>
        <v/>
      </c>
      <c r="R247" s="41" t="str">
        <f>IF(ICE[[#This Row],[LastType]] = "Scrn", ICE[[#This Row],[LstPrc]], IF(ICE[[#This Row],[LastType]] = "Blk", ICE[[#This Row],[LstBlkPrc]], ""))</f>
        <v/>
      </c>
      <c r="S247" s="36">
        <f>ICE[[#This Row],[Vol]]+ICE[[#This Row],[BlkVol]]</f>
        <v>40</v>
      </c>
      <c r="T247" s="36">
        <f>RTD("ice.rtd",,$C247 &amp; $D247 &amp; ":" &amp; T$1)</f>
        <v>1688</v>
      </c>
      <c r="U247" s="18">
        <f>RTD("ice.rtd",,$C247 &amp; $D247 &amp; ":" &amp; U$1)</f>
        <v>-8.0630000000000006</v>
      </c>
      <c r="V2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47" s="18" t="str">
        <f>IFERROR(IF(LEFT(ICE[[#This Row],[Tenor]], 1) = "B", RTD("esrtd",,$B247 &amp; " " &amp; ICE[[#This Row],[Tenor]] &amp; "-IEU", W$1), RTD("esrtd",,$B247 &amp; " " &amp; VLOOKUP(MONTH(ICE[[#This Row],[Strip]]), MthRef[], 2, 0) &amp; RIGHT(YEAR(ICE[[#This Row],[Strip]]), 2) &amp; "-IEU", W$1)), "")</f>
        <v/>
      </c>
      <c r="X247" s="36"/>
    </row>
    <row r="248" spans="1:26" x14ac:dyDescent="0.25">
      <c r="A248" s="37" t="s">
        <v>826</v>
      </c>
      <c r="B248" s="3" t="str">
        <f>RTD("ice.rtd",,$C248 &amp; $D248 &amp; ":" &amp; B$1)</f>
        <v>NBB</v>
      </c>
      <c r="C248" s="3">
        <v>57409036</v>
      </c>
      <c r="D248" t="s">
        <v>806</v>
      </c>
      <c r="E248" s="3" t="str">
        <f>RTD("ice.rtd",,$C248 &amp; $D248 &amp; ":" &amp; E$1)</f>
        <v>Feb28</v>
      </c>
      <c r="F248" s="3" t="str">
        <f>ICE[[#This Row],[Prod]]&amp;ICE[[#This Row],[Strip]]</f>
        <v>napbrxbblFeb28</v>
      </c>
      <c r="G248" s="18" t="str">
        <f>RTD("ice.rtd",,$C248 &amp; $D248 &amp; ":" &amp; G$1)</f>
        <v/>
      </c>
      <c r="H248" s="18" t="str">
        <f>RTD("ice.rtd",,$C248 &amp; $D248 &amp; ":" &amp; H$1)</f>
        <v/>
      </c>
      <c r="I248" s="18" t="str">
        <f>RTD("ice.rtd",,$C248 &amp; $D248 &amp; ":" &amp; I$1)</f>
        <v/>
      </c>
      <c r="J248" s="14" t="str">
        <f>IFERROR(MOD(RTD("ice.rtd",,$C248 &amp; $D248 &amp; ":" &amp; J$1), 1), "")</f>
        <v/>
      </c>
      <c r="K248" s="18" t="str">
        <f>RTD("ice.rtd",,$C248 &amp; $D248 &amp; ":" &amp; K$1)</f>
        <v/>
      </c>
      <c r="L248" s="36" t="str">
        <f>RTD("ice.rtd",,$C248 &amp; $D248 &amp; ":" &amp; L$1)</f>
        <v/>
      </c>
      <c r="M248" s="14" t="str">
        <f>IFERROR(MOD(TIMEVALUE(RTD("ice.rtd",,$C248 &amp; $D248 &amp; ":" &amp; M$1)), 1), "")</f>
        <v/>
      </c>
      <c r="N248" s="36">
        <f>RTD("ice.rtd",,$C248 &amp; $D248 &amp; ":" &amp; N$1)</f>
        <v>0</v>
      </c>
      <c r="O248" s="36">
        <f>RTD("ice.rtd",,$C248 &amp; $D248 &amp; ":" &amp; O$1)</f>
        <v>40</v>
      </c>
      <c r="P2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8" s="14" t="str">
        <f>IF(ICE[[#This Row],[LastType]] = "Scrn", ICE[[#This Row],[LstDate]], IF(ICE[[#This Row],[LastType]] = "Blk", ICE[[#This Row],[LstBlkTime]], ""))</f>
        <v/>
      </c>
      <c r="R248" s="41" t="str">
        <f>IF(ICE[[#This Row],[LastType]] = "Scrn", ICE[[#This Row],[LstPrc]], IF(ICE[[#This Row],[LastType]] = "Blk", ICE[[#This Row],[LstBlkPrc]], ""))</f>
        <v/>
      </c>
      <c r="S248" s="36">
        <f>ICE[[#This Row],[Vol]]+ICE[[#This Row],[BlkVol]]</f>
        <v>40</v>
      </c>
      <c r="T248" s="36">
        <f>RTD("ice.rtd",,$C248 &amp; $D248 &amp; ":" &amp; T$1)</f>
        <v>1632</v>
      </c>
      <c r="U248" s="18">
        <f>RTD("ice.rtd",,$C248 &amp; $D248 &amp; ":" &amp; U$1)</f>
        <v>-8.1750000000000007</v>
      </c>
      <c r="V2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48" s="18" t="str">
        <f>IFERROR(IF(LEFT(ICE[[#This Row],[Tenor]], 1) = "B", RTD("esrtd",,$B248 &amp; " " &amp; ICE[[#This Row],[Tenor]] &amp; "-IEU", W$1), RTD("esrtd",,$B248 &amp; " " &amp; VLOOKUP(MONTH(ICE[[#This Row],[Strip]]), MthRef[], 2, 0) &amp; RIGHT(YEAR(ICE[[#This Row],[Strip]]), 2) &amp; "-IEU", W$1)), "")</f>
        <v/>
      </c>
      <c r="X248" s="36"/>
    </row>
    <row r="249" spans="1:26" x14ac:dyDescent="0.25">
      <c r="A249" s="37" t="s">
        <v>826</v>
      </c>
      <c r="B249" s="3" t="str">
        <f>RTD("ice.rtd",,$C249 &amp; $D249 &amp; ":" &amp; B$1)</f>
        <v>NBB</v>
      </c>
      <c r="C249" s="3">
        <v>57409036</v>
      </c>
      <c r="D249" t="s">
        <v>807</v>
      </c>
      <c r="E249" s="3" t="str">
        <f>RTD("ice.rtd",,$C249 &amp; $D249 &amp; ":" &amp; E$1)</f>
        <v>Mar28</v>
      </c>
      <c r="F249" s="3" t="str">
        <f>ICE[[#This Row],[Prod]]&amp;ICE[[#This Row],[Strip]]</f>
        <v>napbrxbblMar28</v>
      </c>
      <c r="G249" s="18" t="str">
        <f>RTD("ice.rtd",,$C249 &amp; $D249 &amp; ":" &amp; G$1)</f>
        <v/>
      </c>
      <c r="H249" s="18" t="str">
        <f>RTD("ice.rtd",,$C249 &amp; $D249 &amp; ":" &amp; H$1)</f>
        <v/>
      </c>
      <c r="I249" s="18" t="str">
        <f>RTD("ice.rtd",,$C249 &amp; $D249 &amp; ":" &amp; I$1)</f>
        <v/>
      </c>
      <c r="J249" s="14" t="str">
        <f>IFERROR(MOD(RTD("ice.rtd",,$C249 &amp; $D249 &amp; ":" &amp; J$1), 1), "")</f>
        <v/>
      </c>
      <c r="K249" s="18" t="str">
        <f>RTD("ice.rtd",,$C249 &amp; $D249 &amp; ":" &amp; K$1)</f>
        <v/>
      </c>
      <c r="L249" s="36" t="str">
        <f>RTD("ice.rtd",,$C249 &amp; $D249 &amp; ":" &amp; L$1)</f>
        <v/>
      </c>
      <c r="M249" s="14" t="str">
        <f>IFERROR(MOD(TIMEVALUE(RTD("ice.rtd",,$C249 &amp; $D249 &amp; ":" &amp; M$1)), 1), "")</f>
        <v/>
      </c>
      <c r="N249" s="36">
        <f>RTD("ice.rtd",,$C249 &amp; $D249 &amp; ":" &amp; N$1)</f>
        <v>0</v>
      </c>
      <c r="O249" s="36">
        <f>RTD("ice.rtd",,$C249 &amp; $D249 &amp; ":" &amp; O$1)</f>
        <v>40</v>
      </c>
      <c r="P2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49" s="14" t="str">
        <f>IF(ICE[[#This Row],[LastType]] = "Scrn", ICE[[#This Row],[LstDate]], IF(ICE[[#This Row],[LastType]] = "Blk", ICE[[#This Row],[LstBlkTime]], ""))</f>
        <v/>
      </c>
      <c r="R249" s="41" t="str">
        <f>IF(ICE[[#This Row],[LastType]] = "Scrn", ICE[[#This Row],[LstPrc]], IF(ICE[[#This Row],[LastType]] = "Blk", ICE[[#This Row],[LstBlkPrc]], ""))</f>
        <v/>
      </c>
      <c r="S249" s="36">
        <f>ICE[[#This Row],[Vol]]+ICE[[#This Row],[BlkVol]]</f>
        <v>40</v>
      </c>
      <c r="T249" s="36">
        <f>RTD("ice.rtd",,$C249 &amp; $D249 &amp; ":" &amp; T$1)</f>
        <v>1644</v>
      </c>
      <c r="U249" s="18">
        <f>RTD("ice.rtd",,$C249 &amp; $D249 &amp; ":" &amp; U$1)</f>
        <v>-8.4390000000000001</v>
      </c>
      <c r="V2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49" s="18" t="str">
        <f>IFERROR(IF(LEFT(ICE[[#This Row],[Tenor]], 1) = "B", RTD("esrtd",,$B249 &amp; " " &amp; ICE[[#This Row],[Tenor]] &amp; "-IEU", W$1), RTD("esrtd",,$B249 &amp; " " &amp; VLOOKUP(MONTH(ICE[[#This Row],[Strip]]), MthRef[], 2, 0) &amp; RIGHT(YEAR(ICE[[#This Row],[Strip]]), 2) &amp; "-IEU", W$1)), "")</f>
        <v/>
      </c>
      <c r="X249" s="36"/>
    </row>
    <row r="250" spans="1:26" x14ac:dyDescent="0.25">
      <c r="A250" s="37" t="s">
        <v>826</v>
      </c>
      <c r="B250" s="3" t="str">
        <f>RTD("ice.rtd",,$C250 &amp; $D250 &amp; ":" &amp; B$1)</f>
        <v>NBB</v>
      </c>
      <c r="C250" s="3">
        <v>57409036</v>
      </c>
      <c r="D250" t="s">
        <v>808</v>
      </c>
      <c r="E250" s="3" t="str">
        <f>RTD("ice.rtd",,$C250 &amp; $D250 &amp; ":" &amp; E$1)</f>
        <v>Apr28</v>
      </c>
      <c r="F250" s="3" t="str">
        <f>ICE[[#This Row],[Prod]]&amp;ICE[[#This Row],[Strip]]</f>
        <v>napbrxbblApr28</v>
      </c>
      <c r="G250" s="18" t="str">
        <f>RTD("ice.rtd",,$C250 &amp; $D250 &amp; ":" &amp; G$1)</f>
        <v/>
      </c>
      <c r="H250" s="18" t="str">
        <f>RTD("ice.rtd",,$C250 &amp; $D250 &amp; ":" &amp; H$1)</f>
        <v/>
      </c>
      <c r="I250" s="18" t="str">
        <f>RTD("ice.rtd",,$C250 &amp; $D250 &amp; ":" &amp; I$1)</f>
        <v/>
      </c>
      <c r="J250" s="14" t="str">
        <f>IFERROR(MOD(RTD("ice.rtd",,$C250 &amp; $D250 &amp; ":" &amp; J$1), 1), "")</f>
        <v/>
      </c>
      <c r="K250" s="18" t="str">
        <f>RTD("ice.rtd",,$C250 &amp; $D250 &amp; ":" &amp; K$1)</f>
        <v/>
      </c>
      <c r="L250" s="36" t="str">
        <f>RTD("ice.rtd",,$C250 &amp; $D250 &amp; ":" &amp; L$1)</f>
        <v/>
      </c>
      <c r="M250" s="14" t="str">
        <f>IFERROR(MOD(TIMEVALUE(RTD("ice.rtd",,$C250 &amp; $D250 &amp; ":" &amp; M$1)), 1), "")</f>
        <v/>
      </c>
      <c r="N250" s="36">
        <f>RTD("ice.rtd",,$C250 &amp; $D250 &amp; ":" &amp; N$1)</f>
        <v>0</v>
      </c>
      <c r="O250" s="36">
        <f>RTD("ice.rtd",,$C250 &amp; $D250 &amp; ":" &amp; O$1)</f>
        <v>40</v>
      </c>
      <c r="P2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50" s="14" t="str">
        <f>IF(ICE[[#This Row],[LastType]] = "Scrn", ICE[[#This Row],[LstDate]], IF(ICE[[#This Row],[LastType]] = "Blk", ICE[[#This Row],[LstBlkTime]], ""))</f>
        <v/>
      </c>
      <c r="R250" s="41" t="str">
        <f>IF(ICE[[#This Row],[LastType]] = "Scrn", ICE[[#This Row],[LstPrc]], IF(ICE[[#This Row],[LastType]] = "Blk", ICE[[#This Row],[LstBlkPrc]], ""))</f>
        <v/>
      </c>
      <c r="S250" s="36">
        <f>ICE[[#This Row],[Vol]]+ICE[[#This Row],[BlkVol]]</f>
        <v>40</v>
      </c>
      <c r="T250" s="36">
        <f>RTD("ice.rtd",,$C250 &amp; $D250 &amp; ":" &amp; T$1)</f>
        <v>1592</v>
      </c>
      <c r="U250" s="18">
        <f>RTD("ice.rtd",,$C250 &amp; $D250 &amp; ":" &amp; U$1)</f>
        <v>-8.8580000000000005</v>
      </c>
      <c r="V2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50" s="18" t="str">
        <f>IFERROR(IF(LEFT(ICE[[#This Row],[Tenor]], 1) = "B", RTD("esrtd",,$B250 &amp; " " &amp; ICE[[#This Row],[Tenor]] &amp; "-IEU", W$1), RTD("esrtd",,$B250 &amp; " " &amp; VLOOKUP(MONTH(ICE[[#This Row],[Strip]]), MthRef[], 2, 0) &amp; RIGHT(YEAR(ICE[[#This Row],[Strip]]), 2) &amp; "-IEU", W$1)), "")</f>
        <v/>
      </c>
      <c r="X250" s="36"/>
      <c r="Z250" t="str">
        <f>RTD("ice.rtd",,"2324625607B0:BstLiftPrc")</f>
        <v/>
      </c>
    </row>
    <row r="251" spans="1:26" x14ac:dyDescent="0.25">
      <c r="A251" s="37" t="s">
        <v>826</v>
      </c>
      <c r="B251" s="3" t="str">
        <f>RTD("ice.rtd",,$C251 &amp; $D251 &amp; ":" &amp; B$1)</f>
        <v>NBB</v>
      </c>
      <c r="C251" s="3">
        <v>57409036</v>
      </c>
      <c r="D251" t="s">
        <v>809</v>
      </c>
      <c r="E251" s="3" t="str">
        <f>RTD("ice.rtd",,$C251 &amp; $D251 &amp; ":" &amp; E$1)</f>
        <v>May28</v>
      </c>
      <c r="F251" s="3" t="str">
        <f>ICE[[#This Row],[Prod]]&amp;ICE[[#This Row],[Strip]]</f>
        <v>napbrxbblMay28</v>
      </c>
      <c r="G251" s="18" t="str">
        <f>RTD("ice.rtd",,$C251 &amp; $D251 &amp; ":" &amp; G$1)</f>
        <v/>
      </c>
      <c r="H251" s="18" t="str">
        <f>RTD("ice.rtd",,$C251 &amp; $D251 &amp; ":" &amp; H$1)</f>
        <v/>
      </c>
      <c r="I251" s="18" t="str">
        <f>RTD("ice.rtd",,$C251 &amp; $D251 &amp; ":" &amp; I$1)</f>
        <v/>
      </c>
      <c r="J251" s="14" t="str">
        <f>IFERROR(MOD(RTD("ice.rtd",,$C251 &amp; $D251 &amp; ":" &amp; J$1), 1), "")</f>
        <v/>
      </c>
      <c r="K251" s="18" t="str">
        <f>RTD("ice.rtd",,$C251 &amp; $D251 &amp; ":" &amp; K$1)</f>
        <v/>
      </c>
      <c r="L251" s="36" t="str">
        <f>RTD("ice.rtd",,$C251 &amp; $D251 &amp; ":" &amp; L$1)</f>
        <v/>
      </c>
      <c r="M251" s="14" t="str">
        <f>IFERROR(MOD(TIMEVALUE(RTD("ice.rtd",,$C251 &amp; $D251 &amp; ":" &amp; M$1)), 1), "")</f>
        <v/>
      </c>
      <c r="N251" s="36">
        <f>RTD("ice.rtd",,$C251 &amp; $D251 &amp; ":" &amp; N$1)</f>
        <v>0</v>
      </c>
      <c r="O251" s="36">
        <f>RTD("ice.rtd",,$C251 &amp; $D251 &amp; ":" &amp; O$1)</f>
        <v>40</v>
      </c>
      <c r="P2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51" s="14" t="str">
        <f>IF(ICE[[#This Row],[LastType]] = "Scrn", ICE[[#This Row],[LstDate]], IF(ICE[[#This Row],[LastType]] = "Blk", ICE[[#This Row],[LstBlkTime]], ""))</f>
        <v/>
      </c>
      <c r="R251" s="41" t="str">
        <f>IF(ICE[[#This Row],[LastType]] = "Scrn", ICE[[#This Row],[LstPrc]], IF(ICE[[#This Row],[LastType]] = "Blk", ICE[[#This Row],[LstBlkPrc]], ""))</f>
        <v/>
      </c>
      <c r="S251" s="36">
        <f>ICE[[#This Row],[Vol]]+ICE[[#This Row],[BlkVol]]</f>
        <v>40</v>
      </c>
      <c r="T251" s="36">
        <f>RTD("ice.rtd",,$C251 &amp; $D251 &amp; ":" &amp; T$1)</f>
        <v>1592</v>
      </c>
      <c r="U251" s="18">
        <f>RTD("ice.rtd",,$C251 &amp; $D251 &amp; ":" &amp; U$1)</f>
        <v>-9.1159999999999997</v>
      </c>
      <c r="V2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51" s="18" t="str">
        <f>IFERROR(IF(LEFT(ICE[[#This Row],[Tenor]], 1) = "B", RTD("esrtd",,$B251 &amp; " " &amp; ICE[[#This Row],[Tenor]] &amp; "-IEU", W$1), RTD("esrtd",,$B251 &amp; " " &amp; VLOOKUP(MONTH(ICE[[#This Row],[Strip]]), MthRef[], 2, 0) &amp; RIGHT(YEAR(ICE[[#This Row],[Strip]]), 2) &amp; "-IEU", W$1)), "")</f>
        <v/>
      </c>
      <c r="X251" s="36"/>
    </row>
    <row r="252" spans="1:26" x14ac:dyDescent="0.25">
      <c r="A252" s="37" t="s">
        <v>826</v>
      </c>
      <c r="B252" s="3" t="str">
        <f>RTD("ice.rtd",,$C252 &amp; $D252 &amp; ":" &amp; B$1)</f>
        <v>NBB</v>
      </c>
      <c r="C252" s="3">
        <v>57409036</v>
      </c>
      <c r="D252" t="s">
        <v>810</v>
      </c>
      <c r="E252" s="3" t="str">
        <f>RTD("ice.rtd",,$C252 &amp; $D252 &amp; ":" &amp; E$1)</f>
        <v>Jun28</v>
      </c>
      <c r="F252" s="3" t="str">
        <f>ICE[[#This Row],[Prod]]&amp;ICE[[#This Row],[Strip]]</f>
        <v>napbrxbblJun28</v>
      </c>
      <c r="G252" s="18" t="str">
        <f>RTD("ice.rtd",,$C252 &amp; $D252 &amp; ":" &amp; G$1)</f>
        <v/>
      </c>
      <c r="H252" s="18" t="str">
        <f>RTD("ice.rtd",,$C252 &amp; $D252 &amp; ":" &amp; H$1)</f>
        <v/>
      </c>
      <c r="I252" s="18" t="str">
        <f>RTD("ice.rtd",,$C252 &amp; $D252 &amp; ":" &amp; I$1)</f>
        <v/>
      </c>
      <c r="J252" s="14" t="str">
        <f>IFERROR(MOD(RTD("ice.rtd",,$C252 &amp; $D252 &amp; ":" &amp; J$1), 1), "")</f>
        <v/>
      </c>
      <c r="K252" s="18" t="str">
        <f>RTD("ice.rtd",,$C252 &amp; $D252 &amp; ":" &amp; K$1)</f>
        <v/>
      </c>
      <c r="L252" s="36" t="str">
        <f>RTD("ice.rtd",,$C252 &amp; $D252 &amp; ":" &amp; L$1)</f>
        <v/>
      </c>
      <c r="M252" s="14" t="str">
        <f>IFERROR(MOD(TIMEVALUE(RTD("ice.rtd",,$C252 &amp; $D252 &amp; ":" &amp; M$1)), 1), "")</f>
        <v/>
      </c>
      <c r="N252" s="36">
        <f>RTD("ice.rtd",,$C252 &amp; $D252 &amp; ":" &amp; N$1)</f>
        <v>0</v>
      </c>
      <c r="O252" s="36">
        <f>RTD("ice.rtd",,$C252 &amp; $D252 &amp; ":" &amp; O$1)</f>
        <v>40</v>
      </c>
      <c r="P2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52" s="14" t="str">
        <f>IF(ICE[[#This Row],[LastType]] = "Scrn", ICE[[#This Row],[LstDate]], IF(ICE[[#This Row],[LastType]] = "Blk", ICE[[#This Row],[LstBlkTime]], ""))</f>
        <v/>
      </c>
      <c r="R252" s="41" t="str">
        <f>IF(ICE[[#This Row],[LastType]] = "Scrn", ICE[[#This Row],[LstPrc]], IF(ICE[[#This Row],[LastType]] = "Blk", ICE[[#This Row],[LstBlkPrc]], ""))</f>
        <v/>
      </c>
      <c r="S252" s="36">
        <f>ICE[[#This Row],[Vol]]+ICE[[#This Row],[BlkVol]]</f>
        <v>40</v>
      </c>
      <c r="T252" s="36">
        <f>RTD("ice.rtd",,$C252 &amp; $D252 &amp; ":" &amp; T$1)</f>
        <v>1592</v>
      </c>
      <c r="U252" s="18">
        <f>RTD("ice.rtd",,$C252 &amp; $D252 &amp; ":" &amp; U$1)</f>
        <v>-9.2490000000000006</v>
      </c>
      <c r="V2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52" s="18" t="str">
        <f>IFERROR(IF(LEFT(ICE[[#This Row],[Tenor]], 1) = "B", RTD("esrtd",,$B252 &amp; " " &amp; ICE[[#This Row],[Tenor]] &amp; "-IEU", W$1), RTD("esrtd",,$B252 &amp; " " &amp; VLOOKUP(MONTH(ICE[[#This Row],[Strip]]), MthRef[], 2, 0) &amp; RIGHT(YEAR(ICE[[#This Row],[Strip]]), 2) &amp; "-IEU", W$1)), "")</f>
        <v/>
      </c>
      <c r="X252" s="36"/>
    </row>
    <row r="253" spans="1:26" x14ac:dyDescent="0.25">
      <c r="A253" s="37" t="s">
        <v>826</v>
      </c>
      <c r="B253" s="3" t="str">
        <f>RTD("ice.rtd",,$C253 &amp; $D253 &amp; ":" &amp; B$1)</f>
        <v>NBB</v>
      </c>
      <c r="C253" s="3">
        <v>57409036</v>
      </c>
      <c r="D253" t="s">
        <v>811</v>
      </c>
      <c r="E253" s="3" t="str">
        <f>RTD("ice.rtd",,$C253 &amp; $D253 &amp; ":" &amp; E$1)</f>
        <v>Jul28</v>
      </c>
      <c r="F253" s="3" t="str">
        <f>ICE[[#This Row],[Prod]]&amp;ICE[[#This Row],[Strip]]</f>
        <v>napbrxbblJul28</v>
      </c>
      <c r="G253" s="18" t="str">
        <f>RTD("ice.rtd",,$C253 &amp; $D253 &amp; ":" &amp; G$1)</f>
        <v/>
      </c>
      <c r="H253" s="18" t="str">
        <f>RTD("ice.rtd",,$C253 &amp; $D253 &amp; ":" &amp; H$1)</f>
        <v/>
      </c>
      <c r="I253" s="18" t="str">
        <f>RTD("ice.rtd",,$C253 &amp; $D253 &amp; ":" &amp; I$1)</f>
        <v/>
      </c>
      <c r="J253" s="14" t="str">
        <f>IFERROR(MOD(RTD("ice.rtd",,$C253 &amp; $D253 &amp; ":" &amp; J$1), 1), "")</f>
        <v/>
      </c>
      <c r="K253" s="18" t="str">
        <f>RTD("ice.rtd",,$C253 &amp; $D253 &amp; ":" &amp; K$1)</f>
        <v/>
      </c>
      <c r="L253" s="36" t="str">
        <f>RTD("ice.rtd",,$C253 &amp; $D253 &amp; ":" &amp; L$1)</f>
        <v/>
      </c>
      <c r="M253" s="14" t="str">
        <f>IFERROR(MOD(TIMEVALUE(RTD("ice.rtd",,$C253 &amp; $D253 &amp; ":" &amp; M$1)), 1), "")</f>
        <v/>
      </c>
      <c r="N253" s="36">
        <f>RTD("ice.rtd",,$C253 &amp; $D253 &amp; ":" &amp; N$1)</f>
        <v>0</v>
      </c>
      <c r="O253" s="36">
        <f>RTD("ice.rtd",,$C253 &amp; $D253 &amp; ":" &amp; O$1)</f>
        <v>40</v>
      </c>
      <c r="P2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53" s="14" t="str">
        <f>IF(ICE[[#This Row],[LastType]] = "Scrn", ICE[[#This Row],[LstDate]], IF(ICE[[#This Row],[LastType]] = "Blk", ICE[[#This Row],[LstBlkTime]], ""))</f>
        <v/>
      </c>
      <c r="R253" s="41" t="str">
        <f>IF(ICE[[#This Row],[LastType]] = "Scrn", ICE[[#This Row],[LstPrc]], IF(ICE[[#This Row],[LastType]] = "Blk", ICE[[#This Row],[LstBlkPrc]], ""))</f>
        <v/>
      </c>
      <c r="S253" s="36">
        <f>ICE[[#This Row],[Vol]]+ICE[[#This Row],[BlkVol]]</f>
        <v>40</v>
      </c>
      <c r="T253" s="36">
        <f>RTD("ice.rtd",,$C253 &amp; $D253 &amp; ":" &amp; T$1)</f>
        <v>926</v>
      </c>
      <c r="U253" s="18">
        <f>RTD("ice.rtd",,$C253 &amp; $D253 &amp; ":" &amp; U$1)</f>
        <v>-9.2520000000000007</v>
      </c>
      <c r="V2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53" s="18" t="str">
        <f>IFERROR(IF(LEFT(ICE[[#This Row],[Tenor]], 1) = "B", RTD("esrtd",,$B253 &amp; " " &amp; ICE[[#This Row],[Tenor]] &amp; "-IEU", W$1), RTD("esrtd",,$B253 &amp; " " &amp; VLOOKUP(MONTH(ICE[[#This Row],[Strip]]), MthRef[], 2, 0) &amp; RIGHT(YEAR(ICE[[#This Row],[Strip]]), 2) &amp; "-IEU", W$1)), "")</f>
        <v/>
      </c>
      <c r="X253" s="36"/>
    </row>
    <row r="254" spans="1:26" x14ac:dyDescent="0.25">
      <c r="A254" s="37" t="s">
        <v>826</v>
      </c>
      <c r="B254" s="3" t="str">
        <f>RTD("ice.rtd",,$C254 &amp; $D254 &amp; ":" &amp; B$1)</f>
        <v>NBB</v>
      </c>
      <c r="C254" s="3">
        <v>57409036</v>
      </c>
      <c r="D254" t="s">
        <v>812</v>
      </c>
      <c r="E254" s="3" t="str">
        <f>RTD("ice.rtd",,$C254 &amp; $D254 &amp; ":" &amp; E$1)</f>
        <v>Aug28</v>
      </c>
      <c r="F254" s="3" t="str">
        <f>ICE[[#This Row],[Prod]]&amp;ICE[[#This Row],[Strip]]</f>
        <v>napbrxbblAug28</v>
      </c>
      <c r="G254" s="18" t="str">
        <f>RTD("ice.rtd",,$C254 &amp; $D254 &amp; ":" &amp; G$1)</f>
        <v/>
      </c>
      <c r="H254" s="18" t="str">
        <f>RTD("ice.rtd",,$C254 &amp; $D254 &amp; ":" &amp; H$1)</f>
        <v/>
      </c>
      <c r="I254" s="18" t="str">
        <f>RTD("ice.rtd",,$C254 &amp; $D254 &amp; ":" &amp; I$1)</f>
        <v/>
      </c>
      <c r="J254" s="14" t="str">
        <f>IFERROR(MOD(RTD("ice.rtd",,$C254 &amp; $D254 &amp; ":" &amp; J$1), 1), "")</f>
        <v/>
      </c>
      <c r="K254" s="18" t="str">
        <f>RTD("ice.rtd",,$C254 &amp; $D254 &amp; ":" &amp; K$1)</f>
        <v/>
      </c>
      <c r="L254" s="36" t="str">
        <f>RTD("ice.rtd",,$C254 &amp; $D254 &amp; ":" &amp; L$1)</f>
        <v/>
      </c>
      <c r="M254" s="14" t="str">
        <f>IFERROR(MOD(TIMEVALUE(RTD("ice.rtd",,$C254 &amp; $D254 &amp; ":" &amp; M$1)), 1), "")</f>
        <v/>
      </c>
      <c r="N254" s="36">
        <f>RTD("ice.rtd",,$C254 &amp; $D254 &amp; ":" &amp; N$1)</f>
        <v>0</v>
      </c>
      <c r="O254" s="36">
        <f>RTD("ice.rtd",,$C254 &amp; $D254 &amp; ":" &amp; O$1)</f>
        <v>40</v>
      </c>
      <c r="P2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54" s="14" t="str">
        <f>IF(ICE[[#This Row],[LastType]] = "Scrn", ICE[[#This Row],[LstDate]], IF(ICE[[#This Row],[LastType]] = "Blk", ICE[[#This Row],[LstBlkTime]], ""))</f>
        <v/>
      </c>
      <c r="R254" s="41" t="str">
        <f>IF(ICE[[#This Row],[LastType]] = "Scrn", ICE[[#This Row],[LstPrc]], IF(ICE[[#This Row],[LastType]] = "Blk", ICE[[#This Row],[LstBlkPrc]], ""))</f>
        <v/>
      </c>
      <c r="S254" s="36">
        <f>ICE[[#This Row],[Vol]]+ICE[[#This Row],[BlkVol]]</f>
        <v>40</v>
      </c>
      <c r="T254" s="36">
        <f>RTD("ice.rtd",,$C254 &amp; $D254 &amp; ":" &amp; T$1)</f>
        <v>926</v>
      </c>
      <c r="U254" s="18">
        <f>RTD("ice.rtd",,$C254 &amp; $D254 &amp; ":" &amp; U$1)</f>
        <v>-9.1810000000000009</v>
      </c>
      <c r="V2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54" s="18" t="str">
        <f>IFERROR(IF(LEFT(ICE[[#This Row],[Tenor]], 1) = "B", RTD("esrtd",,$B254 &amp; " " &amp; ICE[[#This Row],[Tenor]] &amp; "-IEU", W$1), RTD("esrtd",,$B254 &amp; " " &amp; VLOOKUP(MONTH(ICE[[#This Row],[Strip]]), MthRef[], 2, 0) &amp; RIGHT(YEAR(ICE[[#This Row],[Strip]]), 2) &amp; "-IEU", W$1)), "")</f>
        <v/>
      </c>
      <c r="X254" s="36"/>
    </row>
    <row r="255" spans="1:26" x14ac:dyDescent="0.25">
      <c r="A255" s="37" t="s">
        <v>826</v>
      </c>
      <c r="B255" s="3" t="str">
        <f>RTD("ice.rtd",,$C255 &amp; $D255 &amp; ":" &amp; B$1)</f>
        <v>NBB</v>
      </c>
      <c r="C255" s="3">
        <v>57409036</v>
      </c>
      <c r="D255" t="s">
        <v>813</v>
      </c>
      <c r="E255" s="3" t="str">
        <f>RTD("ice.rtd",,$C255 &amp; $D255 &amp; ":" &amp; E$1)</f>
        <v>Sep28</v>
      </c>
      <c r="F255" s="3" t="str">
        <f>ICE[[#This Row],[Prod]]&amp;ICE[[#This Row],[Strip]]</f>
        <v>napbrxbblSep28</v>
      </c>
      <c r="G255" s="18" t="str">
        <f>RTD("ice.rtd",,$C255 &amp; $D255 &amp; ":" &amp; G$1)</f>
        <v/>
      </c>
      <c r="H255" s="18" t="str">
        <f>RTD("ice.rtd",,$C255 &amp; $D255 &amp; ":" &amp; H$1)</f>
        <v/>
      </c>
      <c r="I255" s="18" t="str">
        <f>RTD("ice.rtd",,$C255 &amp; $D255 &amp; ":" &amp; I$1)</f>
        <v/>
      </c>
      <c r="J255" s="14" t="str">
        <f>IFERROR(MOD(RTD("ice.rtd",,$C255 &amp; $D255 &amp; ":" &amp; J$1), 1), "")</f>
        <v/>
      </c>
      <c r="K255" s="18" t="str">
        <f>RTD("ice.rtd",,$C255 &amp; $D255 &amp; ":" &amp; K$1)</f>
        <v/>
      </c>
      <c r="L255" s="36" t="str">
        <f>RTD("ice.rtd",,$C255 &amp; $D255 &amp; ":" &amp; L$1)</f>
        <v/>
      </c>
      <c r="M255" s="14" t="str">
        <f>IFERROR(MOD(TIMEVALUE(RTD("ice.rtd",,$C255 &amp; $D255 &amp; ":" &amp; M$1)), 1), "")</f>
        <v/>
      </c>
      <c r="N255" s="36">
        <f>RTD("ice.rtd",,$C255 &amp; $D255 &amp; ":" &amp; N$1)</f>
        <v>0</v>
      </c>
      <c r="O255" s="36">
        <f>RTD("ice.rtd",,$C255 &amp; $D255 &amp; ":" &amp; O$1)</f>
        <v>40</v>
      </c>
      <c r="P2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55" s="14" t="str">
        <f>IF(ICE[[#This Row],[LastType]] = "Scrn", ICE[[#This Row],[LstDate]], IF(ICE[[#This Row],[LastType]] = "Blk", ICE[[#This Row],[LstBlkTime]], ""))</f>
        <v/>
      </c>
      <c r="R255" s="41" t="str">
        <f>IF(ICE[[#This Row],[LastType]] = "Scrn", ICE[[#This Row],[LstPrc]], IF(ICE[[#This Row],[LastType]] = "Blk", ICE[[#This Row],[LstBlkPrc]], ""))</f>
        <v/>
      </c>
      <c r="S255" s="36">
        <f>ICE[[#This Row],[Vol]]+ICE[[#This Row],[BlkVol]]</f>
        <v>40</v>
      </c>
      <c r="T255" s="36">
        <f>RTD("ice.rtd",,$C255 &amp; $D255 &amp; ":" &amp; T$1)</f>
        <v>926</v>
      </c>
      <c r="U255" s="18">
        <f>RTD("ice.rtd",,$C255 &amp; $D255 &amp; ":" &amp; U$1)</f>
        <v>-9.0530000000000008</v>
      </c>
      <c r="V2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55" s="18" t="str">
        <f>IFERROR(IF(LEFT(ICE[[#This Row],[Tenor]], 1) = "B", RTD("esrtd",,$B255 &amp; " " &amp; ICE[[#This Row],[Tenor]] &amp; "-IEU", W$1), RTD("esrtd",,$B255 &amp; " " &amp; VLOOKUP(MONTH(ICE[[#This Row],[Strip]]), MthRef[], 2, 0) &amp; RIGHT(YEAR(ICE[[#This Row],[Strip]]), 2) &amp; "-IEU", W$1)), "")</f>
        <v/>
      </c>
      <c r="X255" s="36"/>
    </row>
    <row r="256" spans="1:26" x14ac:dyDescent="0.25">
      <c r="A256" s="37" t="s">
        <v>826</v>
      </c>
      <c r="B256" s="3" t="str">
        <f>RTD("ice.rtd",,$C256 &amp; $D256 &amp; ":" &amp; B$1)</f>
        <v>NBB</v>
      </c>
      <c r="C256" s="3">
        <v>57409036</v>
      </c>
      <c r="D256" t="s">
        <v>814</v>
      </c>
      <c r="E256" s="3" t="str">
        <f>RTD("ice.rtd",,$C256 &amp; $D256 &amp; ":" &amp; E$1)</f>
        <v>Q4 26</v>
      </c>
      <c r="F256" s="3" t="str">
        <f>ICE[[#This Row],[Prod]]&amp;ICE[[#This Row],[Strip]]</f>
        <v>napbrxbblQ4 26</v>
      </c>
      <c r="G256" s="18">
        <f>RTD("ice.rtd",,$C256 &amp; $D256 &amp; ":" &amp; G$1)</f>
        <v>-7.84</v>
      </c>
      <c r="H256" s="18">
        <f>RTD("ice.rtd",,$C256 &amp; $D256 &amp; ":" &amp; H$1)</f>
        <v>-0.65</v>
      </c>
      <c r="I256" s="18" t="str">
        <f>RTD("ice.rtd",,$C256 &amp; $D256 &amp; ":" &amp; I$1)</f>
        <v/>
      </c>
      <c r="J256" s="14" t="str">
        <f>IFERROR(MOD(RTD("ice.rtd",,$C256 &amp; $D256 &amp; ":" &amp; J$1), 1), "")</f>
        <v/>
      </c>
      <c r="K256" s="18">
        <f>RTD("ice.rtd",,$C256 &amp; $D256 &amp; ":" &amp; K$1)</f>
        <v>-4.25</v>
      </c>
      <c r="L256" s="36">
        <f>RTD("ice.rtd",,$C256 &amp; $D256 &amp; ":" &amp; L$1)</f>
        <v>25</v>
      </c>
      <c r="M256" s="14">
        <f>IFERROR(MOD(TIMEVALUE(RTD("ice.rtd",,$C256 &amp; $D256 &amp; ":" &amp; M$1)), 1), "")</f>
        <v>0.46056712962962965</v>
      </c>
      <c r="N256" s="36">
        <f>RTD("ice.rtd",,$C256 &amp; $D256 &amp; ":" &amp; N$1)</f>
        <v>0</v>
      </c>
      <c r="O256" s="36">
        <f>RTD("ice.rtd",,$C256 &amp; $D256 &amp; ":" &amp; O$1)</f>
        <v>110</v>
      </c>
      <c r="P2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56" s="14">
        <f>IF(ICE[[#This Row],[LastType]] = "Scrn", ICE[[#This Row],[LstDate]], IF(ICE[[#This Row],[LastType]] = "Blk", ICE[[#This Row],[LstBlkTime]], ""))</f>
        <v>0.46056712962962965</v>
      </c>
      <c r="R256" s="41">
        <f>IF(ICE[[#This Row],[LastType]] = "Scrn", ICE[[#This Row],[LstPrc]], IF(ICE[[#This Row],[LastType]] = "Blk", ICE[[#This Row],[LstBlkPrc]], ""))</f>
        <v>-4.25</v>
      </c>
      <c r="S256" s="36">
        <f>ICE[[#This Row],[Vol]]+ICE[[#This Row],[BlkVol]]</f>
        <v>110</v>
      </c>
      <c r="T256" s="36">
        <f>RTD("ice.rtd",,$C256 &amp; $D256 &amp; ":" &amp; T$1)</f>
        <v>0</v>
      </c>
      <c r="U256" s="18">
        <f>RTD("ice.rtd",,$C256 &amp; $D256 &amp; ":" &amp; U$1)</f>
        <v>-4.1080000000000005</v>
      </c>
      <c r="V2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-7.84 / -0.65 {-4.25} |110x</v>
      </c>
      <c r="W256" s="18" t="str">
        <f>IFERROR(IF(LEFT(ICE[[#This Row],[Tenor]], 1) = "B", RTD("esrtd",,$B256 &amp; " " &amp; ICE[[#This Row],[Tenor]] &amp; "-IEU", W$1), RTD("esrtd",,$B256 &amp; " " &amp; VLOOKUP(MONTH(ICE[[#This Row],[Strip]]), MthRef[], 2, 0) &amp; RIGHT(YEAR(ICE[[#This Row],[Strip]]), 2) &amp; "-IEU", W$1)), "")</f>
        <v/>
      </c>
      <c r="X256" s="36"/>
    </row>
    <row r="257" spans="1:24" x14ac:dyDescent="0.25">
      <c r="A257" s="37" t="s">
        <v>826</v>
      </c>
      <c r="B257" s="3" t="str">
        <f>RTD("ice.rtd",,$C257 &amp; $D257 &amp; ":" &amp; B$1)</f>
        <v>NBB</v>
      </c>
      <c r="C257" s="3">
        <v>57409036</v>
      </c>
      <c r="D257" t="s">
        <v>815</v>
      </c>
      <c r="E257" s="3" t="str">
        <f>RTD("ice.rtd",,$C257 &amp; $D257 &amp; ":" &amp; E$1)</f>
        <v>Q1 27</v>
      </c>
      <c r="F257" s="3" t="str">
        <f>ICE[[#This Row],[Prod]]&amp;ICE[[#This Row],[Strip]]</f>
        <v>napbrxbblQ1 27</v>
      </c>
      <c r="G257" s="18">
        <f>RTD("ice.rtd",,$C257 &amp; $D257 &amp; ":" &amp; G$1)</f>
        <v>-8.7100000000000009</v>
      </c>
      <c r="H257" s="18">
        <f>RTD("ice.rtd",,$C257 &amp; $D257 &amp; ":" &amp; H$1)</f>
        <v>-1.51</v>
      </c>
      <c r="I257" s="18" t="str">
        <f>RTD("ice.rtd",,$C257 &amp; $D257 &amp; ":" &amp; I$1)</f>
        <v/>
      </c>
      <c r="J257" s="14" t="str">
        <f>IFERROR(MOD(RTD("ice.rtd",,$C257 &amp; $D257 &amp; ":" &amp; J$1), 1), "")</f>
        <v/>
      </c>
      <c r="K257" s="18">
        <f>RTD("ice.rtd",,$C257 &amp; $D257 &amp; ":" &amp; K$1)</f>
        <v>-5.0999999999999996</v>
      </c>
      <c r="L257" s="36">
        <f>RTD("ice.rtd",,$C257 &amp; $D257 &amp; ":" &amp; L$1)</f>
        <v>20</v>
      </c>
      <c r="M257" s="14">
        <f>IFERROR(MOD(TIMEVALUE(RTD("ice.rtd",,$C257 &amp; $D257 &amp; ":" &amp; M$1)), 1), "")</f>
        <v>0.43289351851851854</v>
      </c>
      <c r="N257" s="36">
        <f>RTD("ice.rtd",,$C257 &amp; $D257 &amp; ":" &amp; N$1)</f>
        <v>0</v>
      </c>
      <c r="O257" s="36">
        <f>RTD("ice.rtd",,$C257 &amp; $D257 &amp; ":" &amp; O$1)</f>
        <v>70</v>
      </c>
      <c r="P2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57" s="14">
        <f>IF(ICE[[#This Row],[LastType]] = "Scrn", ICE[[#This Row],[LstDate]], IF(ICE[[#This Row],[LastType]] = "Blk", ICE[[#This Row],[LstBlkTime]], ""))</f>
        <v>0.43289351851851854</v>
      </c>
      <c r="R257" s="41">
        <f>IF(ICE[[#This Row],[LastType]] = "Scrn", ICE[[#This Row],[LstPrc]], IF(ICE[[#This Row],[LastType]] = "Blk", ICE[[#This Row],[LstBlkPrc]], ""))</f>
        <v>-5.0999999999999996</v>
      </c>
      <c r="S257" s="36">
        <f>ICE[[#This Row],[Vol]]+ICE[[#This Row],[BlkVol]]</f>
        <v>70</v>
      </c>
      <c r="T257" s="36">
        <f>RTD("ice.rtd",,$C257 &amp; $D257 &amp; ":" &amp; T$1)</f>
        <v>0</v>
      </c>
      <c r="U257" s="18">
        <f>RTD("ice.rtd",,$C257 &amp; $D257 &amp; ":" &amp; U$1)</f>
        <v>-5.1030000000000006</v>
      </c>
      <c r="V2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-8.71 / -1.51 {-5.10} |70x</v>
      </c>
      <c r="W257" s="18" t="str">
        <f>IFERROR(IF(LEFT(ICE[[#This Row],[Tenor]], 1) = "B", RTD("esrtd",,$B257 &amp; " " &amp; ICE[[#This Row],[Tenor]] &amp; "-IEU", W$1), RTD("esrtd",,$B257 &amp; " " &amp; VLOOKUP(MONTH(ICE[[#This Row],[Strip]]), MthRef[], 2, 0) &amp; RIGHT(YEAR(ICE[[#This Row],[Strip]]), 2) &amp; "-IEU", W$1)), "")</f>
        <v/>
      </c>
      <c r="X257" s="36"/>
    </row>
    <row r="258" spans="1:24" x14ac:dyDescent="0.25">
      <c r="A258" s="37" t="s">
        <v>826</v>
      </c>
      <c r="B258" s="3" t="str">
        <f>RTD("ice.rtd",,$C258 &amp; $D258 &amp; ":" &amp; B$1)</f>
        <v>NBB</v>
      </c>
      <c r="C258" s="3">
        <v>57409036</v>
      </c>
      <c r="D258" t="s">
        <v>816</v>
      </c>
      <c r="E258" s="3" t="str">
        <f>RTD("ice.rtd",,$C258 &amp; $D258 &amp; ":" &amp; E$1)</f>
        <v>Q2 27</v>
      </c>
      <c r="F258" s="3" t="str">
        <f>ICE[[#This Row],[Prod]]&amp;ICE[[#This Row],[Strip]]</f>
        <v>napbrxbblQ2 27</v>
      </c>
      <c r="G258" s="18">
        <f>RTD("ice.rtd",,$C258 &amp; $D258 &amp; ":" &amp; G$1)</f>
        <v>-10.6</v>
      </c>
      <c r="H258" s="18">
        <f>RTD("ice.rtd",,$C258 &amp; $D258 &amp; ":" &amp; H$1)</f>
        <v>-3.4</v>
      </c>
      <c r="I258" s="18" t="str">
        <f>RTD("ice.rtd",,$C258 &amp; $D258 &amp; ":" &amp; I$1)</f>
        <v/>
      </c>
      <c r="J258" s="14" t="str">
        <f>IFERROR(MOD(RTD("ice.rtd",,$C258 &amp; $D258 &amp; ":" &amp; J$1), 1), "")</f>
        <v/>
      </c>
      <c r="K258" s="18">
        <f>RTD("ice.rtd",,$C258 &amp; $D258 &amp; ":" &amp; K$1)</f>
        <v>-7.05</v>
      </c>
      <c r="L258" s="36">
        <f>RTD("ice.rtd",,$C258 &amp; $D258 &amp; ":" &amp; L$1)</f>
        <v>65</v>
      </c>
      <c r="M258" s="14">
        <f>IFERROR(MOD(TIMEVALUE(RTD("ice.rtd",,$C258 &amp; $D258 &amp; ":" &amp; M$1)), 1), "")</f>
        <v>0.43854166666666666</v>
      </c>
      <c r="N258" s="36">
        <f>RTD("ice.rtd",,$C258 &amp; $D258 &amp; ":" &amp; N$1)</f>
        <v>0</v>
      </c>
      <c r="O258" s="36">
        <f>RTD("ice.rtd",,$C258 &amp; $D258 &amp; ":" &amp; O$1)</f>
        <v>135</v>
      </c>
      <c r="P2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58" s="14">
        <f>IF(ICE[[#This Row],[LastType]] = "Scrn", ICE[[#This Row],[LstDate]], IF(ICE[[#This Row],[LastType]] = "Blk", ICE[[#This Row],[LstBlkTime]], ""))</f>
        <v>0.43854166666666666</v>
      </c>
      <c r="R258" s="41">
        <f>IF(ICE[[#This Row],[LastType]] = "Scrn", ICE[[#This Row],[LstPrc]], IF(ICE[[#This Row],[LastType]] = "Blk", ICE[[#This Row],[LstBlkPrc]], ""))</f>
        <v>-7.05</v>
      </c>
      <c r="S258" s="36">
        <f>ICE[[#This Row],[Vol]]+ICE[[#This Row],[BlkVol]]</f>
        <v>135</v>
      </c>
      <c r="T258" s="36">
        <f>RTD("ice.rtd",,$C258 &amp; $D258 &amp; ":" &amp; T$1)</f>
        <v>0</v>
      </c>
      <c r="U258" s="18">
        <f>RTD("ice.rtd",,$C258 &amp; $D258 &amp; ":" &amp; U$1)</f>
        <v>-7.0220000000000002</v>
      </c>
      <c r="V2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-10.60 / -3.40 {-7.05} |135x</v>
      </c>
      <c r="W258" s="18" t="str">
        <f>IFERROR(IF(LEFT(ICE[[#This Row],[Tenor]], 1) = "B", RTD("esrtd",,$B258 &amp; " " &amp; ICE[[#This Row],[Tenor]] &amp; "-IEU", W$1), RTD("esrtd",,$B258 &amp; " " &amp; VLOOKUP(MONTH(ICE[[#This Row],[Strip]]), MthRef[], 2, 0) &amp; RIGHT(YEAR(ICE[[#This Row],[Strip]]), 2) &amp; "-IEU", W$1)), "")</f>
        <v/>
      </c>
      <c r="X258" s="36"/>
    </row>
    <row r="259" spans="1:24" x14ac:dyDescent="0.25">
      <c r="A259" s="37" t="s">
        <v>826</v>
      </c>
      <c r="B259" s="3" t="str">
        <f>RTD("ice.rtd",,$C259 &amp; $D259 &amp; ":" &amp; B$1)</f>
        <v>NBB</v>
      </c>
      <c r="C259" s="3">
        <v>57409036</v>
      </c>
      <c r="D259" t="s">
        <v>817</v>
      </c>
      <c r="E259" s="3" t="str">
        <f>RTD("ice.rtd",,$C259 &amp; $D259 &amp; ":" &amp; E$1)</f>
        <v>Q3 27</v>
      </c>
      <c r="F259" s="3" t="str">
        <f>ICE[[#This Row],[Prod]]&amp;ICE[[#This Row],[Strip]]</f>
        <v>napbrxbblQ3 27</v>
      </c>
      <c r="G259" s="18">
        <f>RTD("ice.rtd",,$C259 &amp; $D259 &amp; ":" &amp; G$1)</f>
        <v>-11.38</v>
      </c>
      <c r="H259" s="18">
        <f>RTD("ice.rtd",,$C259 &amp; $D259 &amp; ":" &amp; H$1)</f>
        <v>-4.1900000000000004</v>
      </c>
      <c r="I259" s="18" t="str">
        <f>RTD("ice.rtd",,$C259 &amp; $D259 &amp; ":" &amp; I$1)</f>
        <v/>
      </c>
      <c r="J259" s="14" t="str">
        <f>IFERROR(MOD(RTD("ice.rtd",,$C259 &amp; $D259 &amp; ":" &amp; J$1), 1), "")</f>
        <v/>
      </c>
      <c r="K259" s="18">
        <f>RTD("ice.rtd",,$C259 &amp; $D259 &amp; ":" &amp; K$1)</f>
        <v>-7.85</v>
      </c>
      <c r="L259" s="36">
        <f>RTD("ice.rtd",,$C259 &amp; $D259 &amp; ":" &amp; L$1)</f>
        <v>65</v>
      </c>
      <c r="M259" s="14">
        <f>IFERROR(MOD(TIMEVALUE(RTD("ice.rtd",,$C259 &amp; $D259 &amp; ":" &amp; M$1)), 1), "")</f>
        <v>0.43854166666666666</v>
      </c>
      <c r="N259" s="36">
        <f>RTD("ice.rtd",,$C259 &amp; $D259 &amp; ":" &amp; N$1)</f>
        <v>0</v>
      </c>
      <c r="O259" s="36">
        <f>RTD("ice.rtd",,$C259 &amp; $D259 &amp; ":" &amp; O$1)</f>
        <v>104</v>
      </c>
      <c r="P2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59" s="14">
        <f>IF(ICE[[#This Row],[LastType]] = "Scrn", ICE[[#This Row],[LstDate]], IF(ICE[[#This Row],[LastType]] = "Blk", ICE[[#This Row],[LstBlkTime]], ""))</f>
        <v>0.43854166666666666</v>
      </c>
      <c r="R259" s="41">
        <f>IF(ICE[[#This Row],[LastType]] = "Scrn", ICE[[#This Row],[LstPrc]], IF(ICE[[#This Row],[LastType]] = "Blk", ICE[[#This Row],[LstBlkPrc]], ""))</f>
        <v>-7.85</v>
      </c>
      <c r="S259" s="36">
        <f>ICE[[#This Row],[Vol]]+ICE[[#This Row],[BlkVol]]</f>
        <v>104</v>
      </c>
      <c r="T259" s="36">
        <f>RTD("ice.rtd",,$C259 &amp; $D259 &amp; ":" &amp; T$1)</f>
        <v>0</v>
      </c>
      <c r="U259" s="18">
        <f>RTD("ice.rtd",,$C259 &amp; $D259 &amp; ":" &amp; U$1)</f>
        <v>-7.87</v>
      </c>
      <c r="V2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-11.38 / -4.19 {-7.85} |104x</v>
      </c>
      <c r="W259" s="18" t="str">
        <f>IFERROR(IF(LEFT(ICE[[#This Row],[Tenor]], 1) = "B", RTD("esrtd",,$B259 &amp; " " &amp; ICE[[#This Row],[Tenor]] &amp; "-IEU", W$1), RTD("esrtd",,$B259 &amp; " " &amp; VLOOKUP(MONTH(ICE[[#This Row],[Strip]]), MthRef[], 2, 0) &amp; RIGHT(YEAR(ICE[[#This Row],[Strip]]), 2) &amp; "-IEU", W$1)), "")</f>
        <v/>
      </c>
      <c r="X259" s="36"/>
    </row>
    <row r="260" spans="1:24" x14ac:dyDescent="0.25">
      <c r="A260" s="37" t="s">
        <v>826</v>
      </c>
      <c r="B260" s="3" t="str">
        <f>RTD("ice.rtd",,$C260 &amp; $D260 &amp; ":" &amp; B$1)</f>
        <v>NBB</v>
      </c>
      <c r="C260" s="3">
        <v>57409036</v>
      </c>
      <c r="D260" t="s">
        <v>818</v>
      </c>
      <c r="E260" s="3" t="str">
        <f>RTD("ice.rtd",,$C260 &amp; $D260 &amp; ":" &amp; E$1)</f>
        <v>Q4 27</v>
      </c>
      <c r="F260" s="3" t="str">
        <f>ICE[[#This Row],[Prod]]&amp;ICE[[#This Row],[Strip]]</f>
        <v>napbrxbblQ4 27</v>
      </c>
      <c r="G260" s="18">
        <f>RTD("ice.rtd",,$C260 &amp; $D260 &amp; ":" &amp; G$1)</f>
        <v>-11.58</v>
      </c>
      <c r="H260" s="18">
        <f>RTD("ice.rtd",,$C260 &amp; $D260 &amp; ":" &amp; H$1)</f>
        <v>-4.3899999999999997</v>
      </c>
      <c r="I260" s="18" t="str">
        <f>RTD("ice.rtd",,$C260 &amp; $D260 &amp; ":" &amp; I$1)</f>
        <v/>
      </c>
      <c r="J260" s="14" t="str">
        <f>IFERROR(MOD(RTD("ice.rtd",,$C260 &amp; $D260 &amp; ":" &amp; J$1), 1), "")</f>
        <v/>
      </c>
      <c r="K260" s="18">
        <f>RTD("ice.rtd",,$C260 &amp; $D260 &amp; ":" &amp; K$1)</f>
        <v>-8.07</v>
      </c>
      <c r="L260" s="36">
        <f>RTD("ice.rtd",,$C260 &amp; $D260 &amp; ":" &amp; L$1)</f>
        <v>39</v>
      </c>
      <c r="M260" s="14">
        <f>IFERROR(MOD(TIMEVALUE(RTD("ice.rtd",,$C260 &amp; $D260 &amp; ":" &amp; M$1)), 1), "")</f>
        <v>0.41692129629629632</v>
      </c>
      <c r="N260" s="36">
        <f>RTD("ice.rtd",,$C260 &amp; $D260 &amp; ":" &amp; N$1)</f>
        <v>0</v>
      </c>
      <c r="O260" s="36">
        <f>RTD("ice.rtd",,$C260 &amp; $D260 &amp; ":" &amp; O$1)</f>
        <v>39</v>
      </c>
      <c r="P2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60" s="14">
        <f>IF(ICE[[#This Row],[LastType]] = "Scrn", ICE[[#This Row],[LstDate]], IF(ICE[[#This Row],[LastType]] = "Blk", ICE[[#This Row],[LstBlkTime]], ""))</f>
        <v>0.41692129629629632</v>
      </c>
      <c r="R260" s="41">
        <f>IF(ICE[[#This Row],[LastType]] = "Scrn", ICE[[#This Row],[LstPrc]], IF(ICE[[#This Row],[LastType]] = "Blk", ICE[[#This Row],[LstBlkPrc]], ""))</f>
        <v>-8.07</v>
      </c>
      <c r="S260" s="36">
        <f>ICE[[#This Row],[Vol]]+ICE[[#This Row],[BlkVol]]</f>
        <v>39</v>
      </c>
      <c r="T260" s="36">
        <f>RTD("ice.rtd",,$C260 &amp; $D260 &amp; ":" &amp; T$1)</f>
        <v>0</v>
      </c>
      <c r="U260" s="18">
        <f>RTD("ice.rtd",,$C260 &amp; $D260 &amp; ":" &amp; U$1)</f>
        <v>-8.0739999999999998</v>
      </c>
      <c r="V2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-11.58 / -4.39 {-8.07} |39x</v>
      </c>
      <c r="W260" s="18" t="str">
        <f>IFERROR(IF(LEFT(ICE[[#This Row],[Tenor]], 1) = "B", RTD("esrtd",,$B260 &amp; " " &amp; ICE[[#This Row],[Tenor]] &amp; "-IEU", W$1), RTD("esrtd",,$B260 &amp; " " &amp; VLOOKUP(MONTH(ICE[[#This Row],[Strip]]), MthRef[], 2, 0) &amp; RIGHT(YEAR(ICE[[#This Row],[Strip]]), 2) &amp; "-IEU", W$1)), "")</f>
        <v/>
      </c>
      <c r="X260" s="36"/>
    </row>
    <row r="261" spans="1:24" x14ac:dyDescent="0.25">
      <c r="A261" s="37" t="s">
        <v>826</v>
      </c>
      <c r="B261" s="3" t="str">
        <f>RTD("ice.rtd",,$C261 &amp; $D261 &amp; ":" &amp; B$1)</f>
        <v>NBB</v>
      </c>
      <c r="C261" s="3">
        <v>57409036</v>
      </c>
      <c r="D261" t="s">
        <v>819</v>
      </c>
      <c r="E261" s="3" t="str">
        <f>RTD("ice.rtd",,$C261 &amp; $D261 &amp; ":" &amp; E$1)</f>
        <v>Q1 28</v>
      </c>
      <c r="F261" s="3" t="str">
        <f>ICE[[#This Row],[Prod]]&amp;ICE[[#This Row],[Strip]]</f>
        <v>napbrxbblQ1 28</v>
      </c>
      <c r="G261" s="18" t="str">
        <f>RTD("ice.rtd",,$C261 &amp; $D261 &amp; ":" &amp; G$1)</f>
        <v/>
      </c>
      <c r="H261" s="18" t="str">
        <f>RTD("ice.rtd",,$C261 &amp; $D261 &amp; ":" &amp; H$1)</f>
        <v/>
      </c>
      <c r="I261" s="18" t="str">
        <f>RTD("ice.rtd",,$C261 &amp; $D261 &amp; ":" &amp; I$1)</f>
        <v/>
      </c>
      <c r="J261" s="14" t="str">
        <f>IFERROR(MOD(RTD("ice.rtd",,$C261 &amp; $D261 &amp; ":" &amp; J$1), 1), "")</f>
        <v/>
      </c>
      <c r="K261" s="18" t="str">
        <f>RTD("ice.rtd",,$C261 &amp; $D261 &amp; ":" &amp; K$1)</f>
        <v/>
      </c>
      <c r="L261" s="36" t="str">
        <f>RTD("ice.rtd",,$C261 &amp; $D261 &amp; ":" &amp; L$1)</f>
        <v/>
      </c>
      <c r="M261" s="14" t="str">
        <f>IFERROR(MOD(TIMEVALUE(RTD("ice.rtd",,$C261 &amp; $D261 &amp; ":" &amp; M$1)), 1), "")</f>
        <v/>
      </c>
      <c r="N261" s="36">
        <f>RTD("ice.rtd",,$C261 &amp; $D261 &amp; ":" &amp; N$1)</f>
        <v>0</v>
      </c>
      <c r="O261" s="36">
        <f>RTD("ice.rtd",,$C261 &amp; $D261 &amp; ":" &amp; O$1)</f>
        <v>0</v>
      </c>
      <c r="P2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61" s="14" t="str">
        <f>IF(ICE[[#This Row],[LastType]] = "Scrn", ICE[[#This Row],[LstDate]], IF(ICE[[#This Row],[LastType]] = "Blk", ICE[[#This Row],[LstBlkTime]], ""))</f>
        <v/>
      </c>
      <c r="R261" s="41" t="str">
        <f>IF(ICE[[#This Row],[LastType]] = "Scrn", ICE[[#This Row],[LstPrc]], IF(ICE[[#This Row],[LastType]] = "Blk", ICE[[#This Row],[LstBlkPrc]], ""))</f>
        <v/>
      </c>
      <c r="S261" s="36">
        <f>ICE[[#This Row],[Vol]]+ICE[[#This Row],[BlkVol]]</f>
        <v>0</v>
      </c>
      <c r="T261" s="36">
        <f>RTD("ice.rtd",,$C261 &amp; $D261 &amp; ":" &amp; T$1)</f>
        <v>0</v>
      </c>
      <c r="U261" s="18">
        <f>RTD("ice.rtd",,$C261 &amp; $D261 &amp; ":" &amp; U$1)</f>
        <v>-8.2260000000000009</v>
      </c>
      <c r="V2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61" s="18" t="str">
        <f>IFERROR(IF(LEFT(ICE[[#This Row],[Tenor]], 1) = "B", RTD("esrtd",,$B261 &amp; " " &amp; ICE[[#This Row],[Tenor]] &amp; "-IEU", W$1), RTD("esrtd",,$B261 &amp; " " &amp; VLOOKUP(MONTH(ICE[[#This Row],[Strip]]), MthRef[], 2, 0) &amp; RIGHT(YEAR(ICE[[#This Row],[Strip]]), 2) &amp; "-IEU", W$1)), "")</f>
        <v/>
      </c>
      <c r="X261" s="36"/>
    </row>
    <row r="262" spans="1:24" x14ac:dyDescent="0.25">
      <c r="A262" s="37" t="s">
        <v>826</v>
      </c>
      <c r="B262" s="3" t="str">
        <f>RTD("ice.rtd",,$C262 &amp; $D262 &amp; ":" &amp; B$1)</f>
        <v>NBB</v>
      </c>
      <c r="C262" s="3">
        <v>57409036</v>
      </c>
      <c r="D262" t="s">
        <v>229</v>
      </c>
      <c r="E262" s="3" t="str">
        <f>RTD("ice.rtd",,$C262 &amp; $D262 &amp; ":" &amp; E$1)</f>
        <v>Q2 28</v>
      </c>
      <c r="F262" s="3" t="str">
        <f>ICE[[#This Row],[Prod]]&amp;ICE[[#This Row],[Strip]]</f>
        <v>napbrxbblQ2 28</v>
      </c>
      <c r="G262" s="18" t="str">
        <f>RTD("ice.rtd",,$C262 &amp; $D262 &amp; ":" &amp; G$1)</f>
        <v/>
      </c>
      <c r="H262" s="18" t="str">
        <f>RTD("ice.rtd",,$C262 &amp; $D262 &amp; ":" &amp; H$1)</f>
        <v/>
      </c>
      <c r="I262" s="18" t="str">
        <f>RTD("ice.rtd",,$C262 &amp; $D262 &amp; ":" &amp; I$1)</f>
        <v/>
      </c>
      <c r="J262" s="14" t="str">
        <f>IFERROR(MOD(RTD("ice.rtd",,$C262 &amp; $D262 &amp; ":" &amp; J$1), 1), "")</f>
        <v/>
      </c>
      <c r="K262" s="18" t="str">
        <f>RTD("ice.rtd",,$C262 &amp; $D262 &amp; ":" &amp; K$1)</f>
        <v/>
      </c>
      <c r="L262" s="36" t="str">
        <f>RTD("ice.rtd",,$C262 &amp; $D262 &amp; ":" &amp; L$1)</f>
        <v/>
      </c>
      <c r="M262" s="14" t="str">
        <f>IFERROR(MOD(TIMEVALUE(RTD("ice.rtd",,$C262 &amp; $D262 &amp; ":" &amp; M$1)), 1), "")</f>
        <v/>
      </c>
      <c r="N262" s="36">
        <f>RTD("ice.rtd",,$C262 &amp; $D262 &amp; ":" &amp; N$1)</f>
        <v>0</v>
      </c>
      <c r="O262" s="36">
        <f>RTD("ice.rtd",,$C262 &amp; $D262 &amp; ":" &amp; O$1)</f>
        <v>0</v>
      </c>
      <c r="P2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62" s="14" t="str">
        <f>IF(ICE[[#This Row],[LastType]] = "Scrn", ICE[[#This Row],[LstDate]], IF(ICE[[#This Row],[LastType]] = "Blk", ICE[[#This Row],[LstBlkTime]], ""))</f>
        <v/>
      </c>
      <c r="R262" s="41" t="str">
        <f>IF(ICE[[#This Row],[LastType]] = "Scrn", ICE[[#This Row],[LstPrc]], IF(ICE[[#This Row],[LastType]] = "Blk", ICE[[#This Row],[LstBlkPrc]], ""))</f>
        <v/>
      </c>
      <c r="S262" s="36">
        <f>ICE[[#This Row],[Vol]]+ICE[[#This Row],[BlkVol]]</f>
        <v>0</v>
      </c>
      <c r="T262" s="36">
        <f>RTD("ice.rtd",,$C262 &amp; $D262 &amp; ":" &amp; T$1)</f>
        <v>0</v>
      </c>
      <c r="U262" s="18">
        <f>RTD("ice.rtd",,$C262 &amp; $D262 &amp; ":" &amp; U$1)</f>
        <v>-9.0739999999999998</v>
      </c>
      <c r="V2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62" s="18" t="str">
        <f>IFERROR(IF(LEFT(ICE[[#This Row],[Tenor]], 1) = "B", RTD("esrtd",,$B262 &amp; " " &amp; ICE[[#This Row],[Tenor]] &amp; "-IEU", W$1), RTD("esrtd",,$B262 &amp; " " &amp; VLOOKUP(MONTH(ICE[[#This Row],[Strip]]), MthRef[], 2, 0) &amp; RIGHT(YEAR(ICE[[#This Row],[Strip]]), 2) &amp; "-IEU", W$1)), "")</f>
        <v/>
      </c>
      <c r="X262" s="36"/>
    </row>
    <row r="263" spans="1:24" x14ac:dyDescent="0.25">
      <c r="A263" s="37" t="s">
        <v>826</v>
      </c>
      <c r="B263" s="3" t="str">
        <f>RTD("ice.rtd",,$C263 &amp; $D263 &amp; ":" &amp; B$1)</f>
        <v>NBB</v>
      </c>
      <c r="C263" s="3">
        <v>57409036</v>
      </c>
      <c r="D263" t="s">
        <v>820</v>
      </c>
      <c r="E263" s="3" t="str">
        <f>RTD("ice.rtd",,$C263 &amp; $D263 &amp; ":" &amp; E$1)</f>
        <v>Q3 28</v>
      </c>
      <c r="F263" s="3" t="str">
        <f>ICE[[#This Row],[Prod]]&amp;ICE[[#This Row],[Strip]]</f>
        <v>napbrxbblQ3 28</v>
      </c>
      <c r="G263" s="18" t="str">
        <f>RTD("ice.rtd",,$C263 &amp; $D263 &amp; ":" &amp; G$1)</f>
        <v/>
      </c>
      <c r="H263" s="18" t="str">
        <f>RTD("ice.rtd",,$C263 &amp; $D263 &amp; ":" &amp; H$1)</f>
        <v/>
      </c>
      <c r="I263" s="18" t="str">
        <f>RTD("ice.rtd",,$C263 &amp; $D263 &amp; ":" &amp; I$1)</f>
        <v/>
      </c>
      <c r="J263" s="14" t="str">
        <f>IFERROR(MOD(RTD("ice.rtd",,$C263 &amp; $D263 &amp; ":" &amp; J$1), 1), "")</f>
        <v/>
      </c>
      <c r="K263" s="18" t="str">
        <f>RTD("ice.rtd",,$C263 &amp; $D263 &amp; ":" &amp; K$1)</f>
        <v/>
      </c>
      <c r="L263" s="36" t="str">
        <f>RTD("ice.rtd",,$C263 &amp; $D263 &amp; ":" &amp; L$1)</f>
        <v/>
      </c>
      <c r="M263" s="14" t="str">
        <f>IFERROR(MOD(TIMEVALUE(RTD("ice.rtd",,$C263 &amp; $D263 &amp; ":" &amp; M$1)), 1), "")</f>
        <v/>
      </c>
      <c r="N263" s="36">
        <f>RTD("ice.rtd",,$C263 &amp; $D263 &amp; ":" &amp; N$1)</f>
        <v>0</v>
      </c>
      <c r="O263" s="36">
        <f>RTD("ice.rtd",,$C263 &amp; $D263 &amp; ":" &amp; O$1)</f>
        <v>0</v>
      </c>
      <c r="P2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63" s="14" t="str">
        <f>IF(ICE[[#This Row],[LastType]] = "Scrn", ICE[[#This Row],[LstDate]], IF(ICE[[#This Row],[LastType]] = "Blk", ICE[[#This Row],[LstBlkTime]], ""))</f>
        <v/>
      </c>
      <c r="R263" s="41" t="str">
        <f>IF(ICE[[#This Row],[LastType]] = "Scrn", ICE[[#This Row],[LstPrc]], IF(ICE[[#This Row],[LastType]] = "Blk", ICE[[#This Row],[LstBlkPrc]], ""))</f>
        <v/>
      </c>
      <c r="S263" s="36">
        <f>ICE[[#This Row],[Vol]]+ICE[[#This Row],[BlkVol]]</f>
        <v>0</v>
      </c>
      <c r="T263" s="36">
        <f>RTD("ice.rtd",,$C263 &amp; $D263 &amp; ":" &amp; T$1)</f>
        <v>0</v>
      </c>
      <c r="U263" s="18">
        <f>RTD("ice.rtd",,$C263 &amp; $D263 &amp; ":" &amp; U$1)</f>
        <v>-9.1620000000000008</v>
      </c>
      <c r="V2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63" s="18" t="str">
        <f>IFERROR(IF(LEFT(ICE[[#This Row],[Tenor]], 1) = "B", RTD("esrtd",,$B263 &amp; " " &amp; ICE[[#This Row],[Tenor]] &amp; "-IEU", W$1), RTD("esrtd",,$B263 &amp; " " &amp; VLOOKUP(MONTH(ICE[[#This Row],[Strip]]), MthRef[], 2, 0) &amp; RIGHT(YEAR(ICE[[#This Row],[Strip]]), 2) &amp; "-IEU", W$1)), "")</f>
        <v/>
      </c>
      <c r="X263" s="36"/>
    </row>
    <row r="264" spans="1:24" x14ac:dyDescent="0.25">
      <c r="A264" s="37" t="s">
        <v>826</v>
      </c>
      <c r="B264" s="3" t="str">
        <f>RTD("ice.rtd",,$C264 &amp; $D264 &amp; ":" &amp; B$1)</f>
        <v>NBB</v>
      </c>
      <c r="C264" s="3">
        <v>57409036</v>
      </c>
      <c r="D264" t="s">
        <v>821</v>
      </c>
      <c r="E264" s="3" t="str">
        <f>RTD("ice.rtd",,$C264 &amp; $D264 &amp; ":" &amp; E$1)</f>
        <v>Q4 28</v>
      </c>
      <c r="F264" s="3" t="str">
        <f>ICE[[#This Row],[Prod]]&amp;ICE[[#This Row],[Strip]]</f>
        <v>napbrxbblQ4 28</v>
      </c>
      <c r="G264" s="18" t="str">
        <f>RTD("ice.rtd",,$C264 &amp; $D264 &amp; ":" &amp; G$1)</f>
        <v/>
      </c>
      <c r="H264" s="18" t="str">
        <f>RTD("ice.rtd",,$C264 &amp; $D264 &amp; ":" &amp; H$1)</f>
        <v/>
      </c>
      <c r="I264" s="18" t="str">
        <f>RTD("ice.rtd",,$C264 &amp; $D264 &amp; ":" &amp; I$1)</f>
        <v/>
      </c>
      <c r="J264" s="14" t="str">
        <f>IFERROR(MOD(RTD("ice.rtd",,$C264 &amp; $D264 &amp; ":" &amp; J$1), 1), "")</f>
        <v/>
      </c>
      <c r="K264" s="18" t="str">
        <f>RTD("ice.rtd",,$C264 &amp; $D264 &amp; ":" &amp; K$1)</f>
        <v/>
      </c>
      <c r="L264" s="36" t="str">
        <f>RTD("ice.rtd",,$C264 &amp; $D264 &amp; ":" &amp; L$1)</f>
        <v/>
      </c>
      <c r="M264" s="14" t="str">
        <f>IFERROR(MOD(TIMEVALUE(RTD("ice.rtd",,$C264 &amp; $D264 &amp; ":" &amp; M$1)), 1), "")</f>
        <v/>
      </c>
      <c r="N264" s="36">
        <f>RTD("ice.rtd",,$C264 &amp; $D264 &amp; ":" &amp; N$1)</f>
        <v>0</v>
      </c>
      <c r="O264" s="36">
        <f>RTD("ice.rtd",,$C264 &amp; $D264 &amp; ":" &amp; O$1)</f>
        <v>0</v>
      </c>
      <c r="P2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64" s="14" t="str">
        <f>IF(ICE[[#This Row],[LastType]] = "Scrn", ICE[[#This Row],[LstDate]], IF(ICE[[#This Row],[LastType]] = "Blk", ICE[[#This Row],[LstBlkTime]], ""))</f>
        <v/>
      </c>
      <c r="R264" s="41" t="str">
        <f>IF(ICE[[#This Row],[LastType]] = "Scrn", ICE[[#This Row],[LstPrc]], IF(ICE[[#This Row],[LastType]] = "Blk", ICE[[#This Row],[LstBlkPrc]], ""))</f>
        <v/>
      </c>
      <c r="S264" s="36">
        <f>ICE[[#This Row],[Vol]]+ICE[[#This Row],[BlkVol]]</f>
        <v>0</v>
      </c>
      <c r="T264" s="36">
        <f>RTD("ice.rtd",,$C264 &amp; $D264 &amp; ":" &amp; T$1)</f>
        <v>0</v>
      </c>
      <c r="U264" s="18">
        <f>RTD("ice.rtd",,$C264 &amp; $D264 &amp; ":" &amp; U$1)</f>
        <v>-8.745000000000001</v>
      </c>
      <c r="V2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64" s="18" t="str">
        <f>IFERROR(IF(LEFT(ICE[[#This Row],[Tenor]], 1) = "B", RTD("esrtd",,$B264 &amp; " " &amp; ICE[[#This Row],[Tenor]] &amp; "-IEU", W$1), RTD("esrtd",,$B264 &amp; " " &amp; VLOOKUP(MONTH(ICE[[#This Row],[Strip]]), MthRef[], 2, 0) &amp; RIGHT(YEAR(ICE[[#This Row],[Strip]]), 2) &amp; "-IEU", W$1)), "")</f>
        <v/>
      </c>
      <c r="X264" s="36"/>
    </row>
    <row r="265" spans="1:24" x14ac:dyDescent="0.25">
      <c r="A265" s="37" t="s">
        <v>826</v>
      </c>
      <c r="B265" s="3" t="str">
        <f>RTD("ice.rtd",,$C265 &amp; $D265 &amp; ":" &amp; B$1)</f>
        <v>NBB</v>
      </c>
      <c r="C265" s="3">
        <v>57409036</v>
      </c>
      <c r="D265" t="s">
        <v>822</v>
      </c>
      <c r="E265" s="3" t="str">
        <f>RTD("ice.rtd",,$C265 &amp; $D265 &amp; ":" &amp; E$1)</f>
        <v>Cal 27</v>
      </c>
      <c r="F265" s="3" t="str">
        <f>ICE[[#This Row],[Prod]]&amp;ICE[[#This Row],[Strip]]</f>
        <v>napbrxbblCal 27</v>
      </c>
      <c r="G265" s="18">
        <f>RTD("ice.rtd",,$C265 &amp; $D265 &amp; ":" &amp; G$1)</f>
        <v>-10.57</v>
      </c>
      <c r="H265" s="18">
        <f>RTD("ice.rtd",,$C265 &amp; $D265 &amp; ":" &amp; H$1)</f>
        <v>-3.38</v>
      </c>
      <c r="I265" s="18" t="str">
        <f>RTD("ice.rtd",,$C265 &amp; $D265 &amp; ":" &amp; I$1)</f>
        <v/>
      </c>
      <c r="J265" s="14" t="str">
        <f>IFERROR(MOD(RTD("ice.rtd",,$C265 &amp; $D265 &amp; ":" &amp; J$1), 1), "")</f>
        <v/>
      </c>
      <c r="K265" s="18">
        <f>RTD("ice.rtd",,$C265 &amp; $D265 &amp; ":" &amp; K$1)</f>
        <v>-7.05</v>
      </c>
      <c r="L265" s="36">
        <f>RTD("ice.rtd",,$C265 &amp; $D265 &amp; ":" &amp; L$1)</f>
        <v>4</v>
      </c>
      <c r="M265" s="14">
        <f>IFERROR(MOD(TIMEVALUE(RTD("ice.rtd",,$C265 &amp; $D265 &amp; ":" &amp; M$1)), 1), "")</f>
        <v>0.39178240740740738</v>
      </c>
      <c r="N265" s="36">
        <f>RTD("ice.rtd",,$C265 &amp; $D265 &amp; ":" &amp; N$1)</f>
        <v>0</v>
      </c>
      <c r="O265" s="36">
        <f>RTD("ice.rtd",,$C265 &amp; $D265 &amp; ":" &amp; O$1)</f>
        <v>19</v>
      </c>
      <c r="P2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65" s="14">
        <f>IF(ICE[[#This Row],[LastType]] = "Scrn", ICE[[#This Row],[LstDate]], IF(ICE[[#This Row],[LastType]] = "Blk", ICE[[#This Row],[LstBlkTime]], ""))</f>
        <v>0.39178240740740738</v>
      </c>
      <c r="R265" s="41">
        <f>IF(ICE[[#This Row],[LastType]] = "Scrn", ICE[[#This Row],[LstPrc]], IF(ICE[[#This Row],[LastType]] = "Blk", ICE[[#This Row],[LstBlkPrc]], ""))</f>
        <v>-7.05</v>
      </c>
      <c r="S265" s="36">
        <f>ICE[[#This Row],[Vol]]+ICE[[#This Row],[BlkVol]]</f>
        <v>19</v>
      </c>
      <c r="T265" s="36">
        <f>RTD("ice.rtd",,$C265 &amp; $D265 &amp; ":" &amp; T$1)</f>
        <v>0</v>
      </c>
      <c r="U265" s="18">
        <f>RTD("ice.rtd",,$C265 &amp; $D265 &amp; ":" &amp; U$1)</f>
        <v>-7.0170000000000003</v>
      </c>
      <c r="V2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-10.57 / -3.38 {-7.05} |19x</v>
      </c>
      <c r="W265" s="18" t="str">
        <f>IFERROR(IF(LEFT(ICE[[#This Row],[Tenor]], 1) = "B", RTD("esrtd",,$B265 &amp; " " &amp; ICE[[#This Row],[Tenor]] &amp; "-IEU", W$1), RTD("esrtd",,$B265 &amp; " " &amp; VLOOKUP(MONTH(ICE[[#This Row],[Strip]]), MthRef[], 2, 0) &amp; RIGHT(YEAR(ICE[[#This Row],[Strip]]), 2) &amp; "-IEU", W$1)), "")</f>
        <v/>
      </c>
      <c r="X265" s="36"/>
    </row>
    <row r="266" spans="1:24" x14ac:dyDescent="0.25">
      <c r="A266" s="37" t="s">
        <v>826</v>
      </c>
      <c r="B266" s="3" t="str">
        <f>RTD("ice.rtd",,$C266 &amp; $D266 &amp; ":" &amp; B$1)</f>
        <v>NBB</v>
      </c>
      <c r="C266" s="3">
        <v>57409036</v>
      </c>
      <c r="D266" t="s">
        <v>823</v>
      </c>
      <c r="E266" s="3" t="str">
        <f>RTD("ice.rtd",,$C266 &amp; $D266 &amp; ":" &amp; E$1)</f>
        <v>Cal 28</v>
      </c>
      <c r="F266" s="3" t="str">
        <f>ICE[[#This Row],[Prod]]&amp;ICE[[#This Row],[Strip]]</f>
        <v>napbrxbblCal 28</v>
      </c>
      <c r="G266" s="18" t="str">
        <f>RTD("ice.rtd",,$C266 &amp; $D266 &amp; ":" &amp; G$1)</f>
        <v/>
      </c>
      <c r="H266" s="18" t="str">
        <f>RTD("ice.rtd",,$C266 &amp; $D266 &amp; ":" &amp; H$1)</f>
        <v/>
      </c>
      <c r="I266" s="18" t="str">
        <f>RTD("ice.rtd",,$C266 &amp; $D266 &amp; ":" &amp; I$1)</f>
        <v/>
      </c>
      <c r="J266" s="14" t="str">
        <f>IFERROR(MOD(RTD("ice.rtd",,$C266 &amp; $D266 &amp; ":" &amp; J$1), 1), "")</f>
        <v/>
      </c>
      <c r="K266" s="18">
        <f>RTD("ice.rtd",,$C266 &amp; $D266 &amp; ":" &amp; K$1)</f>
        <v>-8.8000000000000007</v>
      </c>
      <c r="L266" s="36">
        <f>RTD("ice.rtd",,$C266 &amp; $D266 &amp; ":" &amp; L$1)</f>
        <v>10</v>
      </c>
      <c r="M266" s="14">
        <f>IFERROR(MOD(TIMEVALUE(RTD("ice.rtd",,$C266 &amp; $D266 &amp; ":" &amp; M$1)), 1), "")</f>
        <v>0.43807870370370372</v>
      </c>
      <c r="N266" s="36">
        <f>RTD("ice.rtd",,$C266 &amp; $D266 &amp; ":" &amp; N$1)</f>
        <v>0</v>
      </c>
      <c r="O266" s="36">
        <f>RTD("ice.rtd",,$C266 &amp; $D266 &amp; ":" &amp; O$1)</f>
        <v>40</v>
      </c>
      <c r="P2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66" s="14">
        <f>IF(ICE[[#This Row],[LastType]] = "Scrn", ICE[[#This Row],[LstDate]], IF(ICE[[#This Row],[LastType]] = "Blk", ICE[[#This Row],[LstBlkTime]], ""))</f>
        <v>0.43807870370370372</v>
      </c>
      <c r="R266" s="41">
        <f>IF(ICE[[#This Row],[LastType]] = "Scrn", ICE[[#This Row],[LstPrc]], IF(ICE[[#This Row],[LastType]] = "Blk", ICE[[#This Row],[LstBlkPrc]], ""))</f>
        <v>-8.8000000000000007</v>
      </c>
      <c r="S266" s="36">
        <f>ICE[[#This Row],[Vol]]+ICE[[#This Row],[BlkVol]]</f>
        <v>40</v>
      </c>
      <c r="T266" s="36">
        <f>RTD("ice.rtd",,$C266 &amp; $D266 &amp; ":" &amp; T$1)</f>
        <v>0</v>
      </c>
      <c r="U266" s="18">
        <f>RTD("ice.rtd",,$C266 &amp; $D266 &amp; ":" &amp; U$1)</f>
        <v>-8.8019999999999996</v>
      </c>
      <c r="V2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{-8.80} |40x</v>
      </c>
      <c r="W266" s="18" t="str">
        <f>IFERROR(IF(LEFT(ICE[[#This Row],[Tenor]], 1) = "B", RTD("esrtd",,$B266 &amp; " " &amp; ICE[[#This Row],[Tenor]] &amp; "-IEU", W$1), RTD("esrtd",,$B266 &amp; " " &amp; VLOOKUP(MONTH(ICE[[#This Row],[Strip]]), MthRef[], 2, 0) &amp; RIGHT(YEAR(ICE[[#This Row],[Strip]]), 2) &amp; "-IEU", W$1)), "")</f>
        <v/>
      </c>
      <c r="X266" s="36"/>
    </row>
    <row r="267" spans="1:24" x14ac:dyDescent="0.25">
      <c r="A267" s="37" t="s">
        <v>826</v>
      </c>
      <c r="B267" s="3" t="str">
        <f>RTD("ice.rtd",,$C267 &amp; $D267 &amp; ":" &amp; B$1)</f>
        <v>NBB</v>
      </c>
      <c r="C267" s="3">
        <v>57409036</v>
      </c>
      <c r="D267" t="s">
        <v>824</v>
      </c>
      <c r="E267" s="3" t="str">
        <f>RTD("ice.rtd",,$C267 &amp; $D267 &amp; ":" &amp; E$1)</f>
        <v>Cal 29</v>
      </c>
      <c r="F267" s="3" t="str">
        <f>ICE[[#This Row],[Prod]]&amp;ICE[[#This Row],[Strip]]</f>
        <v>napbrxbblCal 29</v>
      </c>
      <c r="G267" s="18" t="str">
        <f>RTD("ice.rtd",,$C267 &amp; $D267 &amp; ":" &amp; G$1)</f>
        <v/>
      </c>
      <c r="H267" s="18" t="str">
        <f>RTD("ice.rtd",,$C267 &amp; $D267 &amp; ":" &amp; H$1)</f>
        <v/>
      </c>
      <c r="I267" s="18" t="str">
        <f>RTD("ice.rtd",,$C267 &amp; $D267 &amp; ":" &amp; I$1)</f>
        <v/>
      </c>
      <c r="J267" s="14" t="str">
        <f>IFERROR(MOD(RTD("ice.rtd",,$C267 &amp; $D267 &amp; ":" &amp; J$1), 1), "")</f>
        <v/>
      </c>
      <c r="K267" s="18" t="str">
        <f>RTD("ice.rtd",,$C267 &amp; $D267 &amp; ":" &amp; K$1)</f>
        <v/>
      </c>
      <c r="L267" s="36" t="str">
        <f>RTD("ice.rtd",,$C267 &amp; $D267 &amp; ":" &amp; L$1)</f>
        <v/>
      </c>
      <c r="M267" s="14" t="str">
        <f>IFERROR(MOD(TIMEVALUE(RTD("ice.rtd",,$C267 &amp; $D267 &amp; ":" &amp; M$1)), 1), "")</f>
        <v/>
      </c>
      <c r="N267" s="36">
        <f>RTD("ice.rtd",,$C267 &amp; $D267 &amp; ":" &amp; N$1)</f>
        <v>0</v>
      </c>
      <c r="O267" s="36">
        <f>RTD("ice.rtd",,$C267 &amp; $D267 &amp; ":" &amp; O$1)</f>
        <v>0</v>
      </c>
      <c r="P2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67" s="14" t="str">
        <f>IF(ICE[[#This Row],[LastType]] = "Scrn", ICE[[#This Row],[LstDate]], IF(ICE[[#This Row],[LastType]] = "Blk", ICE[[#This Row],[LstBlkTime]], ""))</f>
        <v/>
      </c>
      <c r="R267" s="41" t="str">
        <f>IF(ICE[[#This Row],[LastType]] = "Scrn", ICE[[#This Row],[LstPrc]], IF(ICE[[#This Row],[LastType]] = "Blk", ICE[[#This Row],[LstBlkPrc]], ""))</f>
        <v/>
      </c>
      <c r="S267" s="36">
        <f>ICE[[#This Row],[Vol]]+ICE[[#This Row],[BlkVol]]</f>
        <v>0</v>
      </c>
      <c r="T267" s="36">
        <f>RTD("ice.rtd",,$C267 &amp; $D267 &amp; ":" &amp; T$1)</f>
        <v>0</v>
      </c>
      <c r="U267" s="18">
        <f>RTD("ice.rtd",,$C267 &amp; $D267 &amp; ":" &amp; U$1)</f>
        <v>-7.86</v>
      </c>
      <c r="V2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67" s="18" t="str">
        <f>IFERROR(IF(LEFT(ICE[[#This Row],[Tenor]], 1) = "B", RTD("esrtd",,$B267 &amp; " " &amp; ICE[[#This Row],[Tenor]] &amp; "-IEU", W$1), RTD("esrtd",,$B267 &amp; " " &amp; VLOOKUP(MONTH(ICE[[#This Row],[Strip]]), MthRef[], 2, 0) &amp; RIGHT(YEAR(ICE[[#This Row],[Strip]]), 2) &amp; "-IEU", W$1)), "")</f>
        <v/>
      </c>
      <c r="X267" s="36"/>
    </row>
    <row r="268" spans="1:24" x14ac:dyDescent="0.25">
      <c r="A268" s="71" t="s">
        <v>392</v>
      </c>
      <c r="B268" s="3" t="str">
        <f>RTD("ice.rtd",,$C268 &amp; $D268 &amp; ":" &amp; B$1)</f>
        <v>Invalid Market: CALCB0</v>
      </c>
      <c r="C268" s="72" t="s">
        <v>827</v>
      </c>
      <c r="D268" s="73" t="s">
        <v>792</v>
      </c>
      <c r="E268" s="72" t="str">
        <f t="shared" ref="E268:E285" si="0">E230</f>
        <v>Bal Month</v>
      </c>
      <c r="F268" s="72" t="str">
        <f>ICE[[#This Row],[Prod]]&amp;ICE[[#This Row],[Strip]]</f>
        <v>napbrxBal Month</v>
      </c>
      <c r="G268" s="75"/>
      <c r="H268" s="75" t="str">
        <f>IF(ISNUMBER(H192), IF(ISNUMBER(H230), MAX(H192, H230), H192), IF(ISNUMBER(H230), H230, ""))</f>
        <v/>
      </c>
      <c r="I268" s="75"/>
      <c r="J268" s="76"/>
      <c r="K268" s="75"/>
      <c r="L268" s="74"/>
      <c r="M268" s="76"/>
      <c r="N268" s="74"/>
      <c r="O268" s="74"/>
      <c r="P268" s="74"/>
      <c r="Q268" s="76"/>
      <c r="R268" s="75" t="str">
        <f>IF(ISNUMBER(R192), IF(ISNUMBER(R230), IF(Q192&gt;Q230, R192, R230), R192), IF(ISNUMBER(R230), R230, ""))</f>
        <v/>
      </c>
      <c r="S268" s="74">
        <f>S192*8.9 + S230</f>
        <v>0</v>
      </c>
      <c r="T268" s="74">
        <f>T192*8.9 + T230</f>
        <v>0</v>
      </c>
      <c r="U268" s="75">
        <f>U230</f>
        <v>-4.2640000000000002</v>
      </c>
      <c r="V2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68" s="18" t="str">
        <f>IFERROR(IF(LEFT(ICE[[#This Row],[Tenor]], 1) = "B", RTD("esrtd",,$B268 &amp; " " &amp; ICE[[#This Row],[Tenor]] &amp; "-IEU", W$1), RTD("esrtd",,$B268 &amp; " " &amp; VLOOKUP(MONTH(ICE[[#This Row],[Strip]]), MthRef[], 2, 0) &amp; RIGHT(YEAR(ICE[[#This Row],[Strip]]), 2) &amp; "-IEU", W$1)), "")</f>
        <v/>
      </c>
      <c r="X268" s="36"/>
    </row>
    <row r="269" spans="1:24" x14ac:dyDescent="0.25">
      <c r="A269" s="71" t="s">
        <v>392</v>
      </c>
      <c r="B269" s="3" t="str">
        <f>RTD("ice.rtd",,$C269 &amp; $D269 &amp; ":" &amp; B$1)</f>
        <v>Invalid Market: CALCM0</v>
      </c>
      <c r="C269" s="72" t="s">
        <v>827</v>
      </c>
      <c r="D269" s="73" t="s">
        <v>793</v>
      </c>
      <c r="E269" s="72" t="str">
        <f t="shared" si="0"/>
        <v>Sep26</v>
      </c>
      <c r="F269" s="72" t="str">
        <f>ICE[[#This Row],[Prod]]&amp;ICE[[#This Row],[Strip]]</f>
        <v>napbrxSep26</v>
      </c>
      <c r="G269" s="75"/>
      <c r="H269" s="75" t="str">
        <f t="shared" ref="H269:H305" si="1">IF(ISNUMBER(H193), IF(ISNUMBER(H231), MAX(H193, H231), H193), IF(ISNUMBER(H231), H231, ""))</f>
        <v/>
      </c>
      <c r="I269" s="75"/>
      <c r="J269" s="76"/>
      <c r="K269" s="75"/>
      <c r="L269" s="74"/>
      <c r="M269" s="76"/>
      <c r="N269" s="74"/>
      <c r="O269" s="74"/>
      <c r="P269" s="74"/>
      <c r="Q269" s="76"/>
      <c r="R269" s="75" t="str">
        <f t="shared" ref="R269:R305" si="2">IF(ISNUMBER(R193), IF(ISNUMBER(R231), IF(Q193&gt;Q231, R193, R231), R193), IF(ISNUMBER(R231), R231, ""))</f>
        <v/>
      </c>
      <c r="S269" s="74">
        <f t="shared" ref="S269:T305" si="3">S193*8.9 + S231</f>
        <v>0</v>
      </c>
      <c r="T269" s="74">
        <f t="shared" si="3"/>
        <v>20201.7</v>
      </c>
      <c r="U269" s="75">
        <f t="shared" ref="U269:U305" si="4">U231</f>
        <v>-4.2640000000000002</v>
      </c>
      <c r="V2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69" s="18" t="str">
        <f>IFERROR(IF(LEFT(ICE[[#This Row],[Tenor]], 1) = "B", RTD("esrtd",,$B269 &amp; " " &amp; ICE[[#This Row],[Tenor]] &amp; "-IEU", W$1), RTD("esrtd",,$B269 &amp; " " &amp; VLOOKUP(MONTH(ICE[[#This Row],[Strip]]), MthRef[], 2, 0) &amp; RIGHT(YEAR(ICE[[#This Row],[Strip]]), 2) &amp; "-IEU", W$1)), "")</f>
        <v/>
      </c>
      <c r="X269" s="36"/>
    </row>
    <row r="270" spans="1:24" x14ac:dyDescent="0.25">
      <c r="A270" s="71" t="s">
        <v>392</v>
      </c>
      <c r="B270" s="3" t="str">
        <f>RTD("ice.rtd",,$C270 &amp; $D270 &amp; ":" &amp; B$1)</f>
        <v>Invalid Market: CALCM1</v>
      </c>
      <c r="C270" s="72" t="s">
        <v>827</v>
      </c>
      <c r="D270" s="73" t="s">
        <v>324</v>
      </c>
      <c r="E270" s="72" t="str">
        <f t="shared" si="0"/>
        <v>Oct26</v>
      </c>
      <c r="F270" s="72" t="str">
        <f>ICE[[#This Row],[Prod]]&amp;ICE[[#This Row],[Strip]]</f>
        <v>napbrxOct26</v>
      </c>
      <c r="G270" s="75"/>
      <c r="H270" s="75">
        <f t="shared" si="1"/>
        <v>-0.3</v>
      </c>
      <c r="I270" s="75"/>
      <c r="J270" s="76"/>
      <c r="K270" s="75"/>
      <c r="L270" s="74"/>
      <c r="M270" s="76"/>
      <c r="N270" s="74"/>
      <c r="O270" s="74"/>
      <c r="P270" s="74"/>
      <c r="Q270" s="76"/>
      <c r="R270" s="75">
        <f t="shared" si="2"/>
        <v>-3.9</v>
      </c>
      <c r="S270" s="74">
        <f t="shared" si="3"/>
        <v>762.5</v>
      </c>
      <c r="T270" s="74">
        <f t="shared" si="3"/>
        <v>14603.8</v>
      </c>
      <c r="U270" s="75">
        <f t="shared" si="4"/>
        <v>-3.7</v>
      </c>
      <c r="V2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-0.30 {-3.90} |763x</v>
      </c>
      <c r="W270" s="18" t="str">
        <f>IFERROR(IF(LEFT(ICE[[#This Row],[Tenor]], 1) = "B", RTD("esrtd",,$B270 &amp; " " &amp; ICE[[#This Row],[Tenor]] &amp; "-IEU", W$1), RTD("esrtd",,$B270 &amp; " " &amp; VLOOKUP(MONTH(ICE[[#This Row],[Strip]]), MthRef[], 2, 0) &amp; RIGHT(YEAR(ICE[[#This Row],[Strip]]), 2) &amp; "-IEU", W$1)), "")</f>
        <v/>
      </c>
      <c r="X270" s="36"/>
    </row>
    <row r="271" spans="1:24" x14ac:dyDescent="0.25">
      <c r="A271" s="71" t="s">
        <v>392</v>
      </c>
      <c r="B271" s="3" t="str">
        <f>RTD("ice.rtd",,$C271 &amp; $D271 &amp; ":" &amp; B$1)</f>
        <v>Invalid Market: CALCM2</v>
      </c>
      <c r="C271" s="72" t="s">
        <v>827</v>
      </c>
      <c r="D271" s="73" t="s">
        <v>325</v>
      </c>
      <c r="E271" s="72" t="str">
        <f t="shared" si="0"/>
        <v>Nov26</v>
      </c>
      <c r="F271" s="72" t="str">
        <f>ICE[[#This Row],[Prod]]&amp;ICE[[#This Row],[Strip]]</f>
        <v>napbrxNov26</v>
      </c>
      <c r="G271" s="75"/>
      <c r="H271" s="75">
        <f t="shared" si="1"/>
        <v>-0.56000000000000005</v>
      </c>
      <c r="I271" s="75"/>
      <c r="J271" s="76"/>
      <c r="K271" s="75"/>
      <c r="L271" s="74"/>
      <c r="M271" s="76"/>
      <c r="N271" s="74"/>
      <c r="O271" s="74"/>
      <c r="P271" s="74"/>
      <c r="Q271" s="76"/>
      <c r="R271" s="75" t="str">
        <f t="shared" si="2"/>
        <v/>
      </c>
      <c r="S271" s="74">
        <f t="shared" si="3"/>
        <v>110</v>
      </c>
      <c r="T271" s="74">
        <f t="shared" si="3"/>
        <v>12019.1</v>
      </c>
      <c r="U271" s="75">
        <f t="shared" si="4"/>
        <v>-4.0470000000000006</v>
      </c>
      <c r="V2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-0.56  |110x</v>
      </c>
      <c r="W271" s="18" t="str">
        <f>IFERROR(IF(LEFT(ICE[[#This Row],[Tenor]], 1) = "B", RTD("esrtd",,$B271 &amp; " " &amp; ICE[[#This Row],[Tenor]] &amp; "-IEU", W$1), RTD("esrtd",,$B271 &amp; " " &amp; VLOOKUP(MONTH(ICE[[#This Row],[Strip]]), MthRef[], 2, 0) &amp; RIGHT(YEAR(ICE[[#This Row],[Strip]]), 2) &amp; "-IEU", W$1)), "")</f>
        <v/>
      </c>
      <c r="X271" s="36"/>
    </row>
    <row r="272" spans="1:24" x14ac:dyDescent="0.25">
      <c r="A272" s="71" t="s">
        <v>392</v>
      </c>
      <c r="B272" s="3" t="str">
        <f>RTD("ice.rtd",,$C272 &amp; $D272 &amp; ":" &amp; B$1)</f>
        <v>Invalid Market: CALCM3</v>
      </c>
      <c r="C272" s="72" t="s">
        <v>827</v>
      </c>
      <c r="D272" s="73" t="s">
        <v>326</v>
      </c>
      <c r="E272" s="72" t="str">
        <f t="shared" si="0"/>
        <v>Dec26</v>
      </c>
      <c r="F272" s="72" t="str">
        <f>ICE[[#This Row],[Prod]]&amp;ICE[[#This Row],[Strip]]</f>
        <v>napbrxDec26</v>
      </c>
      <c r="G272" s="75"/>
      <c r="H272" s="75">
        <f t="shared" si="1"/>
        <v>-1.07</v>
      </c>
      <c r="I272" s="75"/>
      <c r="J272" s="76"/>
      <c r="K272" s="75"/>
      <c r="L272" s="74"/>
      <c r="M272" s="76"/>
      <c r="N272" s="74"/>
      <c r="O272" s="74"/>
      <c r="P272" s="74"/>
      <c r="Q272" s="76"/>
      <c r="R272" s="75">
        <f t="shared" si="2"/>
        <v>-4.7</v>
      </c>
      <c r="S272" s="74">
        <f t="shared" si="3"/>
        <v>260</v>
      </c>
      <c r="T272" s="74">
        <f t="shared" si="3"/>
        <v>12569.1</v>
      </c>
      <c r="U272" s="75">
        <f t="shared" si="4"/>
        <v>-4.577</v>
      </c>
      <c r="V2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-1.07 {-4.70} |260x</v>
      </c>
      <c r="W272" s="18" t="str">
        <f>IFERROR(IF(LEFT(ICE[[#This Row],[Tenor]], 1) = "B", RTD("esrtd",,$B272 &amp; " " &amp; ICE[[#This Row],[Tenor]] &amp; "-IEU", W$1), RTD("esrtd",,$B272 &amp; " " &amp; VLOOKUP(MONTH(ICE[[#This Row],[Strip]]), MthRef[], 2, 0) &amp; RIGHT(YEAR(ICE[[#This Row],[Strip]]), 2) &amp; "-IEU", W$1)), "")</f>
        <v/>
      </c>
      <c r="X272" s="36"/>
    </row>
    <row r="273" spans="1:24" x14ac:dyDescent="0.25">
      <c r="A273" s="71" t="s">
        <v>392</v>
      </c>
      <c r="B273" s="3" t="str">
        <f>RTD("ice.rtd",,$C273 &amp; $D273 &amp; ":" &amp; B$1)</f>
        <v>Invalid Market: CALCM4</v>
      </c>
      <c r="C273" s="72" t="s">
        <v>827</v>
      </c>
      <c r="D273" s="73" t="s">
        <v>794</v>
      </c>
      <c r="E273" s="72" t="str">
        <f t="shared" si="0"/>
        <v>Jan27</v>
      </c>
      <c r="F273" s="72" t="str">
        <f>ICE[[#This Row],[Prod]]&amp;ICE[[#This Row],[Strip]]</f>
        <v>napbrxJan27</v>
      </c>
      <c r="G273" s="75"/>
      <c r="H273" s="75">
        <f t="shared" si="1"/>
        <v>-1.04</v>
      </c>
      <c r="I273" s="75"/>
      <c r="J273" s="76"/>
      <c r="K273" s="75"/>
      <c r="L273" s="74"/>
      <c r="M273" s="76"/>
      <c r="N273" s="74"/>
      <c r="O273" s="74"/>
      <c r="P273" s="74"/>
      <c r="Q273" s="76"/>
      <c r="R273" s="75" t="str">
        <f t="shared" si="2"/>
        <v/>
      </c>
      <c r="S273" s="74">
        <f t="shared" si="3"/>
        <v>89</v>
      </c>
      <c r="T273" s="74">
        <f t="shared" si="3"/>
        <v>10477</v>
      </c>
      <c r="U273" s="75">
        <f t="shared" si="4"/>
        <v>-4.5910000000000002</v>
      </c>
      <c r="V2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-1.04  |89x</v>
      </c>
      <c r="W273" s="18" t="str">
        <f>IFERROR(IF(LEFT(ICE[[#This Row],[Tenor]], 1) = "B", RTD("esrtd",,$B273 &amp; " " &amp; ICE[[#This Row],[Tenor]] &amp; "-IEU", W$1), RTD("esrtd",,$B273 &amp; " " &amp; VLOOKUP(MONTH(ICE[[#This Row],[Strip]]), MthRef[], 2, 0) &amp; RIGHT(YEAR(ICE[[#This Row],[Strip]]), 2) &amp; "-IEU", W$1)), "")</f>
        <v/>
      </c>
      <c r="X273" s="36"/>
    </row>
    <row r="274" spans="1:24" x14ac:dyDescent="0.25">
      <c r="A274" s="71" t="s">
        <v>392</v>
      </c>
      <c r="B274" s="3" t="str">
        <f>RTD("ice.rtd",,$C274 &amp; $D274 &amp; ":" &amp; B$1)</f>
        <v>Invalid Market: CALCM5</v>
      </c>
      <c r="C274" s="72" t="s">
        <v>827</v>
      </c>
      <c r="D274" s="73" t="s">
        <v>795</v>
      </c>
      <c r="E274" s="72" t="str">
        <f t="shared" si="0"/>
        <v>Feb27</v>
      </c>
      <c r="F274" s="72" t="str">
        <f>ICE[[#This Row],[Prod]]&amp;ICE[[#This Row],[Strip]]</f>
        <v>napbrxFeb27</v>
      </c>
      <c r="G274" s="75"/>
      <c r="H274" s="75">
        <f t="shared" si="1"/>
        <v>-1.41</v>
      </c>
      <c r="I274" s="75"/>
      <c r="J274" s="76"/>
      <c r="K274" s="75"/>
      <c r="L274" s="74"/>
      <c r="M274" s="76"/>
      <c r="N274" s="74"/>
      <c r="O274" s="74"/>
      <c r="P274" s="74"/>
      <c r="Q274" s="76"/>
      <c r="R274" s="75" t="str">
        <f t="shared" si="2"/>
        <v/>
      </c>
      <c r="S274" s="74">
        <f t="shared" si="3"/>
        <v>89</v>
      </c>
      <c r="T274" s="74">
        <f t="shared" si="3"/>
        <v>11127.2</v>
      </c>
      <c r="U274" s="75">
        <f t="shared" si="4"/>
        <v>-4.9880000000000004</v>
      </c>
      <c r="V2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-1.41  |89x</v>
      </c>
      <c r="W274" s="18" t="str">
        <f>IFERROR(IF(LEFT(ICE[[#This Row],[Tenor]], 1) = "B", RTD("esrtd",,$B274 &amp; " " &amp; ICE[[#This Row],[Tenor]] &amp; "-IEU", W$1), RTD("esrtd",,$B274 &amp; " " &amp; VLOOKUP(MONTH(ICE[[#This Row],[Strip]]), MthRef[], 2, 0) &amp; RIGHT(YEAR(ICE[[#This Row],[Strip]]), 2) &amp; "-IEU", W$1)), "")</f>
        <v/>
      </c>
      <c r="X274" s="36"/>
    </row>
    <row r="275" spans="1:24" x14ac:dyDescent="0.25">
      <c r="A275" s="71" t="s">
        <v>392</v>
      </c>
      <c r="B275" s="3" t="str">
        <f>RTD("ice.rtd",,$C275 &amp; $D275 &amp; ":" &amp; B$1)</f>
        <v>Invalid Market: CALCM6</v>
      </c>
      <c r="C275" s="72" t="s">
        <v>827</v>
      </c>
      <c r="D275" s="73" t="s">
        <v>113</v>
      </c>
      <c r="E275" s="72" t="str">
        <f t="shared" si="0"/>
        <v>Mar27</v>
      </c>
      <c r="F275" s="72" t="str">
        <f>ICE[[#This Row],[Prod]]&amp;ICE[[#This Row],[Strip]]</f>
        <v>napbrxMar27</v>
      </c>
      <c r="G275" s="75"/>
      <c r="H275" s="75">
        <f t="shared" si="1"/>
        <v>-2.1</v>
      </c>
      <c r="I275" s="75"/>
      <c r="J275" s="76"/>
      <c r="K275" s="75"/>
      <c r="L275" s="74"/>
      <c r="M275" s="76"/>
      <c r="N275" s="74"/>
      <c r="O275" s="74"/>
      <c r="P275" s="74"/>
      <c r="Q275" s="76"/>
      <c r="R275" s="75">
        <f t="shared" si="2"/>
        <v>-5.5</v>
      </c>
      <c r="S275" s="74">
        <f t="shared" si="3"/>
        <v>294</v>
      </c>
      <c r="T275" s="74">
        <f t="shared" si="3"/>
        <v>10457.9</v>
      </c>
      <c r="U275" s="75">
        <f t="shared" si="4"/>
        <v>-5.7309999999999999</v>
      </c>
      <c r="V2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-2.10 {-5.50} |294x</v>
      </c>
      <c r="W275" s="18" t="str">
        <f>IFERROR(IF(LEFT(ICE[[#This Row],[Tenor]], 1) = "B", RTD("esrtd",,$B275 &amp; " " &amp; ICE[[#This Row],[Tenor]] &amp; "-IEU", W$1), RTD("esrtd",,$B275 &amp; " " &amp; VLOOKUP(MONTH(ICE[[#This Row],[Strip]]), MthRef[], 2, 0) &amp; RIGHT(YEAR(ICE[[#This Row],[Strip]]), 2) &amp; "-IEU", W$1)), "")</f>
        <v/>
      </c>
      <c r="X275" s="36"/>
    </row>
    <row r="276" spans="1:24" x14ac:dyDescent="0.25">
      <c r="A276" s="71" t="s">
        <v>392</v>
      </c>
      <c r="B276" s="3" t="str">
        <f>RTD("ice.rtd",,$C276 &amp; $D276 &amp; ":" &amp; B$1)</f>
        <v>Invalid Market: CALCM7</v>
      </c>
      <c r="C276" s="72" t="s">
        <v>827</v>
      </c>
      <c r="D276" s="73" t="s">
        <v>796</v>
      </c>
      <c r="E276" s="72" t="str">
        <f t="shared" si="0"/>
        <v>Apr27</v>
      </c>
      <c r="F276" s="72" t="str">
        <f>ICE[[#This Row],[Prod]]&amp;ICE[[#This Row],[Strip]]</f>
        <v>napbrxApr27</v>
      </c>
      <c r="G276" s="75"/>
      <c r="H276" s="75">
        <f t="shared" si="1"/>
        <v>-3.01</v>
      </c>
      <c r="I276" s="75"/>
      <c r="J276" s="76"/>
      <c r="K276" s="75"/>
      <c r="L276" s="74"/>
      <c r="M276" s="76"/>
      <c r="N276" s="74"/>
      <c r="O276" s="74"/>
      <c r="P276" s="74"/>
      <c r="Q276" s="76"/>
      <c r="R276" s="75">
        <f t="shared" si="2"/>
        <v>-6.4</v>
      </c>
      <c r="S276" s="74">
        <f t="shared" si="3"/>
        <v>359</v>
      </c>
      <c r="T276" s="74">
        <f t="shared" si="3"/>
        <v>3628.1000000000004</v>
      </c>
      <c r="U276" s="75">
        <f t="shared" si="4"/>
        <v>-6.6020000000000003</v>
      </c>
      <c r="V2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-3.01 {-6.40} |359x</v>
      </c>
      <c r="W276" s="18" t="str">
        <f>IFERROR(IF(LEFT(ICE[[#This Row],[Tenor]], 1) = "B", RTD("esrtd",,$B276 &amp; " " &amp; ICE[[#This Row],[Tenor]] &amp; "-IEU", W$1), RTD("esrtd",,$B276 &amp; " " &amp; VLOOKUP(MONTH(ICE[[#This Row],[Strip]]), MthRef[], 2, 0) &amp; RIGHT(YEAR(ICE[[#This Row],[Strip]]), 2) &amp; "-IEU", W$1)), "")</f>
        <v/>
      </c>
      <c r="X276" s="36"/>
    </row>
    <row r="277" spans="1:24" x14ac:dyDescent="0.25">
      <c r="A277" s="71" t="s">
        <v>392</v>
      </c>
      <c r="B277" s="3" t="str">
        <f>RTD("ice.rtd",,$C277 &amp; $D277 &amp; ":" &amp; B$1)</f>
        <v>Invalid Market: CALCM8</v>
      </c>
      <c r="C277" s="72" t="s">
        <v>827</v>
      </c>
      <c r="D277" s="73" t="s">
        <v>797</v>
      </c>
      <c r="E277" s="72" t="str">
        <f t="shared" si="0"/>
        <v>May27</v>
      </c>
      <c r="F277" s="72" t="str">
        <f>ICE[[#This Row],[Prod]]&amp;ICE[[#This Row],[Strip]]</f>
        <v>napbrxMay27</v>
      </c>
      <c r="G277" s="75"/>
      <c r="H277" s="75">
        <f t="shared" si="1"/>
        <v>-3.42</v>
      </c>
      <c r="I277" s="75"/>
      <c r="J277" s="76"/>
      <c r="K277" s="75"/>
      <c r="L277" s="74"/>
      <c r="M277" s="76"/>
      <c r="N277" s="74"/>
      <c r="O277" s="74"/>
      <c r="P277" s="74"/>
      <c r="Q277" s="76"/>
      <c r="R277" s="75" t="str">
        <f t="shared" si="2"/>
        <v/>
      </c>
      <c r="S277" s="74">
        <f t="shared" si="3"/>
        <v>154</v>
      </c>
      <c r="T277" s="74">
        <f t="shared" si="3"/>
        <v>3729.1000000000004</v>
      </c>
      <c r="U277" s="75">
        <f t="shared" si="4"/>
        <v>-7.0340000000000007</v>
      </c>
      <c r="V2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-3.42  |154x</v>
      </c>
      <c r="W277" s="18" t="str">
        <f>IFERROR(IF(LEFT(ICE[[#This Row],[Tenor]], 1) = "B", RTD("esrtd",,$B277 &amp; " " &amp; ICE[[#This Row],[Tenor]] &amp; "-IEU", W$1), RTD("esrtd",,$B277 &amp; " " &amp; VLOOKUP(MONTH(ICE[[#This Row],[Strip]]), MthRef[], 2, 0) &amp; RIGHT(YEAR(ICE[[#This Row],[Strip]]), 2) &amp; "-IEU", W$1)), "")</f>
        <v/>
      </c>
      <c r="X277" s="36"/>
    </row>
    <row r="278" spans="1:24" x14ac:dyDescent="0.25">
      <c r="A278" s="71" t="s">
        <v>392</v>
      </c>
      <c r="B278" s="3" t="str">
        <f>RTD("ice.rtd",,$C278 &amp; $D278 &amp; ":" &amp; B$1)</f>
        <v>Invalid Market: CALCM9</v>
      </c>
      <c r="C278" s="72" t="s">
        <v>827</v>
      </c>
      <c r="D278" s="73" t="s">
        <v>798</v>
      </c>
      <c r="E278" s="72" t="str">
        <f t="shared" si="0"/>
        <v>Jun27</v>
      </c>
      <c r="F278" s="72" t="str">
        <f>ICE[[#This Row],[Prod]]&amp;ICE[[#This Row],[Strip]]</f>
        <v>napbrxJun27</v>
      </c>
      <c r="G278" s="75"/>
      <c r="H278" s="75">
        <f t="shared" si="1"/>
        <v>-3.79</v>
      </c>
      <c r="I278" s="75"/>
      <c r="J278" s="76"/>
      <c r="K278" s="75"/>
      <c r="L278" s="74"/>
      <c r="M278" s="76"/>
      <c r="N278" s="74"/>
      <c r="O278" s="74"/>
      <c r="P278" s="74"/>
      <c r="Q278" s="76"/>
      <c r="R278" s="75" t="str">
        <f t="shared" si="2"/>
        <v/>
      </c>
      <c r="S278" s="74">
        <f t="shared" si="3"/>
        <v>154</v>
      </c>
      <c r="T278" s="74">
        <f t="shared" si="3"/>
        <v>4102.6000000000004</v>
      </c>
      <c r="U278" s="75">
        <f t="shared" si="4"/>
        <v>-7.431</v>
      </c>
      <c r="V2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-3.79  |154x</v>
      </c>
      <c r="W278" s="18" t="str">
        <f>IFERROR(IF(LEFT(ICE[[#This Row],[Tenor]], 1) = "B", RTD("esrtd",,$B278 &amp; " " &amp; ICE[[#This Row],[Tenor]] &amp; "-IEU", W$1), RTD("esrtd",,$B278 &amp; " " &amp; VLOOKUP(MONTH(ICE[[#This Row],[Strip]]), MthRef[], 2, 0) &amp; RIGHT(YEAR(ICE[[#This Row],[Strip]]), 2) &amp; "-IEU", W$1)), "")</f>
        <v/>
      </c>
      <c r="X278" s="36"/>
    </row>
    <row r="279" spans="1:24" x14ac:dyDescent="0.25">
      <c r="A279" s="71" t="s">
        <v>392</v>
      </c>
      <c r="B279" s="3" t="str">
        <f>RTD("ice.rtd",,$C279 &amp; $D279 &amp; ":" &amp; B$1)</f>
        <v>Invalid Market: CALCM10</v>
      </c>
      <c r="C279" s="72" t="s">
        <v>827</v>
      </c>
      <c r="D279" s="73" t="s">
        <v>799</v>
      </c>
      <c r="E279" s="72" t="str">
        <f t="shared" si="0"/>
        <v>Jul27</v>
      </c>
      <c r="F279" s="72" t="str">
        <f>ICE[[#This Row],[Prod]]&amp;ICE[[#This Row],[Strip]]</f>
        <v>napbrxJul27</v>
      </c>
      <c r="G279" s="75"/>
      <c r="H279" s="75">
        <f t="shared" si="1"/>
        <v>-4.05</v>
      </c>
      <c r="I279" s="75"/>
      <c r="J279" s="76"/>
      <c r="K279" s="75"/>
      <c r="L279" s="74"/>
      <c r="M279" s="76"/>
      <c r="N279" s="74"/>
      <c r="O279" s="74"/>
      <c r="P279" s="74"/>
      <c r="Q279" s="76"/>
      <c r="R279" s="75" t="str">
        <f t="shared" si="2"/>
        <v/>
      </c>
      <c r="S279" s="74">
        <f t="shared" si="3"/>
        <v>123</v>
      </c>
      <c r="T279" s="74">
        <f t="shared" si="3"/>
        <v>4296.1000000000004</v>
      </c>
      <c r="U279" s="75">
        <f t="shared" si="4"/>
        <v>-7.7130000000000001</v>
      </c>
      <c r="V2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-4.05  |123x</v>
      </c>
      <c r="W279" s="18" t="str">
        <f>IFERROR(IF(LEFT(ICE[[#This Row],[Tenor]], 1) = "B", RTD("esrtd",,$B279 &amp; " " &amp; ICE[[#This Row],[Tenor]] &amp; "-IEU", W$1), RTD("esrtd",,$B279 &amp; " " &amp; VLOOKUP(MONTH(ICE[[#This Row],[Strip]]), MthRef[], 2, 0) &amp; RIGHT(YEAR(ICE[[#This Row],[Strip]]), 2) &amp; "-IEU", W$1)), "")</f>
        <v/>
      </c>
      <c r="X279" s="36"/>
    </row>
    <row r="280" spans="1:24" x14ac:dyDescent="0.25">
      <c r="A280" s="71" t="s">
        <v>392</v>
      </c>
      <c r="B280" s="3" t="str">
        <f>RTD("ice.rtd",,$C280 &amp; $D280 &amp; ":" &amp; B$1)</f>
        <v>Invalid Market: CALCM11</v>
      </c>
      <c r="C280" s="72" t="s">
        <v>827</v>
      </c>
      <c r="D280" s="73" t="s">
        <v>800</v>
      </c>
      <c r="E280" s="72" t="str">
        <f t="shared" si="0"/>
        <v>Aug27</v>
      </c>
      <c r="F280" s="72" t="str">
        <f>ICE[[#This Row],[Prod]]&amp;ICE[[#This Row],[Strip]]</f>
        <v>napbrxAug27</v>
      </c>
      <c r="G280" s="75"/>
      <c r="H280" s="75">
        <f t="shared" si="1"/>
        <v>-4.22</v>
      </c>
      <c r="I280" s="75"/>
      <c r="J280" s="76"/>
      <c r="K280" s="75"/>
      <c r="L280" s="74"/>
      <c r="M280" s="76"/>
      <c r="N280" s="74"/>
      <c r="O280" s="74"/>
      <c r="P280" s="74"/>
      <c r="Q280" s="76"/>
      <c r="R280" s="75" t="str">
        <f t="shared" si="2"/>
        <v/>
      </c>
      <c r="S280" s="74">
        <f t="shared" si="3"/>
        <v>123</v>
      </c>
      <c r="T280" s="74">
        <f t="shared" si="3"/>
        <v>4306.1000000000004</v>
      </c>
      <c r="U280" s="75">
        <f t="shared" si="4"/>
        <v>-7.907</v>
      </c>
      <c r="V2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-4.22  |123x</v>
      </c>
      <c r="W280" s="18" t="str">
        <f>IFERROR(IF(LEFT(ICE[[#This Row],[Tenor]], 1) = "B", RTD("esrtd",,$B280 &amp; " " &amp; ICE[[#This Row],[Tenor]] &amp; "-IEU", W$1), RTD("esrtd",,$B280 &amp; " " &amp; VLOOKUP(MONTH(ICE[[#This Row],[Strip]]), MthRef[], 2, 0) &amp; RIGHT(YEAR(ICE[[#This Row],[Strip]]), 2) &amp; "-IEU", W$1)), "")</f>
        <v/>
      </c>
      <c r="X280" s="36"/>
    </row>
    <row r="281" spans="1:24" x14ac:dyDescent="0.25">
      <c r="A281" s="71" t="s">
        <v>392</v>
      </c>
      <c r="B281" s="3" t="str">
        <f>RTD("ice.rtd",,$C281 &amp; $D281 &amp; ":" &amp; B$1)</f>
        <v>Invalid Market: CALCM12</v>
      </c>
      <c r="C281" s="72" t="s">
        <v>827</v>
      </c>
      <c r="D281" s="73" t="s">
        <v>801</v>
      </c>
      <c r="E281" s="72" t="str">
        <f t="shared" si="0"/>
        <v>Sep27</v>
      </c>
      <c r="F281" s="72" t="str">
        <f>ICE[[#This Row],[Prod]]&amp;ICE[[#This Row],[Strip]]</f>
        <v>napbrxSep27</v>
      </c>
      <c r="G281" s="75"/>
      <c r="H281" s="75">
        <f t="shared" si="1"/>
        <v>-4.3</v>
      </c>
      <c r="I281" s="75"/>
      <c r="J281" s="76"/>
      <c r="K281" s="75"/>
      <c r="L281" s="74"/>
      <c r="M281" s="76"/>
      <c r="N281" s="74"/>
      <c r="O281" s="74"/>
      <c r="P281" s="74"/>
      <c r="Q281" s="76"/>
      <c r="R281" s="75" t="str">
        <f t="shared" si="2"/>
        <v/>
      </c>
      <c r="S281" s="74">
        <f t="shared" si="3"/>
        <v>123</v>
      </c>
      <c r="T281" s="74">
        <f t="shared" si="3"/>
        <v>4328.1000000000004</v>
      </c>
      <c r="U281" s="75">
        <f t="shared" si="4"/>
        <v>-7.99</v>
      </c>
      <c r="V2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-4.30  |123x</v>
      </c>
      <c r="W281" s="18" t="str">
        <f>IFERROR(IF(LEFT(ICE[[#This Row],[Tenor]], 1) = "B", RTD("esrtd",,$B281 &amp; " " &amp; ICE[[#This Row],[Tenor]] &amp; "-IEU", W$1), RTD("esrtd",,$B281 &amp; " " &amp; VLOOKUP(MONTH(ICE[[#This Row],[Strip]]), MthRef[], 2, 0) &amp; RIGHT(YEAR(ICE[[#This Row],[Strip]]), 2) &amp; "-IEU", W$1)), "")</f>
        <v/>
      </c>
      <c r="X281" s="36"/>
    </row>
    <row r="282" spans="1:24" x14ac:dyDescent="0.25">
      <c r="A282" s="71" t="s">
        <v>392</v>
      </c>
      <c r="B282" s="3" t="str">
        <f>RTD("ice.rtd",,$C282 &amp; $D282 &amp; ":" &amp; B$1)</f>
        <v>Invalid Market: CALCM13</v>
      </c>
      <c r="C282" s="72" t="s">
        <v>827</v>
      </c>
      <c r="D282" s="73" t="s">
        <v>802</v>
      </c>
      <c r="E282" s="72" t="str">
        <f t="shared" si="0"/>
        <v>Oct27</v>
      </c>
      <c r="F282" s="72" t="str">
        <f>ICE[[#This Row],[Prod]]&amp;ICE[[#This Row],[Strip]]</f>
        <v>napbrxOct27</v>
      </c>
      <c r="G282" s="75"/>
      <c r="H282" s="75">
        <f t="shared" si="1"/>
        <v>-4.29</v>
      </c>
      <c r="I282" s="75"/>
      <c r="J282" s="76"/>
      <c r="K282" s="75"/>
      <c r="L282" s="74"/>
      <c r="M282" s="76"/>
      <c r="N282" s="74"/>
      <c r="O282" s="74"/>
      <c r="P282" s="74"/>
      <c r="Q282" s="76"/>
      <c r="R282" s="75" t="str">
        <f t="shared" si="2"/>
        <v/>
      </c>
      <c r="S282" s="74">
        <f t="shared" si="3"/>
        <v>58</v>
      </c>
      <c r="T282" s="74">
        <f t="shared" si="3"/>
        <v>3766.9</v>
      </c>
      <c r="U282" s="75">
        <f t="shared" si="4"/>
        <v>-7.9720000000000004</v>
      </c>
      <c r="V2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-4.29  |58x</v>
      </c>
      <c r="W282" s="18" t="str">
        <f>IFERROR(IF(LEFT(ICE[[#This Row],[Tenor]], 1) = "B", RTD("esrtd",,$B282 &amp; " " &amp; ICE[[#This Row],[Tenor]] &amp; "-IEU", W$1), RTD("esrtd",,$B282 &amp; " " &amp; VLOOKUP(MONTH(ICE[[#This Row],[Strip]]), MthRef[], 2, 0) &amp; RIGHT(YEAR(ICE[[#This Row],[Strip]]), 2) &amp; "-IEU", W$1)), "")</f>
        <v/>
      </c>
      <c r="X282" s="36"/>
    </row>
    <row r="283" spans="1:24" x14ac:dyDescent="0.25">
      <c r="A283" s="71" t="s">
        <v>392</v>
      </c>
      <c r="B283" s="3" t="str">
        <f>RTD("ice.rtd",,$C283 &amp; $D283 &amp; ":" &amp; B$1)</f>
        <v>Invalid Market: CALCM14</v>
      </c>
      <c r="C283" s="72" t="s">
        <v>827</v>
      </c>
      <c r="D283" s="73" t="s">
        <v>803</v>
      </c>
      <c r="E283" s="72" t="str">
        <f t="shared" si="0"/>
        <v>Nov27</v>
      </c>
      <c r="F283" s="72" t="str">
        <f>ICE[[#This Row],[Prod]]&amp;ICE[[#This Row],[Strip]]</f>
        <v>napbrxNov27</v>
      </c>
      <c r="G283" s="75"/>
      <c r="H283" s="75">
        <f t="shared" si="1"/>
        <v>-4.38</v>
      </c>
      <c r="I283" s="75"/>
      <c r="J283" s="76"/>
      <c r="K283" s="75"/>
      <c r="L283" s="74"/>
      <c r="M283" s="76"/>
      <c r="N283" s="74"/>
      <c r="O283" s="74"/>
      <c r="P283" s="74"/>
      <c r="Q283" s="76"/>
      <c r="R283" s="75" t="str">
        <f t="shared" si="2"/>
        <v/>
      </c>
      <c r="S283" s="74">
        <f t="shared" si="3"/>
        <v>58</v>
      </c>
      <c r="T283" s="74">
        <f t="shared" si="3"/>
        <v>3716.6</v>
      </c>
      <c r="U283" s="75">
        <f t="shared" si="4"/>
        <v>-8.0590000000000011</v>
      </c>
      <c r="V2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-4.38  |58x</v>
      </c>
      <c r="W283" s="18" t="str">
        <f>IFERROR(IF(LEFT(ICE[[#This Row],[Tenor]], 1) = "B", RTD("esrtd",,$B283 &amp; " " &amp; ICE[[#This Row],[Tenor]] &amp; "-IEU", W$1), RTD("esrtd",,$B283 &amp; " " &amp; VLOOKUP(MONTH(ICE[[#This Row],[Strip]]), MthRef[], 2, 0) &amp; RIGHT(YEAR(ICE[[#This Row],[Strip]]), 2) &amp; "-IEU", W$1)), "")</f>
        <v/>
      </c>
      <c r="X283" s="36"/>
    </row>
    <row r="284" spans="1:24" x14ac:dyDescent="0.25">
      <c r="A284" s="71" t="s">
        <v>392</v>
      </c>
      <c r="B284" s="3" t="str">
        <f>RTD("ice.rtd",,$C284 &amp; $D284 &amp; ":" &amp; B$1)</f>
        <v>Invalid Market: CALCM15</v>
      </c>
      <c r="C284" s="72" t="s">
        <v>827</v>
      </c>
      <c r="D284" s="73" t="s">
        <v>804</v>
      </c>
      <c r="E284" s="72" t="str">
        <f t="shared" si="0"/>
        <v>Dec27</v>
      </c>
      <c r="F284" s="72" t="str">
        <f>ICE[[#This Row],[Prod]]&amp;ICE[[#This Row],[Strip]]</f>
        <v>napbrxDec27</v>
      </c>
      <c r="G284" s="75"/>
      <c r="H284" s="75">
        <f t="shared" si="1"/>
        <v>-4.5</v>
      </c>
      <c r="I284" s="75"/>
      <c r="J284" s="76"/>
      <c r="K284" s="75"/>
      <c r="L284" s="74"/>
      <c r="M284" s="76"/>
      <c r="N284" s="74"/>
      <c r="O284" s="74"/>
      <c r="P284" s="74"/>
      <c r="Q284" s="76"/>
      <c r="R284" s="75" t="str">
        <f t="shared" si="2"/>
        <v/>
      </c>
      <c r="S284" s="74">
        <f t="shared" si="3"/>
        <v>58</v>
      </c>
      <c r="T284" s="74">
        <f t="shared" si="3"/>
        <v>4218.3</v>
      </c>
      <c r="U284" s="75">
        <f t="shared" si="4"/>
        <v>-8.1910000000000007</v>
      </c>
      <c r="V2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-4.50  |58x</v>
      </c>
      <c r="W284" s="18" t="str">
        <f>IFERROR(IF(LEFT(ICE[[#This Row],[Tenor]], 1) = "B", RTD("esrtd",,$B284 &amp; " " &amp; ICE[[#This Row],[Tenor]] &amp; "-IEU", W$1), RTD("esrtd",,$B284 &amp; " " &amp; VLOOKUP(MONTH(ICE[[#This Row],[Strip]]), MthRef[], 2, 0) &amp; RIGHT(YEAR(ICE[[#This Row],[Strip]]), 2) &amp; "-IEU", W$1)), "")</f>
        <v/>
      </c>
      <c r="X284" s="36"/>
    </row>
    <row r="285" spans="1:24" x14ac:dyDescent="0.25">
      <c r="A285" s="71" t="s">
        <v>392</v>
      </c>
      <c r="B285" s="3" t="str">
        <f>RTD("ice.rtd",,$C285 &amp; $D285 &amp; ":" &amp; B$1)</f>
        <v>Invalid Market: CALCM16</v>
      </c>
      <c r="C285" s="72" t="s">
        <v>827</v>
      </c>
      <c r="D285" s="73" t="s">
        <v>805</v>
      </c>
      <c r="E285" s="72" t="str">
        <f t="shared" si="0"/>
        <v>Jan28</v>
      </c>
      <c r="F285" s="72" t="str">
        <f>ICE[[#This Row],[Prod]]&amp;ICE[[#This Row],[Strip]]</f>
        <v>napbrxJan28</v>
      </c>
      <c r="G285" s="75"/>
      <c r="H285" s="75" t="str">
        <f t="shared" si="1"/>
        <v/>
      </c>
      <c r="I285" s="75"/>
      <c r="J285" s="76"/>
      <c r="K285" s="75"/>
      <c r="L285" s="74"/>
      <c r="M285" s="76"/>
      <c r="N285" s="74"/>
      <c r="O285" s="74"/>
      <c r="P285" s="74"/>
      <c r="Q285" s="76"/>
      <c r="R285" s="75" t="str">
        <f t="shared" si="2"/>
        <v/>
      </c>
      <c r="S285" s="74">
        <f t="shared" si="3"/>
        <v>40</v>
      </c>
      <c r="T285" s="74">
        <f t="shared" si="3"/>
        <v>1803.7</v>
      </c>
      <c r="U285" s="75">
        <f t="shared" si="4"/>
        <v>-8.0630000000000006</v>
      </c>
      <c r="V2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85" s="18" t="str">
        <f>IFERROR(IF(LEFT(ICE[[#This Row],[Tenor]], 1) = "B", RTD("esrtd",,$B285 &amp; " " &amp; ICE[[#This Row],[Tenor]] &amp; "-IEU", W$1), RTD("esrtd",,$B285 &amp; " " &amp; VLOOKUP(MONTH(ICE[[#This Row],[Strip]]), MthRef[], 2, 0) &amp; RIGHT(YEAR(ICE[[#This Row],[Strip]]), 2) &amp; "-IEU", W$1)), "")</f>
        <v/>
      </c>
      <c r="X285" s="36"/>
    </row>
    <row r="286" spans="1:24" x14ac:dyDescent="0.25">
      <c r="A286" s="71" t="s">
        <v>392</v>
      </c>
      <c r="B286" s="3" t="str">
        <f>RTD("ice.rtd",,$C286 &amp; $D286 &amp; ":" &amp; B$1)</f>
        <v>Invalid Market: CALCM17</v>
      </c>
      <c r="C286" s="72" t="s">
        <v>827</v>
      </c>
      <c r="D286" s="73" t="s">
        <v>806</v>
      </c>
      <c r="E286" s="72" t="str">
        <f t="shared" ref="E286:E305" si="5">E248</f>
        <v>Feb28</v>
      </c>
      <c r="F286" s="72" t="str">
        <f>ICE[[#This Row],[Prod]]&amp;ICE[[#This Row],[Strip]]</f>
        <v>napbrxFeb28</v>
      </c>
      <c r="G286" s="75"/>
      <c r="H286" s="75" t="str">
        <f t="shared" si="1"/>
        <v/>
      </c>
      <c r="I286" s="75"/>
      <c r="J286" s="76"/>
      <c r="K286" s="75"/>
      <c r="L286" s="74"/>
      <c r="M286" s="76"/>
      <c r="N286" s="74"/>
      <c r="O286" s="74"/>
      <c r="P286" s="74"/>
      <c r="Q286" s="76"/>
      <c r="R286" s="75" t="str">
        <f t="shared" si="2"/>
        <v/>
      </c>
      <c r="S286" s="74">
        <f t="shared" si="3"/>
        <v>40</v>
      </c>
      <c r="T286" s="74">
        <f t="shared" si="3"/>
        <v>1747.7</v>
      </c>
      <c r="U286" s="75">
        <f t="shared" si="4"/>
        <v>-8.1750000000000007</v>
      </c>
      <c r="V2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86" s="18" t="str">
        <f>IFERROR(IF(LEFT(ICE[[#This Row],[Tenor]], 1) = "B", RTD("esrtd",,$B286 &amp; " " &amp; ICE[[#This Row],[Tenor]] &amp; "-IEU", W$1), RTD("esrtd",,$B286 &amp; " " &amp; VLOOKUP(MONTH(ICE[[#This Row],[Strip]]), MthRef[], 2, 0) &amp; RIGHT(YEAR(ICE[[#This Row],[Strip]]), 2) &amp; "-IEU", W$1)), "")</f>
        <v/>
      </c>
      <c r="X286" s="36"/>
    </row>
    <row r="287" spans="1:24" x14ac:dyDescent="0.25">
      <c r="A287" s="71" t="s">
        <v>392</v>
      </c>
      <c r="B287" s="3" t="str">
        <f>RTD("ice.rtd",,$C287 &amp; $D287 &amp; ":" &amp; B$1)</f>
        <v>Invalid Market: CALCM18</v>
      </c>
      <c r="C287" s="72" t="s">
        <v>827</v>
      </c>
      <c r="D287" s="73" t="s">
        <v>807</v>
      </c>
      <c r="E287" s="72" t="str">
        <f t="shared" si="5"/>
        <v>Mar28</v>
      </c>
      <c r="F287" s="72" t="str">
        <f>ICE[[#This Row],[Prod]]&amp;ICE[[#This Row],[Strip]]</f>
        <v>napbrxMar28</v>
      </c>
      <c r="G287" s="75"/>
      <c r="H287" s="75" t="str">
        <f t="shared" si="1"/>
        <v/>
      </c>
      <c r="I287" s="75"/>
      <c r="J287" s="76"/>
      <c r="K287" s="75"/>
      <c r="L287" s="74"/>
      <c r="M287" s="76"/>
      <c r="N287" s="74"/>
      <c r="O287" s="74"/>
      <c r="P287" s="74"/>
      <c r="Q287" s="76"/>
      <c r="R287" s="75" t="str">
        <f t="shared" si="2"/>
        <v/>
      </c>
      <c r="S287" s="74">
        <f t="shared" si="3"/>
        <v>40</v>
      </c>
      <c r="T287" s="74">
        <f t="shared" si="3"/>
        <v>1759.7</v>
      </c>
      <c r="U287" s="75">
        <f t="shared" si="4"/>
        <v>-8.4390000000000001</v>
      </c>
      <c r="V2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87" s="18" t="str">
        <f>IFERROR(IF(LEFT(ICE[[#This Row],[Tenor]], 1) = "B", RTD("esrtd",,$B287 &amp; " " &amp; ICE[[#This Row],[Tenor]] &amp; "-IEU", W$1), RTD("esrtd",,$B287 &amp; " " &amp; VLOOKUP(MONTH(ICE[[#This Row],[Strip]]), MthRef[], 2, 0) &amp; RIGHT(YEAR(ICE[[#This Row],[Strip]]), 2) &amp; "-IEU", W$1)), "")</f>
        <v/>
      </c>
      <c r="X287" s="36"/>
    </row>
    <row r="288" spans="1:24" x14ac:dyDescent="0.25">
      <c r="A288" s="71" t="s">
        <v>392</v>
      </c>
      <c r="B288" s="3" t="str">
        <f>RTD("ice.rtd",,$C288 &amp; $D288 &amp; ":" &amp; B$1)</f>
        <v>Invalid Market: CALCM19</v>
      </c>
      <c r="C288" s="72" t="s">
        <v>827</v>
      </c>
      <c r="D288" s="73" t="s">
        <v>808</v>
      </c>
      <c r="E288" s="72" t="str">
        <f t="shared" si="5"/>
        <v>Apr28</v>
      </c>
      <c r="F288" s="72" t="str">
        <f>ICE[[#This Row],[Prod]]&amp;ICE[[#This Row],[Strip]]</f>
        <v>napbrxApr28</v>
      </c>
      <c r="G288" s="75"/>
      <c r="H288" s="75" t="str">
        <f t="shared" si="1"/>
        <v/>
      </c>
      <c r="I288" s="75"/>
      <c r="J288" s="76"/>
      <c r="K288" s="75"/>
      <c r="L288" s="74"/>
      <c r="M288" s="76"/>
      <c r="N288" s="74"/>
      <c r="O288" s="74"/>
      <c r="P288" s="74"/>
      <c r="Q288" s="76"/>
      <c r="R288" s="75" t="str">
        <f t="shared" si="2"/>
        <v/>
      </c>
      <c r="S288" s="74">
        <f t="shared" si="3"/>
        <v>40</v>
      </c>
      <c r="T288" s="74">
        <f t="shared" si="3"/>
        <v>1707.7</v>
      </c>
      <c r="U288" s="75">
        <f t="shared" si="4"/>
        <v>-8.8580000000000005</v>
      </c>
      <c r="V2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88" s="18" t="str">
        <f>IFERROR(IF(LEFT(ICE[[#This Row],[Tenor]], 1) = "B", RTD("esrtd",,$B288 &amp; " " &amp; ICE[[#This Row],[Tenor]] &amp; "-IEU", W$1), RTD("esrtd",,$B288 &amp; " " &amp; VLOOKUP(MONTH(ICE[[#This Row],[Strip]]), MthRef[], 2, 0) &amp; RIGHT(YEAR(ICE[[#This Row],[Strip]]), 2) &amp; "-IEU", W$1)), "")</f>
        <v/>
      </c>
      <c r="X288" s="36"/>
    </row>
    <row r="289" spans="1:24" x14ac:dyDescent="0.25">
      <c r="A289" s="71" t="s">
        <v>392</v>
      </c>
      <c r="B289" s="3" t="str">
        <f>RTD("ice.rtd",,$C289 &amp; $D289 &amp; ":" &amp; B$1)</f>
        <v>Invalid Market: CALCM20</v>
      </c>
      <c r="C289" s="72" t="s">
        <v>827</v>
      </c>
      <c r="D289" s="73" t="s">
        <v>809</v>
      </c>
      <c r="E289" s="72" t="str">
        <f t="shared" si="5"/>
        <v>May28</v>
      </c>
      <c r="F289" s="72" t="str">
        <f>ICE[[#This Row],[Prod]]&amp;ICE[[#This Row],[Strip]]</f>
        <v>napbrxMay28</v>
      </c>
      <c r="G289" s="75"/>
      <c r="H289" s="75" t="str">
        <f t="shared" si="1"/>
        <v/>
      </c>
      <c r="I289" s="75"/>
      <c r="J289" s="76"/>
      <c r="K289" s="75"/>
      <c r="L289" s="74"/>
      <c r="M289" s="76"/>
      <c r="N289" s="74"/>
      <c r="O289" s="74"/>
      <c r="P289" s="74"/>
      <c r="Q289" s="76"/>
      <c r="R289" s="75" t="str">
        <f t="shared" si="2"/>
        <v/>
      </c>
      <c r="S289" s="74">
        <f t="shared" si="3"/>
        <v>40</v>
      </c>
      <c r="T289" s="74">
        <f t="shared" si="3"/>
        <v>1707.7</v>
      </c>
      <c r="U289" s="75">
        <f t="shared" si="4"/>
        <v>-9.1159999999999997</v>
      </c>
      <c r="V2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89" s="18" t="str">
        <f>IFERROR(IF(LEFT(ICE[[#This Row],[Tenor]], 1) = "B", RTD("esrtd",,$B289 &amp; " " &amp; ICE[[#This Row],[Tenor]] &amp; "-IEU", W$1), RTD("esrtd",,$B289 &amp; " " &amp; VLOOKUP(MONTH(ICE[[#This Row],[Strip]]), MthRef[], 2, 0) &amp; RIGHT(YEAR(ICE[[#This Row],[Strip]]), 2) &amp; "-IEU", W$1)), "")</f>
        <v/>
      </c>
      <c r="X289" s="36"/>
    </row>
    <row r="290" spans="1:24" x14ac:dyDescent="0.25">
      <c r="A290" s="71" t="s">
        <v>392</v>
      </c>
      <c r="B290" s="3" t="str">
        <f>RTD("ice.rtd",,$C290 &amp; $D290 &amp; ":" &amp; B$1)</f>
        <v>Invalid Market: CALCM21</v>
      </c>
      <c r="C290" s="72" t="s">
        <v>827</v>
      </c>
      <c r="D290" s="73" t="s">
        <v>810</v>
      </c>
      <c r="E290" s="72" t="str">
        <f t="shared" si="5"/>
        <v>Jun28</v>
      </c>
      <c r="F290" s="72" t="str">
        <f>ICE[[#This Row],[Prod]]&amp;ICE[[#This Row],[Strip]]</f>
        <v>napbrxJun28</v>
      </c>
      <c r="G290" s="75"/>
      <c r="H290" s="75" t="str">
        <f t="shared" si="1"/>
        <v/>
      </c>
      <c r="I290" s="75"/>
      <c r="J290" s="76"/>
      <c r="K290" s="75"/>
      <c r="L290" s="74"/>
      <c r="M290" s="76"/>
      <c r="N290" s="74"/>
      <c r="O290" s="74"/>
      <c r="P290" s="74"/>
      <c r="Q290" s="76"/>
      <c r="R290" s="75" t="str">
        <f t="shared" si="2"/>
        <v/>
      </c>
      <c r="S290" s="74">
        <f t="shared" si="3"/>
        <v>40</v>
      </c>
      <c r="T290" s="74">
        <f t="shared" si="3"/>
        <v>1707.7</v>
      </c>
      <c r="U290" s="75">
        <f t="shared" si="4"/>
        <v>-9.2490000000000006</v>
      </c>
      <c r="V2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90" s="18" t="str">
        <f>IFERROR(IF(LEFT(ICE[[#This Row],[Tenor]], 1) = "B", RTD("esrtd",,$B290 &amp; " " &amp; ICE[[#This Row],[Tenor]] &amp; "-IEU", W$1), RTD("esrtd",,$B290 &amp; " " &amp; VLOOKUP(MONTH(ICE[[#This Row],[Strip]]), MthRef[], 2, 0) &amp; RIGHT(YEAR(ICE[[#This Row],[Strip]]), 2) &amp; "-IEU", W$1)), "")</f>
        <v/>
      </c>
      <c r="X290" s="36"/>
    </row>
    <row r="291" spans="1:24" x14ac:dyDescent="0.25">
      <c r="A291" s="71" t="s">
        <v>392</v>
      </c>
      <c r="B291" s="3" t="str">
        <f>RTD("ice.rtd",,$C291 &amp; $D291 &amp; ":" &amp; B$1)</f>
        <v>Invalid Market: CALCM22</v>
      </c>
      <c r="C291" s="72" t="s">
        <v>827</v>
      </c>
      <c r="D291" s="73" t="s">
        <v>811</v>
      </c>
      <c r="E291" s="72" t="str">
        <f t="shared" si="5"/>
        <v>Jul28</v>
      </c>
      <c r="F291" s="72" t="str">
        <f>ICE[[#This Row],[Prod]]&amp;ICE[[#This Row],[Strip]]</f>
        <v>napbrxJul28</v>
      </c>
      <c r="G291" s="75"/>
      <c r="H291" s="75" t="str">
        <f t="shared" si="1"/>
        <v/>
      </c>
      <c r="I291" s="75"/>
      <c r="J291" s="76"/>
      <c r="K291" s="75"/>
      <c r="L291" s="74"/>
      <c r="M291" s="76"/>
      <c r="N291" s="74"/>
      <c r="O291" s="74"/>
      <c r="P291" s="74"/>
      <c r="Q291" s="76"/>
      <c r="R291" s="75" t="str">
        <f t="shared" si="2"/>
        <v/>
      </c>
      <c r="S291" s="74">
        <f t="shared" si="3"/>
        <v>40</v>
      </c>
      <c r="T291" s="74">
        <f t="shared" si="3"/>
        <v>1041.7</v>
      </c>
      <c r="U291" s="75">
        <f t="shared" si="4"/>
        <v>-9.2520000000000007</v>
      </c>
      <c r="V2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91" s="18" t="str">
        <f>IFERROR(IF(LEFT(ICE[[#This Row],[Tenor]], 1) = "B", RTD("esrtd",,$B291 &amp; " " &amp; ICE[[#This Row],[Tenor]] &amp; "-IEU", W$1), RTD("esrtd",,$B291 &amp; " " &amp; VLOOKUP(MONTH(ICE[[#This Row],[Strip]]), MthRef[], 2, 0) &amp; RIGHT(YEAR(ICE[[#This Row],[Strip]]), 2) &amp; "-IEU", W$1)), "")</f>
        <v/>
      </c>
      <c r="X291" s="36"/>
    </row>
    <row r="292" spans="1:24" x14ac:dyDescent="0.25">
      <c r="A292" s="71" t="s">
        <v>392</v>
      </c>
      <c r="B292" s="3" t="str">
        <f>RTD("ice.rtd",,$C292 &amp; $D292 &amp; ":" &amp; B$1)</f>
        <v>Invalid Market: CALCM23</v>
      </c>
      <c r="C292" s="72" t="s">
        <v>827</v>
      </c>
      <c r="D292" s="73" t="s">
        <v>812</v>
      </c>
      <c r="E292" s="72" t="str">
        <f t="shared" si="5"/>
        <v>Aug28</v>
      </c>
      <c r="F292" s="72" t="str">
        <f>ICE[[#This Row],[Prod]]&amp;ICE[[#This Row],[Strip]]</f>
        <v>napbrxAug28</v>
      </c>
      <c r="G292" s="75"/>
      <c r="H292" s="75" t="str">
        <f t="shared" si="1"/>
        <v/>
      </c>
      <c r="I292" s="75"/>
      <c r="J292" s="76"/>
      <c r="K292" s="75"/>
      <c r="L292" s="74"/>
      <c r="M292" s="76"/>
      <c r="N292" s="74"/>
      <c r="O292" s="74"/>
      <c r="P292" s="74"/>
      <c r="Q292" s="76"/>
      <c r="R292" s="75" t="str">
        <f t="shared" si="2"/>
        <v/>
      </c>
      <c r="S292" s="74">
        <f t="shared" si="3"/>
        <v>40</v>
      </c>
      <c r="T292" s="74">
        <f t="shared" si="3"/>
        <v>1041.7</v>
      </c>
      <c r="U292" s="75">
        <f t="shared" si="4"/>
        <v>-9.1810000000000009</v>
      </c>
      <c r="V2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92" s="18" t="str">
        <f>IFERROR(IF(LEFT(ICE[[#This Row],[Tenor]], 1) = "B", RTD("esrtd",,$B292 &amp; " " &amp; ICE[[#This Row],[Tenor]] &amp; "-IEU", W$1), RTD("esrtd",,$B292 &amp; " " &amp; VLOOKUP(MONTH(ICE[[#This Row],[Strip]]), MthRef[], 2, 0) &amp; RIGHT(YEAR(ICE[[#This Row],[Strip]]), 2) &amp; "-IEU", W$1)), "")</f>
        <v/>
      </c>
      <c r="X292" s="36"/>
    </row>
    <row r="293" spans="1:24" x14ac:dyDescent="0.25">
      <c r="A293" s="71" t="s">
        <v>392</v>
      </c>
      <c r="B293" s="3" t="str">
        <f>RTD("ice.rtd",,$C293 &amp; $D293 &amp; ":" &amp; B$1)</f>
        <v>Invalid Market: CALCM24</v>
      </c>
      <c r="C293" s="72" t="s">
        <v>827</v>
      </c>
      <c r="D293" s="73" t="s">
        <v>813</v>
      </c>
      <c r="E293" s="72" t="str">
        <f t="shared" si="5"/>
        <v>Sep28</v>
      </c>
      <c r="F293" s="72" t="str">
        <f>ICE[[#This Row],[Prod]]&amp;ICE[[#This Row],[Strip]]</f>
        <v>napbrxSep28</v>
      </c>
      <c r="G293" s="75"/>
      <c r="H293" s="75" t="str">
        <f t="shared" si="1"/>
        <v/>
      </c>
      <c r="I293" s="75"/>
      <c r="J293" s="76"/>
      <c r="K293" s="75"/>
      <c r="L293" s="74"/>
      <c r="M293" s="76"/>
      <c r="N293" s="74"/>
      <c r="O293" s="74"/>
      <c r="P293" s="74"/>
      <c r="Q293" s="76"/>
      <c r="R293" s="75" t="str">
        <f t="shared" si="2"/>
        <v/>
      </c>
      <c r="S293" s="74">
        <f t="shared" si="3"/>
        <v>40</v>
      </c>
      <c r="T293" s="74">
        <f t="shared" si="3"/>
        <v>1041.7</v>
      </c>
      <c r="U293" s="75">
        <f t="shared" si="4"/>
        <v>-9.0530000000000008</v>
      </c>
      <c r="V2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|40x</v>
      </c>
      <c r="W293" s="18" t="str">
        <f>IFERROR(IF(LEFT(ICE[[#This Row],[Tenor]], 1) = "B", RTD("esrtd",,$B293 &amp; " " &amp; ICE[[#This Row],[Tenor]] &amp; "-IEU", W$1), RTD("esrtd",,$B293 &amp; " " &amp; VLOOKUP(MONTH(ICE[[#This Row],[Strip]]), MthRef[], 2, 0) &amp; RIGHT(YEAR(ICE[[#This Row],[Strip]]), 2) &amp; "-IEU", W$1)), "")</f>
        <v/>
      </c>
      <c r="X293" s="36"/>
    </row>
    <row r="294" spans="1:24" x14ac:dyDescent="0.25">
      <c r="A294" s="71" t="s">
        <v>392</v>
      </c>
      <c r="B294" s="3" t="str">
        <f>RTD("ice.rtd",,$C294 &amp; $D294 &amp; ":" &amp; B$1)</f>
        <v>Invalid Market: CALCQ0</v>
      </c>
      <c r="C294" s="72" t="s">
        <v>827</v>
      </c>
      <c r="D294" s="73" t="s">
        <v>814</v>
      </c>
      <c r="E294" s="72" t="str">
        <f t="shared" si="5"/>
        <v>Q4 26</v>
      </c>
      <c r="F294" s="72" t="str">
        <f>ICE[[#This Row],[Prod]]&amp;ICE[[#This Row],[Strip]]</f>
        <v>napbrxQ4 26</v>
      </c>
      <c r="G294" s="75"/>
      <c r="H294" s="75">
        <f t="shared" si="1"/>
        <v>-0.65</v>
      </c>
      <c r="I294" s="75"/>
      <c r="J294" s="76"/>
      <c r="K294" s="75"/>
      <c r="L294" s="74"/>
      <c r="M294" s="76"/>
      <c r="N294" s="74"/>
      <c r="O294" s="74"/>
      <c r="P294" s="74"/>
      <c r="Q294" s="76"/>
      <c r="R294" s="75">
        <f t="shared" si="2"/>
        <v>-4.25</v>
      </c>
      <c r="S294" s="74">
        <f t="shared" si="3"/>
        <v>110</v>
      </c>
      <c r="T294" s="74">
        <f t="shared" si="3"/>
        <v>0</v>
      </c>
      <c r="U294" s="75">
        <f t="shared" si="4"/>
        <v>-4.1080000000000005</v>
      </c>
      <c r="V2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-0.65 {-4.25} |110x</v>
      </c>
      <c r="W294" s="18" t="str">
        <f>IFERROR(IF(LEFT(ICE[[#This Row],[Tenor]], 1) = "B", RTD("esrtd",,$B294 &amp; " " &amp; ICE[[#This Row],[Tenor]] &amp; "-IEU", W$1), RTD("esrtd",,$B294 &amp; " " &amp; VLOOKUP(MONTH(ICE[[#This Row],[Strip]]), MthRef[], 2, 0) &amp; RIGHT(YEAR(ICE[[#This Row],[Strip]]), 2) &amp; "-IEU", W$1)), "")</f>
        <v/>
      </c>
      <c r="X294" s="36"/>
    </row>
    <row r="295" spans="1:24" x14ac:dyDescent="0.25">
      <c r="A295" s="71" t="s">
        <v>392</v>
      </c>
      <c r="B295" s="3" t="str">
        <f>RTD("ice.rtd",,$C295 &amp; $D295 &amp; ":" &amp; B$1)</f>
        <v>Invalid Market: CALCQ1</v>
      </c>
      <c r="C295" s="72" t="s">
        <v>827</v>
      </c>
      <c r="D295" s="73" t="s">
        <v>815</v>
      </c>
      <c r="E295" s="72" t="str">
        <f t="shared" si="5"/>
        <v>Q1 27</v>
      </c>
      <c r="F295" s="72" t="str">
        <f>ICE[[#This Row],[Prod]]&amp;ICE[[#This Row],[Strip]]</f>
        <v>napbrxQ1 27</v>
      </c>
      <c r="G295" s="75"/>
      <c r="H295" s="75">
        <f t="shared" si="1"/>
        <v>-1.51</v>
      </c>
      <c r="I295" s="75"/>
      <c r="J295" s="76"/>
      <c r="K295" s="75"/>
      <c r="L295" s="74"/>
      <c r="M295" s="76"/>
      <c r="N295" s="74"/>
      <c r="O295" s="74"/>
      <c r="P295" s="74"/>
      <c r="Q295" s="76"/>
      <c r="R295" s="75">
        <f t="shared" si="2"/>
        <v>-5.0999999999999996</v>
      </c>
      <c r="S295" s="74">
        <f t="shared" si="3"/>
        <v>70</v>
      </c>
      <c r="T295" s="74">
        <f t="shared" si="3"/>
        <v>0</v>
      </c>
      <c r="U295" s="75">
        <f t="shared" si="4"/>
        <v>-5.1030000000000006</v>
      </c>
      <c r="V2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-1.51 {-5.10} |70x</v>
      </c>
      <c r="W295" s="18" t="str">
        <f>IFERROR(IF(LEFT(ICE[[#This Row],[Tenor]], 1) = "B", RTD("esrtd",,$B295 &amp; " " &amp; ICE[[#This Row],[Tenor]] &amp; "-IEU", W$1), RTD("esrtd",,$B295 &amp; " " &amp; VLOOKUP(MONTH(ICE[[#This Row],[Strip]]), MthRef[], 2, 0) &amp; RIGHT(YEAR(ICE[[#This Row],[Strip]]), 2) &amp; "-IEU", W$1)), "")</f>
        <v/>
      </c>
      <c r="X295" s="36"/>
    </row>
    <row r="296" spans="1:24" x14ac:dyDescent="0.25">
      <c r="A296" s="71" t="s">
        <v>392</v>
      </c>
      <c r="B296" s="3" t="str">
        <f>RTD("ice.rtd",,$C296 &amp; $D296 &amp; ":" &amp; B$1)</f>
        <v>Invalid Market: CALCQ2</v>
      </c>
      <c r="C296" s="72" t="s">
        <v>827</v>
      </c>
      <c r="D296" s="73" t="s">
        <v>816</v>
      </c>
      <c r="E296" s="72" t="str">
        <f t="shared" si="5"/>
        <v>Q2 27</v>
      </c>
      <c r="F296" s="72" t="str">
        <f>ICE[[#This Row],[Prod]]&amp;ICE[[#This Row],[Strip]]</f>
        <v>napbrxQ2 27</v>
      </c>
      <c r="G296" s="75"/>
      <c r="H296" s="75">
        <f t="shared" si="1"/>
        <v>-3.4</v>
      </c>
      <c r="I296" s="75"/>
      <c r="J296" s="76"/>
      <c r="K296" s="75"/>
      <c r="L296" s="74"/>
      <c r="M296" s="76"/>
      <c r="N296" s="74"/>
      <c r="O296" s="74"/>
      <c r="P296" s="74"/>
      <c r="Q296" s="76"/>
      <c r="R296" s="75">
        <f t="shared" si="2"/>
        <v>-7.05</v>
      </c>
      <c r="S296" s="74">
        <f t="shared" si="3"/>
        <v>135</v>
      </c>
      <c r="T296" s="74">
        <f t="shared" si="3"/>
        <v>0</v>
      </c>
      <c r="U296" s="75">
        <f t="shared" si="4"/>
        <v>-7.0220000000000002</v>
      </c>
      <c r="V2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-3.40 {-7.05} |135x</v>
      </c>
      <c r="W296" s="18" t="str">
        <f>IFERROR(IF(LEFT(ICE[[#This Row],[Tenor]], 1) = "B", RTD("esrtd",,$B296 &amp; " " &amp; ICE[[#This Row],[Tenor]] &amp; "-IEU", W$1), RTD("esrtd",,$B296 &amp; " " &amp; VLOOKUP(MONTH(ICE[[#This Row],[Strip]]), MthRef[], 2, 0) &amp; RIGHT(YEAR(ICE[[#This Row],[Strip]]), 2) &amp; "-IEU", W$1)), "")</f>
        <v/>
      </c>
      <c r="X296" s="36"/>
    </row>
    <row r="297" spans="1:24" x14ac:dyDescent="0.25">
      <c r="A297" s="71" t="s">
        <v>392</v>
      </c>
      <c r="B297" s="3" t="str">
        <f>RTD("ice.rtd",,$C297 &amp; $D297 &amp; ":" &amp; B$1)</f>
        <v>Invalid Market: CALCQ3</v>
      </c>
      <c r="C297" s="72" t="s">
        <v>827</v>
      </c>
      <c r="D297" s="73" t="s">
        <v>817</v>
      </c>
      <c r="E297" s="72" t="str">
        <f t="shared" si="5"/>
        <v>Q3 27</v>
      </c>
      <c r="F297" s="72" t="str">
        <f>ICE[[#This Row],[Prod]]&amp;ICE[[#This Row],[Strip]]</f>
        <v>napbrxQ3 27</v>
      </c>
      <c r="G297" s="75"/>
      <c r="H297" s="75">
        <f t="shared" si="1"/>
        <v>-4.1900000000000004</v>
      </c>
      <c r="I297" s="75"/>
      <c r="J297" s="76"/>
      <c r="K297" s="75"/>
      <c r="L297" s="74"/>
      <c r="M297" s="76"/>
      <c r="N297" s="74"/>
      <c r="O297" s="74"/>
      <c r="P297" s="74"/>
      <c r="Q297" s="76"/>
      <c r="R297" s="75">
        <f t="shared" si="2"/>
        <v>-7.85</v>
      </c>
      <c r="S297" s="74">
        <f t="shared" si="3"/>
        <v>104</v>
      </c>
      <c r="T297" s="74">
        <f t="shared" si="3"/>
        <v>0</v>
      </c>
      <c r="U297" s="75">
        <f t="shared" si="4"/>
        <v>-7.87</v>
      </c>
      <c r="V2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-4.19 {-7.85} |104x</v>
      </c>
      <c r="W297" s="18" t="str">
        <f>IFERROR(IF(LEFT(ICE[[#This Row],[Tenor]], 1) = "B", RTD("esrtd",,$B297 &amp; " " &amp; ICE[[#This Row],[Tenor]] &amp; "-IEU", W$1), RTD("esrtd",,$B297 &amp; " " &amp; VLOOKUP(MONTH(ICE[[#This Row],[Strip]]), MthRef[], 2, 0) &amp; RIGHT(YEAR(ICE[[#This Row],[Strip]]), 2) &amp; "-IEU", W$1)), "")</f>
        <v/>
      </c>
      <c r="X297" s="36"/>
    </row>
    <row r="298" spans="1:24" x14ac:dyDescent="0.25">
      <c r="A298" s="71" t="s">
        <v>392</v>
      </c>
      <c r="B298" s="3" t="str">
        <f>RTD("ice.rtd",,$C298 &amp; $D298 &amp; ":" &amp; B$1)</f>
        <v>Invalid Market: CALCQ4</v>
      </c>
      <c r="C298" s="72" t="s">
        <v>827</v>
      </c>
      <c r="D298" s="73" t="s">
        <v>818</v>
      </c>
      <c r="E298" s="72" t="str">
        <f t="shared" si="5"/>
        <v>Q4 27</v>
      </c>
      <c r="F298" s="72" t="str">
        <f>ICE[[#This Row],[Prod]]&amp;ICE[[#This Row],[Strip]]</f>
        <v>napbrxQ4 27</v>
      </c>
      <c r="G298" s="75"/>
      <c r="H298" s="75">
        <f t="shared" si="1"/>
        <v>-4.3899999999999997</v>
      </c>
      <c r="I298" s="75"/>
      <c r="J298" s="76"/>
      <c r="K298" s="75"/>
      <c r="L298" s="74"/>
      <c r="M298" s="76"/>
      <c r="N298" s="74"/>
      <c r="O298" s="74"/>
      <c r="P298" s="74"/>
      <c r="Q298" s="76"/>
      <c r="R298" s="75">
        <f t="shared" si="2"/>
        <v>-8.07</v>
      </c>
      <c r="S298" s="74">
        <f t="shared" si="3"/>
        <v>39</v>
      </c>
      <c r="T298" s="74">
        <f t="shared" si="3"/>
        <v>0</v>
      </c>
      <c r="U298" s="75">
        <f t="shared" si="4"/>
        <v>-8.0739999999999998</v>
      </c>
      <c r="V2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-4.39 {-8.07} |39x</v>
      </c>
      <c r="W298" s="18" t="str">
        <f>IFERROR(IF(LEFT(ICE[[#This Row],[Tenor]], 1) = "B", RTD("esrtd",,$B298 &amp; " " &amp; ICE[[#This Row],[Tenor]] &amp; "-IEU", W$1), RTD("esrtd",,$B298 &amp; " " &amp; VLOOKUP(MONTH(ICE[[#This Row],[Strip]]), MthRef[], 2, 0) &amp; RIGHT(YEAR(ICE[[#This Row],[Strip]]), 2) &amp; "-IEU", W$1)), "")</f>
        <v/>
      </c>
      <c r="X298" s="36"/>
    </row>
    <row r="299" spans="1:24" x14ac:dyDescent="0.25">
      <c r="A299" s="71" t="s">
        <v>392</v>
      </c>
      <c r="B299" s="3" t="str">
        <f>RTD("ice.rtd",,$C299 &amp; $D299 &amp; ":" &amp; B$1)</f>
        <v>Invalid Market: CALCQ5</v>
      </c>
      <c r="C299" s="72" t="s">
        <v>827</v>
      </c>
      <c r="D299" s="73" t="s">
        <v>819</v>
      </c>
      <c r="E299" s="72" t="str">
        <f t="shared" si="5"/>
        <v>Q1 28</v>
      </c>
      <c r="F299" s="72" t="str">
        <f>ICE[[#This Row],[Prod]]&amp;ICE[[#This Row],[Strip]]</f>
        <v>napbrxQ1 28</v>
      </c>
      <c r="G299" s="75"/>
      <c r="H299" s="75" t="str">
        <f t="shared" si="1"/>
        <v/>
      </c>
      <c r="I299" s="75"/>
      <c r="J299" s="76"/>
      <c r="K299" s="75"/>
      <c r="L299" s="74"/>
      <c r="M299" s="76"/>
      <c r="N299" s="74"/>
      <c r="O299" s="74"/>
      <c r="P299" s="74"/>
      <c r="Q299" s="76"/>
      <c r="R299" s="75" t="str">
        <f t="shared" si="2"/>
        <v/>
      </c>
      <c r="S299" s="74">
        <f t="shared" si="3"/>
        <v>0</v>
      </c>
      <c r="T299" s="74">
        <f t="shared" si="3"/>
        <v>0</v>
      </c>
      <c r="U299" s="75">
        <f t="shared" si="4"/>
        <v>-8.2260000000000009</v>
      </c>
      <c r="V2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99" s="18" t="str">
        <f>IFERROR(IF(LEFT(ICE[[#This Row],[Tenor]], 1) = "B", RTD("esrtd",,$B299 &amp; " " &amp; ICE[[#This Row],[Tenor]] &amp; "-IEU", W$1), RTD("esrtd",,$B299 &amp; " " &amp; VLOOKUP(MONTH(ICE[[#This Row],[Strip]]), MthRef[], 2, 0) &amp; RIGHT(YEAR(ICE[[#This Row],[Strip]]), 2) &amp; "-IEU", W$1)), "")</f>
        <v/>
      </c>
      <c r="X299" s="36"/>
    </row>
    <row r="300" spans="1:24" x14ac:dyDescent="0.25">
      <c r="A300" s="71" t="s">
        <v>392</v>
      </c>
      <c r="B300" s="3" t="str">
        <f>RTD("ice.rtd",,$C300 &amp; $D300 &amp; ":" &amp; B$1)</f>
        <v>Invalid Market: CALCQ6</v>
      </c>
      <c r="C300" s="72" t="s">
        <v>827</v>
      </c>
      <c r="D300" s="73" t="s">
        <v>229</v>
      </c>
      <c r="E300" s="72" t="str">
        <f t="shared" si="5"/>
        <v>Q2 28</v>
      </c>
      <c r="F300" s="72" t="str">
        <f>ICE[[#This Row],[Prod]]&amp;ICE[[#This Row],[Strip]]</f>
        <v>napbrxQ2 28</v>
      </c>
      <c r="G300" s="75"/>
      <c r="H300" s="75" t="str">
        <f t="shared" si="1"/>
        <v/>
      </c>
      <c r="I300" s="75"/>
      <c r="J300" s="76"/>
      <c r="K300" s="75"/>
      <c r="L300" s="74"/>
      <c r="M300" s="76"/>
      <c r="N300" s="74"/>
      <c r="O300" s="74"/>
      <c r="P300" s="74"/>
      <c r="Q300" s="76"/>
      <c r="R300" s="75" t="str">
        <f t="shared" si="2"/>
        <v/>
      </c>
      <c r="S300" s="74">
        <f t="shared" si="3"/>
        <v>0</v>
      </c>
      <c r="T300" s="74">
        <f t="shared" si="3"/>
        <v>0</v>
      </c>
      <c r="U300" s="75">
        <f t="shared" si="4"/>
        <v>-9.0739999999999998</v>
      </c>
      <c r="V3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00" s="18" t="str">
        <f>IFERROR(IF(LEFT(ICE[[#This Row],[Tenor]], 1) = "B", RTD("esrtd",,$B300 &amp; " " &amp; ICE[[#This Row],[Tenor]] &amp; "-IEU", W$1), RTD("esrtd",,$B300 &amp; " " &amp; VLOOKUP(MONTH(ICE[[#This Row],[Strip]]), MthRef[], 2, 0) &amp; RIGHT(YEAR(ICE[[#This Row],[Strip]]), 2) &amp; "-IEU", W$1)), "")</f>
        <v/>
      </c>
      <c r="X300" s="36"/>
    </row>
    <row r="301" spans="1:24" x14ac:dyDescent="0.25">
      <c r="A301" s="71" t="s">
        <v>392</v>
      </c>
      <c r="B301" s="3" t="str">
        <f>RTD("ice.rtd",,$C301 &amp; $D301 &amp; ":" &amp; B$1)</f>
        <v>Invalid Market: CALCQ7</v>
      </c>
      <c r="C301" s="72" t="s">
        <v>827</v>
      </c>
      <c r="D301" s="73" t="s">
        <v>820</v>
      </c>
      <c r="E301" s="72" t="str">
        <f t="shared" si="5"/>
        <v>Q3 28</v>
      </c>
      <c r="F301" s="72" t="str">
        <f>ICE[[#This Row],[Prod]]&amp;ICE[[#This Row],[Strip]]</f>
        <v>napbrxQ3 28</v>
      </c>
      <c r="G301" s="75"/>
      <c r="H301" s="75" t="str">
        <f t="shared" si="1"/>
        <v/>
      </c>
      <c r="I301" s="75"/>
      <c r="J301" s="76"/>
      <c r="K301" s="75"/>
      <c r="L301" s="74"/>
      <c r="M301" s="76"/>
      <c r="N301" s="74"/>
      <c r="O301" s="74"/>
      <c r="P301" s="74"/>
      <c r="Q301" s="76"/>
      <c r="R301" s="75" t="str">
        <f t="shared" si="2"/>
        <v/>
      </c>
      <c r="S301" s="74">
        <f t="shared" si="3"/>
        <v>0</v>
      </c>
      <c r="T301" s="74">
        <f t="shared" si="3"/>
        <v>0</v>
      </c>
      <c r="U301" s="75">
        <f t="shared" si="4"/>
        <v>-9.1620000000000008</v>
      </c>
      <c r="V3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01" s="18" t="str">
        <f>IFERROR(IF(LEFT(ICE[[#This Row],[Tenor]], 1) = "B", RTD("esrtd",,$B301 &amp; " " &amp; ICE[[#This Row],[Tenor]] &amp; "-IEU", W$1), RTD("esrtd",,$B301 &amp; " " &amp; VLOOKUP(MONTH(ICE[[#This Row],[Strip]]), MthRef[], 2, 0) &amp; RIGHT(YEAR(ICE[[#This Row],[Strip]]), 2) &amp; "-IEU", W$1)), "")</f>
        <v/>
      </c>
      <c r="X301" s="36"/>
    </row>
    <row r="302" spans="1:24" x14ac:dyDescent="0.25">
      <c r="A302" s="71" t="s">
        <v>392</v>
      </c>
      <c r="B302" s="3" t="str">
        <f>RTD("ice.rtd",,$C302 &amp; $D302 &amp; ":" &amp; B$1)</f>
        <v>Invalid Market: CALCQ8</v>
      </c>
      <c r="C302" s="72" t="s">
        <v>827</v>
      </c>
      <c r="D302" s="73" t="s">
        <v>821</v>
      </c>
      <c r="E302" s="72" t="str">
        <f t="shared" si="5"/>
        <v>Q4 28</v>
      </c>
      <c r="F302" s="72" t="str">
        <f>ICE[[#This Row],[Prod]]&amp;ICE[[#This Row],[Strip]]</f>
        <v>napbrxQ4 28</v>
      </c>
      <c r="G302" s="75"/>
      <c r="H302" s="75" t="str">
        <f t="shared" si="1"/>
        <v/>
      </c>
      <c r="I302" s="75"/>
      <c r="J302" s="76"/>
      <c r="K302" s="75"/>
      <c r="L302" s="74"/>
      <c r="M302" s="76"/>
      <c r="N302" s="74"/>
      <c r="O302" s="74"/>
      <c r="P302" s="74"/>
      <c r="Q302" s="76"/>
      <c r="R302" s="75" t="str">
        <f t="shared" si="2"/>
        <v/>
      </c>
      <c r="S302" s="74">
        <f t="shared" si="3"/>
        <v>0</v>
      </c>
      <c r="T302" s="74">
        <f t="shared" si="3"/>
        <v>0</v>
      </c>
      <c r="U302" s="75">
        <f t="shared" si="4"/>
        <v>-8.745000000000001</v>
      </c>
      <c r="V3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02" s="18" t="str">
        <f>IFERROR(IF(LEFT(ICE[[#This Row],[Tenor]], 1) = "B", RTD("esrtd",,$B302 &amp; " " &amp; ICE[[#This Row],[Tenor]] &amp; "-IEU", W$1), RTD("esrtd",,$B302 &amp; " " &amp; VLOOKUP(MONTH(ICE[[#This Row],[Strip]]), MthRef[], 2, 0) &amp; RIGHT(YEAR(ICE[[#This Row],[Strip]]), 2) &amp; "-IEU", W$1)), "")</f>
        <v/>
      </c>
      <c r="X302" s="36"/>
    </row>
    <row r="303" spans="1:24" x14ac:dyDescent="0.25">
      <c r="A303" s="71" t="s">
        <v>392</v>
      </c>
      <c r="B303" s="3" t="str">
        <f>RTD("ice.rtd",,$C303 &amp; $D303 &amp; ":" &amp; B$1)</f>
        <v>Invalid Market: CALCY0</v>
      </c>
      <c r="C303" s="72" t="s">
        <v>827</v>
      </c>
      <c r="D303" s="73" t="s">
        <v>822</v>
      </c>
      <c r="E303" s="72" t="str">
        <f t="shared" si="5"/>
        <v>Cal 27</v>
      </c>
      <c r="F303" s="72" t="str">
        <f>ICE[[#This Row],[Prod]]&amp;ICE[[#This Row],[Strip]]</f>
        <v>napbrxCal 27</v>
      </c>
      <c r="G303" s="75"/>
      <c r="H303" s="75">
        <f t="shared" si="1"/>
        <v>-3.38</v>
      </c>
      <c r="I303" s="75"/>
      <c r="J303" s="76"/>
      <c r="K303" s="75"/>
      <c r="L303" s="74"/>
      <c r="M303" s="76"/>
      <c r="N303" s="74"/>
      <c r="O303" s="74"/>
      <c r="P303" s="74"/>
      <c r="Q303" s="76"/>
      <c r="R303" s="75">
        <f t="shared" si="2"/>
        <v>-7.05</v>
      </c>
      <c r="S303" s="74">
        <f t="shared" si="3"/>
        <v>19</v>
      </c>
      <c r="T303" s="74">
        <f t="shared" si="3"/>
        <v>0</v>
      </c>
      <c r="U303" s="75">
        <f t="shared" si="4"/>
        <v>-7.0170000000000003</v>
      </c>
      <c r="V3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-3.38 {-7.05} |19x</v>
      </c>
      <c r="W303" s="18" t="str">
        <f>IFERROR(IF(LEFT(ICE[[#This Row],[Tenor]], 1) = "B", RTD("esrtd",,$B303 &amp; " " &amp; ICE[[#This Row],[Tenor]] &amp; "-IEU", W$1), RTD("esrtd",,$B303 &amp; " " &amp; VLOOKUP(MONTH(ICE[[#This Row],[Strip]]), MthRef[], 2, 0) &amp; RIGHT(YEAR(ICE[[#This Row],[Strip]]), 2) &amp; "-IEU", W$1)), "")</f>
        <v/>
      </c>
      <c r="X303" s="36"/>
    </row>
    <row r="304" spans="1:24" x14ac:dyDescent="0.25">
      <c r="A304" s="71" t="s">
        <v>392</v>
      </c>
      <c r="B304" s="3" t="str">
        <f>RTD("ice.rtd",,$C304 &amp; $D304 &amp; ":" &amp; B$1)</f>
        <v>Invalid Market: CALCY1</v>
      </c>
      <c r="C304" s="72" t="s">
        <v>827</v>
      </c>
      <c r="D304" s="73" t="s">
        <v>823</v>
      </c>
      <c r="E304" s="72" t="str">
        <f t="shared" si="5"/>
        <v>Cal 28</v>
      </c>
      <c r="F304" s="72" t="str">
        <f>ICE[[#This Row],[Prod]]&amp;ICE[[#This Row],[Strip]]</f>
        <v>napbrxCal 28</v>
      </c>
      <c r="G304" s="75"/>
      <c r="H304" s="75" t="str">
        <f t="shared" si="1"/>
        <v/>
      </c>
      <c r="I304" s="75"/>
      <c r="J304" s="76"/>
      <c r="K304" s="75"/>
      <c r="L304" s="74"/>
      <c r="M304" s="76"/>
      <c r="N304" s="74"/>
      <c r="O304" s="74"/>
      <c r="P304" s="74"/>
      <c r="Q304" s="76"/>
      <c r="R304" s="75">
        <f t="shared" si="2"/>
        <v>-8.8000000000000007</v>
      </c>
      <c r="S304" s="74">
        <f t="shared" si="3"/>
        <v>40</v>
      </c>
      <c r="T304" s="74">
        <f t="shared" si="3"/>
        <v>0</v>
      </c>
      <c r="U304" s="75">
        <f t="shared" si="4"/>
        <v>-8.8019999999999996</v>
      </c>
      <c r="V3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{-8.80} |40x</v>
      </c>
      <c r="W304" s="18" t="str">
        <f>IFERROR(IF(LEFT(ICE[[#This Row],[Tenor]], 1) = "B", RTD("esrtd",,$B304 &amp; " " &amp; ICE[[#This Row],[Tenor]] &amp; "-IEU", W$1), RTD("esrtd",,$B304 &amp; " " &amp; VLOOKUP(MONTH(ICE[[#This Row],[Strip]]), MthRef[], 2, 0) &amp; RIGHT(YEAR(ICE[[#This Row],[Strip]]), 2) &amp; "-IEU", W$1)), "")</f>
        <v/>
      </c>
      <c r="X304" s="36"/>
    </row>
    <row r="305" spans="1:24" x14ac:dyDescent="0.25">
      <c r="A305" s="71" t="s">
        <v>392</v>
      </c>
      <c r="B305" s="3" t="str">
        <f>RTD("ice.rtd",,$C305 &amp; $D305 &amp; ":" &amp; B$1)</f>
        <v>Invalid Market: CALCY2</v>
      </c>
      <c r="C305" s="72" t="s">
        <v>827</v>
      </c>
      <c r="D305" s="73" t="s">
        <v>824</v>
      </c>
      <c r="E305" s="72" t="str">
        <f t="shared" si="5"/>
        <v>Cal 29</v>
      </c>
      <c r="F305" s="72" t="str">
        <f>ICE[[#This Row],[Prod]]&amp;ICE[[#This Row],[Strip]]</f>
        <v>napbrxCal 29</v>
      </c>
      <c r="G305" s="75"/>
      <c r="H305" s="75" t="str">
        <f t="shared" si="1"/>
        <v/>
      </c>
      <c r="I305" s="75"/>
      <c r="J305" s="76"/>
      <c r="K305" s="75"/>
      <c r="L305" s="74"/>
      <c r="M305" s="76"/>
      <c r="N305" s="74"/>
      <c r="O305" s="74"/>
      <c r="P305" s="74"/>
      <c r="Q305" s="76"/>
      <c r="R305" s="75" t="str">
        <f t="shared" si="2"/>
        <v/>
      </c>
      <c r="S305" s="74">
        <f t="shared" si="3"/>
        <v>0</v>
      </c>
      <c r="T305" s="74">
        <f t="shared" si="3"/>
        <v>0</v>
      </c>
      <c r="U305" s="75">
        <f t="shared" si="4"/>
        <v>-7.86</v>
      </c>
      <c r="V3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05" s="18" t="str">
        <f>IFERROR(IF(LEFT(ICE[[#This Row],[Tenor]], 1) = "B", RTD("esrtd",,$B305 &amp; " " &amp; ICE[[#This Row],[Tenor]] &amp; "-IEU", W$1), RTD("esrtd",,$B305 &amp; " " &amp; VLOOKUP(MONTH(ICE[[#This Row],[Strip]]), MthRef[], 2, 0) &amp; RIGHT(YEAR(ICE[[#This Row],[Strip]]), 2) &amp; "-IEU", W$1)), "")</f>
        <v/>
      </c>
      <c r="X305" s="36"/>
    </row>
    <row r="306" spans="1:24" x14ac:dyDescent="0.25">
      <c r="A306" s="37" t="s">
        <v>828</v>
      </c>
      <c r="B306" s="3" t="str">
        <f>RTD("ice.rtd",,$C306 &amp; $D306 &amp; ":" &amp; B$1)</f>
        <v>AES</v>
      </c>
      <c r="C306" s="3">
        <v>2323825599</v>
      </c>
      <c r="D306" t="s">
        <v>792</v>
      </c>
      <c r="E306" s="3" t="str">
        <f>RTD("ice.rtd",,$C306 &amp; $D306 &amp; ":" &amp; E$1)</f>
        <v>Bal Month</v>
      </c>
      <c r="F306" s="3" t="str">
        <f>ICE[[#This Row],[Prod]]&amp;ICE[[#This Row],[Strip]]</f>
        <v>ebobbrxmtBal Month</v>
      </c>
      <c r="G306" s="18" t="str">
        <f>RTD("ice.rtd",,$C306 &amp; $D306 &amp; ":" &amp; G$1)</f>
        <v/>
      </c>
      <c r="H306" s="18" t="str">
        <f>RTD("ice.rtd",,$C306 &amp; $D306 &amp; ":" &amp; H$1)</f>
        <v/>
      </c>
      <c r="I306" s="18" t="str">
        <f>RTD("ice.rtd",,$C306 &amp; $D306 &amp; ":" &amp; I$1)</f>
        <v/>
      </c>
      <c r="J306" s="14" t="str">
        <f>IFERROR(MOD(RTD("ice.rtd",,$C306 &amp; $D306 &amp; ":" &amp; J$1), 1), "")</f>
        <v/>
      </c>
      <c r="K306" s="18" t="str">
        <f>RTD("ice.rtd",,$C306 &amp; $D306 &amp; ":" &amp; K$1)</f>
        <v/>
      </c>
      <c r="L306" s="36" t="str">
        <f>RTD("ice.rtd",,$C306 &amp; $D306 &amp; ":" &amp; L$1)</f>
        <v/>
      </c>
      <c r="M306" s="14" t="str">
        <f>IFERROR(MOD(TIMEVALUE(RTD("ice.rtd",,$C306 &amp; $D306 &amp; ":" &amp; M$1)), 1), "")</f>
        <v/>
      </c>
      <c r="N306" s="36">
        <f>RTD("ice.rtd",,$C306 &amp; $D306 &amp; ":" &amp; N$1)</f>
        <v>0</v>
      </c>
      <c r="O306" s="36">
        <f>RTD("ice.rtd",,$C306 &amp; $D306 &amp; ":" &amp; O$1)</f>
        <v>0</v>
      </c>
      <c r="P3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06" s="14" t="str">
        <f>IF(ICE[[#This Row],[LastType]] = "Scrn", ICE[[#This Row],[LstDate]], IF(ICE[[#This Row],[LastType]] = "Blk", ICE[[#This Row],[LstBlkTime]], ""))</f>
        <v/>
      </c>
      <c r="R306" s="41" t="str">
        <f>IF(ICE[[#This Row],[LastType]] = "Scrn", ICE[[#This Row],[LstPrc]], IF(ICE[[#This Row],[LastType]] = "Blk", ICE[[#This Row],[LstBlkPrc]], ""))</f>
        <v/>
      </c>
      <c r="S306" s="36">
        <f>ICE[[#This Row],[Vol]]+ICE[[#This Row],[BlkVol]]</f>
        <v>0</v>
      </c>
      <c r="T306" s="36">
        <f>RTD("ice.rtd",,$C306 &amp; $D306 &amp; ":" &amp; T$1)</f>
        <v>0</v>
      </c>
      <c r="U306" s="18">
        <f>RTD("ice.rtd",,$C306 &amp; $D306 &amp; ":" &amp; U$1)</f>
        <v>44.64</v>
      </c>
      <c r="V3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06" s="18" t="str">
        <f>IFERROR(IF(LEFT(ICE[[#This Row],[Tenor]], 1) = "B", RTD("esrtd",,$B306 &amp; " " &amp; ICE[[#This Row],[Tenor]] &amp; "-IEU", W$1), RTD("esrtd",,$B306 &amp; " " &amp; VLOOKUP(MONTH(ICE[[#This Row],[Strip]]), MthRef[], 2, 0) &amp; RIGHT(YEAR(ICE[[#This Row],[Strip]]), 2) &amp; "-IEU", W$1)), "")</f>
        <v/>
      </c>
      <c r="X306" s="36"/>
    </row>
    <row r="307" spans="1:24" x14ac:dyDescent="0.25">
      <c r="A307" s="37" t="s">
        <v>828</v>
      </c>
      <c r="B307" s="3" t="str">
        <f>RTD("ice.rtd",,$C307 &amp; $D307 &amp; ":" &amp; B$1)</f>
        <v>EOB</v>
      </c>
      <c r="C307" s="3">
        <v>18901687</v>
      </c>
      <c r="D307" t="s">
        <v>793</v>
      </c>
      <c r="E307" s="3" t="str">
        <f>RTD("ice.rtd",,$C307 &amp; $D307 &amp; ":" &amp; E$1)</f>
        <v>Sep26</v>
      </c>
      <c r="F307" s="3" t="str">
        <f>ICE[[#This Row],[Prod]]&amp;ICE[[#This Row],[Strip]]</f>
        <v>ebobbrxmtSep26</v>
      </c>
      <c r="G307" s="18" t="str">
        <f>RTD("ice.rtd",,$C307 &amp; $D307 &amp; ":" &amp; G$1)</f>
        <v/>
      </c>
      <c r="H307" s="18" t="str">
        <f>RTD("ice.rtd",,$C307 &amp; $D307 &amp; ":" &amp; H$1)</f>
        <v/>
      </c>
      <c r="I307" s="18" t="str">
        <f>RTD("ice.rtd",,$C307 &amp; $D307 &amp; ":" &amp; I$1)</f>
        <v/>
      </c>
      <c r="J307" s="14" t="str">
        <f>IFERROR(MOD(RTD("ice.rtd",,$C307 &amp; $D307 &amp; ":" &amp; J$1), 1), "")</f>
        <v/>
      </c>
      <c r="K307" s="18" t="str">
        <f>RTD("ice.rtd",,$C307 &amp; $D307 &amp; ":" &amp; K$1)</f>
        <v/>
      </c>
      <c r="L307" s="36" t="str">
        <f>RTD("ice.rtd",,$C307 &amp; $D307 &amp; ":" &amp; L$1)</f>
        <v/>
      </c>
      <c r="M307" s="14" t="str">
        <f>IFERROR(MOD(TIMEVALUE(RTD("ice.rtd",,$C307 &amp; $D307 &amp; ":" &amp; M$1)), 1), "")</f>
        <v/>
      </c>
      <c r="N307" s="36">
        <f>RTD("ice.rtd",,$C307 &amp; $D307 &amp; ":" &amp; N$1)</f>
        <v>0</v>
      </c>
      <c r="O307" s="36">
        <f>RTD("ice.rtd",,$C307 &amp; $D307 &amp; ":" &amp; O$1)</f>
        <v>0</v>
      </c>
      <c r="P3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07" s="14" t="str">
        <f>IF(ICE[[#This Row],[LastType]] = "Scrn", ICE[[#This Row],[LstDate]], IF(ICE[[#This Row],[LastType]] = "Blk", ICE[[#This Row],[LstBlkTime]], ""))</f>
        <v/>
      </c>
      <c r="R307" s="41" t="str">
        <f>IF(ICE[[#This Row],[LastType]] = "Scrn", ICE[[#This Row],[LstPrc]], IF(ICE[[#This Row],[LastType]] = "Blk", ICE[[#This Row],[LstBlkPrc]], ""))</f>
        <v/>
      </c>
      <c r="S307" s="36">
        <f>ICE[[#This Row],[Vol]]+ICE[[#This Row],[BlkVol]]</f>
        <v>0</v>
      </c>
      <c r="T307" s="36">
        <f>RTD("ice.rtd",,$C307 &amp; $D307 &amp; ":" &amp; T$1)</f>
        <v>650</v>
      </c>
      <c r="U307" s="18">
        <f>RTD("ice.rtd",,$C307 &amp; $D307 &amp; ":" &amp; U$1)</f>
        <v>44.64</v>
      </c>
      <c r="V3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07" s="18" t="str">
        <f>IFERROR(IF(LEFT(ICE[[#This Row],[Tenor]], 1) = "B", RTD("esrtd",,$B307 &amp; " " &amp; ICE[[#This Row],[Tenor]] &amp; "-IEU", W$1), RTD("esrtd",,$B307 &amp; " " &amp; VLOOKUP(MONTH(ICE[[#This Row],[Strip]]), MthRef[], 2, 0) &amp; RIGHT(YEAR(ICE[[#This Row],[Strip]]), 2) &amp; "-IEU", W$1)), "")</f>
        <v/>
      </c>
      <c r="X307" s="36"/>
    </row>
    <row r="308" spans="1:24" x14ac:dyDescent="0.25">
      <c r="A308" s="37" t="s">
        <v>828</v>
      </c>
      <c r="B308" s="3" t="str">
        <f>RTD("ice.rtd",,$C308 &amp; $D308 &amp; ":" &amp; B$1)</f>
        <v>EOB</v>
      </c>
      <c r="C308" s="3">
        <v>18901687</v>
      </c>
      <c r="D308" t="s">
        <v>324</v>
      </c>
      <c r="E308" s="3" t="str">
        <f>RTD("ice.rtd",,$C308 &amp; $D308 &amp; ":" &amp; E$1)</f>
        <v>Oct26</v>
      </c>
      <c r="F308" s="3" t="str">
        <f>ICE[[#This Row],[Prod]]&amp;ICE[[#This Row],[Strip]]</f>
        <v>ebobbrxmtOct26</v>
      </c>
      <c r="G308" s="18">
        <f>RTD("ice.rtd",,$C308 &amp; $D308 &amp; ":" &amp; G$1)</f>
        <v>30.35</v>
      </c>
      <c r="H308" s="18">
        <f>RTD("ice.rtd",,$C308 &amp; $D308 &amp; ":" &amp; H$1)</f>
        <v>31.25</v>
      </c>
      <c r="I308" s="18" t="str">
        <f>RTD("ice.rtd",,$C308 &amp; $D308 &amp; ":" &amp; I$1)</f>
        <v/>
      </c>
      <c r="J308" s="14" t="str">
        <f>IFERROR(MOD(RTD("ice.rtd",,$C308 &amp; $D308 &amp; ":" &amp; J$1), 1), "")</f>
        <v/>
      </c>
      <c r="K308" s="18">
        <f>RTD("ice.rtd",,$C308 &amp; $D308 &amp; ":" &amp; K$1)</f>
        <v>29.45</v>
      </c>
      <c r="L308" s="36">
        <f>RTD("ice.rtd",,$C308 &amp; $D308 &amp; ":" &amp; L$1)</f>
        <v>7</v>
      </c>
      <c r="M308" s="14">
        <f>IFERROR(MOD(TIMEVALUE(RTD("ice.rtd",,$C308 &amp; $D308 &amp; ":" &amp; M$1)), 1), "")</f>
        <v>0.37237268518518518</v>
      </c>
      <c r="N308" s="36">
        <f>RTD("ice.rtd",,$C308 &amp; $D308 &amp; ":" &amp; N$1)</f>
        <v>0</v>
      </c>
      <c r="O308" s="36">
        <f>RTD("ice.rtd",,$C308 &amp; $D308 &amp; ":" &amp; O$1)</f>
        <v>17</v>
      </c>
      <c r="P3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08" s="14">
        <f>IF(ICE[[#This Row],[LastType]] = "Scrn", ICE[[#This Row],[LstDate]], IF(ICE[[#This Row],[LastType]] = "Blk", ICE[[#This Row],[LstBlkTime]], ""))</f>
        <v>0.37237268518518518</v>
      </c>
      <c r="R308" s="41">
        <f>IF(ICE[[#This Row],[LastType]] = "Scrn", ICE[[#This Row],[LstPrc]], IF(ICE[[#This Row],[LastType]] = "Blk", ICE[[#This Row],[LstBlkPrc]], ""))</f>
        <v>29.45</v>
      </c>
      <c r="S308" s="36">
        <f>ICE[[#This Row],[Vol]]+ICE[[#This Row],[BlkVol]]</f>
        <v>17</v>
      </c>
      <c r="T308" s="36">
        <f>RTD("ice.rtd",,$C308 &amp; $D308 &amp; ":" &amp; T$1)</f>
        <v>193</v>
      </c>
      <c r="U308" s="18">
        <f>RTD("ice.rtd",,$C308 &amp; $D308 &amp; ":" &amp; U$1)</f>
        <v>29.3</v>
      </c>
      <c r="V3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30.35 / 31.25 {29.45} |17x</v>
      </c>
      <c r="W308" s="18" t="str">
        <f>IFERROR(IF(LEFT(ICE[[#This Row],[Tenor]], 1) = "B", RTD("esrtd",,$B308 &amp; " " &amp; ICE[[#This Row],[Tenor]] &amp; "-IEU", W$1), RTD("esrtd",,$B308 &amp; " " &amp; VLOOKUP(MONTH(ICE[[#This Row],[Strip]]), MthRef[], 2, 0) &amp; RIGHT(YEAR(ICE[[#This Row],[Strip]]), 2) &amp; "-IEU", W$1)), "")</f>
        <v/>
      </c>
      <c r="X308" s="36"/>
    </row>
    <row r="309" spans="1:24" x14ac:dyDescent="0.25">
      <c r="A309" s="37" t="s">
        <v>828</v>
      </c>
      <c r="B309" s="3" t="str">
        <f>RTD("ice.rtd",,$C309 &amp; $D309 &amp; ":" &amp; B$1)</f>
        <v>EOB</v>
      </c>
      <c r="C309" s="3">
        <v>18901687</v>
      </c>
      <c r="D309" t="s">
        <v>325</v>
      </c>
      <c r="E309" s="3" t="str">
        <f>RTD("ice.rtd",,$C309 &amp; $D309 &amp; ":" &amp; E$1)</f>
        <v>Nov26</v>
      </c>
      <c r="F309" s="3" t="str">
        <f>ICE[[#This Row],[Prod]]&amp;ICE[[#This Row],[Strip]]</f>
        <v>ebobbrxmtNov26</v>
      </c>
      <c r="G309" s="18">
        <f>RTD("ice.rtd",,$C309 &amp; $D309 &amp; ":" &amp; G$1)</f>
        <v>23.55</v>
      </c>
      <c r="H309" s="18">
        <f>RTD("ice.rtd",,$C309 &amp; $D309 &amp; ":" &amp; H$1)</f>
        <v>24.45</v>
      </c>
      <c r="I309" s="18" t="str">
        <f>RTD("ice.rtd",,$C309 &amp; $D309 &amp; ":" &amp; I$1)</f>
        <v/>
      </c>
      <c r="J309" s="14" t="str">
        <f>IFERROR(MOD(RTD("ice.rtd",,$C309 &amp; $D309 &amp; ":" &amp; J$1), 1), "")</f>
        <v/>
      </c>
      <c r="K309" s="18" t="str">
        <f>RTD("ice.rtd",,$C309 &amp; $D309 &amp; ":" &amp; K$1)</f>
        <v/>
      </c>
      <c r="L309" s="36" t="str">
        <f>RTD("ice.rtd",,$C309 &amp; $D309 &amp; ":" &amp; L$1)</f>
        <v/>
      </c>
      <c r="M309" s="14" t="str">
        <f>IFERROR(MOD(TIMEVALUE(RTD("ice.rtd",,$C309 &amp; $D309 &amp; ":" &amp; M$1)), 1), "")</f>
        <v/>
      </c>
      <c r="N309" s="36">
        <f>RTD("ice.rtd",,$C309 &amp; $D309 &amp; ":" &amp; N$1)</f>
        <v>0</v>
      </c>
      <c r="O309" s="36">
        <f>RTD("ice.rtd",,$C309 &amp; $D309 &amp; ":" &amp; O$1)</f>
        <v>0</v>
      </c>
      <c r="P3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09" s="14" t="str">
        <f>IF(ICE[[#This Row],[LastType]] = "Scrn", ICE[[#This Row],[LstDate]], IF(ICE[[#This Row],[LastType]] = "Blk", ICE[[#This Row],[LstBlkTime]], ""))</f>
        <v/>
      </c>
      <c r="R309" s="41" t="str">
        <f>IF(ICE[[#This Row],[LastType]] = "Scrn", ICE[[#This Row],[LstPrc]], IF(ICE[[#This Row],[LastType]] = "Blk", ICE[[#This Row],[LstBlkPrc]], ""))</f>
        <v/>
      </c>
      <c r="S309" s="36">
        <f>ICE[[#This Row],[Vol]]+ICE[[#This Row],[BlkVol]]</f>
        <v>0</v>
      </c>
      <c r="T309" s="36">
        <f>RTD("ice.rtd",,$C309 &amp; $D309 &amp; ":" &amp; T$1)</f>
        <v>167</v>
      </c>
      <c r="U309" s="18">
        <f>RTD("ice.rtd",,$C309 &amp; $D309 &amp; ":" &amp; U$1)</f>
        <v>22.699000000000002</v>
      </c>
      <c r="V3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23.55 / 24.45 </v>
      </c>
      <c r="W309" s="18" t="str">
        <f>IFERROR(IF(LEFT(ICE[[#This Row],[Tenor]], 1) = "B", RTD("esrtd",,$B309 &amp; " " &amp; ICE[[#This Row],[Tenor]] &amp; "-IEU", W$1), RTD("esrtd",,$B309 &amp; " " &amp; VLOOKUP(MONTH(ICE[[#This Row],[Strip]]), MthRef[], 2, 0) &amp; RIGHT(YEAR(ICE[[#This Row],[Strip]]), 2) &amp; "-IEU", W$1)), "")</f>
        <v/>
      </c>
      <c r="X309" s="36"/>
    </row>
    <row r="310" spans="1:24" x14ac:dyDescent="0.25">
      <c r="A310" s="37" t="s">
        <v>828</v>
      </c>
      <c r="B310" s="3" t="str">
        <f>RTD("ice.rtd",,$C310 &amp; $D310 &amp; ":" &amp; B$1)</f>
        <v>EOB</v>
      </c>
      <c r="C310" s="3">
        <v>18901687</v>
      </c>
      <c r="D310" t="s">
        <v>326</v>
      </c>
      <c r="E310" s="3" t="str">
        <f>RTD("ice.rtd",,$C310 &amp; $D310 &amp; ":" &amp; E$1)</f>
        <v>Dec26</v>
      </c>
      <c r="F310" s="3" t="str">
        <f>ICE[[#This Row],[Prod]]&amp;ICE[[#This Row],[Strip]]</f>
        <v>ebobbrxmtDec26</v>
      </c>
      <c r="G310" s="18">
        <f>RTD("ice.rtd",,$C310 &amp; $D310 &amp; ":" &amp; G$1)</f>
        <v>19.2</v>
      </c>
      <c r="H310" s="18">
        <f>RTD("ice.rtd",,$C310 &amp; $D310 &amp; ":" &amp; H$1)</f>
        <v>20.100000000000001</v>
      </c>
      <c r="I310" s="18" t="str">
        <f>RTD("ice.rtd",,$C310 &amp; $D310 &amp; ":" &amp; I$1)</f>
        <v/>
      </c>
      <c r="J310" s="14" t="str">
        <f>IFERROR(MOD(RTD("ice.rtd",,$C310 &amp; $D310 &amp; ":" &amp; J$1), 1), "")</f>
        <v/>
      </c>
      <c r="K310" s="18" t="str">
        <f>RTD("ice.rtd",,$C310 &amp; $D310 &amp; ":" &amp; K$1)</f>
        <v/>
      </c>
      <c r="L310" s="36" t="str">
        <f>RTD("ice.rtd",,$C310 &amp; $D310 &amp; ":" &amp; L$1)</f>
        <v/>
      </c>
      <c r="M310" s="14" t="str">
        <f>IFERROR(MOD(TIMEVALUE(RTD("ice.rtd",,$C310 &amp; $D310 &amp; ":" &amp; M$1)), 1), "")</f>
        <v/>
      </c>
      <c r="N310" s="36">
        <f>RTD("ice.rtd",,$C310 &amp; $D310 &amp; ":" &amp; N$1)</f>
        <v>0</v>
      </c>
      <c r="O310" s="36">
        <f>RTD("ice.rtd",,$C310 &amp; $D310 &amp; ":" &amp; O$1)</f>
        <v>0</v>
      </c>
      <c r="P3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0" s="14" t="str">
        <f>IF(ICE[[#This Row],[LastType]] = "Scrn", ICE[[#This Row],[LstDate]], IF(ICE[[#This Row],[LastType]] = "Blk", ICE[[#This Row],[LstBlkTime]], ""))</f>
        <v/>
      </c>
      <c r="R310" s="41" t="str">
        <f>IF(ICE[[#This Row],[LastType]] = "Scrn", ICE[[#This Row],[LstPrc]], IF(ICE[[#This Row],[LastType]] = "Blk", ICE[[#This Row],[LstBlkPrc]], ""))</f>
        <v/>
      </c>
      <c r="S310" s="36">
        <f>ICE[[#This Row],[Vol]]+ICE[[#This Row],[BlkVol]]</f>
        <v>0</v>
      </c>
      <c r="T310" s="36">
        <f>RTD("ice.rtd",,$C310 &amp; $D310 &amp; ":" &amp; T$1)</f>
        <v>265</v>
      </c>
      <c r="U310" s="18">
        <f>RTD("ice.rtd",,$C310 &amp; $D310 &amp; ":" &amp; U$1)</f>
        <v>18.903000000000002</v>
      </c>
      <c r="V3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19.20 / 20.10 </v>
      </c>
      <c r="W310" s="18" t="str">
        <f>IFERROR(IF(LEFT(ICE[[#This Row],[Tenor]], 1) = "B", RTD("esrtd",,$B310 &amp; " " &amp; ICE[[#This Row],[Tenor]] &amp; "-IEU", W$1), RTD("esrtd",,$B310 &amp; " " &amp; VLOOKUP(MONTH(ICE[[#This Row],[Strip]]), MthRef[], 2, 0) &amp; RIGHT(YEAR(ICE[[#This Row],[Strip]]), 2) &amp; "-IEU", W$1)), "")</f>
        <v/>
      </c>
      <c r="X310" s="36"/>
    </row>
    <row r="311" spans="1:24" x14ac:dyDescent="0.25">
      <c r="A311" s="37" t="s">
        <v>828</v>
      </c>
      <c r="B311" s="3" t="str">
        <f>RTD("ice.rtd",,$C311 &amp; $D311 &amp; ":" &amp; B$1)</f>
        <v>EOB</v>
      </c>
      <c r="C311" s="3">
        <v>18901687</v>
      </c>
      <c r="D311" t="s">
        <v>794</v>
      </c>
      <c r="E311" s="3" t="str">
        <f>RTD("ice.rtd",,$C311 &amp; $D311 &amp; ":" &amp; E$1)</f>
        <v>Jan27</v>
      </c>
      <c r="F311" s="3" t="str">
        <f>ICE[[#This Row],[Prod]]&amp;ICE[[#This Row],[Strip]]</f>
        <v>ebobbrxmtJan27</v>
      </c>
      <c r="G311" s="18">
        <f>RTD("ice.rtd",,$C311 &amp; $D311 &amp; ":" &amp; G$1)</f>
        <v>18.55</v>
      </c>
      <c r="H311" s="18">
        <f>RTD("ice.rtd",,$C311 &amp; $D311 &amp; ":" &amp; H$1)</f>
        <v>19.75</v>
      </c>
      <c r="I311" s="18" t="str">
        <f>RTD("ice.rtd",,$C311 &amp; $D311 &amp; ":" &amp; I$1)</f>
        <v/>
      </c>
      <c r="J311" s="14" t="str">
        <f>IFERROR(MOD(RTD("ice.rtd",,$C311 &amp; $D311 &amp; ":" &amp; J$1), 1), "")</f>
        <v/>
      </c>
      <c r="K311" s="18" t="str">
        <f>RTD("ice.rtd",,$C311 &amp; $D311 &amp; ":" &amp; K$1)</f>
        <v/>
      </c>
      <c r="L311" s="36" t="str">
        <f>RTD("ice.rtd",,$C311 &amp; $D311 &amp; ":" &amp; L$1)</f>
        <v/>
      </c>
      <c r="M311" s="14" t="str">
        <f>IFERROR(MOD(TIMEVALUE(RTD("ice.rtd",,$C311 &amp; $D311 &amp; ":" &amp; M$1)), 1), "")</f>
        <v/>
      </c>
      <c r="N311" s="36">
        <f>RTD("ice.rtd",,$C311 &amp; $D311 &amp; ":" &amp; N$1)</f>
        <v>0</v>
      </c>
      <c r="O311" s="36">
        <f>RTD("ice.rtd",,$C311 &amp; $D311 &amp; ":" &amp; O$1)</f>
        <v>0</v>
      </c>
      <c r="P3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1" s="14" t="str">
        <f>IF(ICE[[#This Row],[LastType]] = "Scrn", ICE[[#This Row],[LstDate]], IF(ICE[[#This Row],[LastType]] = "Blk", ICE[[#This Row],[LstBlkTime]], ""))</f>
        <v/>
      </c>
      <c r="R311" s="41" t="str">
        <f>IF(ICE[[#This Row],[LastType]] = "Scrn", ICE[[#This Row],[LstPrc]], IF(ICE[[#This Row],[LastType]] = "Blk", ICE[[#This Row],[LstBlkPrc]], ""))</f>
        <v/>
      </c>
      <c r="S311" s="36">
        <f>ICE[[#This Row],[Vol]]+ICE[[#This Row],[BlkVol]]</f>
        <v>0</v>
      </c>
      <c r="T311" s="36">
        <f>RTD("ice.rtd",,$C311 &amp; $D311 &amp; ":" &amp; T$1)</f>
        <v>64</v>
      </c>
      <c r="U311" s="18">
        <f>RTD("ice.rtd",,$C311 &amp; $D311 &amp; ":" &amp; U$1)</f>
        <v>18.556000000000001</v>
      </c>
      <c r="V3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18.55 / 19.75 </v>
      </c>
      <c r="W311" s="18" t="str">
        <f>IFERROR(IF(LEFT(ICE[[#This Row],[Tenor]], 1) = "B", RTD("esrtd",,$B311 &amp; " " &amp; ICE[[#This Row],[Tenor]] &amp; "-IEU", W$1), RTD("esrtd",,$B311 &amp; " " &amp; VLOOKUP(MONTH(ICE[[#This Row],[Strip]]), MthRef[], 2, 0) &amp; RIGHT(YEAR(ICE[[#This Row],[Strip]]), 2) &amp; "-IEU", W$1)), "")</f>
        <v/>
      </c>
      <c r="X311" s="36"/>
    </row>
    <row r="312" spans="1:24" x14ac:dyDescent="0.25">
      <c r="A312" s="37" t="s">
        <v>828</v>
      </c>
      <c r="B312" s="3" t="str">
        <f>RTD("ice.rtd",,$C312 &amp; $D312 &amp; ":" &amp; B$1)</f>
        <v>EOB</v>
      </c>
      <c r="C312" s="3">
        <v>18901687</v>
      </c>
      <c r="D312" t="s">
        <v>795</v>
      </c>
      <c r="E312" s="3" t="str">
        <f>RTD("ice.rtd",,$C312 &amp; $D312 &amp; ":" &amp; E$1)</f>
        <v>Feb27</v>
      </c>
      <c r="F312" s="3" t="str">
        <f>ICE[[#This Row],[Prod]]&amp;ICE[[#This Row],[Strip]]</f>
        <v>ebobbrxmtFeb27</v>
      </c>
      <c r="G312" s="18">
        <f>RTD("ice.rtd",,$C312 &amp; $D312 &amp; ":" &amp; G$1)</f>
        <v>19.25</v>
      </c>
      <c r="H312" s="18">
        <f>RTD("ice.rtd",,$C312 &amp; $D312 &amp; ":" &amp; H$1)</f>
        <v>20.45</v>
      </c>
      <c r="I312" s="18" t="str">
        <f>RTD("ice.rtd",,$C312 &amp; $D312 &amp; ":" &amp; I$1)</f>
        <v/>
      </c>
      <c r="J312" s="14" t="str">
        <f>IFERROR(MOD(RTD("ice.rtd",,$C312 &amp; $D312 &amp; ":" &amp; J$1), 1), "")</f>
        <v/>
      </c>
      <c r="K312" s="18" t="str">
        <f>RTD("ice.rtd",,$C312 &amp; $D312 &amp; ":" &amp; K$1)</f>
        <v/>
      </c>
      <c r="L312" s="36" t="str">
        <f>RTD("ice.rtd",,$C312 &amp; $D312 &amp; ":" &amp; L$1)</f>
        <v/>
      </c>
      <c r="M312" s="14" t="str">
        <f>IFERROR(MOD(TIMEVALUE(RTD("ice.rtd",,$C312 &amp; $D312 &amp; ":" &amp; M$1)), 1), "")</f>
        <v/>
      </c>
      <c r="N312" s="36">
        <f>RTD("ice.rtd",,$C312 &amp; $D312 &amp; ":" &amp; N$1)</f>
        <v>0</v>
      </c>
      <c r="O312" s="36">
        <f>RTD("ice.rtd",,$C312 &amp; $D312 &amp; ":" &amp; O$1)</f>
        <v>0</v>
      </c>
      <c r="P3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2" s="14" t="str">
        <f>IF(ICE[[#This Row],[LastType]] = "Scrn", ICE[[#This Row],[LstDate]], IF(ICE[[#This Row],[LastType]] = "Blk", ICE[[#This Row],[LstBlkTime]], ""))</f>
        <v/>
      </c>
      <c r="R312" s="41" t="str">
        <f>IF(ICE[[#This Row],[LastType]] = "Scrn", ICE[[#This Row],[LstPrc]], IF(ICE[[#This Row],[LastType]] = "Blk", ICE[[#This Row],[LstBlkPrc]], ""))</f>
        <v/>
      </c>
      <c r="S312" s="36">
        <f>ICE[[#This Row],[Vol]]+ICE[[#This Row],[BlkVol]]</f>
        <v>0</v>
      </c>
      <c r="T312" s="36">
        <f>RTD("ice.rtd",,$C312 &amp; $D312 &amp; ":" &amp; T$1)</f>
        <v>55</v>
      </c>
      <c r="U312" s="18">
        <f>RTD("ice.rtd",,$C312 &amp; $D312 &amp; ":" &amp; U$1)</f>
        <v>19.260999999999999</v>
      </c>
      <c r="V3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19.25 / 20.45 </v>
      </c>
      <c r="W312" s="18" t="str">
        <f>IFERROR(IF(LEFT(ICE[[#This Row],[Tenor]], 1) = "B", RTD("esrtd",,$B312 &amp; " " &amp; ICE[[#This Row],[Tenor]] &amp; "-IEU", W$1), RTD("esrtd",,$B312 &amp; " " &amp; VLOOKUP(MONTH(ICE[[#This Row],[Strip]]), MthRef[], 2, 0) &amp; RIGHT(YEAR(ICE[[#This Row],[Strip]]), 2) &amp; "-IEU", W$1)), "")</f>
        <v/>
      </c>
      <c r="X312" s="36"/>
    </row>
    <row r="313" spans="1:24" x14ac:dyDescent="0.25">
      <c r="A313" s="37" t="s">
        <v>828</v>
      </c>
      <c r="B313" s="3" t="str">
        <f>RTD("ice.rtd",,$C313 &amp; $D313 &amp; ":" &amp; B$1)</f>
        <v>EOB</v>
      </c>
      <c r="C313" s="3">
        <v>18901687</v>
      </c>
      <c r="D313" t="s">
        <v>113</v>
      </c>
      <c r="E313" s="3" t="str">
        <f>RTD("ice.rtd",,$C313 &amp; $D313 &amp; ":" &amp; E$1)</f>
        <v>Mar27</v>
      </c>
      <c r="F313" s="3" t="str">
        <f>ICE[[#This Row],[Prod]]&amp;ICE[[#This Row],[Strip]]</f>
        <v>ebobbrxmtMar27</v>
      </c>
      <c r="G313" s="18">
        <f>RTD("ice.rtd",,$C313 &amp; $D313 &amp; ":" &amp; G$1)</f>
        <v>20.100000000000001</v>
      </c>
      <c r="H313" s="18">
        <f>RTD("ice.rtd",,$C313 &amp; $D313 &amp; ":" &amp; H$1)</f>
        <v>21.3</v>
      </c>
      <c r="I313" s="18" t="str">
        <f>RTD("ice.rtd",,$C313 &amp; $D313 &amp; ":" &amp; I$1)</f>
        <v/>
      </c>
      <c r="J313" s="14" t="str">
        <f>IFERROR(MOD(RTD("ice.rtd",,$C313 &amp; $D313 &amp; ":" &amp; J$1), 1), "")</f>
        <v/>
      </c>
      <c r="K313" s="18" t="str">
        <f>RTD("ice.rtd",,$C313 &amp; $D313 &amp; ":" &amp; K$1)</f>
        <v/>
      </c>
      <c r="L313" s="36" t="str">
        <f>RTD("ice.rtd",,$C313 &amp; $D313 &amp; ":" &amp; L$1)</f>
        <v/>
      </c>
      <c r="M313" s="14" t="str">
        <f>IFERROR(MOD(TIMEVALUE(RTD("ice.rtd",,$C313 &amp; $D313 &amp; ":" &amp; M$1)), 1), "")</f>
        <v/>
      </c>
      <c r="N313" s="36">
        <f>RTD("ice.rtd",,$C313 &amp; $D313 &amp; ":" &amp; N$1)</f>
        <v>0</v>
      </c>
      <c r="O313" s="36">
        <f>RTD("ice.rtd",,$C313 &amp; $D313 &amp; ":" &amp; O$1)</f>
        <v>0</v>
      </c>
      <c r="P3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3" s="14" t="str">
        <f>IF(ICE[[#This Row],[LastType]] = "Scrn", ICE[[#This Row],[LstDate]], IF(ICE[[#This Row],[LastType]] = "Blk", ICE[[#This Row],[LstBlkTime]], ""))</f>
        <v/>
      </c>
      <c r="R313" s="41" t="str">
        <f>IF(ICE[[#This Row],[LastType]] = "Scrn", ICE[[#This Row],[LstPrc]], IF(ICE[[#This Row],[LastType]] = "Blk", ICE[[#This Row],[LstBlkPrc]], ""))</f>
        <v/>
      </c>
      <c r="S313" s="36">
        <f>ICE[[#This Row],[Vol]]+ICE[[#This Row],[BlkVol]]</f>
        <v>0</v>
      </c>
      <c r="T313" s="36">
        <f>RTD("ice.rtd",,$C313 &amp; $D313 &amp; ":" &amp; T$1)</f>
        <v>50</v>
      </c>
      <c r="U313" s="18">
        <f>RTD("ice.rtd",,$C313 &amp; $D313 &amp; ":" &amp; U$1)</f>
        <v>20.215</v>
      </c>
      <c r="V3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20.10 / 21.30 </v>
      </c>
      <c r="W313" s="18" t="str">
        <f>IFERROR(IF(LEFT(ICE[[#This Row],[Tenor]], 1) = "B", RTD("esrtd",,$B313 &amp; " " &amp; ICE[[#This Row],[Tenor]] &amp; "-IEU", W$1), RTD("esrtd",,$B313 &amp; " " &amp; VLOOKUP(MONTH(ICE[[#This Row],[Strip]]), MthRef[], 2, 0) &amp; RIGHT(YEAR(ICE[[#This Row],[Strip]]), 2) &amp; "-IEU", W$1)), "")</f>
        <v/>
      </c>
      <c r="X313" s="36"/>
    </row>
    <row r="314" spans="1:24" x14ac:dyDescent="0.25">
      <c r="A314" s="37" t="s">
        <v>828</v>
      </c>
      <c r="B314" s="3" t="str">
        <f>RTD("ice.rtd",,$C314 &amp; $D314 &amp; ":" &amp; B$1)</f>
        <v>EOB</v>
      </c>
      <c r="C314" s="3">
        <v>18901687</v>
      </c>
      <c r="D314" t="s">
        <v>796</v>
      </c>
      <c r="E314" s="3" t="str">
        <f>RTD("ice.rtd",,$C314 &amp; $D314 &amp; ":" &amp; E$1)</f>
        <v>Apr27</v>
      </c>
      <c r="F314" s="3" t="str">
        <f>ICE[[#This Row],[Prod]]&amp;ICE[[#This Row],[Strip]]</f>
        <v>ebobbrxmtApr27</v>
      </c>
      <c r="G314" s="18">
        <f>RTD("ice.rtd",,$C314 &amp; $D314 &amp; ":" &amp; G$1)</f>
        <v>24.4</v>
      </c>
      <c r="H314" s="18">
        <f>RTD("ice.rtd",,$C314 &amp; $D314 &amp; ":" &amp; H$1)</f>
        <v>25.6</v>
      </c>
      <c r="I314" s="18" t="str">
        <f>RTD("ice.rtd",,$C314 &amp; $D314 &amp; ":" &amp; I$1)</f>
        <v/>
      </c>
      <c r="J314" s="14" t="str">
        <f>IFERROR(MOD(RTD("ice.rtd",,$C314 &amp; $D314 &amp; ":" &amp; J$1), 1), "")</f>
        <v/>
      </c>
      <c r="K314" s="18" t="str">
        <f>RTD("ice.rtd",,$C314 &amp; $D314 &amp; ":" &amp; K$1)</f>
        <v/>
      </c>
      <c r="L314" s="36" t="str">
        <f>RTD("ice.rtd",,$C314 &amp; $D314 &amp; ":" &amp; L$1)</f>
        <v/>
      </c>
      <c r="M314" s="14" t="str">
        <f>IFERROR(MOD(TIMEVALUE(RTD("ice.rtd",,$C314 &amp; $D314 &amp; ":" &amp; M$1)), 1), "")</f>
        <v/>
      </c>
      <c r="N314" s="36">
        <f>RTD("ice.rtd",,$C314 &amp; $D314 &amp; ":" &amp; N$1)</f>
        <v>0</v>
      </c>
      <c r="O314" s="36">
        <f>RTD("ice.rtd",,$C314 &amp; $D314 &amp; ":" &amp; O$1)</f>
        <v>0</v>
      </c>
      <c r="P3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4" s="14" t="str">
        <f>IF(ICE[[#This Row],[LastType]] = "Scrn", ICE[[#This Row],[LstDate]], IF(ICE[[#This Row],[LastType]] = "Blk", ICE[[#This Row],[LstBlkTime]], ""))</f>
        <v/>
      </c>
      <c r="R314" s="41" t="str">
        <f>IF(ICE[[#This Row],[LastType]] = "Scrn", ICE[[#This Row],[LstPrc]], IF(ICE[[#This Row],[LastType]] = "Blk", ICE[[#This Row],[LstBlkPrc]], ""))</f>
        <v/>
      </c>
      <c r="S314" s="36">
        <f>ICE[[#This Row],[Vol]]+ICE[[#This Row],[BlkVol]]</f>
        <v>0</v>
      </c>
      <c r="T314" s="36">
        <f>RTD("ice.rtd",,$C314 &amp; $D314 &amp; ":" &amp; T$1)</f>
        <v>52</v>
      </c>
      <c r="U314" s="18">
        <f>RTD("ice.rtd",,$C314 &amp; $D314 &amp; ":" &amp; U$1)</f>
        <v>24.59</v>
      </c>
      <c r="V3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24.40 / 25.60 </v>
      </c>
      <c r="W314" s="18" t="str">
        <f>IFERROR(IF(LEFT(ICE[[#This Row],[Tenor]], 1) = "B", RTD("esrtd",,$B314 &amp; " " &amp; ICE[[#This Row],[Tenor]] &amp; "-IEU", W$1), RTD("esrtd",,$B314 &amp; " " &amp; VLOOKUP(MONTH(ICE[[#This Row],[Strip]]), MthRef[], 2, 0) &amp; RIGHT(YEAR(ICE[[#This Row],[Strip]]), 2) &amp; "-IEU", W$1)), "")</f>
        <v/>
      </c>
      <c r="X314" s="36"/>
    </row>
    <row r="315" spans="1:24" x14ac:dyDescent="0.25">
      <c r="A315" s="37" t="s">
        <v>828</v>
      </c>
      <c r="B315" s="3" t="str">
        <f>RTD("ice.rtd",,$C315 &amp; $D315 &amp; ":" &amp; B$1)</f>
        <v>EOB</v>
      </c>
      <c r="C315" s="3">
        <v>18901687</v>
      </c>
      <c r="D315" t="s">
        <v>797</v>
      </c>
      <c r="E315" s="3" t="str">
        <f>RTD("ice.rtd",,$C315 &amp; $D315 &amp; ":" &amp; E$1)</f>
        <v>May27</v>
      </c>
      <c r="F315" s="3" t="str">
        <f>ICE[[#This Row],[Prod]]&amp;ICE[[#This Row],[Strip]]</f>
        <v>ebobbrxmtMay27</v>
      </c>
      <c r="G315" s="18">
        <f>RTD("ice.rtd",,$C315 &amp; $D315 &amp; ":" &amp; G$1)</f>
        <v>24.15</v>
      </c>
      <c r="H315" s="18">
        <f>RTD("ice.rtd",,$C315 &amp; $D315 &amp; ":" &amp; H$1)</f>
        <v>25.35</v>
      </c>
      <c r="I315" s="18" t="str">
        <f>RTD("ice.rtd",,$C315 &amp; $D315 &amp; ":" &amp; I$1)</f>
        <v/>
      </c>
      <c r="J315" s="14" t="str">
        <f>IFERROR(MOD(RTD("ice.rtd",,$C315 &amp; $D315 &amp; ":" &amp; J$1), 1), "")</f>
        <v/>
      </c>
      <c r="K315" s="18" t="str">
        <f>RTD("ice.rtd",,$C315 &amp; $D315 &amp; ":" &amp; K$1)</f>
        <v/>
      </c>
      <c r="L315" s="36" t="str">
        <f>RTD("ice.rtd",,$C315 &amp; $D315 &amp; ":" &amp; L$1)</f>
        <v/>
      </c>
      <c r="M315" s="14" t="str">
        <f>IFERROR(MOD(TIMEVALUE(RTD("ice.rtd",,$C315 &amp; $D315 &amp; ":" &amp; M$1)), 1), "")</f>
        <v/>
      </c>
      <c r="N315" s="36">
        <f>RTD("ice.rtd",,$C315 &amp; $D315 &amp; ":" &amp; N$1)</f>
        <v>0</v>
      </c>
      <c r="O315" s="36">
        <f>RTD("ice.rtd",,$C315 &amp; $D315 &amp; ":" &amp; O$1)</f>
        <v>0</v>
      </c>
      <c r="P3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5" s="14" t="str">
        <f>IF(ICE[[#This Row],[LastType]] = "Scrn", ICE[[#This Row],[LstDate]], IF(ICE[[#This Row],[LastType]] = "Blk", ICE[[#This Row],[LstBlkTime]], ""))</f>
        <v/>
      </c>
      <c r="R315" s="41" t="str">
        <f>IF(ICE[[#This Row],[LastType]] = "Scrn", ICE[[#This Row],[LstPrc]], IF(ICE[[#This Row],[LastType]] = "Blk", ICE[[#This Row],[LstBlkPrc]], ""))</f>
        <v/>
      </c>
      <c r="S315" s="36">
        <f>ICE[[#This Row],[Vol]]+ICE[[#This Row],[BlkVol]]</f>
        <v>0</v>
      </c>
      <c r="T315" s="36">
        <f>RTD("ice.rtd",,$C315 &amp; $D315 &amp; ":" &amp; T$1)</f>
        <v>40</v>
      </c>
      <c r="U315" s="18">
        <f>RTD("ice.rtd",,$C315 &amp; $D315 &amp; ":" &amp; U$1)</f>
        <v>24.309000000000001</v>
      </c>
      <c r="V3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24.15 / 25.35 </v>
      </c>
      <c r="W315" s="18" t="str">
        <f>IFERROR(IF(LEFT(ICE[[#This Row],[Tenor]], 1) = "B", RTD("esrtd",,$B315 &amp; " " &amp; ICE[[#This Row],[Tenor]] &amp; "-IEU", W$1), RTD("esrtd",,$B315 &amp; " " &amp; VLOOKUP(MONTH(ICE[[#This Row],[Strip]]), MthRef[], 2, 0) &amp; RIGHT(YEAR(ICE[[#This Row],[Strip]]), 2) &amp; "-IEU", W$1)), "")</f>
        <v/>
      </c>
      <c r="X315" s="36"/>
    </row>
    <row r="316" spans="1:24" x14ac:dyDescent="0.25">
      <c r="A316" s="37" t="s">
        <v>828</v>
      </c>
      <c r="B316" s="3" t="str">
        <f>RTD("ice.rtd",,$C316 &amp; $D316 &amp; ":" &amp; B$1)</f>
        <v>EOB</v>
      </c>
      <c r="C316" s="3">
        <v>18901687</v>
      </c>
      <c r="D316" t="s">
        <v>798</v>
      </c>
      <c r="E316" s="3" t="str">
        <f>RTD("ice.rtd",,$C316 &amp; $D316 &amp; ":" &amp; E$1)</f>
        <v>Jun27</v>
      </c>
      <c r="F316" s="3" t="str">
        <f>ICE[[#This Row],[Prod]]&amp;ICE[[#This Row],[Strip]]</f>
        <v>ebobbrxmtJun27</v>
      </c>
      <c r="G316" s="18">
        <f>RTD("ice.rtd",,$C316 &amp; $D316 &amp; ":" &amp; G$1)</f>
        <v>23.3</v>
      </c>
      <c r="H316" s="18">
        <f>RTD("ice.rtd",,$C316 &amp; $D316 &amp; ":" &amp; H$1)</f>
        <v>24.5</v>
      </c>
      <c r="I316" s="18" t="str">
        <f>RTD("ice.rtd",,$C316 &amp; $D316 &amp; ":" &amp; I$1)</f>
        <v/>
      </c>
      <c r="J316" s="14" t="str">
        <f>IFERROR(MOD(RTD("ice.rtd",,$C316 &amp; $D316 &amp; ":" &amp; J$1), 1), "")</f>
        <v/>
      </c>
      <c r="K316" s="18" t="str">
        <f>RTD("ice.rtd",,$C316 &amp; $D316 &amp; ":" &amp; K$1)</f>
        <v/>
      </c>
      <c r="L316" s="36" t="str">
        <f>RTD("ice.rtd",,$C316 &amp; $D316 &amp; ":" &amp; L$1)</f>
        <v/>
      </c>
      <c r="M316" s="14" t="str">
        <f>IFERROR(MOD(TIMEVALUE(RTD("ice.rtd",,$C316 &amp; $D316 &amp; ":" &amp; M$1)), 1), "")</f>
        <v/>
      </c>
      <c r="N316" s="36">
        <f>RTD("ice.rtd",,$C316 &amp; $D316 &amp; ":" &amp; N$1)</f>
        <v>0</v>
      </c>
      <c r="O316" s="36">
        <f>RTD("ice.rtd",,$C316 &amp; $D316 &amp; ":" &amp; O$1)</f>
        <v>0</v>
      </c>
      <c r="P3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6" s="14" t="str">
        <f>IF(ICE[[#This Row],[LastType]] = "Scrn", ICE[[#This Row],[LstDate]], IF(ICE[[#This Row],[LastType]] = "Blk", ICE[[#This Row],[LstBlkTime]], ""))</f>
        <v/>
      </c>
      <c r="R316" s="41" t="str">
        <f>IF(ICE[[#This Row],[LastType]] = "Scrn", ICE[[#This Row],[LstPrc]], IF(ICE[[#This Row],[LastType]] = "Blk", ICE[[#This Row],[LstBlkPrc]], ""))</f>
        <v/>
      </c>
      <c r="S316" s="36">
        <f>ICE[[#This Row],[Vol]]+ICE[[#This Row],[BlkVol]]</f>
        <v>0</v>
      </c>
      <c r="T316" s="36">
        <f>RTD("ice.rtd",,$C316 &amp; $D316 &amp; ":" &amp; T$1)</f>
        <v>47</v>
      </c>
      <c r="U316" s="18">
        <f>RTD("ice.rtd",,$C316 &amp; $D316 &amp; ":" &amp; U$1)</f>
        <v>23.388999999999999</v>
      </c>
      <c r="V3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23.30 / 24.50 </v>
      </c>
      <c r="W316" s="18" t="str">
        <f>IFERROR(IF(LEFT(ICE[[#This Row],[Tenor]], 1) = "B", RTD("esrtd",,$B316 &amp; " " &amp; ICE[[#This Row],[Tenor]] &amp; "-IEU", W$1), RTD("esrtd",,$B316 &amp; " " &amp; VLOOKUP(MONTH(ICE[[#This Row],[Strip]]), MthRef[], 2, 0) &amp; RIGHT(YEAR(ICE[[#This Row],[Strip]]), 2) &amp; "-IEU", W$1)), "")</f>
        <v/>
      </c>
      <c r="X316" s="36"/>
    </row>
    <row r="317" spans="1:24" x14ac:dyDescent="0.25">
      <c r="A317" s="37" t="s">
        <v>828</v>
      </c>
      <c r="B317" s="3" t="str">
        <f>RTD("ice.rtd",,$C317 &amp; $D317 &amp; ":" &amp; B$1)</f>
        <v>EOB</v>
      </c>
      <c r="C317" s="3">
        <v>18901687</v>
      </c>
      <c r="D317" t="s">
        <v>799</v>
      </c>
      <c r="E317" s="3" t="str">
        <f>RTD("ice.rtd",,$C317 &amp; $D317 &amp; ":" &amp; E$1)</f>
        <v>Jul27</v>
      </c>
      <c r="F317" s="3" t="str">
        <f>ICE[[#This Row],[Prod]]&amp;ICE[[#This Row],[Strip]]</f>
        <v>ebobbrxmtJul27</v>
      </c>
      <c r="G317" s="18">
        <f>RTD("ice.rtd",,$C317 &amp; $D317 &amp; ":" &amp; G$1)</f>
        <v>22.05</v>
      </c>
      <c r="H317" s="18">
        <f>RTD("ice.rtd",,$C317 &amp; $D317 &amp; ":" &amp; H$1)</f>
        <v>23.25</v>
      </c>
      <c r="I317" s="18" t="str">
        <f>RTD("ice.rtd",,$C317 &amp; $D317 &amp; ":" &amp; I$1)</f>
        <v/>
      </c>
      <c r="J317" s="14" t="str">
        <f>IFERROR(MOD(RTD("ice.rtd",,$C317 &amp; $D317 &amp; ":" &amp; J$1), 1), "")</f>
        <v/>
      </c>
      <c r="K317" s="18" t="str">
        <f>RTD("ice.rtd",,$C317 &amp; $D317 &amp; ":" &amp; K$1)</f>
        <v/>
      </c>
      <c r="L317" s="36" t="str">
        <f>RTD("ice.rtd",,$C317 &amp; $D317 &amp; ":" &amp; L$1)</f>
        <v/>
      </c>
      <c r="M317" s="14" t="str">
        <f>IFERROR(MOD(TIMEVALUE(RTD("ice.rtd",,$C317 &amp; $D317 &amp; ":" &amp; M$1)), 1), "")</f>
        <v/>
      </c>
      <c r="N317" s="36">
        <f>RTD("ice.rtd",,$C317 &amp; $D317 &amp; ":" &amp; N$1)</f>
        <v>0</v>
      </c>
      <c r="O317" s="36">
        <f>RTD("ice.rtd",,$C317 &amp; $D317 &amp; ":" &amp; O$1)</f>
        <v>0</v>
      </c>
      <c r="P3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7" s="14" t="str">
        <f>IF(ICE[[#This Row],[LastType]] = "Scrn", ICE[[#This Row],[LstDate]], IF(ICE[[#This Row],[LastType]] = "Blk", ICE[[#This Row],[LstBlkTime]], ""))</f>
        <v/>
      </c>
      <c r="R317" s="41" t="str">
        <f>IF(ICE[[#This Row],[LastType]] = "Scrn", ICE[[#This Row],[LstPrc]], IF(ICE[[#This Row],[LastType]] = "Blk", ICE[[#This Row],[LstBlkPrc]], ""))</f>
        <v/>
      </c>
      <c r="S317" s="36">
        <f>ICE[[#This Row],[Vol]]+ICE[[#This Row],[BlkVol]]</f>
        <v>0</v>
      </c>
      <c r="T317" s="36">
        <f>RTD("ice.rtd",,$C317 &amp; $D317 &amp; ":" &amp; T$1)</f>
        <v>96</v>
      </c>
      <c r="U317" s="18">
        <f>RTD("ice.rtd",,$C317 &amp; $D317 &amp; ":" &amp; U$1)</f>
        <v>22.205000000000002</v>
      </c>
      <c r="V3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22.05 / 23.25 </v>
      </c>
      <c r="W317" s="18" t="str">
        <f>IFERROR(IF(LEFT(ICE[[#This Row],[Tenor]], 1) = "B", RTD("esrtd",,$B317 &amp; " " &amp; ICE[[#This Row],[Tenor]] &amp; "-IEU", W$1), RTD("esrtd",,$B317 &amp; " " &amp; VLOOKUP(MONTH(ICE[[#This Row],[Strip]]), MthRef[], 2, 0) &amp; RIGHT(YEAR(ICE[[#This Row],[Strip]]), 2) &amp; "-IEU", W$1)), "")</f>
        <v/>
      </c>
      <c r="X317" s="36"/>
    </row>
    <row r="318" spans="1:24" x14ac:dyDescent="0.25">
      <c r="A318" s="37" t="s">
        <v>828</v>
      </c>
      <c r="B318" s="3" t="str">
        <f>RTD("ice.rtd",,$C318 &amp; $D318 &amp; ":" &amp; B$1)</f>
        <v>EOB</v>
      </c>
      <c r="C318" s="3">
        <v>18901687</v>
      </c>
      <c r="D318" t="s">
        <v>800</v>
      </c>
      <c r="E318" s="3" t="str">
        <f>RTD("ice.rtd",,$C318 &amp; $D318 &amp; ":" &amp; E$1)</f>
        <v>Aug27</v>
      </c>
      <c r="F318" s="3" t="str">
        <f>ICE[[#This Row],[Prod]]&amp;ICE[[#This Row],[Strip]]</f>
        <v>ebobbrxmtAug27</v>
      </c>
      <c r="G318" s="18">
        <f>RTD("ice.rtd",,$C318 &amp; $D318 &amp; ":" &amp; G$1)</f>
        <v>20.55</v>
      </c>
      <c r="H318" s="18">
        <f>RTD("ice.rtd",,$C318 &amp; $D318 &amp; ":" &amp; H$1)</f>
        <v>21.75</v>
      </c>
      <c r="I318" s="18" t="str">
        <f>RTD("ice.rtd",,$C318 &amp; $D318 &amp; ":" &amp; I$1)</f>
        <v/>
      </c>
      <c r="J318" s="14" t="str">
        <f>IFERROR(MOD(RTD("ice.rtd",,$C318 &amp; $D318 &amp; ":" &amp; J$1), 1), "")</f>
        <v/>
      </c>
      <c r="K318" s="18" t="str">
        <f>RTD("ice.rtd",,$C318 &amp; $D318 &amp; ":" &amp; K$1)</f>
        <v/>
      </c>
      <c r="L318" s="36" t="str">
        <f>RTD("ice.rtd",,$C318 &amp; $D318 &amp; ":" &amp; L$1)</f>
        <v/>
      </c>
      <c r="M318" s="14" t="str">
        <f>IFERROR(MOD(TIMEVALUE(RTD("ice.rtd",,$C318 &amp; $D318 &amp; ":" &amp; M$1)), 1), "")</f>
        <v/>
      </c>
      <c r="N318" s="36">
        <f>RTD("ice.rtd",,$C318 &amp; $D318 &amp; ":" &amp; N$1)</f>
        <v>0</v>
      </c>
      <c r="O318" s="36">
        <f>RTD("ice.rtd",,$C318 &amp; $D318 &amp; ":" &amp; O$1)</f>
        <v>0</v>
      </c>
      <c r="P3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8" s="14" t="str">
        <f>IF(ICE[[#This Row],[LastType]] = "Scrn", ICE[[#This Row],[LstDate]], IF(ICE[[#This Row],[LastType]] = "Blk", ICE[[#This Row],[LstBlkTime]], ""))</f>
        <v/>
      </c>
      <c r="R318" s="41" t="str">
        <f>IF(ICE[[#This Row],[LastType]] = "Scrn", ICE[[#This Row],[LstPrc]], IF(ICE[[#This Row],[LastType]] = "Blk", ICE[[#This Row],[LstBlkPrc]], ""))</f>
        <v/>
      </c>
      <c r="S318" s="36">
        <f>ICE[[#This Row],[Vol]]+ICE[[#This Row],[BlkVol]]</f>
        <v>0</v>
      </c>
      <c r="T318" s="36">
        <f>RTD("ice.rtd",,$C318 &amp; $D318 &amp; ":" &amp; T$1)</f>
        <v>93</v>
      </c>
      <c r="U318" s="18">
        <f>RTD("ice.rtd",,$C318 &amp; $D318 &amp; ":" &amp; U$1)</f>
        <v>20.881</v>
      </c>
      <c r="V3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20.55 / 21.75 </v>
      </c>
      <c r="W318" s="18" t="str">
        <f>IFERROR(IF(LEFT(ICE[[#This Row],[Tenor]], 1) = "B", RTD("esrtd",,$B318 &amp; " " &amp; ICE[[#This Row],[Tenor]] &amp; "-IEU", W$1), RTD("esrtd",,$B318 &amp; " " &amp; VLOOKUP(MONTH(ICE[[#This Row],[Strip]]), MthRef[], 2, 0) &amp; RIGHT(YEAR(ICE[[#This Row],[Strip]]), 2) &amp; "-IEU", W$1)), "")</f>
        <v/>
      </c>
      <c r="X318" s="36"/>
    </row>
    <row r="319" spans="1:24" x14ac:dyDescent="0.25">
      <c r="A319" s="37" t="s">
        <v>828</v>
      </c>
      <c r="B319" s="3" t="str">
        <f>RTD("ice.rtd",,$C319 &amp; $D319 &amp; ":" &amp; B$1)</f>
        <v>EOB</v>
      </c>
      <c r="C319" s="3">
        <v>18901687</v>
      </c>
      <c r="D319" t="s">
        <v>801</v>
      </c>
      <c r="E319" s="3" t="str">
        <f>RTD("ice.rtd",,$C319 &amp; $D319 &amp; ":" &amp; E$1)</f>
        <v>Sep27</v>
      </c>
      <c r="F319" s="3" t="str">
        <f>ICE[[#This Row],[Prod]]&amp;ICE[[#This Row],[Strip]]</f>
        <v>ebobbrxmtSep27</v>
      </c>
      <c r="G319" s="18">
        <f>RTD("ice.rtd",,$C319 &amp; $D319 &amp; ":" &amp; G$1)</f>
        <v>18.55</v>
      </c>
      <c r="H319" s="18">
        <f>RTD("ice.rtd",,$C319 &amp; $D319 &amp; ":" &amp; H$1)</f>
        <v>19.75</v>
      </c>
      <c r="I319" s="18" t="str">
        <f>RTD("ice.rtd",,$C319 &amp; $D319 &amp; ":" &amp; I$1)</f>
        <v/>
      </c>
      <c r="J319" s="14" t="str">
        <f>IFERROR(MOD(RTD("ice.rtd",,$C319 &amp; $D319 &amp; ":" &amp; J$1), 1), "")</f>
        <v/>
      </c>
      <c r="K319" s="18" t="str">
        <f>RTD("ice.rtd",,$C319 &amp; $D319 &amp; ":" &amp; K$1)</f>
        <v/>
      </c>
      <c r="L319" s="36" t="str">
        <f>RTD("ice.rtd",,$C319 &amp; $D319 &amp; ":" &amp; L$1)</f>
        <v/>
      </c>
      <c r="M319" s="14" t="str">
        <f>IFERROR(MOD(TIMEVALUE(RTD("ice.rtd",,$C319 &amp; $D319 &amp; ":" &amp; M$1)), 1), "")</f>
        <v/>
      </c>
      <c r="N319" s="36">
        <f>RTD("ice.rtd",,$C319 &amp; $D319 &amp; ":" &amp; N$1)</f>
        <v>0</v>
      </c>
      <c r="O319" s="36">
        <f>RTD("ice.rtd",,$C319 &amp; $D319 &amp; ":" &amp; O$1)</f>
        <v>0</v>
      </c>
      <c r="P3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19" s="14" t="str">
        <f>IF(ICE[[#This Row],[LastType]] = "Scrn", ICE[[#This Row],[LstDate]], IF(ICE[[#This Row],[LastType]] = "Blk", ICE[[#This Row],[LstBlkTime]], ""))</f>
        <v/>
      </c>
      <c r="R319" s="41" t="str">
        <f>IF(ICE[[#This Row],[LastType]] = "Scrn", ICE[[#This Row],[LstPrc]], IF(ICE[[#This Row],[LastType]] = "Blk", ICE[[#This Row],[LstBlkPrc]], ""))</f>
        <v/>
      </c>
      <c r="S319" s="36">
        <f>ICE[[#This Row],[Vol]]+ICE[[#This Row],[BlkVol]]</f>
        <v>0</v>
      </c>
      <c r="T319" s="36">
        <f>RTD("ice.rtd",,$C319 &amp; $D319 &amp; ":" &amp; T$1)</f>
        <v>82</v>
      </c>
      <c r="U319" s="18">
        <f>RTD("ice.rtd",,$C319 &amp; $D319 &amp; ":" &amp; U$1)</f>
        <v>18.988</v>
      </c>
      <c r="V3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18.55 / 19.75 </v>
      </c>
      <c r="W319" s="18" t="str">
        <f>IFERROR(IF(LEFT(ICE[[#This Row],[Tenor]], 1) = "B", RTD("esrtd",,$B319 &amp; " " &amp; ICE[[#This Row],[Tenor]] &amp; "-IEU", W$1), RTD("esrtd",,$B319 &amp; " " &amp; VLOOKUP(MONTH(ICE[[#This Row],[Strip]]), MthRef[], 2, 0) &amp; RIGHT(YEAR(ICE[[#This Row],[Strip]]), 2) &amp; "-IEU", W$1)), "")</f>
        <v/>
      </c>
      <c r="X319" s="36"/>
    </row>
    <row r="320" spans="1:24" x14ac:dyDescent="0.25">
      <c r="A320" s="37" t="s">
        <v>828</v>
      </c>
      <c r="B320" s="3" t="str">
        <f>RTD("ice.rtd",,$C320 &amp; $D320 &amp; ":" &amp; B$1)</f>
        <v>EOB</v>
      </c>
      <c r="C320" s="3">
        <v>18901687</v>
      </c>
      <c r="D320" t="s">
        <v>802</v>
      </c>
      <c r="E320" s="3" t="str">
        <f>RTD("ice.rtd",,$C320 &amp; $D320 &amp; ":" &amp; E$1)</f>
        <v>Oct27</v>
      </c>
      <c r="F320" s="3" t="str">
        <f>ICE[[#This Row],[Prod]]&amp;ICE[[#This Row],[Strip]]</f>
        <v>ebobbrxmtOct27</v>
      </c>
      <c r="G320" s="18">
        <f>RTD("ice.rtd",,$C320 &amp; $D320 &amp; ":" &amp; G$1)</f>
        <v>13.7</v>
      </c>
      <c r="H320" s="18">
        <f>RTD("ice.rtd",,$C320 &amp; $D320 &amp; ":" &amp; H$1)</f>
        <v>14.9</v>
      </c>
      <c r="I320" s="18" t="str">
        <f>RTD("ice.rtd",,$C320 &amp; $D320 &amp; ":" &amp; I$1)</f>
        <v/>
      </c>
      <c r="J320" s="14" t="str">
        <f>IFERROR(MOD(RTD("ice.rtd",,$C320 &amp; $D320 &amp; ":" &amp; J$1), 1), "")</f>
        <v/>
      </c>
      <c r="K320" s="18" t="str">
        <f>RTD("ice.rtd",,$C320 &amp; $D320 &amp; ":" &amp; K$1)</f>
        <v/>
      </c>
      <c r="L320" s="36" t="str">
        <f>RTD("ice.rtd",,$C320 &amp; $D320 &amp; ":" &amp; L$1)</f>
        <v/>
      </c>
      <c r="M320" s="14" t="str">
        <f>IFERROR(MOD(TIMEVALUE(RTD("ice.rtd",,$C320 &amp; $D320 &amp; ":" &amp; M$1)), 1), "")</f>
        <v/>
      </c>
      <c r="N320" s="36">
        <f>RTD("ice.rtd",,$C320 &amp; $D320 &amp; ":" &amp; N$1)</f>
        <v>0</v>
      </c>
      <c r="O320" s="36">
        <f>RTD("ice.rtd",,$C320 &amp; $D320 &amp; ":" &amp; O$1)</f>
        <v>0</v>
      </c>
      <c r="P3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0" s="14" t="str">
        <f>IF(ICE[[#This Row],[LastType]] = "Scrn", ICE[[#This Row],[LstDate]], IF(ICE[[#This Row],[LastType]] = "Blk", ICE[[#This Row],[LstBlkTime]], ""))</f>
        <v/>
      </c>
      <c r="R320" s="41" t="str">
        <f>IF(ICE[[#This Row],[LastType]] = "Scrn", ICE[[#This Row],[LstPrc]], IF(ICE[[#This Row],[LastType]] = "Blk", ICE[[#This Row],[LstBlkPrc]], ""))</f>
        <v/>
      </c>
      <c r="S320" s="36">
        <f>ICE[[#This Row],[Vol]]+ICE[[#This Row],[BlkVol]]</f>
        <v>0</v>
      </c>
      <c r="T320" s="36">
        <f>RTD("ice.rtd",,$C320 &amp; $D320 &amp; ":" &amp; T$1)</f>
        <v>25</v>
      </c>
      <c r="U320" s="18">
        <f>RTD("ice.rtd",,$C320 &amp; $D320 &amp; ":" &amp; U$1)</f>
        <v>14.266</v>
      </c>
      <c r="V3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13.70 / 14.90 </v>
      </c>
      <c r="W320" s="18" t="str">
        <f>IFERROR(IF(LEFT(ICE[[#This Row],[Tenor]], 1) = "B", RTD("esrtd",,$B320 &amp; " " &amp; ICE[[#This Row],[Tenor]] &amp; "-IEU", W$1), RTD("esrtd",,$B320 &amp; " " &amp; VLOOKUP(MONTH(ICE[[#This Row],[Strip]]), MthRef[], 2, 0) &amp; RIGHT(YEAR(ICE[[#This Row],[Strip]]), 2) &amp; "-IEU", W$1)), "")</f>
        <v/>
      </c>
      <c r="X320" s="36"/>
    </row>
    <row r="321" spans="1:24" x14ac:dyDescent="0.25">
      <c r="A321" s="37" t="s">
        <v>828</v>
      </c>
      <c r="B321" s="3" t="str">
        <f>RTD("ice.rtd",,$C321 &amp; $D321 &amp; ":" &amp; B$1)</f>
        <v>EOB</v>
      </c>
      <c r="C321" s="3">
        <v>18901687</v>
      </c>
      <c r="D321" t="s">
        <v>803</v>
      </c>
      <c r="E321" s="3" t="str">
        <f>RTD("ice.rtd",,$C321 &amp; $D321 &amp; ":" &amp; E$1)</f>
        <v>Nov27</v>
      </c>
      <c r="F321" s="3" t="str">
        <f>ICE[[#This Row],[Prod]]&amp;ICE[[#This Row],[Strip]]</f>
        <v>ebobbrxmtNov27</v>
      </c>
      <c r="G321" s="18">
        <f>RTD("ice.rtd",,$C321 &amp; $D321 &amp; ":" &amp; G$1)</f>
        <v>11.4</v>
      </c>
      <c r="H321" s="18">
        <f>RTD("ice.rtd",,$C321 &amp; $D321 &amp; ":" &amp; H$1)</f>
        <v>12.6</v>
      </c>
      <c r="I321" s="18" t="str">
        <f>RTD("ice.rtd",,$C321 &amp; $D321 &amp; ":" &amp; I$1)</f>
        <v/>
      </c>
      <c r="J321" s="14" t="str">
        <f>IFERROR(MOD(RTD("ice.rtd",,$C321 &amp; $D321 &amp; ":" &amp; J$1), 1), "")</f>
        <v/>
      </c>
      <c r="K321" s="18" t="str">
        <f>RTD("ice.rtd",,$C321 &amp; $D321 &amp; ":" &amp; K$1)</f>
        <v/>
      </c>
      <c r="L321" s="36" t="str">
        <f>RTD("ice.rtd",,$C321 &amp; $D321 &amp; ":" &amp; L$1)</f>
        <v/>
      </c>
      <c r="M321" s="14" t="str">
        <f>IFERROR(MOD(TIMEVALUE(RTD("ice.rtd",,$C321 &amp; $D321 &amp; ":" &amp; M$1)), 1), "")</f>
        <v/>
      </c>
      <c r="N321" s="36">
        <f>RTD("ice.rtd",,$C321 &amp; $D321 &amp; ":" &amp; N$1)</f>
        <v>0</v>
      </c>
      <c r="O321" s="36">
        <f>RTD("ice.rtd",,$C321 &amp; $D321 &amp; ":" &amp; O$1)</f>
        <v>0</v>
      </c>
      <c r="P3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1" s="14" t="str">
        <f>IF(ICE[[#This Row],[LastType]] = "Scrn", ICE[[#This Row],[LstDate]], IF(ICE[[#This Row],[LastType]] = "Blk", ICE[[#This Row],[LstBlkTime]], ""))</f>
        <v/>
      </c>
      <c r="R321" s="41" t="str">
        <f>IF(ICE[[#This Row],[LastType]] = "Scrn", ICE[[#This Row],[LstPrc]], IF(ICE[[#This Row],[LastType]] = "Blk", ICE[[#This Row],[LstBlkPrc]], ""))</f>
        <v/>
      </c>
      <c r="S321" s="36">
        <f>ICE[[#This Row],[Vol]]+ICE[[#This Row],[BlkVol]]</f>
        <v>0</v>
      </c>
      <c r="T321" s="36">
        <f>RTD("ice.rtd",,$C321 &amp; $D321 &amp; ":" &amp; T$1)</f>
        <v>23</v>
      </c>
      <c r="U321" s="18">
        <f>RTD("ice.rtd",,$C321 &amp; $D321 &amp; ":" &amp; U$1)</f>
        <v>12.013</v>
      </c>
      <c r="V3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11.40 / 12.60 </v>
      </c>
      <c r="W321" s="18" t="str">
        <f>IFERROR(IF(LEFT(ICE[[#This Row],[Tenor]], 1) = "B", RTD("esrtd",,$B321 &amp; " " &amp; ICE[[#This Row],[Tenor]] &amp; "-IEU", W$1), RTD("esrtd",,$B321 &amp; " " &amp; VLOOKUP(MONTH(ICE[[#This Row],[Strip]]), MthRef[], 2, 0) &amp; RIGHT(YEAR(ICE[[#This Row],[Strip]]), 2) &amp; "-IEU", W$1)), "")</f>
        <v/>
      </c>
      <c r="X321" s="36"/>
    </row>
    <row r="322" spans="1:24" x14ac:dyDescent="0.25">
      <c r="A322" s="37" t="s">
        <v>828</v>
      </c>
      <c r="B322" s="3" t="str">
        <f>RTD("ice.rtd",,$C322 &amp; $D322 &amp; ":" &amp; B$1)</f>
        <v>EOB</v>
      </c>
      <c r="C322" s="3">
        <v>18901687</v>
      </c>
      <c r="D322" t="s">
        <v>804</v>
      </c>
      <c r="E322" s="3" t="str">
        <f>RTD("ice.rtd",,$C322 &amp; $D322 &amp; ":" &amp; E$1)</f>
        <v>Dec27</v>
      </c>
      <c r="F322" s="3" t="str">
        <f>ICE[[#This Row],[Prod]]&amp;ICE[[#This Row],[Strip]]</f>
        <v>ebobbrxmtDec27</v>
      </c>
      <c r="G322" s="18">
        <f>RTD("ice.rtd",,$C322 &amp; $D322 &amp; ":" &amp; G$1)</f>
        <v>10.1</v>
      </c>
      <c r="H322" s="18">
        <f>RTD("ice.rtd",,$C322 &amp; $D322 &amp; ":" &amp; H$1)</f>
        <v>11.3</v>
      </c>
      <c r="I322" s="18" t="str">
        <f>RTD("ice.rtd",,$C322 &amp; $D322 &amp; ":" &amp; I$1)</f>
        <v/>
      </c>
      <c r="J322" s="14" t="str">
        <f>IFERROR(MOD(RTD("ice.rtd",,$C322 &amp; $D322 &amp; ":" &amp; J$1), 1), "")</f>
        <v/>
      </c>
      <c r="K322" s="18" t="str">
        <f>RTD("ice.rtd",,$C322 &amp; $D322 &amp; ":" &amp; K$1)</f>
        <v/>
      </c>
      <c r="L322" s="36" t="str">
        <f>RTD("ice.rtd",,$C322 &amp; $D322 &amp; ":" &amp; L$1)</f>
        <v/>
      </c>
      <c r="M322" s="14" t="str">
        <f>IFERROR(MOD(TIMEVALUE(RTD("ice.rtd",,$C322 &amp; $D322 &amp; ":" &amp; M$1)), 1), "")</f>
        <v/>
      </c>
      <c r="N322" s="36">
        <f>RTD("ice.rtd",,$C322 &amp; $D322 &amp; ":" &amp; N$1)</f>
        <v>0</v>
      </c>
      <c r="O322" s="36">
        <f>RTD("ice.rtd",,$C322 &amp; $D322 &amp; ":" &amp; O$1)</f>
        <v>0</v>
      </c>
      <c r="P3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2" s="14" t="str">
        <f>IF(ICE[[#This Row],[LastType]] = "Scrn", ICE[[#This Row],[LstDate]], IF(ICE[[#This Row],[LastType]] = "Blk", ICE[[#This Row],[LstBlkTime]], ""))</f>
        <v/>
      </c>
      <c r="R322" s="41" t="str">
        <f>IF(ICE[[#This Row],[LastType]] = "Scrn", ICE[[#This Row],[LstPrc]], IF(ICE[[#This Row],[LastType]] = "Blk", ICE[[#This Row],[LstBlkPrc]], ""))</f>
        <v/>
      </c>
      <c r="S322" s="36">
        <f>ICE[[#This Row],[Vol]]+ICE[[#This Row],[BlkVol]]</f>
        <v>0</v>
      </c>
      <c r="T322" s="36">
        <f>RTD("ice.rtd",,$C322 &amp; $D322 &amp; ":" &amp; T$1)</f>
        <v>95</v>
      </c>
      <c r="U322" s="18">
        <f>RTD("ice.rtd",,$C322 &amp; $D322 &amp; ":" &amp; U$1)</f>
        <v>10.735000000000001</v>
      </c>
      <c r="V3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10.10 / 11.30 </v>
      </c>
      <c r="W322" s="18" t="str">
        <f>IFERROR(IF(LEFT(ICE[[#This Row],[Tenor]], 1) = "B", RTD("esrtd",,$B322 &amp; " " &amp; ICE[[#This Row],[Tenor]] &amp; "-IEU", W$1), RTD("esrtd",,$B322 &amp; " " &amp; VLOOKUP(MONTH(ICE[[#This Row],[Strip]]), MthRef[], 2, 0) &amp; RIGHT(YEAR(ICE[[#This Row],[Strip]]), 2) &amp; "-IEU", W$1)), "")</f>
        <v/>
      </c>
      <c r="X322" s="36"/>
    </row>
    <row r="323" spans="1:24" x14ac:dyDescent="0.25">
      <c r="A323" s="37" t="s">
        <v>828</v>
      </c>
      <c r="B323" s="3" t="str">
        <f>RTD("ice.rtd",,$C323 &amp; $D323 &amp; ":" &amp; B$1)</f>
        <v>EOB</v>
      </c>
      <c r="C323" s="3">
        <v>18901687</v>
      </c>
      <c r="D323" t="s">
        <v>805</v>
      </c>
      <c r="E323" s="3" t="str">
        <f>RTD("ice.rtd",,$C323 &amp; $D323 &amp; ":" &amp; E$1)</f>
        <v>Jan28</v>
      </c>
      <c r="F323" s="3" t="str">
        <f>ICE[[#This Row],[Prod]]&amp;ICE[[#This Row],[Strip]]</f>
        <v>ebobbrxmtJan28</v>
      </c>
      <c r="G323" s="18" t="str">
        <f>RTD("ice.rtd",,$C323 &amp; $D323 &amp; ":" &amp; G$1)</f>
        <v/>
      </c>
      <c r="H323" s="18" t="str">
        <f>RTD("ice.rtd",,$C323 &amp; $D323 &amp; ":" &amp; H$1)</f>
        <v/>
      </c>
      <c r="I323" s="18" t="str">
        <f>RTD("ice.rtd",,$C323 &amp; $D323 &amp; ":" &amp; I$1)</f>
        <v/>
      </c>
      <c r="J323" s="14" t="str">
        <f>IFERROR(MOD(RTD("ice.rtd",,$C323 &amp; $D323 &amp; ":" &amp; J$1), 1), "")</f>
        <v/>
      </c>
      <c r="K323" s="18" t="str">
        <f>RTD("ice.rtd",,$C323 &amp; $D323 &amp; ":" &amp; K$1)</f>
        <v/>
      </c>
      <c r="L323" s="36" t="str">
        <f>RTD("ice.rtd",,$C323 &amp; $D323 &amp; ":" &amp; L$1)</f>
        <v/>
      </c>
      <c r="M323" s="14" t="str">
        <f>IFERROR(MOD(TIMEVALUE(RTD("ice.rtd",,$C323 &amp; $D323 &amp; ":" &amp; M$1)), 1), "")</f>
        <v/>
      </c>
      <c r="N323" s="36">
        <f>RTD("ice.rtd",,$C323 &amp; $D323 &amp; ":" &amp; N$1)</f>
        <v>0</v>
      </c>
      <c r="O323" s="36">
        <f>RTD("ice.rtd",,$C323 &amp; $D323 &amp; ":" &amp; O$1)</f>
        <v>0</v>
      </c>
      <c r="P3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3" s="14" t="str">
        <f>IF(ICE[[#This Row],[LastType]] = "Scrn", ICE[[#This Row],[LstDate]], IF(ICE[[#This Row],[LastType]] = "Blk", ICE[[#This Row],[LstBlkTime]], ""))</f>
        <v/>
      </c>
      <c r="R323" s="41" t="str">
        <f>IF(ICE[[#This Row],[LastType]] = "Scrn", ICE[[#This Row],[LstPrc]], IF(ICE[[#This Row],[LastType]] = "Blk", ICE[[#This Row],[LstBlkPrc]], ""))</f>
        <v/>
      </c>
      <c r="S323" s="36">
        <f>ICE[[#This Row],[Vol]]+ICE[[#This Row],[BlkVol]]</f>
        <v>0</v>
      </c>
      <c r="T323" s="36">
        <f>RTD("ice.rtd",,$C323 &amp; $D323 &amp; ":" &amp; T$1)</f>
        <v>2</v>
      </c>
      <c r="U323" s="18">
        <f>RTD("ice.rtd",,$C323 &amp; $D323 &amp; ":" &amp; U$1)</f>
        <v>10.549000000000001</v>
      </c>
      <c r="V3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23" s="18" t="str">
        <f>IFERROR(IF(LEFT(ICE[[#This Row],[Tenor]], 1) = "B", RTD("esrtd",,$B323 &amp; " " &amp; ICE[[#This Row],[Tenor]] &amp; "-IEU", W$1), RTD("esrtd",,$B323 &amp; " " &amp; VLOOKUP(MONTH(ICE[[#This Row],[Strip]]), MthRef[], 2, 0) &amp; RIGHT(YEAR(ICE[[#This Row],[Strip]]), 2) &amp; "-IEU", W$1)), "")</f>
        <v/>
      </c>
      <c r="X323" s="36"/>
    </row>
    <row r="324" spans="1:24" x14ac:dyDescent="0.25">
      <c r="A324" s="37" t="s">
        <v>828</v>
      </c>
      <c r="B324" s="3" t="str">
        <f>RTD("ice.rtd",,$C324 &amp; $D324 &amp; ":" &amp; B$1)</f>
        <v>EOB</v>
      </c>
      <c r="C324" s="3">
        <v>18901687</v>
      </c>
      <c r="D324" t="s">
        <v>806</v>
      </c>
      <c r="E324" s="3" t="str">
        <f>RTD("ice.rtd",,$C324 &amp; $D324 &amp; ":" &amp; E$1)</f>
        <v>Feb28</v>
      </c>
      <c r="F324" s="3" t="str">
        <f>ICE[[#This Row],[Prod]]&amp;ICE[[#This Row],[Strip]]</f>
        <v>ebobbrxmtFeb28</v>
      </c>
      <c r="G324" s="18" t="str">
        <f>RTD("ice.rtd",,$C324 &amp; $D324 &amp; ":" &amp; G$1)</f>
        <v/>
      </c>
      <c r="H324" s="18" t="str">
        <f>RTD("ice.rtd",,$C324 &amp; $D324 &amp; ":" &amp; H$1)</f>
        <v/>
      </c>
      <c r="I324" s="18" t="str">
        <f>RTD("ice.rtd",,$C324 &amp; $D324 &amp; ":" &amp; I$1)</f>
        <v/>
      </c>
      <c r="J324" s="14" t="str">
        <f>IFERROR(MOD(RTD("ice.rtd",,$C324 &amp; $D324 &amp; ":" &amp; J$1), 1), "")</f>
        <v/>
      </c>
      <c r="K324" s="18" t="str">
        <f>RTD("ice.rtd",,$C324 &amp; $D324 &amp; ":" &amp; K$1)</f>
        <v/>
      </c>
      <c r="L324" s="36" t="str">
        <f>RTD("ice.rtd",,$C324 &amp; $D324 &amp; ":" &amp; L$1)</f>
        <v/>
      </c>
      <c r="M324" s="14" t="str">
        <f>IFERROR(MOD(TIMEVALUE(RTD("ice.rtd",,$C324 &amp; $D324 &amp; ":" &amp; M$1)), 1), "")</f>
        <v/>
      </c>
      <c r="N324" s="36">
        <f>RTD("ice.rtd",,$C324 &amp; $D324 &amp; ":" &amp; N$1)</f>
        <v>0</v>
      </c>
      <c r="O324" s="36">
        <f>RTD("ice.rtd",,$C324 &amp; $D324 &amp; ":" &amp; O$1)</f>
        <v>0</v>
      </c>
      <c r="P3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4" s="14" t="str">
        <f>IF(ICE[[#This Row],[LastType]] = "Scrn", ICE[[#This Row],[LstDate]], IF(ICE[[#This Row],[LastType]] = "Blk", ICE[[#This Row],[LstBlkTime]], ""))</f>
        <v/>
      </c>
      <c r="R324" s="41" t="str">
        <f>IF(ICE[[#This Row],[LastType]] = "Scrn", ICE[[#This Row],[LstPrc]], IF(ICE[[#This Row],[LastType]] = "Blk", ICE[[#This Row],[LstBlkPrc]], ""))</f>
        <v/>
      </c>
      <c r="S324" s="36">
        <f>ICE[[#This Row],[Vol]]+ICE[[#This Row],[BlkVol]]</f>
        <v>0</v>
      </c>
      <c r="T324" s="36">
        <f>RTD("ice.rtd",,$C324 &amp; $D324 &amp; ":" &amp; T$1)</f>
        <v>2</v>
      </c>
      <c r="U324" s="18">
        <f>RTD("ice.rtd",,$C324 &amp; $D324 &amp; ":" &amp; U$1)</f>
        <v>10.558</v>
      </c>
      <c r="V3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24" s="18" t="str">
        <f>IFERROR(IF(LEFT(ICE[[#This Row],[Tenor]], 1) = "B", RTD("esrtd",,$B324 &amp; " " &amp; ICE[[#This Row],[Tenor]] &amp; "-IEU", W$1), RTD("esrtd",,$B324 &amp; " " &amp; VLOOKUP(MONTH(ICE[[#This Row],[Strip]]), MthRef[], 2, 0) &amp; RIGHT(YEAR(ICE[[#This Row],[Strip]]), 2) &amp; "-IEU", W$1)), "")</f>
        <v/>
      </c>
      <c r="X324" s="36"/>
    </row>
    <row r="325" spans="1:24" x14ac:dyDescent="0.25">
      <c r="A325" s="37" t="s">
        <v>828</v>
      </c>
      <c r="B325" s="3" t="str">
        <f>RTD("ice.rtd",,$C325 &amp; $D325 &amp; ":" &amp; B$1)</f>
        <v>EOB</v>
      </c>
      <c r="C325" s="3">
        <v>18901687</v>
      </c>
      <c r="D325" t="s">
        <v>807</v>
      </c>
      <c r="E325" s="3" t="str">
        <f>RTD("ice.rtd",,$C325 &amp; $D325 &amp; ":" &amp; E$1)</f>
        <v>Mar28</v>
      </c>
      <c r="F325" s="3" t="str">
        <f>ICE[[#This Row],[Prod]]&amp;ICE[[#This Row],[Strip]]</f>
        <v>ebobbrxmtMar28</v>
      </c>
      <c r="G325" s="18" t="str">
        <f>RTD("ice.rtd",,$C325 &amp; $D325 &amp; ":" &amp; G$1)</f>
        <v/>
      </c>
      <c r="H325" s="18" t="str">
        <f>RTD("ice.rtd",,$C325 &amp; $D325 &amp; ":" &amp; H$1)</f>
        <v/>
      </c>
      <c r="I325" s="18" t="str">
        <f>RTD("ice.rtd",,$C325 &amp; $D325 &amp; ":" &amp; I$1)</f>
        <v/>
      </c>
      <c r="J325" s="14" t="str">
        <f>IFERROR(MOD(RTD("ice.rtd",,$C325 &amp; $D325 &amp; ":" &amp; J$1), 1), "")</f>
        <v/>
      </c>
      <c r="K325" s="18" t="str">
        <f>RTD("ice.rtd",,$C325 &amp; $D325 &amp; ":" &amp; K$1)</f>
        <v/>
      </c>
      <c r="L325" s="36" t="str">
        <f>RTD("ice.rtd",,$C325 &amp; $D325 &amp; ":" &amp; L$1)</f>
        <v/>
      </c>
      <c r="M325" s="14" t="str">
        <f>IFERROR(MOD(TIMEVALUE(RTD("ice.rtd",,$C325 &amp; $D325 &amp; ":" &amp; M$1)), 1), "")</f>
        <v/>
      </c>
      <c r="N325" s="36">
        <f>RTD("ice.rtd",,$C325 &amp; $D325 &amp; ":" &amp; N$1)</f>
        <v>0</v>
      </c>
      <c r="O325" s="36">
        <f>RTD("ice.rtd",,$C325 &amp; $D325 &amp; ":" &amp; O$1)</f>
        <v>0</v>
      </c>
      <c r="P3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5" s="14" t="str">
        <f>IF(ICE[[#This Row],[LastType]] = "Scrn", ICE[[#This Row],[LstDate]], IF(ICE[[#This Row],[LastType]] = "Blk", ICE[[#This Row],[LstBlkTime]], ""))</f>
        <v/>
      </c>
      <c r="R325" s="41" t="str">
        <f>IF(ICE[[#This Row],[LastType]] = "Scrn", ICE[[#This Row],[LstPrc]], IF(ICE[[#This Row],[LastType]] = "Blk", ICE[[#This Row],[LstBlkPrc]], ""))</f>
        <v/>
      </c>
      <c r="S325" s="36">
        <f>ICE[[#This Row],[Vol]]+ICE[[#This Row],[BlkVol]]</f>
        <v>0</v>
      </c>
      <c r="T325" s="36">
        <f>RTD("ice.rtd",,$C325 &amp; $D325 &amp; ":" &amp; T$1)</f>
        <v>2</v>
      </c>
      <c r="U325" s="18">
        <f>RTD("ice.rtd",,$C325 &amp; $D325 &amp; ":" &amp; U$1)</f>
        <v>10.826000000000001</v>
      </c>
      <c r="V3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25" s="18" t="str">
        <f>IFERROR(IF(LEFT(ICE[[#This Row],[Tenor]], 1) = "B", RTD("esrtd",,$B325 &amp; " " &amp; ICE[[#This Row],[Tenor]] &amp; "-IEU", W$1), RTD("esrtd",,$B325 &amp; " " &amp; VLOOKUP(MONTH(ICE[[#This Row],[Strip]]), MthRef[], 2, 0) &amp; RIGHT(YEAR(ICE[[#This Row],[Strip]]), 2) &amp; "-IEU", W$1)), "")</f>
        <v/>
      </c>
      <c r="X325" s="36"/>
    </row>
    <row r="326" spans="1:24" x14ac:dyDescent="0.25">
      <c r="A326" s="37" t="s">
        <v>828</v>
      </c>
      <c r="B326" s="3" t="str">
        <f>RTD("ice.rtd",,$C326 &amp; $D326 &amp; ":" &amp; B$1)</f>
        <v>EOB</v>
      </c>
      <c r="C326" s="3">
        <v>18901687</v>
      </c>
      <c r="D326" t="s">
        <v>808</v>
      </c>
      <c r="E326" s="3" t="str">
        <f>RTD("ice.rtd",,$C326 &amp; $D326 &amp; ":" &amp; E$1)</f>
        <v>Apr28</v>
      </c>
      <c r="F326" s="3" t="str">
        <f>ICE[[#This Row],[Prod]]&amp;ICE[[#This Row],[Strip]]</f>
        <v>ebobbrxmtApr28</v>
      </c>
      <c r="G326" s="18" t="str">
        <f>RTD("ice.rtd",,$C326 &amp; $D326 &amp; ":" &amp; G$1)</f>
        <v/>
      </c>
      <c r="H326" s="18" t="str">
        <f>RTD("ice.rtd",,$C326 &amp; $D326 &amp; ":" &amp; H$1)</f>
        <v/>
      </c>
      <c r="I326" s="18" t="str">
        <f>RTD("ice.rtd",,$C326 &amp; $D326 &amp; ":" &amp; I$1)</f>
        <v/>
      </c>
      <c r="J326" s="14" t="str">
        <f>IFERROR(MOD(RTD("ice.rtd",,$C326 &amp; $D326 &amp; ":" &amp; J$1), 1), "")</f>
        <v/>
      </c>
      <c r="K326" s="18" t="str">
        <f>RTD("ice.rtd",,$C326 &amp; $D326 &amp; ":" &amp; K$1)</f>
        <v/>
      </c>
      <c r="L326" s="36" t="str">
        <f>RTD("ice.rtd",,$C326 &amp; $D326 &amp; ":" &amp; L$1)</f>
        <v/>
      </c>
      <c r="M326" s="14" t="str">
        <f>IFERROR(MOD(TIMEVALUE(RTD("ice.rtd",,$C326 &amp; $D326 &amp; ":" &amp; M$1)), 1), "")</f>
        <v/>
      </c>
      <c r="N326" s="36">
        <f>RTD("ice.rtd",,$C326 &amp; $D326 &amp; ":" &amp; N$1)</f>
        <v>0</v>
      </c>
      <c r="O326" s="36">
        <f>RTD("ice.rtd",,$C326 &amp; $D326 &amp; ":" &amp; O$1)</f>
        <v>0</v>
      </c>
      <c r="P3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6" s="14" t="str">
        <f>IF(ICE[[#This Row],[LastType]] = "Scrn", ICE[[#This Row],[LstDate]], IF(ICE[[#This Row],[LastType]] = "Blk", ICE[[#This Row],[LstBlkTime]], ""))</f>
        <v/>
      </c>
      <c r="R326" s="41" t="str">
        <f>IF(ICE[[#This Row],[LastType]] = "Scrn", ICE[[#This Row],[LstPrc]], IF(ICE[[#This Row],[LastType]] = "Blk", ICE[[#This Row],[LstBlkPrc]], ""))</f>
        <v/>
      </c>
      <c r="S326" s="36">
        <f>ICE[[#This Row],[Vol]]+ICE[[#This Row],[BlkVol]]</f>
        <v>0</v>
      </c>
      <c r="T326" s="36">
        <f>RTD("ice.rtd",,$C326 &amp; $D326 &amp; ":" &amp; T$1)</f>
        <v>2</v>
      </c>
      <c r="U326" s="18">
        <f>RTD("ice.rtd",,$C326 &amp; $D326 &amp; ":" &amp; U$1)</f>
        <v>14.741000000000001</v>
      </c>
      <c r="V3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26" s="18" t="str">
        <f>IFERROR(IF(LEFT(ICE[[#This Row],[Tenor]], 1) = "B", RTD("esrtd",,$B326 &amp; " " &amp; ICE[[#This Row],[Tenor]] &amp; "-IEU", W$1), RTD("esrtd",,$B326 &amp; " " &amp; VLOOKUP(MONTH(ICE[[#This Row],[Strip]]), MthRef[], 2, 0) &amp; RIGHT(YEAR(ICE[[#This Row],[Strip]]), 2) &amp; "-IEU", W$1)), "")</f>
        <v/>
      </c>
      <c r="X326" s="36"/>
    </row>
    <row r="327" spans="1:24" x14ac:dyDescent="0.25">
      <c r="A327" s="37" t="s">
        <v>828</v>
      </c>
      <c r="B327" s="3" t="str">
        <f>RTD("ice.rtd",,$C327 &amp; $D327 &amp; ":" &amp; B$1)</f>
        <v>EOB</v>
      </c>
      <c r="C327" s="3">
        <v>18901687</v>
      </c>
      <c r="D327" t="s">
        <v>809</v>
      </c>
      <c r="E327" s="3" t="str">
        <f>RTD("ice.rtd",,$C327 &amp; $D327 &amp; ":" &amp; E$1)</f>
        <v>May28</v>
      </c>
      <c r="F327" s="3" t="str">
        <f>ICE[[#This Row],[Prod]]&amp;ICE[[#This Row],[Strip]]</f>
        <v>ebobbrxmtMay28</v>
      </c>
      <c r="G327" s="18" t="str">
        <f>RTD("ice.rtd",,$C327 &amp; $D327 &amp; ":" &amp; G$1)</f>
        <v/>
      </c>
      <c r="H327" s="18" t="str">
        <f>RTD("ice.rtd",,$C327 &amp; $D327 &amp; ":" &amp; H$1)</f>
        <v/>
      </c>
      <c r="I327" s="18" t="str">
        <f>RTD("ice.rtd",,$C327 &amp; $D327 &amp; ":" &amp; I$1)</f>
        <v/>
      </c>
      <c r="J327" s="14" t="str">
        <f>IFERROR(MOD(RTD("ice.rtd",,$C327 &amp; $D327 &amp; ":" &amp; J$1), 1), "")</f>
        <v/>
      </c>
      <c r="K327" s="18" t="str">
        <f>RTD("ice.rtd",,$C327 &amp; $D327 &amp; ":" &amp; K$1)</f>
        <v/>
      </c>
      <c r="L327" s="36" t="str">
        <f>RTD("ice.rtd",,$C327 &amp; $D327 &amp; ":" &amp; L$1)</f>
        <v/>
      </c>
      <c r="M327" s="14" t="str">
        <f>IFERROR(MOD(TIMEVALUE(RTD("ice.rtd",,$C327 &amp; $D327 &amp; ":" &amp; M$1)), 1), "")</f>
        <v/>
      </c>
      <c r="N327" s="36">
        <f>RTD("ice.rtd",,$C327 &amp; $D327 &amp; ":" &amp; N$1)</f>
        <v>0</v>
      </c>
      <c r="O327" s="36">
        <f>RTD("ice.rtd",,$C327 &amp; $D327 &amp; ":" &amp; O$1)</f>
        <v>0</v>
      </c>
      <c r="P3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7" s="14" t="str">
        <f>IF(ICE[[#This Row],[LastType]] = "Scrn", ICE[[#This Row],[LstDate]], IF(ICE[[#This Row],[LastType]] = "Blk", ICE[[#This Row],[LstBlkTime]], ""))</f>
        <v/>
      </c>
      <c r="R327" s="41" t="str">
        <f>IF(ICE[[#This Row],[LastType]] = "Scrn", ICE[[#This Row],[LstPrc]], IF(ICE[[#This Row],[LastType]] = "Blk", ICE[[#This Row],[LstBlkPrc]], ""))</f>
        <v/>
      </c>
      <c r="S327" s="36">
        <f>ICE[[#This Row],[Vol]]+ICE[[#This Row],[BlkVol]]</f>
        <v>0</v>
      </c>
      <c r="T327" s="36">
        <f>RTD("ice.rtd",,$C327 &amp; $D327 &amp; ":" &amp; T$1)</f>
        <v>2</v>
      </c>
      <c r="U327" s="18">
        <f>RTD("ice.rtd",,$C327 &amp; $D327 &amp; ":" &amp; U$1)</f>
        <v>14.867000000000001</v>
      </c>
      <c r="V3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27" s="18" t="str">
        <f>IFERROR(IF(LEFT(ICE[[#This Row],[Tenor]], 1) = "B", RTD("esrtd",,$B327 &amp; " " &amp; ICE[[#This Row],[Tenor]] &amp; "-IEU", W$1), RTD("esrtd",,$B327 &amp; " " &amp; VLOOKUP(MONTH(ICE[[#This Row],[Strip]]), MthRef[], 2, 0) &amp; RIGHT(YEAR(ICE[[#This Row],[Strip]]), 2) &amp; "-IEU", W$1)), "")</f>
        <v/>
      </c>
      <c r="X327" s="36"/>
    </row>
    <row r="328" spans="1:24" x14ac:dyDescent="0.25">
      <c r="A328" s="37" t="s">
        <v>828</v>
      </c>
      <c r="B328" s="3" t="str">
        <f>RTD("ice.rtd",,$C328 &amp; $D328 &amp; ":" &amp; B$1)</f>
        <v>EOB</v>
      </c>
      <c r="C328" s="3">
        <v>18901687</v>
      </c>
      <c r="D328" t="s">
        <v>810</v>
      </c>
      <c r="E328" s="3" t="str">
        <f>RTD("ice.rtd",,$C328 &amp; $D328 &amp; ":" &amp; E$1)</f>
        <v>Jun28</v>
      </c>
      <c r="F328" s="3" t="str">
        <f>ICE[[#This Row],[Prod]]&amp;ICE[[#This Row],[Strip]]</f>
        <v>ebobbrxmtJun28</v>
      </c>
      <c r="G328" s="18" t="str">
        <f>RTD("ice.rtd",,$C328 &amp; $D328 &amp; ":" &amp; G$1)</f>
        <v/>
      </c>
      <c r="H328" s="18" t="str">
        <f>RTD("ice.rtd",,$C328 &amp; $D328 &amp; ":" &amp; H$1)</f>
        <v/>
      </c>
      <c r="I328" s="18" t="str">
        <f>RTD("ice.rtd",,$C328 &amp; $D328 &amp; ":" &amp; I$1)</f>
        <v/>
      </c>
      <c r="J328" s="14" t="str">
        <f>IFERROR(MOD(RTD("ice.rtd",,$C328 &amp; $D328 &amp; ":" &amp; J$1), 1), "")</f>
        <v/>
      </c>
      <c r="K328" s="18" t="str">
        <f>RTD("ice.rtd",,$C328 &amp; $D328 &amp; ":" &amp; K$1)</f>
        <v/>
      </c>
      <c r="L328" s="36" t="str">
        <f>RTD("ice.rtd",,$C328 &amp; $D328 &amp; ":" &amp; L$1)</f>
        <v/>
      </c>
      <c r="M328" s="14" t="str">
        <f>IFERROR(MOD(TIMEVALUE(RTD("ice.rtd",,$C328 &amp; $D328 &amp; ":" &amp; M$1)), 1), "")</f>
        <v/>
      </c>
      <c r="N328" s="36">
        <f>RTD("ice.rtd",,$C328 &amp; $D328 &amp; ":" &amp; N$1)</f>
        <v>0</v>
      </c>
      <c r="O328" s="36">
        <f>RTD("ice.rtd",,$C328 &amp; $D328 &amp; ":" &amp; O$1)</f>
        <v>0</v>
      </c>
      <c r="P3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8" s="14" t="str">
        <f>IF(ICE[[#This Row],[LastType]] = "Scrn", ICE[[#This Row],[LstDate]], IF(ICE[[#This Row],[LastType]] = "Blk", ICE[[#This Row],[LstBlkTime]], ""))</f>
        <v/>
      </c>
      <c r="R328" s="41" t="str">
        <f>IF(ICE[[#This Row],[LastType]] = "Scrn", ICE[[#This Row],[LstPrc]], IF(ICE[[#This Row],[LastType]] = "Blk", ICE[[#This Row],[LstBlkPrc]], ""))</f>
        <v/>
      </c>
      <c r="S328" s="36">
        <f>ICE[[#This Row],[Vol]]+ICE[[#This Row],[BlkVol]]</f>
        <v>0</v>
      </c>
      <c r="T328" s="36">
        <f>RTD("ice.rtd",,$C328 &amp; $D328 &amp; ":" &amp; T$1)</f>
        <v>2</v>
      </c>
      <c r="U328" s="18">
        <f>RTD("ice.rtd",,$C328 &amp; $D328 &amp; ":" &amp; U$1)</f>
        <v>14.616000000000001</v>
      </c>
      <c r="V3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28" s="18" t="str">
        <f>IFERROR(IF(LEFT(ICE[[#This Row],[Tenor]], 1) = "B", RTD("esrtd",,$B328 &amp; " " &amp; ICE[[#This Row],[Tenor]] &amp; "-IEU", W$1), RTD("esrtd",,$B328 &amp; " " &amp; VLOOKUP(MONTH(ICE[[#This Row],[Strip]]), MthRef[], 2, 0) &amp; RIGHT(YEAR(ICE[[#This Row],[Strip]]), 2) &amp; "-IEU", W$1)), "")</f>
        <v/>
      </c>
      <c r="X328" s="36"/>
    </row>
    <row r="329" spans="1:24" x14ac:dyDescent="0.25">
      <c r="A329" s="37" t="s">
        <v>828</v>
      </c>
      <c r="B329" s="3" t="str">
        <f>RTD("ice.rtd",,$C329 &amp; $D329 &amp; ":" &amp; B$1)</f>
        <v>EOB</v>
      </c>
      <c r="C329" s="3">
        <v>18901687</v>
      </c>
      <c r="D329" t="s">
        <v>811</v>
      </c>
      <c r="E329" s="3" t="str">
        <f>RTD("ice.rtd",,$C329 &amp; $D329 &amp; ":" &amp; E$1)</f>
        <v>Jul28</v>
      </c>
      <c r="F329" s="3" t="str">
        <f>ICE[[#This Row],[Prod]]&amp;ICE[[#This Row],[Strip]]</f>
        <v>ebobbrxmtJul28</v>
      </c>
      <c r="G329" s="18" t="str">
        <f>RTD("ice.rtd",,$C329 &amp; $D329 &amp; ":" &amp; G$1)</f>
        <v/>
      </c>
      <c r="H329" s="18" t="str">
        <f>RTD("ice.rtd",,$C329 &amp; $D329 &amp; ":" &amp; H$1)</f>
        <v/>
      </c>
      <c r="I329" s="18" t="str">
        <f>RTD("ice.rtd",,$C329 &amp; $D329 &amp; ":" &amp; I$1)</f>
        <v/>
      </c>
      <c r="J329" s="14" t="str">
        <f>IFERROR(MOD(RTD("ice.rtd",,$C329 &amp; $D329 &amp; ":" &amp; J$1), 1), "")</f>
        <v/>
      </c>
      <c r="K329" s="18" t="str">
        <f>RTD("ice.rtd",,$C329 &amp; $D329 &amp; ":" &amp; K$1)</f>
        <v/>
      </c>
      <c r="L329" s="36" t="str">
        <f>RTD("ice.rtd",,$C329 &amp; $D329 &amp; ":" &amp; L$1)</f>
        <v/>
      </c>
      <c r="M329" s="14" t="str">
        <f>IFERROR(MOD(TIMEVALUE(RTD("ice.rtd",,$C329 &amp; $D329 &amp; ":" &amp; M$1)), 1), "")</f>
        <v/>
      </c>
      <c r="N329" s="36">
        <f>RTD("ice.rtd",,$C329 &amp; $D329 &amp; ":" &amp; N$1)</f>
        <v>0</v>
      </c>
      <c r="O329" s="36">
        <f>RTD("ice.rtd",,$C329 &amp; $D329 &amp; ":" &amp; O$1)</f>
        <v>0</v>
      </c>
      <c r="P3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29" s="14" t="str">
        <f>IF(ICE[[#This Row],[LastType]] = "Scrn", ICE[[#This Row],[LstDate]], IF(ICE[[#This Row],[LastType]] = "Blk", ICE[[#This Row],[LstBlkTime]], ""))</f>
        <v/>
      </c>
      <c r="R329" s="41" t="str">
        <f>IF(ICE[[#This Row],[LastType]] = "Scrn", ICE[[#This Row],[LstPrc]], IF(ICE[[#This Row],[LastType]] = "Blk", ICE[[#This Row],[LstBlkPrc]], ""))</f>
        <v/>
      </c>
      <c r="S329" s="36">
        <f>ICE[[#This Row],[Vol]]+ICE[[#This Row],[BlkVol]]</f>
        <v>0</v>
      </c>
      <c r="T329" s="36">
        <f>RTD("ice.rtd",,$C329 &amp; $D329 &amp; ":" &amp; T$1)</f>
        <v>2</v>
      </c>
      <c r="U329" s="18">
        <f>RTD("ice.rtd",,$C329 &amp; $D329 &amp; ":" &amp; U$1)</f>
        <v>14.056000000000001</v>
      </c>
      <c r="V3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29" s="18" t="str">
        <f>IFERROR(IF(LEFT(ICE[[#This Row],[Tenor]], 1) = "B", RTD("esrtd",,$B329 &amp; " " &amp; ICE[[#This Row],[Tenor]] &amp; "-IEU", W$1), RTD("esrtd",,$B329 &amp; " " &amp; VLOOKUP(MONTH(ICE[[#This Row],[Strip]]), MthRef[], 2, 0) &amp; RIGHT(YEAR(ICE[[#This Row],[Strip]]), 2) &amp; "-IEU", W$1)), "")</f>
        <v/>
      </c>
      <c r="X329" s="36"/>
    </row>
    <row r="330" spans="1:24" x14ac:dyDescent="0.25">
      <c r="A330" s="37" t="s">
        <v>828</v>
      </c>
      <c r="B330" s="3" t="str">
        <f>RTD("ice.rtd",,$C330 &amp; $D330 &amp; ":" &amp; B$1)</f>
        <v>EOB</v>
      </c>
      <c r="C330" s="3">
        <v>18901687</v>
      </c>
      <c r="D330" t="s">
        <v>812</v>
      </c>
      <c r="E330" s="3" t="str">
        <f>RTD("ice.rtd",,$C330 &amp; $D330 &amp; ":" &amp; E$1)</f>
        <v>Aug28</v>
      </c>
      <c r="F330" s="3" t="str">
        <f>ICE[[#This Row],[Prod]]&amp;ICE[[#This Row],[Strip]]</f>
        <v>ebobbrxmtAug28</v>
      </c>
      <c r="G330" s="18" t="str">
        <f>RTD("ice.rtd",,$C330 &amp; $D330 &amp; ":" &amp; G$1)</f>
        <v/>
      </c>
      <c r="H330" s="18" t="str">
        <f>RTD("ice.rtd",,$C330 &amp; $D330 &amp; ":" &amp; H$1)</f>
        <v/>
      </c>
      <c r="I330" s="18" t="str">
        <f>RTD("ice.rtd",,$C330 &amp; $D330 &amp; ":" &amp; I$1)</f>
        <v/>
      </c>
      <c r="J330" s="14" t="str">
        <f>IFERROR(MOD(RTD("ice.rtd",,$C330 &amp; $D330 &amp; ":" &amp; J$1), 1), "")</f>
        <v/>
      </c>
      <c r="K330" s="18" t="str">
        <f>RTD("ice.rtd",,$C330 &amp; $D330 &amp; ":" &amp; K$1)</f>
        <v/>
      </c>
      <c r="L330" s="36" t="str">
        <f>RTD("ice.rtd",,$C330 &amp; $D330 &amp; ":" &amp; L$1)</f>
        <v/>
      </c>
      <c r="M330" s="14" t="str">
        <f>IFERROR(MOD(TIMEVALUE(RTD("ice.rtd",,$C330 &amp; $D330 &amp; ":" &amp; M$1)), 1), "")</f>
        <v/>
      </c>
      <c r="N330" s="36">
        <f>RTD("ice.rtd",,$C330 &amp; $D330 &amp; ":" &amp; N$1)</f>
        <v>0</v>
      </c>
      <c r="O330" s="36">
        <f>RTD("ice.rtd",,$C330 &amp; $D330 &amp; ":" &amp; O$1)</f>
        <v>0</v>
      </c>
      <c r="P3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0" s="14" t="str">
        <f>IF(ICE[[#This Row],[LastType]] = "Scrn", ICE[[#This Row],[LstDate]], IF(ICE[[#This Row],[LastType]] = "Blk", ICE[[#This Row],[LstBlkTime]], ""))</f>
        <v/>
      </c>
      <c r="R330" s="41" t="str">
        <f>IF(ICE[[#This Row],[LastType]] = "Scrn", ICE[[#This Row],[LstPrc]], IF(ICE[[#This Row],[LastType]] = "Blk", ICE[[#This Row],[LstBlkPrc]], ""))</f>
        <v/>
      </c>
      <c r="S330" s="36">
        <f>ICE[[#This Row],[Vol]]+ICE[[#This Row],[BlkVol]]</f>
        <v>0</v>
      </c>
      <c r="T330" s="36">
        <f>RTD("ice.rtd",,$C330 &amp; $D330 &amp; ":" &amp; T$1)</f>
        <v>2</v>
      </c>
      <c r="U330" s="18">
        <f>RTD("ice.rtd",,$C330 &amp; $D330 &amp; ":" &amp; U$1)</f>
        <v>13.365</v>
      </c>
      <c r="V3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30" s="18" t="str">
        <f>IFERROR(IF(LEFT(ICE[[#This Row],[Tenor]], 1) = "B", RTD("esrtd",,$B330 &amp; " " &amp; ICE[[#This Row],[Tenor]] &amp; "-IEU", W$1), RTD("esrtd",,$B330 &amp; " " &amp; VLOOKUP(MONTH(ICE[[#This Row],[Strip]]), MthRef[], 2, 0) &amp; RIGHT(YEAR(ICE[[#This Row],[Strip]]), 2) &amp; "-IEU", W$1)), "")</f>
        <v/>
      </c>
      <c r="X330" s="36"/>
    </row>
    <row r="331" spans="1:24" x14ac:dyDescent="0.25">
      <c r="A331" s="37" t="s">
        <v>828</v>
      </c>
      <c r="B331" s="3" t="str">
        <f>RTD("ice.rtd",,$C331 &amp; $D331 &amp; ":" &amp; B$1)</f>
        <v>EOB</v>
      </c>
      <c r="C331" s="3">
        <v>18901687</v>
      </c>
      <c r="D331" t="s">
        <v>813</v>
      </c>
      <c r="E331" s="3" t="str">
        <f>RTD("ice.rtd",,$C331 &amp; $D331 &amp; ":" &amp; E$1)</f>
        <v>Sep28</v>
      </c>
      <c r="F331" s="3" t="str">
        <f>ICE[[#This Row],[Prod]]&amp;ICE[[#This Row],[Strip]]</f>
        <v>ebobbrxmtSep28</v>
      </c>
      <c r="G331" s="18" t="str">
        <f>RTD("ice.rtd",,$C331 &amp; $D331 &amp; ":" &amp; G$1)</f>
        <v/>
      </c>
      <c r="H331" s="18" t="str">
        <f>RTD("ice.rtd",,$C331 &amp; $D331 &amp; ":" &amp; H$1)</f>
        <v/>
      </c>
      <c r="I331" s="18" t="str">
        <f>RTD("ice.rtd",,$C331 &amp; $D331 &amp; ":" &amp; I$1)</f>
        <v/>
      </c>
      <c r="J331" s="14" t="str">
        <f>IFERROR(MOD(RTD("ice.rtd",,$C331 &amp; $D331 &amp; ":" &amp; J$1), 1), "")</f>
        <v/>
      </c>
      <c r="K331" s="18" t="str">
        <f>RTD("ice.rtd",,$C331 &amp; $D331 &amp; ":" &amp; K$1)</f>
        <v/>
      </c>
      <c r="L331" s="36" t="str">
        <f>RTD("ice.rtd",,$C331 &amp; $D331 &amp; ":" &amp; L$1)</f>
        <v/>
      </c>
      <c r="M331" s="14" t="str">
        <f>IFERROR(MOD(TIMEVALUE(RTD("ice.rtd",,$C331 &amp; $D331 &amp; ":" &amp; M$1)), 1), "")</f>
        <v/>
      </c>
      <c r="N331" s="36">
        <f>RTD("ice.rtd",,$C331 &amp; $D331 &amp; ":" &amp; N$1)</f>
        <v>0</v>
      </c>
      <c r="O331" s="36">
        <f>RTD("ice.rtd",,$C331 &amp; $D331 &amp; ":" &amp; O$1)</f>
        <v>0</v>
      </c>
      <c r="P3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1" s="14" t="str">
        <f>IF(ICE[[#This Row],[LastType]] = "Scrn", ICE[[#This Row],[LstDate]], IF(ICE[[#This Row],[LastType]] = "Blk", ICE[[#This Row],[LstBlkTime]], ""))</f>
        <v/>
      </c>
      <c r="R331" s="41" t="str">
        <f>IF(ICE[[#This Row],[LastType]] = "Scrn", ICE[[#This Row],[LstPrc]], IF(ICE[[#This Row],[LastType]] = "Blk", ICE[[#This Row],[LstBlkPrc]], ""))</f>
        <v/>
      </c>
      <c r="S331" s="36">
        <f>ICE[[#This Row],[Vol]]+ICE[[#This Row],[BlkVol]]</f>
        <v>0</v>
      </c>
      <c r="T331" s="36">
        <f>RTD("ice.rtd",,$C331 &amp; $D331 &amp; ":" &amp; T$1)</f>
        <v>2</v>
      </c>
      <c r="U331" s="18">
        <f>RTD("ice.rtd",,$C331 &amp; $D331 &amp; ":" &amp; U$1)</f>
        <v>12.105</v>
      </c>
      <c r="V3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31" s="18" t="str">
        <f>IFERROR(IF(LEFT(ICE[[#This Row],[Tenor]], 1) = "B", RTD("esrtd",,$B331 &amp; " " &amp; ICE[[#This Row],[Tenor]] &amp; "-IEU", W$1), RTD("esrtd",,$B331 &amp; " " &amp; VLOOKUP(MONTH(ICE[[#This Row],[Strip]]), MthRef[], 2, 0) &amp; RIGHT(YEAR(ICE[[#This Row],[Strip]]), 2) &amp; "-IEU", W$1)), "")</f>
        <v/>
      </c>
      <c r="X331" s="36"/>
    </row>
    <row r="332" spans="1:24" x14ac:dyDescent="0.25">
      <c r="A332" s="37" t="s">
        <v>828</v>
      </c>
      <c r="B332" s="3" t="str">
        <f>RTD("ice.rtd",,$C332 &amp; $D332 &amp; ":" &amp; B$1)</f>
        <v>EOB</v>
      </c>
      <c r="C332" s="3">
        <v>18901687</v>
      </c>
      <c r="D332" t="s">
        <v>814</v>
      </c>
      <c r="E332" s="3" t="str">
        <f>RTD("ice.rtd",,$C332 &amp; $D332 &amp; ":" &amp; E$1)</f>
        <v>Q4 26</v>
      </c>
      <c r="F332" s="3" t="str">
        <f>ICE[[#This Row],[Prod]]&amp;ICE[[#This Row],[Strip]]</f>
        <v>ebobbrxmtQ4 26</v>
      </c>
      <c r="G332" s="18">
        <f>RTD("ice.rtd",,$C332 &amp; $D332 &amp; ":" &amp; G$1)</f>
        <v>22.55</v>
      </c>
      <c r="H332" s="18">
        <f>RTD("ice.rtd",,$C332 &amp; $D332 &amp; ":" &amp; H$1)</f>
        <v>27.05</v>
      </c>
      <c r="I332" s="18" t="str">
        <f>RTD("ice.rtd",,$C332 &amp; $D332 &amp; ":" &amp; I$1)</f>
        <v/>
      </c>
      <c r="J332" s="14" t="str">
        <f>IFERROR(MOD(RTD("ice.rtd",,$C332 &amp; $D332 &amp; ":" &amp; J$1), 1), "")</f>
        <v/>
      </c>
      <c r="K332" s="18" t="str">
        <f>RTD("ice.rtd",,$C332 &amp; $D332 &amp; ":" &amp; K$1)</f>
        <v/>
      </c>
      <c r="L332" s="36" t="str">
        <f>RTD("ice.rtd",,$C332 &amp; $D332 &amp; ":" &amp; L$1)</f>
        <v/>
      </c>
      <c r="M332" s="14" t="str">
        <f>IFERROR(MOD(TIMEVALUE(RTD("ice.rtd",,$C332 &amp; $D332 &amp; ":" &amp; M$1)), 1), "")</f>
        <v/>
      </c>
      <c r="N332" s="36">
        <f>RTD("ice.rtd",,$C332 &amp; $D332 &amp; ":" &amp; N$1)</f>
        <v>0</v>
      </c>
      <c r="O332" s="36">
        <f>RTD("ice.rtd",,$C332 &amp; $D332 &amp; ":" &amp; O$1)</f>
        <v>0</v>
      </c>
      <c r="P3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2" s="14" t="str">
        <f>IF(ICE[[#This Row],[LastType]] = "Scrn", ICE[[#This Row],[LstDate]], IF(ICE[[#This Row],[LastType]] = "Blk", ICE[[#This Row],[LstBlkTime]], ""))</f>
        <v/>
      </c>
      <c r="R332" s="41" t="str">
        <f>IF(ICE[[#This Row],[LastType]] = "Scrn", ICE[[#This Row],[LstPrc]], IF(ICE[[#This Row],[LastType]] = "Blk", ICE[[#This Row],[LstBlkPrc]], ""))</f>
        <v/>
      </c>
      <c r="S332" s="36">
        <f>ICE[[#This Row],[Vol]]+ICE[[#This Row],[BlkVol]]</f>
        <v>0</v>
      </c>
      <c r="T332" s="36">
        <f>RTD("ice.rtd",,$C332 &amp; $D332 &amp; ":" &amp; T$1)</f>
        <v>0</v>
      </c>
      <c r="U332" s="18">
        <f>RTD("ice.rtd",,$C332 &amp; $D332 &amp; ":" &amp; U$1)</f>
        <v>23.634</v>
      </c>
      <c r="V3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22.55 / 27.05 </v>
      </c>
      <c r="W332" s="18" t="str">
        <f>IFERROR(IF(LEFT(ICE[[#This Row],[Tenor]], 1) = "B", RTD("esrtd",,$B332 &amp; " " &amp; ICE[[#This Row],[Tenor]] &amp; "-IEU", W$1), RTD("esrtd",,$B332 &amp; " " &amp; VLOOKUP(MONTH(ICE[[#This Row],[Strip]]), MthRef[], 2, 0) &amp; RIGHT(YEAR(ICE[[#This Row],[Strip]]), 2) &amp; "-IEU", W$1)), "")</f>
        <v/>
      </c>
      <c r="X332" s="36"/>
    </row>
    <row r="333" spans="1:24" x14ac:dyDescent="0.25">
      <c r="A333" s="37" t="s">
        <v>828</v>
      </c>
      <c r="B333" s="3" t="str">
        <f>RTD("ice.rtd",,$C333 &amp; $D333 &amp; ":" &amp; B$1)</f>
        <v>EOB</v>
      </c>
      <c r="C333" s="3">
        <v>18901687</v>
      </c>
      <c r="D333" t="s">
        <v>815</v>
      </c>
      <c r="E333" s="3" t="str">
        <f>RTD("ice.rtd",,$C333 &amp; $D333 &amp; ":" &amp; E$1)</f>
        <v>Q1 27</v>
      </c>
      <c r="F333" s="3" t="str">
        <f>ICE[[#This Row],[Prod]]&amp;ICE[[#This Row],[Strip]]</f>
        <v>ebobbrxmtQ1 27</v>
      </c>
      <c r="G333" s="18">
        <f>RTD("ice.rtd",,$C333 &amp; $D333 &amp; ":" &amp; G$1)</f>
        <v>17.350000000000001</v>
      </c>
      <c r="H333" s="18">
        <f>RTD("ice.rtd",,$C333 &amp; $D333 &amp; ":" &amp; H$1)</f>
        <v>22.45</v>
      </c>
      <c r="I333" s="18" t="str">
        <f>RTD("ice.rtd",,$C333 &amp; $D333 &amp; ":" &amp; I$1)</f>
        <v/>
      </c>
      <c r="J333" s="14" t="str">
        <f>IFERROR(MOD(RTD("ice.rtd",,$C333 &amp; $D333 &amp; ":" &amp; J$1), 1), "")</f>
        <v/>
      </c>
      <c r="K333" s="18" t="str">
        <f>RTD("ice.rtd",,$C333 &amp; $D333 &amp; ":" &amp; K$1)</f>
        <v/>
      </c>
      <c r="L333" s="36" t="str">
        <f>RTD("ice.rtd",,$C333 &amp; $D333 &amp; ":" &amp; L$1)</f>
        <v/>
      </c>
      <c r="M333" s="14" t="str">
        <f>IFERROR(MOD(TIMEVALUE(RTD("ice.rtd",,$C333 &amp; $D333 &amp; ":" &amp; M$1)), 1), "")</f>
        <v/>
      </c>
      <c r="N333" s="36">
        <f>RTD("ice.rtd",,$C333 &amp; $D333 &amp; ":" &amp; N$1)</f>
        <v>0</v>
      </c>
      <c r="O333" s="36">
        <f>RTD("ice.rtd",,$C333 &amp; $D333 &amp; ":" &amp; O$1)</f>
        <v>0</v>
      </c>
      <c r="P3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3" s="14" t="str">
        <f>IF(ICE[[#This Row],[LastType]] = "Scrn", ICE[[#This Row],[LstDate]], IF(ICE[[#This Row],[LastType]] = "Blk", ICE[[#This Row],[LstBlkTime]], ""))</f>
        <v/>
      </c>
      <c r="R333" s="41" t="str">
        <f>IF(ICE[[#This Row],[LastType]] = "Scrn", ICE[[#This Row],[LstPrc]], IF(ICE[[#This Row],[LastType]] = "Blk", ICE[[#This Row],[LstBlkPrc]], ""))</f>
        <v/>
      </c>
      <c r="S333" s="36">
        <f>ICE[[#This Row],[Vol]]+ICE[[#This Row],[BlkVol]]</f>
        <v>0</v>
      </c>
      <c r="T333" s="36">
        <f>RTD("ice.rtd",,$C333 &amp; $D333 &amp; ":" &amp; T$1)</f>
        <v>0</v>
      </c>
      <c r="U333" s="18">
        <f>RTD("ice.rtd",,$C333 &amp; $D333 &amp; ":" &amp; U$1)</f>
        <v>19.344000000000001</v>
      </c>
      <c r="V3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17.35 / 22.45 </v>
      </c>
      <c r="W333" s="18" t="str">
        <f>IFERROR(IF(LEFT(ICE[[#This Row],[Tenor]], 1) = "B", RTD("esrtd",,$B333 &amp; " " &amp; ICE[[#This Row],[Tenor]] &amp; "-IEU", W$1), RTD("esrtd",,$B333 &amp; " " &amp; VLOOKUP(MONTH(ICE[[#This Row],[Strip]]), MthRef[], 2, 0) &amp; RIGHT(YEAR(ICE[[#This Row],[Strip]]), 2) &amp; "-IEU", W$1)), "")</f>
        <v/>
      </c>
      <c r="X333" s="36"/>
    </row>
    <row r="334" spans="1:24" x14ac:dyDescent="0.25">
      <c r="A334" s="37" t="s">
        <v>828</v>
      </c>
      <c r="B334" s="3" t="str">
        <f>RTD("ice.rtd",,$C334 &amp; $D334 &amp; ":" &amp; B$1)</f>
        <v>EOB</v>
      </c>
      <c r="C334" s="3">
        <v>18901687</v>
      </c>
      <c r="D334" t="s">
        <v>816</v>
      </c>
      <c r="E334" s="3" t="str">
        <f>RTD("ice.rtd",,$C334 &amp; $D334 &amp; ":" &amp; E$1)</f>
        <v>Q2 27</v>
      </c>
      <c r="F334" s="3" t="str">
        <f>ICE[[#This Row],[Prod]]&amp;ICE[[#This Row],[Strip]]</f>
        <v>ebobbrxmtQ2 27</v>
      </c>
      <c r="G334" s="18">
        <f>RTD("ice.rtd",,$C334 &amp; $D334 &amp; ":" &amp; G$1)</f>
        <v>22</v>
      </c>
      <c r="H334" s="18">
        <f>RTD("ice.rtd",,$C334 &amp; $D334 &amp; ":" &amp; H$1)</f>
        <v>27.1</v>
      </c>
      <c r="I334" s="18" t="str">
        <f>RTD("ice.rtd",,$C334 &amp; $D334 &amp; ":" &amp; I$1)</f>
        <v/>
      </c>
      <c r="J334" s="14" t="str">
        <f>IFERROR(MOD(RTD("ice.rtd",,$C334 &amp; $D334 &amp; ":" &amp; J$1), 1), "")</f>
        <v/>
      </c>
      <c r="K334" s="18" t="str">
        <f>RTD("ice.rtd",,$C334 &amp; $D334 &amp; ":" &amp; K$1)</f>
        <v/>
      </c>
      <c r="L334" s="36" t="str">
        <f>RTD("ice.rtd",,$C334 &amp; $D334 &amp; ":" &amp; L$1)</f>
        <v/>
      </c>
      <c r="M334" s="14" t="str">
        <f>IFERROR(MOD(TIMEVALUE(RTD("ice.rtd",,$C334 &amp; $D334 &amp; ":" &amp; M$1)), 1), "")</f>
        <v/>
      </c>
      <c r="N334" s="36">
        <f>RTD("ice.rtd",,$C334 &amp; $D334 &amp; ":" &amp; N$1)</f>
        <v>0</v>
      </c>
      <c r="O334" s="36">
        <f>RTD("ice.rtd",,$C334 &amp; $D334 &amp; ":" &amp; O$1)</f>
        <v>0</v>
      </c>
      <c r="P3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4" s="14" t="str">
        <f>IF(ICE[[#This Row],[LastType]] = "Scrn", ICE[[#This Row],[LstDate]], IF(ICE[[#This Row],[LastType]] = "Blk", ICE[[#This Row],[LstBlkTime]], ""))</f>
        <v/>
      </c>
      <c r="R334" s="41" t="str">
        <f>IF(ICE[[#This Row],[LastType]] = "Scrn", ICE[[#This Row],[LstPrc]], IF(ICE[[#This Row],[LastType]] = "Blk", ICE[[#This Row],[LstBlkPrc]], ""))</f>
        <v/>
      </c>
      <c r="S334" s="36">
        <f>ICE[[#This Row],[Vol]]+ICE[[#This Row],[BlkVol]]</f>
        <v>0</v>
      </c>
      <c r="T334" s="36">
        <f>RTD("ice.rtd",,$C334 &amp; $D334 &amp; ":" &amp; T$1)</f>
        <v>0</v>
      </c>
      <c r="U334" s="18">
        <f>RTD("ice.rtd",,$C334 &amp; $D334 &amp; ":" &amp; U$1)</f>
        <v>24.096</v>
      </c>
      <c r="V3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22.00 / 27.10 </v>
      </c>
      <c r="W334" s="18" t="str">
        <f>IFERROR(IF(LEFT(ICE[[#This Row],[Tenor]], 1) = "B", RTD("esrtd",,$B334 &amp; " " &amp; ICE[[#This Row],[Tenor]] &amp; "-IEU", W$1), RTD("esrtd",,$B334 &amp; " " &amp; VLOOKUP(MONTH(ICE[[#This Row],[Strip]]), MthRef[], 2, 0) &amp; RIGHT(YEAR(ICE[[#This Row],[Strip]]), 2) &amp; "-IEU", W$1)), "")</f>
        <v/>
      </c>
      <c r="X334" s="36"/>
    </row>
    <row r="335" spans="1:24" x14ac:dyDescent="0.25">
      <c r="A335" s="37" t="s">
        <v>828</v>
      </c>
      <c r="B335" s="3" t="str">
        <f>RTD("ice.rtd",,$C335 &amp; $D335 &amp; ":" &amp; B$1)</f>
        <v>EOB</v>
      </c>
      <c r="C335" s="3">
        <v>18901687</v>
      </c>
      <c r="D335" t="s">
        <v>817</v>
      </c>
      <c r="E335" s="3" t="str">
        <f>RTD("ice.rtd",,$C335 &amp; $D335 &amp; ":" &amp; E$1)</f>
        <v>Q3 27</v>
      </c>
      <c r="F335" s="3" t="str">
        <f>ICE[[#This Row],[Prod]]&amp;ICE[[#This Row],[Strip]]</f>
        <v>ebobbrxmtQ3 27</v>
      </c>
      <c r="G335" s="18">
        <f>RTD("ice.rtd",,$C335 &amp; $D335 &amp; ":" &amp; G$1)</f>
        <v>18.45</v>
      </c>
      <c r="H335" s="18">
        <f>RTD("ice.rtd",,$C335 &amp; $D335 &amp; ":" &amp; H$1)</f>
        <v>23.55</v>
      </c>
      <c r="I335" s="18" t="str">
        <f>RTD("ice.rtd",,$C335 &amp; $D335 &amp; ":" &amp; I$1)</f>
        <v/>
      </c>
      <c r="J335" s="14" t="str">
        <f>IFERROR(MOD(RTD("ice.rtd",,$C335 &amp; $D335 &amp; ":" &amp; J$1), 1), "")</f>
        <v/>
      </c>
      <c r="K335" s="18" t="str">
        <f>RTD("ice.rtd",,$C335 &amp; $D335 &amp; ":" &amp; K$1)</f>
        <v/>
      </c>
      <c r="L335" s="36" t="str">
        <f>RTD("ice.rtd",,$C335 &amp; $D335 &amp; ":" &amp; L$1)</f>
        <v/>
      </c>
      <c r="M335" s="14" t="str">
        <f>IFERROR(MOD(TIMEVALUE(RTD("ice.rtd",,$C335 &amp; $D335 &amp; ":" &amp; M$1)), 1), "")</f>
        <v/>
      </c>
      <c r="N335" s="36">
        <f>RTD("ice.rtd",,$C335 &amp; $D335 &amp; ":" &amp; N$1)</f>
        <v>0</v>
      </c>
      <c r="O335" s="36">
        <f>RTD("ice.rtd",,$C335 &amp; $D335 &amp; ":" &amp; O$1)</f>
        <v>0</v>
      </c>
      <c r="P3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5" s="14" t="str">
        <f>IF(ICE[[#This Row],[LastType]] = "Scrn", ICE[[#This Row],[LstDate]], IF(ICE[[#This Row],[LastType]] = "Blk", ICE[[#This Row],[LstBlkTime]], ""))</f>
        <v/>
      </c>
      <c r="R335" s="41" t="str">
        <f>IF(ICE[[#This Row],[LastType]] = "Scrn", ICE[[#This Row],[LstPrc]], IF(ICE[[#This Row],[LastType]] = "Blk", ICE[[#This Row],[LstBlkPrc]], ""))</f>
        <v/>
      </c>
      <c r="S335" s="36">
        <f>ICE[[#This Row],[Vol]]+ICE[[#This Row],[BlkVol]]</f>
        <v>0</v>
      </c>
      <c r="T335" s="36">
        <f>RTD("ice.rtd",,$C335 &amp; $D335 &amp; ":" &amp; T$1)</f>
        <v>0</v>
      </c>
      <c r="U335" s="18">
        <f>RTD("ice.rtd",,$C335 &amp; $D335 &amp; ":" &amp; U$1)</f>
        <v>20.691000000000003</v>
      </c>
      <c r="V3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18.45 / 23.55 </v>
      </c>
      <c r="W335" s="18" t="str">
        <f>IFERROR(IF(LEFT(ICE[[#This Row],[Tenor]], 1) = "B", RTD("esrtd",,$B335 &amp; " " &amp; ICE[[#This Row],[Tenor]] &amp; "-IEU", W$1), RTD("esrtd",,$B335 &amp; " " &amp; VLOOKUP(MONTH(ICE[[#This Row],[Strip]]), MthRef[], 2, 0) &amp; RIGHT(YEAR(ICE[[#This Row],[Strip]]), 2) &amp; "-IEU", W$1)), "")</f>
        <v/>
      </c>
      <c r="X335" s="36"/>
    </row>
    <row r="336" spans="1:24" x14ac:dyDescent="0.25">
      <c r="A336" s="37" t="s">
        <v>828</v>
      </c>
      <c r="B336" s="3" t="str">
        <f>RTD("ice.rtd",,$C336 &amp; $D336 &amp; ":" &amp; B$1)</f>
        <v>EOB</v>
      </c>
      <c r="C336" s="3">
        <v>18901687</v>
      </c>
      <c r="D336" t="s">
        <v>818</v>
      </c>
      <c r="E336" s="3" t="str">
        <f>RTD("ice.rtd",,$C336 &amp; $D336 &amp; ":" &amp; E$1)</f>
        <v>Q4 27</v>
      </c>
      <c r="F336" s="3" t="str">
        <f>ICE[[#This Row],[Prod]]&amp;ICE[[#This Row],[Strip]]</f>
        <v>ebobbrxmtQ4 27</v>
      </c>
      <c r="G336" s="18">
        <f>RTD("ice.rtd",,$C336 &amp; $D336 &amp; ":" &amp; G$1)</f>
        <v>9.8000000000000007</v>
      </c>
      <c r="H336" s="18">
        <f>RTD("ice.rtd",,$C336 &amp; $D336 &amp; ":" &amp; H$1)</f>
        <v>14.9</v>
      </c>
      <c r="I336" s="18" t="str">
        <f>RTD("ice.rtd",,$C336 &amp; $D336 &amp; ":" &amp; I$1)</f>
        <v/>
      </c>
      <c r="J336" s="14" t="str">
        <f>IFERROR(MOD(RTD("ice.rtd",,$C336 &amp; $D336 &amp; ":" &amp; J$1), 1), "")</f>
        <v/>
      </c>
      <c r="K336" s="18" t="str">
        <f>RTD("ice.rtd",,$C336 &amp; $D336 &amp; ":" &amp; K$1)</f>
        <v/>
      </c>
      <c r="L336" s="36" t="str">
        <f>RTD("ice.rtd",,$C336 &amp; $D336 &amp; ":" &amp; L$1)</f>
        <v/>
      </c>
      <c r="M336" s="14" t="str">
        <f>IFERROR(MOD(TIMEVALUE(RTD("ice.rtd",,$C336 &amp; $D336 &amp; ":" &amp; M$1)), 1), "")</f>
        <v/>
      </c>
      <c r="N336" s="36">
        <f>RTD("ice.rtd",,$C336 &amp; $D336 &amp; ":" &amp; N$1)</f>
        <v>0</v>
      </c>
      <c r="O336" s="36">
        <f>RTD("ice.rtd",,$C336 &amp; $D336 &amp; ":" &amp; O$1)</f>
        <v>0</v>
      </c>
      <c r="P3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6" s="14" t="str">
        <f>IF(ICE[[#This Row],[LastType]] = "Scrn", ICE[[#This Row],[LstDate]], IF(ICE[[#This Row],[LastType]] = "Blk", ICE[[#This Row],[LstBlkTime]], ""))</f>
        <v/>
      </c>
      <c r="R336" s="41" t="str">
        <f>IF(ICE[[#This Row],[LastType]] = "Scrn", ICE[[#This Row],[LstPrc]], IF(ICE[[#This Row],[LastType]] = "Blk", ICE[[#This Row],[LstBlkPrc]], ""))</f>
        <v/>
      </c>
      <c r="S336" s="36">
        <f>ICE[[#This Row],[Vol]]+ICE[[#This Row],[BlkVol]]</f>
        <v>0</v>
      </c>
      <c r="T336" s="36">
        <f>RTD("ice.rtd",,$C336 &amp; $D336 &amp; ":" &amp; T$1)</f>
        <v>0</v>
      </c>
      <c r="U336" s="18">
        <f>RTD("ice.rtd",,$C336 &amp; $D336 &amp; ":" &amp; U$1)</f>
        <v>12.338000000000001</v>
      </c>
      <c r="V3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9.80 / 14.90 </v>
      </c>
      <c r="W336" s="18" t="str">
        <f>IFERROR(IF(LEFT(ICE[[#This Row],[Tenor]], 1) = "B", RTD("esrtd",,$B336 &amp; " " &amp; ICE[[#This Row],[Tenor]] &amp; "-IEU", W$1), RTD("esrtd",,$B336 &amp; " " &amp; VLOOKUP(MONTH(ICE[[#This Row],[Strip]]), MthRef[], 2, 0) &amp; RIGHT(YEAR(ICE[[#This Row],[Strip]]), 2) &amp; "-IEU", W$1)), "")</f>
        <v/>
      </c>
      <c r="X336" s="36"/>
    </row>
    <row r="337" spans="1:24" x14ac:dyDescent="0.25">
      <c r="A337" s="37" t="s">
        <v>828</v>
      </c>
      <c r="B337" s="3" t="str">
        <f>RTD("ice.rtd",,$C337 &amp; $D337 &amp; ":" &amp; B$1)</f>
        <v>EOB</v>
      </c>
      <c r="C337" s="3">
        <v>18901687</v>
      </c>
      <c r="D337" t="s">
        <v>819</v>
      </c>
      <c r="E337" s="3" t="str">
        <f>RTD("ice.rtd",,$C337 &amp; $D337 &amp; ":" &amp; E$1)</f>
        <v>Q1 28</v>
      </c>
      <c r="F337" s="3" t="str">
        <f>ICE[[#This Row],[Prod]]&amp;ICE[[#This Row],[Strip]]</f>
        <v>ebobbrxmtQ1 28</v>
      </c>
      <c r="G337" s="18" t="str">
        <f>RTD("ice.rtd",,$C337 &amp; $D337 &amp; ":" &amp; G$1)</f>
        <v/>
      </c>
      <c r="H337" s="18" t="str">
        <f>RTD("ice.rtd",,$C337 &amp; $D337 &amp; ":" &amp; H$1)</f>
        <v/>
      </c>
      <c r="I337" s="18" t="str">
        <f>RTD("ice.rtd",,$C337 &amp; $D337 &amp; ":" &amp; I$1)</f>
        <v/>
      </c>
      <c r="J337" s="14" t="str">
        <f>IFERROR(MOD(RTD("ice.rtd",,$C337 &amp; $D337 &amp; ":" &amp; J$1), 1), "")</f>
        <v/>
      </c>
      <c r="K337" s="18" t="str">
        <f>RTD("ice.rtd",,$C337 &amp; $D337 &amp; ":" &amp; K$1)</f>
        <v/>
      </c>
      <c r="L337" s="36" t="str">
        <f>RTD("ice.rtd",,$C337 &amp; $D337 &amp; ":" &amp; L$1)</f>
        <v/>
      </c>
      <c r="M337" s="14" t="str">
        <f>IFERROR(MOD(TIMEVALUE(RTD("ice.rtd",,$C337 &amp; $D337 &amp; ":" &amp; M$1)), 1), "")</f>
        <v/>
      </c>
      <c r="N337" s="36">
        <f>RTD("ice.rtd",,$C337 &amp; $D337 &amp; ":" &amp; N$1)</f>
        <v>0</v>
      </c>
      <c r="O337" s="36">
        <f>RTD("ice.rtd",,$C337 &amp; $D337 &amp; ":" &amp; O$1)</f>
        <v>0</v>
      </c>
      <c r="P3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7" s="14" t="str">
        <f>IF(ICE[[#This Row],[LastType]] = "Scrn", ICE[[#This Row],[LstDate]], IF(ICE[[#This Row],[LastType]] = "Blk", ICE[[#This Row],[LstBlkTime]], ""))</f>
        <v/>
      </c>
      <c r="R337" s="41" t="str">
        <f>IF(ICE[[#This Row],[LastType]] = "Scrn", ICE[[#This Row],[LstPrc]], IF(ICE[[#This Row],[LastType]] = "Blk", ICE[[#This Row],[LstBlkPrc]], ""))</f>
        <v/>
      </c>
      <c r="S337" s="36">
        <f>ICE[[#This Row],[Vol]]+ICE[[#This Row],[BlkVol]]</f>
        <v>0</v>
      </c>
      <c r="T337" s="36">
        <f>RTD("ice.rtd",,$C337 &amp; $D337 &amp; ":" &amp; T$1)</f>
        <v>0</v>
      </c>
      <c r="U337" s="18">
        <f>RTD("ice.rtd",,$C337 &amp; $D337 &amp; ":" &amp; U$1)</f>
        <v>10.644</v>
      </c>
      <c r="V3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37" s="18" t="str">
        <f>IFERROR(IF(LEFT(ICE[[#This Row],[Tenor]], 1) = "B", RTD("esrtd",,$B337 &amp; " " &amp; ICE[[#This Row],[Tenor]] &amp; "-IEU", W$1), RTD("esrtd",,$B337 &amp; " " &amp; VLOOKUP(MONTH(ICE[[#This Row],[Strip]]), MthRef[], 2, 0) &amp; RIGHT(YEAR(ICE[[#This Row],[Strip]]), 2) &amp; "-IEU", W$1)), "")</f>
        <v/>
      </c>
      <c r="X337" s="36"/>
    </row>
    <row r="338" spans="1:24" x14ac:dyDescent="0.25">
      <c r="A338" s="37" t="s">
        <v>828</v>
      </c>
      <c r="B338" s="3" t="str">
        <f>RTD("ice.rtd",,$C338 &amp; $D338 &amp; ":" &amp; B$1)</f>
        <v>EOB</v>
      </c>
      <c r="C338" s="3">
        <v>18901687</v>
      </c>
      <c r="D338" t="s">
        <v>229</v>
      </c>
      <c r="E338" s="3" t="str">
        <f>RTD("ice.rtd",,$C338 &amp; $D338 &amp; ":" &amp; E$1)</f>
        <v>Q2 28</v>
      </c>
      <c r="F338" s="3" t="str">
        <f>ICE[[#This Row],[Prod]]&amp;ICE[[#This Row],[Strip]]</f>
        <v>ebobbrxmtQ2 28</v>
      </c>
      <c r="G338" s="18" t="str">
        <f>RTD("ice.rtd",,$C338 &amp; $D338 &amp; ":" &amp; G$1)</f>
        <v/>
      </c>
      <c r="H338" s="18" t="str">
        <f>RTD("ice.rtd",,$C338 &amp; $D338 &amp; ":" &amp; H$1)</f>
        <v/>
      </c>
      <c r="I338" s="18" t="str">
        <f>RTD("ice.rtd",,$C338 &amp; $D338 &amp; ":" &amp; I$1)</f>
        <v/>
      </c>
      <c r="J338" s="14" t="str">
        <f>IFERROR(MOD(RTD("ice.rtd",,$C338 &amp; $D338 &amp; ":" &amp; J$1), 1), "")</f>
        <v/>
      </c>
      <c r="K338" s="18" t="str">
        <f>RTD("ice.rtd",,$C338 &amp; $D338 &amp; ":" &amp; K$1)</f>
        <v/>
      </c>
      <c r="L338" s="36" t="str">
        <f>RTD("ice.rtd",,$C338 &amp; $D338 &amp; ":" &amp; L$1)</f>
        <v/>
      </c>
      <c r="M338" s="14" t="str">
        <f>IFERROR(MOD(TIMEVALUE(RTD("ice.rtd",,$C338 &amp; $D338 &amp; ":" &amp; M$1)), 1), "")</f>
        <v/>
      </c>
      <c r="N338" s="36">
        <f>RTD("ice.rtd",,$C338 &amp; $D338 &amp; ":" &amp; N$1)</f>
        <v>0</v>
      </c>
      <c r="O338" s="36">
        <f>RTD("ice.rtd",,$C338 &amp; $D338 &amp; ":" &amp; O$1)</f>
        <v>0</v>
      </c>
      <c r="P3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8" s="14" t="str">
        <f>IF(ICE[[#This Row],[LastType]] = "Scrn", ICE[[#This Row],[LstDate]], IF(ICE[[#This Row],[LastType]] = "Blk", ICE[[#This Row],[LstBlkTime]], ""))</f>
        <v/>
      </c>
      <c r="R338" s="41" t="str">
        <f>IF(ICE[[#This Row],[LastType]] = "Scrn", ICE[[#This Row],[LstPrc]], IF(ICE[[#This Row],[LastType]] = "Blk", ICE[[#This Row],[LstBlkPrc]], ""))</f>
        <v/>
      </c>
      <c r="S338" s="36">
        <f>ICE[[#This Row],[Vol]]+ICE[[#This Row],[BlkVol]]</f>
        <v>0</v>
      </c>
      <c r="T338" s="36">
        <f>RTD("ice.rtd",,$C338 &amp; $D338 &amp; ":" &amp; T$1)</f>
        <v>0</v>
      </c>
      <c r="U338" s="18">
        <f>RTD("ice.rtd",,$C338 &amp; $D338 &amp; ":" &amp; U$1)</f>
        <v>14.741000000000001</v>
      </c>
      <c r="V3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38" s="18" t="str">
        <f>IFERROR(IF(LEFT(ICE[[#This Row],[Tenor]], 1) = "B", RTD("esrtd",,$B338 &amp; " " &amp; ICE[[#This Row],[Tenor]] &amp; "-IEU", W$1), RTD("esrtd",,$B338 &amp; " " &amp; VLOOKUP(MONTH(ICE[[#This Row],[Strip]]), MthRef[], 2, 0) &amp; RIGHT(YEAR(ICE[[#This Row],[Strip]]), 2) &amp; "-IEU", W$1)), "")</f>
        <v/>
      </c>
      <c r="X338" s="36"/>
    </row>
    <row r="339" spans="1:24" x14ac:dyDescent="0.25">
      <c r="A339" s="37" t="s">
        <v>828</v>
      </c>
      <c r="B339" s="3" t="str">
        <f>RTD("ice.rtd",,$C339 &amp; $D339 &amp; ":" &amp; B$1)</f>
        <v>EOB</v>
      </c>
      <c r="C339" s="3">
        <v>18901687</v>
      </c>
      <c r="D339" t="s">
        <v>820</v>
      </c>
      <c r="E339" s="3" t="str">
        <f>RTD("ice.rtd",,$C339 &amp; $D339 &amp; ":" &amp; E$1)</f>
        <v>Q3 28</v>
      </c>
      <c r="F339" s="3" t="str">
        <f>ICE[[#This Row],[Prod]]&amp;ICE[[#This Row],[Strip]]</f>
        <v>ebobbrxmtQ3 28</v>
      </c>
      <c r="G339" s="18" t="str">
        <f>RTD("ice.rtd",,$C339 &amp; $D339 &amp; ":" &amp; G$1)</f>
        <v/>
      </c>
      <c r="H339" s="18" t="str">
        <f>RTD("ice.rtd",,$C339 &amp; $D339 &amp; ":" &amp; H$1)</f>
        <v/>
      </c>
      <c r="I339" s="18" t="str">
        <f>RTD("ice.rtd",,$C339 &amp; $D339 &amp; ":" &amp; I$1)</f>
        <v/>
      </c>
      <c r="J339" s="14" t="str">
        <f>IFERROR(MOD(RTD("ice.rtd",,$C339 &amp; $D339 &amp; ":" &amp; J$1), 1), "")</f>
        <v/>
      </c>
      <c r="K339" s="18" t="str">
        <f>RTD("ice.rtd",,$C339 &amp; $D339 &amp; ":" &amp; K$1)</f>
        <v/>
      </c>
      <c r="L339" s="36" t="str">
        <f>RTD("ice.rtd",,$C339 &amp; $D339 &amp; ":" &amp; L$1)</f>
        <v/>
      </c>
      <c r="M339" s="14" t="str">
        <f>IFERROR(MOD(TIMEVALUE(RTD("ice.rtd",,$C339 &amp; $D339 &amp; ":" &amp; M$1)), 1), "")</f>
        <v/>
      </c>
      <c r="N339" s="36">
        <f>RTD("ice.rtd",,$C339 &amp; $D339 &amp; ":" &amp; N$1)</f>
        <v>0</v>
      </c>
      <c r="O339" s="36">
        <f>RTD("ice.rtd",,$C339 &amp; $D339 &amp; ":" &amp; O$1)</f>
        <v>0</v>
      </c>
      <c r="P3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39" s="14" t="str">
        <f>IF(ICE[[#This Row],[LastType]] = "Scrn", ICE[[#This Row],[LstDate]], IF(ICE[[#This Row],[LastType]] = "Blk", ICE[[#This Row],[LstBlkTime]], ""))</f>
        <v/>
      </c>
      <c r="R339" s="41" t="str">
        <f>IF(ICE[[#This Row],[LastType]] = "Scrn", ICE[[#This Row],[LstPrc]], IF(ICE[[#This Row],[LastType]] = "Blk", ICE[[#This Row],[LstBlkPrc]], ""))</f>
        <v/>
      </c>
      <c r="S339" s="36">
        <f>ICE[[#This Row],[Vol]]+ICE[[#This Row],[BlkVol]]</f>
        <v>0</v>
      </c>
      <c r="T339" s="36">
        <f>RTD("ice.rtd",,$C339 &amp; $D339 &amp; ":" &amp; T$1)</f>
        <v>0</v>
      </c>
      <c r="U339" s="18">
        <f>RTD("ice.rtd",,$C339 &amp; $D339 &amp; ":" &amp; U$1)</f>
        <v>13.175000000000001</v>
      </c>
      <c r="V3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39" s="18" t="str">
        <f>IFERROR(IF(LEFT(ICE[[#This Row],[Tenor]], 1) = "B", RTD("esrtd",,$B339 &amp; " " &amp; ICE[[#This Row],[Tenor]] &amp; "-IEU", W$1), RTD("esrtd",,$B339 &amp; " " &amp; VLOOKUP(MONTH(ICE[[#This Row],[Strip]]), MthRef[], 2, 0) &amp; RIGHT(YEAR(ICE[[#This Row],[Strip]]), 2) &amp; "-IEU", W$1)), "")</f>
        <v/>
      </c>
      <c r="X339" s="36"/>
    </row>
    <row r="340" spans="1:24" x14ac:dyDescent="0.25">
      <c r="A340" s="37" t="s">
        <v>828</v>
      </c>
      <c r="B340" s="3" t="str">
        <f>RTD("ice.rtd",,$C340 &amp; $D340 &amp; ":" &amp; B$1)</f>
        <v>EOB</v>
      </c>
      <c r="C340" s="3">
        <v>18901687</v>
      </c>
      <c r="D340" t="s">
        <v>821</v>
      </c>
      <c r="E340" s="3" t="str">
        <f>RTD("ice.rtd",,$C340 &amp; $D340 &amp; ":" &amp; E$1)</f>
        <v>Q4 28</v>
      </c>
      <c r="F340" s="3" t="str">
        <f>ICE[[#This Row],[Prod]]&amp;ICE[[#This Row],[Strip]]</f>
        <v>ebobbrxmtQ4 28</v>
      </c>
      <c r="G340" s="18" t="str">
        <f>RTD("ice.rtd",,$C340 &amp; $D340 &amp; ":" &amp; G$1)</f>
        <v/>
      </c>
      <c r="H340" s="18" t="str">
        <f>RTD("ice.rtd",,$C340 &amp; $D340 &amp; ":" &amp; H$1)</f>
        <v/>
      </c>
      <c r="I340" s="18" t="str">
        <f>RTD("ice.rtd",,$C340 &amp; $D340 &amp; ":" &amp; I$1)</f>
        <v/>
      </c>
      <c r="J340" s="14" t="str">
        <f>IFERROR(MOD(RTD("ice.rtd",,$C340 &amp; $D340 &amp; ":" &amp; J$1), 1), "")</f>
        <v/>
      </c>
      <c r="K340" s="18" t="str">
        <f>RTD("ice.rtd",,$C340 &amp; $D340 &amp; ":" &amp; K$1)</f>
        <v/>
      </c>
      <c r="L340" s="36" t="str">
        <f>RTD("ice.rtd",,$C340 &amp; $D340 &amp; ":" &amp; L$1)</f>
        <v/>
      </c>
      <c r="M340" s="14" t="str">
        <f>IFERROR(MOD(TIMEVALUE(RTD("ice.rtd",,$C340 &amp; $D340 &amp; ":" &amp; M$1)), 1), "")</f>
        <v/>
      </c>
      <c r="N340" s="36">
        <f>RTD("ice.rtd",,$C340 &amp; $D340 &amp; ":" &amp; N$1)</f>
        <v>0</v>
      </c>
      <c r="O340" s="36">
        <f>RTD("ice.rtd",,$C340 &amp; $D340 &amp; ":" &amp; O$1)</f>
        <v>0</v>
      </c>
      <c r="P3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40" s="14" t="str">
        <f>IF(ICE[[#This Row],[LastType]] = "Scrn", ICE[[#This Row],[LstDate]], IF(ICE[[#This Row],[LastType]] = "Blk", ICE[[#This Row],[LstBlkTime]], ""))</f>
        <v/>
      </c>
      <c r="R340" s="41" t="str">
        <f>IF(ICE[[#This Row],[LastType]] = "Scrn", ICE[[#This Row],[LstPrc]], IF(ICE[[#This Row],[LastType]] = "Blk", ICE[[#This Row],[LstBlkPrc]], ""))</f>
        <v/>
      </c>
      <c r="S340" s="36">
        <f>ICE[[#This Row],[Vol]]+ICE[[#This Row],[BlkVol]]</f>
        <v>0</v>
      </c>
      <c r="T340" s="36">
        <f>RTD("ice.rtd",,$C340 &amp; $D340 &amp; ":" &amp; T$1)</f>
        <v>0</v>
      </c>
      <c r="U340" s="18">
        <f>RTD("ice.rtd",,$C340 &amp; $D340 &amp; ":" &amp; U$1)</f>
        <v>7.3310000000000004</v>
      </c>
      <c r="V3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40" s="18" t="str">
        <f>IFERROR(IF(LEFT(ICE[[#This Row],[Tenor]], 1) = "B", RTD("esrtd",,$B340 &amp; " " &amp; ICE[[#This Row],[Tenor]] &amp; "-IEU", W$1), RTD("esrtd",,$B340 &amp; " " &amp; VLOOKUP(MONTH(ICE[[#This Row],[Strip]]), MthRef[], 2, 0) &amp; RIGHT(YEAR(ICE[[#This Row],[Strip]]), 2) &amp; "-IEU", W$1)), "")</f>
        <v/>
      </c>
      <c r="X340" s="36"/>
    </row>
    <row r="341" spans="1:24" x14ac:dyDescent="0.25">
      <c r="A341" s="37" t="s">
        <v>828</v>
      </c>
      <c r="B341" s="3" t="str">
        <f>RTD("ice.rtd",,$C341 &amp; $D341 &amp; ":" &amp; B$1)</f>
        <v>EOB</v>
      </c>
      <c r="C341" s="3">
        <v>18901687</v>
      </c>
      <c r="D341" t="s">
        <v>822</v>
      </c>
      <c r="E341" s="3" t="str">
        <f>RTD("ice.rtd",,$C341 &amp; $D341 &amp; ":" &amp; E$1)</f>
        <v>Cal 27</v>
      </c>
      <c r="F341" s="3" t="str">
        <f>ICE[[#This Row],[Prod]]&amp;ICE[[#This Row],[Strip]]</f>
        <v>ebobbrxmtCal 27</v>
      </c>
      <c r="G341" s="18">
        <f>RTD("ice.rtd",,$C341 &amp; $D341 &amp; ":" &amp; G$1)</f>
        <v>16.05</v>
      </c>
      <c r="H341" s="18">
        <f>RTD("ice.rtd",,$C341 &amp; $D341 &amp; ":" &amp; H$1)</f>
        <v>22.9</v>
      </c>
      <c r="I341" s="18" t="str">
        <f>RTD("ice.rtd",,$C341 &amp; $D341 &amp; ":" &amp; I$1)</f>
        <v/>
      </c>
      <c r="J341" s="14" t="str">
        <f>IFERROR(MOD(RTD("ice.rtd",,$C341 &amp; $D341 &amp; ":" &amp; J$1), 1), "")</f>
        <v/>
      </c>
      <c r="K341" s="18" t="str">
        <f>RTD("ice.rtd",,$C341 &amp; $D341 &amp; ":" &amp; K$1)</f>
        <v/>
      </c>
      <c r="L341" s="36" t="str">
        <f>RTD("ice.rtd",,$C341 &amp; $D341 &amp; ":" &amp; L$1)</f>
        <v/>
      </c>
      <c r="M341" s="14" t="str">
        <f>IFERROR(MOD(TIMEVALUE(RTD("ice.rtd",,$C341 &amp; $D341 &amp; ":" &amp; M$1)), 1), "")</f>
        <v/>
      </c>
      <c r="N341" s="36">
        <f>RTD("ice.rtd",,$C341 &amp; $D341 &amp; ":" &amp; N$1)</f>
        <v>0</v>
      </c>
      <c r="O341" s="36">
        <f>RTD("ice.rtd",,$C341 &amp; $D341 &amp; ":" &amp; O$1)</f>
        <v>0</v>
      </c>
      <c r="P3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41" s="14" t="str">
        <f>IF(ICE[[#This Row],[LastType]] = "Scrn", ICE[[#This Row],[LstDate]], IF(ICE[[#This Row],[LastType]] = "Blk", ICE[[#This Row],[LstBlkTime]], ""))</f>
        <v/>
      </c>
      <c r="R341" s="41" t="str">
        <f>IF(ICE[[#This Row],[LastType]] = "Scrn", ICE[[#This Row],[LstPrc]], IF(ICE[[#This Row],[LastType]] = "Blk", ICE[[#This Row],[LstBlkPrc]], ""))</f>
        <v/>
      </c>
      <c r="S341" s="36">
        <f>ICE[[#This Row],[Vol]]+ICE[[#This Row],[BlkVol]]</f>
        <v>0</v>
      </c>
      <c r="T341" s="36">
        <f>RTD("ice.rtd",,$C341 &amp; $D341 &amp; ":" &amp; T$1)</f>
        <v>0</v>
      </c>
      <c r="U341" s="18">
        <f>RTD("ice.rtd",,$C341 &amp; $D341 &amp; ":" &amp; U$1)</f>
        <v>19.117000000000001</v>
      </c>
      <c r="V3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16.05 / 22.90 </v>
      </c>
      <c r="W341" s="18" t="str">
        <f>IFERROR(IF(LEFT(ICE[[#This Row],[Tenor]], 1) = "B", RTD("esrtd",,$B341 &amp; " " &amp; ICE[[#This Row],[Tenor]] &amp; "-IEU", W$1), RTD("esrtd",,$B341 &amp; " " &amp; VLOOKUP(MONTH(ICE[[#This Row],[Strip]]), MthRef[], 2, 0) &amp; RIGHT(YEAR(ICE[[#This Row],[Strip]]), 2) &amp; "-IEU", W$1)), "")</f>
        <v/>
      </c>
      <c r="X341" s="36"/>
    </row>
    <row r="342" spans="1:24" x14ac:dyDescent="0.25">
      <c r="A342" s="37" t="s">
        <v>828</v>
      </c>
      <c r="B342" s="3" t="str">
        <f>RTD("ice.rtd",,$C342 &amp; $D342 &amp; ":" &amp; B$1)</f>
        <v>EOB</v>
      </c>
      <c r="C342" s="3">
        <v>18901687</v>
      </c>
      <c r="D342" t="s">
        <v>823</v>
      </c>
      <c r="E342" s="3" t="str">
        <f>RTD("ice.rtd",,$C342 &amp; $D342 &amp; ":" &amp; E$1)</f>
        <v>Cal 28</v>
      </c>
      <c r="F342" s="3" t="str">
        <f>ICE[[#This Row],[Prod]]&amp;ICE[[#This Row],[Strip]]</f>
        <v>ebobbrxmtCal 28</v>
      </c>
      <c r="G342" s="18" t="str">
        <f>RTD("ice.rtd",,$C342 &amp; $D342 &amp; ":" &amp; G$1)</f>
        <v/>
      </c>
      <c r="H342" s="18" t="str">
        <f>RTD("ice.rtd",,$C342 &amp; $D342 &amp; ":" &amp; H$1)</f>
        <v/>
      </c>
      <c r="I342" s="18" t="str">
        <f>RTD("ice.rtd",,$C342 &amp; $D342 &amp; ":" &amp; I$1)</f>
        <v/>
      </c>
      <c r="J342" s="14" t="str">
        <f>IFERROR(MOD(RTD("ice.rtd",,$C342 &amp; $D342 &amp; ":" &amp; J$1), 1), "")</f>
        <v/>
      </c>
      <c r="K342" s="18" t="str">
        <f>RTD("ice.rtd",,$C342 &amp; $D342 &amp; ":" &amp; K$1)</f>
        <v/>
      </c>
      <c r="L342" s="36" t="str">
        <f>RTD("ice.rtd",,$C342 &amp; $D342 &amp; ":" &amp; L$1)</f>
        <v/>
      </c>
      <c r="M342" s="14" t="str">
        <f>IFERROR(MOD(TIMEVALUE(RTD("ice.rtd",,$C342 &amp; $D342 &amp; ":" &amp; M$1)), 1), "")</f>
        <v/>
      </c>
      <c r="N342" s="36">
        <f>RTD("ice.rtd",,$C342 &amp; $D342 &amp; ":" &amp; N$1)</f>
        <v>0</v>
      </c>
      <c r="O342" s="36">
        <f>RTD("ice.rtd",,$C342 &amp; $D342 &amp; ":" &amp; O$1)</f>
        <v>0</v>
      </c>
      <c r="P3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42" s="14" t="str">
        <f>IF(ICE[[#This Row],[LastType]] = "Scrn", ICE[[#This Row],[LstDate]], IF(ICE[[#This Row],[LastType]] = "Blk", ICE[[#This Row],[LstBlkTime]], ""))</f>
        <v/>
      </c>
      <c r="R342" s="41" t="str">
        <f>IF(ICE[[#This Row],[LastType]] = "Scrn", ICE[[#This Row],[LstPrc]], IF(ICE[[#This Row],[LastType]] = "Blk", ICE[[#This Row],[LstBlkPrc]], ""))</f>
        <v/>
      </c>
      <c r="S342" s="36">
        <f>ICE[[#This Row],[Vol]]+ICE[[#This Row],[BlkVol]]</f>
        <v>0</v>
      </c>
      <c r="T342" s="36">
        <f>RTD("ice.rtd",,$C342 &amp; $D342 &amp; ":" &amp; T$1)</f>
        <v>0</v>
      </c>
      <c r="U342" s="18">
        <f>RTD("ice.rtd",,$C342 &amp; $D342 &amp; ":" &amp; U$1)</f>
        <v>11.473000000000001</v>
      </c>
      <c r="V3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42" s="18" t="str">
        <f>IFERROR(IF(LEFT(ICE[[#This Row],[Tenor]], 1) = "B", RTD("esrtd",,$B342 &amp; " " &amp; ICE[[#This Row],[Tenor]] &amp; "-IEU", W$1), RTD("esrtd",,$B342 &amp; " " &amp; VLOOKUP(MONTH(ICE[[#This Row],[Strip]]), MthRef[], 2, 0) &amp; RIGHT(YEAR(ICE[[#This Row],[Strip]]), 2) &amp; "-IEU", W$1)), "")</f>
        <v/>
      </c>
      <c r="X342" s="36"/>
    </row>
    <row r="343" spans="1:24" x14ac:dyDescent="0.25">
      <c r="A343" s="37" t="s">
        <v>828</v>
      </c>
      <c r="B343" s="3" t="str">
        <f>RTD("ice.rtd",,$C343 &amp; $D343 &amp; ":" &amp; B$1)</f>
        <v>Invalid Market: 18901687Y2</v>
      </c>
      <c r="C343" s="3">
        <v>18901687</v>
      </c>
      <c r="D343" t="s">
        <v>824</v>
      </c>
      <c r="E343" s="3" t="str">
        <f>RTD("ice.rtd",,$C343 &amp; $D343 &amp; ":" &amp; E$1)</f>
        <v>Invalid Market: 18901687Y2</v>
      </c>
      <c r="F343" s="3" t="str">
        <f>ICE[[#This Row],[Prod]]&amp;ICE[[#This Row],[Strip]]</f>
        <v>ebobbrxmtInvalid Market: 18901687Y2</v>
      </c>
      <c r="G343" s="18" t="str">
        <f>RTD("ice.rtd",,$C343 &amp; $D343 &amp; ":" &amp; G$1)</f>
        <v>Invalid Market: 18901687Y2</v>
      </c>
      <c r="H343" s="18" t="str">
        <f>RTD("ice.rtd",,$C343 &amp; $D343 &amp; ":" &amp; H$1)</f>
        <v>Invalid Market: 18901687Y2</v>
      </c>
      <c r="I343" s="18" t="str">
        <f>RTD("ice.rtd",,$C343 &amp; $D343 &amp; ":" &amp; I$1)</f>
        <v>Invalid Market: 18901687Y2</v>
      </c>
      <c r="J343" s="14" t="str">
        <f>IFERROR(MOD(RTD("ice.rtd",,$C343 &amp; $D343 &amp; ":" &amp; J$1), 1), "")</f>
        <v/>
      </c>
      <c r="K343" s="18" t="str">
        <f>RTD("ice.rtd",,$C343 &amp; $D343 &amp; ":" &amp; K$1)</f>
        <v>Invalid Market: 18901687Y2</v>
      </c>
      <c r="L343" s="36" t="str">
        <f>RTD("ice.rtd",,$C343 &amp; $D343 &amp; ":" &amp; L$1)</f>
        <v>Invalid Market: 18901687Y2</v>
      </c>
      <c r="M343" s="14" t="str">
        <f>IFERROR(MOD(TIMEVALUE(RTD("ice.rtd",,$C343 &amp; $D343 &amp; ":" &amp; M$1)), 1), "")</f>
        <v/>
      </c>
      <c r="N343" s="36" t="str">
        <f>RTD("ice.rtd",,$C343 &amp; $D343 &amp; ":" &amp; N$1)</f>
        <v>Invalid Market: 18901687Y2</v>
      </c>
      <c r="O343" s="36" t="str">
        <f>RTD("ice.rtd",,$C343 &amp; $D343 &amp; ":" &amp; O$1)</f>
        <v>Invalid Market: 18901687Y2</v>
      </c>
      <c r="P3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43" s="14" t="str">
        <f>IF(ICE[[#This Row],[LastType]] = "Scrn", ICE[[#This Row],[LstDate]], IF(ICE[[#This Row],[LastType]] = "Blk", ICE[[#This Row],[LstBlkTime]], ""))</f>
        <v/>
      </c>
      <c r="R343" s="41" t="str">
        <f>IF(ICE[[#This Row],[LastType]] = "Scrn", ICE[[#This Row],[LstPrc]], IF(ICE[[#This Row],[LastType]] = "Blk", ICE[[#This Row],[LstBlkPrc]], ""))</f>
        <v/>
      </c>
      <c r="S343" s="36" t="e">
        <f>ICE[[#This Row],[Vol]]+ICE[[#This Row],[BlkVol]]</f>
        <v>#VALUE!</v>
      </c>
      <c r="T343" s="36" t="str">
        <f>RTD("ice.rtd",,$C343 &amp; $D343 &amp; ":" &amp; T$1)</f>
        <v>Invalid Market: 18901687Y2</v>
      </c>
      <c r="U343" s="18" t="str">
        <f>RTD("ice.rtd",,$C343 &amp; $D343 &amp; ":" &amp; U$1)</f>
        <v>Invalid Market: 18901687Y2</v>
      </c>
      <c r="V3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343" s="18" t="str">
        <f>IFERROR(IF(LEFT(ICE[[#This Row],[Tenor]], 1) = "B", RTD("esrtd",,$B343 &amp; " " &amp; ICE[[#This Row],[Tenor]] &amp; "-IEU", W$1), RTD("esrtd",,$B343 &amp; " " &amp; VLOOKUP(MONTH(ICE[[#This Row],[Strip]]), MthRef[], 2, 0) &amp; RIGHT(YEAR(ICE[[#This Row],[Strip]]), 2) &amp; "-IEU", W$1)), "")</f>
        <v/>
      </c>
      <c r="X343" s="36"/>
    </row>
    <row r="344" spans="1:24" x14ac:dyDescent="0.25">
      <c r="A344" s="37" t="s">
        <v>829</v>
      </c>
      <c r="B344" s="3" t="str">
        <f>RTD("ice.rtd",,$C344 &amp; $D344 &amp; ":" &amp; B$1)</f>
        <v>AIR</v>
      </c>
      <c r="C344" s="3">
        <v>2326725628</v>
      </c>
      <c r="D344" t="s">
        <v>792</v>
      </c>
      <c r="E344" s="3" t="str">
        <f>RTD("ice.rtd",,$C344 &amp; $D344 &amp; ":" &amp; E$1)</f>
        <v>Bal Month</v>
      </c>
      <c r="F344" s="3" t="str">
        <f>ICE[[#This Row],[Prod]]&amp;ICE[[#This Row],[Strip]]</f>
        <v>ebobbrxbblBal Month</v>
      </c>
      <c r="G344" s="18" t="str">
        <f>RTD("ice.rtd",,$C344 &amp; $D344 &amp; ":" &amp; G$1)</f>
        <v/>
      </c>
      <c r="H344" s="18" t="str">
        <f>RTD("ice.rtd",,$C344 &amp; $D344 &amp; ":" &amp; H$1)</f>
        <v/>
      </c>
      <c r="I344" s="18" t="str">
        <f>RTD("ice.rtd",,$C344 &amp; $D344 &amp; ":" &amp; I$1)</f>
        <v/>
      </c>
      <c r="J344" s="14" t="str">
        <f>IFERROR(MOD(RTD("ice.rtd",,$C344 &amp; $D344 &amp; ":" &amp; J$1), 1), "")</f>
        <v/>
      </c>
      <c r="K344" s="18" t="str">
        <f>RTD("ice.rtd",,$C344 &amp; $D344 &amp; ":" &amp; K$1)</f>
        <v/>
      </c>
      <c r="L344" s="36" t="str">
        <f>RTD("ice.rtd",,$C344 &amp; $D344 &amp; ":" &amp; L$1)</f>
        <v/>
      </c>
      <c r="M344" s="14" t="str">
        <f>IFERROR(MOD(TIMEVALUE(RTD("ice.rtd",,$C344 &amp; $D344 &amp; ":" &amp; M$1)), 1), "")</f>
        <v/>
      </c>
      <c r="N344" s="36">
        <f>RTD("ice.rtd",,$C344 &amp; $D344 &amp; ":" &amp; N$1)</f>
        <v>0</v>
      </c>
      <c r="O344" s="36">
        <f>RTD("ice.rtd",,$C344 &amp; $D344 &amp; ":" &amp; O$1)</f>
        <v>0</v>
      </c>
      <c r="P3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44" s="14" t="str">
        <f>IF(ICE[[#This Row],[LastType]] = "Scrn", ICE[[#This Row],[LstDate]], IF(ICE[[#This Row],[LastType]] = "Blk", ICE[[#This Row],[LstBlkTime]], ""))</f>
        <v/>
      </c>
      <c r="R344" s="41" t="str">
        <f>IF(ICE[[#This Row],[LastType]] = "Scrn", ICE[[#This Row],[LstPrc]], IF(ICE[[#This Row],[LastType]] = "Blk", ICE[[#This Row],[LstBlkPrc]], ""))</f>
        <v/>
      </c>
      <c r="S344" s="36">
        <f>ICE[[#This Row],[Vol]]+ICE[[#This Row],[BlkVol]]</f>
        <v>0</v>
      </c>
      <c r="T344" s="36">
        <f>RTD("ice.rtd",,$C344 &amp; $D344 &amp; ":" &amp; T$1)</f>
        <v>0</v>
      </c>
      <c r="U344" s="18">
        <f>RTD("ice.rtd",,$C344 &amp; $D344 &amp; ":" &amp; U$1)</f>
        <v>44.64</v>
      </c>
      <c r="V3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44" s="18" t="str">
        <f>IFERROR(IF(LEFT(ICE[[#This Row],[Tenor]], 1) = "B", RTD("esrtd",,$B344 &amp; " " &amp; ICE[[#This Row],[Tenor]] &amp; "-IEU", W$1), RTD("esrtd",,$B344 &amp; " " &amp; VLOOKUP(MONTH(ICE[[#This Row],[Strip]]), MthRef[], 2, 0) &amp; RIGHT(YEAR(ICE[[#This Row],[Strip]]), 2) &amp; "-IEU", W$1)), "")</f>
        <v/>
      </c>
      <c r="X344" s="36"/>
    </row>
    <row r="345" spans="1:24" x14ac:dyDescent="0.25">
      <c r="A345" s="37" t="s">
        <v>829</v>
      </c>
      <c r="B345" s="3" t="str">
        <f>RTD("ice.rtd",,$C345 &amp; $D345 &amp; ":" &amp; B$1)</f>
        <v>AEB</v>
      </c>
      <c r="C345" s="3">
        <v>46678127</v>
      </c>
      <c r="D345" t="s">
        <v>793</v>
      </c>
      <c r="E345" s="3" t="str">
        <f>RTD("ice.rtd",,$C345 &amp; $D345 &amp; ":" &amp; E$1)</f>
        <v>Sep26</v>
      </c>
      <c r="F345" s="3" t="str">
        <f>ICE[[#This Row],[Prod]]&amp;ICE[[#This Row],[Strip]]</f>
        <v>ebobbrxbblSep26</v>
      </c>
      <c r="G345" s="18" t="str">
        <f>RTD("ice.rtd",,$C345 &amp; $D345 &amp; ":" &amp; G$1)</f>
        <v/>
      </c>
      <c r="H345" s="18" t="str">
        <f>RTD("ice.rtd",,$C345 &amp; $D345 &amp; ":" &amp; H$1)</f>
        <v/>
      </c>
      <c r="I345" s="18" t="str">
        <f>RTD("ice.rtd",,$C345 &amp; $D345 &amp; ":" &amp; I$1)</f>
        <v/>
      </c>
      <c r="J345" s="14" t="str">
        <f>IFERROR(MOD(RTD("ice.rtd",,$C345 &amp; $D345 &amp; ":" &amp; J$1), 1), "")</f>
        <v/>
      </c>
      <c r="K345" s="18" t="str">
        <f>RTD("ice.rtd",,$C345 &amp; $D345 &amp; ":" &amp; K$1)</f>
        <v/>
      </c>
      <c r="L345" s="36" t="str">
        <f>RTD("ice.rtd",,$C345 &amp; $D345 &amp; ":" &amp; L$1)</f>
        <v/>
      </c>
      <c r="M345" s="14" t="str">
        <f>IFERROR(MOD(TIMEVALUE(RTD("ice.rtd",,$C345 &amp; $D345 &amp; ":" &amp; M$1)), 1), "")</f>
        <v/>
      </c>
      <c r="N345" s="36">
        <f>RTD("ice.rtd",,$C345 &amp; $D345 &amp; ":" &amp; N$1)</f>
        <v>0</v>
      </c>
      <c r="O345" s="36">
        <f>RTD("ice.rtd",,$C345 &amp; $D345 &amp; ":" &amp; O$1)</f>
        <v>0</v>
      </c>
      <c r="P3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45" s="14" t="str">
        <f>IF(ICE[[#This Row],[LastType]] = "Scrn", ICE[[#This Row],[LstDate]], IF(ICE[[#This Row],[LastType]] = "Blk", ICE[[#This Row],[LstBlkTime]], ""))</f>
        <v/>
      </c>
      <c r="R345" s="41" t="str">
        <f>IF(ICE[[#This Row],[LastType]] = "Scrn", ICE[[#This Row],[LstPrc]], IF(ICE[[#This Row],[LastType]] = "Blk", ICE[[#This Row],[LstBlkPrc]], ""))</f>
        <v/>
      </c>
      <c r="S345" s="36">
        <f>ICE[[#This Row],[Vol]]+ICE[[#This Row],[BlkVol]]</f>
        <v>0</v>
      </c>
      <c r="T345" s="36">
        <f>RTD("ice.rtd",,$C345 &amp; $D345 &amp; ":" &amp; T$1)</f>
        <v>23370</v>
      </c>
      <c r="U345" s="18">
        <f>RTD("ice.rtd",,$C345 &amp; $D345 &amp; ":" &amp; U$1)</f>
        <v>44.64</v>
      </c>
      <c r="V3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45" s="18" t="str">
        <f>IFERROR(IF(LEFT(ICE[[#This Row],[Tenor]], 1) = "B", RTD("esrtd",,$B345 &amp; " " &amp; ICE[[#This Row],[Tenor]] &amp; "-IEU", W$1), RTD("esrtd",,$B345 &amp; " " &amp; VLOOKUP(MONTH(ICE[[#This Row],[Strip]]), MthRef[], 2, 0) &amp; RIGHT(YEAR(ICE[[#This Row],[Strip]]), 2) &amp; "-IEU", W$1)), "")</f>
        <v/>
      </c>
      <c r="X345" s="36"/>
    </row>
    <row r="346" spans="1:24" x14ac:dyDescent="0.25">
      <c r="A346" s="37" t="s">
        <v>829</v>
      </c>
      <c r="B346" s="3" t="str">
        <f>RTD("ice.rtd",,$C346 &amp; $D346 &amp; ":" &amp; B$1)</f>
        <v>AEB</v>
      </c>
      <c r="C346" s="3">
        <v>46678127</v>
      </c>
      <c r="D346" t="s">
        <v>324</v>
      </c>
      <c r="E346" s="3" t="str">
        <f>RTD("ice.rtd",,$C346 &amp; $D346 &amp; ":" &amp; E$1)</f>
        <v>Oct26</v>
      </c>
      <c r="F346" s="3" t="str">
        <f>ICE[[#This Row],[Prod]]&amp;ICE[[#This Row],[Strip]]</f>
        <v>ebobbrxbblOct26</v>
      </c>
      <c r="G346" s="18">
        <f>RTD("ice.rtd",,$C346 &amp; $D346 &amp; ":" &amp; G$1)</f>
        <v>30.2</v>
      </c>
      <c r="H346" s="18">
        <f>RTD("ice.rtd",,$C346 &amp; $D346 &amp; ":" &amp; H$1)</f>
        <v>31.4</v>
      </c>
      <c r="I346" s="18" t="str">
        <f>RTD("ice.rtd",,$C346 &amp; $D346 &amp; ":" &amp; I$1)</f>
        <v/>
      </c>
      <c r="J346" s="14" t="str">
        <f>IFERROR(MOD(RTD("ice.rtd",,$C346 &amp; $D346 &amp; ":" &amp; J$1), 1), "")</f>
        <v/>
      </c>
      <c r="K346" s="18">
        <f>RTD("ice.rtd",,$C346 &amp; $D346 &amp; ":" &amp; K$1)</f>
        <v>30.8</v>
      </c>
      <c r="L346" s="36">
        <f>RTD("ice.rtd",,$C346 &amp; $D346 &amp; ":" &amp; L$1)</f>
        <v>50</v>
      </c>
      <c r="M346" s="14">
        <f>IFERROR(MOD(TIMEVALUE(RTD("ice.rtd",,$C346 &amp; $D346 &amp; ":" &amp; M$1)), 1), "")</f>
        <v>0.45042824074074073</v>
      </c>
      <c r="N346" s="36">
        <f>RTD("ice.rtd",,$C346 &amp; $D346 &amp; ":" &amp; N$1)</f>
        <v>25</v>
      </c>
      <c r="O346" s="36">
        <f>RTD("ice.rtd",,$C346 &amp; $D346 &amp; ":" &amp; O$1)</f>
        <v>1117</v>
      </c>
      <c r="P3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46" s="14">
        <f>IF(ICE[[#This Row],[LastType]] = "Scrn", ICE[[#This Row],[LstDate]], IF(ICE[[#This Row],[LastType]] = "Blk", ICE[[#This Row],[LstBlkTime]], ""))</f>
        <v>0.45042824074074073</v>
      </c>
      <c r="R346" s="41">
        <f>IF(ICE[[#This Row],[LastType]] = "Scrn", ICE[[#This Row],[LstPrc]], IF(ICE[[#This Row],[LastType]] = "Blk", ICE[[#This Row],[LstBlkPrc]], ""))</f>
        <v>30.8</v>
      </c>
      <c r="S346" s="36">
        <f>ICE[[#This Row],[Vol]]+ICE[[#This Row],[BlkVol]]</f>
        <v>1142</v>
      </c>
      <c r="T346" s="36">
        <f>RTD("ice.rtd",,$C346 &amp; $D346 &amp; ":" &amp; T$1)</f>
        <v>11579</v>
      </c>
      <c r="U346" s="18">
        <f>RTD("ice.rtd",,$C346 &amp; $D346 &amp; ":" &amp; U$1)</f>
        <v>29.3</v>
      </c>
      <c r="V3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30.20 / 31.40 {30.80} |1,142x</v>
      </c>
      <c r="W346" s="18" t="str">
        <f>IFERROR(IF(LEFT(ICE[[#This Row],[Tenor]], 1) = "B", RTD("esrtd",,$B346 &amp; " " &amp; ICE[[#This Row],[Tenor]] &amp; "-IEU", W$1), RTD("esrtd",,$B346 &amp; " " &amp; VLOOKUP(MONTH(ICE[[#This Row],[Strip]]), MthRef[], 2, 0) &amp; RIGHT(YEAR(ICE[[#This Row],[Strip]]), 2) &amp; "-IEU", W$1)), "")</f>
        <v/>
      </c>
      <c r="X346" s="36"/>
    </row>
    <row r="347" spans="1:24" x14ac:dyDescent="0.25">
      <c r="A347" s="37" t="s">
        <v>829</v>
      </c>
      <c r="B347" s="3" t="str">
        <f>RTD("ice.rtd",,$C347 &amp; $D347 &amp; ":" &amp; B$1)</f>
        <v>AEB</v>
      </c>
      <c r="C347" s="3">
        <v>46678127</v>
      </c>
      <c r="D347" t="s">
        <v>325</v>
      </c>
      <c r="E347" s="3" t="str">
        <f>RTD("ice.rtd",,$C347 &amp; $D347 &amp; ":" &amp; E$1)</f>
        <v>Nov26</v>
      </c>
      <c r="F347" s="3" t="str">
        <f>ICE[[#This Row],[Prod]]&amp;ICE[[#This Row],[Strip]]</f>
        <v>ebobbrxbblNov26</v>
      </c>
      <c r="G347" s="18">
        <f>RTD("ice.rtd",,$C347 &amp; $D347 &amp; ":" &amp; G$1)</f>
        <v>23.4</v>
      </c>
      <c r="H347" s="18">
        <f>RTD("ice.rtd",,$C347 &amp; $D347 &amp; ":" &amp; H$1)</f>
        <v>24.6</v>
      </c>
      <c r="I347" s="18">
        <f>RTD("ice.rtd",,$C347 &amp; $D347 &amp; ":" &amp; I$1)</f>
        <v>23.55</v>
      </c>
      <c r="J347" s="14">
        <f>IFERROR(MOD(RTD("ice.rtd",,$C347 &amp; $D347 &amp; ":" &amp; J$1), 1), "")</f>
        <v>0.40869021990511101</v>
      </c>
      <c r="K347" s="18">
        <f>RTD("ice.rtd",,$C347 &amp; $D347 &amp; ":" &amp; K$1)</f>
        <v>24.05</v>
      </c>
      <c r="L347" s="36">
        <f>RTD("ice.rtd",,$C347 &amp; $D347 &amp; ":" &amp; L$1)</f>
        <v>50</v>
      </c>
      <c r="M347" s="14">
        <f>IFERROR(MOD(TIMEVALUE(RTD("ice.rtd",,$C347 &amp; $D347 &amp; ":" &amp; M$1)), 1), "")</f>
        <v>0.42766203703703703</v>
      </c>
      <c r="N347" s="36">
        <f>RTD("ice.rtd",,$C347 &amp; $D347 &amp; ":" &amp; N$1)</f>
        <v>25</v>
      </c>
      <c r="O347" s="36">
        <f>RTD("ice.rtd",,$C347 &amp; $D347 &amp; ":" &amp; O$1)</f>
        <v>355</v>
      </c>
      <c r="P3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47" s="14">
        <f>IF(ICE[[#This Row],[LastType]] = "Scrn", ICE[[#This Row],[LstDate]], IF(ICE[[#This Row],[LastType]] = "Blk", ICE[[#This Row],[LstBlkTime]], ""))</f>
        <v>0.42766203703703703</v>
      </c>
      <c r="R347" s="41">
        <f>IF(ICE[[#This Row],[LastType]] = "Scrn", ICE[[#This Row],[LstPrc]], IF(ICE[[#This Row],[LastType]] = "Blk", ICE[[#This Row],[LstBlkPrc]], ""))</f>
        <v>24.05</v>
      </c>
      <c r="S347" s="36">
        <f>ICE[[#This Row],[Vol]]+ICE[[#This Row],[BlkVol]]</f>
        <v>380</v>
      </c>
      <c r="T347" s="36">
        <f>RTD("ice.rtd",,$C347 &amp; $D347 &amp; ":" &amp; T$1)</f>
        <v>8824</v>
      </c>
      <c r="U347" s="18">
        <f>RTD("ice.rtd",,$C347 &amp; $D347 &amp; ":" &amp; U$1)</f>
        <v>22.699000000000002</v>
      </c>
      <c r="V3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23.40 / 24.60 {24.05} |380x</v>
      </c>
      <c r="W347" s="18" t="str">
        <f>IFERROR(IF(LEFT(ICE[[#This Row],[Tenor]], 1) = "B", RTD("esrtd",,$B347 &amp; " " &amp; ICE[[#This Row],[Tenor]] &amp; "-IEU", W$1), RTD("esrtd",,$B347 &amp; " " &amp; VLOOKUP(MONTH(ICE[[#This Row],[Strip]]), MthRef[], 2, 0) &amp; RIGHT(YEAR(ICE[[#This Row],[Strip]]), 2) &amp; "-IEU", W$1)), "")</f>
        <v/>
      </c>
      <c r="X347" s="36"/>
    </row>
    <row r="348" spans="1:24" x14ac:dyDescent="0.25">
      <c r="A348" s="37" t="s">
        <v>829</v>
      </c>
      <c r="B348" s="3" t="str">
        <f>RTD("ice.rtd",,$C348 &amp; $D348 &amp; ":" &amp; B$1)</f>
        <v>AEB</v>
      </c>
      <c r="C348" s="3">
        <v>46678127</v>
      </c>
      <c r="D348" t="s">
        <v>326</v>
      </c>
      <c r="E348" s="3" t="str">
        <f>RTD("ice.rtd",,$C348 &amp; $D348 &amp; ":" &amp; E$1)</f>
        <v>Dec26</v>
      </c>
      <c r="F348" s="3" t="str">
        <f>ICE[[#This Row],[Prod]]&amp;ICE[[#This Row],[Strip]]</f>
        <v>ebobbrxbblDec26</v>
      </c>
      <c r="G348" s="18">
        <f>RTD("ice.rtd",,$C348 &amp; $D348 &amp; ":" &amp; G$1)</f>
        <v>19.05</v>
      </c>
      <c r="H348" s="18">
        <f>RTD("ice.rtd",,$C348 &amp; $D348 &amp; ":" &amp; H$1)</f>
        <v>20.25</v>
      </c>
      <c r="I348" s="18" t="str">
        <f>RTD("ice.rtd",,$C348 &amp; $D348 &amp; ":" &amp; I$1)</f>
        <v/>
      </c>
      <c r="J348" s="14" t="str">
        <f>IFERROR(MOD(RTD("ice.rtd",,$C348 &amp; $D348 &amp; ":" &amp; J$1), 1), "")</f>
        <v/>
      </c>
      <c r="K348" s="18" t="str">
        <f>RTD("ice.rtd",,$C348 &amp; $D348 &amp; ":" &amp; K$1)</f>
        <v/>
      </c>
      <c r="L348" s="36" t="str">
        <f>RTD("ice.rtd",,$C348 &amp; $D348 &amp; ":" &amp; L$1)</f>
        <v/>
      </c>
      <c r="M348" s="14" t="str">
        <f>IFERROR(MOD(TIMEVALUE(RTD("ice.rtd",,$C348 &amp; $D348 &amp; ":" &amp; M$1)), 1), "")</f>
        <v/>
      </c>
      <c r="N348" s="36">
        <f>RTD("ice.rtd",,$C348 &amp; $D348 &amp; ":" &amp; N$1)</f>
        <v>0</v>
      </c>
      <c r="O348" s="36">
        <f>RTD("ice.rtd",,$C348 &amp; $D348 &amp; ":" &amp; O$1)</f>
        <v>60</v>
      </c>
      <c r="P3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48" s="14" t="str">
        <f>IF(ICE[[#This Row],[LastType]] = "Scrn", ICE[[#This Row],[LstDate]], IF(ICE[[#This Row],[LastType]] = "Blk", ICE[[#This Row],[LstBlkTime]], ""))</f>
        <v/>
      </c>
      <c r="R348" s="41" t="str">
        <f>IF(ICE[[#This Row],[LastType]] = "Scrn", ICE[[#This Row],[LstPrc]], IF(ICE[[#This Row],[LastType]] = "Blk", ICE[[#This Row],[LstBlkPrc]], ""))</f>
        <v/>
      </c>
      <c r="S348" s="36">
        <f>ICE[[#This Row],[Vol]]+ICE[[#This Row],[BlkVol]]</f>
        <v>60</v>
      </c>
      <c r="T348" s="36">
        <f>RTD("ice.rtd",,$C348 &amp; $D348 &amp; ":" &amp; T$1)</f>
        <v>11310</v>
      </c>
      <c r="U348" s="18">
        <f>RTD("ice.rtd",,$C348 &amp; $D348 &amp; ":" &amp; U$1)</f>
        <v>18.903000000000002</v>
      </c>
      <c r="V3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19.05 / 20.25  |60x</v>
      </c>
      <c r="W348" s="18" t="str">
        <f>IFERROR(IF(LEFT(ICE[[#This Row],[Tenor]], 1) = "B", RTD("esrtd",,$B348 &amp; " " &amp; ICE[[#This Row],[Tenor]] &amp; "-IEU", W$1), RTD("esrtd",,$B348 &amp; " " &amp; VLOOKUP(MONTH(ICE[[#This Row],[Strip]]), MthRef[], 2, 0) &amp; RIGHT(YEAR(ICE[[#This Row],[Strip]]), 2) &amp; "-IEU", W$1)), "")</f>
        <v/>
      </c>
      <c r="X348" s="36"/>
    </row>
    <row r="349" spans="1:24" x14ac:dyDescent="0.25">
      <c r="A349" s="37" t="s">
        <v>829</v>
      </c>
      <c r="B349" s="3" t="str">
        <f>RTD("ice.rtd",,$C349 &amp; $D349 &amp; ":" &amp; B$1)</f>
        <v>AEB</v>
      </c>
      <c r="C349" s="3">
        <v>46678127</v>
      </c>
      <c r="D349" t="s">
        <v>794</v>
      </c>
      <c r="E349" s="3" t="str">
        <f>RTD("ice.rtd",,$C349 &amp; $D349 &amp; ":" &amp; E$1)</f>
        <v>Jan27</v>
      </c>
      <c r="F349" s="3" t="str">
        <f>ICE[[#This Row],[Prod]]&amp;ICE[[#This Row],[Strip]]</f>
        <v>ebobbrxbblJan27</v>
      </c>
      <c r="G349" s="18">
        <f>RTD("ice.rtd",,$C349 &amp; $D349 &amp; ":" &amp; G$1)</f>
        <v>18.55</v>
      </c>
      <c r="H349" s="18">
        <f>RTD("ice.rtd",,$C349 &amp; $D349 &amp; ":" &amp; H$1)</f>
        <v>19.75</v>
      </c>
      <c r="I349" s="18" t="str">
        <f>RTD("ice.rtd",,$C349 &amp; $D349 &amp; ":" &amp; I$1)</f>
        <v/>
      </c>
      <c r="J349" s="14" t="str">
        <f>IFERROR(MOD(RTD("ice.rtd",,$C349 &amp; $D349 &amp; ":" &amp; J$1), 1), "")</f>
        <v/>
      </c>
      <c r="K349" s="18">
        <f>RTD("ice.rtd",,$C349 &amp; $D349 &amp; ":" &amp; K$1)</f>
        <v>18.899999999999999</v>
      </c>
      <c r="L349" s="36">
        <f>RTD("ice.rtd",,$C349 &amp; $D349 &amp; ":" &amp; L$1)</f>
        <v>25</v>
      </c>
      <c r="M349" s="14">
        <f>IFERROR(MOD(TIMEVALUE(RTD("ice.rtd",,$C349 &amp; $D349 &amp; ":" &amp; M$1)), 1), "")</f>
        <v>0.36413194444444447</v>
      </c>
      <c r="N349" s="36">
        <f>RTD("ice.rtd",,$C349 &amp; $D349 &amp; ":" &amp; N$1)</f>
        <v>0</v>
      </c>
      <c r="O349" s="36">
        <f>RTD("ice.rtd",,$C349 &amp; $D349 &amp; ":" &amp; O$1)</f>
        <v>85</v>
      </c>
      <c r="P3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49" s="14">
        <f>IF(ICE[[#This Row],[LastType]] = "Scrn", ICE[[#This Row],[LstDate]], IF(ICE[[#This Row],[LastType]] = "Blk", ICE[[#This Row],[LstBlkTime]], ""))</f>
        <v>0.36413194444444447</v>
      </c>
      <c r="R349" s="41">
        <f>IF(ICE[[#This Row],[LastType]] = "Scrn", ICE[[#This Row],[LstPrc]], IF(ICE[[#This Row],[LastType]] = "Blk", ICE[[#This Row],[LstBlkPrc]], ""))</f>
        <v>18.899999999999999</v>
      </c>
      <c r="S349" s="36">
        <f>ICE[[#This Row],[Vol]]+ICE[[#This Row],[BlkVol]]</f>
        <v>85</v>
      </c>
      <c r="T349" s="36">
        <f>RTD("ice.rtd",,$C349 &amp; $D349 &amp; ":" &amp; T$1)</f>
        <v>4842</v>
      </c>
      <c r="U349" s="18">
        <f>RTD("ice.rtd",,$C349 &amp; $D349 &amp; ":" &amp; U$1)</f>
        <v>18.556000000000001</v>
      </c>
      <c r="V3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18.55 / 19.75 {18.90} |85x</v>
      </c>
      <c r="W349" s="18" t="str">
        <f>IFERROR(IF(LEFT(ICE[[#This Row],[Tenor]], 1) = "B", RTD("esrtd",,$B349 &amp; " " &amp; ICE[[#This Row],[Tenor]] &amp; "-IEU", W$1), RTD("esrtd",,$B349 &amp; " " &amp; VLOOKUP(MONTH(ICE[[#This Row],[Strip]]), MthRef[], 2, 0) &amp; RIGHT(YEAR(ICE[[#This Row],[Strip]]), 2) &amp; "-IEU", W$1)), "")</f>
        <v/>
      </c>
      <c r="X349" s="36"/>
    </row>
    <row r="350" spans="1:24" x14ac:dyDescent="0.25">
      <c r="A350" s="37" t="s">
        <v>829</v>
      </c>
      <c r="B350" s="3" t="str">
        <f>RTD("ice.rtd",,$C350 &amp; $D350 &amp; ":" &amp; B$1)</f>
        <v>AEB</v>
      </c>
      <c r="C350" s="3">
        <v>46678127</v>
      </c>
      <c r="D350" t="s">
        <v>795</v>
      </c>
      <c r="E350" s="3" t="str">
        <f>RTD("ice.rtd",,$C350 &amp; $D350 &amp; ":" &amp; E$1)</f>
        <v>Feb27</v>
      </c>
      <c r="F350" s="3" t="str">
        <f>ICE[[#This Row],[Prod]]&amp;ICE[[#This Row],[Strip]]</f>
        <v>ebobbrxbblFeb27</v>
      </c>
      <c r="G350" s="18">
        <f>RTD("ice.rtd",,$C350 &amp; $D350 &amp; ":" &amp; G$1)</f>
        <v>19.25</v>
      </c>
      <c r="H350" s="18">
        <f>RTD("ice.rtd",,$C350 &amp; $D350 &amp; ":" &amp; H$1)</f>
        <v>20.45</v>
      </c>
      <c r="I350" s="18" t="str">
        <f>RTD("ice.rtd",,$C350 &amp; $D350 &amp; ":" &amp; I$1)</f>
        <v/>
      </c>
      <c r="J350" s="14" t="str">
        <f>IFERROR(MOD(RTD("ice.rtd",,$C350 &amp; $D350 &amp; ":" &amp; J$1), 1), "")</f>
        <v/>
      </c>
      <c r="K350" s="18" t="str">
        <f>RTD("ice.rtd",,$C350 &amp; $D350 &amp; ":" &amp; K$1)</f>
        <v/>
      </c>
      <c r="L350" s="36" t="str">
        <f>RTD("ice.rtd",,$C350 &amp; $D350 &amp; ":" &amp; L$1)</f>
        <v/>
      </c>
      <c r="M350" s="14" t="str">
        <f>IFERROR(MOD(TIMEVALUE(RTD("ice.rtd",,$C350 &amp; $D350 &amp; ":" &amp; M$1)), 1), "")</f>
        <v/>
      </c>
      <c r="N350" s="36">
        <f>RTD("ice.rtd",,$C350 &amp; $D350 &amp; ":" &amp; N$1)</f>
        <v>0</v>
      </c>
      <c r="O350" s="36">
        <f>RTD("ice.rtd",,$C350 &amp; $D350 &amp; ":" &amp; O$1)</f>
        <v>60</v>
      </c>
      <c r="P3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0" s="14" t="str">
        <f>IF(ICE[[#This Row],[LastType]] = "Scrn", ICE[[#This Row],[LstDate]], IF(ICE[[#This Row],[LastType]] = "Blk", ICE[[#This Row],[LstBlkTime]], ""))</f>
        <v/>
      </c>
      <c r="R350" s="41" t="str">
        <f>IF(ICE[[#This Row],[LastType]] = "Scrn", ICE[[#This Row],[LstPrc]], IF(ICE[[#This Row],[LastType]] = "Blk", ICE[[#This Row],[LstBlkPrc]], ""))</f>
        <v/>
      </c>
      <c r="S350" s="36">
        <f>ICE[[#This Row],[Vol]]+ICE[[#This Row],[BlkVol]]</f>
        <v>60</v>
      </c>
      <c r="T350" s="36">
        <f>RTD("ice.rtd",,$C350 &amp; $D350 &amp; ":" &amp; T$1)</f>
        <v>5055</v>
      </c>
      <c r="U350" s="18">
        <f>RTD("ice.rtd",,$C350 &amp; $D350 &amp; ":" &amp; U$1)</f>
        <v>19.260999999999999</v>
      </c>
      <c r="V3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19.25 / 20.45  |60x</v>
      </c>
      <c r="W350" s="18" t="str">
        <f>IFERROR(IF(LEFT(ICE[[#This Row],[Tenor]], 1) = "B", RTD("esrtd",,$B350 &amp; " " &amp; ICE[[#This Row],[Tenor]] &amp; "-IEU", W$1), RTD("esrtd",,$B350 &amp; " " &amp; VLOOKUP(MONTH(ICE[[#This Row],[Strip]]), MthRef[], 2, 0) &amp; RIGHT(YEAR(ICE[[#This Row],[Strip]]), 2) &amp; "-IEU", W$1)), "")</f>
        <v/>
      </c>
      <c r="X350" s="36"/>
    </row>
    <row r="351" spans="1:24" x14ac:dyDescent="0.25">
      <c r="A351" s="37" t="s">
        <v>829</v>
      </c>
      <c r="B351" s="3" t="str">
        <f>RTD("ice.rtd",,$C351 &amp; $D351 &amp; ":" &amp; B$1)</f>
        <v>AEB</v>
      </c>
      <c r="C351" s="3">
        <v>46678127</v>
      </c>
      <c r="D351" t="s">
        <v>113</v>
      </c>
      <c r="E351" s="3" t="str">
        <f>RTD("ice.rtd",,$C351 &amp; $D351 &amp; ":" &amp; E$1)</f>
        <v>Mar27</v>
      </c>
      <c r="F351" s="3" t="str">
        <f>ICE[[#This Row],[Prod]]&amp;ICE[[#This Row],[Strip]]</f>
        <v>ebobbrxbblMar27</v>
      </c>
      <c r="G351" s="18">
        <f>RTD("ice.rtd",,$C351 &amp; $D351 &amp; ":" &amp; G$1)</f>
        <v>20.100000000000001</v>
      </c>
      <c r="H351" s="18">
        <f>RTD("ice.rtd",,$C351 &amp; $D351 &amp; ":" &amp; H$1)</f>
        <v>21.3</v>
      </c>
      <c r="I351" s="18" t="str">
        <f>RTD("ice.rtd",,$C351 &amp; $D351 &amp; ":" &amp; I$1)</f>
        <v/>
      </c>
      <c r="J351" s="14" t="str">
        <f>IFERROR(MOD(RTD("ice.rtd",,$C351 &amp; $D351 &amp; ":" &amp; J$1), 1), "")</f>
        <v/>
      </c>
      <c r="K351" s="18" t="str">
        <f>RTD("ice.rtd",,$C351 &amp; $D351 &amp; ":" &amp; K$1)</f>
        <v/>
      </c>
      <c r="L351" s="36" t="str">
        <f>RTD("ice.rtd",,$C351 &amp; $D351 &amp; ":" &amp; L$1)</f>
        <v/>
      </c>
      <c r="M351" s="14" t="str">
        <f>IFERROR(MOD(TIMEVALUE(RTD("ice.rtd",,$C351 &amp; $D351 &amp; ":" &amp; M$1)), 1), "")</f>
        <v/>
      </c>
      <c r="N351" s="36">
        <f>RTD("ice.rtd",,$C351 &amp; $D351 &amp; ":" &amp; N$1)</f>
        <v>0</v>
      </c>
      <c r="O351" s="36">
        <f>RTD("ice.rtd",,$C351 &amp; $D351 &amp; ":" &amp; O$1)</f>
        <v>60</v>
      </c>
      <c r="P3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1" s="14" t="str">
        <f>IF(ICE[[#This Row],[LastType]] = "Scrn", ICE[[#This Row],[LstDate]], IF(ICE[[#This Row],[LastType]] = "Blk", ICE[[#This Row],[LstBlkTime]], ""))</f>
        <v/>
      </c>
      <c r="R351" s="41" t="str">
        <f>IF(ICE[[#This Row],[LastType]] = "Scrn", ICE[[#This Row],[LstPrc]], IF(ICE[[#This Row],[LastType]] = "Blk", ICE[[#This Row],[LstBlkPrc]], ""))</f>
        <v/>
      </c>
      <c r="S351" s="36">
        <f>ICE[[#This Row],[Vol]]+ICE[[#This Row],[BlkVol]]</f>
        <v>60</v>
      </c>
      <c r="T351" s="36">
        <f>RTD("ice.rtd",,$C351 &amp; $D351 &amp; ":" &amp; T$1)</f>
        <v>5277</v>
      </c>
      <c r="U351" s="18">
        <f>RTD("ice.rtd",,$C351 &amp; $D351 &amp; ":" &amp; U$1)</f>
        <v>20.215</v>
      </c>
      <c r="V3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20.10 / 21.30  |60x</v>
      </c>
      <c r="W351" s="18" t="str">
        <f>IFERROR(IF(LEFT(ICE[[#This Row],[Tenor]], 1) = "B", RTD("esrtd",,$B351 &amp; " " &amp; ICE[[#This Row],[Tenor]] &amp; "-IEU", W$1), RTD("esrtd",,$B351 &amp; " " &amp; VLOOKUP(MONTH(ICE[[#This Row],[Strip]]), MthRef[], 2, 0) &amp; RIGHT(YEAR(ICE[[#This Row],[Strip]]), 2) &amp; "-IEU", W$1)), "")</f>
        <v/>
      </c>
      <c r="X351" s="36"/>
    </row>
    <row r="352" spans="1:24" x14ac:dyDescent="0.25">
      <c r="A352" s="37" t="s">
        <v>829</v>
      </c>
      <c r="B352" s="3" t="str">
        <f>RTD("ice.rtd",,$C352 &amp; $D352 &amp; ":" &amp; B$1)</f>
        <v>AEB</v>
      </c>
      <c r="C352" s="3">
        <v>46678127</v>
      </c>
      <c r="D352" t="s">
        <v>796</v>
      </c>
      <c r="E352" s="3" t="str">
        <f>RTD("ice.rtd",,$C352 &amp; $D352 &amp; ":" &amp; E$1)</f>
        <v>Apr27</v>
      </c>
      <c r="F352" s="3" t="str">
        <f>ICE[[#This Row],[Prod]]&amp;ICE[[#This Row],[Strip]]</f>
        <v>ebobbrxbblApr27</v>
      </c>
      <c r="G352" s="18">
        <f>RTD("ice.rtd",,$C352 &amp; $D352 &amp; ":" &amp; G$1)</f>
        <v>24.4</v>
      </c>
      <c r="H352" s="18">
        <f>RTD("ice.rtd",,$C352 &amp; $D352 &amp; ":" &amp; H$1)</f>
        <v>25.6</v>
      </c>
      <c r="I352" s="18" t="str">
        <f>RTD("ice.rtd",,$C352 &amp; $D352 &amp; ":" &amp; I$1)</f>
        <v/>
      </c>
      <c r="J352" s="14" t="str">
        <f>IFERROR(MOD(RTD("ice.rtd",,$C352 &amp; $D352 &amp; ":" &amp; J$1), 1), "")</f>
        <v/>
      </c>
      <c r="K352" s="18">
        <f>RTD("ice.rtd",,$C352 &amp; $D352 &amp; ":" &amp; K$1)</f>
        <v>24.7</v>
      </c>
      <c r="L352" s="36">
        <f>RTD("ice.rtd",,$C352 &amp; $D352 &amp; ":" &amp; L$1)</f>
        <v>25</v>
      </c>
      <c r="M352" s="14">
        <f>IFERROR(MOD(TIMEVALUE(RTD("ice.rtd",,$C352 &amp; $D352 &amp; ":" &amp; M$1)), 1), "")</f>
        <v>0.36413194444444447</v>
      </c>
      <c r="N352" s="36">
        <f>RTD("ice.rtd",,$C352 &amp; $D352 &amp; ":" &amp; N$1)</f>
        <v>0</v>
      </c>
      <c r="O352" s="36">
        <f>RTD("ice.rtd",,$C352 &amp; $D352 &amp; ":" &amp; O$1)</f>
        <v>100</v>
      </c>
      <c r="P3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52" s="14">
        <f>IF(ICE[[#This Row],[LastType]] = "Scrn", ICE[[#This Row],[LstDate]], IF(ICE[[#This Row],[LastType]] = "Blk", ICE[[#This Row],[LstBlkTime]], ""))</f>
        <v>0.36413194444444447</v>
      </c>
      <c r="R352" s="41">
        <f>IF(ICE[[#This Row],[LastType]] = "Scrn", ICE[[#This Row],[LstPrc]], IF(ICE[[#This Row],[LastType]] = "Blk", ICE[[#This Row],[LstBlkPrc]], ""))</f>
        <v>24.7</v>
      </c>
      <c r="S352" s="36">
        <f>ICE[[#This Row],[Vol]]+ICE[[#This Row],[BlkVol]]</f>
        <v>100</v>
      </c>
      <c r="T352" s="36">
        <f>RTD("ice.rtd",,$C352 &amp; $D352 &amp; ":" &amp; T$1)</f>
        <v>3043</v>
      </c>
      <c r="U352" s="18">
        <f>RTD("ice.rtd",,$C352 &amp; $D352 &amp; ":" &amp; U$1)</f>
        <v>24.59</v>
      </c>
      <c r="V3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24.40 / 25.60 {24.70} |100x</v>
      </c>
      <c r="W352" s="18" t="str">
        <f>IFERROR(IF(LEFT(ICE[[#This Row],[Tenor]], 1) = "B", RTD("esrtd",,$B352 &amp; " " &amp; ICE[[#This Row],[Tenor]] &amp; "-IEU", W$1), RTD("esrtd",,$B352 &amp; " " &amp; VLOOKUP(MONTH(ICE[[#This Row],[Strip]]), MthRef[], 2, 0) &amp; RIGHT(YEAR(ICE[[#This Row],[Strip]]), 2) &amp; "-IEU", W$1)), "")</f>
        <v/>
      </c>
      <c r="X352" s="36"/>
    </row>
    <row r="353" spans="1:24" x14ac:dyDescent="0.25">
      <c r="A353" s="37" t="s">
        <v>829</v>
      </c>
      <c r="B353" s="3" t="str">
        <f>RTD("ice.rtd",,$C353 &amp; $D353 &amp; ":" &amp; B$1)</f>
        <v>AEB</v>
      </c>
      <c r="C353" s="3">
        <v>46678127</v>
      </c>
      <c r="D353" t="s">
        <v>797</v>
      </c>
      <c r="E353" s="3" t="str">
        <f>RTD("ice.rtd",,$C353 &amp; $D353 &amp; ":" &amp; E$1)</f>
        <v>May27</v>
      </c>
      <c r="F353" s="3" t="str">
        <f>ICE[[#This Row],[Prod]]&amp;ICE[[#This Row],[Strip]]</f>
        <v>ebobbrxbblMay27</v>
      </c>
      <c r="G353" s="18">
        <f>RTD("ice.rtd",,$C353 &amp; $D353 &amp; ":" &amp; G$1)</f>
        <v>24.15</v>
      </c>
      <c r="H353" s="18">
        <f>RTD("ice.rtd",,$C353 &amp; $D353 &amp; ":" &amp; H$1)</f>
        <v>25.35</v>
      </c>
      <c r="I353" s="18" t="str">
        <f>RTD("ice.rtd",,$C353 &amp; $D353 &amp; ":" &amp; I$1)</f>
        <v/>
      </c>
      <c r="J353" s="14" t="str">
        <f>IFERROR(MOD(RTD("ice.rtd",,$C353 &amp; $D353 &amp; ":" &amp; J$1), 1), "")</f>
        <v/>
      </c>
      <c r="K353" s="18" t="str">
        <f>RTD("ice.rtd",,$C353 &amp; $D353 &amp; ":" &amp; K$1)</f>
        <v/>
      </c>
      <c r="L353" s="36" t="str">
        <f>RTD("ice.rtd",,$C353 &amp; $D353 &amp; ":" &amp; L$1)</f>
        <v/>
      </c>
      <c r="M353" s="14" t="str">
        <f>IFERROR(MOD(TIMEVALUE(RTD("ice.rtd",,$C353 &amp; $D353 &amp; ":" &amp; M$1)), 1), "")</f>
        <v/>
      </c>
      <c r="N353" s="36">
        <f>RTD("ice.rtd",,$C353 &amp; $D353 &amp; ":" &amp; N$1)</f>
        <v>0</v>
      </c>
      <c r="O353" s="36">
        <f>RTD("ice.rtd",,$C353 &amp; $D353 &amp; ":" &amp; O$1)</f>
        <v>75</v>
      </c>
      <c r="P3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3" s="14" t="str">
        <f>IF(ICE[[#This Row],[LastType]] = "Scrn", ICE[[#This Row],[LstDate]], IF(ICE[[#This Row],[LastType]] = "Blk", ICE[[#This Row],[LstBlkTime]], ""))</f>
        <v/>
      </c>
      <c r="R353" s="41" t="str">
        <f>IF(ICE[[#This Row],[LastType]] = "Scrn", ICE[[#This Row],[LstPrc]], IF(ICE[[#This Row],[LastType]] = "Blk", ICE[[#This Row],[LstBlkPrc]], ""))</f>
        <v/>
      </c>
      <c r="S353" s="36">
        <f>ICE[[#This Row],[Vol]]+ICE[[#This Row],[BlkVol]]</f>
        <v>75</v>
      </c>
      <c r="T353" s="36">
        <f>RTD("ice.rtd",,$C353 &amp; $D353 &amp; ":" &amp; T$1)</f>
        <v>3452</v>
      </c>
      <c r="U353" s="18">
        <f>RTD("ice.rtd",,$C353 &amp; $D353 &amp; ":" &amp; U$1)</f>
        <v>24.309000000000001</v>
      </c>
      <c r="V3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24.15 / 25.35  |75x</v>
      </c>
      <c r="W353" s="18" t="str">
        <f>IFERROR(IF(LEFT(ICE[[#This Row],[Tenor]], 1) = "B", RTD("esrtd",,$B353 &amp; " " &amp; ICE[[#This Row],[Tenor]] &amp; "-IEU", W$1), RTD("esrtd",,$B353 &amp; " " &amp; VLOOKUP(MONTH(ICE[[#This Row],[Strip]]), MthRef[], 2, 0) &amp; RIGHT(YEAR(ICE[[#This Row],[Strip]]), 2) &amp; "-IEU", W$1)), "")</f>
        <v/>
      </c>
      <c r="X353" s="36"/>
    </row>
    <row r="354" spans="1:24" x14ac:dyDescent="0.25">
      <c r="A354" s="37" t="s">
        <v>829</v>
      </c>
      <c r="B354" s="3" t="str">
        <f>RTD("ice.rtd",,$C354 &amp; $D354 &amp; ":" &amp; B$1)</f>
        <v>AEB</v>
      </c>
      <c r="C354" s="3">
        <v>46678127</v>
      </c>
      <c r="D354" t="s">
        <v>798</v>
      </c>
      <c r="E354" s="3" t="str">
        <f>RTD("ice.rtd",,$C354 &amp; $D354 &amp; ":" &amp; E$1)</f>
        <v>Jun27</v>
      </c>
      <c r="F354" s="3" t="str">
        <f>ICE[[#This Row],[Prod]]&amp;ICE[[#This Row],[Strip]]</f>
        <v>ebobbrxbblJun27</v>
      </c>
      <c r="G354" s="18">
        <f>RTD("ice.rtd",,$C354 &amp; $D354 &amp; ":" &amp; G$1)</f>
        <v>23.3</v>
      </c>
      <c r="H354" s="18">
        <f>RTD("ice.rtd",,$C354 &amp; $D354 &amp; ":" &amp; H$1)</f>
        <v>24.5</v>
      </c>
      <c r="I354" s="18" t="str">
        <f>RTD("ice.rtd",,$C354 &amp; $D354 &amp; ":" &amp; I$1)</f>
        <v/>
      </c>
      <c r="J354" s="14" t="str">
        <f>IFERROR(MOD(RTD("ice.rtd",,$C354 &amp; $D354 &amp; ":" &amp; J$1), 1), "")</f>
        <v/>
      </c>
      <c r="K354" s="18" t="str">
        <f>RTD("ice.rtd",,$C354 &amp; $D354 &amp; ":" &amp; K$1)</f>
        <v/>
      </c>
      <c r="L354" s="36" t="str">
        <f>RTD("ice.rtd",,$C354 &amp; $D354 &amp; ":" &amp; L$1)</f>
        <v/>
      </c>
      <c r="M354" s="14" t="str">
        <f>IFERROR(MOD(TIMEVALUE(RTD("ice.rtd",,$C354 &amp; $D354 &amp; ":" &amp; M$1)), 1), "")</f>
        <v/>
      </c>
      <c r="N354" s="36">
        <f>RTD("ice.rtd",,$C354 &amp; $D354 &amp; ":" &amp; N$1)</f>
        <v>0</v>
      </c>
      <c r="O354" s="36">
        <f>RTD("ice.rtd",,$C354 &amp; $D354 &amp; ":" &amp; O$1)</f>
        <v>75</v>
      </c>
      <c r="P3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4" s="14" t="str">
        <f>IF(ICE[[#This Row],[LastType]] = "Scrn", ICE[[#This Row],[LstDate]], IF(ICE[[#This Row],[LastType]] = "Blk", ICE[[#This Row],[LstBlkTime]], ""))</f>
        <v/>
      </c>
      <c r="R354" s="41" t="str">
        <f>IF(ICE[[#This Row],[LastType]] = "Scrn", ICE[[#This Row],[LstPrc]], IF(ICE[[#This Row],[LastType]] = "Blk", ICE[[#This Row],[LstBlkPrc]], ""))</f>
        <v/>
      </c>
      <c r="S354" s="36">
        <f>ICE[[#This Row],[Vol]]+ICE[[#This Row],[BlkVol]]</f>
        <v>75</v>
      </c>
      <c r="T354" s="36">
        <f>RTD("ice.rtd",,$C354 &amp; $D354 &amp; ":" &amp; T$1)</f>
        <v>4082</v>
      </c>
      <c r="U354" s="18">
        <f>RTD("ice.rtd",,$C354 &amp; $D354 &amp; ":" &amp; U$1)</f>
        <v>23.388999999999999</v>
      </c>
      <c r="V3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23.30 / 24.50  |75x</v>
      </c>
      <c r="W354" s="18" t="str">
        <f>IFERROR(IF(LEFT(ICE[[#This Row],[Tenor]], 1) = "B", RTD("esrtd",,$B354 &amp; " " &amp; ICE[[#This Row],[Tenor]] &amp; "-IEU", W$1), RTD("esrtd",,$B354 &amp; " " &amp; VLOOKUP(MONTH(ICE[[#This Row],[Strip]]), MthRef[], 2, 0) &amp; RIGHT(YEAR(ICE[[#This Row],[Strip]]), 2) &amp; "-IEU", W$1)), "")</f>
        <v/>
      </c>
      <c r="X354" s="36"/>
    </row>
    <row r="355" spans="1:24" x14ac:dyDescent="0.25">
      <c r="A355" s="37" t="s">
        <v>829</v>
      </c>
      <c r="B355" s="3" t="str">
        <f>RTD("ice.rtd",,$C355 &amp; $D355 &amp; ":" &amp; B$1)</f>
        <v>AEB</v>
      </c>
      <c r="C355" s="3">
        <v>46678127</v>
      </c>
      <c r="D355" t="s">
        <v>799</v>
      </c>
      <c r="E355" s="3" t="str">
        <f>RTD("ice.rtd",,$C355 &amp; $D355 &amp; ":" &amp; E$1)</f>
        <v>Jul27</v>
      </c>
      <c r="F355" s="3" t="str">
        <f>ICE[[#This Row],[Prod]]&amp;ICE[[#This Row],[Strip]]</f>
        <v>ebobbrxbblJul27</v>
      </c>
      <c r="G355" s="18">
        <f>RTD("ice.rtd",,$C355 &amp; $D355 &amp; ":" &amp; G$1)</f>
        <v>22.05</v>
      </c>
      <c r="H355" s="18">
        <f>RTD("ice.rtd",,$C355 &amp; $D355 &amp; ":" &amp; H$1)</f>
        <v>23.25</v>
      </c>
      <c r="I355" s="18" t="str">
        <f>RTD("ice.rtd",,$C355 &amp; $D355 &amp; ":" &amp; I$1)</f>
        <v/>
      </c>
      <c r="J355" s="14" t="str">
        <f>IFERROR(MOD(RTD("ice.rtd",,$C355 &amp; $D355 &amp; ":" &amp; J$1), 1), "")</f>
        <v/>
      </c>
      <c r="K355" s="18" t="str">
        <f>RTD("ice.rtd",,$C355 &amp; $D355 &amp; ":" &amp; K$1)</f>
        <v/>
      </c>
      <c r="L355" s="36" t="str">
        <f>RTD("ice.rtd",,$C355 &amp; $D355 &amp; ":" &amp; L$1)</f>
        <v/>
      </c>
      <c r="M355" s="14" t="str">
        <f>IFERROR(MOD(TIMEVALUE(RTD("ice.rtd",,$C355 &amp; $D355 &amp; ":" &amp; M$1)), 1), "")</f>
        <v/>
      </c>
      <c r="N355" s="36">
        <f>RTD("ice.rtd",,$C355 &amp; $D355 &amp; ":" &amp; N$1)</f>
        <v>0</v>
      </c>
      <c r="O355" s="36">
        <f>RTD("ice.rtd",,$C355 &amp; $D355 &amp; ":" &amp; O$1)</f>
        <v>50</v>
      </c>
      <c r="P3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5" s="14" t="str">
        <f>IF(ICE[[#This Row],[LastType]] = "Scrn", ICE[[#This Row],[LstDate]], IF(ICE[[#This Row],[LastType]] = "Blk", ICE[[#This Row],[LstBlkTime]], ""))</f>
        <v/>
      </c>
      <c r="R355" s="41" t="str">
        <f>IF(ICE[[#This Row],[LastType]] = "Scrn", ICE[[#This Row],[LstPrc]], IF(ICE[[#This Row],[LastType]] = "Blk", ICE[[#This Row],[LstBlkPrc]], ""))</f>
        <v/>
      </c>
      <c r="S355" s="36">
        <f>ICE[[#This Row],[Vol]]+ICE[[#This Row],[BlkVol]]</f>
        <v>50</v>
      </c>
      <c r="T355" s="36">
        <f>RTD("ice.rtd",,$C355 &amp; $D355 &amp; ":" &amp; T$1)</f>
        <v>2790</v>
      </c>
      <c r="U355" s="18">
        <f>RTD("ice.rtd",,$C355 &amp; $D355 &amp; ":" &amp; U$1)</f>
        <v>22.205000000000002</v>
      </c>
      <c r="V3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22.05 / 23.25  |50x</v>
      </c>
      <c r="W355" s="18" t="str">
        <f>IFERROR(IF(LEFT(ICE[[#This Row],[Tenor]], 1) = "B", RTD("esrtd",,$B355 &amp; " " &amp; ICE[[#This Row],[Tenor]] &amp; "-IEU", W$1), RTD("esrtd",,$B355 &amp; " " &amp; VLOOKUP(MONTH(ICE[[#This Row],[Strip]]), MthRef[], 2, 0) &amp; RIGHT(YEAR(ICE[[#This Row],[Strip]]), 2) &amp; "-IEU", W$1)), "")</f>
        <v/>
      </c>
      <c r="X355" s="36"/>
    </row>
    <row r="356" spans="1:24" x14ac:dyDescent="0.25">
      <c r="A356" s="37" t="s">
        <v>829</v>
      </c>
      <c r="B356" s="3" t="str">
        <f>RTD("ice.rtd",,$C356 &amp; $D356 &amp; ":" &amp; B$1)</f>
        <v>AEB</v>
      </c>
      <c r="C356" s="3">
        <v>46678127</v>
      </c>
      <c r="D356" t="s">
        <v>800</v>
      </c>
      <c r="E356" s="3" t="str">
        <f>RTD("ice.rtd",,$C356 &amp; $D356 &amp; ":" &amp; E$1)</f>
        <v>Aug27</v>
      </c>
      <c r="F356" s="3" t="str">
        <f>ICE[[#This Row],[Prod]]&amp;ICE[[#This Row],[Strip]]</f>
        <v>ebobbrxbblAug27</v>
      </c>
      <c r="G356" s="18">
        <f>RTD("ice.rtd",,$C356 &amp; $D356 &amp; ":" &amp; G$1)</f>
        <v>20.55</v>
      </c>
      <c r="H356" s="18">
        <f>RTD("ice.rtd",,$C356 &amp; $D356 &amp; ":" &amp; H$1)</f>
        <v>21.75</v>
      </c>
      <c r="I356" s="18" t="str">
        <f>RTD("ice.rtd",,$C356 &amp; $D356 &amp; ":" &amp; I$1)</f>
        <v/>
      </c>
      <c r="J356" s="14" t="str">
        <f>IFERROR(MOD(RTD("ice.rtd",,$C356 &amp; $D356 &amp; ":" &amp; J$1), 1), "")</f>
        <v/>
      </c>
      <c r="K356" s="18" t="str">
        <f>RTD("ice.rtd",,$C356 &amp; $D356 &amp; ":" &amp; K$1)</f>
        <v/>
      </c>
      <c r="L356" s="36" t="str">
        <f>RTD("ice.rtd",,$C356 &amp; $D356 &amp; ":" &amp; L$1)</f>
        <v/>
      </c>
      <c r="M356" s="14" t="str">
        <f>IFERROR(MOD(TIMEVALUE(RTD("ice.rtd",,$C356 &amp; $D356 &amp; ":" &amp; M$1)), 1), "")</f>
        <v/>
      </c>
      <c r="N356" s="36">
        <f>RTD("ice.rtd",,$C356 &amp; $D356 &amp; ":" &amp; N$1)</f>
        <v>0</v>
      </c>
      <c r="O356" s="36">
        <f>RTD("ice.rtd",,$C356 &amp; $D356 &amp; ":" &amp; O$1)</f>
        <v>50</v>
      </c>
      <c r="P3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6" s="14" t="str">
        <f>IF(ICE[[#This Row],[LastType]] = "Scrn", ICE[[#This Row],[LstDate]], IF(ICE[[#This Row],[LastType]] = "Blk", ICE[[#This Row],[LstBlkTime]], ""))</f>
        <v/>
      </c>
      <c r="R356" s="41" t="str">
        <f>IF(ICE[[#This Row],[LastType]] = "Scrn", ICE[[#This Row],[LstPrc]], IF(ICE[[#This Row],[LastType]] = "Blk", ICE[[#This Row],[LstBlkPrc]], ""))</f>
        <v/>
      </c>
      <c r="S356" s="36">
        <f>ICE[[#This Row],[Vol]]+ICE[[#This Row],[BlkVol]]</f>
        <v>50</v>
      </c>
      <c r="T356" s="36">
        <f>RTD("ice.rtd",,$C356 &amp; $D356 &amp; ":" &amp; T$1)</f>
        <v>2635</v>
      </c>
      <c r="U356" s="18">
        <f>RTD("ice.rtd",,$C356 &amp; $D356 &amp; ":" &amp; U$1)</f>
        <v>20.881</v>
      </c>
      <c r="V3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20.55 / 21.75  |50x</v>
      </c>
      <c r="W356" s="18" t="str">
        <f>IFERROR(IF(LEFT(ICE[[#This Row],[Tenor]], 1) = "B", RTD("esrtd",,$B356 &amp; " " &amp; ICE[[#This Row],[Tenor]] &amp; "-IEU", W$1), RTD("esrtd",,$B356 &amp; " " &amp; VLOOKUP(MONTH(ICE[[#This Row],[Strip]]), MthRef[], 2, 0) &amp; RIGHT(YEAR(ICE[[#This Row],[Strip]]), 2) &amp; "-IEU", W$1)), "")</f>
        <v/>
      </c>
      <c r="X356" s="36"/>
    </row>
    <row r="357" spans="1:24" x14ac:dyDescent="0.25">
      <c r="A357" s="37" t="s">
        <v>829</v>
      </c>
      <c r="B357" s="3" t="str">
        <f>RTD("ice.rtd",,$C357 &amp; $D357 &amp; ":" &amp; B$1)</f>
        <v>AEB</v>
      </c>
      <c r="C357" s="3">
        <v>46678127</v>
      </c>
      <c r="D357" t="s">
        <v>801</v>
      </c>
      <c r="E357" s="3" t="str">
        <f>RTD("ice.rtd",,$C357 &amp; $D357 &amp; ":" &amp; E$1)</f>
        <v>Sep27</v>
      </c>
      <c r="F357" s="3" t="str">
        <f>ICE[[#This Row],[Prod]]&amp;ICE[[#This Row],[Strip]]</f>
        <v>ebobbrxbblSep27</v>
      </c>
      <c r="G357" s="18">
        <f>RTD("ice.rtd",,$C357 &amp; $D357 &amp; ":" &amp; G$1)</f>
        <v>18.55</v>
      </c>
      <c r="H357" s="18">
        <f>RTD("ice.rtd",,$C357 &amp; $D357 &amp; ":" &amp; H$1)</f>
        <v>19.75</v>
      </c>
      <c r="I357" s="18" t="str">
        <f>RTD("ice.rtd",,$C357 &amp; $D357 &amp; ":" &amp; I$1)</f>
        <v/>
      </c>
      <c r="J357" s="14" t="str">
        <f>IFERROR(MOD(RTD("ice.rtd",,$C357 &amp; $D357 &amp; ":" &amp; J$1), 1), "")</f>
        <v/>
      </c>
      <c r="K357" s="18" t="str">
        <f>RTD("ice.rtd",,$C357 &amp; $D357 &amp; ":" &amp; K$1)</f>
        <v/>
      </c>
      <c r="L357" s="36" t="str">
        <f>RTD("ice.rtd",,$C357 &amp; $D357 &amp; ":" &amp; L$1)</f>
        <v/>
      </c>
      <c r="M357" s="14" t="str">
        <f>IFERROR(MOD(TIMEVALUE(RTD("ice.rtd",,$C357 &amp; $D357 &amp; ":" &amp; M$1)), 1), "")</f>
        <v/>
      </c>
      <c r="N357" s="36">
        <f>RTD("ice.rtd",,$C357 &amp; $D357 &amp; ":" &amp; N$1)</f>
        <v>0</v>
      </c>
      <c r="O357" s="36">
        <f>RTD("ice.rtd",,$C357 &amp; $D357 &amp; ":" &amp; O$1)</f>
        <v>50</v>
      </c>
      <c r="P3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7" s="14" t="str">
        <f>IF(ICE[[#This Row],[LastType]] = "Scrn", ICE[[#This Row],[LstDate]], IF(ICE[[#This Row],[LastType]] = "Blk", ICE[[#This Row],[LstBlkTime]], ""))</f>
        <v/>
      </c>
      <c r="R357" s="41" t="str">
        <f>IF(ICE[[#This Row],[LastType]] = "Scrn", ICE[[#This Row],[LstPrc]], IF(ICE[[#This Row],[LastType]] = "Blk", ICE[[#This Row],[LstBlkPrc]], ""))</f>
        <v/>
      </c>
      <c r="S357" s="36">
        <f>ICE[[#This Row],[Vol]]+ICE[[#This Row],[BlkVol]]</f>
        <v>50</v>
      </c>
      <c r="T357" s="36">
        <f>RTD("ice.rtd",,$C357 &amp; $D357 &amp; ":" &amp; T$1)</f>
        <v>3290</v>
      </c>
      <c r="U357" s="18">
        <f>RTD("ice.rtd",,$C357 &amp; $D357 &amp; ":" &amp; U$1)</f>
        <v>18.988</v>
      </c>
      <c r="V3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18.55 / 19.75  |50x</v>
      </c>
      <c r="W357" s="18" t="str">
        <f>IFERROR(IF(LEFT(ICE[[#This Row],[Tenor]], 1) = "B", RTD("esrtd",,$B357 &amp; " " &amp; ICE[[#This Row],[Tenor]] &amp; "-IEU", W$1), RTD("esrtd",,$B357 &amp; " " &amp; VLOOKUP(MONTH(ICE[[#This Row],[Strip]]), MthRef[], 2, 0) &amp; RIGHT(YEAR(ICE[[#This Row],[Strip]]), 2) &amp; "-IEU", W$1)), "")</f>
        <v/>
      </c>
      <c r="X357" s="36"/>
    </row>
    <row r="358" spans="1:24" x14ac:dyDescent="0.25">
      <c r="A358" s="37" t="s">
        <v>829</v>
      </c>
      <c r="B358" s="3" t="str">
        <f>RTD("ice.rtd",,$C358 &amp; $D358 &amp; ":" &amp; B$1)</f>
        <v>AEB</v>
      </c>
      <c r="C358" s="3">
        <v>46678127</v>
      </c>
      <c r="D358" t="s">
        <v>802</v>
      </c>
      <c r="E358" s="3" t="str">
        <f>RTD("ice.rtd",,$C358 &amp; $D358 &amp; ":" &amp; E$1)</f>
        <v>Oct27</v>
      </c>
      <c r="F358" s="3" t="str">
        <f>ICE[[#This Row],[Prod]]&amp;ICE[[#This Row],[Strip]]</f>
        <v>ebobbrxbblOct27</v>
      </c>
      <c r="G358" s="18">
        <f>RTD("ice.rtd",,$C358 &amp; $D358 &amp; ":" &amp; G$1)</f>
        <v>13.7</v>
      </c>
      <c r="H358" s="18">
        <f>RTD("ice.rtd",,$C358 &amp; $D358 &amp; ":" &amp; H$1)</f>
        <v>14.9</v>
      </c>
      <c r="I358" s="18" t="str">
        <f>RTD("ice.rtd",,$C358 &amp; $D358 &amp; ":" &amp; I$1)</f>
        <v/>
      </c>
      <c r="J358" s="14" t="str">
        <f>IFERROR(MOD(RTD("ice.rtd",,$C358 &amp; $D358 &amp; ":" &amp; J$1), 1), "")</f>
        <v/>
      </c>
      <c r="K358" s="18" t="str">
        <f>RTD("ice.rtd",,$C358 &amp; $D358 &amp; ":" &amp; K$1)</f>
        <v/>
      </c>
      <c r="L358" s="36" t="str">
        <f>RTD("ice.rtd",,$C358 &amp; $D358 &amp; ":" &amp; L$1)</f>
        <v/>
      </c>
      <c r="M358" s="14" t="str">
        <f>IFERROR(MOD(TIMEVALUE(RTD("ice.rtd",,$C358 &amp; $D358 &amp; ":" &amp; M$1)), 1), "")</f>
        <v/>
      </c>
      <c r="N358" s="36">
        <f>RTD("ice.rtd",,$C358 &amp; $D358 &amp; ":" &amp; N$1)</f>
        <v>0</v>
      </c>
      <c r="O358" s="36">
        <f>RTD("ice.rtd",,$C358 &amp; $D358 &amp; ":" &amp; O$1)</f>
        <v>0</v>
      </c>
      <c r="P3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8" s="14" t="str">
        <f>IF(ICE[[#This Row],[LastType]] = "Scrn", ICE[[#This Row],[LstDate]], IF(ICE[[#This Row],[LastType]] = "Blk", ICE[[#This Row],[LstBlkTime]], ""))</f>
        <v/>
      </c>
      <c r="R358" s="41" t="str">
        <f>IF(ICE[[#This Row],[LastType]] = "Scrn", ICE[[#This Row],[LstPrc]], IF(ICE[[#This Row],[LastType]] = "Blk", ICE[[#This Row],[LstBlkPrc]], ""))</f>
        <v/>
      </c>
      <c r="S358" s="36">
        <f>ICE[[#This Row],[Vol]]+ICE[[#This Row],[BlkVol]]</f>
        <v>0</v>
      </c>
      <c r="T358" s="36">
        <f>RTD("ice.rtd",,$C358 &amp; $D358 &amp; ":" &amp; T$1)</f>
        <v>1369</v>
      </c>
      <c r="U358" s="18">
        <f>RTD("ice.rtd",,$C358 &amp; $D358 &amp; ":" &amp; U$1)</f>
        <v>14.266</v>
      </c>
      <c r="V3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13.70 / 14.90 </v>
      </c>
      <c r="W358" s="18" t="str">
        <f>IFERROR(IF(LEFT(ICE[[#This Row],[Tenor]], 1) = "B", RTD("esrtd",,$B358 &amp; " " &amp; ICE[[#This Row],[Tenor]] &amp; "-IEU", W$1), RTD("esrtd",,$B358 &amp; " " &amp; VLOOKUP(MONTH(ICE[[#This Row],[Strip]]), MthRef[], 2, 0) &amp; RIGHT(YEAR(ICE[[#This Row],[Strip]]), 2) &amp; "-IEU", W$1)), "")</f>
        <v/>
      </c>
      <c r="X358" s="36"/>
    </row>
    <row r="359" spans="1:24" x14ac:dyDescent="0.25">
      <c r="A359" s="37" t="s">
        <v>829</v>
      </c>
      <c r="B359" s="3" t="str">
        <f>RTD("ice.rtd",,$C359 &amp; $D359 &amp; ":" &amp; B$1)</f>
        <v>AEB</v>
      </c>
      <c r="C359" s="3">
        <v>46678127</v>
      </c>
      <c r="D359" t="s">
        <v>803</v>
      </c>
      <c r="E359" s="3" t="str">
        <f>RTD("ice.rtd",,$C359 &amp; $D359 &amp; ":" &amp; E$1)</f>
        <v>Nov27</v>
      </c>
      <c r="F359" s="3" t="str">
        <f>ICE[[#This Row],[Prod]]&amp;ICE[[#This Row],[Strip]]</f>
        <v>ebobbrxbblNov27</v>
      </c>
      <c r="G359" s="18">
        <f>RTD("ice.rtd",,$C359 &amp; $D359 &amp; ":" &amp; G$1)</f>
        <v>11.4</v>
      </c>
      <c r="H359" s="18">
        <f>RTD("ice.rtd",,$C359 &amp; $D359 &amp; ":" &amp; H$1)</f>
        <v>12.6</v>
      </c>
      <c r="I359" s="18" t="str">
        <f>RTD("ice.rtd",,$C359 &amp; $D359 &amp; ":" &amp; I$1)</f>
        <v/>
      </c>
      <c r="J359" s="14" t="str">
        <f>IFERROR(MOD(RTD("ice.rtd",,$C359 &amp; $D359 &amp; ":" &amp; J$1), 1), "")</f>
        <v/>
      </c>
      <c r="K359" s="18" t="str">
        <f>RTD("ice.rtd",,$C359 &amp; $D359 &amp; ":" &amp; K$1)</f>
        <v/>
      </c>
      <c r="L359" s="36" t="str">
        <f>RTD("ice.rtd",,$C359 &amp; $D359 &amp; ":" &amp; L$1)</f>
        <v/>
      </c>
      <c r="M359" s="14" t="str">
        <f>IFERROR(MOD(TIMEVALUE(RTD("ice.rtd",,$C359 &amp; $D359 &amp; ":" &amp; M$1)), 1), "")</f>
        <v/>
      </c>
      <c r="N359" s="36">
        <f>RTD("ice.rtd",,$C359 &amp; $D359 &amp; ":" &amp; N$1)</f>
        <v>0</v>
      </c>
      <c r="O359" s="36">
        <f>RTD("ice.rtd",,$C359 &amp; $D359 &amp; ":" &amp; O$1)</f>
        <v>0</v>
      </c>
      <c r="P3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59" s="14" t="str">
        <f>IF(ICE[[#This Row],[LastType]] = "Scrn", ICE[[#This Row],[LstDate]], IF(ICE[[#This Row],[LastType]] = "Blk", ICE[[#This Row],[LstBlkTime]], ""))</f>
        <v/>
      </c>
      <c r="R359" s="41" t="str">
        <f>IF(ICE[[#This Row],[LastType]] = "Scrn", ICE[[#This Row],[LstPrc]], IF(ICE[[#This Row],[LastType]] = "Blk", ICE[[#This Row],[LstBlkPrc]], ""))</f>
        <v/>
      </c>
      <c r="S359" s="36">
        <f>ICE[[#This Row],[Vol]]+ICE[[#This Row],[BlkVol]]</f>
        <v>0</v>
      </c>
      <c r="T359" s="36">
        <f>RTD("ice.rtd",,$C359 &amp; $D359 &amp; ":" &amp; T$1)</f>
        <v>1319</v>
      </c>
      <c r="U359" s="18">
        <f>RTD("ice.rtd",,$C359 &amp; $D359 &amp; ":" &amp; U$1)</f>
        <v>12.013</v>
      </c>
      <c r="V3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11.40 / 12.60 </v>
      </c>
      <c r="W359" s="18" t="str">
        <f>IFERROR(IF(LEFT(ICE[[#This Row],[Tenor]], 1) = "B", RTD("esrtd",,$B359 &amp; " " &amp; ICE[[#This Row],[Tenor]] &amp; "-IEU", W$1), RTD("esrtd",,$B359 &amp; " " &amp; VLOOKUP(MONTH(ICE[[#This Row],[Strip]]), MthRef[], 2, 0) &amp; RIGHT(YEAR(ICE[[#This Row],[Strip]]), 2) &amp; "-IEU", W$1)), "")</f>
        <v/>
      </c>
      <c r="X359" s="36"/>
    </row>
    <row r="360" spans="1:24" x14ac:dyDescent="0.25">
      <c r="A360" s="37" t="s">
        <v>829</v>
      </c>
      <c r="B360" s="3" t="str">
        <f>RTD("ice.rtd",,$C360 &amp; $D360 &amp; ":" &amp; B$1)</f>
        <v>AEB</v>
      </c>
      <c r="C360" s="3">
        <v>46678127</v>
      </c>
      <c r="D360" t="s">
        <v>804</v>
      </c>
      <c r="E360" s="3" t="str">
        <f>RTD("ice.rtd",,$C360 &amp; $D360 &amp; ":" &amp; E$1)</f>
        <v>Dec27</v>
      </c>
      <c r="F360" s="3" t="str">
        <f>ICE[[#This Row],[Prod]]&amp;ICE[[#This Row],[Strip]]</f>
        <v>ebobbrxbblDec27</v>
      </c>
      <c r="G360" s="18">
        <f>RTD("ice.rtd",,$C360 &amp; $D360 &amp; ":" &amp; G$1)</f>
        <v>10.1</v>
      </c>
      <c r="H360" s="18">
        <f>RTD("ice.rtd",,$C360 &amp; $D360 &amp; ":" &amp; H$1)</f>
        <v>11.3</v>
      </c>
      <c r="I360" s="18" t="str">
        <f>RTD("ice.rtd",,$C360 &amp; $D360 &amp; ":" &amp; I$1)</f>
        <v/>
      </c>
      <c r="J360" s="14" t="str">
        <f>IFERROR(MOD(RTD("ice.rtd",,$C360 &amp; $D360 &amp; ":" &amp; J$1), 1), "")</f>
        <v/>
      </c>
      <c r="K360" s="18" t="str">
        <f>RTD("ice.rtd",,$C360 &amp; $D360 &amp; ":" &amp; K$1)</f>
        <v/>
      </c>
      <c r="L360" s="36" t="str">
        <f>RTD("ice.rtd",,$C360 &amp; $D360 &amp; ":" &amp; L$1)</f>
        <v/>
      </c>
      <c r="M360" s="14" t="str">
        <f>IFERROR(MOD(TIMEVALUE(RTD("ice.rtd",,$C360 &amp; $D360 &amp; ":" &amp; M$1)), 1), "")</f>
        <v/>
      </c>
      <c r="N360" s="36">
        <f>RTD("ice.rtd",,$C360 &amp; $D360 &amp; ":" &amp; N$1)</f>
        <v>0</v>
      </c>
      <c r="O360" s="36">
        <f>RTD("ice.rtd",,$C360 &amp; $D360 &amp; ":" &amp; O$1)</f>
        <v>0</v>
      </c>
      <c r="P3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0" s="14" t="str">
        <f>IF(ICE[[#This Row],[LastType]] = "Scrn", ICE[[#This Row],[LstDate]], IF(ICE[[#This Row],[LastType]] = "Blk", ICE[[#This Row],[LstBlkTime]], ""))</f>
        <v/>
      </c>
      <c r="R360" s="41" t="str">
        <f>IF(ICE[[#This Row],[LastType]] = "Scrn", ICE[[#This Row],[LstPrc]], IF(ICE[[#This Row],[LastType]] = "Blk", ICE[[#This Row],[LstBlkPrc]], ""))</f>
        <v/>
      </c>
      <c r="S360" s="36">
        <f>ICE[[#This Row],[Vol]]+ICE[[#This Row],[BlkVol]]</f>
        <v>0</v>
      </c>
      <c r="T360" s="36">
        <f>RTD("ice.rtd",,$C360 &amp; $D360 &amp; ":" &amp; T$1)</f>
        <v>4351</v>
      </c>
      <c r="U360" s="18">
        <f>RTD("ice.rtd",,$C360 &amp; $D360 &amp; ":" &amp; U$1)</f>
        <v>10.735000000000001</v>
      </c>
      <c r="V3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10.10 / 11.30 </v>
      </c>
      <c r="W360" s="18" t="str">
        <f>IFERROR(IF(LEFT(ICE[[#This Row],[Tenor]], 1) = "B", RTD("esrtd",,$B360 &amp; " " &amp; ICE[[#This Row],[Tenor]] &amp; "-IEU", W$1), RTD("esrtd",,$B360 &amp; " " &amp; VLOOKUP(MONTH(ICE[[#This Row],[Strip]]), MthRef[], 2, 0) &amp; RIGHT(YEAR(ICE[[#This Row],[Strip]]), 2) &amp; "-IEU", W$1)), "")</f>
        <v/>
      </c>
      <c r="X360" s="36"/>
    </row>
    <row r="361" spans="1:24" x14ac:dyDescent="0.25">
      <c r="A361" s="37" t="s">
        <v>829</v>
      </c>
      <c r="B361" s="3" t="str">
        <f>RTD("ice.rtd",,$C361 &amp; $D361 &amp; ":" &amp; B$1)</f>
        <v>AEB</v>
      </c>
      <c r="C361" s="3">
        <v>46678127</v>
      </c>
      <c r="D361" t="s">
        <v>805</v>
      </c>
      <c r="E361" s="3" t="str">
        <f>RTD("ice.rtd",,$C361 &amp; $D361 &amp; ":" &amp; E$1)</f>
        <v>Jan28</v>
      </c>
      <c r="F361" s="3" t="str">
        <f>ICE[[#This Row],[Prod]]&amp;ICE[[#This Row],[Strip]]</f>
        <v>ebobbrxbblJan28</v>
      </c>
      <c r="G361" s="18" t="str">
        <f>RTD("ice.rtd",,$C361 &amp; $D361 &amp; ":" &amp; G$1)</f>
        <v/>
      </c>
      <c r="H361" s="18" t="str">
        <f>RTD("ice.rtd",,$C361 &amp; $D361 &amp; ":" &amp; H$1)</f>
        <v/>
      </c>
      <c r="I361" s="18" t="str">
        <f>RTD("ice.rtd",,$C361 &amp; $D361 &amp; ":" &amp; I$1)</f>
        <v/>
      </c>
      <c r="J361" s="14" t="str">
        <f>IFERROR(MOD(RTD("ice.rtd",,$C361 &amp; $D361 &amp; ":" &amp; J$1), 1), "")</f>
        <v/>
      </c>
      <c r="K361" s="18" t="str">
        <f>RTD("ice.rtd",,$C361 &amp; $D361 &amp; ":" &amp; K$1)</f>
        <v/>
      </c>
      <c r="L361" s="36" t="str">
        <f>RTD("ice.rtd",,$C361 &amp; $D361 &amp; ":" &amp; L$1)</f>
        <v/>
      </c>
      <c r="M361" s="14" t="str">
        <f>IFERROR(MOD(TIMEVALUE(RTD("ice.rtd",,$C361 &amp; $D361 &amp; ":" &amp; M$1)), 1), "")</f>
        <v/>
      </c>
      <c r="N361" s="36">
        <f>RTD("ice.rtd",,$C361 &amp; $D361 &amp; ":" &amp; N$1)</f>
        <v>0</v>
      </c>
      <c r="O361" s="36">
        <f>RTD("ice.rtd",,$C361 &amp; $D361 &amp; ":" &amp; O$1)</f>
        <v>0</v>
      </c>
      <c r="P3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1" s="14" t="str">
        <f>IF(ICE[[#This Row],[LastType]] = "Scrn", ICE[[#This Row],[LstDate]], IF(ICE[[#This Row],[LastType]] = "Blk", ICE[[#This Row],[LstBlkTime]], ""))</f>
        <v/>
      </c>
      <c r="R361" s="41" t="str">
        <f>IF(ICE[[#This Row],[LastType]] = "Scrn", ICE[[#This Row],[LstPrc]], IF(ICE[[#This Row],[LastType]] = "Blk", ICE[[#This Row],[LstBlkPrc]], ""))</f>
        <v/>
      </c>
      <c r="S361" s="36">
        <f>ICE[[#This Row],[Vol]]+ICE[[#This Row],[BlkVol]]</f>
        <v>0</v>
      </c>
      <c r="T361" s="36">
        <f>RTD("ice.rtd",,$C361 &amp; $D361 &amp; ":" &amp; T$1)</f>
        <v>421</v>
      </c>
      <c r="U361" s="18">
        <f>RTD("ice.rtd",,$C361 &amp; $D361 &amp; ":" &amp; U$1)</f>
        <v>10.549000000000001</v>
      </c>
      <c r="V3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1" s="18" t="str">
        <f>IFERROR(IF(LEFT(ICE[[#This Row],[Tenor]], 1) = "B", RTD("esrtd",,$B361 &amp; " " &amp; ICE[[#This Row],[Tenor]] &amp; "-IEU", W$1), RTD("esrtd",,$B361 &amp; " " &amp; VLOOKUP(MONTH(ICE[[#This Row],[Strip]]), MthRef[], 2, 0) &amp; RIGHT(YEAR(ICE[[#This Row],[Strip]]), 2) &amp; "-IEU", W$1)), "")</f>
        <v/>
      </c>
      <c r="X361" s="36"/>
    </row>
    <row r="362" spans="1:24" x14ac:dyDescent="0.25">
      <c r="A362" s="37" t="s">
        <v>829</v>
      </c>
      <c r="B362" s="3" t="str">
        <f>RTD("ice.rtd",,$C362 &amp; $D362 &amp; ":" &amp; B$1)</f>
        <v>AEB</v>
      </c>
      <c r="C362" s="3">
        <v>46678127</v>
      </c>
      <c r="D362" t="s">
        <v>806</v>
      </c>
      <c r="E362" s="3" t="str">
        <f>RTD("ice.rtd",,$C362 &amp; $D362 &amp; ":" &amp; E$1)</f>
        <v>Feb28</v>
      </c>
      <c r="F362" s="3" t="str">
        <f>ICE[[#This Row],[Prod]]&amp;ICE[[#This Row],[Strip]]</f>
        <v>ebobbrxbblFeb28</v>
      </c>
      <c r="G362" s="18" t="str">
        <f>RTD("ice.rtd",,$C362 &amp; $D362 &amp; ":" &amp; G$1)</f>
        <v/>
      </c>
      <c r="H362" s="18" t="str">
        <f>RTD("ice.rtd",,$C362 &amp; $D362 &amp; ":" &amp; H$1)</f>
        <v/>
      </c>
      <c r="I362" s="18" t="str">
        <f>RTD("ice.rtd",,$C362 &amp; $D362 &amp; ":" &amp; I$1)</f>
        <v/>
      </c>
      <c r="J362" s="14" t="str">
        <f>IFERROR(MOD(RTD("ice.rtd",,$C362 &amp; $D362 &amp; ":" &amp; J$1), 1), "")</f>
        <v/>
      </c>
      <c r="K362" s="18" t="str">
        <f>RTD("ice.rtd",,$C362 &amp; $D362 &amp; ":" &amp; K$1)</f>
        <v/>
      </c>
      <c r="L362" s="36" t="str">
        <f>RTD("ice.rtd",,$C362 &amp; $D362 &amp; ":" &amp; L$1)</f>
        <v/>
      </c>
      <c r="M362" s="14" t="str">
        <f>IFERROR(MOD(TIMEVALUE(RTD("ice.rtd",,$C362 &amp; $D362 &amp; ":" &amp; M$1)), 1), "")</f>
        <v/>
      </c>
      <c r="N362" s="36">
        <f>RTD("ice.rtd",,$C362 &amp; $D362 &amp; ":" &amp; N$1)</f>
        <v>0</v>
      </c>
      <c r="O362" s="36">
        <f>RTD("ice.rtd",,$C362 &amp; $D362 &amp; ":" &amp; O$1)</f>
        <v>0</v>
      </c>
      <c r="P3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2" s="14" t="str">
        <f>IF(ICE[[#This Row],[LastType]] = "Scrn", ICE[[#This Row],[LstDate]], IF(ICE[[#This Row],[LastType]] = "Blk", ICE[[#This Row],[LstBlkTime]], ""))</f>
        <v/>
      </c>
      <c r="R362" s="41" t="str">
        <f>IF(ICE[[#This Row],[LastType]] = "Scrn", ICE[[#This Row],[LstPrc]], IF(ICE[[#This Row],[LastType]] = "Blk", ICE[[#This Row],[LstBlkPrc]], ""))</f>
        <v/>
      </c>
      <c r="S362" s="36">
        <f>ICE[[#This Row],[Vol]]+ICE[[#This Row],[BlkVol]]</f>
        <v>0</v>
      </c>
      <c r="T362" s="36">
        <f>RTD("ice.rtd",,$C362 &amp; $D362 &amp; ":" &amp; T$1)</f>
        <v>338</v>
      </c>
      <c r="U362" s="18">
        <f>RTD("ice.rtd",,$C362 &amp; $D362 &amp; ":" &amp; U$1)</f>
        <v>10.558</v>
      </c>
      <c r="V3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2" s="18" t="str">
        <f>IFERROR(IF(LEFT(ICE[[#This Row],[Tenor]], 1) = "B", RTD("esrtd",,$B362 &amp; " " &amp; ICE[[#This Row],[Tenor]] &amp; "-IEU", W$1), RTD("esrtd",,$B362 &amp; " " &amp; VLOOKUP(MONTH(ICE[[#This Row],[Strip]]), MthRef[], 2, 0) &amp; RIGHT(YEAR(ICE[[#This Row],[Strip]]), 2) &amp; "-IEU", W$1)), "")</f>
        <v/>
      </c>
      <c r="X362" s="36"/>
    </row>
    <row r="363" spans="1:24" x14ac:dyDescent="0.25">
      <c r="A363" s="37" t="s">
        <v>829</v>
      </c>
      <c r="B363" s="3" t="str">
        <f>RTD("ice.rtd",,$C363 &amp; $D363 &amp; ":" &amp; B$1)</f>
        <v>AEB</v>
      </c>
      <c r="C363" s="3">
        <v>46678127</v>
      </c>
      <c r="D363" t="s">
        <v>807</v>
      </c>
      <c r="E363" s="3" t="str">
        <f>RTD("ice.rtd",,$C363 &amp; $D363 &amp; ":" &amp; E$1)</f>
        <v>Mar28</v>
      </c>
      <c r="F363" s="3" t="str">
        <f>ICE[[#This Row],[Prod]]&amp;ICE[[#This Row],[Strip]]</f>
        <v>ebobbrxbblMar28</v>
      </c>
      <c r="G363" s="18" t="str">
        <f>RTD("ice.rtd",,$C363 &amp; $D363 &amp; ":" &amp; G$1)</f>
        <v/>
      </c>
      <c r="H363" s="18" t="str">
        <f>RTD("ice.rtd",,$C363 &amp; $D363 &amp; ":" &amp; H$1)</f>
        <v/>
      </c>
      <c r="I363" s="18" t="str">
        <f>RTD("ice.rtd",,$C363 &amp; $D363 &amp; ":" &amp; I$1)</f>
        <v/>
      </c>
      <c r="J363" s="14" t="str">
        <f>IFERROR(MOD(RTD("ice.rtd",,$C363 &amp; $D363 &amp; ":" &amp; J$1), 1), "")</f>
        <v/>
      </c>
      <c r="K363" s="18" t="str">
        <f>RTD("ice.rtd",,$C363 &amp; $D363 &amp; ":" &amp; K$1)</f>
        <v/>
      </c>
      <c r="L363" s="36" t="str">
        <f>RTD("ice.rtd",,$C363 &amp; $D363 &amp; ":" &amp; L$1)</f>
        <v/>
      </c>
      <c r="M363" s="14" t="str">
        <f>IFERROR(MOD(TIMEVALUE(RTD("ice.rtd",,$C363 &amp; $D363 &amp; ":" &amp; M$1)), 1), "")</f>
        <v/>
      </c>
      <c r="N363" s="36">
        <f>RTD("ice.rtd",,$C363 &amp; $D363 &amp; ":" &amp; N$1)</f>
        <v>0</v>
      </c>
      <c r="O363" s="36">
        <f>RTD("ice.rtd",,$C363 &amp; $D363 &amp; ":" &amp; O$1)</f>
        <v>0</v>
      </c>
      <c r="P3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3" s="14" t="str">
        <f>IF(ICE[[#This Row],[LastType]] = "Scrn", ICE[[#This Row],[LstDate]], IF(ICE[[#This Row],[LastType]] = "Blk", ICE[[#This Row],[LstBlkTime]], ""))</f>
        <v/>
      </c>
      <c r="R363" s="41" t="str">
        <f>IF(ICE[[#This Row],[LastType]] = "Scrn", ICE[[#This Row],[LstPrc]], IF(ICE[[#This Row],[LastType]] = "Blk", ICE[[#This Row],[LstBlkPrc]], ""))</f>
        <v/>
      </c>
      <c r="S363" s="36">
        <f>ICE[[#This Row],[Vol]]+ICE[[#This Row],[BlkVol]]</f>
        <v>0</v>
      </c>
      <c r="T363" s="36">
        <f>RTD("ice.rtd",,$C363 &amp; $D363 &amp; ":" &amp; T$1)</f>
        <v>338</v>
      </c>
      <c r="U363" s="18">
        <f>RTD("ice.rtd",,$C363 &amp; $D363 &amp; ":" &amp; U$1)</f>
        <v>10.826000000000001</v>
      </c>
      <c r="V3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3" s="18" t="str">
        <f>IFERROR(IF(LEFT(ICE[[#This Row],[Tenor]], 1) = "B", RTD("esrtd",,$B363 &amp; " " &amp; ICE[[#This Row],[Tenor]] &amp; "-IEU", W$1), RTD("esrtd",,$B363 &amp; " " &amp; VLOOKUP(MONTH(ICE[[#This Row],[Strip]]), MthRef[], 2, 0) &amp; RIGHT(YEAR(ICE[[#This Row],[Strip]]), 2) &amp; "-IEU", W$1)), "")</f>
        <v/>
      </c>
      <c r="X363" s="36"/>
    </row>
    <row r="364" spans="1:24" x14ac:dyDescent="0.25">
      <c r="A364" s="37" t="s">
        <v>829</v>
      </c>
      <c r="B364" s="3" t="str">
        <f>RTD("ice.rtd",,$C364 &amp; $D364 &amp; ":" &amp; B$1)</f>
        <v>AEB</v>
      </c>
      <c r="C364" s="3">
        <v>46678127</v>
      </c>
      <c r="D364" t="s">
        <v>808</v>
      </c>
      <c r="E364" s="3" t="str">
        <f>RTD("ice.rtd",,$C364 &amp; $D364 &amp; ":" &amp; E$1)</f>
        <v>Apr28</v>
      </c>
      <c r="F364" s="3" t="str">
        <f>ICE[[#This Row],[Prod]]&amp;ICE[[#This Row],[Strip]]</f>
        <v>ebobbrxbblApr28</v>
      </c>
      <c r="G364" s="18" t="str">
        <f>RTD("ice.rtd",,$C364 &amp; $D364 &amp; ":" &amp; G$1)</f>
        <v/>
      </c>
      <c r="H364" s="18" t="str">
        <f>RTD("ice.rtd",,$C364 &amp; $D364 &amp; ":" &amp; H$1)</f>
        <v/>
      </c>
      <c r="I364" s="18" t="str">
        <f>RTD("ice.rtd",,$C364 &amp; $D364 &amp; ":" &amp; I$1)</f>
        <v/>
      </c>
      <c r="J364" s="14" t="str">
        <f>IFERROR(MOD(RTD("ice.rtd",,$C364 &amp; $D364 &amp; ":" &amp; J$1), 1), "")</f>
        <v/>
      </c>
      <c r="K364" s="18" t="str">
        <f>RTD("ice.rtd",,$C364 &amp; $D364 &amp; ":" &amp; K$1)</f>
        <v/>
      </c>
      <c r="L364" s="36" t="str">
        <f>RTD("ice.rtd",,$C364 &amp; $D364 &amp; ":" &amp; L$1)</f>
        <v/>
      </c>
      <c r="M364" s="14" t="str">
        <f>IFERROR(MOD(TIMEVALUE(RTD("ice.rtd",,$C364 &amp; $D364 &amp; ":" &amp; M$1)), 1), "")</f>
        <v/>
      </c>
      <c r="N364" s="36">
        <f>RTD("ice.rtd",,$C364 &amp; $D364 &amp; ":" &amp; N$1)</f>
        <v>0</v>
      </c>
      <c r="O364" s="36">
        <f>RTD("ice.rtd",,$C364 &amp; $D364 &amp; ":" &amp; O$1)</f>
        <v>0</v>
      </c>
      <c r="P3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4" s="14" t="str">
        <f>IF(ICE[[#This Row],[LastType]] = "Scrn", ICE[[#This Row],[LstDate]], IF(ICE[[#This Row],[LastType]] = "Blk", ICE[[#This Row],[LstBlkTime]], ""))</f>
        <v/>
      </c>
      <c r="R364" s="41" t="str">
        <f>IF(ICE[[#This Row],[LastType]] = "Scrn", ICE[[#This Row],[LstPrc]], IF(ICE[[#This Row],[LastType]] = "Blk", ICE[[#This Row],[LstBlkPrc]], ""))</f>
        <v/>
      </c>
      <c r="S364" s="36">
        <f>ICE[[#This Row],[Vol]]+ICE[[#This Row],[BlkVol]]</f>
        <v>0</v>
      </c>
      <c r="T364" s="36">
        <f>RTD("ice.rtd",,$C364 &amp; $D364 &amp; ":" &amp; T$1)</f>
        <v>251</v>
      </c>
      <c r="U364" s="18">
        <f>RTD("ice.rtd",,$C364 &amp; $D364 &amp; ":" &amp; U$1)</f>
        <v>14.741000000000001</v>
      </c>
      <c r="V3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4" s="18" t="str">
        <f>IFERROR(IF(LEFT(ICE[[#This Row],[Tenor]], 1) = "B", RTD("esrtd",,$B364 &amp; " " &amp; ICE[[#This Row],[Tenor]] &amp; "-IEU", W$1), RTD("esrtd",,$B364 &amp; " " &amp; VLOOKUP(MONTH(ICE[[#This Row],[Strip]]), MthRef[], 2, 0) &amp; RIGHT(YEAR(ICE[[#This Row],[Strip]]), 2) &amp; "-IEU", W$1)), "")</f>
        <v/>
      </c>
      <c r="X364" s="36"/>
    </row>
    <row r="365" spans="1:24" x14ac:dyDescent="0.25">
      <c r="A365" s="37" t="s">
        <v>829</v>
      </c>
      <c r="B365" s="3" t="str">
        <f>RTD("ice.rtd",,$C365 &amp; $D365 &amp; ":" &amp; B$1)</f>
        <v>AEB</v>
      </c>
      <c r="C365" s="3">
        <v>46678127</v>
      </c>
      <c r="D365" t="s">
        <v>809</v>
      </c>
      <c r="E365" s="3" t="str">
        <f>RTD("ice.rtd",,$C365 &amp; $D365 &amp; ":" &amp; E$1)</f>
        <v>May28</v>
      </c>
      <c r="F365" s="3" t="str">
        <f>ICE[[#This Row],[Prod]]&amp;ICE[[#This Row],[Strip]]</f>
        <v>ebobbrxbblMay28</v>
      </c>
      <c r="G365" s="18" t="str">
        <f>RTD("ice.rtd",,$C365 &amp; $D365 &amp; ":" &amp; G$1)</f>
        <v/>
      </c>
      <c r="H365" s="18" t="str">
        <f>RTD("ice.rtd",,$C365 &amp; $D365 &amp; ":" &amp; H$1)</f>
        <v/>
      </c>
      <c r="I365" s="18" t="str">
        <f>RTD("ice.rtd",,$C365 &amp; $D365 &amp; ":" &amp; I$1)</f>
        <v/>
      </c>
      <c r="J365" s="14" t="str">
        <f>IFERROR(MOD(RTD("ice.rtd",,$C365 &amp; $D365 &amp; ":" &amp; J$1), 1), "")</f>
        <v/>
      </c>
      <c r="K365" s="18" t="str">
        <f>RTD("ice.rtd",,$C365 &amp; $D365 &amp; ":" &amp; K$1)</f>
        <v/>
      </c>
      <c r="L365" s="36" t="str">
        <f>RTD("ice.rtd",,$C365 &amp; $D365 &amp; ":" &amp; L$1)</f>
        <v/>
      </c>
      <c r="M365" s="14" t="str">
        <f>IFERROR(MOD(TIMEVALUE(RTD("ice.rtd",,$C365 &amp; $D365 &amp; ":" &amp; M$1)), 1), "")</f>
        <v/>
      </c>
      <c r="N365" s="36">
        <f>RTD("ice.rtd",,$C365 &amp; $D365 &amp; ":" &amp; N$1)</f>
        <v>0</v>
      </c>
      <c r="O365" s="36">
        <f>RTD("ice.rtd",,$C365 &amp; $D365 &amp; ":" &amp; O$1)</f>
        <v>0</v>
      </c>
      <c r="P3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5" s="14" t="str">
        <f>IF(ICE[[#This Row],[LastType]] = "Scrn", ICE[[#This Row],[LstDate]], IF(ICE[[#This Row],[LastType]] = "Blk", ICE[[#This Row],[LstBlkTime]], ""))</f>
        <v/>
      </c>
      <c r="R365" s="41" t="str">
        <f>IF(ICE[[#This Row],[LastType]] = "Scrn", ICE[[#This Row],[LstPrc]], IF(ICE[[#This Row],[LastType]] = "Blk", ICE[[#This Row],[LstBlkPrc]], ""))</f>
        <v/>
      </c>
      <c r="S365" s="36">
        <f>ICE[[#This Row],[Vol]]+ICE[[#This Row],[BlkVol]]</f>
        <v>0</v>
      </c>
      <c r="T365" s="36">
        <f>RTD("ice.rtd",,$C365 &amp; $D365 &amp; ":" &amp; T$1)</f>
        <v>251</v>
      </c>
      <c r="U365" s="18">
        <f>RTD("ice.rtd",,$C365 &amp; $D365 &amp; ":" &amp; U$1)</f>
        <v>14.867000000000001</v>
      </c>
      <c r="V3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5" s="18" t="str">
        <f>IFERROR(IF(LEFT(ICE[[#This Row],[Tenor]], 1) = "B", RTD("esrtd",,$B365 &amp; " " &amp; ICE[[#This Row],[Tenor]] &amp; "-IEU", W$1), RTD("esrtd",,$B365 &amp; " " &amp; VLOOKUP(MONTH(ICE[[#This Row],[Strip]]), MthRef[], 2, 0) &amp; RIGHT(YEAR(ICE[[#This Row],[Strip]]), 2) &amp; "-IEU", W$1)), "")</f>
        <v/>
      </c>
      <c r="X365" s="36"/>
    </row>
    <row r="366" spans="1:24" x14ac:dyDescent="0.25">
      <c r="A366" s="37" t="s">
        <v>829</v>
      </c>
      <c r="B366" s="3" t="str">
        <f>RTD("ice.rtd",,$C366 &amp; $D366 &amp; ":" &amp; B$1)</f>
        <v>AEB</v>
      </c>
      <c r="C366" s="3">
        <v>46678127</v>
      </c>
      <c r="D366" t="s">
        <v>810</v>
      </c>
      <c r="E366" s="3" t="str">
        <f>RTD("ice.rtd",,$C366 &amp; $D366 &amp; ":" &amp; E$1)</f>
        <v>Jun28</v>
      </c>
      <c r="F366" s="3" t="str">
        <f>ICE[[#This Row],[Prod]]&amp;ICE[[#This Row],[Strip]]</f>
        <v>ebobbrxbblJun28</v>
      </c>
      <c r="G366" s="18" t="str">
        <f>RTD("ice.rtd",,$C366 &amp; $D366 &amp; ":" &amp; G$1)</f>
        <v/>
      </c>
      <c r="H366" s="18" t="str">
        <f>RTD("ice.rtd",,$C366 &amp; $D366 &amp; ":" &amp; H$1)</f>
        <v/>
      </c>
      <c r="I366" s="18" t="str">
        <f>RTD("ice.rtd",,$C366 &amp; $D366 &amp; ":" &amp; I$1)</f>
        <v/>
      </c>
      <c r="J366" s="14" t="str">
        <f>IFERROR(MOD(RTD("ice.rtd",,$C366 &amp; $D366 &amp; ":" &amp; J$1), 1), "")</f>
        <v/>
      </c>
      <c r="K366" s="18" t="str">
        <f>RTD("ice.rtd",,$C366 &amp; $D366 &amp; ":" &amp; K$1)</f>
        <v/>
      </c>
      <c r="L366" s="36" t="str">
        <f>RTD("ice.rtd",,$C366 &amp; $D366 &amp; ":" &amp; L$1)</f>
        <v/>
      </c>
      <c r="M366" s="14" t="str">
        <f>IFERROR(MOD(TIMEVALUE(RTD("ice.rtd",,$C366 &amp; $D366 &amp; ":" &amp; M$1)), 1), "")</f>
        <v/>
      </c>
      <c r="N366" s="36">
        <f>RTD("ice.rtd",,$C366 &amp; $D366 &amp; ":" &amp; N$1)</f>
        <v>0</v>
      </c>
      <c r="O366" s="36">
        <f>RTD("ice.rtd",,$C366 &amp; $D366 &amp; ":" &amp; O$1)</f>
        <v>0</v>
      </c>
      <c r="P3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6" s="14" t="str">
        <f>IF(ICE[[#This Row],[LastType]] = "Scrn", ICE[[#This Row],[LstDate]], IF(ICE[[#This Row],[LastType]] = "Blk", ICE[[#This Row],[LstBlkTime]], ""))</f>
        <v/>
      </c>
      <c r="R366" s="41" t="str">
        <f>IF(ICE[[#This Row],[LastType]] = "Scrn", ICE[[#This Row],[LstPrc]], IF(ICE[[#This Row],[LastType]] = "Blk", ICE[[#This Row],[LstBlkPrc]], ""))</f>
        <v/>
      </c>
      <c r="S366" s="36">
        <f>ICE[[#This Row],[Vol]]+ICE[[#This Row],[BlkVol]]</f>
        <v>0</v>
      </c>
      <c r="T366" s="36">
        <f>RTD("ice.rtd",,$C366 &amp; $D366 &amp; ":" &amp; T$1)</f>
        <v>251</v>
      </c>
      <c r="U366" s="18">
        <f>RTD("ice.rtd",,$C366 &amp; $D366 &amp; ":" &amp; U$1)</f>
        <v>14.616000000000001</v>
      </c>
      <c r="V3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6" s="18" t="str">
        <f>IFERROR(IF(LEFT(ICE[[#This Row],[Tenor]], 1) = "B", RTD("esrtd",,$B366 &amp; " " &amp; ICE[[#This Row],[Tenor]] &amp; "-IEU", W$1), RTD("esrtd",,$B366 &amp; " " &amp; VLOOKUP(MONTH(ICE[[#This Row],[Strip]]), MthRef[], 2, 0) &amp; RIGHT(YEAR(ICE[[#This Row],[Strip]]), 2) &amp; "-IEU", W$1)), "")</f>
        <v/>
      </c>
      <c r="X366" s="36"/>
    </row>
    <row r="367" spans="1:24" x14ac:dyDescent="0.25">
      <c r="A367" s="37" t="s">
        <v>829</v>
      </c>
      <c r="B367" s="3" t="str">
        <f>RTD("ice.rtd",,$C367 &amp; $D367 &amp; ":" &amp; B$1)</f>
        <v>AEB</v>
      </c>
      <c r="C367" s="3">
        <v>46678127</v>
      </c>
      <c r="D367" t="s">
        <v>811</v>
      </c>
      <c r="E367" s="3" t="str">
        <f>RTD("ice.rtd",,$C367 &amp; $D367 &amp; ":" &amp; E$1)</f>
        <v>Jul28</v>
      </c>
      <c r="F367" s="3" t="str">
        <f>ICE[[#This Row],[Prod]]&amp;ICE[[#This Row],[Strip]]</f>
        <v>ebobbrxbblJul28</v>
      </c>
      <c r="G367" s="18" t="str">
        <f>RTD("ice.rtd",,$C367 &amp; $D367 &amp; ":" &amp; G$1)</f>
        <v/>
      </c>
      <c r="H367" s="18" t="str">
        <f>RTD("ice.rtd",,$C367 &amp; $D367 &amp; ":" &amp; H$1)</f>
        <v/>
      </c>
      <c r="I367" s="18" t="str">
        <f>RTD("ice.rtd",,$C367 &amp; $D367 &amp; ":" &amp; I$1)</f>
        <v/>
      </c>
      <c r="J367" s="14" t="str">
        <f>IFERROR(MOD(RTD("ice.rtd",,$C367 &amp; $D367 &amp; ":" &amp; J$1), 1), "")</f>
        <v/>
      </c>
      <c r="K367" s="18" t="str">
        <f>RTD("ice.rtd",,$C367 &amp; $D367 &amp; ":" &amp; K$1)</f>
        <v/>
      </c>
      <c r="L367" s="36" t="str">
        <f>RTD("ice.rtd",,$C367 &amp; $D367 &amp; ":" &amp; L$1)</f>
        <v/>
      </c>
      <c r="M367" s="14" t="str">
        <f>IFERROR(MOD(TIMEVALUE(RTD("ice.rtd",,$C367 &amp; $D367 &amp; ":" &amp; M$1)), 1), "")</f>
        <v/>
      </c>
      <c r="N367" s="36">
        <f>RTD("ice.rtd",,$C367 &amp; $D367 &amp; ":" &amp; N$1)</f>
        <v>0</v>
      </c>
      <c r="O367" s="36">
        <f>RTD("ice.rtd",,$C367 &amp; $D367 &amp; ":" &amp; O$1)</f>
        <v>0</v>
      </c>
      <c r="P3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7" s="14" t="str">
        <f>IF(ICE[[#This Row],[LastType]] = "Scrn", ICE[[#This Row],[LstDate]], IF(ICE[[#This Row],[LastType]] = "Blk", ICE[[#This Row],[LstBlkTime]], ""))</f>
        <v/>
      </c>
      <c r="R367" s="41" t="str">
        <f>IF(ICE[[#This Row],[LastType]] = "Scrn", ICE[[#This Row],[LstPrc]], IF(ICE[[#This Row],[LastType]] = "Blk", ICE[[#This Row],[LstBlkPrc]], ""))</f>
        <v/>
      </c>
      <c r="S367" s="36">
        <f>ICE[[#This Row],[Vol]]+ICE[[#This Row],[BlkVol]]</f>
        <v>0</v>
      </c>
      <c r="T367" s="36">
        <f>RTD("ice.rtd",,$C367 &amp; $D367 &amp; ":" &amp; T$1)</f>
        <v>276</v>
      </c>
      <c r="U367" s="18">
        <f>RTD("ice.rtd",,$C367 &amp; $D367 &amp; ":" &amp; U$1)</f>
        <v>14.056000000000001</v>
      </c>
      <c r="V3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7" s="18" t="str">
        <f>IFERROR(IF(LEFT(ICE[[#This Row],[Tenor]], 1) = "B", RTD("esrtd",,$B367 &amp; " " &amp; ICE[[#This Row],[Tenor]] &amp; "-IEU", W$1), RTD("esrtd",,$B367 &amp; " " &amp; VLOOKUP(MONTH(ICE[[#This Row],[Strip]]), MthRef[], 2, 0) &amp; RIGHT(YEAR(ICE[[#This Row],[Strip]]), 2) &amp; "-IEU", W$1)), "")</f>
        <v/>
      </c>
      <c r="X367" s="36"/>
    </row>
    <row r="368" spans="1:24" x14ac:dyDescent="0.25">
      <c r="A368" s="37" t="s">
        <v>829</v>
      </c>
      <c r="B368" s="3" t="str">
        <f>RTD("ice.rtd",,$C368 &amp; $D368 &amp; ":" &amp; B$1)</f>
        <v>AEB</v>
      </c>
      <c r="C368" s="3">
        <v>46678127</v>
      </c>
      <c r="D368" t="s">
        <v>812</v>
      </c>
      <c r="E368" s="3" t="str">
        <f>RTD("ice.rtd",,$C368 &amp; $D368 &amp; ":" &amp; E$1)</f>
        <v>Aug28</v>
      </c>
      <c r="F368" s="3" t="str">
        <f>ICE[[#This Row],[Prod]]&amp;ICE[[#This Row],[Strip]]</f>
        <v>ebobbrxbblAug28</v>
      </c>
      <c r="G368" s="18" t="str">
        <f>RTD("ice.rtd",,$C368 &amp; $D368 &amp; ":" &amp; G$1)</f>
        <v/>
      </c>
      <c r="H368" s="18" t="str">
        <f>RTD("ice.rtd",,$C368 &amp; $D368 &amp; ":" &amp; H$1)</f>
        <v/>
      </c>
      <c r="I368" s="18" t="str">
        <f>RTD("ice.rtd",,$C368 &amp; $D368 &amp; ":" &amp; I$1)</f>
        <v/>
      </c>
      <c r="J368" s="14" t="str">
        <f>IFERROR(MOD(RTD("ice.rtd",,$C368 &amp; $D368 &amp; ":" &amp; J$1), 1), "")</f>
        <v/>
      </c>
      <c r="K368" s="18" t="str">
        <f>RTD("ice.rtd",,$C368 &amp; $D368 &amp; ":" &amp; K$1)</f>
        <v/>
      </c>
      <c r="L368" s="36" t="str">
        <f>RTD("ice.rtd",,$C368 &amp; $D368 &amp; ":" &amp; L$1)</f>
        <v/>
      </c>
      <c r="M368" s="14" t="str">
        <f>IFERROR(MOD(TIMEVALUE(RTD("ice.rtd",,$C368 &amp; $D368 &amp; ":" &amp; M$1)), 1), "")</f>
        <v/>
      </c>
      <c r="N368" s="36">
        <f>RTD("ice.rtd",,$C368 &amp; $D368 &amp; ":" &amp; N$1)</f>
        <v>0</v>
      </c>
      <c r="O368" s="36">
        <f>RTD("ice.rtd",,$C368 &amp; $D368 &amp; ":" &amp; O$1)</f>
        <v>0</v>
      </c>
      <c r="P3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8" s="14" t="str">
        <f>IF(ICE[[#This Row],[LastType]] = "Scrn", ICE[[#This Row],[LstDate]], IF(ICE[[#This Row],[LastType]] = "Blk", ICE[[#This Row],[LstBlkTime]], ""))</f>
        <v/>
      </c>
      <c r="R368" s="41" t="str">
        <f>IF(ICE[[#This Row],[LastType]] = "Scrn", ICE[[#This Row],[LstPrc]], IF(ICE[[#This Row],[LastType]] = "Blk", ICE[[#This Row],[LstBlkPrc]], ""))</f>
        <v/>
      </c>
      <c r="S368" s="36">
        <f>ICE[[#This Row],[Vol]]+ICE[[#This Row],[BlkVol]]</f>
        <v>0</v>
      </c>
      <c r="T368" s="36">
        <f>RTD("ice.rtd",,$C368 &amp; $D368 &amp; ":" &amp; T$1)</f>
        <v>276</v>
      </c>
      <c r="U368" s="18">
        <f>RTD("ice.rtd",,$C368 &amp; $D368 &amp; ":" &amp; U$1)</f>
        <v>13.365</v>
      </c>
      <c r="V3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8" s="18" t="str">
        <f>IFERROR(IF(LEFT(ICE[[#This Row],[Tenor]], 1) = "B", RTD("esrtd",,$B368 &amp; " " &amp; ICE[[#This Row],[Tenor]] &amp; "-IEU", W$1), RTD("esrtd",,$B368 &amp; " " &amp; VLOOKUP(MONTH(ICE[[#This Row],[Strip]]), MthRef[], 2, 0) &amp; RIGHT(YEAR(ICE[[#This Row],[Strip]]), 2) &amp; "-IEU", W$1)), "")</f>
        <v/>
      </c>
      <c r="X368" s="36"/>
    </row>
    <row r="369" spans="1:24" x14ac:dyDescent="0.25">
      <c r="A369" s="37" t="s">
        <v>829</v>
      </c>
      <c r="B369" s="3" t="str">
        <f>RTD("ice.rtd",,$C369 &amp; $D369 &amp; ":" &amp; B$1)</f>
        <v>AEB</v>
      </c>
      <c r="C369" s="3">
        <v>46678127</v>
      </c>
      <c r="D369" t="s">
        <v>813</v>
      </c>
      <c r="E369" s="3" t="str">
        <f>RTD("ice.rtd",,$C369 &amp; $D369 &amp; ":" &amp; E$1)</f>
        <v>Sep28</v>
      </c>
      <c r="F369" s="3" t="str">
        <f>ICE[[#This Row],[Prod]]&amp;ICE[[#This Row],[Strip]]</f>
        <v>ebobbrxbblSep28</v>
      </c>
      <c r="G369" s="18" t="str">
        <f>RTD("ice.rtd",,$C369 &amp; $D369 &amp; ":" &amp; G$1)</f>
        <v/>
      </c>
      <c r="H369" s="18" t="str">
        <f>RTD("ice.rtd",,$C369 &amp; $D369 &amp; ":" &amp; H$1)</f>
        <v/>
      </c>
      <c r="I369" s="18" t="str">
        <f>RTD("ice.rtd",,$C369 &amp; $D369 &amp; ":" &amp; I$1)</f>
        <v/>
      </c>
      <c r="J369" s="14" t="str">
        <f>IFERROR(MOD(RTD("ice.rtd",,$C369 &amp; $D369 &amp; ":" &amp; J$1), 1), "")</f>
        <v/>
      </c>
      <c r="K369" s="18" t="str">
        <f>RTD("ice.rtd",,$C369 &amp; $D369 &amp; ":" &amp; K$1)</f>
        <v/>
      </c>
      <c r="L369" s="36" t="str">
        <f>RTD("ice.rtd",,$C369 &amp; $D369 &amp; ":" &amp; L$1)</f>
        <v/>
      </c>
      <c r="M369" s="14" t="str">
        <f>IFERROR(MOD(TIMEVALUE(RTD("ice.rtd",,$C369 &amp; $D369 &amp; ":" &amp; M$1)), 1), "")</f>
        <v/>
      </c>
      <c r="N369" s="36">
        <f>RTD("ice.rtd",,$C369 &amp; $D369 &amp; ":" &amp; N$1)</f>
        <v>0</v>
      </c>
      <c r="O369" s="36">
        <f>RTD("ice.rtd",,$C369 &amp; $D369 &amp; ":" &amp; O$1)</f>
        <v>0</v>
      </c>
      <c r="P3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69" s="14" t="str">
        <f>IF(ICE[[#This Row],[LastType]] = "Scrn", ICE[[#This Row],[LstDate]], IF(ICE[[#This Row],[LastType]] = "Blk", ICE[[#This Row],[LstBlkTime]], ""))</f>
        <v/>
      </c>
      <c r="R369" s="41" t="str">
        <f>IF(ICE[[#This Row],[LastType]] = "Scrn", ICE[[#This Row],[LstPrc]], IF(ICE[[#This Row],[LastType]] = "Blk", ICE[[#This Row],[LstBlkPrc]], ""))</f>
        <v/>
      </c>
      <c r="S369" s="36">
        <f>ICE[[#This Row],[Vol]]+ICE[[#This Row],[BlkVol]]</f>
        <v>0</v>
      </c>
      <c r="T369" s="36">
        <f>RTD("ice.rtd",,$C369 &amp; $D369 &amp; ":" &amp; T$1)</f>
        <v>276</v>
      </c>
      <c r="U369" s="18">
        <f>RTD("ice.rtd",,$C369 &amp; $D369 &amp; ":" &amp; U$1)</f>
        <v>12.105</v>
      </c>
      <c r="V3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69" s="18" t="str">
        <f>IFERROR(IF(LEFT(ICE[[#This Row],[Tenor]], 1) = "B", RTD("esrtd",,$B369 &amp; " " &amp; ICE[[#This Row],[Tenor]] &amp; "-IEU", W$1), RTD("esrtd",,$B369 &amp; " " &amp; VLOOKUP(MONTH(ICE[[#This Row],[Strip]]), MthRef[], 2, 0) &amp; RIGHT(YEAR(ICE[[#This Row],[Strip]]), 2) &amp; "-IEU", W$1)), "")</f>
        <v/>
      </c>
      <c r="X369" s="36"/>
    </row>
    <row r="370" spans="1:24" x14ac:dyDescent="0.25">
      <c r="A370" s="37" t="s">
        <v>829</v>
      </c>
      <c r="B370" s="3" t="str">
        <f>RTD("ice.rtd",,$C370 &amp; $D370 &amp; ":" &amp; B$1)</f>
        <v>AEB</v>
      </c>
      <c r="C370" s="3">
        <v>46678127</v>
      </c>
      <c r="D370" t="s">
        <v>814</v>
      </c>
      <c r="E370" s="3" t="str">
        <f>RTD("ice.rtd",,$C370 &amp; $D370 &amp; ":" &amp; E$1)</f>
        <v>Q4 26</v>
      </c>
      <c r="F370" s="3" t="str">
        <f>ICE[[#This Row],[Prod]]&amp;ICE[[#This Row],[Strip]]</f>
        <v>ebobbrxbblQ4 26</v>
      </c>
      <c r="G370" s="18">
        <f>RTD("ice.rtd",,$C370 &amp; $D370 &amp; ":" &amp; G$1)</f>
        <v>24.05</v>
      </c>
      <c r="H370" s="18">
        <f>RTD("ice.rtd",,$C370 &amp; $D370 &amp; ":" &amp; H$1)</f>
        <v>25.55</v>
      </c>
      <c r="I370" s="18" t="str">
        <f>RTD("ice.rtd",,$C370 &amp; $D370 &amp; ":" &amp; I$1)</f>
        <v/>
      </c>
      <c r="J370" s="14" t="str">
        <f>IFERROR(MOD(RTD("ice.rtd",,$C370 &amp; $D370 &amp; ":" &amp; J$1), 1), "")</f>
        <v/>
      </c>
      <c r="K370" s="18">
        <f>RTD("ice.rtd",,$C370 &amp; $D370 &amp; ":" &amp; K$1)</f>
        <v>24.8</v>
      </c>
      <c r="L370" s="36">
        <f>RTD("ice.rtd",,$C370 &amp; $D370 &amp; ":" &amp; L$1)</f>
        <v>60</v>
      </c>
      <c r="M370" s="14">
        <f>IFERROR(MOD(TIMEVALUE(RTD("ice.rtd",,$C370 &amp; $D370 &amp; ":" &amp; M$1)), 1), "")</f>
        <v>0.45018518518518519</v>
      </c>
      <c r="N370" s="36">
        <f>RTD("ice.rtd",,$C370 &amp; $D370 &amp; ":" &amp; N$1)</f>
        <v>0</v>
      </c>
      <c r="O370" s="36">
        <f>RTD("ice.rtd",,$C370 &amp; $D370 &amp; ":" &amp; O$1)</f>
        <v>60</v>
      </c>
      <c r="P3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70" s="14">
        <f>IF(ICE[[#This Row],[LastType]] = "Scrn", ICE[[#This Row],[LstDate]], IF(ICE[[#This Row],[LastType]] = "Blk", ICE[[#This Row],[LstBlkTime]], ""))</f>
        <v>0.45018518518518519</v>
      </c>
      <c r="R370" s="41">
        <f>IF(ICE[[#This Row],[LastType]] = "Scrn", ICE[[#This Row],[LstPrc]], IF(ICE[[#This Row],[LastType]] = "Blk", ICE[[#This Row],[LstBlkPrc]], ""))</f>
        <v>24.8</v>
      </c>
      <c r="S370" s="36">
        <f>ICE[[#This Row],[Vol]]+ICE[[#This Row],[BlkVol]]</f>
        <v>60</v>
      </c>
      <c r="T370" s="36">
        <f>RTD("ice.rtd",,$C370 &amp; $D370 &amp; ":" &amp; T$1)</f>
        <v>0</v>
      </c>
      <c r="U370" s="18">
        <f>RTD("ice.rtd",,$C370 &amp; $D370 &amp; ":" &amp; U$1)</f>
        <v>23.634</v>
      </c>
      <c r="V3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24.05 / 25.55 {24.80} |60x</v>
      </c>
      <c r="W370" s="18" t="str">
        <f>IFERROR(IF(LEFT(ICE[[#This Row],[Tenor]], 1) = "B", RTD("esrtd",,$B370 &amp; " " &amp; ICE[[#This Row],[Tenor]] &amp; "-IEU", W$1), RTD("esrtd",,$B370 &amp; " " &amp; VLOOKUP(MONTH(ICE[[#This Row],[Strip]]), MthRef[], 2, 0) &amp; RIGHT(YEAR(ICE[[#This Row],[Strip]]), 2) &amp; "-IEU", W$1)), "")</f>
        <v/>
      </c>
      <c r="X370" s="36"/>
    </row>
    <row r="371" spans="1:24" x14ac:dyDescent="0.25">
      <c r="A371" s="37" t="s">
        <v>829</v>
      </c>
      <c r="B371" s="3" t="str">
        <f>RTD("ice.rtd",,$C371 &amp; $D371 &amp; ":" &amp; B$1)</f>
        <v>AEB</v>
      </c>
      <c r="C371" s="3">
        <v>46678127</v>
      </c>
      <c r="D371" t="s">
        <v>815</v>
      </c>
      <c r="E371" s="3" t="str">
        <f>RTD("ice.rtd",,$C371 &amp; $D371 &amp; ":" &amp; E$1)</f>
        <v>Q1 27</v>
      </c>
      <c r="F371" s="3" t="str">
        <f>ICE[[#This Row],[Prod]]&amp;ICE[[#This Row],[Strip]]</f>
        <v>ebobbrxbblQ1 27</v>
      </c>
      <c r="G371" s="18">
        <f>RTD("ice.rtd",,$C371 &amp; $D371 &amp; ":" &amp; G$1)</f>
        <v>19</v>
      </c>
      <c r="H371" s="18">
        <f>RTD("ice.rtd",,$C371 &amp; $D371 &amp; ":" &amp; H$1)</f>
        <v>20.8</v>
      </c>
      <c r="I371" s="18" t="str">
        <f>RTD("ice.rtd",,$C371 &amp; $D371 &amp; ":" &amp; I$1)</f>
        <v/>
      </c>
      <c r="J371" s="14" t="str">
        <f>IFERROR(MOD(RTD("ice.rtd",,$C371 &amp; $D371 &amp; ":" &amp; J$1), 1), "")</f>
        <v/>
      </c>
      <c r="K371" s="18">
        <f>RTD("ice.rtd",,$C371 &amp; $D371 &amp; ":" &amp; K$1)</f>
        <v>19.850000000000001</v>
      </c>
      <c r="L371" s="36">
        <f>RTD("ice.rtd",,$C371 &amp; $D371 &amp; ":" &amp; L$1)</f>
        <v>10</v>
      </c>
      <c r="M371" s="14">
        <f>IFERROR(MOD(TIMEVALUE(RTD("ice.rtd",,$C371 &amp; $D371 &amp; ":" &amp; M$1)), 1), "")</f>
        <v>0.45491898148148147</v>
      </c>
      <c r="N371" s="36">
        <f>RTD("ice.rtd",,$C371 &amp; $D371 &amp; ":" &amp; N$1)</f>
        <v>0</v>
      </c>
      <c r="O371" s="36">
        <f>RTD("ice.rtd",,$C371 &amp; $D371 &amp; ":" &amp; O$1)</f>
        <v>60</v>
      </c>
      <c r="P3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71" s="14">
        <f>IF(ICE[[#This Row],[LastType]] = "Scrn", ICE[[#This Row],[LstDate]], IF(ICE[[#This Row],[LastType]] = "Blk", ICE[[#This Row],[LstBlkTime]], ""))</f>
        <v>0.45491898148148147</v>
      </c>
      <c r="R371" s="41">
        <f>IF(ICE[[#This Row],[LastType]] = "Scrn", ICE[[#This Row],[LstPrc]], IF(ICE[[#This Row],[LastType]] = "Blk", ICE[[#This Row],[LstBlkPrc]], ""))</f>
        <v>19.850000000000001</v>
      </c>
      <c r="S371" s="36">
        <f>ICE[[#This Row],[Vol]]+ICE[[#This Row],[BlkVol]]</f>
        <v>60</v>
      </c>
      <c r="T371" s="36">
        <f>RTD("ice.rtd",,$C371 &amp; $D371 &amp; ":" &amp; T$1)</f>
        <v>0</v>
      </c>
      <c r="U371" s="18">
        <f>RTD("ice.rtd",,$C371 &amp; $D371 &amp; ":" &amp; U$1)</f>
        <v>19.344000000000001</v>
      </c>
      <c r="V3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19.00 / 20.80 {19.85} |60x</v>
      </c>
      <c r="W371" s="18" t="str">
        <f>IFERROR(IF(LEFT(ICE[[#This Row],[Tenor]], 1) = "B", RTD("esrtd",,$B371 &amp; " " &amp; ICE[[#This Row],[Tenor]] &amp; "-IEU", W$1), RTD("esrtd",,$B371 &amp; " " &amp; VLOOKUP(MONTH(ICE[[#This Row],[Strip]]), MthRef[], 2, 0) &amp; RIGHT(YEAR(ICE[[#This Row],[Strip]]), 2) &amp; "-IEU", W$1)), "")</f>
        <v/>
      </c>
      <c r="X371" s="36"/>
    </row>
    <row r="372" spans="1:24" x14ac:dyDescent="0.25">
      <c r="A372" s="37" t="s">
        <v>829</v>
      </c>
      <c r="B372" s="3" t="str">
        <f>RTD("ice.rtd",,$C372 &amp; $D372 &amp; ":" &amp; B$1)</f>
        <v>AEB</v>
      </c>
      <c r="C372" s="3">
        <v>46678127</v>
      </c>
      <c r="D372" t="s">
        <v>816</v>
      </c>
      <c r="E372" s="3" t="str">
        <f>RTD("ice.rtd",,$C372 &amp; $D372 &amp; ":" &amp; E$1)</f>
        <v>Q2 27</v>
      </c>
      <c r="F372" s="3" t="str">
        <f>ICE[[#This Row],[Prod]]&amp;ICE[[#This Row],[Strip]]</f>
        <v>ebobbrxbblQ2 27</v>
      </c>
      <c r="G372" s="18">
        <f>RTD("ice.rtd",,$C372 &amp; $D372 &amp; ":" &amp; G$1)</f>
        <v>23.65</v>
      </c>
      <c r="H372" s="18">
        <f>RTD("ice.rtd",,$C372 &amp; $D372 &amp; ":" &amp; H$1)</f>
        <v>25.45</v>
      </c>
      <c r="I372" s="18" t="str">
        <f>RTD("ice.rtd",,$C372 &amp; $D372 &amp; ":" &amp; I$1)</f>
        <v/>
      </c>
      <c r="J372" s="14" t="str">
        <f>IFERROR(MOD(RTD("ice.rtd",,$C372 &amp; $D372 &amp; ":" &amp; J$1), 1), "")</f>
        <v/>
      </c>
      <c r="K372" s="18">
        <f>RTD("ice.rtd",,$C372 &amp; $D372 &amp; ":" &amp; K$1)</f>
        <v>24.4</v>
      </c>
      <c r="L372" s="36">
        <f>RTD("ice.rtd",,$C372 &amp; $D372 &amp; ":" &amp; L$1)</f>
        <v>25</v>
      </c>
      <c r="M372" s="14">
        <f>IFERROR(MOD(TIMEVALUE(RTD("ice.rtd",,$C372 &amp; $D372 &amp; ":" &amp; M$1)), 1), "")</f>
        <v>0.4309837962962963</v>
      </c>
      <c r="N372" s="36">
        <f>RTD("ice.rtd",,$C372 &amp; $D372 &amp; ":" &amp; N$1)</f>
        <v>0</v>
      </c>
      <c r="O372" s="36">
        <f>RTD("ice.rtd",,$C372 &amp; $D372 &amp; ":" &amp; O$1)</f>
        <v>75</v>
      </c>
      <c r="P3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72" s="14">
        <f>IF(ICE[[#This Row],[LastType]] = "Scrn", ICE[[#This Row],[LstDate]], IF(ICE[[#This Row],[LastType]] = "Blk", ICE[[#This Row],[LstBlkTime]], ""))</f>
        <v>0.4309837962962963</v>
      </c>
      <c r="R372" s="41">
        <f>IF(ICE[[#This Row],[LastType]] = "Scrn", ICE[[#This Row],[LstPrc]], IF(ICE[[#This Row],[LastType]] = "Blk", ICE[[#This Row],[LstBlkPrc]], ""))</f>
        <v>24.4</v>
      </c>
      <c r="S372" s="36">
        <f>ICE[[#This Row],[Vol]]+ICE[[#This Row],[BlkVol]]</f>
        <v>75</v>
      </c>
      <c r="T372" s="36">
        <f>RTD("ice.rtd",,$C372 &amp; $D372 &amp; ":" &amp; T$1)</f>
        <v>0</v>
      </c>
      <c r="U372" s="18">
        <f>RTD("ice.rtd",,$C372 &amp; $D372 &amp; ":" &amp; U$1)</f>
        <v>24.096</v>
      </c>
      <c r="V3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23.65 / 25.45 {24.40} |75x</v>
      </c>
      <c r="W372" s="18" t="str">
        <f>IFERROR(IF(LEFT(ICE[[#This Row],[Tenor]], 1) = "B", RTD("esrtd",,$B372 &amp; " " &amp; ICE[[#This Row],[Tenor]] &amp; "-IEU", W$1), RTD("esrtd",,$B372 &amp; " " &amp; VLOOKUP(MONTH(ICE[[#This Row],[Strip]]), MthRef[], 2, 0) &amp; RIGHT(YEAR(ICE[[#This Row],[Strip]]), 2) &amp; "-IEU", W$1)), "")</f>
        <v/>
      </c>
      <c r="X372" s="36"/>
    </row>
    <row r="373" spans="1:24" x14ac:dyDescent="0.25">
      <c r="A373" s="37" t="s">
        <v>829</v>
      </c>
      <c r="B373" s="3" t="str">
        <f>RTD("ice.rtd",,$C373 &amp; $D373 &amp; ":" &amp; B$1)</f>
        <v>AEB</v>
      </c>
      <c r="C373" s="3">
        <v>46678127</v>
      </c>
      <c r="D373" t="s">
        <v>817</v>
      </c>
      <c r="E373" s="3" t="str">
        <f>RTD("ice.rtd",,$C373 &amp; $D373 &amp; ":" &amp; E$1)</f>
        <v>Q3 27</v>
      </c>
      <c r="F373" s="3" t="str">
        <f>ICE[[#This Row],[Prod]]&amp;ICE[[#This Row],[Strip]]</f>
        <v>ebobbrxbblQ3 27</v>
      </c>
      <c r="G373" s="18">
        <f>RTD("ice.rtd",,$C373 &amp; $D373 &amp; ":" &amp; G$1)</f>
        <v>20.100000000000001</v>
      </c>
      <c r="H373" s="18">
        <f>RTD("ice.rtd",,$C373 &amp; $D373 &amp; ":" &amp; H$1)</f>
        <v>21.9</v>
      </c>
      <c r="I373" s="18" t="str">
        <f>RTD("ice.rtd",,$C373 &amp; $D373 &amp; ":" &amp; I$1)</f>
        <v/>
      </c>
      <c r="J373" s="14" t="str">
        <f>IFERROR(MOD(RTD("ice.rtd",,$C373 &amp; $D373 &amp; ":" &amp; J$1), 1), "")</f>
        <v/>
      </c>
      <c r="K373" s="18">
        <f>RTD("ice.rtd",,$C373 &amp; $D373 &amp; ":" &amp; K$1)</f>
        <v>21</v>
      </c>
      <c r="L373" s="36">
        <f>RTD("ice.rtd",,$C373 &amp; $D373 &amp; ":" &amp; L$1)</f>
        <v>50</v>
      </c>
      <c r="M373" s="14">
        <f>IFERROR(MOD(TIMEVALUE(RTD("ice.rtd",,$C373 &amp; $D373 &amp; ":" &amp; M$1)), 1), "")</f>
        <v>0.42828703703703702</v>
      </c>
      <c r="N373" s="36">
        <f>RTD("ice.rtd",,$C373 &amp; $D373 &amp; ":" &amp; N$1)</f>
        <v>0</v>
      </c>
      <c r="O373" s="36">
        <f>RTD("ice.rtd",,$C373 &amp; $D373 &amp; ":" &amp; O$1)</f>
        <v>50</v>
      </c>
      <c r="P3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373" s="14">
        <f>IF(ICE[[#This Row],[LastType]] = "Scrn", ICE[[#This Row],[LstDate]], IF(ICE[[#This Row],[LastType]] = "Blk", ICE[[#This Row],[LstBlkTime]], ""))</f>
        <v>0.42828703703703702</v>
      </c>
      <c r="R373" s="41">
        <f>IF(ICE[[#This Row],[LastType]] = "Scrn", ICE[[#This Row],[LstPrc]], IF(ICE[[#This Row],[LastType]] = "Blk", ICE[[#This Row],[LstBlkPrc]], ""))</f>
        <v>21</v>
      </c>
      <c r="S373" s="36">
        <f>ICE[[#This Row],[Vol]]+ICE[[#This Row],[BlkVol]]</f>
        <v>50</v>
      </c>
      <c r="T373" s="36">
        <f>RTD("ice.rtd",,$C373 &amp; $D373 &amp; ":" &amp; T$1)</f>
        <v>0</v>
      </c>
      <c r="U373" s="18">
        <f>RTD("ice.rtd",,$C373 &amp; $D373 &amp; ":" &amp; U$1)</f>
        <v>20.691000000000003</v>
      </c>
      <c r="V3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20.10 / 21.90 {21.00} |50x</v>
      </c>
      <c r="W373" s="18" t="str">
        <f>IFERROR(IF(LEFT(ICE[[#This Row],[Tenor]], 1) = "B", RTD("esrtd",,$B373 &amp; " " &amp; ICE[[#This Row],[Tenor]] &amp; "-IEU", W$1), RTD("esrtd",,$B373 &amp; " " &amp; VLOOKUP(MONTH(ICE[[#This Row],[Strip]]), MthRef[], 2, 0) &amp; RIGHT(YEAR(ICE[[#This Row],[Strip]]), 2) &amp; "-IEU", W$1)), "")</f>
        <v/>
      </c>
      <c r="X373" s="36"/>
    </row>
    <row r="374" spans="1:24" x14ac:dyDescent="0.25">
      <c r="A374" s="37" t="s">
        <v>829</v>
      </c>
      <c r="B374" s="3" t="str">
        <f>RTD("ice.rtd",,$C374 &amp; $D374 &amp; ":" &amp; B$1)</f>
        <v>AEB</v>
      </c>
      <c r="C374" s="3">
        <v>46678127</v>
      </c>
      <c r="D374" t="s">
        <v>818</v>
      </c>
      <c r="E374" s="3" t="str">
        <f>RTD("ice.rtd",,$C374 &amp; $D374 &amp; ":" &amp; E$1)</f>
        <v>Q4 27</v>
      </c>
      <c r="F374" s="3" t="str">
        <f>ICE[[#This Row],[Prod]]&amp;ICE[[#This Row],[Strip]]</f>
        <v>ebobbrxbblQ4 27</v>
      </c>
      <c r="G374" s="18">
        <f>RTD("ice.rtd",,$C374 &amp; $D374 &amp; ":" &amp; G$1)</f>
        <v>11.45</v>
      </c>
      <c r="H374" s="18">
        <f>RTD("ice.rtd",,$C374 &amp; $D374 &amp; ":" &amp; H$1)</f>
        <v>13.25</v>
      </c>
      <c r="I374" s="18" t="str">
        <f>RTD("ice.rtd",,$C374 &amp; $D374 &amp; ":" &amp; I$1)</f>
        <v/>
      </c>
      <c r="J374" s="14" t="str">
        <f>IFERROR(MOD(RTD("ice.rtd",,$C374 &amp; $D374 &amp; ":" &amp; J$1), 1), "")</f>
        <v/>
      </c>
      <c r="K374" s="18" t="str">
        <f>RTD("ice.rtd",,$C374 &amp; $D374 &amp; ":" &amp; K$1)</f>
        <v/>
      </c>
      <c r="L374" s="36" t="str">
        <f>RTD("ice.rtd",,$C374 &amp; $D374 &amp; ":" &amp; L$1)</f>
        <v/>
      </c>
      <c r="M374" s="14" t="str">
        <f>IFERROR(MOD(TIMEVALUE(RTD("ice.rtd",,$C374 &amp; $D374 &amp; ":" &amp; M$1)), 1), "")</f>
        <v/>
      </c>
      <c r="N374" s="36">
        <f>RTD("ice.rtd",,$C374 &amp; $D374 &amp; ":" &amp; N$1)</f>
        <v>0</v>
      </c>
      <c r="O374" s="36">
        <f>RTD("ice.rtd",,$C374 &amp; $D374 &amp; ":" &amp; O$1)</f>
        <v>0</v>
      </c>
      <c r="P3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74" s="14" t="str">
        <f>IF(ICE[[#This Row],[LastType]] = "Scrn", ICE[[#This Row],[LstDate]], IF(ICE[[#This Row],[LastType]] = "Blk", ICE[[#This Row],[LstBlkTime]], ""))</f>
        <v/>
      </c>
      <c r="R374" s="41" t="str">
        <f>IF(ICE[[#This Row],[LastType]] = "Scrn", ICE[[#This Row],[LstPrc]], IF(ICE[[#This Row],[LastType]] = "Blk", ICE[[#This Row],[LstBlkPrc]], ""))</f>
        <v/>
      </c>
      <c r="S374" s="36">
        <f>ICE[[#This Row],[Vol]]+ICE[[#This Row],[BlkVol]]</f>
        <v>0</v>
      </c>
      <c r="T374" s="36">
        <f>RTD("ice.rtd",,$C374 &amp; $D374 &amp; ":" &amp; T$1)</f>
        <v>0</v>
      </c>
      <c r="U374" s="18">
        <f>RTD("ice.rtd",,$C374 &amp; $D374 &amp; ":" &amp; U$1)</f>
        <v>12.338000000000001</v>
      </c>
      <c r="V3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11.45 / 13.25 </v>
      </c>
      <c r="W374" s="18" t="str">
        <f>IFERROR(IF(LEFT(ICE[[#This Row],[Tenor]], 1) = "B", RTD("esrtd",,$B374 &amp; " " &amp; ICE[[#This Row],[Tenor]] &amp; "-IEU", W$1), RTD("esrtd",,$B374 &amp; " " &amp; VLOOKUP(MONTH(ICE[[#This Row],[Strip]]), MthRef[], 2, 0) &amp; RIGHT(YEAR(ICE[[#This Row],[Strip]]), 2) &amp; "-IEU", W$1)), "")</f>
        <v/>
      </c>
      <c r="X374" s="36"/>
    </row>
    <row r="375" spans="1:24" x14ac:dyDescent="0.25">
      <c r="A375" s="37" t="s">
        <v>829</v>
      </c>
      <c r="B375" s="3" t="str">
        <f>RTD("ice.rtd",,$C375 &amp; $D375 &amp; ":" &amp; B$1)</f>
        <v>AEB</v>
      </c>
      <c r="C375" s="3">
        <v>46678127</v>
      </c>
      <c r="D375" t="s">
        <v>819</v>
      </c>
      <c r="E375" s="3" t="str">
        <f>RTD("ice.rtd",,$C375 &amp; $D375 &amp; ":" &amp; E$1)</f>
        <v>Q1 28</v>
      </c>
      <c r="F375" s="3" t="str">
        <f>ICE[[#This Row],[Prod]]&amp;ICE[[#This Row],[Strip]]</f>
        <v>ebobbrxbblQ1 28</v>
      </c>
      <c r="G375" s="18" t="str">
        <f>RTD("ice.rtd",,$C375 &amp; $D375 &amp; ":" &amp; G$1)</f>
        <v/>
      </c>
      <c r="H375" s="18" t="str">
        <f>RTD("ice.rtd",,$C375 &amp; $D375 &amp; ":" &amp; H$1)</f>
        <v/>
      </c>
      <c r="I375" s="18" t="str">
        <f>RTD("ice.rtd",,$C375 &amp; $D375 &amp; ":" &amp; I$1)</f>
        <v/>
      </c>
      <c r="J375" s="14" t="str">
        <f>IFERROR(MOD(RTD("ice.rtd",,$C375 &amp; $D375 &amp; ":" &amp; J$1), 1), "")</f>
        <v/>
      </c>
      <c r="K375" s="18" t="str">
        <f>RTD("ice.rtd",,$C375 &amp; $D375 &amp; ":" &amp; K$1)</f>
        <v/>
      </c>
      <c r="L375" s="36" t="str">
        <f>RTD("ice.rtd",,$C375 &amp; $D375 &amp; ":" &amp; L$1)</f>
        <v/>
      </c>
      <c r="M375" s="14" t="str">
        <f>IFERROR(MOD(TIMEVALUE(RTD("ice.rtd",,$C375 &amp; $D375 &amp; ":" &amp; M$1)), 1), "")</f>
        <v/>
      </c>
      <c r="N375" s="36">
        <f>RTD("ice.rtd",,$C375 &amp; $D375 &amp; ":" &amp; N$1)</f>
        <v>0</v>
      </c>
      <c r="O375" s="36">
        <f>RTD("ice.rtd",,$C375 &amp; $D375 &amp; ":" &amp; O$1)</f>
        <v>0</v>
      </c>
      <c r="P3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75" s="14" t="str">
        <f>IF(ICE[[#This Row],[LastType]] = "Scrn", ICE[[#This Row],[LstDate]], IF(ICE[[#This Row],[LastType]] = "Blk", ICE[[#This Row],[LstBlkTime]], ""))</f>
        <v/>
      </c>
      <c r="R375" s="41" t="str">
        <f>IF(ICE[[#This Row],[LastType]] = "Scrn", ICE[[#This Row],[LstPrc]], IF(ICE[[#This Row],[LastType]] = "Blk", ICE[[#This Row],[LstBlkPrc]], ""))</f>
        <v/>
      </c>
      <c r="S375" s="36">
        <f>ICE[[#This Row],[Vol]]+ICE[[#This Row],[BlkVol]]</f>
        <v>0</v>
      </c>
      <c r="T375" s="36">
        <f>RTD("ice.rtd",,$C375 &amp; $D375 &amp; ":" &amp; T$1)</f>
        <v>0</v>
      </c>
      <c r="U375" s="18">
        <f>RTD("ice.rtd",,$C375 &amp; $D375 &amp; ":" &amp; U$1)</f>
        <v>10.644</v>
      </c>
      <c r="V3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75" s="18" t="str">
        <f>IFERROR(IF(LEFT(ICE[[#This Row],[Tenor]], 1) = "B", RTD("esrtd",,$B375 &amp; " " &amp; ICE[[#This Row],[Tenor]] &amp; "-IEU", W$1), RTD("esrtd",,$B375 &amp; " " &amp; VLOOKUP(MONTH(ICE[[#This Row],[Strip]]), MthRef[], 2, 0) &amp; RIGHT(YEAR(ICE[[#This Row],[Strip]]), 2) &amp; "-IEU", W$1)), "")</f>
        <v/>
      </c>
      <c r="X375" s="36"/>
    </row>
    <row r="376" spans="1:24" x14ac:dyDescent="0.25">
      <c r="A376" s="37" t="s">
        <v>829</v>
      </c>
      <c r="B376" s="3" t="str">
        <f>RTD("ice.rtd",,$C376 &amp; $D376 &amp; ":" &amp; B$1)</f>
        <v>AEB</v>
      </c>
      <c r="C376" s="3">
        <v>46678127</v>
      </c>
      <c r="D376" t="s">
        <v>229</v>
      </c>
      <c r="E376" s="3" t="str">
        <f>RTD("ice.rtd",,$C376 &amp; $D376 &amp; ":" &amp; E$1)</f>
        <v>Q2 28</v>
      </c>
      <c r="F376" s="3" t="str">
        <f>ICE[[#This Row],[Prod]]&amp;ICE[[#This Row],[Strip]]</f>
        <v>ebobbrxbblQ2 28</v>
      </c>
      <c r="G376" s="18" t="str">
        <f>RTD("ice.rtd",,$C376 &amp; $D376 &amp; ":" &amp; G$1)</f>
        <v/>
      </c>
      <c r="H376" s="18" t="str">
        <f>RTD("ice.rtd",,$C376 &amp; $D376 &amp; ":" &amp; H$1)</f>
        <v/>
      </c>
      <c r="I376" s="18" t="str">
        <f>RTD("ice.rtd",,$C376 &amp; $D376 &amp; ":" &amp; I$1)</f>
        <v/>
      </c>
      <c r="J376" s="14" t="str">
        <f>IFERROR(MOD(RTD("ice.rtd",,$C376 &amp; $D376 &amp; ":" &amp; J$1), 1), "")</f>
        <v/>
      </c>
      <c r="K376" s="18" t="str">
        <f>RTD("ice.rtd",,$C376 &amp; $D376 &amp; ":" &amp; K$1)</f>
        <v/>
      </c>
      <c r="L376" s="36" t="str">
        <f>RTD("ice.rtd",,$C376 &amp; $D376 &amp; ":" &amp; L$1)</f>
        <v/>
      </c>
      <c r="M376" s="14" t="str">
        <f>IFERROR(MOD(TIMEVALUE(RTD("ice.rtd",,$C376 &amp; $D376 &amp; ":" &amp; M$1)), 1), "")</f>
        <v/>
      </c>
      <c r="N376" s="36">
        <f>RTD("ice.rtd",,$C376 &amp; $D376 &amp; ":" &amp; N$1)</f>
        <v>0</v>
      </c>
      <c r="O376" s="36">
        <f>RTD("ice.rtd",,$C376 &amp; $D376 &amp; ":" &amp; O$1)</f>
        <v>0</v>
      </c>
      <c r="P3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76" s="14" t="str">
        <f>IF(ICE[[#This Row],[LastType]] = "Scrn", ICE[[#This Row],[LstDate]], IF(ICE[[#This Row],[LastType]] = "Blk", ICE[[#This Row],[LstBlkTime]], ""))</f>
        <v/>
      </c>
      <c r="R376" s="41" t="str">
        <f>IF(ICE[[#This Row],[LastType]] = "Scrn", ICE[[#This Row],[LstPrc]], IF(ICE[[#This Row],[LastType]] = "Blk", ICE[[#This Row],[LstBlkPrc]], ""))</f>
        <v/>
      </c>
      <c r="S376" s="36">
        <f>ICE[[#This Row],[Vol]]+ICE[[#This Row],[BlkVol]]</f>
        <v>0</v>
      </c>
      <c r="T376" s="36">
        <f>RTD("ice.rtd",,$C376 &amp; $D376 &amp; ":" &amp; T$1)</f>
        <v>0</v>
      </c>
      <c r="U376" s="18">
        <f>RTD("ice.rtd",,$C376 &amp; $D376 &amp; ":" &amp; U$1)</f>
        <v>14.741000000000001</v>
      </c>
      <c r="V3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76" s="18" t="str">
        <f>IFERROR(IF(LEFT(ICE[[#This Row],[Tenor]], 1) = "B", RTD("esrtd",,$B376 &amp; " " &amp; ICE[[#This Row],[Tenor]] &amp; "-IEU", W$1), RTD("esrtd",,$B376 &amp; " " &amp; VLOOKUP(MONTH(ICE[[#This Row],[Strip]]), MthRef[], 2, 0) &amp; RIGHT(YEAR(ICE[[#This Row],[Strip]]), 2) &amp; "-IEU", W$1)), "")</f>
        <v/>
      </c>
      <c r="X376" s="36"/>
    </row>
    <row r="377" spans="1:24" x14ac:dyDescent="0.25">
      <c r="A377" s="37" t="s">
        <v>829</v>
      </c>
      <c r="B377" s="3" t="str">
        <f>RTD("ice.rtd",,$C377 &amp; $D377 &amp; ":" &amp; B$1)</f>
        <v>AEB</v>
      </c>
      <c r="C377" s="3">
        <v>46678127</v>
      </c>
      <c r="D377" t="s">
        <v>820</v>
      </c>
      <c r="E377" s="3" t="str">
        <f>RTD("ice.rtd",,$C377 &amp; $D377 &amp; ":" &amp; E$1)</f>
        <v>Q3 28</v>
      </c>
      <c r="F377" s="3" t="str">
        <f>ICE[[#This Row],[Prod]]&amp;ICE[[#This Row],[Strip]]</f>
        <v>ebobbrxbblQ3 28</v>
      </c>
      <c r="G377" s="18" t="str">
        <f>RTD("ice.rtd",,$C377 &amp; $D377 &amp; ":" &amp; G$1)</f>
        <v/>
      </c>
      <c r="H377" s="18" t="str">
        <f>RTD("ice.rtd",,$C377 &amp; $D377 &amp; ":" &amp; H$1)</f>
        <v/>
      </c>
      <c r="I377" s="18" t="str">
        <f>RTD("ice.rtd",,$C377 &amp; $D377 &amp; ":" &amp; I$1)</f>
        <v/>
      </c>
      <c r="J377" s="14" t="str">
        <f>IFERROR(MOD(RTD("ice.rtd",,$C377 &amp; $D377 &amp; ":" &amp; J$1), 1), "")</f>
        <v/>
      </c>
      <c r="K377" s="18" t="str">
        <f>RTD("ice.rtd",,$C377 &amp; $D377 &amp; ":" &amp; K$1)</f>
        <v/>
      </c>
      <c r="L377" s="36" t="str">
        <f>RTD("ice.rtd",,$C377 &amp; $D377 &amp; ":" &amp; L$1)</f>
        <v/>
      </c>
      <c r="M377" s="14" t="str">
        <f>IFERROR(MOD(TIMEVALUE(RTD("ice.rtd",,$C377 &amp; $D377 &amp; ":" &amp; M$1)), 1), "")</f>
        <v/>
      </c>
      <c r="N377" s="36">
        <f>RTD("ice.rtd",,$C377 &amp; $D377 &amp; ":" &amp; N$1)</f>
        <v>0</v>
      </c>
      <c r="O377" s="36">
        <f>RTD("ice.rtd",,$C377 &amp; $D377 &amp; ":" &amp; O$1)</f>
        <v>0</v>
      </c>
      <c r="P3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77" s="14" t="str">
        <f>IF(ICE[[#This Row],[LastType]] = "Scrn", ICE[[#This Row],[LstDate]], IF(ICE[[#This Row],[LastType]] = "Blk", ICE[[#This Row],[LstBlkTime]], ""))</f>
        <v/>
      </c>
      <c r="R377" s="41" t="str">
        <f>IF(ICE[[#This Row],[LastType]] = "Scrn", ICE[[#This Row],[LstPrc]], IF(ICE[[#This Row],[LastType]] = "Blk", ICE[[#This Row],[LstBlkPrc]], ""))</f>
        <v/>
      </c>
      <c r="S377" s="36">
        <f>ICE[[#This Row],[Vol]]+ICE[[#This Row],[BlkVol]]</f>
        <v>0</v>
      </c>
      <c r="T377" s="36">
        <f>RTD("ice.rtd",,$C377 &amp; $D377 &amp; ":" &amp; T$1)</f>
        <v>0</v>
      </c>
      <c r="U377" s="18">
        <f>RTD("ice.rtd",,$C377 &amp; $D377 &amp; ":" &amp; U$1)</f>
        <v>13.175000000000001</v>
      </c>
      <c r="V3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77" s="18" t="str">
        <f>IFERROR(IF(LEFT(ICE[[#This Row],[Tenor]], 1) = "B", RTD("esrtd",,$B377 &amp; " " &amp; ICE[[#This Row],[Tenor]] &amp; "-IEU", W$1), RTD("esrtd",,$B377 &amp; " " &amp; VLOOKUP(MONTH(ICE[[#This Row],[Strip]]), MthRef[], 2, 0) &amp; RIGHT(YEAR(ICE[[#This Row],[Strip]]), 2) &amp; "-IEU", W$1)), "")</f>
        <v/>
      </c>
      <c r="X377" s="36"/>
    </row>
    <row r="378" spans="1:24" x14ac:dyDescent="0.25">
      <c r="A378" s="37" t="s">
        <v>829</v>
      </c>
      <c r="B378" s="3" t="str">
        <f>RTD("ice.rtd",,$C378 &amp; $D378 &amp; ":" &amp; B$1)</f>
        <v>AEB</v>
      </c>
      <c r="C378" s="3">
        <v>46678127</v>
      </c>
      <c r="D378" t="s">
        <v>821</v>
      </c>
      <c r="E378" s="3" t="str">
        <f>RTD("ice.rtd",,$C378 &amp; $D378 &amp; ":" &amp; E$1)</f>
        <v>Q4 28</v>
      </c>
      <c r="F378" s="3" t="str">
        <f>ICE[[#This Row],[Prod]]&amp;ICE[[#This Row],[Strip]]</f>
        <v>ebobbrxbblQ4 28</v>
      </c>
      <c r="G378" s="18" t="str">
        <f>RTD("ice.rtd",,$C378 &amp; $D378 &amp; ":" &amp; G$1)</f>
        <v/>
      </c>
      <c r="H378" s="18" t="str">
        <f>RTD("ice.rtd",,$C378 &amp; $D378 &amp; ":" &amp; H$1)</f>
        <v/>
      </c>
      <c r="I378" s="18" t="str">
        <f>RTD("ice.rtd",,$C378 &amp; $D378 &amp; ":" &amp; I$1)</f>
        <v/>
      </c>
      <c r="J378" s="14" t="str">
        <f>IFERROR(MOD(RTD("ice.rtd",,$C378 &amp; $D378 &amp; ":" &amp; J$1), 1), "")</f>
        <v/>
      </c>
      <c r="K378" s="18" t="str">
        <f>RTD("ice.rtd",,$C378 &amp; $D378 &amp; ":" &amp; K$1)</f>
        <v/>
      </c>
      <c r="L378" s="36" t="str">
        <f>RTD("ice.rtd",,$C378 &amp; $D378 &amp; ":" &amp; L$1)</f>
        <v/>
      </c>
      <c r="M378" s="14" t="str">
        <f>IFERROR(MOD(TIMEVALUE(RTD("ice.rtd",,$C378 &amp; $D378 &amp; ":" &amp; M$1)), 1), "")</f>
        <v/>
      </c>
      <c r="N378" s="36">
        <f>RTD("ice.rtd",,$C378 &amp; $D378 &amp; ":" &amp; N$1)</f>
        <v>0</v>
      </c>
      <c r="O378" s="36">
        <f>RTD("ice.rtd",,$C378 &amp; $D378 &amp; ":" &amp; O$1)</f>
        <v>0</v>
      </c>
      <c r="P3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78" s="14" t="str">
        <f>IF(ICE[[#This Row],[LastType]] = "Scrn", ICE[[#This Row],[LstDate]], IF(ICE[[#This Row],[LastType]] = "Blk", ICE[[#This Row],[LstBlkTime]], ""))</f>
        <v/>
      </c>
      <c r="R378" s="41" t="str">
        <f>IF(ICE[[#This Row],[LastType]] = "Scrn", ICE[[#This Row],[LstPrc]], IF(ICE[[#This Row],[LastType]] = "Blk", ICE[[#This Row],[LstBlkPrc]], ""))</f>
        <v/>
      </c>
      <c r="S378" s="36">
        <f>ICE[[#This Row],[Vol]]+ICE[[#This Row],[BlkVol]]</f>
        <v>0</v>
      </c>
      <c r="T378" s="36">
        <f>RTD("ice.rtd",,$C378 &amp; $D378 &amp; ":" &amp; T$1)</f>
        <v>0</v>
      </c>
      <c r="U378" s="18">
        <f>RTD("ice.rtd",,$C378 &amp; $D378 &amp; ":" &amp; U$1)</f>
        <v>7.3310000000000004</v>
      </c>
      <c r="V3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78" s="18" t="str">
        <f>IFERROR(IF(LEFT(ICE[[#This Row],[Tenor]], 1) = "B", RTD("esrtd",,$B378 &amp; " " &amp; ICE[[#This Row],[Tenor]] &amp; "-IEU", W$1), RTD("esrtd",,$B378 &amp; " " &amp; VLOOKUP(MONTH(ICE[[#This Row],[Strip]]), MthRef[], 2, 0) &amp; RIGHT(YEAR(ICE[[#This Row],[Strip]]), 2) &amp; "-IEU", W$1)), "")</f>
        <v/>
      </c>
      <c r="X378" s="36"/>
    </row>
    <row r="379" spans="1:24" x14ac:dyDescent="0.25">
      <c r="A379" s="37" t="s">
        <v>829</v>
      </c>
      <c r="B379" s="3" t="str">
        <f>RTD("ice.rtd",,$C379 &amp; $D379 &amp; ":" &amp; B$1)</f>
        <v>AEB</v>
      </c>
      <c r="C379" s="3">
        <v>46678127</v>
      </c>
      <c r="D379" t="s">
        <v>822</v>
      </c>
      <c r="E379" s="3" t="str">
        <f>RTD("ice.rtd",,$C379 &amp; $D379 &amp; ":" &amp; E$1)</f>
        <v>Cal 27</v>
      </c>
      <c r="F379" s="3" t="str">
        <f>ICE[[#This Row],[Prod]]&amp;ICE[[#This Row],[Strip]]</f>
        <v>ebobbrxbblCal 27</v>
      </c>
      <c r="G379" s="18">
        <f>RTD("ice.rtd",,$C379 &amp; $D379 &amp; ":" &amp; G$1)</f>
        <v>17.8</v>
      </c>
      <c r="H379" s="18">
        <f>RTD("ice.rtd",,$C379 &amp; $D379 &amp; ":" &amp; H$1)</f>
        <v>21.1</v>
      </c>
      <c r="I379" s="18" t="str">
        <f>RTD("ice.rtd",,$C379 &amp; $D379 &amp; ":" &amp; I$1)</f>
        <v/>
      </c>
      <c r="J379" s="14" t="str">
        <f>IFERROR(MOD(RTD("ice.rtd",,$C379 &amp; $D379 &amp; ":" &amp; J$1), 1), "")</f>
        <v/>
      </c>
      <c r="K379" s="18" t="str">
        <f>RTD("ice.rtd",,$C379 &amp; $D379 &amp; ":" &amp; K$1)</f>
        <v/>
      </c>
      <c r="L379" s="36" t="str">
        <f>RTD("ice.rtd",,$C379 &amp; $D379 &amp; ":" &amp; L$1)</f>
        <v/>
      </c>
      <c r="M379" s="14" t="str">
        <f>IFERROR(MOD(TIMEVALUE(RTD("ice.rtd",,$C379 &amp; $D379 &amp; ":" &amp; M$1)), 1), "")</f>
        <v/>
      </c>
      <c r="N379" s="36">
        <f>RTD("ice.rtd",,$C379 &amp; $D379 &amp; ":" &amp; N$1)</f>
        <v>0</v>
      </c>
      <c r="O379" s="36">
        <f>RTD("ice.rtd",,$C379 &amp; $D379 &amp; ":" &amp; O$1)</f>
        <v>0</v>
      </c>
      <c r="P3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79" s="14" t="str">
        <f>IF(ICE[[#This Row],[LastType]] = "Scrn", ICE[[#This Row],[LstDate]], IF(ICE[[#This Row],[LastType]] = "Blk", ICE[[#This Row],[LstBlkTime]], ""))</f>
        <v/>
      </c>
      <c r="R379" s="41" t="str">
        <f>IF(ICE[[#This Row],[LastType]] = "Scrn", ICE[[#This Row],[LstPrc]], IF(ICE[[#This Row],[LastType]] = "Blk", ICE[[#This Row],[LstBlkPrc]], ""))</f>
        <v/>
      </c>
      <c r="S379" s="36">
        <f>ICE[[#This Row],[Vol]]+ICE[[#This Row],[BlkVol]]</f>
        <v>0</v>
      </c>
      <c r="T379" s="36">
        <f>RTD("ice.rtd",,$C379 &amp; $D379 &amp; ":" &amp; T$1)</f>
        <v>0</v>
      </c>
      <c r="U379" s="18">
        <f>RTD("ice.rtd",,$C379 &amp; $D379 &amp; ":" &amp; U$1)</f>
        <v>19.117000000000001</v>
      </c>
      <c r="V3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17.80 / 21.10 </v>
      </c>
      <c r="W379" s="18" t="str">
        <f>IFERROR(IF(LEFT(ICE[[#This Row],[Tenor]], 1) = "B", RTD("esrtd",,$B379 &amp; " " &amp; ICE[[#This Row],[Tenor]] &amp; "-IEU", W$1), RTD("esrtd",,$B379 &amp; " " &amp; VLOOKUP(MONTH(ICE[[#This Row],[Strip]]), MthRef[], 2, 0) &amp; RIGHT(YEAR(ICE[[#This Row],[Strip]]), 2) &amp; "-IEU", W$1)), "")</f>
        <v/>
      </c>
      <c r="X379" s="36"/>
    </row>
    <row r="380" spans="1:24" x14ac:dyDescent="0.25">
      <c r="A380" s="37" t="s">
        <v>829</v>
      </c>
      <c r="B380" s="3" t="str">
        <f>RTD("ice.rtd",,$C380 &amp; $D380 &amp; ":" &amp; B$1)</f>
        <v>AEB</v>
      </c>
      <c r="C380" s="3">
        <v>46678127</v>
      </c>
      <c r="D380" t="s">
        <v>823</v>
      </c>
      <c r="E380" s="3" t="str">
        <f>RTD("ice.rtd",,$C380 &amp; $D380 &amp; ":" &amp; E$1)</f>
        <v>Cal 28</v>
      </c>
      <c r="F380" s="3" t="str">
        <f>ICE[[#This Row],[Prod]]&amp;ICE[[#This Row],[Strip]]</f>
        <v>ebobbrxbblCal 28</v>
      </c>
      <c r="G380" s="18">
        <f>RTD("ice.rtd",,$C380 &amp; $D380 &amp; ":" &amp; G$1)</f>
        <v>7.5</v>
      </c>
      <c r="H380" s="18" t="str">
        <f>RTD("ice.rtd",,$C380 &amp; $D380 &amp; ":" &amp; H$1)</f>
        <v/>
      </c>
      <c r="I380" s="18" t="str">
        <f>RTD("ice.rtd",,$C380 &amp; $D380 &amp; ":" &amp; I$1)</f>
        <v/>
      </c>
      <c r="J380" s="14" t="str">
        <f>IFERROR(MOD(RTD("ice.rtd",,$C380 &amp; $D380 &amp; ":" &amp; J$1), 1), "")</f>
        <v/>
      </c>
      <c r="K380" s="18" t="str">
        <f>RTD("ice.rtd",,$C380 &amp; $D380 &amp; ":" &amp; K$1)</f>
        <v/>
      </c>
      <c r="L380" s="36" t="str">
        <f>RTD("ice.rtd",,$C380 &amp; $D380 &amp; ":" &amp; L$1)</f>
        <v/>
      </c>
      <c r="M380" s="14" t="str">
        <f>IFERROR(MOD(TIMEVALUE(RTD("ice.rtd",,$C380 &amp; $D380 &amp; ":" &amp; M$1)), 1), "")</f>
        <v/>
      </c>
      <c r="N380" s="36">
        <f>RTD("ice.rtd",,$C380 &amp; $D380 &amp; ":" &amp; N$1)</f>
        <v>0</v>
      </c>
      <c r="O380" s="36">
        <f>RTD("ice.rtd",,$C380 &amp; $D380 &amp; ":" &amp; O$1)</f>
        <v>0</v>
      </c>
      <c r="P3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80" s="14" t="str">
        <f>IF(ICE[[#This Row],[LastType]] = "Scrn", ICE[[#This Row],[LstDate]], IF(ICE[[#This Row],[LastType]] = "Blk", ICE[[#This Row],[LstBlkTime]], ""))</f>
        <v/>
      </c>
      <c r="R380" s="41" t="str">
        <f>IF(ICE[[#This Row],[LastType]] = "Scrn", ICE[[#This Row],[LstPrc]], IF(ICE[[#This Row],[LastType]] = "Blk", ICE[[#This Row],[LstBlkPrc]], ""))</f>
        <v/>
      </c>
      <c r="S380" s="36">
        <f>ICE[[#This Row],[Vol]]+ICE[[#This Row],[BlkVol]]</f>
        <v>0</v>
      </c>
      <c r="T380" s="36">
        <f>RTD("ice.rtd",,$C380 &amp; $D380 &amp; ":" &amp; T$1)</f>
        <v>0</v>
      </c>
      <c r="U380" s="18">
        <f>RTD("ice.rtd",,$C380 &amp; $D380 &amp; ":" &amp; U$1)</f>
        <v>11.473000000000001</v>
      </c>
      <c r="V3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7.50 /  </v>
      </c>
      <c r="W380" s="18" t="str">
        <f>IFERROR(IF(LEFT(ICE[[#This Row],[Tenor]], 1) = "B", RTD("esrtd",,$B380 &amp; " " &amp; ICE[[#This Row],[Tenor]] &amp; "-IEU", W$1), RTD("esrtd",,$B380 &amp; " " &amp; VLOOKUP(MONTH(ICE[[#This Row],[Strip]]), MthRef[], 2, 0) &amp; RIGHT(YEAR(ICE[[#This Row],[Strip]]), 2) &amp; "-IEU", W$1)), "")</f>
        <v/>
      </c>
      <c r="X380" s="36"/>
    </row>
    <row r="381" spans="1:24" x14ac:dyDescent="0.25">
      <c r="A381" s="37" t="s">
        <v>829</v>
      </c>
      <c r="B381" s="3" t="str">
        <f>RTD("ice.rtd",,$C381 &amp; $D381 &amp; ":" &amp; B$1)</f>
        <v>Invalid Market: 46678127Y2</v>
      </c>
      <c r="C381" s="3">
        <v>46678127</v>
      </c>
      <c r="D381" t="s">
        <v>824</v>
      </c>
      <c r="E381" s="3" t="str">
        <f>RTD("ice.rtd",,$C381 &amp; $D381 &amp; ":" &amp; E$1)</f>
        <v>Invalid Market: 46678127Y2</v>
      </c>
      <c r="F381" s="3" t="str">
        <f>ICE[[#This Row],[Prod]]&amp;ICE[[#This Row],[Strip]]</f>
        <v>ebobbrxbblInvalid Market: 46678127Y2</v>
      </c>
      <c r="G381" s="18" t="str">
        <f>RTD("ice.rtd",,$C381 &amp; $D381 &amp; ":" &amp; G$1)</f>
        <v>Invalid Market: 46678127Y2</v>
      </c>
      <c r="H381" s="18" t="str">
        <f>RTD("ice.rtd",,$C381 &amp; $D381 &amp; ":" &amp; H$1)</f>
        <v>Invalid Market: 46678127Y2</v>
      </c>
      <c r="I381" s="18" t="str">
        <f>RTD("ice.rtd",,$C381 &amp; $D381 &amp; ":" &amp; I$1)</f>
        <v>Invalid Market: 46678127Y2</v>
      </c>
      <c r="J381" s="14" t="str">
        <f>IFERROR(MOD(RTD("ice.rtd",,$C381 &amp; $D381 &amp; ":" &amp; J$1), 1), "")</f>
        <v/>
      </c>
      <c r="K381" s="18" t="str">
        <f>RTD("ice.rtd",,$C381 &amp; $D381 &amp; ":" &amp; K$1)</f>
        <v>Invalid Market: 46678127Y2</v>
      </c>
      <c r="L381" s="36" t="str">
        <f>RTD("ice.rtd",,$C381 &amp; $D381 &amp; ":" &amp; L$1)</f>
        <v>Invalid Market: 46678127Y2</v>
      </c>
      <c r="M381" s="14" t="str">
        <f>IFERROR(MOD(TIMEVALUE(RTD("ice.rtd",,$C381 &amp; $D381 &amp; ":" &amp; M$1)), 1), "")</f>
        <v/>
      </c>
      <c r="N381" s="36" t="str">
        <f>RTD("ice.rtd",,$C381 &amp; $D381 &amp; ":" &amp; N$1)</f>
        <v>Invalid Market: 46678127Y2</v>
      </c>
      <c r="O381" s="36" t="str">
        <f>RTD("ice.rtd",,$C381 &amp; $D381 &amp; ":" &amp; O$1)</f>
        <v>Invalid Market: 46678127Y2</v>
      </c>
      <c r="P3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381" s="14" t="str">
        <f>IF(ICE[[#This Row],[LastType]] = "Scrn", ICE[[#This Row],[LstDate]], IF(ICE[[#This Row],[LastType]] = "Blk", ICE[[#This Row],[LstBlkTime]], ""))</f>
        <v/>
      </c>
      <c r="R381" s="41" t="str">
        <f>IF(ICE[[#This Row],[LastType]] = "Scrn", ICE[[#This Row],[LstPrc]], IF(ICE[[#This Row],[LastType]] = "Blk", ICE[[#This Row],[LstBlkPrc]], ""))</f>
        <v/>
      </c>
      <c r="S381" s="36" t="e">
        <f>ICE[[#This Row],[Vol]]+ICE[[#This Row],[BlkVol]]</f>
        <v>#VALUE!</v>
      </c>
      <c r="T381" s="36" t="str">
        <f>RTD("ice.rtd",,$C381 &amp; $D381 &amp; ":" &amp; T$1)</f>
        <v>Invalid Market: 46678127Y2</v>
      </c>
      <c r="U381" s="18" t="str">
        <f>RTD("ice.rtd",,$C381 &amp; $D381 &amp; ":" &amp; U$1)</f>
        <v>Invalid Market: 46678127Y2</v>
      </c>
      <c r="V3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381" s="18" t="str">
        <f>IFERROR(IF(LEFT(ICE[[#This Row],[Tenor]], 1) = "B", RTD("esrtd",,$B381 &amp; " " &amp; ICE[[#This Row],[Tenor]] &amp; "-IEU", W$1), RTD("esrtd",,$B381 &amp; " " &amp; VLOOKUP(MONTH(ICE[[#This Row],[Strip]]), MthRef[], 2, 0) &amp; RIGHT(YEAR(ICE[[#This Row],[Strip]]), 2) &amp; "-IEU", W$1)), "")</f>
        <v/>
      </c>
      <c r="X381" s="36"/>
    </row>
    <row r="382" spans="1:24" x14ac:dyDescent="0.25">
      <c r="A382" s="71" t="s">
        <v>393</v>
      </c>
      <c r="B382" s="3" t="str">
        <f>RTD("ice.rtd",,$C382 &amp; $D382 &amp; ":" &amp; B$1)</f>
        <v>Invalid Market: CALCB0</v>
      </c>
      <c r="C382" s="72" t="s">
        <v>827</v>
      </c>
      <c r="D382" s="73" t="s">
        <v>792</v>
      </c>
      <c r="E382" s="72" t="str">
        <f t="shared" ref="E382:E399" si="6">E344</f>
        <v>Bal Month</v>
      </c>
      <c r="F382" s="72" t="str">
        <f>ICE[[#This Row],[Prod]]&amp;ICE[[#This Row],[Strip]]</f>
        <v>ebobbrxBal Month</v>
      </c>
      <c r="G382" s="75"/>
      <c r="H382" s="75" t="str">
        <f>IF(ISNUMBER(H306), IF(ISNUMBER(H344), MAX(H306, H344), H306), IF(ISNUMBER(H344), H344, ""))</f>
        <v/>
      </c>
      <c r="I382" s="75"/>
      <c r="J382" s="76"/>
      <c r="K382" s="75"/>
      <c r="L382" s="74"/>
      <c r="M382" s="76"/>
      <c r="N382" s="74"/>
      <c r="O382" s="74"/>
      <c r="P382" s="74"/>
      <c r="Q382" s="76"/>
      <c r="R382" s="75" t="str">
        <f>IF(ISNUMBER(R306), IF(ISNUMBER(R344), IF(Q306&gt;Q344, R306, R344), R306), IF(ISNUMBER(R344), R344, ""))</f>
        <v/>
      </c>
      <c r="S382" s="74">
        <f>S306*8.33 + S344</f>
        <v>0</v>
      </c>
      <c r="T382" s="74">
        <f>T306*8.33 + T344</f>
        <v>0</v>
      </c>
      <c r="U382" s="75">
        <f>U344</f>
        <v>44.64</v>
      </c>
      <c r="V3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82" s="18" t="str">
        <f>IFERROR(IF(LEFT(ICE[[#This Row],[Tenor]], 1) = "B", RTD("esrtd",,$B382 &amp; " " &amp; ICE[[#This Row],[Tenor]] &amp; "-IEU", W$1), RTD("esrtd",,$B382 &amp; " " &amp; VLOOKUP(MONTH(ICE[[#This Row],[Strip]]), MthRef[], 2, 0) &amp; RIGHT(YEAR(ICE[[#This Row],[Strip]]), 2) &amp; "-IEU", W$1)), "")</f>
        <v/>
      </c>
      <c r="X382" s="36"/>
    </row>
    <row r="383" spans="1:24" x14ac:dyDescent="0.25">
      <c r="A383" s="71" t="s">
        <v>393</v>
      </c>
      <c r="B383" s="3" t="str">
        <f>RTD("ice.rtd",,$C383 &amp; $D383 &amp; ":" &amp; B$1)</f>
        <v>Invalid Market: CALCM0</v>
      </c>
      <c r="C383" s="72" t="s">
        <v>827</v>
      </c>
      <c r="D383" s="73" t="s">
        <v>793</v>
      </c>
      <c r="E383" s="72" t="str">
        <f t="shared" si="6"/>
        <v>Sep26</v>
      </c>
      <c r="F383" s="72" t="str">
        <f>ICE[[#This Row],[Prod]]&amp;ICE[[#This Row],[Strip]]</f>
        <v>ebobbrxSep26</v>
      </c>
      <c r="G383" s="75"/>
      <c r="H383" s="75" t="str">
        <f t="shared" ref="H383:H419" si="7">IF(ISNUMBER(H307), IF(ISNUMBER(H345), MAX(H307, H345), H307), IF(ISNUMBER(H345), H345, ""))</f>
        <v/>
      </c>
      <c r="I383" s="75"/>
      <c r="J383" s="76"/>
      <c r="K383" s="75"/>
      <c r="L383" s="74"/>
      <c r="M383" s="76"/>
      <c r="N383" s="74"/>
      <c r="O383" s="74"/>
      <c r="P383" s="74"/>
      <c r="Q383" s="76"/>
      <c r="R383" s="75" t="str">
        <f t="shared" ref="R383:R419" si="8">IF(ISNUMBER(R307), IF(ISNUMBER(R345), IF(Q307&gt;Q345, R307, R345), R307), IF(ISNUMBER(R345), R345, ""))</f>
        <v/>
      </c>
      <c r="S383" s="74">
        <f t="shared" ref="S383:T419" si="9">S307*8.33 + S345</f>
        <v>0</v>
      </c>
      <c r="T383" s="74">
        <f t="shared" si="9"/>
        <v>28784.5</v>
      </c>
      <c r="U383" s="75">
        <f t="shared" ref="U383:U419" si="10">U345</f>
        <v>44.64</v>
      </c>
      <c r="V3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83" s="18" t="str">
        <f>IFERROR(IF(LEFT(ICE[[#This Row],[Tenor]], 1) = "B", RTD("esrtd",,$B383 &amp; " " &amp; ICE[[#This Row],[Tenor]] &amp; "-IEU", W$1), RTD("esrtd",,$B383 &amp; " " &amp; VLOOKUP(MONTH(ICE[[#This Row],[Strip]]), MthRef[], 2, 0) &amp; RIGHT(YEAR(ICE[[#This Row],[Strip]]), 2) &amp; "-IEU", W$1)), "")</f>
        <v/>
      </c>
      <c r="X383" s="36"/>
    </row>
    <row r="384" spans="1:24" x14ac:dyDescent="0.25">
      <c r="A384" s="71" t="s">
        <v>393</v>
      </c>
      <c r="B384" s="3" t="str">
        <f>RTD("ice.rtd",,$C384 &amp; $D384 &amp; ":" &amp; B$1)</f>
        <v>Invalid Market: CALCM1</v>
      </c>
      <c r="C384" s="72" t="s">
        <v>827</v>
      </c>
      <c r="D384" s="73" t="s">
        <v>324</v>
      </c>
      <c r="E384" s="72" t="str">
        <f t="shared" si="6"/>
        <v>Oct26</v>
      </c>
      <c r="F384" s="72" t="str">
        <f>ICE[[#This Row],[Prod]]&amp;ICE[[#This Row],[Strip]]</f>
        <v>ebobbrxOct26</v>
      </c>
      <c r="G384" s="75"/>
      <c r="H384" s="75">
        <f t="shared" si="7"/>
        <v>31.4</v>
      </c>
      <c r="I384" s="75"/>
      <c r="J384" s="76"/>
      <c r="K384" s="75"/>
      <c r="L384" s="74"/>
      <c r="M384" s="76"/>
      <c r="N384" s="74"/>
      <c r="O384" s="74"/>
      <c r="P384" s="74"/>
      <c r="Q384" s="76"/>
      <c r="R384" s="75">
        <f t="shared" si="8"/>
        <v>30.8</v>
      </c>
      <c r="S384" s="74">
        <f t="shared" si="9"/>
        <v>1283.6100000000001</v>
      </c>
      <c r="T384" s="74">
        <f t="shared" si="9"/>
        <v>13186.69</v>
      </c>
      <c r="U384" s="75">
        <f t="shared" si="10"/>
        <v>29.3</v>
      </c>
      <c r="V3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31.40 {30.80} |1,284x</v>
      </c>
      <c r="W384" s="18" t="str">
        <f>IFERROR(IF(LEFT(ICE[[#This Row],[Tenor]], 1) = "B", RTD("esrtd",,$B384 &amp; " " &amp; ICE[[#This Row],[Tenor]] &amp; "-IEU", W$1), RTD("esrtd",,$B384 &amp; " " &amp; VLOOKUP(MONTH(ICE[[#This Row],[Strip]]), MthRef[], 2, 0) &amp; RIGHT(YEAR(ICE[[#This Row],[Strip]]), 2) &amp; "-IEU", W$1)), "")</f>
        <v/>
      </c>
      <c r="X384" s="36"/>
    </row>
    <row r="385" spans="1:24" x14ac:dyDescent="0.25">
      <c r="A385" s="71" t="s">
        <v>393</v>
      </c>
      <c r="B385" s="3" t="str">
        <f>RTD("ice.rtd",,$C385 &amp; $D385 &amp; ":" &amp; B$1)</f>
        <v>Invalid Market: CALCM2</v>
      </c>
      <c r="C385" s="72" t="s">
        <v>827</v>
      </c>
      <c r="D385" s="73" t="s">
        <v>325</v>
      </c>
      <c r="E385" s="72" t="str">
        <f t="shared" si="6"/>
        <v>Nov26</v>
      </c>
      <c r="F385" s="72" t="str">
        <f>ICE[[#This Row],[Prod]]&amp;ICE[[#This Row],[Strip]]</f>
        <v>ebobbrxNov26</v>
      </c>
      <c r="G385" s="75"/>
      <c r="H385" s="75">
        <f t="shared" si="7"/>
        <v>24.6</v>
      </c>
      <c r="I385" s="75"/>
      <c r="J385" s="76"/>
      <c r="K385" s="75"/>
      <c r="L385" s="74"/>
      <c r="M385" s="76"/>
      <c r="N385" s="74"/>
      <c r="O385" s="74"/>
      <c r="P385" s="74"/>
      <c r="Q385" s="76"/>
      <c r="R385" s="75">
        <f t="shared" si="8"/>
        <v>24.05</v>
      </c>
      <c r="S385" s="74">
        <f t="shared" si="9"/>
        <v>380</v>
      </c>
      <c r="T385" s="74">
        <f t="shared" si="9"/>
        <v>10215.11</v>
      </c>
      <c r="U385" s="75">
        <f t="shared" si="10"/>
        <v>22.699000000000002</v>
      </c>
      <c r="V3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24.60 {24.05} |380x</v>
      </c>
      <c r="W385" s="18" t="str">
        <f>IFERROR(IF(LEFT(ICE[[#This Row],[Tenor]], 1) = "B", RTD("esrtd",,$B385 &amp; " " &amp; ICE[[#This Row],[Tenor]] &amp; "-IEU", W$1), RTD("esrtd",,$B385 &amp; " " &amp; VLOOKUP(MONTH(ICE[[#This Row],[Strip]]), MthRef[], 2, 0) &amp; RIGHT(YEAR(ICE[[#This Row],[Strip]]), 2) &amp; "-IEU", W$1)), "")</f>
        <v/>
      </c>
      <c r="X385" s="36"/>
    </row>
    <row r="386" spans="1:24" x14ac:dyDescent="0.25">
      <c r="A386" s="71" t="s">
        <v>393</v>
      </c>
      <c r="B386" s="3" t="str">
        <f>RTD("ice.rtd",,$C386 &amp; $D386 &amp; ":" &amp; B$1)</f>
        <v>Invalid Market: CALCM3</v>
      </c>
      <c r="C386" s="72" t="s">
        <v>827</v>
      </c>
      <c r="D386" s="73" t="s">
        <v>326</v>
      </c>
      <c r="E386" s="72" t="str">
        <f t="shared" si="6"/>
        <v>Dec26</v>
      </c>
      <c r="F386" s="72" t="str">
        <f>ICE[[#This Row],[Prod]]&amp;ICE[[#This Row],[Strip]]</f>
        <v>ebobbrxDec26</v>
      </c>
      <c r="G386" s="75"/>
      <c r="H386" s="75">
        <f t="shared" si="7"/>
        <v>20.25</v>
      </c>
      <c r="I386" s="75"/>
      <c r="J386" s="76"/>
      <c r="K386" s="75"/>
      <c r="L386" s="74"/>
      <c r="M386" s="76"/>
      <c r="N386" s="74"/>
      <c r="O386" s="74"/>
      <c r="P386" s="74"/>
      <c r="Q386" s="76"/>
      <c r="R386" s="75" t="str">
        <f t="shared" si="8"/>
        <v/>
      </c>
      <c r="S386" s="74">
        <f t="shared" si="9"/>
        <v>60</v>
      </c>
      <c r="T386" s="74">
        <f t="shared" si="9"/>
        <v>13517.45</v>
      </c>
      <c r="U386" s="75">
        <f t="shared" si="10"/>
        <v>18.903000000000002</v>
      </c>
      <c r="V3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20.25  |60x</v>
      </c>
      <c r="W386" s="18" t="str">
        <f>IFERROR(IF(LEFT(ICE[[#This Row],[Tenor]], 1) = "B", RTD("esrtd",,$B386 &amp; " " &amp; ICE[[#This Row],[Tenor]] &amp; "-IEU", W$1), RTD("esrtd",,$B386 &amp; " " &amp; VLOOKUP(MONTH(ICE[[#This Row],[Strip]]), MthRef[], 2, 0) &amp; RIGHT(YEAR(ICE[[#This Row],[Strip]]), 2) &amp; "-IEU", W$1)), "")</f>
        <v/>
      </c>
      <c r="X386" s="36"/>
    </row>
    <row r="387" spans="1:24" x14ac:dyDescent="0.25">
      <c r="A387" s="71" t="s">
        <v>393</v>
      </c>
      <c r="B387" s="3" t="str">
        <f>RTD("ice.rtd",,$C387 &amp; $D387 &amp; ":" &amp; B$1)</f>
        <v>Invalid Market: CALCM4</v>
      </c>
      <c r="C387" s="72" t="s">
        <v>827</v>
      </c>
      <c r="D387" s="73" t="s">
        <v>794</v>
      </c>
      <c r="E387" s="72" t="str">
        <f t="shared" si="6"/>
        <v>Jan27</v>
      </c>
      <c r="F387" s="72" t="str">
        <f>ICE[[#This Row],[Prod]]&amp;ICE[[#This Row],[Strip]]</f>
        <v>ebobbrxJan27</v>
      </c>
      <c r="G387" s="75"/>
      <c r="H387" s="75">
        <f t="shared" si="7"/>
        <v>19.75</v>
      </c>
      <c r="I387" s="75"/>
      <c r="J387" s="76"/>
      <c r="K387" s="75"/>
      <c r="L387" s="74"/>
      <c r="M387" s="76"/>
      <c r="N387" s="74"/>
      <c r="O387" s="74"/>
      <c r="P387" s="74"/>
      <c r="Q387" s="76"/>
      <c r="R387" s="75">
        <f t="shared" si="8"/>
        <v>18.899999999999999</v>
      </c>
      <c r="S387" s="74">
        <f t="shared" si="9"/>
        <v>85</v>
      </c>
      <c r="T387" s="74">
        <f t="shared" si="9"/>
        <v>5375.12</v>
      </c>
      <c r="U387" s="75">
        <f t="shared" si="10"/>
        <v>18.556000000000001</v>
      </c>
      <c r="V3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19.75 {18.90} |85x</v>
      </c>
      <c r="W387" s="18" t="str">
        <f>IFERROR(IF(LEFT(ICE[[#This Row],[Tenor]], 1) = "B", RTD("esrtd",,$B387 &amp; " " &amp; ICE[[#This Row],[Tenor]] &amp; "-IEU", W$1), RTD("esrtd",,$B387 &amp; " " &amp; VLOOKUP(MONTH(ICE[[#This Row],[Strip]]), MthRef[], 2, 0) &amp; RIGHT(YEAR(ICE[[#This Row],[Strip]]), 2) &amp; "-IEU", W$1)), "")</f>
        <v/>
      </c>
      <c r="X387" s="36"/>
    </row>
    <row r="388" spans="1:24" x14ac:dyDescent="0.25">
      <c r="A388" s="71" t="s">
        <v>393</v>
      </c>
      <c r="B388" s="3" t="str">
        <f>RTD("ice.rtd",,$C388 &amp; $D388 &amp; ":" &amp; B$1)</f>
        <v>Invalid Market: CALCM5</v>
      </c>
      <c r="C388" s="72" t="s">
        <v>827</v>
      </c>
      <c r="D388" s="73" t="s">
        <v>795</v>
      </c>
      <c r="E388" s="72" t="str">
        <f t="shared" si="6"/>
        <v>Feb27</v>
      </c>
      <c r="F388" s="72" t="str">
        <f>ICE[[#This Row],[Prod]]&amp;ICE[[#This Row],[Strip]]</f>
        <v>ebobbrxFeb27</v>
      </c>
      <c r="G388" s="75"/>
      <c r="H388" s="75">
        <f t="shared" si="7"/>
        <v>20.45</v>
      </c>
      <c r="I388" s="75"/>
      <c r="J388" s="76"/>
      <c r="K388" s="75"/>
      <c r="L388" s="74"/>
      <c r="M388" s="76"/>
      <c r="N388" s="74"/>
      <c r="O388" s="74"/>
      <c r="P388" s="74"/>
      <c r="Q388" s="76"/>
      <c r="R388" s="75" t="str">
        <f t="shared" si="8"/>
        <v/>
      </c>
      <c r="S388" s="74">
        <f t="shared" si="9"/>
        <v>60</v>
      </c>
      <c r="T388" s="74">
        <f t="shared" si="9"/>
        <v>5513.15</v>
      </c>
      <c r="U388" s="75">
        <f t="shared" si="10"/>
        <v>19.260999999999999</v>
      </c>
      <c r="V3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20.45  |60x</v>
      </c>
      <c r="W388" s="18" t="str">
        <f>IFERROR(IF(LEFT(ICE[[#This Row],[Tenor]], 1) = "B", RTD("esrtd",,$B388 &amp; " " &amp; ICE[[#This Row],[Tenor]] &amp; "-IEU", W$1), RTD("esrtd",,$B388 &amp; " " &amp; VLOOKUP(MONTH(ICE[[#This Row],[Strip]]), MthRef[], 2, 0) &amp; RIGHT(YEAR(ICE[[#This Row],[Strip]]), 2) &amp; "-IEU", W$1)), "")</f>
        <v/>
      </c>
      <c r="X388" s="36"/>
    </row>
    <row r="389" spans="1:24" x14ac:dyDescent="0.25">
      <c r="A389" s="71" t="s">
        <v>393</v>
      </c>
      <c r="B389" s="3" t="str">
        <f>RTD("ice.rtd",,$C389 &amp; $D389 &amp; ":" &amp; B$1)</f>
        <v>Invalid Market: CALCM6</v>
      </c>
      <c r="C389" s="72" t="s">
        <v>827</v>
      </c>
      <c r="D389" s="73" t="s">
        <v>113</v>
      </c>
      <c r="E389" s="72" t="str">
        <f t="shared" si="6"/>
        <v>Mar27</v>
      </c>
      <c r="F389" s="72" t="str">
        <f>ICE[[#This Row],[Prod]]&amp;ICE[[#This Row],[Strip]]</f>
        <v>ebobbrxMar27</v>
      </c>
      <c r="G389" s="75"/>
      <c r="H389" s="75">
        <f t="shared" si="7"/>
        <v>21.3</v>
      </c>
      <c r="I389" s="75"/>
      <c r="J389" s="76"/>
      <c r="K389" s="75"/>
      <c r="L389" s="74"/>
      <c r="M389" s="76"/>
      <c r="N389" s="74"/>
      <c r="O389" s="74"/>
      <c r="P389" s="74"/>
      <c r="Q389" s="76"/>
      <c r="R389" s="75" t="str">
        <f t="shared" si="8"/>
        <v/>
      </c>
      <c r="S389" s="74">
        <f t="shared" si="9"/>
        <v>60</v>
      </c>
      <c r="T389" s="74">
        <f t="shared" si="9"/>
        <v>5693.5</v>
      </c>
      <c r="U389" s="75">
        <f t="shared" si="10"/>
        <v>20.215</v>
      </c>
      <c r="V3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21.30  |60x</v>
      </c>
      <c r="W389" s="18" t="str">
        <f>IFERROR(IF(LEFT(ICE[[#This Row],[Tenor]], 1) = "B", RTD("esrtd",,$B389 &amp; " " &amp; ICE[[#This Row],[Tenor]] &amp; "-IEU", W$1), RTD("esrtd",,$B389 &amp; " " &amp; VLOOKUP(MONTH(ICE[[#This Row],[Strip]]), MthRef[], 2, 0) &amp; RIGHT(YEAR(ICE[[#This Row],[Strip]]), 2) &amp; "-IEU", W$1)), "")</f>
        <v/>
      </c>
      <c r="X389" s="36"/>
    </row>
    <row r="390" spans="1:24" x14ac:dyDescent="0.25">
      <c r="A390" s="71" t="s">
        <v>393</v>
      </c>
      <c r="B390" s="3" t="str">
        <f>RTD("ice.rtd",,$C390 &amp; $D390 &amp; ":" &amp; B$1)</f>
        <v>Invalid Market: CALCM7</v>
      </c>
      <c r="C390" s="72" t="s">
        <v>827</v>
      </c>
      <c r="D390" s="73" t="s">
        <v>796</v>
      </c>
      <c r="E390" s="72" t="str">
        <f t="shared" si="6"/>
        <v>Apr27</v>
      </c>
      <c r="F390" s="72" t="str">
        <f>ICE[[#This Row],[Prod]]&amp;ICE[[#This Row],[Strip]]</f>
        <v>ebobbrxApr27</v>
      </c>
      <c r="G390" s="75"/>
      <c r="H390" s="75">
        <f t="shared" si="7"/>
        <v>25.6</v>
      </c>
      <c r="I390" s="75"/>
      <c r="J390" s="76"/>
      <c r="K390" s="75"/>
      <c r="L390" s="74"/>
      <c r="M390" s="76"/>
      <c r="N390" s="74"/>
      <c r="O390" s="74"/>
      <c r="P390" s="74"/>
      <c r="Q390" s="76"/>
      <c r="R390" s="75">
        <f t="shared" si="8"/>
        <v>24.7</v>
      </c>
      <c r="S390" s="74">
        <f t="shared" si="9"/>
        <v>100</v>
      </c>
      <c r="T390" s="74">
        <f t="shared" si="9"/>
        <v>3476.16</v>
      </c>
      <c r="U390" s="75">
        <f t="shared" si="10"/>
        <v>24.59</v>
      </c>
      <c r="V3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25.60 {24.70} |100x</v>
      </c>
      <c r="W390" s="18" t="str">
        <f>IFERROR(IF(LEFT(ICE[[#This Row],[Tenor]], 1) = "B", RTD("esrtd",,$B390 &amp; " " &amp; ICE[[#This Row],[Tenor]] &amp; "-IEU", W$1), RTD("esrtd",,$B390 &amp; " " &amp; VLOOKUP(MONTH(ICE[[#This Row],[Strip]]), MthRef[], 2, 0) &amp; RIGHT(YEAR(ICE[[#This Row],[Strip]]), 2) &amp; "-IEU", W$1)), "")</f>
        <v/>
      </c>
      <c r="X390" s="36"/>
    </row>
    <row r="391" spans="1:24" x14ac:dyDescent="0.25">
      <c r="A391" s="71" t="s">
        <v>393</v>
      </c>
      <c r="B391" s="3" t="str">
        <f>RTD("ice.rtd",,$C391 &amp; $D391 &amp; ":" &amp; B$1)</f>
        <v>Invalid Market: CALCM8</v>
      </c>
      <c r="C391" s="72" t="s">
        <v>827</v>
      </c>
      <c r="D391" s="73" t="s">
        <v>797</v>
      </c>
      <c r="E391" s="72" t="str">
        <f t="shared" si="6"/>
        <v>May27</v>
      </c>
      <c r="F391" s="72" t="str">
        <f>ICE[[#This Row],[Prod]]&amp;ICE[[#This Row],[Strip]]</f>
        <v>ebobbrxMay27</v>
      </c>
      <c r="G391" s="75"/>
      <c r="H391" s="75">
        <f t="shared" si="7"/>
        <v>25.35</v>
      </c>
      <c r="I391" s="75"/>
      <c r="J391" s="76"/>
      <c r="K391" s="75"/>
      <c r="L391" s="74"/>
      <c r="M391" s="76"/>
      <c r="N391" s="74"/>
      <c r="O391" s="74"/>
      <c r="P391" s="74"/>
      <c r="Q391" s="76"/>
      <c r="R391" s="75" t="str">
        <f t="shared" si="8"/>
        <v/>
      </c>
      <c r="S391" s="74">
        <f t="shared" si="9"/>
        <v>75</v>
      </c>
      <c r="T391" s="74">
        <f t="shared" si="9"/>
        <v>3785.2</v>
      </c>
      <c r="U391" s="75">
        <f t="shared" si="10"/>
        <v>24.309000000000001</v>
      </c>
      <c r="V3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25.35  |75x</v>
      </c>
      <c r="W391" s="18" t="str">
        <f>IFERROR(IF(LEFT(ICE[[#This Row],[Tenor]], 1) = "B", RTD("esrtd",,$B391 &amp; " " &amp; ICE[[#This Row],[Tenor]] &amp; "-IEU", W$1), RTD("esrtd",,$B391 &amp; " " &amp; VLOOKUP(MONTH(ICE[[#This Row],[Strip]]), MthRef[], 2, 0) &amp; RIGHT(YEAR(ICE[[#This Row],[Strip]]), 2) &amp; "-IEU", W$1)), "")</f>
        <v/>
      </c>
      <c r="X391" s="36"/>
    </row>
    <row r="392" spans="1:24" x14ac:dyDescent="0.25">
      <c r="A392" s="71" t="s">
        <v>393</v>
      </c>
      <c r="B392" s="3" t="str">
        <f>RTD("ice.rtd",,$C392 &amp; $D392 &amp; ":" &amp; B$1)</f>
        <v>Invalid Market: CALCM9</v>
      </c>
      <c r="C392" s="72" t="s">
        <v>827</v>
      </c>
      <c r="D392" s="73" t="s">
        <v>798</v>
      </c>
      <c r="E392" s="72" t="str">
        <f t="shared" si="6"/>
        <v>Jun27</v>
      </c>
      <c r="F392" s="72" t="str">
        <f>ICE[[#This Row],[Prod]]&amp;ICE[[#This Row],[Strip]]</f>
        <v>ebobbrxJun27</v>
      </c>
      <c r="G392" s="75"/>
      <c r="H392" s="75">
        <f t="shared" si="7"/>
        <v>24.5</v>
      </c>
      <c r="I392" s="75"/>
      <c r="J392" s="76"/>
      <c r="K392" s="75"/>
      <c r="L392" s="74"/>
      <c r="M392" s="76"/>
      <c r="N392" s="74"/>
      <c r="O392" s="74"/>
      <c r="P392" s="74"/>
      <c r="Q392" s="76"/>
      <c r="R392" s="75" t="str">
        <f t="shared" si="8"/>
        <v/>
      </c>
      <c r="S392" s="74">
        <f t="shared" si="9"/>
        <v>75</v>
      </c>
      <c r="T392" s="74">
        <f t="shared" si="9"/>
        <v>4473.51</v>
      </c>
      <c r="U392" s="75">
        <f t="shared" si="10"/>
        <v>23.388999999999999</v>
      </c>
      <c r="V3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24.50  |75x</v>
      </c>
      <c r="W392" s="18" t="str">
        <f>IFERROR(IF(LEFT(ICE[[#This Row],[Tenor]], 1) = "B", RTD("esrtd",,$B392 &amp; " " &amp; ICE[[#This Row],[Tenor]] &amp; "-IEU", W$1), RTD("esrtd",,$B392 &amp; " " &amp; VLOOKUP(MONTH(ICE[[#This Row],[Strip]]), MthRef[], 2, 0) &amp; RIGHT(YEAR(ICE[[#This Row],[Strip]]), 2) &amp; "-IEU", W$1)), "")</f>
        <v/>
      </c>
      <c r="X392" s="36"/>
    </row>
    <row r="393" spans="1:24" x14ac:dyDescent="0.25">
      <c r="A393" s="71" t="s">
        <v>393</v>
      </c>
      <c r="B393" s="3" t="str">
        <f>RTD("ice.rtd",,$C393 &amp; $D393 &amp; ":" &amp; B$1)</f>
        <v>Invalid Market: CALCM10</v>
      </c>
      <c r="C393" s="72" t="s">
        <v>827</v>
      </c>
      <c r="D393" s="73" t="s">
        <v>799</v>
      </c>
      <c r="E393" s="72" t="str">
        <f t="shared" si="6"/>
        <v>Jul27</v>
      </c>
      <c r="F393" s="72" t="str">
        <f>ICE[[#This Row],[Prod]]&amp;ICE[[#This Row],[Strip]]</f>
        <v>ebobbrxJul27</v>
      </c>
      <c r="G393" s="75"/>
      <c r="H393" s="75">
        <f t="shared" si="7"/>
        <v>23.25</v>
      </c>
      <c r="I393" s="75"/>
      <c r="J393" s="76"/>
      <c r="K393" s="75"/>
      <c r="L393" s="74"/>
      <c r="M393" s="76"/>
      <c r="N393" s="74"/>
      <c r="O393" s="74"/>
      <c r="P393" s="74"/>
      <c r="Q393" s="76"/>
      <c r="R393" s="75" t="str">
        <f t="shared" si="8"/>
        <v/>
      </c>
      <c r="S393" s="74">
        <f t="shared" si="9"/>
        <v>50</v>
      </c>
      <c r="T393" s="74">
        <f t="shared" si="9"/>
        <v>3589.6800000000003</v>
      </c>
      <c r="U393" s="75">
        <f t="shared" si="10"/>
        <v>22.205000000000002</v>
      </c>
      <c r="V3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23.25  |50x</v>
      </c>
      <c r="W393" s="18" t="str">
        <f>IFERROR(IF(LEFT(ICE[[#This Row],[Tenor]], 1) = "B", RTD("esrtd",,$B393 &amp; " " &amp; ICE[[#This Row],[Tenor]] &amp; "-IEU", W$1), RTD("esrtd",,$B393 &amp; " " &amp; VLOOKUP(MONTH(ICE[[#This Row],[Strip]]), MthRef[], 2, 0) &amp; RIGHT(YEAR(ICE[[#This Row],[Strip]]), 2) &amp; "-IEU", W$1)), "")</f>
        <v/>
      </c>
      <c r="X393" s="36"/>
    </row>
    <row r="394" spans="1:24" x14ac:dyDescent="0.25">
      <c r="A394" s="71" t="s">
        <v>393</v>
      </c>
      <c r="B394" s="3" t="str">
        <f>RTD("ice.rtd",,$C394 &amp; $D394 &amp; ":" &amp; B$1)</f>
        <v>Invalid Market: CALCM11</v>
      </c>
      <c r="C394" s="72" t="s">
        <v>827</v>
      </c>
      <c r="D394" s="73" t="s">
        <v>800</v>
      </c>
      <c r="E394" s="72" t="str">
        <f t="shared" si="6"/>
        <v>Aug27</v>
      </c>
      <c r="F394" s="72" t="str">
        <f>ICE[[#This Row],[Prod]]&amp;ICE[[#This Row],[Strip]]</f>
        <v>ebobbrxAug27</v>
      </c>
      <c r="G394" s="75"/>
      <c r="H394" s="75">
        <f t="shared" si="7"/>
        <v>21.75</v>
      </c>
      <c r="I394" s="75"/>
      <c r="J394" s="76"/>
      <c r="K394" s="75"/>
      <c r="L394" s="74"/>
      <c r="M394" s="76"/>
      <c r="N394" s="74"/>
      <c r="O394" s="74"/>
      <c r="P394" s="74"/>
      <c r="Q394" s="76"/>
      <c r="R394" s="75" t="str">
        <f t="shared" si="8"/>
        <v/>
      </c>
      <c r="S394" s="74">
        <f t="shared" si="9"/>
        <v>50</v>
      </c>
      <c r="T394" s="74">
        <f t="shared" si="9"/>
        <v>3409.69</v>
      </c>
      <c r="U394" s="75">
        <f t="shared" si="10"/>
        <v>20.881</v>
      </c>
      <c r="V3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21.75  |50x</v>
      </c>
      <c r="W394" s="18" t="str">
        <f>IFERROR(IF(LEFT(ICE[[#This Row],[Tenor]], 1) = "B", RTD("esrtd",,$B394 &amp; " " &amp; ICE[[#This Row],[Tenor]] &amp; "-IEU", W$1), RTD("esrtd",,$B394 &amp; " " &amp; VLOOKUP(MONTH(ICE[[#This Row],[Strip]]), MthRef[], 2, 0) &amp; RIGHT(YEAR(ICE[[#This Row],[Strip]]), 2) &amp; "-IEU", W$1)), "")</f>
        <v/>
      </c>
      <c r="X394" s="36"/>
    </row>
    <row r="395" spans="1:24" x14ac:dyDescent="0.25">
      <c r="A395" s="71" t="s">
        <v>393</v>
      </c>
      <c r="B395" s="3" t="str">
        <f>RTD("ice.rtd",,$C395 &amp; $D395 &amp; ":" &amp; B$1)</f>
        <v>Invalid Market: CALCM12</v>
      </c>
      <c r="C395" s="72" t="s">
        <v>827</v>
      </c>
      <c r="D395" s="73" t="s">
        <v>801</v>
      </c>
      <c r="E395" s="72" t="str">
        <f t="shared" si="6"/>
        <v>Sep27</v>
      </c>
      <c r="F395" s="72" t="str">
        <f>ICE[[#This Row],[Prod]]&amp;ICE[[#This Row],[Strip]]</f>
        <v>ebobbrxSep27</v>
      </c>
      <c r="G395" s="75"/>
      <c r="H395" s="75">
        <f t="shared" si="7"/>
        <v>19.75</v>
      </c>
      <c r="I395" s="75"/>
      <c r="J395" s="76"/>
      <c r="K395" s="75"/>
      <c r="L395" s="74"/>
      <c r="M395" s="76"/>
      <c r="N395" s="74"/>
      <c r="O395" s="74"/>
      <c r="P395" s="74"/>
      <c r="Q395" s="76"/>
      <c r="R395" s="75" t="str">
        <f t="shared" si="8"/>
        <v/>
      </c>
      <c r="S395" s="74">
        <f t="shared" si="9"/>
        <v>50</v>
      </c>
      <c r="T395" s="74">
        <f t="shared" si="9"/>
        <v>3973.06</v>
      </c>
      <c r="U395" s="75">
        <f t="shared" si="10"/>
        <v>18.988</v>
      </c>
      <c r="V3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19.75  |50x</v>
      </c>
      <c r="W395" s="18" t="str">
        <f>IFERROR(IF(LEFT(ICE[[#This Row],[Tenor]], 1) = "B", RTD("esrtd",,$B395 &amp; " " &amp; ICE[[#This Row],[Tenor]] &amp; "-IEU", W$1), RTD("esrtd",,$B395 &amp; " " &amp; VLOOKUP(MONTH(ICE[[#This Row],[Strip]]), MthRef[], 2, 0) &amp; RIGHT(YEAR(ICE[[#This Row],[Strip]]), 2) &amp; "-IEU", W$1)), "")</f>
        <v/>
      </c>
      <c r="X395" s="36"/>
    </row>
    <row r="396" spans="1:24" x14ac:dyDescent="0.25">
      <c r="A396" s="71" t="s">
        <v>393</v>
      </c>
      <c r="B396" s="3" t="str">
        <f>RTD("ice.rtd",,$C396 &amp; $D396 &amp; ":" &amp; B$1)</f>
        <v>Invalid Market: CALCM13</v>
      </c>
      <c r="C396" s="72" t="s">
        <v>827</v>
      </c>
      <c r="D396" s="73" t="s">
        <v>802</v>
      </c>
      <c r="E396" s="72" t="str">
        <f t="shared" si="6"/>
        <v>Oct27</v>
      </c>
      <c r="F396" s="72" t="str">
        <f>ICE[[#This Row],[Prod]]&amp;ICE[[#This Row],[Strip]]</f>
        <v>ebobbrxOct27</v>
      </c>
      <c r="G396" s="75"/>
      <c r="H396" s="75">
        <f t="shared" si="7"/>
        <v>14.9</v>
      </c>
      <c r="I396" s="75"/>
      <c r="J396" s="76"/>
      <c r="K396" s="75"/>
      <c r="L396" s="74"/>
      <c r="M396" s="76"/>
      <c r="N396" s="74"/>
      <c r="O396" s="74"/>
      <c r="P396" s="74"/>
      <c r="Q396" s="76"/>
      <c r="R396" s="75" t="str">
        <f t="shared" si="8"/>
        <v/>
      </c>
      <c r="S396" s="74">
        <f t="shared" si="9"/>
        <v>0</v>
      </c>
      <c r="T396" s="74">
        <f t="shared" si="9"/>
        <v>1577.25</v>
      </c>
      <c r="U396" s="75">
        <f t="shared" si="10"/>
        <v>14.266</v>
      </c>
      <c r="V3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14.90 </v>
      </c>
      <c r="W396" s="18" t="str">
        <f>IFERROR(IF(LEFT(ICE[[#This Row],[Tenor]], 1) = "B", RTD("esrtd",,$B396 &amp; " " &amp; ICE[[#This Row],[Tenor]] &amp; "-IEU", W$1), RTD("esrtd",,$B396 &amp; " " &amp; VLOOKUP(MONTH(ICE[[#This Row],[Strip]]), MthRef[], 2, 0) &amp; RIGHT(YEAR(ICE[[#This Row],[Strip]]), 2) &amp; "-IEU", W$1)), "")</f>
        <v/>
      </c>
      <c r="X396" s="36"/>
    </row>
    <row r="397" spans="1:24" x14ac:dyDescent="0.25">
      <c r="A397" s="71" t="s">
        <v>393</v>
      </c>
      <c r="B397" s="3" t="str">
        <f>RTD("ice.rtd",,$C397 &amp; $D397 &amp; ":" &amp; B$1)</f>
        <v>Invalid Market: CALCM14</v>
      </c>
      <c r="C397" s="72" t="s">
        <v>827</v>
      </c>
      <c r="D397" s="73" t="s">
        <v>803</v>
      </c>
      <c r="E397" s="72" t="str">
        <f t="shared" si="6"/>
        <v>Nov27</v>
      </c>
      <c r="F397" s="72" t="str">
        <f>ICE[[#This Row],[Prod]]&amp;ICE[[#This Row],[Strip]]</f>
        <v>ebobbrxNov27</v>
      </c>
      <c r="G397" s="75"/>
      <c r="H397" s="75">
        <f t="shared" si="7"/>
        <v>12.6</v>
      </c>
      <c r="I397" s="75"/>
      <c r="J397" s="76"/>
      <c r="K397" s="75"/>
      <c r="L397" s="74"/>
      <c r="M397" s="76"/>
      <c r="N397" s="74"/>
      <c r="O397" s="74"/>
      <c r="P397" s="74"/>
      <c r="Q397" s="76"/>
      <c r="R397" s="75" t="str">
        <f t="shared" si="8"/>
        <v/>
      </c>
      <c r="S397" s="74">
        <f t="shared" si="9"/>
        <v>0</v>
      </c>
      <c r="T397" s="74">
        <f t="shared" si="9"/>
        <v>1510.59</v>
      </c>
      <c r="U397" s="75">
        <f t="shared" si="10"/>
        <v>12.013</v>
      </c>
      <c r="V3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12.60 </v>
      </c>
      <c r="W397" s="18" t="str">
        <f>IFERROR(IF(LEFT(ICE[[#This Row],[Tenor]], 1) = "B", RTD("esrtd",,$B397 &amp; " " &amp; ICE[[#This Row],[Tenor]] &amp; "-IEU", W$1), RTD("esrtd",,$B397 &amp; " " &amp; VLOOKUP(MONTH(ICE[[#This Row],[Strip]]), MthRef[], 2, 0) &amp; RIGHT(YEAR(ICE[[#This Row],[Strip]]), 2) &amp; "-IEU", W$1)), "")</f>
        <v/>
      </c>
      <c r="X397" s="36"/>
    </row>
    <row r="398" spans="1:24" x14ac:dyDescent="0.25">
      <c r="A398" s="71" t="s">
        <v>393</v>
      </c>
      <c r="B398" s="3" t="str">
        <f>RTD("ice.rtd",,$C398 &amp; $D398 &amp; ":" &amp; B$1)</f>
        <v>Invalid Market: CALCM15</v>
      </c>
      <c r="C398" s="72" t="s">
        <v>827</v>
      </c>
      <c r="D398" s="73" t="s">
        <v>804</v>
      </c>
      <c r="E398" s="72" t="str">
        <f t="shared" si="6"/>
        <v>Dec27</v>
      </c>
      <c r="F398" s="72" t="str">
        <f>ICE[[#This Row],[Prod]]&amp;ICE[[#This Row],[Strip]]</f>
        <v>ebobbrxDec27</v>
      </c>
      <c r="G398" s="75"/>
      <c r="H398" s="75">
        <f t="shared" si="7"/>
        <v>11.3</v>
      </c>
      <c r="I398" s="75"/>
      <c r="J398" s="76"/>
      <c r="K398" s="75"/>
      <c r="L398" s="74"/>
      <c r="M398" s="76"/>
      <c r="N398" s="74"/>
      <c r="O398" s="74"/>
      <c r="P398" s="74"/>
      <c r="Q398" s="76"/>
      <c r="R398" s="75" t="str">
        <f t="shared" si="8"/>
        <v/>
      </c>
      <c r="S398" s="74">
        <f t="shared" si="9"/>
        <v>0</v>
      </c>
      <c r="T398" s="74">
        <f t="shared" si="9"/>
        <v>5142.3500000000004</v>
      </c>
      <c r="U398" s="75">
        <f t="shared" si="10"/>
        <v>10.735000000000001</v>
      </c>
      <c r="V3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11.30 </v>
      </c>
      <c r="W398" s="18" t="str">
        <f>IFERROR(IF(LEFT(ICE[[#This Row],[Tenor]], 1) = "B", RTD("esrtd",,$B398 &amp; " " &amp; ICE[[#This Row],[Tenor]] &amp; "-IEU", W$1), RTD("esrtd",,$B398 &amp; " " &amp; VLOOKUP(MONTH(ICE[[#This Row],[Strip]]), MthRef[], 2, 0) &amp; RIGHT(YEAR(ICE[[#This Row],[Strip]]), 2) &amp; "-IEU", W$1)), "")</f>
        <v/>
      </c>
      <c r="X398" s="36"/>
    </row>
    <row r="399" spans="1:24" x14ac:dyDescent="0.25">
      <c r="A399" s="71" t="s">
        <v>393</v>
      </c>
      <c r="B399" s="3" t="str">
        <f>RTD("ice.rtd",,$C399 &amp; $D399 &amp; ":" &amp; B$1)</f>
        <v>Invalid Market: CALCM16</v>
      </c>
      <c r="C399" s="72" t="s">
        <v>827</v>
      </c>
      <c r="D399" s="73" t="s">
        <v>805</v>
      </c>
      <c r="E399" s="72" t="str">
        <f t="shared" si="6"/>
        <v>Jan28</v>
      </c>
      <c r="F399" s="72" t="str">
        <f>ICE[[#This Row],[Prod]]&amp;ICE[[#This Row],[Strip]]</f>
        <v>ebobbrxJan28</v>
      </c>
      <c r="G399" s="75"/>
      <c r="H399" s="75" t="str">
        <f t="shared" si="7"/>
        <v/>
      </c>
      <c r="I399" s="75"/>
      <c r="J399" s="76"/>
      <c r="K399" s="75"/>
      <c r="L399" s="74"/>
      <c r="M399" s="76"/>
      <c r="N399" s="74"/>
      <c r="O399" s="74"/>
      <c r="P399" s="74"/>
      <c r="Q399" s="76"/>
      <c r="R399" s="75" t="str">
        <f t="shared" si="8"/>
        <v/>
      </c>
      <c r="S399" s="74">
        <f t="shared" si="9"/>
        <v>0</v>
      </c>
      <c r="T399" s="74">
        <f t="shared" si="9"/>
        <v>437.66</v>
      </c>
      <c r="U399" s="75">
        <f t="shared" si="10"/>
        <v>10.549000000000001</v>
      </c>
      <c r="V3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399" s="18" t="str">
        <f>IFERROR(IF(LEFT(ICE[[#This Row],[Tenor]], 1) = "B", RTD("esrtd",,$B399 &amp; " " &amp; ICE[[#This Row],[Tenor]] &amp; "-IEU", W$1), RTD("esrtd",,$B399 &amp; " " &amp; VLOOKUP(MONTH(ICE[[#This Row],[Strip]]), MthRef[], 2, 0) &amp; RIGHT(YEAR(ICE[[#This Row],[Strip]]), 2) &amp; "-IEU", W$1)), "")</f>
        <v/>
      </c>
      <c r="X399" s="36"/>
    </row>
    <row r="400" spans="1:24" x14ac:dyDescent="0.25">
      <c r="A400" s="71" t="s">
        <v>393</v>
      </c>
      <c r="B400" s="3" t="str">
        <f>RTD("ice.rtd",,$C400 &amp; $D400 &amp; ":" &amp; B$1)</f>
        <v>Invalid Market: CALCM17</v>
      </c>
      <c r="C400" s="72" t="s">
        <v>827</v>
      </c>
      <c r="D400" s="73" t="s">
        <v>806</v>
      </c>
      <c r="E400" s="72" t="str">
        <f t="shared" ref="E400:E419" si="11">E362</f>
        <v>Feb28</v>
      </c>
      <c r="F400" s="72" t="str">
        <f>ICE[[#This Row],[Prod]]&amp;ICE[[#This Row],[Strip]]</f>
        <v>ebobbrxFeb28</v>
      </c>
      <c r="G400" s="75"/>
      <c r="H400" s="75" t="str">
        <f t="shared" si="7"/>
        <v/>
      </c>
      <c r="I400" s="75"/>
      <c r="J400" s="76"/>
      <c r="K400" s="75"/>
      <c r="L400" s="74"/>
      <c r="M400" s="76"/>
      <c r="N400" s="74"/>
      <c r="O400" s="74"/>
      <c r="P400" s="74"/>
      <c r="Q400" s="76"/>
      <c r="R400" s="75" t="str">
        <f t="shared" si="8"/>
        <v/>
      </c>
      <c r="S400" s="74">
        <f t="shared" si="9"/>
        <v>0</v>
      </c>
      <c r="T400" s="74">
        <f t="shared" si="9"/>
        <v>354.66</v>
      </c>
      <c r="U400" s="75">
        <f t="shared" si="10"/>
        <v>10.558</v>
      </c>
      <c r="V4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0" s="18" t="str">
        <f>IFERROR(IF(LEFT(ICE[[#This Row],[Tenor]], 1) = "B", RTD("esrtd",,$B400 &amp; " " &amp; ICE[[#This Row],[Tenor]] &amp; "-IEU", W$1), RTD("esrtd",,$B400 &amp; " " &amp; VLOOKUP(MONTH(ICE[[#This Row],[Strip]]), MthRef[], 2, 0) &amp; RIGHT(YEAR(ICE[[#This Row],[Strip]]), 2) &amp; "-IEU", W$1)), "")</f>
        <v/>
      </c>
      <c r="X400" s="36"/>
    </row>
    <row r="401" spans="1:24" x14ac:dyDescent="0.25">
      <c r="A401" s="71" t="s">
        <v>393</v>
      </c>
      <c r="B401" s="3" t="str">
        <f>RTD("ice.rtd",,$C401 &amp; $D401 &amp; ":" &amp; B$1)</f>
        <v>Invalid Market: CALCM18</v>
      </c>
      <c r="C401" s="72" t="s">
        <v>827</v>
      </c>
      <c r="D401" s="73" t="s">
        <v>807</v>
      </c>
      <c r="E401" s="72" t="str">
        <f t="shared" si="11"/>
        <v>Mar28</v>
      </c>
      <c r="F401" s="72" t="str">
        <f>ICE[[#This Row],[Prod]]&amp;ICE[[#This Row],[Strip]]</f>
        <v>ebobbrxMar28</v>
      </c>
      <c r="G401" s="75"/>
      <c r="H401" s="75" t="str">
        <f t="shared" si="7"/>
        <v/>
      </c>
      <c r="I401" s="75"/>
      <c r="J401" s="76"/>
      <c r="K401" s="75"/>
      <c r="L401" s="74"/>
      <c r="M401" s="76"/>
      <c r="N401" s="74"/>
      <c r="O401" s="74"/>
      <c r="P401" s="74"/>
      <c r="Q401" s="76"/>
      <c r="R401" s="75" t="str">
        <f t="shared" si="8"/>
        <v/>
      </c>
      <c r="S401" s="74">
        <f t="shared" si="9"/>
        <v>0</v>
      </c>
      <c r="T401" s="74">
        <f t="shared" si="9"/>
        <v>354.66</v>
      </c>
      <c r="U401" s="75">
        <f t="shared" si="10"/>
        <v>10.826000000000001</v>
      </c>
      <c r="V4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1" s="18" t="str">
        <f>IFERROR(IF(LEFT(ICE[[#This Row],[Tenor]], 1) = "B", RTD("esrtd",,$B401 &amp; " " &amp; ICE[[#This Row],[Tenor]] &amp; "-IEU", W$1), RTD("esrtd",,$B401 &amp; " " &amp; VLOOKUP(MONTH(ICE[[#This Row],[Strip]]), MthRef[], 2, 0) &amp; RIGHT(YEAR(ICE[[#This Row],[Strip]]), 2) &amp; "-IEU", W$1)), "")</f>
        <v/>
      </c>
      <c r="X401" s="36"/>
    </row>
    <row r="402" spans="1:24" x14ac:dyDescent="0.25">
      <c r="A402" s="71" t="s">
        <v>393</v>
      </c>
      <c r="B402" s="3" t="str">
        <f>RTD("ice.rtd",,$C402 &amp; $D402 &amp; ":" &amp; B$1)</f>
        <v>Invalid Market: CALCM19</v>
      </c>
      <c r="C402" s="72" t="s">
        <v>827</v>
      </c>
      <c r="D402" s="73" t="s">
        <v>808</v>
      </c>
      <c r="E402" s="72" t="str">
        <f t="shared" si="11"/>
        <v>Apr28</v>
      </c>
      <c r="F402" s="72" t="str">
        <f>ICE[[#This Row],[Prod]]&amp;ICE[[#This Row],[Strip]]</f>
        <v>ebobbrxApr28</v>
      </c>
      <c r="G402" s="75"/>
      <c r="H402" s="75" t="str">
        <f t="shared" si="7"/>
        <v/>
      </c>
      <c r="I402" s="75"/>
      <c r="J402" s="76"/>
      <c r="K402" s="75"/>
      <c r="L402" s="74"/>
      <c r="M402" s="76"/>
      <c r="N402" s="74"/>
      <c r="O402" s="74"/>
      <c r="P402" s="74"/>
      <c r="Q402" s="76"/>
      <c r="R402" s="75" t="str">
        <f t="shared" si="8"/>
        <v/>
      </c>
      <c r="S402" s="74">
        <f t="shared" si="9"/>
        <v>0</v>
      </c>
      <c r="T402" s="74">
        <f t="shared" si="9"/>
        <v>267.66000000000003</v>
      </c>
      <c r="U402" s="75">
        <f t="shared" si="10"/>
        <v>14.741000000000001</v>
      </c>
      <c r="V4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2" s="18" t="str">
        <f>IFERROR(IF(LEFT(ICE[[#This Row],[Tenor]], 1) = "B", RTD("esrtd",,$B402 &amp; " " &amp; ICE[[#This Row],[Tenor]] &amp; "-IEU", W$1), RTD("esrtd",,$B402 &amp; " " &amp; VLOOKUP(MONTH(ICE[[#This Row],[Strip]]), MthRef[], 2, 0) &amp; RIGHT(YEAR(ICE[[#This Row],[Strip]]), 2) &amp; "-IEU", W$1)), "")</f>
        <v/>
      </c>
      <c r="X402" s="36"/>
    </row>
    <row r="403" spans="1:24" x14ac:dyDescent="0.25">
      <c r="A403" s="71" t="s">
        <v>393</v>
      </c>
      <c r="B403" s="3" t="str">
        <f>RTD("ice.rtd",,$C403 &amp; $D403 &amp; ":" &amp; B$1)</f>
        <v>Invalid Market: CALCM20</v>
      </c>
      <c r="C403" s="72" t="s">
        <v>827</v>
      </c>
      <c r="D403" s="73" t="s">
        <v>809</v>
      </c>
      <c r="E403" s="72" t="str">
        <f t="shared" si="11"/>
        <v>May28</v>
      </c>
      <c r="F403" s="72" t="str">
        <f>ICE[[#This Row],[Prod]]&amp;ICE[[#This Row],[Strip]]</f>
        <v>ebobbrxMay28</v>
      </c>
      <c r="G403" s="75"/>
      <c r="H403" s="75" t="str">
        <f t="shared" si="7"/>
        <v/>
      </c>
      <c r="I403" s="75"/>
      <c r="J403" s="76"/>
      <c r="K403" s="75"/>
      <c r="L403" s="74"/>
      <c r="M403" s="76"/>
      <c r="N403" s="74"/>
      <c r="O403" s="74"/>
      <c r="P403" s="74"/>
      <c r="Q403" s="76"/>
      <c r="R403" s="75" t="str">
        <f t="shared" si="8"/>
        <v/>
      </c>
      <c r="S403" s="74">
        <f t="shared" si="9"/>
        <v>0</v>
      </c>
      <c r="T403" s="74">
        <f t="shared" si="9"/>
        <v>267.66000000000003</v>
      </c>
      <c r="U403" s="75">
        <f t="shared" si="10"/>
        <v>14.867000000000001</v>
      </c>
      <c r="V4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3" s="18" t="str">
        <f>IFERROR(IF(LEFT(ICE[[#This Row],[Tenor]], 1) = "B", RTD("esrtd",,$B403 &amp; " " &amp; ICE[[#This Row],[Tenor]] &amp; "-IEU", W$1), RTD("esrtd",,$B403 &amp; " " &amp; VLOOKUP(MONTH(ICE[[#This Row],[Strip]]), MthRef[], 2, 0) &amp; RIGHT(YEAR(ICE[[#This Row],[Strip]]), 2) &amp; "-IEU", W$1)), "")</f>
        <v/>
      </c>
      <c r="X403" s="36"/>
    </row>
    <row r="404" spans="1:24" x14ac:dyDescent="0.25">
      <c r="A404" s="71" t="s">
        <v>393</v>
      </c>
      <c r="B404" s="3" t="str">
        <f>RTD("ice.rtd",,$C404 &amp; $D404 &amp; ":" &amp; B$1)</f>
        <v>Invalid Market: CALCM21</v>
      </c>
      <c r="C404" s="72" t="s">
        <v>827</v>
      </c>
      <c r="D404" s="73" t="s">
        <v>810</v>
      </c>
      <c r="E404" s="72" t="str">
        <f t="shared" si="11"/>
        <v>Jun28</v>
      </c>
      <c r="F404" s="72" t="str">
        <f>ICE[[#This Row],[Prod]]&amp;ICE[[#This Row],[Strip]]</f>
        <v>ebobbrxJun28</v>
      </c>
      <c r="G404" s="75"/>
      <c r="H404" s="75" t="str">
        <f t="shared" si="7"/>
        <v/>
      </c>
      <c r="I404" s="75"/>
      <c r="J404" s="76"/>
      <c r="K404" s="75"/>
      <c r="L404" s="74"/>
      <c r="M404" s="76"/>
      <c r="N404" s="74"/>
      <c r="O404" s="74"/>
      <c r="P404" s="74"/>
      <c r="Q404" s="76"/>
      <c r="R404" s="75" t="str">
        <f t="shared" si="8"/>
        <v/>
      </c>
      <c r="S404" s="74">
        <f t="shared" si="9"/>
        <v>0</v>
      </c>
      <c r="T404" s="74">
        <f t="shared" si="9"/>
        <v>267.66000000000003</v>
      </c>
      <c r="U404" s="75">
        <f t="shared" si="10"/>
        <v>14.616000000000001</v>
      </c>
      <c r="V4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4" s="18" t="str">
        <f>IFERROR(IF(LEFT(ICE[[#This Row],[Tenor]], 1) = "B", RTD("esrtd",,$B404 &amp; " " &amp; ICE[[#This Row],[Tenor]] &amp; "-IEU", W$1), RTD("esrtd",,$B404 &amp; " " &amp; VLOOKUP(MONTH(ICE[[#This Row],[Strip]]), MthRef[], 2, 0) &amp; RIGHT(YEAR(ICE[[#This Row],[Strip]]), 2) &amp; "-IEU", W$1)), "")</f>
        <v/>
      </c>
      <c r="X404" s="36"/>
    </row>
    <row r="405" spans="1:24" x14ac:dyDescent="0.25">
      <c r="A405" s="71" t="s">
        <v>393</v>
      </c>
      <c r="B405" s="3" t="str">
        <f>RTD("ice.rtd",,$C405 &amp; $D405 &amp; ":" &amp; B$1)</f>
        <v>Invalid Market: CALCM22</v>
      </c>
      <c r="C405" s="72" t="s">
        <v>827</v>
      </c>
      <c r="D405" s="73" t="s">
        <v>811</v>
      </c>
      <c r="E405" s="72" t="str">
        <f t="shared" si="11"/>
        <v>Jul28</v>
      </c>
      <c r="F405" s="72" t="str">
        <f>ICE[[#This Row],[Prod]]&amp;ICE[[#This Row],[Strip]]</f>
        <v>ebobbrxJul28</v>
      </c>
      <c r="G405" s="75"/>
      <c r="H405" s="75" t="str">
        <f t="shared" si="7"/>
        <v/>
      </c>
      <c r="I405" s="75"/>
      <c r="J405" s="76"/>
      <c r="K405" s="75"/>
      <c r="L405" s="74"/>
      <c r="M405" s="76"/>
      <c r="N405" s="74"/>
      <c r="O405" s="74"/>
      <c r="P405" s="74"/>
      <c r="Q405" s="76"/>
      <c r="R405" s="75" t="str">
        <f t="shared" si="8"/>
        <v/>
      </c>
      <c r="S405" s="74">
        <f t="shared" si="9"/>
        <v>0</v>
      </c>
      <c r="T405" s="74">
        <f t="shared" si="9"/>
        <v>292.66000000000003</v>
      </c>
      <c r="U405" s="75">
        <f t="shared" si="10"/>
        <v>14.056000000000001</v>
      </c>
      <c r="V4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5" s="18" t="str">
        <f>IFERROR(IF(LEFT(ICE[[#This Row],[Tenor]], 1) = "B", RTD("esrtd",,$B405 &amp; " " &amp; ICE[[#This Row],[Tenor]] &amp; "-IEU", W$1), RTD("esrtd",,$B405 &amp; " " &amp; VLOOKUP(MONTH(ICE[[#This Row],[Strip]]), MthRef[], 2, 0) &amp; RIGHT(YEAR(ICE[[#This Row],[Strip]]), 2) &amp; "-IEU", W$1)), "")</f>
        <v/>
      </c>
      <c r="X405" s="36"/>
    </row>
    <row r="406" spans="1:24" x14ac:dyDescent="0.25">
      <c r="A406" s="71" t="s">
        <v>393</v>
      </c>
      <c r="B406" s="3" t="str">
        <f>RTD("ice.rtd",,$C406 &amp; $D406 &amp; ":" &amp; B$1)</f>
        <v>Invalid Market: CALCM23</v>
      </c>
      <c r="C406" s="72" t="s">
        <v>827</v>
      </c>
      <c r="D406" s="73" t="s">
        <v>812</v>
      </c>
      <c r="E406" s="72" t="str">
        <f t="shared" si="11"/>
        <v>Aug28</v>
      </c>
      <c r="F406" s="72" t="str">
        <f>ICE[[#This Row],[Prod]]&amp;ICE[[#This Row],[Strip]]</f>
        <v>ebobbrxAug28</v>
      </c>
      <c r="G406" s="75"/>
      <c r="H406" s="75" t="str">
        <f t="shared" si="7"/>
        <v/>
      </c>
      <c r="I406" s="75"/>
      <c r="J406" s="76"/>
      <c r="K406" s="75"/>
      <c r="L406" s="74"/>
      <c r="M406" s="76"/>
      <c r="N406" s="74"/>
      <c r="O406" s="74"/>
      <c r="P406" s="74"/>
      <c r="Q406" s="76"/>
      <c r="R406" s="75" t="str">
        <f t="shared" si="8"/>
        <v/>
      </c>
      <c r="S406" s="74">
        <f t="shared" si="9"/>
        <v>0</v>
      </c>
      <c r="T406" s="74">
        <f t="shared" si="9"/>
        <v>292.66000000000003</v>
      </c>
      <c r="U406" s="75">
        <f t="shared" si="10"/>
        <v>13.365</v>
      </c>
      <c r="V4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6" s="18" t="str">
        <f>IFERROR(IF(LEFT(ICE[[#This Row],[Tenor]], 1) = "B", RTD("esrtd",,$B406 &amp; " " &amp; ICE[[#This Row],[Tenor]] &amp; "-IEU", W$1), RTD("esrtd",,$B406 &amp; " " &amp; VLOOKUP(MONTH(ICE[[#This Row],[Strip]]), MthRef[], 2, 0) &amp; RIGHT(YEAR(ICE[[#This Row],[Strip]]), 2) &amp; "-IEU", W$1)), "")</f>
        <v/>
      </c>
      <c r="X406" s="36"/>
    </row>
    <row r="407" spans="1:24" x14ac:dyDescent="0.25">
      <c r="A407" s="71" t="s">
        <v>393</v>
      </c>
      <c r="B407" s="3" t="str">
        <f>RTD("ice.rtd",,$C407 &amp; $D407 &amp; ":" &amp; B$1)</f>
        <v>Invalid Market: CALCM24</v>
      </c>
      <c r="C407" s="72" t="s">
        <v>827</v>
      </c>
      <c r="D407" s="73" t="s">
        <v>813</v>
      </c>
      <c r="E407" s="72" t="str">
        <f t="shared" si="11"/>
        <v>Sep28</v>
      </c>
      <c r="F407" s="72" t="str">
        <f>ICE[[#This Row],[Prod]]&amp;ICE[[#This Row],[Strip]]</f>
        <v>ebobbrxSep28</v>
      </c>
      <c r="G407" s="75"/>
      <c r="H407" s="75" t="str">
        <f t="shared" si="7"/>
        <v/>
      </c>
      <c r="I407" s="75"/>
      <c r="J407" s="76"/>
      <c r="K407" s="75"/>
      <c r="L407" s="74"/>
      <c r="M407" s="76"/>
      <c r="N407" s="74"/>
      <c r="O407" s="74"/>
      <c r="P407" s="74"/>
      <c r="Q407" s="76"/>
      <c r="R407" s="75" t="str">
        <f t="shared" si="8"/>
        <v/>
      </c>
      <c r="S407" s="74">
        <f t="shared" si="9"/>
        <v>0</v>
      </c>
      <c r="T407" s="74">
        <f t="shared" si="9"/>
        <v>292.66000000000003</v>
      </c>
      <c r="U407" s="75">
        <f t="shared" si="10"/>
        <v>12.105</v>
      </c>
      <c r="V4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07" s="18" t="str">
        <f>IFERROR(IF(LEFT(ICE[[#This Row],[Tenor]], 1) = "B", RTD("esrtd",,$B407 &amp; " " &amp; ICE[[#This Row],[Tenor]] &amp; "-IEU", W$1), RTD("esrtd",,$B407 &amp; " " &amp; VLOOKUP(MONTH(ICE[[#This Row],[Strip]]), MthRef[], 2, 0) &amp; RIGHT(YEAR(ICE[[#This Row],[Strip]]), 2) &amp; "-IEU", W$1)), "")</f>
        <v/>
      </c>
      <c r="X407" s="36"/>
    </row>
    <row r="408" spans="1:24" x14ac:dyDescent="0.25">
      <c r="A408" s="71" t="s">
        <v>393</v>
      </c>
      <c r="B408" s="3" t="str">
        <f>RTD("ice.rtd",,$C408 &amp; $D408 &amp; ":" &amp; B$1)</f>
        <v>Invalid Market: CALCQ0</v>
      </c>
      <c r="C408" s="72" t="s">
        <v>827</v>
      </c>
      <c r="D408" s="73" t="s">
        <v>814</v>
      </c>
      <c r="E408" s="72" t="str">
        <f t="shared" si="11"/>
        <v>Q4 26</v>
      </c>
      <c r="F408" s="72" t="str">
        <f>ICE[[#This Row],[Prod]]&amp;ICE[[#This Row],[Strip]]</f>
        <v>ebobbrxQ4 26</v>
      </c>
      <c r="G408" s="75"/>
      <c r="H408" s="75">
        <f t="shared" si="7"/>
        <v>27.05</v>
      </c>
      <c r="I408" s="75"/>
      <c r="J408" s="76"/>
      <c r="K408" s="75"/>
      <c r="L408" s="74"/>
      <c r="M408" s="76"/>
      <c r="N408" s="74"/>
      <c r="O408" s="74"/>
      <c r="P408" s="74"/>
      <c r="Q408" s="76"/>
      <c r="R408" s="75">
        <f t="shared" si="8"/>
        <v>24.8</v>
      </c>
      <c r="S408" s="74">
        <f t="shared" si="9"/>
        <v>60</v>
      </c>
      <c r="T408" s="74">
        <f t="shared" si="9"/>
        <v>0</v>
      </c>
      <c r="U408" s="75">
        <f t="shared" si="10"/>
        <v>23.634</v>
      </c>
      <c r="V4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27.05 {24.80} |60x</v>
      </c>
      <c r="W408" s="18" t="str">
        <f>IFERROR(IF(LEFT(ICE[[#This Row],[Tenor]], 1) = "B", RTD("esrtd",,$B408 &amp; " " &amp; ICE[[#This Row],[Tenor]] &amp; "-IEU", W$1), RTD("esrtd",,$B408 &amp; " " &amp; VLOOKUP(MONTH(ICE[[#This Row],[Strip]]), MthRef[], 2, 0) &amp; RIGHT(YEAR(ICE[[#This Row],[Strip]]), 2) &amp; "-IEU", W$1)), "")</f>
        <v/>
      </c>
      <c r="X408" s="36"/>
    </row>
    <row r="409" spans="1:24" x14ac:dyDescent="0.25">
      <c r="A409" s="71" t="s">
        <v>393</v>
      </c>
      <c r="B409" s="3" t="str">
        <f>RTD("ice.rtd",,$C409 &amp; $D409 &amp; ":" &amp; B$1)</f>
        <v>Invalid Market: CALCQ1</v>
      </c>
      <c r="C409" s="72" t="s">
        <v>827</v>
      </c>
      <c r="D409" s="73" t="s">
        <v>815</v>
      </c>
      <c r="E409" s="72" t="str">
        <f t="shared" si="11"/>
        <v>Q1 27</v>
      </c>
      <c r="F409" s="72" t="str">
        <f>ICE[[#This Row],[Prod]]&amp;ICE[[#This Row],[Strip]]</f>
        <v>ebobbrxQ1 27</v>
      </c>
      <c r="G409" s="75"/>
      <c r="H409" s="75">
        <f t="shared" si="7"/>
        <v>22.45</v>
      </c>
      <c r="I409" s="75"/>
      <c r="J409" s="76"/>
      <c r="K409" s="75"/>
      <c r="L409" s="74"/>
      <c r="M409" s="76"/>
      <c r="N409" s="74"/>
      <c r="O409" s="74"/>
      <c r="P409" s="74"/>
      <c r="Q409" s="76"/>
      <c r="R409" s="75">
        <f t="shared" si="8"/>
        <v>19.850000000000001</v>
      </c>
      <c r="S409" s="74">
        <f t="shared" si="9"/>
        <v>60</v>
      </c>
      <c r="T409" s="74">
        <f t="shared" si="9"/>
        <v>0</v>
      </c>
      <c r="U409" s="75">
        <f t="shared" si="10"/>
        <v>19.344000000000001</v>
      </c>
      <c r="V4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22.45 {19.85} |60x</v>
      </c>
      <c r="W409" s="18" t="str">
        <f>IFERROR(IF(LEFT(ICE[[#This Row],[Tenor]], 1) = "B", RTD("esrtd",,$B409 &amp; " " &amp; ICE[[#This Row],[Tenor]] &amp; "-IEU", W$1), RTD("esrtd",,$B409 &amp; " " &amp; VLOOKUP(MONTH(ICE[[#This Row],[Strip]]), MthRef[], 2, 0) &amp; RIGHT(YEAR(ICE[[#This Row],[Strip]]), 2) &amp; "-IEU", W$1)), "")</f>
        <v/>
      </c>
      <c r="X409" s="36"/>
    </row>
    <row r="410" spans="1:24" x14ac:dyDescent="0.25">
      <c r="A410" s="71" t="s">
        <v>393</v>
      </c>
      <c r="B410" s="3" t="str">
        <f>RTD("ice.rtd",,$C410 &amp; $D410 &amp; ":" &amp; B$1)</f>
        <v>Invalid Market: CALCQ2</v>
      </c>
      <c r="C410" s="72" t="s">
        <v>827</v>
      </c>
      <c r="D410" s="73" t="s">
        <v>816</v>
      </c>
      <c r="E410" s="72" t="str">
        <f t="shared" si="11"/>
        <v>Q2 27</v>
      </c>
      <c r="F410" s="72" t="str">
        <f>ICE[[#This Row],[Prod]]&amp;ICE[[#This Row],[Strip]]</f>
        <v>ebobbrxQ2 27</v>
      </c>
      <c r="G410" s="75"/>
      <c r="H410" s="75">
        <f t="shared" si="7"/>
        <v>27.1</v>
      </c>
      <c r="I410" s="75"/>
      <c r="J410" s="76"/>
      <c r="K410" s="75"/>
      <c r="L410" s="74"/>
      <c r="M410" s="76"/>
      <c r="N410" s="74"/>
      <c r="O410" s="74"/>
      <c r="P410" s="74"/>
      <c r="Q410" s="76"/>
      <c r="R410" s="75">
        <f t="shared" si="8"/>
        <v>24.4</v>
      </c>
      <c r="S410" s="74">
        <f t="shared" si="9"/>
        <v>75</v>
      </c>
      <c r="T410" s="74">
        <f t="shared" si="9"/>
        <v>0</v>
      </c>
      <c r="U410" s="75">
        <f t="shared" si="10"/>
        <v>24.096</v>
      </c>
      <c r="V4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27.10 {24.40} |75x</v>
      </c>
      <c r="W410" s="18" t="str">
        <f>IFERROR(IF(LEFT(ICE[[#This Row],[Tenor]], 1) = "B", RTD("esrtd",,$B410 &amp; " " &amp; ICE[[#This Row],[Tenor]] &amp; "-IEU", W$1), RTD("esrtd",,$B410 &amp; " " &amp; VLOOKUP(MONTH(ICE[[#This Row],[Strip]]), MthRef[], 2, 0) &amp; RIGHT(YEAR(ICE[[#This Row],[Strip]]), 2) &amp; "-IEU", W$1)), "")</f>
        <v/>
      </c>
      <c r="X410" s="36"/>
    </row>
    <row r="411" spans="1:24" x14ac:dyDescent="0.25">
      <c r="A411" s="71" t="s">
        <v>393</v>
      </c>
      <c r="B411" s="3" t="str">
        <f>RTD("ice.rtd",,$C411 &amp; $D411 &amp; ":" &amp; B$1)</f>
        <v>Invalid Market: CALCQ3</v>
      </c>
      <c r="C411" s="72" t="s">
        <v>827</v>
      </c>
      <c r="D411" s="73" t="s">
        <v>817</v>
      </c>
      <c r="E411" s="72" t="str">
        <f t="shared" si="11"/>
        <v>Q3 27</v>
      </c>
      <c r="F411" s="72" t="str">
        <f>ICE[[#This Row],[Prod]]&amp;ICE[[#This Row],[Strip]]</f>
        <v>ebobbrxQ3 27</v>
      </c>
      <c r="G411" s="75"/>
      <c r="H411" s="75">
        <f t="shared" si="7"/>
        <v>23.55</v>
      </c>
      <c r="I411" s="75"/>
      <c r="J411" s="76"/>
      <c r="K411" s="75"/>
      <c r="L411" s="74"/>
      <c r="M411" s="76"/>
      <c r="N411" s="74"/>
      <c r="O411" s="74"/>
      <c r="P411" s="74"/>
      <c r="Q411" s="76"/>
      <c r="R411" s="75">
        <f t="shared" si="8"/>
        <v>21</v>
      </c>
      <c r="S411" s="74">
        <f t="shared" si="9"/>
        <v>50</v>
      </c>
      <c r="T411" s="74">
        <f t="shared" si="9"/>
        <v>0</v>
      </c>
      <c r="U411" s="75">
        <f t="shared" si="10"/>
        <v>20.691000000000003</v>
      </c>
      <c r="V4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23.55 {21.00} |50x</v>
      </c>
      <c r="W411" s="18" t="str">
        <f>IFERROR(IF(LEFT(ICE[[#This Row],[Tenor]], 1) = "B", RTD("esrtd",,$B411 &amp; " " &amp; ICE[[#This Row],[Tenor]] &amp; "-IEU", W$1), RTD("esrtd",,$B411 &amp; " " &amp; VLOOKUP(MONTH(ICE[[#This Row],[Strip]]), MthRef[], 2, 0) &amp; RIGHT(YEAR(ICE[[#This Row],[Strip]]), 2) &amp; "-IEU", W$1)), "")</f>
        <v/>
      </c>
      <c r="X411" s="36"/>
    </row>
    <row r="412" spans="1:24" x14ac:dyDescent="0.25">
      <c r="A412" s="71" t="s">
        <v>393</v>
      </c>
      <c r="B412" s="3" t="str">
        <f>RTD("ice.rtd",,$C412 &amp; $D412 &amp; ":" &amp; B$1)</f>
        <v>Invalid Market: CALCQ4</v>
      </c>
      <c r="C412" s="72" t="s">
        <v>827</v>
      </c>
      <c r="D412" s="73" t="s">
        <v>818</v>
      </c>
      <c r="E412" s="72" t="str">
        <f t="shared" si="11"/>
        <v>Q4 27</v>
      </c>
      <c r="F412" s="72" t="str">
        <f>ICE[[#This Row],[Prod]]&amp;ICE[[#This Row],[Strip]]</f>
        <v>ebobbrxQ4 27</v>
      </c>
      <c r="G412" s="75"/>
      <c r="H412" s="75">
        <f t="shared" si="7"/>
        <v>14.9</v>
      </c>
      <c r="I412" s="75"/>
      <c r="J412" s="76"/>
      <c r="K412" s="75"/>
      <c r="L412" s="74"/>
      <c r="M412" s="76"/>
      <c r="N412" s="74"/>
      <c r="O412" s="74"/>
      <c r="P412" s="74"/>
      <c r="Q412" s="76"/>
      <c r="R412" s="75" t="str">
        <f t="shared" si="8"/>
        <v/>
      </c>
      <c r="S412" s="74">
        <f t="shared" si="9"/>
        <v>0</v>
      </c>
      <c r="T412" s="74">
        <f t="shared" si="9"/>
        <v>0</v>
      </c>
      <c r="U412" s="75">
        <f t="shared" si="10"/>
        <v>12.338000000000001</v>
      </c>
      <c r="V4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14.90 </v>
      </c>
      <c r="W412" s="18" t="str">
        <f>IFERROR(IF(LEFT(ICE[[#This Row],[Tenor]], 1) = "B", RTD("esrtd",,$B412 &amp; " " &amp; ICE[[#This Row],[Tenor]] &amp; "-IEU", W$1), RTD("esrtd",,$B412 &amp; " " &amp; VLOOKUP(MONTH(ICE[[#This Row],[Strip]]), MthRef[], 2, 0) &amp; RIGHT(YEAR(ICE[[#This Row],[Strip]]), 2) &amp; "-IEU", W$1)), "")</f>
        <v/>
      </c>
      <c r="X412" s="36"/>
    </row>
    <row r="413" spans="1:24" x14ac:dyDescent="0.25">
      <c r="A413" s="71" t="s">
        <v>393</v>
      </c>
      <c r="B413" s="3" t="str">
        <f>RTD("ice.rtd",,$C413 &amp; $D413 &amp; ":" &amp; B$1)</f>
        <v>Invalid Market: CALCQ5</v>
      </c>
      <c r="C413" s="72" t="s">
        <v>827</v>
      </c>
      <c r="D413" s="73" t="s">
        <v>819</v>
      </c>
      <c r="E413" s="72" t="str">
        <f t="shared" si="11"/>
        <v>Q1 28</v>
      </c>
      <c r="F413" s="72" t="str">
        <f>ICE[[#This Row],[Prod]]&amp;ICE[[#This Row],[Strip]]</f>
        <v>ebobbrxQ1 28</v>
      </c>
      <c r="G413" s="75"/>
      <c r="H413" s="75" t="str">
        <f t="shared" si="7"/>
        <v/>
      </c>
      <c r="I413" s="75"/>
      <c r="J413" s="76"/>
      <c r="K413" s="75"/>
      <c r="L413" s="74"/>
      <c r="M413" s="76"/>
      <c r="N413" s="74"/>
      <c r="O413" s="74"/>
      <c r="P413" s="74"/>
      <c r="Q413" s="76"/>
      <c r="R413" s="75" t="str">
        <f t="shared" si="8"/>
        <v/>
      </c>
      <c r="S413" s="74">
        <f t="shared" si="9"/>
        <v>0</v>
      </c>
      <c r="T413" s="74">
        <f t="shared" si="9"/>
        <v>0</v>
      </c>
      <c r="U413" s="75">
        <f t="shared" si="10"/>
        <v>10.644</v>
      </c>
      <c r="V4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13" s="18" t="str">
        <f>IFERROR(IF(LEFT(ICE[[#This Row],[Tenor]], 1) = "B", RTD("esrtd",,$B413 &amp; " " &amp; ICE[[#This Row],[Tenor]] &amp; "-IEU", W$1), RTD("esrtd",,$B413 &amp; " " &amp; VLOOKUP(MONTH(ICE[[#This Row],[Strip]]), MthRef[], 2, 0) &amp; RIGHT(YEAR(ICE[[#This Row],[Strip]]), 2) &amp; "-IEU", W$1)), "")</f>
        <v/>
      </c>
      <c r="X413" s="36"/>
    </row>
    <row r="414" spans="1:24" x14ac:dyDescent="0.25">
      <c r="A414" s="71" t="s">
        <v>393</v>
      </c>
      <c r="B414" s="3" t="str">
        <f>RTD("ice.rtd",,$C414 &amp; $D414 &amp; ":" &amp; B$1)</f>
        <v>Invalid Market: CALCQ6</v>
      </c>
      <c r="C414" s="72" t="s">
        <v>827</v>
      </c>
      <c r="D414" s="73" t="s">
        <v>229</v>
      </c>
      <c r="E414" s="72" t="str">
        <f t="shared" si="11"/>
        <v>Q2 28</v>
      </c>
      <c r="F414" s="72" t="str">
        <f>ICE[[#This Row],[Prod]]&amp;ICE[[#This Row],[Strip]]</f>
        <v>ebobbrxQ2 28</v>
      </c>
      <c r="G414" s="75"/>
      <c r="H414" s="75" t="str">
        <f t="shared" si="7"/>
        <v/>
      </c>
      <c r="I414" s="75"/>
      <c r="J414" s="76"/>
      <c r="K414" s="75"/>
      <c r="L414" s="74"/>
      <c r="M414" s="76"/>
      <c r="N414" s="74"/>
      <c r="O414" s="74"/>
      <c r="P414" s="74"/>
      <c r="Q414" s="76"/>
      <c r="R414" s="75" t="str">
        <f t="shared" si="8"/>
        <v/>
      </c>
      <c r="S414" s="74">
        <f t="shared" si="9"/>
        <v>0</v>
      </c>
      <c r="T414" s="74">
        <f t="shared" si="9"/>
        <v>0</v>
      </c>
      <c r="U414" s="75">
        <f t="shared" si="10"/>
        <v>14.741000000000001</v>
      </c>
      <c r="V4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14" s="18" t="str">
        <f>IFERROR(IF(LEFT(ICE[[#This Row],[Tenor]], 1) = "B", RTD("esrtd",,$B414 &amp; " " &amp; ICE[[#This Row],[Tenor]] &amp; "-IEU", W$1), RTD("esrtd",,$B414 &amp; " " &amp; VLOOKUP(MONTH(ICE[[#This Row],[Strip]]), MthRef[], 2, 0) &amp; RIGHT(YEAR(ICE[[#This Row],[Strip]]), 2) &amp; "-IEU", W$1)), "")</f>
        <v/>
      </c>
      <c r="X414" s="36"/>
    </row>
    <row r="415" spans="1:24" x14ac:dyDescent="0.25">
      <c r="A415" s="71" t="s">
        <v>393</v>
      </c>
      <c r="B415" s="3" t="str">
        <f>RTD("ice.rtd",,$C415 &amp; $D415 &amp; ":" &amp; B$1)</f>
        <v>Invalid Market: CALCQ7</v>
      </c>
      <c r="C415" s="72" t="s">
        <v>827</v>
      </c>
      <c r="D415" s="73" t="s">
        <v>820</v>
      </c>
      <c r="E415" s="72" t="str">
        <f t="shared" si="11"/>
        <v>Q3 28</v>
      </c>
      <c r="F415" s="72" t="str">
        <f>ICE[[#This Row],[Prod]]&amp;ICE[[#This Row],[Strip]]</f>
        <v>ebobbrxQ3 28</v>
      </c>
      <c r="G415" s="75"/>
      <c r="H415" s="75" t="str">
        <f t="shared" si="7"/>
        <v/>
      </c>
      <c r="I415" s="75"/>
      <c r="J415" s="76"/>
      <c r="K415" s="75"/>
      <c r="L415" s="74"/>
      <c r="M415" s="76"/>
      <c r="N415" s="74"/>
      <c r="O415" s="74"/>
      <c r="P415" s="74"/>
      <c r="Q415" s="76"/>
      <c r="R415" s="75" t="str">
        <f t="shared" si="8"/>
        <v/>
      </c>
      <c r="S415" s="74">
        <f t="shared" si="9"/>
        <v>0</v>
      </c>
      <c r="T415" s="74">
        <f t="shared" si="9"/>
        <v>0</v>
      </c>
      <c r="U415" s="75">
        <f t="shared" si="10"/>
        <v>13.175000000000001</v>
      </c>
      <c r="V4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15" s="18" t="str">
        <f>IFERROR(IF(LEFT(ICE[[#This Row],[Tenor]], 1) = "B", RTD("esrtd",,$B415 &amp; " " &amp; ICE[[#This Row],[Tenor]] &amp; "-IEU", W$1), RTD("esrtd",,$B415 &amp; " " &amp; VLOOKUP(MONTH(ICE[[#This Row],[Strip]]), MthRef[], 2, 0) &amp; RIGHT(YEAR(ICE[[#This Row],[Strip]]), 2) &amp; "-IEU", W$1)), "")</f>
        <v/>
      </c>
      <c r="X415" s="36"/>
    </row>
    <row r="416" spans="1:24" x14ac:dyDescent="0.25">
      <c r="A416" s="71" t="s">
        <v>393</v>
      </c>
      <c r="B416" s="3" t="str">
        <f>RTD("ice.rtd",,$C416 &amp; $D416 &amp; ":" &amp; B$1)</f>
        <v>Invalid Market: CALCQ8</v>
      </c>
      <c r="C416" s="72" t="s">
        <v>827</v>
      </c>
      <c r="D416" s="73" t="s">
        <v>821</v>
      </c>
      <c r="E416" s="72" t="str">
        <f t="shared" si="11"/>
        <v>Q4 28</v>
      </c>
      <c r="F416" s="72" t="str">
        <f>ICE[[#This Row],[Prod]]&amp;ICE[[#This Row],[Strip]]</f>
        <v>ebobbrxQ4 28</v>
      </c>
      <c r="G416" s="75"/>
      <c r="H416" s="75" t="str">
        <f t="shared" si="7"/>
        <v/>
      </c>
      <c r="I416" s="75"/>
      <c r="J416" s="76"/>
      <c r="K416" s="75"/>
      <c r="L416" s="74"/>
      <c r="M416" s="76"/>
      <c r="N416" s="74"/>
      <c r="O416" s="74"/>
      <c r="P416" s="74"/>
      <c r="Q416" s="76"/>
      <c r="R416" s="75" t="str">
        <f t="shared" si="8"/>
        <v/>
      </c>
      <c r="S416" s="74">
        <f t="shared" si="9"/>
        <v>0</v>
      </c>
      <c r="T416" s="74">
        <f t="shared" si="9"/>
        <v>0</v>
      </c>
      <c r="U416" s="75">
        <f t="shared" si="10"/>
        <v>7.3310000000000004</v>
      </c>
      <c r="V4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16" s="18" t="str">
        <f>IFERROR(IF(LEFT(ICE[[#This Row],[Tenor]], 1) = "B", RTD("esrtd",,$B416 &amp; " " &amp; ICE[[#This Row],[Tenor]] &amp; "-IEU", W$1), RTD("esrtd",,$B416 &amp; " " &amp; VLOOKUP(MONTH(ICE[[#This Row],[Strip]]), MthRef[], 2, 0) &amp; RIGHT(YEAR(ICE[[#This Row],[Strip]]), 2) &amp; "-IEU", W$1)), "")</f>
        <v/>
      </c>
      <c r="X416" s="36"/>
    </row>
    <row r="417" spans="1:24" x14ac:dyDescent="0.25">
      <c r="A417" s="71" t="s">
        <v>393</v>
      </c>
      <c r="B417" s="3" t="str">
        <f>RTD("ice.rtd",,$C417 &amp; $D417 &amp; ":" &amp; B$1)</f>
        <v>Invalid Market: CALCY0</v>
      </c>
      <c r="C417" s="72" t="s">
        <v>827</v>
      </c>
      <c r="D417" s="73" t="s">
        <v>822</v>
      </c>
      <c r="E417" s="72" t="str">
        <f t="shared" si="11"/>
        <v>Cal 27</v>
      </c>
      <c r="F417" s="72" t="str">
        <f>ICE[[#This Row],[Prod]]&amp;ICE[[#This Row],[Strip]]</f>
        <v>ebobbrxCal 27</v>
      </c>
      <c r="G417" s="75"/>
      <c r="H417" s="75">
        <f t="shared" si="7"/>
        <v>22.9</v>
      </c>
      <c r="I417" s="75"/>
      <c r="J417" s="76"/>
      <c r="K417" s="75"/>
      <c r="L417" s="74"/>
      <c r="M417" s="76"/>
      <c r="N417" s="74"/>
      <c r="O417" s="74"/>
      <c r="P417" s="74"/>
      <c r="Q417" s="76"/>
      <c r="R417" s="75" t="str">
        <f t="shared" si="8"/>
        <v/>
      </c>
      <c r="S417" s="74">
        <f t="shared" si="9"/>
        <v>0</v>
      </c>
      <c r="T417" s="74">
        <f t="shared" si="9"/>
        <v>0</v>
      </c>
      <c r="U417" s="75">
        <f t="shared" si="10"/>
        <v>19.117000000000001</v>
      </c>
      <c r="V4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22.90 </v>
      </c>
      <c r="W417" s="18" t="str">
        <f>IFERROR(IF(LEFT(ICE[[#This Row],[Tenor]], 1) = "B", RTD("esrtd",,$B417 &amp; " " &amp; ICE[[#This Row],[Tenor]] &amp; "-IEU", W$1), RTD("esrtd",,$B417 &amp; " " &amp; VLOOKUP(MONTH(ICE[[#This Row],[Strip]]), MthRef[], 2, 0) &amp; RIGHT(YEAR(ICE[[#This Row],[Strip]]), 2) &amp; "-IEU", W$1)), "")</f>
        <v/>
      </c>
      <c r="X417" s="36"/>
    </row>
    <row r="418" spans="1:24" x14ac:dyDescent="0.25">
      <c r="A418" s="71" t="s">
        <v>393</v>
      </c>
      <c r="B418" s="3" t="str">
        <f>RTD("ice.rtd",,$C418 &amp; $D418 &amp; ":" &amp; B$1)</f>
        <v>Invalid Market: CALCY1</v>
      </c>
      <c r="C418" s="72" t="s">
        <v>827</v>
      </c>
      <c r="D418" s="73" t="s">
        <v>823</v>
      </c>
      <c r="E418" s="72" t="str">
        <f t="shared" si="11"/>
        <v>Cal 28</v>
      </c>
      <c r="F418" s="72" t="str">
        <f>ICE[[#This Row],[Prod]]&amp;ICE[[#This Row],[Strip]]</f>
        <v>ebobbrxCal 28</v>
      </c>
      <c r="G418" s="75"/>
      <c r="H418" s="75" t="str">
        <f t="shared" si="7"/>
        <v/>
      </c>
      <c r="I418" s="75"/>
      <c r="J418" s="76"/>
      <c r="K418" s="75"/>
      <c r="L418" s="74"/>
      <c r="M418" s="76"/>
      <c r="N418" s="74"/>
      <c r="O418" s="74"/>
      <c r="P418" s="74"/>
      <c r="Q418" s="76"/>
      <c r="R418" s="75" t="str">
        <f t="shared" si="8"/>
        <v/>
      </c>
      <c r="S418" s="74">
        <f t="shared" si="9"/>
        <v>0</v>
      </c>
      <c r="T418" s="74">
        <f t="shared" si="9"/>
        <v>0</v>
      </c>
      <c r="U418" s="75">
        <f t="shared" si="10"/>
        <v>11.473000000000001</v>
      </c>
      <c r="V4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18" s="18" t="str">
        <f>IFERROR(IF(LEFT(ICE[[#This Row],[Tenor]], 1) = "B", RTD("esrtd",,$B418 &amp; " " &amp; ICE[[#This Row],[Tenor]] &amp; "-IEU", W$1), RTD("esrtd",,$B418 &amp; " " &amp; VLOOKUP(MONTH(ICE[[#This Row],[Strip]]), MthRef[], 2, 0) &amp; RIGHT(YEAR(ICE[[#This Row],[Strip]]), 2) &amp; "-IEU", W$1)), "")</f>
        <v/>
      </c>
      <c r="X418" s="36"/>
    </row>
    <row r="419" spans="1:24" x14ac:dyDescent="0.25">
      <c r="A419" s="71" t="s">
        <v>393</v>
      </c>
      <c r="B419" s="3" t="str">
        <f>RTD("ice.rtd",,$C419 &amp; $D419 &amp; ":" &amp; B$1)</f>
        <v>Invalid Market: CALCY2</v>
      </c>
      <c r="C419" s="72" t="s">
        <v>827</v>
      </c>
      <c r="D419" s="73" t="s">
        <v>824</v>
      </c>
      <c r="E419" s="72" t="str">
        <f t="shared" si="11"/>
        <v>Invalid Market: 46678127Y2</v>
      </c>
      <c r="F419" s="72" t="str">
        <f>ICE[[#This Row],[Prod]]&amp;ICE[[#This Row],[Strip]]</f>
        <v>ebobbrxInvalid Market: 46678127Y2</v>
      </c>
      <c r="G419" s="75"/>
      <c r="H419" s="75" t="str">
        <f t="shared" si="7"/>
        <v/>
      </c>
      <c r="I419" s="75"/>
      <c r="J419" s="76"/>
      <c r="K419" s="75"/>
      <c r="L419" s="74"/>
      <c r="M419" s="76"/>
      <c r="N419" s="74"/>
      <c r="O419" s="74"/>
      <c r="P419" s="74"/>
      <c r="Q419" s="76"/>
      <c r="R419" s="75" t="str">
        <f t="shared" si="8"/>
        <v/>
      </c>
      <c r="S419" s="74" t="e">
        <f t="shared" si="9"/>
        <v>#VALUE!</v>
      </c>
      <c r="T419" s="74" t="e">
        <f t="shared" si="9"/>
        <v>#VALUE!</v>
      </c>
      <c r="U419" s="75" t="str">
        <f t="shared" si="10"/>
        <v>Invalid Market: 46678127Y2</v>
      </c>
      <c r="V4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419" s="18" t="str">
        <f>IFERROR(IF(LEFT(ICE[[#This Row],[Tenor]], 1) = "B", RTD("esrtd",,$B419 &amp; " " &amp; ICE[[#This Row],[Tenor]] &amp; "-IEU", W$1), RTD("esrtd",,$B419 &amp; " " &amp; VLOOKUP(MONTH(ICE[[#This Row],[Strip]]), MthRef[], 2, 0) &amp; RIGHT(YEAR(ICE[[#This Row],[Strip]]), 2) &amp; "-IEU", W$1)), "")</f>
        <v/>
      </c>
      <c r="X419" s="36"/>
    </row>
    <row r="420" spans="1:24" x14ac:dyDescent="0.25">
      <c r="A420" s="37" t="s">
        <v>394</v>
      </c>
      <c r="B420" s="3" t="str">
        <f>RTD("ice.rtd",,$C420 &amp; $D420 &amp; ":" &amp; B$1)</f>
        <v>JOD</v>
      </c>
      <c r="C420" s="3">
        <v>2326525626</v>
      </c>
      <c r="D420" t="s">
        <v>792</v>
      </c>
      <c r="E420" s="3" t="str">
        <f>RTD("ice.rtd",,$C420 &amp; $D420 &amp; ":" &amp; E$1)</f>
        <v>Bal Month</v>
      </c>
      <c r="F420" s="3" t="str">
        <f>ICE[[#This Row],[Prod]]&amp;ICE[[#This Row],[Strip]]</f>
        <v>napewBal Month</v>
      </c>
      <c r="G420" s="18" t="str">
        <f>RTD("ice.rtd",,$C420 &amp; $D420 &amp; ":" &amp; G$1)</f>
        <v/>
      </c>
      <c r="H420" s="18" t="str">
        <f>RTD("ice.rtd",,$C420 &amp; $D420 &amp; ":" &amp; H$1)</f>
        <v/>
      </c>
      <c r="I420" s="18" t="str">
        <f>RTD("ice.rtd",,$C420 &amp; $D420 &amp; ":" &amp; I$1)</f>
        <v/>
      </c>
      <c r="J420" s="14" t="str">
        <f>IFERROR(MOD(RTD("ice.rtd",,$C420 &amp; $D420 &amp; ":" &amp; J$1), 1), "")</f>
        <v/>
      </c>
      <c r="K420" s="18">
        <f>RTD("ice.rtd",,$C420 &amp; $D420 &amp; ":" &amp; K$1)</f>
        <v>52</v>
      </c>
      <c r="L420" s="36">
        <f>RTD("ice.rtd",,$C420 &amp; $D420 &amp; ":" &amp; L$1)</f>
        <v>20</v>
      </c>
      <c r="M420" s="14">
        <f>IFERROR(MOD(TIMEVALUE(RTD("ice.rtd",,$C420 &amp; $D420 &amp; ":" &amp; M$1)), 1), "")</f>
        <v>0.37396990740740743</v>
      </c>
      <c r="N420" s="36">
        <f>RTD("ice.rtd",,$C420 &amp; $D420 &amp; ":" &amp; N$1)</f>
        <v>0</v>
      </c>
      <c r="O420" s="36">
        <f>RTD("ice.rtd",,$C420 &amp; $D420 &amp; ":" &amp; O$1)</f>
        <v>20</v>
      </c>
      <c r="P4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20" s="14">
        <f>IF(ICE[[#This Row],[LastType]] = "Scrn", ICE[[#This Row],[LstDate]], IF(ICE[[#This Row],[LastType]] = "Blk", ICE[[#This Row],[LstBlkTime]], ""))</f>
        <v>0.37396990740740743</v>
      </c>
      <c r="R420" s="41">
        <f>IF(ICE[[#This Row],[LastType]] = "Scrn", ICE[[#This Row],[LstPrc]], IF(ICE[[#This Row],[LastType]] = "Blk", ICE[[#This Row],[LstBlkPrc]], ""))</f>
        <v>52</v>
      </c>
      <c r="S420" s="36">
        <f>ICE[[#This Row],[Vol]]+ICE[[#This Row],[BlkVol]]</f>
        <v>20</v>
      </c>
      <c r="T420" s="36">
        <f>RTD("ice.rtd",,$C420 &amp; $D420 &amp; ":" &amp; T$1)</f>
        <v>0</v>
      </c>
      <c r="U420" s="18">
        <f>RTD("ice.rtd",,$C420 &amp; $D420 &amp; ":" &amp; U$1)</f>
        <v>54.727000000000004</v>
      </c>
      <c r="V4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{52.00} |20x</v>
      </c>
      <c r="W420" s="18" t="str">
        <f>IFERROR(IF(LEFT(ICE[[#This Row],[Tenor]], 1) = "B", RTD("esrtd",,$B420 &amp; " " &amp; ICE[[#This Row],[Tenor]] &amp; "-IEU", W$1), RTD("esrtd",,$B420 &amp; " " &amp; VLOOKUP(MONTH(ICE[[#This Row],[Strip]]), MthRef[], 2, 0) &amp; RIGHT(YEAR(ICE[[#This Row],[Strip]]), 2) &amp; "-IEU", W$1)), "")</f>
        <v/>
      </c>
      <c r="X420" s="36"/>
    </row>
    <row r="421" spans="1:24" x14ac:dyDescent="0.25">
      <c r="A421" s="37" t="s">
        <v>394</v>
      </c>
      <c r="B421" s="3" t="str">
        <f>RTD("ice.rtd",,$C421 &amp; $D421 &amp; ":" &amp; B$1)</f>
        <v>JOE</v>
      </c>
      <c r="C421" s="3">
        <v>18871685</v>
      </c>
      <c r="D421" t="s">
        <v>793</v>
      </c>
      <c r="E421" s="3" t="str">
        <f>RTD("ice.rtd",,$C421 &amp; $D421 &amp; ":" &amp; E$1)</f>
        <v>Sep26</v>
      </c>
      <c r="F421" s="3" t="str">
        <f>ICE[[#This Row],[Prod]]&amp;ICE[[#This Row],[Strip]]</f>
        <v>napewSep26</v>
      </c>
      <c r="G421" s="18" t="str">
        <f>RTD("ice.rtd",,$C421 &amp; $D421 &amp; ":" &amp; G$1)</f>
        <v/>
      </c>
      <c r="H421" s="18" t="str">
        <f>RTD("ice.rtd",,$C421 &amp; $D421 &amp; ":" &amp; H$1)</f>
        <v/>
      </c>
      <c r="I421" s="18" t="str">
        <f>RTD("ice.rtd",,$C421 &amp; $D421 &amp; ":" &amp; I$1)</f>
        <v/>
      </c>
      <c r="J421" s="14" t="str">
        <f>IFERROR(MOD(RTD("ice.rtd",,$C421 &amp; $D421 &amp; ":" &amp; J$1), 1), "")</f>
        <v/>
      </c>
      <c r="K421" s="18" t="str">
        <f>RTD("ice.rtd",,$C421 &amp; $D421 &amp; ":" &amp; K$1)</f>
        <v/>
      </c>
      <c r="L421" s="36" t="str">
        <f>RTD("ice.rtd",,$C421 &amp; $D421 &amp; ":" &amp; L$1)</f>
        <v/>
      </c>
      <c r="M421" s="14" t="str">
        <f>IFERROR(MOD(TIMEVALUE(RTD("ice.rtd",,$C421 &amp; $D421 &amp; ":" &amp; M$1)), 1), "")</f>
        <v/>
      </c>
      <c r="N421" s="36">
        <f>RTD("ice.rtd",,$C421 &amp; $D421 &amp; ":" &amp; N$1)</f>
        <v>0</v>
      </c>
      <c r="O421" s="36">
        <f>RTD("ice.rtd",,$C421 &amp; $D421 &amp; ":" &amp; O$1)</f>
        <v>0</v>
      </c>
      <c r="P4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21" s="14" t="str">
        <f>IF(ICE[[#This Row],[LastType]] = "Scrn", ICE[[#This Row],[LstDate]], IF(ICE[[#This Row],[LastType]] = "Blk", ICE[[#This Row],[LstBlkTime]], ""))</f>
        <v/>
      </c>
      <c r="R421" s="41" t="str">
        <f>IF(ICE[[#This Row],[LastType]] = "Scrn", ICE[[#This Row],[LstPrc]], IF(ICE[[#This Row],[LastType]] = "Blk", ICE[[#This Row],[LstBlkPrc]], ""))</f>
        <v/>
      </c>
      <c r="S421" s="36">
        <f>ICE[[#This Row],[Vol]]+ICE[[#This Row],[BlkVol]]</f>
        <v>0</v>
      </c>
      <c r="T421" s="36">
        <f>RTD("ice.rtd",,$C421 &amp; $D421 &amp; ":" &amp; T$1)</f>
        <v>2015</v>
      </c>
      <c r="U421" s="18">
        <f>RTD("ice.rtd",,$C421 &amp; $D421 &amp; ":" &amp; U$1)</f>
        <v>54.727000000000004</v>
      </c>
      <c r="V4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21" s="18" t="str">
        <f>IFERROR(IF(LEFT(ICE[[#This Row],[Tenor]], 1) = "B", RTD("esrtd",,$B421 &amp; " " &amp; ICE[[#This Row],[Tenor]] &amp; "-IEU", W$1), RTD("esrtd",,$B421 &amp; " " &amp; VLOOKUP(MONTH(ICE[[#This Row],[Strip]]), MthRef[], 2, 0) &amp; RIGHT(YEAR(ICE[[#This Row],[Strip]]), 2) &amp; "-IEU", W$1)), "")</f>
        <v/>
      </c>
      <c r="X421" s="36"/>
    </row>
    <row r="422" spans="1:24" x14ac:dyDescent="0.25">
      <c r="A422" s="37" t="s">
        <v>394</v>
      </c>
      <c r="B422" s="3" t="str">
        <f>RTD("ice.rtd",,$C422 &amp; $D422 &amp; ":" &amp; B$1)</f>
        <v>JOE</v>
      </c>
      <c r="C422" s="3">
        <v>18871685</v>
      </c>
      <c r="D422" t="s">
        <v>324</v>
      </c>
      <c r="E422" s="3" t="str">
        <f>RTD("ice.rtd",,$C422 &amp; $D422 &amp; ":" &amp; E$1)</f>
        <v>Oct26</v>
      </c>
      <c r="F422" s="3" t="str">
        <f>ICE[[#This Row],[Prod]]&amp;ICE[[#This Row],[Strip]]</f>
        <v>napewOct26</v>
      </c>
      <c r="G422" s="18">
        <f>RTD("ice.rtd",,$C422 &amp; $D422 &amp; ":" &amp; G$1)</f>
        <v>-8.5</v>
      </c>
      <c r="H422" s="18">
        <f>RTD("ice.rtd",,$C422 &amp; $D422 &amp; ":" &amp; H$1)</f>
        <v>111.5</v>
      </c>
      <c r="I422" s="18" t="str">
        <f>RTD("ice.rtd",,$C422 &amp; $D422 &amp; ":" &amp; I$1)</f>
        <v/>
      </c>
      <c r="J422" s="14" t="str">
        <f>IFERROR(MOD(RTD("ice.rtd",,$C422 &amp; $D422 &amp; ":" &amp; J$1), 1), "")</f>
        <v/>
      </c>
      <c r="K422" s="18">
        <f>RTD("ice.rtd",,$C422 &amp; $D422 &amp; ":" &amp; K$1)</f>
        <v>51.75</v>
      </c>
      <c r="L422" s="36">
        <f>RTD("ice.rtd",,$C422 &amp; $D422 &amp; ":" &amp; L$1)</f>
        <v>5</v>
      </c>
      <c r="M422" s="14">
        <f>IFERROR(MOD(TIMEVALUE(RTD("ice.rtd",,$C422 &amp; $D422 &amp; ":" &amp; M$1)), 1), "")</f>
        <v>0.45030092592592591</v>
      </c>
      <c r="N422" s="36">
        <f>RTD("ice.rtd",,$C422 &amp; $D422 &amp; ":" &amp; N$1)</f>
        <v>0</v>
      </c>
      <c r="O422" s="36">
        <f>RTD("ice.rtd",,$C422 &amp; $D422 &amp; ":" &amp; O$1)</f>
        <v>60</v>
      </c>
      <c r="P4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22" s="14">
        <f>IF(ICE[[#This Row],[LastType]] = "Scrn", ICE[[#This Row],[LstDate]], IF(ICE[[#This Row],[LastType]] = "Blk", ICE[[#This Row],[LstBlkTime]], ""))</f>
        <v>0.45030092592592591</v>
      </c>
      <c r="R422" s="41">
        <f>IF(ICE[[#This Row],[LastType]] = "Scrn", ICE[[#This Row],[LstPrc]], IF(ICE[[#This Row],[LastType]] = "Blk", ICE[[#This Row],[LstBlkPrc]], ""))</f>
        <v>51.75</v>
      </c>
      <c r="S422" s="36">
        <f>ICE[[#This Row],[Vol]]+ICE[[#This Row],[BlkVol]]</f>
        <v>60</v>
      </c>
      <c r="T422" s="36">
        <f>RTD("ice.rtd",,$C422 &amp; $D422 &amp; ":" &amp; T$1)</f>
        <v>1268</v>
      </c>
      <c r="U422" s="18">
        <f>RTD("ice.rtd",,$C422 &amp; $D422 &amp; ":" &amp; U$1)</f>
        <v>52</v>
      </c>
      <c r="V4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-8.50 / 111.50 {51.75} |60x</v>
      </c>
      <c r="W422" s="18" t="str">
        <f>IFERROR(IF(LEFT(ICE[[#This Row],[Tenor]], 1) = "B", RTD("esrtd",,$B422 &amp; " " &amp; ICE[[#This Row],[Tenor]] &amp; "-IEU", W$1), RTD("esrtd",,$B422 &amp; " " &amp; VLOOKUP(MONTH(ICE[[#This Row],[Strip]]), MthRef[], 2, 0) &amp; RIGHT(YEAR(ICE[[#This Row],[Strip]]), 2) &amp; "-IEU", W$1)), "")</f>
        <v/>
      </c>
      <c r="X422" s="36"/>
    </row>
    <row r="423" spans="1:24" x14ac:dyDescent="0.25">
      <c r="A423" s="37" t="s">
        <v>394</v>
      </c>
      <c r="B423" s="3" t="str">
        <f>RTD("ice.rtd",,$C423 &amp; $D423 &amp; ":" &amp; B$1)</f>
        <v>JOE</v>
      </c>
      <c r="C423" s="3">
        <v>18871685</v>
      </c>
      <c r="D423" t="s">
        <v>325</v>
      </c>
      <c r="E423" s="3" t="str">
        <f>RTD("ice.rtd",,$C423 &amp; $D423 &amp; ":" &amp; E$1)</f>
        <v>Nov26</v>
      </c>
      <c r="F423" s="3" t="str">
        <f>ICE[[#This Row],[Prod]]&amp;ICE[[#This Row],[Strip]]</f>
        <v>napewNov26</v>
      </c>
      <c r="G423" s="18">
        <f>RTD("ice.rtd",,$C423 &amp; $D423 &amp; ":" &amp; G$1)</f>
        <v>-9</v>
      </c>
      <c r="H423" s="18">
        <f>RTD("ice.rtd",,$C423 &amp; $D423 &amp; ":" &amp; H$1)</f>
        <v>111</v>
      </c>
      <c r="I423" s="18" t="str">
        <f>RTD("ice.rtd",,$C423 &amp; $D423 &amp; ":" &amp; I$1)</f>
        <v/>
      </c>
      <c r="J423" s="14" t="str">
        <f>IFERROR(MOD(RTD("ice.rtd",,$C423 &amp; $D423 &amp; ":" &amp; J$1), 1), "")</f>
        <v/>
      </c>
      <c r="K423" s="18">
        <f>RTD("ice.rtd",,$C423 &amp; $D423 &amp; ":" &amp; K$1)</f>
        <v>51.5</v>
      </c>
      <c r="L423" s="36">
        <f>RTD("ice.rtd",,$C423 &amp; $D423 &amp; ":" &amp; L$1)</f>
        <v>5</v>
      </c>
      <c r="M423" s="14">
        <f>IFERROR(MOD(TIMEVALUE(RTD("ice.rtd",,$C423 &amp; $D423 &amp; ":" &amp; M$1)), 1), "")</f>
        <v>0.4133101851851852</v>
      </c>
      <c r="N423" s="36">
        <f>RTD("ice.rtd",,$C423 &amp; $D423 &amp; ":" &amp; N$1)</f>
        <v>0</v>
      </c>
      <c r="O423" s="36">
        <f>RTD("ice.rtd",,$C423 &amp; $D423 &amp; ":" &amp; O$1)</f>
        <v>15</v>
      </c>
      <c r="P4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23" s="14">
        <f>IF(ICE[[#This Row],[LastType]] = "Scrn", ICE[[#This Row],[LstDate]], IF(ICE[[#This Row],[LastType]] = "Blk", ICE[[#This Row],[LstBlkTime]], ""))</f>
        <v>0.4133101851851852</v>
      </c>
      <c r="R423" s="41">
        <f>IF(ICE[[#This Row],[LastType]] = "Scrn", ICE[[#This Row],[LstPrc]], IF(ICE[[#This Row],[LastType]] = "Blk", ICE[[#This Row],[LstBlkPrc]], ""))</f>
        <v>51.5</v>
      </c>
      <c r="S423" s="36">
        <f>ICE[[#This Row],[Vol]]+ICE[[#This Row],[BlkVol]]</f>
        <v>15</v>
      </c>
      <c r="T423" s="36">
        <f>RTD("ice.rtd",,$C423 &amp; $D423 &amp; ":" &amp; T$1)</f>
        <v>1011</v>
      </c>
      <c r="U423" s="18">
        <f>RTD("ice.rtd",,$C423 &amp; $D423 &amp; ":" &amp; U$1)</f>
        <v>51</v>
      </c>
      <c r="V4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-9.00 / 111.00 {51.50} |15x</v>
      </c>
      <c r="W423" s="18" t="str">
        <f>IFERROR(IF(LEFT(ICE[[#This Row],[Tenor]], 1) = "B", RTD("esrtd",,$B423 &amp; " " &amp; ICE[[#This Row],[Tenor]] &amp; "-IEU", W$1), RTD("esrtd",,$B423 &amp; " " &amp; VLOOKUP(MONTH(ICE[[#This Row],[Strip]]), MthRef[], 2, 0) &amp; RIGHT(YEAR(ICE[[#This Row],[Strip]]), 2) &amp; "-IEU", W$1)), "")</f>
        <v/>
      </c>
      <c r="X423" s="36"/>
    </row>
    <row r="424" spans="1:24" x14ac:dyDescent="0.25">
      <c r="A424" s="37" t="s">
        <v>394</v>
      </c>
      <c r="B424" s="3" t="str">
        <f>RTD("ice.rtd",,$C424 &amp; $D424 &amp; ":" &amp; B$1)</f>
        <v>JOE</v>
      </c>
      <c r="C424" s="3">
        <v>18871685</v>
      </c>
      <c r="D424" t="s">
        <v>326</v>
      </c>
      <c r="E424" s="3" t="str">
        <f>RTD("ice.rtd",,$C424 &amp; $D424 &amp; ":" &amp; E$1)</f>
        <v>Dec26</v>
      </c>
      <c r="F424" s="3" t="str">
        <f>ICE[[#This Row],[Prod]]&amp;ICE[[#This Row],[Strip]]</f>
        <v>napewDec26</v>
      </c>
      <c r="G424" s="18">
        <f>RTD("ice.rtd",,$C424 &amp; $D424 &amp; ":" &amp; G$1)</f>
        <v>1.75</v>
      </c>
      <c r="H424" s="18">
        <f>RTD("ice.rtd",,$C424 &amp; $D424 &amp; ":" &amp; H$1)</f>
        <v>97.75</v>
      </c>
      <c r="I424" s="18" t="str">
        <f>RTD("ice.rtd",,$C424 &amp; $D424 &amp; ":" &amp; I$1)</f>
        <v/>
      </c>
      <c r="J424" s="14" t="str">
        <f>IFERROR(MOD(RTD("ice.rtd",,$C424 &amp; $D424 &amp; ":" &amp; J$1), 1), "")</f>
        <v/>
      </c>
      <c r="K424" s="18" t="str">
        <f>RTD("ice.rtd",,$C424 &amp; $D424 &amp; ":" &amp; K$1)</f>
        <v/>
      </c>
      <c r="L424" s="36" t="str">
        <f>RTD("ice.rtd",,$C424 &amp; $D424 &amp; ":" &amp; L$1)</f>
        <v/>
      </c>
      <c r="M424" s="14" t="str">
        <f>IFERROR(MOD(TIMEVALUE(RTD("ice.rtd",,$C424 &amp; $D424 &amp; ":" &amp; M$1)), 1), "")</f>
        <v/>
      </c>
      <c r="N424" s="36">
        <f>RTD("ice.rtd",,$C424 &amp; $D424 &amp; ":" &amp; N$1)</f>
        <v>0</v>
      </c>
      <c r="O424" s="36">
        <f>RTD("ice.rtd",,$C424 &amp; $D424 &amp; ":" &amp; O$1)</f>
        <v>5</v>
      </c>
      <c r="P4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24" s="14" t="str">
        <f>IF(ICE[[#This Row],[LastType]] = "Scrn", ICE[[#This Row],[LstDate]], IF(ICE[[#This Row],[LastType]] = "Blk", ICE[[#This Row],[LstBlkTime]], ""))</f>
        <v/>
      </c>
      <c r="R424" s="41" t="str">
        <f>IF(ICE[[#This Row],[LastType]] = "Scrn", ICE[[#This Row],[LstPrc]], IF(ICE[[#This Row],[LastType]] = "Blk", ICE[[#This Row],[LstBlkPrc]], ""))</f>
        <v/>
      </c>
      <c r="S424" s="36">
        <f>ICE[[#This Row],[Vol]]+ICE[[#This Row],[BlkVol]]</f>
        <v>5</v>
      </c>
      <c r="T424" s="36">
        <f>RTD("ice.rtd",,$C424 &amp; $D424 &amp; ":" &amp; T$1)</f>
        <v>1066</v>
      </c>
      <c r="U424" s="18">
        <f>RTD("ice.rtd",,$C424 &amp; $D424 &amp; ":" &amp; U$1)</f>
        <v>49.25</v>
      </c>
      <c r="V4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1.75 / 97.75  |5x</v>
      </c>
      <c r="W424" s="18" t="str">
        <f>IFERROR(IF(LEFT(ICE[[#This Row],[Tenor]], 1) = "B", RTD("esrtd",,$B424 &amp; " " &amp; ICE[[#This Row],[Tenor]] &amp; "-IEU", W$1), RTD("esrtd",,$B424 &amp; " " &amp; VLOOKUP(MONTH(ICE[[#This Row],[Strip]]), MthRef[], 2, 0) &amp; RIGHT(YEAR(ICE[[#This Row],[Strip]]), 2) &amp; "-IEU", W$1)), "")</f>
        <v/>
      </c>
      <c r="X424" s="36"/>
    </row>
    <row r="425" spans="1:24" x14ac:dyDescent="0.25">
      <c r="A425" s="37" t="s">
        <v>394</v>
      </c>
      <c r="B425" s="3" t="str">
        <f>RTD("ice.rtd",,$C425 &amp; $D425 &amp; ":" &amp; B$1)</f>
        <v>JOE</v>
      </c>
      <c r="C425" s="3">
        <v>18871685</v>
      </c>
      <c r="D425" t="s">
        <v>794</v>
      </c>
      <c r="E425" s="3" t="str">
        <f>RTD("ice.rtd",,$C425 &amp; $D425 &amp; ":" &amp; E$1)</f>
        <v>Jan27</v>
      </c>
      <c r="F425" s="3" t="str">
        <f>ICE[[#This Row],[Prod]]&amp;ICE[[#This Row],[Strip]]</f>
        <v>napewJan27</v>
      </c>
      <c r="G425" s="18">
        <f>RTD("ice.rtd",,$C425 &amp; $D425 &amp; ":" &amp; G$1)</f>
        <v>20.5</v>
      </c>
      <c r="H425" s="18">
        <f>RTD("ice.rtd",,$C425 &amp; $D425 &amp; ":" &amp; H$1)</f>
        <v>68.5</v>
      </c>
      <c r="I425" s="18" t="str">
        <f>RTD("ice.rtd",,$C425 &amp; $D425 &amp; ":" &amp; I$1)</f>
        <v/>
      </c>
      <c r="J425" s="14" t="str">
        <f>IFERROR(MOD(RTD("ice.rtd",,$C425 &amp; $D425 &amp; ":" &amp; J$1), 1), "")</f>
        <v/>
      </c>
      <c r="K425" s="18" t="str">
        <f>RTD("ice.rtd",,$C425 &amp; $D425 &amp; ":" &amp; K$1)</f>
        <v/>
      </c>
      <c r="L425" s="36" t="str">
        <f>RTD("ice.rtd",,$C425 &amp; $D425 &amp; ":" &amp; L$1)</f>
        <v/>
      </c>
      <c r="M425" s="14" t="str">
        <f>IFERROR(MOD(TIMEVALUE(RTD("ice.rtd",,$C425 &amp; $D425 &amp; ":" &amp; M$1)), 1), "")</f>
        <v/>
      </c>
      <c r="N425" s="36">
        <f>RTD("ice.rtd",,$C425 &amp; $D425 &amp; ":" &amp; N$1)</f>
        <v>0</v>
      </c>
      <c r="O425" s="36">
        <f>RTD("ice.rtd",,$C425 &amp; $D425 &amp; ":" &amp; O$1)</f>
        <v>11</v>
      </c>
      <c r="P4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25" s="14" t="str">
        <f>IF(ICE[[#This Row],[LastType]] = "Scrn", ICE[[#This Row],[LstDate]], IF(ICE[[#This Row],[LastType]] = "Blk", ICE[[#This Row],[LstBlkTime]], ""))</f>
        <v/>
      </c>
      <c r="R425" s="41" t="str">
        <f>IF(ICE[[#This Row],[LastType]] = "Scrn", ICE[[#This Row],[LstPrc]], IF(ICE[[#This Row],[LastType]] = "Blk", ICE[[#This Row],[LstBlkPrc]], ""))</f>
        <v/>
      </c>
      <c r="S425" s="36">
        <f>ICE[[#This Row],[Vol]]+ICE[[#This Row],[BlkVol]]</f>
        <v>11</v>
      </c>
      <c r="T425" s="36">
        <f>RTD("ice.rtd",,$C425 &amp; $D425 &amp; ":" &amp; T$1)</f>
        <v>853</v>
      </c>
      <c r="U425" s="18">
        <f>RTD("ice.rtd",,$C425 &amp; $D425 &amp; ":" &amp; U$1)</f>
        <v>43.75</v>
      </c>
      <c r="V4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20.50 / 68.50  |11x</v>
      </c>
      <c r="W425" s="18" t="str">
        <f>IFERROR(IF(LEFT(ICE[[#This Row],[Tenor]], 1) = "B", RTD("esrtd",,$B425 &amp; " " &amp; ICE[[#This Row],[Tenor]] &amp; "-IEU", W$1), RTD("esrtd",,$B425 &amp; " " &amp; VLOOKUP(MONTH(ICE[[#This Row],[Strip]]), MthRef[], 2, 0) &amp; RIGHT(YEAR(ICE[[#This Row],[Strip]]), 2) &amp; "-IEU", W$1)), "")</f>
        <v/>
      </c>
      <c r="X425" s="36"/>
    </row>
    <row r="426" spans="1:24" x14ac:dyDescent="0.25">
      <c r="A426" s="37" t="s">
        <v>394</v>
      </c>
      <c r="B426" s="3" t="str">
        <f>RTD("ice.rtd",,$C426 &amp; $D426 &amp; ":" &amp; B$1)</f>
        <v>JOE</v>
      </c>
      <c r="C426" s="3">
        <v>18871685</v>
      </c>
      <c r="D426" t="s">
        <v>795</v>
      </c>
      <c r="E426" s="3" t="str">
        <f>RTD("ice.rtd",,$C426 &amp; $D426 &amp; ":" &amp; E$1)</f>
        <v>Feb27</v>
      </c>
      <c r="F426" s="3" t="str">
        <f>ICE[[#This Row],[Prod]]&amp;ICE[[#This Row],[Strip]]</f>
        <v>napewFeb27</v>
      </c>
      <c r="G426" s="18">
        <f>RTD("ice.rtd",,$C426 &amp; $D426 &amp; ":" &amp; G$1)</f>
        <v>17</v>
      </c>
      <c r="H426" s="18">
        <f>RTD("ice.rtd",,$C426 &amp; $D426 &amp; ":" &amp; H$1)</f>
        <v>65</v>
      </c>
      <c r="I426" s="18" t="str">
        <f>RTD("ice.rtd",,$C426 &amp; $D426 &amp; ":" &amp; I$1)</f>
        <v/>
      </c>
      <c r="J426" s="14" t="str">
        <f>IFERROR(MOD(RTD("ice.rtd",,$C426 &amp; $D426 &amp; ":" &amp; J$1), 1), "")</f>
        <v/>
      </c>
      <c r="K426" s="18" t="str">
        <f>RTD("ice.rtd",,$C426 &amp; $D426 &amp; ":" &amp; K$1)</f>
        <v/>
      </c>
      <c r="L426" s="36" t="str">
        <f>RTD("ice.rtd",,$C426 &amp; $D426 &amp; ":" &amp; L$1)</f>
        <v/>
      </c>
      <c r="M426" s="14" t="str">
        <f>IFERROR(MOD(TIMEVALUE(RTD("ice.rtd",,$C426 &amp; $D426 &amp; ":" &amp; M$1)), 1), "")</f>
        <v/>
      </c>
      <c r="N426" s="36">
        <f>RTD("ice.rtd",,$C426 &amp; $D426 &amp; ":" &amp; N$1)</f>
        <v>0</v>
      </c>
      <c r="O426" s="36">
        <f>RTD("ice.rtd",,$C426 &amp; $D426 &amp; ":" &amp; O$1)</f>
        <v>11</v>
      </c>
      <c r="P4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26" s="14" t="str">
        <f>IF(ICE[[#This Row],[LastType]] = "Scrn", ICE[[#This Row],[LstDate]], IF(ICE[[#This Row],[LastType]] = "Blk", ICE[[#This Row],[LstBlkTime]], ""))</f>
        <v/>
      </c>
      <c r="R426" s="41" t="str">
        <f>IF(ICE[[#This Row],[LastType]] = "Scrn", ICE[[#This Row],[LstPrc]], IF(ICE[[#This Row],[LastType]] = "Blk", ICE[[#This Row],[LstBlkPrc]], ""))</f>
        <v/>
      </c>
      <c r="S426" s="36">
        <f>ICE[[#This Row],[Vol]]+ICE[[#This Row],[BlkVol]]</f>
        <v>11</v>
      </c>
      <c r="T426" s="36">
        <f>RTD("ice.rtd",,$C426 &amp; $D426 &amp; ":" &amp; T$1)</f>
        <v>738</v>
      </c>
      <c r="U426" s="18">
        <f>RTD("ice.rtd",,$C426 &amp; $D426 &amp; ":" &amp; U$1)</f>
        <v>39.75</v>
      </c>
      <c r="V4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17.00 / 65.00  |11x</v>
      </c>
      <c r="W426" s="18" t="str">
        <f>IFERROR(IF(LEFT(ICE[[#This Row],[Tenor]], 1) = "B", RTD("esrtd",,$B426 &amp; " " &amp; ICE[[#This Row],[Tenor]] &amp; "-IEU", W$1), RTD("esrtd",,$B426 &amp; " " &amp; VLOOKUP(MONTH(ICE[[#This Row],[Strip]]), MthRef[], 2, 0) &amp; RIGHT(YEAR(ICE[[#This Row],[Strip]]), 2) &amp; "-IEU", W$1)), "")</f>
        <v/>
      </c>
      <c r="X426" s="36"/>
    </row>
    <row r="427" spans="1:24" x14ac:dyDescent="0.25">
      <c r="A427" s="37" t="s">
        <v>394</v>
      </c>
      <c r="B427" s="3" t="str">
        <f>RTD("ice.rtd",,$C427 &amp; $D427 &amp; ":" &amp; B$1)</f>
        <v>JOE</v>
      </c>
      <c r="C427" s="3">
        <v>18871685</v>
      </c>
      <c r="D427" t="s">
        <v>113</v>
      </c>
      <c r="E427" s="3" t="str">
        <f>RTD("ice.rtd",,$C427 &amp; $D427 &amp; ":" &amp; E$1)</f>
        <v>Mar27</v>
      </c>
      <c r="F427" s="3" t="str">
        <f>ICE[[#This Row],[Prod]]&amp;ICE[[#This Row],[Strip]]</f>
        <v>napewMar27</v>
      </c>
      <c r="G427" s="18">
        <f>RTD("ice.rtd",,$C427 &amp; $D427 &amp; ":" &amp; G$1)</f>
        <v>13.5</v>
      </c>
      <c r="H427" s="18">
        <f>RTD("ice.rtd",,$C427 &amp; $D427 &amp; ":" &amp; H$1)</f>
        <v>61.5</v>
      </c>
      <c r="I427" s="18" t="str">
        <f>RTD("ice.rtd",,$C427 &amp; $D427 &amp; ":" &amp; I$1)</f>
        <v/>
      </c>
      <c r="J427" s="14" t="str">
        <f>IFERROR(MOD(RTD("ice.rtd",,$C427 &amp; $D427 &amp; ":" &amp; J$1), 1), "")</f>
        <v/>
      </c>
      <c r="K427" s="18" t="str">
        <f>RTD("ice.rtd",,$C427 &amp; $D427 &amp; ":" &amp; K$1)</f>
        <v/>
      </c>
      <c r="L427" s="36" t="str">
        <f>RTD("ice.rtd",,$C427 &amp; $D427 &amp; ":" &amp; L$1)</f>
        <v/>
      </c>
      <c r="M427" s="14" t="str">
        <f>IFERROR(MOD(TIMEVALUE(RTD("ice.rtd",,$C427 &amp; $D427 &amp; ":" &amp; M$1)), 1), "")</f>
        <v/>
      </c>
      <c r="N427" s="36">
        <f>RTD("ice.rtd",,$C427 &amp; $D427 &amp; ":" &amp; N$1)</f>
        <v>0</v>
      </c>
      <c r="O427" s="36">
        <f>RTD("ice.rtd",,$C427 &amp; $D427 &amp; ":" &amp; O$1)</f>
        <v>11</v>
      </c>
      <c r="P4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27" s="14" t="str">
        <f>IF(ICE[[#This Row],[LastType]] = "Scrn", ICE[[#This Row],[LstDate]], IF(ICE[[#This Row],[LastType]] = "Blk", ICE[[#This Row],[LstBlkTime]], ""))</f>
        <v/>
      </c>
      <c r="R427" s="41" t="str">
        <f>IF(ICE[[#This Row],[LastType]] = "Scrn", ICE[[#This Row],[LstPrc]], IF(ICE[[#This Row],[LastType]] = "Blk", ICE[[#This Row],[LstBlkPrc]], ""))</f>
        <v/>
      </c>
      <c r="S427" s="36">
        <f>ICE[[#This Row],[Vol]]+ICE[[#This Row],[BlkVol]]</f>
        <v>11</v>
      </c>
      <c r="T427" s="36">
        <f>RTD("ice.rtd",,$C427 &amp; $D427 &amp; ":" &amp; T$1)</f>
        <v>747</v>
      </c>
      <c r="U427" s="18">
        <f>RTD("ice.rtd",,$C427 &amp; $D427 &amp; ":" &amp; U$1)</f>
        <v>36.5</v>
      </c>
      <c r="V4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13.50 / 61.50  |11x</v>
      </c>
      <c r="W427" s="18" t="str">
        <f>IFERROR(IF(LEFT(ICE[[#This Row],[Tenor]], 1) = "B", RTD("esrtd",,$B427 &amp; " " &amp; ICE[[#This Row],[Tenor]] &amp; "-IEU", W$1), RTD("esrtd",,$B427 &amp; " " &amp; VLOOKUP(MONTH(ICE[[#This Row],[Strip]]), MthRef[], 2, 0) &amp; RIGHT(YEAR(ICE[[#This Row],[Strip]]), 2) &amp; "-IEU", W$1)), "")</f>
        <v/>
      </c>
      <c r="X427" s="36"/>
    </row>
    <row r="428" spans="1:24" x14ac:dyDescent="0.25">
      <c r="A428" s="37" t="s">
        <v>394</v>
      </c>
      <c r="B428" s="3" t="str">
        <f>RTD("ice.rtd",,$C428 &amp; $D428 &amp; ":" &amp; B$1)</f>
        <v>JOE</v>
      </c>
      <c r="C428" s="3">
        <v>18871685</v>
      </c>
      <c r="D428" t="s">
        <v>796</v>
      </c>
      <c r="E428" s="3" t="str">
        <f>RTD("ice.rtd",,$C428 &amp; $D428 &amp; ":" &amp; E$1)</f>
        <v>Apr27</v>
      </c>
      <c r="F428" s="3" t="str">
        <f>ICE[[#This Row],[Prod]]&amp;ICE[[#This Row],[Strip]]</f>
        <v>napewApr27</v>
      </c>
      <c r="G428" s="18">
        <f>RTD("ice.rtd",,$C428 &amp; $D428 &amp; ":" &amp; G$1)</f>
        <v>10</v>
      </c>
      <c r="H428" s="18">
        <f>RTD("ice.rtd",,$C428 &amp; $D428 &amp; ":" &amp; H$1)</f>
        <v>58</v>
      </c>
      <c r="I428" s="18" t="str">
        <f>RTD("ice.rtd",,$C428 &amp; $D428 &amp; ":" &amp; I$1)</f>
        <v/>
      </c>
      <c r="J428" s="14" t="str">
        <f>IFERROR(MOD(RTD("ice.rtd",,$C428 &amp; $D428 &amp; ":" &amp; J$1), 1), "")</f>
        <v/>
      </c>
      <c r="K428" s="18" t="str">
        <f>RTD("ice.rtd",,$C428 &amp; $D428 &amp; ":" &amp; K$1)</f>
        <v/>
      </c>
      <c r="L428" s="36" t="str">
        <f>RTD("ice.rtd",,$C428 &amp; $D428 &amp; ":" &amp; L$1)</f>
        <v/>
      </c>
      <c r="M428" s="14" t="str">
        <f>IFERROR(MOD(TIMEVALUE(RTD("ice.rtd",,$C428 &amp; $D428 &amp; ":" &amp; M$1)), 1), "")</f>
        <v/>
      </c>
      <c r="N428" s="36">
        <f>RTD("ice.rtd",,$C428 &amp; $D428 &amp; ":" &amp; N$1)</f>
        <v>0</v>
      </c>
      <c r="O428" s="36">
        <f>RTD("ice.rtd",,$C428 &amp; $D428 &amp; ":" &amp; O$1)</f>
        <v>11</v>
      </c>
      <c r="P4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28" s="14" t="str">
        <f>IF(ICE[[#This Row],[LastType]] = "Scrn", ICE[[#This Row],[LstDate]], IF(ICE[[#This Row],[LastType]] = "Blk", ICE[[#This Row],[LstBlkTime]], ""))</f>
        <v/>
      </c>
      <c r="R428" s="41" t="str">
        <f>IF(ICE[[#This Row],[LastType]] = "Scrn", ICE[[#This Row],[LstPrc]], IF(ICE[[#This Row],[LastType]] = "Blk", ICE[[#This Row],[LstBlkPrc]], ""))</f>
        <v/>
      </c>
      <c r="S428" s="36">
        <f>ICE[[#This Row],[Vol]]+ICE[[#This Row],[BlkVol]]</f>
        <v>11</v>
      </c>
      <c r="T428" s="36">
        <f>RTD("ice.rtd",,$C428 &amp; $D428 &amp; ":" &amp; T$1)</f>
        <v>306</v>
      </c>
      <c r="U428" s="18">
        <f>RTD("ice.rtd",,$C428 &amp; $D428 &amp; ":" &amp; U$1)</f>
        <v>33.25</v>
      </c>
      <c r="V4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10.00 / 58.00  |11x</v>
      </c>
      <c r="W428" s="18" t="str">
        <f>IFERROR(IF(LEFT(ICE[[#This Row],[Tenor]], 1) = "B", RTD("esrtd",,$B428 &amp; " " &amp; ICE[[#This Row],[Tenor]] &amp; "-IEU", W$1), RTD("esrtd",,$B428 &amp; " " &amp; VLOOKUP(MONTH(ICE[[#This Row],[Strip]]), MthRef[], 2, 0) &amp; RIGHT(YEAR(ICE[[#This Row],[Strip]]), 2) &amp; "-IEU", W$1)), "")</f>
        <v/>
      </c>
      <c r="X428" s="36"/>
    </row>
    <row r="429" spans="1:24" x14ac:dyDescent="0.25">
      <c r="A429" s="37" t="s">
        <v>394</v>
      </c>
      <c r="B429" s="3" t="str">
        <f>RTD("ice.rtd",,$C429 &amp; $D429 &amp; ":" &amp; B$1)</f>
        <v>JOE</v>
      </c>
      <c r="C429" s="3">
        <v>18871685</v>
      </c>
      <c r="D429" t="s">
        <v>797</v>
      </c>
      <c r="E429" s="3" t="str">
        <f>RTD("ice.rtd",,$C429 &amp; $D429 &amp; ":" &amp; E$1)</f>
        <v>May27</v>
      </c>
      <c r="F429" s="3" t="str">
        <f>ICE[[#This Row],[Prod]]&amp;ICE[[#This Row],[Strip]]</f>
        <v>napewMay27</v>
      </c>
      <c r="G429" s="18">
        <f>RTD("ice.rtd",,$C429 &amp; $D429 &amp; ":" &amp; G$1)</f>
        <v>7.75</v>
      </c>
      <c r="H429" s="18">
        <f>RTD("ice.rtd",,$C429 &amp; $D429 &amp; ":" &amp; H$1)</f>
        <v>55.75</v>
      </c>
      <c r="I429" s="18" t="str">
        <f>RTD("ice.rtd",,$C429 &amp; $D429 &amp; ":" &amp; I$1)</f>
        <v/>
      </c>
      <c r="J429" s="14" t="str">
        <f>IFERROR(MOD(RTD("ice.rtd",,$C429 &amp; $D429 &amp; ":" &amp; J$1), 1), "")</f>
        <v/>
      </c>
      <c r="K429" s="18" t="str">
        <f>RTD("ice.rtd",,$C429 &amp; $D429 &amp; ":" &amp; K$1)</f>
        <v/>
      </c>
      <c r="L429" s="36" t="str">
        <f>RTD("ice.rtd",,$C429 &amp; $D429 &amp; ":" &amp; L$1)</f>
        <v/>
      </c>
      <c r="M429" s="14" t="str">
        <f>IFERROR(MOD(TIMEVALUE(RTD("ice.rtd",,$C429 &amp; $D429 &amp; ":" &amp; M$1)), 1), "")</f>
        <v/>
      </c>
      <c r="N429" s="36">
        <f>RTD("ice.rtd",,$C429 &amp; $D429 &amp; ":" &amp; N$1)</f>
        <v>0</v>
      </c>
      <c r="O429" s="36">
        <f>RTD("ice.rtd",,$C429 &amp; $D429 &amp; ":" &amp; O$1)</f>
        <v>11</v>
      </c>
      <c r="P4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29" s="14" t="str">
        <f>IF(ICE[[#This Row],[LastType]] = "Scrn", ICE[[#This Row],[LstDate]], IF(ICE[[#This Row],[LastType]] = "Blk", ICE[[#This Row],[LstBlkTime]], ""))</f>
        <v/>
      </c>
      <c r="R429" s="41" t="str">
        <f>IF(ICE[[#This Row],[LastType]] = "Scrn", ICE[[#This Row],[LstPrc]], IF(ICE[[#This Row],[LastType]] = "Blk", ICE[[#This Row],[LstBlkPrc]], ""))</f>
        <v/>
      </c>
      <c r="S429" s="36">
        <f>ICE[[#This Row],[Vol]]+ICE[[#This Row],[BlkVol]]</f>
        <v>11</v>
      </c>
      <c r="T429" s="36">
        <f>RTD("ice.rtd",,$C429 &amp; $D429 &amp; ":" &amp; T$1)</f>
        <v>285</v>
      </c>
      <c r="U429" s="18">
        <f>RTD("ice.rtd",,$C429 &amp; $D429 &amp; ":" &amp; U$1)</f>
        <v>31.5</v>
      </c>
      <c r="V4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7.75 / 55.75  |11x</v>
      </c>
      <c r="W429" s="18" t="str">
        <f>IFERROR(IF(LEFT(ICE[[#This Row],[Tenor]], 1) = "B", RTD("esrtd",,$B429 &amp; " " &amp; ICE[[#This Row],[Tenor]] &amp; "-IEU", W$1), RTD("esrtd",,$B429 &amp; " " &amp; VLOOKUP(MONTH(ICE[[#This Row],[Strip]]), MthRef[], 2, 0) &amp; RIGHT(YEAR(ICE[[#This Row],[Strip]]), 2) &amp; "-IEU", W$1)), "")</f>
        <v/>
      </c>
      <c r="X429" s="36"/>
    </row>
    <row r="430" spans="1:24" x14ac:dyDescent="0.25">
      <c r="A430" s="37" t="s">
        <v>394</v>
      </c>
      <c r="B430" s="3" t="str">
        <f>RTD("ice.rtd",,$C430 &amp; $D430 &amp; ":" &amp; B$1)</f>
        <v>JOE</v>
      </c>
      <c r="C430" s="3">
        <v>18871685</v>
      </c>
      <c r="D430" t="s">
        <v>798</v>
      </c>
      <c r="E430" s="3" t="str">
        <f>RTD("ice.rtd",,$C430 &amp; $D430 &amp; ":" &amp; E$1)</f>
        <v>Jun27</v>
      </c>
      <c r="F430" s="3" t="str">
        <f>ICE[[#This Row],[Prod]]&amp;ICE[[#This Row],[Strip]]</f>
        <v>napewJun27</v>
      </c>
      <c r="G430" s="18">
        <f>RTD("ice.rtd",,$C430 &amp; $D430 &amp; ":" &amp; G$1)</f>
        <v>6</v>
      </c>
      <c r="H430" s="18">
        <f>RTD("ice.rtd",,$C430 &amp; $D430 &amp; ":" &amp; H$1)</f>
        <v>54</v>
      </c>
      <c r="I430" s="18" t="str">
        <f>RTD("ice.rtd",,$C430 &amp; $D430 &amp; ":" &amp; I$1)</f>
        <v/>
      </c>
      <c r="J430" s="14" t="str">
        <f>IFERROR(MOD(RTD("ice.rtd",,$C430 &amp; $D430 &amp; ":" &amp; J$1), 1), "")</f>
        <v/>
      </c>
      <c r="K430" s="18" t="str">
        <f>RTD("ice.rtd",,$C430 &amp; $D430 &amp; ":" &amp; K$1)</f>
        <v/>
      </c>
      <c r="L430" s="36" t="str">
        <f>RTD("ice.rtd",,$C430 &amp; $D430 &amp; ":" &amp; L$1)</f>
        <v/>
      </c>
      <c r="M430" s="14" t="str">
        <f>IFERROR(MOD(TIMEVALUE(RTD("ice.rtd",,$C430 &amp; $D430 &amp; ":" &amp; M$1)), 1), "")</f>
        <v/>
      </c>
      <c r="N430" s="36">
        <f>RTD("ice.rtd",,$C430 &amp; $D430 &amp; ":" &amp; N$1)</f>
        <v>0</v>
      </c>
      <c r="O430" s="36">
        <f>RTD("ice.rtd",,$C430 &amp; $D430 &amp; ":" &amp; O$1)</f>
        <v>11</v>
      </c>
      <c r="P4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0" s="14" t="str">
        <f>IF(ICE[[#This Row],[LastType]] = "Scrn", ICE[[#This Row],[LstDate]], IF(ICE[[#This Row],[LastType]] = "Blk", ICE[[#This Row],[LstBlkTime]], ""))</f>
        <v/>
      </c>
      <c r="R430" s="41" t="str">
        <f>IF(ICE[[#This Row],[LastType]] = "Scrn", ICE[[#This Row],[LstPrc]], IF(ICE[[#This Row],[LastType]] = "Blk", ICE[[#This Row],[LstBlkPrc]], ""))</f>
        <v/>
      </c>
      <c r="S430" s="36">
        <f>ICE[[#This Row],[Vol]]+ICE[[#This Row],[BlkVol]]</f>
        <v>11</v>
      </c>
      <c r="T430" s="36">
        <f>RTD("ice.rtd",,$C430 &amp; $D430 &amp; ":" &amp; T$1)</f>
        <v>405</v>
      </c>
      <c r="U430" s="18">
        <f>RTD("ice.rtd",,$C430 &amp; $D430 &amp; ":" &amp; U$1)</f>
        <v>29.75</v>
      </c>
      <c r="V4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6.00 / 54.00  |11x</v>
      </c>
      <c r="W430" s="18" t="str">
        <f>IFERROR(IF(LEFT(ICE[[#This Row],[Tenor]], 1) = "B", RTD("esrtd",,$B430 &amp; " " &amp; ICE[[#This Row],[Tenor]] &amp; "-IEU", W$1), RTD("esrtd",,$B430 &amp; " " &amp; VLOOKUP(MONTH(ICE[[#This Row],[Strip]]), MthRef[], 2, 0) &amp; RIGHT(YEAR(ICE[[#This Row],[Strip]]), 2) &amp; "-IEU", W$1)), "")</f>
        <v/>
      </c>
      <c r="X430" s="36"/>
    </row>
    <row r="431" spans="1:24" x14ac:dyDescent="0.25">
      <c r="A431" s="37" t="s">
        <v>394</v>
      </c>
      <c r="B431" s="3" t="str">
        <f>RTD("ice.rtd",,$C431 &amp; $D431 &amp; ":" &amp; B$1)</f>
        <v>JOE</v>
      </c>
      <c r="C431" s="3">
        <v>18871685</v>
      </c>
      <c r="D431" t="s">
        <v>799</v>
      </c>
      <c r="E431" s="3" t="str">
        <f>RTD("ice.rtd",,$C431 &amp; $D431 &amp; ":" &amp; E$1)</f>
        <v>Jul27</v>
      </c>
      <c r="F431" s="3" t="str">
        <f>ICE[[#This Row],[Prod]]&amp;ICE[[#This Row],[Strip]]</f>
        <v>napewJul27</v>
      </c>
      <c r="G431" s="18">
        <f>RTD("ice.rtd",,$C431 &amp; $D431 &amp; ":" &amp; G$1)</f>
        <v>4.25</v>
      </c>
      <c r="H431" s="18">
        <f>RTD("ice.rtd",,$C431 &amp; $D431 &amp; ":" &amp; H$1)</f>
        <v>52.25</v>
      </c>
      <c r="I431" s="18" t="str">
        <f>RTD("ice.rtd",,$C431 &amp; $D431 &amp; ":" &amp; I$1)</f>
        <v/>
      </c>
      <c r="J431" s="14" t="str">
        <f>IFERROR(MOD(RTD("ice.rtd",,$C431 &amp; $D431 &amp; ":" &amp; J$1), 1), "")</f>
        <v/>
      </c>
      <c r="K431" s="18" t="str">
        <f>RTD("ice.rtd",,$C431 &amp; $D431 &amp; ":" &amp; K$1)</f>
        <v/>
      </c>
      <c r="L431" s="36" t="str">
        <f>RTD("ice.rtd",,$C431 &amp; $D431 &amp; ":" &amp; L$1)</f>
        <v/>
      </c>
      <c r="M431" s="14" t="str">
        <f>IFERROR(MOD(TIMEVALUE(RTD("ice.rtd",,$C431 &amp; $D431 &amp; ":" &amp; M$1)), 1), "")</f>
        <v/>
      </c>
      <c r="N431" s="36">
        <f>RTD("ice.rtd",,$C431 &amp; $D431 &amp; ":" &amp; N$1)</f>
        <v>0</v>
      </c>
      <c r="O431" s="36">
        <f>RTD("ice.rtd",,$C431 &amp; $D431 &amp; ":" &amp; O$1)</f>
        <v>6</v>
      </c>
      <c r="P4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1" s="14" t="str">
        <f>IF(ICE[[#This Row],[LastType]] = "Scrn", ICE[[#This Row],[LstDate]], IF(ICE[[#This Row],[LastType]] = "Blk", ICE[[#This Row],[LstBlkTime]], ""))</f>
        <v/>
      </c>
      <c r="R431" s="41" t="str">
        <f>IF(ICE[[#This Row],[LastType]] = "Scrn", ICE[[#This Row],[LstPrc]], IF(ICE[[#This Row],[LastType]] = "Blk", ICE[[#This Row],[LstBlkPrc]], ""))</f>
        <v/>
      </c>
      <c r="S431" s="36">
        <f>ICE[[#This Row],[Vol]]+ICE[[#This Row],[BlkVol]]</f>
        <v>6</v>
      </c>
      <c r="T431" s="36">
        <f>RTD("ice.rtd",,$C431 &amp; $D431 &amp; ":" &amp; T$1)</f>
        <v>204</v>
      </c>
      <c r="U431" s="18">
        <f>RTD("ice.rtd",,$C431 &amp; $D431 &amp; ":" &amp; U$1)</f>
        <v>28</v>
      </c>
      <c r="V4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4.25 / 52.25  |6x</v>
      </c>
      <c r="W431" s="18" t="str">
        <f>IFERROR(IF(LEFT(ICE[[#This Row],[Tenor]], 1) = "B", RTD("esrtd",,$B431 &amp; " " &amp; ICE[[#This Row],[Tenor]] &amp; "-IEU", W$1), RTD("esrtd",,$B431 &amp; " " &amp; VLOOKUP(MONTH(ICE[[#This Row],[Strip]]), MthRef[], 2, 0) &amp; RIGHT(YEAR(ICE[[#This Row],[Strip]]), 2) &amp; "-IEU", W$1)), "")</f>
        <v/>
      </c>
      <c r="X431" s="36"/>
    </row>
    <row r="432" spans="1:24" x14ac:dyDescent="0.25">
      <c r="A432" s="37" t="s">
        <v>394</v>
      </c>
      <c r="B432" s="3" t="str">
        <f>RTD("ice.rtd",,$C432 &amp; $D432 &amp; ":" &amp; B$1)</f>
        <v>JOE</v>
      </c>
      <c r="C432" s="3">
        <v>18871685</v>
      </c>
      <c r="D432" t="s">
        <v>800</v>
      </c>
      <c r="E432" s="3" t="str">
        <f>RTD("ice.rtd",,$C432 &amp; $D432 &amp; ":" &amp; E$1)</f>
        <v>Aug27</v>
      </c>
      <c r="F432" s="3" t="str">
        <f>ICE[[#This Row],[Prod]]&amp;ICE[[#This Row],[Strip]]</f>
        <v>napewAug27</v>
      </c>
      <c r="G432" s="18">
        <f>RTD("ice.rtd",,$C432 &amp; $D432 &amp; ":" &amp; G$1)</f>
        <v>2.5</v>
      </c>
      <c r="H432" s="18">
        <f>RTD("ice.rtd",,$C432 &amp; $D432 &amp; ":" &amp; H$1)</f>
        <v>50.5</v>
      </c>
      <c r="I432" s="18" t="str">
        <f>RTD("ice.rtd",,$C432 &amp; $D432 &amp; ":" &amp; I$1)</f>
        <v/>
      </c>
      <c r="J432" s="14" t="str">
        <f>IFERROR(MOD(RTD("ice.rtd",,$C432 &amp; $D432 &amp; ":" &amp; J$1), 1), "")</f>
        <v/>
      </c>
      <c r="K432" s="18" t="str">
        <f>RTD("ice.rtd",,$C432 &amp; $D432 &amp; ":" &amp; K$1)</f>
        <v/>
      </c>
      <c r="L432" s="36" t="str">
        <f>RTD("ice.rtd",,$C432 &amp; $D432 &amp; ":" &amp; L$1)</f>
        <v/>
      </c>
      <c r="M432" s="14" t="str">
        <f>IFERROR(MOD(TIMEVALUE(RTD("ice.rtd",,$C432 &amp; $D432 &amp; ":" &amp; M$1)), 1), "")</f>
        <v/>
      </c>
      <c r="N432" s="36">
        <f>RTD("ice.rtd",,$C432 &amp; $D432 &amp; ":" &amp; N$1)</f>
        <v>0</v>
      </c>
      <c r="O432" s="36">
        <f>RTD("ice.rtd",,$C432 &amp; $D432 &amp; ":" &amp; O$1)</f>
        <v>6</v>
      </c>
      <c r="P4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2" s="14" t="str">
        <f>IF(ICE[[#This Row],[LastType]] = "Scrn", ICE[[#This Row],[LstDate]], IF(ICE[[#This Row],[LastType]] = "Blk", ICE[[#This Row],[LstBlkTime]], ""))</f>
        <v/>
      </c>
      <c r="R432" s="41" t="str">
        <f>IF(ICE[[#This Row],[LastType]] = "Scrn", ICE[[#This Row],[LstPrc]], IF(ICE[[#This Row],[LastType]] = "Blk", ICE[[#This Row],[LstBlkPrc]], ""))</f>
        <v/>
      </c>
      <c r="S432" s="36">
        <f>ICE[[#This Row],[Vol]]+ICE[[#This Row],[BlkVol]]</f>
        <v>6</v>
      </c>
      <c r="T432" s="36">
        <f>RTD("ice.rtd",,$C432 &amp; $D432 &amp; ":" &amp; T$1)</f>
        <v>246</v>
      </c>
      <c r="U432" s="18">
        <f>RTD("ice.rtd",,$C432 &amp; $D432 &amp; ":" &amp; U$1)</f>
        <v>26.25</v>
      </c>
      <c r="V4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2.50 / 50.50  |6x</v>
      </c>
      <c r="W432" s="18" t="str">
        <f>IFERROR(IF(LEFT(ICE[[#This Row],[Tenor]], 1) = "B", RTD("esrtd",,$B432 &amp; " " &amp; ICE[[#This Row],[Tenor]] &amp; "-IEU", W$1), RTD("esrtd",,$B432 &amp; " " &amp; VLOOKUP(MONTH(ICE[[#This Row],[Strip]]), MthRef[], 2, 0) &amp; RIGHT(YEAR(ICE[[#This Row],[Strip]]), 2) &amp; "-IEU", W$1)), "")</f>
        <v/>
      </c>
      <c r="X432" s="36"/>
    </row>
    <row r="433" spans="1:24" x14ac:dyDescent="0.25">
      <c r="A433" s="37" t="s">
        <v>394</v>
      </c>
      <c r="B433" s="3" t="str">
        <f>RTD("ice.rtd",,$C433 &amp; $D433 &amp; ":" &amp; B$1)</f>
        <v>JOE</v>
      </c>
      <c r="C433" s="3">
        <v>18871685</v>
      </c>
      <c r="D433" t="s">
        <v>801</v>
      </c>
      <c r="E433" s="3" t="str">
        <f>RTD("ice.rtd",,$C433 &amp; $D433 &amp; ":" &amp; E$1)</f>
        <v>Sep27</v>
      </c>
      <c r="F433" s="3" t="str">
        <f>ICE[[#This Row],[Prod]]&amp;ICE[[#This Row],[Strip]]</f>
        <v>napewSep27</v>
      </c>
      <c r="G433" s="18">
        <f>RTD("ice.rtd",,$C433 &amp; $D433 &amp; ":" &amp; G$1)</f>
        <v>1.25</v>
      </c>
      <c r="H433" s="18">
        <f>RTD("ice.rtd",,$C433 &amp; $D433 &amp; ":" &amp; H$1)</f>
        <v>49.25</v>
      </c>
      <c r="I433" s="18" t="str">
        <f>RTD("ice.rtd",,$C433 &amp; $D433 &amp; ":" &amp; I$1)</f>
        <v/>
      </c>
      <c r="J433" s="14" t="str">
        <f>IFERROR(MOD(RTD("ice.rtd",,$C433 &amp; $D433 &amp; ":" &amp; J$1), 1), "")</f>
        <v/>
      </c>
      <c r="K433" s="18" t="str">
        <f>RTD("ice.rtd",,$C433 &amp; $D433 &amp; ":" &amp; K$1)</f>
        <v/>
      </c>
      <c r="L433" s="36" t="str">
        <f>RTD("ice.rtd",,$C433 &amp; $D433 &amp; ":" &amp; L$1)</f>
        <v/>
      </c>
      <c r="M433" s="14" t="str">
        <f>IFERROR(MOD(TIMEVALUE(RTD("ice.rtd",,$C433 &amp; $D433 &amp; ":" &amp; M$1)), 1), "")</f>
        <v/>
      </c>
      <c r="N433" s="36">
        <f>RTD("ice.rtd",,$C433 &amp; $D433 &amp; ":" &amp; N$1)</f>
        <v>0</v>
      </c>
      <c r="O433" s="36">
        <f>RTD("ice.rtd",,$C433 &amp; $D433 &amp; ":" &amp; O$1)</f>
        <v>6</v>
      </c>
      <c r="P4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3" s="14" t="str">
        <f>IF(ICE[[#This Row],[LastType]] = "Scrn", ICE[[#This Row],[LstDate]], IF(ICE[[#This Row],[LastType]] = "Blk", ICE[[#This Row],[LstBlkTime]], ""))</f>
        <v/>
      </c>
      <c r="R433" s="41" t="str">
        <f>IF(ICE[[#This Row],[LastType]] = "Scrn", ICE[[#This Row],[LstPrc]], IF(ICE[[#This Row],[LastType]] = "Blk", ICE[[#This Row],[LstBlkPrc]], ""))</f>
        <v/>
      </c>
      <c r="S433" s="36">
        <f>ICE[[#This Row],[Vol]]+ICE[[#This Row],[BlkVol]]</f>
        <v>6</v>
      </c>
      <c r="T433" s="36">
        <f>RTD("ice.rtd",,$C433 &amp; $D433 &amp; ":" &amp; T$1)</f>
        <v>372</v>
      </c>
      <c r="U433" s="18">
        <f>RTD("ice.rtd",,$C433 &amp; $D433 &amp; ":" &amp; U$1)</f>
        <v>25.25</v>
      </c>
      <c r="V4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1.25 / 49.25  |6x</v>
      </c>
      <c r="W433" s="18" t="str">
        <f>IFERROR(IF(LEFT(ICE[[#This Row],[Tenor]], 1) = "B", RTD("esrtd",,$B433 &amp; " " &amp; ICE[[#This Row],[Tenor]] &amp; "-IEU", W$1), RTD("esrtd",,$B433 &amp; " " &amp; VLOOKUP(MONTH(ICE[[#This Row],[Strip]]), MthRef[], 2, 0) &amp; RIGHT(YEAR(ICE[[#This Row],[Strip]]), 2) &amp; "-IEU", W$1)), "")</f>
        <v/>
      </c>
      <c r="X433" s="36"/>
    </row>
    <row r="434" spans="1:24" x14ac:dyDescent="0.25">
      <c r="A434" s="37" t="s">
        <v>394</v>
      </c>
      <c r="B434" s="3" t="str">
        <f>RTD("ice.rtd",,$C434 &amp; $D434 &amp; ":" &amp; B$1)</f>
        <v>JOE</v>
      </c>
      <c r="C434" s="3">
        <v>18871685</v>
      </c>
      <c r="D434" t="s">
        <v>802</v>
      </c>
      <c r="E434" s="3" t="str">
        <f>RTD("ice.rtd",,$C434 &amp; $D434 &amp; ":" &amp; E$1)</f>
        <v>Oct27</v>
      </c>
      <c r="F434" s="3" t="str">
        <f>ICE[[#This Row],[Prod]]&amp;ICE[[#This Row],[Strip]]</f>
        <v>napewOct27</v>
      </c>
      <c r="G434" s="18">
        <f>RTD("ice.rtd",,$C434 &amp; $D434 &amp; ":" &amp; G$1)</f>
        <v>-0.25</v>
      </c>
      <c r="H434" s="18">
        <f>RTD("ice.rtd",,$C434 &amp; $D434 &amp; ":" &amp; H$1)</f>
        <v>47.75</v>
      </c>
      <c r="I434" s="18" t="str">
        <f>RTD("ice.rtd",,$C434 &amp; $D434 &amp; ":" &amp; I$1)</f>
        <v/>
      </c>
      <c r="J434" s="14" t="str">
        <f>IFERROR(MOD(RTD("ice.rtd",,$C434 &amp; $D434 &amp; ":" &amp; J$1), 1), "")</f>
        <v/>
      </c>
      <c r="K434" s="18" t="str">
        <f>RTD("ice.rtd",,$C434 &amp; $D434 &amp; ":" &amp; K$1)</f>
        <v/>
      </c>
      <c r="L434" s="36" t="str">
        <f>RTD("ice.rtd",,$C434 &amp; $D434 &amp; ":" &amp; L$1)</f>
        <v/>
      </c>
      <c r="M434" s="14" t="str">
        <f>IFERROR(MOD(TIMEVALUE(RTD("ice.rtd",,$C434 &amp; $D434 &amp; ":" &amp; M$1)), 1), "")</f>
        <v/>
      </c>
      <c r="N434" s="36">
        <f>RTD("ice.rtd",,$C434 &amp; $D434 &amp; ":" &amp; N$1)</f>
        <v>0</v>
      </c>
      <c r="O434" s="36">
        <f>RTD("ice.rtd",,$C434 &amp; $D434 &amp; ":" &amp; O$1)</f>
        <v>1</v>
      </c>
      <c r="P4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4" s="14" t="str">
        <f>IF(ICE[[#This Row],[LastType]] = "Scrn", ICE[[#This Row],[LstDate]], IF(ICE[[#This Row],[LastType]] = "Blk", ICE[[#This Row],[LstBlkTime]], ""))</f>
        <v/>
      </c>
      <c r="R434" s="41" t="str">
        <f>IF(ICE[[#This Row],[LastType]] = "Scrn", ICE[[#This Row],[LstPrc]], IF(ICE[[#This Row],[LastType]] = "Blk", ICE[[#This Row],[LstBlkPrc]], ""))</f>
        <v/>
      </c>
      <c r="S434" s="36">
        <f>ICE[[#This Row],[Vol]]+ICE[[#This Row],[BlkVol]]</f>
        <v>1</v>
      </c>
      <c r="T434" s="36">
        <f>RTD("ice.rtd",,$C434 &amp; $D434 &amp; ":" &amp; T$1)</f>
        <v>358</v>
      </c>
      <c r="U434" s="18">
        <f>RTD("ice.rtd",,$C434 &amp; $D434 &amp; ":" &amp; U$1)</f>
        <v>23.75</v>
      </c>
      <c r="V4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-0.25 / 47.75  |1x</v>
      </c>
      <c r="W434" s="18" t="str">
        <f>IFERROR(IF(LEFT(ICE[[#This Row],[Tenor]], 1) = "B", RTD("esrtd",,$B434 &amp; " " &amp; ICE[[#This Row],[Tenor]] &amp; "-IEU", W$1), RTD("esrtd",,$B434 &amp; " " &amp; VLOOKUP(MONTH(ICE[[#This Row],[Strip]]), MthRef[], 2, 0) &amp; RIGHT(YEAR(ICE[[#This Row],[Strip]]), 2) &amp; "-IEU", W$1)), "")</f>
        <v/>
      </c>
      <c r="X434" s="36"/>
    </row>
    <row r="435" spans="1:24" x14ac:dyDescent="0.25">
      <c r="A435" s="37" t="s">
        <v>394</v>
      </c>
      <c r="B435" s="3" t="str">
        <f>RTD("ice.rtd",,$C435 &amp; $D435 &amp; ":" &amp; B$1)</f>
        <v>JOE</v>
      </c>
      <c r="C435" s="3">
        <v>18871685</v>
      </c>
      <c r="D435" t="s">
        <v>803</v>
      </c>
      <c r="E435" s="3" t="str">
        <f>RTD("ice.rtd",,$C435 &amp; $D435 &amp; ":" &amp; E$1)</f>
        <v>Nov27</v>
      </c>
      <c r="F435" s="3" t="str">
        <f>ICE[[#This Row],[Prod]]&amp;ICE[[#This Row],[Strip]]</f>
        <v>napewNov27</v>
      </c>
      <c r="G435" s="18">
        <f>RTD("ice.rtd",,$C435 &amp; $D435 &amp; ":" &amp; G$1)</f>
        <v>-1.5</v>
      </c>
      <c r="H435" s="18">
        <f>RTD("ice.rtd",,$C435 &amp; $D435 &amp; ":" &amp; H$1)</f>
        <v>46.5</v>
      </c>
      <c r="I435" s="18" t="str">
        <f>RTD("ice.rtd",,$C435 &amp; $D435 &amp; ":" &amp; I$1)</f>
        <v/>
      </c>
      <c r="J435" s="14" t="str">
        <f>IFERROR(MOD(RTD("ice.rtd",,$C435 &amp; $D435 &amp; ":" &amp; J$1), 1), "")</f>
        <v/>
      </c>
      <c r="K435" s="18" t="str">
        <f>RTD("ice.rtd",,$C435 &amp; $D435 &amp; ":" &amp; K$1)</f>
        <v/>
      </c>
      <c r="L435" s="36" t="str">
        <f>RTD("ice.rtd",,$C435 &amp; $D435 &amp; ":" &amp; L$1)</f>
        <v/>
      </c>
      <c r="M435" s="14" t="str">
        <f>IFERROR(MOD(TIMEVALUE(RTD("ice.rtd",,$C435 &amp; $D435 &amp; ":" &amp; M$1)), 1), "")</f>
        <v/>
      </c>
      <c r="N435" s="36">
        <f>RTD("ice.rtd",,$C435 &amp; $D435 &amp; ":" &amp; N$1)</f>
        <v>0</v>
      </c>
      <c r="O435" s="36">
        <f>RTD("ice.rtd",,$C435 &amp; $D435 &amp; ":" &amp; O$1)</f>
        <v>1</v>
      </c>
      <c r="P4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5" s="14" t="str">
        <f>IF(ICE[[#This Row],[LastType]] = "Scrn", ICE[[#This Row],[LstDate]], IF(ICE[[#This Row],[LastType]] = "Blk", ICE[[#This Row],[LstBlkTime]], ""))</f>
        <v/>
      </c>
      <c r="R435" s="41" t="str">
        <f>IF(ICE[[#This Row],[LastType]] = "Scrn", ICE[[#This Row],[LstPrc]], IF(ICE[[#This Row],[LastType]] = "Blk", ICE[[#This Row],[LstBlkPrc]], ""))</f>
        <v/>
      </c>
      <c r="S435" s="36">
        <f>ICE[[#This Row],[Vol]]+ICE[[#This Row],[BlkVol]]</f>
        <v>1</v>
      </c>
      <c r="T435" s="36">
        <f>RTD("ice.rtd",,$C435 &amp; $D435 &amp; ":" &amp; T$1)</f>
        <v>284</v>
      </c>
      <c r="U435" s="18">
        <f>RTD("ice.rtd",,$C435 &amp; $D435 &amp; ":" &amp; U$1)</f>
        <v>22.5</v>
      </c>
      <c r="V4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-1.50 / 46.50  |1x</v>
      </c>
      <c r="W435" s="18" t="str">
        <f>IFERROR(IF(LEFT(ICE[[#This Row],[Tenor]], 1) = "B", RTD("esrtd",,$B435 &amp; " " &amp; ICE[[#This Row],[Tenor]] &amp; "-IEU", W$1), RTD("esrtd",,$B435 &amp; " " &amp; VLOOKUP(MONTH(ICE[[#This Row],[Strip]]), MthRef[], 2, 0) &amp; RIGHT(YEAR(ICE[[#This Row],[Strip]]), 2) &amp; "-IEU", W$1)), "")</f>
        <v/>
      </c>
      <c r="X435" s="36"/>
    </row>
    <row r="436" spans="1:24" x14ac:dyDescent="0.25">
      <c r="A436" s="37" t="s">
        <v>394</v>
      </c>
      <c r="B436" s="3" t="str">
        <f>RTD("ice.rtd",,$C436 &amp; $D436 &amp; ":" &amp; B$1)</f>
        <v>JOE</v>
      </c>
      <c r="C436" s="3">
        <v>18871685</v>
      </c>
      <c r="D436" t="s">
        <v>804</v>
      </c>
      <c r="E436" s="3" t="str">
        <f>RTD("ice.rtd",,$C436 &amp; $D436 &amp; ":" &amp; E$1)</f>
        <v>Dec27</v>
      </c>
      <c r="F436" s="3" t="str">
        <f>ICE[[#This Row],[Prod]]&amp;ICE[[#This Row],[Strip]]</f>
        <v>napewDec27</v>
      </c>
      <c r="G436" s="18">
        <f>RTD("ice.rtd",,$C436 &amp; $D436 &amp; ":" &amp; G$1)</f>
        <v>-2.25</v>
      </c>
      <c r="H436" s="18">
        <f>RTD("ice.rtd",,$C436 &amp; $D436 &amp; ":" &amp; H$1)</f>
        <v>45.75</v>
      </c>
      <c r="I436" s="18" t="str">
        <f>RTD("ice.rtd",,$C436 &amp; $D436 &amp; ":" &amp; I$1)</f>
        <v/>
      </c>
      <c r="J436" s="14" t="str">
        <f>IFERROR(MOD(RTD("ice.rtd",,$C436 &amp; $D436 &amp; ":" &amp; J$1), 1), "")</f>
        <v/>
      </c>
      <c r="K436" s="18" t="str">
        <f>RTD("ice.rtd",,$C436 &amp; $D436 &amp; ":" &amp; K$1)</f>
        <v/>
      </c>
      <c r="L436" s="36" t="str">
        <f>RTD("ice.rtd",,$C436 &amp; $D436 &amp; ":" &amp; L$1)</f>
        <v/>
      </c>
      <c r="M436" s="14" t="str">
        <f>IFERROR(MOD(TIMEVALUE(RTD("ice.rtd",,$C436 &amp; $D436 &amp; ":" &amp; M$1)), 1), "")</f>
        <v/>
      </c>
      <c r="N436" s="36">
        <f>RTD("ice.rtd",,$C436 &amp; $D436 &amp; ":" &amp; N$1)</f>
        <v>0</v>
      </c>
      <c r="O436" s="36">
        <f>RTD("ice.rtd",,$C436 &amp; $D436 &amp; ":" &amp; O$1)</f>
        <v>1</v>
      </c>
      <c r="P4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6" s="14" t="str">
        <f>IF(ICE[[#This Row],[LastType]] = "Scrn", ICE[[#This Row],[LstDate]], IF(ICE[[#This Row],[LastType]] = "Blk", ICE[[#This Row],[LstBlkTime]], ""))</f>
        <v/>
      </c>
      <c r="R436" s="41" t="str">
        <f>IF(ICE[[#This Row],[LastType]] = "Scrn", ICE[[#This Row],[LstPrc]], IF(ICE[[#This Row],[LastType]] = "Blk", ICE[[#This Row],[LstBlkPrc]], ""))</f>
        <v/>
      </c>
      <c r="S436" s="36">
        <f>ICE[[#This Row],[Vol]]+ICE[[#This Row],[BlkVol]]</f>
        <v>1</v>
      </c>
      <c r="T436" s="36">
        <f>RTD("ice.rtd",,$C436 &amp; $D436 &amp; ":" &amp; T$1)</f>
        <v>290</v>
      </c>
      <c r="U436" s="18">
        <f>RTD("ice.rtd",,$C436 &amp; $D436 &amp; ":" &amp; U$1)</f>
        <v>21.75</v>
      </c>
      <c r="V4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-2.25 / 45.75  |1x</v>
      </c>
      <c r="W436" s="18" t="str">
        <f>IFERROR(IF(LEFT(ICE[[#This Row],[Tenor]], 1) = "B", RTD("esrtd",,$B436 &amp; " " &amp; ICE[[#This Row],[Tenor]] &amp; "-IEU", W$1), RTD("esrtd",,$B436 &amp; " " &amp; VLOOKUP(MONTH(ICE[[#This Row],[Strip]]), MthRef[], 2, 0) &amp; RIGHT(YEAR(ICE[[#This Row],[Strip]]), 2) &amp; "-IEU", W$1)), "")</f>
        <v/>
      </c>
      <c r="X436" s="36"/>
    </row>
    <row r="437" spans="1:24" x14ac:dyDescent="0.25">
      <c r="A437" s="37" t="s">
        <v>394</v>
      </c>
      <c r="B437" s="3" t="str">
        <f>RTD("ice.rtd",,$C437 &amp; $D437 &amp; ":" &amp; B$1)</f>
        <v>JOE</v>
      </c>
      <c r="C437" s="3">
        <v>18871685</v>
      </c>
      <c r="D437" t="s">
        <v>805</v>
      </c>
      <c r="E437" s="3" t="str">
        <f>RTD("ice.rtd",,$C437 &amp; $D437 &amp; ":" &amp; E$1)</f>
        <v>Jan28</v>
      </c>
      <c r="F437" s="3" t="str">
        <f>ICE[[#This Row],[Prod]]&amp;ICE[[#This Row],[Strip]]</f>
        <v>napewJan28</v>
      </c>
      <c r="G437" s="18" t="str">
        <f>RTD("ice.rtd",,$C437 &amp; $D437 &amp; ":" &amp; G$1)</f>
        <v/>
      </c>
      <c r="H437" s="18" t="str">
        <f>RTD("ice.rtd",,$C437 &amp; $D437 &amp; ":" &amp; H$1)</f>
        <v/>
      </c>
      <c r="I437" s="18" t="str">
        <f>RTD("ice.rtd",,$C437 &amp; $D437 &amp; ":" &amp; I$1)</f>
        <v/>
      </c>
      <c r="J437" s="14" t="str">
        <f>IFERROR(MOD(RTD("ice.rtd",,$C437 &amp; $D437 &amp; ":" &amp; J$1), 1), "")</f>
        <v/>
      </c>
      <c r="K437" s="18" t="str">
        <f>RTD("ice.rtd",,$C437 &amp; $D437 &amp; ":" &amp; K$1)</f>
        <v/>
      </c>
      <c r="L437" s="36" t="str">
        <f>RTD("ice.rtd",,$C437 &amp; $D437 &amp; ":" &amp; L$1)</f>
        <v/>
      </c>
      <c r="M437" s="14" t="str">
        <f>IFERROR(MOD(TIMEVALUE(RTD("ice.rtd",,$C437 &amp; $D437 &amp; ":" &amp; M$1)), 1), "")</f>
        <v/>
      </c>
      <c r="N437" s="36">
        <f>RTD("ice.rtd",,$C437 &amp; $D437 &amp; ":" &amp; N$1)</f>
        <v>0</v>
      </c>
      <c r="O437" s="36">
        <f>RTD("ice.rtd",,$C437 &amp; $D437 &amp; ":" &amp; O$1)</f>
        <v>0</v>
      </c>
      <c r="P4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7" s="14" t="str">
        <f>IF(ICE[[#This Row],[LastType]] = "Scrn", ICE[[#This Row],[LstDate]], IF(ICE[[#This Row],[LastType]] = "Blk", ICE[[#This Row],[LstBlkTime]], ""))</f>
        <v/>
      </c>
      <c r="R437" s="41" t="str">
        <f>IF(ICE[[#This Row],[LastType]] = "Scrn", ICE[[#This Row],[LstPrc]], IF(ICE[[#This Row],[LastType]] = "Blk", ICE[[#This Row],[LstBlkPrc]], ""))</f>
        <v/>
      </c>
      <c r="S437" s="36">
        <f>ICE[[#This Row],[Vol]]+ICE[[#This Row],[BlkVol]]</f>
        <v>0</v>
      </c>
      <c r="T437" s="36">
        <f>RTD("ice.rtd",,$C437 &amp; $D437 &amp; ":" &amp; T$1)</f>
        <v>92</v>
      </c>
      <c r="U437" s="18">
        <f>RTD("ice.rtd",,$C437 &amp; $D437 &amp; ":" &amp; U$1)</f>
        <v>19.75</v>
      </c>
      <c r="V4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37" s="18" t="str">
        <f>IFERROR(IF(LEFT(ICE[[#This Row],[Tenor]], 1) = "B", RTD("esrtd",,$B437 &amp; " " &amp; ICE[[#This Row],[Tenor]] &amp; "-IEU", W$1), RTD("esrtd",,$B437 &amp; " " &amp; VLOOKUP(MONTH(ICE[[#This Row],[Strip]]), MthRef[], 2, 0) &amp; RIGHT(YEAR(ICE[[#This Row],[Strip]]), 2) &amp; "-IEU", W$1)), "")</f>
        <v/>
      </c>
      <c r="X437" s="36"/>
    </row>
    <row r="438" spans="1:24" x14ac:dyDescent="0.25">
      <c r="A438" s="37" t="s">
        <v>394</v>
      </c>
      <c r="B438" s="3" t="str">
        <f>RTD("ice.rtd",,$C438 &amp; $D438 &amp; ":" &amp; B$1)</f>
        <v>JOE</v>
      </c>
      <c r="C438" s="3">
        <v>18871685</v>
      </c>
      <c r="D438" t="s">
        <v>806</v>
      </c>
      <c r="E438" s="3" t="str">
        <f>RTD("ice.rtd",,$C438 &amp; $D438 &amp; ":" &amp; E$1)</f>
        <v>Feb28</v>
      </c>
      <c r="F438" s="3" t="str">
        <f>ICE[[#This Row],[Prod]]&amp;ICE[[#This Row],[Strip]]</f>
        <v>napewFeb28</v>
      </c>
      <c r="G438" s="18" t="str">
        <f>RTD("ice.rtd",,$C438 &amp; $D438 &amp; ":" &amp; G$1)</f>
        <v/>
      </c>
      <c r="H438" s="18" t="str">
        <f>RTD("ice.rtd",,$C438 &amp; $D438 &amp; ":" &amp; H$1)</f>
        <v/>
      </c>
      <c r="I438" s="18" t="str">
        <f>RTD("ice.rtd",,$C438 &amp; $D438 &amp; ":" &amp; I$1)</f>
        <v/>
      </c>
      <c r="J438" s="14" t="str">
        <f>IFERROR(MOD(RTD("ice.rtd",,$C438 &amp; $D438 &amp; ":" &amp; J$1), 1), "")</f>
        <v/>
      </c>
      <c r="K438" s="18" t="str">
        <f>RTD("ice.rtd",,$C438 &amp; $D438 &amp; ":" &amp; K$1)</f>
        <v/>
      </c>
      <c r="L438" s="36" t="str">
        <f>RTD("ice.rtd",,$C438 &amp; $D438 &amp; ":" &amp; L$1)</f>
        <v/>
      </c>
      <c r="M438" s="14" t="str">
        <f>IFERROR(MOD(TIMEVALUE(RTD("ice.rtd",,$C438 &amp; $D438 &amp; ":" &amp; M$1)), 1), "")</f>
        <v/>
      </c>
      <c r="N438" s="36">
        <f>RTD("ice.rtd",,$C438 &amp; $D438 &amp; ":" &amp; N$1)</f>
        <v>0</v>
      </c>
      <c r="O438" s="36">
        <f>RTD("ice.rtd",,$C438 &amp; $D438 &amp; ":" &amp; O$1)</f>
        <v>0</v>
      </c>
      <c r="P4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8" s="14" t="str">
        <f>IF(ICE[[#This Row],[LastType]] = "Scrn", ICE[[#This Row],[LstDate]], IF(ICE[[#This Row],[LastType]] = "Blk", ICE[[#This Row],[LstBlkTime]], ""))</f>
        <v/>
      </c>
      <c r="R438" s="41" t="str">
        <f>IF(ICE[[#This Row],[LastType]] = "Scrn", ICE[[#This Row],[LstPrc]], IF(ICE[[#This Row],[LastType]] = "Blk", ICE[[#This Row],[LstBlkPrc]], ""))</f>
        <v/>
      </c>
      <c r="S438" s="36">
        <f>ICE[[#This Row],[Vol]]+ICE[[#This Row],[BlkVol]]</f>
        <v>0</v>
      </c>
      <c r="T438" s="36">
        <f>RTD("ice.rtd",,$C438 &amp; $D438 &amp; ":" &amp; T$1)</f>
        <v>76</v>
      </c>
      <c r="U438" s="18">
        <f>RTD("ice.rtd",,$C438 &amp; $D438 &amp; ":" &amp; U$1)</f>
        <v>19.25</v>
      </c>
      <c r="V4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38" s="18" t="str">
        <f>IFERROR(IF(LEFT(ICE[[#This Row],[Tenor]], 1) = "B", RTD("esrtd",,$B438 &amp; " " &amp; ICE[[#This Row],[Tenor]] &amp; "-IEU", W$1), RTD("esrtd",,$B438 &amp; " " &amp; VLOOKUP(MONTH(ICE[[#This Row],[Strip]]), MthRef[], 2, 0) &amp; RIGHT(YEAR(ICE[[#This Row],[Strip]]), 2) &amp; "-IEU", W$1)), "")</f>
        <v/>
      </c>
      <c r="X438" s="36"/>
    </row>
    <row r="439" spans="1:24" x14ac:dyDescent="0.25">
      <c r="A439" s="37" t="s">
        <v>394</v>
      </c>
      <c r="B439" s="3" t="str">
        <f>RTD("ice.rtd",,$C439 &amp; $D439 &amp; ":" &amp; B$1)</f>
        <v>JOE</v>
      </c>
      <c r="C439" s="3">
        <v>18871685</v>
      </c>
      <c r="D439" t="s">
        <v>807</v>
      </c>
      <c r="E439" s="3" t="str">
        <f>RTD("ice.rtd",,$C439 &amp; $D439 &amp; ":" &amp; E$1)</f>
        <v>Mar28</v>
      </c>
      <c r="F439" s="3" t="str">
        <f>ICE[[#This Row],[Prod]]&amp;ICE[[#This Row],[Strip]]</f>
        <v>napewMar28</v>
      </c>
      <c r="G439" s="18" t="str">
        <f>RTD("ice.rtd",,$C439 &amp; $D439 &amp; ":" &amp; G$1)</f>
        <v/>
      </c>
      <c r="H439" s="18" t="str">
        <f>RTD("ice.rtd",,$C439 &amp; $D439 &amp; ":" &amp; H$1)</f>
        <v/>
      </c>
      <c r="I439" s="18" t="str">
        <f>RTD("ice.rtd",,$C439 &amp; $D439 &amp; ":" &amp; I$1)</f>
        <v/>
      </c>
      <c r="J439" s="14" t="str">
        <f>IFERROR(MOD(RTD("ice.rtd",,$C439 &amp; $D439 &amp; ":" &amp; J$1), 1), "")</f>
        <v/>
      </c>
      <c r="K439" s="18" t="str">
        <f>RTD("ice.rtd",,$C439 &amp; $D439 &amp; ":" &amp; K$1)</f>
        <v/>
      </c>
      <c r="L439" s="36" t="str">
        <f>RTD("ice.rtd",,$C439 &amp; $D439 &amp; ":" &amp; L$1)</f>
        <v/>
      </c>
      <c r="M439" s="14" t="str">
        <f>IFERROR(MOD(TIMEVALUE(RTD("ice.rtd",,$C439 &amp; $D439 &amp; ":" &amp; M$1)), 1), "")</f>
        <v/>
      </c>
      <c r="N439" s="36">
        <f>RTD("ice.rtd",,$C439 &amp; $D439 &amp; ":" &amp; N$1)</f>
        <v>0</v>
      </c>
      <c r="O439" s="36">
        <f>RTD("ice.rtd",,$C439 &amp; $D439 &amp; ":" &amp; O$1)</f>
        <v>0</v>
      </c>
      <c r="P4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39" s="14" t="str">
        <f>IF(ICE[[#This Row],[LastType]] = "Scrn", ICE[[#This Row],[LstDate]], IF(ICE[[#This Row],[LastType]] = "Blk", ICE[[#This Row],[LstBlkTime]], ""))</f>
        <v/>
      </c>
      <c r="R439" s="41" t="str">
        <f>IF(ICE[[#This Row],[LastType]] = "Scrn", ICE[[#This Row],[LstPrc]], IF(ICE[[#This Row],[LastType]] = "Blk", ICE[[#This Row],[LstBlkPrc]], ""))</f>
        <v/>
      </c>
      <c r="S439" s="36">
        <f>ICE[[#This Row],[Vol]]+ICE[[#This Row],[BlkVol]]</f>
        <v>0</v>
      </c>
      <c r="T439" s="36">
        <f>RTD("ice.rtd",,$C439 &amp; $D439 &amp; ":" &amp; T$1)</f>
        <v>76</v>
      </c>
      <c r="U439" s="18">
        <f>RTD("ice.rtd",,$C439 &amp; $D439 &amp; ":" &amp; U$1)</f>
        <v>19</v>
      </c>
      <c r="V4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39" s="18" t="str">
        <f>IFERROR(IF(LEFT(ICE[[#This Row],[Tenor]], 1) = "B", RTD("esrtd",,$B439 &amp; " " &amp; ICE[[#This Row],[Tenor]] &amp; "-IEU", W$1), RTD("esrtd",,$B439 &amp; " " &amp; VLOOKUP(MONTH(ICE[[#This Row],[Strip]]), MthRef[], 2, 0) &amp; RIGHT(YEAR(ICE[[#This Row],[Strip]]), 2) &amp; "-IEU", W$1)), "")</f>
        <v/>
      </c>
      <c r="X439" s="36"/>
    </row>
    <row r="440" spans="1:24" x14ac:dyDescent="0.25">
      <c r="A440" s="37" t="s">
        <v>394</v>
      </c>
      <c r="B440" s="3" t="str">
        <f>RTD("ice.rtd",,$C440 &amp; $D440 &amp; ":" &amp; B$1)</f>
        <v>JOE</v>
      </c>
      <c r="C440" s="3">
        <v>18871685</v>
      </c>
      <c r="D440" t="s">
        <v>808</v>
      </c>
      <c r="E440" s="3" t="str">
        <f>RTD("ice.rtd",,$C440 &amp; $D440 &amp; ":" &amp; E$1)</f>
        <v>Apr28</v>
      </c>
      <c r="F440" s="3" t="str">
        <f>ICE[[#This Row],[Prod]]&amp;ICE[[#This Row],[Strip]]</f>
        <v>napewApr28</v>
      </c>
      <c r="G440" s="18" t="str">
        <f>RTD("ice.rtd",,$C440 &amp; $D440 &amp; ":" &amp; G$1)</f>
        <v/>
      </c>
      <c r="H440" s="18" t="str">
        <f>RTD("ice.rtd",,$C440 &amp; $D440 &amp; ":" &amp; H$1)</f>
        <v/>
      </c>
      <c r="I440" s="18" t="str">
        <f>RTD("ice.rtd",,$C440 &amp; $D440 &amp; ":" &amp; I$1)</f>
        <v/>
      </c>
      <c r="J440" s="14" t="str">
        <f>IFERROR(MOD(RTD("ice.rtd",,$C440 &amp; $D440 &amp; ":" &amp; J$1), 1), "")</f>
        <v/>
      </c>
      <c r="K440" s="18" t="str">
        <f>RTD("ice.rtd",,$C440 &amp; $D440 &amp; ":" &amp; K$1)</f>
        <v/>
      </c>
      <c r="L440" s="36" t="str">
        <f>RTD("ice.rtd",,$C440 &amp; $D440 &amp; ":" &amp; L$1)</f>
        <v/>
      </c>
      <c r="M440" s="14" t="str">
        <f>IFERROR(MOD(TIMEVALUE(RTD("ice.rtd",,$C440 &amp; $D440 &amp; ":" &amp; M$1)), 1), "")</f>
        <v/>
      </c>
      <c r="N440" s="36">
        <f>RTD("ice.rtd",,$C440 &amp; $D440 &amp; ":" &amp; N$1)</f>
        <v>0</v>
      </c>
      <c r="O440" s="36">
        <f>RTD("ice.rtd",,$C440 &amp; $D440 &amp; ":" &amp; O$1)</f>
        <v>0</v>
      </c>
      <c r="P4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40" s="14" t="str">
        <f>IF(ICE[[#This Row],[LastType]] = "Scrn", ICE[[#This Row],[LstDate]], IF(ICE[[#This Row],[LastType]] = "Blk", ICE[[#This Row],[LstBlkTime]], ""))</f>
        <v/>
      </c>
      <c r="R440" s="41" t="str">
        <f>IF(ICE[[#This Row],[LastType]] = "Scrn", ICE[[#This Row],[LstPrc]], IF(ICE[[#This Row],[LastType]] = "Blk", ICE[[#This Row],[LstBlkPrc]], ""))</f>
        <v/>
      </c>
      <c r="S440" s="36">
        <f>ICE[[#This Row],[Vol]]+ICE[[#This Row],[BlkVol]]</f>
        <v>0</v>
      </c>
      <c r="T440" s="36">
        <f>RTD("ice.rtd",,$C440 &amp; $D440 &amp; ":" &amp; T$1)</f>
        <v>70</v>
      </c>
      <c r="U440" s="18">
        <f>RTD("ice.rtd",,$C440 &amp; $D440 &amp; ":" &amp; U$1)</f>
        <v>19</v>
      </c>
      <c r="V4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40" s="18" t="str">
        <f>IFERROR(IF(LEFT(ICE[[#This Row],[Tenor]], 1) = "B", RTD("esrtd",,$B440 &amp; " " &amp; ICE[[#This Row],[Tenor]] &amp; "-IEU", W$1), RTD("esrtd",,$B440 &amp; " " &amp; VLOOKUP(MONTH(ICE[[#This Row],[Strip]]), MthRef[], 2, 0) &amp; RIGHT(YEAR(ICE[[#This Row],[Strip]]), 2) &amp; "-IEU", W$1)), "")</f>
        <v/>
      </c>
      <c r="X440" s="36"/>
    </row>
    <row r="441" spans="1:24" x14ac:dyDescent="0.25">
      <c r="A441" s="37" t="s">
        <v>394</v>
      </c>
      <c r="B441" s="3" t="str">
        <f>RTD("ice.rtd",,$C441 &amp; $D441 &amp; ":" &amp; B$1)</f>
        <v>JOE</v>
      </c>
      <c r="C441" s="3">
        <v>18871685</v>
      </c>
      <c r="D441" t="s">
        <v>809</v>
      </c>
      <c r="E441" s="3" t="str">
        <f>RTD("ice.rtd",,$C441 &amp; $D441 &amp; ":" &amp; E$1)</f>
        <v>May28</v>
      </c>
      <c r="F441" s="3" t="str">
        <f>ICE[[#This Row],[Prod]]&amp;ICE[[#This Row],[Strip]]</f>
        <v>napewMay28</v>
      </c>
      <c r="G441" s="18" t="str">
        <f>RTD("ice.rtd",,$C441 &amp; $D441 &amp; ":" &amp; G$1)</f>
        <v/>
      </c>
      <c r="H441" s="18" t="str">
        <f>RTD("ice.rtd",,$C441 &amp; $D441 &amp; ":" &amp; H$1)</f>
        <v/>
      </c>
      <c r="I441" s="18" t="str">
        <f>RTD("ice.rtd",,$C441 &amp; $D441 &amp; ":" &amp; I$1)</f>
        <v/>
      </c>
      <c r="J441" s="14" t="str">
        <f>IFERROR(MOD(RTD("ice.rtd",,$C441 &amp; $D441 &amp; ":" &amp; J$1), 1), "")</f>
        <v/>
      </c>
      <c r="K441" s="18" t="str">
        <f>RTD("ice.rtd",,$C441 &amp; $D441 &amp; ":" &amp; K$1)</f>
        <v/>
      </c>
      <c r="L441" s="36" t="str">
        <f>RTD("ice.rtd",,$C441 &amp; $D441 &amp; ":" &amp; L$1)</f>
        <v/>
      </c>
      <c r="M441" s="14" t="str">
        <f>IFERROR(MOD(TIMEVALUE(RTD("ice.rtd",,$C441 &amp; $D441 &amp; ":" &amp; M$1)), 1), "")</f>
        <v/>
      </c>
      <c r="N441" s="36">
        <f>RTD("ice.rtd",,$C441 &amp; $D441 &amp; ":" &amp; N$1)</f>
        <v>0</v>
      </c>
      <c r="O441" s="36">
        <f>RTD("ice.rtd",,$C441 &amp; $D441 &amp; ":" &amp; O$1)</f>
        <v>0</v>
      </c>
      <c r="P4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41" s="14" t="str">
        <f>IF(ICE[[#This Row],[LastType]] = "Scrn", ICE[[#This Row],[LstDate]], IF(ICE[[#This Row],[LastType]] = "Blk", ICE[[#This Row],[LstBlkTime]], ""))</f>
        <v/>
      </c>
      <c r="R441" s="41" t="str">
        <f>IF(ICE[[#This Row],[LastType]] = "Scrn", ICE[[#This Row],[LstPrc]], IF(ICE[[#This Row],[LastType]] = "Blk", ICE[[#This Row],[LstBlkPrc]], ""))</f>
        <v/>
      </c>
      <c r="S441" s="36">
        <f>ICE[[#This Row],[Vol]]+ICE[[#This Row],[BlkVol]]</f>
        <v>0</v>
      </c>
      <c r="T441" s="36">
        <f>RTD("ice.rtd",,$C441 &amp; $D441 &amp; ":" &amp; T$1)</f>
        <v>70</v>
      </c>
      <c r="U441" s="18">
        <f>RTD("ice.rtd",,$C441 &amp; $D441 &amp; ":" &amp; U$1)</f>
        <v>19</v>
      </c>
      <c r="V4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41" s="18" t="str">
        <f>IFERROR(IF(LEFT(ICE[[#This Row],[Tenor]], 1) = "B", RTD("esrtd",,$B441 &amp; " " &amp; ICE[[#This Row],[Tenor]] &amp; "-IEU", W$1), RTD("esrtd",,$B441 &amp; " " &amp; VLOOKUP(MONTH(ICE[[#This Row],[Strip]]), MthRef[], 2, 0) &amp; RIGHT(YEAR(ICE[[#This Row],[Strip]]), 2) &amp; "-IEU", W$1)), "")</f>
        <v/>
      </c>
      <c r="X441" s="36"/>
    </row>
    <row r="442" spans="1:24" x14ac:dyDescent="0.25">
      <c r="A442" s="37" t="s">
        <v>394</v>
      </c>
      <c r="B442" s="3" t="str">
        <f>RTD("ice.rtd",,$C442 &amp; $D442 &amp; ":" &amp; B$1)</f>
        <v>JOE</v>
      </c>
      <c r="C442" s="3">
        <v>18871685</v>
      </c>
      <c r="D442" t="s">
        <v>810</v>
      </c>
      <c r="E442" s="3" t="str">
        <f>RTD("ice.rtd",,$C442 &amp; $D442 &amp; ":" &amp; E$1)</f>
        <v>Jun28</v>
      </c>
      <c r="F442" s="3" t="str">
        <f>ICE[[#This Row],[Prod]]&amp;ICE[[#This Row],[Strip]]</f>
        <v>napewJun28</v>
      </c>
      <c r="G442" s="18" t="str">
        <f>RTD("ice.rtd",,$C442 &amp; $D442 &amp; ":" &amp; G$1)</f>
        <v/>
      </c>
      <c r="H442" s="18" t="str">
        <f>RTD("ice.rtd",,$C442 &amp; $D442 &amp; ":" &amp; H$1)</f>
        <v/>
      </c>
      <c r="I442" s="18" t="str">
        <f>RTD("ice.rtd",,$C442 &amp; $D442 &amp; ":" &amp; I$1)</f>
        <v/>
      </c>
      <c r="J442" s="14" t="str">
        <f>IFERROR(MOD(RTD("ice.rtd",,$C442 &amp; $D442 &amp; ":" &amp; J$1), 1), "")</f>
        <v/>
      </c>
      <c r="K442" s="18" t="str">
        <f>RTD("ice.rtd",,$C442 &amp; $D442 &amp; ":" &amp; K$1)</f>
        <v/>
      </c>
      <c r="L442" s="36" t="str">
        <f>RTD("ice.rtd",,$C442 &amp; $D442 &amp; ":" &amp; L$1)</f>
        <v/>
      </c>
      <c r="M442" s="14" t="str">
        <f>IFERROR(MOD(TIMEVALUE(RTD("ice.rtd",,$C442 &amp; $D442 &amp; ":" &amp; M$1)), 1), "")</f>
        <v/>
      </c>
      <c r="N442" s="36">
        <f>RTD("ice.rtd",,$C442 &amp; $D442 &amp; ":" &amp; N$1)</f>
        <v>0</v>
      </c>
      <c r="O442" s="36">
        <f>RTD("ice.rtd",,$C442 &amp; $D442 &amp; ":" &amp; O$1)</f>
        <v>0</v>
      </c>
      <c r="P4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42" s="14" t="str">
        <f>IF(ICE[[#This Row],[LastType]] = "Scrn", ICE[[#This Row],[LstDate]], IF(ICE[[#This Row],[LastType]] = "Blk", ICE[[#This Row],[LstBlkTime]], ""))</f>
        <v/>
      </c>
      <c r="R442" s="41" t="str">
        <f>IF(ICE[[#This Row],[LastType]] = "Scrn", ICE[[#This Row],[LstPrc]], IF(ICE[[#This Row],[LastType]] = "Blk", ICE[[#This Row],[LstBlkPrc]], ""))</f>
        <v/>
      </c>
      <c r="S442" s="36">
        <f>ICE[[#This Row],[Vol]]+ICE[[#This Row],[BlkVol]]</f>
        <v>0</v>
      </c>
      <c r="T442" s="36">
        <f>RTD("ice.rtd",,$C442 &amp; $D442 &amp; ":" &amp; T$1)</f>
        <v>70</v>
      </c>
      <c r="U442" s="18">
        <f>RTD("ice.rtd",,$C442 &amp; $D442 &amp; ":" &amp; U$1)</f>
        <v>19</v>
      </c>
      <c r="V4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42" s="18" t="str">
        <f>IFERROR(IF(LEFT(ICE[[#This Row],[Tenor]], 1) = "B", RTD("esrtd",,$B442 &amp; " " &amp; ICE[[#This Row],[Tenor]] &amp; "-IEU", W$1), RTD("esrtd",,$B442 &amp; " " &amp; VLOOKUP(MONTH(ICE[[#This Row],[Strip]]), MthRef[], 2, 0) &amp; RIGHT(YEAR(ICE[[#This Row],[Strip]]), 2) &amp; "-IEU", W$1)), "")</f>
        <v/>
      </c>
      <c r="X442" s="36"/>
    </row>
    <row r="443" spans="1:24" x14ac:dyDescent="0.25">
      <c r="A443" s="37" t="s">
        <v>394</v>
      </c>
      <c r="B443" s="3" t="str">
        <f>RTD("ice.rtd",,$C443 &amp; $D443 &amp; ":" &amp; B$1)</f>
        <v>JOE</v>
      </c>
      <c r="C443" s="3">
        <v>18871685</v>
      </c>
      <c r="D443" t="s">
        <v>811</v>
      </c>
      <c r="E443" s="3" t="str">
        <f>RTD("ice.rtd",,$C443 &amp; $D443 &amp; ":" &amp; E$1)</f>
        <v>Jul28</v>
      </c>
      <c r="F443" s="3" t="str">
        <f>ICE[[#This Row],[Prod]]&amp;ICE[[#This Row],[Strip]]</f>
        <v>napewJul28</v>
      </c>
      <c r="G443" s="18" t="str">
        <f>RTD("ice.rtd",,$C443 &amp; $D443 &amp; ":" &amp; G$1)</f>
        <v/>
      </c>
      <c r="H443" s="18" t="str">
        <f>RTD("ice.rtd",,$C443 &amp; $D443 &amp; ":" &amp; H$1)</f>
        <v/>
      </c>
      <c r="I443" s="18" t="str">
        <f>RTD("ice.rtd",,$C443 &amp; $D443 &amp; ":" &amp; I$1)</f>
        <v/>
      </c>
      <c r="J443" s="14" t="str">
        <f>IFERROR(MOD(RTD("ice.rtd",,$C443 &amp; $D443 &amp; ":" &amp; J$1), 1), "")</f>
        <v/>
      </c>
      <c r="K443" s="18" t="str">
        <f>RTD("ice.rtd",,$C443 &amp; $D443 &amp; ":" &amp; K$1)</f>
        <v/>
      </c>
      <c r="L443" s="36" t="str">
        <f>RTD("ice.rtd",,$C443 &amp; $D443 &amp; ":" &amp; L$1)</f>
        <v/>
      </c>
      <c r="M443" s="14" t="str">
        <f>IFERROR(MOD(TIMEVALUE(RTD("ice.rtd",,$C443 &amp; $D443 &amp; ":" &amp; M$1)), 1), "")</f>
        <v/>
      </c>
      <c r="N443" s="36">
        <f>RTD("ice.rtd",,$C443 &amp; $D443 &amp; ":" &amp; N$1)</f>
        <v>0</v>
      </c>
      <c r="O443" s="36">
        <f>RTD("ice.rtd",,$C443 &amp; $D443 &amp; ":" &amp; O$1)</f>
        <v>0</v>
      </c>
      <c r="P4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43" s="14" t="str">
        <f>IF(ICE[[#This Row],[LastType]] = "Scrn", ICE[[#This Row],[LstDate]], IF(ICE[[#This Row],[LastType]] = "Blk", ICE[[#This Row],[LstBlkTime]], ""))</f>
        <v/>
      </c>
      <c r="R443" s="41" t="str">
        <f>IF(ICE[[#This Row],[LastType]] = "Scrn", ICE[[#This Row],[LstPrc]], IF(ICE[[#This Row],[LastType]] = "Blk", ICE[[#This Row],[LstBlkPrc]], ""))</f>
        <v/>
      </c>
      <c r="S443" s="36">
        <f>ICE[[#This Row],[Vol]]+ICE[[#This Row],[BlkVol]]</f>
        <v>0</v>
      </c>
      <c r="T443" s="36">
        <f>RTD("ice.rtd",,$C443 &amp; $D443 &amp; ":" &amp; T$1)</f>
        <v>70</v>
      </c>
      <c r="U443" s="18">
        <f>RTD("ice.rtd",,$C443 &amp; $D443 &amp; ":" &amp; U$1)</f>
        <v>19</v>
      </c>
      <c r="V4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43" s="18" t="str">
        <f>IFERROR(IF(LEFT(ICE[[#This Row],[Tenor]], 1) = "B", RTD("esrtd",,$B443 &amp; " " &amp; ICE[[#This Row],[Tenor]] &amp; "-IEU", W$1), RTD("esrtd",,$B443 &amp; " " &amp; VLOOKUP(MONTH(ICE[[#This Row],[Strip]]), MthRef[], 2, 0) &amp; RIGHT(YEAR(ICE[[#This Row],[Strip]]), 2) &amp; "-IEU", W$1)), "")</f>
        <v/>
      </c>
      <c r="X443" s="36"/>
    </row>
    <row r="444" spans="1:24" x14ac:dyDescent="0.25">
      <c r="A444" s="37" t="s">
        <v>394</v>
      </c>
      <c r="B444" s="3" t="str">
        <f>RTD("ice.rtd",,$C444 &amp; $D444 &amp; ":" &amp; B$1)</f>
        <v>JOE</v>
      </c>
      <c r="C444" s="3">
        <v>18871685</v>
      </c>
      <c r="D444" t="s">
        <v>812</v>
      </c>
      <c r="E444" s="3" t="str">
        <f>RTD("ice.rtd",,$C444 &amp; $D444 &amp; ":" &amp; E$1)</f>
        <v>Aug28</v>
      </c>
      <c r="F444" s="3" t="str">
        <f>ICE[[#This Row],[Prod]]&amp;ICE[[#This Row],[Strip]]</f>
        <v>napewAug28</v>
      </c>
      <c r="G444" s="18" t="str">
        <f>RTD("ice.rtd",,$C444 &amp; $D444 &amp; ":" &amp; G$1)</f>
        <v/>
      </c>
      <c r="H444" s="18" t="str">
        <f>RTD("ice.rtd",,$C444 &amp; $D444 &amp; ":" &amp; H$1)</f>
        <v/>
      </c>
      <c r="I444" s="18" t="str">
        <f>RTD("ice.rtd",,$C444 &amp; $D444 &amp; ":" &amp; I$1)</f>
        <v/>
      </c>
      <c r="J444" s="14" t="str">
        <f>IFERROR(MOD(RTD("ice.rtd",,$C444 &amp; $D444 &amp; ":" &amp; J$1), 1), "")</f>
        <v/>
      </c>
      <c r="K444" s="18" t="str">
        <f>RTD("ice.rtd",,$C444 &amp; $D444 &amp; ":" &amp; K$1)</f>
        <v/>
      </c>
      <c r="L444" s="36" t="str">
        <f>RTD("ice.rtd",,$C444 &amp; $D444 &amp; ":" &amp; L$1)</f>
        <v/>
      </c>
      <c r="M444" s="14" t="str">
        <f>IFERROR(MOD(TIMEVALUE(RTD("ice.rtd",,$C444 &amp; $D444 &amp; ":" &amp; M$1)), 1), "")</f>
        <v/>
      </c>
      <c r="N444" s="36">
        <f>RTD("ice.rtd",,$C444 &amp; $D444 &amp; ":" &amp; N$1)</f>
        <v>0</v>
      </c>
      <c r="O444" s="36">
        <f>RTD("ice.rtd",,$C444 &amp; $D444 &amp; ":" &amp; O$1)</f>
        <v>0</v>
      </c>
      <c r="P4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44" s="14" t="str">
        <f>IF(ICE[[#This Row],[LastType]] = "Scrn", ICE[[#This Row],[LstDate]], IF(ICE[[#This Row],[LastType]] = "Blk", ICE[[#This Row],[LstBlkTime]], ""))</f>
        <v/>
      </c>
      <c r="R444" s="41" t="str">
        <f>IF(ICE[[#This Row],[LastType]] = "Scrn", ICE[[#This Row],[LstPrc]], IF(ICE[[#This Row],[LastType]] = "Blk", ICE[[#This Row],[LstBlkPrc]], ""))</f>
        <v/>
      </c>
      <c r="S444" s="36">
        <f>ICE[[#This Row],[Vol]]+ICE[[#This Row],[BlkVol]]</f>
        <v>0</v>
      </c>
      <c r="T444" s="36">
        <f>RTD("ice.rtd",,$C444 &amp; $D444 &amp; ":" &amp; T$1)</f>
        <v>70</v>
      </c>
      <c r="U444" s="18">
        <f>RTD("ice.rtd",,$C444 &amp; $D444 &amp; ":" &amp; U$1)</f>
        <v>19</v>
      </c>
      <c r="V4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44" s="18" t="str">
        <f>IFERROR(IF(LEFT(ICE[[#This Row],[Tenor]], 1) = "B", RTD("esrtd",,$B444 &amp; " " &amp; ICE[[#This Row],[Tenor]] &amp; "-IEU", W$1), RTD("esrtd",,$B444 &amp; " " &amp; VLOOKUP(MONTH(ICE[[#This Row],[Strip]]), MthRef[], 2, 0) &amp; RIGHT(YEAR(ICE[[#This Row],[Strip]]), 2) &amp; "-IEU", W$1)), "")</f>
        <v/>
      </c>
      <c r="X444" s="36"/>
    </row>
    <row r="445" spans="1:24" x14ac:dyDescent="0.25">
      <c r="A445" s="37" t="s">
        <v>394</v>
      </c>
      <c r="B445" s="3" t="str">
        <f>RTD("ice.rtd",,$C445 &amp; $D445 &amp; ":" &amp; B$1)</f>
        <v>JOE</v>
      </c>
      <c r="C445" s="3">
        <v>18871685</v>
      </c>
      <c r="D445" t="s">
        <v>813</v>
      </c>
      <c r="E445" s="3" t="str">
        <f>RTD("ice.rtd",,$C445 &amp; $D445 &amp; ":" &amp; E$1)</f>
        <v>Sep28</v>
      </c>
      <c r="F445" s="3" t="str">
        <f>ICE[[#This Row],[Prod]]&amp;ICE[[#This Row],[Strip]]</f>
        <v>napewSep28</v>
      </c>
      <c r="G445" s="18" t="str">
        <f>RTD("ice.rtd",,$C445 &amp; $D445 &amp; ":" &amp; G$1)</f>
        <v/>
      </c>
      <c r="H445" s="18" t="str">
        <f>RTD("ice.rtd",,$C445 &amp; $D445 &amp; ":" &amp; H$1)</f>
        <v/>
      </c>
      <c r="I445" s="18" t="str">
        <f>RTD("ice.rtd",,$C445 &amp; $D445 &amp; ":" &amp; I$1)</f>
        <v/>
      </c>
      <c r="J445" s="14" t="str">
        <f>IFERROR(MOD(RTD("ice.rtd",,$C445 &amp; $D445 &amp; ":" &amp; J$1), 1), "")</f>
        <v/>
      </c>
      <c r="K445" s="18" t="str">
        <f>RTD("ice.rtd",,$C445 &amp; $D445 &amp; ":" &amp; K$1)</f>
        <v/>
      </c>
      <c r="L445" s="36" t="str">
        <f>RTD("ice.rtd",,$C445 &amp; $D445 &amp; ":" &amp; L$1)</f>
        <v/>
      </c>
      <c r="M445" s="14" t="str">
        <f>IFERROR(MOD(TIMEVALUE(RTD("ice.rtd",,$C445 &amp; $D445 &amp; ":" &amp; M$1)), 1), "")</f>
        <v/>
      </c>
      <c r="N445" s="36">
        <f>RTD("ice.rtd",,$C445 &amp; $D445 &amp; ":" &amp; N$1)</f>
        <v>0</v>
      </c>
      <c r="O445" s="36">
        <f>RTD("ice.rtd",,$C445 &amp; $D445 &amp; ":" &amp; O$1)</f>
        <v>0</v>
      </c>
      <c r="P4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45" s="14" t="str">
        <f>IF(ICE[[#This Row],[LastType]] = "Scrn", ICE[[#This Row],[LstDate]], IF(ICE[[#This Row],[LastType]] = "Blk", ICE[[#This Row],[LstBlkTime]], ""))</f>
        <v/>
      </c>
      <c r="R445" s="41" t="str">
        <f>IF(ICE[[#This Row],[LastType]] = "Scrn", ICE[[#This Row],[LstPrc]], IF(ICE[[#This Row],[LastType]] = "Blk", ICE[[#This Row],[LstBlkPrc]], ""))</f>
        <v/>
      </c>
      <c r="S445" s="36">
        <f>ICE[[#This Row],[Vol]]+ICE[[#This Row],[BlkVol]]</f>
        <v>0</v>
      </c>
      <c r="T445" s="36">
        <f>RTD("ice.rtd",,$C445 &amp; $D445 &amp; ":" &amp; T$1)</f>
        <v>70</v>
      </c>
      <c r="U445" s="18">
        <f>RTD("ice.rtd",,$C445 &amp; $D445 &amp; ":" &amp; U$1)</f>
        <v>19</v>
      </c>
      <c r="V4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45" s="18" t="str">
        <f>IFERROR(IF(LEFT(ICE[[#This Row],[Tenor]], 1) = "B", RTD("esrtd",,$B445 &amp; " " &amp; ICE[[#This Row],[Tenor]] &amp; "-IEU", W$1), RTD("esrtd",,$B445 &amp; " " &amp; VLOOKUP(MONTH(ICE[[#This Row],[Strip]]), MthRef[], 2, 0) &amp; RIGHT(YEAR(ICE[[#This Row],[Strip]]), 2) &amp; "-IEU", W$1)), "")</f>
        <v/>
      </c>
      <c r="X445" s="36"/>
    </row>
    <row r="446" spans="1:24" x14ac:dyDescent="0.25">
      <c r="A446" s="37" t="s">
        <v>394</v>
      </c>
      <c r="B446" s="3" t="str">
        <f>RTD("ice.rtd",,$C446 &amp; $D446 &amp; ":" &amp; B$1)</f>
        <v>JOE</v>
      </c>
      <c r="C446" s="3">
        <v>18871685</v>
      </c>
      <c r="D446" t="s">
        <v>814</v>
      </c>
      <c r="E446" s="3" t="str">
        <f>RTD("ice.rtd",,$C446 &amp; $D446 &amp; ":" &amp; E$1)</f>
        <v>Q4 26</v>
      </c>
      <c r="F446" s="3" t="str">
        <f>ICE[[#This Row],[Prod]]&amp;ICE[[#This Row],[Strip]]</f>
        <v>napewQ4 26</v>
      </c>
      <c r="G446" s="18">
        <f>RTD("ice.rtd",,$C446 &amp; $D446 &amp; ":" &amp; G$1)</f>
        <v>2.75</v>
      </c>
      <c r="H446" s="18">
        <f>RTD("ice.rtd",,$C446 &amp; $D446 &amp; ":" &amp; H$1)</f>
        <v>98.75</v>
      </c>
      <c r="I446" s="18" t="str">
        <f>RTD("ice.rtd",,$C446 &amp; $D446 &amp; ":" &amp; I$1)</f>
        <v/>
      </c>
      <c r="J446" s="14" t="str">
        <f>IFERROR(MOD(RTD("ice.rtd",,$C446 &amp; $D446 &amp; ":" &amp; J$1), 1), "")</f>
        <v/>
      </c>
      <c r="K446" s="18">
        <f>RTD("ice.rtd",,$C446 &amp; $D446 &amp; ":" &amp; K$1)</f>
        <v>51</v>
      </c>
      <c r="L446" s="36">
        <f>RTD("ice.rtd",,$C446 &amp; $D446 &amp; ":" &amp; L$1)</f>
        <v>5</v>
      </c>
      <c r="M446" s="14">
        <f>IFERROR(MOD(TIMEVALUE(RTD("ice.rtd",,$C446 &amp; $D446 &amp; ":" &amp; M$1)), 1), "")</f>
        <v>0.36034722222222221</v>
      </c>
      <c r="N446" s="36">
        <f>RTD("ice.rtd",,$C446 &amp; $D446 &amp; ":" &amp; N$1)</f>
        <v>0</v>
      </c>
      <c r="O446" s="36">
        <f>RTD("ice.rtd",,$C446 &amp; $D446 &amp; ":" &amp; O$1)</f>
        <v>5</v>
      </c>
      <c r="P4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46" s="14">
        <f>IF(ICE[[#This Row],[LastType]] = "Scrn", ICE[[#This Row],[LstDate]], IF(ICE[[#This Row],[LastType]] = "Blk", ICE[[#This Row],[LstBlkTime]], ""))</f>
        <v>0.36034722222222221</v>
      </c>
      <c r="R446" s="41">
        <f>IF(ICE[[#This Row],[LastType]] = "Scrn", ICE[[#This Row],[LstPrc]], IF(ICE[[#This Row],[LastType]] = "Blk", ICE[[#This Row],[LstBlkPrc]], ""))</f>
        <v>51</v>
      </c>
      <c r="S446" s="36">
        <f>ICE[[#This Row],[Vol]]+ICE[[#This Row],[BlkVol]]</f>
        <v>5</v>
      </c>
      <c r="T446" s="36">
        <f>RTD("ice.rtd",,$C446 &amp; $D446 &amp; ":" &amp; T$1)</f>
        <v>0</v>
      </c>
      <c r="U446" s="18">
        <f>RTD("ice.rtd",,$C446 &amp; $D446 &amp; ":" &amp; U$1)</f>
        <v>50.75</v>
      </c>
      <c r="V4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2.75 / 98.75 {51.00} |5x</v>
      </c>
      <c r="W446" s="18" t="str">
        <f>IFERROR(IF(LEFT(ICE[[#This Row],[Tenor]], 1) = "B", RTD("esrtd",,$B446 &amp; " " &amp; ICE[[#This Row],[Tenor]] &amp; "-IEU", W$1), RTD("esrtd",,$B446 &amp; " " &amp; VLOOKUP(MONTH(ICE[[#This Row],[Strip]]), MthRef[], 2, 0) &amp; RIGHT(YEAR(ICE[[#This Row],[Strip]]), 2) &amp; "-IEU", W$1)), "")</f>
        <v/>
      </c>
      <c r="X446" s="36"/>
    </row>
    <row r="447" spans="1:24" x14ac:dyDescent="0.25">
      <c r="A447" s="37" t="s">
        <v>394</v>
      </c>
      <c r="B447" s="3" t="str">
        <f>RTD("ice.rtd",,$C447 &amp; $D447 &amp; ":" &amp; B$1)</f>
        <v>JOE</v>
      </c>
      <c r="C447" s="3">
        <v>18871685</v>
      </c>
      <c r="D447" t="s">
        <v>815</v>
      </c>
      <c r="E447" s="3" t="str">
        <f>RTD("ice.rtd",,$C447 &amp; $D447 &amp; ":" &amp; E$1)</f>
        <v>Q1 27</v>
      </c>
      <c r="F447" s="3" t="str">
        <f>ICE[[#This Row],[Prod]]&amp;ICE[[#This Row],[Strip]]</f>
        <v>napewQ1 27</v>
      </c>
      <c r="G447" s="18">
        <f>RTD("ice.rtd",,$C447 &amp; $D447 &amp; ":" &amp; G$1)</f>
        <v>17</v>
      </c>
      <c r="H447" s="18">
        <f>RTD("ice.rtd",,$C447 &amp; $D447 &amp; ":" &amp; H$1)</f>
        <v>65</v>
      </c>
      <c r="I447" s="18" t="str">
        <f>RTD("ice.rtd",,$C447 &amp; $D447 &amp; ":" &amp; I$1)</f>
        <v/>
      </c>
      <c r="J447" s="14" t="str">
        <f>IFERROR(MOD(RTD("ice.rtd",,$C447 &amp; $D447 &amp; ":" &amp; J$1), 1), "")</f>
        <v/>
      </c>
      <c r="K447" s="18">
        <f>RTD("ice.rtd",,$C447 &amp; $D447 &amp; ":" &amp; K$1)</f>
        <v>40</v>
      </c>
      <c r="L447" s="36">
        <f>RTD("ice.rtd",,$C447 &amp; $D447 &amp; ":" &amp; L$1)</f>
        <v>5</v>
      </c>
      <c r="M447" s="14">
        <f>IFERROR(MOD(TIMEVALUE(RTD("ice.rtd",,$C447 &amp; $D447 &amp; ":" &amp; M$1)), 1), "")</f>
        <v>0.40805555555555556</v>
      </c>
      <c r="N447" s="36">
        <f>RTD("ice.rtd",,$C447 &amp; $D447 &amp; ":" &amp; N$1)</f>
        <v>0</v>
      </c>
      <c r="O447" s="36">
        <f>RTD("ice.rtd",,$C447 &amp; $D447 &amp; ":" &amp; O$1)</f>
        <v>10</v>
      </c>
      <c r="P4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47" s="14">
        <f>IF(ICE[[#This Row],[LastType]] = "Scrn", ICE[[#This Row],[LstDate]], IF(ICE[[#This Row],[LastType]] = "Blk", ICE[[#This Row],[LstBlkTime]], ""))</f>
        <v>0.40805555555555556</v>
      </c>
      <c r="R447" s="41">
        <f>IF(ICE[[#This Row],[LastType]] = "Scrn", ICE[[#This Row],[LstPrc]], IF(ICE[[#This Row],[LastType]] = "Blk", ICE[[#This Row],[LstBlkPrc]], ""))</f>
        <v>40</v>
      </c>
      <c r="S447" s="36">
        <f>ICE[[#This Row],[Vol]]+ICE[[#This Row],[BlkVol]]</f>
        <v>10</v>
      </c>
      <c r="T447" s="36">
        <f>RTD("ice.rtd",,$C447 &amp; $D447 &amp; ":" &amp; T$1)</f>
        <v>0</v>
      </c>
      <c r="U447" s="18">
        <f>RTD("ice.rtd",,$C447 &amp; $D447 &amp; ":" &amp; U$1)</f>
        <v>40</v>
      </c>
      <c r="V4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17.00 / 65.00 {40.00} |10x</v>
      </c>
      <c r="W447" s="18" t="str">
        <f>IFERROR(IF(LEFT(ICE[[#This Row],[Tenor]], 1) = "B", RTD("esrtd",,$B447 &amp; " " &amp; ICE[[#This Row],[Tenor]] &amp; "-IEU", W$1), RTD("esrtd",,$B447 &amp; " " &amp; VLOOKUP(MONTH(ICE[[#This Row],[Strip]]), MthRef[], 2, 0) &amp; RIGHT(YEAR(ICE[[#This Row],[Strip]]), 2) &amp; "-IEU", W$1)), "")</f>
        <v/>
      </c>
      <c r="X447" s="36"/>
    </row>
    <row r="448" spans="1:24" x14ac:dyDescent="0.25">
      <c r="A448" s="37" t="s">
        <v>394</v>
      </c>
      <c r="B448" s="3" t="str">
        <f>RTD("ice.rtd",,$C448 &amp; $D448 &amp; ":" &amp; B$1)</f>
        <v>JOE</v>
      </c>
      <c r="C448" s="3">
        <v>18871685</v>
      </c>
      <c r="D448" t="s">
        <v>816</v>
      </c>
      <c r="E448" s="3" t="str">
        <f>RTD("ice.rtd",,$C448 &amp; $D448 &amp; ":" &amp; E$1)</f>
        <v>Q2 27</v>
      </c>
      <c r="F448" s="3" t="str">
        <f>ICE[[#This Row],[Prod]]&amp;ICE[[#This Row],[Strip]]</f>
        <v>napewQ2 27</v>
      </c>
      <c r="G448" s="18">
        <f>RTD("ice.rtd",,$C448 &amp; $D448 &amp; ":" &amp; G$1)</f>
        <v>8</v>
      </c>
      <c r="H448" s="18">
        <f>RTD("ice.rtd",,$C448 &amp; $D448 &amp; ":" &amp; H$1)</f>
        <v>56</v>
      </c>
      <c r="I448" s="18" t="str">
        <f>RTD("ice.rtd",,$C448 &amp; $D448 &amp; ":" &amp; I$1)</f>
        <v/>
      </c>
      <c r="J448" s="14" t="str">
        <f>IFERROR(MOD(RTD("ice.rtd",,$C448 &amp; $D448 &amp; ":" &amp; J$1), 1), "")</f>
        <v/>
      </c>
      <c r="K448" s="18">
        <f>RTD("ice.rtd",,$C448 &amp; $D448 &amp; ":" &amp; K$1)</f>
        <v>31.5</v>
      </c>
      <c r="L448" s="36">
        <f>RTD("ice.rtd",,$C448 &amp; $D448 &amp; ":" &amp; L$1)</f>
        <v>5</v>
      </c>
      <c r="M448" s="14">
        <f>IFERROR(MOD(TIMEVALUE(RTD("ice.rtd",,$C448 &amp; $D448 &amp; ":" &amp; M$1)), 1), "")</f>
        <v>0.3825925925925926</v>
      </c>
      <c r="N448" s="36">
        <f>RTD("ice.rtd",,$C448 &amp; $D448 &amp; ":" &amp; N$1)</f>
        <v>0</v>
      </c>
      <c r="O448" s="36">
        <f>RTD("ice.rtd",,$C448 &amp; $D448 &amp; ":" &amp; O$1)</f>
        <v>10</v>
      </c>
      <c r="P4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48" s="14">
        <f>IF(ICE[[#This Row],[LastType]] = "Scrn", ICE[[#This Row],[LstDate]], IF(ICE[[#This Row],[LastType]] = "Blk", ICE[[#This Row],[LstBlkTime]], ""))</f>
        <v>0.3825925925925926</v>
      </c>
      <c r="R448" s="41">
        <f>IF(ICE[[#This Row],[LastType]] = "Scrn", ICE[[#This Row],[LstPrc]], IF(ICE[[#This Row],[LastType]] = "Blk", ICE[[#This Row],[LstBlkPrc]], ""))</f>
        <v>31.5</v>
      </c>
      <c r="S448" s="36">
        <f>ICE[[#This Row],[Vol]]+ICE[[#This Row],[BlkVol]]</f>
        <v>10</v>
      </c>
      <c r="T448" s="36">
        <f>RTD("ice.rtd",,$C448 &amp; $D448 &amp; ":" &amp; T$1)</f>
        <v>0</v>
      </c>
      <c r="U448" s="18">
        <f>RTD("ice.rtd",,$C448 &amp; $D448 &amp; ":" &amp; U$1)</f>
        <v>31.5</v>
      </c>
      <c r="V4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8.00 / 56.00 {31.50} |10x</v>
      </c>
      <c r="W448" s="18" t="str">
        <f>IFERROR(IF(LEFT(ICE[[#This Row],[Tenor]], 1) = "B", RTD("esrtd",,$B448 &amp; " " &amp; ICE[[#This Row],[Tenor]] &amp; "-IEU", W$1), RTD("esrtd",,$B448 &amp; " " &amp; VLOOKUP(MONTH(ICE[[#This Row],[Strip]]), MthRef[], 2, 0) &amp; RIGHT(YEAR(ICE[[#This Row],[Strip]]), 2) &amp; "-IEU", W$1)), "")</f>
        <v/>
      </c>
      <c r="X448" s="36"/>
    </row>
    <row r="449" spans="1:24" x14ac:dyDescent="0.25">
      <c r="A449" s="37" t="s">
        <v>394</v>
      </c>
      <c r="B449" s="3" t="str">
        <f>RTD("ice.rtd",,$C449 &amp; $D449 &amp; ":" &amp; B$1)</f>
        <v>JOE</v>
      </c>
      <c r="C449" s="3">
        <v>18871685</v>
      </c>
      <c r="D449" t="s">
        <v>817</v>
      </c>
      <c r="E449" s="3" t="str">
        <f>RTD("ice.rtd",,$C449 &amp; $D449 &amp; ":" &amp; E$1)</f>
        <v>Q3 27</v>
      </c>
      <c r="F449" s="3" t="str">
        <f>ICE[[#This Row],[Prod]]&amp;ICE[[#This Row],[Strip]]</f>
        <v>napewQ3 27</v>
      </c>
      <c r="G449" s="18">
        <f>RTD("ice.rtd",,$C449 &amp; $D449 &amp; ":" &amp; G$1)</f>
        <v>2.75</v>
      </c>
      <c r="H449" s="18">
        <f>RTD("ice.rtd",,$C449 &amp; $D449 &amp; ":" &amp; H$1)</f>
        <v>50.75</v>
      </c>
      <c r="I449" s="18" t="str">
        <f>RTD("ice.rtd",,$C449 &amp; $D449 &amp; ":" &amp; I$1)</f>
        <v/>
      </c>
      <c r="J449" s="14" t="str">
        <f>IFERROR(MOD(RTD("ice.rtd",,$C449 &amp; $D449 &amp; ":" &amp; J$1), 1), "")</f>
        <v/>
      </c>
      <c r="K449" s="18">
        <f>RTD("ice.rtd",,$C449 &amp; $D449 &amp; ":" &amp; K$1)</f>
        <v>26.25</v>
      </c>
      <c r="L449" s="36">
        <f>RTD("ice.rtd",,$C449 &amp; $D449 &amp; ":" &amp; L$1)</f>
        <v>5</v>
      </c>
      <c r="M449" s="14">
        <f>IFERROR(MOD(TIMEVALUE(RTD("ice.rtd",,$C449 &amp; $D449 &amp; ":" &amp; M$1)), 1), "")</f>
        <v>0.36672453703703706</v>
      </c>
      <c r="N449" s="36">
        <f>RTD("ice.rtd",,$C449 &amp; $D449 &amp; ":" &amp; N$1)</f>
        <v>0</v>
      </c>
      <c r="O449" s="36">
        <f>RTD("ice.rtd",,$C449 &amp; $D449 &amp; ":" &amp; O$1)</f>
        <v>5</v>
      </c>
      <c r="P4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49" s="14">
        <f>IF(ICE[[#This Row],[LastType]] = "Scrn", ICE[[#This Row],[LstDate]], IF(ICE[[#This Row],[LastType]] = "Blk", ICE[[#This Row],[LstBlkTime]], ""))</f>
        <v>0.36672453703703706</v>
      </c>
      <c r="R449" s="41">
        <f>IF(ICE[[#This Row],[LastType]] = "Scrn", ICE[[#This Row],[LstPrc]], IF(ICE[[#This Row],[LastType]] = "Blk", ICE[[#This Row],[LstBlkPrc]], ""))</f>
        <v>26.25</v>
      </c>
      <c r="S449" s="36">
        <f>ICE[[#This Row],[Vol]]+ICE[[#This Row],[BlkVol]]</f>
        <v>5</v>
      </c>
      <c r="T449" s="36">
        <f>RTD("ice.rtd",,$C449 &amp; $D449 &amp; ":" &amp; T$1)</f>
        <v>0</v>
      </c>
      <c r="U449" s="18">
        <f>RTD("ice.rtd",,$C449 &amp; $D449 &amp; ":" &amp; U$1)</f>
        <v>26.5</v>
      </c>
      <c r="V4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2.75 / 50.75 {26.25} |5x</v>
      </c>
      <c r="W449" s="18" t="str">
        <f>IFERROR(IF(LEFT(ICE[[#This Row],[Tenor]], 1) = "B", RTD("esrtd",,$B449 &amp; " " &amp; ICE[[#This Row],[Tenor]] &amp; "-IEU", W$1), RTD("esrtd",,$B449 &amp; " " &amp; VLOOKUP(MONTH(ICE[[#This Row],[Strip]]), MthRef[], 2, 0) &amp; RIGHT(YEAR(ICE[[#This Row],[Strip]]), 2) &amp; "-IEU", W$1)), "")</f>
        <v/>
      </c>
      <c r="X449" s="36"/>
    </row>
    <row r="450" spans="1:24" x14ac:dyDescent="0.25">
      <c r="A450" s="37" t="s">
        <v>394</v>
      </c>
      <c r="B450" s="3" t="str">
        <f>RTD("ice.rtd",,$C450 &amp; $D450 &amp; ":" &amp; B$1)</f>
        <v>JOE</v>
      </c>
      <c r="C450" s="3">
        <v>18871685</v>
      </c>
      <c r="D450" t="s">
        <v>818</v>
      </c>
      <c r="E450" s="3" t="str">
        <f>RTD("ice.rtd",,$C450 &amp; $D450 &amp; ":" &amp; E$1)</f>
        <v>Q4 27</v>
      </c>
      <c r="F450" s="3" t="str">
        <f>ICE[[#This Row],[Prod]]&amp;ICE[[#This Row],[Strip]]</f>
        <v>napewQ4 27</v>
      </c>
      <c r="G450" s="18">
        <f>RTD("ice.rtd",,$C450 &amp; $D450 &amp; ":" &amp; G$1)</f>
        <v>-1.25</v>
      </c>
      <c r="H450" s="18">
        <f>RTD("ice.rtd",,$C450 &amp; $D450 &amp; ":" &amp; H$1)</f>
        <v>46.75</v>
      </c>
      <c r="I450" s="18" t="str">
        <f>RTD("ice.rtd",,$C450 &amp; $D450 &amp; ":" &amp; I$1)</f>
        <v/>
      </c>
      <c r="J450" s="14" t="str">
        <f>IFERROR(MOD(RTD("ice.rtd",,$C450 &amp; $D450 &amp; ":" &amp; J$1), 1), "")</f>
        <v/>
      </c>
      <c r="K450" s="18" t="str">
        <f>RTD("ice.rtd",,$C450 &amp; $D450 &amp; ":" &amp; K$1)</f>
        <v/>
      </c>
      <c r="L450" s="36" t="str">
        <f>RTD("ice.rtd",,$C450 &amp; $D450 &amp; ":" &amp; L$1)</f>
        <v/>
      </c>
      <c r="M450" s="14" t="str">
        <f>IFERROR(MOD(TIMEVALUE(RTD("ice.rtd",,$C450 &amp; $D450 &amp; ":" &amp; M$1)), 1), "")</f>
        <v/>
      </c>
      <c r="N450" s="36">
        <f>RTD("ice.rtd",,$C450 &amp; $D450 &amp; ":" &amp; N$1)</f>
        <v>0</v>
      </c>
      <c r="O450" s="36">
        <f>RTD("ice.rtd",,$C450 &amp; $D450 &amp; ":" &amp; O$1)</f>
        <v>0</v>
      </c>
      <c r="P4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0" s="14" t="str">
        <f>IF(ICE[[#This Row],[LastType]] = "Scrn", ICE[[#This Row],[LstDate]], IF(ICE[[#This Row],[LastType]] = "Blk", ICE[[#This Row],[LstBlkTime]], ""))</f>
        <v/>
      </c>
      <c r="R450" s="41" t="str">
        <f>IF(ICE[[#This Row],[LastType]] = "Scrn", ICE[[#This Row],[LstPrc]], IF(ICE[[#This Row],[LastType]] = "Blk", ICE[[#This Row],[LstBlkPrc]], ""))</f>
        <v/>
      </c>
      <c r="S450" s="36">
        <f>ICE[[#This Row],[Vol]]+ICE[[#This Row],[BlkVol]]</f>
        <v>0</v>
      </c>
      <c r="T450" s="36">
        <f>RTD("ice.rtd",,$C450 &amp; $D450 &amp; ":" &amp; T$1)</f>
        <v>0</v>
      </c>
      <c r="U450" s="18">
        <f>RTD("ice.rtd",,$C450 &amp; $D450 &amp; ":" &amp; U$1)</f>
        <v>22.667000000000002</v>
      </c>
      <c r="V4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-1.25 / 46.75 </v>
      </c>
      <c r="W450" s="18" t="str">
        <f>IFERROR(IF(LEFT(ICE[[#This Row],[Tenor]], 1) = "B", RTD("esrtd",,$B450 &amp; " " &amp; ICE[[#This Row],[Tenor]] &amp; "-IEU", W$1), RTD("esrtd",,$B450 &amp; " " &amp; VLOOKUP(MONTH(ICE[[#This Row],[Strip]]), MthRef[], 2, 0) &amp; RIGHT(YEAR(ICE[[#This Row],[Strip]]), 2) &amp; "-IEU", W$1)), "")</f>
        <v/>
      </c>
      <c r="X450" s="36"/>
    </row>
    <row r="451" spans="1:24" x14ac:dyDescent="0.25">
      <c r="A451" s="37" t="s">
        <v>394</v>
      </c>
      <c r="B451" s="3" t="str">
        <f>RTD("ice.rtd",,$C451 &amp; $D451 &amp; ":" &amp; B$1)</f>
        <v>JOE</v>
      </c>
      <c r="C451" s="3">
        <v>18871685</v>
      </c>
      <c r="D451" t="s">
        <v>819</v>
      </c>
      <c r="E451" s="3" t="str">
        <f>RTD("ice.rtd",,$C451 &amp; $D451 &amp; ":" &amp; E$1)</f>
        <v>Q1 28</v>
      </c>
      <c r="F451" s="3" t="str">
        <f>ICE[[#This Row],[Prod]]&amp;ICE[[#This Row],[Strip]]</f>
        <v>napewQ1 28</v>
      </c>
      <c r="G451" s="18" t="str">
        <f>RTD("ice.rtd",,$C451 &amp; $D451 &amp; ":" &amp; G$1)</f>
        <v/>
      </c>
      <c r="H451" s="18" t="str">
        <f>RTD("ice.rtd",,$C451 &amp; $D451 &amp; ":" &amp; H$1)</f>
        <v/>
      </c>
      <c r="I451" s="18" t="str">
        <f>RTD("ice.rtd",,$C451 &amp; $D451 &amp; ":" &amp; I$1)</f>
        <v/>
      </c>
      <c r="J451" s="14" t="str">
        <f>IFERROR(MOD(RTD("ice.rtd",,$C451 &amp; $D451 &amp; ":" &amp; J$1), 1), "")</f>
        <v/>
      </c>
      <c r="K451" s="18" t="str">
        <f>RTD("ice.rtd",,$C451 &amp; $D451 &amp; ":" &amp; K$1)</f>
        <v/>
      </c>
      <c r="L451" s="36" t="str">
        <f>RTD("ice.rtd",,$C451 &amp; $D451 &amp; ":" &amp; L$1)</f>
        <v/>
      </c>
      <c r="M451" s="14" t="str">
        <f>IFERROR(MOD(TIMEVALUE(RTD("ice.rtd",,$C451 &amp; $D451 &amp; ":" &amp; M$1)), 1), "")</f>
        <v/>
      </c>
      <c r="N451" s="36">
        <f>RTD("ice.rtd",,$C451 &amp; $D451 &amp; ":" &amp; N$1)</f>
        <v>0</v>
      </c>
      <c r="O451" s="36">
        <f>RTD("ice.rtd",,$C451 &amp; $D451 &amp; ":" &amp; O$1)</f>
        <v>0</v>
      </c>
      <c r="P4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1" s="14" t="str">
        <f>IF(ICE[[#This Row],[LastType]] = "Scrn", ICE[[#This Row],[LstDate]], IF(ICE[[#This Row],[LastType]] = "Blk", ICE[[#This Row],[LstBlkTime]], ""))</f>
        <v/>
      </c>
      <c r="R451" s="41" t="str">
        <f>IF(ICE[[#This Row],[LastType]] = "Scrn", ICE[[#This Row],[LstPrc]], IF(ICE[[#This Row],[LastType]] = "Blk", ICE[[#This Row],[LstBlkPrc]], ""))</f>
        <v/>
      </c>
      <c r="S451" s="36">
        <f>ICE[[#This Row],[Vol]]+ICE[[#This Row],[BlkVol]]</f>
        <v>0</v>
      </c>
      <c r="T451" s="36">
        <f>RTD("ice.rtd",,$C451 &amp; $D451 &amp; ":" &amp; T$1)</f>
        <v>0</v>
      </c>
      <c r="U451" s="18">
        <f>RTD("ice.rtd",,$C451 &amp; $D451 &amp; ":" &amp; U$1)</f>
        <v>19.333000000000002</v>
      </c>
      <c r="V4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51" s="18" t="str">
        <f>IFERROR(IF(LEFT(ICE[[#This Row],[Tenor]], 1) = "B", RTD("esrtd",,$B451 &amp; " " &amp; ICE[[#This Row],[Tenor]] &amp; "-IEU", W$1), RTD("esrtd",,$B451 &amp; " " &amp; VLOOKUP(MONTH(ICE[[#This Row],[Strip]]), MthRef[], 2, 0) &amp; RIGHT(YEAR(ICE[[#This Row],[Strip]]), 2) &amp; "-IEU", W$1)), "")</f>
        <v/>
      </c>
      <c r="X451" s="36"/>
    </row>
    <row r="452" spans="1:24" x14ac:dyDescent="0.25">
      <c r="A452" s="37" t="s">
        <v>394</v>
      </c>
      <c r="B452" s="3" t="str">
        <f>RTD("ice.rtd",,$C452 &amp; $D452 &amp; ":" &amp; B$1)</f>
        <v>JOE</v>
      </c>
      <c r="C452" s="3">
        <v>18871685</v>
      </c>
      <c r="D452" t="s">
        <v>229</v>
      </c>
      <c r="E452" s="3" t="str">
        <f>RTD("ice.rtd",,$C452 &amp; $D452 &amp; ":" &amp; E$1)</f>
        <v>Q2 28</v>
      </c>
      <c r="F452" s="3" t="str">
        <f>ICE[[#This Row],[Prod]]&amp;ICE[[#This Row],[Strip]]</f>
        <v>napewQ2 28</v>
      </c>
      <c r="G452" s="18" t="str">
        <f>RTD("ice.rtd",,$C452 &amp; $D452 &amp; ":" &amp; G$1)</f>
        <v/>
      </c>
      <c r="H452" s="18" t="str">
        <f>RTD("ice.rtd",,$C452 &amp; $D452 &amp; ":" &amp; H$1)</f>
        <v/>
      </c>
      <c r="I452" s="18" t="str">
        <f>RTD("ice.rtd",,$C452 &amp; $D452 &amp; ":" &amp; I$1)</f>
        <v/>
      </c>
      <c r="J452" s="14" t="str">
        <f>IFERROR(MOD(RTD("ice.rtd",,$C452 &amp; $D452 &amp; ":" &amp; J$1), 1), "")</f>
        <v/>
      </c>
      <c r="K452" s="18" t="str">
        <f>RTD("ice.rtd",,$C452 &amp; $D452 &amp; ":" &amp; K$1)</f>
        <v/>
      </c>
      <c r="L452" s="36" t="str">
        <f>RTD("ice.rtd",,$C452 &amp; $D452 &amp; ":" &amp; L$1)</f>
        <v/>
      </c>
      <c r="M452" s="14" t="str">
        <f>IFERROR(MOD(TIMEVALUE(RTD("ice.rtd",,$C452 &amp; $D452 &amp; ":" &amp; M$1)), 1), "")</f>
        <v/>
      </c>
      <c r="N452" s="36">
        <f>RTD("ice.rtd",,$C452 &amp; $D452 &amp; ":" &amp; N$1)</f>
        <v>0</v>
      </c>
      <c r="O452" s="36">
        <f>RTD("ice.rtd",,$C452 &amp; $D452 &amp; ":" &amp; O$1)</f>
        <v>0</v>
      </c>
      <c r="P4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2" s="14" t="str">
        <f>IF(ICE[[#This Row],[LastType]] = "Scrn", ICE[[#This Row],[LstDate]], IF(ICE[[#This Row],[LastType]] = "Blk", ICE[[#This Row],[LstBlkTime]], ""))</f>
        <v/>
      </c>
      <c r="R452" s="41" t="str">
        <f>IF(ICE[[#This Row],[LastType]] = "Scrn", ICE[[#This Row],[LstPrc]], IF(ICE[[#This Row],[LastType]] = "Blk", ICE[[#This Row],[LstBlkPrc]], ""))</f>
        <v/>
      </c>
      <c r="S452" s="36">
        <f>ICE[[#This Row],[Vol]]+ICE[[#This Row],[BlkVol]]</f>
        <v>0</v>
      </c>
      <c r="T452" s="36">
        <f>RTD("ice.rtd",,$C452 &amp; $D452 &amp; ":" &amp; T$1)</f>
        <v>0</v>
      </c>
      <c r="U452" s="18">
        <f>RTD("ice.rtd",,$C452 &amp; $D452 &amp; ":" &amp; U$1)</f>
        <v>19</v>
      </c>
      <c r="V4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52" s="18" t="str">
        <f>IFERROR(IF(LEFT(ICE[[#This Row],[Tenor]], 1) = "B", RTD("esrtd",,$B452 &amp; " " &amp; ICE[[#This Row],[Tenor]] &amp; "-IEU", W$1), RTD("esrtd",,$B452 &amp; " " &amp; VLOOKUP(MONTH(ICE[[#This Row],[Strip]]), MthRef[], 2, 0) &amp; RIGHT(YEAR(ICE[[#This Row],[Strip]]), 2) &amp; "-IEU", W$1)), "")</f>
        <v/>
      </c>
      <c r="X452" s="36"/>
    </row>
    <row r="453" spans="1:24" x14ac:dyDescent="0.25">
      <c r="A453" s="37" t="s">
        <v>394</v>
      </c>
      <c r="B453" s="3" t="str">
        <f>RTD("ice.rtd",,$C453 &amp; $D453 &amp; ":" &amp; B$1)</f>
        <v>JOE</v>
      </c>
      <c r="C453" s="3">
        <v>18871685</v>
      </c>
      <c r="D453" t="s">
        <v>820</v>
      </c>
      <c r="E453" s="3" t="str">
        <f>RTD("ice.rtd",,$C453 &amp; $D453 &amp; ":" &amp; E$1)</f>
        <v>Q3 28</v>
      </c>
      <c r="F453" s="3" t="str">
        <f>ICE[[#This Row],[Prod]]&amp;ICE[[#This Row],[Strip]]</f>
        <v>napewQ3 28</v>
      </c>
      <c r="G453" s="18" t="str">
        <f>RTD("ice.rtd",,$C453 &amp; $D453 &amp; ":" &amp; G$1)</f>
        <v/>
      </c>
      <c r="H453" s="18" t="str">
        <f>RTD("ice.rtd",,$C453 &amp; $D453 &amp; ":" &amp; H$1)</f>
        <v/>
      </c>
      <c r="I453" s="18" t="str">
        <f>RTD("ice.rtd",,$C453 &amp; $D453 &amp; ":" &amp; I$1)</f>
        <v/>
      </c>
      <c r="J453" s="14" t="str">
        <f>IFERROR(MOD(RTD("ice.rtd",,$C453 &amp; $D453 &amp; ":" &amp; J$1), 1), "")</f>
        <v/>
      </c>
      <c r="K453" s="18" t="str">
        <f>RTD("ice.rtd",,$C453 &amp; $D453 &amp; ":" &amp; K$1)</f>
        <v/>
      </c>
      <c r="L453" s="36" t="str">
        <f>RTD("ice.rtd",,$C453 &amp; $D453 &amp; ":" &amp; L$1)</f>
        <v/>
      </c>
      <c r="M453" s="14" t="str">
        <f>IFERROR(MOD(TIMEVALUE(RTD("ice.rtd",,$C453 &amp; $D453 &amp; ":" &amp; M$1)), 1), "")</f>
        <v/>
      </c>
      <c r="N453" s="36">
        <f>RTD("ice.rtd",,$C453 &amp; $D453 &amp; ":" &amp; N$1)</f>
        <v>0</v>
      </c>
      <c r="O453" s="36">
        <f>RTD("ice.rtd",,$C453 &amp; $D453 &amp; ":" &amp; O$1)</f>
        <v>0</v>
      </c>
      <c r="P4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3" s="14" t="str">
        <f>IF(ICE[[#This Row],[LastType]] = "Scrn", ICE[[#This Row],[LstDate]], IF(ICE[[#This Row],[LastType]] = "Blk", ICE[[#This Row],[LstBlkTime]], ""))</f>
        <v/>
      </c>
      <c r="R453" s="41" t="str">
        <f>IF(ICE[[#This Row],[LastType]] = "Scrn", ICE[[#This Row],[LstPrc]], IF(ICE[[#This Row],[LastType]] = "Blk", ICE[[#This Row],[LstBlkPrc]], ""))</f>
        <v/>
      </c>
      <c r="S453" s="36">
        <f>ICE[[#This Row],[Vol]]+ICE[[#This Row],[BlkVol]]</f>
        <v>0</v>
      </c>
      <c r="T453" s="36">
        <f>RTD("ice.rtd",,$C453 &amp; $D453 &amp; ":" &amp; T$1)</f>
        <v>0</v>
      </c>
      <c r="U453" s="18">
        <f>RTD("ice.rtd",,$C453 &amp; $D453 &amp; ":" &amp; U$1)</f>
        <v>19</v>
      </c>
      <c r="V4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53" s="18" t="str">
        <f>IFERROR(IF(LEFT(ICE[[#This Row],[Tenor]], 1) = "B", RTD("esrtd",,$B453 &amp; " " &amp; ICE[[#This Row],[Tenor]] &amp; "-IEU", W$1), RTD("esrtd",,$B453 &amp; " " &amp; VLOOKUP(MONTH(ICE[[#This Row],[Strip]]), MthRef[], 2, 0) &amp; RIGHT(YEAR(ICE[[#This Row],[Strip]]), 2) &amp; "-IEU", W$1)), "")</f>
        <v/>
      </c>
      <c r="X453" s="36"/>
    </row>
    <row r="454" spans="1:24" x14ac:dyDescent="0.25">
      <c r="A454" s="37" t="s">
        <v>394</v>
      </c>
      <c r="B454" s="3" t="str">
        <f>RTD("ice.rtd",,$C454 &amp; $D454 &amp; ":" &amp; B$1)</f>
        <v>JOE</v>
      </c>
      <c r="C454" s="3">
        <v>18871685</v>
      </c>
      <c r="D454" t="s">
        <v>821</v>
      </c>
      <c r="E454" s="3" t="str">
        <f>RTD("ice.rtd",,$C454 &amp; $D454 &amp; ":" &amp; E$1)</f>
        <v>Q4 28</v>
      </c>
      <c r="F454" s="3" t="str">
        <f>ICE[[#This Row],[Prod]]&amp;ICE[[#This Row],[Strip]]</f>
        <v>napewQ4 28</v>
      </c>
      <c r="G454" s="18" t="str">
        <f>RTD("ice.rtd",,$C454 &amp; $D454 &amp; ":" &amp; G$1)</f>
        <v/>
      </c>
      <c r="H454" s="18" t="str">
        <f>RTD("ice.rtd",,$C454 &amp; $D454 &amp; ":" &amp; H$1)</f>
        <v/>
      </c>
      <c r="I454" s="18" t="str">
        <f>RTD("ice.rtd",,$C454 &amp; $D454 &amp; ":" &amp; I$1)</f>
        <v/>
      </c>
      <c r="J454" s="14" t="str">
        <f>IFERROR(MOD(RTD("ice.rtd",,$C454 &amp; $D454 &amp; ":" &amp; J$1), 1), "")</f>
        <v/>
      </c>
      <c r="K454" s="18" t="str">
        <f>RTD("ice.rtd",,$C454 &amp; $D454 &amp; ":" &amp; K$1)</f>
        <v/>
      </c>
      <c r="L454" s="36" t="str">
        <f>RTD("ice.rtd",,$C454 &amp; $D454 &amp; ":" &amp; L$1)</f>
        <v/>
      </c>
      <c r="M454" s="14" t="str">
        <f>IFERROR(MOD(TIMEVALUE(RTD("ice.rtd",,$C454 &amp; $D454 &amp; ":" &amp; M$1)), 1), "")</f>
        <v/>
      </c>
      <c r="N454" s="36">
        <f>RTD("ice.rtd",,$C454 &amp; $D454 &amp; ":" &amp; N$1)</f>
        <v>0</v>
      </c>
      <c r="O454" s="36">
        <f>RTD("ice.rtd",,$C454 &amp; $D454 &amp; ":" &amp; O$1)</f>
        <v>0</v>
      </c>
      <c r="P4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4" s="14" t="str">
        <f>IF(ICE[[#This Row],[LastType]] = "Scrn", ICE[[#This Row],[LstDate]], IF(ICE[[#This Row],[LastType]] = "Blk", ICE[[#This Row],[LstBlkTime]], ""))</f>
        <v/>
      </c>
      <c r="R454" s="41" t="str">
        <f>IF(ICE[[#This Row],[LastType]] = "Scrn", ICE[[#This Row],[LstPrc]], IF(ICE[[#This Row],[LastType]] = "Blk", ICE[[#This Row],[LstBlkPrc]], ""))</f>
        <v/>
      </c>
      <c r="S454" s="36">
        <f>ICE[[#This Row],[Vol]]+ICE[[#This Row],[BlkVol]]</f>
        <v>0</v>
      </c>
      <c r="T454" s="36">
        <f>RTD("ice.rtd",,$C454 &amp; $D454 &amp; ":" &amp; T$1)</f>
        <v>0</v>
      </c>
      <c r="U454" s="18">
        <f>RTD("ice.rtd",,$C454 &amp; $D454 &amp; ":" &amp; U$1)</f>
        <v>19</v>
      </c>
      <c r="V4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54" s="18" t="str">
        <f>IFERROR(IF(LEFT(ICE[[#This Row],[Tenor]], 1) = "B", RTD("esrtd",,$B454 &amp; " " &amp; ICE[[#This Row],[Tenor]] &amp; "-IEU", W$1), RTD("esrtd",,$B454 &amp; " " &amp; VLOOKUP(MONTH(ICE[[#This Row],[Strip]]), MthRef[], 2, 0) &amp; RIGHT(YEAR(ICE[[#This Row],[Strip]]), 2) &amp; "-IEU", W$1)), "")</f>
        <v/>
      </c>
      <c r="X454" s="36"/>
    </row>
    <row r="455" spans="1:24" x14ac:dyDescent="0.25">
      <c r="A455" s="37" t="s">
        <v>394</v>
      </c>
      <c r="B455" s="3" t="str">
        <f>RTD("ice.rtd",,$C455 &amp; $D455 &amp; ":" &amp; B$1)</f>
        <v>JOE</v>
      </c>
      <c r="C455" s="3">
        <v>18871685</v>
      </c>
      <c r="D455" t="s">
        <v>822</v>
      </c>
      <c r="E455" s="3" t="str">
        <f>RTD("ice.rtd",,$C455 &amp; $D455 &amp; ":" &amp; E$1)</f>
        <v>Cal 27</v>
      </c>
      <c r="F455" s="3" t="str">
        <f>ICE[[#This Row],[Prod]]&amp;ICE[[#This Row],[Strip]]</f>
        <v>napewCal 27</v>
      </c>
      <c r="G455" s="18">
        <f>RTD("ice.rtd",,$C455 &amp; $D455 &amp; ":" &amp; G$1)</f>
        <v>6.5</v>
      </c>
      <c r="H455" s="18">
        <f>RTD("ice.rtd",,$C455 &amp; $D455 &amp; ":" &amp; H$1)</f>
        <v>54.5</v>
      </c>
      <c r="I455" s="18" t="str">
        <f>RTD("ice.rtd",,$C455 &amp; $D455 &amp; ":" &amp; I$1)</f>
        <v/>
      </c>
      <c r="J455" s="14" t="str">
        <f>IFERROR(MOD(RTD("ice.rtd",,$C455 &amp; $D455 &amp; ":" &amp; J$1), 1), "")</f>
        <v/>
      </c>
      <c r="K455" s="18">
        <f>RTD("ice.rtd",,$C455 &amp; $D455 &amp; ":" &amp; K$1)</f>
        <v>30.5</v>
      </c>
      <c r="L455" s="36">
        <f>RTD("ice.rtd",,$C455 &amp; $D455 &amp; ":" &amp; L$1)</f>
        <v>1</v>
      </c>
      <c r="M455" s="14">
        <f>IFERROR(MOD(TIMEVALUE(RTD("ice.rtd",,$C455 &amp; $D455 &amp; ":" &amp; M$1)), 1), "")</f>
        <v>0.35497685185185185</v>
      </c>
      <c r="N455" s="36">
        <f>RTD("ice.rtd",,$C455 &amp; $D455 &amp; ":" &amp; N$1)</f>
        <v>0</v>
      </c>
      <c r="O455" s="36">
        <f>RTD("ice.rtd",,$C455 &amp; $D455 &amp; ":" &amp; O$1)</f>
        <v>1</v>
      </c>
      <c r="P4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55" s="14">
        <f>IF(ICE[[#This Row],[LastType]] = "Scrn", ICE[[#This Row],[LstDate]], IF(ICE[[#This Row],[LastType]] = "Blk", ICE[[#This Row],[LstBlkTime]], ""))</f>
        <v>0.35497685185185185</v>
      </c>
      <c r="R455" s="41">
        <f>IF(ICE[[#This Row],[LastType]] = "Scrn", ICE[[#This Row],[LstPrc]], IF(ICE[[#This Row],[LastType]] = "Blk", ICE[[#This Row],[LstBlkPrc]], ""))</f>
        <v>30.5</v>
      </c>
      <c r="S455" s="36">
        <f>ICE[[#This Row],[Vol]]+ICE[[#This Row],[BlkVol]]</f>
        <v>1</v>
      </c>
      <c r="T455" s="36">
        <f>RTD("ice.rtd",,$C455 &amp; $D455 &amp; ":" &amp; T$1)</f>
        <v>0</v>
      </c>
      <c r="U455" s="18">
        <f>RTD("ice.rtd",,$C455 &amp; $D455 &amp; ":" &amp; U$1)</f>
        <v>30.167000000000002</v>
      </c>
      <c r="V4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6.50 / 54.50 {30.50} |1x</v>
      </c>
      <c r="W455" s="18" t="str">
        <f>IFERROR(IF(LEFT(ICE[[#This Row],[Tenor]], 1) = "B", RTD("esrtd",,$B455 &amp; " " &amp; ICE[[#This Row],[Tenor]] &amp; "-IEU", W$1), RTD("esrtd",,$B455 &amp; " " &amp; VLOOKUP(MONTH(ICE[[#This Row],[Strip]]), MthRef[], 2, 0) &amp; RIGHT(YEAR(ICE[[#This Row],[Strip]]), 2) &amp; "-IEU", W$1)), "")</f>
        <v/>
      </c>
      <c r="X455" s="36"/>
    </row>
    <row r="456" spans="1:24" x14ac:dyDescent="0.25">
      <c r="A456" s="37" t="s">
        <v>394</v>
      </c>
      <c r="B456" s="3" t="str">
        <f>RTD("ice.rtd",,$C456 &amp; $D456 &amp; ":" &amp; B$1)</f>
        <v>JOE</v>
      </c>
      <c r="C456" s="3">
        <v>18871685</v>
      </c>
      <c r="D456" t="s">
        <v>823</v>
      </c>
      <c r="E456" s="3" t="str">
        <f>RTD("ice.rtd",,$C456 &amp; $D456 &amp; ":" &amp; E$1)</f>
        <v>Cal 28</v>
      </c>
      <c r="F456" s="3" t="str">
        <f>ICE[[#This Row],[Prod]]&amp;ICE[[#This Row],[Strip]]</f>
        <v>napewCal 28</v>
      </c>
      <c r="G456" s="18" t="str">
        <f>RTD("ice.rtd",,$C456 &amp; $D456 &amp; ":" &amp; G$1)</f>
        <v/>
      </c>
      <c r="H456" s="18" t="str">
        <f>RTD("ice.rtd",,$C456 &amp; $D456 &amp; ":" &amp; H$1)</f>
        <v/>
      </c>
      <c r="I456" s="18" t="str">
        <f>RTD("ice.rtd",,$C456 &amp; $D456 &amp; ":" &amp; I$1)</f>
        <v/>
      </c>
      <c r="J456" s="14" t="str">
        <f>IFERROR(MOD(RTD("ice.rtd",,$C456 &amp; $D456 &amp; ":" &amp; J$1), 1), "")</f>
        <v/>
      </c>
      <c r="K456" s="18" t="str">
        <f>RTD("ice.rtd",,$C456 &amp; $D456 &amp; ":" &amp; K$1)</f>
        <v/>
      </c>
      <c r="L456" s="36" t="str">
        <f>RTD("ice.rtd",,$C456 &amp; $D456 &amp; ":" &amp; L$1)</f>
        <v/>
      </c>
      <c r="M456" s="14" t="str">
        <f>IFERROR(MOD(TIMEVALUE(RTD("ice.rtd",,$C456 &amp; $D456 &amp; ":" &amp; M$1)), 1), "")</f>
        <v/>
      </c>
      <c r="N456" s="36">
        <f>RTD("ice.rtd",,$C456 &amp; $D456 &amp; ":" &amp; N$1)</f>
        <v>0</v>
      </c>
      <c r="O456" s="36">
        <f>RTD("ice.rtd",,$C456 &amp; $D456 &amp; ":" &amp; O$1)</f>
        <v>0</v>
      </c>
      <c r="P4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6" s="14" t="str">
        <f>IF(ICE[[#This Row],[LastType]] = "Scrn", ICE[[#This Row],[LstDate]], IF(ICE[[#This Row],[LastType]] = "Blk", ICE[[#This Row],[LstBlkTime]], ""))</f>
        <v/>
      </c>
      <c r="R456" s="41" t="str">
        <f>IF(ICE[[#This Row],[LastType]] = "Scrn", ICE[[#This Row],[LstPrc]], IF(ICE[[#This Row],[LastType]] = "Blk", ICE[[#This Row],[LstBlkPrc]], ""))</f>
        <v/>
      </c>
      <c r="S456" s="36">
        <f>ICE[[#This Row],[Vol]]+ICE[[#This Row],[BlkVol]]</f>
        <v>0</v>
      </c>
      <c r="T456" s="36">
        <f>RTD("ice.rtd",,$C456 &amp; $D456 &amp; ":" &amp; T$1)</f>
        <v>0</v>
      </c>
      <c r="U456" s="18">
        <f>RTD("ice.rtd",,$C456 &amp; $D456 &amp; ":" &amp; U$1)</f>
        <v>19.083000000000002</v>
      </c>
      <c r="V4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56" s="18" t="str">
        <f>IFERROR(IF(LEFT(ICE[[#This Row],[Tenor]], 1) = "B", RTD("esrtd",,$B456 &amp; " " &amp; ICE[[#This Row],[Tenor]] &amp; "-IEU", W$1), RTD("esrtd",,$B456 &amp; " " &amp; VLOOKUP(MONTH(ICE[[#This Row],[Strip]]), MthRef[], 2, 0) &amp; RIGHT(YEAR(ICE[[#This Row],[Strip]]), 2) &amp; "-IEU", W$1)), "")</f>
        <v/>
      </c>
      <c r="X456" s="36"/>
    </row>
    <row r="457" spans="1:24" x14ac:dyDescent="0.25">
      <c r="A457" s="37" t="s">
        <v>394</v>
      </c>
      <c r="B457" s="3" t="str">
        <f>RTD("ice.rtd",,$C457 &amp; $D457 &amp; ":" &amp; B$1)</f>
        <v>Invalid Market: 18871685Y2</v>
      </c>
      <c r="C457" s="3">
        <v>18871685</v>
      </c>
      <c r="D457" t="s">
        <v>824</v>
      </c>
      <c r="E457" s="3" t="str">
        <f>RTD("ice.rtd",,$C457 &amp; $D457 &amp; ":" &amp; E$1)</f>
        <v>Invalid Market: 18871685Y2</v>
      </c>
      <c r="F457" s="3" t="str">
        <f>ICE[[#This Row],[Prod]]&amp;ICE[[#This Row],[Strip]]</f>
        <v>napewInvalid Market: 18871685Y2</v>
      </c>
      <c r="G457" s="18" t="str">
        <f>RTD("ice.rtd",,$C457 &amp; $D457 &amp; ":" &amp; G$1)</f>
        <v>Invalid Market: 18871685Y2</v>
      </c>
      <c r="H457" s="18" t="str">
        <f>RTD("ice.rtd",,$C457 &amp; $D457 &amp; ":" &amp; H$1)</f>
        <v>Invalid Market: 18871685Y2</v>
      </c>
      <c r="I457" s="18" t="str">
        <f>RTD("ice.rtd",,$C457 &amp; $D457 &amp; ":" &amp; I$1)</f>
        <v>Invalid Market: 18871685Y2</v>
      </c>
      <c r="J457" s="14" t="str">
        <f>IFERROR(MOD(RTD("ice.rtd",,$C457 &amp; $D457 &amp; ":" &amp; J$1), 1), "")</f>
        <v/>
      </c>
      <c r="K457" s="18" t="str">
        <f>RTD("ice.rtd",,$C457 &amp; $D457 &amp; ":" &amp; K$1)</f>
        <v>Invalid Market: 18871685Y2</v>
      </c>
      <c r="L457" s="36" t="str">
        <f>RTD("ice.rtd",,$C457 &amp; $D457 &amp; ":" &amp; L$1)</f>
        <v>Invalid Market: 18871685Y2</v>
      </c>
      <c r="M457" s="14" t="str">
        <f>IFERROR(MOD(TIMEVALUE(RTD("ice.rtd",,$C457 &amp; $D457 &amp; ":" &amp; M$1)), 1), "")</f>
        <v/>
      </c>
      <c r="N457" s="36" t="str">
        <f>RTD("ice.rtd",,$C457 &amp; $D457 &amp; ":" &amp; N$1)</f>
        <v>Invalid Market: 18871685Y2</v>
      </c>
      <c r="O457" s="36" t="str">
        <f>RTD("ice.rtd",,$C457 &amp; $D457 &amp; ":" &amp; O$1)</f>
        <v>Invalid Market: 18871685Y2</v>
      </c>
      <c r="P4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7" s="14" t="str">
        <f>IF(ICE[[#This Row],[LastType]] = "Scrn", ICE[[#This Row],[LstDate]], IF(ICE[[#This Row],[LastType]] = "Blk", ICE[[#This Row],[LstBlkTime]], ""))</f>
        <v/>
      </c>
      <c r="R457" s="41" t="str">
        <f>IF(ICE[[#This Row],[LastType]] = "Scrn", ICE[[#This Row],[LstPrc]], IF(ICE[[#This Row],[LastType]] = "Blk", ICE[[#This Row],[LstBlkPrc]], ""))</f>
        <v/>
      </c>
      <c r="S457" s="36" t="e">
        <f>ICE[[#This Row],[Vol]]+ICE[[#This Row],[BlkVol]]</f>
        <v>#VALUE!</v>
      </c>
      <c r="T457" s="36" t="str">
        <f>RTD("ice.rtd",,$C457 &amp; $D457 &amp; ":" &amp; T$1)</f>
        <v>Invalid Market: 18871685Y2</v>
      </c>
      <c r="U457" s="18" t="str">
        <f>RTD("ice.rtd",,$C457 &amp; $D457 &amp; ":" &amp; U$1)</f>
        <v>Invalid Market: 18871685Y2</v>
      </c>
      <c r="V4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457" s="18" t="str">
        <f>IFERROR(IF(LEFT(ICE[[#This Row],[Tenor]], 1) = "B", RTD("esrtd",,$B457 &amp; " " &amp; ICE[[#This Row],[Tenor]] &amp; "-IEU", W$1), RTD("esrtd",,$B457 &amp; " " &amp; VLOOKUP(MONTH(ICE[[#This Row],[Strip]]), MthRef[], 2, 0) &amp; RIGHT(YEAR(ICE[[#This Row],[Strip]]), 2) &amp; "-IEU", W$1)), "")</f>
        <v/>
      </c>
      <c r="X457" s="36"/>
    </row>
    <row r="458" spans="1:24" x14ac:dyDescent="0.25">
      <c r="A458" s="37" t="s">
        <v>395</v>
      </c>
      <c r="B458" s="3" t="str">
        <f>RTD("ice.rtd",,$C458 &amp; $D458 &amp; ":" &amp; B$1)</f>
        <v>Invalid Market: 1581618115B0</v>
      </c>
      <c r="C458" s="3">
        <v>1581618115</v>
      </c>
      <c r="D458" t="s">
        <v>792</v>
      </c>
      <c r="E458" s="3" t="str">
        <f>RTD("ice.rtd",,$C458 &amp; $D458 &amp; ":" &amp; E$1)</f>
        <v>Invalid Market: 1581618115B0</v>
      </c>
      <c r="F458" s="3" t="str">
        <f>ICE[[#This Row],[Prod]]&amp;ICE[[#This Row],[Strip]]</f>
        <v>mg92ebobInvalid Market: 1581618115B0</v>
      </c>
      <c r="G458" s="18" t="str">
        <f>RTD("ice.rtd",,$C458 &amp; $D458 &amp; ":" &amp; G$1)</f>
        <v>Invalid Market: 1581618115B0</v>
      </c>
      <c r="H458" s="18" t="str">
        <f>RTD("ice.rtd",,$C458 &amp; $D458 &amp; ":" &amp; H$1)</f>
        <v>Invalid Market: 1581618115B0</v>
      </c>
      <c r="I458" s="18" t="str">
        <f>RTD("ice.rtd",,$C458 &amp; $D458 &amp; ":" &amp; I$1)</f>
        <v>Invalid Market: 1581618115B0</v>
      </c>
      <c r="J458" s="14" t="str">
        <f>IFERROR(MOD(RTD("ice.rtd",,$C458 &amp; $D458 &amp; ":" &amp; J$1), 1), "")</f>
        <v/>
      </c>
      <c r="K458" s="18" t="str">
        <f>RTD("ice.rtd",,$C458 &amp; $D458 &amp; ":" &amp; K$1)</f>
        <v>Invalid Market: 1581618115B0</v>
      </c>
      <c r="L458" s="36" t="str">
        <f>RTD("ice.rtd",,$C458 &amp; $D458 &amp; ":" &amp; L$1)</f>
        <v>Invalid Market: 1581618115B0</v>
      </c>
      <c r="M458" s="14" t="str">
        <f>IFERROR(MOD(TIMEVALUE(RTD("ice.rtd",,$C458 &amp; $D458 &amp; ":" &amp; M$1)), 1), "")</f>
        <v/>
      </c>
      <c r="N458" s="36" t="str">
        <f>RTD("ice.rtd",,$C458 &amp; $D458 &amp; ":" &amp; N$1)</f>
        <v>Invalid Market: 1581618115B0</v>
      </c>
      <c r="O458" s="36" t="str">
        <f>RTD("ice.rtd",,$C458 &amp; $D458 &amp; ":" &amp; O$1)</f>
        <v>Invalid Market: 1581618115B0</v>
      </c>
      <c r="P4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8" s="14" t="str">
        <f>IF(ICE[[#This Row],[LastType]] = "Scrn", ICE[[#This Row],[LstDate]], IF(ICE[[#This Row],[LastType]] = "Blk", ICE[[#This Row],[LstBlkTime]], ""))</f>
        <v/>
      </c>
      <c r="R458" s="41" t="str">
        <f>IF(ICE[[#This Row],[LastType]] = "Scrn", ICE[[#This Row],[LstPrc]], IF(ICE[[#This Row],[LastType]] = "Blk", ICE[[#This Row],[LstBlkPrc]], ""))</f>
        <v/>
      </c>
      <c r="S458" s="36" t="e">
        <f>ICE[[#This Row],[Vol]]+ICE[[#This Row],[BlkVol]]</f>
        <v>#VALUE!</v>
      </c>
      <c r="T458" s="36" t="str">
        <f>RTD("ice.rtd",,$C458 &amp; $D458 &amp; ":" &amp; T$1)</f>
        <v>Invalid Market: 1581618115B0</v>
      </c>
      <c r="U458" s="18" t="str">
        <f>RTD("ice.rtd",,$C458 &amp; $D458 &amp; ":" &amp; U$1)</f>
        <v>Invalid Market: 1581618115B0</v>
      </c>
      <c r="V4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458" s="18" t="str">
        <f>IFERROR(IF(LEFT(ICE[[#This Row],[Tenor]], 1) = "B", RTD("esrtd",,$B458 &amp; " " &amp; ICE[[#This Row],[Tenor]] &amp; "-IEU", W$1), RTD("esrtd",,$B458 &amp; " " &amp; VLOOKUP(MONTH(ICE[[#This Row],[Strip]]), MthRef[], 2, 0) &amp; RIGHT(YEAR(ICE[[#This Row],[Strip]]), 2) &amp; "-IEU", W$1)), "")</f>
        <v/>
      </c>
      <c r="X458" s="36"/>
    </row>
    <row r="459" spans="1:24" x14ac:dyDescent="0.25">
      <c r="A459" s="37" t="s">
        <v>395</v>
      </c>
      <c r="B459" s="3" t="str">
        <f>RTD("ice.rtd",,$C459 &amp; $D459 &amp; ":" &amp; B$1)</f>
        <v>GDK</v>
      </c>
      <c r="C459" s="3">
        <v>1581618115</v>
      </c>
      <c r="D459" t="s">
        <v>793</v>
      </c>
      <c r="E459" s="3" t="str">
        <f>RTD("ice.rtd",,$C459 &amp; $D459 &amp; ":" &amp; E$1)</f>
        <v>Sep26</v>
      </c>
      <c r="F459" s="3" t="str">
        <f>ICE[[#This Row],[Prod]]&amp;ICE[[#This Row],[Strip]]</f>
        <v>mg92ebobSep26</v>
      </c>
      <c r="G459" s="18" t="str">
        <f>RTD("ice.rtd",,$C459 &amp; $D459 &amp; ":" &amp; G$1)</f>
        <v/>
      </c>
      <c r="H459" s="18" t="str">
        <f>RTD("ice.rtd",,$C459 &amp; $D459 &amp; ":" &amp; H$1)</f>
        <v/>
      </c>
      <c r="I459" s="18" t="str">
        <f>RTD("ice.rtd",,$C459 &amp; $D459 &amp; ":" &amp; I$1)</f>
        <v/>
      </c>
      <c r="J459" s="14" t="str">
        <f>IFERROR(MOD(RTD("ice.rtd",,$C459 &amp; $D459 &amp; ":" &amp; J$1), 1), "")</f>
        <v/>
      </c>
      <c r="K459" s="18" t="str">
        <f>RTD("ice.rtd",,$C459 &amp; $D459 &amp; ":" &amp; K$1)</f>
        <v/>
      </c>
      <c r="L459" s="36" t="str">
        <f>RTD("ice.rtd",,$C459 &amp; $D459 &amp; ":" &amp; L$1)</f>
        <v/>
      </c>
      <c r="M459" s="14" t="str">
        <f>IFERROR(MOD(TIMEVALUE(RTD("ice.rtd",,$C459 &amp; $D459 &amp; ":" &amp; M$1)), 1), "")</f>
        <v/>
      </c>
      <c r="N459" s="36">
        <f>RTD("ice.rtd",,$C459 &amp; $D459 &amp; ":" &amp; N$1)</f>
        <v>0</v>
      </c>
      <c r="O459" s="36">
        <f>RTD("ice.rtd",,$C459 &amp; $D459 &amp; ":" &amp; O$1)</f>
        <v>0</v>
      </c>
      <c r="P4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59" s="14" t="str">
        <f>IF(ICE[[#This Row],[LastType]] = "Scrn", ICE[[#This Row],[LstDate]], IF(ICE[[#This Row],[LastType]] = "Blk", ICE[[#This Row],[LstBlkTime]], ""))</f>
        <v/>
      </c>
      <c r="R459" s="41" t="str">
        <f>IF(ICE[[#This Row],[LastType]] = "Scrn", ICE[[#This Row],[LstPrc]], IF(ICE[[#This Row],[LastType]] = "Blk", ICE[[#This Row],[LstBlkPrc]], ""))</f>
        <v/>
      </c>
      <c r="S459" s="36">
        <f>ICE[[#This Row],[Vol]]+ICE[[#This Row],[BlkVol]]</f>
        <v>0</v>
      </c>
      <c r="T459" s="36">
        <f>RTD("ice.rtd",,$C459 &amp; $D459 &amp; ":" &amp; T$1)</f>
        <v>11276</v>
      </c>
      <c r="U459" s="18">
        <f>RTD("ice.rtd",,$C459 &amp; $D459 &amp; ":" &amp; U$1)</f>
        <v>-21.692</v>
      </c>
      <c r="V4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59" s="18" t="str">
        <f>IFERROR(IF(LEFT(ICE[[#This Row],[Tenor]], 1) = "B", RTD("esrtd",,$B459 &amp; " " &amp; ICE[[#This Row],[Tenor]] &amp; "-IEU", W$1), RTD("esrtd",,$B459 &amp; " " &amp; VLOOKUP(MONTH(ICE[[#This Row],[Strip]]), MthRef[], 2, 0) &amp; RIGHT(YEAR(ICE[[#This Row],[Strip]]), 2) &amp; "-IEU", W$1)), "")</f>
        <v/>
      </c>
      <c r="X459" s="36"/>
    </row>
    <row r="460" spans="1:24" x14ac:dyDescent="0.25">
      <c r="A460" s="37" t="s">
        <v>395</v>
      </c>
      <c r="B460" s="3" t="str">
        <f>RTD("ice.rtd",,$C460 &amp; $D460 &amp; ":" &amp; B$1)</f>
        <v>GDK</v>
      </c>
      <c r="C460" s="3">
        <v>1581618115</v>
      </c>
      <c r="D460" t="s">
        <v>324</v>
      </c>
      <c r="E460" s="3" t="str">
        <f>RTD("ice.rtd",,$C460 &amp; $D460 &amp; ":" &amp; E$1)</f>
        <v>Oct26</v>
      </c>
      <c r="F460" s="3" t="str">
        <f>ICE[[#This Row],[Prod]]&amp;ICE[[#This Row],[Strip]]</f>
        <v>mg92ebobOct26</v>
      </c>
      <c r="G460" s="18">
        <f>RTD("ice.rtd",,$C460 &amp; $D460 &amp; ":" &amp; G$1)</f>
        <v>-8.35</v>
      </c>
      <c r="H460" s="18">
        <f>RTD("ice.rtd",,$C460 &amp; $D460 &amp; ":" &amp; H$1)</f>
        <v>-7.45</v>
      </c>
      <c r="I460" s="18">
        <f>RTD("ice.rtd",,$C460 &amp; $D460 &amp; ":" &amp; I$1)</f>
        <v>-8.9</v>
      </c>
      <c r="J460" s="14">
        <f>IFERROR(MOD(RTD("ice.rtd",,$C460 &amp; $D460 &amp; ":" &amp; J$1), 1), "")</f>
        <v>0.41362616897822591</v>
      </c>
      <c r="K460" s="18">
        <f>RTD("ice.rtd",,$C460 &amp; $D460 &amp; ":" &amp; K$1)</f>
        <v>-8.5</v>
      </c>
      <c r="L460" s="36">
        <f>RTD("ice.rtd",,$C460 &amp; $D460 &amp; ":" &amp; L$1)</f>
        <v>50</v>
      </c>
      <c r="M460" s="14">
        <f>IFERROR(MOD(TIMEVALUE(RTD("ice.rtd",,$C460 &amp; $D460 &amp; ":" &amp; M$1)), 1), "")</f>
        <v>0.43975694444444446</v>
      </c>
      <c r="N460" s="36">
        <f>RTD("ice.rtd",,$C460 &amp; $D460 &amp; ":" &amp; N$1)</f>
        <v>50</v>
      </c>
      <c r="O460" s="36">
        <f>RTD("ice.rtd",,$C460 &amp; $D460 &amp; ":" &amp; O$1)</f>
        <v>295</v>
      </c>
      <c r="P4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60" s="14">
        <f>IF(ICE[[#This Row],[LastType]] = "Scrn", ICE[[#This Row],[LstDate]], IF(ICE[[#This Row],[LastType]] = "Blk", ICE[[#This Row],[LstBlkTime]], ""))</f>
        <v>0.43975694444444446</v>
      </c>
      <c r="R460" s="41">
        <f>IF(ICE[[#This Row],[LastType]] = "Scrn", ICE[[#This Row],[LstPrc]], IF(ICE[[#This Row],[LastType]] = "Blk", ICE[[#This Row],[LstBlkPrc]], ""))</f>
        <v>-8.5</v>
      </c>
      <c r="S460" s="36">
        <f>ICE[[#This Row],[Vol]]+ICE[[#This Row],[BlkVol]]</f>
        <v>345</v>
      </c>
      <c r="T460" s="36">
        <f>RTD("ice.rtd",,$C460 &amp; $D460 &amp; ":" &amp; T$1)</f>
        <v>5055</v>
      </c>
      <c r="U460" s="18">
        <f>RTD("ice.rtd",,$C460 &amp; $D460 &amp; ":" &amp; U$1)</f>
        <v>-10.4</v>
      </c>
      <c r="V4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-8.35 / -7.45 {-8.50} |345x</v>
      </c>
      <c r="W460" s="18" t="str">
        <f>IFERROR(IF(LEFT(ICE[[#This Row],[Tenor]], 1) = "B", RTD("esrtd",,$B460 &amp; " " &amp; ICE[[#This Row],[Tenor]] &amp; "-IEU", W$1), RTD("esrtd",,$B460 &amp; " " &amp; VLOOKUP(MONTH(ICE[[#This Row],[Strip]]), MthRef[], 2, 0) &amp; RIGHT(YEAR(ICE[[#This Row],[Strip]]), 2) &amp; "-IEU", W$1)), "")</f>
        <v/>
      </c>
      <c r="X460" s="36"/>
    </row>
    <row r="461" spans="1:24" x14ac:dyDescent="0.25">
      <c r="A461" s="37" t="s">
        <v>395</v>
      </c>
      <c r="B461" s="3" t="str">
        <f>RTD("ice.rtd",,$C461 &amp; $D461 &amp; ":" &amp; B$1)</f>
        <v>GDK</v>
      </c>
      <c r="C461" s="3">
        <v>1581618115</v>
      </c>
      <c r="D461" t="s">
        <v>325</v>
      </c>
      <c r="E461" s="3" t="str">
        <f>RTD("ice.rtd",,$C461 &amp; $D461 &amp; ":" &amp; E$1)</f>
        <v>Nov26</v>
      </c>
      <c r="F461" s="3" t="str">
        <f>ICE[[#This Row],[Prod]]&amp;ICE[[#This Row],[Strip]]</f>
        <v>mg92ebobNov26</v>
      </c>
      <c r="G461" s="18">
        <f>RTD("ice.rtd",,$C461 &amp; $D461 &amp; ":" &amp; G$1)</f>
        <v>-5.7</v>
      </c>
      <c r="H461" s="18">
        <f>RTD("ice.rtd",,$C461 &amp; $D461 &amp; ":" &amp; H$1)</f>
        <v>-4.8</v>
      </c>
      <c r="I461" s="18" t="str">
        <f>RTD("ice.rtd",,$C461 &amp; $D461 &amp; ":" &amp; I$1)</f>
        <v/>
      </c>
      <c r="J461" s="14" t="str">
        <f>IFERROR(MOD(RTD("ice.rtd",,$C461 &amp; $D461 &amp; ":" &amp; J$1), 1), "")</f>
        <v/>
      </c>
      <c r="K461" s="18">
        <f>RTD("ice.rtd",,$C461 &amp; $D461 &amp; ":" &amp; K$1)</f>
        <v>-5</v>
      </c>
      <c r="L461" s="36">
        <f>RTD("ice.rtd",,$C461 &amp; $D461 &amp; ":" &amp; L$1)</f>
        <v>50</v>
      </c>
      <c r="M461" s="14">
        <f>IFERROR(MOD(TIMEVALUE(RTD("ice.rtd",,$C461 &amp; $D461 &amp; ":" &amp; M$1)), 1), "")</f>
        <v>0.46239583333333334</v>
      </c>
      <c r="N461" s="36">
        <f>RTD("ice.rtd",,$C461 &amp; $D461 &amp; ":" &amp; N$1)</f>
        <v>0</v>
      </c>
      <c r="O461" s="36">
        <f>RTD("ice.rtd",,$C461 &amp; $D461 &amp; ":" &amp; O$1)</f>
        <v>50</v>
      </c>
      <c r="P4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61" s="14">
        <f>IF(ICE[[#This Row],[LastType]] = "Scrn", ICE[[#This Row],[LstDate]], IF(ICE[[#This Row],[LastType]] = "Blk", ICE[[#This Row],[LstBlkTime]], ""))</f>
        <v>0.46239583333333334</v>
      </c>
      <c r="R461" s="41">
        <f>IF(ICE[[#This Row],[LastType]] = "Scrn", ICE[[#This Row],[LstPrc]], IF(ICE[[#This Row],[LastType]] = "Blk", ICE[[#This Row],[LstBlkPrc]], ""))</f>
        <v>-5</v>
      </c>
      <c r="S461" s="36">
        <f>ICE[[#This Row],[Vol]]+ICE[[#This Row],[BlkVol]]</f>
        <v>50</v>
      </c>
      <c r="T461" s="36">
        <f>RTD("ice.rtd",,$C461 &amp; $D461 &amp; ":" &amp; T$1)</f>
        <v>2851</v>
      </c>
      <c r="U461" s="18">
        <f>RTD("ice.rtd",,$C461 &amp; $D461 &amp; ":" &amp; U$1)</f>
        <v>-6.3660000000000005</v>
      </c>
      <c r="V4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-5.70 / -4.80 {-5.00} |50x</v>
      </c>
      <c r="W461" s="18" t="str">
        <f>IFERROR(IF(LEFT(ICE[[#This Row],[Tenor]], 1) = "B", RTD("esrtd",,$B461 &amp; " " &amp; ICE[[#This Row],[Tenor]] &amp; "-IEU", W$1), RTD("esrtd",,$B461 &amp; " " &amp; VLOOKUP(MONTH(ICE[[#This Row],[Strip]]), MthRef[], 2, 0) &amp; RIGHT(YEAR(ICE[[#This Row],[Strip]]), 2) &amp; "-IEU", W$1)), "")</f>
        <v/>
      </c>
      <c r="X461" s="36"/>
    </row>
    <row r="462" spans="1:24" x14ac:dyDescent="0.25">
      <c r="A462" s="37" t="s">
        <v>395</v>
      </c>
      <c r="B462" s="3" t="str">
        <f>RTD("ice.rtd",,$C462 &amp; $D462 &amp; ":" &amp; B$1)</f>
        <v>GDK</v>
      </c>
      <c r="C462" s="3">
        <v>1581618115</v>
      </c>
      <c r="D462" t="s">
        <v>326</v>
      </c>
      <c r="E462" s="3" t="str">
        <f>RTD("ice.rtd",,$C462 &amp; $D462 &amp; ":" &amp; E$1)</f>
        <v>Dec26</v>
      </c>
      <c r="F462" s="3" t="str">
        <f>ICE[[#This Row],[Prod]]&amp;ICE[[#This Row],[Strip]]</f>
        <v>mg92ebobDec26</v>
      </c>
      <c r="G462" s="18">
        <f>RTD("ice.rtd",,$C462 &amp; $D462 &amp; ":" &amp; G$1)</f>
        <v>-3.7</v>
      </c>
      <c r="H462" s="18">
        <f>RTD("ice.rtd",,$C462 &amp; $D462 &amp; ":" &amp; H$1)</f>
        <v>-2.8</v>
      </c>
      <c r="I462" s="18" t="str">
        <f>RTD("ice.rtd",,$C462 &amp; $D462 &amp; ":" &amp; I$1)</f>
        <v/>
      </c>
      <c r="J462" s="14" t="str">
        <f>IFERROR(MOD(RTD("ice.rtd",,$C462 &amp; $D462 &amp; ":" &amp; J$1), 1), "")</f>
        <v/>
      </c>
      <c r="K462" s="18">
        <f>RTD("ice.rtd",,$C462 &amp; $D462 &amp; ":" &amp; K$1)</f>
        <v>-3.5</v>
      </c>
      <c r="L462" s="36">
        <f>RTD("ice.rtd",,$C462 &amp; $D462 &amp; ":" &amp; L$1)</f>
        <v>25</v>
      </c>
      <c r="M462" s="14">
        <f>IFERROR(MOD(TIMEVALUE(RTD("ice.rtd",,$C462 &amp; $D462 &amp; ":" &amp; M$1)), 1), "")</f>
        <v>0.39511574074074074</v>
      </c>
      <c r="N462" s="36">
        <f>RTD("ice.rtd",,$C462 &amp; $D462 &amp; ":" &amp; N$1)</f>
        <v>0</v>
      </c>
      <c r="O462" s="36">
        <f>RTD("ice.rtd",,$C462 &amp; $D462 &amp; ":" &amp; O$1)</f>
        <v>265</v>
      </c>
      <c r="P4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62" s="14">
        <f>IF(ICE[[#This Row],[LastType]] = "Scrn", ICE[[#This Row],[LstDate]], IF(ICE[[#This Row],[LastType]] = "Blk", ICE[[#This Row],[LstBlkTime]], ""))</f>
        <v>0.39511574074074074</v>
      </c>
      <c r="R462" s="41">
        <f>IF(ICE[[#This Row],[LastType]] = "Scrn", ICE[[#This Row],[LstPrc]], IF(ICE[[#This Row],[LastType]] = "Blk", ICE[[#This Row],[LstBlkPrc]], ""))</f>
        <v>-3.5</v>
      </c>
      <c r="S462" s="36">
        <f>ICE[[#This Row],[Vol]]+ICE[[#This Row],[BlkVol]]</f>
        <v>265</v>
      </c>
      <c r="T462" s="36">
        <f>RTD("ice.rtd",,$C462 &amp; $D462 &amp; ":" &amp; T$1)</f>
        <v>4771</v>
      </c>
      <c r="U462" s="18">
        <f>RTD("ice.rtd",,$C462 &amp; $D462 &amp; ":" &amp; U$1)</f>
        <v>-4.0940000000000003</v>
      </c>
      <c r="V4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-3.70 / -2.80 {-3.50} |265x</v>
      </c>
      <c r="W462" s="18" t="str">
        <f>IFERROR(IF(LEFT(ICE[[#This Row],[Tenor]], 1) = "B", RTD("esrtd",,$B462 &amp; " " &amp; ICE[[#This Row],[Tenor]] &amp; "-IEU", W$1), RTD("esrtd",,$B462 &amp; " " &amp; VLOOKUP(MONTH(ICE[[#This Row],[Strip]]), MthRef[], 2, 0) &amp; RIGHT(YEAR(ICE[[#This Row],[Strip]]), 2) &amp; "-IEU", W$1)), "")</f>
        <v/>
      </c>
      <c r="X462" s="36"/>
    </row>
    <row r="463" spans="1:24" x14ac:dyDescent="0.25">
      <c r="A463" s="37" t="s">
        <v>395</v>
      </c>
      <c r="B463" s="3" t="str">
        <f>RTD("ice.rtd",,$C463 &amp; $D463 &amp; ":" &amp; B$1)</f>
        <v>GDK</v>
      </c>
      <c r="C463" s="3">
        <v>1581618115</v>
      </c>
      <c r="D463" t="s">
        <v>794</v>
      </c>
      <c r="E463" s="3" t="str">
        <f>RTD("ice.rtd",,$C463 &amp; $D463 &amp; ":" &amp; E$1)</f>
        <v>Jan27</v>
      </c>
      <c r="F463" s="3" t="str">
        <f>ICE[[#This Row],[Prod]]&amp;ICE[[#This Row],[Strip]]</f>
        <v>mg92ebobJan27</v>
      </c>
      <c r="G463" s="18">
        <f>RTD("ice.rtd",,$C463 &amp; $D463 &amp; ":" &amp; G$1)</f>
        <v>-4.3</v>
      </c>
      <c r="H463" s="18">
        <f>RTD("ice.rtd",,$C463 &amp; $D463 &amp; ":" &amp; H$1)</f>
        <v>-3.1</v>
      </c>
      <c r="I463" s="18" t="str">
        <f>RTD("ice.rtd",,$C463 &amp; $D463 &amp; ":" &amp; I$1)</f>
        <v/>
      </c>
      <c r="J463" s="14" t="str">
        <f>IFERROR(MOD(RTD("ice.rtd",,$C463 &amp; $D463 &amp; ":" &amp; J$1), 1), "")</f>
        <v/>
      </c>
      <c r="K463" s="18">
        <f>RTD("ice.rtd",,$C463 &amp; $D463 &amp; ":" &amp; K$1)</f>
        <v>-2.8</v>
      </c>
      <c r="L463" s="36">
        <f>RTD("ice.rtd",,$C463 &amp; $D463 &amp; ":" &amp; L$1)</f>
        <v>215</v>
      </c>
      <c r="M463" s="14">
        <f>IFERROR(MOD(TIMEVALUE(RTD("ice.rtd",,$C463 &amp; $D463 &amp; ":" &amp; M$1)), 1), "")</f>
        <v>0.34609953703703705</v>
      </c>
      <c r="N463" s="36">
        <f>RTD("ice.rtd",,$C463 &amp; $D463 &amp; ":" &amp; N$1)</f>
        <v>0</v>
      </c>
      <c r="O463" s="36">
        <f>RTD("ice.rtd",,$C463 &amp; $D463 &amp; ":" &amp; O$1)</f>
        <v>215</v>
      </c>
      <c r="P4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63" s="14">
        <f>IF(ICE[[#This Row],[LastType]] = "Scrn", ICE[[#This Row],[LstDate]], IF(ICE[[#This Row],[LastType]] = "Blk", ICE[[#This Row],[LstBlkTime]], ""))</f>
        <v>0.34609953703703705</v>
      </c>
      <c r="R463" s="41">
        <f>IF(ICE[[#This Row],[LastType]] = "Scrn", ICE[[#This Row],[LstPrc]], IF(ICE[[#This Row],[LastType]] = "Blk", ICE[[#This Row],[LstBlkPrc]], ""))</f>
        <v>-2.8</v>
      </c>
      <c r="S463" s="36">
        <f>ICE[[#This Row],[Vol]]+ICE[[#This Row],[BlkVol]]</f>
        <v>215</v>
      </c>
      <c r="T463" s="36">
        <f>RTD("ice.rtd",,$C463 &amp; $D463 &amp; ":" &amp; T$1)</f>
        <v>2414</v>
      </c>
      <c r="U463" s="18">
        <f>RTD("ice.rtd",,$C463 &amp; $D463 &amp; ":" &amp; U$1)</f>
        <v>-3.9630000000000001</v>
      </c>
      <c r="V4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-4.30 / -3.10 {-2.80} |215x</v>
      </c>
      <c r="W463" s="18" t="str">
        <f>IFERROR(IF(LEFT(ICE[[#This Row],[Tenor]], 1) = "B", RTD("esrtd",,$B463 &amp; " " &amp; ICE[[#This Row],[Tenor]] &amp; "-IEU", W$1), RTD("esrtd",,$B463 &amp; " " &amp; VLOOKUP(MONTH(ICE[[#This Row],[Strip]]), MthRef[], 2, 0) &amp; RIGHT(YEAR(ICE[[#This Row],[Strip]]), 2) &amp; "-IEU", W$1)), "")</f>
        <v/>
      </c>
      <c r="X463" s="36"/>
    </row>
    <row r="464" spans="1:24" x14ac:dyDescent="0.25">
      <c r="A464" s="37" t="s">
        <v>395</v>
      </c>
      <c r="B464" s="3" t="str">
        <f>RTD("ice.rtd",,$C464 &amp; $D464 &amp; ":" &amp; B$1)</f>
        <v>GDK</v>
      </c>
      <c r="C464" s="3">
        <v>1581618115</v>
      </c>
      <c r="D464" t="s">
        <v>795</v>
      </c>
      <c r="E464" s="3" t="str">
        <f>RTD("ice.rtd",,$C464 &amp; $D464 &amp; ":" &amp; E$1)</f>
        <v>Feb27</v>
      </c>
      <c r="F464" s="3" t="str">
        <f>ICE[[#This Row],[Prod]]&amp;ICE[[#This Row],[Strip]]</f>
        <v>mg92ebobFeb27</v>
      </c>
      <c r="G464" s="18">
        <f>RTD("ice.rtd",,$C464 &amp; $D464 &amp; ":" &amp; G$1)</f>
        <v>-4.8499999999999996</v>
      </c>
      <c r="H464" s="18">
        <f>RTD("ice.rtd",,$C464 &amp; $D464 &amp; ":" &amp; H$1)</f>
        <v>-3.65</v>
      </c>
      <c r="I464" s="18" t="str">
        <f>RTD("ice.rtd",,$C464 &amp; $D464 &amp; ":" &amp; I$1)</f>
        <v/>
      </c>
      <c r="J464" s="14" t="str">
        <f>IFERROR(MOD(RTD("ice.rtd",,$C464 &amp; $D464 &amp; ":" &amp; J$1), 1), "")</f>
        <v/>
      </c>
      <c r="K464" s="18" t="str">
        <f>RTD("ice.rtd",,$C464 &amp; $D464 &amp; ":" &amp; K$1)</f>
        <v/>
      </c>
      <c r="L464" s="36" t="str">
        <f>RTD("ice.rtd",,$C464 &amp; $D464 &amp; ":" &amp; L$1)</f>
        <v/>
      </c>
      <c r="M464" s="14" t="str">
        <f>IFERROR(MOD(TIMEVALUE(RTD("ice.rtd",,$C464 &amp; $D464 &amp; ":" &amp; M$1)), 1), "")</f>
        <v/>
      </c>
      <c r="N464" s="36">
        <f>RTD("ice.rtd",,$C464 &amp; $D464 &amp; ":" &amp; N$1)</f>
        <v>0</v>
      </c>
      <c r="O464" s="36">
        <f>RTD("ice.rtd",,$C464 &amp; $D464 &amp; ":" &amp; O$1)</f>
        <v>0</v>
      </c>
      <c r="P4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64" s="14" t="str">
        <f>IF(ICE[[#This Row],[LastType]] = "Scrn", ICE[[#This Row],[LstDate]], IF(ICE[[#This Row],[LastType]] = "Blk", ICE[[#This Row],[LstBlkTime]], ""))</f>
        <v/>
      </c>
      <c r="R464" s="41" t="str">
        <f>IF(ICE[[#This Row],[LastType]] = "Scrn", ICE[[#This Row],[LstPrc]], IF(ICE[[#This Row],[LastType]] = "Blk", ICE[[#This Row],[LstBlkPrc]], ""))</f>
        <v/>
      </c>
      <c r="S464" s="36">
        <f>ICE[[#This Row],[Vol]]+ICE[[#This Row],[BlkVol]]</f>
        <v>0</v>
      </c>
      <c r="T464" s="36">
        <f>RTD("ice.rtd",,$C464 &amp; $D464 &amp; ":" &amp; T$1)</f>
        <v>2507</v>
      </c>
      <c r="U464" s="18">
        <f>RTD("ice.rtd",,$C464 &amp; $D464 &amp; ":" &amp; U$1)</f>
        <v>-4.2330000000000005</v>
      </c>
      <c r="V4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-4.85 / -3.65 </v>
      </c>
      <c r="W464" s="18" t="str">
        <f>IFERROR(IF(LEFT(ICE[[#This Row],[Tenor]], 1) = "B", RTD("esrtd",,$B464 &amp; " " &amp; ICE[[#This Row],[Tenor]] &amp; "-IEU", W$1), RTD("esrtd",,$B464 &amp; " " &amp; VLOOKUP(MONTH(ICE[[#This Row],[Strip]]), MthRef[], 2, 0) &amp; RIGHT(YEAR(ICE[[#This Row],[Strip]]), 2) &amp; "-IEU", W$1)), "")</f>
        <v/>
      </c>
      <c r="X464" s="36"/>
    </row>
    <row r="465" spans="1:24" x14ac:dyDescent="0.25">
      <c r="A465" s="37" t="s">
        <v>395</v>
      </c>
      <c r="B465" s="3" t="str">
        <f>RTD("ice.rtd",,$C465 &amp; $D465 &amp; ":" &amp; B$1)</f>
        <v>GDK</v>
      </c>
      <c r="C465" s="3">
        <v>1581618115</v>
      </c>
      <c r="D465" t="s">
        <v>113</v>
      </c>
      <c r="E465" s="3" t="str">
        <f>RTD("ice.rtd",,$C465 &amp; $D465 &amp; ":" &amp; E$1)</f>
        <v>Mar27</v>
      </c>
      <c r="F465" s="3" t="str">
        <f>ICE[[#This Row],[Prod]]&amp;ICE[[#This Row],[Strip]]</f>
        <v>mg92ebobMar27</v>
      </c>
      <c r="G465" s="18">
        <f>RTD("ice.rtd",,$C465 &amp; $D465 &amp; ":" &amp; G$1)</f>
        <v>-5.55</v>
      </c>
      <c r="H465" s="18">
        <f>RTD("ice.rtd",,$C465 &amp; $D465 &amp; ":" &amp; H$1)</f>
        <v>-4.3499999999999996</v>
      </c>
      <c r="I465" s="18" t="str">
        <f>RTD("ice.rtd",,$C465 &amp; $D465 &amp; ":" &amp; I$1)</f>
        <v/>
      </c>
      <c r="J465" s="14" t="str">
        <f>IFERROR(MOD(RTD("ice.rtd",,$C465 &amp; $D465 &amp; ":" &amp; J$1), 1), "")</f>
        <v/>
      </c>
      <c r="K465" s="18" t="str">
        <f>RTD("ice.rtd",,$C465 &amp; $D465 &amp; ":" &amp; K$1)</f>
        <v/>
      </c>
      <c r="L465" s="36" t="str">
        <f>RTD("ice.rtd",,$C465 &amp; $D465 &amp; ":" &amp; L$1)</f>
        <v/>
      </c>
      <c r="M465" s="14" t="str">
        <f>IFERROR(MOD(TIMEVALUE(RTD("ice.rtd",,$C465 &amp; $D465 &amp; ":" &amp; M$1)), 1), "")</f>
        <v/>
      </c>
      <c r="N465" s="36">
        <f>RTD("ice.rtd",,$C465 &amp; $D465 &amp; ":" &amp; N$1)</f>
        <v>0</v>
      </c>
      <c r="O465" s="36">
        <f>RTD("ice.rtd",,$C465 &amp; $D465 &amp; ":" &amp; O$1)</f>
        <v>0</v>
      </c>
      <c r="P4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65" s="14" t="str">
        <f>IF(ICE[[#This Row],[LastType]] = "Scrn", ICE[[#This Row],[LstDate]], IF(ICE[[#This Row],[LastType]] = "Blk", ICE[[#This Row],[LstBlkTime]], ""))</f>
        <v/>
      </c>
      <c r="R465" s="41" t="str">
        <f>IF(ICE[[#This Row],[LastType]] = "Scrn", ICE[[#This Row],[LstPrc]], IF(ICE[[#This Row],[LastType]] = "Blk", ICE[[#This Row],[LstBlkPrc]], ""))</f>
        <v/>
      </c>
      <c r="S465" s="36">
        <f>ICE[[#This Row],[Vol]]+ICE[[#This Row],[BlkVol]]</f>
        <v>0</v>
      </c>
      <c r="T465" s="36">
        <f>RTD("ice.rtd",,$C465 &amp; $D465 &amp; ":" &amp; T$1)</f>
        <v>1226</v>
      </c>
      <c r="U465" s="18">
        <f>RTD("ice.rtd",,$C465 &amp; $D465 &amp; ":" &amp; U$1)</f>
        <v>-4.8920000000000003</v>
      </c>
      <c r="V4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-5.55 / -4.35 </v>
      </c>
      <c r="W465" s="18" t="str">
        <f>IFERROR(IF(LEFT(ICE[[#This Row],[Tenor]], 1) = "B", RTD("esrtd",,$B465 &amp; " " &amp; ICE[[#This Row],[Tenor]] &amp; "-IEU", W$1), RTD("esrtd",,$B465 &amp; " " &amp; VLOOKUP(MONTH(ICE[[#This Row],[Strip]]), MthRef[], 2, 0) &amp; RIGHT(YEAR(ICE[[#This Row],[Strip]]), 2) &amp; "-IEU", W$1)), "")</f>
        <v/>
      </c>
      <c r="X465" s="36"/>
    </row>
    <row r="466" spans="1:24" x14ac:dyDescent="0.25">
      <c r="A466" s="37" t="s">
        <v>395</v>
      </c>
      <c r="B466" s="3" t="str">
        <f>RTD("ice.rtd",,$C466 &amp; $D466 &amp; ":" &amp; B$1)</f>
        <v>GDK</v>
      </c>
      <c r="C466" s="3">
        <v>1581618115</v>
      </c>
      <c r="D466" t="s">
        <v>796</v>
      </c>
      <c r="E466" s="3" t="str">
        <f>RTD("ice.rtd",,$C466 &amp; $D466 &amp; ":" &amp; E$1)</f>
        <v>Apr27</v>
      </c>
      <c r="F466" s="3" t="str">
        <f>ICE[[#This Row],[Prod]]&amp;ICE[[#This Row],[Strip]]</f>
        <v>mg92ebobApr27</v>
      </c>
      <c r="G466" s="18">
        <f>RTD("ice.rtd",,$C466 &amp; $D466 &amp; ":" &amp; G$1)</f>
        <v>-10.95</v>
      </c>
      <c r="H466" s="18">
        <f>RTD("ice.rtd",,$C466 &amp; $D466 &amp; ":" &amp; H$1)</f>
        <v>-8.25</v>
      </c>
      <c r="I466" s="18" t="str">
        <f>RTD("ice.rtd",,$C466 &amp; $D466 &amp; ":" &amp; I$1)</f>
        <v/>
      </c>
      <c r="J466" s="14" t="str">
        <f>IFERROR(MOD(RTD("ice.rtd",,$C466 &amp; $D466 &amp; ":" &amp; J$1), 1), "")</f>
        <v/>
      </c>
      <c r="K466" s="18" t="str">
        <f>RTD("ice.rtd",,$C466 &amp; $D466 &amp; ":" &amp; K$1)</f>
        <v/>
      </c>
      <c r="L466" s="36" t="str">
        <f>RTD("ice.rtd",,$C466 &amp; $D466 &amp; ":" &amp; L$1)</f>
        <v/>
      </c>
      <c r="M466" s="14" t="str">
        <f>IFERROR(MOD(TIMEVALUE(RTD("ice.rtd",,$C466 &amp; $D466 &amp; ":" &amp; M$1)), 1), "")</f>
        <v/>
      </c>
      <c r="N466" s="36">
        <f>RTD("ice.rtd",,$C466 &amp; $D466 &amp; ":" &amp; N$1)</f>
        <v>0</v>
      </c>
      <c r="O466" s="36">
        <f>RTD("ice.rtd",,$C466 &amp; $D466 &amp; ":" &amp; O$1)</f>
        <v>0</v>
      </c>
      <c r="P4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66" s="14" t="str">
        <f>IF(ICE[[#This Row],[LastType]] = "Scrn", ICE[[#This Row],[LstDate]], IF(ICE[[#This Row],[LastType]] = "Blk", ICE[[#This Row],[LstBlkTime]], ""))</f>
        <v/>
      </c>
      <c r="R466" s="41" t="str">
        <f>IF(ICE[[#This Row],[LastType]] = "Scrn", ICE[[#This Row],[LstPrc]], IF(ICE[[#This Row],[LastType]] = "Blk", ICE[[#This Row],[LstBlkPrc]], ""))</f>
        <v/>
      </c>
      <c r="S466" s="36">
        <f>ICE[[#This Row],[Vol]]+ICE[[#This Row],[BlkVol]]</f>
        <v>0</v>
      </c>
      <c r="T466" s="36">
        <f>RTD("ice.rtd",,$C466 &amp; $D466 &amp; ":" &amp; T$1)</f>
        <v>836</v>
      </c>
      <c r="U466" s="18">
        <f>RTD("ice.rtd",,$C466 &amp; $D466 &amp; ":" &amp; U$1)</f>
        <v>-9.3840000000000003</v>
      </c>
      <c r="V4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-10.95 / -8.25 </v>
      </c>
      <c r="W466" s="18" t="str">
        <f>IFERROR(IF(LEFT(ICE[[#This Row],[Tenor]], 1) = "B", RTD("esrtd",,$B466 &amp; " " &amp; ICE[[#This Row],[Tenor]] &amp; "-IEU", W$1), RTD("esrtd",,$B466 &amp; " " &amp; VLOOKUP(MONTH(ICE[[#This Row],[Strip]]), MthRef[], 2, 0) &amp; RIGHT(YEAR(ICE[[#This Row],[Strip]]), 2) &amp; "-IEU", W$1)), "")</f>
        <v/>
      </c>
      <c r="X466" s="36"/>
    </row>
    <row r="467" spans="1:24" x14ac:dyDescent="0.25">
      <c r="A467" s="37" t="s">
        <v>395</v>
      </c>
      <c r="B467" s="3" t="str">
        <f>RTD("ice.rtd",,$C467 &amp; $D467 &amp; ":" &amp; B$1)</f>
        <v>GDK</v>
      </c>
      <c r="C467" s="3">
        <v>1581618115</v>
      </c>
      <c r="D467" t="s">
        <v>797</v>
      </c>
      <c r="E467" s="3" t="str">
        <f>RTD("ice.rtd",,$C467 &amp; $D467 &amp; ":" &amp; E$1)</f>
        <v>May27</v>
      </c>
      <c r="F467" s="3" t="str">
        <f>ICE[[#This Row],[Prod]]&amp;ICE[[#This Row],[Strip]]</f>
        <v>mg92ebobMay27</v>
      </c>
      <c r="G467" s="18">
        <f>RTD("ice.rtd",,$C467 &amp; $D467 &amp; ":" &amp; G$1)</f>
        <v>-10.4</v>
      </c>
      <c r="H467" s="18">
        <f>RTD("ice.rtd",,$C467 &amp; $D467 &amp; ":" &amp; H$1)</f>
        <v>-9.1999999999999993</v>
      </c>
      <c r="I467" s="18" t="str">
        <f>RTD("ice.rtd",,$C467 &amp; $D467 &amp; ":" &amp; I$1)</f>
        <v/>
      </c>
      <c r="J467" s="14" t="str">
        <f>IFERROR(MOD(RTD("ice.rtd",,$C467 &amp; $D467 &amp; ":" &amp; J$1), 1), "")</f>
        <v/>
      </c>
      <c r="K467" s="18" t="str">
        <f>RTD("ice.rtd",,$C467 &amp; $D467 &amp; ":" &amp; K$1)</f>
        <v/>
      </c>
      <c r="L467" s="36" t="str">
        <f>RTD("ice.rtd",,$C467 &amp; $D467 &amp; ":" &amp; L$1)</f>
        <v/>
      </c>
      <c r="M467" s="14" t="str">
        <f>IFERROR(MOD(TIMEVALUE(RTD("ice.rtd",,$C467 &amp; $D467 &amp; ":" &amp; M$1)), 1), "")</f>
        <v/>
      </c>
      <c r="N467" s="36">
        <f>RTD("ice.rtd",,$C467 &amp; $D467 &amp; ":" &amp; N$1)</f>
        <v>0</v>
      </c>
      <c r="O467" s="36">
        <f>RTD("ice.rtd",,$C467 &amp; $D467 &amp; ":" &amp; O$1)</f>
        <v>0</v>
      </c>
      <c r="P4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67" s="14" t="str">
        <f>IF(ICE[[#This Row],[LastType]] = "Scrn", ICE[[#This Row],[LstDate]], IF(ICE[[#This Row],[LastType]] = "Blk", ICE[[#This Row],[LstBlkTime]], ""))</f>
        <v/>
      </c>
      <c r="R467" s="41" t="str">
        <f>IF(ICE[[#This Row],[LastType]] = "Scrn", ICE[[#This Row],[LstPrc]], IF(ICE[[#This Row],[LastType]] = "Blk", ICE[[#This Row],[LstBlkPrc]], ""))</f>
        <v/>
      </c>
      <c r="S467" s="36">
        <f>ICE[[#This Row],[Vol]]+ICE[[#This Row],[BlkVol]]</f>
        <v>0</v>
      </c>
      <c r="T467" s="36">
        <f>RTD("ice.rtd",,$C467 &amp; $D467 &amp; ":" &amp; T$1)</f>
        <v>436</v>
      </c>
      <c r="U467" s="18">
        <f>RTD("ice.rtd",,$C467 &amp; $D467 &amp; ":" &amp; U$1)</f>
        <v>-9.4429999999999996</v>
      </c>
      <c r="V4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-10.40 / -9.20 </v>
      </c>
      <c r="W467" s="18" t="str">
        <f>IFERROR(IF(LEFT(ICE[[#This Row],[Tenor]], 1) = "B", RTD("esrtd",,$B467 &amp; " " &amp; ICE[[#This Row],[Tenor]] &amp; "-IEU", W$1), RTD("esrtd",,$B467 &amp; " " &amp; VLOOKUP(MONTH(ICE[[#This Row],[Strip]]), MthRef[], 2, 0) &amp; RIGHT(YEAR(ICE[[#This Row],[Strip]]), 2) &amp; "-IEU", W$1)), "")</f>
        <v/>
      </c>
      <c r="X467" s="36"/>
    </row>
    <row r="468" spans="1:24" x14ac:dyDescent="0.25">
      <c r="A468" s="37" t="s">
        <v>395</v>
      </c>
      <c r="B468" s="3" t="str">
        <f>RTD("ice.rtd",,$C468 &amp; $D468 &amp; ":" &amp; B$1)</f>
        <v>GDK</v>
      </c>
      <c r="C468" s="3">
        <v>1581618115</v>
      </c>
      <c r="D468" t="s">
        <v>798</v>
      </c>
      <c r="E468" s="3" t="str">
        <f>RTD("ice.rtd",,$C468 &amp; $D468 &amp; ":" &amp; E$1)</f>
        <v>Jun27</v>
      </c>
      <c r="F468" s="3" t="str">
        <f>ICE[[#This Row],[Prod]]&amp;ICE[[#This Row],[Strip]]</f>
        <v>mg92ebobJun27</v>
      </c>
      <c r="G468" s="18">
        <f>RTD("ice.rtd",,$C468 &amp; $D468 &amp; ":" &amp; G$1)</f>
        <v>-10.25</v>
      </c>
      <c r="H468" s="18">
        <f>RTD("ice.rtd",,$C468 &amp; $D468 &amp; ":" &amp; H$1)</f>
        <v>-9.0500000000000007</v>
      </c>
      <c r="I468" s="18" t="str">
        <f>RTD("ice.rtd",,$C468 &amp; $D468 &amp; ":" &amp; I$1)</f>
        <v/>
      </c>
      <c r="J468" s="14" t="str">
        <f>IFERROR(MOD(RTD("ice.rtd",,$C468 &amp; $D468 &amp; ":" &amp; J$1), 1), "")</f>
        <v/>
      </c>
      <c r="K468" s="18" t="str">
        <f>RTD("ice.rtd",,$C468 &amp; $D468 &amp; ":" &amp; K$1)</f>
        <v/>
      </c>
      <c r="L468" s="36" t="str">
        <f>RTD("ice.rtd",,$C468 &amp; $D468 &amp; ":" &amp; L$1)</f>
        <v/>
      </c>
      <c r="M468" s="14" t="str">
        <f>IFERROR(MOD(TIMEVALUE(RTD("ice.rtd",,$C468 &amp; $D468 &amp; ":" &amp; M$1)), 1), "")</f>
        <v/>
      </c>
      <c r="N468" s="36">
        <f>RTD("ice.rtd",,$C468 &amp; $D468 &amp; ":" &amp; N$1)</f>
        <v>0</v>
      </c>
      <c r="O468" s="36">
        <f>RTD("ice.rtd",,$C468 &amp; $D468 &amp; ":" &amp; O$1)</f>
        <v>0</v>
      </c>
      <c r="P4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68" s="14" t="str">
        <f>IF(ICE[[#This Row],[LastType]] = "Scrn", ICE[[#This Row],[LstDate]], IF(ICE[[#This Row],[LastType]] = "Blk", ICE[[#This Row],[LstBlkTime]], ""))</f>
        <v/>
      </c>
      <c r="R468" s="41" t="str">
        <f>IF(ICE[[#This Row],[LastType]] = "Scrn", ICE[[#This Row],[LstPrc]], IF(ICE[[#This Row],[LastType]] = "Blk", ICE[[#This Row],[LstBlkPrc]], ""))</f>
        <v/>
      </c>
      <c r="S468" s="36">
        <f>ICE[[#This Row],[Vol]]+ICE[[#This Row],[BlkVol]]</f>
        <v>0</v>
      </c>
      <c r="T468" s="36">
        <f>RTD("ice.rtd",,$C468 &amp; $D468 &amp; ":" &amp; T$1)</f>
        <v>436</v>
      </c>
      <c r="U468" s="18">
        <f>RTD("ice.rtd",,$C468 &amp; $D468 &amp; ":" &amp; U$1)</f>
        <v>-9.1029999999999998</v>
      </c>
      <c r="V4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-10.25 / -9.05 </v>
      </c>
      <c r="W468" s="18" t="str">
        <f>IFERROR(IF(LEFT(ICE[[#This Row],[Tenor]], 1) = "B", RTD("esrtd",,$B468 &amp; " " &amp; ICE[[#This Row],[Tenor]] &amp; "-IEU", W$1), RTD("esrtd",,$B468 &amp; " " &amp; VLOOKUP(MONTH(ICE[[#This Row],[Strip]]), MthRef[], 2, 0) &amp; RIGHT(YEAR(ICE[[#This Row],[Strip]]), 2) &amp; "-IEU", W$1)), "")</f>
        <v/>
      </c>
      <c r="X468" s="36"/>
    </row>
    <row r="469" spans="1:24" x14ac:dyDescent="0.25">
      <c r="A469" s="37" t="s">
        <v>395</v>
      </c>
      <c r="B469" s="3" t="str">
        <f>RTD("ice.rtd",,$C469 &amp; $D469 &amp; ":" &amp; B$1)</f>
        <v>GDK</v>
      </c>
      <c r="C469" s="3">
        <v>1581618115</v>
      </c>
      <c r="D469" t="s">
        <v>799</v>
      </c>
      <c r="E469" s="3" t="str">
        <f>RTD("ice.rtd",,$C469 &amp; $D469 &amp; ":" &amp; E$1)</f>
        <v>Jul27</v>
      </c>
      <c r="F469" s="3" t="str">
        <f>ICE[[#This Row],[Prod]]&amp;ICE[[#This Row],[Strip]]</f>
        <v>mg92ebobJul27</v>
      </c>
      <c r="G469" s="18">
        <f>RTD("ice.rtd",,$C469 &amp; $D469 &amp; ":" &amp; G$1)</f>
        <v>-9.75</v>
      </c>
      <c r="H469" s="18">
        <f>RTD("ice.rtd",,$C469 &amp; $D469 &amp; ":" &amp; H$1)</f>
        <v>-8.5500000000000007</v>
      </c>
      <c r="I469" s="18" t="str">
        <f>RTD("ice.rtd",,$C469 &amp; $D469 &amp; ":" &amp; I$1)</f>
        <v/>
      </c>
      <c r="J469" s="14" t="str">
        <f>IFERROR(MOD(RTD("ice.rtd",,$C469 &amp; $D469 &amp; ":" &amp; J$1), 1), "")</f>
        <v/>
      </c>
      <c r="K469" s="18" t="str">
        <f>RTD("ice.rtd",,$C469 &amp; $D469 &amp; ":" &amp; K$1)</f>
        <v/>
      </c>
      <c r="L469" s="36" t="str">
        <f>RTD("ice.rtd",,$C469 &amp; $D469 &amp; ":" &amp; L$1)</f>
        <v/>
      </c>
      <c r="M469" s="14" t="str">
        <f>IFERROR(MOD(TIMEVALUE(RTD("ice.rtd",,$C469 &amp; $D469 &amp; ":" &amp; M$1)), 1), "")</f>
        <v/>
      </c>
      <c r="N469" s="36">
        <f>RTD("ice.rtd",,$C469 &amp; $D469 &amp; ":" &amp; N$1)</f>
        <v>0</v>
      </c>
      <c r="O469" s="36">
        <f>RTD("ice.rtd",,$C469 &amp; $D469 &amp; ":" &amp; O$1)</f>
        <v>0</v>
      </c>
      <c r="P4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69" s="14" t="str">
        <f>IF(ICE[[#This Row],[LastType]] = "Scrn", ICE[[#This Row],[LstDate]], IF(ICE[[#This Row],[LastType]] = "Blk", ICE[[#This Row],[LstBlkTime]], ""))</f>
        <v/>
      </c>
      <c r="R469" s="41" t="str">
        <f>IF(ICE[[#This Row],[LastType]] = "Scrn", ICE[[#This Row],[LstPrc]], IF(ICE[[#This Row],[LastType]] = "Blk", ICE[[#This Row],[LstBlkPrc]], ""))</f>
        <v/>
      </c>
      <c r="S469" s="36">
        <f>ICE[[#This Row],[Vol]]+ICE[[#This Row],[BlkVol]]</f>
        <v>0</v>
      </c>
      <c r="T469" s="36">
        <f>RTD("ice.rtd",,$C469 &amp; $D469 &amp; ":" &amp; T$1)</f>
        <v>412</v>
      </c>
      <c r="U469" s="18">
        <f>RTD("ice.rtd",,$C469 &amp; $D469 &amp; ":" &amp; U$1)</f>
        <v>-8.6020000000000003</v>
      </c>
      <c r="V4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-9.75 / -8.55 </v>
      </c>
      <c r="W469" s="18" t="str">
        <f>IFERROR(IF(LEFT(ICE[[#This Row],[Tenor]], 1) = "B", RTD("esrtd",,$B469 &amp; " " &amp; ICE[[#This Row],[Tenor]] &amp; "-IEU", W$1), RTD("esrtd",,$B469 &amp; " " &amp; VLOOKUP(MONTH(ICE[[#This Row],[Strip]]), MthRef[], 2, 0) &amp; RIGHT(YEAR(ICE[[#This Row],[Strip]]), 2) &amp; "-IEU", W$1)), "")</f>
        <v/>
      </c>
      <c r="X469" s="36"/>
    </row>
    <row r="470" spans="1:24" x14ac:dyDescent="0.25">
      <c r="A470" s="37" t="s">
        <v>395</v>
      </c>
      <c r="B470" s="3" t="str">
        <f>RTD("ice.rtd",,$C470 &amp; $D470 &amp; ":" &amp; B$1)</f>
        <v>GDK</v>
      </c>
      <c r="C470" s="3">
        <v>1581618115</v>
      </c>
      <c r="D470" t="s">
        <v>800</v>
      </c>
      <c r="E470" s="3" t="str">
        <f>RTD("ice.rtd",,$C470 &amp; $D470 &amp; ":" &amp; E$1)</f>
        <v>Aug27</v>
      </c>
      <c r="F470" s="3" t="str">
        <f>ICE[[#This Row],[Prod]]&amp;ICE[[#This Row],[Strip]]</f>
        <v>mg92ebobAug27</v>
      </c>
      <c r="G470" s="18">
        <f>RTD("ice.rtd",,$C470 &amp; $D470 &amp; ":" &amp; G$1)</f>
        <v>-9.15</v>
      </c>
      <c r="H470" s="18">
        <f>RTD("ice.rtd",,$C470 &amp; $D470 &amp; ":" &amp; H$1)</f>
        <v>-7.95</v>
      </c>
      <c r="I470" s="18" t="str">
        <f>RTD("ice.rtd",,$C470 &amp; $D470 &amp; ":" &amp; I$1)</f>
        <v/>
      </c>
      <c r="J470" s="14" t="str">
        <f>IFERROR(MOD(RTD("ice.rtd",,$C470 &amp; $D470 &amp; ":" &amp; J$1), 1), "")</f>
        <v/>
      </c>
      <c r="K470" s="18" t="str">
        <f>RTD("ice.rtd",,$C470 &amp; $D470 &amp; ":" &amp; K$1)</f>
        <v/>
      </c>
      <c r="L470" s="36" t="str">
        <f>RTD("ice.rtd",,$C470 &amp; $D470 &amp; ":" &amp; L$1)</f>
        <v/>
      </c>
      <c r="M470" s="14" t="str">
        <f>IFERROR(MOD(TIMEVALUE(RTD("ice.rtd",,$C470 &amp; $D470 &amp; ":" &amp; M$1)), 1), "")</f>
        <v/>
      </c>
      <c r="N470" s="36">
        <f>RTD("ice.rtd",,$C470 &amp; $D470 &amp; ":" &amp; N$1)</f>
        <v>0</v>
      </c>
      <c r="O470" s="36">
        <f>RTD("ice.rtd",,$C470 &amp; $D470 &amp; ":" &amp; O$1)</f>
        <v>0</v>
      </c>
      <c r="P4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0" s="14" t="str">
        <f>IF(ICE[[#This Row],[LastType]] = "Scrn", ICE[[#This Row],[LstDate]], IF(ICE[[#This Row],[LastType]] = "Blk", ICE[[#This Row],[LstBlkTime]], ""))</f>
        <v/>
      </c>
      <c r="R470" s="41" t="str">
        <f>IF(ICE[[#This Row],[LastType]] = "Scrn", ICE[[#This Row],[LstPrc]], IF(ICE[[#This Row],[LastType]] = "Blk", ICE[[#This Row],[LstBlkPrc]], ""))</f>
        <v/>
      </c>
      <c r="S470" s="36">
        <f>ICE[[#This Row],[Vol]]+ICE[[#This Row],[BlkVol]]</f>
        <v>0</v>
      </c>
      <c r="T470" s="36">
        <f>RTD("ice.rtd",,$C470 &amp; $D470 &amp; ":" &amp; T$1)</f>
        <v>412</v>
      </c>
      <c r="U470" s="18">
        <f>RTD("ice.rtd",,$C470 &amp; $D470 &amp; ":" &amp; U$1)</f>
        <v>-8.0910000000000011</v>
      </c>
      <c r="V4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-9.15 / -7.95 </v>
      </c>
      <c r="W470" s="18" t="str">
        <f>IFERROR(IF(LEFT(ICE[[#This Row],[Tenor]], 1) = "B", RTD("esrtd",,$B470 &amp; " " &amp; ICE[[#This Row],[Tenor]] &amp; "-IEU", W$1), RTD("esrtd",,$B470 &amp; " " &amp; VLOOKUP(MONTH(ICE[[#This Row],[Strip]]), MthRef[], 2, 0) &amp; RIGHT(YEAR(ICE[[#This Row],[Strip]]), 2) &amp; "-IEU", W$1)), "")</f>
        <v/>
      </c>
      <c r="X470" s="36"/>
    </row>
    <row r="471" spans="1:24" x14ac:dyDescent="0.25">
      <c r="A471" s="37" t="s">
        <v>395</v>
      </c>
      <c r="B471" s="3" t="str">
        <f>RTD("ice.rtd",,$C471 &amp; $D471 &amp; ":" &amp; B$1)</f>
        <v>GDK</v>
      </c>
      <c r="C471" s="3">
        <v>1581618115</v>
      </c>
      <c r="D471" t="s">
        <v>801</v>
      </c>
      <c r="E471" s="3" t="str">
        <f>RTD("ice.rtd",,$C471 &amp; $D471 &amp; ":" &amp; E$1)</f>
        <v>Sep27</v>
      </c>
      <c r="F471" s="3" t="str">
        <f>ICE[[#This Row],[Prod]]&amp;ICE[[#This Row],[Strip]]</f>
        <v>mg92ebobSep27</v>
      </c>
      <c r="G471" s="18">
        <f>RTD("ice.rtd",,$C471 &amp; $D471 &amp; ":" &amp; G$1)</f>
        <v>-8.1</v>
      </c>
      <c r="H471" s="18">
        <f>RTD("ice.rtd",,$C471 &amp; $D471 &amp; ":" &amp; H$1)</f>
        <v>-6.9</v>
      </c>
      <c r="I471" s="18" t="str">
        <f>RTD("ice.rtd",,$C471 &amp; $D471 &amp; ":" &amp; I$1)</f>
        <v/>
      </c>
      <c r="J471" s="14" t="str">
        <f>IFERROR(MOD(RTD("ice.rtd",,$C471 &amp; $D471 &amp; ":" &amp; J$1), 1), "")</f>
        <v/>
      </c>
      <c r="K471" s="18" t="str">
        <f>RTD("ice.rtd",,$C471 &amp; $D471 &amp; ":" &amp; K$1)</f>
        <v/>
      </c>
      <c r="L471" s="36" t="str">
        <f>RTD("ice.rtd",,$C471 &amp; $D471 &amp; ":" &amp; L$1)</f>
        <v/>
      </c>
      <c r="M471" s="14" t="str">
        <f>IFERROR(MOD(TIMEVALUE(RTD("ice.rtd",,$C471 &amp; $D471 &amp; ":" &amp; M$1)), 1), "")</f>
        <v/>
      </c>
      <c r="N471" s="36">
        <f>RTD("ice.rtd",,$C471 &amp; $D471 &amp; ":" &amp; N$1)</f>
        <v>0</v>
      </c>
      <c r="O471" s="36">
        <f>RTD("ice.rtd",,$C471 &amp; $D471 &amp; ":" &amp; O$1)</f>
        <v>0</v>
      </c>
      <c r="P4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1" s="14" t="str">
        <f>IF(ICE[[#This Row],[LastType]] = "Scrn", ICE[[#This Row],[LstDate]], IF(ICE[[#This Row],[LastType]] = "Blk", ICE[[#This Row],[LstBlkTime]], ""))</f>
        <v/>
      </c>
      <c r="R471" s="41" t="str">
        <f>IF(ICE[[#This Row],[LastType]] = "Scrn", ICE[[#This Row],[LstPrc]], IF(ICE[[#This Row],[LastType]] = "Blk", ICE[[#This Row],[LstBlkPrc]], ""))</f>
        <v/>
      </c>
      <c r="S471" s="36">
        <f>ICE[[#This Row],[Vol]]+ICE[[#This Row],[BlkVol]]</f>
        <v>0</v>
      </c>
      <c r="T471" s="36">
        <f>RTD("ice.rtd",,$C471 &amp; $D471 &amp; ":" &amp; T$1)</f>
        <v>672</v>
      </c>
      <c r="U471" s="18">
        <f>RTD("ice.rtd",,$C471 &amp; $D471 &amp; ":" &amp; U$1)</f>
        <v>-7.12</v>
      </c>
      <c r="V4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-8.10 / -6.90 </v>
      </c>
      <c r="W471" s="18" t="str">
        <f>IFERROR(IF(LEFT(ICE[[#This Row],[Tenor]], 1) = "B", RTD("esrtd",,$B471 &amp; " " &amp; ICE[[#This Row],[Tenor]] &amp; "-IEU", W$1), RTD("esrtd",,$B471 &amp; " " &amp; VLOOKUP(MONTH(ICE[[#This Row],[Strip]]), MthRef[], 2, 0) &amp; RIGHT(YEAR(ICE[[#This Row],[Strip]]), 2) &amp; "-IEU", W$1)), "")</f>
        <v/>
      </c>
      <c r="X471" s="36"/>
    </row>
    <row r="472" spans="1:24" x14ac:dyDescent="0.25">
      <c r="A472" s="37" t="s">
        <v>395</v>
      </c>
      <c r="B472" s="3" t="str">
        <f>RTD("ice.rtd",,$C472 &amp; $D472 &amp; ":" &amp; B$1)</f>
        <v>GDK</v>
      </c>
      <c r="C472" s="3">
        <v>1581618115</v>
      </c>
      <c r="D472" t="s">
        <v>802</v>
      </c>
      <c r="E472" s="3" t="str">
        <f>RTD("ice.rtd",,$C472 &amp; $D472 &amp; ":" &amp; E$1)</f>
        <v>Oct27</v>
      </c>
      <c r="F472" s="3" t="str">
        <f>ICE[[#This Row],[Prod]]&amp;ICE[[#This Row],[Strip]]</f>
        <v>mg92ebobOct27</v>
      </c>
      <c r="G472" s="18">
        <f>RTD("ice.rtd",,$C472 &amp; $D472 &amp; ":" &amp; G$1)</f>
        <v>-4.3</v>
      </c>
      <c r="H472" s="18">
        <f>RTD("ice.rtd",,$C472 &amp; $D472 &amp; ":" &amp; H$1)</f>
        <v>-3.1</v>
      </c>
      <c r="I472" s="18" t="str">
        <f>RTD("ice.rtd",,$C472 &amp; $D472 &amp; ":" &amp; I$1)</f>
        <v/>
      </c>
      <c r="J472" s="14" t="str">
        <f>IFERROR(MOD(RTD("ice.rtd",,$C472 &amp; $D472 &amp; ":" &amp; J$1), 1), "")</f>
        <v/>
      </c>
      <c r="K472" s="18" t="str">
        <f>RTD("ice.rtd",,$C472 &amp; $D472 &amp; ":" &amp; K$1)</f>
        <v/>
      </c>
      <c r="L472" s="36" t="str">
        <f>RTD("ice.rtd",,$C472 &amp; $D472 &amp; ":" &amp; L$1)</f>
        <v/>
      </c>
      <c r="M472" s="14" t="str">
        <f>IFERROR(MOD(TIMEVALUE(RTD("ice.rtd",,$C472 &amp; $D472 &amp; ":" &amp; M$1)), 1), "")</f>
        <v/>
      </c>
      <c r="N472" s="36">
        <f>RTD("ice.rtd",,$C472 &amp; $D472 &amp; ":" &amp; N$1)</f>
        <v>0</v>
      </c>
      <c r="O472" s="36">
        <f>RTD("ice.rtd",,$C472 &amp; $D472 &amp; ":" &amp; O$1)</f>
        <v>0</v>
      </c>
      <c r="P4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2" s="14" t="str">
        <f>IF(ICE[[#This Row],[LastType]] = "Scrn", ICE[[#This Row],[LstDate]], IF(ICE[[#This Row],[LastType]] = "Blk", ICE[[#This Row],[LstBlkTime]], ""))</f>
        <v/>
      </c>
      <c r="R472" s="41" t="str">
        <f>IF(ICE[[#This Row],[LastType]] = "Scrn", ICE[[#This Row],[LstPrc]], IF(ICE[[#This Row],[LastType]] = "Blk", ICE[[#This Row],[LstBlkPrc]], ""))</f>
        <v/>
      </c>
      <c r="S472" s="36">
        <f>ICE[[#This Row],[Vol]]+ICE[[#This Row],[BlkVol]]</f>
        <v>0</v>
      </c>
      <c r="T472" s="36">
        <f>RTD("ice.rtd",,$C472 &amp; $D472 &amp; ":" &amp; T$1)</f>
        <v>386</v>
      </c>
      <c r="U472" s="18">
        <f>RTD("ice.rtd",,$C472 &amp; $D472 &amp; ":" &amp; U$1)</f>
        <v>-3.3080000000000003</v>
      </c>
      <c r="V4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-4.30 / -3.10 </v>
      </c>
      <c r="W472" s="18" t="str">
        <f>IFERROR(IF(LEFT(ICE[[#This Row],[Tenor]], 1) = "B", RTD("esrtd",,$B472 &amp; " " &amp; ICE[[#This Row],[Tenor]] &amp; "-IEU", W$1), RTD("esrtd",,$B472 &amp; " " &amp; VLOOKUP(MONTH(ICE[[#This Row],[Strip]]), MthRef[], 2, 0) &amp; RIGHT(YEAR(ICE[[#This Row],[Strip]]), 2) &amp; "-IEU", W$1)), "")</f>
        <v/>
      </c>
      <c r="X472" s="36"/>
    </row>
    <row r="473" spans="1:24" x14ac:dyDescent="0.25">
      <c r="A473" s="37" t="s">
        <v>395</v>
      </c>
      <c r="B473" s="3" t="str">
        <f>RTD("ice.rtd",,$C473 &amp; $D473 &amp; ":" &amp; B$1)</f>
        <v>GDK</v>
      </c>
      <c r="C473" s="3">
        <v>1581618115</v>
      </c>
      <c r="D473" t="s">
        <v>803</v>
      </c>
      <c r="E473" s="3" t="str">
        <f>RTD("ice.rtd",,$C473 &amp; $D473 &amp; ":" &amp; E$1)</f>
        <v>Nov27</v>
      </c>
      <c r="F473" s="3" t="str">
        <f>ICE[[#This Row],[Prod]]&amp;ICE[[#This Row],[Strip]]</f>
        <v>mg92ebobNov27</v>
      </c>
      <c r="G473" s="18">
        <f>RTD("ice.rtd",,$C473 &amp; $D473 &amp; ":" &amp; G$1)</f>
        <v>-3.45</v>
      </c>
      <c r="H473" s="18">
        <f>RTD("ice.rtd",,$C473 &amp; $D473 &amp; ":" &amp; H$1)</f>
        <v>-0.75</v>
      </c>
      <c r="I473" s="18" t="str">
        <f>RTD("ice.rtd",,$C473 &amp; $D473 &amp; ":" &amp; I$1)</f>
        <v/>
      </c>
      <c r="J473" s="14" t="str">
        <f>IFERROR(MOD(RTD("ice.rtd",,$C473 &amp; $D473 &amp; ":" &amp; J$1), 1), "")</f>
        <v/>
      </c>
      <c r="K473" s="18" t="str">
        <f>RTD("ice.rtd",,$C473 &amp; $D473 &amp; ":" &amp; K$1)</f>
        <v/>
      </c>
      <c r="L473" s="36" t="str">
        <f>RTD("ice.rtd",,$C473 &amp; $D473 &amp; ":" &amp; L$1)</f>
        <v/>
      </c>
      <c r="M473" s="14" t="str">
        <f>IFERROR(MOD(TIMEVALUE(RTD("ice.rtd",,$C473 &amp; $D473 &amp; ":" &amp; M$1)), 1), "")</f>
        <v/>
      </c>
      <c r="N473" s="36">
        <f>RTD("ice.rtd",,$C473 &amp; $D473 &amp; ":" &amp; N$1)</f>
        <v>0</v>
      </c>
      <c r="O473" s="36">
        <f>RTD("ice.rtd",,$C473 &amp; $D473 &amp; ":" &amp; O$1)</f>
        <v>0</v>
      </c>
      <c r="P4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3" s="14" t="str">
        <f>IF(ICE[[#This Row],[LastType]] = "Scrn", ICE[[#This Row],[LstDate]], IF(ICE[[#This Row],[LastType]] = "Blk", ICE[[#This Row],[LstBlkTime]], ""))</f>
        <v/>
      </c>
      <c r="R473" s="41" t="str">
        <f>IF(ICE[[#This Row],[LastType]] = "Scrn", ICE[[#This Row],[LstPrc]], IF(ICE[[#This Row],[LastType]] = "Blk", ICE[[#This Row],[LstBlkPrc]], ""))</f>
        <v/>
      </c>
      <c r="S473" s="36">
        <f>ICE[[#This Row],[Vol]]+ICE[[#This Row],[BlkVol]]</f>
        <v>0</v>
      </c>
      <c r="T473" s="36">
        <f>RTD("ice.rtd",,$C473 &amp; $D473 &amp; ":" &amp; T$1)</f>
        <v>386</v>
      </c>
      <c r="U473" s="18">
        <f>RTD("ice.rtd",,$C473 &amp; $D473 &amp; ":" &amp; U$1)</f>
        <v>-1.5370000000000001</v>
      </c>
      <c r="V4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-3.45 / -0.75 </v>
      </c>
      <c r="W473" s="18" t="str">
        <f>IFERROR(IF(LEFT(ICE[[#This Row],[Tenor]], 1) = "B", RTD("esrtd",,$B473 &amp; " " &amp; ICE[[#This Row],[Tenor]] &amp; "-IEU", W$1), RTD("esrtd",,$B473 &amp; " " &amp; VLOOKUP(MONTH(ICE[[#This Row],[Strip]]), MthRef[], 2, 0) &amp; RIGHT(YEAR(ICE[[#This Row],[Strip]]), 2) &amp; "-IEU", W$1)), "")</f>
        <v/>
      </c>
      <c r="X473" s="36"/>
    </row>
    <row r="474" spans="1:24" x14ac:dyDescent="0.25">
      <c r="A474" s="37" t="s">
        <v>395</v>
      </c>
      <c r="B474" s="3" t="str">
        <f>RTD("ice.rtd",,$C474 &amp; $D474 &amp; ":" &amp; B$1)</f>
        <v>GDK</v>
      </c>
      <c r="C474" s="3">
        <v>1581618115</v>
      </c>
      <c r="D474" t="s">
        <v>814</v>
      </c>
      <c r="E474" s="3" t="str">
        <f>RTD("ice.rtd",,$C474 &amp; $D474 &amp; ":" &amp; E$1)</f>
        <v>Q4 26</v>
      </c>
      <c r="F474" s="3" t="str">
        <f>ICE[[#This Row],[Prod]]&amp;ICE[[#This Row],[Strip]]</f>
        <v>mg92ebobQ4 26</v>
      </c>
      <c r="G474" s="18">
        <f>RTD("ice.rtd",,$C474 &amp; $D474 &amp; ":" &amp; G$1)</f>
        <v>-6.2</v>
      </c>
      <c r="H474" s="18">
        <f>RTD("ice.rtd",,$C474 &amp; $D474 &amp; ":" &amp; H$1)</f>
        <v>-4.7</v>
      </c>
      <c r="I474" s="18" t="str">
        <f>RTD("ice.rtd",,$C474 &amp; $D474 &amp; ":" &amp; I$1)</f>
        <v/>
      </c>
      <c r="J474" s="14" t="str">
        <f>IFERROR(MOD(RTD("ice.rtd",,$C474 &amp; $D474 &amp; ":" &amp; J$1), 1), "")</f>
        <v/>
      </c>
      <c r="K474" s="18" t="str">
        <f>RTD("ice.rtd",,$C474 &amp; $D474 &amp; ":" &amp; K$1)</f>
        <v/>
      </c>
      <c r="L474" s="36" t="str">
        <f>RTD("ice.rtd",,$C474 &amp; $D474 &amp; ":" &amp; L$1)</f>
        <v/>
      </c>
      <c r="M474" s="14" t="str">
        <f>IFERROR(MOD(TIMEVALUE(RTD("ice.rtd",,$C474 &amp; $D474 &amp; ":" &amp; M$1)), 1), "")</f>
        <v/>
      </c>
      <c r="N474" s="36">
        <f>RTD("ice.rtd",,$C474 &amp; $D474 &amp; ":" &amp; N$1)</f>
        <v>0</v>
      </c>
      <c r="O474" s="36">
        <f>RTD("ice.rtd",,$C474 &amp; $D474 &amp; ":" &amp; O$1)</f>
        <v>0</v>
      </c>
      <c r="P4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4" s="14" t="str">
        <f>IF(ICE[[#This Row],[LastType]] = "Scrn", ICE[[#This Row],[LstDate]], IF(ICE[[#This Row],[LastType]] = "Blk", ICE[[#This Row],[LstBlkTime]], ""))</f>
        <v/>
      </c>
      <c r="R474" s="41" t="str">
        <f>IF(ICE[[#This Row],[LastType]] = "Scrn", ICE[[#This Row],[LstPrc]], IF(ICE[[#This Row],[LastType]] = "Blk", ICE[[#This Row],[LstBlkPrc]], ""))</f>
        <v/>
      </c>
      <c r="S474" s="36">
        <f>ICE[[#This Row],[Vol]]+ICE[[#This Row],[BlkVol]]</f>
        <v>0</v>
      </c>
      <c r="T474" s="36">
        <f>RTD("ice.rtd",,$C474 &amp; $D474 &amp; ":" &amp; T$1)</f>
        <v>0</v>
      </c>
      <c r="U474" s="18">
        <f>RTD("ice.rtd",,$C474 &amp; $D474 &amp; ":" &amp; U$1)</f>
        <v>-6.9530000000000003</v>
      </c>
      <c r="V4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-6.20 / -4.70 </v>
      </c>
      <c r="W474" s="18" t="str">
        <f>IFERROR(IF(LEFT(ICE[[#This Row],[Tenor]], 1) = "B", RTD("esrtd",,$B474 &amp; " " &amp; ICE[[#This Row],[Tenor]] &amp; "-IEU", W$1), RTD("esrtd",,$B474 &amp; " " &amp; VLOOKUP(MONTH(ICE[[#This Row],[Strip]]), MthRef[], 2, 0) &amp; RIGHT(YEAR(ICE[[#This Row],[Strip]]), 2) &amp; "-IEU", W$1)), "")</f>
        <v/>
      </c>
      <c r="X474" s="36"/>
    </row>
    <row r="475" spans="1:24" x14ac:dyDescent="0.25">
      <c r="A475" s="37" t="s">
        <v>395</v>
      </c>
      <c r="B475" s="3" t="str">
        <f>RTD("ice.rtd",,$C475 &amp; $D475 &amp; ":" &amp; B$1)</f>
        <v>GDK</v>
      </c>
      <c r="C475" s="3">
        <v>1581618115</v>
      </c>
      <c r="D475" t="s">
        <v>815</v>
      </c>
      <c r="E475" s="3" t="str">
        <f>RTD("ice.rtd",,$C475 &amp; $D475 &amp; ":" &amp; E$1)</f>
        <v>Q1 27</v>
      </c>
      <c r="F475" s="3" t="str">
        <f>ICE[[#This Row],[Prod]]&amp;ICE[[#This Row],[Strip]]</f>
        <v>mg92ebobQ1 27</v>
      </c>
      <c r="G475" s="18">
        <f>RTD("ice.rtd",,$C475 &amp; $D475 &amp; ":" &amp; G$1)</f>
        <v>-5.2</v>
      </c>
      <c r="H475" s="18">
        <f>RTD("ice.rtd",,$C475 &amp; $D475 &amp; ":" &amp; H$1)</f>
        <v>-3.4</v>
      </c>
      <c r="I475" s="18" t="str">
        <f>RTD("ice.rtd",,$C475 &amp; $D475 &amp; ":" &amp; I$1)</f>
        <v/>
      </c>
      <c r="J475" s="14" t="str">
        <f>IFERROR(MOD(RTD("ice.rtd",,$C475 &amp; $D475 &amp; ":" &amp; J$1), 1), "")</f>
        <v/>
      </c>
      <c r="K475" s="18" t="str">
        <f>RTD("ice.rtd",,$C475 &amp; $D475 &amp; ":" &amp; K$1)</f>
        <v/>
      </c>
      <c r="L475" s="36" t="str">
        <f>RTD("ice.rtd",,$C475 &amp; $D475 &amp; ":" &amp; L$1)</f>
        <v/>
      </c>
      <c r="M475" s="14" t="str">
        <f>IFERROR(MOD(TIMEVALUE(RTD("ice.rtd",,$C475 &amp; $D475 &amp; ":" &amp; M$1)), 1), "")</f>
        <v/>
      </c>
      <c r="N475" s="36">
        <f>RTD("ice.rtd",,$C475 &amp; $D475 &amp; ":" &amp; N$1)</f>
        <v>0</v>
      </c>
      <c r="O475" s="36">
        <f>RTD("ice.rtd",,$C475 &amp; $D475 &amp; ":" &amp; O$1)</f>
        <v>0</v>
      </c>
      <c r="P4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5" s="14" t="str">
        <f>IF(ICE[[#This Row],[LastType]] = "Scrn", ICE[[#This Row],[LstDate]], IF(ICE[[#This Row],[LastType]] = "Blk", ICE[[#This Row],[LstBlkTime]], ""))</f>
        <v/>
      </c>
      <c r="R475" s="41" t="str">
        <f>IF(ICE[[#This Row],[LastType]] = "Scrn", ICE[[#This Row],[LstPrc]], IF(ICE[[#This Row],[LastType]] = "Blk", ICE[[#This Row],[LstBlkPrc]], ""))</f>
        <v/>
      </c>
      <c r="S475" s="36">
        <f>ICE[[#This Row],[Vol]]+ICE[[#This Row],[BlkVol]]</f>
        <v>0</v>
      </c>
      <c r="T475" s="36">
        <f>RTD("ice.rtd",,$C475 &amp; $D475 &amp; ":" &amp; T$1)</f>
        <v>0</v>
      </c>
      <c r="U475" s="18">
        <f>RTD("ice.rtd",,$C475 &amp; $D475 &amp; ":" &amp; U$1)</f>
        <v>-4.3630000000000004</v>
      </c>
      <c r="V4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-5.20 / -3.40 </v>
      </c>
      <c r="W475" s="18" t="str">
        <f>IFERROR(IF(LEFT(ICE[[#This Row],[Tenor]], 1) = "B", RTD("esrtd",,$B475 &amp; " " &amp; ICE[[#This Row],[Tenor]] &amp; "-IEU", W$1), RTD("esrtd",,$B475 &amp; " " &amp; VLOOKUP(MONTH(ICE[[#This Row],[Strip]]), MthRef[], 2, 0) &amp; RIGHT(YEAR(ICE[[#This Row],[Strip]]), 2) &amp; "-IEU", W$1)), "")</f>
        <v/>
      </c>
      <c r="X475" s="36"/>
    </row>
    <row r="476" spans="1:24" x14ac:dyDescent="0.25">
      <c r="A476" s="37" t="s">
        <v>395</v>
      </c>
      <c r="B476" s="3" t="str">
        <f>RTD("ice.rtd",,$C476 &amp; $D476 &amp; ":" &amp; B$1)</f>
        <v>GDK</v>
      </c>
      <c r="C476" s="3">
        <v>1581618115</v>
      </c>
      <c r="D476" t="s">
        <v>816</v>
      </c>
      <c r="E476" s="3" t="str">
        <f>RTD("ice.rtd",,$C476 &amp; $D476 &amp; ":" &amp; E$1)</f>
        <v>Q2 27</v>
      </c>
      <c r="F476" s="3" t="str">
        <f>ICE[[#This Row],[Prod]]&amp;ICE[[#This Row],[Strip]]</f>
        <v>mg92ebobQ2 27</v>
      </c>
      <c r="G476" s="18">
        <f>RTD("ice.rtd",,$C476 &amp; $D476 &amp; ":" &amp; G$1)</f>
        <v>-10.6</v>
      </c>
      <c r="H476" s="18">
        <f>RTD("ice.rtd",,$C476 &amp; $D476 &amp; ":" &amp; H$1)</f>
        <v>-8.8000000000000007</v>
      </c>
      <c r="I476" s="18" t="str">
        <f>RTD("ice.rtd",,$C476 &amp; $D476 &amp; ":" &amp; I$1)</f>
        <v/>
      </c>
      <c r="J476" s="14" t="str">
        <f>IFERROR(MOD(RTD("ice.rtd",,$C476 &amp; $D476 &amp; ":" &amp; J$1), 1), "")</f>
        <v/>
      </c>
      <c r="K476" s="18" t="str">
        <f>RTD("ice.rtd",,$C476 &amp; $D476 &amp; ":" &amp; K$1)</f>
        <v/>
      </c>
      <c r="L476" s="36" t="str">
        <f>RTD("ice.rtd",,$C476 &amp; $D476 &amp; ":" &amp; L$1)</f>
        <v/>
      </c>
      <c r="M476" s="14" t="str">
        <f>IFERROR(MOD(TIMEVALUE(RTD("ice.rtd",,$C476 &amp; $D476 &amp; ":" &amp; M$1)), 1), "")</f>
        <v/>
      </c>
      <c r="N476" s="36">
        <f>RTD("ice.rtd",,$C476 &amp; $D476 &amp; ":" &amp; N$1)</f>
        <v>0</v>
      </c>
      <c r="O476" s="36">
        <f>RTD("ice.rtd",,$C476 &amp; $D476 &amp; ":" &amp; O$1)</f>
        <v>0</v>
      </c>
      <c r="P4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6" s="14" t="str">
        <f>IF(ICE[[#This Row],[LastType]] = "Scrn", ICE[[#This Row],[LstDate]], IF(ICE[[#This Row],[LastType]] = "Blk", ICE[[#This Row],[LstBlkTime]], ""))</f>
        <v/>
      </c>
      <c r="R476" s="41" t="str">
        <f>IF(ICE[[#This Row],[LastType]] = "Scrn", ICE[[#This Row],[LstPrc]], IF(ICE[[#This Row],[LastType]] = "Blk", ICE[[#This Row],[LstBlkPrc]], ""))</f>
        <v/>
      </c>
      <c r="S476" s="36">
        <f>ICE[[#This Row],[Vol]]+ICE[[#This Row],[BlkVol]]</f>
        <v>0</v>
      </c>
      <c r="T476" s="36">
        <f>RTD("ice.rtd",,$C476 &amp; $D476 &amp; ":" &amp; T$1)</f>
        <v>0</v>
      </c>
      <c r="U476" s="18">
        <f>RTD("ice.rtd",,$C476 &amp; $D476 &amp; ":" &amp; U$1)</f>
        <v>-9.31</v>
      </c>
      <c r="V4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-10.60 / -8.80 </v>
      </c>
      <c r="W476" s="18" t="str">
        <f>IFERROR(IF(LEFT(ICE[[#This Row],[Tenor]], 1) = "B", RTD("esrtd",,$B476 &amp; " " &amp; ICE[[#This Row],[Tenor]] &amp; "-IEU", W$1), RTD("esrtd",,$B476 &amp; " " &amp; VLOOKUP(MONTH(ICE[[#This Row],[Strip]]), MthRef[], 2, 0) &amp; RIGHT(YEAR(ICE[[#This Row],[Strip]]), 2) &amp; "-IEU", W$1)), "")</f>
        <v/>
      </c>
      <c r="X476" s="36"/>
    </row>
    <row r="477" spans="1:24" x14ac:dyDescent="0.25">
      <c r="A477" s="37" t="s">
        <v>395</v>
      </c>
      <c r="B477" s="3" t="str">
        <f>RTD("ice.rtd",,$C477 &amp; $D477 &amp; ":" &amp; B$1)</f>
        <v>GDK</v>
      </c>
      <c r="C477" s="3">
        <v>1581618115</v>
      </c>
      <c r="D477" t="s">
        <v>817</v>
      </c>
      <c r="E477" s="3" t="str">
        <f>RTD("ice.rtd",,$C477 &amp; $D477 &amp; ":" &amp; E$1)</f>
        <v>Q3 27</v>
      </c>
      <c r="F477" s="3" t="str">
        <f>ICE[[#This Row],[Prod]]&amp;ICE[[#This Row],[Strip]]</f>
        <v>mg92ebobQ3 27</v>
      </c>
      <c r="G477" s="18">
        <f>RTD("ice.rtd",,$C477 &amp; $D477 &amp; ":" &amp; G$1)</f>
        <v>-9.3000000000000007</v>
      </c>
      <c r="H477" s="18">
        <f>RTD("ice.rtd",,$C477 &amp; $D477 &amp; ":" &amp; H$1)</f>
        <v>-7.5</v>
      </c>
      <c r="I477" s="18" t="str">
        <f>RTD("ice.rtd",,$C477 &amp; $D477 &amp; ":" &amp; I$1)</f>
        <v/>
      </c>
      <c r="J477" s="14" t="str">
        <f>IFERROR(MOD(RTD("ice.rtd",,$C477 &amp; $D477 &amp; ":" &amp; J$1), 1), "")</f>
        <v/>
      </c>
      <c r="K477" s="18" t="str">
        <f>RTD("ice.rtd",,$C477 &amp; $D477 &amp; ":" &amp; K$1)</f>
        <v/>
      </c>
      <c r="L477" s="36" t="str">
        <f>RTD("ice.rtd",,$C477 &amp; $D477 &amp; ":" &amp; L$1)</f>
        <v/>
      </c>
      <c r="M477" s="14" t="str">
        <f>IFERROR(MOD(TIMEVALUE(RTD("ice.rtd",,$C477 &amp; $D477 &amp; ":" &amp; M$1)), 1), "")</f>
        <v/>
      </c>
      <c r="N477" s="36">
        <f>RTD("ice.rtd",,$C477 &amp; $D477 &amp; ":" &amp; N$1)</f>
        <v>0</v>
      </c>
      <c r="O477" s="36">
        <f>RTD("ice.rtd",,$C477 &amp; $D477 &amp; ":" &amp; O$1)</f>
        <v>0</v>
      </c>
      <c r="P4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7" s="14" t="str">
        <f>IF(ICE[[#This Row],[LastType]] = "Scrn", ICE[[#This Row],[LstDate]], IF(ICE[[#This Row],[LastType]] = "Blk", ICE[[#This Row],[LstBlkTime]], ""))</f>
        <v/>
      </c>
      <c r="R477" s="41" t="str">
        <f>IF(ICE[[#This Row],[LastType]] = "Scrn", ICE[[#This Row],[LstPrc]], IF(ICE[[#This Row],[LastType]] = "Blk", ICE[[#This Row],[LstBlkPrc]], ""))</f>
        <v/>
      </c>
      <c r="S477" s="36">
        <f>ICE[[#This Row],[Vol]]+ICE[[#This Row],[BlkVol]]</f>
        <v>0</v>
      </c>
      <c r="T477" s="36">
        <f>RTD("ice.rtd",,$C477 &amp; $D477 &amp; ":" &amp; T$1)</f>
        <v>0</v>
      </c>
      <c r="U477" s="18">
        <f>RTD("ice.rtd",,$C477 &amp; $D477 &amp; ":" &amp; U$1)</f>
        <v>-7.9380000000000006</v>
      </c>
      <c r="V4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-9.30 / -7.50 </v>
      </c>
      <c r="W477" s="18" t="str">
        <f>IFERROR(IF(LEFT(ICE[[#This Row],[Tenor]], 1) = "B", RTD("esrtd",,$B477 &amp; " " &amp; ICE[[#This Row],[Tenor]] &amp; "-IEU", W$1), RTD("esrtd",,$B477 &amp; " " &amp; VLOOKUP(MONTH(ICE[[#This Row],[Strip]]), MthRef[], 2, 0) &amp; RIGHT(YEAR(ICE[[#This Row],[Strip]]), 2) &amp; "-IEU", W$1)), "")</f>
        <v/>
      </c>
      <c r="X477" s="36"/>
    </row>
    <row r="478" spans="1:24" x14ac:dyDescent="0.25">
      <c r="A478" s="37" t="s">
        <v>395</v>
      </c>
      <c r="B478" s="3" t="str">
        <f>RTD("ice.rtd",,$C478 &amp; $D478 &amp; ":" &amp; B$1)</f>
        <v>GDK</v>
      </c>
      <c r="C478" s="3">
        <v>1581618115</v>
      </c>
      <c r="D478" t="s">
        <v>822</v>
      </c>
      <c r="E478" s="3" t="str">
        <f>RTD("ice.rtd",,$C478 &amp; $D478 &amp; ":" &amp; E$1)</f>
        <v>Cal 27</v>
      </c>
      <c r="F478" s="3" t="str">
        <f>ICE[[#This Row],[Prod]]&amp;ICE[[#This Row],[Strip]]</f>
        <v>mg92ebobCal 27</v>
      </c>
      <c r="G478" s="18">
        <f>RTD("ice.rtd",,$C478 &amp; $D478 &amp; ":" &amp; G$1)</f>
        <v>-8.15</v>
      </c>
      <c r="H478" s="18">
        <f>RTD("ice.rtd",,$C478 &amp; $D478 &amp; ":" &amp; H$1)</f>
        <v>-4.25</v>
      </c>
      <c r="I478" s="18" t="str">
        <f>RTD("ice.rtd",,$C478 &amp; $D478 &amp; ":" &amp; I$1)</f>
        <v/>
      </c>
      <c r="J478" s="14" t="str">
        <f>IFERROR(MOD(RTD("ice.rtd",,$C478 &amp; $D478 &amp; ":" &amp; J$1), 1), "")</f>
        <v/>
      </c>
      <c r="K478" s="18" t="str">
        <f>RTD("ice.rtd",,$C478 &amp; $D478 &amp; ":" &amp; K$1)</f>
        <v/>
      </c>
      <c r="L478" s="36" t="str">
        <f>RTD("ice.rtd",,$C478 &amp; $D478 &amp; ":" &amp; L$1)</f>
        <v/>
      </c>
      <c r="M478" s="14" t="str">
        <f>IFERROR(MOD(TIMEVALUE(RTD("ice.rtd",,$C478 &amp; $D478 &amp; ":" &amp; M$1)), 1), "")</f>
        <v/>
      </c>
      <c r="N478" s="36">
        <f>RTD("ice.rtd",,$C478 &amp; $D478 &amp; ":" &amp; N$1)</f>
        <v>0</v>
      </c>
      <c r="O478" s="36">
        <f>RTD("ice.rtd",,$C478 &amp; $D478 &amp; ":" &amp; O$1)</f>
        <v>0</v>
      </c>
      <c r="P4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8" s="14" t="str">
        <f>IF(ICE[[#This Row],[LastType]] = "Scrn", ICE[[#This Row],[LstDate]], IF(ICE[[#This Row],[LastType]] = "Blk", ICE[[#This Row],[LstBlkTime]], ""))</f>
        <v/>
      </c>
      <c r="R478" s="41" t="str">
        <f>IF(ICE[[#This Row],[LastType]] = "Scrn", ICE[[#This Row],[LstPrc]], IF(ICE[[#This Row],[LastType]] = "Blk", ICE[[#This Row],[LstBlkPrc]], ""))</f>
        <v/>
      </c>
      <c r="S478" s="36">
        <f>ICE[[#This Row],[Vol]]+ICE[[#This Row],[BlkVol]]</f>
        <v>0</v>
      </c>
      <c r="T478" s="36">
        <f>RTD("ice.rtd",,$C478 &amp; $D478 &amp; ":" &amp; T$1)</f>
        <v>0</v>
      </c>
      <c r="U478" s="18">
        <f>RTD("ice.rtd",,$C478 &amp; $D478 &amp; ":" &amp; U$1)</f>
        <v>-5.8440000000000003</v>
      </c>
      <c r="V4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-8.15 / -4.25 </v>
      </c>
      <c r="W478" s="18" t="str">
        <f>IFERROR(IF(LEFT(ICE[[#This Row],[Tenor]], 1) = "B", RTD("esrtd",,$B478 &amp; " " &amp; ICE[[#This Row],[Tenor]] &amp; "-IEU", W$1), RTD("esrtd",,$B478 &amp; " " &amp; VLOOKUP(MONTH(ICE[[#This Row],[Strip]]), MthRef[], 2, 0) &amp; RIGHT(YEAR(ICE[[#This Row],[Strip]]), 2) &amp; "-IEU", W$1)), "")</f>
        <v/>
      </c>
      <c r="X478" s="36"/>
    </row>
    <row r="479" spans="1:24" x14ac:dyDescent="0.25">
      <c r="A479" s="37" t="s">
        <v>396</v>
      </c>
      <c r="B479" s="3" t="str">
        <f>RTD("ice.rtd",,$C479 &amp; $D479 &amp; ":" &amp; B$1)</f>
        <v>Invalid Market: 41767893B0</v>
      </c>
      <c r="C479" s="3">
        <v>41767893</v>
      </c>
      <c r="D479" t="s">
        <v>792</v>
      </c>
      <c r="E479" s="3" t="str">
        <f>RTD("ice.rtd",,$C479 &amp; $D479 &amp; ":" &amp; E$1)</f>
        <v>Invalid Market: 41767893B0</v>
      </c>
      <c r="F479" s="3" t="str">
        <f>ICE[[#This Row],[Prod]]&amp;ICE[[#This Row],[Strip]]</f>
        <v>mg9592Invalid Market: 41767893B0</v>
      </c>
      <c r="G479" s="18" t="str">
        <f>RTD("ice.rtd",,$C479 &amp; $D479 &amp; ":" &amp; G$1)</f>
        <v>Invalid Market: 41767893B0</v>
      </c>
      <c r="H479" s="18" t="str">
        <f>RTD("ice.rtd",,$C479 &amp; $D479 &amp; ":" &amp; H$1)</f>
        <v>Invalid Market: 41767893B0</v>
      </c>
      <c r="I479" s="18" t="str">
        <f>RTD("ice.rtd",,$C479 &amp; $D479 &amp; ":" &amp; I$1)</f>
        <v>Invalid Market: 41767893B0</v>
      </c>
      <c r="J479" s="14" t="str">
        <f>IFERROR(MOD(RTD("ice.rtd",,$C479 &amp; $D479 &amp; ":" &amp; J$1), 1), "")</f>
        <v/>
      </c>
      <c r="K479" s="18" t="str">
        <f>RTD("ice.rtd",,$C479 &amp; $D479 &amp; ":" &amp; K$1)</f>
        <v>Invalid Market: 41767893B0</v>
      </c>
      <c r="L479" s="36" t="str">
        <f>RTD("ice.rtd",,$C479 &amp; $D479 &amp; ":" &amp; L$1)</f>
        <v>Invalid Market: 41767893B0</v>
      </c>
      <c r="M479" s="14" t="str">
        <f>IFERROR(MOD(TIMEVALUE(RTD("ice.rtd",,$C479 &amp; $D479 &amp; ":" &amp; M$1)), 1), "")</f>
        <v/>
      </c>
      <c r="N479" s="36" t="str">
        <f>RTD("ice.rtd",,$C479 &amp; $D479 &amp; ":" &amp; N$1)</f>
        <v>Invalid Market: 41767893B0</v>
      </c>
      <c r="O479" s="36" t="str">
        <f>RTD("ice.rtd",,$C479 &amp; $D479 &amp; ":" &amp; O$1)</f>
        <v>Invalid Market: 41767893B0</v>
      </c>
      <c r="P4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79" s="14" t="str">
        <f>IF(ICE[[#This Row],[LastType]] = "Scrn", ICE[[#This Row],[LstDate]], IF(ICE[[#This Row],[LastType]] = "Blk", ICE[[#This Row],[LstBlkTime]], ""))</f>
        <v/>
      </c>
      <c r="R479" s="41" t="str">
        <f>IF(ICE[[#This Row],[LastType]] = "Scrn", ICE[[#This Row],[LstPrc]], IF(ICE[[#This Row],[LastType]] = "Blk", ICE[[#This Row],[LstBlkPrc]], ""))</f>
        <v/>
      </c>
      <c r="S479" s="36" t="e">
        <f>ICE[[#This Row],[Vol]]+ICE[[#This Row],[BlkVol]]</f>
        <v>#VALUE!</v>
      </c>
      <c r="T479" s="36" t="str">
        <f>RTD("ice.rtd",,$C479 &amp; $D479 &amp; ":" &amp; T$1)</f>
        <v>Invalid Market: 41767893B0</v>
      </c>
      <c r="U479" s="18" t="str">
        <f>RTD("ice.rtd",,$C479 &amp; $D479 &amp; ":" &amp; U$1)</f>
        <v>Invalid Market: 41767893B0</v>
      </c>
      <c r="V4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479" s="18" t="str">
        <f>IFERROR(IF(LEFT(ICE[[#This Row],[Tenor]], 1) = "B", RTD("esrtd",,$B479 &amp; " " &amp; ICE[[#This Row],[Tenor]] &amp; "-IEU", W$1), RTD("esrtd",,$B479 &amp; " " &amp; VLOOKUP(MONTH(ICE[[#This Row],[Strip]]), MthRef[], 2, 0) &amp; RIGHT(YEAR(ICE[[#This Row],[Strip]]), 2) &amp; "-IEU", W$1)), "")</f>
        <v/>
      </c>
      <c r="X479" s="36"/>
    </row>
    <row r="480" spans="1:24" x14ac:dyDescent="0.25">
      <c r="A480" s="37" t="s">
        <v>396</v>
      </c>
      <c r="B480" s="3" t="str">
        <f>RTD("ice.rtd",,$C480 &amp; $D480 &amp; ":" &amp; B$1)</f>
        <v>SMD</v>
      </c>
      <c r="C480" s="3">
        <v>41767893</v>
      </c>
      <c r="D480" t="s">
        <v>793</v>
      </c>
      <c r="E480" s="3" t="str">
        <f>RTD("ice.rtd",,$C480 &amp; $D480 &amp; ":" &amp; E$1)</f>
        <v>Sep26</v>
      </c>
      <c r="F480" s="3" t="str">
        <f>ICE[[#This Row],[Prod]]&amp;ICE[[#This Row],[Strip]]</f>
        <v>mg9592Sep26</v>
      </c>
      <c r="G480" s="18">
        <f>RTD("ice.rtd",,$C480 &amp; $D480 &amp; ":" &amp; G$1)</f>
        <v>3.75</v>
      </c>
      <c r="H480" s="18" t="str">
        <f>RTD("ice.rtd",,$C480 &amp; $D480 &amp; ":" &amp; H$1)</f>
        <v/>
      </c>
      <c r="I480" s="18">
        <f>RTD("ice.rtd",,$C480 &amp; $D480 &amp; ":" &amp; I$1)</f>
        <v>4</v>
      </c>
      <c r="J480" s="14">
        <f>IFERROR(MOD(RTD("ice.rtd",,$C480 &amp; $D480 &amp; ":" &amp; J$1), 1), "")</f>
        <v>0.39087379629927455</v>
      </c>
      <c r="K480" s="18" t="str">
        <f>RTD("ice.rtd",,$C480 &amp; $D480 &amp; ":" &amp; K$1)</f>
        <v/>
      </c>
      <c r="L480" s="36" t="str">
        <f>RTD("ice.rtd",,$C480 &amp; $D480 &amp; ":" &amp; L$1)</f>
        <v/>
      </c>
      <c r="M480" s="14" t="str">
        <f>IFERROR(MOD(TIMEVALUE(RTD("ice.rtd",,$C480 &amp; $D480 &amp; ":" &amp; M$1)), 1), "")</f>
        <v/>
      </c>
      <c r="N480" s="36">
        <f>RTD("ice.rtd",,$C480 &amp; $D480 &amp; ":" &amp; N$1)</f>
        <v>75</v>
      </c>
      <c r="O480" s="36">
        <f>RTD("ice.rtd",,$C480 &amp; $D480 &amp; ":" &amp; O$1)</f>
        <v>0</v>
      </c>
      <c r="P4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480" s="14">
        <f>IF(ICE[[#This Row],[LastType]] = "Scrn", ICE[[#This Row],[LstDate]], IF(ICE[[#This Row],[LastType]] = "Blk", ICE[[#This Row],[LstBlkTime]], ""))</f>
        <v>0.39087379629927455</v>
      </c>
      <c r="R480" s="41">
        <f>IF(ICE[[#This Row],[LastType]] = "Scrn", ICE[[#This Row],[LstPrc]], IF(ICE[[#This Row],[LastType]] = "Blk", ICE[[#This Row],[LstBlkPrc]], ""))</f>
        <v>4</v>
      </c>
      <c r="S480" s="36">
        <f>ICE[[#This Row],[Vol]]+ICE[[#This Row],[BlkVol]]</f>
        <v>75</v>
      </c>
      <c r="T480" s="36">
        <f>RTD("ice.rtd",,$C480 &amp; $D480 &amp; ":" &amp; T$1)</f>
        <v>2624</v>
      </c>
      <c r="U480" s="18">
        <f>RTD("ice.rtd",,$C480 &amp; $D480 &amp; ":" &amp; U$1)</f>
        <v>3.65</v>
      </c>
      <c r="V4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3.75 /  {4.00} |75x</v>
      </c>
      <c r="W480" s="18" t="str">
        <f>IFERROR(IF(LEFT(ICE[[#This Row],[Tenor]], 1) = "B", RTD("esrtd",,$B480 &amp; " " &amp; ICE[[#This Row],[Tenor]] &amp; "-IEU", W$1), RTD("esrtd",,$B480 &amp; " " &amp; VLOOKUP(MONTH(ICE[[#This Row],[Strip]]), MthRef[], 2, 0) &amp; RIGHT(YEAR(ICE[[#This Row],[Strip]]), 2) &amp; "-IEU", W$1)), "")</f>
        <v/>
      </c>
      <c r="X480" s="36"/>
    </row>
    <row r="481" spans="1:24" x14ac:dyDescent="0.25">
      <c r="A481" s="37" t="s">
        <v>396</v>
      </c>
      <c r="B481" s="3" t="str">
        <f>RTD("ice.rtd",,$C481 &amp; $D481 &amp; ":" &amp; B$1)</f>
        <v>SMD</v>
      </c>
      <c r="C481" s="3">
        <v>41767893</v>
      </c>
      <c r="D481" t="s">
        <v>324</v>
      </c>
      <c r="E481" s="3" t="str">
        <f>RTD("ice.rtd",,$C481 &amp; $D481 &amp; ":" &amp; E$1)</f>
        <v>Oct26</v>
      </c>
      <c r="F481" s="3" t="str">
        <f>ICE[[#This Row],[Prod]]&amp;ICE[[#This Row],[Strip]]</f>
        <v>mg9592Oct26</v>
      </c>
      <c r="G481" s="18">
        <f>RTD("ice.rtd",,$C481 &amp; $D481 &amp; ":" &amp; G$1)</f>
        <v>3.4</v>
      </c>
      <c r="H481" s="18" t="str">
        <f>RTD("ice.rtd",,$C481 &amp; $D481 &amp; ":" &amp; H$1)</f>
        <v/>
      </c>
      <c r="I481" s="18" t="str">
        <f>RTD("ice.rtd",,$C481 &amp; $D481 &amp; ":" &amp; I$1)</f>
        <v/>
      </c>
      <c r="J481" s="14" t="str">
        <f>IFERROR(MOD(RTD("ice.rtd",,$C481 &amp; $D481 &amp; ":" &amp; J$1), 1), "")</f>
        <v/>
      </c>
      <c r="K481" s="18">
        <f>RTD("ice.rtd",,$C481 &amp; $D481 &amp; ":" &amp; K$1)</f>
        <v>3.75</v>
      </c>
      <c r="L481" s="36">
        <f>RTD("ice.rtd",,$C481 &amp; $D481 &amp; ":" &amp; L$1)</f>
        <v>24</v>
      </c>
      <c r="M481" s="14">
        <f>IFERROR(MOD(TIMEVALUE(RTD("ice.rtd",,$C481 &amp; $D481 &amp; ":" &amp; M$1)), 1), "")</f>
        <v>0.38870370370370372</v>
      </c>
      <c r="N481" s="36">
        <f>RTD("ice.rtd",,$C481 &amp; $D481 &amp; ":" &amp; N$1)</f>
        <v>0</v>
      </c>
      <c r="O481" s="36">
        <f>RTD("ice.rtd",,$C481 &amp; $D481 &amp; ":" &amp; O$1)</f>
        <v>124</v>
      </c>
      <c r="P4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81" s="14">
        <f>IF(ICE[[#This Row],[LastType]] = "Scrn", ICE[[#This Row],[LstDate]], IF(ICE[[#This Row],[LastType]] = "Blk", ICE[[#This Row],[LstBlkTime]], ""))</f>
        <v>0.38870370370370372</v>
      </c>
      <c r="R481" s="41">
        <f>IF(ICE[[#This Row],[LastType]] = "Scrn", ICE[[#This Row],[LstPrc]], IF(ICE[[#This Row],[LastType]] = "Blk", ICE[[#This Row],[LstBlkPrc]], ""))</f>
        <v>3.75</v>
      </c>
      <c r="S481" s="36">
        <f>ICE[[#This Row],[Vol]]+ICE[[#This Row],[BlkVol]]</f>
        <v>124</v>
      </c>
      <c r="T481" s="36">
        <f>RTD("ice.rtd",,$C481 &amp; $D481 &amp; ":" &amp; T$1)</f>
        <v>585</v>
      </c>
      <c r="U481" s="18">
        <f>RTD("ice.rtd",,$C481 &amp; $D481 &amp; ":" &amp; U$1)</f>
        <v>3.5500000000000003</v>
      </c>
      <c r="V4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3.40 /  {3.75} |124x</v>
      </c>
      <c r="W481" s="18" t="str">
        <f>IFERROR(IF(LEFT(ICE[[#This Row],[Tenor]], 1) = "B", RTD("esrtd",,$B481 &amp; " " &amp; ICE[[#This Row],[Tenor]] &amp; "-IEU", W$1), RTD("esrtd",,$B481 &amp; " " &amp; VLOOKUP(MONTH(ICE[[#This Row],[Strip]]), MthRef[], 2, 0) &amp; RIGHT(YEAR(ICE[[#This Row],[Strip]]), 2) &amp; "-IEU", W$1)), "")</f>
        <v/>
      </c>
      <c r="X481" s="36"/>
    </row>
    <row r="482" spans="1:24" x14ac:dyDescent="0.25">
      <c r="A482" s="37" t="s">
        <v>396</v>
      </c>
      <c r="B482" s="3" t="str">
        <f>RTD("ice.rtd",,$C482 &amp; $D482 &amp; ":" &amp; B$1)</f>
        <v>SMD</v>
      </c>
      <c r="C482" s="3">
        <v>41767893</v>
      </c>
      <c r="D482" t="s">
        <v>325</v>
      </c>
      <c r="E482" s="3" t="str">
        <f>RTD("ice.rtd",,$C482 &amp; $D482 &amp; ":" &amp; E$1)</f>
        <v>Nov26</v>
      </c>
      <c r="F482" s="3" t="str">
        <f>ICE[[#This Row],[Prod]]&amp;ICE[[#This Row],[Strip]]</f>
        <v>mg9592Nov26</v>
      </c>
      <c r="G482" s="18" t="str">
        <f>RTD("ice.rtd",,$C482 &amp; $D482 &amp; ":" &amp; G$1)</f>
        <v/>
      </c>
      <c r="H482" s="18" t="str">
        <f>RTD("ice.rtd",,$C482 &amp; $D482 &amp; ":" &amp; H$1)</f>
        <v/>
      </c>
      <c r="I482" s="18" t="str">
        <f>RTD("ice.rtd",,$C482 &amp; $D482 &amp; ":" &amp; I$1)</f>
        <v/>
      </c>
      <c r="J482" s="14" t="str">
        <f>IFERROR(MOD(RTD("ice.rtd",,$C482 &amp; $D482 &amp; ":" &amp; J$1), 1), "")</f>
        <v/>
      </c>
      <c r="K482" s="18">
        <f>RTD("ice.rtd",,$C482 &amp; $D482 &amp; ":" &amp; K$1)</f>
        <v>3.7</v>
      </c>
      <c r="L482" s="36">
        <f>RTD("ice.rtd",,$C482 &amp; $D482 &amp; ":" &amp; L$1)</f>
        <v>25</v>
      </c>
      <c r="M482" s="14">
        <f>IFERROR(MOD(TIMEVALUE(RTD("ice.rtd",,$C482 &amp; $D482 &amp; ":" &amp; M$1)), 1), "")</f>
        <v>0.45854166666666668</v>
      </c>
      <c r="N482" s="36">
        <f>RTD("ice.rtd",,$C482 &amp; $D482 &amp; ":" &amp; N$1)</f>
        <v>0</v>
      </c>
      <c r="O482" s="36">
        <f>RTD("ice.rtd",,$C482 &amp; $D482 &amp; ":" &amp; O$1)</f>
        <v>105</v>
      </c>
      <c r="P4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82" s="14">
        <f>IF(ICE[[#This Row],[LastType]] = "Scrn", ICE[[#This Row],[LstDate]], IF(ICE[[#This Row],[LastType]] = "Blk", ICE[[#This Row],[LstBlkTime]], ""))</f>
        <v>0.45854166666666668</v>
      </c>
      <c r="R482" s="41">
        <f>IF(ICE[[#This Row],[LastType]] = "Scrn", ICE[[#This Row],[LstPrc]], IF(ICE[[#This Row],[LastType]] = "Blk", ICE[[#This Row],[LstBlkPrc]], ""))</f>
        <v>3.7</v>
      </c>
      <c r="S482" s="36">
        <f>ICE[[#This Row],[Vol]]+ICE[[#This Row],[BlkVol]]</f>
        <v>105</v>
      </c>
      <c r="T482" s="36">
        <f>RTD("ice.rtd",,$C482 &amp; $D482 &amp; ":" &amp; T$1)</f>
        <v>550</v>
      </c>
      <c r="U482" s="18">
        <f>RTD("ice.rtd",,$C482 &amp; $D482 &amp; ":" &amp; U$1)</f>
        <v>3.75</v>
      </c>
      <c r="V4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{3.70} |105x</v>
      </c>
      <c r="W482" s="18" t="str">
        <f>IFERROR(IF(LEFT(ICE[[#This Row],[Tenor]], 1) = "B", RTD("esrtd",,$B482 &amp; " " &amp; ICE[[#This Row],[Tenor]] &amp; "-IEU", W$1), RTD("esrtd",,$B482 &amp; " " &amp; VLOOKUP(MONTH(ICE[[#This Row],[Strip]]), MthRef[], 2, 0) &amp; RIGHT(YEAR(ICE[[#This Row],[Strip]]), 2) &amp; "-IEU", W$1)), "")</f>
        <v/>
      </c>
      <c r="X482" s="36"/>
    </row>
    <row r="483" spans="1:24" x14ac:dyDescent="0.25">
      <c r="A483" s="37" t="s">
        <v>396</v>
      </c>
      <c r="B483" s="3" t="str">
        <f>RTD("ice.rtd",,$C483 &amp; $D483 &amp; ":" &amp; B$1)</f>
        <v>SMD</v>
      </c>
      <c r="C483" s="3">
        <v>41767893</v>
      </c>
      <c r="D483" t="s">
        <v>326</v>
      </c>
      <c r="E483" s="3" t="str">
        <f>RTD("ice.rtd",,$C483 &amp; $D483 &amp; ":" &amp; E$1)</f>
        <v>Dec26</v>
      </c>
      <c r="F483" s="3" t="str">
        <f>ICE[[#This Row],[Prod]]&amp;ICE[[#This Row],[Strip]]</f>
        <v>mg9592Dec26</v>
      </c>
      <c r="G483" s="18" t="str">
        <f>RTD("ice.rtd",,$C483 &amp; $D483 &amp; ":" &amp; G$1)</f>
        <v/>
      </c>
      <c r="H483" s="18">
        <f>RTD("ice.rtd",,$C483 &amp; $D483 &amp; ":" &amp; H$1)</f>
        <v>4.5</v>
      </c>
      <c r="I483" s="18" t="str">
        <f>RTD("ice.rtd",,$C483 &amp; $D483 &amp; ":" &amp; I$1)</f>
        <v/>
      </c>
      <c r="J483" s="14" t="str">
        <f>IFERROR(MOD(RTD("ice.rtd",,$C483 &amp; $D483 &amp; ":" &amp; J$1), 1), "")</f>
        <v/>
      </c>
      <c r="K483" s="18">
        <f>RTD("ice.rtd",,$C483 &amp; $D483 &amp; ":" &amp; K$1)</f>
        <v>3.5</v>
      </c>
      <c r="L483" s="36">
        <f>RTD("ice.rtd",,$C483 &amp; $D483 &amp; ":" &amp; L$1)</f>
        <v>25</v>
      </c>
      <c r="M483" s="14">
        <f>IFERROR(MOD(TIMEVALUE(RTD("ice.rtd",,$C483 &amp; $D483 &amp; ":" &amp; M$1)), 1), "")</f>
        <v>0.34469907407407407</v>
      </c>
      <c r="N483" s="36">
        <f>RTD("ice.rtd",,$C483 &amp; $D483 &amp; ":" &amp; N$1)</f>
        <v>0</v>
      </c>
      <c r="O483" s="36">
        <f>RTD("ice.rtd",,$C483 &amp; $D483 &amp; ":" &amp; O$1)</f>
        <v>50</v>
      </c>
      <c r="P4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483" s="14">
        <f>IF(ICE[[#This Row],[LastType]] = "Scrn", ICE[[#This Row],[LstDate]], IF(ICE[[#This Row],[LastType]] = "Blk", ICE[[#This Row],[LstBlkTime]], ""))</f>
        <v>0.34469907407407407</v>
      </c>
      <c r="R483" s="41">
        <f>IF(ICE[[#This Row],[LastType]] = "Scrn", ICE[[#This Row],[LstPrc]], IF(ICE[[#This Row],[LastType]] = "Blk", ICE[[#This Row],[LstBlkPrc]], ""))</f>
        <v>3.5</v>
      </c>
      <c r="S483" s="36">
        <f>ICE[[#This Row],[Vol]]+ICE[[#This Row],[BlkVol]]</f>
        <v>50</v>
      </c>
      <c r="T483" s="36">
        <f>RTD("ice.rtd",,$C483 &amp; $D483 &amp; ":" &amp; T$1)</f>
        <v>735</v>
      </c>
      <c r="U483" s="18">
        <f>RTD("ice.rtd",,$C483 &amp; $D483 &amp; ":" &amp; U$1)</f>
        <v>3.5</v>
      </c>
      <c r="V4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4.50 {3.50} |50x</v>
      </c>
      <c r="W483" s="18" t="str">
        <f>IFERROR(IF(LEFT(ICE[[#This Row],[Tenor]], 1) = "B", RTD("esrtd",,$B483 &amp; " " &amp; ICE[[#This Row],[Tenor]] &amp; "-IEU", W$1), RTD("esrtd",,$B483 &amp; " " &amp; VLOOKUP(MONTH(ICE[[#This Row],[Strip]]), MthRef[], 2, 0) &amp; RIGHT(YEAR(ICE[[#This Row],[Strip]]), 2) &amp; "-IEU", W$1)), "")</f>
        <v/>
      </c>
      <c r="X483" s="36"/>
    </row>
    <row r="484" spans="1:24" x14ac:dyDescent="0.25">
      <c r="A484" s="37" t="s">
        <v>396</v>
      </c>
      <c r="B484" s="3" t="str">
        <f>RTD("ice.rtd",,$C484 &amp; $D484 &amp; ":" &amp; B$1)</f>
        <v>SMD</v>
      </c>
      <c r="C484" s="3">
        <v>41767893</v>
      </c>
      <c r="D484" t="s">
        <v>794</v>
      </c>
      <c r="E484" s="3" t="str">
        <f>RTD("ice.rtd",,$C484 &amp; $D484 &amp; ":" &amp; E$1)</f>
        <v>Jan27</v>
      </c>
      <c r="F484" s="3" t="str">
        <f>ICE[[#This Row],[Prod]]&amp;ICE[[#This Row],[Strip]]</f>
        <v>mg9592Jan27</v>
      </c>
      <c r="G484" s="18" t="str">
        <f>RTD("ice.rtd",,$C484 &amp; $D484 &amp; ":" &amp; G$1)</f>
        <v/>
      </c>
      <c r="H484" s="18" t="str">
        <f>RTD("ice.rtd",,$C484 &amp; $D484 &amp; ":" &amp; H$1)</f>
        <v/>
      </c>
      <c r="I484" s="18" t="str">
        <f>RTD("ice.rtd",,$C484 &amp; $D484 &amp; ":" &amp; I$1)</f>
        <v/>
      </c>
      <c r="J484" s="14" t="str">
        <f>IFERROR(MOD(RTD("ice.rtd",,$C484 &amp; $D484 &amp; ":" &amp; J$1), 1), "")</f>
        <v/>
      </c>
      <c r="K484" s="18" t="str">
        <f>RTD("ice.rtd",,$C484 &amp; $D484 &amp; ":" &amp; K$1)</f>
        <v/>
      </c>
      <c r="L484" s="36" t="str">
        <f>RTD("ice.rtd",,$C484 &amp; $D484 &amp; ":" &amp; L$1)</f>
        <v/>
      </c>
      <c r="M484" s="14" t="str">
        <f>IFERROR(MOD(TIMEVALUE(RTD("ice.rtd",,$C484 &amp; $D484 &amp; ":" &amp; M$1)), 1), "")</f>
        <v/>
      </c>
      <c r="N484" s="36">
        <f>RTD("ice.rtd",,$C484 &amp; $D484 &amp; ":" &amp; N$1)</f>
        <v>0</v>
      </c>
      <c r="O484" s="36">
        <f>RTD("ice.rtd",,$C484 &amp; $D484 &amp; ":" &amp; O$1)</f>
        <v>0</v>
      </c>
      <c r="P4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84" s="14" t="str">
        <f>IF(ICE[[#This Row],[LastType]] = "Scrn", ICE[[#This Row],[LstDate]], IF(ICE[[#This Row],[LastType]] = "Blk", ICE[[#This Row],[LstBlkTime]], ""))</f>
        <v/>
      </c>
      <c r="R484" s="41" t="str">
        <f>IF(ICE[[#This Row],[LastType]] = "Scrn", ICE[[#This Row],[LstPrc]], IF(ICE[[#This Row],[LastType]] = "Blk", ICE[[#This Row],[LstBlkPrc]], ""))</f>
        <v/>
      </c>
      <c r="S484" s="36">
        <f>ICE[[#This Row],[Vol]]+ICE[[#This Row],[BlkVol]]</f>
        <v>0</v>
      </c>
      <c r="T484" s="36">
        <f>RTD("ice.rtd",,$C484 &amp; $D484 &amp; ":" &amp; T$1)</f>
        <v>0</v>
      </c>
      <c r="U484" s="18">
        <f>RTD("ice.rtd",,$C484 &amp; $D484 &amp; ":" &amp; U$1)</f>
        <v>2</v>
      </c>
      <c r="V4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84" s="18" t="str">
        <f>IFERROR(IF(LEFT(ICE[[#This Row],[Tenor]], 1) = "B", RTD("esrtd",,$B484 &amp; " " &amp; ICE[[#This Row],[Tenor]] &amp; "-IEU", W$1), RTD("esrtd",,$B484 &amp; " " &amp; VLOOKUP(MONTH(ICE[[#This Row],[Strip]]), MthRef[], 2, 0) &amp; RIGHT(YEAR(ICE[[#This Row],[Strip]]), 2) &amp; "-IEU", W$1)), "")</f>
        <v/>
      </c>
      <c r="X484" s="36"/>
    </row>
    <row r="485" spans="1:24" x14ac:dyDescent="0.25">
      <c r="A485" s="37" t="s">
        <v>396</v>
      </c>
      <c r="B485" s="3" t="str">
        <f>RTD("ice.rtd",,$C485 &amp; $D485 &amp; ":" &amp; B$1)</f>
        <v>SMD</v>
      </c>
      <c r="C485" s="3">
        <v>41767893</v>
      </c>
      <c r="D485" t="s">
        <v>795</v>
      </c>
      <c r="E485" s="3" t="str">
        <f>RTD("ice.rtd",,$C485 &amp; $D485 &amp; ":" &amp; E$1)</f>
        <v>Feb27</v>
      </c>
      <c r="F485" s="3" t="str">
        <f>ICE[[#This Row],[Prod]]&amp;ICE[[#This Row],[Strip]]</f>
        <v>mg9592Feb27</v>
      </c>
      <c r="G485" s="18" t="str">
        <f>RTD("ice.rtd",,$C485 &amp; $D485 &amp; ":" &amp; G$1)</f>
        <v/>
      </c>
      <c r="H485" s="18" t="str">
        <f>RTD("ice.rtd",,$C485 &amp; $D485 &amp; ":" &amp; H$1)</f>
        <v/>
      </c>
      <c r="I485" s="18" t="str">
        <f>RTD("ice.rtd",,$C485 &amp; $D485 &amp; ":" &amp; I$1)</f>
        <v/>
      </c>
      <c r="J485" s="14" t="str">
        <f>IFERROR(MOD(RTD("ice.rtd",,$C485 &amp; $D485 &amp; ":" &amp; J$1), 1), "")</f>
        <v/>
      </c>
      <c r="K485" s="18" t="str">
        <f>RTD("ice.rtd",,$C485 &amp; $D485 &amp; ":" &amp; K$1)</f>
        <v/>
      </c>
      <c r="L485" s="36" t="str">
        <f>RTD("ice.rtd",,$C485 &amp; $D485 &amp; ":" &amp; L$1)</f>
        <v/>
      </c>
      <c r="M485" s="14" t="str">
        <f>IFERROR(MOD(TIMEVALUE(RTD("ice.rtd",,$C485 &amp; $D485 &amp; ":" &amp; M$1)), 1), "")</f>
        <v/>
      </c>
      <c r="N485" s="36">
        <f>RTD("ice.rtd",,$C485 &amp; $D485 &amp; ":" &amp; N$1)</f>
        <v>0</v>
      </c>
      <c r="O485" s="36">
        <f>RTD("ice.rtd",,$C485 &amp; $D485 &amp; ":" &amp; O$1)</f>
        <v>0</v>
      </c>
      <c r="P4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85" s="14" t="str">
        <f>IF(ICE[[#This Row],[LastType]] = "Scrn", ICE[[#This Row],[LstDate]], IF(ICE[[#This Row],[LastType]] = "Blk", ICE[[#This Row],[LstBlkTime]], ""))</f>
        <v/>
      </c>
      <c r="R485" s="41" t="str">
        <f>IF(ICE[[#This Row],[LastType]] = "Scrn", ICE[[#This Row],[LstPrc]], IF(ICE[[#This Row],[LastType]] = "Blk", ICE[[#This Row],[LstBlkPrc]], ""))</f>
        <v/>
      </c>
      <c r="S485" s="36">
        <f>ICE[[#This Row],[Vol]]+ICE[[#This Row],[BlkVol]]</f>
        <v>0</v>
      </c>
      <c r="T485" s="36">
        <f>RTD("ice.rtd",,$C485 &amp; $D485 &amp; ":" &amp; T$1)</f>
        <v>0</v>
      </c>
      <c r="U485" s="18">
        <f>RTD("ice.rtd",,$C485 &amp; $D485 &amp; ":" &amp; U$1)</f>
        <v>2</v>
      </c>
      <c r="V4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85" s="18" t="str">
        <f>IFERROR(IF(LEFT(ICE[[#This Row],[Tenor]], 1) = "B", RTD("esrtd",,$B485 &amp; " " &amp; ICE[[#This Row],[Tenor]] &amp; "-IEU", W$1), RTD("esrtd",,$B485 &amp; " " &amp; VLOOKUP(MONTH(ICE[[#This Row],[Strip]]), MthRef[], 2, 0) &amp; RIGHT(YEAR(ICE[[#This Row],[Strip]]), 2) &amp; "-IEU", W$1)), "")</f>
        <v/>
      </c>
      <c r="X485" s="36"/>
    </row>
    <row r="486" spans="1:24" x14ac:dyDescent="0.25">
      <c r="A486" s="37" t="s">
        <v>396</v>
      </c>
      <c r="B486" s="3" t="str">
        <f>RTD("ice.rtd",,$C486 &amp; $D486 &amp; ":" &amp; B$1)</f>
        <v>SMD</v>
      </c>
      <c r="C486" s="3">
        <v>41767893</v>
      </c>
      <c r="D486" t="s">
        <v>113</v>
      </c>
      <c r="E486" s="3" t="str">
        <f>RTD("ice.rtd",,$C486 &amp; $D486 &amp; ":" &amp; E$1)</f>
        <v>Mar27</v>
      </c>
      <c r="F486" s="3" t="str">
        <f>ICE[[#This Row],[Prod]]&amp;ICE[[#This Row],[Strip]]</f>
        <v>mg9592Mar27</v>
      </c>
      <c r="G486" s="18" t="str">
        <f>RTD("ice.rtd",,$C486 &amp; $D486 &amp; ":" &amp; G$1)</f>
        <v/>
      </c>
      <c r="H486" s="18" t="str">
        <f>RTD("ice.rtd",,$C486 &amp; $D486 &amp; ":" &amp; H$1)</f>
        <v/>
      </c>
      <c r="I486" s="18" t="str">
        <f>RTD("ice.rtd",,$C486 &amp; $D486 &amp; ":" &amp; I$1)</f>
        <v/>
      </c>
      <c r="J486" s="14" t="str">
        <f>IFERROR(MOD(RTD("ice.rtd",,$C486 &amp; $D486 &amp; ":" &amp; J$1), 1), "")</f>
        <v/>
      </c>
      <c r="K486" s="18" t="str">
        <f>RTD("ice.rtd",,$C486 &amp; $D486 &amp; ":" &amp; K$1)</f>
        <v/>
      </c>
      <c r="L486" s="36" t="str">
        <f>RTD("ice.rtd",,$C486 &amp; $D486 &amp; ":" &amp; L$1)</f>
        <v/>
      </c>
      <c r="M486" s="14" t="str">
        <f>IFERROR(MOD(TIMEVALUE(RTD("ice.rtd",,$C486 &amp; $D486 &amp; ":" &amp; M$1)), 1), "")</f>
        <v/>
      </c>
      <c r="N486" s="36">
        <f>RTD("ice.rtd",,$C486 &amp; $D486 &amp; ":" &amp; N$1)</f>
        <v>0</v>
      </c>
      <c r="O486" s="36">
        <f>RTD("ice.rtd",,$C486 &amp; $D486 &amp; ":" &amp; O$1)</f>
        <v>0</v>
      </c>
      <c r="P4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86" s="14" t="str">
        <f>IF(ICE[[#This Row],[LastType]] = "Scrn", ICE[[#This Row],[LstDate]], IF(ICE[[#This Row],[LastType]] = "Blk", ICE[[#This Row],[LstBlkTime]], ""))</f>
        <v/>
      </c>
      <c r="R486" s="41" t="str">
        <f>IF(ICE[[#This Row],[LastType]] = "Scrn", ICE[[#This Row],[LstPrc]], IF(ICE[[#This Row],[LastType]] = "Blk", ICE[[#This Row],[LstBlkPrc]], ""))</f>
        <v/>
      </c>
      <c r="S486" s="36">
        <f>ICE[[#This Row],[Vol]]+ICE[[#This Row],[BlkVol]]</f>
        <v>0</v>
      </c>
      <c r="T486" s="36">
        <f>RTD("ice.rtd",,$C486 &amp; $D486 &amp; ":" &amp; T$1)</f>
        <v>0</v>
      </c>
      <c r="U486" s="18">
        <f>RTD("ice.rtd",,$C486 &amp; $D486 &amp; ":" &amp; U$1)</f>
        <v>2</v>
      </c>
      <c r="V4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86" s="18" t="str">
        <f>IFERROR(IF(LEFT(ICE[[#This Row],[Tenor]], 1) = "B", RTD("esrtd",,$B486 &amp; " " &amp; ICE[[#This Row],[Tenor]] &amp; "-IEU", W$1), RTD("esrtd",,$B486 &amp; " " &amp; VLOOKUP(MONTH(ICE[[#This Row],[Strip]]), MthRef[], 2, 0) &amp; RIGHT(YEAR(ICE[[#This Row],[Strip]]), 2) &amp; "-IEU", W$1)), "")</f>
        <v/>
      </c>
      <c r="X486" s="36"/>
    </row>
    <row r="487" spans="1:24" x14ac:dyDescent="0.25">
      <c r="A487" s="37" t="s">
        <v>396</v>
      </c>
      <c r="B487" s="3" t="str">
        <f>RTD("ice.rtd",,$C487 &amp; $D487 &amp; ":" &amp; B$1)</f>
        <v>SMD</v>
      </c>
      <c r="C487" s="3">
        <v>41767893</v>
      </c>
      <c r="D487" t="s">
        <v>796</v>
      </c>
      <c r="E487" s="3" t="str">
        <f>RTD("ice.rtd",,$C487 &amp; $D487 &amp; ":" &amp; E$1)</f>
        <v>Apr27</v>
      </c>
      <c r="F487" s="3" t="str">
        <f>ICE[[#This Row],[Prod]]&amp;ICE[[#This Row],[Strip]]</f>
        <v>mg9592Apr27</v>
      </c>
      <c r="G487" s="18" t="str">
        <f>RTD("ice.rtd",,$C487 &amp; $D487 &amp; ":" &amp; G$1)</f>
        <v/>
      </c>
      <c r="H487" s="18" t="str">
        <f>RTD("ice.rtd",,$C487 &amp; $D487 &amp; ":" &amp; H$1)</f>
        <v/>
      </c>
      <c r="I487" s="18" t="str">
        <f>RTD("ice.rtd",,$C487 &amp; $D487 &amp; ":" &amp; I$1)</f>
        <v/>
      </c>
      <c r="J487" s="14" t="str">
        <f>IFERROR(MOD(RTD("ice.rtd",,$C487 &amp; $D487 &amp; ":" &amp; J$1), 1), "")</f>
        <v/>
      </c>
      <c r="K487" s="18" t="str">
        <f>RTD("ice.rtd",,$C487 &amp; $D487 &amp; ":" &amp; K$1)</f>
        <v/>
      </c>
      <c r="L487" s="36" t="str">
        <f>RTD("ice.rtd",,$C487 &amp; $D487 &amp; ":" &amp; L$1)</f>
        <v/>
      </c>
      <c r="M487" s="14" t="str">
        <f>IFERROR(MOD(TIMEVALUE(RTD("ice.rtd",,$C487 &amp; $D487 &amp; ":" &amp; M$1)), 1), "")</f>
        <v/>
      </c>
      <c r="N487" s="36">
        <f>RTD("ice.rtd",,$C487 &amp; $D487 &amp; ":" &amp; N$1)</f>
        <v>0</v>
      </c>
      <c r="O487" s="36">
        <f>RTD("ice.rtd",,$C487 &amp; $D487 &amp; ":" &amp; O$1)</f>
        <v>0</v>
      </c>
      <c r="P4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87" s="14" t="str">
        <f>IF(ICE[[#This Row],[LastType]] = "Scrn", ICE[[#This Row],[LstDate]], IF(ICE[[#This Row],[LastType]] = "Blk", ICE[[#This Row],[LstBlkTime]], ""))</f>
        <v/>
      </c>
      <c r="R487" s="41" t="str">
        <f>IF(ICE[[#This Row],[LastType]] = "Scrn", ICE[[#This Row],[LstPrc]], IF(ICE[[#This Row],[LastType]] = "Blk", ICE[[#This Row],[LstBlkPrc]], ""))</f>
        <v/>
      </c>
      <c r="S487" s="36">
        <f>ICE[[#This Row],[Vol]]+ICE[[#This Row],[BlkVol]]</f>
        <v>0</v>
      </c>
      <c r="T487" s="36">
        <f>RTD("ice.rtd",,$C487 &amp; $D487 &amp; ":" &amp; T$1)</f>
        <v>0</v>
      </c>
      <c r="U487" s="18">
        <f>RTD("ice.rtd",,$C487 &amp; $D487 &amp; ":" &amp; U$1)</f>
        <v>2</v>
      </c>
      <c r="V4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87" s="18" t="str">
        <f>IFERROR(IF(LEFT(ICE[[#This Row],[Tenor]], 1) = "B", RTD("esrtd",,$B487 &amp; " " &amp; ICE[[#This Row],[Tenor]] &amp; "-IEU", W$1), RTD("esrtd",,$B487 &amp; " " &amp; VLOOKUP(MONTH(ICE[[#This Row],[Strip]]), MthRef[], 2, 0) &amp; RIGHT(YEAR(ICE[[#This Row],[Strip]]), 2) &amp; "-IEU", W$1)), "")</f>
        <v/>
      </c>
      <c r="X487" s="36"/>
    </row>
    <row r="488" spans="1:24" x14ac:dyDescent="0.25">
      <c r="A488" s="37" t="s">
        <v>396</v>
      </c>
      <c r="B488" s="3" t="str">
        <f>RTD("ice.rtd",,$C488 &amp; $D488 &amp; ":" &amp; B$1)</f>
        <v>SMD</v>
      </c>
      <c r="C488" s="3">
        <v>41767893</v>
      </c>
      <c r="D488" t="s">
        <v>797</v>
      </c>
      <c r="E488" s="3" t="str">
        <f>RTD("ice.rtd",,$C488 &amp; $D488 &amp; ":" &amp; E$1)</f>
        <v>May27</v>
      </c>
      <c r="F488" s="3" t="str">
        <f>ICE[[#This Row],[Prod]]&amp;ICE[[#This Row],[Strip]]</f>
        <v>mg9592May27</v>
      </c>
      <c r="G488" s="18" t="str">
        <f>RTD("ice.rtd",,$C488 &amp; $D488 &amp; ":" &amp; G$1)</f>
        <v/>
      </c>
      <c r="H488" s="18" t="str">
        <f>RTD("ice.rtd",,$C488 &amp; $D488 &amp; ":" &amp; H$1)</f>
        <v/>
      </c>
      <c r="I488" s="18" t="str">
        <f>RTD("ice.rtd",,$C488 &amp; $D488 &amp; ":" &amp; I$1)</f>
        <v/>
      </c>
      <c r="J488" s="14" t="str">
        <f>IFERROR(MOD(RTD("ice.rtd",,$C488 &amp; $D488 &amp; ":" &amp; J$1), 1), "")</f>
        <v/>
      </c>
      <c r="K488" s="18" t="str">
        <f>RTD("ice.rtd",,$C488 &amp; $D488 &amp; ":" &amp; K$1)</f>
        <v/>
      </c>
      <c r="L488" s="36" t="str">
        <f>RTD("ice.rtd",,$C488 &amp; $D488 &amp; ":" &amp; L$1)</f>
        <v/>
      </c>
      <c r="M488" s="14" t="str">
        <f>IFERROR(MOD(TIMEVALUE(RTD("ice.rtd",,$C488 &amp; $D488 &amp; ":" &amp; M$1)), 1), "")</f>
        <v/>
      </c>
      <c r="N488" s="36">
        <f>RTD("ice.rtd",,$C488 &amp; $D488 &amp; ":" &amp; N$1)</f>
        <v>0</v>
      </c>
      <c r="O488" s="36">
        <f>RTD("ice.rtd",,$C488 &amp; $D488 &amp; ":" &amp; O$1)</f>
        <v>0</v>
      </c>
      <c r="P4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88" s="14" t="str">
        <f>IF(ICE[[#This Row],[LastType]] = "Scrn", ICE[[#This Row],[LstDate]], IF(ICE[[#This Row],[LastType]] = "Blk", ICE[[#This Row],[LstBlkTime]], ""))</f>
        <v/>
      </c>
      <c r="R488" s="41" t="str">
        <f>IF(ICE[[#This Row],[LastType]] = "Scrn", ICE[[#This Row],[LstPrc]], IF(ICE[[#This Row],[LastType]] = "Blk", ICE[[#This Row],[LstBlkPrc]], ""))</f>
        <v/>
      </c>
      <c r="S488" s="36">
        <f>ICE[[#This Row],[Vol]]+ICE[[#This Row],[BlkVol]]</f>
        <v>0</v>
      </c>
      <c r="T488" s="36">
        <f>RTD("ice.rtd",,$C488 &amp; $D488 &amp; ":" &amp; T$1)</f>
        <v>0</v>
      </c>
      <c r="U488" s="18">
        <f>RTD("ice.rtd",,$C488 &amp; $D488 &amp; ":" &amp; U$1)</f>
        <v>2</v>
      </c>
      <c r="V4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88" s="18" t="str">
        <f>IFERROR(IF(LEFT(ICE[[#This Row],[Tenor]], 1) = "B", RTD("esrtd",,$B488 &amp; " " &amp; ICE[[#This Row],[Tenor]] &amp; "-IEU", W$1), RTD("esrtd",,$B488 &amp; " " &amp; VLOOKUP(MONTH(ICE[[#This Row],[Strip]]), MthRef[], 2, 0) &amp; RIGHT(YEAR(ICE[[#This Row],[Strip]]), 2) &amp; "-IEU", W$1)), "")</f>
        <v/>
      </c>
      <c r="X488" s="36"/>
    </row>
    <row r="489" spans="1:24" x14ac:dyDescent="0.25">
      <c r="A489" s="37" t="s">
        <v>396</v>
      </c>
      <c r="B489" s="3" t="str">
        <f>RTD("ice.rtd",,$C489 &amp; $D489 &amp; ":" &amp; B$1)</f>
        <v>SMD</v>
      </c>
      <c r="C489" s="3">
        <v>41767893</v>
      </c>
      <c r="D489" t="s">
        <v>798</v>
      </c>
      <c r="E489" s="3" t="str">
        <f>RTD("ice.rtd",,$C489 &amp; $D489 &amp; ":" &amp; E$1)</f>
        <v>Jun27</v>
      </c>
      <c r="F489" s="3" t="str">
        <f>ICE[[#This Row],[Prod]]&amp;ICE[[#This Row],[Strip]]</f>
        <v>mg9592Jun27</v>
      </c>
      <c r="G489" s="18" t="str">
        <f>RTD("ice.rtd",,$C489 &amp; $D489 &amp; ":" &amp; G$1)</f>
        <v/>
      </c>
      <c r="H489" s="18" t="str">
        <f>RTD("ice.rtd",,$C489 &amp; $D489 &amp; ":" &amp; H$1)</f>
        <v/>
      </c>
      <c r="I489" s="18" t="str">
        <f>RTD("ice.rtd",,$C489 &amp; $D489 &amp; ":" &amp; I$1)</f>
        <v/>
      </c>
      <c r="J489" s="14" t="str">
        <f>IFERROR(MOD(RTD("ice.rtd",,$C489 &amp; $D489 &amp; ":" &amp; J$1), 1), "")</f>
        <v/>
      </c>
      <c r="K489" s="18" t="str">
        <f>RTD("ice.rtd",,$C489 &amp; $D489 &amp; ":" &amp; K$1)</f>
        <v/>
      </c>
      <c r="L489" s="36" t="str">
        <f>RTD("ice.rtd",,$C489 &amp; $D489 &amp; ":" &amp; L$1)</f>
        <v/>
      </c>
      <c r="M489" s="14" t="str">
        <f>IFERROR(MOD(TIMEVALUE(RTD("ice.rtd",,$C489 &amp; $D489 &amp; ":" &amp; M$1)), 1), "")</f>
        <v/>
      </c>
      <c r="N489" s="36">
        <f>RTD("ice.rtd",,$C489 &amp; $D489 &amp; ":" &amp; N$1)</f>
        <v>0</v>
      </c>
      <c r="O489" s="36">
        <f>RTD("ice.rtd",,$C489 &amp; $D489 &amp; ":" &amp; O$1)</f>
        <v>0</v>
      </c>
      <c r="P4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89" s="14" t="str">
        <f>IF(ICE[[#This Row],[LastType]] = "Scrn", ICE[[#This Row],[LstDate]], IF(ICE[[#This Row],[LastType]] = "Blk", ICE[[#This Row],[LstBlkTime]], ""))</f>
        <v/>
      </c>
      <c r="R489" s="41" t="str">
        <f>IF(ICE[[#This Row],[LastType]] = "Scrn", ICE[[#This Row],[LstPrc]], IF(ICE[[#This Row],[LastType]] = "Blk", ICE[[#This Row],[LstBlkPrc]], ""))</f>
        <v/>
      </c>
      <c r="S489" s="36">
        <f>ICE[[#This Row],[Vol]]+ICE[[#This Row],[BlkVol]]</f>
        <v>0</v>
      </c>
      <c r="T489" s="36">
        <f>RTD("ice.rtd",,$C489 &amp; $D489 &amp; ":" &amp; T$1)</f>
        <v>0</v>
      </c>
      <c r="U489" s="18">
        <f>RTD("ice.rtd",,$C489 &amp; $D489 &amp; ":" &amp; U$1)</f>
        <v>2</v>
      </c>
      <c r="V4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89" s="18" t="str">
        <f>IFERROR(IF(LEFT(ICE[[#This Row],[Tenor]], 1) = "B", RTD("esrtd",,$B489 &amp; " " &amp; ICE[[#This Row],[Tenor]] &amp; "-IEU", W$1), RTD("esrtd",,$B489 &amp; " " &amp; VLOOKUP(MONTH(ICE[[#This Row],[Strip]]), MthRef[], 2, 0) &amp; RIGHT(YEAR(ICE[[#This Row],[Strip]]), 2) &amp; "-IEU", W$1)), "")</f>
        <v/>
      </c>
      <c r="X489" s="36"/>
    </row>
    <row r="490" spans="1:24" x14ac:dyDescent="0.25">
      <c r="A490" s="37" t="s">
        <v>396</v>
      </c>
      <c r="B490" s="3" t="str">
        <f>RTD("ice.rtd",,$C490 &amp; $D490 &amp; ":" &amp; B$1)</f>
        <v>SMD</v>
      </c>
      <c r="C490" s="3">
        <v>41767893</v>
      </c>
      <c r="D490" t="s">
        <v>799</v>
      </c>
      <c r="E490" s="3" t="str">
        <f>RTD("ice.rtd",,$C490 &amp; $D490 &amp; ":" &amp; E$1)</f>
        <v>Jul27</v>
      </c>
      <c r="F490" s="3" t="str">
        <f>ICE[[#This Row],[Prod]]&amp;ICE[[#This Row],[Strip]]</f>
        <v>mg9592Jul27</v>
      </c>
      <c r="G490" s="18" t="str">
        <f>RTD("ice.rtd",,$C490 &amp; $D490 &amp; ":" &amp; G$1)</f>
        <v/>
      </c>
      <c r="H490" s="18" t="str">
        <f>RTD("ice.rtd",,$C490 &amp; $D490 &amp; ":" &amp; H$1)</f>
        <v/>
      </c>
      <c r="I490" s="18" t="str">
        <f>RTD("ice.rtd",,$C490 &amp; $D490 &amp; ":" &amp; I$1)</f>
        <v/>
      </c>
      <c r="J490" s="14" t="str">
        <f>IFERROR(MOD(RTD("ice.rtd",,$C490 &amp; $D490 &amp; ":" &amp; J$1), 1), "")</f>
        <v/>
      </c>
      <c r="K490" s="18" t="str">
        <f>RTD("ice.rtd",,$C490 &amp; $D490 &amp; ":" &amp; K$1)</f>
        <v/>
      </c>
      <c r="L490" s="36" t="str">
        <f>RTD("ice.rtd",,$C490 &amp; $D490 &amp; ":" &amp; L$1)</f>
        <v/>
      </c>
      <c r="M490" s="14" t="str">
        <f>IFERROR(MOD(TIMEVALUE(RTD("ice.rtd",,$C490 &amp; $D490 &amp; ":" &amp; M$1)), 1), "")</f>
        <v/>
      </c>
      <c r="N490" s="36">
        <f>RTD("ice.rtd",,$C490 &amp; $D490 &amp; ":" &amp; N$1)</f>
        <v>0</v>
      </c>
      <c r="O490" s="36">
        <f>RTD("ice.rtd",,$C490 &amp; $D490 &amp; ":" &amp; O$1)</f>
        <v>0</v>
      </c>
      <c r="P4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0" s="14" t="str">
        <f>IF(ICE[[#This Row],[LastType]] = "Scrn", ICE[[#This Row],[LstDate]], IF(ICE[[#This Row],[LastType]] = "Blk", ICE[[#This Row],[LstBlkTime]], ""))</f>
        <v/>
      </c>
      <c r="R490" s="41" t="str">
        <f>IF(ICE[[#This Row],[LastType]] = "Scrn", ICE[[#This Row],[LstPrc]], IF(ICE[[#This Row],[LastType]] = "Blk", ICE[[#This Row],[LstBlkPrc]], ""))</f>
        <v/>
      </c>
      <c r="S490" s="36">
        <f>ICE[[#This Row],[Vol]]+ICE[[#This Row],[BlkVol]]</f>
        <v>0</v>
      </c>
      <c r="T490" s="36">
        <f>RTD("ice.rtd",,$C490 &amp; $D490 &amp; ":" &amp; T$1)</f>
        <v>0</v>
      </c>
      <c r="U490" s="18">
        <f>RTD("ice.rtd",,$C490 &amp; $D490 &amp; ":" &amp; U$1)</f>
        <v>2</v>
      </c>
      <c r="V4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0" s="18" t="str">
        <f>IFERROR(IF(LEFT(ICE[[#This Row],[Tenor]], 1) = "B", RTD("esrtd",,$B490 &amp; " " &amp; ICE[[#This Row],[Tenor]] &amp; "-IEU", W$1), RTD("esrtd",,$B490 &amp; " " &amp; VLOOKUP(MONTH(ICE[[#This Row],[Strip]]), MthRef[], 2, 0) &amp; RIGHT(YEAR(ICE[[#This Row],[Strip]]), 2) &amp; "-IEU", W$1)), "")</f>
        <v/>
      </c>
      <c r="X490" s="36"/>
    </row>
    <row r="491" spans="1:24" x14ac:dyDescent="0.25">
      <c r="A491" s="37" t="s">
        <v>396</v>
      </c>
      <c r="B491" s="3" t="str">
        <f>RTD("ice.rtd",,$C491 &amp; $D491 &amp; ":" &amp; B$1)</f>
        <v>SMD</v>
      </c>
      <c r="C491" s="3">
        <v>41767893</v>
      </c>
      <c r="D491" t="s">
        <v>800</v>
      </c>
      <c r="E491" s="3" t="str">
        <f>RTD("ice.rtd",,$C491 &amp; $D491 &amp; ":" &amp; E$1)</f>
        <v>Aug27</v>
      </c>
      <c r="F491" s="3" t="str">
        <f>ICE[[#This Row],[Prod]]&amp;ICE[[#This Row],[Strip]]</f>
        <v>mg9592Aug27</v>
      </c>
      <c r="G491" s="18" t="str">
        <f>RTD("ice.rtd",,$C491 &amp; $D491 &amp; ":" &amp; G$1)</f>
        <v/>
      </c>
      <c r="H491" s="18" t="str">
        <f>RTD("ice.rtd",,$C491 &amp; $D491 &amp; ":" &amp; H$1)</f>
        <v/>
      </c>
      <c r="I491" s="18" t="str">
        <f>RTD("ice.rtd",,$C491 &amp; $D491 &amp; ":" &amp; I$1)</f>
        <v/>
      </c>
      <c r="J491" s="14" t="str">
        <f>IFERROR(MOD(RTD("ice.rtd",,$C491 &amp; $D491 &amp; ":" &amp; J$1), 1), "")</f>
        <v/>
      </c>
      <c r="K491" s="18" t="str">
        <f>RTD("ice.rtd",,$C491 &amp; $D491 &amp; ":" &amp; K$1)</f>
        <v/>
      </c>
      <c r="L491" s="36" t="str">
        <f>RTD("ice.rtd",,$C491 &amp; $D491 &amp; ":" &amp; L$1)</f>
        <v/>
      </c>
      <c r="M491" s="14" t="str">
        <f>IFERROR(MOD(TIMEVALUE(RTD("ice.rtd",,$C491 &amp; $D491 &amp; ":" &amp; M$1)), 1), "")</f>
        <v/>
      </c>
      <c r="N491" s="36">
        <f>RTD("ice.rtd",,$C491 &amp; $D491 &amp; ":" &amp; N$1)</f>
        <v>0</v>
      </c>
      <c r="O491" s="36">
        <f>RTD("ice.rtd",,$C491 &amp; $D491 &amp; ":" &amp; O$1)</f>
        <v>0</v>
      </c>
      <c r="P4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1" s="14" t="str">
        <f>IF(ICE[[#This Row],[LastType]] = "Scrn", ICE[[#This Row],[LstDate]], IF(ICE[[#This Row],[LastType]] = "Blk", ICE[[#This Row],[LstBlkTime]], ""))</f>
        <v/>
      </c>
      <c r="R491" s="41" t="str">
        <f>IF(ICE[[#This Row],[LastType]] = "Scrn", ICE[[#This Row],[LstPrc]], IF(ICE[[#This Row],[LastType]] = "Blk", ICE[[#This Row],[LstBlkPrc]], ""))</f>
        <v/>
      </c>
      <c r="S491" s="36">
        <f>ICE[[#This Row],[Vol]]+ICE[[#This Row],[BlkVol]]</f>
        <v>0</v>
      </c>
      <c r="T491" s="36">
        <f>RTD("ice.rtd",,$C491 &amp; $D491 &amp; ":" &amp; T$1)</f>
        <v>0</v>
      </c>
      <c r="U491" s="18">
        <f>RTD("ice.rtd",,$C491 &amp; $D491 &amp; ":" &amp; U$1)</f>
        <v>2</v>
      </c>
      <c r="V4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1" s="18" t="str">
        <f>IFERROR(IF(LEFT(ICE[[#This Row],[Tenor]], 1) = "B", RTD("esrtd",,$B491 &amp; " " &amp; ICE[[#This Row],[Tenor]] &amp; "-IEU", W$1), RTD("esrtd",,$B491 &amp; " " &amp; VLOOKUP(MONTH(ICE[[#This Row],[Strip]]), MthRef[], 2, 0) &amp; RIGHT(YEAR(ICE[[#This Row],[Strip]]), 2) &amp; "-IEU", W$1)), "")</f>
        <v/>
      </c>
      <c r="X491" s="36"/>
    </row>
    <row r="492" spans="1:24" x14ac:dyDescent="0.25">
      <c r="A492" s="37" t="s">
        <v>396</v>
      </c>
      <c r="B492" s="3" t="str">
        <f>RTD("ice.rtd",,$C492 &amp; $D492 &amp; ":" &amp; B$1)</f>
        <v>SMD</v>
      </c>
      <c r="C492" s="3">
        <v>41767893</v>
      </c>
      <c r="D492" t="s">
        <v>801</v>
      </c>
      <c r="E492" s="3" t="str">
        <f>RTD("ice.rtd",,$C492 &amp; $D492 &amp; ":" &amp; E$1)</f>
        <v>Sep27</v>
      </c>
      <c r="F492" s="3" t="str">
        <f>ICE[[#This Row],[Prod]]&amp;ICE[[#This Row],[Strip]]</f>
        <v>mg9592Sep27</v>
      </c>
      <c r="G492" s="18" t="str">
        <f>RTD("ice.rtd",,$C492 &amp; $D492 &amp; ":" &amp; G$1)</f>
        <v/>
      </c>
      <c r="H492" s="18" t="str">
        <f>RTD("ice.rtd",,$C492 &amp; $D492 &amp; ":" &amp; H$1)</f>
        <v/>
      </c>
      <c r="I492" s="18" t="str">
        <f>RTD("ice.rtd",,$C492 &amp; $D492 &amp; ":" &amp; I$1)</f>
        <v/>
      </c>
      <c r="J492" s="14" t="str">
        <f>IFERROR(MOD(RTD("ice.rtd",,$C492 &amp; $D492 &amp; ":" &amp; J$1), 1), "")</f>
        <v/>
      </c>
      <c r="K492" s="18" t="str">
        <f>RTD("ice.rtd",,$C492 &amp; $D492 &amp; ":" &amp; K$1)</f>
        <v/>
      </c>
      <c r="L492" s="36" t="str">
        <f>RTD("ice.rtd",,$C492 &amp; $D492 &amp; ":" &amp; L$1)</f>
        <v/>
      </c>
      <c r="M492" s="14" t="str">
        <f>IFERROR(MOD(TIMEVALUE(RTD("ice.rtd",,$C492 &amp; $D492 &amp; ":" &amp; M$1)), 1), "")</f>
        <v/>
      </c>
      <c r="N492" s="36">
        <f>RTD("ice.rtd",,$C492 &amp; $D492 &amp; ":" &amp; N$1)</f>
        <v>0</v>
      </c>
      <c r="O492" s="36">
        <f>RTD("ice.rtd",,$C492 &amp; $D492 &amp; ":" &amp; O$1)</f>
        <v>0</v>
      </c>
      <c r="P4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2" s="14" t="str">
        <f>IF(ICE[[#This Row],[LastType]] = "Scrn", ICE[[#This Row],[LstDate]], IF(ICE[[#This Row],[LastType]] = "Blk", ICE[[#This Row],[LstBlkTime]], ""))</f>
        <v/>
      </c>
      <c r="R492" s="41" t="str">
        <f>IF(ICE[[#This Row],[LastType]] = "Scrn", ICE[[#This Row],[LstPrc]], IF(ICE[[#This Row],[LastType]] = "Blk", ICE[[#This Row],[LstBlkPrc]], ""))</f>
        <v/>
      </c>
      <c r="S492" s="36">
        <f>ICE[[#This Row],[Vol]]+ICE[[#This Row],[BlkVol]]</f>
        <v>0</v>
      </c>
      <c r="T492" s="36">
        <f>RTD("ice.rtd",,$C492 &amp; $D492 &amp; ":" &amp; T$1)</f>
        <v>0</v>
      </c>
      <c r="U492" s="18">
        <f>RTD("ice.rtd",,$C492 &amp; $D492 &amp; ":" &amp; U$1)</f>
        <v>2</v>
      </c>
      <c r="V4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2" s="18" t="str">
        <f>IFERROR(IF(LEFT(ICE[[#This Row],[Tenor]], 1) = "B", RTD("esrtd",,$B492 &amp; " " &amp; ICE[[#This Row],[Tenor]] &amp; "-IEU", W$1), RTD("esrtd",,$B492 &amp; " " &amp; VLOOKUP(MONTH(ICE[[#This Row],[Strip]]), MthRef[], 2, 0) &amp; RIGHT(YEAR(ICE[[#This Row],[Strip]]), 2) &amp; "-IEU", W$1)), "")</f>
        <v/>
      </c>
      <c r="X492" s="36"/>
    </row>
    <row r="493" spans="1:24" x14ac:dyDescent="0.25">
      <c r="A493" s="37" t="s">
        <v>396</v>
      </c>
      <c r="B493" s="3" t="str">
        <f>RTD("ice.rtd",,$C493 &amp; $D493 &amp; ":" &amp; B$1)</f>
        <v>SMD</v>
      </c>
      <c r="C493" s="3">
        <v>41767893</v>
      </c>
      <c r="D493" t="s">
        <v>802</v>
      </c>
      <c r="E493" s="3" t="str">
        <f>RTD("ice.rtd",,$C493 &amp; $D493 &amp; ":" &amp; E$1)</f>
        <v>Oct27</v>
      </c>
      <c r="F493" s="3" t="str">
        <f>ICE[[#This Row],[Prod]]&amp;ICE[[#This Row],[Strip]]</f>
        <v>mg9592Oct27</v>
      </c>
      <c r="G493" s="18" t="str">
        <f>RTD("ice.rtd",,$C493 &amp; $D493 &amp; ":" &amp; G$1)</f>
        <v/>
      </c>
      <c r="H493" s="18" t="str">
        <f>RTD("ice.rtd",,$C493 &amp; $D493 &amp; ":" &amp; H$1)</f>
        <v/>
      </c>
      <c r="I493" s="18" t="str">
        <f>RTD("ice.rtd",,$C493 &amp; $D493 &amp; ":" &amp; I$1)</f>
        <v/>
      </c>
      <c r="J493" s="14" t="str">
        <f>IFERROR(MOD(RTD("ice.rtd",,$C493 &amp; $D493 &amp; ":" &amp; J$1), 1), "")</f>
        <v/>
      </c>
      <c r="K493" s="18" t="str">
        <f>RTD("ice.rtd",,$C493 &amp; $D493 &amp; ":" &amp; K$1)</f>
        <v/>
      </c>
      <c r="L493" s="36" t="str">
        <f>RTD("ice.rtd",,$C493 &amp; $D493 &amp; ":" &amp; L$1)</f>
        <v/>
      </c>
      <c r="M493" s="14" t="str">
        <f>IFERROR(MOD(TIMEVALUE(RTD("ice.rtd",,$C493 &amp; $D493 &amp; ":" &amp; M$1)), 1), "")</f>
        <v/>
      </c>
      <c r="N493" s="36">
        <f>RTD("ice.rtd",,$C493 &amp; $D493 &amp; ":" &amp; N$1)</f>
        <v>0</v>
      </c>
      <c r="O493" s="36">
        <f>RTD("ice.rtd",,$C493 &amp; $D493 &amp; ":" &amp; O$1)</f>
        <v>0</v>
      </c>
      <c r="P4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3" s="14" t="str">
        <f>IF(ICE[[#This Row],[LastType]] = "Scrn", ICE[[#This Row],[LstDate]], IF(ICE[[#This Row],[LastType]] = "Blk", ICE[[#This Row],[LstBlkTime]], ""))</f>
        <v/>
      </c>
      <c r="R493" s="41" t="str">
        <f>IF(ICE[[#This Row],[LastType]] = "Scrn", ICE[[#This Row],[LstPrc]], IF(ICE[[#This Row],[LastType]] = "Blk", ICE[[#This Row],[LstBlkPrc]], ""))</f>
        <v/>
      </c>
      <c r="S493" s="36">
        <f>ICE[[#This Row],[Vol]]+ICE[[#This Row],[BlkVol]]</f>
        <v>0</v>
      </c>
      <c r="T493" s="36">
        <f>RTD("ice.rtd",,$C493 &amp; $D493 &amp; ":" &amp; T$1)</f>
        <v>0</v>
      </c>
      <c r="U493" s="18">
        <f>RTD("ice.rtd",,$C493 &amp; $D493 &amp; ":" &amp; U$1)</f>
        <v>2</v>
      </c>
      <c r="V4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3" s="18" t="str">
        <f>IFERROR(IF(LEFT(ICE[[#This Row],[Tenor]], 1) = "B", RTD("esrtd",,$B493 &amp; " " &amp; ICE[[#This Row],[Tenor]] &amp; "-IEU", W$1), RTD("esrtd",,$B493 &amp; " " &amp; VLOOKUP(MONTH(ICE[[#This Row],[Strip]]), MthRef[], 2, 0) &amp; RIGHT(YEAR(ICE[[#This Row],[Strip]]), 2) &amp; "-IEU", W$1)), "")</f>
        <v/>
      </c>
      <c r="X493" s="36"/>
    </row>
    <row r="494" spans="1:24" x14ac:dyDescent="0.25">
      <c r="A494" s="37" t="s">
        <v>396</v>
      </c>
      <c r="B494" s="3" t="str">
        <f>RTD("ice.rtd",,$C494 &amp; $D494 &amp; ":" &amp; B$1)</f>
        <v>SMD</v>
      </c>
      <c r="C494" s="3">
        <v>41767893</v>
      </c>
      <c r="D494" t="s">
        <v>803</v>
      </c>
      <c r="E494" s="3" t="str">
        <f>RTD("ice.rtd",,$C494 &amp; $D494 &amp; ":" &amp; E$1)</f>
        <v>Nov27</v>
      </c>
      <c r="F494" s="3" t="str">
        <f>ICE[[#This Row],[Prod]]&amp;ICE[[#This Row],[Strip]]</f>
        <v>mg9592Nov27</v>
      </c>
      <c r="G494" s="18" t="str">
        <f>RTD("ice.rtd",,$C494 &amp; $D494 &amp; ":" &amp; G$1)</f>
        <v/>
      </c>
      <c r="H494" s="18" t="str">
        <f>RTD("ice.rtd",,$C494 &amp; $D494 &amp; ":" &amp; H$1)</f>
        <v/>
      </c>
      <c r="I494" s="18" t="str">
        <f>RTD("ice.rtd",,$C494 &amp; $D494 &amp; ":" &amp; I$1)</f>
        <v/>
      </c>
      <c r="J494" s="14" t="str">
        <f>IFERROR(MOD(RTD("ice.rtd",,$C494 &amp; $D494 &amp; ":" &amp; J$1), 1), "")</f>
        <v/>
      </c>
      <c r="K494" s="18" t="str">
        <f>RTD("ice.rtd",,$C494 &amp; $D494 &amp; ":" &amp; K$1)</f>
        <v/>
      </c>
      <c r="L494" s="36" t="str">
        <f>RTD("ice.rtd",,$C494 &amp; $D494 &amp; ":" &amp; L$1)</f>
        <v/>
      </c>
      <c r="M494" s="14" t="str">
        <f>IFERROR(MOD(TIMEVALUE(RTD("ice.rtd",,$C494 &amp; $D494 &amp; ":" &amp; M$1)), 1), "")</f>
        <v/>
      </c>
      <c r="N494" s="36">
        <f>RTD("ice.rtd",,$C494 &amp; $D494 &amp; ":" &amp; N$1)</f>
        <v>0</v>
      </c>
      <c r="O494" s="36">
        <f>RTD("ice.rtd",,$C494 &amp; $D494 &amp; ":" &amp; O$1)</f>
        <v>0</v>
      </c>
      <c r="P4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4" s="14" t="str">
        <f>IF(ICE[[#This Row],[LastType]] = "Scrn", ICE[[#This Row],[LstDate]], IF(ICE[[#This Row],[LastType]] = "Blk", ICE[[#This Row],[LstBlkTime]], ""))</f>
        <v/>
      </c>
      <c r="R494" s="41" t="str">
        <f>IF(ICE[[#This Row],[LastType]] = "Scrn", ICE[[#This Row],[LstPrc]], IF(ICE[[#This Row],[LastType]] = "Blk", ICE[[#This Row],[LstBlkPrc]], ""))</f>
        <v/>
      </c>
      <c r="S494" s="36">
        <f>ICE[[#This Row],[Vol]]+ICE[[#This Row],[BlkVol]]</f>
        <v>0</v>
      </c>
      <c r="T494" s="36">
        <f>RTD("ice.rtd",,$C494 &amp; $D494 &amp; ":" &amp; T$1)</f>
        <v>0</v>
      </c>
      <c r="U494" s="18">
        <f>RTD("ice.rtd",,$C494 &amp; $D494 &amp; ":" &amp; U$1)</f>
        <v>2</v>
      </c>
      <c r="V4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4" s="18" t="str">
        <f>IFERROR(IF(LEFT(ICE[[#This Row],[Tenor]], 1) = "B", RTD("esrtd",,$B494 &amp; " " &amp; ICE[[#This Row],[Tenor]] &amp; "-IEU", W$1), RTD("esrtd",,$B494 &amp; " " &amp; VLOOKUP(MONTH(ICE[[#This Row],[Strip]]), MthRef[], 2, 0) &amp; RIGHT(YEAR(ICE[[#This Row],[Strip]]), 2) &amp; "-IEU", W$1)), "")</f>
        <v/>
      </c>
      <c r="X494" s="36"/>
    </row>
    <row r="495" spans="1:24" x14ac:dyDescent="0.25">
      <c r="A495" s="37" t="s">
        <v>396</v>
      </c>
      <c r="B495" s="3" t="str">
        <f>RTD("ice.rtd",,$C495 &amp; $D495 &amp; ":" &amp; B$1)</f>
        <v>SMD</v>
      </c>
      <c r="C495" s="3">
        <v>41767893</v>
      </c>
      <c r="D495" t="s">
        <v>804</v>
      </c>
      <c r="E495" s="3" t="str">
        <f>RTD("ice.rtd",,$C495 &amp; $D495 &amp; ":" &amp; E$1)</f>
        <v>Dec27</v>
      </c>
      <c r="F495" s="3" t="str">
        <f>ICE[[#This Row],[Prod]]&amp;ICE[[#This Row],[Strip]]</f>
        <v>mg9592Dec27</v>
      </c>
      <c r="G495" s="18" t="str">
        <f>RTD("ice.rtd",,$C495 &amp; $D495 &amp; ":" &amp; G$1)</f>
        <v/>
      </c>
      <c r="H495" s="18" t="str">
        <f>RTD("ice.rtd",,$C495 &amp; $D495 &amp; ":" &amp; H$1)</f>
        <v/>
      </c>
      <c r="I495" s="18" t="str">
        <f>RTD("ice.rtd",,$C495 &amp; $D495 &amp; ":" &amp; I$1)</f>
        <v/>
      </c>
      <c r="J495" s="14" t="str">
        <f>IFERROR(MOD(RTD("ice.rtd",,$C495 &amp; $D495 &amp; ":" &amp; J$1), 1), "")</f>
        <v/>
      </c>
      <c r="K495" s="18" t="str">
        <f>RTD("ice.rtd",,$C495 &amp; $D495 &amp; ":" &amp; K$1)</f>
        <v/>
      </c>
      <c r="L495" s="36" t="str">
        <f>RTD("ice.rtd",,$C495 &amp; $D495 &amp; ":" &amp; L$1)</f>
        <v/>
      </c>
      <c r="M495" s="14" t="str">
        <f>IFERROR(MOD(TIMEVALUE(RTD("ice.rtd",,$C495 &amp; $D495 &amp; ":" &amp; M$1)), 1), "")</f>
        <v/>
      </c>
      <c r="N495" s="36">
        <f>RTD("ice.rtd",,$C495 &amp; $D495 &amp; ":" &amp; N$1)</f>
        <v>0</v>
      </c>
      <c r="O495" s="36">
        <f>RTD("ice.rtd",,$C495 &amp; $D495 &amp; ":" &amp; O$1)</f>
        <v>0</v>
      </c>
      <c r="P4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5" s="14" t="str">
        <f>IF(ICE[[#This Row],[LastType]] = "Scrn", ICE[[#This Row],[LstDate]], IF(ICE[[#This Row],[LastType]] = "Blk", ICE[[#This Row],[LstBlkTime]], ""))</f>
        <v/>
      </c>
      <c r="R495" s="41" t="str">
        <f>IF(ICE[[#This Row],[LastType]] = "Scrn", ICE[[#This Row],[LstPrc]], IF(ICE[[#This Row],[LastType]] = "Blk", ICE[[#This Row],[LstBlkPrc]], ""))</f>
        <v/>
      </c>
      <c r="S495" s="36">
        <f>ICE[[#This Row],[Vol]]+ICE[[#This Row],[BlkVol]]</f>
        <v>0</v>
      </c>
      <c r="T495" s="36">
        <f>RTD("ice.rtd",,$C495 &amp; $D495 &amp; ":" &amp; T$1)</f>
        <v>0</v>
      </c>
      <c r="U495" s="18">
        <f>RTD("ice.rtd",,$C495 &amp; $D495 &amp; ":" &amp; U$1)</f>
        <v>2</v>
      </c>
      <c r="V4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5" s="18" t="str">
        <f>IFERROR(IF(LEFT(ICE[[#This Row],[Tenor]], 1) = "B", RTD("esrtd",,$B495 &amp; " " &amp; ICE[[#This Row],[Tenor]] &amp; "-IEU", W$1), RTD("esrtd",,$B495 &amp; " " &amp; VLOOKUP(MONTH(ICE[[#This Row],[Strip]]), MthRef[], 2, 0) &amp; RIGHT(YEAR(ICE[[#This Row],[Strip]]), 2) &amp; "-IEU", W$1)), "")</f>
        <v/>
      </c>
      <c r="X495" s="36"/>
    </row>
    <row r="496" spans="1:24" x14ac:dyDescent="0.25">
      <c r="A496" s="37" t="s">
        <v>396</v>
      </c>
      <c r="B496" s="3" t="str">
        <f>RTD("ice.rtd",,$C496 &amp; $D496 &amp; ":" &amp; B$1)</f>
        <v>SMD</v>
      </c>
      <c r="C496" s="3">
        <v>41767893</v>
      </c>
      <c r="D496" t="s">
        <v>805</v>
      </c>
      <c r="E496" s="3" t="str">
        <f>RTD("ice.rtd",,$C496 &amp; $D496 &amp; ":" &amp; E$1)</f>
        <v>Jan28</v>
      </c>
      <c r="F496" s="3" t="str">
        <f>ICE[[#This Row],[Prod]]&amp;ICE[[#This Row],[Strip]]</f>
        <v>mg9592Jan28</v>
      </c>
      <c r="G496" s="18" t="str">
        <f>RTD("ice.rtd",,$C496 &amp; $D496 &amp; ":" &amp; G$1)</f>
        <v/>
      </c>
      <c r="H496" s="18" t="str">
        <f>RTD("ice.rtd",,$C496 &amp; $D496 &amp; ":" &amp; H$1)</f>
        <v/>
      </c>
      <c r="I496" s="18" t="str">
        <f>RTD("ice.rtd",,$C496 &amp; $D496 &amp; ":" &amp; I$1)</f>
        <v/>
      </c>
      <c r="J496" s="14" t="str">
        <f>IFERROR(MOD(RTD("ice.rtd",,$C496 &amp; $D496 &amp; ":" &amp; J$1), 1), "")</f>
        <v/>
      </c>
      <c r="K496" s="18" t="str">
        <f>RTD("ice.rtd",,$C496 &amp; $D496 &amp; ":" &amp; K$1)</f>
        <v/>
      </c>
      <c r="L496" s="36" t="str">
        <f>RTD("ice.rtd",,$C496 &amp; $D496 &amp; ":" &amp; L$1)</f>
        <v/>
      </c>
      <c r="M496" s="14" t="str">
        <f>IFERROR(MOD(TIMEVALUE(RTD("ice.rtd",,$C496 &amp; $D496 &amp; ":" &amp; M$1)), 1), "")</f>
        <v/>
      </c>
      <c r="N496" s="36">
        <f>RTD("ice.rtd",,$C496 &amp; $D496 &amp; ":" &amp; N$1)</f>
        <v>0</v>
      </c>
      <c r="O496" s="36">
        <f>RTD("ice.rtd",,$C496 &amp; $D496 &amp; ":" &amp; O$1)</f>
        <v>0</v>
      </c>
      <c r="P4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6" s="14" t="str">
        <f>IF(ICE[[#This Row],[LastType]] = "Scrn", ICE[[#This Row],[LstDate]], IF(ICE[[#This Row],[LastType]] = "Blk", ICE[[#This Row],[LstBlkTime]], ""))</f>
        <v/>
      </c>
      <c r="R496" s="41" t="str">
        <f>IF(ICE[[#This Row],[LastType]] = "Scrn", ICE[[#This Row],[LstPrc]], IF(ICE[[#This Row],[LastType]] = "Blk", ICE[[#This Row],[LstBlkPrc]], ""))</f>
        <v/>
      </c>
      <c r="S496" s="36">
        <f>ICE[[#This Row],[Vol]]+ICE[[#This Row],[BlkVol]]</f>
        <v>0</v>
      </c>
      <c r="T496" s="36">
        <f>RTD("ice.rtd",,$C496 &amp; $D496 &amp; ":" &amp; T$1)</f>
        <v>0</v>
      </c>
      <c r="U496" s="18">
        <f>RTD("ice.rtd",,$C496 &amp; $D496 &amp; ":" &amp; U$1)</f>
        <v>2</v>
      </c>
      <c r="V4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6" s="18" t="str">
        <f>IFERROR(IF(LEFT(ICE[[#This Row],[Tenor]], 1) = "B", RTD("esrtd",,$B496 &amp; " " &amp; ICE[[#This Row],[Tenor]] &amp; "-IEU", W$1), RTD("esrtd",,$B496 &amp; " " &amp; VLOOKUP(MONTH(ICE[[#This Row],[Strip]]), MthRef[], 2, 0) &amp; RIGHT(YEAR(ICE[[#This Row],[Strip]]), 2) &amp; "-IEU", W$1)), "")</f>
        <v/>
      </c>
      <c r="X496" s="36"/>
    </row>
    <row r="497" spans="1:24" x14ac:dyDescent="0.25">
      <c r="A497" s="37" t="s">
        <v>396</v>
      </c>
      <c r="B497" s="3" t="str">
        <f>RTD("ice.rtd",,$C497 &amp; $D497 &amp; ":" &amp; B$1)</f>
        <v>SMD</v>
      </c>
      <c r="C497" s="3">
        <v>41767893</v>
      </c>
      <c r="D497" t="s">
        <v>806</v>
      </c>
      <c r="E497" s="3" t="str">
        <f>RTD("ice.rtd",,$C497 &amp; $D497 &amp; ":" &amp; E$1)</f>
        <v>Feb28</v>
      </c>
      <c r="F497" s="3" t="str">
        <f>ICE[[#This Row],[Prod]]&amp;ICE[[#This Row],[Strip]]</f>
        <v>mg9592Feb28</v>
      </c>
      <c r="G497" s="18" t="str">
        <f>RTD("ice.rtd",,$C497 &amp; $D497 &amp; ":" &amp; G$1)</f>
        <v/>
      </c>
      <c r="H497" s="18" t="str">
        <f>RTD("ice.rtd",,$C497 &amp; $D497 &amp; ":" &amp; H$1)</f>
        <v/>
      </c>
      <c r="I497" s="18" t="str">
        <f>RTD("ice.rtd",,$C497 &amp; $D497 &amp; ":" &amp; I$1)</f>
        <v/>
      </c>
      <c r="J497" s="14" t="str">
        <f>IFERROR(MOD(RTD("ice.rtd",,$C497 &amp; $D497 &amp; ":" &amp; J$1), 1), "")</f>
        <v/>
      </c>
      <c r="K497" s="18" t="str">
        <f>RTD("ice.rtd",,$C497 &amp; $D497 &amp; ":" &amp; K$1)</f>
        <v/>
      </c>
      <c r="L497" s="36" t="str">
        <f>RTD("ice.rtd",,$C497 &amp; $D497 &amp; ":" &amp; L$1)</f>
        <v/>
      </c>
      <c r="M497" s="14" t="str">
        <f>IFERROR(MOD(TIMEVALUE(RTD("ice.rtd",,$C497 &amp; $D497 &amp; ":" &amp; M$1)), 1), "")</f>
        <v/>
      </c>
      <c r="N497" s="36">
        <f>RTD("ice.rtd",,$C497 &amp; $D497 &amp; ":" &amp; N$1)</f>
        <v>0</v>
      </c>
      <c r="O497" s="36">
        <f>RTD("ice.rtd",,$C497 &amp; $D497 &amp; ":" &amp; O$1)</f>
        <v>0</v>
      </c>
      <c r="P4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7" s="14" t="str">
        <f>IF(ICE[[#This Row],[LastType]] = "Scrn", ICE[[#This Row],[LstDate]], IF(ICE[[#This Row],[LastType]] = "Blk", ICE[[#This Row],[LstBlkTime]], ""))</f>
        <v/>
      </c>
      <c r="R497" s="41" t="str">
        <f>IF(ICE[[#This Row],[LastType]] = "Scrn", ICE[[#This Row],[LstPrc]], IF(ICE[[#This Row],[LastType]] = "Blk", ICE[[#This Row],[LstBlkPrc]], ""))</f>
        <v/>
      </c>
      <c r="S497" s="36">
        <f>ICE[[#This Row],[Vol]]+ICE[[#This Row],[BlkVol]]</f>
        <v>0</v>
      </c>
      <c r="T497" s="36">
        <f>RTD("ice.rtd",,$C497 &amp; $D497 &amp; ":" &amp; T$1)</f>
        <v>0</v>
      </c>
      <c r="U497" s="18">
        <f>RTD("ice.rtd",,$C497 &amp; $D497 &amp; ":" &amp; U$1)</f>
        <v>2</v>
      </c>
      <c r="V4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7" s="18" t="str">
        <f>IFERROR(IF(LEFT(ICE[[#This Row],[Tenor]], 1) = "B", RTD("esrtd",,$B497 &amp; " " &amp; ICE[[#This Row],[Tenor]] &amp; "-IEU", W$1), RTD("esrtd",,$B497 &amp; " " &amp; VLOOKUP(MONTH(ICE[[#This Row],[Strip]]), MthRef[], 2, 0) &amp; RIGHT(YEAR(ICE[[#This Row],[Strip]]), 2) &amp; "-IEU", W$1)), "")</f>
        <v/>
      </c>
      <c r="X497" s="36"/>
    </row>
    <row r="498" spans="1:24" x14ac:dyDescent="0.25">
      <c r="A498" s="37" t="s">
        <v>396</v>
      </c>
      <c r="B498" s="3" t="str">
        <f>RTD("ice.rtd",,$C498 &amp; $D498 &amp; ":" &amp; B$1)</f>
        <v>SMD</v>
      </c>
      <c r="C498" s="3">
        <v>41767893</v>
      </c>
      <c r="D498" t="s">
        <v>807</v>
      </c>
      <c r="E498" s="3" t="str">
        <f>RTD("ice.rtd",,$C498 &amp; $D498 &amp; ":" &amp; E$1)</f>
        <v>Mar28</v>
      </c>
      <c r="F498" s="3" t="str">
        <f>ICE[[#This Row],[Prod]]&amp;ICE[[#This Row],[Strip]]</f>
        <v>mg9592Mar28</v>
      </c>
      <c r="G498" s="18" t="str">
        <f>RTD("ice.rtd",,$C498 &amp; $D498 &amp; ":" &amp; G$1)</f>
        <v/>
      </c>
      <c r="H498" s="18" t="str">
        <f>RTD("ice.rtd",,$C498 &amp; $D498 &amp; ":" &amp; H$1)</f>
        <v/>
      </c>
      <c r="I498" s="18" t="str">
        <f>RTD("ice.rtd",,$C498 &amp; $D498 &amp; ":" &amp; I$1)</f>
        <v/>
      </c>
      <c r="J498" s="14" t="str">
        <f>IFERROR(MOD(RTD("ice.rtd",,$C498 &amp; $D498 &amp; ":" &amp; J$1), 1), "")</f>
        <v/>
      </c>
      <c r="K498" s="18" t="str">
        <f>RTD("ice.rtd",,$C498 &amp; $D498 &amp; ":" &amp; K$1)</f>
        <v/>
      </c>
      <c r="L498" s="36" t="str">
        <f>RTD("ice.rtd",,$C498 &amp; $D498 &amp; ":" &amp; L$1)</f>
        <v/>
      </c>
      <c r="M498" s="14" t="str">
        <f>IFERROR(MOD(TIMEVALUE(RTD("ice.rtd",,$C498 &amp; $D498 &amp; ":" &amp; M$1)), 1), "")</f>
        <v/>
      </c>
      <c r="N498" s="36">
        <f>RTD("ice.rtd",,$C498 &amp; $D498 &amp; ":" &amp; N$1)</f>
        <v>0</v>
      </c>
      <c r="O498" s="36">
        <f>RTD("ice.rtd",,$C498 &amp; $D498 &amp; ":" &amp; O$1)</f>
        <v>0</v>
      </c>
      <c r="P4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8" s="14" t="str">
        <f>IF(ICE[[#This Row],[LastType]] = "Scrn", ICE[[#This Row],[LstDate]], IF(ICE[[#This Row],[LastType]] = "Blk", ICE[[#This Row],[LstBlkTime]], ""))</f>
        <v/>
      </c>
      <c r="R498" s="41" t="str">
        <f>IF(ICE[[#This Row],[LastType]] = "Scrn", ICE[[#This Row],[LstPrc]], IF(ICE[[#This Row],[LastType]] = "Blk", ICE[[#This Row],[LstBlkPrc]], ""))</f>
        <v/>
      </c>
      <c r="S498" s="36">
        <f>ICE[[#This Row],[Vol]]+ICE[[#This Row],[BlkVol]]</f>
        <v>0</v>
      </c>
      <c r="T498" s="36">
        <f>RTD("ice.rtd",,$C498 &amp; $D498 &amp; ":" &amp; T$1)</f>
        <v>0</v>
      </c>
      <c r="U498" s="18">
        <f>RTD("ice.rtd",,$C498 &amp; $D498 &amp; ":" &amp; U$1)</f>
        <v>2</v>
      </c>
      <c r="V4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8" s="18" t="str">
        <f>IFERROR(IF(LEFT(ICE[[#This Row],[Tenor]], 1) = "B", RTD("esrtd",,$B498 &amp; " " &amp; ICE[[#This Row],[Tenor]] &amp; "-IEU", W$1), RTD("esrtd",,$B498 &amp; " " &amp; VLOOKUP(MONTH(ICE[[#This Row],[Strip]]), MthRef[], 2, 0) &amp; RIGHT(YEAR(ICE[[#This Row],[Strip]]), 2) &amp; "-IEU", W$1)), "")</f>
        <v/>
      </c>
      <c r="X498" s="36"/>
    </row>
    <row r="499" spans="1:24" x14ac:dyDescent="0.25">
      <c r="A499" s="37" t="s">
        <v>396</v>
      </c>
      <c r="B499" s="3" t="str">
        <f>RTD("ice.rtd",,$C499 &amp; $D499 &amp; ":" &amp; B$1)</f>
        <v>SMD</v>
      </c>
      <c r="C499" s="3">
        <v>41767893</v>
      </c>
      <c r="D499" t="s">
        <v>808</v>
      </c>
      <c r="E499" s="3" t="str">
        <f>RTD("ice.rtd",,$C499 &amp; $D499 &amp; ":" &amp; E$1)</f>
        <v>Apr28</v>
      </c>
      <c r="F499" s="3" t="str">
        <f>ICE[[#This Row],[Prod]]&amp;ICE[[#This Row],[Strip]]</f>
        <v>mg9592Apr28</v>
      </c>
      <c r="G499" s="18" t="str">
        <f>RTD("ice.rtd",,$C499 &amp; $D499 &amp; ":" &amp; G$1)</f>
        <v/>
      </c>
      <c r="H499" s="18" t="str">
        <f>RTD("ice.rtd",,$C499 &amp; $D499 &amp; ":" &amp; H$1)</f>
        <v/>
      </c>
      <c r="I499" s="18" t="str">
        <f>RTD("ice.rtd",,$C499 &amp; $D499 &amp; ":" &amp; I$1)</f>
        <v/>
      </c>
      <c r="J499" s="14" t="str">
        <f>IFERROR(MOD(RTD("ice.rtd",,$C499 &amp; $D499 &amp; ":" &amp; J$1), 1), "")</f>
        <v/>
      </c>
      <c r="K499" s="18" t="str">
        <f>RTD("ice.rtd",,$C499 &amp; $D499 &amp; ":" &amp; K$1)</f>
        <v/>
      </c>
      <c r="L499" s="36" t="str">
        <f>RTD("ice.rtd",,$C499 &amp; $D499 &amp; ":" &amp; L$1)</f>
        <v/>
      </c>
      <c r="M499" s="14" t="str">
        <f>IFERROR(MOD(TIMEVALUE(RTD("ice.rtd",,$C499 &amp; $D499 &amp; ":" &amp; M$1)), 1), "")</f>
        <v/>
      </c>
      <c r="N499" s="36">
        <f>RTD("ice.rtd",,$C499 &amp; $D499 &amp; ":" &amp; N$1)</f>
        <v>0</v>
      </c>
      <c r="O499" s="36">
        <f>RTD("ice.rtd",,$C499 &amp; $D499 &amp; ":" &amp; O$1)</f>
        <v>0</v>
      </c>
      <c r="P4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499" s="14" t="str">
        <f>IF(ICE[[#This Row],[LastType]] = "Scrn", ICE[[#This Row],[LstDate]], IF(ICE[[#This Row],[LastType]] = "Blk", ICE[[#This Row],[LstBlkTime]], ""))</f>
        <v/>
      </c>
      <c r="R499" s="41" t="str">
        <f>IF(ICE[[#This Row],[LastType]] = "Scrn", ICE[[#This Row],[LstPrc]], IF(ICE[[#This Row],[LastType]] = "Blk", ICE[[#This Row],[LstBlkPrc]], ""))</f>
        <v/>
      </c>
      <c r="S499" s="36">
        <f>ICE[[#This Row],[Vol]]+ICE[[#This Row],[BlkVol]]</f>
        <v>0</v>
      </c>
      <c r="T499" s="36">
        <f>RTD("ice.rtd",,$C499 &amp; $D499 &amp; ":" &amp; T$1)</f>
        <v>0</v>
      </c>
      <c r="U499" s="18">
        <f>RTD("ice.rtd",,$C499 &amp; $D499 &amp; ":" &amp; U$1)</f>
        <v>2</v>
      </c>
      <c r="V4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499" s="18" t="str">
        <f>IFERROR(IF(LEFT(ICE[[#This Row],[Tenor]], 1) = "B", RTD("esrtd",,$B499 &amp; " " &amp; ICE[[#This Row],[Tenor]] &amp; "-IEU", W$1), RTD("esrtd",,$B499 &amp; " " &amp; VLOOKUP(MONTH(ICE[[#This Row],[Strip]]), MthRef[], 2, 0) &amp; RIGHT(YEAR(ICE[[#This Row],[Strip]]), 2) &amp; "-IEU", W$1)), "")</f>
        <v/>
      </c>
      <c r="X499" s="36"/>
    </row>
    <row r="500" spans="1:24" x14ac:dyDescent="0.25">
      <c r="A500" s="37" t="s">
        <v>396</v>
      </c>
      <c r="B500" s="3" t="str">
        <f>RTD("ice.rtd",,$C500 &amp; $D500 &amp; ":" &amp; B$1)</f>
        <v>SMD</v>
      </c>
      <c r="C500" s="3">
        <v>41767893</v>
      </c>
      <c r="D500" t="s">
        <v>809</v>
      </c>
      <c r="E500" s="3" t="str">
        <f>RTD("ice.rtd",,$C500 &amp; $D500 &amp; ":" &amp; E$1)</f>
        <v>May28</v>
      </c>
      <c r="F500" s="3" t="str">
        <f>ICE[[#This Row],[Prod]]&amp;ICE[[#This Row],[Strip]]</f>
        <v>mg9592May28</v>
      </c>
      <c r="G500" s="18" t="str">
        <f>RTD("ice.rtd",,$C500 &amp; $D500 &amp; ":" &amp; G$1)</f>
        <v/>
      </c>
      <c r="H500" s="18" t="str">
        <f>RTD("ice.rtd",,$C500 &amp; $D500 &amp; ":" &amp; H$1)</f>
        <v/>
      </c>
      <c r="I500" s="18" t="str">
        <f>RTD("ice.rtd",,$C500 &amp; $D500 &amp; ":" &amp; I$1)</f>
        <v/>
      </c>
      <c r="J500" s="14" t="str">
        <f>IFERROR(MOD(RTD("ice.rtd",,$C500 &amp; $D500 &amp; ":" &amp; J$1), 1), "")</f>
        <v/>
      </c>
      <c r="K500" s="18" t="str">
        <f>RTD("ice.rtd",,$C500 &amp; $D500 &amp; ":" &amp; K$1)</f>
        <v/>
      </c>
      <c r="L500" s="36" t="str">
        <f>RTD("ice.rtd",,$C500 &amp; $D500 &amp; ":" &amp; L$1)</f>
        <v/>
      </c>
      <c r="M500" s="14" t="str">
        <f>IFERROR(MOD(TIMEVALUE(RTD("ice.rtd",,$C500 &amp; $D500 &amp; ":" &amp; M$1)), 1), "")</f>
        <v/>
      </c>
      <c r="N500" s="36">
        <f>RTD("ice.rtd",,$C500 &amp; $D500 &amp; ":" &amp; N$1)</f>
        <v>0</v>
      </c>
      <c r="O500" s="36">
        <f>RTD("ice.rtd",,$C500 &amp; $D500 &amp; ":" &amp; O$1)</f>
        <v>0</v>
      </c>
      <c r="P5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0" s="14" t="str">
        <f>IF(ICE[[#This Row],[LastType]] = "Scrn", ICE[[#This Row],[LstDate]], IF(ICE[[#This Row],[LastType]] = "Blk", ICE[[#This Row],[LstBlkTime]], ""))</f>
        <v/>
      </c>
      <c r="R500" s="41" t="str">
        <f>IF(ICE[[#This Row],[LastType]] = "Scrn", ICE[[#This Row],[LstPrc]], IF(ICE[[#This Row],[LastType]] = "Blk", ICE[[#This Row],[LstBlkPrc]], ""))</f>
        <v/>
      </c>
      <c r="S500" s="36">
        <f>ICE[[#This Row],[Vol]]+ICE[[#This Row],[BlkVol]]</f>
        <v>0</v>
      </c>
      <c r="T500" s="36">
        <f>RTD("ice.rtd",,$C500 &amp; $D500 &amp; ":" &amp; T$1)</f>
        <v>0</v>
      </c>
      <c r="U500" s="18">
        <f>RTD("ice.rtd",,$C500 &amp; $D500 &amp; ":" &amp; U$1)</f>
        <v>2</v>
      </c>
      <c r="V5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0" s="18" t="str">
        <f>IFERROR(IF(LEFT(ICE[[#This Row],[Tenor]], 1) = "B", RTD("esrtd",,$B500 &amp; " " &amp; ICE[[#This Row],[Tenor]] &amp; "-IEU", W$1), RTD("esrtd",,$B500 &amp; " " &amp; VLOOKUP(MONTH(ICE[[#This Row],[Strip]]), MthRef[], 2, 0) &amp; RIGHT(YEAR(ICE[[#This Row],[Strip]]), 2) &amp; "-IEU", W$1)), "")</f>
        <v/>
      </c>
      <c r="X500" s="36"/>
    </row>
    <row r="501" spans="1:24" x14ac:dyDescent="0.25">
      <c r="A501" s="37" t="s">
        <v>396</v>
      </c>
      <c r="B501" s="3" t="str">
        <f>RTD("ice.rtd",,$C501 &amp; $D501 &amp; ":" &amp; B$1)</f>
        <v>SMD</v>
      </c>
      <c r="C501" s="3">
        <v>41767893</v>
      </c>
      <c r="D501" t="s">
        <v>810</v>
      </c>
      <c r="E501" s="3" t="str">
        <f>RTD("ice.rtd",,$C501 &amp; $D501 &amp; ":" &amp; E$1)</f>
        <v>Jun28</v>
      </c>
      <c r="F501" s="3" t="str">
        <f>ICE[[#This Row],[Prod]]&amp;ICE[[#This Row],[Strip]]</f>
        <v>mg9592Jun28</v>
      </c>
      <c r="G501" s="18" t="str">
        <f>RTD("ice.rtd",,$C501 &amp; $D501 &amp; ":" &amp; G$1)</f>
        <v/>
      </c>
      <c r="H501" s="18" t="str">
        <f>RTD("ice.rtd",,$C501 &amp; $D501 &amp; ":" &amp; H$1)</f>
        <v/>
      </c>
      <c r="I501" s="18" t="str">
        <f>RTD("ice.rtd",,$C501 &amp; $D501 &amp; ":" &amp; I$1)</f>
        <v/>
      </c>
      <c r="J501" s="14" t="str">
        <f>IFERROR(MOD(RTD("ice.rtd",,$C501 &amp; $D501 &amp; ":" &amp; J$1), 1), "")</f>
        <v/>
      </c>
      <c r="K501" s="18" t="str">
        <f>RTD("ice.rtd",,$C501 &amp; $D501 &amp; ":" &amp; K$1)</f>
        <v/>
      </c>
      <c r="L501" s="36" t="str">
        <f>RTD("ice.rtd",,$C501 &amp; $D501 &amp; ":" &amp; L$1)</f>
        <v/>
      </c>
      <c r="M501" s="14" t="str">
        <f>IFERROR(MOD(TIMEVALUE(RTD("ice.rtd",,$C501 &amp; $D501 &amp; ":" &amp; M$1)), 1), "")</f>
        <v/>
      </c>
      <c r="N501" s="36">
        <f>RTD("ice.rtd",,$C501 &amp; $D501 &amp; ":" &amp; N$1)</f>
        <v>0</v>
      </c>
      <c r="O501" s="36">
        <f>RTD("ice.rtd",,$C501 &amp; $D501 &amp; ":" &amp; O$1)</f>
        <v>0</v>
      </c>
      <c r="P5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1" s="14" t="str">
        <f>IF(ICE[[#This Row],[LastType]] = "Scrn", ICE[[#This Row],[LstDate]], IF(ICE[[#This Row],[LastType]] = "Blk", ICE[[#This Row],[LstBlkTime]], ""))</f>
        <v/>
      </c>
      <c r="R501" s="41" t="str">
        <f>IF(ICE[[#This Row],[LastType]] = "Scrn", ICE[[#This Row],[LstPrc]], IF(ICE[[#This Row],[LastType]] = "Blk", ICE[[#This Row],[LstBlkPrc]], ""))</f>
        <v/>
      </c>
      <c r="S501" s="36">
        <f>ICE[[#This Row],[Vol]]+ICE[[#This Row],[BlkVol]]</f>
        <v>0</v>
      </c>
      <c r="T501" s="36">
        <f>RTD("ice.rtd",,$C501 &amp; $D501 &amp; ":" &amp; T$1)</f>
        <v>0</v>
      </c>
      <c r="U501" s="18">
        <f>RTD("ice.rtd",,$C501 &amp; $D501 &amp; ":" &amp; U$1)</f>
        <v>2</v>
      </c>
      <c r="V5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1" s="18" t="str">
        <f>IFERROR(IF(LEFT(ICE[[#This Row],[Tenor]], 1) = "B", RTD("esrtd",,$B501 &amp; " " &amp; ICE[[#This Row],[Tenor]] &amp; "-IEU", W$1), RTD("esrtd",,$B501 &amp; " " &amp; VLOOKUP(MONTH(ICE[[#This Row],[Strip]]), MthRef[], 2, 0) &amp; RIGHT(YEAR(ICE[[#This Row],[Strip]]), 2) &amp; "-IEU", W$1)), "")</f>
        <v/>
      </c>
      <c r="X501" s="36"/>
    </row>
    <row r="502" spans="1:24" x14ac:dyDescent="0.25">
      <c r="A502" s="37" t="s">
        <v>396</v>
      </c>
      <c r="B502" s="3" t="str">
        <f>RTD("ice.rtd",,$C502 &amp; $D502 &amp; ":" &amp; B$1)</f>
        <v>SMD</v>
      </c>
      <c r="C502" s="3">
        <v>41767893</v>
      </c>
      <c r="D502" t="s">
        <v>811</v>
      </c>
      <c r="E502" s="3" t="str">
        <f>RTD("ice.rtd",,$C502 &amp; $D502 &amp; ":" &amp; E$1)</f>
        <v>Jul28</v>
      </c>
      <c r="F502" s="3" t="str">
        <f>ICE[[#This Row],[Prod]]&amp;ICE[[#This Row],[Strip]]</f>
        <v>mg9592Jul28</v>
      </c>
      <c r="G502" s="18" t="str">
        <f>RTD("ice.rtd",,$C502 &amp; $D502 &amp; ":" &amp; G$1)</f>
        <v/>
      </c>
      <c r="H502" s="18" t="str">
        <f>RTD("ice.rtd",,$C502 &amp; $D502 &amp; ":" &amp; H$1)</f>
        <v/>
      </c>
      <c r="I502" s="18" t="str">
        <f>RTD("ice.rtd",,$C502 &amp; $D502 &amp; ":" &amp; I$1)</f>
        <v/>
      </c>
      <c r="J502" s="14" t="str">
        <f>IFERROR(MOD(RTD("ice.rtd",,$C502 &amp; $D502 &amp; ":" &amp; J$1), 1), "")</f>
        <v/>
      </c>
      <c r="K502" s="18" t="str">
        <f>RTD("ice.rtd",,$C502 &amp; $D502 &amp; ":" &amp; K$1)</f>
        <v/>
      </c>
      <c r="L502" s="36" t="str">
        <f>RTD("ice.rtd",,$C502 &amp; $D502 &amp; ":" &amp; L$1)</f>
        <v/>
      </c>
      <c r="M502" s="14" t="str">
        <f>IFERROR(MOD(TIMEVALUE(RTD("ice.rtd",,$C502 &amp; $D502 &amp; ":" &amp; M$1)), 1), "")</f>
        <v/>
      </c>
      <c r="N502" s="36">
        <f>RTD("ice.rtd",,$C502 &amp; $D502 &amp; ":" &amp; N$1)</f>
        <v>0</v>
      </c>
      <c r="O502" s="36">
        <f>RTD("ice.rtd",,$C502 &amp; $D502 &amp; ":" &amp; O$1)</f>
        <v>0</v>
      </c>
      <c r="P5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2" s="14" t="str">
        <f>IF(ICE[[#This Row],[LastType]] = "Scrn", ICE[[#This Row],[LstDate]], IF(ICE[[#This Row],[LastType]] = "Blk", ICE[[#This Row],[LstBlkTime]], ""))</f>
        <v/>
      </c>
      <c r="R502" s="41" t="str">
        <f>IF(ICE[[#This Row],[LastType]] = "Scrn", ICE[[#This Row],[LstPrc]], IF(ICE[[#This Row],[LastType]] = "Blk", ICE[[#This Row],[LstBlkPrc]], ""))</f>
        <v/>
      </c>
      <c r="S502" s="36">
        <f>ICE[[#This Row],[Vol]]+ICE[[#This Row],[BlkVol]]</f>
        <v>0</v>
      </c>
      <c r="T502" s="36">
        <f>RTD("ice.rtd",,$C502 &amp; $D502 &amp; ":" &amp; T$1)</f>
        <v>0</v>
      </c>
      <c r="U502" s="18">
        <f>RTD("ice.rtd",,$C502 &amp; $D502 &amp; ":" &amp; U$1)</f>
        <v>2</v>
      </c>
      <c r="V5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2" s="18" t="str">
        <f>IFERROR(IF(LEFT(ICE[[#This Row],[Tenor]], 1) = "B", RTD("esrtd",,$B502 &amp; " " &amp; ICE[[#This Row],[Tenor]] &amp; "-IEU", W$1), RTD("esrtd",,$B502 &amp; " " &amp; VLOOKUP(MONTH(ICE[[#This Row],[Strip]]), MthRef[], 2, 0) &amp; RIGHT(YEAR(ICE[[#This Row],[Strip]]), 2) &amp; "-IEU", W$1)), "")</f>
        <v/>
      </c>
      <c r="X502" s="36"/>
    </row>
    <row r="503" spans="1:24" x14ac:dyDescent="0.25">
      <c r="A503" s="37" t="s">
        <v>396</v>
      </c>
      <c r="B503" s="3" t="str">
        <f>RTD("ice.rtd",,$C503 &amp; $D503 &amp; ":" &amp; B$1)</f>
        <v>SMD</v>
      </c>
      <c r="C503" s="3">
        <v>41767893</v>
      </c>
      <c r="D503" t="s">
        <v>812</v>
      </c>
      <c r="E503" s="3" t="str">
        <f>RTD("ice.rtd",,$C503 &amp; $D503 &amp; ":" &amp; E$1)</f>
        <v>Aug28</v>
      </c>
      <c r="F503" s="3" t="str">
        <f>ICE[[#This Row],[Prod]]&amp;ICE[[#This Row],[Strip]]</f>
        <v>mg9592Aug28</v>
      </c>
      <c r="G503" s="18" t="str">
        <f>RTD("ice.rtd",,$C503 &amp; $D503 &amp; ":" &amp; G$1)</f>
        <v/>
      </c>
      <c r="H503" s="18" t="str">
        <f>RTD("ice.rtd",,$C503 &amp; $D503 &amp; ":" &amp; H$1)</f>
        <v/>
      </c>
      <c r="I503" s="18" t="str">
        <f>RTD("ice.rtd",,$C503 &amp; $D503 &amp; ":" &amp; I$1)</f>
        <v/>
      </c>
      <c r="J503" s="14" t="str">
        <f>IFERROR(MOD(RTD("ice.rtd",,$C503 &amp; $D503 &amp; ":" &amp; J$1), 1), "")</f>
        <v/>
      </c>
      <c r="K503" s="18" t="str">
        <f>RTD("ice.rtd",,$C503 &amp; $D503 &amp; ":" &amp; K$1)</f>
        <v/>
      </c>
      <c r="L503" s="36" t="str">
        <f>RTD("ice.rtd",,$C503 &amp; $D503 &amp; ":" &amp; L$1)</f>
        <v/>
      </c>
      <c r="M503" s="14" t="str">
        <f>IFERROR(MOD(TIMEVALUE(RTD("ice.rtd",,$C503 &amp; $D503 &amp; ":" &amp; M$1)), 1), "")</f>
        <v/>
      </c>
      <c r="N503" s="36">
        <f>RTD("ice.rtd",,$C503 &amp; $D503 &amp; ":" &amp; N$1)</f>
        <v>0</v>
      </c>
      <c r="O503" s="36">
        <f>RTD("ice.rtd",,$C503 &amp; $D503 &amp; ":" &amp; O$1)</f>
        <v>0</v>
      </c>
      <c r="P5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3" s="14" t="str">
        <f>IF(ICE[[#This Row],[LastType]] = "Scrn", ICE[[#This Row],[LstDate]], IF(ICE[[#This Row],[LastType]] = "Blk", ICE[[#This Row],[LstBlkTime]], ""))</f>
        <v/>
      </c>
      <c r="R503" s="41" t="str">
        <f>IF(ICE[[#This Row],[LastType]] = "Scrn", ICE[[#This Row],[LstPrc]], IF(ICE[[#This Row],[LastType]] = "Blk", ICE[[#This Row],[LstBlkPrc]], ""))</f>
        <v/>
      </c>
      <c r="S503" s="36">
        <f>ICE[[#This Row],[Vol]]+ICE[[#This Row],[BlkVol]]</f>
        <v>0</v>
      </c>
      <c r="T503" s="36">
        <f>RTD("ice.rtd",,$C503 &amp; $D503 &amp; ":" &amp; T$1)</f>
        <v>0</v>
      </c>
      <c r="U503" s="18">
        <f>RTD("ice.rtd",,$C503 &amp; $D503 &amp; ":" &amp; U$1)</f>
        <v>2</v>
      </c>
      <c r="V5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3" s="18" t="str">
        <f>IFERROR(IF(LEFT(ICE[[#This Row],[Tenor]], 1) = "B", RTD("esrtd",,$B503 &amp; " " &amp; ICE[[#This Row],[Tenor]] &amp; "-IEU", W$1), RTD("esrtd",,$B503 &amp; " " &amp; VLOOKUP(MONTH(ICE[[#This Row],[Strip]]), MthRef[], 2, 0) &amp; RIGHT(YEAR(ICE[[#This Row],[Strip]]), 2) &amp; "-IEU", W$1)), "")</f>
        <v/>
      </c>
      <c r="X503" s="36"/>
    </row>
    <row r="504" spans="1:24" x14ac:dyDescent="0.25">
      <c r="A504" s="37" t="s">
        <v>396</v>
      </c>
      <c r="B504" s="3" t="str">
        <f>RTD("ice.rtd",,$C504 &amp; $D504 &amp; ":" &amp; B$1)</f>
        <v>SMD</v>
      </c>
      <c r="C504" s="3">
        <v>41767893</v>
      </c>
      <c r="D504" t="s">
        <v>813</v>
      </c>
      <c r="E504" s="3" t="str">
        <f>RTD("ice.rtd",,$C504 &amp; $D504 &amp; ":" &amp; E$1)</f>
        <v>Sep28</v>
      </c>
      <c r="F504" s="3" t="str">
        <f>ICE[[#This Row],[Prod]]&amp;ICE[[#This Row],[Strip]]</f>
        <v>mg9592Sep28</v>
      </c>
      <c r="G504" s="18" t="str">
        <f>RTD("ice.rtd",,$C504 &amp; $D504 &amp; ":" &amp; G$1)</f>
        <v/>
      </c>
      <c r="H504" s="18" t="str">
        <f>RTD("ice.rtd",,$C504 &amp; $D504 &amp; ":" &amp; H$1)</f>
        <v/>
      </c>
      <c r="I504" s="18" t="str">
        <f>RTD("ice.rtd",,$C504 &amp; $D504 &amp; ":" &amp; I$1)</f>
        <v/>
      </c>
      <c r="J504" s="14" t="str">
        <f>IFERROR(MOD(RTD("ice.rtd",,$C504 &amp; $D504 &amp; ":" &amp; J$1), 1), "")</f>
        <v/>
      </c>
      <c r="K504" s="18" t="str">
        <f>RTD("ice.rtd",,$C504 &amp; $D504 &amp; ":" &amp; K$1)</f>
        <v/>
      </c>
      <c r="L504" s="36" t="str">
        <f>RTD("ice.rtd",,$C504 &amp; $D504 &amp; ":" &amp; L$1)</f>
        <v/>
      </c>
      <c r="M504" s="14" t="str">
        <f>IFERROR(MOD(TIMEVALUE(RTD("ice.rtd",,$C504 &amp; $D504 &amp; ":" &amp; M$1)), 1), "")</f>
        <v/>
      </c>
      <c r="N504" s="36">
        <f>RTD("ice.rtd",,$C504 &amp; $D504 &amp; ":" &amp; N$1)</f>
        <v>0</v>
      </c>
      <c r="O504" s="36">
        <f>RTD("ice.rtd",,$C504 &amp; $D504 &amp; ":" &amp; O$1)</f>
        <v>0</v>
      </c>
      <c r="P5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4" s="14" t="str">
        <f>IF(ICE[[#This Row],[LastType]] = "Scrn", ICE[[#This Row],[LstDate]], IF(ICE[[#This Row],[LastType]] = "Blk", ICE[[#This Row],[LstBlkTime]], ""))</f>
        <v/>
      </c>
      <c r="R504" s="41" t="str">
        <f>IF(ICE[[#This Row],[LastType]] = "Scrn", ICE[[#This Row],[LstPrc]], IF(ICE[[#This Row],[LastType]] = "Blk", ICE[[#This Row],[LstBlkPrc]], ""))</f>
        <v/>
      </c>
      <c r="S504" s="36">
        <f>ICE[[#This Row],[Vol]]+ICE[[#This Row],[BlkVol]]</f>
        <v>0</v>
      </c>
      <c r="T504" s="36">
        <f>RTD("ice.rtd",,$C504 &amp; $D504 &amp; ":" &amp; T$1)</f>
        <v>0</v>
      </c>
      <c r="U504" s="18">
        <f>RTD("ice.rtd",,$C504 &amp; $D504 &amp; ":" &amp; U$1)</f>
        <v>2</v>
      </c>
      <c r="V5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4" s="18" t="str">
        <f>IFERROR(IF(LEFT(ICE[[#This Row],[Tenor]], 1) = "B", RTD("esrtd",,$B504 &amp; " " &amp; ICE[[#This Row],[Tenor]] &amp; "-IEU", W$1), RTD("esrtd",,$B504 &amp; " " &amp; VLOOKUP(MONTH(ICE[[#This Row],[Strip]]), MthRef[], 2, 0) &amp; RIGHT(YEAR(ICE[[#This Row],[Strip]]), 2) &amp; "-IEU", W$1)), "")</f>
        <v/>
      </c>
      <c r="X504" s="36"/>
    </row>
    <row r="505" spans="1:24" x14ac:dyDescent="0.25">
      <c r="A505" s="37" t="s">
        <v>396</v>
      </c>
      <c r="B505" s="3" t="str">
        <f>RTD("ice.rtd",,$C505 &amp; $D505 &amp; ":" &amp; B$1)</f>
        <v>SMD</v>
      </c>
      <c r="C505" s="3">
        <v>41767893</v>
      </c>
      <c r="D505" t="s">
        <v>814</v>
      </c>
      <c r="E505" s="3" t="str">
        <f>RTD("ice.rtd",,$C505 &amp; $D505 &amp; ":" &amp; E$1)</f>
        <v>Q4 26</v>
      </c>
      <c r="F505" s="3" t="str">
        <f>ICE[[#This Row],[Prod]]&amp;ICE[[#This Row],[Strip]]</f>
        <v>mg9592Q4 26</v>
      </c>
      <c r="G505" s="18">
        <f>RTD("ice.rtd",,$C505 &amp; $D505 &amp; ":" &amp; G$1)</f>
        <v>2.1</v>
      </c>
      <c r="H505" s="18" t="str">
        <f>RTD("ice.rtd",,$C505 &amp; $D505 &amp; ":" &amp; H$1)</f>
        <v/>
      </c>
      <c r="I505" s="18" t="str">
        <f>RTD("ice.rtd",,$C505 &amp; $D505 &amp; ":" &amp; I$1)</f>
        <v/>
      </c>
      <c r="J505" s="14" t="str">
        <f>IFERROR(MOD(RTD("ice.rtd",,$C505 &amp; $D505 &amp; ":" &amp; J$1), 1), "")</f>
        <v/>
      </c>
      <c r="K505" s="18">
        <f>RTD("ice.rtd",,$C505 &amp; $D505 &amp; ":" &amp; K$1)</f>
        <v>3.7</v>
      </c>
      <c r="L505" s="36">
        <f>RTD("ice.rtd",,$C505 &amp; $D505 &amp; ":" &amp; L$1)</f>
        <v>25</v>
      </c>
      <c r="M505" s="14">
        <f>IFERROR(MOD(TIMEVALUE(RTD("ice.rtd",,$C505 &amp; $D505 &amp; ":" &amp; M$1)), 1), "")</f>
        <v>0.45935185185185184</v>
      </c>
      <c r="N505" s="36">
        <f>RTD("ice.rtd",,$C505 &amp; $D505 &amp; ":" &amp; N$1)</f>
        <v>0</v>
      </c>
      <c r="O505" s="36">
        <f>RTD("ice.rtd",,$C505 &amp; $D505 &amp; ":" &amp; O$1)</f>
        <v>25</v>
      </c>
      <c r="P5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05" s="14">
        <f>IF(ICE[[#This Row],[LastType]] = "Scrn", ICE[[#This Row],[LstDate]], IF(ICE[[#This Row],[LastType]] = "Blk", ICE[[#This Row],[LstBlkTime]], ""))</f>
        <v>0.45935185185185184</v>
      </c>
      <c r="R505" s="41">
        <f>IF(ICE[[#This Row],[LastType]] = "Scrn", ICE[[#This Row],[LstPrc]], IF(ICE[[#This Row],[LastType]] = "Blk", ICE[[#This Row],[LstBlkPrc]], ""))</f>
        <v>3.7</v>
      </c>
      <c r="S505" s="36">
        <f>ICE[[#This Row],[Vol]]+ICE[[#This Row],[BlkVol]]</f>
        <v>25</v>
      </c>
      <c r="T505" s="36">
        <f>RTD("ice.rtd",,$C505 &amp; $D505 &amp; ":" &amp; T$1)</f>
        <v>0</v>
      </c>
      <c r="U505" s="18">
        <f>RTD("ice.rtd",,$C505 &amp; $D505 &amp; ":" &amp; U$1)</f>
        <v>3.6</v>
      </c>
      <c r="V5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2.10 /  {3.70} |25x</v>
      </c>
      <c r="W505" s="18" t="str">
        <f>IFERROR(IF(LEFT(ICE[[#This Row],[Tenor]], 1) = "B", RTD("esrtd",,$B505 &amp; " " &amp; ICE[[#This Row],[Tenor]] &amp; "-IEU", W$1), RTD("esrtd",,$B505 &amp; " " &amp; VLOOKUP(MONTH(ICE[[#This Row],[Strip]]), MthRef[], 2, 0) &amp; RIGHT(YEAR(ICE[[#This Row],[Strip]]), 2) &amp; "-IEU", W$1)), "")</f>
        <v/>
      </c>
      <c r="X505" s="36"/>
    </row>
    <row r="506" spans="1:24" x14ac:dyDescent="0.25">
      <c r="A506" s="37" t="s">
        <v>396</v>
      </c>
      <c r="B506" s="3" t="str">
        <f>RTD("ice.rtd",,$C506 &amp; $D506 &amp; ":" &amp; B$1)</f>
        <v>SMD</v>
      </c>
      <c r="C506" s="3">
        <v>41767893</v>
      </c>
      <c r="D506" t="s">
        <v>815</v>
      </c>
      <c r="E506" s="3" t="str">
        <f>RTD("ice.rtd",,$C506 &amp; $D506 &amp; ":" &amp; E$1)</f>
        <v>Q1 27</v>
      </c>
      <c r="F506" s="3" t="str">
        <f>ICE[[#This Row],[Prod]]&amp;ICE[[#This Row],[Strip]]</f>
        <v>mg9592Q1 27</v>
      </c>
      <c r="G506" s="18" t="str">
        <f>RTD("ice.rtd",,$C506 &amp; $D506 &amp; ":" &amp; G$1)</f>
        <v/>
      </c>
      <c r="H506" s="18" t="str">
        <f>RTD("ice.rtd",,$C506 &amp; $D506 &amp; ":" &amp; H$1)</f>
        <v/>
      </c>
      <c r="I506" s="18" t="str">
        <f>RTD("ice.rtd",,$C506 &amp; $D506 &amp; ":" &amp; I$1)</f>
        <v/>
      </c>
      <c r="J506" s="14" t="str">
        <f>IFERROR(MOD(RTD("ice.rtd",,$C506 &amp; $D506 &amp; ":" &amp; J$1), 1), "")</f>
        <v/>
      </c>
      <c r="K506" s="18" t="str">
        <f>RTD("ice.rtd",,$C506 &amp; $D506 &amp; ":" &amp; K$1)</f>
        <v/>
      </c>
      <c r="L506" s="36" t="str">
        <f>RTD("ice.rtd",,$C506 &amp; $D506 &amp; ":" &amp; L$1)</f>
        <v/>
      </c>
      <c r="M506" s="14" t="str">
        <f>IFERROR(MOD(TIMEVALUE(RTD("ice.rtd",,$C506 &amp; $D506 &amp; ":" &amp; M$1)), 1), "")</f>
        <v/>
      </c>
      <c r="N506" s="36">
        <f>RTD("ice.rtd",,$C506 &amp; $D506 &amp; ":" &amp; N$1)</f>
        <v>0</v>
      </c>
      <c r="O506" s="36">
        <f>RTD("ice.rtd",,$C506 &amp; $D506 &amp; ":" &amp; O$1)</f>
        <v>0</v>
      </c>
      <c r="P5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6" s="14" t="str">
        <f>IF(ICE[[#This Row],[LastType]] = "Scrn", ICE[[#This Row],[LstDate]], IF(ICE[[#This Row],[LastType]] = "Blk", ICE[[#This Row],[LstBlkTime]], ""))</f>
        <v/>
      </c>
      <c r="R506" s="41" t="str">
        <f>IF(ICE[[#This Row],[LastType]] = "Scrn", ICE[[#This Row],[LstPrc]], IF(ICE[[#This Row],[LastType]] = "Blk", ICE[[#This Row],[LstBlkPrc]], ""))</f>
        <v/>
      </c>
      <c r="S506" s="36">
        <f>ICE[[#This Row],[Vol]]+ICE[[#This Row],[BlkVol]]</f>
        <v>0</v>
      </c>
      <c r="T506" s="36">
        <f>RTD("ice.rtd",,$C506 &amp; $D506 &amp; ":" &amp; T$1)</f>
        <v>0</v>
      </c>
      <c r="U506" s="18">
        <f>RTD("ice.rtd",,$C506 &amp; $D506 &amp; ":" &amp; U$1)</f>
        <v>2</v>
      </c>
      <c r="V5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6" s="18" t="str">
        <f>IFERROR(IF(LEFT(ICE[[#This Row],[Tenor]], 1) = "B", RTD("esrtd",,$B506 &amp; " " &amp; ICE[[#This Row],[Tenor]] &amp; "-IEU", W$1), RTD("esrtd",,$B506 &amp; " " &amp; VLOOKUP(MONTH(ICE[[#This Row],[Strip]]), MthRef[], 2, 0) &amp; RIGHT(YEAR(ICE[[#This Row],[Strip]]), 2) &amp; "-IEU", W$1)), "")</f>
        <v/>
      </c>
      <c r="X506" s="36"/>
    </row>
    <row r="507" spans="1:24" x14ac:dyDescent="0.25">
      <c r="A507" s="37" t="s">
        <v>396</v>
      </c>
      <c r="B507" s="3" t="str">
        <f>RTD("ice.rtd",,$C507 &amp; $D507 &amp; ":" &amp; B$1)</f>
        <v>SMD</v>
      </c>
      <c r="C507" s="3">
        <v>41767893</v>
      </c>
      <c r="D507" t="s">
        <v>816</v>
      </c>
      <c r="E507" s="3" t="str">
        <f>RTD("ice.rtd",,$C507 &amp; $D507 &amp; ":" &amp; E$1)</f>
        <v>Q2 27</v>
      </c>
      <c r="F507" s="3" t="str">
        <f>ICE[[#This Row],[Prod]]&amp;ICE[[#This Row],[Strip]]</f>
        <v>mg9592Q2 27</v>
      </c>
      <c r="G507" s="18" t="str">
        <f>RTD("ice.rtd",,$C507 &amp; $D507 &amp; ":" &amp; G$1)</f>
        <v/>
      </c>
      <c r="H507" s="18" t="str">
        <f>RTD("ice.rtd",,$C507 &amp; $D507 &amp; ":" &amp; H$1)</f>
        <v/>
      </c>
      <c r="I507" s="18" t="str">
        <f>RTD("ice.rtd",,$C507 &amp; $D507 &amp; ":" &amp; I$1)</f>
        <v/>
      </c>
      <c r="J507" s="14" t="str">
        <f>IFERROR(MOD(RTD("ice.rtd",,$C507 &amp; $D507 &amp; ":" &amp; J$1), 1), "")</f>
        <v/>
      </c>
      <c r="K507" s="18" t="str">
        <f>RTD("ice.rtd",,$C507 &amp; $D507 &amp; ":" &amp; K$1)</f>
        <v/>
      </c>
      <c r="L507" s="36" t="str">
        <f>RTD("ice.rtd",,$C507 &amp; $D507 &amp; ":" &amp; L$1)</f>
        <v/>
      </c>
      <c r="M507" s="14" t="str">
        <f>IFERROR(MOD(TIMEVALUE(RTD("ice.rtd",,$C507 &amp; $D507 &amp; ":" &amp; M$1)), 1), "")</f>
        <v/>
      </c>
      <c r="N507" s="36">
        <f>RTD("ice.rtd",,$C507 &amp; $D507 &amp; ":" &amp; N$1)</f>
        <v>0</v>
      </c>
      <c r="O507" s="36">
        <f>RTD("ice.rtd",,$C507 &amp; $D507 &amp; ":" &amp; O$1)</f>
        <v>0</v>
      </c>
      <c r="P5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7" s="14" t="str">
        <f>IF(ICE[[#This Row],[LastType]] = "Scrn", ICE[[#This Row],[LstDate]], IF(ICE[[#This Row],[LastType]] = "Blk", ICE[[#This Row],[LstBlkTime]], ""))</f>
        <v/>
      </c>
      <c r="R507" s="41" t="str">
        <f>IF(ICE[[#This Row],[LastType]] = "Scrn", ICE[[#This Row],[LstPrc]], IF(ICE[[#This Row],[LastType]] = "Blk", ICE[[#This Row],[LstBlkPrc]], ""))</f>
        <v/>
      </c>
      <c r="S507" s="36">
        <f>ICE[[#This Row],[Vol]]+ICE[[#This Row],[BlkVol]]</f>
        <v>0</v>
      </c>
      <c r="T507" s="36">
        <f>RTD("ice.rtd",,$C507 &amp; $D507 &amp; ":" &amp; T$1)</f>
        <v>0</v>
      </c>
      <c r="U507" s="18">
        <f>RTD("ice.rtd",,$C507 &amp; $D507 &amp; ":" &amp; U$1)</f>
        <v>2</v>
      </c>
      <c r="V5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7" s="18" t="str">
        <f>IFERROR(IF(LEFT(ICE[[#This Row],[Tenor]], 1) = "B", RTD("esrtd",,$B507 &amp; " " &amp; ICE[[#This Row],[Tenor]] &amp; "-IEU", W$1), RTD("esrtd",,$B507 &amp; " " &amp; VLOOKUP(MONTH(ICE[[#This Row],[Strip]]), MthRef[], 2, 0) &amp; RIGHT(YEAR(ICE[[#This Row],[Strip]]), 2) &amp; "-IEU", W$1)), "")</f>
        <v/>
      </c>
      <c r="X507" s="36"/>
    </row>
    <row r="508" spans="1:24" x14ac:dyDescent="0.25">
      <c r="A508" s="37" t="s">
        <v>396</v>
      </c>
      <c r="B508" s="3" t="str">
        <f>RTD("ice.rtd",,$C508 &amp; $D508 &amp; ":" &amp; B$1)</f>
        <v>SMD</v>
      </c>
      <c r="C508" s="3">
        <v>41767893</v>
      </c>
      <c r="D508" t="s">
        <v>817</v>
      </c>
      <c r="E508" s="3" t="str">
        <f>RTD("ice.rtd",,$C508 &amp; $D508 &amp; ":" &amp; E$1)</f>
        <v>Q3 27</v>
      </c>
      <c r="F508" s="3" t="str">
        <f>ICE[[#This Row],[Prod]]&amp;ICE[[#This Row],[Strip]]</f>
        <v>mg9592Q3 27</v>
      </c>
      <c r="G508" s="18" t="str">
        <f>RTD("ice.rtd",,$C508 &amp; $D508 &amp; ":" &amp; G$1)</f>
        <v/>
      </c>
      <c r="H508" s="18" t="str">
        <f>RTD("ice.rtd",,$C508 &amp; $D508 &amp; ":" &amp; H$1)</f>
        <v/>
      </c>
      <c r="I508" s="18" t="str">
        <f>RTD("ice.rtd",,$C508 &amp; $D508 &amp; ":" &amp; I$1)</f>
        <v/>
      </c>
      <c r="J508" s="14" t="str">
        <f>IFERROR(MOD(RTD("ice.rtd",,$C508 &amp; $D508 &amp; ":" &amp; J$1), 1), "")</f>
        <v/>
      </c>
      <c r="K508" s="18" t="str">
        <f>RTD("ice.rtd",,$C508 &amp; $D508 &amp; ":" &amp; K$1)</f>
        <v/>
      </c>
      <c r="L508" s="36" t="str">
        <f>RTD("ice.rtd",,$C508 &amp; $D508 &amp; ":" &amp; L$1)</f>
        <v/>
      </c>
      <c r="M508" s="14" t="str">
        <f>IFERROR(MOD(TIMEVALUE(RTD("ice.rtd",,$C508 &amp; $D508 &amp; ":" &amp; M$1)), 1), "")</f>
        <v/>
      </c>
      <c r="N508" s="36">
        <f>RTD("ice.rtd",,$C508 &amp; $D508 &amp; ":" &amp; N$1)</f>
        <v>0</v>
      </c>
      <c r="O508" s="36">
        <f>RTD("ice.rtd",,$C508 &amp; $D508 &amp; ":" &amp; O$1)</f>
        <v>0</v>
      </c>
      <c r="P5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8" s="14" t="str">
        <f>IF(ICE[[#This Row],[LastType]] = "Scrn", ICE[[#This Row],[LstDate]], IF(ICE[[#This Row],[LastType]] = "Blk", ICE[[#This Row],[LstBlkTime]], ""))</f>
        <v/>
      </c>
      <c r="R508" s="41" t="str">
        <f>IF(ICE[[#This Row],[LastType]] = "Scrn", ICE[[#This Row],[LstPrc]], IF(ICE[[#This Row],[LastType]] = "Blk", ICE[[#This Row],[LstBlkPrc]], ""))</f>
        <v/>
      </c>
      <c r="S508" s="36">
        <f>ICE[[#This Row],[Vol]]+ICE[[#This Row],[BlkVol]]</f>
        <v>0</v>
      </c>
      <c r="T508" s="36">
        <f>RTD("ice.rtd",,$C508 &amp; $D508 &amp; ":" &amp; T$1)</f>
        <v>0</v>
      </c>
      <c r="U508" s="18">
        <f>RTD("ice.rtd",,$C508 &amp; $D508 &amp; ":" &amp; U$1)</f>
        <v>2</v>
      </c>
      <c r="V5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8" s="18" t="str">
        <f>IFERROR(IF(LEFT(ICE[[#This Row],[Tenor]], 1) = "B", RTD("esrtd",,$B508 &amp; " " &amp; ICE[[#This Row],[Tenor]] &amp; "-IEU", W$1), RTD("esrtd",,$B508 &amp; " " &amp; VLOOKUP(MONTH(ICE[[#This Row],[Strip]]), MthRef[], 2, 0) &amp; RIGHT(YEAR(ICE[[#This Row],[Strip]]), 2) &amp; "-IEU", W$1)), "")</f>
        <v/>
      </c>
      <c r="X508" s="36"/>
    </row>
    <row r="509" spans="1:24" x14ac:dyDescent="0.25">
      <c r="A509" s="37" t="s">
        <v>396</v>
      </c>
      <c r="B509" s="3" t="str">
        <f>RTD("ice.rtd",,$C509 &amp; $D509 &amp; ":" &amp; B$1)</f>
        <v>SMD</v>
      </c>
      <c r="C509" s="3">
        <v>41767893</v>
      </c>
      <c r="D509" t="s">
        <v>818</v>
      </c>
      <c r="E509" s="3" t="str">
        <f>RTD("ice.rtd",,$C509 &amp; $D509 &amp; ":" &amp; E$1)</f>
        <v>Q4 27</v>
      </c>
      <c r="F509" s="3" t="str">
        <f>ICE[[#This Row],[Prod]]&amp;ICE[[#This Row],[Strip]]</f>
        <v>mg9592Q4 27</v>
      </c>
      <c r="G509" s="18" t="str">
        <f>RTD("ice.rtd",,$C509 &amp; $D509 &amp; ":" &amp; G$1)</f>
        <v/>
      </c>
      <c r="H509" s="18" t="str">
        <f>RTD("ice.rtd",,$C509 &amp; $D509 &amp; ":" &amp; H$1)</f>
        <v/>
      </c>
      <c r="I509" s="18" t="str">
        <f>RTD("ice.rtd",,$C509 &amp; $D509 &amp; ":" &amp; I$1)</f>
        <v/>
      </c>
      <c r="J509" s="14" t="str">
        <f>IFERROR(MOD(RTD("ice.rtd",,$C509 &amp; $D509 &amp; ":" &amp; J$1), 1), "")</f>
        <v/>
      </c>
      <c r="K509" s="18" t="str">
        <f>RTD("ice.rtd",,$C509 &amp; $D509 &amp; ":" &amp; K$1)</f>
        <v/>
      </c>
      <c r="L509" s="36" t="str">
        <f>RTD("ice.rtd",,$C509 &amp; $D509 &amp; ":" &amp; L$1)</f>
        <v/>
      </c>
      <c r="M509" s="14" t="str">
        <f>IFERROR(MOD(TIMEVALUE(RTD("ice.rtd",,$C509 &amp; $D509 &amp; ":" &amp; M$1)), 1), "")</f>
        <v/>
      </c>
      <c r="N509" s="36">
        <f>RTD("ice.rtd",,$C509 &amp; $D509 &amp; ":" &amp; N$1)</f>
        <v>0</v>
      </c>
      <c r="O509" s="36">
        <f>RTD("ice.rtd",,$C509 &amp; $D509 &amp; ":" &amp; O$1)</f>
        <v>0</v>
      </c>
      <c r="P5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09" s="14" t="str">
        <f>IF(ICE[[#This Row],[LastType]] = "Scrn", ICE[[#This Row],[LstDate]], IF(ICE[[#This Row],[LastType]] = "Blk", ICE[[#This Row],[LstBlkTime]], ""))</f>
        <v/>
      </c>
      <c r="R509" s="41" t="str">
        <f>IF(ICE[[#This Row],[LastType]] = "Scrn", ICE[[#This Row],[LstPrc]], IF(ICE[[#This Row],[LastType]] = "Blk", ICE[[#This Row],[LstBlkPrc]], ""))</f>
        <v/>
      </c>
      <c r="S509" s="36">
        <f>ICE[[#This Row],[Vol]]+ICE[[#This Row],[BlkVol]]</f>
        <v>0</v>
      </c>
      <c r="T509" s="36">
        <f>RTD("ice.rtd",,$C509 &amp; $D509 &amp; ":" &amp; T$1)</f>
        <v>0</v>
      </c>
      <c r="U509" s="18">
        <f>RTD("ice.rtd",,$C509 &amp; $D509 &amp; ":" &amp; U$1)</f>
        <v>2</v>
      </c>
      <c r="V5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09" s="18" t="str">
        <f>IFERROR(IF(LEFT(ICE[[#This Row],[Tenor]], 1) = "B", RTD("esrtd",,$B509 &amp; " " &amp; ICE[[#This Row],[Tenor]] &amp; "-IEU", W$1), RTD("esrtd",,$B509 &amp; " " &amp; VLOOKUP(MONTH(ICE[[#This Row],[Strip]]), MthRef[], 2, 0) &amp; RIGHT(YEAR(ICE[[#This Row],[Strip]]), 2) &amp; "-IEU", W$1)), "")</f>
        <v/>
      </c>
      <c r="X509" s="36"/>
    </row>
    <row r="510" spans="1:24" x14ac:dyDescent="0.25">
      <c r="A510" s="37" t="s">
        <v>396</v>
      </c>
      <c r="B510" s="3" t="str">
        <f>RTD("ice.rtd",,$C510 &amp; $D510 &amp; ":" &amp; B$1)</f>
        <v>SMD</v>
      </c>
      <c r="C510" s="3">
        <v>41767893</v>
      </c>
      <c r="D510" t="s">
        <v>819</v>
      </c>
      <c r="E510" s="3" t="str">
        <f>RTD("ice.rtd",,$C510 &amp; $D510 &amp; ":" &amp; E$1)</f>
        <v>Q1 28</v>
      </c>
      <c r="F510" s="3" t="str">
        <f>ICE[[#This Row],[Prod]]&amp;ICE[[#This Row],[Strip]]</f>
        <v>mg9592Q1 28</v>
      </c>
      <c r="G510" s="18" t="str">
        <f>RTD("ice.rtd",,$C510 &amp; $D510 &amp; ":" &amp; G$1)</f>
        <v/>
      </c>
      <c r="H510" s="18" t="str">
        <f>RTD("ice.rtd",,$C510 &amp; $D510 &amp; ":" &amp; H$1)</f>
        <v/>
      </c>
      <c r="I510" s="18" t="str">
        <f>RTD("ice.rtd",,$C510 &amp; $D510 &amp; ":" &amp; I$1)</f>
        <v/>
      </c>
      <c r="J510" s="14" t="str">
        <f>IFERROR(MOD(RTD("ice.rtd",,$C510 &amp; $D510 &amp; ":" &amp; J$1), 1), "")</f>
        <v/>
      </c>
      <c r="K510" s="18" t="str">
        <f>RTD("ice.rtd",,$C510 &amp; $D510 &amp; ":" &amp; K$1)</f>
        <v/>
      </c>
      <c r="L510" s="36" t="str">
        <f>RTD("ice.rtd",,$C510 &amp; $D510 &amp; ":" &amp; L$1)</f>
        <v/>
      </c>
      <c r="M510" s="14" t="str">
        <f>IFERROR(MOD(TIMEVALUE(RTD("ice.rtd",,$C510 &amp; $D510 &amp; ":" &amp; M$1)), 1), "")</f>
        <v/>
      </c>
      <c r="N510" s="36">
        <f>RTD("ice.rtd",,$C510 &amp; $D510 &amp; ":" &amp; N$1)</f>
        <v>0</v>
      </c>
      <c r="O510" s="36">
        <f>RTD("ice.rtd",,$C510 &amp; $D510 &amp; ":" &amp; O$1)</f>
        <v>0</v>
      </c>
      <c r="P5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0" s="14" t="str">
        <f>IF(ICE[[#This Row],[LastType]] = "Scrn", ICE[[#This Row],[LstDate]], IF(ICE[[#This Row],[LastType]] = "Blk", ICE[[#This Row],[LstBlkTime]], ""))</f>
        <v/>
      </c>
      <c r="R510" s="41" t="str">
        <f>IF(ICE[[#This Row],[LastType]] = "Scrn", ICE[[#This Row],[LstPrc]], IF(ICE[[#This Row],[LastType]] = "Blk", ICE[[#This Row],[LstBlkPrc]], ""))</f>
        <v/>
      </c>
      <c r="S510" s="36">
        <f>ICE[[#This Row],[Vol]]+ICE[[#This Row],[BlkVol]]</f>
        <v>0</v>
      </c>
      <c r="T510" s="36">
        <f>RTD("ice.rtd",,$C510 &amp; $D510 &amp; ":" &amp; T$1)</f>
        <v>0</v>
      </c>
      <c r="U510" s="18">
        <f>RTD("ice.rtd",,$C510 &amp; $D510 &amp; ":" &amp; U$1)</f>
        <v>2</v>
      </c>
      <c r="V5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10" s="18" t="str">
        <f>IFERROR(IF(LEFT(ICE[[#This Row],[Tenor]], 1) = "B", RTD("esrtd",,$B510 &amp; " " &amp; ICE[[#This Row],[Tenor]] &amp; "-IEU", W$1), RTD("esrtd",,$B510 &amp; " " &amp; VLOOKUP(MONTH(ICE[[#This Row],[Strip]]), MthRef[], 2, 0) &amp; RIGHT(YEAR(ICE[[#This Row],[Strip]]), 2) &amp; "-IEU", W$1)), "")</f>
        <v/>
      </c>
      <c r="X510" s="36"/>
    </row>
    <row r="511" spans="1:24" x14ac:dyDescent="0.25">
      <c r="A511" s="37" t="s">
        <v>396</v>
      </c>
      <c r="B511" s="3" t="str">
        <f>RTD("ice.rtd",,$C511 &amp; $D511 &amp; ":" &amp; B$1)</f>
        <v>SMD</v>
      </c>
      <c r="C511" s="3">
        <v>41767893</v>
      </c>
      <c r="D511" t="s">
        <v>229</v>
      </c>
      <c r="E511" s="3" t="str">
        <f>RTD("ice.rtd",,$C511 &amp; $D511 &amp; ":" &amp; E$1)</f>
        <v>Q2 28</v>
      </c>
      <c r="F511" s="3" t="str">
        <f>ICE[[#This Row],[Prod]]&amp;ICE[[#This Row],[Strip]]</f>
        <v>mg9592Q2 28</v>
      </c>
      <c r="G511" s="18" t="str">
        <f>RTD("ice.rtd",,$C511 &amp; $D511 &amp; ":" &amp; G$1)</f>
        <v/>
      </c>
      <c r="H511" s="18" t="str">
        <f>RTD("ice.rtd",,$C511 &amp; $D511 &amp; ":" &amp; H$1)</f>
        <v/>
      </c>
      <c r="I511" s="18" t="str">
        <f>RTD("ice.rtd",,$C511 &amp; $D511 &amp; ":" &amp; I$1)</f>
        <v/>
      </c>
      <c r="J511" s="14" t="str">
        <f>IFERROR(MOD(RTD("ice.rtd",,$C511 &amp; $D511 &amp; ":" &amp; J$1), 1), "")</f>
        <v/>
      </c>
      <c r="K511" s="18" t="str">
        <f>RTD("ice.rtd",,$C511 &amp; $D511 &amp; ":" &amp; K$1)</f>
        <v/>
      </c>
      <c r="L511" s="36" t="str">
        <f>RTD("ice.rtd",,$C511 &amp; $D511 &amp; ":" &amp; L$1)</f>
        <v/>
      </c>
      <c r="M511" s="14" t="str">
        <f>IFERROR(MOD(TIMEVALUE(RTD("ice.rtd",,$C511 &amp; $D511 &amp; ":" &amp; M$1)), 1), "")</f>
        <v/>
      </c>
      <c r="N511" s="36">
        <f>RTD("ice.rtd",,$C511 &amp; $D511 &amp; ":" &amp; N$1)</f>
        <v>0</v>
      </c>
      <c r="O511" s="36">
        <f>RTD("ice.rtd",,$C511 &amp; $D511 &amp; ":" &amp; O$1)</f>
        <v>0</v>
      </c>
      <c r="P5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1" s="14" t="str">
        <f>IF(ICE[[#This Row],[LastType]] = "Scrn", ICE[[#This Row],[LstDate]], IF(ICE[[#This Row],[LastType]] = "Blk", ICE[[#This Row],[LstBlkTime]], ""))</f>
        <v/>
      </c>
      <c r="R511" s="41" t="str">
        <f>IF(ICE[[#This Row],[LastType]] = "Scrn", ICE[[#This Row],[LstPrc]], IF(ICE[[#This Row],[LastType]] = "Blk", ICE[[#This Row],[LstBlkPrc]], ""))</f>
        <v/>
      </c>
      <c r="S511" s="36">
        <f>ICE[[#This Row],[Vol]]+ICE[[#This Row],[BlkVol]]</f>
        <v>0</v>
      </c>
      <c r="T511" s="36">
        <f>RTD("ice.rtd",,$C511 &amp; $D511 &amp; ":" &amp; T$1)</f>
        <v>0</v>
      </c>
      <c r="U511" s="18">
        <f>RTD("ice.rtd",,$C511 &amp; $D511 &amp; ":" &amp; U$1)</f>
        <v>2</v>
      </c>
      <c r="V5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11" s="18" t="str">
        <f>IFERROR(IF(LEFT(ICE[[#This Row],[Tenor]], 1) = "B", RTD("esrtd",,$B511 &amp; " " &amp; ICE[[#This Row],[Tenor]] &amp; "-IEU", W$1), RTD("esrtd",,$B511 &amp; " " &amp; VLOOKUP(MONTH(ICE[[#This Row],[Strip]]), MthRef[], 2, 0) &amp; RIGHT(YEAR(ICE[[#This Row],[Strip]]), 2) &amp; "-IEU", W$1)), "")</f>
        <v/>
      </c>
      <c r="X511" s="36"/>
    </row>
    <row r="512" spans="1:24" x14ac:dyDescent="0.25">
      <c r="A512" s="37" t="s">
        <v>396</v>
      </c>
      <c r="B512" s="3" t="str">
        <f>RTD("ice.rtd",,$C512 &amp; $D512 &amp; ":" &amp; B$1)</f>
        <v>SMD</v>
      </c>
      <c r="C512" s="3">
        <v>41767893</v>
      </c>
      <c r="D512" t="s">
        <v>820</v>
      </c>
      <c r="E512" s="3" t="str">
        <f>RTD("ice.rtd",,$C512 &amp; $D512 &amp; ":" &amp; E$1)</f>
        <v>Q3 28</v>
      </c>
      <c r="F512" s="3" t="str">
        <f>ICE[[#This Row],[Prod]]&amp;ICE[[#This Row],[Strip]]</f>
        <v>mg9592Q3 28</v>
      </c>
      <c r="G512" s="18" t="str">
        <f>RTD("ice.rtd",,$C512 &amp; $D512 &amp; ":" &amp; G$1)</f>
        <v/>
      </c>
      <c r="H512" s="18" t="str">
        <f>RTD("ice.rtd",,$C512 &amp; $D512 &amp; ":" &amp; H$1)</f>
        <v/>
      </c>
      <c r="I512" s="18" t="str">
        <f>RTD("ice.rtd",,$C512 &amp; $D512 &amp; ":" &amp; I$1)</f>
        <v/>
      </c>
      <c r="J512" s="14" t="str">
        <f>IFERROR(MOD(RTD("ice.rtd",,$C512 &amp; $D512 &amp; ":" &amp; J$1), 1), "")</f>
        <v/>
      </c>
      <c r="K512" s="18" t="str">
        <f>RTD("ice.rtd",,$C512 &amp; $D512 &amp; ":" &amp; K$1)</f>
        <v/>
      </c>
      <c r="L512" s="36" t="str">
        <f>RTD("ice.rtd",,$C512 &amp; $D512 &amp; ":" &amp; L$1)</f>
        <v/>
      </c>
      <c r="M512" s="14" t="str">
        <f>IFERROR(MOD(TIMEVALUE(RTD("ice.rtd",,$C512 &amp; $D512 &amp; ":" &amp; M$1)), 1), "")</f>
        <v/>
      </c>
      <c r="N512" s="36">
        <f>RTD("ice.rtd",,$C512 &amp; $D512 &amp; ":" &amp; N$1)</f>
        <v>0</v>
      </c>
      <c r="O512" s="36">
        <f>RTD("ice.rtd",,$C512 &amp; $D512 &amp; ":" &amp; O$1)</f>
        <v>0</v>
      </c>
      <c r="P5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2" s="14" t="str">
        <f>IF(ICE[[#This Row],[LastType]] = "Scrn", ICE[[#This Row],[LstDate]], IF(ICE[[#This Row],[LastType]] = "Blk", ICE[[#This Row],[LstBlkTime]], ""))</f>
        <v/>
      </c>
      <c r="R512" s="41" t="str">
        <f>IF(ICE[[#This Row],[LastType]] = "Scrn", ICE[[#This Row],[LstPrc]], IF(ICE[[#This Row],[LastType]] = "Blk", ICE[[#This Row],[LstBlkPrc]], ""))</f>
        <v/>
      </c>
      <c r="S512" s="36">
        <f>ICE[[#This Row],[Vol]]+ICE[[#This Row],[BlkVol]]</f>
        <v>0</v>
      </c>
      <c r="T512" s="36">
        <f>RTD("ice.rtd",,$C512 &amp; $D512 &amp; ":" &amp; T$1)</f>
        <v>0</v>
      </c>
      <c r="U512" s="18">
        <f>RTD("ice.rtd",,$C512 &amp; $D512 &amp; ":" &amp; U$1)</f>
        <v>2</v>
      </c>
      <c r="V5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12" s="18" t="str">
        <f>IFERROR(IF(LEFT(ICE[[#This Row],[Tenor]], 1) = "B", RTD("esrtd",,$B512 &amp; " " &amp; ICE[[#This Row],[Tenor]] &amp; "-IEU", W$1), RTD("esrtd",,$B512 &amp; " " &amp; VLOOKUP(MONTH(ICE[[#This Row],[Strip]]), MthRef[], 2, 0) &amp; RIGHT(YEAR(ICE[[#This Row],[Strip]]), 2) &amp; "-IEU", W$1)), "")</f>
        <v/>
      </c>
      <c r="X512" s="36"/>
    </row>
    <row r="513" spans="1:24" x14ac:dyDescent="0.25">
      <c r="A513" s="37" t="s">
        <v>396</v>
      </c>
      <c r="B513" s="3" t="str">
        <f>RTD("ice.rtd",,$C513 &amp; $D513 &amp; ":" &amp; B$1)</f>
        <v>SMD</v>
      </c>
      <c r="C513" s="3">
        <v>41767893</v>
      </c>
      <c r="D513" t="s">
        <v>821</v>
      </c>
      <c r="E513" s="3" t="str">
        <f>RTD("ice.rtd",,$C513 &amp; $D513 &amp; ":" &amp; E$1)</f>
        <v>Q4 28</v>
      </c>
      <c r="F513" s="3" t="str">
        <f>ICE[[#This Row],[Prod]]&amp;ICE[[#This Row],[Strip]]</f>
        <v>mg9592Q4 28</v>
      </c>
      <c r="G513" s="18" t="str">
        <f>RTD("ice.rtd",,$C513 &amp; $D513 &amp; ":" &amp; G$1)</f>
        <v/>
      </c>
      <c r="H513" s="18" t="str">
        <f>RTD("ice.rtd",,$C513 &amp; $D513 &amp; ":" &amp; H$1)</f>
        <v/>
      </c>
      <c r="I513" s="18" t="str">
        <f>RTD("ice.rtd",,$C513 &amp; $D513 &amp; ":" &amp; I$1)</f>
        <v/>
      </c>
      <c r="J513" s="14" t="str">
        <f>IFERROR(MOD(RTD("ice.rtd",,$C513 &amp; $D513 &amp; ":" &amp; J$1), 1), "")</f>
        <v/>
      </c>
      <c r="K513" s="18" t="str">
        <f>RTD("ice.rtd",,$C513 &amp; $D513 &amp; ":" &amp; K$1)</f>
        <v/>
      </c>
      <c r="L513" s="36" t="str">
        <f>RTD("ice.rtd",,$C513 &amp; $D513 &amp; ":" &amp; L$1)</f>
        <v/>
      </c>
      <c r="M513" s="14" t="str">
        <f>IFERROR(MOD(TIMEVALUE(RTD("ice.rtd",,$C513 &amp; $D513 &amp; ":" &amp; M$1)), 1), "")</f>
        <v/>
      </c>
      <c r="N513" s="36">
        <f>RTD("ice.rtd",,$C513 &amp; $D513 &amp; ":" &amp; N$1)</f>
        <v>0</v>
      </c>
      <c r="O513" s="36">
        <f>RTD("ice.rtd",,$C513 &amp; $D513 &amp; ":" &amp; O$1)</f>
        <v>0</v>
      </c>
      <c r="P5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3" s="14" t="str">
        <f>IF(ICE[[#This Row],[LastType]] = "Scrn", ICE[[#This Row],[LstDate]], IF(ICE[[#This Row],[LastType]] = "Blk", ICE[[#This Row],[LstBlkTime]], ""))</f>
        <v/>
      </c>
      <c r="R513" s="41" t="str">
        <f>IF(ICE[[#This Row],[LastType]] = "Scrn", ICE[[#This Row],[LstPrc]], IF(ICE[[#This Row],[LastType]] = "Blk", ICE[[#This Row],[LstBlkPrc]], ""))</f>
        <v/>
      </c>
      <c r="S513" s="36">
        <f>ICE[[#This Row],[Vol]]+ICE[[#This Row],[BlkVol]]</f>
        <v>0</v>
      </c>
      <c r="T513" s="36">
        <f>RTD("ice.rtd",,$C513 &amp; $D513 &amp; ":" &amp; T$1)</f>
        <v>0</v>
      </c>
      <c r="U513" s="18">
        <f>RTD("ice.rtd",,$C513 &amp; $D513 &amp; ":" &amp; U$1)</f>
        <v>2</v>
      </c>
      <c r="V5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13" s="18" t="str">
        <f>IFERROR(IF(LEFT(ICE[[#This Row],[Tenor]], 1) = "B", RTD("esrtd",,$B513 &amp; " " &amp; ICE[[#This Row],[Tenor]] &amp; "-IEU", W$1), RTD("esrtd",,$B513 &amp; " " &amp; VLOOKUP(MONTH(ICE[[#This Row],[Strip]]), MthRef[], 2, 0) &amp; RIGHT(YEAR(ICE[[#This Row],[Strip]]), 2) &amp; "-IEU", W$1)), "")</f>
        <v/>
      </c>
      <c r="X513" s="36"/>
    </row>
    <row r="514" spans="1:24" x14ac:dyDescent="0.25">
      <c r="A514" s="37" t="s">
        <v>396</v>
      </c>
      <c r="B514" s="3" t="str">
        <f>RTD("ice.rtd",,$C514 &amp; $D514 &amp; ":" &amp; B$1)</f>
        <v>SMD</v>
      </c>
      <c r="C514" s="3">
        <v>41767893</v>
      </c>
      <c r="D514" t="s">
        <v>822</v>
      </c>
      <c r="E514" s="3" t="str">
        <f>RTD("ice.rtd",,$C514 &amp; $D514 &amp; ":" &amp; E$1)</f>
        <v>Cal 27</v>
      </c>
      <c r="F514" s="3" t="str">
        <f>ICE[[#This Row],[Prod]]&amp;ICE[[#This Row],[Strip]]</f>
        <v>mg9592Cal 27</v>
      </c>
      <c r="G514" s="18" t="str">
        <f>RTD("ice.rtd",,$C514 &amp; $D514 &amp; ":" &amp; G$1)</f>
        <v/>
      </c>
      <c r="H514" s="18" t="str">
        <f>RTD("ice.rtd",,$C514 &amp; $D514 &amp; ":" &amp; H$1)</f>
        <v/>
      </c>
      <c r="I514" s="18" t="str">
        <f>RTD("ice.rtd",,$C514 &amp; $D514 &amp; ":" &amp; I$1)</f>
        <v/>
      </c>
      <c r="J514" s="14" t="str">
        <f>IFERROR(MOD(RTD("ice.rtd",,$C514 &amp; $D514 &amp; ":" &amp; J$1), 1), "")</f>
        <v/>
      </c>
      <c r="K514" s="18" t="str">
        <f>RTD("ice.rtd",,$C514 &amp; $D514 &amp; ":" &amp; K$1)</f>
        <v/>
      </c>
      <c r="L514" s="36" t="str">
        <f>RTD("ice.rtd",,$C514 &amp; $D514 &amp; ":" &amp; L$1)</f>
        <v/>
      </c>
      <c r="M514" s="14" t="str">
        <f>IFERROR(MOD(TIMEVALUE(RTD("ice.rtd",,$C514 &amp; $D514 &amp; ":" &amp; M$1)), 1), "")</f>
        <v/>
      </c>
      <c r="N514" s="36">
        <f>RTD("ice.rtd",,$C514 &amp; $D514 &amp; ":" &amp; N$1)</f>
        <v>0</v>
      </c>
      <c r="O514" s="36">
        <f>RTD("ice.rtd",,$C514 &amp; $D514 &amp; ":" &amp; O$1)</f>
        <v>0</v>
      </c>
      <c r="P5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4" s="14" t="str">
        <f>IF(ICE[[#This Row],[LastType]] = "Scrn", ICE[[#This Row],[LstDate]], IF(ICE[[#This Row],[LastType]] = "Blk", ICE[[#This Row],[LstBlkTime]], ""))</f>
        <v/>
      </c>
      <c r="R514" s="41" t="str">
        <f>IF(ICE[[#This Row],[LastType]] = "Scrn", ICE[[#This Row],[LstPrc]], IF(ICE[[#This Row],[LastType]] = "Blk", ICE[[#This Row],[LstBlkPrc]], ""))</f>
        <v/>
      </c>
      <c r="S514" s="36">
        <f>ICE[[#This Row],[Vol]]+ICE[[#This Row],[BlkVol]]</f>
        <v>0</v>
      </c>
      <c r="T514" s="36">
        <f>RTD("ice.rtd",,$C514 &amp; $D514 &amp; ":" &amp; T$1)</f>
        <v>0</v>
      </c>
      <c r="U514" s="18">
        <f>RTD("ice.rtd",,$C514 &amp; $D514 &amp; ":" &amp; U$1)</f>
        <v>2</v>
      </c>
      <c r="V5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14" s="18" t="str">
        <f>IFERROR(IF(LEFT(ICE[[#This Row],[Tenor]], 1) = "B", RTD("esrtd",,$B514 &amp; " " &amp; ICE[[#This Row],[Tenor]] &amp; "-IEU", W$1), RTD("esrtd",,$B514 &amp; " " &amp; VLOOKUP(MONTH(ICE[[#This Row],[Strip]]), MthRef[], 2, 0) &amp; RIGHT(YEAR(ICE[[#This Row],[Strip]]), 2) &amp; "-IEU", W$1)), "")</f>
        <v/>
      </c>
      <c r="X514" s="36"/>
    </row>
    <row r="515" spans="1:24" x14ac:dyDescent="0.25">
      <c r="A515" s="37" t="s">
        <v>396</v>
      </c>
      <c r="B515" s="3" t="str">
        <f>RTD("ice.rtd",,$C515 &amp; $D515 &amp; ":" &amp; B$1)</f>
        <v>SMD</v>
      </c>
      <c r="C515" s="3">
        <v>41767893</v>
      </c>
      <c r="D515" t="s">
        <v>823</v>
      </c>
      <c r="E515" s="3" t="str">
        <f>RTD("ice.rtd",,$C515 &amp; $D515 &amp; ":" &amp; E$1)</f>
        <v>Cal 28</v>
      </c>
      <c r="F515" s="3" t="str">
        <f>ICE[[#This Row],[Prod]]&amp;ICE[[#This Row],[Strip]]</f>
        <v>mg9592Cal 28</v>
      </c>
      <c r="G515" s="18" t="str">
        <f>RTD("ice.rtd",,$C515 &amp; $D515 &amp; ":" &amp; G$1)</f>
        <v/>
      </c>
      <c r="H515" s="18" t="str">
        <f>RTD("ice.rtd",,$C515 &amp; $D515 &amp; ":" &amp; H$1)</f>
        <v/>
      </c>
      <c r="I515" s="18" t="str">
        <f>RTD("ice.rtd",,$C515 &amp; $D515 &amp; ":" &amp; I$1)</f>
        <v/>
      </c>
      <c r="J515" s="14" t="str">
        <f>IFERROR(MOD(RTD("ice.rtd",,$C515 &amp; $D515 &amp; ":" &amp; J$1), 1), "")</f>
        <v/>
      </c>
      <c r="K515" s="18" t="str">
        <f>RTD("ice.rtd",,$C515 &amp; $D515 &amp; ":" &amp; K$1)</f>
        <v/>
      </c>
      <c r="L515" s="36" t="str">
        <f>RTD("ice.rtd",,$C515 &amp; $D515 &amp; ":" &amp; L$1)</f>
        <v/>
      </c>
      <c r="M515" s="14" t="str">
        <f>IFERROR(MOD(TIMEVALUE(RTD("ice.rtd",,$C515 &amp; $D515 &amp; ":" &amp; M$1)), 1), "")</f>
        <v/>
      </c>
      <c r="N515" s="36">
        <f>RTD("ice.rtd",,$C515 &amp; $D515 &amp; ":" &amp; N$1)</f>
        <v>0</v>
      </c>
      <c r="O515" s="36">
        <f>RTD("ice.rtd",,$C515 &amp; $D515 &amp; ":" &amp; O$1)</f>
        <v>0</v>
      </c>
      <c r="P5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5" s="14" t="str">
        <f>IF(ICE[[#This Row],[LastType]] = "Scrn", ICE[[#This Row],[LstDate]], IF(ICE[[#This Row],[LastType]] = "Blk", ICE[[#This Row],[LstBlkTime]], ""))</f>
        <v/>
      </c>
      <c r="R515" s="41" t="str">
        <f>IF(ICE[[#This Row],[LastType]] = "Scrn", ICE[[#This Row],[LstPrc]], IF(ICE[[#This Row],[LastType]] = "Blk", ICE[[#This Row],[LstBlkPrc]], ""))</f>
        <v/>
      </c>
      <c r="S515" s="36">
        <f>ICE[[#This Row],[Vol]]+ICE[[#This Row],[BlkVol]]</f>
        <v>0</v>
      </c>
      <c r="T515" s="36">
        <f>RTD("ice.rtd",,$C515 &amp; $D515 &amp; ":" &amp; T$1)</f>
        <v>0</v>
      </c>
      <c r="U515" s="18">
        <f>RTD("ice.rtd",,$C515 &amp; $D515 &amp; ":" &amp; U$1)</f>
        <v>2</v>
      </c>
      <c r="V5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15" s="18" t="str">
        <f>IFERROR(IF(LEFT(ICE[[#This Row],[Tenor]], 1) = "B", RTD("esrtd",,$B515 &amp; " " &amp; ICE[[#This Row],[Tenor]] &amp; "-IEU", W$1), RTD("esrtd",,$B515 &amp; " " &amp; VLOOKUP(MONTH(ICE[[#This Row],[Strip]]), MthRef[], 2, 0) &amp; RIGHT(YEAR(ICE[[#This Row],[Strip]]), 2) &amp; "-IEU", W$1)), "")</f>
        <v/>
      </c>
      <c r="X515" s="36"/>
    </row>
    <row r="516" spans="1:24" x14ac:dyDescent="0.25">
      <c r="A516" s="37" t="s">
        <v>396</v>
      </c>
      <c r="B516" s="3" t="str">
        <f>RTD("ice.rtd",,$C516 &amp; $D516 &amp; ":" &amp; B$1)</f>
        <v>Invalid Market: 41767893Y2</v>
      </c>
      <c r="C516" s="3">
        <v>41767893</v>
      </c>
      <c r="D516" t="s">
        <v>824</v>
      </c>
      <c r="E516" s="3" t="str">
        <f>RTD("ice.rtd",,$C516 &amp; $D516 &amp; ":" &amp; E$1)</f>
        <v>Invalid Market: 41767893Y2</v>
      </c>
      <c r="F516" s="3" t="str">
        <f>ICE[[#This Row],[Prod]]&amp;ICE[[#This Row],[Strip]]</f>
        <v>mg9592Invalid Market: 41767893Y2</v>
      </c>
      <c r="G516" s="18" t="str">
        <f>RTD("ice.rtd",,$C516 &amp; $D516 &amp; ":" &amp; G$1)</f>
        <v>Invalid Market: 41767893Y2</v>
      </c>
      <c r="H516" s="18" t="str">
        <f>RTD("ice.rtd",,$C516 &amp; $D516 &amp; ":" &amp; H$1)</f>
        <v>Invalid Market: 41767893Y2</v>
      </c>
      <c r="I516" s="18" t="str">
        <f>RTD("ice.rtd",,$C516 &amp; $D516 &amp; ":" &amp; I$1)</f>
        <v>Invalid Market: 41767893Y2</v>
      </c>
      <c r="J516" s="14" t="str">
        <f>IFERROR(MOD(RTD("ice.rtd",,$C516 &amp; $D516 &amp; ":" &amp; J$1), 1), "")</f>
        <v/>
      </c>
      <c r="K516" s="18" t="str">
        <f>RTD("ice.rtd",,$C516 &amp; $D516 &amp; ":" &amp; K$1)</f>
        <v>Invalid Market: 41767893Y2</v>
      </c>
      <c r="L516" s="36" t="str">
        <f>RTD("ice.rtd",,$C516 &amp; $D516 &amp; ":" &amp; L$1)</f>
        <v>Invalid Market: 41767893Y2</v>
      </c>
      <c r="M516" s="14" t="str">
        <f>IFERROR(MOD(TIMEVALUE(RTD("ice.rtd",,$C516 &amp; $D516 &amp; ":" &amp; M$1)), 1), "")</f>
        <v/>
      </c>
      <c r="N516" s="36" t="str">
        <f>RTD("ice.rtd",,$C516 &amp; $D516 &amp; ":" &amp; N$1)</f>
        <v>Invalid Market: 41767893Y2</v>
      </c>
      <c r="O516" s="36" t="str">
        <f>RTD("ice.rtd",,$C516 &amp; $D516 &amp; ":" &amp; O$1)</f>
        <v>Invalid Market: 41767893Y2</v>
      </c>
      <c r="P5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6" s="14" t="str">
        <f>IF(ICE[[#This Row],[LastType]] = "Scrn", ICE[[#This Row],[LstDate]], IF(ICE[[#This Row],[LastType]] = "Blk", ICE[[#This Row],[LstBlkTime]], ""))</f>
        <v/>
      </c>
      <c r="R516" s="41" t="str">
        <f>IF(ICE[[#This Row],[LastType]] = "Scrn", ICE[[#This Row],[LstPrc]], IF(ICE[[#This Row],[LastType]] = "Blk", ICE[[#This Row],[LstBlkPrc]], ""))</f>
        <v/>
      </c>
      <c r="S516" s="36" t="e">
        <f>ICE[[#This Row],[Vol]]+ICE[[#This Row],[BlkVol]]</f>
        <v>#VALUE!</v>
      </c>
      <c r="T516" s="36" t="str">
        <f>RTD("ice.rtd",,$C516 &amp; $D516 &amp; ":" &amp; T$1)</f>
        <v>Invalid Market: 41767893Y2</v>
      </c>
      <c r="U516" s="18" t="str">
        <f>RTD("ice.rtd",,$C516 &amp; $D516 &amp; ":" &amp; U$1)</f>
        <v>Invalid Market: 41767893Y2</v>
      </c>
      <c r="V5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516" s="18" t="str">
        <f>IFERROR(IF(LEFT(ICE[[#This Row],[Tenor]], 1) = "B", RTD("esrtd",,$B516 &amp; " " &amp; ICE[[#This Row],[Tenor]] &amp; "-IEU", W$1), RTD("esrtd",,$B516 &amp; " " &amp; VLOOKUP(MONTH(ICE[[#This Row],[Strip]]), MthRef[], 2, 0) &amp; RIGHT(YEAR(ICE[[#This Row],[Strip]]), 2) &amp; "-IEU", W$1)), "")</f>
        <v/>
      </c>
      <c r="X516" s="36"/>
    </row>
    <row r="517" spans="1:24" x14ac:dyDescent="0.25">
      <c r="A517" s="37" t="s">
        <v>414</v>
      </c>
      <c r="B517" s="3" t="str">
        <f>RTD("ice.rtd",,$C517 &amp; $D517 &amp; ":" &amp; B$1)</f>
        <v>UMA</v>
      </c>
      <c r="C517" s="3">
        <v>2325325614</v>
      </c>
      <c r="D517" t="s">
        <v>792</v>
      </c>
      <c r="E517" s="3" t="str">
        <f>RTD("ice.rtd",,$C517 &amp; $D517 &amp; ":" &amp; E$1)</f>
        <v>Bal Month</v>
      </c>
      <c r="F517" s="3" t="str">
        <f>ICE[[#This Row],[Prod]]&amp;ICE[[#This Row],[Strip]]</f>
        <v>ulsdaradiffBal Month</v>
      </c>
      <c r="G517" s="18" t="str">
        <f>RTD("ice.rtd",,$C517 &amp; $D517 &amp; ":" &amp; G$1)</f>
        <v/>
      </c>
      <c r="H517" s="18" t="str">
        <f>RTD("ice.rtd",,$C517 &amp; $D517 &amp; ":" &amp; H$1)</f>
        <v/>
      </c>
      <c r="I517" s="18" t="str">
        <f>RTD("ice.rtd",,$C517 &amp; $D517 &amp; ":" &amp; I$1)</f>
        <v/>
      </c>
      <c r="J517" s="14" t="str">
        <f>IFERROR(MOD(RTD("ice.rtd",,$C517 &amp; $D517 &amp; ":" &amp; J$1), 1), "")</f>
        <v/>
      </c>
      <c r="K517" s="18" t="str">
        <f>RTD("ice.rtd",,$C517 &amp; $D517 &amp; ":" &amp; K$1)</f>
        <v/>
      </c>
      <c r="L517" s="36" t="str">
        <f>RTD("ice.rtd",,$C517 &amp; $D517 &amp; ":" &amp; L$1)</f>
        <v/>
      </c>
      <c r="M517" s="14" t="str">
        <f>IFERROR(MOD(TIMEVALUE(RTD("ice.rtd",,$C517 &amp; $D517 &amp; ":" &amp; M$1)), 1), "")</f>
        <v/>
      </c>
      <c r="N517" s="36">
        <f>RTD("ice.rtd",,$C517 &amp; $D517 &amp; ":" &amp; N$1)</f>
        <v>0</v>
      </c>
      <c r="O517" s="36">
        <f>RTD("ice.rtd",,$C517 &amp; $D517 &amp; ":" &amp; O$1)</f>
        <v>0</v>
      </c>
      <c r="P5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7" s="14" t="str">
        <f>IF(ICE[[#This Row],[LastType]] = "Scrn", ICE[[#This Row],[LstDate]], IF(ICE[[#This Row],[LastType]] = "Blk", ICE[[#This Row],[LstBlkTime]], ""))</f>
        <v/>
      </c>
      <c r="R517" s="41" t="str">
        <f>IF(ICE[[#This Row],[LastType]] = "Scrn", ICE[[#This Row],[LstPrc]], IF(ICE[[#This Row],[LastType]] = "Blk", ICE[[#This Row],[LstBlkPrc]], ""))</f>
        <v/>
      </c>
      <c r="S517" s="36">
        <f>ICE[[#This Row],[Vol]]+ICE[[#This Row],[BlkVol]]</f>
        <v>0</v>
      </c>
      <c r="T517" s="36">
        <f>RTD("ice.rtd",,$C517 &amp; $D517 &amp; ":" &amp; T$1)</f>
        <v>0</v>
      </c>
      <c r="U517" s="18">
        <f>RTD("ice.rtd",,$C517 &amp; $D517 &amp; ":" &amp; U$1)</f>
        <v>24.306000000000001</v>
      </c>
      <c r="V5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17" s="18" t="str">
        <f>IFERROR(IF(LEFT(ICE[[#This Row],[Tenor]], 1) = "B", RTD("esrtd",,$B517 &amp; " " &amp; ICE[[#This Row],[Tenor]] &amp; "-IEU", W$1), RTD("esrtd",,$B517 &amp; " " &amp; VLOOKUP(MONTH(ICE[[#This Row],[Strip]]), MthRef[], 2, 0) &amp; RIGHT(YEAR(ICE[[#This Row],[Strip]]), 2) &amp; "-IEU", W$1)), "")</f>
        <v/>
      </c>
      <c r="X517" s="36"/>
    </row>
    <row r="518" spans="1:24" x14ac:dyDescent="0.25">
      <c r="A518" s="37" t="s">
        <v>414</v>
      </c>
      <c r="B518" s="3" t="str">
        <f>RTD("ice.rtd",,$C518 &amp; $D518 &amp; ":" &amp; B$1)</f>
        <v>ULE</v>
      </c>
      <c r="C518" s="3">
        <v>34364094</v>
      </c>
      <c r="D518" t="s">
        <v>793</v>
      </c>
      <c r="E518" s="3" t="str">
        <f>RTD("ice.rtd",,$C518 &amp; $D518 &amp; ":" &amp; E$1)</f>
        <v>Sep26</v>
      </c>
      <c r="F518" s="3" t="str">
        <f>ICE[[#This Row],[Prod]]&amp;ICE[[#This Row],[Strip]]</f>
        <v>ulsdaradiffSep26</v>
      </c>
      <c r="G518" s="18" t="str">
        <f>RTD("ice.rtd",,$C518 &amp; $D518 &amp; ":" &amp; G$1)</f>
        <v/>
      </c>
      <c r="H518" s="18" t="str">
        <f>RTD("ice.rtd",,$C518 &amp; $D518 &amp; ":" &amp; H$1)</f>
        <v/>
      </c>
      <c r="I518" s="18" t="str">
        <f>RTD("ice.rtd",,$C518 &amp; $D518 &amp; ":" &amp; I$1)</f>
        <v/>
      </c>
      <c r="J518" s="14" t="str">
        <f>IFERROR(MOD(RTD("ice.rtd",,$C518 &amp; $D518 &amp; ":" &amp; J$1), 1), "")</f>
        <v/>
      </c>
      <c r="K518" s="18" t="str">
        <f>RTD("ice.rtd",,$C518 &amp; $D518 &amp; ":" &amp; K$1)</f>
        <v/>
      </c>
      <c r="L518" s="36" t="str">
        <f>RTD("ice.rtd",,$C518 &amp; $D518 &amp; ":" &amp; L$1)</f>
        <v/>
      </c>
      <c r="M518" s="14" t="str">
        <f>IFERROR(MOD(TIMEVALUE(RTD("ice.rtd",,$C518 &amp; $D518 &amp; ":" &amp; M$1)), 1), "")</f>
        <v/>
      </c>
      <c r="N518" s="36">
        <f>RTD("ice.rtd",,$C518 &amp; $D518 &amp; ":" &amp; N$1)</f>
        <v>0</v>
      </c>
      <c r="O518" s="36">
        <f>RTD("ice.rtd",,$C518 &amp; $D518 &amp; ":" &amp; O$1)</f>
        <v>0</v>
      </c>
      <c r="P5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18" s="14" t="str">
        <f>IF(ICE[[#This Row],[LastType]] = "Scrn", ICE[[#This Row],[LstDate]], IF(ICE[[#This Row],[LastType]] = "Blk", ICE[[#This Row],[LstBlkTime]], ""))</f>
        <v/>
      </c>
      <c r="R518" s="41" t="str">
        <f>IF(ICE[[#This Row],[LastType]] = "Scrn", ICE[[#This Row],[LstPrc]], IF(ICE[[#This Row],[LastType]] = "Blk", ICE[[#This Row],[LstBlkPrc]], ""))</f>
        <v/>
      </c>
      <c r="S518" s="36">
        <f>ICE[[#This Row],[Vol]]+ICE[[#This Row],[BlkVol]]</f>
        <v>0</v>
      </c>
      <c r="T518" s="36">
        <f>RTD("ice.rtd",,$C518 &amp; $D518 &amp; ":" &amp; T$1)</f>
        <v>408</v>
      </c>
      <c r="U518" s="18">
        <f>RTD("ice.rtd",,$C518 &amp; $D518 &amp; ":" &amp; U$1)</f>
        <v>24.306000000000001</v>
      </c>
      <c r="V5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18" s="18" t="str">
        <f>IFERROR(IF(LEFT(ICE[[#This Row],[Tenor]], 1) = "B", RTD("esrtd",,$B518 &amp; " " &amp; ICE[[#This Row],[Tenor]] &amp; "-IEU", W$1), RTD("esrtd",,$B518 &amp; " " &amp; VLOOKUP(MONTH(ICE[[#This Row],[Strip]]), MthRef[], 2, 0) &amp; RIGHT(YEAR(ICE[[#This Row],[Strip]]), 2) &amp; "-IEU", W$1)), "")</f>
        <v/>
      </c>
      <c r="X518" s="36"/>
    </row>
    <row r="519" spans="1:24" x14ac:dyDescent="0.25">
      <c r="A519" s="37" t="s">
        <v>414</v>
      </c>
      <c r="B519" s="3" t="str">
        <f>RTD("ice.rtd",,$C519 &amp; $D519 &amp; ":" &amp; B$1)</f>
        <v>ULE</v>
      </c>
      <c r="C519" s="3">
        <v>34364094</v>
      </c>
      <c r="D519" t="s">
        <v>324</v>
      </c>
      <c r="E519" s="3" t="str">
        <f>RTD("ice.rtd",,$C519 &amp; $D519 &amp; ":" &amp; E$1)</f>
        <v>Oct26</v>
      </c>
      <c r="F519" s="3" t="str">
        <f>ICE[[#This Row],[Prod]]&amp;ICE[[#This Row],[Strip]]</f>
        <v>ulsdaradiffOct26</v>
      </c>
      <c r="G519" s="18" t="str">
        <f>RTD("ice.rtd",,$C519 &amp; $D519 &amp; ":" &amp; G$1)</f>
        <v/>
      </c>
      <c r="H519" s="18" t="str">
        <f>RTD("ice.rtd",,$C519 &amp; $D519 &amp; ":" &amp; H$1)</f>
        <v/>
      </c>
      <c r="I519" s="18" t="str">
        <f>RTD("ice.rtd",,$C519 &amp; $D519 &amp; ":" &amp; I$1)</f>
        <v/>
      </c>
      <c r="J519" s="14" t="str">
        <f>IFERROR(MOD(RTD("ice.rtd",,$C519 &amp; $D519 &amp; ":" &amp; J$1), 1), "")</f>
        <v/>
      </c>
      <c r="K519" s="18">
        <f>RTD("ice.rtd",,$C519 &amp; $D519 &amp; ":" &amp; K$1)</f>
        <v>30.75</v>
      </c>
      <c r="L519" s="36">
        <f>RTD("ice.rtd",,$C519 &amp; $D519 &amp; ":" &amp; L$1)</f>
        <v>5</v>
      </c>
      <c r="M519" s="14">
        <f>IFERROR(MOD(TIMEVALUE(RTD("ice.rtd",,$C519 &amp; $D519 &amp; ":" &amp; M$1)), 1), "")</f>
        <v>0.45189814814814816</v>
      </c>
      <c r="N519" s="36">
        <f>RTD("ice.rtd",,$C519 &amp; $D519 &amp; ":" &amp; N$1)</f>
        <v>0</v>
      </c>
      <c r="O519" s="36">
        <f>RTD("ice.rtd",,$C519 &amp; $D519 &amp; ":" &amp; O$1)</f>
        <v>5</v>
      </c>
      <c r="P5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19" s="14">
        <f>IF(ICE[[#This Row],[LastType]] = "Scrn", ICE[[#This Row],[LstDate]], IF(ICE[[#This Row],[LastType]] = "Blk", ICE[[#This Row],[LstBlkTime]], ""))</f>
        <v>0.45189814814814816</v>
      </c>
      <c r="R519" s="41">
        <f>IF(ICE[[#This Row],[LastType]] = "Scrn", ICE[[#This Row],[LstPrc]], IF(ICE[[#This Row],[LastType]] = "Blk", ICE[[#This Row],[LstBlkPrc]], ""))</f>
        <v>30.75</v>
      </c>
      <c r="S519" s="36">
        <f>ICE[[#This Row],[Vol]]+ICE[[#This Row],[BlkVol]]</f>
        <v>5</v>
      </c>
      <c r="T519" s="36">
        <f>RTD("ice.rtd",,$C519 &amp; $D519 &amp; ":" &amp; T$1)</f>
        <v>378</v>
      </c>
      <c r="U519" s="18">
        <f>RTD("ice.rtd",,$C519 &amp; $D519 &amp; ":" &amp; U$1)</f>
        <v>28</v>
      </c>
      <c r="V5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{30.75} |5x</v>
      </c>
      <c r="W519" s="18" t="str">
        <f>IFERROR(IF(LEFT(ICE[[#This Row],[Tenor]], 1) = "B", RTD("esrtd",,$B519 &amp; " " &amp; ICE[[#This Row],[Tenor]] &amp; "-IEU", W$1), RTD("esrtd",,$B519 &amp; " " &amp; VLOOKUP(MONTH(ICE[[#This Row],[Strip]]), MthRef[], 2, 0) &amp; RIGHT(YEAR(ICE[[#This Row],[Strip]]), 2) &amp; "-IEU", W$1)), "")</f>
        <v/>
      </c>
      <c r="X519" s="36"/>
    </row>
    <row r="520" spans="1:24" x14ac:dyDescent="0.25">
      <c r="A520" s="37" t="s">
        <v>414</v>
      </c>
      <c r="B520" s="3" t="str">
        <f>RTD("ice.rtd",,$C520 &amp; $D520 &amp; ":" &amp; B$1)</f>
        <v>ULE</v>
      </c>
      <c r="C520" s="3">
        <v>34364094</v>
      </c>
      <c r="D520" t="s">
        <v>325</v>
      </c>
      <c r="E520" s="3" t="str">
        <f>RTD("ice.rtd",,$C520 &amp; $D520 &amp; ":" &amp; E$1)</f>
        <v>Nov26</v>
      </c>
      <c r="F520" s="3" t="str">
        <f>ICE[[#This Row],[Prod]]&amp;ICE[[#This Row],[Strip]]</f>
        <v>ulsdaradiffNov26</v>
      </c>
      <c r="G520" s="18" t="str">
        <f>RTD("ice.rtd",,$C520 &amp; $D520 &amp; ":" &amp; G$1)</f>
        <v/>
      </c>
      <c r="H520" s="18" t="str">
        <f>RTD("ice.rtd",,$C520 &amp; $D520 &amp; ":" &amp; H$1)</f>
        <v/>
      </c>
      <c r="I520" s="18" t="str">
        <f>RTD("ice.rtd",,$C520 &amp; $D520 &amp; ":" &amp; I$1)</f>
        <v/>
      </c>
      <c r="J520" s="14" t="str">
        <f>IFERROR(MOD(RTD("ice.rtd",,$C520 &amp; $D520 &amp; ":" &amp; J$1), 1), "")</f>
        <v/>
      </c>
      <c r="K520" s="18" t="str">
        <f>RTD("ice.rtd",,$C520 &amp; $D520 &amp; ":" &amp; K$1)</f>
        <v/>
      </c>
      <c r="L520" s="36" t="str">
        <f>RTD("ice.rtd",,$C520 &amp; $D520 &amp; ":" &amp; L$1)</f>
        <v/>
      </c>
      <c r="M520" s="14" t="str">
        <f>IFERROR(MOD(TIMEVALUE(RTD("ice.rtd",,$C520 &amp; $D520 &amp; ":" &amp; M$1)), 1), "")</f>
        <v/>
      </c>
      <c r="N520" s="36">
        <f>RTD("ice.rtd",,$C520 &amp; $D520 &amp; ":" &amp; N$1)</f>
        <v>0</v>
      </c>
      <c r="O520" s="36">
        <f>RTD("ice.rtd",,$C520 &amp; $D520 &amp; ":" &amp; O$1)</f>
        <v>0</v>
      </c>
      <c r="P5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0" s="14" t="str">
        <f>IF(ICE[[#This Row],[LastType]] = "Scrn", ICE[[#This Row],[LstDate]], IF(ICE[[#This Row],[LastType]] = "Blk", ICE[[#This Row],[LstBlkTime]], ""))</f>
        <v/>
      </c>
      <c r="R520" s="41" t="str">
        <f>IF(ICE[[#This Row],[LastType]] = "Scrn", ICE[[#This Row],[LstPrc]], IF(ICE[[#This Row],[LastType]] = "Blk", ICE[[#This Row],[LstBlkPrc]], ""))</f>
        <v/>
      </c>
      <c r="S520" s="36">
        <f>ICE[[#This Row],[Vol]]+ICE[[#This Row],[BlkVol]]</f>
        <v>0</v>
      </c>
      <c r="T520" s="36">
        <f>RTD("ice.rtd",,$C520 &amp; $D520 &amp; ":" &amp; T$1)</f>
        <v>288</v>
      </c>
      <c r="U520" s="18">
        <f>RTD("ice.rtd",,$C520 &amp; $D520 &amp; ":" &amp; U$1)</f>
        <v>26.5</v>
      </c>
      <c r="V5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0" s="18" t="str">
        <f>IFERROR(IF(LEFT(ICE[[#This Row],[Tenor]], 1) = "B", RTD("esrtd",,$B520 &amp; " " &amp; ICE[[#This Row],[Tenor]] &amp; "-IEU", W$1), RTD("esrtd",,$B520 &amp; " " &amp; VLOOKUP(MONTH(ICE[[#This Row],[Strip]]), MthRef[], 2, 0) &amp; RIGHT(YEAR(ICE[[#This Row],[Strip]]), 2) &amp; "-IEU", W$1)), "")</f>
        <v/>
      </c>
      <c r="X520" s="36"/>
    </row>
    <row r="521" spans="1:24" x14ac:dyDescent="0.25">
      <c r="A521" s="37" t="s">
        <v>414</v>
      </c>
      <c r="B521" s="3" t="str">
        <f>RTD("ice.rtd",,$C521 &amp; $D521 &amp; ":" &amp; B$1)</f>
        <v>ULE</v>
      </c>
      <c r="C521" s="3">
        <v>34364094</v>
      </c>
      <c r="D521" t="s">
        <v>326</v>
      </c>
      <c r="E521" s="3" t="str">
        <f>RTD("ice.rtd",,$C521 &amp; $D521 &amp; ":" &amp; E$1)</f>
        <v>Dec26</v>
      </c>
      <c r="F521" s="3" t="str">
        <f>ICE[[#This Row],[Prod]]&amp;ICE[[#This Row],[Strip]]</f>
        <v>ulsdaradiffDec26</v>
      </c>
      <c r="G521" s="18" t="str">
        <f>RTD("ice.rtd",,$C521 &amp; $D521 &amp; ":" &amp; G$1)</f>
        <v/>
      </c>
      <c r="H521" s="18" t="str">
        <f>RTD("ice.rtd",,$C521 &amp; $D521 &amp; ":" &amp; H$1)</f>
        <v/>
      </c>
      <c r="I521" s="18" t="str">
        <f>RTD("ice.rtd",,$C521 &amp; $D521 &amp; ":" &amp; I$1)</f>
        <v/>
      </c>
      <c r="J521" s="14" t="str">
        <f>IFERROR(MOD(RTD("ice.rtd",,$C521 &amp; $D521 &amp; ":" &amp; J$1), 1), "")</f>
        <v/>
      </c>
      <c r="K521" s="18">
        <f>RTD("ice.rtd",,$C521 &amp; $D521 &amp; ":" &amp; K$1)</f>
        <v>25</v>
      </c>
      <c r="L521" s="36">
        <f>RTD("ice.rtd",,$C521 &amp; $D521 &amp; ":" &amp; L$1)</f>
        <v>10</v>
      </c>
      <c r="M521" s="14">
        <f>IFERROR(MOD(TIMEVALUE(RTD("ice.rtd",,$C521 &amp; $D521 &amp; ":" &amp; M$1)), 1), "")</f>
        <v>0.45831018518518518</v>
      </c>
      <c r="N521" s="36">
        <f>RTD("ice.rtd",,$C521 &amp; $D521 &amp; ":" &amp; N$1)</f>
        <v>0</v>
      </c>
      <c r="O521" s="36">
        <f>RTD("ice.rtd",,$C521 &amp; $D521 &amp; ":" &amp; O$1)</f>
        <v>17</v>
      </c>
      <c r="P5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21" s="14">
        <f>IF(ICE[[#This Row],[LastType]] = "Scrn", ICE[[#This Row],[LstDate]], IF(ICE[[#This Row],[LastType]] = "Blk", ICE[[#This Row],[LstBlkTime]], ""))</f>
        <v>0.45831018518518518</v>
      </c>
      <c r="R521" s="41">
        <f>IF(ICE[[#This Row],[LastType]] = "Scrn", ICE[[#This Row],[LstPrc]], IF(ICE[[#This Row],[LastType]] = "Blk", ICE[[#This Row],[LstBlkPrc]], ""))</f>
        <v>25</v>
      </c>
      <c r="S521" s="36">
        <f>ICE[[#This Row],[Vol]]+ICE[[#This Row],[BlkVol]]</f>
        <v>17</v>
      </c>
      <c r="T521" s="36">
        <f>RTD("ice.rtd",,$C521 &amp; $D521 &amp; ":" &amp; T$1)</f>
        <v>359</v>
      </c>
      <c r="U521" s="18">
        <f>RTD("ice.rtd",,$C521 &amp; $D521 &amp; ":" &amp; U$1)</f>
        <v>23.5</v>
      </c>
      <c r="V5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{25.00} |17x</v>
      </c>
      <c r="W521" s="18" t="str">
        <f>IFERROR(IF(LEFT(ICE[[#This Row],[Tenor]], 1) = "B", RTD("esrtd",,$B521 &amp; " " &amp; ICE[[#This Row],[Tenor]] &amp; "-IEU", W$1), RTD("esrtd",,$B521 &amp; " " &amp; VLOOKUP(MONTH(ICE[[#This Row],[Strip]]), MthRef[], 2, 0) &amp; RIGHT(YEAR(ICE[[#This Row],[Strip]]), 2) &amp; "-IEU", W$1)), "")</f>
        <v/>
      </c>
      <c r="X521" s="36"/>
    </row>
    <row r="522" spans="1:24" x14ac:dyDescent="0.25">
      <c r="A522" s="37" t="s">
        <v>414</v>
      </c>
      <c r="B522" s="3" t="str">
        <f>RTD("ice.rtd",,$C522 &amp; $D522 &amp; ":" &amp; B$1)</f>
        <v>ULE</v>
      </c>
      <c r="C522" s="3">
        <v>34364094</v>
      </c>
      <c r="D522" t="s">
        <v>794</v>
      </c>
      <c r="E522" s="3" t="str">
        <f>RTD("ice.rtd",,$C522 &amp; $D522 &amp; ":" &amp; E$1)</f>
        <v>Jan27</v>
      </c>
      <c r="F522" s="3" t="str">
        <f>ICE[[#This Row],[Prod]]&amp;ICE[[#This Row],[Strip]]</f>
        <v>ulsdaradiffJan27</v>
      </c>
      <c r="G522" s="18" t="str">
        <f>RTD("ice.rtd",,$C522 &amp; $D522 &amp; ":" &amp; G$1)</f>
        <v/>
      </c>
      <c r="H522" s="18" t="str">
        <f>RTD("ice.rtd",,$C522 &amp; $D522 &amp; ":" &amp; H$1)</f>
        <v/>
      </c>
      <c r="I522" s="18" t="str">
        <f>RTD("ice.rtd",,$C522 &amp; $D522 &amp; ":" &amp; I$1)</f>
        <v/>
      </c>
      <c r="J522" s="14" t="str">
        <f>IFERROR(MOD(RTD("ice.rtd",,$C522 &amp; $D522 &amp; ":" &amp; J$1), 1), "")</f>
        <v/>
      </c>
      <c r="K522" s="18" t="str">
        <f>RTD("ice.rtd",,$C522 &amp; $D522 &amp; ":" &amp; K$1)</f>
        <v/>
      </c>
      <c r="L522" s="36" t="str">
        <f>RTD("ice.rtd",,$C522 &amp; $D522 &amp; ":" &amp; L$1)</f>
        <v/>
      </c>
      <c r="M522" s="14" t="str">
        <f>IFERROR(MOD(TIMEVALUE(RTD("ice.rtd",,$C522 &amp; $D522 &amp; ":" &amp; M$1)), 1), "")</f>
        <v/>
      </c>
      <c r="N522" s="36">
        <f>RTD("ice.rtd",,$C522 &amp; $D522 &amp; ":" &amp; N$1)</f>
        <v>0</v>
      </c>
      <c r="O522" s="36">
        <f>RTD("ice.rtd",,$C522 &amp; $D522 &amp; ":" &amp; O$1)</f>
        <v>0</v>
      </c>
      <c r="P5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2" s="14" t="str">
        <f>IF(ICE[[#This Row],[LastType]] = "Scrn", ICE[[#This Row],[LstDate]], IF(ICE[[#This Row],[LastType]] = "Blk", ICE[[#This Row],[LstBlkTime]], ""))</f>
        <v/>
      </c>
      <c r="R522" s="41" t="str">
        <f>IF(ICE[[#This Row],[LastType]] = "Scrn", ICE[[#This Row],[LstPrc]], IF(ICE[[#This Row],[LastType]] = "Blk", ICE[[#This Row],[LstBlkPrc]], ""))</f>
        <v/>
      </c>
      <c r="S522" s="36">
        <f>ICE[[#This Row],[Vol]]+ICE[[#This Row],[BlkVol]]</f>
        <v>0</v>
      </c>
      <c r="T522" s="36">
        <f>RTD("ice.rtd",,$C522 &amp; $D522 &amp; ":" &amp; T$1)</f>
        <v>99</v>
      </c>
      <c r="U522" s="18">
        <f>RTD("ice.rtd",,$C522 &amp; $D522 &amp; ":" &amp; U$1)</f>
        <v>18.5</v>
      </c>
      <c r="V5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2" s="18" t="str">
        <f>IFERROR(IF(LEFT(ICE[[#This Row],[Tenor]], 1) = "B", RTD("esrtd",,$B522 &amp; " " &amp; ICE[[#This Row],[Tenor]] &amp; "-IEU", W$1), RTD("esrtd",,$B522 &amp; " " &amp; VLOOKUP(MONTH(ICE[[#This Row],[Strip]]), MthRef[], 2, 0) &amp; RIGHT(YEAR(ICE[[#This Row],[Strip]]), 2) &amp; "-IEU", W$1)), "")</f>
        <v/>
      </c>
      <c r="X522" s="36"/>
    </row>
    <row r="523" spans="1:24" x14ac:dyDescent="0.25">
      <c r="A523" s="37" t="s">
        <v>414</v>
      </c>
      <c r="B523" s="3" t="str">
        <f>RTD("ice.rtd",,$C523 &amp; $D523 &amp; ":" &amp; B$1)</f>
        <v>ULE</v>
      </c>
      <c r="C523" s="3">
        <v>34364094</v>
      </c>
      <c r="D523" t="s">
        <v>795</v>
      </c>
      <c r="E523" s="3" t="str">
        <f>RTD("ice.rtd",,$C523 &amp; $D523 &amp; ":" &amp; E$1)</f>
        <v>Feb27</v>
      </c>
      <c r="F523" s="3" t="str">
        <f>ICE[[#This Row],[Prod]]&amp;ICE[[#This Row],[Strip]]</f>
        <v>ulsdaradiffFeb27</v>
      </c>
      <c r="G523" s="18" t="str">
        <f>RTD("ice.rtd",,$C523 &amp; $D523 &amp; ":" &amp; G$1)</f>
        <v/>
      </c>
      <c r="H523" s="18" t="str">
        <f>RTD("ice.rtd",,$C523 &amp; $D523 &amp; ":" &amp; H$1)</f>
        <v/>
      </c>
      <c r="I523" s="18" t="str">
        <f>RTD("ice.rtd",,$C523 &amp; $D523 &amp; ":" &amp; I$1)</f>
        <v/>
      </c>
      <c r="J523" s="14" t="str">
        <f>IFERROR(MOD(RTD("ice.rtd",,$C523 &amp; $D523 &amp; ":" &amp; J$1), 1), "")</f>
        <v/>
      </c>
      <c r="K523" s="18" t="str">
        <f>RTD("ice.rtd",,$C523 &amp; $D523 &amp; ":" &amp; K$1)</f>
        <v/>
      </c>
      <c r="L523" s="36" t="str">
        <f>RTD("ice.rtd",,$C523 &amp; $D523 &amp; ":" &amp; L$1)</f>
        <v/>
      </c>
      <c r="M523" s="14" t="str">
        <f>IFERROR(MOD(TIMEVALUE(RTD("ice.rtd",,$C523 &amp; $D523 &amp; ":" &amp; M$1)), 1), "")</f>
        <v/>
      </c>
      <c r="N523" s="36">
        <f>RTD("ice.rtd",,$C523 &amp; $D523 &amp; ":" &amp; N$1)</f>
        <v>0</v>
      </c>
      <c r="O523" s="36">
        <f>RTD("ice.rtd",,$C523 &amp; $D523 &amp; ":" &amp; O$1)</f>
        <v>0</v>
      </c>
      <c r="P5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3" s="14" t="str">
        <f>IF(ICE[[#This Row],[LastType]] = "Scrn", ICE[[#This Row],[LstDate]], IF(ICE[[#This Row],[LastType]] = "Blk", ICE[[#This Row],[LstBlkTime]], ""))</f>
        <v/>
      </c>
      <c r="R523" s="41" t="str">
        <f>IF(ICE[[#This Row],[LastType]] = "Scrn", ICE[[#This Row],[LstPrc]], IF(ICE[[#This Row],[LastType]] = "Blk", ICE[[#This Row],[LstBlkPrc]], ""))</f>
        <v/>
      </c>
      <c r="S523" s="36">
        <f>ICE[[#This Row],[Vol]]+ICE[[#This Row],[BlkVol]]</f>
        <v>0</v>
      </c>
      <c r="T523" s="36">
        <f>RTD("ice.rtd",,$C523 &amp; $D523 &amp; ":" &amp; T$1)</f>
        <v>101</v>
      </c>
      <c r="U523" s="18">
        <f>RTD("ice.rtd",,$C523 &amp; $D523 &amp; ":" &amp; U$1)</f>
        <v>17.5</v>
      </c>
      <c r="V5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3" s="18" t="str">
        <f>IFERROR(IF(LEFT(ICE[[#This Row],[Tenor]], 1) = "B", RTD("esrtd",,$B523 &amp; " " &amp; ICE[[#This Row],[Tenor]] &amp; "-IEU", W$1), RTD("esrtd",,$B523 &amp; " " &amp; VLOOKUP(MONTH(ICE[[#This Row],[Strip]]), MthRef[], 2, 0) &amp; RIGHT(YEAR(ICE[[#This Row],[Strip]]), 2) &amp; "-IEU", W$1)), "")</f>
        <v/>
      </c>
      <c r="X523" s="36"/>
    </row>
    <row r="524" spans="1:24" x14ac:dyDescent="0.25">
      <c r="A524" s="37" t="s">
        <v>414</v>
      </c>
      <c r="B524" s="3" t="str">
        <f>RTD("ice.rtd",,$C524 &amp; $D524 &amp; ":" &amp; B$1)</f>
        <v>ULE</v>
      </c>
      <c r="C524" s="3">
        <v>34364094</v>
      </c>
      <c r="D524" t="s">
        <v>113</v>
      </c>
      <c r="E524" s="3" t="str">
        <f>RTD("ice.rtd",,$C524 &amp; $D524 &amp; ":" &amp; E$1)</f>
        <v>Mar27</v>
      </c>
      <c r="F524" s="3" t="str">
        <f>ICE[[#This Row],[Prod]]&amp;ICE[[#This Row],[Strip]]</f>
        <v>ulsdaradiffMar27</v>
      </c>
      <c r="G524" s="18" t="str">
        <f>RTD("ice.rtd",,$C524 &amp; $D524 &amp; ":" &amp; G$1)</f>
        <v/>
      </c>
      <c r="H524" s="18" t="str">
        <f>RTD("ice.rtd",,$C524 &amp; $D524 &amp; ":" &amp; H$1)</f>
        <v/>
      </c>
      <c r="I524" s="18" t="str">
        <f>RTD("ice.rtd",,$C524 &amp; $D524 &amp; ":" &amp; I$1)</f>
        <v/>
      </c>
      <c r="J524" s="14" t="str">
        <f>IFERROR(MOD(RTD("ice.rtd",,$C524 &amp; $D524 &amp; ":" &amp; J$1), 1), "")</f>
        <v/>
      </c>
      <c r="K524" s="18" t="str">
        <f>RTD("ice.rtd",,$C524 &amp; $D524 &amp; ":" &amp; K$1)</f>
        <v/>
      </c>
      <c r="L524" s="36" t="str">
        <f>RTD("ice.rtd",,$C524 &amp; $D524 &amp; ":" &amp; L$1)</f>
        <v/>
      </c>
      <c r="M524" s="14" t="str">
        <f>IFERROR(MOD(TIMEVALUE(RTD("ice.rtd",,$C524 &amp; $D524 &amp; ":" &amp; M$1)), 1), "")</f>
        <v/>
      </c>
      <c r="N524" s="36">
        <f>RTD("ice.rtd",,$C524 &amp; $D524 &amp; ":" &amp; N$1)</f>
        <v>0</v>
      </c>
      <c r="O524" s="36">
        <f>RTD("ice.rtd",,$C524 &amp; $D524 &amp; ":" &amp; O$1)</f>
        <v>0</v>
      </c>
      <c r="P5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4" s="14" t="str">
        <f>IF(ICE[[#This Row],[LastType]] = "Scrn", ICE[[#This Row],[LstDate]], IF(ICE[[#This Row],[LastType]] = "Blk", ICE[[#This Row],[LstBlkTime]], ""))</f>
        <v/>
      </c>
      <c r="R524" s="41" t="str">
        <f>IF(ICE[[#This Row],[LastType]] = "Scrn", ICE[[#This Row],[LstPrc]], IF(ICE[[#This Row],[LastType]] = "Blk", ICE[[#This Row],[LstBlkPrc]], ""))</f>
        <v/>
      </c>
      <c r="S524" s="36">
        <f>ICE[[#This Row],[Vol]]+ICE[[#This Row],[BlkVol]]</f>
        <v>0</v>
      </c>
      <c r="T524" s="36">
        <f>RTD("ice.rtd",,$C524 &amp; $D524 &amp; ":" &amp; T$1)</f>
        <v>99</v>
      </c>
      <c r="U524" s="18">
        <f>RTD("ice.rtd",,$C524 &amp; $D524 &amp; ":" &amp; U$1)</f>
        <v>16.5</v>
      </c>
      <c r="V5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4" s="18" t="str">
        <f>IFERROR(IF(LEFT(ICE[[#This Row],[Tenor]], 1) = "B", RTD("esrtd",,$B524 &amp; " " &amp; ICE[[#This Row],[Tenor]] &amp; "-IEU", W$1), RTD("esrtd",,$B524 &amp; " " &amp; VLOOKUP(MONTH(ICE[[#This Row],[Strip]]), MthRef[], 2, 0) &amp; RIGHT(YEAR(ICE[[#This Row],[Strip]]), 2) &amp; "-IEU", W$1)), "")</f>
        <v/>
      </c>
      <c r="X524" s="36"/>
    </row>
    <row r="525" spans="1:24" x14ac:dyDescent="0.25">
      <c r="A525" s="37" t="s">
        <v>414</v>
      </c>
      <c r="B525" s="3" t="str">
        <f>RTD("ice.rtd",,$C525 &amp; $D525 &amp; ":" &amp; B$1)</f>
        <v>ULE</v>
      </c>
      <c r="C525" s="3">
        <v>34364094</v>
      </c>
      <c r="D525" t="s">
        <v>796</v>
      </c>
      <c r="E525" s="3" t="str">
        <f>RTD("ice.rtd",,$C525 &amp; $D525 &amp; ":" &amp; E$1)</f>
        <v>Apr27</v>
      </c>
      <c r="F525" s="3" t="str">
        <f>ICE[[#This Row],[Prod]]&amp;ICE[[#This Row],[Strip]]</f>
        <v>ulsdaradiffApr27</v>
      </c>
      <c r="G525" s="18" t="str">
        <f>RTD("ice.rtd",,$C525 &amp; $D525 &amp; ":" &amp; G$1)</f>
        <v/>
      </c>
      <c r="H525" s="18" t="str">
        <f>RTD("ice.rtd",,$C525 &amp; $D525 &amp; ":" &amp; H$1)</f>
        <v/>
      </c>
      <c r="I525" s="18" t="str">
        <f>RTD("ice.rtd",,$C525 &amp; $D525 &amp; ":" &amp; I$1)</f>
        <v/>
      </c>
      <c r="J525" s="14" t="str">
        <f>IFERROR(MOD(RTD("ice.rtd",,$C525 &amp; $D525 &amp; ":" &amp; J$1), 1), "")</f>
        <v/>
      </c>
      <c r="K525" s="18" t="str">
        <f>RTD("ice.rtd",,$C525 &amp; $D525 &amp; ":" &amp; K$1)</f>
        <v/>
      </c>
      <c r="L525" s="36" t="str">
        <f>RTD("ice.rtd",,$C525 &amp; $D525 &amp; ":" &amp; L$1)</f>
        <v/>
      </c>
      <c r="M525" s="14" t="str">
        <f>IFERROR(MOD(TIMEVALUE(RTD("ice.rtd",,$C525 &amp; $D525 &amp; ":" &amp; M$1)), 1), "")</f>
        <v/>
      </c>
      <c r="N525" s="36">
        <f>RTD("ice.rtd",,$C525 &amp; $D525 &amp; ":" &amp; N$1)</f>
        <v>0</v>
      </c>
      <c r="O525" s="36">
        <f>RTD("ice.rtd",,$C525 &amp; $D525 &amp; ":" &amp; O$1)</f>
        <v>0</v>
      </c>
      <c r="P5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5" s="14" t="str">
        <f>IF(ICE[[#This Row],[LastType]] = "Scrn", ICE[[#This Row],[LstDate]], IF(ICE[[#This Row],[LastType]] = "Blk", ICE[[#This Row],[LstBlkTime]], ""))</f>
        <v/>
      </c>
      <c r="R525" s="41" t="str">
        <f>IF(ICE[[#This Row],[LastType]] = "Scrn", ICE[[#This Row],[LstPrc]], IF(ICE[[#This Row],[LastType]] = "Blk", ICE[[#This Row],[LstBlkPrc]], ""))</f>
        <v/>
      </c>
      <c r="S525" s="36">
        <f>ICE[[#This Row],[Vol]]+ICE[[#This Row],[BlkVol]]</f>
        <v>0</v>
      </c>
      <c r="T525" s="36">
        <f>RTD("ice.rtd",,$C525 &amp; $D525 &amp; ":" &amp; T$1)</f>
        <v>33</v>
      </c>
      <c r="U525" s="18">
        <f>RTD("ice.rtd",,$C525 &amp; $D525 &amp; ":" &amp; U$1)</f>
        <v>11.5</v>
      </c>
      <c r="V5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5" s="18" t="str">
        <f>IFERROR(IF(LEFT(ICE[[#This Row],[Tenor]], 1) = "B", RTD("esrtd",,$B525 &amp; " " &amp; ICE[[#This Row],[Tenor]] &amp; "-IEU", W$1), RTD("esrtd",,$B525 &amp; " " &amp; VLOOKUP(MONTH(ICE[[#This Row],[Strip]]), MthRef[], 2, 0) &amp; RIGHT(YEAR(ICE[[#This Row],[Strip]]), 2) &amp; "-IEU", W$1)), "")</f>
        <v/>
      </c>
      <c r="X525" s="36"/>
    </row>
    <row r="526" spans="1:24" x14ac:dyDescent="0.25">
      <c r="A526" s="37" t="s">
        <v>414</v>
      </c>
      <c r="B526" s="3" t="str">
        <f>RTD("ice.rtd",,$C526 &amp; $D526 &amp; ":" &amp; B$1)</f>
        <v>ULE</v>
      </c>
      <c r="C526" s="3">
        <v>34364094</v>
      </c>
      <c r="D526" t="s">
        <v>797</v>
      </c>
      <c r="E526" s="3" t="str">
        <f>RTD("ice.rtd",,$C526 &amp; $D526 &amp; ":" &amp; E$1)</f>
        <v>May27</v>
      </c>
      <c r="F526" s="3" t="str">
        <f>ICE[[#This Row],[Prod]]&amp;ICE[[#This Row],[Strip]]</f>
        <v>ulsdaradiffMay27</v>
      </c>
      <c r="G526" s="18" t="str">
        <f>RTD("ice.rtd",,$C526 &amp; $D526 &amp; ":" &amp; G$1)</f>
        <v/>
      </c>
      <c r="H526" s="18" t="str">
        <f>RTD("ice.rtd",,$C526 &amp; $D526 &amp; ":" &amp; H$1)</f>
        <v/>
      </c>
      <c r="I526" s="18" t="str">
        <f>RTD("ice.rtd",,$C526 &amp; $D526 &amp; ":" &amp; I$1)</f>
        <v/>
      </c>
      <c r="J526" s="14" t="str">
        <f>IFERROR(MOD(RTD("ice.rtd",,$C526 &amp; $D526 &amp; ":" &amp; J$1), 1), "")</f>
        <v/>
      </c>
      <c r="K526" s="18" t="str">
        <f>RTD("ice.rtd",,$C526 &amp; $D526 &amp; ":" &amp; K$1)</f>
        <v/>
      </c>
      <c r="L526" s="36" t="str">
        <f>RTD("ice.rtd",,$C526 &amp; $D526 &amp; ":" &amp; L$1)</f>
        <v/>
      </c>
      <c r="M526" s="14" t="str">
        <f>IFERROR(MOD(TIMEVALUE(RTD("ice.rtd",,$C526 &amp; $D526 &amp; ":" &amp; M$1)), 1), "")</f>
        <v/>
      </c>
      <c r="N526" s="36">
        <f>RTD("ice.rtd",,$C526 &amp; $D526 &amp; ":" &amp; N$1)</f>
        <v>0</v>
      </c>
      <c r="O526" s="36">
        <f>RTD("ice.rtd",,$C526 &amp; $D526 &amp; ":" &amp; O$1)</f>
        <v>0</v>
      </c>
      <c r="P5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6" s="14" t="str">
        <f>IF(ICE[[#This Row],[LastType]] = "Scrn", ICE[[#This Row],[LstDate]], IF(ICE[[#This Row],[LastType]] = "Blk", ICE[[#This Row],[LstBlkTime]], ""))</f>
        <v/>
      </c>
      <c r="R526" s="41" t="str">
        <f>IF(ICE[[#This Row],[LastType]] = "Scrn", ICE[[#This Row],[LstPrc]], IF(ICE[[#This Row],[LastType]] = "Blk", ICE[[#This Row],[LstBlkPrc]], ""))</f>
        <v/>
      </c>
      <c r="S526" s="36">
        <f>ICE[[#This Row],[Vol]]+ICE[[#This Row],[BlkVol]]</f>
        <v>0</v>
      </c>
      <c r="T526" s="36">
        <f>RTD("ice.rtd",,$C526 &amp; $D526 &amp; ":" &amp; T$1)</f>
        <v>33</v>
      </c>
      <c r="U526" s="18">
        <f>RTD("ice.rtd",,$C526 &amp; $D526 &amp; ":" &amp; U$1)</f>
        <v>10.5</v>
      </c>
      <c r="V5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6" s="18" t="str">
        <f>IFERROR(IF(LEFT(ICE[[#This Row],[Tenor]], 1) = "B", RTD("esrtd",,$B526 &amp; " " &amp; ICE[[#This Row],[Tenor]] &amp; "-IEU", W$1), RTD("esrtd",,$B526 &amp; " " &amp; VLOOKUP(MONTH(ICE[[#This Row],[Strip]]), MthRef[], 2, 0) &amp; RIGHT(YEAR(ICE[[#This Row],[Strip]]), 2) &amp; "-IEU", W$1)), "")</f>
        <v/>
      </c>
      <c r="X526" s="36"/>
    </row>
    <row r="527" spans="1:24" x14ac:dyDescent="0.25">
      <c r="A527" s="37" t="s">
        <v>414</v>
      </c>
      <c r="B527" s="3" t="str">
        <f>RTD("ice.rtd",,$C527 &amp; $D527 &amp; ":" &amp; B$1)</f>
        <v>ULE</v>
      </c>
      <c r="C527" s="3">
        <v>34364094</v>
      </c>
      <c r="D527" t="s">
        <v>798</v>
      </c>
      <c r="E527" s="3" t="str">
        <f>RTD("ice.rtd",,$C527 &amp; $D527 &amp; ":" &amp; E$1)</f>
        <v>Jun27</v>
      </c>
      <c r="F527" s="3" t="str">
        <f>ICE[[#This Row],[Prod]]&amp;ICE[[#This Row],[Strip]]</f>
        <v>ulsdaradiffJun27</v>
      </c>
      <c r="G527" s="18" t="str">
        <f>RTD("ice.rtd",,$C527 &amp; $D527 &amp; ":" &amp; G$1)</f>
        <v/>
      </c>
      <c r="H527" s="18" t="str">
        <f>RTD("ice.rtd",,$C527 &amp; $D527 &amp; ":" &amp; H$1)</f>
        <v/>
      </c>
      <c r="I527" s="18" t="str">
        <f>RTD("ice.rtd",,$C527 &amp; $D527 &amp; ":" &amp; I$1)</f>
        <v/>
      </c>
      <c r="J527" s="14" t="str">
        <f>IFERROR(MOD(RTD("ice.rtd",,$C527 &amp; $D527 &amp; ":" &amp; J$1), 1), "")</f>
        <v/>
      </c>
      <c r="K527" s="18" t="str">
        <f>RTD("ice.rtd",,$C527 &amp; $D527 &amp; ":" &amp; K$1)</f>
        <v/>
      </c>
      <c r="L527" s="36" t="str">
        <f>RTD("ice.rtd",,$C527 &amp; $D527 &amp; ":" &amp; L$1)</f>
        <v/>
      </c>
      <c r="M527" s="14" t="str">
        <f>IFERROR(MOD(TIMEVALUE(RTD("ice.rtd",,$C527 &amp; $D527 &amp; ":" &amp; M$1)), 1), "")</f>
        <v/>
      </c>
      <c r="N527" s="36">
        <f>RTD("ice.rtd",,$C527 &amp; $D527 &amp; ":" &amp; N$1)</f>
        <v>0</v>
      </c>
      <c r="O527" s="36">
        <f>RTD("ice.rtd",,$C527 &amp; $D527 &amp; ":" &amp; O$1)</f>
        <v>0</v>
      </c>
      <c r="P5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7" s="14" t="str">
        <f>IF(ICE[[#This Row],[LastType]] = "Scrn", ICE[[#This Row],[LstDate]], IF(ICE[[#This Row],[LastType]] = "Blk", ICE[[#This Row],[LstBlkTime]], ""))</f>
        <v/>
      </c>
      <c r="R527" s="41" t="str">
        <f>IF(ICE[[#This Row],[LastType]] = "Scrn", ICE[[#This Row],[LstPrc]], IF(ICE[[#This Row],[LastType]] = "Blk", ICE[[#This Row],[LstBlkPrc]], ""))</f>
        <v/>
      </c>
      <c r="S527" s="36">
        <f>ICE[[#This Row],[Vol]]+ICE[[#This Row],[BlkVol]]</f>
        <v>0</v>
      </c>
      <c r="T527" s="36">
        <f>RTD("ice.rtd",,$C527 &amp; $D527 &amp; ":" &amp; T$1)</f>
        <v>33</v>
      </c>
      <c r="U527" s="18">
        <f>RTD("ice.rtd",,$C527 &amp; $D527 &amp; ":" &amp; U$1)</f>
        <v>9.5</v>
      </c>
      <c r="V5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7" s="18" t="str">
        <f>IFERROR(IF(LEFT(ICE[[#This Row],[Tenor]], 1) = "B", RTD("esrtd",,$B527 &amp; " " &amp; ICE[[#This Row],[Tenor]] &amp; "-IEU", W$1), RTD("esrtd",,$B527 &amp; " " &amp; VLOOKUP(MONTH(ICE[[#This Row],[Strip]]), MthRef[], 2, 0) &amp; RIGHT(YEAR(ICE[[#This Row],[Strip]]), 2) &amp; "-IEU", W$1)), "")</f>
        <v/>
      </c>
      <c r="X527" s="36"/>
    </row>
    <row r="528" spans="1:24" x14ac:dyDescent="0.25">
      <c r="A528" s="37" t="s">
        <v>414</v>
      </c>
      <c r="B528" s="3" t="str">
        <f>RTD("ice.rtd",,$C528 &amp; $D528 &amp; ":" &amp; B$1)</f>
        <v>ULE</v>
      </c>
      <c r="C528" s="3">
        <v>34364094</v>
      </c>
      <c r="D528" t="s">
        <v>799</v>
      </c>
      <c r="E528" s="3" t="str">
        <f>RTD("ice.rtd",,$C528 &amp; $D528 &amp; ":" &amp; E$1)</f>
        <v>Jul27</v>
      </c>
      <c r="F528" s="3" t="str">
        <f>ICE[[#This Row],[Prod]]&amp;ICE[[#This Row],[Strip]]</f>
        <v>ulsdaradiffJul27</v>
      </c>
      <c r="G528" s="18" t="str">
        <f>RTD("ice.rtd",,$C528 &amp; $D528 &amp; ":" &amp; G$1)</f>
        <v/>
      </c>
      <c r="H528" s="18" t="str">
        <f>RTD("ice.rtd",,$C528 &amp; $D528 &amp; ":" &amp; H$1)</f>
        <v/>
      </c>
      <c r="I528" s="18" t="str">
        <f>RTD("ice.rtd",,$C528 &amp; $D528 &amp; ":" &amp; I$1)</f>
        <v/>
      </c>
      <c r="J528" s="14" t="str">
        <f>IFERROR(MOD(RTD("ice.rtd",,$C528 &amp; $D528 &amp; ":" &amp; J$1), 1), "")</f>
        <v/>
      </c>
      <c r="K528" s="18" t="str">
        <f>RTD("ice.rtd",,$C528 &amp; $D528 &amp; ":" &amp; K$1)</f>
        <v/>
      </c>
      <c r="L528" s="36" t="str">
        <f>RTD("ice.rtd",,$C528 &amp; $D528 &amp; ":" &amp; L$1)</f>
        <v/>
      </c>
      <c r="M528" s="14" t="str">
        <f>IFERROR(MOD(TIMEVALUE(RTD("ice.rtd",,$C528 &amp; $D528 &amp; ":" &amp; M$1)), 1), "")</f>
        <v/>
      </c>
      <c r="N528" s="36">
        <f>RTD("ice.rtd",,$C528 &amp; $D528 &amp; ":" &amp; N$1)</f>
        <v>0</v>
      </c>
      <c r="O528" s="36">
        <f>RTD("ice.rtd",,$C528 &amp; $D528 &amp; ":" &amp; O$1)</f>
        <v>0</v>
      </c>
      <c r="P5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8" s="14" t="str">
        <f>IF(ICE[[#This Row],[LastType]] = "Scrn", ICE[[#This Row],[LstDate]], IF(ICE[[#This Row],[LastType]] = "Blk", ICE[[#This Row],[LstBlkTime]], ""))</f>
        <v/>
      </c>
      <c r="R528" s="41" t="str">
        <f>IF(ICE[[#This Row],[LastType]] = "Scrn", ICE[[#This Row],[LstPrc]], IF(ICE[[#This Row],[LastType]] = "Blk", ICE[[#This Row],[LstBlkPrc]], ""))</f>
        <v/>
      </c>
      <c r="S528" s="36">
        <f>ICE[[#This Row],[Vol]]+ICE[[#This Row],[BlkVol]]</f>
        <v>0</v>
      </c>
      <c r="T528" s="36">
        <f>RTD("ice.rtd",,$C528 &amp; $D528 &amp; ":" &amp; T$1)</f>
        <v>34</v>
      </c>
      <c r="U528" s="18">
        <f>RTD("ice.rtd",,$C528 &amp; $D528 &amp; ":" &amp; U$1)</f>
        <v>7</v>
      </c>
      <c r="V5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8" s="18" t="str">
        <f>IFERROR(IF(LEFT(ICE[[#This Row],[Tenor]], 1) = "B", RTD("esrtd",,$B528 &amp; " " &amp; ICE[[#This Row],[Tenor]] &amp; "-IEU", W$1), RTD("esrtd",,$B528 &amp; " " &amp; VLOOKUP(MONTH(ICE[[#This Row],[Strip]]), MthRef[], 2, 0) &amp; RIGHT(YEAR(ICE[[#This Row],[Strip]]), 2) &amp; "-IEU", W$1)), "")</f>
        <v/>
      </c>
      <c r="X528" s="36"/>
    </row>
    <row r="529" spans="1:24" x14ac:dyDescent="0.25">
      <c r="A529" s="37" t="s">
        <v>414</v>
      </c>
      <c r="B529" s="3" t="str">
        <f>RTD("ice.rtd",,$C529 &amp; $D529 &amp; ":" &amp; B$1)</f>
        <v>ULE</v>
      </c>
      <c r="C529" s="3">
        <v>34364094</v>
      </c>
      <c r="D529" t="s">
        <v>800</v>
      </c>
      <c r="E529" s="3" t="str">
        <f>RTD("ice.rtd",,$C529 &amp; $D529 &amp; ":" &amp; E$1)</f>
        <v>Aug27</v>
      </c>
      <c r="F529" s="3" t="str">
        <f>ICE[[#This Row],[Prod]]&amp;ICE[[#This Row],[Strip]]</f>
        <v>ulsdaradiffAug27</v>
      </c>
      <c r="G529" s="18" t="str">
        <f>RTD("ice.rtd",,$C529 &amp; $D529 &amp; ":" &amp; G$1)</f>
        <v/>
      </c>
      <c r="H529" s="18" t="str">
        <f>RTD("ice.rtd",,$C529 &amp; $D529 &amp; ":" &amp; H$1)</f>
        <v/>
      </c>
      <c r="I529" s="18" t="str">
        <f>RTD("ice.rtd",,$C529 &amp; $D529 &amp; ":" &amp; I$1)</f>
        <v/>
      </c>
      <c r="J529" s="14" t="str">
        <f>IFERROR(MOD(RTD("ice.rtd",,$C529 &amp; $D529 &amp; ":" &amp; J$1), 1), "")</f>
        <v/>
      </c>
      <c r="K529" s="18" t="str">
        <f>RTD("ice.rtd",,$C529 &amp; $D529 &amp; ":" &amp; K$1)</f>
        <v/>
      </c>
      <c r="L529" s="36" t="str">
        <f>RTD("ice.rtd",,$C529 &amp; $D529 &amp; ":" &amp; L$1)</f>
        <v/>
      </c>
      <c r="M529" s="14" t="str">
        <f>IFERROR(MOD(TIMEVALUE(RTD("ice.rtd",,$C529 &amp; $D529 &amp; ":" &amp; M$1)), 1), "")</f>
        <v/>
      </c>
      <c r="N529" s="36">
        <f>RTD("ice.rtd",,$C529 &amp; $D529 &amp; ":" &amp; N$1)</f>
        <v>0</v>
      </c>
      <c r="O529" s="36">
        <f>RTD("ice.rtd",,$C529 &amp; $D529 &amp; ":" &amp; O$1)</f>
        <v>0</v>
      </c>
      <c r="P5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29" s="14" t="str">
        <f>IF(ICE[[#This Row],[LastType]] = "Scrn", ICE[[#This Row],[LstDate]], IF(ICE[[#This Row],[LastType]] = "Blk", ICE[[#This Row],[LstBlkTime]], ""))</f>
        <v/>
      </c>
      <c r="R529" s="41" t="str">
        <f>IF(ICE[[#This Row],[LastType]] = "Scrn", ICE[[#This Row],[LstPrc]], IF(ICE[[#This Row],[LastType]] = "Blk", ICE[[#This Row],[LstBlkPrc]], ""))</f>
        <v/>
      </c>
      <c r="S529" s="36">
        <f>ICE[[#This Row],[Vol]]+ICE[[#This Row],[BlkVol]]</f>
        <v>0</v>
      </c>
      <c r="T529" s="36">
        <f>RTD("ice.rtd",,$C529 &amp; $D529 &amp; ":" &amp; T$1)</f>
        <v>34</v>
      </c>
      <c r="U529" s="18">
        <f>RTD("ice.rtd",,$C529 &amp; $D529 &amp; ":" &amp; U$1)</f>
        <v>7</v>
      </c>
      <c r="V5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29" s="18" t="str">
        <f>IFERROR(IF(LEFT(ICE[[#This Row],[Tenor]], 1) = "B", RTD("esrtd",,$B529 &amp; " " &amp; ICE[[#This Row],[Tenor]] &amp; "-IEU", W$1), RTD("esrtd",,$B529 &amp; " " &amp; VLOOKUP(MONTH(ICE[[#This Row],[Strip]]), MthRef[], 2, 0) &amp; RIGHT(YEAR(ICE[[#This Row],[Strip]]), 2) &amp; "-IEU", W$1)), "")</f>
        <v/>
      </c>
      <c r="X529" s="36"/>
    </row>
    <row r="530" spans="1:24" x14ac:dyDescent="0.25">
      <c r="A530" s="37" t="s">
        <v>414</v>
      </c>
      <c r="B530" s="3" t="str">
        <f>RTD("ice.rtd",,$C530 &amp; $D530 &amp; ":" &amp; B$1)</f>
        <v>ULE</v>
      </c>
      <c r="C530" s="3">
        <v>34364094</v>
      </c>
      <c r="D530" t="s">
        <v>801</v>
      </c>
      <c r="E530" s="3" t="str">
        <f>RTD("ice.rtd",,$C530 &amp; $D530 &amp; ":" &amp; E$1)</f>
        <v>Sep27</v>
      </c>
      <c r="F530" s="3" t="str">
        <f>ICE[[#This Row],[Prod]]&amp;ICE[[#This Row],[Strip]]</f>
        <v>ulsdaradiffSep27</v>
      </c>
      <c r="G530" s="18" t="str">
        <f>RTD("ice.rtd",,$C530 &amp; $D530 &amp; ":" &amp; G$1)</f>
        <v/>
      </c>
      <c r="H530" s="18" t="str">
        <f>RTD("ice.rtd",,$C530 &amp; $D530 &amp; ":" &amp; H$1)</f>
        <v/>
      </c>
      <c r="I530" s="18" t="str">
        <f>RTD("ice.rtd",,$C530 &amp; $D530 &amp; ":" &amp; I$1)</f>
        <v/>
      </c>
      <c r="J530" s="14" t="str">
        <f>IFERROR(MOD(RTD("ice.rtd",,$C530 &amp; $D530 &amp; ":" &amp; J$1), 1), "")</f>
        <v/>
      </c>
      <c r="K530" s="18" t="str">
        <f>RTD("ice.rtd",,$C530 &amp; $D530 &amp; ":" &amp; K$1)</f>
        <v/>
      </c>
      <c r="L530" s="36" t="str">
        <f>RTD("ice.rtd",,$C530 &amp; $D530 &amp; ":" &amp; L$1)</f>
        <v/>
      </c>
      <c r="M530" s="14" t="str">
        <f>IFERROR(MOD(TIMEVALUE(RTD("ice.rtd",,$C530 &amp; $D530 &amp; ":" &amp; M$1)), 1), "")</f>
        <v/>
      </c>
      <c r="N530" s="36">
        <f>RTD("ice.rtd",,$C530 &amp; $D530 &amp; ":" &amp; N$1)</f>
        <v>0</v>
      </c>
      <c r="O530" s="36">
        <f>RTD("ice.rtd",,$C530 &amp; $D530 &amp; ":" &amp; O$1)</f>
        <v>0</v>
      </c>
      <c r="P5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0" s="14" t="str">
        <f>IF(ICE[[#This Row],[LastType]] = "Scrn", ICE[[#This Row],[LstDate]], IF(ICE[[#This Row],[LastType]] = "Blk", ICE[[#This Row],[LstBlkTime]], ""))</f>
        <v/>
      </c>
      <c r="R530" s="41" t="str">
        <f>IF(ICE[[#This Row],[LastType]] = "Scrn", ICE[[#This Row],[LstPrc]], IF(ICE[[#This Row],[LastType]] = "Blk", ICE[[#This Row],[LstBlkPrc]], ""))</f>
        <v/>
      </c>
      <c r="S530" s="36">
        <f>ICE[[#This Row],[Vol]]+ICE[[#This Row],[BlkVol]]</f>
        <v>0</v>
      </c>
      <c r="T530" s="36">
        <f>RTD("ice.rtd",,$C530 &amp; $D530 &amp; ":" &amp; T$1)</f>
        <v>34</v>
      </c>
      <c r="U530" s="18">
        <f>RTD("ice.rtd",,$C530 &amp; $D530 &amp; ":" &amp; U$1)</f>
        <v>7</v>
      </c>
      <c r="V5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0" s="18" t="str">
        <f>IFERROR(IF(LEFT(ICE[[#This Row],[Tenor]], 1) = "B", RTD("esrtd",,$B530 &amp; " " &amp; ICE[[#This Row],[Tenor]] &amp; "-IEU", W$1), RTD("esrtd",,$B530 &amp; " " &amp; VLOOKUP(MONTH(ICE[[#This Row],[Strip]]), MthRef[], 2, 0) &amp; RIGHT(YEAR(ICE[[#This Row],[Strip]]), 2) &amp; "-IEU", W$1)), "")</f>
        <v/>
      </c>
      <c r="X530" s="36"/>
    </row>
    <row r="531" spans="1:24" x14ac:dyDescent="0.25">
      <c r="A531" s="37" t="s">
        <v>414</v>
      </c>
      <c r="B531" s="3" t="str">
        <f>RTD("ice.rtd",,$C531 &amp; $D531 &amp; ":" &amp; B$1)</f>
        <v>ULE</v>
      </c>
      <c r="C531" s="3">
        <v>34364094</v>
      </c>
      <c r="D531" t="s">
        <v>802</v>
      </c>
      <c r="E531" s="3" t="str">
        <f>RTD("ice.rtd",,$C531 &amp; $D531 &amp; ":" &amp; E$1)</f>
        <v>Oct27</v>
      </c>
      <c r="F531" s="3" t="str">
        <f>ICE[[#This Row],[Prod]]&amp;ICE[[#This Row],[Strip]]</f>
        <v>ulsdaradiffOct27</v>
      </c>
      <c r="G531" s="18" t="str">
        <f>RTD("ice.rtd",,$C531 &amp; $D531 &amp; ":" &amp; G$1)</f>
        <v/>
      </c>
      <c r="H531" s="18" t="str">
        <f>RTD("ice.rtd",,$C531 &amp; $D531 &amp; ":" &amp; H$1)</f>
        <v/>
      </c>
      <c r="I531" s="18" t="str">
        <f>RTD("ice.rtd",,$C531 &amp; $D531 &amp; ":" &amp; I$1)</f>
        <v/>
      </c>
      <c r="J531" s="14" t="str">
        <f>IFERROR(MOD(RTD("ice.rtd",,$C531 &amp; $D531 &amp; ":" &amp; J$1), 1), "")</f>
        <v/>
      </c>
      <c r="K531" s="18" t="str">
        <f>RTD("ice.rtd",,$C531 &amp; $D531 &amp; ":" &amp; K$1)</f>
        <v/>
      </c>
      <c r="L531" s="36" t="str">
        <f>RTD("ice.rtd",,$C531 &amp; $D531 &amp; ":" &amp; L$1)</f>
        <v/>
      </c>
      <c r="M531" s="14" t="str">
        <f>IFERROR(MOD(TIMEVALUE(RTD("ice.rtd",,$C531 &amp; $D531 &amp; ":" &amp; M$1)), 1), "")</f>
        <v/>
      </c>
      <c r="N531" s="36">
        <f>RTD("ice.rtd",,$C531 &amp; $D531 &amp; ":" &amp; N$1)</f>
        <v>0</v>
      </c>
      <c r="O531" s="36">
        <f>RTD("ice.rtd",,$C531 &amp; $D531 &amp; ":" &amp; O$1)</f>
        <v>0</v>
      </c>
      <c r="P5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1" s="14" t="str">
        <f>IF(ICE[[#This Row],[LastType]] = "Scrn", ICE[[#This Row],[LstDate]], IF(ICE[[#This Row],[LastType]] = "Blk", ICE[[#This Row],[LstBlkTime]], ""))</f>
        <v/>
      </c>
      <c r="R531" s="41" t="str">
        <f>IF(ICE[[#This Row],[LastType]] = "Scrn", ICE[[#This Row],[LstPrc]], IF(ICE[[#This Row],[LastType]] = "Blk", ICE[[#This Row],[LstBlkPrc]], ""))</f>
        <v/>
      </c>
      <c r="S531" s="36">
        <f>ICE[[#This Row],[Vol]]+ICE[[#This Row],[BlkVol]]</f>
        <v>0</v>
      </c>
      <c r="T531" s="36">
        <f>RTD("ice.rtd",,$C531 &amp; $D531 &amp; ":" &amp; T$1)</f>
        <v>32</v>
      </c>
      <c r="U531" s="18">
        <f>RTD("ice.rtd",,$C531 &amp; $D531 &amp; ":" &amp; U$1)</f>
        <v>7</v>
      </c>
      <c r="V5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1" s="18" t="str">
        <f>IFERROR(IF(LEFT(ICE[[#This Row],[Tenor]], 1) = "B", RTD("esrtd",,$B531 &amp; " " &amp; ICE[[#This Row],[Tenor]] &amp; "-IEU", W$1), RTD("esrtd",,$B531 &amp; " " &amp; VLOOKUP(MONTH(ICE[[#This Row],[Strip]]), MthRef[], 2, 0) &amp; RIGHT(YEAR(ICE[[#This Row],[Strip]]), 2) &amp; "-IEU", W$1)), "")</f>
        <v/>
      </c>
      <c r="X531" s="36"/>
    </row>
    <row r="532" spans="1:24" x14ac:dyDescent="0.25">
      <c r="A532" s="37" t="s">
        <v>414</v>
      </c>
      <c r="B532" s="3" t="str">
        <f>RTD("ice.rtd",,$C532 &amp; $D532 &amp; ":" &amp; B$1)</f>
        <v>ULE</v>
      </c>
      <c r="C532" s="3">
        <v>34364094</v>
      </c>
      <c r="D532" t="s">
        <v>803</v>
      </c>
      <c r="E532" s="3" t="str">
        <f>RTD("ice.rtd",,$C532 &amp; $D532 &amp; ":" &amp; E$1)</f>
        <v>Nov27</v>
      </c>
      <c r="F532" s="3" t="str">
        <f>ICE[[#This Row],[Prod]]&amp;ICE[[#This Row],[Strip]]</f>
        <v>ulsdaradiffNov27</v>
      </c>
      <c r="G532" s="18" t="str">
        <f>RTD("ice.rtd",,$C532 &amp; $D532 &amp; ":" &amp; G$1)</f>
        <v/>
      </c>
      <c r="H532" s="18" t="str">
        <f>RTD("ice.rtd",,$C532 &amp; $D532 &amp; ":" &amp; H$1)</f>
        <v/>
      </c>
      <c r="I532" s="18" t="str">
        <f>RTD("ice.rtd",,$C532 &amp; $D532 &amp; ":" &amp; I$1)</f>
        <v/>
      </c>
      <c r="J532" s="14" t="str">
        <f>IFERROR(MOD(RTD("ice.rtd",,$C532 &amp; $D532 &amp; ":" &amp; J$1), 1), "")</f>
        <v/>
      </c>
      <c r="K532" s="18" t="str">
        <f>RTD("ice.rtd",,$C532 &amp; $D532 &amp; ":" &amp; K$1)</f>
        <v/>
      </c>
      <c r="L532" s="36" t="str">
        <f>RTD("ice.rtd",,$C532 &amp; $D532 &amp; ":" &amp; L$1)</f>
        <v/>
      </c>
      <c r="M532" s="14" t="str">
        <f>IFERROR(MOD(TIMEVALUE(RTD("ice.rtd",,$C532 &amp; $D532 &amp; ":" &amp; M$1)), 1), "")</f>
        <v/>
      </c>
      <c r="N532" s="36">
        <f>RTD("ice.rtd",,$C532 &amp; $D532 &amp; ":" &amp; N$1)</f>
        <v>0</v>
      </c>
      <c r="O532" s="36">
        <f>RTD("ice.rtd",,$C532 &amp; $D532 &amp; ":" &amp; O$1)</f>
        <v>0</v>
      </c>
      <c r="P5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2" s="14" t="str">
        <f>IF(ICE[[#This Row],[LastType]] = "Scrn", ICE[[#This Row],[LstDate]], IF(ICE[[#This Row],[LastType]] = "Blk", ICE[[#This Row],[LstBlkTime]], ""))</f>
        <v/>
      </c>
      <c r="R532" s="41" t="str">
        <f>IF(ICE[[#This Row],[LastType]] = "Scrn", ICE[[#This Row],[LstPrc]], IF(ICE[[#This Row],[LastType]] = "Blk", ICE[[#This Row],[LstBlkPrc]], ""))</f>
        <v/>
      </c>
      <c r="S532" s="36">
        <f>ICE[[#This Row],[Vol]]+ICE[[#This Row],[BlkVol]]</f>
        <v>0</v>
      </c>
      <c r="T532" s="36">
        <f>RTD("ice.rtd",,$C532 &amp; $D532 &amp; ":" &amp; T$1)</f>
        <v>32</v>
      </c>
      <c r="U532" s="18">
        <f>RTD("ice.rtd",,$C532 &amp; $D532 &amp; ":" &amp; U$1)</f>
        <v>7</v>
      </c>
      <c r="V5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2" s="18" t="str">
        <f>IFERROR(IF(LEFT(ICE[[#This Row],[Tenor]], 1) = "B", RTD("esrtd",,$B532 &amp; " " &amp; ICE[[#This Row],[Tenor]] &amp; "-IEU", W$1), RTD("esrtd",,$B532 &amp; " " &amp; VLOOKUP(MONTH(ICE[[#This Row],[Strip]]), MthRef[], 2, 0) &amp; RIGHT(YEAR(ICE[[#This Row],[Strip]]), 2) &amp; "-IEU", W$1)), "")</f>
        <v/>
      </c>
      <c r="X532" s="36"/>
    </row>
    <row r="533" spans="1:24" x14ac:dyDescent="0.25">
      <c r="A533" s="37" t="s">
        <v>414</v>
      </c>
      <c r="B533" s="3" t="str">
        <f>RTD("ice.rtd",,$C533 &amp; $D533 &amp; ":" &amp; B$1)</f>
        <v>ULE</v>
      </c>
      <c r="C533" s="3">
        <v>34364094</v>
      </c>
      <c r="D533" t="s">
        <v>804</v>
      </c>
      <c r="E533" s="3" t="str">
        <f>RTD("ice.rtd",,$C533 &amp; $D533 &amp; ":" &amp; E$1)</f>
        <v>Dec27</v>
      </c>
      <c r="F533" s="3" t="str">
        <f>ICE[[#This Row],[Prod]]&amp;ICE[[#This Row],[Strip]]</f>
        <v>ulsdaradiffDec27</v>
      </c>
      <c r="G533" s="18" t="str">
        <f>RTD("ice.rtd",,$C533 &amp; $D533 &amp; ":" &amp; G$1)</f>
        <v/>
      </c>
      <c r="H533" s="18" t="str">
        <f>RTD("ice.rtd",,$C533 &amp; $D533 &amp; ":" &amp; H$1)</f>
        <v/>
      </c>
      <c r="I533" s="18" t="str">
        <f>RTD("ice.rtd",,$C533 &amp; $D533 &amp; ":" &amp; I$1)</f>
        <v/>
      </c>
      <c r="J533" s="14" t="str">
        <f>IFERROR(MOD(RTD("ice.rtd",,$C533 &amp; $D533 &amp; ":" &amp; J$1), 1), "")</f>
        <v/>
      </c>
      <c r="K533" s="18" t="str">
        <f>RTD("ice.rtd",,$C533 &amp; $D533 &amp; ":" &amp; K$1)</f>
        <v/>
      </c>
      <c r="L533" s="36" t="str">
        <f>RTD("ice.rtd",,$C533 &amp; $D533 &amp; ":" &amp; L$1)</f>
        <v/>
      </c>
      <c r="M533" s="14" t="str">
        <f>IFERROR(MOD(TIMEVALUE(RTD("ice.rtd",,$C533 &amp; $D533 &amp; ":" &amp; M$1)), 1), "")</f>
        <v/>
      </c>
      <c r="N533" s="36">
        <f>RTD("ice.rtd",,$C533 &amp; $D533 &amp; ":" &amp; N$1)</f>
        <v>0</v>
      </c>
      <c r="O533" s="36">
        <f>RTD("ice.rtd",,$C533 &amp; $D533 &amp; ":" &amp; O$1)</f>
        <v>0</v>
      </c>
      <c r="P5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3" s="14" t="str">
        <f>IF(ICE[[#This Row],[LastType]] = "Scrn", ICE[[#This Row],[LstDate]], IF(ICE[[#This Row],[LastType]] = "Blk", ICE[[#This Row],[LstBlkTime]], ""))</f>
        <v/>
      </c>
      <c r="R533" s="41" t="str">
        <f>IF(ICE[[#This Row],[LastType]] = "Scrn", ICE[[#This Row],[LstPrc]], IF(ICE[[#This Row],[LastType]] = "Blk", ICE[[#This Row],[LstBlkPrc]], ""))</f>
        <v/>
      </c>
      <c r="S533" s="36">
        <f>ICE[[#This Row],[Vol]]+ICE[[#This Row],[BlkVol]]</f>
        <v>0</v>
      </c>
      <c r="T533" s="36">
        <f>RTD("ice.rtd",,$C533 &amp; $D533 &amp; ":" &amp; T$1)</f>
        <v>32</v>
      </c>
      <c r="U533" s="18">
        <f>RTD("ice.rtd",,$C533 &amp; $D533 &amp; ":" &amp; U$1)</f>
        <v>6.5</v>
      </c>
      <c r="V5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3" s="18" t="str">
        <f>IFERROR(IF(LEFT(ICE[[#This Row],[Tenor]], 1) = "B", RTD("esrtd",,$B533 &amp; " " &amp; ICE[[#This Row],[Tenor]] &amp; "-IEU", W$1), RTD("esrtd",,$B533 &amp; " " &amp; VLOOKUP(MONTH(ICE[[#This Row],[Strip]]), MthRef[], 2, 0) &amp; RIGHT(YEAR(ICE[[#This Row],[Strip]]), 2) &amp; "-IEU", W$1)), "")</f>
        <v/>
      </c>
      <c r="X533" s="36"/>
    </row>
    <row r="534" spans="1:24" x14ac:dyDescent="0.25">
      <c r="A534" s="37" t="s">
        <v>414</v>
      </c>
      <c r="B534" s="3" t="str">
        <f>RTD("ice.rtd",,$C534 &amp; $D534 &amp; ":" &amp; B$1)</f>
        <v>ULE</v>
      </c>
      <c r="C534" s="3">
        <v>34364094</v>
      </c>
      <c r="D534" t="s">
        <v>805</v>
      </c>
      <c r="E534" s="3" t="str">
        <f>RTD("ice.rtd",,$C534 &amp; $D534 &amp; ":" &amp; E$1)</f>
        <v>Jan28</v>
      </c>
      <c r="F534" s="3" t="str">
        <f>ICE[[#This Row],[Prod]]&amp;ICE[[#This Row],[Strip]]</f>
        <v>ulsdaradiffJan28</v>
      </c>
      <c r="G534" s="18" t="str">
        <f>RTD("ice.rtd",,$C534 &amp; $D534 &amp; ":" &amp; G$1)</f>
        <v/>
      </c>
      <c r="H534" s="18" t="str">
        <f>RTD("ice.rtd",,$C534 &amp; $D534 &amp; ":" &amp; H$1)</f>
        <v/>
      </c>
      <c r="I534" s="18" t="str">
        <f>RTD("ice.rtd",,$C534 &amp; $D534 &amp; ":" &amp; I$1)</f>
        <v/>
      </c>
      <c r="J534" s="14" t="str">
        <f>IFERROR(MOD(RTD("ice.rtd",,$C534 &amp; $D534 &amp; ":" &amp; J$1), 1), "")</f>
        <v/>
      </c>
      <c r="K534" s="18" t="str">
        <f>RTD("ice.rtd",,$C534 &amp; $D534 &amp; ":" &amp; K$1)</f>
        <v/>
      </c>
      <c r="L534" s="36" t="str">
        <f>RTD("ice.rtd",,$C534 &amp; $D534 &amp; ":" &amp; L$1)</f>
        <v/>
      </c>
      <c r="M534" s="14" t="str">
        <f>IFERROR(MOD(TIMEVALUE(RTD("ice.rtd",,$C534 &amp; $D534 &amp; ":" &amp; M$1)), 1), "")</f>
        <v/>
      </c>
      <c r="N534" s="36">
        <f>RTD("ice.rtd",,$C534 &amp; $D534 &amp; ":" &amp; N$1)</f>
        <v>0</v>
      </c>
      <c r="O534" s="36">
        <f>RTD("ice.rtd",,$C534 &amp; $D534 &amp; ":" &amp; O$1)</f>
        <v>0</v>
      </c>
      <c r="P5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4" s="14" t="str">
        <f>IF(ICE[[#This Row],[LastType]] = "Scrn", ICE[[#This Row],[LstDate]], IF(ICE[[#This Row],[LastType]] = "Blk", ICE[[#This Row],[LstBlkTime]], ""))</f>
        <v/>
      </c>
      <c r="R534" s="41" t="str">
        <f>IF(ICE[[#This Row],[LastType]] = "Scrn", ICE[[#This Row],[LstPrc]], IF(ICE[[#This Row],[LastType]] = "Blk", ICE[[#This Row],[LstBlkPrc]], ""))</f>
        <v/>
      </c>
      <c r="S534" s="36">
        <f>ICE[[#This Row],[Vol]]+ICE[[#This Row],[BlkVol]]</f>
        <v>0</v>
      </c>
      <c r="T534" s="36">
        <f>RTD("ice.rtd",,$C534 &amp; $D534 &amp; ":" &amp; T$1)</f>
        <v>11</v>
      </c>
      <c r="U534" s="18">
        <f>RTD("ice.rtd",,$C534 &amp; $D534 &amp; ":" &amp; U$1)</f>
        <v>3.5</v>
      </c>
      <c r="V5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4" s="18" t="str">
        <f>IFERROR(IF(LEFT(ICE[[#This Row],[Tenor]], 1) = "B", RTD("esrtd",,$B534 &amp; " " &amp; ICE[[#This Row],[Tenor]] &amp; "-IEU", W$1), RTD("esrtd",,$B534 &amp; " " &amp; VLOOKUP(MONTH(ICE[[#This Row],[Strip]]), MthRef[], 2, 0) &amp; RIGHT(YEAR(ICE[[#This Row],[Strip]]), 2) &amp; "-IEU", W$1)), "")</f>
        <v/>
      </c>
      <c r="X534" s="36"/>
    </row>
    <row r="535" spans="1:24" x14ac:dyDescent="0.25">
      <c r="A535" s="37" t="s">
        <v>414</v>
      </c>
      <c r="B535" s="3" t="str">
        <f>RTD("ice.rtd",,$C535 &amp; $D535 &amp; ":" &amp; B$1)</f>
        <v>ULE</v>
      </c>
      <c r="C535" s="3">
        <v>34364094</v>
      </c>
      <c r="D535" t="s">
        <v>806</v>
      </c>
      <c r="E535" s="3" t="str">
        <f>RTD("ice.rtd",,$C535 &amp; $D535 &amp; ":" &amp; E$1)</f>
        <v>Feb28</v>
      </c>
      <c r="F535" s="3" t="str">
        <f>ICE[[#This Row],[Prod]]&amp;ICE[[#This Row],[Strip]]</f>
        <v>ulsdaradiffFeb28</v>
      </c>
      <c r="G535" s="18" t="str">
        <f>RTD("ice.rtd",,$C535 &amp; $D535 &amp; ":" &amp; G$1)</f>
        <v/>
      </c>
      <c r="H535" s="18" t="str">
        <f>RTD("ice.rtd",,$C535 &amp; $D535 &amp; ":" &amp; H$1)</f>
        <v/>
      </c>
      <c r="I535" s="18" t="str">
        <f>RTD("ice.rtd",,$C535 &amp; $D535 &amp; ":" &amp; I$1)</f>
        <v/>
      </c>
      <c r="J535" s="14" t="str">
        <f>IFERROR(MOD(RTD("ice.rtd",,$C535 &amp; $D535 &amp; ":" &amp; J$1), 1), "")</f>
        <v/>
      </c>
      <c r="K535" s="18" t="str">
        <f>RTD("ice.rtd",,$C535 &amp; $D535 &amp; ":" &amp; K$1)</f>
        <v/>
      </c>
      <c r="L535" s="36" t="str">
        <f>RTD("ice.rtd",,$C535 &amp; $D535 &amp; ":" &amp; L$1)</f>
        <v/>
      </c>
      <c r="M535" s="14" t="str">
        <f>IFERROR(MOD(TIMEVALUE(RTD("ice.rtd",,$C535 &amp; $D535 &amp; ":" &amp; M$1)), 1), "")</f>
        <v/>
      </c>
      <c r="N535" s="36">
        <f>RTD("ice.rtd",,$C535 &amp; $D535 &amp; ":" &amp; N$1)</f>
        <v>0</v>
      </c>
      <c r="O535" s="36">
        <f>RTD("ice.rtd",,$C535 &amp; $D535 &amp; ":" &amp; O$1)</f>
        <v>0</v>
      </c>
      <c r="P5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5" s="14" t="str">
        <f>IF(ICE[[#This Row],[LastType]] = "Scrn", ICE[[#This Row],[LstDate]], IF(ICE[[#This Row],[LastType]] = "Blk", ICE[[#This Row],[LstBlkTime]], ""))</f>
        <v/>
      </c>
      <c r="R535" s="41" t="str">
        <f>IF(ICE[[#This Row],[LastType]] = "Scrn", ICE[[#This Row],[LstPrc]], IF(ICE[[#This Row],[LastType]] = "Blk", ICE[[#This Row],[LstBlkPrc]], ""))</f>
        <v/>
      </c>
      <c r="S535" s="36">
        <f>ICE[[#This Row],[Vol]]+ICE[[#This Row],[BlkVol]]</f>
        <v>0</v>
      </c>
      <c r="T535" s="36">
        <f>RTD("ice.rtd",,$C535 &amp; $D535 &amp; ":" &amp; T$1)</f>
        <v>11</v>
      </c>
      <c r="U535" s="18">
        <f>RTD("ice.rtd",,$C535 &amp; $D535 &amp; ":" &amp; U$1)</f>
        <v>3.5</v>
      </c>
      <c r="V5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5" s="18" t="str">
        <f>IFERROR(IF(LEFT(ICE[[#This Row],[Tenor]], 1) = "B", RTD("esrtd",,$B535 &amp; " " &amp; ICE[[#This Row],[Tenor]] &amp; "-IEU", W$1), RTD("esrtd",,$B535 &amp; " " &amp; VLOOKUP(MONTH(ICE[[#This Row],[Strip]]), MthRef[], 2, 0) &amp; RIGHT(YEAR(ICE[[#This Row],[Strip]]), 2) &amp; "-IEU", W$1)), "")</f>
        <v/>
      </c>
      <c r="X535" s="36"/>
    </row>
    <row r="536" spans="1:24" x14ac:dyDescent="0.25">
      <c r="A536" s="37" t="s">
        <v>414</v>
      </c>
      <c r="B536" s="3" t="str">
        <f>RTD("ice.rtd",,$C536 &amp; $D536 &amp; ":" &amp; B$1)</f>
        <v>ULE</v>
      </c>
      <c r="C536" s="3">
        <v>34364094</v>
      </c>
      <c r="D536" t="s">
        <v>807</v>
      </c>
      <c r="E536" s="3" t="str">
        <f>RTD("ice.rtd",,$C536 &amp; $D536 &amp; ":" &amp; E$1)</f>
        <v>Mar28</v>
      </c>
      <c r="F536" s="3" t="str">
        <f>ICE[[#This Row],[Prod]]&amp;ICE[[#This Row],[Strip]]</f>
        <v>ulsdaradiffMar28</v>
      </c>
      <c r="G536" s="18" t="str">
        <f>RTD("ice.rtd",,$C536 &amp; $D536 &amp; ":" &amp; G$1)</f>
        <v/>
      </c>
      <c r="H536" s="18" t="str">
        <f>RTD("ice.rtd",,$C536 &amp; $D536 &amp; ":" &amp; H$1)</f>
        <v/>
      </c>
      <c r="I536" s="18" t="str">
        <f>RTD("ice.rtd",,$C536 &amp; $D536 &amp; ":" &amp; I$1)</f>
        <v/>
      </c>
      <c r="J536" s="14" t="str">
        <f>IFERROR(MOD(RTD("ice.rtd",,$C536 &amp; $D536 &amp; ":" &amp; J$1), 1), "")</f>
        <v/>
      </c>
      <c r="K536" s="18" t="str">
        <f>RTD("ice.rtd",,$C536 &amp; $D536 &amp; ":" &amp; K$1)</f>
        <v/>
      </c>
      <c r="L536" s="36" t="str">
        <f>RTD("ice.rtd",,$C536 &amp; $D536 &amp; ":" &amp; L$1)</f>
        <v/>
      </c>
      <c r="M536" s="14" t="str">
        <f>IFERROR(MOD(TIMEVALUE(RTD("ice.rtd",,$C536 &amp; $D536 &amp; ":" &amp; M$1)), 1), "")</f>
        <v/>
      </c>
      <c r="N536" s="36">
        <f>RTD("ice.rtd",,$C536 &amp; $D536 &amp; ":" &amp; N$1)</f>
        <v>0</v>
      </c>
      <c r="O536" s="36">
        <f>RTD("ice.rtd",,$C536 &amp; $D536 &amp; ":" &amp; O$1)</f>
        <v>0</v>
      </c>
      <c r="P5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6" s="14" t="str">
        <f>IF(ICE[[#This Row],[LastType]] = "Scrn", ICE[[#This Row],[LstDate]], IF(ICE[[#This Row],[LastType]] = "Blk", ICE[[#This Row],[LstBlkTime]], ""))</f>
        <v/>
      </c>
      <c r="R536" s="41" t="str">
        <f>IF(ICE[[#This Row],[LastType]] = "Scrn", ICE[[#This Row],[LstPrc]], IF(ICE[[#This Row],[LastType]] = "Blk", ICE[[#This Row],[LstBlkPrc]], ""))</f>
        <v/>
      </c>
      <c r="S536" s="36">
        <f>ICE[[#This Row],[Vol]]+ICE[[#This Row],[BlkVol]]</f>
        <v>0</v>
      </c>
      <c r="T536" s="36">
        <f>RTD("ice.rtd",,$C536 &amp; $D536 &amp; ":" &amp; T$1)</f>
        <v>11</v>
      </c>
      <c r="U536" s="18">
        <f>RTD("ice.rtd",,$C536 &amp; $D536 &amp; ":" &amp; U$1)</f>
        <v>3.5</v>
      </c>
      <c r="V5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6" s="18" t="str">
        <f>IFERROR(IF(LEFT(ICE[[#This Row],[Tenor]], 1) = "B", RTD("esrtd",,$B536 &amp; " " &amp; ICE[[#This Row],[Tenor]] &amp; "-IEU", W$1), RTD("esrtd",,$B536 &amp; " " &amp; VLOOKUP(MONTH(ICE[[#This Row],[Strip]]), MthRef[], 2, 0) &amp; RIGHT(YEAR(ICE[[#This Row],[Strip]]), 2) &amp; "-IEU", W$1)), "")</f>
        <v/>
      </c>
      <c r="X536" s="36"/>
    </row>
    <row r="537" spans="1:24" x14ac:dyDescent="0.25">
      <c r="A537" s="37" t="s">
        <v>414</v>
      </c>
      <c r="B537" s="3" t="str">
        <f>RTD("ice.rtd",,$C537 &amp; $D537 &amp; ":" &amp; B$1)</f>
        <v>ULE</v>
      </c>
      <c r="C537" s="3">
        <v>34364094</v>
      </c>
      <c r="D537" t="s">
        <v>808</v>
      </c>
      <c r="E537" s="3" t="str">
        <f>RTD("ice.rtd",,$C537 &amp; $D537 &amp; ":" &amp; E$1)</f>
        <v>Apr28</v>
      </c>
      <c r="F537" s="3" t="str">
        <f>ICE[[#This Row],[Prod]]&amp;ICE[[#This Row],[Strip]]</f>
        <v>ulsdaradiffApr28</v>
      </c>
      <c r="G537" s="18" t="str">
        <f>RTD("ice.rtd",,$C537 &amp; $D537 &amp; ":" &amp; G$1)</f>
        <v/>
      </c>
      <c r="H537" s="18" t="str">
        <f>RTD("ice.rtd",,$C537 &amp; $D537 &amp; ":" &amp; H$1)</f>
        <v/>
      </c>
      <c r="I537" s="18" t="str">
        <f>RTD("ice.rtd",,$C537 &amp; $D537 &amp; ":" &amp; I$1)</f>
        <v/>
      </c>
      <c r="J537" s="14" t="str">
        <f>IFERROR(MOD(RTD("ice.rtd",,$C537 &amp; $D537 &amp; ":" &amp; J$1), 1), "")</f>
        <v/>
      </c>
      <c r="K537" s="18" t="str">
        <f>RTD("ice.rtd",,$C537 &amp; $D537 &amp; ":" &amp; K$1)</f>
        <v/>
      </c>
      <c r="L537" s="36" t="str">
        <f>RTD("ice.rtd",,$C537 &amp; $D537 &amp; ":" &amp; L$1)</f>
        <v/>
      </c>
      <c r="M537" s="14" t="str">
        <f>IFERROR(MOD(TIMEVALUE(RTD("ice.rtd",,$C537 &amp; $D537 &amp; ":" &amp; M$1)), 1), "")</f>
        <v/>
      </c>
      <c r="N537" s="36">
        <f>RTD("ice.rtd",,$C537 &amp; $D537 &amp; ":" &amp; N$1)</f>
        <v>0</v>
      </c>
      <c r="O537" s="36">
        <f>RTD("ice.rtd",,$C537 &amp; $D537 &amp; ":" &amp; O$1)</f>
        <v>0</v>
      </c>
      <c r="P5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7" s="14" t="str">
        <f>IF(ICE[[#This Row],[LastType]] = "Scrn", ICE[[#This Row],[LstDate]], IF(ICE[[#This Row],[LastType]] = "Blk", ICE[[#This Row],[LstBlkTime]], ""))</f>
        <v/>
      </c>
      <c r="R537" s="41" t="str">
        <f>IF(ICE[[#This Row],[LastType]] = "Scrn", ICE[[#This Row],[LstPrc]], IF(ICE[[#This Row],[LastType]] = "Blk", ICE[[#This Row],[LstBlkPrc]], ""))</f>
        <v/>
      </c>
      <c r="S537" s="36">
        <f>ICE[[#This Row],[Vol]]+ICE[[#This Row],[BlkVol]]</f>
        <v>0</v>
      </c>
      <c r="T537" s="36">
        <f>RTD("ice.rtd",,$C537 &amp; $D537 &amp; ":" &amp; T$1)</f>
        <v>8</v>
      </c>
      <c r="U537" s="18">
        <f>RTD("ice.rtd",,$C537 &amp; $D537 &amp; ":" &amp; U$1)</f>
        <v>3.5</v>
      </c>
      <c r="V5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7" s="18" t="str">
        <f>IFERROR(IF(LEFT(ICE[[#This Row],[Tenor]], 1) = "B", RTD("esrtd",,$B537 &amp; " " &amp; ICE[[#This Row],[Tenor]] &amp; "-IEU", W$1), RTD("esrtd",,$B537 &amp; " " &amp; VLOOKUP(MONTH(ICE[[#This Row],[Strip]]), MthRef[], 2, 0) &amp; RIGHT(YEAR(ICE[[#This Row],[Strip]]), 2) &amp; "-IEU", W$1)), "")</f>
        <v/>
      </c>
      <c r="X537" s="36"/>
    </row>
    <row r="538" spans="1:24" x14ac:dyDescent="0.25">
      <c r="A538" s="37" t="s">
        <v>414</v>
      </c>
      <c r="B538" s="3" t="str">
        <f>RTD("ice.rtd",,$C538 &amp; $D538 &amp; ":" &amp; B$1)</f>
        <v>ULE</v>
      </c>
      <c r="C538" s="3">
        <v>34364094</v>
      </c>
      <c r="D538" t="s">
        <v>809</v>
      </c>
      <c r="E538" s="3" t="str">
        <f>RTD("ice.rtd",,$C538 &amp; $D538 &amp; ":" &amp; E$1)</f>
        <v>May28</v>
      </c>
      <c r="F538" s="3" t="str">
        <f>ICE[[#This Row],[Prod]]&amp;ICE[[#This Row],[Strip]]</f>
        <v>ulsdaradiffMay28</v>
      </c>
      <c r="G538" s="18" t="str">
        <f>RTD("ice.rtd",,$C538 &amp; $D538 &amp; ":" &amp; G$1)</f>
        <v/>
      </c>
      <c r="H538" s="18" t="str">
        <f>RTD("ice.rtd",,$C538 &amp; $D538 &amp; ":" &amp; H$1)</f>
        <v/>
      </c>
      <c r="I538" s="18" t="str">
        <f>RTD("ice.rtd",,$C538 &amp; $D538 &amp; ":" &amp; I$1)</f>
        <v/>
      </c>
      <c r="J538" s="14" t="str">
        <f>IFERROR(MOD(RTD("ice.rtd",,$C538 &amp; $D538 &amp; ":" &amp; J$1), 1), "")</f>
        <v/>
      </c>
      <c r="K538" s="18" t="str">
        <f>RTD("ice.rtd",,$C538 &amp; $D538 &amp; ":" &amp; K$1)</f>
        <v/>
      </c>
      <c r="L538" s="36" t="str">
        <f>RTD("ice.rtd",,$C538 &amp; $D538 &amp; ":" &amp; L$1)</f>
        <v/>
      </c>
      <c r="M538" s="14" t="str">
        <f>IFERROR(MOD(TIMEVALUE(RTD("ice.rtd",,$C538 &amp; $D538 &amp; ":" &amp; M$1)), 1), "")</f>
        <v/>
      </c>
      <c r="N538" s="36">
        <f>RTD("ice.rtd",,$C538 &amp; $D538 &amp; ":" &amp; N$1)</f>
        <v>0</v>
      </c>
      <c r="O538" s="36">
        <f>RTD("ice.rtd",,$C538 &amp; $D538 &amp; ":" &amp; O$1)</f>
        <v>0</v>
      </c>
      <c r="P5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8" s="14" t="str">
        <f>IF(ICE[[#This Row],[LastType]] = "Scrn", ICE[[#This Row],[LstDate]], IF(ICE[[#This Row],[LastType]] = "Blk", ICE[[#This Row],[LstBlkTime]], ""))</f>
        <v/>
      </c>
      <c r="R538" s="41" t="str">
        <f>IF(ICE[[#This Row],[LastType]] = "Scrn", ICE[[#This Row],[LstPrc]], IF(ICE[[#This Row],[LastType]] = "Blk", ICE[[#This Row],[LstBlkPrc]], ""))</f>
        <v/>
      </c>
      <c r="S538" s="36">
        <f>ICE[[#This Row],[Vol]]+ICE[[#This Row],[BlkVol]]</f>
        <v>0</v>
      </c>
      <c r="T538" s="36">
        <f>RTD("ice.rtd",,$C538 &amp; $D538 &amp; ":" &amp; T$1)</f>
        <v>8</v>
      </c>
      <c r="U538" s="18">
        <f>RTD("ice.rtd",,$C538 &amp; $D538 &amp; ":" &amp; U$1)</f>
        <v>3.5</v>
      </c>
      <c r="V5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8" s="18" t="str">
        <f>IFERROR(IF(LEFT(ICE[[#This Row],[Tenor]], 1) = "B", RTD("esrtd",,$B538 &amp; " " &amp; ICE[[#This Row],[Tenor]] &amp; "-IEU", W$1), RTD("esrtd",,$B538 &amp; " " &amp; VLOOKUP(MONTH(ICE[[#This Row],[Strip]]), MthRef[], 2, 0) &amp; RIGHT(YEAR(ICE[[#This Row],[Strip]]), 2) &amp; "-IEU", W$1)), "")</f>
        <v/>
      </c>
      <c r="X538" s="36"/>
    </row>
    <row r="539" spans="1:24" x14ac:dyDescent="0.25">
      <c r="A539" s="37" t="s">
        <v>414</v>
      </c>
      <c r="B539" s="3" t="str">
        <f>RTD("ice.rtd",,$C539 &amp; $D539 &amp; ":" &amp; B$1)</f>
        <v>ULE</v>
      </c>
      <c r="C539" s="3">
        <v>34364094</v>
      </c>
      <c r="D539" t="s">
        <v>810</v>
      </c>
      <c r="E539" s="3" t="str">
        <f>RTD("ice.rtd",,$C539 &amp; $D539 &amp; ":" &amp; E$1)</f>
        <v>Jun28</v>
      </c>
      <c r="F539" s="3" t="str">
        <f>ICE[[#This Row],[Prod]]&amp;ICE[[#This Row],[Strip]]</f>
        <v>ulsdaradiffJun28</v>
      </c>
      <c r="G539" s="18" t="str">
        <f>RTD("ice.rtd",,$C539 &amp; $D539 &amp; ":" &amp; G$1)</f>
        <v/>
      </c>
      <c r="H539" s="18" t="str">
        <f>RTD("ice.rtd",,$C539 &amp; $D539 &amp; ":" &amp; H$1)</f>
        <v/>
      </c>
      <c r="I539" s="18" t="str">
        <f>RTD("ice.rtd",,$C539 &amp; $D539 &amp; ":" &amp; I$1)</f>
        <v/>
      </c>
      <c r="J539" s="14" t="str">
        <f>IFERROR(MOD(RTD("ice.rtd",,$C539 &amp; $D539 &amp; ":" &amp; J$1), 1), "")</f>
        <v/>
      </c>
      <c r="K539" s="18" t="str">
        <f>RTD("ice.rtd",,$C539 &amp; $D539 &amp; ":" &amp; K$1)</f>
        <v/>
      </c>
      <c r="L539" s="36" t="str">
        <f>RTD("ice.rtd",,$C539 &amp; $D539 &amp; ":" &amp; L$1)</f>
        <v/>
      </c>
      <c r="M539" s="14" t="str">
        <f>IFERROR(MOD(TIMEVALUE(RTD("ice.rtd",,$C539 &amp; $D539 &amp; ":" &amp; M$1)), 1), "")</f>
        <v/>
      </c>
      <c r="N539" s="36">
        <f>RTD("ice.rtd",,$C539 &amp; $D539 &amp; ":" &amp; N$1)</f>
        <v>0</v>
      </c>
      <c r="O539" s="36">
        <f>RTD("ice.rtd",,$C539 &amp; $D539 &amp; ":" &amp; O$1)</f>
        <v>0</v>
      </c>
      <c r="P5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39" s="14" t="str">
        <f>IF(ICE[[#This Row],[LastType]] = "Scrn", ICE[[#This Row],[LstDate]], IF(ICE[[#This Row],[LastType]] = "Blk", ICE[[#This Row],[LstBlkTime]], ""))</f>
        <v/>
      </c>
      <c r="R539" s="41" t="str">
        <f>IF(ICE[[#This Row],[LastType]] = "Scrn", ICE[[#This Row],[LstPrc]], IF(ICE[[#This Row],[LastType]] = "Blk", ICE[[#This Row],[LstBlkPrc]], ""))</f>
        <v/>
      </c>
      <c r="S539" s="36">
        <f>ICE[[#This Row],[Vol]]+ICE[[#This Row],[BlkVol]]</f>
        <v>0</v>
      </c>
      <c r="T539" s="36">
        <f>RTD("ice.rtd",,$C539 &amp; $D539 &amp; ":" &amp; T$1)</f>
        <v>8</v>
      </c>
      <c r="U539" s="18">
        <f>RTD("ice.rtd",,$C539 &amp; $D539 &amp; ":" &amp; U$1)</f>
        <v>3.5</v>
      </c>
      <c r="V5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39" s="18" t="str">
        <f>IFERROR(IF(LEFT(ICE[[#This Row],[Tenor]], 1) = "B", RTD("esrtd",,$B539 &amp; " " &amp; ICE[[#This Row],[Tenor]] &amp; "-IEU", W$1), RTD("esrtd",,$B539 &amp; " " &amp; VLOOKUP(MONTH(ICE[[#This Row],[Strip]]), MthRef[], 2, 0) &amp; RIGHT(YEAR(ICE[[#This Row],[Strip]]), 2) &amp; "-IEU", W$1)), "")</f>
        <v/>
      </c>
      <c r="X539" s="36"/>
    </row>
    <row r="540" spans="1:24" x14ac:dyDescent="0.25">
      <c r="A540" s="37" t="s">
        <v>414</v>
      </c>
      <c r="B540" s="3" t="str">
        <f>RTD("ice.rtd",,$C540 &amp; $D540 &amp; ":" &amp; B$1)</f>
        <v>ULE</v>
      </c>
      <c r="C540" s="3">
        <v>34364094</v>
      </c>
      <c r="D540" t="s">
        <v>811</v>
      </c>
      <c r="E540" s="3" t="str">
        <f>RTD("ice.rtd",,$C540 &amp; $D540 &amp; ":" &amp; E$1)</f>
        <v>Jul28</v>
      </c>
      <c r="F540" s="3" t="str">
        <f>ICE[[#This Row],[Prod]]&amp;ICE[[#This Row],[Strip]]</f>
        <v>ulsdaradiffJul28</v>
      </c>
      <c r="G540" s="18" t="str">
        <f>RTD("ice.rtd",,$C540 &amp; $D540 &amp; ":" &amp; G$1)</f>
        <v/>
      </c>
      <c r="H540" s="18" t="str">
        <f>RTD("ice.rtd",,$C540 &amp; $D540 &amp; ":" &amp; H$1)</f>
        <v/>
      </c>
      <c r="I540" s="18" t="str">
        <f>RTD("ice.rtd",,$C540 &amp; $D540 &amp; ":" &amp; I$1)</f>
        <v/>
      </c>
      <c r="J540" s="14" t="str">
        <f>IFERROR(MOD(RTD("ice.rtd",,$C540 &amp; $D540 &amp; ":" &amp; J$1), 1), "")</f>
        <v/>
      </c>
      <c r="K540" s="18" t="str">
        <f>RTD("ice.rtd",,$C540 &amp; $D540 &amp; ":" &amp; K$1)</f>
        <v/>
      </c>
      <c r="L540" s="36" t="str">
        <f>RTD("ice.rtd",,$C540 &amp; $D540 &amp; ":" &amp; L$1)</f>
        <v/>
      </c>
      <c r="M540" s="14" t="str">
        <f>IFERROR(MOD(TIMEVALUE(RTD("ice.rtd",,$C540 &amp; $D540 &amp; ":" &amp; M$1)), 1), "")</f>
        <v/>
      </c>
      <c r="N540" s="36">
        <f>RTD("ice.rtd",,$C540 &amp; $D540 &amp; ":" &amp; N$1)</f>
        <v>0</v>
      </c>
      <c r="O540" s="36">
        <f>RTD("ice.rtd",,$C540 &amp; $D540 &amp; ":" &amp; O$1)</f>
        <v>0</v>
      </c>
      <c r="P5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0" s="14" t="str">
        <f>IF(ICE[[#This Row],[LastType]] = "Scrn", ICE[[#This Row],[LstDate]], IF(ICE[[#This Row],[LastType]] = "Blk", ICE[[#This Row],[LstBlkTime]], ""))</f>
        <v/>
      </c>
      <c r="R540" s="41" t="str">
        <f>IF(ICE[[#This Row],[LastType]] = "Scrn", ICE[[#This Row],[LstPrc]], IF(ICE[[#This Row],[LastType]] = "Blk", ICE[[#This Row],[LstBlkPrc]], ""))</f>
        <v/>
      </c>
      <c r="S540" s="36">
        <f>ICE[[#This Row],[Vol]]+ICE[[#This Row],[BlkVol]]</f>
        <v>0</v>
      </c>
      <c r="T540" s="36">
        <f>RTD("ice.rtd",,$C540 &amp; $D540 &amp; ":" &amp; T$1)</f>
        <v>8</v>
      </c>
      <c r="U540" s="18">
        <f>RTD("ice.rtd",,$C540 &amp; $D540 &amp; ":" &amp; U$1)</f>
        <v>3.5</v>
      </c>
      <c r="V5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0" s="18" t="str">
        <f>IFERROR(IF(LEFT(ICE[[#This Row],[Tenor]], 1) = "B", RTD("esrtd",,$B540 &amp; " " &amp; ICE[[#This Row],[Tenor]] &amp; "-IEU", W$1), RTD("esrtd",,$B540 &amp; " " &amp; VLOOKUP(MONTH(ICE[[#This Row],[Strip]]), MthRef[], 2, 0) &amp; RIGHT(YEAR(ICE[[#This Row],[Strip]]), 2) &amp; "-IEU", W$1)), "")</f>
        <v/>
      </c>
      <c r="X540" s="36"/>
    </row>
    <row r="541" spans="1:24" x14ac:dyDescent="0.25">
      <c r="A541" s="37" t="s">
        <v>414</v>
      </c>
      <c r="B541" s="3" t="str">
        <f>RTD("ice.rtd",,$C541 &amp; $D541 &amp; ":" &amp; B$1)</f>
        <v>ULE</v>
      </c>
      <c r="C541" s="3">
        <v>34364094</v>
      </c>
      <c r="D541" t="s">
        <v>812</v>
      </c>
      <c r="E541" s="3" t="str">
        <f>RTD("ice.rtd",,$C541 &amp; $D541 &amp; ":" &amp; E$1)</f>
        <v>Aug28</v>
      </c>
      <c r="F541" s="3" t="str">
        <f>ICE[[#This Row],[Prod]]&amp;ICE[[#This Row],[Strip]]</f>
        <v>ulsdaradiffAug28</v>
      </c>
      <c r="G541" s="18" t="str">
        <f>RTD("ice.rtd",,$C541 &amp; $D541 &amp; ":" &amp; G$1)</f>
        <v/>
      </c>
      <c r="H541" s="18" t="str">
        <f>RTD("ice.rtd",,$C541 &amp; $D541 &amp; ":" &amp; H$1)</f>
        <v/>
      </c>
      <c r="I541" s="18" t="str">
        <f>RTD("ice.rtd",,$C541 &amp; $D541 &amp; ":" &amp; I$1)</f>
        <v/>
      </c>
      <c r="J541" s="14" t="str">
        <f>IFERROR(MOD(RTD("ice.rtd",,$C541 &amp; $D541 &amp; ":" &amp; J$1), 1), "")</f>
        <v/>
      </c>
      <c r="K541" s="18" t="str">
        <f>RTD("ice.rtd",,$C541 &amp; $D541 &amp; ":" &amp; K$1)</f>
        <v/>
      </c>
      <c r="L541" s="36" t="str">
        <f>RTD("ice.rtd",,$C541 &amp; $D541 &amp; ":" &amp; L$1)</f>
        <v/>
      </c>
      <c r="M541" s="14" t="str">
        <f>IFERROR(MOD(TIMEVALUE(RTD("ice.rtd",,$C541 &amp; $D541 &amp; ":" &amp; M$1)), 1), "")</f>
        <v/>
      </c>
      <c r="N541" s="36">
        <f>RTD("ice.rtd",,$C541 &amp; $D541 &amp; ":" &amp; N$1)</f>
        <v>0</v>
      </c>
      <c r="O541" s="36">
        <f>RTD("ice.rtd",,$C541 &amp; $D541 &amp; ":" &amp; O$1)</f>
        <v>0</v>
      </c>
      <c r="P5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1" s="14" t="str">
        <f>IF(ICE[[#This Row],[LastType]] = "Scrn", ICE[[#This Row],[LstDate]], IF(ICE[[#This Row],[LastType]] = "Blk", ICE[[#This Row],[LstBlkTime]], ""))</f>
        <v/>
      </c>
      <c r="R541" s="41" t="str">
        <f>IF(ICE[[#This Row],[LastType]] = "Scrn", ICE[[#This Row],[LstPrc]], IF(ICE[[#This Row],[LastType]] = "Blk", ICE[[#This Row],[LstBlkPrc]], ""))</f>
        <v/>
      </c>
      <c r="S541" s="36">
        <f>ICE[[#This Row],[Vol]]+ICE[[#This Row],[BlkVol]]</f>
        <v>0</v>
      </c>
      <c r="T541" s="36">
        <f>RTD("ice.rtd",,$C541 &amp; $D541 &amp; ":" &amp; T$1)</f>
        <v>8</v>
      </c>
      <c r="U541" s="18">
        <f>RTD("ice.rtd",,$C541 &amp; $D541 &amp; ":" &amp; U$1)</f>
        <v>3.5</v>
      </c>
      <c r="V5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1" s="18" t="str">
        <f>IFERROR(IF(LEFT(ICE[[#This Row],[Tenor]], 1) = "B", RTD("esrtd",,$B541 &amp; " " &amp; ICE[[#This Row],[Tenor]] &amp; "-IEU", W$1), RTD("esrtd",,$B541 &amp; " " &amp; VLOOKUP(MONTH(ICE[[#This Row],[Strip]]), MthRef[], 2, 0) &amp; RIGHT(YEAR(ICE[[#This Row],[Strip]]), 2) &amp; "-IEU", W$1)), "")</f>
        <v/>
      </c>
      <c r="X541" s="36"/>
    </row>
    <row r="542" spans="1:24" x14ac:dyDescent="0.25">
      <c r="A542" s="37" t="s">
        <v>414</v>
      </c>
      <c r="B542" s="3" t="str">
        <f>RTD("ice.rtd",,$C542 &amp; $D542 &amp; ":" &amp; B$1)</f>
        <v>ULE</v>
      </c>
      <c r="C542" s="3">
        <v>34364094</v>
      </c>
      <c r="D542" t="s">
        <v>813</v>
      </c>
      <c r="E542" s="3" t="str">
        <f>RTD("ice.rtd",,$C542 &amp; $D542 &amp; ":" &amp; E$1)</f>
        <v>Sep28</v>
      </c>
      <c r="F542" s="3" t="str">
        <f>ICE[[#This Row],[Prod]]&amp;ICE[[#This Row],[Strip]]</f>
        <v>ulsdaradiffSep28</v>
      </c>
      <c r="G542" s="18" t="str">
        <f>RTD("ice.rtd",,$C542 &amp; $D542 &amp; ":" &amp; G$1)</f>
        <v/>
      </c>
      <c r="H542" s="18" t="str">
        <f>RTD("ice.rtd",,$C542 &amp; $D542 &amp; ":" &amp; H$1)</f>
        <v/>
      </c>
      <c r="I542" s="18" t="str">
        <f>RTD("ice.rtd",,$C542 &amp; $D542 &amp; ":" &amp; I$1)</f>
        <v/>
      </c>
      <c r="J542" s="14" t="str">
        <f>IFERROR(MOD(RTD("ice.rtd",,$C542 &amp; $D542 &amp; ":" &amp; J$1), 1), "")</f>
        <v/>
      </c>
      <c r="K542" s="18" t="str">
        <f>RTD("ice.rtd",,$C542 &amp; $D542 &amp; ":" &amp; K$1)</f>
        <v/>
      </c>
      <c r="L542" s="36" t="str">
        <f>RTD("ice.rtd",,$C542 &amp; $D542 &amp; ":" &amp; L$1)</f>
        <v/>
      </c>
      <c r="M542" s="14" t="str">
        <f>IFERROR(MOD(TIMEVALUE(RTD("ice.rtd",,$C542 &amp; $D542 &amp; ":" &amp; M$1)), 1), "")</f>
        <v/>
      </c>
      <c r="N542" s="36">
        <f>RTD("ice.rtd",,$C542 &amp; $D542 &amp; ":" &amp; N$1)</f>
        <v>0</v>
      </c>
      <c r="O542" s="36">
        <f>RTD("ice.rtd",,$C542 &amp; $D542 &amp; ":" &amp; O$1)</f>
        <v>0</v>
      </c>
      <c r="P5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2" s="14" t="str">
        <f>IF(ICE[[#This Row],[LastType]] = "Scrn", ICE[[#This Row],[LstDate]], IF(ICE[[#This Row],[LastType]] = "Blk", ICE[[#This Row],[LstBlkTime]], ""))</f>
        <v/>
      </c>
      <c r="R542" s="41" t="str">
        <f>IF(ICE[[#This Row],[LastType]] = "Scrn", ICE[[#This Row],[LstPrc]], IF(ICE[[#This Row],[LastType]] = "Blk", ICE[[#This Row],[LstBlkPrc]], ""))</f>
        <v/>
      </c>
      <c r="S542" s="36">
        <f>ICE[[#This Row],[Vol]]+ICE[[#This Row],[BlkVol]]</f>
        <v>0</v>
      </c>
      <c r="T542" s="36">
        <f>RTD("ice.rtd",,$C542 &amp; $D542 &amp; ":" &amp; T$1)</f>
        <v>8</v>
      </c>
      <c r="U542" s="18">
        <f>RTD("ice.rtd",,$C542 &amp; $D542 &amp; ":" &amp; U$1)</f>
        <v>3.5</v>
      </c>
      <c r="V5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2" s="18" t="str">
        <f>IFERROR(IF(LEFT(ICE[[#This Row],[Tenor]], 1) = "B", RTD("esrtd",,$B542 &amp; " " &amp; ICE[[#This Row],[Tenor]] &amp; "-IEU", W$1), RTD("esrtd",,$B542 &amp; " " &amp; VLOOKUP(MONTH(ICE[[#This Row],[Strip]]), MthRef[], 2, 0) &amp; RIGHT(YEAR(ICE[[#This Row],[Strip]]), 2) &amp; "-IEU", W$1)), "")</f>
        <v/>
      </c>
      <c r="X542" s="36"/>
    </row>
    <row r="543" spans="1:24" x14ac:dyDescent="0.25">
      <c r="A543" s="37" t="s">
        <v>414</v>
      </c>
      <c r="B543" s="3" t="str">
        <f>RTD("ice.rtd",,$C543 &amp; $D543 &amp; ":" &amp; B$1)</f>
        <v>ULE</v>
      </c>
      <c r="C543" s="3">
        <v>34364094</v>
      </c>
      <c r="D543" t="s">
        <v>814</v>
      </c>
      <c r="E543" s="3" t="str">
        <f>RTD("ice.rtd",,$C543 &amp; $D543 &amp; ":" &amp; E$1)</f>
        <v>Q4 26</v>
      </c>
      <c r="F543" s="3" t="str">
        <f>ICE[[#This Row],[Prod]]&amp;ICE[[#This Row],[Strip]]</f>
        <v>ulsdaradiffQ4 26</v>
      </c>
      <c r="G543" s="18" t="str">
        <f>RTD("ice.rtd",,$C543 &amp; $D543 &amp; ":" &amp; G$1)</f>
        <v/>
      </c>
      <c r="H543" s="18" t="str">
        <f>RTD("ice.rtd",,$C543 &amp; $D543 &amp; ":" &amp; H$1)</f>
        <v/>
      </c>
      <c r="I543" s="18" t="str">
        <f>RTD("ice.rtd",,$C543 &amp; $D543 &amp; ":" &amp; I$1)</f>
        <v/>
      </c>
      <c r="J543" s="14" t="str">
        <f>IFERROR(MOD(RTD("ice.rtd",,$C543 &amp; $D543 &amp; ":" &amp; J$1), 1), "")</f>
        <v/>
      </c>
      <c r="K543" s="18" t="str">
        <f>RTD("ice.rtd",,$C543 &amp; $D543 &amp; ":" &amp; K$1)</f>
        <v/>
      </c>
      <c r="L543" s="36" t="str">
        <f>RTD("ice.rtd",,$C543 &amp; $D543 &amp; ":" &amp; L$1)</f>
        <v/>
      </c>
      <c r="M543" s="14" t="str">
        <f>IFERROR(MOD(TIMEVALUE(RTD("ice.rtd",,$C543 &amp; $D543 &amp; ":" &amp; M$1)), 1), "")</f>
        <v/>
      </c>
      <c r="N543" s="36">
        <f>RTD("ice.rtd",,$C543 &amp; $D543 &amp; ":" &amp; N$1)</f>
        <v>0</v>
      </c>
      <c r="O543" s="36">
        <f>RTD("ice.rtd",,$C543 &amp; $D543 &amp; ":" &amp; O$1)</f>
        <v>0</v>
      </c>
      <c r="P5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3" s="14" t="str">
        <f>IF(ICE[[#This Row],[LastType]] = "Scrn", ICE[[#This Row],[LstDate]], IF(ICE[[#This Row],[LastType]] = "Blk", ICE[[#This Row],[LstBlkTime]], ""))</f>
        <v/>
      </c>
      <c r="R543" s="41" t="str">
        <f>IF(ICE[[#This Row],[LastType]] = "Scrn", ICE[[#This Row],[LstPrc]], IF(ICE[[#This Row],[LastType]] = "Blk", ICE[[#This Row],[LstBlkPrc]], ""))</f>
        <v/>
      </c>
      <c r="S543" s="36">
        <f>ICE[[#This Row],[Vol]]+ICE[[#This Row],[BlkVol]]</f>
        <v>0</v>
      </c>
      <c r="T543" s="36">
        <f>RTD("ice.rtd",,$C543 &amp; $D543 &amp; ":" &amp; T$1)</f>
        <v>0</v>
      </c>
      <c r="U543" s="18">
        <f>RTD("ice.rtd",,$C543 &amp; $D543 &amp; ":" &amp; U$1)</f>
        <v>26</v>
      </c>
      <c r="V5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3" s="18" t="str">
        <f>IFERROR(IF(LEFT(ICE[[#This Row],[Tenor]], 1) = "B", RTD("esrtd",,$B543 &amp; " " &amp; ICE[[#This Row],[Tenor]] &amp; "-IEU", W$1), RTD("esrtd",,$B543 &amp; " " &amp; VLOOKUP(MONTH(ICE[[#This Row],[Strip]]), MthRef[], 2, 0) &amp; RIGHT(YEAR(ICE[[#This Row],[Strip]]), 2) &amp; "-IEU", W$1)), "")</f>
        <v/>
      </c>
      <c r="X543" s="36"/>
    </row>
    <row r="544" spans="1:24" x14ac:dyDescent="0.25">
      <c r="A544" s="37" t="s">
        <v>414</v>
      </c>
      <c r="B544" s="3" t="str">
        <f>RTD("ice.rtd",,$C544 &amp; $D544 &amp; ":" &amp; B$1)</f>
        <v>ULE</v>
      </c>
      <c r="C544" s="3">
        <v>34364094</v>
      </c>
      <c r="D544" t="s">
        <v>815</v>
      </c>
      <c r="E544" s="3" t="str">
        <f>RTD("ice.rtd",,$C544 &amp; $D544 &amp; ":" &amp; E$1)</f>
        <v>Q1 27</v>
      </c>
      <c r="F544" s="3" t="str">
        <f>ICE[[#This Row],[Prod]]&amp;ICE[[#This Row],[Strip]]</f>
        <v>ulsdaradiffQ1 27</v>
      </c>
      <c r="G544" s="18" t="str">
        <f>RTD("ice.rtd",,$C544 &amp; $D544 &amp; ":" &amp; G$1)</f>
        <v/>
      </c>
      <c r="H544" s="18" t="str">
        <f>RTD("ice.rtd",,$C544 &amp; $D544 &amp; ":" &amp; H$1)</f>
        <v/>
      </c>
      <c r="I544" s="18" t="str">
        <f>RTD("ice.rtd",,$C544 &amp; $D544 &amp; ":" &amp; I$1)</f>
        <v/>
      </c>
      <c r="J544" s="14" t="str">
        <f>IFERROR(MOD(RTD("ice.rtd",,$C544 &amp; $D544 &amp; ":" &amp; J$1), 1), "")</f>
        <v/>
      </c>
      <c r="K544" s="18" t="str">
        <f>RTD("ice.rtd",,$C544 &amp; $D544 &amp; ":" &amp; K$1)</f>
        <v/>
      </c>
      <c r="L544" s="36" t="str">
        <f>RTD("ice.rtd",,$C544 &amp; $D544 &amp; ":" &amp; L$1)</f>
        <v/>
      </c>
      <c r="M544" s="14" t="str">
        <f>IFERROR(MOD(TIMEVALUE(RTD("ice.rtd",,$C544 &amp; $D544 &amp; ":" &amp; M$1)), 1), "")</f>
        <v/>
      </c>
      <c r="N544" s="36">
        <f>RTD("ice.rtd",,$C544 &amp; $D544 &amp; ":" &amp; N$1)</f>
        <v>0</v>
      </c>
      <c r="O544" s="36">
        <f>RTD("ice.rtd",,$C544 &amp; $D544 &amp; ":" &amp; O$1)</f>
        <v>0</v>
      </c>
      <c r="P5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4" s="14" t="str">
        <f>IF(ICE[[#This Row],[LastType]] = "Scrn", ICE[[#This Row],[LstDate]], IF(ICE[[#This Row],[LastType]] = "Blk", ICE[[#This Row],[LstBlkTime]], ""))</f>
        <v/>
      </c>
      <c r="R544" s="41" t="str">
        <f>IF(ICE[[#This Row],[LastType]] = "Scrn", ICE[[#This Row],[LstPrc]], IF(ICE[[#This Row],[LastType]] = "Blk", ICE[[#This Row],[LstBlkPrc]], ""))</f>
        <v/>
      </c>
      <c r="S544" s="36">
        <f>ICE[[#This Row],[Vol]]+ICE[[#This Row],[BlkVol]]</f>
        <v>0</v>
      </c>
      <c r="T544" s="36">
        <f>RTD("ice.rtd",,$C544 &amp; $D544 &amp; ":" &amp; T$1)</f>
        <v>0</v>
      </c>
      <c r="U544" s="18">
        <f>RTD("ice.rtd",,$C544 &amp; $D544 &amp; ":" &amp; U$1)</f>
        <v>17.5</v>
      </c>
      <c r="V5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4" s="18" t="str">
        <f>IFERROR(IF(LEFT(ICE[[#This Row],[Tenor]], 1) = "B", RTD("esrtd",,$B544 &amp; " " &amp; ICE[[#This Row],[Tenor]] &amp; "-IEU", W$1), RTD("esrtd",,$B544 &amp; " " &amp; VLOOKUP(MONTH(ICE[[#This Row],[Strip]]), MthRef[], 2, 0) &amp; RIGHT(YEAR(ICE[[#This Row],[Strip]]), 2) &amp; "-IEU", W$1)), "")</f>
        <v/>
      </c>
      <c r="X544" s="36"/>
    </row>
    <row r="545" spans="1:24" x14ac:dyDescent="0.25">
      <c r="A545" s="37" t="s">
        <v>414</v>
      </c>
      <c r="B545" s="3" t="str">
        <f>RTD("ice.rtd",,$C545 &amp; $D545 &amp; ":" &amp; B$1)</f>
        <v>ULE</v>
      </c>
      <c r="C545" s="3">
        <v>34364094</v>
      </c>
      <c r="D545" t="s">
        <v>816</v>
      </c>
      <c r="E545" s="3" t="str">
        <f>RTD("ice.rtd",,$C545 &amp; $D545 &amp; ":" &amp; E$1)</f>
        <v>Q2 27</v>
      </c>
      <c r="F545" s="3" t="str">
        <f>ICE[[#This Row],[Prod]]&amp;ICE[[#This Row],[Strip]]</f>
        <v>ulsdaradiffQ2 27</v>
      </c>
      <c r="G545" s="18" t="str">
        <f>RTD("ice.rtd",,$C545 &amp; $D545 &amp; ":" &amp; G$1)</f>
        <v/>
      </c>
      <c r="H545" s="18" t="str">
        <f>RTD("ice.rtd",,$C545 &amp; $D545 &amp; ":" &amp; H$1)</f>
        <v/>
      </c>
      <c r="I545" s="18" t="str">
        <f>RTD("ice.rtd",,$C545 &amp; $D545 &amp; ":" &amp; I$1)</f>
        <v/>
      </c>
      <c r="J545" s="14" t="str">
        <f>IFERROR(MOD(RTD("ice.rtd",,$C545 &amp; $D545 &amp; ":" &amp; J$1), 1), "")</f>
        <v/>
      </c>
      <c r="K545" s="18" t="str">
        <f>RTD("ice.rtd",,$C545 &amp; $D545 &amp; ":" &amp; K$1)</f>
        <v/>
      </c>
      <c r="L545" s="36" t="str">
        <f>RTD("ice.rtd",,$C545 &amp; $D545 &amp; ":" &amp; L$1)</f>
        <v/>
      </c>
      <c r="M545" s="14" t="str">
        <f>IFERROR(MOD(TIMEVALUE(RTD("ice.rtd",,$C545 &amp; $D545 &amp; ":" &amp; M$1)), 1), "")</f>
        <v/>
      </c>
      <c r="N545" s="36">
        <f>RTD("ice.rtd",,$C545 &amp; $D545 &amp; ":" &amp; N$1)</f>
        <v>0</v>
      </c>
      <c r="O545" s="36">
        <f>RTD("ice.rtd",,$C545 &amp; $D545 &amp; ":" &amp; O$1)</f>
        <v>0</v>
      </c>
      <c r="P5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5" s="14" t="str">
        <f>IF(ICE[[#This Row],[LastType]] = "Scrn", ICE[[#This Row],[LstDate]], IF(ICE[[#This Row],[LastType]] = "Blk", ICE[[#This Row],[LstBlkTime]], ""))</f>
        <v/>
      </c>
      <c r="R545" s="41" t="str">
        <f>IF(ICE[[#This Row],[LastType]] = "Scrn", ICE[[#This Row],[LstPrc]], IF(ICE[[#This Row],[LastType]] = "Blk", ICE[[#This Row],[LstBlkPrc]], ""))</f>
        <v/>
      </c>
      <c r="S545" s="36">
        <f>ICE[[#This Row],[Vol]]+ICE[[#This Row],[BlkVol]]</f>
        <v>0</v>
      </c>
      <c r="T545" s="36">
        <f>RTD("ice.rtd",,$C545 &amp; $D545 &amp; ":" &amp; T$1)</f>
        <v>0</v>
      </c>
      <c r="U545" s="18">
        <f>RTD("ice.rtd",,$C545 &amp; $D545 &amp; ":" &amp; U$1)</f>
        <v>10.5</v>
      </c>
      <c r="V5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5" s="18" t="str">
        <f>IFERROR(IF(LEFT(ICE[[#This Row],[Tenor]], 1) = "B", RTD("esrtd",,$B545 &amp; " " &amp; ICE[[#This Row],[Tenor]] &amp; "-IEU", W$1), RTD("esrtd",,$B545 &amp; " " &amp; VLOOKUP(MONTH(ICE[[#This Row],[Strip]]), MthRef[], 2, 0) &amp; RIGHT(YEAR(ICE[[#This Row],[Strip]]), 2) &amp; "-IEU", W$1)), "")</f>
        <v/>
      </c>
      <c r="X545" s="36"/>
    </row>
    <row r="546" spans="1:24" x14ac:dyDescent="0.25">
      <c r="A546" s="37" t="s">
        <v>414</v>
      </c>
      <c r="B546" s="3" t="str">
        <f>RTD("ice.rtd",,$C546 &amp; $D546 &amp; ":" &amp; B$1)</f>
        <v>ULE</v>
      </c>
      <c r="C546" s="3">
        <v>34364094</v>
      </c>
      <c r="D546" t="s">
        <v>817</v>
      </c>
      <c r="E546" s="3" t="str">
        <f>RTD("ice.rtd",,$C546 &amp; $D546 &amp; ":" &amp; E$1)</f>
        <v>Q3 27</v>
      </c>
      <c r="F546" s="3" t="str">
        <f>ICE[[#This Row],[Prod]]&amp;ICE[[#This Row],[Strip]]</f>
        <v>ulsdaradiffQ3 27</v>
      </c>
      <c r="G546" s="18" t="str">
        <f>RTD("ice.rtd",,$C546 &amp; $D546 &amp; ":" &amp; G$1)</f>
        <v/>
      </c>
      <c r="H546" s="18" t="str">
        <f>RTD("ice.rtd",,$C546 &amp; $D546 &amp; ":" &amp; H$1)</f>
        <v/>
      </c>
      <c r="I546" s="18" t="str">
        <f>RTD("ice.rtd",,$C546 &amp; $D546 &amp; ":" &amp; I$1)</f>
        <v/>
      </c>
      <c r="J546" s="14" t="str">
        <f>IFERROR(MOD(RTD("ice.rtd",,$C546 &amp; $D546 &amp; ":" &amp; J$1), 1), "")</f>
        <v/>
      </c>
      <c r="K546" s="18" t="str">
        <f>RTD("ice.rtd",,$C546 &amp; $D546 &amp; ":" &amp; K$1)</f>
        <v/>
      </c>
      <c r="L546" s="36" t="str">
        <f>RTD("ice.rtd",,$C546 &amp; $D546 &amp; ":" &amp; L$1)</f>
        <v/>
      </c>
      <c r="M546" s="14" t="str">
        <f>IFERROR(MOD(TIMEVALUE(RTD("ice.rtd",,$C546 &amp; $D546 &amp; ":" &amp; M$1)), 1), "")</f>
        <v/>
      </c>
      <c r="N546" s="36">
        <f>RTD("ice.rtd",,$C546 &amp; $D546 &amp; ":" &amp; N$1)</f>
        <v>0</v>
      </c>
      <c r="O546" s="36">
        <f>RTD("ice.rtd",,$C546 &amp; $D546 &amp; ":" &amp; O$1)</f>
        <v>0</v>
      </c>
      <c r="P5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6" s="14" t="str">
        <f>IF(ICE[[#This Row],[LastType]] = "Scrn", ICE[[#This Row],[LstDate]], IF(ICE[[#This Row],[LastType]] = "Blk", ICE[[#This Row],[LstBlkTime]], ""))</f>
        <v/>
      </c>
      <c r="R546" s="41" t="str">
        <f>IF(ICE[[#This Row],[LastType]] = "Scrn", ICE[[#This Row],[LstPrc]], IF(ICE[[#This Row],[LastType]] = "Blk", ICE[[#This Row],[LstBlkPrc]], ""))</f>
        <v/>
      </c>
      <c r="S546" s="36">
        <f>ICE[[#This Row],[Vol]]+ICE[[#This Row],[BlkVol]]</f>
        <v>0</v>
      </c>
      <c r="T546" s="36">
        <f>RTD("ice.rtd",,$C546 &amp; $D546 &amp; ":" &amp; T$1)</f>
        <v>0</v>
      </c>
      <c r="U546" s="18">
        <f>RTD("ice.rtd",,$C546 &amp; $D546 &amp; ":" &amp; U$1)</f>
        <v>7</v>
      </c>
      <c r="V5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6" s="18" t="str">
        <f>IFERROR(IF(LEFT(ICE[[#This Row],[Tenor]], 1) = "B", RTD("esrtd",,$B546 &amp; " " &amp; ICE[[#This Row],[Tenor]] &amp; "-IEU", W$1), RTD("esrtd",,$B546 &amp; " " &amp; VLOOKUP(MONTH(ICE[[#This Row],[Strip]]), MthRef[], 2, 0) &amp; RIGHT(YEAR(ICE[[#This Row],[Strip]]), 2) &amp; "-IEU", W$1)), "")</f>
        <v/>
      </c>
      <c r="X546" s="36"/>
    </row>
    <row r="547" spans="1:24" x14ac:dyDescent="0.25">
      <c r="A547" s="37" t="s">
        <v>414</v>
      </c>
      <c r="B547" s="3" t="str">
        <f>RTD("ice.rtd",,$C547 &amp; $D547 &amp; ":" &amp; B$1)</f>
        <v>ULE</v>
      </c>
      <c r="C547" s="3">
        <v>34364094</v>
      </c>
      <c r="D547" t="s">
        <v>818</v>
      </c>
      <c r="E547" s="3" t="str">
        <f>RTD("ice.rtd",,$C547 &amp; $D547 &amp; ":" &amp; E$1)</f>
        <v>Q4 27</v>
      </c>
      <c r="F547" s="3" t="str">
        <f>ICE[[#This Row],[Prod]]&amp;ICE[[#This Row],[Strip]]</f>
        <v>ulsdaradiffQ4 27</v>
      </c>
      <c r="G547" s="18" t="str">
        <f>RTD("ice.rtd",,$C547 &amp; $D547 &amp; ":" &amp; G$1)</f>
        <v/>
      </c>
      <c r="H547" s="18" t="str">
        <f>RTD("ice.rtd",,$C547 &amp; $D547 &amp; ":" &amp; H$1)</f>
        <v/>
      </c>
      <c r="I547" s="18" t="str">
        <f>RTD("ice.rtd",,$C547 &amp; $D547 &amp; ":" &amp; I$1)</f>
        <v/>
      </c>
      <c r="J547" s="14" t="str">
        <f>IFERROR(MOD(RTD("ice.rtd",,$C547 &amp; $D547 &amp; ":" &amp; J$1), 1), "")</f>
        <v/>
      </c>
      <c r="K547" s="18" t="str">
        <f>RTD("ice.rtd",,$C547 &amp; $D547 &amp; ":" &amp; K$1)</f>
        <v/>
      </c>
      <c r="L547" s="36" t="str">
        <f>RTD("ice.rtd",,$C547 &amp; $D547 &amp; ":" &amp; L$1)</f>
        <v/>
      </c>
      <c r="M547" s="14" t="str">
        <f>IFERROR(MOD(TIMEVALUE(RTD("ice.rtd",,$C547 &amp; $D547 &amp; ":" &amp; M$1)), 1), "")</f>
        <v/>
      </c>
      <c r="N547" s="36">
        <f>RTD("ice.rtd",,$C547 &amp; $D547 &amp; ":" &amp; N$1)</f>
        <v>0</v>
      </c>
      <c r="O547" s="36">
        <f>RTD("ice.rtd",,$C547 &amp; $D547 &amp; ":" &amp; O$1)</f>
        <v>0</v>
      </c>
      <c r="P5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7" s="14" t="str">
        <f>IF(ICE[[#This Row],[LastType]] = "Scrn", ICE[[#This Row],[LstDate]], IF(ICE[[#This Row],[LastType]] = "Blk", ICE[[#This Row],[LstBlkTime]], ""))</f>
        <v/>
      </c>
      <c r="R547" s="41" t="str">
        <f>IF(ICE[[#This Row],[LastType]] = "Scrn", ICE[[#This Row],[LstPrc]], IF(ICE[[#This Row],[LastType]] = "Blk", ICE[[#This Row],[LstBlkPrc]], ""))</f>
        <v/>
      </c>
      <c r="S547" s="36">
        <f>ICE[[#This Row],[Vol]]+ICE[[#This Row],[BlkVol]]</f>
        <v>0</v>
      </c>
      <c r="T547" s="36">
        <f>RTD("ice.rtd",,$C547 &amp; $D547 &amp; ":" &amp; T$1)</f>
        <v>0</v>
      </c>
      <c r="U547" s="18">
        <f>RTD("ice.rtd",,$C547 &amp; $D547 &amp; ":" &amp; U$1)</f>
        <v>6.8330000000000002</v>
      </c>
      <c r="V5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7" s="18" t="str">
        <f>IFERROR(IF(LEFT(ICE[[#This Row],[Tenor]], 1) = "B", RTD("esrtd",,$B547 &amp; " " &amp; ICE[[#This Row],[Tenor]] &amp; "-IEU", W$1), RTD("esrtd",,$B547 &amp; " " &amp; VLOOKUP(MONTH(ICE[[#This Row],[Strip]]), MthRef[], 2, 0) &amp; RIGHT(YEAR(ICE[[#This Row],[Strip]]), 2) &amp; "-IEU", W$1)), "")</f>
        <v/>
      </c>
      <c r="X547" s="36"/>
    </row>
    <row r="548" spans="1:24" x14ac:dyDescent="0.25">
      <c r="A548" s="37" t="s">
        <v>414</v>
      </c>
      <c r="B548" s="3" t="str">
        <f>RTD("ice.rtd",,$C548 &amp; $D548 &amp; ":" &amp; B$1)</f>
        <v>ULE</v>
      </c>
      <c r="C548" s="3">
        <v>34364094</v>
      </c>
      <c r="D548" t="s">
        <v>819</v>
      </c>
      <c r="E548" s="3" t="str">
        <f>RTD("ice.rtd",,$C548 &amp; $D548 &amp; ":" &amp; E$1)</f>
        <v>Q1 28</v>
      </c>
      <c r="F548" s="3" t="str">
        <f>ICE[[#This Row],[Prod]]&amp;ICE[[#This Row],[Strip]]</f>
        <v>ulsdaradiffQ1 28</v>
      </c>
      <c r="G548" s="18" t="str">
        <f>RTD("ice.rtd",,$C548 &amp; $D548 &amp; ":" &amp; G$1)</f>
        <v/>
      </c>
      <c r="H548" s="18" t="str">
        <f>RTD("ice.rtd",,$C548 &amp; $D548 &amp; ":" &amp; H$1)</f>
        <v/>
      </c>
      <c r="I548" s="18" t="str">
        <f>RTD("ice.rtd",,$C548 &amp; $D548 &amp; ":" &amp; I$1)</f>
        <v/>
      </c>
      <c r="J548" s="14" t="str">
        <f>IFERROR(MOD(RTD("ice.rtd",,$C548 &amp; $D548 &amp; ":" &amp; J$1), 1), "")</f>
        <v/>
      </c>
      <c r="K548" s="18" t="str">
        <f>RTD("ice.rtd",,$C548 &amp; $D548 &amp; ":" &amp; K$1)</f>
        <v/>
      </c>
      <c r="L548" s="36" t="str">
        <f>RTD("ice.rtd",,$C548 &amp; $D548 &amp; ":" &amp; L$1)</f>
        <v/>
      </c>
      <c r="M548" s="14" t="str">
        <f>IFERROR(MOD(TIMEVALUE(RTD("ice.rtd",,$C548 &amp; $D548 &amp; ":" &amp; M$1)), 1), "")</f>
        <v/>
      </c>
      <c r="N548" s="36">
        <f>RTD("ice.rtd",,$C548 &amp; $D548 &amp; ":" &amp; N$1)</f>
        <v>0</v>
      </c>
      <c r="O548" s="36">
        <f>RTD("ice.rtd",,$C548 &amp; $D548 &amp; ":" &amp; O$1)</f>
        <v>0</v>
      </c>
      <c r="P5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8" s="14" t="str">
        <f>IF(ICE[[#This Row],[LastType]] = "Scrn", ICE[[#This Row],[LstDate]], IF(ICE[[#This Row],[LastType]] = "Blk", ICE[[#This Row],[LstBlkTime]], ""))</f>
        <v/>
      </c>
      <c r="R548" s="41" t="str">
        <f>IF(ICE[[#This Row],[LastType]] = "Scrn", ICE[[#This Row],[LstPrc]], IF(ICE[[#This Row],[LastType]] = "Blk", ICE[[#This Row],[LstBlkPrc]], ""))</f>
        <v/>
      </c>
      <c r="S548" s="36">
        <f>ICE[[#This Row],[Vol]]+ICE[[#This Row],[BlkVol]]</f>
        <v>0</v>
      </c>
      <c r="T548" s="36">
        <f>RTD("ice.rtd",,$C548 &amp; $D548 &amp; ":" &amp; T$1)</f>
        <v>0</v>
      </c>
      <c r="U548" s="18">
        <f>RTD("ice.rtd",,$C548 &amp; $D548 &amp; ":" &amp; U$1)</f>
        <v>3.5</v>
      </c>
      <c r="V5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8" s="18" t="str">
        <f>IFERROR(IF(LEFT(ICE[[#This Row],[Tenor]], 1) = "B", RTD("esrtd",,$B548 &amp; " " &amp; ICE[[#This Row],[Tenor]] &amp; "-IEU", W$1), RTD("esrtd",,$B548 &amp; " " &amp; VLOOKUP(MONTH(ICE[[#This Row],[Strip]]), MthRef[], 2, 0) &amp; RIGHT(YEAR(ICE[[#This Row],[Strip]]), 2) &amp; "-IEU", W$1)), "")</f>
        <v/>
      </c>
      <c r="X548" s="36"/>
    </row>
    <row r="549" spans="1:24" x14ac:dyDescent="0.25">
      <c r="A549" s="37" t="s">
        <v>414</v>
      </c>
      <c r="B549" s="3" t="str">
        <f>RTD("ice.rtd",,$C549 &amp; $D549 &amp; ":" &amp; B$1)</f>
        <v>ULE</v>
      </c>
      <c r="C549" s="3">
        <v>34364094</v>
      </c>
      <c r="D549" t="s">
        <v>229</v>
      </c>
      <c r="E549" s="3" t="str">
        <f>RTD("ice.rtd",,$C549 &amp; $D549 &amp; ":" &amp; E$1)</f>
        <v>Q2 28</v>
      </c>
      <c r="F549" s="3" t="str">
        <f>ICE[[#This Row],[Prod]]&amp;ICE[[#This Row],[Strip]]</f>
        <v>ulsdaradiffQ2 28</v>
      </c>
      <c r="G549" s="18" t="str">
        <f>RTD("ice.rtd",,$C549 &amp; $D549 &amp; ":" &amp; G$1)</f>
        <v/>
      </c>
      <c r="H549" s="18" t="str">
        <f>RTD("ice.rtd",,$C549 &amp; $D549 &amp; ":" &amp; H$1)</f>
        <v/>
      </c>
      <c r="I549" s="18" t="str">
        <f>RTD("ice.rtd",,$C549 &amp; $D549 &amp; ":" &amp; I$1)</f>
        <v/>
      </c>
      <c r="J549" s="14" t="str">
        <f>IFERROR(MOD(RTD("ice.rtd",,$C549 &amp; $D549 &amp; ":" &amp; J$1), 1), "")</f>
        <v/>
      </c>
      <c r="K549" s="18" t="str">
        <f>RTD("ice.rtd",,$C549 &amp; $D549 &amp; ":" &amp; K$1)</f>
        <v/>
      </c>
      <c r="L549" s="36" t="str">
        <f>RTD("ice.rtd",,$C549 &amp; $D549 &amp; ":" &amp; L$1)</f>
        <v/>
      </c>
      <c r="M549" s="14" t="str">
        <f>IFERROR(MOD(TIMEVALUE(RTD("ice.rtd",,$C549 &amp; $D549 &amp; ":" &amp; M$1)), 1), "")</f>
        <v/>
      </c>
      <c r="N549" s="36">
        <f>RTD("ice.rtd",,$C549 &amp; $D549 &amp; ":" &amp; N$1)</f>
        <v>0</v>
      </c>
      <c r="O549" s="36">
        <f>RTD("ice.rtd",,$C549 &amp; $D549 &amp; ":" &amp; O$1)</f>
        <v>0</v>
      </c>
      <c r="P5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49" s="14" t="str">
        <f>IF(ICE[[#This Row],[LastType]] = "Scrn", ICE[[#This Row],[LstDate]], IF(ICE[[#This Row],[LastType]] = "Blk", ICE[[#This Row],[LstBlkTime]], ""))</f>
        <v/>
      </c>
      <c r="R549" s="41" t="str">
        <f>IF(ICE[[#This Row],[LastType]] = "Scrn", ICE[[#This Row],[LstPrc]], IF(ICE[[#This Row],[LastType]] = "Blk", ICE[[#This Row],[LstBlkPrc]], ""))</f>
        <v/>
      </c>
      <c r="S549" s="36">
        <f>ICE[[#This Row],[Vol]]+ICE[[#This Row],[BlkVol]]</f>
        <v>0</v>
      </c>
      <c r="T549" s="36">
        <f>RTD("ice.rtd",,$C549 &amp; $D549 &amp; ":" &amp; T$1)</f>
        <v>0</v>
      </c>
      <c r="U549" s="18">
        <f>RTD("ice.rtd",,$C549 &amp; $D549 &amp; ":" &amp; U$1)</f>
        <v>3.5</v>
      </c>
      <c r="V5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49" s="18" t="str">
        <f>IFERROR(IF(LEFT(ICE[[#This Row],[Tenor]], 1) = "B", RTD("esrtd",,$B549 &amp; " " &amp; ICE[[#This Row],[Tenor]] &amp; "-IEU", W$1), RTD("esrtd",,$B549 &amp; " " &amp; VLOOKUP(MONTH(ICE[[#This Row],[Strip]]), MthRef[], 2, 0) &amp; RIGHT(YEAR(ICE[[#This Row],[Strip]]), 2) &amp; "-IEU", W$1)), "")</f>
        <v/>
      </c>
      <c r="X549" s="36"/>
    </row>
    <row r="550" spans="1:24" x14ac:dyDescent="0.25">
      <c r="A550" s="37" t="s">
        <v>414</v>
      </c>
      <c r="B550" s="3" t="str">
        <f>RTD("ice.rtd",,$C550 &amp; $D550 &amp; ":" &amp; B$1)</f>
        <v>ULE</v>
      </c>
      <c r="C550" s="3">
        <v>34364094</v>
      </c>
      <c r="D550" t="s">
        <v>820</v>
      </c>
      <c r="E550" s="3" t="str">
        <f>RTD("ice.rtd",,$C550 &amp; $D550 &amp; ":" &amp; E$1)</f>
        <v>Q3 28</v>
      </c>
      <c r="F550" s="3" t="str">
        <f>ICE[[#This Row],[Prod]]&amp;ICE[[#This Row],[Strip]]</f>
        <v>ulsdaradiffQ3 28</v>
      </c>
      <c r="G550" s="18" t="str">
        <f>RTD("ice.rtd",,$C550 &amp; $D550 &amp; ":" &amp; G$1)</f>
        <v/>
      </c>
      <c r="H550" s="18" t="str">
        <f>RTD("ice.rtd",,$C550 &amp; $D550 &amp; ":" &amp; H$1)</f>
        <v/>
      </c>
      <c r="I550" s="18" t="str">
        <f>RTD("ice.rtd",,$C550 &amp; $D550 &amp; ":" &amp; I$1)</f>
        <v/>
      </c>
      <c r="J550" s="14" t="str">
        <f>IFERROR(MOD(RTD("ice.rtd",,$C550 &amp; $D550 &amp; ":" &amp; J$1), 1), "")</f>
        <v/>
      </c>
      <c r="K550" s="18" t="str">
        <f>RTD("ice.rtd",,$C550 &amp; $D550 &amp; ":" &amp; K$1)</f>
        <v/>
      </c>
      <c r="L550" s="36" t="str">
        <f>RTD("ice.rtd",,$C550 &amp; $D550 &amp; ":" &amp; L$1)</f>
        <v/>
      </c>
      <c r="M550" s="14" t="str">
        <f>IFERROR(MOD(TIMEVALUE(RTD("ice.rtd",,$C550 &amp; $D550 &amp; ":" &amp; M$1)), 1), "")</f>
        <v/>
      </c>
      <c r="N550" s="36">
        <f>RTD("ice.rtd",,$C550 &amp; $D550 &amp; ":" &amp; N$1)</f>
        <v>0</v>
      </c>
      <c r="O550" s="36">
        <f>RTD("ice.rtd",,$C550 &amp; $D550 &amp; ":" &amp; O$1)</f>
        <v>0</v>
      </c>
      <c r="P5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50" s="14" t="str">
        <f>IF(ICE[[#This Row],[LastType]] = "Scrn", ICE[[#This Row],[LstDate]], IF(ICE[[#This Row],[LastType]] = "Blk", ICE[[#This Row],[LstBlkTime]], ""))</f>
        <v/>
      </c>
      <c r="R550" s="41" t="str">
        <f>IF(ICE[[#This Row],[LastType]] = "Scrn", ICE[[#This Row],[LstPrc]], IF(ICE[[#This Row],[LastType]] = "Blk", ICE[[#This Row],[LstBlkPrc]], ""))</f>
        <v/>
      </c>
      <c r="S550" s="36">
        <f>ICE[[#This Row],[Vol]]+ICE[[#This Row],[BlkVol]]</f>
        <v>0</v>
      </c>
      <c r="T550" s="36">
        <f>RTD("ice.rtd",,$C550 &amp; $D550 &amp; ":" &amp; T$1)</f>
        <v>0</v>
      </c>
      <c r="U550" s="18">
        <f>RTD("ice.rtd",,$C550 &amp; $D550 &amp; ":" &amp; U$1)</f>
        <v>3.5</v>
      </c>
      <c r="V5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50" s="18" t="str">
        <f>IFERROR(IF(LEFT(ICE[[#This Row],[Tenor]], 1) = "B", RTD("esrtd",,$B550 &amp; " " &amp; ICE[[#This Row],[Tenor]] &amp; "-IEU", W$1), RTD("esrtd",,$B550 &amp; " " &amp; VLOOKUP(MONTH(ICE[[#This Row],[Strip]]), MthRef[], 2, 0) &amp; RIGHT(YEAR(ICE[[#This Row],[Strip]]), 2) &amp; "-IEU", W$1)), "")</f>
        <v/>
      </c>
      <c r="X550" s="36"/>
    </row>
    <row r="551" spans="1:24" x14ac:dyDescent="0.25">
      <c r="A551" s="37" t="s">
        <v>414</v>
      </c>
      <c r="B551" s="3" t="str">
        <f>RTD("ice.rtd",,$C551 &amp; $D551 &amp; ":" &amp; B$1)</f>
        <v>ULE</v>
      </c>
      <c r="C551" s="3">
        <v>34364094</v>
      </c>
      <c r="D551" t="s">
        <v>821</v>
      </c>
      <c r="E551" s="3" t="str">
        <f>RTD("ice.rtd",,$C551 &amp; $D551 &amp; ":" &amp; E$1)</f>
        <v>Q4 28</v>
      </c>
      <c r="F551" s="3" t="str">
        <f>ICE[[#This Row],[Prod]]&amp;ICE[[#This Row],[Strip]]</f>
        <v>ulsdaradiffQ4 28</v>
      </c>
      <c r="G551" s="18" t="str">
        <f>RTD("ice.rtd",,$C551 &amp; $D551 &amp; ":" &amp; G$1)</f>
        <v/>
      </c>
      <c r="H551" s="18" t="str">
        <f>RTD("ice.rtd",,$C551 &amp; $D551 &amp; ":" &amp; H$1)</f>
        <v/>
      </c>
      <c r="I551" s="18" t="str">
        <f>RTD("ice.rtd",,$C551 &amp; $D551 &amp; ":" &amp; I$1)</f>
        <v/>
      </c>
      <c r="J551" s="14" t="str">
        <f>IFERROR(MOD(RTD("ice.rtd",,$C551 &amp; $D551 &amp; ":" &amp; J$1), 1), "")</f>
        <v/>
      </c>
      <c r="K551" s="18" t="str">
        <f>RTD("ice.rtd",,$C551 &amp; $D551 &amp; ":" &amp; K$1)</f>
        <v/>
      </c>
      <c r="L551" s="36" t="str">
        <f>RTD("ice.rtd",,$C551 &amp; $D551 &amp; ":" &amp; L$1)</f>
        <v/>
      </c>
      <c r="M551" s="14" t="str">
        <f>IFERROR(MOD(TIMEVALUE(RTD("ice.rtd",,$C551 &amp; $D551 &amp; ":" &amp; M$1)), 1), "")</f>
        <v/>
      </c>
      <c r="N551" s="36">
        <f>RTD("ice.rtd",,$C551 &amp; $D551 &amp; ":" &amp; N$1)</f>
        <v>0</v>
      </c>
      <c r="O551" s="36">
        <f>RTD("ice.rtd",,$C551 &amp; $D551 &amp; ":" &amp; O$1)</f>
        <v>0</v>
      </c>
      <c r="P5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51" s="14" t="str">
        <f>IF(ICE[[#This Row],[LastType]] = "Scrn", ICE[[#This Row],[LstDate]], IF(ICE[[#This Row],[LastType]] = "Blk", ICE[[#This Row],[LstBlkTime]], ""))</f>
        <v/>
      </c>
      <c r="R551" s="41" t="str">
        <f>IF(ICE[[#This Row],[LastType]] = "Scrn", ICE[[#This Row],[LstPrc]], IF(ICE[[#This Row],[LastType]] = "Blk", ICE[[#This Row],[LstBlkPrc]], ""))</f>
        <v/>
      </c>
      <c r="S551" s="36">
        <f>ICE[[#This Row],[Vol]]+ICE[[#This Row],[BlkVol]]</f>
        <v>0</v>
      </c>
      <c r="T551" s="36">
        <f>RTD("ice.rtd",,$C551 &amp; $D551 &amp; ":" &amp; T$1)</f>
        <v>0</v>
      </c>
      <c r="U551" s="18">
        <f>RTD("ice.rtd",,$C551 &amp; $D551 &amp; ":" &amp; U$1)</f>
        <v>3.5</v>
      </c>
      <c r="V5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51" s="18" t="str">
        <f>IFERROR(IF(LEFT(ICE[[#This Row],[Tenor]], 1) = "B", RTD("esrtd",,$B551 &amp; " " &amp; ICE[[#This Row],[Tenor]] &amp; "-IEU", W$1), RTD("esrtd",,$B551 &amp; " " &amp; VLOOKUP(MONTH(ICE[[#This Row],[Strip]]), MthRef[], 2, 0) &amp; RIGHT(YEAR(ICE[[#This Row],[Strip]]), 2) &amp; "-IEU", W$1)), "")</f>
        <v/>
      </c>
      <c r="X551" s="36"/>
    </row>
    <row r="552" spans="1:24" x14ac:dyDescent="0.25">
      <c r="A552" s="37" t="s">
        <v>414</v>
      </c>
      <c r="B552" s="3" t="str">
        <f>RTD("ice.rtd",,$C552 &amp; $D552 &amp; ":" &amp; B$1)</f>
        <v>ULE</v>
      </c>
      <c r="C552" s="3">
        <v>34364094</v>
      </c>
      <c r="D552" t="s">
        <v>822</v>
      </c>
      <c r="E552" s="3" t="str">
        <f>RTD("ice.rtd",,$C552 &amp; $D552 &amp; ":" &amp; E$1)</f>
        <v>Cal 27</v>
      </c>
      <c r="F552" s="3" t="str">
        <f>ICE[[#This Row],[Prod]]&amp;ICE[[#This Row],[Strip]]</f>
        <v>ulsdaradiffCal 27</v>
      </c>
      <c r="G552" s="18" t="str">
        <f>RTD("ice.rtd",,$C552 &amp; $D552 &amp; ":" &amp; G$1)</f>
        <v/>
      </c>
      <c r="H552" s="18" t="str">
        <f>RTD("ice.rtd",,$C552 &amp; $D552 &amp; ":" &amp; H$1)</f>
        <v/>
      </c>
      <c r="I552" s="18" t="str">
        <f>RTD("ice.rtd",,$C552 &amp; $D552 &amp; ":" &amp; I$1)</f>
        <v/>
      </c>
      <c r="J552" s="14" t="str">
        <f>IFERROR(MOD(RTD("ice.rtd",,$C552 &amp; $D552 &amp; ":" &amp; J$1), 1), "")</f>
        <v/>
      </c>
      <c r="K552" s="18" t="str">
        <f>RTD("ice.rtd",,$C552 &amp; $D552 &amp; ":" &amp; K$1)</f>
        <v/>
      </c>
      <c r="L552" s="36" t="str">
        <f>RTD("ice.rtd",,$C552 &amp; $D552 &amp; ":" &amp; L$1)</f>
        <v/>
      </c>
      <c r="M552" s="14" t="str">
        <f>IFERROR(MOD(TIMEVALUE(RTD("ice.rtd",,$C552 &amp; $D552 &amp; ":" &amp; M$1)), 1), "")</f>
        <v/>
      </c>
      <c r="N552" s="36">
        <f>RTD("ice.rtd",,$C552 &amp; $D552 &amp; ":" &amp; N$1)</f>
        <v>0</v>
      </c>
      <c r="O552" s="36">
        <f>RTD("ice.rtd",,$C552 &amp; $D552 &amp; ":" &amp; O$1)</f>
        <v>0</v>
      </c>
      <c r="P5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52" s="14" t="str">
        <f>IF(ICE[[#This Row],[LastType]] = "Scrn", ICE[[#This Row],[LstDate]], IF(ICE[[#This Row],[LastType]] = "Blk", ICE[[#This Row],[LstBlkTime]], ""))</f>
        <v/>
      </c>
      <c r="R552" s="41" t="str">
        <f>IF(ICE[[#This Row],[LastType]] = "Scrn", ICE[[#This Row],[LstPrc]], IF(ICE[[#This Row],[LastType]] = "Blk", ICE[[#This Row],[LstBlkPrc]], ""))</f>
        <v/>
      </c>
      <c r="S552" s="36">
        <f>ICE[[#This Row],[Vol]]+ICE[[#This Row],[BlkVol]]</f>
        <v>0</v>
      </c>
      <c r="T552" s="36">
        <f>RTD("ice.rtd",,$C552 &amp; $D552 &amp; ":" &amp; T$1)</f>
        <v>0</v>
      </c>
      <c r="U552" s="18">
        <f>RTD("ice.rtd",,$C552 &amp; $D552 &amp; ":" &amp; U$1)</f>
        <v>10.458</v>
      </c>
      <c r="V5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52" s="18" t="str">
        <f>IFERROR(IF(LEFT(ICE[[#This Row],[Tenor]], 1) = "B", RTD("esrtd",,$B552 &amp; " " &amp; ICE[[#This Row],[Tenor]] &amp; "-IEU", W$1), RTD("esrtd",,$B552 &amp; " " &amp; VLOOKUP(MONTH(ICE[[#This Row],[Strip]]), MthRef[], 2, 0) &amp; RIGHT(YEAR(ICE[[#This Row],[Strip]]), 2) &amp; "-IEU", W$1)), "")</f>
        <v/>
      </c>
      <c r="X552" s="36"/>
    </row>
    <row r="553" spans="1:24" x14ac:dyDescent="0.25">
      <c r="A553" s="37" t="s">
        <v>414</v>
      </c>
      <c r="B553" s="3" t="str">
        <f>RTD("ice.rtd",,$C553 &amp; $D553 &amp; ":" &amp; B$1)</f>
        <v>ULE</v>
      </c>
      <c r="C553" s="3">
        <v>34364094</v>
      </c>
      <c r="D553" t="s">
        <v>823</v>
      </c>
      <c r="E553" s="3" t="str">
        <f>RTD("ice.rtd",,$C553 &amp; $D553 &amp; ":" &amp; E$1)</f>
        <v>Cal 28</v>
      </c>
      <c r="F553" s="3" t="str">
        <f>ICE[[#This Row],[Prod]]&amp;ICE[[#This Row],[Strip]]</f>
        <v>ulsdaradiffCal 28</v>
      </c>
      <c r="G553" s="18" t="str">
        <f>RTD("ice.rtd",,$C553 &amp; $D553 &amp; ":" &amp; G$1)</f>
        <v/>
      </c>
      <c r="H553" s="18" t="str">
        <f>RTD("ice.rtd",,$C553 &amp; $D553 &amp; ":" &amp; H$1)</f>
        <v/>
      </c>
      <c r="I553" s="18" t="str">
        <f>RTD("ice.rtd",,$C553 &amp; $D553 &amp; ":" &amp; I$1)</f>
        <v/>
      </c>
      <c r="J553" s="14" t="str">
        <f>IFERROR(MOD(RTD("ice.rtd",,$C553 &amp; $D553 &amp; ":" &amp; J$1), 1), "")</f>
        <v/>
      </c>
      <c r="K553" s="18" t="str">
        <f>RTD("ice.rtd",,$C553 &amp; $D553 &amp; ":" &amp; K$1)</f>
        <v/>
      </c>
      <c r="L553" s="36" t="str">
        <f>RTD("ice.rtd",,$C553 &amp; $D553 &amp; ":" &amp; L$1)</f>
        <v/>
      </c>
      <c r="M553" s="14" t="str">
        <f>IFERROR(MOD(TIMEVALUE(RTD("ice.rtd",,$C553 &amp; $D553 &amp; ":" &amp; M$1)), 1), "")</f>
        <v/>
      </c>
      <c r="N553" s="36">
        <f>RTD("ice.rtd",,$C553 &amp; $D553 &amp; ":" &amp; N$1)</f>
        <v>0</v>
      </c>
      <c r="O553" s="36">
        <f>RTD("ice.rtd",,$C553 &amp; $D553 &amp; ":" &amp; O$1)</f>
        <v>0</v>
      </c>
      <c r="P5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53" s="14" t="str">
        <f>IF(ICE[[#This Row],[LastType]] = "Scrn", ICE[[#This Row],[LstDate]], IF(ICE[[#This Row],[LastType]] = "Blk", ICE[[#This Row],[LstBlkTime]], ""))</f>
        <v/>
      </c>
      <c r="R553" s="41" t="str">
        <f>IF(ICE[[#This Row],[LastType]] = "Scrn", ICE[[#This Row],[LstPrc]], IF(ICE[[#This Row],[LastType]] = "Blk", ICE[[#This Row],[LstBlkPrc]], ""))</f>
        <v/>
      </c>
      <c r="S553" s="36">
        <f>ICE[[#This Row],[Vol]]+ICE[[#This Row],[BlkVol]]</f>
        <v>0</v>
      </c>
      <c r="T553" s="36">
        <f>RTD("ice.rtd",,$C553 &amp; $D553 &amp; ":" &amp; T$1)</f>
        <v>0</v>
      </c>
      <c r="U553" s="18">
        <f>RTD("ice.rtd",,$C553 &amp; $D553 &amp; ":" &amp; U$1)</f>
        <v>3.5</v>
      </c>
      <c r="V5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53" s="18" t="str">
        <f>IFERROR(IF(LEFT(ICE[[#This Row],[Tenor]], 1) = "B", RTD("esrtd",,$B553 &amp; " " &amp; ICE[[#This Row],[Tenor]] &amp; "-IEU", W$1), RTD("esrtd",,$B553 &amp; " " &amp; VLOOKUP(MONTH(ICE[[#This Row],[Strip]]), MthRef[], 2, 0) &amp; RIGHT(YEAR(ICE[[#This Row],[Strip]]), 2) &amp; "-IEU", W$1)), "")</f>
        <v/>
      </c>
      <c r="X553" s="36"/>
    </row>
    <row r="554" spans="1:24" x14ac:dyDescent="0.25">
      <c r="A554" s="37" t="s">
        <v>414</v>
      </c>
      <c r="B554" s="3" t="str">
        <f>RTD("ice.rtd",,$C554 &amp; $D554 &amp; ":" &amp; B$1)</f>
        <v>ULE</v>
      </c>
      <c r="C554" s="3">
        <v>34364094</v>
      </c>
      <c r="D554" t="s">
        <v>824</v>
      </c>
      <c r="E554" s="3" t="str">
        <f>RTD("ice.rtd",,$C554 &amp; $D554 &amp; ":" &amp; E$1)</f>
        <v>Cal 29</v>
      </c>
      <c r="F554" s="3" t="str">
        <f>ICE[[#This Row],[Prod]]&amp;ICE[[#This Row],[Strip]]</f>
        <v>ulsdaradiffCal 29</v>
      </c>
      <c r="G554" s="18" t="str">
        <f>RTD("ice.rtd",,$C554 &amp; $D554 &amp; ":" &amp; G$1)</f>
        <v/>
      </c>
      <c r="H554" s="18" t="str">
        <f>RTD("ice.rtd",,$C554 &amp; $D554 &amp; ":" &amp; H$1)</f>
        <v/>
      </c>
      <c r="I554" s="18" t="str">
        <f>RTD("ice.rtd",,$C554 &amp; $D554 &amp; ":" &amp; I$1)</f>
        <v/>
      </c>
      <c r="J554" s="14" t="str">
        <f>IFERROR(MOD(RTD("ice.rtd",,$C554 &amp; $D554 &amp; ":" &amp; J$1), 1), "")</f>
        <v/>
      </c>
      <c r="K554" s="18" t="str">
        <f>RTD("ice.rtd",,$C554 &amp; $D554 &amp; ":" &amp; K$1)</f>
        <v/>
      </c>
      <c r="L554" s="36" t="str">
        <f>RTD("ice.rtd",,$C554 &amp; $D554 &amp; ":" &amp; L$1)</f>
        <v/>
      </c>
      <c r="M554" s="14" t="str">
        <f>IFERROR(MOD(TIMEVALUE(RTD("ice.rtd",,$C554 &amp; $D554 &amp; ":" &amp; M$1)), 1), "")</f>
        <v/>
      </c>
      <c r="N554" s="36">
        <f>RTD("ice.rtd",,$C554 &amp; $D554 &amp; ":" &amp; N$1)</f>
        <v>0</v>
      </c>
      <c r="O554" s="36">
        <f>RTD("ice.rtd",,$C554 &amp; $D554 &amp; ":" &amp; O$1)</f>
        <v>0</v>
      </c>
      <c r="P5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54" s="14" t="str">
        <f>IF(ICE[[#This Row],[LastType]] = "Scrn", ICE[[#This Row],[LstDate]], IF(ICE[[#This Row],[LastType]] = "Blk", ICE[[#This Row],[LstBlkTime]], ""))</f>
        <v/>
      </c>
      <c r="R554" s="41" t="str">
        <f>IF(ICE[[#This Row],[LastType]] = "Scrn", ICE[[#This Row],[LstPrc]], IF(ICE[[#This Row],[LastType]] = "Blk", ICE[[#This Row],[LstBlkPrc]], ""))</f>
        <v/>
      </c>
      <c r="S554" s="36">
        <f>ICE[[#This Row],[Vol]]+ICE[[#This Row],[BlkVol]]</f>
        <v>0</v>
      </c>
      <c r="T554" s="36">
        <f>RTD("ice.rtd",,$C554 &amp; $D554 &amp; ":" &amp; T$1)</f>
        <v>0</v>
      </c>
      <c r="U554" s="18">
        <f>RTD("ice.rtd",,$C554 &amp; $D554 &amp; ":" &amp; U$1)</f>
        <v>3</v>
      </c>
      <c r="V5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54" s="18" t="str">
        <f>IFERROR(IF(LEFT(ICE[[#This Row],[Tenor]], 1) = "B", RTD("esrtd",,$B554 &amp; " " &amp; ICE[[#This Row],[Tenor]] &amp; "-IEU", W$1), RTD("esrtd",,$B554 &amp; " " &amp; VLOOKUP(MONTH(ICE[[#This Row],[Strip]]), MthRef[], 2, 0) &amp; RIGHT(YEAR(ICE[[#This Row],[Strip]]), 2) &amp; "-IEU", W$1)), "")</f>
        <v/>
      </c>
      <c r="X554" s="36"/>
    </row>
    <row r="555" spans="1:24" x14ac:dyDescent="0.25">
      <c r="A555" s="37" t="s">
        <v>415</v>
      </c>
      <c r="B555" s="3" t="str">
        <f>RTD("ice.rtd",,$C555 &amp; $D555 &amp; ":" &amp; B$1)</f>
        <v>UMD</v>
      </c>
      <c r="C555" s="3">
        <v>2325425615</v>
      </c>
      <c r="D555" t="s">
        <v>792</v>
      </c>
      <c r="E555" s="3" t="str">
        <f>RTD("ice.rtd",,$C555 &amp; $D555 &amp; ":" &amp; E$1)</f>
        <v>Bal Month</v>
      </c>
      <c r="F555" s="3" t="str">
        <f>ICE[[#This Row],[Prod]]&amp;ICE[[#This Row],[Strip]]</f>
        <v>ulsdccndiffBal Month</v>
      </c>
      <c r="G555" s="18" t="str">
        <f>RTD("ice.rtd",,$C555 &amp; $D555 &amp; ":" &amp; G$1)</f>
        <v/>
      </c>
      <c r="H555" s="18" t="str">
        <f>RTD("ice.rtd",,$C555 &amp; $D555 &amp; ":" &amp; H$1)</f>
        <v/>
      </c>
      <c r="I555" s="18" t="str">
        <f>RTD("ice.rtd",,$C555 &amp; $D555 &amp; ":" &amp; I$1)</f>
        <v/>
      </c>
      <c r="J555" s="14" t="str">
        <f>IFERROR(MOD(RTD("ice.rtd",,$C555 &amp; $D555 &amp; ":" &amp; J$1), 1), "")</f>
        <v/>
      </c>
      <c r="K555" s="18" t="str">
        <f>RTD("ice.rtd",,$C555 &amp; $D555 &amp; ":" &amp; K$1)</f>
        <v/>
      </c>
      <c r="L555" s="36" t="str">
        <f>RTD("ice.rtd",,$C555 &amp; $D555 &amp; ":" &amp; L$1)</f>
        <v/>
      </c>
      <c r="M555" s="14" t="str">
        <f>IFERROR(MOD(TIMEVALUE(RTD("ice.rtd",,$C555 &amp; $D555 &amp; ":" &amp; M$1)), 1), "")</f>
        <v/>
      </c>
      <c r="N555" s="36">
        <f>RTD("ice.rtd",,$C555 &amp; $D555 &amp; ":" &amp; N$1)</f>
        <v>0</v>
      </c>
      <c r="O555" s="36">
        <f>RTD("ice.rtd",,$C555 &amp; $D555 &amp; ":" &amp; O$1)</f>
        <v>0</v>
      </c>
      <c r="P5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55" s="14" t="str">
        <f>IF(ICE[[#This Row],[LastType]] = "Scrn", ICE[[#This Row],[LstDate]], IF(ICE[[#This Row],[LastType]] = "Blk", ICE[[#This Row],[LstBlkTime]], ""))</f>
        <v/>
      </c>
      <c r="R555" s="41" t="str">
        <f>IF(ICE[[#This Row],[LastType]] = "Scrn", ICE[[#This Row],[LstPrc]], IF(ICE[[#This Row],[LastType]] = "Blk", ICE[[#This Row],[LstBlkPrc]], ""))</f>
        <v/>
      </c>
      <c r="S555" s="36">
        <f>ICE[[#This Row],[Vol]]+ICE[[#This Row],[BlkVol]]</f>
        <v>0</v>
      </c>
      <c r="T555" s="36">
        <f>RTD("ice.rtd",,$C555 &amp; $D555 &amp; ":" &amp; T$1)</f>
        <v>0</v>
      </c>
      <c r="U555" s="18">
        <f>RTD("ice.rtd",,$C555 &amp; $D555 &amp; ":" &amp; U$1)</f>
        <v>43</v>
      </c>
      <c r="V5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55" s="18" t="str">
        <f>IFERROR(IF(LEFT(ICE[[#This Row],[Tenor]], 1) = "B", RTD("esrtd",,$B555 &amp; " " &amp; ICE[[#This Row],[Tenor]] &amp; "-IEU", W$1), RTD("esrtd",,$B555 &amp; " " &amp; VLOOKUP(MONTH(ICE[[#This Row],[Strip]]), MthRef[], 2, 0) &amp; RIGHT(YEAR(ICE[[#This Row],[Strip]]), 2) &amp; "-IEU", W$1)), "")</f>
        <v/>
      </c>
      <c r="X555" s="36"/>
    </row>
    <row r="556" spans="1:24" x14ac:dyDescent="0.25">
      <c r="A556" s="37" t="s">
        <v>415</v>
      </c>
      <c r="B556" s="3" t="str">
        <f>RTD("ice.rtd",,$C556 &amp; $D556 &amp; ":" &amp; B$1)</f>
        <v>ULF</v>
      </c>
      <c r="C556" s="3">
        <v>34374095</v>
      </c>
      <c r="D556" t="s">
        <v>793</v>
      </c>
      <c r="E556" s="3" t="str">
        <f>RTD("ice.rtd",,$C556 &amp; $D556 &amp; ":" &amp; E$1)</f>
        <v>Sep26</v>
      </c>
      <c r="F556" s="3" t="str">
        <f>ICE[[#This Row],[Prod]]&amp;ICE[[#This Row],[Strip]]</f>
        <v>ulsdccndiffSep26</v>
      </c>
      <c r="G556" s="18">
        <f>RTD("ice.rtd",,$C556 &amp; $D556 &amp; ":" &amp; G$1)</f>
        <v>30</v>
      </c>
      <c r="H556" s="18" t="str">
        <f>RTD("ice.rtd",,$C556 &amp; $D556 &amp; ":" &amp; H$1)</f>
        <v/>
      </c>
      <c r="I556" s="18" t="str">
        <f>RTD("ice.rtd",,$C556 &amp; $D556 &amp; ":" &amp; I$1)</f>
        <v/>
      </c>
      <c r="J556" s="14" t="str">
        <f>IFERROR(MOD(RTD("ice.rtd",,$C556 &amp; $D556 &amp; ":" &amp; J$1), 1), "")</f>
        <v/>
      </c>
      <c r="K556" s="18" t="str">
        <f>RTD("ice.rtd",,$C556 &amp; $D556 &amp; ":" &amp; K$1)</f>
        <v/>
      </c>
      <c r="L556" s="36" t="str">
        <f>RTD("ice.rtd",,$C556 &amp; $D556 &amp; ":" &amp; L$1)</f>
        <v/>
      </c>
      <c r="M556" s="14" t="str">
        <f>IFERROR(MOD(TIMEVALUE(RTD("ice.rtd",,$C556 &amp; $D556 &amp; ":" &amp; M$1)), 1), "")</f>
        <v/>
      </c>
      <c r="N556" s="36">
        <f>RTD("ice.rtd",,$C556 &amp; $D556 &amp; ":" &amp; N$1)</f>
        <v>0</v>
      </c>
      <c r="O556" s="36">
        <f>RTD("ice.rtd",,$C556 &amp; $D556 &amp; ":" &amp; O$1)</f>
        <v>0</v>
      </c>
      <c r="P5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56" s="14" t="str">
        <f>IF(ICE[[#This Row],[LastType]] = "Scrn", ICE[[#This Row],[LstDate]], IF(ICE[[#This Row],[LastType]] = "Blk", ICE[[#This Row],[LstBlkTime]], ""))</f>
        <v/>
      </c>
      <c r="R556" s="41" t="str">
        <f>IF(ICE[[#This Row],[LastType]] = "Scrn", ICE[[#This Row],[LstPrc]], IF(ICE[[#This Row],[LastType]] = "Blk", ICE[[#This Row],[LstBlkPrc]], ""))</f>
        <v/>
      </c>
      <c r="S556" s="36">
        <f>ICE[[#This Row],[Vol]]+ICE[[#This Row],[BlkVol]]</f>
        <v>0</v>
      </c>
      <c r="T556" s="36">
        <f>RTD("ice.rtd",,$C556 &amp; $D556 &amp; ":" &amp; T$1)</f>
        <v>1570</v>
      </c>
      <c r="U556" s="18">
        <f>RTD("ice.rtd",,$C556 &amp; $D556 &amp; ":" &amp; U$1)</f>
        <v>43</v>
      </c>
      <c r="V5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30.00 /  </v>
      </c>
      <c r="W556" s="18" t="str">
        <f>IFERROR(IF(LEFT(ICE[[#This Row],[Tenor]], 1) = "B", RTD("esrtd",,$B556 &amp; " " &amp; ICE[[#This Row],[Tenor]] &amp; "-IEU", W$1), RTD("esrtd",,$B556 &amp; " " &amp; VLOOKUP(MONTH(ICE[[#This Row],[Strip]]), MthRef[], 2, 0) &amp; RIGHT(YEAR(ICE[[#This Row],[Strip]]), 2) &amp; "-IEU", W$1)), "")</f>
        <v/>
      </c>
      <c r="X556" s="36"/>
    </row>
    <row r="557" spans="1:24" x14ac:dyDescent="0.25">
      <c r="A557" s="37" t="s">
        <v>415</v>
      </c>
      <c r="B557" s="3" t="str">
        <f>RTD("ice.rtd",,$C557 &amp; $D557 &amp; ":" &amp; B$1)</f>
        <v>ULF</v>
      </c>
      <c r="C557" s="3">
        <v>34374095</v>
      </c>
      <c r="D557" t="s">
        <v>324</v>
      </c>
      <c r="E557" s="3" t="str">
        <f>RTD("ice.rtd",,$C557 &amp; $D557 &amp; ":" &amp; E$1)</f>
        <v>Oct26</v>
      </c>
      <c r="F557" s="3" t="str">
        <f>ICE[[#This Row],[Prod]]&amp;ICE[[#This Row],[Strip]]</f>
        <v>ulsdccndiffOct26</v>
      </c>
      <c r="G557" s="18" t="str">
        <f>RTD("ice.rtd",,$C557 &amp; $D557 &amp; ":" &amp; G$1)</f>
        <v/>
      </c>
      <c r="H557" s="18" t="str">
        <f>RTD("ice.rtd",,$C557 &amp; $D557 &amp; ":" &amp; H$1)</f>
        <v/>
      </c>
      <c r="I557" s="18" t="str">
        <f>RTD("ice.rtd",,$C557 &amp; $D557 &amp; ":" &amp; I$1)</f>
        <v/>
      </c>
      <c r="J557" s="14" t="str">
        <f>IFERROR(MOD(RTD("ice.rtd",,$C557 &amp; $D557 &amp; ":" &amp; J$1), 1), "")</f>
        <v/>
      </c>
      <c r="K557" s="18">
        <f>RTD("ice.rtd",,$C557 &amp; $D557 &amp; ":" &amp; K$1)</f>
        <v>41.75</v>
      </c>
      <c r="L557" s="36">
        <f>RTD("ice.rtd",,$C557 &amp; $D557 &amp; ":" &amp; L$1)</f>
        <v>5</v>
      </c>
      <c r="M557" s="14">
        <f>IFERROR(MOD(TIMEVALUE(RTD("ice.rtd",,$C557 &amp; $D557 &amp; ":" &amp; M$1)), 1), "")</f>
        <v>0.45175925925925925</v>
      </c>
      <c r="N557" s="36">
        <f>RTD("ice.rtd",,$C557 &amp; $D557 &amp; ":" &amp; N$1)</f>
        <v>0</v>
      </c>
      <c r="O557" s="36">
        <f>RTD("ice.rtd",,$C557 &amp; $D557 &amp; ":" &amp; O$1)</f>
        <v>23</v>
      </c>
      <c r="P5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57" s="14">
        <f>IF(ICE[[#This Row],[LastType]] = "Scrn", ICE[[#This Row],[LstDate]], IF(ICE[[#This Row],[LastType]] = "Blk", ICE[[#This Row],[LstBlkTime]], ""))</f>
        <v>0.45175925925925925</v>
      </c>
      <c r="R557" s="41">
        <f>IF(ICE[[#This Row],[LastType]] = "Scrn", ICE[[#This Row],[LstPrc]], IF(ICE[[#This Row],[LastType]] = "Blk", ICE[[#This Row],[LstBlkPrc]], ""))</f>
        <v>41.75</v>
      </c>
      <c r="S557" s="36">
        <f>ICE[[#This Row],[Vol]]+ICE[[#This Row],[BlkVol]]</f>
        <v>23</v>
      </c>
      <c r="T557" s="36">
        <f>RTD("ice.rtd",,$C557 &amp; $D557 &amp; ":" &amp; T$1)</f>
        <v>739</v>
      </c>
      <c r="U557" s="18">
        <f>RTD("ice.rtd",,$C557 &amp; $D557 &amp; ":" &amp; U$1)</f>
        <v>41</v>
      </c>
      <c r="V5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{41.75} |23x</v>
      </c>
      <c r="W557" s="18" t="str">
        <f>IFERROR(IF(LEFT(ICE[[#This Row],[Tenor]], 1) = "B", RTD("esrtd",,$B557 &amp; " " &amp; ICE[[#This Row],[Tenor]] &amp; "-IEU", W$1), RTD("esrtd",,$B557 &amp; " " &amp; VLOOKUP(MONTH(ICE[[#This Row],[Strip]]), MthRef[], 2, 0) &amp; RIGHT(YEAR(ICE[[#This Row],[Strip]]), 2) &amp; "-IEU", W$1)), "")</f>
        <v/>
      </c>
      <c r="X557" s="36"/>
    </row>
    <row r="558" spans="1:24" x14ac:dyDescent="0.25">
      <c r="A558" s="37" t="s">
        <v>415</v>
      </c>
      <c r="B558" s="3" t="str">
        <f>RTD("ice.rtd",,$C558 &amp; $D558 &amp; ":" &amp; B$1)</f>
        <v>ULF</v>
      </c>
      <c r="C558" s="3">
        <v>34374095</v>
      </c>
      <c r="D558" t="s">
        <v>325</v>
      </c>
      <c r="E558" s="3" t="str">
        <f>RTD("ice.rtd",,$C558 &amp; $D558 &amp; ":" &amp; E$1)</f>
        <v>Nov26</v>
      </c>
      <c r="F558" s="3" t="str">
        <f>ICE[[#This Row],[Prod]]&amp;ICE[[#This Row],[Strip]]</f>
        <v>ulsdccndiffNov26</v>
      </c>
      <c r="G558" s="18" t="str">
        <f>RTD("ice.rtd",,$C558 &amp; $D558 &amp; ":" &amp; G$1)</f>
        <v/>
      </c>
      <c r="H558" s="18" t="str">
        <f>RTD("ice.rtd",,$C558 &amp; $D558 &amp; ":" &amp; H$1)</f>
        <v/>
      </c>
      <c r="I558" s="18" t="str">
        <f>RTD("ice.rtd",,$C558 &amp; $D558 &amp; ":" &amp; I$1)</f>
        <v/>
      </c>
      <c r="J558" s="14" t="str">
        <f>IFERROR(MOD(RTD("ice.rtd",,$C558 &amp; $D558 &amp; ":" &amp; J$1), 1), "")</f>
        <v/>
      </c>
      <c r="K558" s="18">
        <f>RTD("ice.rtd",,$C558 &amp; $D558 &amp; ":" &amp; K$1)</f>
        <v>39</v>
      </c>
      <c r="L558" s="36">
        <f>RTD("ice.rtd",,$C558 &amp; $D558 &amp; ":" &amp; L$1)</f>
        <v>5</v>
      </c>
      <c r="M558" s="14">
        <f>IFERROR(MOD(TIMEVALUE(RTD("ice.rtd",,$C558 &amp; $D558 &amp; ":" &amp; M$1)), 1), "")</f>
        <v>0.43988425925925928</v>
      </c>
      <c r="N558" s="36">
        <f>RTD("ice.rtd",,$C558 &amp; $D558 &amp; ":" &amp; N$1)</f>
        <v>0</v>
      </c>
      <c r="O558" s="36">
        <f>RTD("ice.rtd",,$C558 &amp; $D558 &amp; ":" &amp; O$1)</f>
        <v>5</v>
      </c>
      <c r="P5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58" s="14">
        <f>IF(ICE[[#This Row],[LastType]] = "Scrn", ICE[[#This Row],[LstDate]], IF(ICE[[#This Row],[LastType]] = "Blk", ICE[[#This Row],[LstBlkTime]], ""))</f>
        <v>0.43988425925925928</v>
      </c>
      <c r="R558" s="41">
        <f>IF(ICE[[#This Row],[LastType]] = "Scrn", ICE[[#This Row],[LstPrc]], IF(ICE[[#This Row],[LastType]] = "Blk", ICE[[#This Row],[LstBlkPrc]], ""))</f>
        <v>39</v>
      </c>
      <c r="S558" s="36">
        <f>ICE[[#This Row],[Vol]]+ICE[[#This Row],[BlkVol]]</f>
        <v>5</v>
      </c>
      <c r="T558" s="36">
        <f>RTD("ice.rtd",,$C558 &amp; $D558 &amp; ":" &amp; T$1)</f>
        <v>671</v>
      </c>
      <c r="U558" s="18">
        <f>RTD("ice.rtd",,$C558 &amp; $D558 &amp; ":" &amp; U$1)</f>
        <v>38.5</v>
      </c>
      <c r="V5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{39.00} |5x</v>
      </c>
      <c r="W558" s="18" t="str">
        <f>IFERROR(IF(LEFT(ICE[[#This Row],[Tenor]], 1) = "B", RTD("esrtd",,$B558 &amp; " " &amp; ICE[[#This Row],[Tenor]] &amp; "-IEU", W$1), RTD("esrtd",,$B558 &amp; " " &amp; VLOOKUP(MONTH(ICE[[#This Row],[Strip]]), MthRef[], 2, 0) &amp; RIGHT(YEAR(ICE[[#This Row],[Strip]]), 2) &amp; "-IEU", W$1)), "")</f>
        <v/>
      </c>
      <c r="X558" s="36"/>
    </row>
    <row r="559" spans="1:24" x14ac:dyDescent="0.25">
      <c r="A559" s="37" t="s">
        <v>415</v>
      </c>
      <c r="B559" s="3" t="str">
        <f>RTD("ice.rtd",,$C559 &amp; $D559 &amp; ":" &amp; B$1)</f>
        <v>ULF</v>
      </c>
      <c r="C559" s="3">
        <v>34374095</v>
      </c>
      <c r="D559" t="s">
        <v>326</v>
      </c>
      <c r="E559" s="3" t="str">
        <f>RTD("ice.rtd",,$C559 &amp; $D559 &amp; ":" &amp; E$1)</f>
        <v>Dec26</v>
      </c>
      <c r="F559" s="3" t="str">
        <f>ICE[[#This Row],[Prod]]&amp;ICE[[#This Row],[Strip]]</f>
        <v>ulsdccndiffDec26</v>
      </c>
      <c r="G559" s="18" t="str">
        <f>RTD("ice.rtd",,$C559 &amp; $D559 &amp; ":" &amp; G$1)</f>
        <v/>
      </c>
      <c r="H559" s="18" t="str">
        <f>RTD("ice.rtd",,$C559 &amp; $D559 &amp; ":" &amp; H$1)</f>
        <v/>
      </c>
      <c r="I559" s="18" t="str">
        <f>RTD("ice.rtd",,$C559 &amp; $D559 &amp; ":" &amp; I$1)</f>
        <v/>
      </c>
      <c r="J559" s="14" t="str">
        <f>IFERROR(MOD(RTD("ice.rtd",,$C559 &amp; $D559 &amp; ":" &amp; J$1), 1), "")</f>
        <v/>
      </c>
      <c r="K559" s="18">
        <f>RTD("ice.rtd",,$C559 &amp; $D559 &amp; ":" &amp; K$1)</f>
        <v>33.75</v>
      </c>
      <c r="L559" s="36">
        <f>RTD("ice.rtd",,$C559 &amp; $D559 &amp; ":" &amp; L$1)</f>
        <v>10</v>
      </c>
      <c r="M559" s="14">
        <f>IFERROR(MOD(TIMEVALUE(RTD("ice.rtd",,$C559 &amp; $D559 &amp; ":" &amp; M$1)), 1), "")</f>
        <v>0.45706018518518521</v>
      </c>
      <c r="N559" s="36">
        <f>RTD("ice.rtd",,$C559 &amp; $D559 &amp; ":" &amp; N$1)</f>
        <v>0</v>
      </c>
      <c r="O559" s="36">
        <f>RTD("ice.rtd",,$C559 &amp; $D559 &amp; ":" &amp; O$1)</f>
        <v>10</v>
      </c>
      <c r="P5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59" s="14">
        <f>IF(ICE[[#This Row],[LastType]] = "Scrn", ICE[[#This Row],[LstDate]], IF(ICE[[#This Row],[LastType]] = "Blk", ICE[[#This Row],[LstBlkTime]], ""))</f>
        <v>0.45706018518518521</v>
      </c>
      <c r="R559" s="41">
        <f>IF(ICE[[#This Row],[LastType]] = "Scrn", ICE[[#This Row],[LstPrc]], IF(ICE[[#This Row],[LastType]] = "Blk", ICE[[#This Row],[LstBlkPrc]], ""))</f>
        <v>33.75</v>
      </c>
      <c r="S559" s="36">
        <f>ICE[[#This Row],[Vol]]+ICE[[#This Row],[BlkVol]]</f>
        <v>10</v>
      </c>
      <c r="T559" s="36">
        <f>RTD("ice.rtd",,$C559 &amp; $D559 &amp; ":" &amp; T$1)</f>
        <v>719</v>
      </c>
      <c r="U559" s="18">
        <f>RTD("ice.rtd",,$C559 &amp; $D559 &amp; ":" &amp; U$1)</f>
        <v>34.5</v>
      </c>
      <c r="V5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{33.75} |10x</v>
      </c>
      <c r="W559" s="18" t="str">
        <f>IFERROR(IF(LEFT(ICE[[#This Row],[Tenor]], 1) = "B", RTD("esrtd",,$B559 &amp; " " &amp; ICE[[#This Row],[Tenor]] &amp; "-IEU", W$1), RTD("esrtd",,$B559 &amp; " " &amp; VLOOKUP(MONTH(ICE[[#This Row],[Strip]]), MthRef[], 2, 0) &amp; RIGHT(YEAR(ICE[[#This Row],[Strip]]), 2) &amp; "-IEU", W$1)), "")</f>
        <v/>
      </c>
      <c r="X559" s="36"/>
    </row>
    <row r="560" spans="1:24" x14ac:dyDescent="0.25">
      <c r="A560" s="37" t="s">
        <v>415</v>
      </c>
      <c r="B560" s="3" t="str">
        <f>RTD("ice.rtd",,$C560 &amp; $D560 &amp; ":" &amp; B$1)</f>
        <v>ULF</v>
      </c>
      <c r="C560" s="3">
        <v>34374095</v>
      </c>
      <c r="D560" t="s">
        <v>794</v>
      </c>
      <c r="E560" s="3" t="str">
        <f>RTD("ice.rtd",,$C560 &amp; $D560 &amp; ":" &amp; E$1)</f>
        <v>Jan27</v>
      </c>
      <c r="F560" s="3" t="str">
        <f>ICE[[#This Row],[Prod]]&amp;ICE[[#This Row],[Strip]]</f>
        <v>ulsdccndiffJan27</v>
      </c>
      <c r="G560" s="18" t="str">
        <f>RTD("ice.rtd",,$C560 &amp; $D560 &amp; ":" &amp; G$1)</f>
        <v/>
      </c>
      <c r="H560" s="18" t="str">
        <f>RTD("ice.rtd",,$C560 &amp; $D560 &amp; ":" &amp; H$1)</f>
        <v/>
      </c>
      <c r="I560" s="18" t="str">
        <f>RTD("ice.rtd",,$C560 &amp; $D560 &amp; ":" &amp; I$1)</f>
        <v/>
      </c>
      <c r="J560" s="14" t="str">
        <f>IFERROR(MOD(RTD("ice.rtd",,$C560 &amp; $D560 &amp; ":" &amp; J$1), 1), "")</f>
        <v/>
      </c>
      <c r="K560" s="18" t="str">
        <f>RTD("ice.rtd",,$C560 &amp; $D560 &amp; ":" &amp; K$1)</f>
        <v/>
      </c>
      <c r="L560" s="36" t="str">
        <f>RTD("ice.rtd",,$C560 &amp; $D560 &amp; ":" &amp; L$1)</f>
        <v/>
      </c>
      <c r="M560" s="14" t="str">
        <f>IFERROR(MOD(TIMEVALUE(RTD("ice.rtd",,$C560 &amp; $D560 &amp; ":" &amp; M$1)), 1), "")</f>
        <v/>
      </c>
      <c r="N560" s="36">
        <f>RTD("ice.rtd",,$C560 &amp; $D560 &amp; ":" &amp; N$1)</f>
        <v>0</v>
      </c>
      <c r="O560" s="36">
        <f>RTD("ice.rtd",,$C560 &amp; $D560 &amp; ":" &amp; O$1)</f>
        <v>0</v>
      </c>
      <c r="P5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0" s="14" t="str">
        <f>IF(ICE[[#This Row],[LastType]] = "Scrn", ICE[[#This Row],[LstDate]], IF(ICE[[#This Row],[LastType]] = "Blk", ICE[[#This Row],[LstBlkTime]], ""))</f>
        <v/>
      </c>
      <c r="R560" s="41" t="str">
        <f>IF(ICE[[#This Row],[LastType]] = "Scrn", ICE[[#This Row],[LstPrc]], IF(ICE[[#This Row],[LastType]] = "Blk", ICE[[#This Row],[LstBlkPrc]], ""))</f>
        <v/>
      </c>
      <c r="S560" s="36">
        <f>ICE[[#This Row],[Vol]]+ICE[[#This Row],[BlkVol]]</f>
        <v>0</v>
      </c>
      <c r="T560" s="36">
        <f>RTD("ice.rtd",,$C560 &amp; $D560 &amp; ":" &amp; T$1)</f>
        <v>201</v>
      </c>
      <c r="U560" s="18">
        <f>RTD("ice.rtd",,$C560 &amp; $D560 &amp; ":" &amp; U$1)</f>
        <v>29.5</v>
      </c>
      <c r="V5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0" s="18" t="str">
        <f>IFERROR(IF(LEFT(ICE[[#This Row],[Tenor]], 1) = "B", RTD("esrtd",,$B560 &amp; " " &amp; ICE[[#This Row],[Tenor]] &amp; "-IEU", W$1), RTD("esrtd",,$B560 &amp; " " &amp; VLOOKUP(MONTH(ICE[[#This Row],[Strip]]), MthRef[], 2, 0) &amp; RIGHT(YEAR(ICE[[#This Row],[Strip]]), 2) &amp; "-IEU", W$1)), "")</f>
        <v/>
      </c>
      <c r="X560" s="36"/>
    </row>
    <row r="561" spans="1:24" x14ac:dyDescent="0.25">
      <c r="A561" s="37" t="s">
        <v>415</v>
      </c>
      <c r="B561" s="3" t="str">
        <f>RTD("ice.rtd",,$C561 &amp; $D561 &amp; ":" &amp; B$1)</f>
        <v>ULF</v>
      </c>
      <c r="C561" s="3">
        <v>34374095</v>
      </c>
      <c r="D561" t="s">
        <v>795</v>
      </c>
      <c r="E561" s="3" t="str">
        <f>RTD("ice.rtd",,$C561 &amp; $D561 &amp; ":" &amp; E$1)</f>
        <v>Feb27</v>
      </c>
      <c r="F561" s="3" t="str">
        <f>ICE[[#This Row],[Prod]]&amp;ICE[[#This Row],[Strip]]</f>
        <v>ulsdccndiffFeb27</v>
      </c>
      <c r="G561" s="18" t="str">
        <f>RTD("ice.rtd",,$C561 &amp; $D561 &amp; ":" &amp; G$1)</f>
        <v/>
      </c>
      <c r="H561" s="18" t="str">
        <f>RTD("ice.rtd",,$C561 &amp; $D561 &amp; ":" &amp; H$1)</f>
        <v/>
      </c>
      <c r="I561" s="18" t="str">
        <f>RTD("ice.rtd",,$C561 &amp; $D561 &amp; ":" &amp; I$1)</f>
        <v/>
      </c>
      <c r="J561" s="14" t="str">
        <f>IFERROR(MOD(RTD("ice.rtd",,$C561 &amp; $D561 &amp; ":" &amp; J$1), 1), "")</f>
        <v/>
      </c>
      <c r="K561" s="18" t="str">
        <f>RTD("ice.rtd",,$C561 &amp; $D561 &amp; ":" &amp; K$1)</f>
        <v/>
      </c>
      <c r="L561" s="36" t="str">
        <f>RTD("ice.rtd",,$C561 &amp; $D561 &amp; ":" &amp; L$1)</f>
        <v/>
      </c>
      <c r="M561" s="14" t="str">
        <f>IFERROR(MOD(TIMEVALUE(RTD("ice.rtd",,$C561 &amp; $D561 &amp; ":" &amp; M$1)), 1), "")</f>
        <v/>
      </c>
      <c r="N561" s="36">
        <f>RTD("ice.rtd",,$C561 &amp; $D561 &amp; ":" &amp; N$1)</f>
        <v>0</v>
      </c>
      <c r="O561" s="36">
        <f>RTD("ice.rtd",,$C561 &amp; $D561 &amp; ":" &amp; O$1)</f>
        <v>0</v>
      </c>
      <c r="P5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1" s="14" t="str">
        <f>IF(ICE[[#This Row],[LastType]] = "Scrn", ICE[[#This Row],[LstDate]], IF(ICE[[#This Row],[LastType]] = "Blk", ICE[[#This Row],[LstBlkTime]], ""))</f>
        <v/>
      </c>
      <c r="R561" s="41" t="str">
        <f>IF(ICE[[#This Row],[LastType]] = "Scrn", ICE[[#This Row],[LstPrc]], IF(ICE[[#This Row],[LastType]] = "Blk", ICE[[#This Row],[LstBlkPrc]], ""))</f>
        <v/>
      </c>
      <c r="S561" s="36">
        <f>ICE[[#This Row],[Vol]]+ICE[[#This Row],[BlkVol]]</f>
        <v>0</v>
      </c>
      <c r="T561" s="36">
        <f>RTD("ice.rtd",,$C561 &amp; $D561 &amp; ":" &amp; T$1)</f>
        <v>199</v>
      </c>
      <c r="U561" s="18">
        <f>RTD("ice.rtd",,$C561 &amp; $D561 &amp; ":" &amp; U$1)</f>
        <v>27</v>
      </c>
      <c r="V5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1" s="18" t="str">
        <f>IFERROR(IF(LEFT(ICE[[#This Row],[Tenor]], 1) = "B", RTD("esrtd",,$B561 &amp; " " &amp; ICE[[#This Row],[Tenor]] &amp; "-IEU", W$1), RTD("esrtd",,$B561 &amp; " " &amp; VLOOKUP(MONTH(ICE[[#This Row],[Strip]]), MthRef[], 2, 0) &amp; RIGHT(YEAR(ICE[[#This Row],[Strip]]), 2) &amp; "-IEU", W$1)), "")</f>
        <v/>
      </c>
      <c r="X561" s="36"/>
    </row>
    <row r="562" spans="1:24" x14ac:dyDescent="0.25">
      <c r="A562" s="37" t="s">
        <v>415</v>
      </c>
      <c r="B562" s="3" t="str">
        <f>RTD("ice.rtd",,$C562 &amp; $D562 &amp; ":" &amp; B$1)</f>
        <v>ULF</v>
      </c>
      <c r="C562" s="3">
        <v>34374095</v>
      </c>
      <c r="D562" t="s">
        <v>113</v>
      </c>
      <c r="E562" s="3" t="str">
        <f>RTD("ice.rtd",,$C562 &amp; $D562 &amp; ":" &amp; E$1)</f>
        <v>Mar27</v>
      </c>
      <c r="F562" s="3" t="str">
        <f>ICE[[#This Row],[Prod]]&amp;ICE[[#This Row],[Strip]]</f>
        <v>ulsdccndiffMar27</v>
      </c>
      <c r="G562" s="18" t="str">
        <f>RTD("ice.rtd",,$C562 &amp; $D562 &amp; ":" &amp; G$1)</f>
        <v/>
      </c>
      <c r="H562" s="18" t="str">
        <f>RTD("ice.rtd",,$C562 &amp; $D562 &amp; ":" &amp; H$1)</f>
        <v/>
      </c>
      <c r="I562" s="18" t="str">
        <f>RTD("ice.rtd",,$C562 &amp; $D562 &amp; ":" &amp; I$1)</f>
        <v/>
      </c>
      <c r="J562" s="14" t="str">
        <f>IFERROR(MOD(RTD("ice.rtd",,$C562 &amp; $D562 &amp; ":" &amp; J$1), 1), "")</f>
        <v/>
      </c>
      <c r="K562" s="18" t="str">
        <f>RTD("ice.rtd",,$C562 &amp; $D562 &amp; ":" &amp; K$1)</f>
        <v/>
      </c>
      <c r="L562" s="36" t="str">
        <f>RTD("ice.rtd",,$C562 &amp; $D562 &amp; ":" &amp; L$1)</f>
        <v/>
      </c>
      <c r="M562" s="14" t="str">
        <f>IFERROR(MOD(TIMEVALUE(RTD("ice.rtd",,$C562 &amp; $D562 &amp; ":" &amp; M$1)), 1), "")</f>
        <v/>
      </c>
      <c r="N562" s="36">
        <f>RTD("ice.rtd",,$C562 &amp; $D562 &amp; ":" &amp; N$1)</f>
        <v>0</v>
      </c>
      <c r="O562" s="36">
        <f>RTD("ice.rtd",,$C562 &amp; $D562 &amp; ":" &amp; O$1)</f>
        <v>0</v>
      </c>
      <c r="P5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2" s="14" t="str">
        <f>IF(ICE[[#This Row],[LastType]] = "Scrn", ICE[[#This Row],[LstDate]], IF(ICE[[#This Row],[LastType]] = "Blk", ICE[[#This Row],[LstBlkTime]], ""))</f>
        <v/>
      </c>
      <c r="R562" s="41" t="str">
        <f>IF(ICE[[#This Row],[LastType]] = "Scrn", ICE[[#This Row],[LstPrc]], IF(ICE[[#This Row],[LastType]] = "Blk", ICE[[#This Row],[LstBlkPrc]], ""))</f>
        <v/>
      </c>
      <c r="S562" s="36">
        <f>ICE[[#This Row],[Vol]]+ICE[[#This Row],[BlkVol]]</f>
        <v>0</v>
      </c>
      <c r="T562" s="36">
        <f>RTD("ice.rtd",,$C562 &amp; $D562 &amp; ":" &amp; T$1)</f>
        <v>195</v>
      </c>
      <c r="U562" s="18">
        <f>RTD("ice.rtd",,$C562 &amp; $D562 &amp; ":" &amp; U$1)</f>
        <v>24.5</v>
      </c>
      <c r="V5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2" s="18" t="str">
        <f>IFERROR(IF(LEFT(ICE[[#This Row],[Tenor]], 1) = "B", RTD("esrtd",,$B562 &amp; " " &amp; ICE[[#This Row],[Tenor]] &amp; "-IEU", W$1), RTD("esrtd",,$B562 &amp; " " &amp; VLOOKUP(MONTH(ICE[[#This Row],[Strip]]), MthRef[], 2, 0) &amp; RIGHT(YEAR(ICE[[#This Row],[Strip]]), 2) &amp; "-IEU", W$1)), "")</f>
        <v/>
      </c>
      <c r="X562" s="36"/>
    </row>
    <row r="563" spans="1:24" x14ac:dyDescent="0.25">
      <c r="A563" s="37" t="s">
        <v>415</v>
      </c>
      <c r="B563" s="3" t="str">
        <f>RTD("ice.rtd",,$C563 &amp; $D563 &amp; ":" &amp; B$1)</f>
        <v>ULF</v>
      </c>
      <c r="C563" s="3">
        <v>34374095</v>
      </c>
      <c r="D563" t="s">
        <v>796</v>
      </c>
      <c r="E563" s="3" t="str">
        <f>RTD("ice.rtd",,$C563 &amp; $D563 &amp; ":" &amp; E$1)</f>
        <v>Apr27</v>
      </c>
      <c r="F563" s="3" t="str">
        <f>ICE[[#This Row],[Prod]]&amp;ICE[[#This Row],[Strip]]</f>
        <v>ulsdccndiffApr27</v>
      </c>
      <c r="G563" s="18" t="str">
        <f>RTD("ice.rtd",,$C563 &amp; $D563 &amp; ":" &amp; G$1)</f>
        <v/>
      </c>
      <c r="H563" s="18" t="str">
        <f>RTD("ice.rtd",,$C563 &amp; $D563 &amp; ":" &amp; H$1)</f>
        <v/>
      </c>
      <c r="I563" s="18" t="str">
        <f>RTD("ice.rtd",,$C563 &amp; $D563 &amp; ":" &amp; I$1)</f>
        <v/>
      </c>
      <c r="J563" s="14" t="str">
        <f>IFERROR(MOD(RTD("ice.rtd",,$C563 &amp; $D563 &amp; ":" &amp; J$1), 1), "")</f>
        <v/>
      </c>
      <c r="K563" s="18" t="str">
        <f>RTD("ice.rtd",,$C563 &amp; $D563 &amp; ":" &amp; K$1)</f>
        <v/>
      </c>
      <c r="L563" s="36" t="str">
        <f>RTD("ice.rtd",,$C563 &amp; $D563 &amp; ":" &amp; L$1)</f>
        <v/>
      </c>
      <c r="M563" s="14" t="str">
        <f>IFERROR(MOD(TIMEVALUE(RTD("ice.rtd",,$C563 &amp; $D563 &amp; ":" &amp; M$1)), 1), "")</f>
        <v/>
      </c>
      <c r="N563" s="36">
        <f>RTD("ice.rtd",,$C563 &amp; $D563 &amp; ":" &amp; N$1)</f>
        <v>0</v>
      </c>
      <c r="O563" s="36">
        <f>RTD("ice.rtd",,$C563 &amp; $D563 &amp; ":" &amp; O$1)</f>
        <v>0</v>
      </c>
      <c r="P5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3" s="14" t="str">
        <f>IF(ICE[[#This Row],[LastType]] = "Scrn", ICE[[#This Row],[LstDate]], IF(ICE[[#This Row],[LastType]] = "Blk", ICE[[#This Row],[LstBlkTime]], ""))</f>
        <v/>
      </c>
      <c r="R563" s="41" t="str">
        <f>IF(ICE[[#This Row],[LastType]] = "Scrn", ICE[[#This Row],[LstPrc]], IF(ICE[[#This Row],[LastType]] = "Blk", ICE[[#This Row],[LstBlkPrc]], ""))</f>
        <v/>
      </c>
      <c r="S563" s="36">
        <f>ICE[[#This Row],[Vol]]+ICE[[#This Row],[BlkVol]]</f>
        <v>0</v>
      </c>
      <c r="T563" s="36">
        <f>RTD("ice.rtd",,$C563 &amp; $D563 &amp; ":" &amp; T$1)</f>
        <v>93</v>
      </c>
      <c r="U563" s="18">
        <f>RTD("ice.rtd",,$C563 &amp; $D563 &amp; ":" &amp; U$1)</f>
        <v>20</v>
      </c>
      <c r="V5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3" s="18" t="str">
        <f>IFERROR(IF(LEFT(ICE[[#This Row],[Tenor]], 1) = "B", RTD("esrtd",,$B563 &amp; " " &amp; ICE[[#This Row],[Tenor]] &amp; "-IEU", W$1), RTD("esrtd",,$B563 &amp; " " &amp; VLOOKUP(MONTH(ICE[[#This Row],[Strip]]), MthRef[], 2, 0) &amp; RIGHT(YEAR(ICE[[#This Row],[Strip]]), 2) &amp; "-IEU", W$1)), "")</f>
        <v/>
      </c>
      <c r="X563" s="36"/>
    </row>
    <row r="564" spans="1:24" x14ac:dyDescent="0.25">
      <c r="A564" s="37" t="s">
        <v>415</v>
      </c>
      <c r="B564" s="3" t="str">
        <f>RTD("ice.rtd",,$C564 &amp; $D564 &amp; ":" &amp; B$1)</f>
        <v>ULF</v>
      </c>
      <c r="C564" s="3">
        <v>34374095</v>
      </c>
      <c r="D564" t="s">
        <v>797</v>
      </c>
      <c r="E564" s="3" t="str">
        <f>RTD("ice.rtd",,$C564 &amp; $D564 &amp; ":" &amp; E$1)</f>
        <v>May27</v>
      </c>
      <c r="F564" s="3" t="str">
        <f>ICE[[#This Row],[Prod]]&amp;ICE[[#This Row],[Strip]]</f>
        <v>ulsdccndiffMay27</v>
      </c>
      <c r="G564" s="18" t="str">
        <f>RTD("ice.rtd",,$C564 &amp; $D564 &amp; ":" &amp; G$1)</f>
        <v/>
      </c>
      <c r="H564" s="18" t="str">
        <f>RTD("ice.rtd",,$C564 &amp; $D564 &amp; ":" &amp; H$1)</f>
        <v/>
      </c>
      <c r="I564" s="18" t="str">
        <f>RTD("ice.rtd",,$C564 &amp; $D564 &amp; ":" &amp; I$1)</f>
        <v/>
      </c>
      <c r="J564" s="14" t="str">
        <f>IFERROR(MOD(RTD("ice.rtd",,$C564 &amp; $D564 &amp; ":" &amp; J$1), 1), "")</f>
        <v/>
      </c>
      <c r="K564" s="18" t="str">
        <f>RTD("ice.rtd",,$C564 &amp; $D564 &amp; ":" &amp; K$1)</f>
        <v/>
      </c>
      <c r="L564" s="36" t="str">
        <f>RTD("ice.rtd",,$C564 &amp; $D564 &amp; ":" &amp; L$1)</f>
        <v/>
      </c>
      <c r="M564" s="14" t="str">
        <f>IFERROR(MOD(TIMEVALUE(RTD("ice.rtd",,$C564 &amp; $D564 &amp; ":" &amp; M$1)), 1), "")</f>
        <v/>
      </c>
      <c r="N564" s="36">
        <f>RTD("ice.rtd",,$C564 &amp; $D564 &amp; ":" &amp; N$1)</f>
        <v>0</v>
      </c>
      <c r="O564" s="36">
        <f>RTD("ice.rtd",,$C564 &amp; $D564 &amp; ":" &amp; O$1)</f>
        <v>0</v>
      </c>
      <c r="P5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4" s="14" t="str">
        <f>IF(ICE[[#This Row],[LastType]] = "Scrn", ICE[[#This Row],[LstDate]], IF(ICE[[#This Row],[LastType]] = "Blk", ICE[[#This Row],[LstBlkTime]], ""))</f>
        <v/>
      </c>
      <c r="R564" s="41" t="str">
        <f>IF(ICE[[#This Row],[LastType]] = "Scrn", ICE[[#This Row],[LstPrc]], IF(ICE[[#This Row],[LastType]] = "Blk", ICE[[#This Row],[LstBlkPrc]], ""))</f>
        <v/>
      </c>
      <c r="S564" s="36">
        <f>ICE[[#This Row],[Vol]]+ICE[[#This Row],[BlkVol]]</f>
        <v>0</v>
      </c>
      <c r="T564" s="36">
        <f>RTD("ice.rtd",,$C564 &amp; $D564 &amp; ":" &amp; T$1)</f>
        <v>94</v>
      </c>
      <c r="U564" s="18">
        <f>RTD("ice.rtd",,$C564 &amp; $D564 &amp; ":" &amp; U$1)</f>
        <v>19</v>
      </c>
      <c r="V5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4" s="18" t="str">
        <f>IFERROR(IF(LEFT(ICE[[#This Row],[Tenor]], 1) = "B", RTD("esrtd",,$B564 &amp; " " &amp; ICE[[#This Row],[Tenor]] &amp; "-IEU", W$1), RTD("esrtd",,$B564 &amp; " " &amp; VLOOKUP(MONTH(ICE[[#This Row],[Strip]]), MthRef[], 2, 0) &amp; RIGHT(YEAR(ICE[[#This Row],[Strip]]), 2) &amp; "-IEU", W$1)), "")</f>
        <v/>
      </c>
      <c r="X564" s="36"/>
    </row>
    <row r="565" spans="1:24" x14ac:dyDescent="0.25">
      <c r="A565" s="37" t="s">
        <v>415</v>
      </c>
      <c r="B565" s="3" t="str">
        <f>RTD("ice.rtd",,$C565 &amp; $D565 &amp; ":" &amp; B$1)</f>
        <v>ULF</v>
      </c>
      <c r="C565" s="3">
        <v>34374095</v>
      </c>
      <c r="D565" t="s">
        <v>798</v>
      </c>
      <c r="E565" s="3" t="str">
        <f>RTD("ice.rtd",,$C565 &amp; $D565 &amp; ":" &amp; E$1)</f>
        <v>Jun27</v>
      </c>
      <c r="F565" s="3" t="str">
        <f>ICE[[#This Row],[Prod]]&amp;ICE[[#This Row],[Strip]]</f>
        <v>ulsdccndiffJun27</v>
      </c>
      <c r="G565" s="18" t="str">
        <f>RTD("ice.rtd",,$C565 &amp; $D565 &amp; ":" &amp; G$1)</f>
        <v/>
      </c>
      <c r="H565" s="18" t="str">
        <f>RTD("ice.rtd",,$C565 &amp; $D565 &amp; ":" &amp; H$1)</f>
        <v/>
      </c>
      <c r="I565" s="18" t="str">
        <f>RTD("ice.rtd",,$C565 &amp; $D565 &amp; ":" &amp; I$1)</f>
        <v/>
      </c>
      <c r="J565" s="14" t="str">
        <f>IFERROR(MOD(RTD("ice.rtd",,$C565 &amp; $D565 &amp; ":" &amp; J$1), 1), "")</f>
        <v/>
      </c>
      <c r="K565" s="18" t="str">
        <f>RTD("ice.rtd",,$C565 &amp; $D565 &amp; ":" &amp; K$1)</f>
        <v/>
      </c>
      <c r="L565" s="36" t="str">
        <f>RTD("ice.rtd",,$C565 &amp; $D565 &amp; ":" &amp; L$1)</f>
        <v/>
      </c>
      <c r="M565" s="14" t="str">
        <f>IFERROR(MOD(TIMEVALUE(RTD("ice.rtd",,$C565 &amp; $D565 &amp; ":" &amp; M$1)), 1), "")</f>
        <v/>
      </c>
      <c r="N565" s="36">
        <f>RTD("ice.rtd",,$C565 &amp; $D565 &amp; ":" &amp; N$1)</f>
        <v>0</v>
      </c>
      <c r="O565" s="36">
        <f>RTD("ice.rtd",,$C565 &amp; $D565 &amp; ":" &amp; O$1)</f>
        <v>0</v>
      </c>
      <c r="P5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5" s="14" t="str">
        <f>IF(ICE[[#This Row],[LastType]] = "Scrn", ICE[[#This Row],[LstDate]], IF(ICE[[#This Row],[LastType]] = "Blk", ICE[[#This Row],[LstBlkTime]], ""))</f>
        <v/>
      </c>
      <c r="R565" s="41" t="str">
        <f>IF(ICE[[#This Row],[LastType]] = "Scrn", ICE[[#This Row],[LstPrc]], IF(ICE[[#This Row],[LastType]] = "Blk", ICE[[#This Row],[LstBlkPrc]], ""))</f>
        <v/>
      </c>
      <c r="S565" s="36">
        <f>ICE[[#This Row],[Vol]]+ICE[[#This Row],[BlkVol]]</f>
        <v>0</v>
      </c>
      <c r="T565" s="36">
        <f>RTD("ice.rtd",,$C565 &amp; $D565 &amp; ":" &amp; T$1)</f>
        <v>94</v>
      </c>
      <c r="U565" s="18">
        <f>RTD("ice.rtd",,$C565 &amp; $D565 &amp; ":" &amp; U$1)</f>
        <v>18</v>
      </c>
      <c r="V5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5" s="18" t="str">
        <f>IFERROR(IF(LEFT(ICE[[#This Row],[Tenor]], 1) = "B", RTD("esrtd",,$B565 &amp; " " &amp; ICE[[#This Row],[Tenor]] &amp; "-IEU", W$1), RTD("esrtd",,$B565 &amp; " " &amp; VLOOKUP(MONTH(ICE[[#This Row],[Strip]]), MthRef[], 2, 0) &amp; RIGHT(YEAR(ICE[[#This Row],[Strip]]), 2) &amp; "-IEU", W$1)), "")</f>
        <v/>
      </c>
      <c r="X565" s="36"/>
    </row>
    <row r="566" spans="1:24" x14ac:dyDescent="0.25">
      <c r="A566" s="37" t="s">
        <v>415</v>
      </c>
      <c r="B566" s="3" t="str">
        <f>RTD("ice.rtd",,$C566 &amp; $D566 &amp; ":" &amp; B$1)</f>
        <v>ULF</v>
      </c>
      <c r="C566" s="3">
        <v>34374095</v>
      </c>
      <c r="D566" t="s">
        <v>799</v>
      </c>
      <c r="E566" s="3" t="str">
        <f>RTD("ice.rtd",,$C566 &amp; $D566 &amp; ":" &amp; E$1)</f>
        <v>Jul27</v>
      </c>
      <c r="F566" s="3" t="str">
        <f>ICE[[#This Row],[Prod]]&amp;ICE[[#This Row],[Strip]]</f>
        <v>ulsdccndiffJul27</v>
      </c>
      <c r="G566" s="18" t="str">
        <f>RTD("ice.rtd",,$C566 &amp; $D566 &amp; ":" &amp; G$1)</f>
        <v/>
      </c>
      <c r="H566" s="18" t="str">
        <f>RTD("ice.rtd",,$C566 &amp; $D566 &amp; ":" &amp; H$1)</f>
        <v/>
      </c>
      <c r="I566" s="18" t="str">
        <f>RTD("ice.rtd",,$C566 &amp; $D566 &amp; ":" &amp; I$1)</f>
        <v/>
      </c>
      <c r="J566" s="14" t="str">
        <f>IFERROR(MOD(RTD("ice.rtd",,$C566 &amp; $D566 &amp; ":" &amp; J$1), 1), "")</f>
        <v/>
      </c>
      <c r="K566" s="18" t="str">
        <f>RTD("ice.rtd",,$C566 &amp; $D566 &amp; ":" &amp; K$1)</f>
        <v/>
      </c>
      <c r="L566" s="36" t="str">
        <f>RTD("ice.rtd",,$C566 &amp; $D566 &amp; ":" &amp; L$1)</f>
        <v/>
      </c>
      <c r="M566" s="14" t="str">
        <f>IFERROR(MOD(TIMEVALUE(RTD("ice.rtd",,$C566 &amp; $D566 &amp; ":" &amp; M$1)), 1), "")</f>
        <v/>
      </c>
      <c r="N566" s="36">
        <f>RTD("ice.rtd",,$C566 &amp; $D566 &amp; ":" &amp; N$1)</f>
        <v>0</v>
      </c>
      <c r="O566" s="36">
        <f>RTD("ice.rtd",,$C566 &amp; $D566 &amp; ":" &amp; O$1)</f>
        <v>0</v>
      </c>
      <c r="P5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6" s="14" t="str">
        <f>IF(ICE[[#This Row],[LastType]] = "Scrn", ICE[[#This Row],[LstDate]], IF(ICE[[#This Row],[LastType]] = "Blk", ICE[[#This Row],[LstBlkTime]], ""))</f>
        <v/>
      </c>
      <c r="R566" s="41" t="str">
        <f>IF(ICE[[#This Row],[LastType]] = "Scrn", ICE[[#This Row],[LstPrc]], IF(ICE[[#This Row],[LastType]] = "Blk", ICE[[#This Row],[LstBlkPrc]], ""))</f>
        <v/>
      </c>
      <c r="S566" s="36">
        <f>ICE[[#This Row],[Vol]]+ICE[[#This Row],[BlkVol]]</f>
        <v>0</v>
      </c>
      <c r="T566" s="36">
        <f>RTD("ice.rtd",,$C566 &amp; $D566 &amp; ":" &amp; T$1)</f>
        <v>74</v>
      </c>
      <c r="U566" s="18">
        <f>RTD("ice.rtd",,$C566 &amp; $D566 &amp; ":" &amp; U$1)</f>
        <v>15.5</v>
      </c>
      <c r="V5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6" s="18" t="str">
        <f>IFERROR(IF(LEFT(ICE[[#This Row],[Tenor]], 1) = "B", RTD("esrtd",,$B566 &amp; " " &amp; ICE[[#This Row],[Tenor]] &amp; "-IEU", W$1), RTD("esrtd",,$B566 &amp; " " &amp; VLOOKUP(MONTH(ICE[[#This Row],[Strip]]), MthRef[], 2, 0) &amp; RIGHT(YEAR(ICE[[#This Row],[Strip]]), 2) &amp; "-IEU", W$1)), "")</f>
        <v/>
      </c>
      <c r="X566" s="36"/>
    </row>
    <row r="567" spans="1:24" x14ac:dyDescent="0.25">
      <c r="A567" s="37" t="s">
        <v>415</v>
      </c>
      <c r="B567" s="3" t="str">
        <f>RTD("ice.rtd",,$C567 &amp; $D567 &amp; ":" &amp; B$1)</f>
        <v>ULF</v>
      </c>
      <c r="C567" s="3">
        <v>34374095</v>
      </c>
      <c r="D567" t="s">
        <v>800</v>
      </c>
      <c r="E567" s="3" t="str">
        <f>RTD("ice.rtd",,$C567 &amp; $D567 &amp; ":" &amp; E$1)</f>
        <v>Aug27</v>
      </c>
      <c r="F567" s="3" t="str">
        <f>ICE[[#This Row],[Prod]]&amp;ICE[[#This Row],[Strip]]</f>
        <v>ulsdccndiffAug27</v>
      </c>
      <c r="G567" s="18" t="str">
        <f>RTD("ice.rtd",,$C567 &amp; $D567 &amp; ":" &amp; G$1)</f>
        <v/>
      </c>
      <c r="H567" s="18" t="str">
        <f>RTD("ice.rtd",,$C567 &amp; $D567 &amp; ":" &amp; H$1)</f>
        <v/>
      </c>
      <c r="I567" s="18" t="str">
        <f>RTD("ice.rtd",,$C567 &amp; $D567 &amp; ":" &amp; I$1)</f>
        <v/>
      </c>
      <c r="J567" s="14" t="str">
        <f>IFERROR(MOD(RTD("ice.rtd",,$C567 &amp; $D567 &amp; ":" &amp; J$1), 1), "")</f>
        <v/>
      </c>
      <c r="K567" s="18" t="str">
        <f>RTD("ice.rtd",,$C567 &amp; $D567 &amp; ":" &amp; K$1)</f>
        <v/>
      </c>
      <c r="L567" s="36" t="str">
        <f>RTD("ice.rtd",,$C567 &amp; $D567 &amp; ":" &amp; L$1)</f>
        <v/>
      </c>
      <c r="M567" s="14" t="str">
        <f>IFERROR(MOD(TIMEVALUE(RTD("ice.rtd",,$C567 &amp; $D567 &amp; ":" &amp; M$1)), 1), "")</f>
        <v/>
      </c>
      <c r="N567" s="36">
        <f>RTD("ice.rtd",,$C567 &amp; $D567 &amp; ":" &amp; N$1)</f>
        <v>0</v>
      </c>
      <c r="O567" s="36">
        <f>RTD("ice.rtd",,$C567 &amp; $D567 &amp; ":" &amp; O$1)</f>
        <v>0</v>
      </c>
      <c r="P5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7" s="14" t="str">
        <f>IF(ICE[[#This Row],[LastType]] = "Scrn", ICE[[#This Row],[LstDate]], IF(ICE[[#This Row],[LastType]] = "Blk", ICE[[#This Row],[LstBlkTime]], ""))</f>
        <v/>
      </c>
      <c r="R567" s="41" t="str">
        <f>IF(ICE[[#This Row],[LastType]] = "Scrn", ICE[[#This Row],[LstPrc]], IF(ICE[[#This Row],[LastType]] = "Blk", ICE[[#This Row],[LstBlkPrc]], ""))</f>
        <v/>
      </c>
      <c r="S567" s="36">
        <f>ICE[[#This Row],[Vol]]+ICE[[#This Row],[BlkVol]]</f>
        <v>0</v>
      </c>
      <c r="T567" s="36">
        <f>RTD("ice.rtd",,$C567 &amp; $D567 &amp; ":" &amp; T$1)</f>
        <v>74</v>
      </c>
      <c r="U567" s="18">
        <f>RTD("ice.rtd",,$C567 &amp; $D567 &amp; ":" &amp; U$1)</f>
        <v>15.5</v>
      </c>
      <c r="V5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7" s="18" t="str">
        <f>IFERROR(IF(LEFT(ICE[[#This Row],[Tenor]], 1) = "B", RTD("esrtd",,$B567 &amp; " " &amp; ICE[[#This Row],[Tenor]] &amp; "-IEU", W$1), RTD("esrtd",,$B567 &amp; " " &amp; VLOOKUP(MONTH(ICE[[#This Row],[Strip]]), MthRef[], 2, 0) &amp; RIGHT(YEAR(ICE[[#This Row],[Strip]]), 2) &amp; "-IEU", W$1)), "")</f>
        <v/>
      </c>
      <c r="X567" s="36"/>
    </row>
    <row r="568" spans="1:24" x14ac:dyDescent="0.25">
      <c r="A568" s="37" t="s">
        <v>415</v>
      </c>
      <c r="B568" s="3" t="str">
        <f>RTD("ice.rtd",,$C568 &amp; $D568 &amp; ":" &amp; B$1)</f>
        <v>ULF</v>
      </c>
      <c r="C568" s="3">
        <v>34374095</v>
      </c>
      <c r="D568" t="s">
        <v>801</v>
      </c>
      <c r="E568" s="3" t="str">
        <f>RTD("ice.rtd",,$C568 &amp; $D568 &amp; ":" &amp; E$1)</f>
        <v>Sep27</v>
      </c>
      <c r="F568" s="3" t="str">
        <f>ICE[[#This Row],[Prod]]&amp;ICE[[#This Row],[Strip]]</f>
        <v>ulsdccndiffSep27</v>
      </c>
      <c r="G568" s="18" t="str">
        <f>RTD("ice.rtd",,$C568 &amp; $D568 &amp; ":" &amp; G$1)</f>
        <v/>
      </c>
      <c r="H568" s="18" t="str">
        <f>RTD("ice.rtd",,$C568 &amp; $D568 &amp; ":" &amp; H$1)</f>
        <v/>
      </c>
      <c r="I568" s="18" t="str">
        <f>RTD("ice.rtd",,$C568 &amp; $D568 &amp; ":" &amp; I$1)</f>
        <v/>
      </c>
      <c r="J568" s="14" t="str">
        <f>IFERROR(MOD(RTD("ice.rtd",,$C568 &amp; $D568 &amp; ":" &amp; J$1), 1), "")</f>
        <v/>
      </c>
      <c r="K568" s="18" t="str">
        <f>RTD("ice.rtd",,$C568 &amp; $D568 &amp; ":" &amp; K$1)</f>
        <v/>
      </c>
      <c r="L568" s="36" t="str">
        <f>RTD("ice.rtd",,$C568 &amp; $D568 &amp; ":" &amp; L$1)</f>
        <v/>
      </c>
      <c r="M568" s="14" t="str">
        <f>IFERROR(MOD(TIMEVALUE(RTD("ice.rtd",,$C568 &amp; $D568 &amp; ":" &amp; M$1)), 1), "")</f>
        <v/>
      </c>
      <c r="N568" s="36">
        <f>RTD("ice.rtd",,$C568 &amp; $D568 &amp; ":" &amp; N$1)</f>
        <v>0</v>
      </c>
      <c r="O568" s="36">
        <f>RTD("ice.rtd",,$C568 &amp; $D568 &amp; ":" &amp; O$1)</f>
        <v>0</v>
      </c>
      <c r="P5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8" s="14" t="str">
        <f>IF(ICE[[#This Row],[LastType]] = "Scrn", ICE[[#This Row],[LstDate]], IF(ICE[[#This Row],[LastType]] = "Blk", ICE[[#This Row],[LstBlkTime]], ""))</f>
        <v/>
      </c>
      <c r="R568" s="41" t="str">
        <f>IF(ICE[[#This Row],[LastType]] = "Scrn", ICE[[#This Row],[LstPrc]], IF(ICE[[#This Row],[LastType]] = "Blk", ICE[[#This Row],[LstBlkPrc]], ""))</f>
        <v/>
      </c>
      <c r="S568" s="36">
        <f>ICE[[#This Row],[Vol]]+ICE[[#This Row],[BlkVol]]</f>
        <v>0</v>
      </c>
      <c r="T568" s="36">
        <f>RTD("ice.rtd",,$C568 &amp; $D568 &amp; ":" &amp; T$1)</f>
        <v>73</v>
      </c>
      <c r="U568" s="18">
        <f>RTD("ice.rtd",,$C568 &amp; $D568 &amp; ":" &amp; U$1)</f>
        <v>15.5</v>
      </c>
      <c r="V5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8" s="18" t="str">
        <f>IFERROR(IF(LEFT(ICE[[#This Row],[Tenor]], 1) = "B", RTD("esrtd",,$B568 &amp; " " &amp; ICE[[#This Row],[Tenor]] &amp; "-IEU", W$1), RTD("esrtd",,$B568 &amp; " " &amp; VLOOKUP(MONTH(ICE[[#This Row],[Strip]]), MthRef[], 2, 0) &amp; RIGHT(YEAR(ICE[[#This Row],[Strip]]), 2) &amp; "-IEU", W$1)), "")</f>
        <v/>
      </c>
      <c r="X568" s="36"/>
    </row>
    <row r="569" spans="1:24" x14ac:dyDescent="0.25">
      <c r="A569" s="37" t="s">
        <v>415</v>
      </c>
      <c r="B569" s="3" t="str">
        <f>RTD("ice.rtd",,$C569 &amp; $D569 &amp; ":" &amp; B$1)</f>
        <v>ULF</v>
      </c>
      <c r="C569" s="3">
        <v>34374095</v>
      </c>
      <c r="D569" t="s">
        <v>802</v>
      </c>
      <c r="E569" s="3" t="str">
        <f>RTD("ice.rtd",,$C569 &amp; $D569 &amp; ":" &amp; E$1)</f>
        <v>Oct27</v>
      </c>
      <c r="F569" s="3" t="str">
        <f>ICE[[#This Row],[Prod]]&amp;ICE[[#This Row],[Strip]]</f>
        <v>ulsdccndiffOct27</v>
      </c>
      <c r="G569" s="18" t="str">
        <f>RTD("ice.rtd",,$C569 &amp; $D569 &amp; ":" &amp; G$1)</f>
        <v/>
      </c>
      <c r="H569" s="18" t="str">
        <f>RTD("ice.rtd",,$C569 &amp; $D569 &amp; ":" &amp; H$1)</f>
        <v/>
      </c>
      <c r="I569" s="18" t="str">
        <f>RTD("ice.rtd",,$C569 &amp; $D569 &amp; ":" &amp; I$1)</f>
        <v/>
      </c>
      <c r="J569" s="14" t="str">
        <f>IFERROR(MOD(RTD("ice.rtd",,$C569 &amp; $D569 &amp; ":" &amp; J$1), 1), "")</f>
        <v/>
      </c>
      <c r="K569" s="18" t="str">
        <f>RTD("ice.rtd",,$C569 &amp; $D569 &amp; ":" &amp; K$1)</f>
        <v/>
      </c>
      <c r="L569" s="36" t="str">
        <f>RTD("ice.rtd",,$C569 &amp; $D569 &amp; ":" &amp; L$1)</f>
        <v/>
      </c>
      <c r="M569" s="14" t="str">
        <f>IFERROR(MOD(TIMEVALUE(RTD("ice.rtd",,$C569 &amp; $D569 &amp; ":" &amp; M$1)), 1), "")</f>
        <v/>
      </c>
      <c r="N569" s="36">
        <f>RTD("ice.rtd",,$C569 &amp; $D569 &amp; ":" &amp; N$1)</f>
        <v>0</v>
      </c>
      <c r="O569" s="36">
        <f>RTD("ice.rtd",,$C569 &amp; $D569 &amp; ":" &amp; O$1)</f>
        <v>0</v>
      </c>
      <c r="P5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69" s="14" t="str">
        <f>IF(ICE[[#This Row],[LastType]] = "Scrn", ICE[[#This Row],[LstDate]], IF(ICE[[#This Row],[LastType]] = "Blk", ICE[[#This Row],[LstBlkTime]], ""))</f>
        <v/>
      </c>
      <c r="R569" s="41" t="str">
        <f>IF(ICE[[#This Row],[LastType]] = "Scrn", ICE[[#This Row],[LstPrc]], IF(ICE[[#This Row],[LastType]] = "Blk", ICE[[#This Row],[LstBlkPrc]], ""))</f>
        <v/>
      </c>
      <c r="S569" s="36">
        <f>ICE[[#This Row],[Vol]]+ICE[[#This Row],[BlkVol]]</f>
        <v>0</v>
      </c>
      <c r="T569" s="36">
        <f>RTD("ice.rtd",,$C569 &amp; $D569 &amp; ":" &amp; T$1)</f>
        <v>73</v>
      </c>
      <c r="U569" s="18">
        <f>RTD("ice.rtd",,$C569 &amp; $D569 &amp; ":" &amp; U$1)</f>
        <v>15.75</v>
      </c>
      <c r="V5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69" s="18" t="str">
        <f>IFERROR(IF(LEFT(ICE[[#This Row],[Tenor]], 1) = "B", RTD("esrtd",,$B569 &amp; " " &amp; ICE[[#This Row],[Tenor]] &amp; "-IEU", W$1), RTD("esrtd",,$B569 &amp; " " &amp; VLOOKUP(MONTH(ICE[[#This Row],[Strip]]), MthRef[], 2, 0) &amp; RIGHT(YEAR(ICE[[#This Row],[Strip]]), 2) &amp; "-IEU", W$1)), "")</f>
        <v/>
      </c>
      <c r="X569" s="36"/>
    </row>
    <row r="570" spans="1:24" x14ac:dyDescent="0.25">
      <c r="A570" s="37" t="s">
        <v>415</v>
      </c>
      <c r="B570" s="3" t="str">
        <f>RTD("ice.rtd",,$C570 &amp; $D570 &amp; ":" &amp; B$1)</f>
        <v>ULF</v>
      </c>
      <c r="C570" s="3">
        <v>34374095</v>
      </c>
      <c r="D570" t="s">
        <v>803</v>
      </c>
      <c r="E570" s="3" t="str">
        <f>RTD("ice.rtd",,$C570 &amp; $D570 &amp; ":" &amp; E$1)</f>
        <v>Nov27</v>
      </c>
      <c r="F570" s="3" t="str">
        <f>ICE[[#This Row],[Prod]]&amp;ICE[[#This Row],[Strip]]</f>
        <v>ulsdccndiffNov27</v>
      </c>
      <c r="G570" s="18" t="str">
        <f>RTD("ice.rtd",,$C570 &amp; $D570 &amp; ":" &amp; G$1)</f>
        <v/>
      </c>
      <c r="H570" s="18" t="str">
        <f>RTD("ice.rtd",,$C570 &amp; $D570 &amp; ":" &amp; H$1)</f>
        <v/>
      </c>
      <c r="I570" s="18" t="str">
        <f>RTD("ice.rtd",,$C570 &amp; $D570 &amp; ":" &amp; I$1)</f>
        <v/>
      </c>
      <c r="J570" s="14" t="str">
        <f>IFERROR(MOD(RTD("ice.rtd",,$C570 &amp; $D570 &amp; ":" &amp; J$1), 1), "")</f>
        <v/>
      </c>
      <c r="K570" s="18" t="str">
        <f>RTD("ice.rtd",,$C570 &amp; $D570 &amp; ":" &amp; K$1)</f>
        <v/>
      </c>
      <c r="L570" s="36" t="str">
        <f>RTD("ice.rtd",,$C570 &amp; $D570 &amp; ":" &amp; L$1)</f>
        <v/>
      </c>
      <c r="M570" s="14" t="str">
        <f>IFERROR(MOD(TIMEVALUE(RTD("ice.rtd",,$C570 &amp; $D570 &amp; ":" &amp; M$1)), 1), "")</f>
        <v/>
      </c>
      <c r="N570" s="36">
        <f>RTD("ice.rtd",,$C570 &amp; $D570 &amp; ":" &amp; N$1)</f>
        <v>0</v>
      </c>
      <c r="O570" s="36">
        <f>RTD("ice.rtd",,$C570 &amp; $D570 &amp; ":" &amp; O$1)</f>
        <v>0</v>
      </c>
      <c r="P5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0" s="14" t="str">
        <f>IF(ICE[[#This Row],[LastType]] = "Scrn", ICE[[#This Row],[LstDate]], IF(ICE[[#This Row],[LastType]] = "Blk", ICE[[#This Row],[LstBlkTime]], ""))</f>
        <v/>
      </c>
      <c r="R570" s="41" t="str">
        <f>IF(ICE[[#This Row],[LastType]] = "Scrn", ICE[[#This Row],[LstPrc]], IF(ICE[[#This Row],[LastType]] = "Blk", ICE[[#This Row],[LstBlkPrc]], ""))</f>
        <v/>
      </c>
      <c r="S570" s="36">
        <f>ICE[[#This Row],[Vol]]+ICE[[#This Row],[BlkVol]]</f>
        <v>0</v>
      </c>
      <c r="T570" s="36">
        <f>RTD("ice.rtd",,$C570 &amp; $D570 &amp; ":" &amp; T$1)</f>
        <v>73</v>
      </c>
      <c r="U570" s="18">
        <f>RTD("ice.rtd",,$C570 &amp; $D570 &amp; ":" &amp; U$1)</f>
        <v>15.75</v>
      </c>
      <c r="V5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0" s="18" t="str">
        <f>IFERROR(IF(LEFT(ICE[[#This Row],[Tenor]], 1) = "B", RTD("esrtd",,$B570 &amp; " " &amp; ICE[[#This Row],[Tenor]] &amp; "-IEU", W$1), RTD("esrtd",,$B570 &amp; " " &amp; VLOOKUP(MONTH(ICE[[#This Row],[Strip]]), MthRef[], 2, 0) &amp; RIGHT(YEAR(ICE[[#This Row],[Strip]]), 2) &amp; "-IEU", W$1)), "")</f>
        <v/>
      </c>
      <c r="X570" s="36"/>
    </row>
    <row r="571" spans="1:24" x14ac:dyDescent="0.25">
      <c r="A571" s="37" t="s">
        <v>415</v>
      </c>
      <c r="B571" s="3" t="str">
        <f>RTD("ice.rtd",,$C571 &amp; $D571 &amp; ":" &amp; B$1)</f>
        <v>ULF</v>
      </c>
      <c r="C571" s="3">
        <v>34374095</v>
      </c>
      <c r="D571" t="s">
        <v>804</v>
      </c>
      <c r="E571" s="3" t="str">
        <f>RTD("ice.rtd",,$C571 &amp; $D571 &amp; ":" &amp; E$1)</f>
        <v>Dec27</v>
      </c>
      <c r="F571" s="3" t="str">
        <f>ICE[[#This Row],[Prod]]&amp;ICE[[#This Row],[Strip]]</f>
        <v>ulsdccndiffDec27</v>
      </c>
      <c r="G571" s="18" t="str">
        <f>RTD("ice.rtd",,$C571 &amp; $D571 &amp; ":" &amp; G$1)</f>
        <v/>
      </c>
      <c r="H571" s="18" t="str">
        <f>RTD("ice.rtd",,$C571 &amp; $D571 &amp; ":" &amp; H$1)</f>
        <v/>
      </c>
      <c r="I571" s="18" t="str">
        <f>RTD("ice.rtd",,$C571 &amp; $D571 &amp; ":" &amp; I$1)</f>
        <v/>
      </c>
      <c r="J571" s="14" t="str">
        <f>IFERROR(MOD(RTD("ice.rtd",,$C571 &amp; $D571 &amp; ":" &amp; J$1), 1), "")</f>
        <v/>
      </c>
      <c r="K571" s="18" t="str">
        <f>RTD("ice.rtd",,$C571 &amp; $D571 &amp; ":" &amp; K$1)</f>
        <v/>
      </c>
      <c r="L571" s="36" t="str">
        <f>RTD("ice.rtd",,$C571 &amp; $D571 &amp; ":" &amp; L$1)</f>
        <v/>
      </c>
      <c r="M571" s="14" t="str">
        <f>IFERROR(MOD(TIMEVALUE(RTD("ice.rtd",,$C571 &amp; $D571 &amp; ":" &amp; M$1)), 1), "")</f>
        <v/>
      </c>
      <c r="N571" s="36">
        <f>RTD("ice.rtd",,$C571 &amp; $D571 &amp; ":" &amp; N$1)</f>
        <v>0</v>
      </c>
      <c r="O571" s="36">
        <f>RTD("ice.rtd",,$C571 &amp; $D571 &amp; ":" &amp; O$1)</f>
        <v>0</v>
      </c>
      <c r="P5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1" s="14" t="str">
        <f>IF(ICE[[#This Row],[LastType]] = "Scrn", ICE[[#This Row],[LstDate]], IF(ICE[[#This Row],[LastType]] = "Blk", ICE[[#This Row],[LstBlkTime]], ""))</f>
        <v/>
      </c>
      <c r="R571" s="41" t="str">
        <f>IF(ICE[[#This Row],[LastType]] = "Scrn", ICE[[#This Row],[LstPrc]], IF(ICE[[#This Row],[LastType]] = "Blk", ICE[[#This Row],[LstBlkPrc]], ""))</f>
        <v/>
      </c>
      <c r="S571" s="36">
        <f>ICE[[#This Row],[Vol]]+ICE[[#This Row],[BlkVol]]</f>
        <v>0</v>
      </c>
      <c r="T571" s="36">
        <f>RTD("ice.rtd",,$C571 &amp; $D571 &amp; ":" &amp; T$1)</f>
        <v>96</v>
      </c>
      <c r="U571" s="18">
        <f>RTD("ice.rtd",,$C571 &amp; $D571 &amp; ":" &amp; U$1)</f>
        <v>14.25</v>
      </c>
      <c r="V5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1" s="18" t="str">
        <f>IFERROR(IF(LEFT(ICE[[#This Row],[Tenor]], 1) = "B", RTD("esrtd",,$B571 &amp; " " &amp; ICE[[#This Row],[Tenor]] &amp; "-IEU", W$1), RTD("esrtd",,$B571 &amp; " " &amp; VLOOKUP(MONTH(ICE[[#This Row],[Strip]]), MthRef[], 2, 0) &amp; RIGHT(YEAR(ICE[[#This Row],[Strip]]), 2) &amp; "-IEU", W$1)), "")</f>
        <v/>
      </c>
      <c r="X571" s="36"/>
    </row>
    <row r="572" spans="1:24" x14ac:dyDescent="0.25">
      <c r="A572" s="37" t="s">
        <v>415</v>
      </c>
      <c r="B572" s="3" t="str">
        <f>RTD("ice.rtd",,$C572 &amp; $D572 &amp; ":" &amp; B$1)</f>
        <v>ULF</v>
      </c>
      <c r="C572" s="3">
        <v>34374095</v>
      </c>
      <c r="D572" t="s">
        <v>805</v>
      </c>
      <c r="E572" s="3" t="str">
        <f>RTD("ice.rtd",,$C572 &amp; $D572 &amp; ":" &amp; E$1)</f>
        <v>Jan28</v>
      </c>
      <c r="F572" s="3" t="str">
        <f>ICE[[#This Row],[Prod]]&amp;ICE[[#This Row],[Strip]]</f>
        <v>ulsdccndiffJan28</v>
      </c>
      <c r="G572" s="18" t="str">
        <f>RTD("ice.rtd",,$C572 &amp; $D572 &amp; ":" &amp; G$1)</f>
        <v/>
      </c>
      <c r="H572" s="18" t="str">
        <f>RTD("ice.rtd",,$C572 &amp; $D572 &amp; ":" &amp; H$1)</f>
        <v/>
      </c>
      <c r="I572" s="18" t="str">
        <f>RTD("ice.rtd",,$C572 &amp; $D572 &amp; ":" &amp; I$1)</f>
        <v/>
      </c>
      <c r="J572" s="14" t="str">
        <f>IFERROR(MOD(RTD("ice.rtd",,$C572 &amp; $D572 &amp; ":" &amp; J$1), 1), "")</f>
        <v/>
      </c>
      <c r="K572" s="18" t="str">
        <f>RTD("ice.rtd",,$C572 &amp; $D572 &amp; ":" &amp; K$1)</f>
        <v/>
      </c>
      <c r="L572" s="36" t="str">
        <f>RTD("ice.rtd",,$C572 &amp; $D572 &amp; ":" &amp; L$1)</f>
        <v/>
      </c>
      <c r="M572" s="14" t="str">
        <f>IFERROR(MOD(TIMEVALUE(RTD("ice.rtd",,$C572 &amp; $D572 &amp; ":" &amp; M$1)), 1), "")</f>
        <v/>
      </c>
      <c r="N572" s="36">
        <f>RTD("ice.rtd",,$C572 &amp; $D572 &amp; ":" &amp; N$1)</f>
        <v>0</v>
      </c>
      <c r="O572" s="36">
        <f>RTD("ice.rtd",,$C572 &amp; $D572 &amp; ":" &amp; O$1)</f>
        <v>0</v>
      </c>
      <c r="P5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2" s="14" t="str">
        <f>IF(ICE[[#This Row],[LastType]] = "Scrn", ICE[[#This Row],[LstDate]], IF(ICE[[#This Row],[LastType]] = "Blk", ICE[[#This Row],[LstBlkTime]], ""))</f>
        <v/>
      </c>
      <c r="R572" s="41" t="str">
        <f>IF(ICE[[#This Row],[LastType]] = "Scrn", ICE[[#This Row],[LstPrc]], IF(ICE[[#This Row],[LastType]] = "Blk", ICE[[#This Row],[LstBlkPrc]], ""))</f>
        <v/>
      </c>
      <c r="S572" s="36">
        <f>ICE[[#This Row],[Vol]]+ICE[[#This Row],[BlkVol]]</f>
        <v>0</v>
      </c>
      <c r="T572" s="36">
        <f>RTD("ice.rtd",,$C572 &amp; $D572 &amp; ":" &amp; T$1)</f>
        <v>8</v>
      </c>
      <c r="U572" s="18">
        <f>RTD("ice.rtd",,$C572 &amp; $D572 &amp; ":" &amp; U$1)</f>
        <v>15</v>
      </c>
      <c r="V5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2" s="18" t="str">
        <f>IFERROR(IF(LEFT(ICE[[#This Row],[Tenor]], 1) = "B", RTD("esrtd",,$B572 &amp; " " &amp; ICE[[#This Row],[Tenor]] &amp; "-IEU", W$1), RTD("esrtd",,$B572 &amp; " " &amp; VLOOKUP(MONTH(ICE[[#This Row],[Strip]]), MthRef[], 2, 0) &amp; RIGHT(YEAR(ICE[[#This Row],[Strip]]), 2) &amp; "-IEU", W$1)), "")</f>
        <v/>
      </c>
      <c r="X572" s="36"/>
    </row>
    <row r="573" spans="1:24" x14ac:dyDescent="0.25">
      <c r="A573" s="37" t="s">
        <v>415</v>
      </c>
      <c r="B573" s="3" t="str">
        <f>RTD("ice.rtd",,$C573 &amp; $D573 &amp; ":" &amp; B$1)</f>
        <v>ULF</v>
      </c>
      <c r="C573" s="3">
        <v>34374095</v>
      </c>
      <c r="D573" t="s">
        <v>806</v>
      </c>
      <c r="E573" s="3" t="str">
        <f>RTD("ice.rtd",,$C573 &amp; $D573 &amp; ":" &amp; E$1)</f>
        <v>Feb28</v>
      </c>
      <c r="F573" s="3" t="str">
        <f>ICE[[#This Row],[Prod]]&amp;ICE[[#This Row],[Strip]]</f>
        <v>ulsdccndiffFeb28</v>
      </c>
      <c r="G573" s="18" t="str">
        <f>RTD("ice.rtd",,$C573 &amp; $D573 &amp; ":" &amp; G$1)</f>
        <v/>
      </c>
      <c r="H573" s="18" t="str">
        <f>RTD("ice.rtd",,$C573 &amp; $D573 &amp; ":" &amp; H$1)</f>
        <v/>
      </c>
      <c r="I573" s="18" t="str">
        <f>RTD("ice.rtd",,$C573 &amp; $D573 &amp; ":" &amp; I$1)</f>
        <v/>
      </c>
      <c r="J573" s="14" t="str">
        <f>IFERROR(MOD(RTD("ice.rtd",,$C573 &amp; $D573 &amp; ":" &amp; J$1), 1), "")</f>
        <v/>
      </c>
      <c r="K573" s="18" t="str">
        <f>RTD("ice.rtd",,$C573 &amp; $D573 &amp; ":" &amp; K$1)</f>
        <v/>
      </c>
      <c r="L573" s="36" t="str">
        <f>RTD("ice.rtd",,$C573 &amp; $D573 &amp; ":" &amp; L$1)</f>
        <v/>
      </c>
      <c r="M573" s="14" t="str">
        <f>IFERROR(MOD(TIMEVALUE(RTD("ice.rtd",,$C573 &amp; $D573 &amp; ":" &amp; M$1)), 1), "")</f>
        <v/>
      </c>
      <c r="N573" s="36">
        <f>RTD("ice.rtd",,$C573 &amp; $D573 &amp; ":" &amp; N$1)</f>
        <v>0</v>
      </c>
      <c r="O573" s="36">
        <f>RTD("ice.rtd",,$C573 &amp; $D573 &amp; ":" &amp; O$1)</f>
        <v>0</v>
      </c>
      <c r="P5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3" s="14" t="str">
        <f>IF(ICE[[#This Row],[LastType]] = "Scrn", ICE[[#This Row],[LstDate]], IF(ICE[[#This Row],[LastType]] = "Blk", ICE[[#This Row],[LstBlkTime]], ""))</f>
        <v/>
      </c>
      <c r="R573" s="41" t="str">
        <f>IF(ICE[[#This Row],[LastType]] = "Scrn", ICE[[#This Row],[LstPrc]], IF(ICE[[#This Row],[LastType]] = "Blk", ICE[[#This Row],[LstBlkPrc]], ""))</f>
        <v/>
      </c>
      <c r="S573" s="36">
        <f>ICE[[#This Row],[Vol]]+ICE[[#This Row],[BlkVol]]</f>
        <v>0</v>
      </c>
      <c r="T573" s="36">
        <f>RTD("ice.rtd",,$C573 &amp; $D573 &amp; ":" &amp; T$1)</f>
        <v>8</v>
      </c>
      <c r="U573" s="18">
        <f>RTD("ice.rtd",,$C573 &amp; $D573 &amp; ":" &amp; U$1)</f>
        <v>15</v>
      </c>
      <c r="V5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3" s="18" t="str">
        <f>IFERROR(IF(LEFT(ICE[[#This Row],[Tenor]], 1) = "B", RTD("esrtd",,$B573 &amp; " " &amp; ICE[[#This Row],[Tenor]] &amp; "-IEU", W$1), RTD("esrtd",,$B573 &amp; " " &amp; VLOOKUP(MONTH(ICE[[#This Row],[Strip]]), MthRef[], 2, 0) &amp; RIGHT(YEAR(ICE[[#This Row],[Strip]]), 2) &amp; "-IEU", W$1)), "")</f>
        <v/>
      </c>
      <c r="X573" s="36"/>
    </row>
    <row r="574" spans="1:24" x14ac:dyDescent="0.25">
      <c r="A574" s="37" t="s">
        <v>415</v>
      </c>
      <c r="B574" s="3" t="str">
        <f>RTD("ice.rtd",,$C574 &amp; $D574 &amp; ":" &amp; B$1)</f>
        <v>ULF</v>
      </c>
      <c r="C574" s="3">
        <v>34374095</v>
      </c>
      <c r="D574" t="s">
        <v>807</v>
      </c>
      <c r="E574" s="3" t="str">
        <f>RTD("ice.rtd",,$C574 &amp; $D574 &amp; ":" &amp; E$1)</f>
        <v>Mar28</v>
      </c>
      <c r="F574" s="3" t="str">
        <f>ICE[[#This Row],[Prod]]&amp;ICE[[#This Row],[Strip]]</f>
        <v>ulsdccndiffMar28</v>
      </c>
      <c r="G574" s="18" t="str">
        <f>RTD("ice.rtd",,$C574 &amp; $D574 &amp; ":" &amp; G$1)</f>
        <v/>
      </c>
      <c r="H574" s="18" t="str">
        <f>RTD("ice.rtd",,$C574 &amp; $D574 &amp; ":" &amp; H$1)</f>
        <v/>
      </c>
      <c r="I574" s="18" t="str">
        <f>RTD("ice.rtd",,$C574 &amp; $D574 &amp; ":" &amp; I$1)</f>
        <v/>
      </c>
      <c r="J574" s="14" t="str">
        <f>IFERROR(MOD(RTD("ice.rtd",,$C574 &amp; $D574 &amp; ":" &amp; J$1), 1), "")</f>
        <v/>
      </c>
      <c r="K574" s="18" t="str">
        <f>RTD("ice.rtd",,$C574 &amp; $D574 &amp; ":" &amp; K$1)</f>
        <v/>
      </c>
      <c r="L574" s="36" t="str">
        <f>RTD("ice.rtd",,$C574 &amp; $D574 &amp; ":" &amp; L$1)</f>
        <v/>
      </c>
      <c r="M574" s="14" t="str">
        <f>IFERROR(MOD(TIMEVALUE(RTD("ice.rtd",,$C574 &amp; $D574 &amp; ":" &amp; M$1)), 1), "")</f>
        <v/>
      </c>
      <c r="N574" s="36">
        <f>RTD("ice.rtd",,$C574 &amp; $D574 &amp; ":" &amp; N$1)</f>
        <v>0</v>
      </c>
      <c r="O574" s="36">
        <f>RTD("ice.rtd",,$C574 &amp; $D574 &amp; ":" &amp; O$1)</f>
        <v>0</v>
      </c>
      <c r="P5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4" s="14" t="str">
        <f>IF(ICE[[#This Row],[LastType]] = "Scrn", ICE[[#This Row],[LstDate]], IF(ICE[[#This Row],[LastType]] = "Blk", ICE[[#This Row],[LstBlkTime]], ""))</f>
        <v/>
      </c>
      <c r="R574" s="41" t="str">
        <f>IF(ICE[[#This Row],[LastType]] = "Scrn", ICE[[#This Row],[LstPrc]], IF(ICE[[#This Row],[LastType]] = "Blk", ICE[[#This Row],[LstBlkPrc]], ""))</f>
        <v/>
      </c>
      <c r="S574" s="36">
        <f>ICE[[#This Row],[Vol]]+ICE[[#This Row],[BlkVol]]</f>
        <v>0</v>
      </c>
      <c r="T574" s="36">
        <f>RTD("ice.rtd",,$C574 &amp; $D574 &amp; ":" &amp; T$1)</f>
        <v>8</v>
      </c>
      <c r="U574" s="18">
        <f>RTD("ice.rtd",,$C574 &amp; $D574 &amp; ":" &amp; U$1)</f>
        <v>15</v>
      </c>
      <c r="V5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4" s="18" t="str">
        <f>IFERROR(IF(LEFT(ICE[[#This Row],[Tenor]], 1) = "B", RTD("esrtd",,$B574 &amp; " " &amp; ICE[[#This Row],[Tenor]] &amp; "-IEU", W$1), RTD("esrtd",,$B574 &amp; " " &amp; VLOOKUP(MONTH(ICE[[#This Row],[Strip]]), MthRef[], 2, 0) &amp; RIGHT(YEAR(ICE[[#This Row],[Strip]]), 2) &amp; "-IEU", W$1)), "")</f>
        <v/>
      </c>
      <c r="X574" s="36"/>
    </row>
    <row r="575" spans="1:24" x14ac:dyDescent="0.25">
      <c r="A575" s="37" t="s">
        <v>415</v>
      </c>
      <c r="B575" s="3" t="str">
        <f>RTD("ice.rtd",,$C575 &amp; $D575 &amp; ":" &amp; B$1)</f>
        <v>ULF</v>
      </c>
      <c r="C575" s="3">
        <v>34374095</v>
      </c>
      <c r="D575" t="s">
        <v>808</v>
      </c>
      <c r="E575" s="3" t="str">
        <f>RTD("ice.rtd",,$C575 &amp; $D575 &amp; ":" &amp; E$1)</f>
        <v>Apr28</v>
      </c>
      <c r="F575" s="3" t="str">
        <f>ICE[[#This Row],[Prod]]&amp;ICE[[#This Row],[Strip]]</f>
        <v>ulsdccndiffApr28</v>
      </c>
      <c r="G575" s="18" t="str">
        <f>RTD("ice.rtd",,$C575 &amp; $D575 &amp; ":" &amp; G$1)</f>
        <v/>
      </c>
      <c r="H575" s="18" t="str">
        <f>RTD("ice.rtd",,$C575 &amp; $D575 &amp; ":" &amp; H$1)</f>
        <v/>
      </c>
      <c r="I575" s="18" t="str">
        <f>RTD("ice.rtd",,$C575 &amp; $D575 &amp; ":" &amp; I$1)</f>
        <v/>
      </c>
      <c r="J575" s="14" t="str">
        <f>IFERROR(MOD(RTD("ice.rtd",,$C575 &amp; $D575 &amp; ":" &amp; J$1), 1), "")</f>
        <v/>
      </c>
      <c r="K575" s="18" t="str">
        <f>RTD("ice.rtd",,$C575 &amp; $D575 &amp; ":" &amp; K$1)</f>
        <v/>
      </c>
      <c r="L575" s="36" t="str">
        <f>RTD("ice.rtd",,$C575 &amp; $D575 &amp; ":" &amp; L$1)</f>
        <v/>
      </c>
      <c r="M575" s="14" t="str">
        <f>IFERROR(MOD(TIMEVALUE(RTD("ice.rtd",,$C575 &amp; $D575 &amp; ":" &amp; M$1)), 1), "")</f>
        <v/>
      </c>
      <c r="N575" s="36">
        <f>RTD("ice.rtd",,$C575 &amp; $D575 &amp; ":" &amp; N$1)</f>
        <v>0</v>
      </c>
      <c r="O575" s="36">
        <f>RTD("ice.rtd",,$C575 &amp; $D575 &amp; ":" &amp; O$1)</f>
        <v>0</v>
      </c>
      <c r="P5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5" s="14" t="str">
        <f>IF(ICE[[#This Row],[LastType]] = "Scrn", ICE[[#This Row],[LstDate]], IF(ICE[[#This Row],[LastType]] = "Blk", ICE[[#This Row],[LstBlkTime]], ""))</f>
        <v/>
      </c>
      <c r="R575" s="41" t="str">
        <f>IF(ICE[[#This Row],[LastType]] = "Scrn", ICE[[#This Row],[LstPrc]], IF(ICE[[#This Row],[LastType]] = "Blk", ICE[[#This Row],[LstBlkPrc]], ""))</f>
        <v/>
      </c>
      <c r="S575" s="36">
        <f>ICE[[#This Row],[Vol]]+ICE[[#This Row],[BlkVol]]</f>
        <v>0</v>
      </c>
      <c r="T575" s="36">
        <f>RTD("ice.rtd",,$C575 &amp; $D575 &amp; ":" &amp; T$1)</f>
        <v>8</v>
      </c>
      <c r="U575" s="18">
        <f>RTD("ice.rtd",,$C575 &amp; $D575 &amp; ":" &amp; U$1)</f>
        <v>15</v>
      </c>
      <c r="V5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5" s="18" t="str">
        <f>IFERROR(IF(LEFT(ICE[[#This Row],[Tenor]], 1) = "B", RTD("esrtd",,$B575 &amp; " " &amp; ICE[[#This Row],[Tenor]] &amp; "-IEU", W$1), RTD("esrtd",,$B575 &amp; " " &amp; VLOOKUP(MONTH(ICE[[#This Row],[Strip]]), MthRef[], 2, 0) &amp; RIGHT(YEAR(ICE[[#This Row],[Strip]]), 2) &amp; "-IEU", W$1)), "")</f>
        <v/>
      </c>
      <c r="X575" s="36"/>
    </row>
    <row r="576" spans="1:24" x14ac:dyDescent="0.25">
      <c r="A576" s="37" t="s">
        <v>415</v>
      </c>
      <c r="B576" s="3" t="str">
        <f>RTD("ice.rtd",,$C576 &amp; $D576 &amp; ":" &amp; B$1)</f>
        <v>ULF</v>
      </c>
      <c r="C576" s="3">
        <v>34374095</v>
      </c>
      <c r="D576" t="s">
        <v>809</v>
      </c>
      <c r="E576" s="3" t="str">
        <f>RTD("ice.rtd",,$C576 &amp; $D576 &amp; ":" &amp; E$1)</f>
        <v>May28</v>
      </c>
      <c r="F576" s="3" t="str">
        <f>ICE[[#This Row],[Prod]]&amp;ICE[[#This Row],[Strip]]</f>
        <v>ulsdccndiffMay28</v>
      </c>
      <c r="G576" s="18" t="str">
        <f>RTD("ice.rtd",,$C576 &amp; $D576 &amp; ":" &amp; G$1)</f>
        <v/>
      </c>
      <c r="H576" s="18" t="str">
        <f>RTD("ice.rtd",,$C576 &amp; $D576 &amp; ":" &amp; H$1)</f>
        <v/>
      </c>
      <c r="I576" s="18" t="str">
        <f>RTD("ice.rtd",,$C576 &amp; $D576 &amp; ":" &amp; I$1)</f>
        <v/>
      </c>
      <c r="J576" s="14" t="str">
        <f>IFERROR(MOD(RTD("ice.rtd",,$C576 &amp; $D576 &amp; ":" &amp; J$1), 1), "")</f>
        <v/>
      </c>
      <c r="K576" s="18" t="str">
        <f>RTD("ice.rtd",,$C576 &amp; $D576 &amp; ":" &amp; K$1)</f>
        <v/>
      </c>
      <c r="L576" s="36" t="str">
        <f>RTD("ice.rtd",,$C576 &amp; $D576 &amp; ":" &amp; L$1)</f>
        <v/>
      </c>
      <c r="M576" s="14" t="str">
        <f>IFERROR(MOD(TIMEVALUE(RTD("ice.rtd",,$C576 &amp; $D576 &amp; ":" &amp; M$1)), 1), "")</f>
        <v/>
      </c>
      <c r="N576" s="36">
        <f>RTD("ice.rtd",,$C576 &amp; $D576 &amp; ":" &amp; N$1)</f>
        <v>0</v>
      </c>
      <c r="O576" s="36">
        <f>RTD("ice.rtd",,$C576 &amp; $D576 &amp; ":" &amp; O$1)</f>
        <v>0</v>
      </c>
      <c r="P5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6" s="14" t="str">
        <f>IF(ICE[[#This Row],[LastType]] = "Scrn", ICE[[#This Row],[LstDate]], IF(ICE[[#This Row],[LastType]] = "Blk", ICE[[#This Row],[LstBlkTime]], ""))</f>
        <v/>
      </c>
      <c r="R576" s="41" t="str">
        <f>IF(ICE[[#This Row],[LastType]] = "Scrn", ICE[[#This Row],[LstPrc]], IF(ICE[[#This Row],[LastType]] = "Blk", ICE[[#This Row],[LstBlkPrc]], ""))</f>
        <v/>
      </c>
      <c r="S576" s="36">
        <f>ICE[[#This Row],[Vol]]+ICE[[#This Row],[BlkVol]]</f>
        <v>0</v>
      </c>
      <c r="T576" s="36">
        <f>RTD("ice.rtd",,$C576 &amp; $D576 &amp; ":" &amp; T$1)</f>
        <v>8</v>
      </c>
      <c r="U576" s="18">
        <f>RTD("ice.rtd",,$C576 &amp; $D576 &amp; ":" &amp; U$1)</f>
        <v>15</v>
      </c>
      <c r="V5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6" s="18" t="str">
        <f>IFERROR(IF(LEFT(ICE[[#This Row],[Tenor]], 1) = "B", RTD("esrtd",,$B576 &amp; " " &amp; ICE[[#This Row],[Tenor]] &amp; "-IEU", W$1), RTD("esrtd",,$B576 &amp; " " &amp; VLOOKUP(MONTH(ICE[[#This Row],[Strip]]), MthRef[], 2, 0) &amp; RIGHT(YEAR(ICE[[#This Row],[Strip]]), 2) &amp; "-IEU", W$1)), "")</f>
        <v/>
      </c>
      <c r="X576" s="36"/>
    </row>
    <row r="577" spans="1:24" x14ac:dyDescent="0.25">
      <c r="A577" s="37" t="s">
        <v>415</v>
      </c>
      <c r="B577" s="3" t="str">
        <f>RTD("ice.rtd",,$C577 &amp; $D577 &amp; ":" &amp; B$1)</f>
        <v>ULF</v>
      </c>
      <c r="C577" s="3">
        <v>34374095</v>
      </c>
      <c r="D577" t="s">
        <v>810</v>
      </c>
      <c r="E577" s="3" t="str">
        <f>RTD("ice.rtd",,$C577 &amp; $D577 &amp; ":" &amp; E$1)</f>
        <v>Jun28</v>
      </c>
      <c r="F577" s="3" t="str">
        <f>ICE[[#This Row],[Prod]]&amp;ICE[[#This Row],[Strip]]</f>
        <v>ulsdccndiffJun28</v>
      </c>
      <c r="G577" s="18" t="str">
        <f>RTD("ice.rtd",,$C577 &amp; $D577 &amp; ":" &amp; G$1)</f>
        <v/>
      </c>
      <c r="H577" s="18" t="str">
        <f>RTD("ice.rtd",,$C577 &amp; $D577 &amp; ":" &amp; H$1)</f>
        <v/>
      </c>
      <c r="I577" s="18" t="str">
        <f>RTD("ice.rtd",,$C577 &amp; $D577 &amp; ":" &amp; I$1)</f>
        <v/>
      </c>
      <c r="J577" s="14" t="str">
        <f>IFERROR(MOD(RTD("ice.rtd",,$C577 &amp; $D577 &amp; ":" &amp; J$1), 1), "")</f>
        <v/>
      </c>
      <c r="K577" s="18" t="str">
        <f>RTD("ice.rtd",,$C577 &amp; $D577 &amp; ":" &amp; K$1)</f>
        <v/>
      </c>
      <c r="L577" s="36" t="str">
        <f>RTD("ice.rtd",,$C577 &amp; $D577 &amp; ":" &amp; L$1)</f>
        <v/>
      </c>
      <c r="M577" s="14" t="str">
        <f>IFERROR(MOD(TIMEVALUE(RTD("ice.rtd",,$C577 &amp; $D577 &amp; ":" &amp; M$1)), 1), "")</f>
        <v/>
      </c>
      <c r="N577" s="36">
        <f>RTD("ice.rtd",,$C577 &amp; $D577 &amp; ":" &amp; N$1)</f>
        <v>0</v>
      </c>
      <c r="O577" s="36">
        <f>RTD("ice.rtd",,$C577 &amp; $D577 &amp; ":" &amp; O$1)</f>
        <v>0</v>
      </c>
      <c r="P5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7" s="14" t="str">
        <f>IF(ICE[[#This Row],[LastType]] = "Scrn", ICE[[#This Row],[LstDate]], IF(ICE[[#This Row],[LastType]] = "Blk", ICE[[#This Row],[LstBlkTime]], ""))</f>
        <v/>
      </c>
      <c r="R577" s="41" t="str">
        <f>IF(ICE[[#This Row],[LastType]] = "Scrn", ICE[[#This Row],[LstPrc]], IF(ICE[[#This Row],[LastType]] = "Blk", ICE[[#This Row],[LstBlkPrc]], ""))</f>
        <v/>
      </c>
      <c r="S577" s="36">
        <f>ICE[[#This Row],[Vol]]+ICE[[#This Row],[BlkVol]]</f>
        <v>0</v>
      </c>
      <c r="T577" s="36">
        <f>RTD("ice.rtd",,$C577 &amp; $D577 &amp; ":" &amp; T$1)</f>
        <v>8</v>
      </c>
      <c r="U577" s="18">
        <f>RTD("ice.rtd",,$C577 &amp; $D577 &amp; ":" &amp; U$1)</f>
        <v>15</v>
      </c>
      <c r="V5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7" s="18" t="str">
        <f>IFERROR(IF(LEFT(ICE[[#This Row],[Tenor]], 1) = "B", RTD("esrtd",,$B577 &amp; " " &amp; ICE[[#This Row],[Tenor]] &amp; "-IEU", W$1), RTD("esrtd",,$B577 &amp; " " &amp; VLOOKUP(MONTH(ICE[[#This Row],[Strip]]), MthRef[], 2, 0) &amp; RIGHT(YEAR(ICE[[#This Row],[Strip]]), 2) &amp; "-IEU", W$1)), "")</f>
        <v/>
      </c>
      <c r="X577" s="36"/>
    </row>
    <row r="578" spans="1:24" x14ac:dyDescent="0.25">
      <c r="A578" s="37" t="s">
        <v>415</v>
      </c>
      <c r="B578" s="3" t="str">
        <f>RTD("ice.rtd",,$C578 &amp; $D578 &amp; ":" &amp; B$1)</f>
        <v>ULF</v>
      </c>
      <c r="C578" s="3">
        <v>34374095</v>
      </c>
      <c r="D578" t="s">
        <v>811</v>
      </c>
      <c r="E578" s="3" t="str">
        <f>RTD("ice.rtd",,$C578 &amp; $D578 &amp; ":" &amp; E$1)</f>
        <v>Jul28</v>
      </c>
      <c r="F578" s="3" t="str">
        <f>ICE[[#This Row],[Prod]]&amp;ICE[[#This Row],[Strip]]</f>
        <v>ulsdccndiffJul28</v>
      </c>
      <c r="G578" s="18" t="str">
        <f>RTD("ice.rtd",,$C578 &amp; $D578 &amp; ":" &amp; G$1)</f>
        <v/>
      </c>
      <c r="H578" s="18" t="str">
        <f>RTD("ice.rtd",,$C578 &amp; $D578 &amp; ":" &amp; H$1)</f>
        <v/>
      </c>
      <c r="I578" s="18" t="str">
        <f>RTD("ice.rtd",,$C578 &amp; $D578 &amp; ":" &amp; I$1)</f>
        <v/>
      </c>
      <c r="J578" s="14" t="str">
        <f>IFERROR(MOD(RTD("ice.rtd",,$C578 &amp; $D578 &amp; ":" &amp; J$1), 1), "")</f>
        <v/>
      </c>
      <c r="K578" s="18" t="str">
        <f>RTD("ice.rtd",,$C578 &amp; $D578 &amp; ":" &amp; K$1)</f>
        <v/>
      </c>
      <c r="L578" s="36" t="str">
        <f>RTD("ice.rtd",,$C578 &amp; $D578 &amp; ":" &amp; L$1)</f>
        <v/>
      </c>
      <c r="M578" s="14" t="str">
        <f>IFERROR(MOD(TIMEVALUE(RTD("ice.rtd",,$C578 &amp; $D578 &amp; ":" &amp; M$1)), 1), "")</f>
        <v/>
      </c>
      <c r="N578" s="36">
        <f>RTD("ice.rtd",,$C578 &amp; $D578 &amp; ":" &amp; N$1)</f>
        <v>0</v>
      </c>
      <c r="O578" s="36">
        <f>RTD("ice.rtd",,$C578 &amp; $D578 &amp; ":" &amp; O$1)</f>
        <v>0</v>
      </c>
      <c r="P5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8" s="14" t="str">
        <f>IF(ICE[[#This Row],[LastType]] = "Scrn", ICE[[#This Row],[LstDate]], IF(ICE[[#This Row],[LastType]] = "Blk", ICE[[#This Row],[LstBlkTime]], ""))</f>
        <v/>
      </c>
      <c r="R578" s="41" t="str">
        <f>IF(ICE[[#This Row],[LastType]] = "Scrn", ICE[[#This Row],[LstPrc]], IF(ICE[[#This Row],[LastType]] = "Blk", ICE[[#This Row],[LstBlkPrc]], ""))</f>
        <v/>
      </c>
      <c r="S578" s="36">
        <f>ICE[[#This Row],[Vol]]+ICE[[#This Row],[BlkVol]]</f>
        <v>0</v>
      </c>
      <c r="T578" s="36">
        <f>RTD("ice.rtd",,$C578 &amp; $D578 &amp; ":" &amp; T$1)</f>
        <v>7</v>
      </c>
      <c r="U578" s="18">
        <f>RTD("ice.rtd",,$C578 &amp; $D578 &amp; ":" &amp; U$1)</f>
        <v>14</v>
      </c>
      <c r="V5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8" s="18" t="str">
        <f>IFERROR(IF(LEFT(ICE[[#This Row],[Tenor]], 1) = "B", RTD("esrtd",,$B578 &amp; " " &amp; ICE[[#This Row],[Tenor]] &amp; "-IEU", W$1), RTD("esrtd",,$B578 &amp; " " &amp; VLOOKUP(MONTH(ICE[[#This Row],[Strip]]), MthRef[], 2, 0) &amp; RIGHT(YEAR(ICE[[#This Row],[Strip]]), 2) &amp; "-IEU", W$1)), "")</f>
        <v/>
      </c>
      <c r="X578" s="36"/>
    </row>
    <row r="579" spans="1:24" x14ac:dyDescent="0.25">
      <c r="A579" s="37" t="s">
        <v>415</v>
      </c>
      <c r="B579" s="3" t="str">
        <f>RTD("ice.rtd",,$C579 &amp; $D579 &amp; ":" &amp; B$1)</f>
        <v>ULF</v>
      </c>
      <c r="C579" s="3">
        <v>34374095</v>
      </c>
      <c r="D579" t="s">
        <v>812</v>
      </c>
      <c r="E579" s="3" t="str">
        <f>RTD("ice.rtd",,$C579 &amp; $D579 &amp; ":" &amp; E$1)</f>
        <v>Aug28</v>
      </c>
      <c r="F579" s="3" t="str">
        <f>ICE[[#This Row],[Prod]]&amp;ICE[[#This Row],[Strip]]</f>
        <v>ulsdccndiffAug28</v>
      </c>
      <c r="G579" s="18" t="str">
        <f>RTD("ice.rtd",,$C579 &amp; $D579 &amp; ":" &amp; G$1)</f>
        <v/>
      </c>
      <c r="H579" s="18" t="str">
        <f>RTD("ice.rtd",,$C579 &amp; $D579 &amp; ":" &amp; H$1)</f>
        <v/>
      </c>
      <c r="I579" s="18" t="str">
        <f>RTD("ice.rtd",,$C579 &amp; $D579 &amp; ":" &amp; I$1)</f>
        <v/>
      </c>
      <c r="J579" s="14" t="str">
        <f>IFERROR(MOD(RTD("ice.rtd",,$C579 &amp; $D579 &amp; ":" &amp; J$1), 1), "")</f>
        <v/>
      </c>
      <c r="K579" s="18" t="str">
        <f>RTD("ice.rtd",,$C579 &amp; $D579 &amp; ":" &amp; K$1)</f>
        <v/>
      </c>
      <c r="L579" s="36" t="str">
        <f>RTD("ice.rtd",,$C579 &amp; $D579 &amp; ":" &amp; L$1)</f>
        <v/>
      </c>
      <c r="M579" s="14" t="str">
        <f>IFERROR(MOD(TIMEVALUE(RTD("ice.rtd",,$C579 &amp; $D579 &amp; ":" &amp; M$1)), 1), "")</f>
        <v/>
      </c>
      <c r="N579" s="36">
        <f>RTD("ice.rtd",,$C579 &amp; $D579 &amp; ":" &amp; N$1)</f>
        <v>0</v>
      </c>
      <c r="O579" s="36">
        <f>RTD("ice.rtd",,$C579 &amp; $D579 &amp; ":" &amp; O$1)</f>
        <v>0</v>
      </c>
      <c r="P5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79" s="14" t="str">
        <f>IF(ICE[[#This Row],[LastType]] = "Scrn", ICE[[#This Row],[LstDate]], IF(ICE[[#This Row],[LastType]] = "Blk", ICE[[#This Row],[LstBlkTime]], ""))</f>
        <v/>
      </c>
      <c r="R579" s="41" t="str">
        <f>IF(ICE[[#This Row],[LastType]] = "Scrn", ICE[[#This Row],[LstPrc]], IF(ICE[[#This Row],[LastType]] = "Blk", ICE[[#This Row],[LstBlkPrc]], ""))</f>
        <v/>
      </c>
      <c r="S579" s="36">
        <f>ICE[[#This Row],[Vol]]+ICE[[#This Row],[BlkVol]]</f>
        <v>0</v>
      </c>
      <c r="T579" s="36">
        <f>RTD("ice.rtd",,$C579 &amp; $D579 &amp; ":" &amp; T$1)</f>
        <v>7</v>
      </c>
      <c r="U579" s="18">
        <f>RTD("ice.rtd",,$C579 &amp; $D579 &amp; ":" &amp; U$1)</f>
        <v>14</v>
      </c>
      <c r="V5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79" s="18" t="str">
        <f>IFERROR(IF(LEFT(ICE[[#This Row],[Tenor]], 1) = "B", RTD("esrtd",,$B579 &amp; " " &amp; ICE[[#This Row],[Tenor]] &amp; "-IEU", W$1), RTD("esrtd",,$B579 &amp; " " &amp; VLOOKUP(MONTH(ICE[[#This Row],[Strip]]), MthRef[], 2, 0) &amp; RIGHT(YEAR(ICE[[#This Row],[Strip]]), 2) &amp; "-IEU", W$1)), "")</f>
        <v/>
      </c>
      <c r="X579" s="36"/>
    </row>
    <row r="580" spans="1:24" x14ac:dyDescent="0.25">
      <c r="A580" s="37" t="s">
        <v>415</v>
      </c>
      <c r="B580" s="3" t="str">
        <f>RTD("ice.rtd",,$C580 &amp; $D580 &amp; ":" &amp; B$1)</f>
        <v>ULF</v>
      </c>
      <c r="C580" s="3">
        <v>34374095</v>
      </c>
      <c r="D580" t="s">
        <v>813</v>
      </c>
      <c r="E580" s="3" t="str">
        <f>RTD("ice.rtd",,$C580 &amp; $D580 &amp; ":" &amp; E$1)</f>
        <v>Sep28</v>
      </c>
      <c r="F580" s="3" t="str">
        <f>ICE[[#This Row],[Prod]]&amp;ICE[[#This Row],[Strip]]</f>
        <v>ulsdccndiffSep28</v>
      </c>
      <c r="G580" s="18" t="str">
        <f>RTD("ice.rtd",,$C580 &amp; $D580 &amp; ":" &amp; G$1)</f>
        <v/>
      </c>
      <c r="H580" s="18" t="str">
        <f>RTD("ice.rtd",,$C580 &amp; $D580 &amp; ":" &amp; H$1)</f>
        <v/>
      </c>
      <c r="I580" s="18" t="str">
        <f>RTD("ice.rtd",,$C580 &amp; $D580 &amp; ":" &amp; I$1)</f>
        <v/>
      </c>
      <c r="J580" s="14" t="str">
        <f>IFERROR(MOD(RTD("ice.rtd",,$C580 &amp; $D580 &amp; ":" &amp; J$1), 1), "")</f>
        <v/>
      </c>
      <c r="K580" s="18" t="str">
        <f>RTD("ice.rtd",,$C580 &amp; $D580 &amp; ":" &amp; K$1)</f>
        <v/>
      </c>
      <c r="L580" s="36" t="str">
        <f>RTD("ice.rtd",,$C580 &amp; $D580 &amp; ":" &amp; L$1)</f>
        <v/>
      </c>
      <c r="M580" s="14" t="str">
        <f>IFERROR(MOD(TIMEVALUE(RTD("ice.rtd",,$C580 &amp; $D580 &amp; ":" &amp; M$1)), 1), "")</f>
        <v/>
      </c>
      <c r="N580" s="36">
        <f>RTD("ice.rtd",,$C580 &amp; $D580 &amp; ":" &amp; N$1)</f>
        <v>0</v>
      </c>
      <c r="O580" s="36">
        <f>RTD("ice.rtd",,$C580 &amp; $D580 &amp; ":" &amp; O$1)</f>
        <v>0</v>
      </c>
      <c r="P5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0" s="14" t="str">
        <f>IF(ICE[[#This Row],[LastType]] = "Scrn", ICE[[#This Row],[LstDate]], IF(ICE[[#This Row],[LastType]] = "Blk", ICE[[#This Row],[LstBlkTime]], ""))</f>
        <v/>
      </c>
      <c r="R580" s="41" t="str">
        <f>IF(ICE[[#This Row],[LastType]] = "Scrn", ICE[[#This Row],[LstPrc]], IF(ICE[[#This Row],[LastType]] = "Blk", ICE[[#This Row],[LstBlkPrc]], ""))</f>
        <v/>
      </c>
      <c r="S580" s="36">
        <f>ICE[[#This Row],[Vol]]+ICE[[#This Row],[BlkVol]]</f>
        <v>0</v>
      </c>
      <c r="T580" s="36">
        <f>RTD("ice.rtd",,$C580 &amp; $D580 &amp; ":" &amp; T$1)</f>
        <v>7</v>
      </c>
      <c r="U580" s="18">
        <f>RTD("ice.rtd",,$C580 &amp; $D580 &amp; ":" &amp; U$1)</f>
        <v>14</v>
      </c>
      <c r="V5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0" s="18" t="str">
        <f>IFERROR(IF(LEFT(ICE[[#This Row],[Tenor]], 1) = "B", RTD("esrtd",,$B580 &amp; " " &amp; ICE[[#This Row],[Tenor]] &amp; "-IEU", W$1), RTD("esrtd",,$B580 &amp; " " &amp; VLOOKUP(MONTH(ICE[[#This Row],[Strip]]), MthRef[], 2, 0) &amp; RIGHT(YEAR(ICE[[#This Row],[Strip]]), 2) &amp; "-IEU", W$1)), "")</f>
        <v/>
      </c>
      <c r="X580" s="36"/>
    </row>
    <row r="581" spans="1:24" x14ac:dyDescent="0.25">
      <c r="A581" s="37" t="s">
        <v>415</v>
      </c>
      <c r="B581" s="3" t="str">
        <f>RTD("ice.rtd",,$C581 &amp; $D581 &amp; ":" &amp; B$1)</f>
        <v>ULF</v>
      </c>
      <c r="C581" s="3">
        <v>34374095</v>
      </c>
      <c r="D581" t="s">
        <v>814</v>
      </c>
      <c r="E581" s="3" t="str">
        <f>RTD("ice.rtd",,$C581 &amp; $D581 &amp; ":" &amp; E$1)</f>
        <v>Q4 26</v>
      </c>
      <c r="F581" s="3" t="str">
        <f>ICE[[#This Row],[Prod]]&amp;ICE[[#This Row],[Strip]]</f>
        <v>ulsdccndiffQ4 26</v>
      </c>
      <c r="G581" s="18" t="str">
        <f>RTD("ice.rtd",,$C581 &amp; $D581 &amp; ":" &amp; G$1)</f>
        <v/>
      </c>
      <c r="H581" s="18" t="str">
        <f>RTD("ice.rtd",,$C581 &amp; $D581 &amp; ":" &amp; H$1)</f>
        <v/>
      </c>
      <c r="I581" s="18" t="str">
        <f>RTD("ice.rtd",,$C581 &amp; $D581 &amp; ":" &amp; I$1)</f>
        <v/>
      </c>
      <c r="J581" s="14" t="str">
        <f>IFERROR(MOD(RTD("ice.rtd",,$C581 &amp; $D581 &amp; ":" &amp; J$1), 1), "")</f>
        <v/>
      </c>
      <c r="K581" s="18" t="str">
        <f>RTD("ice.rtd",,$C581 &amp; $D581 &amp; ":" &amp; K$1)</f>
        <v/>
      </c>
      <c r="L581" s="36" t="str">
        <f>RTD("ice.rtd",,$C581 &amp; $D581 &amp; ":" &amp; L$1)</f>
        <v/>
      </c>
      <c r="M581" s="14" t="str">
        <f>IFERROR(MOD(TIMEVALUE(RTD("ice.rtd",,$C581 &amp; $D581 &amp; ":" &amp; M$1)), 1), "")</f>
        <v/>
      </c>
      <c r="N581" s="36">
        <f>RTD("ice.rtd",,$C581 &amp; $D581 &amp; ":" &amp; N$1)</f>
        <v>0</v>
      </c>
      <c r="O581" s="36">
        <f>RTD("ice.rtd",,$C581 &amp; $D581 &amp; ":" &amp; O$1)</f>
        <v>0</v>
      </c>
      <c r="P5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1" s="14" t="str">
        <f>IF(ICE[[#This Row],[LastType]] = "Scrn", ICE[[#This Row],[LstDate]], IF(ICE[[#This Row],[LastType]] = "Blk", ICE[[#This Row],[LstBlkTime]], ""))</f>
        <v/>
      </c>
      <c r="R581" s="41" t="str">
        <f>IF(ICE[[#This Row],[LastType]] = "Scrn", ICE[[#This Row],[LstPrc]], IF(ICE[[#This Row],[LastType]] = "Blk", ICE[[#This Row],[LstBlkPrc]], ""))</f>
        <v/>
      </c>
      <c r="S581" s="36">
        <f>ICE[[#This Row],[Vol]]+ICE[[#This Row],[BlkVol]]</f>
        <v>0</v>
      </c>
      <c r="T581" s="36">
        <f>RTD("ice.rtd",,$C581 &amp; $D581 &amp; ":" &amp; T$1)</f>
        <v>0</v>
      </c>
      <c r="U581" s="18">
        <f>RTD("ice.rtd",,$C581 &amp; $D581 &amp; ":" &amp; U$1)</f>
        <v>38</v>
      </c>
      <c r="V5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1" s="18" t="str">
        <f>IFERROR(IF(LEFT(ICE[[#This Row],[Tenor]], 1) = "B", RTD("esrtd",,$B581 &amp; " " &amp; ICE[[#This Row],[Tenor]] &amp; "-IEU", W$1), RTD("esrtd",,$B581 &amp; " " &amp; VLOOKUP(MONTH(ICE[[#This Row],[Strip]]), MthRef[], 2, 0) &amp; RIGHT(YEAR(ICE[[#This Row],[Strip]]), 2) &amp; "-IEU", W$1)), "")</f>
        <v/>
      </c>
      <c r="X581" s="36"/>
    </row>
    <row r="582" spans="1:24" x14ac:dyDescent="0.25">
      <c r="A582" s="37" t="s">
        <v>415</v>
      </c>
      <c r="B582" s="3" t="str">
        <f>RTD("ice.rtd",,$C582 &amp; $D582 &amp; ":" &amp; B$1)</f>
        <v>ULF</v>
      </c>
      <c r="C582" s="3">
        <v>34374095</v>
      </c>
      <c r="D582" t="s">
        <v>815</v>
      </c>
      <c r="E582" s="3" t="str">
        <f>RTD("ice.rtd",,$C582 &amp; $D582 &amp; ":" &amp; E$1)</f>
        <v>Q1 27</v>
      </c>
      <c r="F582" s="3" t="str">
        <f>ICE[[#This Row],[Prod]]&amp;ICE[[#This Row],[Strip]]</f>
        <v>ulsdccndiffQ1 27</v>
      </c>
      <c r="G582" s="18" t="str">
        <f>RTD("ice.rtd",,$C582 &amp; $D582 &amp; ":" &amp; G$1)</f>
        <v/>
      </c>
      <c r="H582" s="18" t="str">
        <f>RTD("ice.rtd",,$C582 &amp; $D582 &amp; ":" &amp; H$1)</f>
        <v/>
      </c>
      <c r="I582" s="18" t="str">
        <f>RTD("ice.rtd",,$C582 &amp; $D582 &amp; ":" &amp; I$1)</f>
        <v/>
      </c>
      <c r="J582" s="14" t="str">
        <f>IFERROR(MOD(RTD("ice.rtd",,$C582 &amp; $D582 &amp; ":" &amp; J$1), 1), "")</f>
        <v/>
      </c>
      <c r="K582" s="18" t="str">
        <f>RTD("ice.rtd",,$C582 &amp; $D582 &amp; ":" &amp; K$1)</f>
        <v/>
      </c>
      <c r="L582" s="36" t="str">
        <f>RTD("ice.rtd",,$C582 &amp; $D582 &amp; ":" &amp; L$1)</f>
        <v/>
      </c>
      <c r="M582" s="14" t="str">
        <f>IFERROR(MOD(TIMEVALUE(RTD("ice.rtd",,$C582 &amp; $D582 &amp; ":" &amp; M$1)), 1), "")</f>
        <v/>
      </c>
      <c r="N582" s="36">
        <f>RTD("ice.rtd",,$C582 &amp; $D582 &amp; ":" &amp; N$1)</f>
        <v>0</v>
      </c>
      <c r="O582" s="36">
        <f>RTD("ice.rtd",,$C582 &amp; $D582 &amp; ":" &amp; O$1)</f>
        <v>0</v>
      </c>
      <c r="P5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2" s="14" t="str">
        <f>IF(ICE[[#This Row],[LastType]] = "Scrn", ICE[[#This Row],[LstDate]], IF(ICE[[#This Row],[LastType]] = "Blk", ICE[[#This Row],[LstBlkTime]], ""))</f>
        <v/>
      </c>
      <c r="R582" s="41" t="str">
        <f>IF(ICE[[#This Row],[LastType]] = "Scrn", ICE[[#This Row],[LstPrc]], IF(ICE[[#This Row],[LastType]] = "Blk", ICE[[#This Row],[LstBlkPrc]], ""))</f>
        <v/>
      </c>
      <c r="S582" s="36">
        <f>ICE[[#This Row],[Vol]]+ICE[[#This Row],[BlkVol]]</f>
        <v>0</v>
      </c>
      <c r="T582" s="36">
        <f>RTD("ice.rtd",,$C582 &amp; $D582 &amp; ":" &amp; T$1)</f>
        <v>0</v>
      </c>
      <c r="U582" s="18">
        <f>RTD("ice.rtd",,$C582 &amp; $D582 &amp; ":" &amp; U$1)</f>
        <v>27</v>
      </c>
      <c r="V5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2" s="18" t="str">
        <f>IFERROR(IF(LEFT(ICE[[#This Row],[Tenor]], 1) = "B", RTD("esrtd",,$B582 &amp; " " &amp; ICE[[#This Row],[Tenor]] &amp; "-IEU", W$1), RTD("esrtd",,$B582 &amp; " " &amp; VLOOKUP(MONTH(ICE[[#This Row],[Strip]]), MthRef[], 2, 0) &amp; RIGHT(YEAR(ICE[[#This Row],[Strip]]), 2) &amp; "-IEU", W$1)), "")</f>
        <v/>
      </c>
      <c r="X582" s="36"/>
    </row>
    <row r="583" spans="1:24" x14ac:dyDescent="0.25">
      <c r="A583" s="37" t="s">
        <v>415</v>
      </c>
      <c r="B583" s="3" t="str">
        <f>RTD("ice.rtd",,$C583 &amp; $D583 &amp; ":" &amp; B$1)</f>
        <v>ULF</v>
      </c>
      <c r="C583" s="3">
        <v>34374095</v>
      </c>
      <c r="D583" t="s">
        <v>816</v>
      </c>
      <c r="E583" s="3" t="str">
        <f>RTD("ice.rtd",,$C583 &amp; $D583 &amp; ":" &amp; E$1)</f>
        <v>Q2 27</v>
      </c>
      <c r="F583" s="3" t="str">
        <f>ICE[[#This Row],[Prod]]&amp;ICE[[#This Row],[Strip]]</f>
        <v>ulsdccndiffQ2 27</v>
      </c>
      <c r="G583" s="18" t="str">
        <f>RTD("ice.rtd",,$C583 &amp; $D583 &amp; ":" &amp; G$1)</f>
        <v/>
      </c>
      <c r="H583" s="18" t="str">
        <f>RTD("ice.rtd",,$C583 &amp; $D583 &amp; ":" &amp; H$1)</f>
        <v/>
      </c>
      <c r="I583" s="18" t="str">
        <f>RTD("ice.rtd",,$C583 &amp; $D583 &amp; ":" &amp; I$1)</f>
        <v/>
      </c>
      <c r="J583" s="14" t="str">
        <f>IFERROR(MOD(RTD("ice.rtd",,$C583 &amp; $D583 &amp; ":" &amp; J$1), 1), "")</f>
        <v/>
      </c>
      <c r="K583" s="18" t="str">
        <f>RTD("ice.rtd",,$C583 &amp; $D583 &amp; ":" &amp; K$1)</f>
        <v/>
      </c>
      <c r="L583" s="36" t="str">
        <f>RTD("ice.rtd",,$C583 &amp; $D583 &amp; ":" &amp; L$1)</f>
        <v/>
      </c>
      <c r="M583" s="14" t="str">
        <f>IFERROR(MOD(TIMEVALUE(RTD("ice.rtd",,$C583 &amp; $D583 &amp; ":" &amp; M$1)), 1), "")</f>
        <v/>
      </c>
      <c r="N583" s="36">
        <f>RTD("ice.rtd",,$C583 &amp; $D583 &amp; ":" &amp; N$1)</f>
        <v>0</v>
      </c>
      <c r="O583" s="36">
        <f>RTD("ice.rtd",,$C583 &amp; $D583 &amp; ":" &amp; O$1)</f>
        <v>0</v>
      </c>
      <c r="P5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3" s="14" t="str">
        <f>IF(ICE[[#This Row],[LastType]] = "Scrn", ICE[[#This Row],[LstDate]], IF(ICE[[#This Row],[LastType]] = "Blk", ICE[[#This Row],[LstBlkTime]], ""))</f>
        <v/>
      </c>
      <c r="R583" s="41" t="str">
        <f>IF(ICE[[#This Row],[LastType]] = "Scrn", ICE[[#This Row],[LstPrc]], IF(ICE[[#This Row],[LastType]] = "Blk", ICE[[#This Row],[LstBlkPrc]], ""))</f>
        <v/>
      </c>
      <c r="S583" s="36">
        <f>ICE[[#This Row],[Vol]]+ICE[[#This Row],[BlkVol]]</f>
        <v>0</v>
      </c>
      <c r="T583" s="36">
        <f>RTD("ice.rtd",,$C583 &amp; $D583 &amp; ":" &amp; T$1)</f>
        <v>0</v>
      </c>
      <c r="U583" s="18">
        <f>RTD("ice.rtd",,$C583 &amp; $D583 &amp; ":" &amp; U$1)</f>
        <v>19</v>
      </c>
      <c r="V5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3" s="18" t="str">
        <f>IFERROR(IF(LEFT(ICE[[#This Row],[Tenor]], 1) = "B", RTD("esrtd",,$B583 &amp; " " &amp; ICE[[#This Row],[Tenor]] &amp; "-IEU", W$1), RTD("esrtd",,$B583 &amp; " " &amp; VLOOKUP(MONTH(ICE[[#This Row],[Strip]]), MthRef[], 2, 0) &amp; RIGHT(YEAR(ICE[[#This Row],[Strip]]), 2) &amp; "-IEU", W$1)), "")</f>
        <v/>
      </c>
      <c r="X583" s="36"/>
    </row>
    <row r="584" spans="1:24" x14ac:dyDescent="0.25">
      <c r="A584" s="37" t="s">
        <v>415</v>
      </c>
      <c r="B584" s="3" t="str">
        <f>RTD("ice.rtd",,$C584 &amp; $D584 &amp; ":" &amp; B$1)</f>
        <v>ULF</v>
      </c>
      <c r="C584" s="3">
        <v>34374095</v>
      </c>
      <c r="D584" t="s">
        <v>817</v>
      </c>
      <c r="E584" s="3" t="str">
        <f>RTD("ice.rtd",,$C584 &amp; $D584 &amp; ":" &amp; E$1)</f>
        <v>Q3 27</v>
      </c>
      <c r="F584" s="3" t="str">
        <f>ICE[[#This Row],[Prod]]&amp;ICE[[#This Row],[Strip]]</f>
        <v>ulsdccndiffQ3 27</v>
      </c>
      <c r="G584" s="18" t="str">
        <f>RTD("ice.rtd",,$C584 &amp; $D584 &amp; ":" &amp; G$1)</f>
        <v/>
      </c>
      <c r="H584" s="18" t="str">
        <f>RTD("ice.rtd",,$C584 &amp; $D584 &amp; ":" &amp; H$1)</f>
        <v/>
      </c>
      <c r="I584" s="18" t="str">
        <f>RTD("ice.rtd",,$C584 &amp; $D584 &amp; ":" &amp; I$1)</f>
        <v/>
      </c>
      <c r="J584" s="14" t="str">
        <f>IFERROR(MOD(RTD("ice.rtd",,$C584 &amp; $D584 &amp; ":" &amp; J$1), 1), "")</f>
        <v/>
      </c>
      <c r="K584" s="18" t="str">
        <f>RTD("ice.rtd",,$C584 &amp; $D584 &amp; ":" &amp; K$1)</f>
        <v/>
      </c>
      <c r="L584" s="36" t="str">
        <f>RTD("ice.rtd",,$C584 &amp; $D584 &amp; ":" &amp; L$1)</f>
        <v/>
      </c>
      <c r="M584" s="14" t="str">
        <f>IFERROR(MOD(TIMEVALUE(RTD("ice.rtd",,$C584 &amp; $D584 &amp; ":" &amp; M$1)), 1), "")</f>
        <v/>
      </c>
      <c r="N584" s="36">
        <f>RTD("ice.rtd",,$C584 &amp; $D584 &amp; ":" &amp; N$1)</f>
        <v>0</v>
      </c>
      <c r="O584" s="36">
        <f>RTD("ice.rtd",,$C584 &amp; $D584 &amp; ":" &amp; O$1)</f>
        <v>0</v>
      </c>
      <c r="P5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4" s="14" t="str">
        <f>IF(ICE[[#This Row],[LastType]] = "Scrn", ICE[[#This Row],[LstDate]], IF(ICE[[#This Row],[LastType]] = "Blk", ICE[[#This Row],[LstBlkTime]], ""))</f>
        <v/>
      </c>
      <c r="R584" s="41" t="str">
        <f>IF(ICE[[#This Row],[LastType]] = "Scrn", ICE[[#This Row],[LstPrc]], IF(ICE[[#This Row],[LastType]] = "Blk", ICE[[#This Row],[LstBlkPrc]], ""))</f>
        <v/>
      </c>
      <c r="S584" s="36">
        <f>ICE[[#This Row],[Vol]]+ICE[[#This Row],[BlkVol]]</f>
        <v>0</v>
      </c>
      <c r="T584" s="36">
        <f>RTD("ice.rtd",,$C584 &amp; $D584 &amp; ":" &amp; T$1)</f>
        <v>0</v>
      </c>
      <c r="U584" s="18">
        <f>RTD("ice.rtd",,$C584 &amp; $D584 &amp; ":" &amp; U$1)</f>
        <v>15.5</v>
      </c>
      <c r="V5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4" s="18" t="str">
        <f>IFERROR(IF(LEFT(ICE[[#This Row],[Tenor]], 1) = "B", RTD("esrtd",,$B584 &amp; " " &amp; ICE[[#This Row],[Tenor]] &amp; "-IEU", W$1), RTD("esrtd",,$B584 &amp; " " &amp; VLOOKUP(MONTH(ICE[[#This Row],[Strip]]), MthRef[], 2, 0) &amp; RIGHT(YEAR(ICE[[#This Row],[Strip]]), 2) &amp; "-IEU", W$1)), "")</f>
        <v/>
      </c>
      <c r="X584" s="36"/>
    </row>
    <row r="585" spans="1:24" x14ac:dyDescent="0.25">
      <c r="A585" s="37" t="s">
        <v>415</v>
      </c>
      <c r="B585" s="3" t="str">
        <f>RTD("ice.rtd",,$C585 &amp; $D585 &amp; ":" &amp; B$1)</f>
        <v>ULF</v>
      </c>
      <c r="C585" s="3">
        <v>34374095</v>
      </c>
      <c r="D585" t="s">
        <v>818</v>
      </c>
      <c r="E585" s="3" t="str">
        <f>RTD("ice.rtd",,$C585 &amp; $D585 &amp; ":" &amp; E$1)</f>
        <v>Q4 27</v>
      </c>
      <c r="F585" s="3" t="str">
        <f>ICE[[#This Row],[Prod]]&amp;ICE[[#This Row],[Strip]]</f>
        <v>ulsdccndiffQ4 27</v>
      </c>
      <c r="G585" s="18" t="str">
        <f>RTD("ice.rtd",,$C585 &amp; $D585 &amp; ":" &amp; G$1)</f>
        <v/>
      </c>
      <c r="H585" s="18" t="str">
        <f>RTD("ice.rtd",,$C585 &amp; $D585 &amp; ":" &amp; H$1)</f>
        <v/>
      </c>
      <c r="I585" s="18" t="str">
        <f>RTD("ice.rtd",,$C585 &amp; $D585 &amp; ":" &amp; I$1)</f>
        <v/>
      </c>
      <c r="J585" s="14" t="str">
        <f>IFERROR(MOD(RTD("ice.rtd",,$C585 &amp; $D585 &amp; ":" &amp; J$1), 1), "")</f>
        <v/>
      </c>
      <c r="K585" s="18" t="str">
        <f>RTD("ice.rtd",,$C585 &amp; $D585 &amp; ":" &amp; K$1)</f>
        <v/>
      </c>
      <c r="L585" s="36" t="str">
        <f>RTD("ice.rtd",,$C585 &amp; $D585 &amp; ":" &amp; L$1)</f>
        <v/>
      </c>
      <c r="M585" s="14" t="str">
        <f>IFERROR(MOD(TIMEVALUE(RTD("ice.rtd",,$C585 &amp; $D585 &amp; ":" &amp; M$1)), 1), "")</f>
        <v/>
      </c>
      <c r="N585" s="36">
        <f>RTD("ice.rtd",,$C585 &amp; $D585 &amp; ":" &amp; N$1)</f>
        <v>0</v>
      </c>
      <c r="O585" s="36">
        <f>RTD("ice.rtd",,$C585 &amp; $D585 &amp; ":" &amp; O$1)</f>
        <v>0</v>
      </c>
      <c r="P5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5" s="14" t="str">
        <f>IF(ICE[[#This Row],[LastType]] = "Scrn", ICE[[#This Row],[LstDate]], IF(ICE[[#This Row],[LastType]] = "Blk", ICE[[#This Row],[LstBlkTime]], ""))</f>
        <v/>
      </c>
      <c r="R585" s="41" t="str">
        <f>IF(ICE[[#This Row],[LastType]] = "Scrn", ICE[[#This Row],[LstPrc]], IF(ICE[[#This Row],[LastType]] = "Blk", ICE[[#This Row],[LstBlkPrc]], ""))</f>
        <v/>
      </c>
      <c r="S585" s="36">
        <f>ICE[[#This Row],[Vol]]+ICE[[#This Row],[BlkVol]]</f>
        <v>0</v>
      </c>
      <c r="T585" s="36">
        <f>RTD("ice.rtd",,$C585 &amp; $D585 &amp; ":" &amp; T$1)</f>
        <v>0</v>
      </c>
      <c r="U585" s="18">
        <f>RTD("ice.rtd",,$C585 &amp; $D585 &amp; ":" &amp; U$1)</f>
        <v>15.25</v>
      </c>
      <c r="V5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5" s="18" t="str">
        <f>IFERROR(IF(LEFT(ICE[[#This Row],[Tenor]], 1) = "B", RTD("esrtd",,$B585 &amp; " " &amp; ICE[[#This Row],[Tenor]] &amp; "-IEU", W$1), RTD("esrtd",,$B585 &amp; " " &amp; VLOOKUP(MONTH(ICE[[#This Row],[Strip]]), MthRef[], 2, 0) &amp; RIGHT(YEAR(ICE[[#This Row],[Strip]]), 2) &amp; "-IEU", W$1)), "")</f>
        <v/>
      </c>
      <c r="X585" s="36"/>
    </row>
    <row r="586" spans="1:24" x14ac:dyDescent="0.25">
      <c r="A586" s="37" t="s">
        <v>415</v>
      </c>
      <c r="B586" s="3" t="str">
        <f>RTD("ice.rtd",,$C586 &amp; $D586 &amp; ":" &amp; B$1)</f>
        <v>ULF</v>
      </c>
      <c r="C586" s="3">
        <v>34374095</v>
      </c>
      <c r="D586" t="s">
        <v>819</v>
      </c>
      <c r="E586" s="3" t="str">
        <f>RTD("ice.rtd",,$C586 &amp; $D586 &amp; ":" &amp; E$1)</f>
        <v>Q1 28</v>
      </c>
      <c r="F586" s="3" t="str">
        <f>ICE[[#This Row],[Prod]]&amp;ICE[[#This Row],[Strip]]</f>
        <v>ulsdccndiffQ1 28</v>
      </c>
      <c r="G586" s="18" t="str">
        <f>RTD("ice.rtd",,$C586 &amp; $D586 &amp; ":" &amp; G$1)</f>
        <v/>
      </c>
      <c r="H586" s="18" t="str">
        <f>RTD("ice.rtd",,$C586 &amp; $D586 &amp; ":" &amp; H$1)</f>
        <v/>
      </c>
      <c r="I586" s="18" t="str">
        <f>RTD("ice.rtd",,$C586 &amp; $D586 &amp; ":" &amp; I$1)</f>
        <v/>
      </c>
      <c r="J586" s="14" t="str">
        <f>IFERROR(MOD(RTD("ice.rtd",,$C586 &amp; $D586 &amp; ":" &amp; J$1), 1), "")</f>
        <v/>
      </c>
      <c r="K586" s="18" t="str">
        <f>RTD("ice.rtd",,$C586 &amp; $D586 &amp; ":" &amp; K$1)</f>
        <v/>
      </c>
      <c r="L586" s="36" t="str">
        <f>RTD("ice.rtd",,$C586 &amp; $D586 &amp; ":" &amp; L$1)</f>
        <v/>
      </c>
      <c r="M586" s="14" t="str">
        <f>IFERROR(MOD(TIMEVALUE(RTD("ice.rtd",,$C586 &amp; $D586 &amp; ":" &amp; M$1)), 1), "")</f>
        <v/>
      </c>
      <c r="N586" s="36">
        <f>RTD("ice.rtd",,$C586 &amp; $D586 &amp; ":" &amp; N$1)</f>
        <v>0</v>
      </c>
      <c r="O586" s="36">
        <f>RTD("ice.rtd",,$C586 &amp; $D586 &amp; ":" &amp; O$1)</f>
        <v>0</v>
      </c>
      <c r="P5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6" s="14" t="str">
        <f>IF(ICE[[#This Row],[LastType]] = "Scrn", ICE[[#This Row],[LstDate]], IF(ICE[[#This Row],[LastType]] = "Blk", ICE[[#This Row],[LstBlkTime]], ""))</f>
        <v/>
      </c>
      <c r="R586" s="41" t="str">
        <f>IF(ICE[[#This Row],[LastType]] = "Scrn", ICE[[#This Row],[LstPrc]], IF(ICE[[#This Row],[LastType]] = "Blk", ICE[[#This Row],[LstBlkPrc]], ""))</f>
        <v/>
      </c>
      <c r="S586" s="36">
        <f>ICE[[#This Row],[Vol]]+ICE[[#This Row],[BlkVol]]</f>
        <v>0</v>
      </c>
      <c r="T586" s="36">
        <f>RTD("ice.rtd",,$C586 &amp; $D586 &amp; ":" &amp; T$1)</f>
        <v>0</v>
      </c>
      <c r="U586" s="18">
        <f>RTD("ice.rtd",,$C586 &amp; $D586 &amp; ":" &amp; U$1)</f>
        <v>15</v>
      </c>
      <c r="V5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6" s="18" t="str">
        <f>IFERROR(IF(LEFT(ICE[[#This Row],[Tenor]], 1) = "B", RTD("esrtd",,$B586 &amp; " " &amp; ICE[[#This Row],[Tenor]] &amp; "-IEU", W$1), RTD("esrtd",,$B586 &amp; " " &amp; VLOOKUP(MONTH(ICE[[#This Row],[Strip]]), MthRef[], 2, 0) &amp; RIGHT(YEAR(ICE[[#This Row],[Strip]]), 2) &amp; "-IEU", W$1)), "")</f>
        <v/>
      </c>
      <c r="X586" s="36"/>
    </row>
    <row r="587" spans="1:24" x14ac:dyDescent="0.25">
      <c r="A587" s="37" t="s">
        <v>415</v>
      </c>
      <c r="B587" s="3" t="str">
        <f>RTD("ice.rtd",,$C587 &amp; $D587 &amp; ":" &amp; B$1)</f>
        <v>ULF</v>
      </c>
      <c r="C587" s="3">
        <v>34374095</v>
      </c>
      <c r="D587" t="s">
        <v>229</v>
      </c>
      <c r="E587" s="3" t="str">
        <f>RTD("ice.rtd",,$C587 &amp; $D587 &amp; ":" &amp; E$1)</f>
        <v>Q2 28</v>
      </c>
      <c r="F587" s="3" t="str">
        <f>ICE[[#This Row],[Prod]]&amp;ICE[[#This Row],[Strip]]</f>
        <v>ulsdccndiffQ2 28</v>
      </c>
      <c r="G587" s="18" t="str">
        <f>RTD("ice.rtd",,$C587 &amp; $D587 &amp; ":" &amp; G$1)</f>
        <v/>
      </c>
      <c r="H587" s="18" t="str">
        <f>RTD("ice.rtd",,$C587 &amp; $D587 &amp; ":" &amp; H$1)</f>
        <v/>
      </c>
      <c r="I587" s="18" t="str">
        <f>RTD("ice.rtd",,$C587 &amp; $D587 &amp; ":" &amp; I$1)</f>
        <v/>
      </c>
      <c r="J587" s="14" t="str">
        <f>IFERROR(MOD(RTD("ice.rtd",,$C587 &amp; $D587 &amp; ":" &amp; J$1), 1), "")</f>
        <v/>
      </c>
      <c r="K587" s="18" t="str">
        <f>RTD("ice.rtd",,$C587 &amp; $D587 &amp; ":" &amp; K$1)</f>
        <v/>
      </c>
      <c r="L587" s="36" t="str">
        <f>RTD("ice.rtd",,$C587 &amp; $D587 &amp; ":" &amp; L$1)</f>
        <v/>
      </c>
      <c r="M587" s="14" t="str">
        <f>IFERROR(MOD(TIMEVALUE(RTD("ice.rtd",,$C587 &amp; $D587 &amp; ":" &amp; M$1)), 1), "")</f>
        <v/>
      </c>
      <c r="N587" s="36">
        <f>RTD("ice.rtd",,$C587 &amp; $D587 &amp; ":" &amp; N$1)</f>
        <v>0</v>
      </c>
      <c r="O587" s="36">
        <f>RTD("ice.rtd",,$C587 &amp; $D587 &amp; ":" &amp; O$1)</f>
        <v>0</v>
      </c>
      <c r="P5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7" s="14" t="str">
        <f>IF(ICE[[#This Row],[LastType]] = "Scrn", ICE[[#This Row],[LstDate]], IF(ICE[[#This Row],[LastType]] = "Blk", ICE[[#This Row],[LstBlkTime]], ""))</f>
        <v/>
      </c>
      <c r="R587" s="41" t="str">
        <f>IF(ICE[[#This Row],[LastType]] = "Scrn", ICE[[#This Row],[LstPrc]], IF(ICE[[#This Row],[LastType]] = "Blk", ICE[[#This Row],[LstBlkPrc]], ""))</f>
        <v/>
      </c>
      <c r="S587" s="36">
        <f>ICE[[#This Row],[Vol]]+ICE[[#This Row],[BlkVol]]</f>
        <v>0</v>
      </c>
      <c r="T587" s="36">
        <f>RTD("ice.rtd",,$C587 &amp; $D587 &amp; ":" &amp; T$1)</f>
        <v>0</v>
      </c>
      <c r="U587" s="18">
        <f>RTD("ice.rtd",,$C587 &amp; $D587 &amp; ":" &amp; U$1)</f>
        <v>15</v>
      </c>
      <c r="V5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7" s="18" t="str">
        <f>IFERROR(IF(LEFT(ICE[[#This Row],[Tenor]], 1) = "B", RTD("esrtd",,$B587 &amp; " " &amp; ICE[[#This Row],[Tenor]] &amp; "-IEU", W$1), RTD("esrtd",,$B587 &amp; " " &amp; VLOOKUP(MONTH(ICE[[#This Row],[Strip]]), MthRef[], 2, 0) &amp; RIGHT(YEAR(ICE[[#This Row],[Strip]]), 2) &amp; "-IEU", W$1)), "")</f>
        <v/>
      </c>
      <c r="X587" s="36"/>
    </row>
    <row r="588" spans="1:24" x14ac:dyDescent="0.25">
      <c r="A588" s="37" t="s">
        <v>415</v>
      </c>
      <c r="B588" s="3" t="str">
        <f>RTD("ice.rtd",,$C588 &amp; $D588 &amp; ":" &amp; B$1)</f>
        <v>ULF</v>
      </c>
      <c r="C588" s="3">
        <v>34374095</v>
      </c>
      <c r="D588" t="s">
        <v>820</v>
      </c>
      <c r="E588" s="3" t="str">
        <f>RTD("ice.rtd",,$C588 &amp; $D588 &amp; ":" &amp; E$1)</f>
        <v>Q3 28</v>
      </c>
      <c r="F588" s="3" t="str">
        <f>ICE[[#This Row],[Prod]]&amp;ICE[[#This Row],[Strip]]</f>
        <v>ulsdccndiffQ3 28</v>
      </c>
      <c r="G588" s="18" t="str">
        <f>RTD("ice.rtd",,$C588 &amp; $D588 &amp; ":" &amp; G$1)</f>
        <v/>
      </c>
      <c r="H588" s="18" t="str">
        <f>RTD("ice.rtd",,$C588 &amp; $D588 &amp; ":" &amp; H$1)</f>
        <v/>
      </c>
      <c r="I588" s="18" t="str">
        <f>RTD("ice.rtd",,$C588 &amp; $D588 &amp; ":" &amp; I$1)</f>
        <v/>
      </c>
      <c r="J588" s="14" t="str">
        <f>IFERROR(MOD(RTD("ice.rtd",,$C588 &amp; $D588 &amp; ":" &amp; J$1), 1), "")</f>
        <v/>
      </c>
      <c r="K588" s="18" t="str">
        <f>RTD("ice.rtd",,$C588 &amp; $D588 &amp; ":" &amp; K$1)</f>
        <v/>
      </c>
      <c r="L588" s="36" t="str">
        <f>RTD("ice.rtd",,$C588 &amp; $D588 &amp; ":" &amp; L$1)</f>
        <v/>
      </c>
      <c r="M588" s="14" t="str">
        <f>IFERROR(MOD(TIMEVALUE(RTD("ice.rtd",,$C588 &amp; $D588 &amp; ":" &amp; M$1)), 1), "")</f>
        <v/>
      </c>
      <c r="N588" s="36">
        <f>RTD("ice.rtd",,$C588 &amp; $D588 &amp; ":" &amp; N$1)</f>
        <v>0</v>
      </c>
      <c r="O588" s="36">
        <f>RTD("ice.rtd",,$C588 &amp; $D588 &amp; ":" &amp; O$1)</f>
        <v>0</v>
      </c>
      <c r="P5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8" s="14" t="str">
        <f>IF(ICE[[#This Row],[LastType]] = "Scrn", ICE[[#This Row],[LstDate]], IF(ICE[[#This Row],[LastType]] = "Blk", ICE[[#This Row],[LstBlkTime]], ""))</f>
        <v/>
      </c>
      <c r="R588" s="41" t="str">
        <f>IF(ICE[[#This Row],[LastType]] = "Scrn", ICE[[#This Row],[LstPrc]], IF(ICE[[#This Row],[LastType]] = "Blk", ICE[[#This Row],[LstBlkPrc]], ""))</f>
        <v/>
      </c>
      <c r="S588" s="36">
        <f>ICE[[#This Row],[Vol]]+ICE[[#This Row],[BlkVol]]</f>
        <v>0</v>
      </c>
      <c r="T588" s="36">
        <f>RTD("ice.rtd",,$C588 &amp; $D588 &amp; ":" &amp; T$1)</f>
        <v>0</v>
      </c>
      <c r="U588" s="18">
        <f>RTD("ice.rtd",,$C588 &amp; $D588 &amp; ":" &amp; U$1)</f>
        <v>14</v>
      </c>
      <c r="V5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8" s="18" t="str">
        <f>IFERROR(IF(LEFT(ICE[[#This Row],[Tenor]], 1) = "B", RTD("esrtd",,$B588 &amp; " " &amp; ICE[[#This Row],[Tenor]] &amp; "-IEU", W$1), RTD("esrtd",,$B588 &amp; " " &amp; VLOOKUP(MONTH(ICE[[#This Row],[Strip]]), MthRef[], 2, 0) &amp; RIGHT(YEAR(ICE[[#This Row],[Strip]]), 2) &amp; "-IEU", W$1)), "")</f>
        <v/>
      </c>
      <c r="X588" s="36"/>
    </row>
    <row r="589" spans="1:24" x14ac:dyDescent="0.25">
      <c r="A589" s="37" t="s">
        <v>415</v>
      </c>
      <c r="B589" s="3" t="str">
        <f>RTD("ice.rtd",,$C589 &amp; $D589 &amp; ":" &amp; B$1)</f>
        <v>ULF</v>
      </c>
      <c r="C589" s="3">
        <v>34374095</v>
      </c>
      <c r="D589" t="s">
        <v>821</v>
      </c>
      <c r="E589" s="3" t="str">
        <f>RTD("ice.rtd",,$C589 &amp; $D589 &amp; ":" &amp; E$1)</f>
        <v>Q4 28</v>
      </c>
      <c r="F589" s="3" t="str">
        <f>ICE[[#This Row],[Prod]]&amp;ICE[[#This Row],[Strip]]</f>
        <v>ulsdccndiffQ4 28</v>
      </c>
      <c r="G589" s="18" t="str">
        <f>RTD("ice.rtd",,$C589 &amp; $D589 &amp; ":" &amp; G$1)</f>
        <v/>
      </c>
      <c r="H589" s="18" t="str">
        <f>RTD("ice.rtd",,$C589 &amp; $D589 &amp; ":" &amp; H$1)</f>
        <v/>
      </c>
      <c r="I589" s="18" t="str">
        <f>RTD("ice.rtd",,$C589 &amp; $D589 &amp; ":" &amp; I$1)</f>
        <v/>
      </c>
      <c r="J589" s="14" t="str">
        <f>IFERROR(MOD(RTD("ice.rtd",,$C589 &amp; $D589 &amp; ":" &amp; J$1), 1), "")</f>
        <v/>
      </c>
      <c r="K589" s="18" t="str">
        <f>RTD("ice.rtd",,$C589 &amp; $D589 &amp; ":" &amp; K$1)</f>
        <v/>
      </c>
      <c r="L589" s="36" t="str">
        <f>RTD("ice.rtd",,$C589 &amp; $D589 &amp; ":" &amp; L$1)</f>
        <v/>
      </c>
      <c r="M589" s="14" t="str">
        <f>IFERROR(MOD(TIMEVALUE(RTD("ice.rtd",,$C589 &amp; $D589 &amp; ":" &amp; M$1)), 1), "")</f>
        <v/>
      </c>
      <c r="N589" s="36">
        <f>RTD("ice.rtd",,$C589 &amp; $D589 &amp; ":" &amp; N$1)</f>
        <v>0</v>
      </c>
      <c r="O589" s="36">
        <f>RTD("ice.rtd",,$C589 &amp; $D589 &amp; ":" &amp; O$1)</f>
        <v>0</v>
      </c>
      <c r="P5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89" s="14" t="str">
        <f>IF(ICE[[#This Row],[LastType]] = "Scrn", ICE[[#This Row],[LstDate]], IF(ICE[[#This Row],[LastType]] = "Blk", ICE[[#This Row],[LstBlkTime]], ""))</f>
        <v/>
      </c>
      <c r="R589" s="41" t="str">
        <f>IF(ICE[[#This Row],[LastType]] = "Scrn", ICE[[#This Row],[LstPrc]], IF(ICE[[#This Row],[LastType]] = "Blk", ICE[[#This Row],[LstBlkPrc]], ""))</f>
        <v/>
      </c>
      <c r="S589" s="36">
        <f>ICE[[#This Row],[Vol]]+ICE[[#This Row],[BlkVol]]</f>
        <v>0</v>
      </c>
      <c r="T589" s="36">
        <f>RTD("ice.rtd",,$C589 &amp; $D589 &amp; ":" &amp; T$1)</f>
        <v>0</v>
      </c>
      <c r="U589" s="18">
        <f>RTD("ice.rtd",,$C589 &amp; $D589 &amp; ":" &amp; U$1)</f>
        <v>14</v>
      </c>
      <c r="V5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89" s="18" t="str">
        <f>IFERROR(IF(LEFT(ICE[[#This Row],[Tenor]], 1) = "B", RTD("esrtd",,$B589 &amp; " " &amp; ICE[[#This Row],[Tenor]] &amp; "-IEU", W$1), RTD("esrtd",,$B589 &amp; " " &amp; VLOOKUP(MONTH(ICE[[#This Row],[Strip]]), MthRef[], 2, 0) &amp; RIGHT(YEAR(ICE[[#This Row],[Strip]]), 2) &amp; "-IEU", W$1)), "")</f>
        <v/>
      </c>
      <c r="X589" s="36"/>
    </row>
    <row r="590" spans="1:24" x14ac:dyDescent="0.25">
      <c r="A590" s="37" t="s">
        <v>415</v>
      </c>
      <c r="B590" s="3" t="str">
        <f>RTD("ice.rtd",,$C590 &amp; $D590 &amp; ":" &amp; B$1)</f>
        <v>ULF</v>
      </c>
      <c r="C590" s="3">
        <v>34374095</v>
      </c>
      <c r="D590" t="s">
        <v>822</v>
      </c>
      <c r="E590" s="3" t="str">
        <f>RTD("ice.rtd",,$C590 &amp; $D590 &amp; ":" &amp; E$1)</f>
        <v>Cal 27</v>
      </c>
      <c r="F590" s="3" t="str">
        <f>ICE[[#This Row],[Prod]]&amp;ICE[[#This Row],[Strip]]</f>
        <v>ulsdccndiffCal 27</v>
      </c>
      <c r="G590" s="18" t="str">
        <f>RTD("ice.rtd",,$C590 &amp; $D590 &amp; ":" &amp; G$1)</f>
        <v/>
      </c>
      <c r="H590" s="18" t="str">
        <f>RTD("ice.rtd",,$C590 &amp; $D590 &amp; ":" &amp; H$1)</f>
        <v/>
      </c>
      <c r="I590" s="18" t="str">
        <f>RTD("ice.rtd",,$C590 &amp; $D590 &amp; ":" &amp; I$1)</f>
        <v/>
      </c>
      <c r="J590" s="14" t="str">
        <f>IFERROR(MOD(RTD("ice.rtd",,$C590 &amp; $D590 &amp; ":" &amp; J$1), 1), "")</f>
        <v/>
      </c>
      <c r="K590" s="18" t="str">
        <f>RTD("ice.rtd",,$C590 &amp; $D590 &amp; ":" &amp; K$1)</f>
        <v/>
      </c>
      <c r="L590" s="36" t="str">
        <f>RTD("ice.rtd",,$C590 &amp; $D590 &amp; ":" &amp; L$1)</f>
        <v/>
      </c>
      <c r="M590" s="14" t="str">
        <f>IFERROR(MOD(TIMEVALUE(RTD("ice.rtd",,$C590 &amp; $D590 &amp; ":" &amp; M$1)), 1), "")</f>
        <v/>
      </c>
      <c r="N590" s="36">
        <f>RTD("ice.rtd",,$C590 &amp; $D590 &amp; ":" &amp; N$1)</f>
        <v>0</v>
      </c>
      <c r="O590" s="36">
        <f>RTD("ice.rtd",,$C590 &amp; $D590 &amp; ":" &amp; O$1)</f>
        <v>0</v>
      </c>
      <c r="P5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0" s="14" t="str">
        <f>IF(ICE[[#This Row],[LastType]] = "Scrn", ICE[[#This Row],[LstDate]], IF(ICE[[#This Row],[LastType]] = "Blk", ICE[[#This Row],[LstBlkTime]], ""))</f>
        <v/>
      </c>
      <c r="R590" s="41" t="str">
        <f>IF(ICE[[#This Row],[LastType]] = "Scrn", ICE[[#This Row],[LstPrc]], IF(ICE[[#This Row],[LastType]] = "Blk", ICE[[#This Row],[LstBlkPrc]], ""))</f>
        <v/>
      </c>
      <c r="S590" s="36">
        <f>ICE[[#This Row],[Vol]]+ICE[[#This Row],[BlkVol]]</f>
        <v>0</v>
      </c>
      <c r="T590" s="36">
        <f>RTD("ice.rtd",,$C590 &amp; $D590 &amp; ":" &amp; T$1)</f>
        <v>0</v>
      </c>
      <c r="U590" s="18">
        <f>RTD("ice.rtd",,$C590 &amp; $D590 &amp; ":" &amp; U$1)</f>
        <v>19.188000000000002</v>
      </c>
      <c r="V5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0" s="18" t="str">
        <f>IFERROR(IF(LEFT(ICE[[#This Row],[Tenor]], 1) = "B", RTD("esrtd",,$B590 &amp; " " &amp; ICE[[#This Row],[Tenor]] &amp; "-IEU", W$1), RTD("esrtd",,$B590 &amp; " " &amp; VLOOKUP(MONTH(ICE[[#This Row],[Strip]]), MthRef[], 2, 0) &amp; RIGHT(YEAR(ICE[[#This Row],[Strip]]), 2) &amp; "-IEU", W$1)), "")</f>
        <v/>
      </c>
      <c r="X590" s="36"/>
    </row>
    <row r="591" spans="1:24" x14ac:dyDescent="0.25">
      <c r="A591" s="37" t="s">
        <v>415</v>
      </c>
      <c r="B591" s="3" t="str">
        <f>RTD("ice.rtd",,$C591 &amp; $D591 &amp; ":" &amp; B$1)</f>
        <v>ULF</v>
      </c>
      <c r="C591" s="3">
        <v>34374095</v>
      </c>
      <c r="D591" t="s">
        <v>823</v>
      </c>
      <c r="E591" s="3" t="str">
        <f>RTD("ice.rtd",,$C591 &amp; $D591 &amp; ":" &amp; E$1)</f>
        <v>Cal 28</v>
      </c>
      <c r="F591" s="3" t="str">
        <f>ICE[[#This Row],[Prod]]&amp;ICE[[#This Row],[Strip]]</f>
        <v>ulsdccndiffCal 28</v>
      </c>
      <c r="G591" s="18" t="str">
        <f>RTD("ice.rtd",,$C591 &amp; $D591 &amp; ":" &amp; G$1)</f>
        <v/>
      </c>
      <c r="H591" s="18" t="str">
        <f>RTD("ice.rtd",,$C591 &amp; $D591 &amp; ":" &amp; H$1)</f>
        <v/>
      </c>
      <c r="I591" s="18" t="str">
        <f>RTD("ice.rtd",,$C591 &amp; $D591 &amp; ":" &amp; I$1)</f>
        <v/>
      </c>
      <c r="J591" s="14" t="str">
        <f>IFERROR(MOD(RTD("ice.rtd",,$C591 &amp; $D591 &amp; ":" &amp; J$1), 1), "")</f>
        <v/>
      </c>
      <c r="K591" s="18" t="str">
        <f>RTD("ice.rtd",,$C591 &amp; $D591 &amp; ":" &amp; K$1)</f>
        <v/>
      </c>
      <c r="L591" s="36" t="str">
        <f>RTD("ice.rtd",,$C591 &amp; $D591 &amp; ":" &amp; L$1)</f>
        <v/>
      </c>
      <c r="M591" s="14" t="str">
        <f>IFERROR(MOD(TIMEVALUE(RTD("ice.rtd",,$C591 &amp; $D591 &amp; ":" &amp; M$1)), 1), "")</f>
        <v/>
      </c>
      <c r="N591" s="36">
        <f>RTD("ice.rtd",,$C591 &amp; $D591 &amp; ":" &amp; N$1)</f>
        <v>0</v>
      </c>
      <c r="O591" s="36">
        <f>RTD("ice.rtd",,$C591 &amp; $D591 &amp; ":" &amp; O$1)</f>
        <v>0</v>
      </c>
      <c r="P5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1" s="14" t="str">
        <f>IF(ICE[[#This Row],[LastType]] = "Scrn", ICE[[#This Row],[LstDate]], IF(ICE[[#This Row],[LastType]] = "Blk", ICE[[#This Row],[LstBlkTime]], ""))</f>
        <v/>
      </c>
      <c r="R591" s="41" t="str">
        <f>IF(ICE[[#This Row],[LastType]] = "Scrn", ICE[[#This Row],[LstPrc]], IF(ICE[[#This Row],[LastType]] = "Blk", ICE[[#This Row],[LstBlkPrc]], ""))</f>
        <v/>
      </c>
      <c r="S591" s="36">
        <f>ICE[[#This Row],[Vol]]+ICE[[#This Row],[BlkVol]]</f>
        <v>0</v>
      </c>
      <c r="T591" s="36">
        <f>RTD("ice.rtd",,$C591 &amp; $D591 &amp; ":" &amp; T$1)</f>
        <v>0</v>
      </c>
      <c r="U591" s="18">
        <f>RTD("ice.rtd",,$C591 &amp; $D591 &amp; ":" &amp; U$1)</f>
        <v>14.5</v>
      </c>
      <c r="V5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1" s="18" t="str">
        <f>IFERROR(IF(LEFT(ICE[[#This Row],[Tenor]], 1) = "B", RTD("esrtd",,$B591 &amp; " " &amp; ICE[[#This Row],[Tenor]] &amp; "-IEU", W$1), RTD("esrtd",,$B591 &amp; " " &amp; VLOOKUP(MONTH(ICE[[#This Row],[Strip]]), MthRef[], 2, 0) &amp; RIGHT(YEAR(ICE[[#This Row],[Strip]]), 2) &amp; "-IEU", W$1)), "")</f>
        <v/>
      </c>
      <c r="X591" s="36"/>
    </row>
    <row r="592" spans="1:24" x14ac:dyDescent="0.25">
      <c r="A592" s="37" t="s">
        <v>415</v>
      </c>
      <c r="B592" s="3" t="str">
        <f>RTD("ice.rtd",,$C592 &amp; $D592 &amp; ":" &amp; B$1)</f>
        <v>ULF</v>
      </c>
      <c r="C592" s="3">
        <v>34374095</v>
      </c>
      <c r="D592" t="s">
        <v>824</v>
      </c>
      <c r="E592" s="3" t="str">
        <f>RTD("ice.rtd",,$C592 &amp; $D592 &amp; ":" &amp; E$1)</f>
        <v>Cal 29</v>
      </c>
      <c r="F592" s="3" t="str">
        <f>ICE[[#This Row],[Prod]]&amp;ICE[[#This Row],[Strip]]</f>
        <v>ulsdccndiffCal 29</v>
      </c>
      <c r="G592" s="18" t="str">
        <f>RTD("ice.rtd",,$C592 &amp; $D592 &amp; ":" &amp; G$1)</f>
        <v/>
      </c>
      <c r="H592" s="18" t="str">
        <f>RTD("ice.rtd",,$C592 &amp; $D592 &amp; ":" &amp; H$1)</f>
        <v/>
      </c>
      <c r="I592" s="18" t="str">
        <f>RTD("ice.rtd",,$C592 &amp; $D592 &amp; ":" &amp; I$1)</f>
        <v/>
      </c>
      <c r="J592" s="14" t="str">
        <f>IFERROR(MOD(RTD("ice.rtd",,$C592 &amp; $D592 &amp; ":" &amp; J$1), 1), "")</f>
        <v/>
      </c>
      <c r="K592" s="18" t="str">
        <f>RTD("ice.rtd",,$C592 &amp; $D592 &amp; ":" &amp; K$1)</f>
        <v/>
      </c>
      <c r="L592" s="36" t="str">
        <f>RTD("ice.rtd",,$C592 &amp; $D592 &amp; ":" &amp; L$1)</f>
        <v/>
      </c>
      <c r="M592" s="14" t="str">
        <f>IFERROR(MOD(TIMEVALUE(RTD("ice.rtd",,$C592 &amp; $D592 &amp; ":" &amp; M$1)), 1), "")</f>
        <v/>
      </c>
      <c r="N592" s="36">
        <f>RTD("ice.rtd",,$C592 &amp; $D592 &amp; ":" &amp; N$1)</f>
        <v>0</v>
      </c>
      <c r="O592" s="36">
        <f>RTD("ice.rtd",,$C592 &amp; $D592 &amp; ":" &amp; O$1)</f>
        <v>0</v>
      </c>
      <c r="P5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2" s="14" t="str">
        <f>IF(ICE[[#This Row],[LastType]] = "Scrn", ICE[[#This Row],[LstDate]], IF(ICE[[#This Row],[LastType]] = "Blk", ICE[[#This Row],[LstBlkTime]], ""))</f>
        <v/>
      </c>
      <c r="R592" s="41" t="str">
        <f>IF(ICE[[#This Row],[LastType]] = "Scrn", ICE[[#This Row],[LstPrc]], IF(ICE[[#This Row],[LastType]] = "Blk", ICE[[#This Row],[LstBlkPrc]], ""))</f>
        <v/>
      </c>
      <c r="S592" s="36">
        <f>ICE[[#This Row],[Vol]]+ICE[[#This Row],[BlkVol]]</f>
        <v>0</v>
      </c>
      <c r="T592" s="36">
        <f>RTD("ice.rtd",,$C592 &amp; $D592 &amp; ":" &amp; T$1)</f>
        <v>0</v>
      </c>
      <c r="U592" s="18">
        <f>RTD("ice.rtd",,$C592 &amp; $D592 &amp; ":" &amp; U$1)</f>
        <v>14</v>
      </c>
      <c r="V5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2" s="18" t="str">
        <f>IFERROR(IF(LEFT(ICE[[#This Row],[Tenor]], 1) = "B", RTD("esrtd",,$B592 &amp; " " &amp; ICE[[#This Row],[Tenor]] &amp; "-IEU", W$1), RTD("esrtd",,$B592 &amp; " " &amp; VLOOKUP(MONTH(ICE[[#This Row],[Strip]]), MthRef[], 2, 0) &amp; RIGHT(YEAR(ICE[[#This Row],[Strip]]), 2) &amp; "-IEU", W$1)), "")</f>
        <v/>
      </c>
      <c r="X592" s="36"/>
    </row>
    <row r="593" spans="1:24" x14ac:dyDescent="0.25">
      <c r="A593" s="37" t="s">
        <v>416</v>
      </c>
      <c r="B593" s="3" t="str">
        <f>RTD("ice.rtd",,$C593 &amp; $D593 &amp; ":" &amp; B$1)</f>
        <v>UMC</v>
      </c>
      <c r="C593" s="3">
        <v>2185224624</v>
      </c>
      <c r="D593" t="s">
        <v>792</v>
      </c>
      <c r="E593" s="3" t="str">
        <f>RTD("ice.rtd",,$C593 &amp; $D593 &amp; ":" &amp; E$1)</f>
        <v>Bal Month</v>
      </c>
      <c r="F593" s="3" t="str">
        <f>ICE[[#This Row],[Prod]]&amp;ICE[[#This Row],[Strip]]</f>
        <v>ulsdccmdiffBal Month</v>
      </c>
      <c r="G593" s="18" t="str">
        <f>RTD("ice.rtd",,$C593 &amp; $D593 &amp; ":" &amp; G$1)</f>
        <v/>
      </c>
      <c r="H593" s="18" t="str">
        <f>RTD("ice.rtd",,$C593 &amp; $D593 &amp; ":" &amp; H$1)</f>
        <v/>
      </c>
      <c r="I593" s="18" t="str">
        <f>RTD("ice.rtd",,$C593 &amp; $D593 &amp; ":" &amp; I$1)</f>
        <v/>
      </c>
      <c r="J593" s="14" t="str">
        <f>IFERROR(MOD(RTD("ice.rtd",,$C593 &amp; $D593 &amp; ":" &amp; J$1), 1), "")</f>
        <v/>
      </c>
      <c r="K593" s="18">
        <f>RTD("ice.rtd",,$C593 &amp; $D593 &amp; ":" &amp; K$1)</f>
        <v>47</v>
      </c>
      <c r="L593" s="36">
        <f>RTD("ice.rtd",,$C593 &amp; $D593 &amp; ":" &amp; L$1)</f>
        <v>5</v>
      </c>
      <c r="M593" s="14">
        <f>IFERROR(MOD(TIMEVALUE(RTD("ice.rtd",,$C593 &amp; $D593 &amp; ":" &amp; M$1)), 1), "")</f>
        <v>0.41255787037037039</v>
      </c>
      <c r="N593" s="36">
        <f>RTD("ice.rtd",,$C593 &amp; $D593 &amp; ":" &amp; N$1)</f>
        <v>0</v>
      </c>
      <c r="O593" s="36">
        <f>RTD("ice.rtd",,$C593 &amp; $D593 &amp; ":" &amp; O$1)</f>
        <v>20</v>
      </c>
      <c r="P5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93" s="14">
        <f>IF(ICE[[#This Row],[LastType]] = "Scrn", ICE[[#This Row],[LstDate]], IF(ICE[[#This Row],[LastType]] = "Blk", ICE[[#This Row],[LstBlkTime]], ""))</f>
        <v>0.41255787037037039</v>
      </c>
      <c r="R593" s="41">
        <f>IF(ICE[[#This Row],[LastType]] = "Scrn", ICE[[#This Row],[LstPrc]], IF(ICE[[#This Row],[LastType]] = "Blk", ICE[[#This Row],[LstBlkPrc]], ""))</f>
        <v>47</v>
      </c>
      <c r="S593" s="36">
        <f>ICE[[#This Row],[Vol]]+ICE[[#This Row],[BlkVol]]</f>
        <v>20</v>
      </c>
      <c r="T593" s="36">
        <f>RTD("ice.rtd",,$C593 &amp; $D593 &amp; ":" &amp; T$1)</f>
        <v>0</v>
      </c>
      <c r="U593" s="18">
        <f>RTD("ice.rtd",,$C593 &amp; $D593 &amp; ":" &amp; U$1)</f>
        <v>46</v>
      </c>
      <c r="V5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{47.00} |20x</v>
      </c>
      <c r="W593" s="18" t="str">
        <f>IFERROR(IF(LEFT(ICE[[#This Row],[Tenor]], 1) = "B", RTD("esrtd",,$B593 &amp; " " &amp; ICE[[#This Row],[Tenor]] &amp; "-IEU", W$1), RTD("esrtd",,$B593 &amp; " " &amp; VLOOKUP(MONTH(ICE[[#This Row],[Strip]]), MthRef[], 2, 0) &amp; RIGHT(YEAR(ICE[[#This Row],[Strip]]), 2) &amp; "-IEU", W$1)), "")</f>
        <v/>
      </c>
      <c r="X593" s="36"/>
    </row>
    <row r="594" spans="1:24" x14ac:dyDescent="0.25">
      <c r="A594" s="37" t="s">
        <v>416</v>
      </c>
      <c r="B594" s="3" t="str">
        <f>RTD("ice.rtd",,$C594 &amp; $D594 &amp; ":" &amp; B$1)</f>
        <v>ULI</v>
      </c>
      <c r="C594" s="3">
        <v>34404098</v>
      </c>
      <c r="D594" t="s">
        <v>793</v>
      </c>
      <c r="E594" s="3" t="str">
        <f>RTD("ice.rtd",,$C594 &amp; $D594 &amp; ":" &amp; E$1)</f>
        <v>Sep26</v>
      </c>
      <c r="F594" s="3" t="str">
        <f>ICE[[#This Row],[Prod]]&amp;ICE[[#This Row],[Strip]]</f>
        <v>ulsdccmdiffSep26</v>
      </c>
      <c r="G594" s="18" t="str">
        <f>RTD("ice.rtd",,$C594 &amp; $D594 &amp; ":" &amp; G$1)</f>
        <v/>
      </c>
      <c r="H594" s="18" t="str">
        <f>RTD("ice.rtd",,$C594 &amp; $D594 &amp; ":" &amp; H$1)</f>
        <v/>
      </c>
      <c r="I594" s="18" t="str">
        <f>RTD("ice.rtd",,$C594 &amp; $D594 &amp; ":" &amp; I$1)</f>
        <v/>
      </c>
      <c r="J594" s="14" t="str">
        <f>IFERROR(MOD(RTD("ice.rtd",,$C594 &amp; $D594 &amp; ":" &amp; J$1), 1), "")</f>
        <v/>
      </c>
      <c r="K594" s="18">
        <f>RTD("ice.rtd",,$C594 &amp; $D594 &amp; ":" &amp; K$1)</f>
        <v>45</v>
      </c>
      <c r="L594" s="36">
        <f>RTD("ice.rtd",,$C594 &amp; $D594 &amp; ":" &amp; L$1)</f>
        <v>5</v>
      </c>
      <c r="M594" s="14">
        <f>IFERROR(MOD(TIMEVALUE(RTD("ice.rtd",,$C594 &amp; $D594 &amp; ":" &amp; M$1)), 1), "")</f>
        <v>0.40564814814814815</v>
      </c>
      <c r="N594" s="36">
        <f>RTD("ice.rtd",,$C594 &amp; $D594 &amp; ":" &amp; N$1)</f>
        <v>0</v>
      </c>
      <c r="O594" s="36">
        <f>RTD("ice.rtd",,$C594 &amp; $D594 &amp; ":" &amp; O$1)</f>
        <v>0</v>
      </c>
      <c r="P5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594" s="14">
        <f>IF(ICE[[#This Row],[LastType]] = "Scrn", ICE[[#This Row],[LstDate]], IF(ICE[[#This Row],[LastType]] = "Blk", ICE[[#This Row],[LstBlkTime]], ""))</f>
        <v>0.40564814814814815</v>
      </c>
      <c r="R594" s="41">
        <f>IF(ICE[[#This Row],[LastType]] = "Scrn", ICE[[#This Row],[LstPrc]], IF(ICE[[#This Row],[LastType]] = "Blk", ICE[[#This Row],[LstBlkPrc]], ""))</f>
        <v>45</v>
      </c>
      <c r="S594" s="36">
        <f>ICE[[#This Row],[Vol]]+ICE[[#This Row],[BlkVol]]</f>
        <v>0</v>
      </c>
      <c r="T594" s="36">
        <f>RTD("ice.rtd",,$C594 &amp; $D594 &amp; ":" &amp; T$1)</f>
        <v>1202</v>
      </c>
      <c r="U594" s="18">
        <f>RTD("ice.rtd",,$C594 &amp; $D594 &amp; ":" &amp; U$1)</f>
        <v>46</v>
      </c>
      <c r="V5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{45.00}</v>
      </c>
      <c r="W594" s="18" t="str">
        <f>IFERROR(IF(LEFT(ICE[[#This Row],[Tenor]], 1) = "B", RTD("esrtd",,$B594 &amp; " " &amp; ICE[[#This Row],[Tenor]] &amp; "-IEU", W$1), RTD("esrtd",,$B594 &amp; " " &amp; VLOOKUP(MONTH(ICE[[#This Row],[Strip]]), MthRef[], 2, 0) &amp; RIGHT(YEAR(ICE[[#This Row],[Strip]]), 2) &amp; "-IEU", W$1)), "")</f>
        <v/>
      </c>
      <c r="X594" s="36"/>
    </row>
    <row r="595" spans="1:24" x14ac:dyDescent="0.25">
      <c r="A595" s="37" t="s">
        <v>416</v>
      </c>
      <c r="B595" s="3" t="str">
        <f>RTD("ice.rtd",,$C595 &amp; $D595 &amp; ":" &amp; B$1)</f>
        <v>ULI</v>
      </c>
      <c r="C595" s="3">
        <v>34404098</v>
      </c>
      <c r="D595" t="s">
        <v>324</v>
      </c>
      <c r="E595" s="3" t="str">
        <f>RTD("ice.rtd",,$C595 &amp; $D595 &amp; ":" &amp; E$1)</f>
        <v>Oct26</v>
      </c>
      <c r="F595" s="3" t="str">
        <f>ICE[[#This Row],[Prod]]&amp;ICE[[#This Row],[Strip]]</f>
        <v>ulsdccmdiffOct26</v>
      </c>
      <c r="G595" s="18" t="str">
        <f>RTD("ice.rtd",,$C595 &amp; $D595 &amp; ":" &amp; G$1)</f>
        <v/>
      </c>
      <c r="H595" s="18" t="str">
        <f>RTD("ice.rtd",,$C595 &amp; $D595 &amp; ":" &amp; H$1)</f>
        <v/>
      </c>
      <c r="I595" s="18" t="str">
        <f>RTD("ice.rtd",,$C595 &amp; $D595 &amp; ":" &amp; I$1)</f>
        <v/>
      </c>
      <c r="J595" s="14" t="str">
        <f>IFERROR(MOD(RTD("ice.rtd",,$C595 &amp; $D595 &amp; ":" &amp; J$1), 1), "")</f>
        <v/>
      </c>
      <c r="K595" s="18" t="str">
        <f>RTD("ice.rtd",,$C595 &amp; $D595 &amp; ":" &amp; K$1)</f>
        <v/>
      </c>
      <c r="L595" s="36" t="str">
        <f>RTD("ice.rtd",,$C595 &amp; $D595 &amp; ":" &amp; L$1)</f>
        <v/>
      </c>
      <c r="M595" s="14" t="str">
        <f>IFERROR(MOD(TIMEVALUE(RTD("ice.rtd",,$C595 &amp; $D595 &amp; ":" &amp; M$1)), 1), "")</f>
        <v/>
      </c>
      <c r="N595" s="36">
        <f>RTD("ice.rtd",,$C595 &amp; $D595 &amp; ":" &amp; N$1)</f>
        <v>0</v>
      </c>
      <c r="O595" s="36">
        <f>RTD("ice.rtd",,$C595 &amp; $D595 &amp; ":" &amp; O$1)</f>
        <v>0</v>
      </c>
      <c r="P5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5" s="14" t="str">
        <f>IF(ICE[[#This Row],[LastType]] = "Scrn", ICE[[#This Row],[LstDate]], IF(ICE[[#This Row],[LastType]] = "Blk", ICE[[#This Row],[LstBlkTime]], ""))</f>
        <v/>
      </c>
      <c r="R595" s="41" t="str">
        <f>IF(ICE[[#This Row],[LastType]] = "Scrn", ICE[[#This Row],[LstPrc]], IF(ICE[[#This Row],[LastType]] = "Blk", ICE[[#This Row],[LstBlkPrc]], ""))</f>
        <v/>
      </c>
      <c r="S595" s="36">
        <f>ICE[[#This Row],[Vol]]+ICE[[#This Row],[BlkVol]]</f>
        <v>0</v>
      </c>
      <c r="T595" s="36">
        <f>RTD("ice.rtd",,$C595 &amp; $D595 &amp; ":" &amp; T$1)</f>
        <v>717</v>
      </c>
      <c r="U595" s="18">
        <f>RTD("ice.rtd",,$C595 &amp; $D595 &amp; ":" &amp; U$1)</f>
        <v>44</v>
      </c>
      <c r="V5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5" s="18" t="str">
        <f>IFERROR(IF(LEFT(ICE[[#This Row],[Tenor]], 1) = "B", RTD("esrtd",,$B595 &amp; " " &amp; ICE[[#This Row],[Tenor]] &amp; "-IEU", W$1), RTD("esrtd",,$B595 &amp; " " &amp; VLOOKUP(MONTH(ICE[[#This Row],[Strip]]), MthRef[], 2, 0) &amp; RIGHT(YEAR(ICE[[#This Row],[Strip]]), 2) &amp; "-IEU", W$1)), "")</f>
        <v/>
      </c>
      <c r="X595" s="36"/>
    </row>
    <row r="596" spans="1:24" x14ac:dyDescent="0.25">
      <c r="A596" s="37" t="s">
        <v>416</v>
      </c>
      <c r="B596" s="3" t="str">
        <f>RTD("ice.rtd",,$C596 &amp; $D596 &amp; ":" &amp; B$1)</f>
        <v>ULI</v>
      </c>
      <c r="C596" s="3">
        <v>34404098</v>
      </c>
      <c r="D596" t="s">
        <v>325</v>
      </c>
      <c r="E596" s="3" t="str">
        <f>RTD("ice.rtd",,$C596 &amp; $D596 &amp; ":" &amp; E$1)</f>
        <v>Nov26</v>
      </c>
      <c r="F596" s="3" t="str">
        <f>ICE[[#This Row],[Prod]]&amp;ICE[[#This Row],[Strip]]</f>
        <v>ulsdccmdiffNov26</v>
      </c>
      <c r="G596" s="18" t="str">
        <f>RTD("ice.rtd",,$C596 &amp; $D596 &amp; ":" &amp; G$1)</f>
        <v/>
      </c>
      <c r="H596" s="18" t="str">
        <f>RTD("ice.rtd",,$C596 &amp; $D596 &amp; ":" &amp; H$1)</f>
        <v/>
      </c>
      <c r="I596" s="18" t="str">
        <f>RTD("ice.rtd",,$C596 &amp; $D596 &amp; ":" &amp; I$1)</f>
        <v/>
      </c>
      <c r="J596" s="14" t="str">
        <f>IFERROR(MOD(RTD("ice.rtd",,$C596 &amp; $D596 &amp; ":" &amp; J$1), 1), "")</f>
        <v/>
      </c>
      <c r="K596" s="18" t="str">
        <f>RTD("ice.rtd",,$C596 &amp; $D596 &amp; ":" &amp; K$1)</f>
        <v/>
      </c>
      <c r="L596" s="36" t="str">
        <f>RTD("ice.rtd",,$C596 &amp; $D596 &amp; ":" &amp; L$1)</f>
        <v/>
      </c>
      <c r="M596" s="14" t="str">
        <f>IFERROR(MOD(TIMEVALUE(RTD("ice.rtd",,$C596 &amp; $D596 &amp; ":" &amp; M$1)), 1), "")</f>
        <v/>
      </c>
      <c r="N596" s="36">
        <f>RTD("ice.rtd",,$C596 &amp; $D596 &amp; ":" &amp; N$1)</f>
        <v>0</v>
      </c>
      <c r="O596" s="36">
        <f>RTD("ice.rtd",,$C596 &amp; $D596 &amp; ":" &amp; O$1)</f>
        <v>0</v>
      </c>
      <c r="P5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6" s="14" t="str">
        <f>IF(ICE[[#This Row],[LastType]] = "Scrn", ICE[[#This Row],[LstDate]], IF(ICE[[#This Row],[LastType]] = "Blk", ICE[[#This Row],[LstBlkTime]], ""))</f>
        <v/>
      </c>
      <c r="R596" s="41" t="str">
        <f>IF(ICE[[#This Row],[LastType]] = "Scrn", ICE[[#This Row],[LstPrc]], IF(ICE[[#This Row],[LastType]] = "Blk", ICE[[#This Row],[LstBlkPrc]], ""))</f>
        <v/>
      </c>
      <c r="S596" s="36">
        <f>ICE[[#This Row],[Vol]]+ICE[[#This Row],[BlkVol]]</f>
        <v>0</v>
      </c>
      <c r="T596" s="36">
        <f>RTD("ice.rtd",,$C596 &amp; $D596 &amp; ":" &amp; T$1)</f>
        <v>581</v>
      </c>
      <c r="U596" s="18">
        <f>RTD("ice.rtd",,$C596 &amp; $D596 &amp; ":" &amp; U$1)</f>
        <v>44</v>
      </c>
      <c r="V5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6" s="18" t="str">
        <f>IFERROR(IF(LEFT(ICE[[#This Row],[Tenor]], 1) = "B", RTD("esrtd",,$B596 &amp; " " &amp; ICE[[#This Row],[Tenor]] &amp; "-IEU", W$1), RTD("esrtd",,$B596 &amp; " " &amp; VLOOKUP(MONTH(ICE[[#This Row],[Strip]]), MthRef[], 2, 0) &amp; RIGHT(YEAR(ICE[[#This Row],[Strip]]), 2) &amp; "-IEU", W$1)), "")</f>
        <v/>
      </c>
      <c r="X596" s="36"/>
    </row>
    <row r="597" spans="1:24" x14ac:dyDescent="0.25">
      <c r="A597" s="37" t="s">
        <v>416</v>
      </c>
      <c r="B597" s="3" t="str">
        <f>RTD("ice.rtd",,$C597 &amp; $D597 &amp; ":" &amp; B$1)</f>
        <v>ULI</v>
      </c>
      <c r="C597" s="3">
        <v>34404098</v>
      </c>
      <c r="D597" t="s">
        <v>326</v>
      </c>
      <c r="E597" s="3" t="str">
        <f>RTD("ice.rtd",,$C597 &amp; $D597 &amp; ":" &amp; E$1)</f>
        <v>Dec26</v>
      </c>
      <c r="F597" s="3" t="str">
        <f>ICE[[#This Row],[Prod]]&amp;ICE[[#This Row],[Strip]]</f>
        <v>ulsdccmdiffDec26</v>
      </c>
      <c r="G597" s="18" t="str">
        <f>RTD("ice.rtd",,$C597 &amp; $D597 &amp; ":" &amp; G$1)</f>
        <v/>
      </c>
      <c r="H597" s="18" t="str">
        <f>RTD("ice.rtd",,$C597 &amp; $D597 &amp; ":" &amp; H$1)</f>
        <v/>
      </c>
      <c r="I597" s="18" t="str">
        <f>RTD("ice.rtd",,$C597 &amp; $D597 &amp; ":" &amp; I$1)</f>
        <v/>
      </c>
      <c r="J597" s="14" t="str">
        <f>IFERROR(MOD(RTD("ice.rtd",,$C597 &amp; $D597 &amp; ":" &amp; J$1), 1), "")</f>
        <v/>
      </c>
      <c r="K597" s="18" t="str">
        <f>RTD("ice.rtd",,$C597 &amp; $D597 &amp; ":" &amp; K$1)</f>
        <v/>
      </c>
      <c r="L597" s="36" t="str">
        <f>RTD("ice.rtd",,$C597 &amp; $D597 &amp; ":" &amp; L$1)</f>
        <v/>
      </c>
      <c r="M597" s="14" t="str">
        <f>IFERROR(MOD(TIMEVALUE(RTD("ice.rtd",,$C597 &amp; $D597 &amp; ":" &amp; M$1)), 1), "")</f>
        <v/>
      </c>
      <c r="N597" s="36">
        <f>RTD("ice.rtd",,$C597 &amp; $D597 &amp; ":" &amp; N$1)</f>
        <v>0</v>
      </c>
      <c r="O597" s="36">
        <f>RTD("ice.rtd",,$C597 &amp; $D597 &amp; ":" &amp; O$1)</f>
        <v>0</v>
      </c>
      <c r="P5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7" s="14" t="str">
        <f>IF(ICE[[#This Row],[LastType]] = "Scrn", ICE[[#This Row],[LstDate]], IF(ICE[[#This Row],[LastType]] = "Blk", ICE[[#This Row],[LstBlkTime]], ""))</f>
        <v/>
      </c>
      <c r="R597" s="41" t="str">
        <f>IF(ICE[[#This Row],[LastType]] = "Scrn", ICE[[#This Row],[LstPrc]], IF(ICE[[#This Row],[LastType]] = "Blk", ICE[[#This Row],[LstBlkPrc]], ""))</f>
        <v/>
      </c>
      <c r="S597" s="36">
        <f>ICE[[#This Row],[Vol]]+ICE[[#This Row],[BlkVol]]</f>
        <v>0</v>
      </c>
      <c r="T597" s="36">
        <f>RTD("ice.rtd",,$C597 &amp; $D597 &amp; ":" &amp; T$1)</f>
        <v>626</v>
      </c>
      <c r="U597" s="18">
        <f>RTD("ice.rtd",,$C597 &amp; $D597 &amp; ":" &amp; U$1)</f>
        <v>38</v>
      </c>
      <c r="V5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7" s="18" t="str">
        <f>IFERROR(IF(LEFT(ICE[[#This Row],[Tenor]], 1) = "B", RTD("esrtd",,$B597 &amp; " " &amp; ICE[[#This Row],[Tenor]] &amp; "-IEU", W$1), RTD("esrtd",,$B597 &amp; " " &amp; VLOOKUP(MONTH(ICE[[#This Row],[Strip]]), MthRef[], 2, 0) &amp; RIGHT(YEAR(ICE[[#This Row],[Strip]]), 2) &amp; "-IEU", W$1)), "")</f>
        <v/>
      </c>
      <c r="X597" s="36"/>
    </row>
    <row r="598" spans="1:24" x14ac:dyDescent="0.25">
      <c r="A598" s="37" t="s">
        <v>416</v>
      </c>
      <c r="B598" s="3" t="str">
        <f>RTD("ice.rtd",,$C598 &amp; $D598 &amp; ":" &amp; B$1)</f>
        <v>ULI</v>
      </c>
      <c r="C598" s="3">
        <v>34404098</v>
      </c>
      <c r="D598" t="s">
        <v>794</v>
      </c>
      <c r="E598" s="3" t="str">
        <f>RTD("ice.rtd",,$C598 &amp; $D598 &amp; ":" &amp; E$1)</f>
        <v>Jan27</v>
      </c>
      <c r="F598" s="3" t="str">
        <f>ICE[[#This Row],[Prod]]&amp;ICE[[#This Row],[Strip]]</f>
        <v>ulsdccmdiffJan27</v>
      </c>
      <c r="G598" s="18" t="str">
        <f>RTD("ice.rtd",,$C598 &amp; $D598 &amp; ":" &amp; G$1)</f>
        <v/>
      </c>
      <c r="H598" s="18" t="str">
        <f>RTD("ice.rtd",,$C598 &amp; $D598 &amp; ":" &amp; H$1)</f>
        <v/>
      </c>
      <c r="I598" s="18" t="str">
        <f>RTD("ice.rtd",,$C598 &amp; $D598 &amp; ":" &amp; I$1)</f>
        <v/>
      </c>
      <c r="J598" s="14" t="str">
        <f>IFERROR(MOD(RTD("ice.rtd",,$C598 &amp; $D598 &amp; ":" &amp; J$1), 1), "")</f>
        <v/>
      </c>
      <c r="K598" s="18" t="str">
        <f>RTD("ice.rtd",,$C598 &amp; $D598 &amp; ":" &amp; K$1)</f>
        <v/>
      </c>
      <c r="L598" s="36" t="str">
        <f>RTD("ice.rtd",,$C598 &amp; $D598 &amp; ":" &amp; L$1)</f>
        <v/>
      </c>
      <c r="M598" s="14" t="str">
        <f>IFERROR(MOD(TIMEVALUE(RTD("ice.rtd",,$C598 &amp; $D598 &amp; ":" &amp; M$1)), 1), "")</f>
        <v/>
      </c>
      <c r="N598" s="36">
        <f>RTD("ice.rtd",,$C598 &amp; $D598 &amp; ":" &amp; N$1)</f>
        <v>0</v>
      </c>
      <c r="O598" s="36">
        <f>RTD("ice.rtd",,$C598 &amp; $D598 &amp; ":" &amp; O$1)</f>
        <v>0</v>
      </c>
      <c r="P5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8" s="14" t="str">
        <f>IF(ICE[[#This Row],[LastType]] = "Scrn", ICE[[#This Row],[LstDate]], IF(ICE[[#This Row],[LastType]] = "Blk", ICE[[#This Row],[LstBlkTime]], ""))</f>
        <v/>
      </c>
      <c r="R598" s="41" t="str">
        <f>IF(ICE[[#This Row],[LastType]] = "Scrn", ICE[[#This Row],[LstPrc]], IF(ICE[[#This Row],[LastType]] = "Blk", ICE[[#This Row],[LstBlkPrc]], ""))</f>
        <v/>
      </c>
      <c r="S598" s="36">
        <f>ICE[[#This Row],[Vol]]+ICE[[#This Row],[BlkVol]]</f>
        <v>0</v>
      </c>
      <c r="T598" s="36">
        <f>RTD("ice.rtd",,$C598 &amp; $D598 &amp; ":" &amp; T$1)</f>
        <v>143</v>
      </c>
      <c r="U598" s="18">
        <f>RTD("ice.rtd",,$C598 &amp; $D598 &amp; ":" &amp; U$1)</f>
        <v>27</v>
      </c>
      <c r="V5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8" s="18" t="str">
        <f>IFERROR(IF(LEFT(ICE[[#This Row],[Tenor]], 1) = "B", RTD("esrtd",,$B598 &amp; " " &amp; ICE[[#This Row],[Tenor]] &amp; "-IEU", W$1), RTD("esrtd",,$B598 &amp; " " &amp; VLOOKUP(MONTH(ICE[[#This Row],[Strip]]), MthRef[], 2, 0) &amp; RIGHT(YEAR(ICE[[#This Row],[Strip]]), 2) &amp; "-IEU", W$1)), "")</f>
        <v/>
      </c>
      <c r="X598" s="36"/>
    </row>
    <row r="599" spans="1:24" x14ac:dyDescent="0.25">
      <c r="A599" s="37" t="s">
        <v>416</v>
      </c>
      <c r="B599" s="3" t="str">
        <f>RTD("ice.rtd",,$C599 &amp; $D599 &amp; ":" &amp; B$1)</f>
        <v>ULI</v>
      </c>
      <c r="C599" s="3">
        <v>34404098</v>
      </c>
      <c r="D599" t="s">
        <v>795</v>
      </c>
      <c r="E599" s="3" t="str">
        <f>RTD("ice.rtd",,$C599 &amp; $D599 &amp; ":" &amp; E$1)</f>
        <v>Feb27</v>
      </c>
      <c r="F599" s="3" t="str">
        <f>ICE[[#This Row],[Prod]]&amp;ICE[[#This Row],[Strip]]</f>
        <v>ulsdccmdiffFeb27</v>
      </c>
      <c r="G599" s="18" t="str">
        <f>RTD("ice.rtd",,$C599 &amp; $D599 &amp; ":" &amp; G$1)</f>
        <v/>
      </c>
      <c r="H599" s="18" t="str">
        <f>RTD("ice.rtd",,$C599 &amp; $D599 &amp; ":" &amp; H$1)</f>
        <v/>
      </c>
      <c r="I599" s="18" t="str">
        <f>RTD("ice.rtd",,$C599 &amp; $D599 &amp; ":" &amp; I$1)</f>
        <v/>
      </c>
      <c r="J599" s="14" t="str">
        <f>IFERROR(MOD(RTD("ice.rtd",,$C599 &amp; $D599 &amp; ":" &amp; J$1), 1), "")</f>
        <v/>
      </c>
      <c r="K599" s="18" t="str">
        <f>RTD("ice.rtd",,$C599 &amp; $D599 &amp; ":" &amp; K$1)</f>
        <v/>
      </c>
      <c r="L599" s="36" t="str">
        <f>RTD("ice.rtd",,$C599 &amp; $D599 &amp; ":" &amp; L$1)</f>
        <v/>
      </c>
      <c r="M599" s="14" t="str">
        <f>IFERROR(MOD(TIMEVALUE(RTD("ice.rtd",,$C599 &amp; $D599 &amp; ":" &amp; M$1)), 1), "")</f>
        <v/>
      </c>
      <c r="N599" s="36">
        <f>RTD("ice.rtd",,$C599 &amp; $D599 &amp; ":" &amp; N$1)</f>
        <v>0</v>
      </c>
      <c r="O599" s="36">
        <f>RTD("ice.rtd",,$C599 &amp; $D599 &amp; ":" &amp; O$1)</f>
        <v>0</v>
      </c>
      <c r="P5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599" s="14" t="str">
        <f>IF(ICE[[#This Row],[LastType]] = "Scrn", ICE[[#This Row],[LstDate]], IF(ICE[[#This Row],[LastType]] = "Blk", ICE[[#This Row],[LstBlkTime]], ""))</f>
        <v/>
      </c>
      <c r="R599" s="41" t="str">
        <f>IF(ICE[[#This Row],[LastType]] = "Scrn", ICE[[#This Row],[LstPrc]], IF(ICE[[#This Row],[LastType]] = "Blk", ICE[[#This Row],[LstBlkPrc]], ""))</f>
        <v/>
      </c>
      <c r="S599" s="36">
        <f>ICE[[#This Row],[Vol]]+ICE[[#This Row],[BlkVol]]</f>
        <v>0</v>
      </c>
      <c r="T599" s="36">
        <f>RTD("ice.rtd",,$C599 &amp; $D599 &amp; ":" &amp; T$1)</f>
        <v>143</v>
      </c>
      <c r="U599" s="18">
        <f>RTD("ice.rtd",,$C599 &amp; $D599 &amp; ":" &amp; U$1)</f>
        <v>24.5</v>
      </c>
      <c r="V5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599" s="18" t="str">
        <f>IFERROR(IF(LEFT(ICE[[#This Row],[Tenor]], 1) = "B", RTD("esrtd",,$B599 &amp; " " &amp; ICE[[#This Row],[Tenor]] &amp; "-IEU", W$1), RTD("esrtd",,$B599 &amp; " " &amp; VLOOKUP(MONTH(ICE[[#This Row],[Strip]]), MthRef[], 2, 0) &amp; RIGHT(YEAR(ICE[[#This Row],[Strip]]), 2) &amp; "-IEU", W$1)), "")</f>
        <v/>
      </c>
      <c r="X599" s="36"/>
    </row>
    <row r="600" spans="1:24" x14ac:dyDescent="0.25">
      <c r="A600" s="37" t="s">
        <v>416</v>
      </c>
      <c r="B600" s="3" t="str">
        <f>RTD("ice.rtd",,$C600 &amp; $D600 &amp; ":" &amp; B$1)</f>
        <v>ULI</v>
      </c>
      <c r="C600" s="3">
        <v>34404098</v>
      </c>
      <c r="D600" t="s">
        <v>113</v>
      </c>
      <c r="E600" s="3" t="str">
        <f>RTD("ice.rtd",,$C600 &amp; $D600 &amp; ":" &amp; E$1)</f>
        <v>Mar27</v>
      </c>
      <c r="F600" s="3" t="str">
        <f>ICE[[#This Row],[Prod]]&amp;ICE[[#This Row],[Strip]]</f>
        <v>ulsdccmdiffMar27</v>
      </c>
      <c r="G600" s="18" t="str">
        <f>RTD("ice.rtd",,$C600 &amp; $D600 &amp; ":" &amp; G$1)</f>
        <v/>
      </c>
      <c r="H600" s="18" t="str">
        <f>RTD("ice.rtd",,$C600 &amp; $D600 &amp; ":" &amp; H$1)</f>
        <v/>
      </c>
      <c r="I600" s="18" t="str">
        <f>RTD("ice.rtd",,$C600 &amp; $D600 &amp; ":" &amp; I$1)</f>
        <v/>
      </c>
      <c r="J600" s="14" t="str">
        <f>IFERROR(MOD(RTD("ice.rtd",,$C600 &amp; $D600 &amp; ":" &amp; J$1), 1), "")</f>
        <v/>
      </c>
      <c r="K600" s="18" t="str">
        <f>RTD("ice.rtd",,$C600 &amp; $D600 &amp; ":" &amp; K$1)</f>
        <v/>
      </c>
      <c r="L600" s="36" t="str">
        <f>RTD("ice.rtd",,$C600 &amp; $D600 &amp; ":" &amp; L$1)</f>
        <v/>
      </c>
      <c r="M600" s="14" t="str">
        <f>IFERROR(MOD(TIMEVALUE(RTD("ice.rtd",,$C600 &amp; $D600 &amp; ":" &amp; M$1)), 1), "")</f>
        <v/>
      </c>
      <c r="N600" s="36">
        <f>RTD("ice.rtd",,$C600 &amp; $D600 &amp; ":" &amp; N$1)</f>
        <v>0</v>
      </c>
      <c r="O600" s="36">
        <f>RTD("ice.rtd",,$C600 &amp; $D600 &amp; ":" &amp; O$1)</f>
        <v>0</v>
      </c>
      <c r="P6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0" s="14" t="str">
        <f>IF(ICE[[#This Row],[LastType]] = "Scrn", ICE[[#This Row],[LstDate]], IF(ICE[[#This Row],[LastType]] = "Blk", ICE[[#This Row],[LstBlkTime]], ""))</f>
        <v/>
      </c>
      <c r="R600" s="41" t="str">
        <f>IF(ICE[[#This Row],[LastType]] = "Scrn", ICE[[#This Row],[LstPrc]], IF(ICE[[#This Row],[LastType]] = "Blk", ICE[[#This Row],[LstBlkPrc]], ""))</f>
        <v/>
      </c>
      <c r="S600" s="36">
        <f>ICE[[#This Row],[Vol]]+ICE[[#This Row],[BlkVol]]</f>
        <v>0</v>
      </c>
      <c r="T600" s="36">
        <f>RTD("ice.rtd",,$C600 &amp; $D600 &amp; ":" &amp; T$1)</f>
        <v>143</v>
      </c>
      <c r="U600" s="18">
        <f>RTD("ice.rtd",,$C600 &amp; $D600 &amp; ":" &amp; U$1)</f>
        <v>22</v>
      </c>
      <c r="V6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0" s="18" t="str">
        <f>IFERROR(IF(LEFT(ICE[[#This Row],[Tenor]], 1) = "B", RTD("esrtd",,$B600 &amp; " " &amp; ICE[[#This Row],[Tenor]] &amp; "-IEU", W$1), RTD("esrtd",,$B600 &amp; " " &amp; VLOOKUP(MONTH(ICE[[#This Row],[Strip]]), MthRef[], 2, 0) &amp; RIGHT(YEAR(ICE[[#This Row],[Strip]]), 2) &amp; "-IEU", W$1)), "")</f>
        <v/>
      </c>
      <c r="X600" s="36"/>
    </row>
    <row r="601" spans="1:24" x14ac:dyDescent="0.25">
      <c r="A601" s="37" t="s">
        <v>416</v>
      </c>
      <c r="B601" s="3" t="str">
        <f>RTD("ice.rtd",,$C601 &amp; $D601 &amp; ":" &amp; B$1)</f>
        <v>ULI</v>
      </c>
      <c r="C601" s="3">
        <v>34404098</v>
      </c>
      <c r="D601" t="s">
        <v>796</v>
      </c>
      <c r="E601" s="3" t="str">
        <f>RTD("ice.rtd",,$C601 &amp; $D601 &amp; ":" &amp; E$1)</f>
        <v>Apr27</v>
      </c>
      <c r="F601" s="3" t="str">
        <f>ICE[[#This Row],[Prod]]&amp;ICE[[#This Row],[Strip]]</f>
        <v>ulsdccmdiffApr27</v>
      </c>
      <c r="G601" s="18" t="str">
        <f>RTD("ice.rtd",,$C601 &amp; $D601 &amp; ":" &amp; G$1)</f>
        <v/>
      </c>
      <c r="H601" s="18" t="str">
        <f>RTD("ice.rtd",,$C601 &amp; $D601 &amp; ":" &amp; H$1)</f>
        <v/>
      </c>
      <c r="I601" s="18" t="str">
        <f>RTD("ice.rtd",,$C601 &amp; $D601 &amp; ":" &amp; I$1)</f>
        <v/>
      </c>
      <c r="J601" s="14" t="str">
        <f>IFERROR(MOD(RTD("ice.rtd",,$C601 &amp; $D601 &amp; ":" &amp; J$1), 1), "")</f>
        <v/>
      </c>
      <c r="K601" s="18" t="str">
        <f>RTD("ice.rtd",,$C601 &amp; $D601 &amp; ":" &amp; K$1)</f>
        <v/>
      </c>
      <c r="L601" s="36" t="str">
        <f>RTD("ice.rtd",,$C601 &amp; $D601 &amp; ":" &amp; L$1)</f>
        <v/>
      </c>
      <c r="M601" s="14" t="str">
        <f>IFERROR(MOD(TIMEVALUE(RTD("ice.rtd",,$C601 &amp; $D601 &amp; ":" &amp; M$1)), 1), "")</f>
        <v/>
      </c>
      <c r="N601" s="36">
        <f>RTD("ice.rtd",,$C601 &amp; $D601 &amp; ":" &amp; N$1)</f>
        <v>0</v>
      </c>
      <c r="O601" s="36">
        <f>RTD("ice.rtd",,$C601 &amp; $D601 &amp; ":" &amp; O$1)</f>
        <v>0</v>
      </c>
      <c r="P6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1" s="14" t="str">
        <f>IF(ICE[[#This Row],[LastType]] = "Scrn", ICE[[#This Row],[LstDate]], IF(ICE[[#This Row],[LastType]] = "Blk", ICE[[#This Row],[LstBlkTime]], ""))</f>
        <v/>
      </c>
      <c r="R601" s="41" t="str">
        <f>IF(ICE[[#This Row],[LastType]] = "Scrn", ICE[[#This Row],[LstPrc]], IF(ICE[[#This Row],[LastType]] = "Blk", ICE[[#This Row],[LstBlkPrc]], ""))</f>
        <v/>
      </c>
      <c r="S601" s="36">
        <f>ICE[[#This Row],[Vol]]+ICE[[#This Row],[BlkVol]]</f>
        <v>0</v>
      </c>
      <c r="T601" s="36">
        <f>RTD("ice.rtd",,$C601 &amp; $D601 &amp; ":" &amp; T$1)</f>
        <v>91</v>
      </c>
      <c r="U601" s="18">
        <f>RTD("ice.rtd",,$C601 &amp; $D601 &amp; ":" &amp; U$1)</f>
        <v>17.5</v>
      </c>
      <c r="V6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1" s="18" t="str">
        <f>IFERROR(IF(LEFT(ICE[[#This Row],[Tenor]], 1) = "B", RTD("esrtd",,$B601 &amp; " " &amp; ICE[[#This Row],[Tenor]] &amp; "-IEU", W$1), RTD("esrtd",,$B601 &amp; " " &amp; VLOOKUP(MONTH(ICE[[#This Row],[Strip]]), MthRef[], 2, 0) &amp; RIGHT(YEAR(ICE[[#This Row],[Strip]]), 2) &amp; "-IEU", W$1)), "")</f>
        <v/>
      </c>
      <c r="X601" s="36"/>
    </row>
    <row r="602" spans="1:24" x14ac:dyDescent="0.25">
      <c r="A602" s="37" t="s">
        <v>416</v>
      </c>
      <c r="B602" s="3" t="str">
        <f>RTD("ice.rtd",,$C602 &amp; $D602 &amp; ":" &amp; B$1)</f>
        <v>ULI</v>
      </c>
      <c r="C602" s="3">
        <v>34404098</v>
      </c>
      <c r="D602" t="s">
        <v>797</v>
      </c>
      <c r="E602" s="3" t="str">
        <f>RTD("ice.rtd",,$C602 &amp; $D602 &amp; ":" &amp; E$1)</f>
        <v>May27</v>
      </c>
      <c r="F602" s="3" t="str">
        <f>ICE[[#This Row],[Prod]]&amp;ICE[[#This Row],[Strip]]</f>
        <v>ulsdccmdiffMay27</v>
      </c>
      <c r="G602" s="18" t="str">
        <f>RTD("ice.rtd",,$C602 &amp; $D602 &amp; ":" &amp; G$1)</f>
        <v/>
      </c>
      <c r="H602" s="18" t="str">
        <f>RTD("ice.rtd",,$C602 &amp; $D602 &amp; ":" &amp; H$1)</f>
        <v/>
      </c>
      <c r="I602" s="18" t="str">
        <f>RTD("ice.rtd",,$C602 &amp; $D602 &amp; ":" &amp; I$1)</f>
        <v/>
      </c>
      <c r="J602" s="14" t="str">
        <f>IFERROR(MOD(RTD("ice.rtd",,$C602 &amp; $D602 &amp; ":" &amp; J$1), 1), "")</f>
        <v/>
      </c>
      <c r="K602" s="18" t="str">
        <f>RTD("ice.rtd",,$C602 &amp; $D602 &amp; ":" &amp; K$1)</f>
        <v/>
      </c>
      <c r="L602" s="36" t="str">
        <f>RTD("ice.rtd",,$C602 &amp; $D602 &amp; ":" &amp; L$1)</f>
        <v/>
      </c>
      <c r="M602" s="14" t="str">
        <f>IFERROR(MOD(TIMEVALUE(RTD("ice.rtd",,$C602 &amp; $D602 &amp; ":" &amp; M$1)), 1), "")</f>
        <v/>
      </c>
      <c r="N602" s="36">
        <f>RTD("ice.rtd",,$C602 &amp; $D602 &amp; ":" &amp; N$1)</f>
        <v>0</v>
      </c>
      <c r="O602" s="36">
        <f>RTD("ice.rtd",,$C602 &amp; $D602 &amp; ":" &amp; O$1)</f>
        <v>0</v>
      </c>
      <c r="P6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2" s="14" t="str">
        <f>IF(ICE[[#This Row],[LastType]] = "Scrn", ICE[[#This Row],[LstDate]], IF(ICE[[#This Row],[LastType]] = "Blk", ICE[[#This Row],[LstBlkTime]], ""))</f>
        <v/>
      </c>
      <c r="R602" s="41" t="str">
        <f>IF(ICE[[#This Row],[LastType]] = "Scrn", ICE[[#This Row],[LstPrc]], IF(ICE[[#This Row],[LastType]] = "Blk", ICE[[#This Row],[LstBlkPrc]], ""))</f>
        <v/>
      </c>
      <c r="S602" s="36">
        <f>ICE[[#This Row],[Vol]]+ICE[[#This Row],[BlkVol]]</f>
        <v>0</v>
      </c>
      <c r="T602" s="36">
        <f>RTD("ice.rtd",,$C602 &amp; $D602 &amp; ":" &amp; T$1)</f>
        <v>91</v>
      </c>
      <c r="U602" s="18">
        <f>RTD("ice.rtd",,$C602 &amp; $D602 &amp; ":" &amp; U$1)</f>
        <v>16.5</v>
      </c>
      <c r="V6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2" s="18" t="str">
        <f>IFERROR(IF(LEFT(ICE[[#This Row],[Tenor]], 1) = "B", RTD("esrtd",,$B602 &amp; " " &amp; ICE[[#This Row],[Tenor]] &amp; "-IEU", W$1), RTD("esrtd",,$B602 &amp; " " &amp; VLOOKUP(MONTH(ICE[[#This Row],[Strip]]), MthRef[], 2, 0) &amp; RIGHT(YEAR(ICE[[#This Row],[Strip]]), 2) &amp; "-IEU", W$1)), "")</f>
        <v/>
      </c>
      <c r="X602" s="36"/>
    </row>
    <row r="603" spans="1:24" x14ac:dyDescent="0.25">
      <c r="A603" s="37" t="s">
        <v>416</v>
      </c>
      <c r="B603" s="3" t="str">
        <f>RTD("ice.rtd",,$C603 &amp; $D603 &amp; ":" &amp; B$1)</f>
        <v>ULI</v>
      </c>
      <c r="C603" s="3">
        <v>34404098</v>
      </c>
      <c r="D603" t="s">
        <v>798</v>
      </c>
      <c r="E603" s="3" t="str">
        <f>RTD("ice.rtd",,$C603 &amp; $D603 &amp; ":" &amp; E$1)</f>
        <v>Jun27</v>
      </c>
      <c r="F603" s="3" t="str">
        <f>ICE[[#This Row],[Prod]]&amp;ICE[[#This Row],[Strip]]</f>
        <v>ulsdccmdiffJun27</v>
      </c>
      <c r="G603" s="18" t="str">
        <f>RTD("ice.rtd",,$C603 &amp; $D603 &amp; ":" &amp; G$1)</f>
        <v/>
      </c>
      <c r="H603" s="18" t="str">
        <f>RTD("ice.rtd",,$C603 &amp; $D603 &amp; ":" &amp; H$1)</f>
        <v/>
      </c>
      <c r="I603" s="18" t="str">
        <f>RTD("ice.rtd",,$C603 &amp; $D603 &amp; ":" &amp; I$1)</f>
        <v/>
      </c>
      <c r="J603" s="14" t="str">
        <f>IFERROR(MOD(RTD("ice.rtd",,$C603 &amp; $D603 &amp; ":" &amp; J$1), 1), "")</f>
        <v/>
      </c>
      <c r="K603" s="18" t="str">
        <f>RTD("ice.rtd",,$C603 &amp; $D603 &amp; ":" &amp; K$1)</f>
        <v/>
      </c>
      <c r="L603" s="36" t="str">
        <f>RTD("ice.rtd",,$C603 &amp; $D603 &amp; ":" &amp; L$1)</f>
        <v/>
      </c>
      <c r="M603" s="14" t="str">
        <f>IFERROR(MOD(TIMEVALUE(RTD("ice.rtd",,$C603 &amp; $D603 &amp; ":" &amp; M$1)), 1), "")</f>
        <v/>
      </c>
      <c r="N603" s="36">
        <f>RTD("ice.rtd",,$C603 &amp; $D603 &amp; ":" &amp; N$1)</f>
        <v>0</v>
      </c>
      <c r="O603" s="36">
        <f>RTD("ice.rtd",,$C603 &amp; $D603 &amp; ":" &amp; O$1)</f>
        <v>0</v>
      </c>
      <c r="P6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3" s="14" t="str">
        <f>IF(ICE[[#This Row],[LastType]] = "Scrn", ICE[[#This Row],[LstDate]], IF(ICE[[#This Row],[LastType]] = "Blk", ICE[[#This Row],[LstBlkTime]], ""))</f>
        <v/>
      </c>
      <c r="R603" s="41" t="str">
        <f>IF(ICE[[#This Row],[LastType]] = "Scrn", ICE[[#This Row],[LstPrc]], IF(ICE[[#This Row],[LastType]] = "Blk", ICE[[#This Row],[LstBlkPrc]], ""))</f>
        <v/>
      </c>
      <c r="S603" s="36">
        <f>ICE[[#This Row],[Vol]]+ICE[[#This Row],[BlkVol]]</f>
        <v>0</v>
      </c>
      <c r="T603" s="36">
        <f>RTD("ice.rtd",,$C603 &amp; $D603 &amp; ":" &amp; T$1)</f>
        <v>91</v>
      </c>
      <c r="U603" s="18">
        <f>RTD("ice.rtd",,$C603 &amp; $D603 &amp; ":" &amp; U$1)</f>
        <v>15.5</v>
      </c>
      <c r="V6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3" s="18" t="str">
        <f>IFERROR(IF(LEFT(ICE[[#This Row],[Tenor]], 1) = "B", RTD("esrtd",,$B603 &amp; " " &amp; ICE[[#This Row],[Tenor]] &amp; "-IEU", W$1), RTD("esrtd",,$B603 &amp; " " &amp; VLOOKUP(MONTH(ICE[[#This Row],[Strip]]), MthRef[], 2, 0) &amp; RIGHT(YEAR(ICE[[#This Row],[Strip]]), 2) &amp; "-IEU", W$1)), "")</f>
        <v/>
      </c>
      <c r="X603" s="36"/>
    </row>
    <row r="604" spans="1:24" x14ac:dyDescent="0.25">
      <c r="A604" s="37" t="s">
        <v>416</v>
      </c>
      <c r="B604" s="3" t="str">
        <f>RTD("ice.rtd",,$C604 &amp; $D604 &amp; ":" &amp; B$1)</f>
        <v>ULI</v>
      </c>
      <c r="C604" s="3">
        <v>34404098</v>
      </c>
      <c r="D604" t="s">
        <v>799</v>
      </c>
      <c r="E604" s="3" t="str">
        <f>RTD("ice.rtd",,$C604 &amp; $D604 &amp; ":" &amp; E$1)</f>
        <v>Jul27</v>
      </c>
      <c r="F604" s="3" t="str">
        <f>ICE[[#This Row],[Prod]]&amp;ICE[[#This Row],[Strip]]</f>
        <v>ulsdccmdiffJul27</v>
      </c>
      <c r="G604" s="18" t="str">
        <f>RTD("ice.rtd",,$C604 &amp; $D604 &amp; ":" &amp; G$1)</f>
        <v/>
      </c>
      <c r="H604" s="18" t="str">
        <f>RTD("ice.rtd",,$C604 &amp; $D604 &amp; ":" &amp; H$1)</f>
        <v/>
      </c>
      <c r="I604" s="18" t="str">
        <f>RTD("ice.rtd",,$C604 &amp; $D604 &amp; ":" &amp; I$1)</f>
        <v/>
      </c>
      <c r="J604" s="14" t="str">
        <f>IFERROR(MOD(RTD("ice.rtd",,$C604 &amp; $D604 &amp; ":" &amp; J$1), 1), "")</f>
        <v/>
      </c>
      <c r="K604" s="18" t="str">
        <f>RTD("ice.rtd",,$C604 &amp; $D604 &amp; ":" &amp; K$1)</f>
        <v/>
      </c>
      <c r="L604" s="36" t="str">
        <f>RTD("ice.rtd",,$C604 &amp; $D604 &amp; ":" &amp; L$1)</f>
        <v/>
      </c>
      <c r="M604" s="14" t="str">
        <f>IFERROR(MOD(TIMEVALUE(RTD("ice.rtd",,$C604 &amp; $D604 &amp; ":" &amp; M$1)), 1), "")</f>
        <v/>
      </c>
      <c r="N604" s="36">
        <f>RTD("ice.rtd",,$C604 &amp; $D604 &amp; ":" &amp; N$1)</f>
        <v>0</v>
      </c>
      <c r="O604" s="36">
        <f>RTD("ice.rtd",,$C604 &amp; $D604 &amp; ":" &amp; O$1)</f>
        <v>0</v>
      </c>
      <c r="P6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4" s="14" t="str">
        <f>IF(ICE[[#This Row],[LastType]] = "Scrn", ICE[[#This Row],[LstDate]], IF(ICE[[#This Row],[LastType]] = "Blk", ICE[[#This Row],[LstBlkTime]], ""))</f>
        <v/>
      </c>
      <c r="R604" s="41" t="str">
        <f>IF(ICE[[#This Row],[LastType]] = "Scrn", ICE[[#This Row],[LstPrc]], IF(ICE[[#This Row],[LastType]] = "Blk", ICE[[#This Row],[LstBlkPrc]], ""))</f>
        <v/>
      </c>
      <c r="S604" s="36">
        <f>ICE[[#This Row],[Vol]]+ICE[[#This Row],[BlkVol]]</f>
        <v>0</v>
      </c>
      <c r="T604" s="36">
        <f>RTD("ice.rtd",,$C604 &amp; $D604 &amp; ":" &amp; T$1)</f>
        <v>57</v>
      </c>
      <c r="U604" s="18">
        <f>RTD("ice.rtd",,$C604 &amp; $D604 &amp; ":" &amp; U$1)</f>
        <v>14.5</v>
      </c>
      <c r="V6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4" s="18" t="str">
        <f>IFERROR(IF(LEFT(ICE[[#This Row],[Tenor]], 1) = "B", RTD("esrtd",,$B604 &amp; " " &amp; ICE[[#This Row],[Tenor]] &amp; "-IEU", W$1), RTD("esrtd",,$B604 &amp; " " &amp; VLOOKUP(MONTH(ICE[[#This Row],[Strip]]), MthRef[], 2, 0) &amp; RIGHT(YEAR(ICE[[#This Row],[Strip]]), 2) &amp; "-IEU", W$1)), "")</f>
        <v/>
      </c>
      <c r="X604" s="36"/>
    </row>
    <row r="605" spans="1:24" x14ac:dyDescent="0.25">
      <c r="A605" s="37" t="s">
        <v>416</v>
      </c>
      <c r="B605" s="3" t="str">
        <f>RTD("ice.rtd",,$C605 &amp; $D605 &amp; ":" &amp; B$1)</f>
        <v>ULI</v>
      </c>
      <c r="C605" s="3">
        <v>34404098</v>
      </c>
      <c r="D605" t="s">
        <v>800</v>
      </c>
      <c r="E605" s="3" t="str">
        <f>RTD("ice.rtd",,$C605 &amp; $D605 &amp; ":" &amp; E$1)</f>
        <v>Aug27</v>
      </c>
      <c r="F605" s="3" t="str">
        <f>ICE[[#This Row],[Prod]]&amp;ICE[[#This Row],[Strip]]</f>
        <v>ulsdccmdiffAug27</v>
      </c>
      <c r="G605" s="18" t="str">
        <f>RTD("ice.rtd",,$C605 &amp; $D605 &amp; ":" &amp; G$1)</f>
        <v/>
      </c>
      <c r="H605" s="18" t="str">
        <f>RTD("ice.rtd",,$C605 &amp; $D605 &amp; ":" &amp; H$1)</f>
        <v/>
      </c>
      <c r="I605" s="18" t="str">
        <f>RTD("ice.rtd",,$C605 &amp; $D605 &amp; ":" &amp; I$1)</f>
        <v/>
      </c>
      <c r="J605" s="14" t="str">
        <f>IFERROR(MOD(RTD("ice.rtd",,$C605 &amp; $D605 &amp; ":" &amp; J$1), 1), "")</f>
        <v/>
      </c>
      <c r="K605" s="18" t="str">
        <f>RTD("ice.rtd",,$C605 &amp; $D605 &amp; ":" &amp; K$1)</f>
        <v/>
      </c>
      <c r="L605" s="36" t="str">
        <f>RTD("ice.rtd",,$C605 &amp; $D605 &amp; ":" &amp; L$1)</f>
        <v/>
      </c>
      <c r="M605" s="14" t="str">
        <f>IFERROR(MOD(TIMEVALUE(RTD("ice.rtd",,$C605 &amp; $D605 &amp; ":" &amp; M$1)), 1), "")</f>
        <v/>
      </c>
      <c r="N605" s="36">
        <f>RTD("ice.rtd",,$C605 &amp; $D605 &amp; ":" &amp; N$1)</f>
        <v>0</v>
      </c>
      <c r="O605" s="36">
        <f>RTD("ice.rtd",,$C605 &amp; $D605 &amp; ":" &amp; O$1)</f>
        <v>0</v>
      </c>
      <c r="P6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5" s="14" t="str">
        <f>IF(ICE[[#This Row],[LastType]] = "Scrn", ICE[[#This Row],[LstDate]], IF(ICE[[#This Row],[LastType]] = "Blk", ICE[[#This Row],[LstBlkTime]], ""))</f>
        <v/>
      </c>
      <c r="R605" s="41" t="str">
        <f>IF(ICE[[#This Row],[LastType]] = "Scrn", ICE[[#This Row],[LstPrc]], IF(ICE[[#This Row],[LastType]] = "Blk", ICE[[#This Row],[LstBlkPrc]], ""))</f>
        <v/>
      </c>
      <c r="S605" s="36">
        <f>ICE[[#This Row],[Vol]]+ICE[[#This Row],[BlkVol]]</f>
        <v>0</v>
      </c>
      <c r="T605" s="36">
        <f>RTD("ice.rtd",,$C605 &amp; $D605 &amp; ":" &amp; T$1)</f>
        <v>57</v>
      </c>
      <c r="U605" s="18">
        <f>RTD("ice.rtd",,$C605 &amp; $D605 &amp; ":" &amp; U$1)</f>
        <v>14.5</v>
      </c>
      <c r="V6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5" s="18" t="str">
        <f>IFERROR(IF(LEFT(ICE[[#This Row],[Tenor]], 1) = "B", RTD("esrtd",,$B605 &amp; " " &amp; ICE[[#This Row],[Tenor]] &amp; "-IEU", W$1), RTD("esrtd",,$B605 &amp; " " &amp; VLOOKUP(MONTH(ICE[[#This Row],[Strip]]), MthRef[], 2, 0) &amp; RIGHT(YEAR(ICE[[#This Row],[Strip]]), 2) &amp; "-IEU", W$1)), "")</f>
        <v/>
      </c>
      <c r="X605" s="36"/>
    </row>
    <row r="606" spans="1:24" x14ac:dyDescent="0.25">
      <c r="A606" s="37" t="s">
        <v>416</v>
      </c>
      <c r="B606" s="3" t="str">
        <f>RTD("ice.rtd",,$C606 &amp; $D606 &amp; ":" &amp; B$1)</f>
        <v>ULI</v>
      </c>
      <c r="C606" s="3">
        <v>34404098</v>
      </c>
      <c r="D606" t="s">
        <v>801</v>
      </c>
      <c r="E606" s="3" t="str">
        <f>RTD("ice.rtd",,$C606 &amp; $D606 &amp; ":" &amp; E$1)</f>
        <v>Sep27</v>
      </c>
      <c r="F606" s="3" t="str">
        <f>ICE[[#This Row],[Prod]]&amp;ICE[[#This Row],[Strip]]</f>
        <v>ulsdccmdiffSep27</v>
      </c>
      <c r="G606" s="18" t="str">
        <f>RTD("ice.rtd",,$C606 &amp; $D606 &amp; ":" &amp; G$1)</f>
        <v/>
      </c>
      <c r="H606" s="18" t="str">
        <f>RTD("ice.rtd",,$C606 &amp; $D606 &amp; ":" &amp; H$1)</f>
        <v/>
      </c>
      <c r="I606" s="18" t="str">
        <f>RTD("ice.rtd",,$C606 &amp; $D606 &amp; ":" &amp; I$1)</f>
        <v/>
      </c>
      <c r="J606" s="14" t="str">
        <f>IFERROR(MOD(RTD("ice.rtd",,$C606 &amp; $D606 &amp; ":" &amp; J$1), 1), "")</f>
        <v/>
      </c>
      <c r="K606" s="18" t="str">
        <f>RTD("ice.rtd",,$C606 &amp; $D606 &amp; ":" &amp; K$1)</f>
        <v/>
      </c>
      <c r="L606" s="36" t="str">
        <f>RTD("ice.rtd",,$C606 &amp; $D606 &amp; ":" &amp; L$1)</f>
        <v/>
      </c>
      <c r="M606" s="14" t="str">
        <f>IFERROR(MOD(TIMEVALUE(RTD("ice.rtd",,$C606 &amp; $D606 &amp; ":" &amp; M$1)), 1), "")</f>
        <v/>
      </c>
      <c r="N606" s="36">
        <f>RTD("ice.rtd",,$C606 &amp; $D606 &amp; ":" &amp; N$1)</f>
        <v>0</v>
      </c>
      <c r="O606" s="36">
        <f>RTD("ice.rtd",,$C606 &amp; $D606 &amp; ":" &amp; O$1)</f>
        <v>0</v>
      </c>
      <c r="P6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6" s="14" t="str">
        <f>IF(ICE[[#This Row],[LastType]] = "Scrn", ICE[[#This Row],[LstDate]], IF(ICE[[#This Row],[LastType]] = "Blk", ICE[[#This Row],[LstBlkTime]], ""))</f>
        <v/>
      </c>
      <c r="R606" s="41" t="str">
        <f>IF(ICE[[#This Row],[LastType]] = "Scrn", ICE[[#This Row],[LstPrc]], IF(ICE[[#This Row],[LastType]] = "Blk", ICE[[#This Row],[LstBlkPrc]], ""))</f>
        <v/>
      </c>
      <c r="S606" s="36">
        <f>ICE[[#This Row],[Vol]]+ICE[[#This Row],[BlkVol]]</f>
        <v>0</v>
      </c>
      <c r="T606" s="36">
        <f>RTD("ice.rtd",,$C606 &amp; $D606 &amp; ":" &amp; T$1)</f>
        <v>57</v>
      </c>
      <c r="U606" s="18">
        <f>RTD("ice.rtd",,$C606 &amp; $D606 &amp; ":" &amp; U$1)</f>
        <v>14.5</v>
      </c>
      <c r="V6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6" s="18" t="str">
        <f>IFERROR(IF(LEFT(ICE[[#This Row],[Tenor]], 1) = "B", RTD("esrtd",,$B606 &amp; " " &amp; ICE[[#This Row],[Tenor]] &amp; "-IEU", W$1), RTD("esrtd",,$B606 &amp; " " &amp; VLOOKUP(MONTH(ICE[[#This Row],[Strip]]), MthRef[], 2, 0) &amp; RIGHT(YEAR(ICE[[#This Row],[Strip]]), 2) &amp; "-IEU", W$1)), "")</f>
        <v/>
      </c>
      <c r="X606" s="36"/>
    </row>
    <row r="607" spans="1:24" x14ac:dyDescent="0.25">
      <c r="A607" s="37" t="s">
        <v>416</v>
      </c>
      <c r="B607" s="3" t="str">
        <f>RTD("ice.rtd",,$C607 &amp; $D607 &amp; ":" &amp; B$1)</f>
        <v>ULI</v>
      </c>
      <c r="C607" s="3">
        <v>34404098</v>
      </c>
      <c r="D607" t="s">
        <v>802</v>
      </c>
      <c r="E607" s="3" t="str">
        <f>RTD("ice.rtd",,$C607 &amp; $D607 &amp; ":" &amp; E$1)</f>
        <v>Oct27</v>
      </c>
      <c r="F607" s="3" t="str">
        <f>ICE[[#This Row],[Prod]]&amp;ICE[[#This Row],[Strip]]</f>
        <v>ulsdccmdiffOct27</v>
      </c>
      <c r="G607" s="18" t="str">
        <f>RTD("ice.rtd",,$C607 &amp; $D607 &amp; ":" &amp; G$1)</f>
        <v/>
      </c>
      <c r="H607" s="18" t="str">
        <f>RTD("ice.rtd",,$C607 &amp; $D607 &amp; ":" &amp; H$1)</f>
        <v/>
      </c>
      <c r="I607" s="18" t="str">
        <f>RTD("ice.rtd",,$C607 &amp; $D607 &amp; ":" &amp; I$1)</f>
        <v/>
      </c>
      <c r="J607" s="14" t="str">
        <f>IFERROR(MOD(RTD("ice.rtd",,$C607 &amp; $D607 &amp; ":" &amp; J$1), 1), "")</f>
        <v/>
      </c>
      <c r="K607" s="18" t="str">
        <f>RTD("ice.rtd",,$C607 &amp; $D607 &amp; ":" &amp; K$1)</f>
        <v/>
      </c>
      <c r="L607" s="36" t="str">
        <f>RTD("ice.rtd",,$C607 &amp; $D607 &amp; ":" &amp; L$1)</f>
        <v/>
      </c>
      <c r="M607" s="14" t="str">
        <f>IFERROR(MOD(TIMEVALUE(RTD("ice.rtd",,$C607 &amp; $D607 &amp; ":" &amp; M$1)), 1), "")</f>
        <v/>
      </c>
      <c r="N607" s="36">
        <f>RTD("ice.rtd",,$C607 &amp; $D607 &amp; ":" &amp; N$1)</f>
        <v>0</v>
      </c>
      <c r="O607" s="36">
        <f>RTD("ice.rtd",,$C607 &amp; $D607 &amp; ":" &amp; O$1)</f>
        <v>0</v>
      </c>
      <c r="P6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7" s="14" t="str">
        <f>IF(ICE[[#This Row],[LastType]] = "Scrn", ICE[[#This Row],[LstDate]], IF(ICE[[#This Row],[LastType]] = "Blk", ICE[[#This Row],[LstBlkTime]], ""))</f>
        <v/>
      </c>
      <c r="R607" s="41" t="str">
        <f>IF(ICE[[#This Row],[LastType]] = "Scrn", ICE[[#This Row],[LstPrc]], IF(ICE[[#This Row],[LastType]] = "Blk", ICE[[#This Row],[LstBlkPrc]], ""))</f>
        <v/>
      </c>
      <c r="S607" s="36">
        <f>ICE[[#This Row],[Vol]]+ICE[[#This Row],[BlkVol]]</f>
        <v>0</v>
      </c>
      <c r="T607" s="36">
        <f>RTD("ice.rtd",,$C607 &amp; $D607 &amp; ":" &amp; T$1)</f>
        <v>85</v>
      </c>
      <c r="U607" s="18">
        <f>RTD("ice.rtd",,$C607 &amp; $D607 &amp; ":" &amp; U$1)</f>
        <v>14.5</v>
      </c>
      <c r="V6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7" s="18" t="str">
        <f>IFERROR(IF(LEFT(ICE[[#This Row],[Tenor]], 1) = "B", RTD("esrtd",,$B607 &amp; " " &amp; ICE[[#This Row],[Tenor]] &amp; "-IEU", W$1), RTD("esrtd",,$B607 &amp; " " &amp; VLOOKUP(MONTH(ICE[[#This Row],[Strip]]), MthRef[], 2, 0) &amp; RIGHT(YEAR(ICE[[#This Row],[Strip]]), 2) &amp; "-IEU", W$1)), "")</f>
        <v/>
      </c>
      <c r="X607" s="36"/>
    </row>
    <row r="608" spans="1:24" x14ac:dyDescent="0.25">
      <c r="A608" s="37" t="s">
        <v>416</v>
      </c>
      <c r="B608" s="3" t="str">
        <f>RTD("ice.rtd",,$C608 &amp; $D608 &amp; ":" &amp; B$1)</f>
        <v>ULI</v>
      </c>
      <c r="C608" s="3">
        <v>34404098</v>
      </c>
      <c r="D608" t="s">
        <v>803</v>
      </c>
      <c r="E608" s="3" t="str">
        <f>RTD("ice.rtd",,$C608 &amp; $D608 &amp; ":" &amp; E$1)</f>
        <v>Nov27</v>
      </c>
      <c r="F608" s="3" t="str">
        <f>ICE[[#This Row],[Prod]]&amp;ICE[[#This Row],[Strip]]</f>
        <v>ulsdccmdiffNov27</v>
      </c>
      <c r="G608" s="18" t="str">
        <f>RTD("ice.rtd",,$C608 &amp; $D608 &amp; ":" &amp; G$1)</f>
        <v/>
      </c>
      <c r="H608" s="18" t="str">
        <f>RTD("ice.rtd",,$C608 &amp; $D608 &amp; ":" &amp; H$1)</f>
        <v/>
      </c>
      <c r="I608" s="18" t="str">
        <f>RTD("ice.rtd",,$C608 &amp; $D608 &amp; ":" &amp; I$1)</f>
        <v/>
      </c>
      <c r="J608" s="14" t="str">
        <f>IFERROR(MOD(RTD("ice.rtd",,$C608 &amp; $D608 &amp; ":" &amp; J$1), 1), "")</f>
        <v/>
      </c>
      <c r="K608" s="18" t="str">
        <f>RTD("ice.rtd",,$C608 &amp; $D608 &amp; ":" &amp; K$1)</f>
        <v/>
      </c>
      <c r="L608" s="36" t="str">
        <f>RTD("ice.rtd",,$C608 &amp; $D608 &amp; ":" &amp; L$1)</f>
        <v/>
      </c>
      <c r="M608" s="14" t="str">
        <f>IFERROR(MOD(TIMEVALUE(RTD("ice.rtd",,$C608 &amp; $D608 &amp; ":" &amp; M$1)), 1), "")</f>
        <v/>
      </c>
      <c r="N608" s="36">
        <f>RTD("ice.rtd",,$C608 &amp; $D608 &amp; ":" &amp; N$1)</f>
        <v>0</v>
      </c>
      <c r="O608" s="36">
        <f>RTD("ice.rtd",,$C608 &amp; $D608 &amp; ":" &amp; O$1)</f>
        <v>0</v>
      </c>
      <c r="P6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8" s="14" t="str">
        <f>IF(ICE[[#This Row],[LastType]] = "Scrn", ICE[[#This Row],[LstDate]], IF(ICE[[#This Row],[LastType]] = "Blk", ICE[[#This Row],[LstBlkTime]], ""))</f>
        <v/>
      </c>
      <c r="R608" s="41" t="str">
        <f>IF(ICE[[#This Row],[LastType]] = "Scrn", ICE[[#This Row],[LstPrc]], IF(ICE[[#This Row],[LastType]] = "Blk", ICE[[#This Row],[LstBlkPrc]], ""))</f>
        <v/>
      </c>
      <c r="S608" s="36">
        <f>ICE[[#This Row],[Vol]]+ICE[[#This Row],[BlkVol]]</f>
        <v>0</v>
      </c>
      <c r="T608" s="36">
        <f>RTD("ice.rtd",,$C608 &amp; $D608 &amp; ":" &amp; T$1)</f>
        <v>85</v>
      </c>
      <c r="U608" s="18">
        <f>RTD("ice.rtd",,$C608 &amp; $D608 &amp; ":" &amp; U$1)</f>
        <v>14.5</v>
      </c>
      <c r="V6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8" s="18" t="str">
        <f>IFERROR(IF(LEFT(ICE[[#This Row],[Tenor]], 1) = "B", RTD("esrtd",,$B608 &amp; " " &amp; ICE[[#This Row],[Tenor]] &amp; "-IEU", W$1), RTD("esrtd",,$B608 &amp; " " &amp; VLOOKUP(MONTH(ICE[[#This Row],[Strip]]), MthRef[], 2, 0) &amp; RIGHT(YEAR(ICE[[#This Row],[Strip]]), 2) &amp; "-IEU", W$1)), "")</f>
        <v/>
      </c>
      <c r="X608" s="36"/>
    </row>
    <row r="609" spans="1:24" x14ac:dyDescent="0.25">
      <c r="A609" s="37" t="s">
        <v>416</v>
      </c>
      <c r="B609" s="3" t="str">
        <f>RTD("ice.rtd",,$C609 &amp; $D609 &amp; ":" &amp; B$1)</f>
        <v>ULI</v>
      </c>
      <c r="C609" s="3">
        <v>34404098</v>
      </c>
      <c r="D609" t="s">
        <v>804</v>
      </c>
      <c r="E609" s="3" t="str">
        <f>RTD("ice.rtd",,$C609 &amp; $D609 &amp; ":" &amp; E$1)</f>
        <v>Dec27</v>
      </c>
      <c r="F609" s="3" t="str">
        <f>ICE[[#This Row],[Prod]]&amp;ICE[[#This Row],[Strip]]</f>
        <v>ulsdccmdiffDec27</v>
      </c>
      <c r="G609" s="18" t="str">
        <f>RTD("ice.rtd",,$C609 &amp; $D609 &amp; ":" &amp; G$1)</f>
        <v/>
      </c>
      <c r="H609" s="18" t="str">
        <f>RTD("ice.rtd",,$C609 &amp; $D609 &amp; ":" &amp; H$1)</f>
        <v/>
      </c>
      <c r="I609" s="18" t="str">
        <f>RTD("ice.rtd",,$C609 &amp; $D609 &amp; ":" &amp; I$1)</f>
        <v/>
      </c>
      <c r="J609" s="14" t="str">
        <f>IFERROR(MOD(RTD("ice.rtd",,$C609 &amp; $D609 &amp; ":" &amp; J$1), 1), "")</f>
        <v/>
      </c>
      <c r="K609" s="18" t="str">
        <f>RTD("ice.rtd",,$C609 &amp; $D609 &amp; ":" &amp; K$1)</f>
        <v/>
      </c>
      <c r="L609" s="36" t="str">
        <f>RTD("ice.rtd",,$C609 &amp; $D609 &amp; ":" &amp; L$1)</f>
        <v/>
      </c>
      <c r="M609" s="14" t="str">
        <f>IFERROR(MOD(TIMEVALUE(RTD("ice.rtd",,$C609 &amp; $D609 &amp; ":" &amp; M$1)), 1), "")</f>
        <v/>
      </c>
      <c r="N609" s="36">
        <f>RTD("ice.rtd",,$C609 &amp; $D609 &amp; ":" &amp; N$1)</f>
        <v>0</v>
      </c>
      <c r="O609" s="36">
        <f>RTD("ice.rtd",,$C609 &amp; $D609 &amp; ":" &amp; O$1)</f>
        <v>0</v>
      </c>
      <c r="P6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09" s="14" t="str">
        <f>IF(ICE[[#This Row],[LastType]] = "Scrn", ICE[[#This Row],[LstDate]], IF(ICE[[#This Row],[LastType]] = "Blk", ICE[[#This Row],[LstBlkTime]], ""))</f>
        <v/>
      </c>
      <c r="R609" s="41" t="str">
        <f>IF(ICE[[#This Row],[LastType]] = "Scrn", ICE[[#This Row],[LstPrc]], IF(ICE[[#This Row],[LastType]] = "Blk", ICE[[#This Row],[LstBlkPrc]], ""))</f>
        <v/>
      </c>
      <c r="S609" s="36">
        <f>ICE[[#This Row],[Vol]]+ICE[[#This Row],[BlkVol]]</f>
        <v>0</v>
      </c>
      <c r="T609" s="36">
        <f>RTD("ice.rtd",,$C609 &amp; $D609 &amp; ":" &amp; T$1)</f>
        <v>85</v>
      </c>
      <c r="U609" s="18">
        <f>RTD("ice.rtd",,$C609 &amp; $D609 &amp; ":" &amp; U$1)</f>
        <v>13.25</v>
      </c>
      <c r="V6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09" s="18" t="str">
        <f>IFERROR(IF(LEFT(ICE[[#This Row],[Tenor]], 1) = "B", RTD("esrtd",,$B609 &amp; " " &amp; ICE[[#This Row],[Tenor]] &amp; "-IEU", W$1), RTD("esrtd",,$B609 &amp; " " &amp; VLOOKUP(MONTH(ICE[[#This Row],[Strip]]), MthRef[], 2, 0) &amp; RIGHT(YEAR(ICE[[#This Row],[Strip]]), 2) &amp; "-IEU", W$1)), "")</f>
        <v/>
      </c>
      <c r="X609" s="36"/>
    </row>
    <row r="610" spans="1:24" x14ac:dyDescent="0.25">
      <c r="A610" s="37" t="s">
        <v>416</v>
      </c>
      <c r="B610" s="3" t="str">
        <f>RTD("ice.rtd",,$C610 &amp; $D610 &amp; ":" &amp; B$1)</f>
        <v>ULI</v>
      </c>
      <c r="C610" s="3">
        <v>34404098</v>
      </c>
      <c r="D610" t="s">
        <v>805</v>
      </c>
      <c r="E610" s="3" t="str">
        <f>RTD("ice.rtd",,$C610 &amp; $D610 &amp; ":" &amp; E$1)</f>
        <v>Jan28</v>
      </c>
      <c r="F610" s="3" t="str">
        <f>ICE[[#This Row],[Prod]]&amp;ICE[[#This Row],[Strip]]</f>
        <v>ulsdccmdiffJan28</v>
      </c>
      <c r="G610" s="18" t="str">
        <f>RTD("ice.rtd",,$C610 &amp; $D610 &amp; ":" &amp; G$1)</f>
        <v/>
      </c>
      <c r="H610" s="18" t="str">
        <f>RTD("ice.rtd",,$C610 &amp; $D610 &amp; ":" &amp; H$1)</f>
        <v/>
      </c>
      <c r="I610" s="18" t="str">
        <f>RTD("ice.rtd",,$C610 &amp; $D610 &amp; ":" &amp; I$1)</f>
        <v/>
      </c>
      <c r="J610" s="14" t="str">
        <f>IFERROR(MOD(RTD("ice.rtd",,$C610 &amp; $D610 &amp; ":" &amp; J$1), 1), "")</f>
        <v/>
      </c>
      <c r="K610" s="18" t="str">
        <f>RTD("ice.rtd",,$C610 &amp; $D610 &amp; ":" &amp; K$1)</f>
        <v/>
      </c>
      <c r="L610" s="36" t="str">
        <f>RTD("ice.rtd",,$C610 &amp; $D610 &amp; ":" &amp; L$1)</f>
        <v/>
      </c>
      <c r="M610" s="14" t="str">
        <f>IFERROR(MOD(TIMEVALUE(RTD("ice.rtd",,$C610 &amp; $D610 &amp; ":" &amp; M$1)), 1), "")</f>
        <v/>
      </c>
      <c r="N610" s="36">
        <f>RTD("ice.rtd",,$C610 &amp; $D610 &amp; ":" &amp; N$1)</f>
        <v>0</v>
      </c>
      <c r="O610" s="36">
        <f>RTD("ice.rtd",,$C610 &amp; $D610 &amp; ":" &amp; O$1)</f>
        <v>0</v>
      </c>
      <c r="P6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0" s="14" t="str">
        <f>IF(ICE[[#This Row],[LastType]] = "Scrn", ICE[[#This Row],[LstDate]], IF(ICE[[#This Row],[LastType]] = "Blk", ICE[[#This Row],[LstBlkTime]], ""))</f>
        <v/>
      </c>
      <c r="R610" s="41" t="str">
        <f>IF(ICE[[#This Row],[LastType]] = "Scrn", ICE[[#This Row],[LstPrc]], IF(ICE[[#This Row],[LastType]] = "Blk", ICE[[#This Row],[LstBlkPrc]], ""))</f>
        <v/>
      </c>
      <c r="S610" s="36">
        <f>ICE[[#This Row],[Vol]]+ICE[[#This Row],[BlkVol]]</f>
        <v>0</v>
      </c>
      <c r="T610" s="36">
        <f>RTD("ice.rtd",,$C610 &amp; $D610 &amp; ":" &amp; T$1)</f>
        <v>0</v>
      </c>
      <c r="U610" s="18">
        <f>RTD("ice.rtd",,$C610 &amp; $D610 &amp; ":" &amp; U$1)</f>
        <v>13</v>
      </c>
      <c r="V6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0" s="18" t="str">
        <f>IFERROR(IF(LEFT(ICE[[#This Row],[Tenor]], 1) = "B", RTD("esrtd",,$B610 &amp; " " &amp; ICE[[#This Row],[Tenor]] &amp; "-IEU", W$1), RTD("esrtd",,$B610 &amp; " " &amp; VLOOKUP(MONTH(ICE[[#This Row],[Strip]]), MthRef[], 2, 0) &amp; RIGHT(YEAR(ICE[[#This Row],[Strip]]), 2) &amp; "-IEU", W$1)), "")</f>
        <v/>
      </c>
      <c r="X610" s="36"/>
    </row>
    <row r="611" spans="1:24" x14ac:dyDescent="0.25">
      <c r="A611" s="37" t="s">
        <v>416</v>
      </c>
      <c r="B611" s="3" t="str">
        <f>RTD("ice.rtd",,$C611 &amp; $D611 &amp; ":" &amp; B$1)</f>
        <v>ULI</v>
      </c>
      <c r="C611" s="3">
        <v>34404098</v>
      </c>
      <c r="D611" t="s">
        <v>806</v>
      </c>
      <c r="E611" s="3" t="str">
        <f>RTD("ice.rtd",,$C611 &amp; $D611 &amp; ":" &amp; E$1)</f>
        <v>Feb28</v>
      </c>
      <c r="F611" s="3" t="str">
        <f>ICE[[#This Row],[Prod]]&amp;ICE[[#This Row],[Strip]]</f>
        <v>ulsdccmdiffFeb28</v>
      </c>
      <c r="G611" s="18" t="str">
        <f>RTD("ice.rtd",,$C611 &amp; $D611 &amp; ":" &amp; G$1)</f>
        <v/>
      </c>
      <c r="H611" s="18" t="str">
        <f>RTD("ice.rtd",,$C611 &amp; $D611 &amp; ":" &amp; H$1)</f>
        <v/>
      </c>
      <c r="I611" s="18" t="str">
        <f>RTD("ice.rtd",,$C611 &amp; $D611 &amp; ":" &amp; I$1)</f>
        <v/>
      </c>
      <c r="J611" s="14" t="str">
        <f>IFERROR(MOD(RTD("ice.rtd",,$C611 &amp; $D611 &amp; ":" &amp; J$1), 1), "")</f>
        <v/>
      </c>
      <c r="K611" s="18" t="str">
        <f>RTD("ice.rtd",,$C611 &amp; $D611 &amp; ":" &amp; K$1)</f>
        <v/>
      </c>
      <c r="L611" s="36" t="str">
        <f>RTD("ice.rtd",,$C611 &amp; $D611 &amp; ":" &amp; L$1)</f>
        <v/>
      </c>
      <c r="M611" s="14" t="str">
        <f>IFERROR(MOD(TIMEVALUE(RTD("ice.rtd",,$C611 &amp; $D611 &amp; ":" &amp; M$1)), 1), "")</f>
        <v/>
      </c>
      <c r="N611" s="36">
        <f>RTD("ice.rtd",,$C611 &amp; $D611 &amp; ":" &amp; N$1)</f>
        <v>0</v>
      </c>
      <c r="O611" s="36">
        <f>RTD("ice.rtd",,$C611 &amp; $D611 &amp; ":" &amp; O$1)</f>
        <v>0</v>
      </c>
      <c r="P6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1" s="14" t="str">
        <f>IF(ICE[[#This Row],[LastType]] = "Scrn", ICE[[#This Row],[LstDate]], IF(ICE[[#This Row],[LastType]] = "Blk", ICE[[#This Row],[LstBlkTime]], ""))</f>
        <v/>
      </c>
      <c r="R611" s="41" t="str">
        <f>IF(ICE[[#This Row],[LastType]] = "Scrn", ICE[[#This Row],[LstPrc]], IF(ICE[[#This Row],[LastType]] = "Blk", ICE[[#This Row],[LstBlkPrc]], ""))</f>
        <v/>
      </c>
      <c r="S611" s="36">
        <f>ICE[[#This Row],[Vol]]+ICE[[#This Row],[BlkVol]]</f>
        <v>0</v>
      </c>
      <c r="T611" s="36">
        <f>RTD("ice.rtd",,$C611 &amp; $D611 &amp; ":" &amp; T$1)</f>
        <v>0</v>
      </c>
      <c r="U611" s="18">
        <f>RTD("ice.rtd",,$C611 &amp; $D611 &amp; ":" &amp; U$1)</f>
        <v>13</v>
      </c>
      <c r="V6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1" s="18" t="str">
        <f>IFERROR(IF(LEFT(ICE[[#This Row],[Tenor]], 1) = "B", RTD("esrtd",,$B611 &amp; " " &amp; ICE[[#This Row],[Tenor]] &amp; "-IEU", W$1), RTD("esrtd",,$B611 &amp; " " &amp; VLOOKUP(MONTH(ICE[[#This Row],[Strip]]), MthRef[], 2, 0) &amp; RIGHT(YEAR(ICE[[#This Row],[Strip]]), 2) &amp; "-IEU", W$1)), "")</f>
        <v/>
      </c>
      <c r="X611" s="36"/>
    </row>
    <row r="612" spans="1:24" x14ac:dyDescent="0.25">
      <c r="A612" s="37" t="s">
        <v>416</v>
      </c>
      <c r="B612" s="3" t="str">
        <f>RTD("ice.rtd",,$C612 &amp; $D612 &amp; ":" &amp; B$1)</f>
        <v>ULI</v>
      </c>
      <c r="C612" s="3">
        <v>34404098</v>
      </c>
      <c r="D612" t="s">
        <v>807</v>
      </c>
      <c r="E612" s="3" t="str">
        <f>RTD("ice.rtd",,$C612 &amp; $D612 &amp; ":" &amp; E$1)</f>
        <v>Mar28</v>
      </c>
      <c r="F612" s="3" t="str">
        <f>ICE[[#This Row],[Prod]]&amp;ICE[[#This Row],[Strip]]</f>
        <v>ulsdccmdiffMar28</v>
      </c>
      <c r="G612" s="18" t="str">
        <f>RTD("ice.rtd",,$C612 &amp; $D612 &amp; ":" &amp; G$1)</f>
        <v/>
      </c>
      <c r="H612" s="18" t="str">
        <f>RTD("ice.rtd",,$C612 &amp; $D612 &amp; ":" &amp; H$1)</f>
        <v/>
      </c>
      <c r="I612" s="18" t="str">
        <f>RTD("ice.rtd",,$C612 &amp; $D612 &amp; ":" &amp; I$1)</f>
        <v/>
      </c>
      <c r="J612" s="14" t="str">
        <f>IFERROR(MOD(RTD("ice.rtd",,$C612 &amp; $D612 &amp; ":" &amp; J$1), 1), "")</f>
        <v/>
      </c>
      <c r="K612" s="18" t="str">
        <f>RTD("ice.rtd",,$C612 &amp; $D612 &amp; ":" &amp; K$1)</f>
        <v/>
      </c>
      <c r="L612" s="36" t="str">
        <f>RTD("ice.rtd",,$C612 &amp; $D612 &amp; ":" &amp; L$1)</f>
        <v/>
      </c>
      <c r="M612" s="14" t="str">
        <f>IFERROR(MOD(TIMEVALUE(RTD("ice.rtd",,$C612 &amp; $D612 &amp; ":" &amp; M$1)), 1), "")</f>
        <v/>
      </c>
      <c r="N612" s="36">
        <f>RTD("ice.rtd",,$C612 &amp; $D612 &amp; ":" &amp; N$1)</f>
        <v>0</v>
      </c>
      <c r="O612" s="36">
        <f>RTD("ice.rtd",,$C612 &amp; $D612 &amp; ":" &amp; O$1)</f>
        <v>0</v>
      </c>
      <c r="P6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2" s="14" t="str">
        <f>IF(ICE[[#This Row],[LastType]] = "Scrn", ICE[[#This Row],[LstDate]], IF(ICE[[#This Row],[LastType]] = "Blk", ICE[[#This Row],[LstBlkTime]], ""))</f>
        <v/>
      </c>
      <c r="R612" s="41" t="str">
        <f>IF(ICE[[#This Row],[LastType]] = "Scrn", ICE[[#This Row],[LstPrc]], IF(ICE[[#This Row],[LastType]] = "Blk", ICE[[#This Row],[LstBlkPrc]], ""))</f>
        <v/>
      </c>
      <c r="S612" s="36">
        <f>ICE[[#This Row],[Vol]]+ICE[[#This Row],[BlkVol]]</f>
        <v>0</v>
      </c>
      <c r="T612" s="36">
        <f>RTD("ice.rtd",,$C612 &amp; $D612 &amp; ":" &amp; T$1)</f>
        <v>0</v>
      </c>
      <c r="U612" s="18">
        <f>RTD("ice.rtd",,$C612 &amp; $D612 &amp; ":" &amp; U$1)</f>
        <v>13</v>
      </c>
      <c r="V6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2" s="18" t="str">
        <f>IFERROR(IF(LEFT(ICE[[#This Row],[Tenor]], 1) = "B", RTD("esrtd",,$B612 &amp; " " &amp; ICE[[#This Row],[Tenor]] &amp; "-IEU", W$1), RTD("esrtd",,$B612 &amp; " " &amp; VLOOKUP(MONTH(ICE[[#This Row],[Strip]]), MthRef[], 2, 0) &amp; RIGHT(YEAR(ICE[[#This Row],[Strip]]), 2) &amp; "-IEU", W$1)), "")</f>
        <v/>
      </c>
      <c r="X612" s="36"/>
    </row>
    <row r="613" spans="1:24" x14ac:dyDescent="0.25">
      <c r="A613" s="37" t="s">
        <v>416</v>
      </c>
      <c r="B613" s="3" t="str">
        <f>RTD("ice.rtd",,$C613 &amp; $D613 &amp; ":" &amp; B$1)</f>
        <v>ULI</v>
      </c>
      <c r="C613" s="3">
        <v>34404098</v>
      </c>
      <c r="D613" t="s">
        <v>808</v>
      </c>
      <c r="E613" s="3" t="str">
        <f>RTD("ice.rtd",,$C613 &amp; $D613 &amp; ":" &amp; E$1)</f>
        <v>Apr28</v>
      </c>
      <c r="F613" s="3" t="str">
        <f>ICE[[#This Row],[Prod]]&amp;ICE[[#This Row],[Strip]]</f>
        <v>ulsdccmdiffApr28</v>
      </c>
      <c r="G613" s="18" t="str">
        <f>RTD("ice.rtd",,$C613 &amp; $D613 &amp; ":" &amp; G$1)</f>
        <v/>
      </c>
      <c r="H613" s="18" t="str">
        <f>RTD("ice.rtd",,$C613 &amp; $D613 &amp; ":" &amp; H$1)</f>
        <v/>
      </c>
      <c r="I613" s="18" t="str">
        <f>RTD("ice.rtd",,$C613 &amp; $D613 &amp; ":" &amp; I$1)</f>
        <v/>
      </c>
      <c r="J613" s="14" t="str">
        <f>IFERROR(MOD(RTD("ice.rtd",,$C613 &amp; $D613 &amp; ":" &amp; J$1), 1), "")</f>
        <v/>
      </c>
      <c r="K613" s="18" t="str">
        <f>RTD("ice.rtd",,$C613 &amp; $D613 &amp; ":" &amp; K$1)</f>
        <v/>
      </c>
      <c r="L613" s="36" t="str">
        <f>RTD("ice.rtd",,$C613 &amp; $D613 &amp; ":" &amp; L$1)</f>
        <v/>
      </c>
      <c r="M613" s="14" t="str">
        <f>IFERROR(MOD(TIMEVALUE(RTD("ice.rtd",,$C613 &amp; $D613 &amp; ":" &amp; M$1)), 1), "")</f>
        <v/>
      </c>
      <c r="N613" s="36">
        <f>RTD("ice.rtd",,$C613 &amp; $D613 &amp; ":" &amp; N$1)</f>
        <v>0</v>
      </c>
      <c r="O613" s="36">
        <f>RTD("ice.rtd",,$C613 &amp; $D613 &amp; ":" &amp; O$1)</f>
        <v>0</v>
      </c>
      <c r="P6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3" s="14" t="str">
        <f>IF(ICE[[#This Row],[LastType]] = "Scrn", ICE[[#This Row],[LstDate]], IF(ICE[[#This Row],[LastType]] = "Blk", ICE[[#This Row],[LstBlkTime]], ""))</f>
        <v/>
      </c>
      <c r="R613" s="41" t="str">
        <f>IF(ICE[[#This Row],[LastType]] = "Scrn", ICE[[#This Row],[LstPrc]], IF(ICE[[#This Row],[LastType]] = "Blk", ICE[[#This Row],[LstBlkPrc]], ""))</f>
        <v/>
      </c>
      <c r="S613" s="36">
        <f>ICE[[#This Row],[Vol]]+ICE[[#This Row],[BlkVol]]</f>
        <v>0</v>
      </c>
      <c r="T613" s="36">
        <f>RTD("ice.rtd",,$C613 &amp; $D613 &amp; ":" &amp; T$1)</f>
        <v>0</v>
      </c>
      <c r="U613" s="18">
        <f>RTD("ice.rtd",,$C613 &amp; $D613 &amp; ":" &amp; U$1)</f>
        <v>12</v>
      </c>
      <c r="V6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3" s="18" t="str">
        <f>IFERROR(IF(LEFT(ICE[[#This Row],[Tenor]], 1) = "B", RTD("esrtd",,$B613 &amp; " " &amp; ICE[[#This Row],[Tenor]] &amp; "-IEU", W$1), RTD("esrtd",,$B613 &amp; " " &amp; VLOOKUP(MONTH(ICE[[#This Row],[Strip]]), MthRef[], 2, 0) &amp; RIGHT(YEAR(ICE[[#This Row],[Strip]]), 2) &amp; "-IEU", W$1)), "")</f>
        <v/>
      </c>
      <c r="X613" s="36"/>
    </row>
    <row r="614" spans="1:24" x14ac:dyDescent="0.25">
      <c r="A614" s="37" t="s">
        <v>416</v>
      </c>
      <c r="B614" s="3" t="str">
        <f>RTD("ice.rtd",,$C614 &amp; $D614 &amp; ":" &amp; B$1)</f>
        <v>ULI</v>
      </c>
      <c r="C614" s="3">
        <v>34404098</v>
      </c>
      <c r="D614" t="s">
        <v>809</v>
      </c>
      <c r="E614" s="3" t="str">
        <f>RTD("ice.rtd",,$C614 &amp; $D614 &amp; ":" &amp; E$1)</f>
        <v>May28</v>
      </c>
      <c r="F614" s="3" t="str">
        <f>ICE[[#This Row],[Prod]]&amp;ICE[[#This Row],[Strip]]</f>
        <v>ulsdccmdiffMay28</v>
      </c>
      <c r="G614" s="18" t="str">
        <f>RTD("ice.rtd",,$C614 &amp; $D614 &amp; ":" &amp; G$1)</f>
        <v/>
      </c>
      <c r="H614" s="18" t="str">
        <f>RTD("ice.rtd",,$C614 &amp; $D614 &amp; ":" &amp; H$1)</f>
        <v/>
      </c>
      <c r="I614" s="18" t="str">
        <f>RTD("ice.rtd",,$C614 &amp; $D614 &amp; ":" &amp; I$1)</f>
        <v/>
      </c>
      <c r="J614" s="14" t="str">
        <f>IFERROR(MOD(RTD("ice.rtd",,$C614 &amp; $D614 &amp; ":" &amp; J$1), 1), "")</f>
        <v/>
      </c>
      <c r="K614" s="18" t="str">
        <f>RTD("ice.rtd",,$C614 &amp; $D614 &amp; ":" &amp; K$1)</f>
        <v/>
      </c>
      <c r="L614" s="36" t="str">
        <f>RTD("ice.rtd",,$C614 &amp; $D614 &amp; ":" &amp; L$1)</f>
        <v/>
      </c>
      <c r="M614" s="14" t="str">
        <f>IFERROR(MOD(TIMEVALUE(RTD("ice.rtd",,$C614 &amp; $D614 &amp; ":" &amp; M$1)), 1), "")</f>
        <v/>
      </c>
      <c r="N614" s="36">
        <f>RTD("ice.rtd",,$C614 &amp; $D614 &amp; ":" &amp; N$1)</f>
        <v>0</v>
      </c>
      <c r="O614" s="36">
        <f>RTD("ice.rtd",,$C614 &amp; $D614 &amp; ":" &amp; O$1)</f>
        <v>0</v>
      </c>
      <c r="P6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4" s="14" t="str">
        <f>IF(ICE[[#This Row],[LastType]] = "Scrn", ICE[[#This Row],[LstDate]], IF(ICE[[#This Row],[LastType]] = "Blk", ICE[[#This Row],[LstBlkTime]], ""))</f>
        <v/>
      </c>
      <c r="R614" s="41" t="str">
        <f>IF(ICE[[#This Row],[LastType]] = "Scrn", ICE[[#This Row],[LstPrc]], IF(ICE[[#This Row],[LastType]] = "Blk", ICE[[#This Row],[LstBlkPrc]], ""))</f>
        <v/>
      </c>
      <c r="S614" s="36">
        <f>ICE[[#This Row],[Vol]]+ICE[[#This Row],[BlkVol]]</f>
        <v>0</v>
      </c>
      <c r="T614" s="36">
        <f>RTD("ice.rtd",,$C614 &amp; $D614 &amp; ":" &amp; T$1)</f>
        <v>0</v>
      </c>
      <c r="U614" s="18">
        <f>RTD("ice.rtd",,$C614 &amp; $D614 &amp; ":" &amp; U$1)</f>
        <v>12</v>
      </c>
      <c r="V6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4" s="18" t="str">
        <f>IFERROR(IF(LEFT(ICE[[#This Row],[Tenor]], 1) = "B", RTD("esrtd",,$B614 &amp; " " &amp; ICE[[#This Row],[Tenor]] &amp; "-IEU", W$1), RTD("esrtd",,$B614 &amp; " " &amp; VLOOKUP(MONTH(ICE[[#This Row],[Strip]]), MthRef[], 2, 0) &amp; RIGHT(YEAR(ICE[[#This Row],[Strip]]), 2) &amp; "-IEU", W$1)), "")</f>
        <v/>
      </c>
      <c r="X614" s="36"/>
    </row>
    <row r="615" spans="1:24" x14ac:dyDescent="0.25">
      <c r="A615" s="37" t="s">
        <v>416</v>
      </c>
      <c r="B615" s="3" t="str">
        <f>RTD("ice.rtd",,$C615 &amp; $D615 &amp; ":" &amp; B$1)</f>
        <v>ULI</v>
      </c>
      <c r="C615" s="3">
        <v>34404098</v>
      </c>
      <c r="D615" t="s">
        <v>810</v>
      </c>
      <c r="E615" s="3" t="str">
        <f>RTD("ice.rtd",,$C615 &amp; $D615 &amp; ":" &amp; E$1)</f>
        <v>Jun28</v>
      </c>
      <c r="F615" s="3" t="str">
        <f>ICE[[#This Row],[Prod]]&amp;ICE[[#This Row],[Strip]]</f>
        <v>ulsdccmdiffJun28</v>
      </c>
      <c r="G615" s="18" t="str">
        <f>RTD("ice.rtd",,$C615 &amp; $D615 &amp; ":" &amp; G$1)</f>
        <v/>
      </c>
      <c r="H615" s="18" t="str">
        <f>RTD("ice.rtd",,$C615 &amp; $D615 &amp; ":" &amp; H$1)</f>
        <v/>
      </c>
      <c r="I615" s="18" t="str">
        <f>RTD("ice.rtd",,$C615 &amp; $D615 &amp; ":" &amp; I$1)</f>
        <v/>
      </c>
      <c r="J615" s="14" t="str">
        <f>IFERROR(MOD(RTD("ice.rtd",,$C615 &amp; $D615 &amp; ":" &amp; J$1), 1), "")</f>
        <v/>
      </c>
      <c r="K615" s="18" t="str">
        <f>RTD("ice.rtd",,$C615 &amp; $D615 &amp; ":" &amp; K$1)</f>
        <v/>
      </c>
      <c r="L615" s="36" t="str">
        <f>RTD("ice.rtd",,$C615 &amp; $D615 &amp; ":" &amp; L$1)</f>
        <v/>
      </c>
      <c r="M615" s="14" t="str">
        <f>IFERROR(MOD(TIMEVALUE(RTD("ice.rtd",,$C615 &amp; $D615 &amp; ":" &amp; M$1)), 1), "")</f>
        <v/>
      </c>
      <c r="N615" s="36">
        <f>RTD("ice.rtd",,$C615 &amp; $D615 &amp; ":" &amp; N$1)</f>
        <v>0</v>
      </c>
      <c r="O615" s="36">
        <f>RTD("ice.rtd",,$C615 &amp; $D615 &amp; ":" &amp; O$1)</f>
        <v>0</v>
      </c>
      <c r="P6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5" s="14" t="str">
        <f>IF(ICE[[#This Row],[LastType]] = "Scrn", ICE[[#This Row],[LstDate]], IF(ICE[[#This Row],[LastType]] = "Blk", ICE[[#This Row],[LstBlkTime]], ""))</f>
        <v/>
      </c>
      <c r="R615" s="41" t="str">
        <f>IF(ICE[[#This Row],[LastType]] = "Scrn", ICE[[#This Row],[LstPrc]], IF(ICE[[#This Row],[LastType]] = "Blk", ICE[[#This Row],[LstBlkPrc]], ""))</f>
        <v/>
      </c>
      <c r="S615" s="36">
        <f>ICE[[#This Row],[Vol]]+ICE[[#This Row],[BlkVol]]</f>
        <v>0</v>
      </c>
      <c r="T615" s="36">
        <f>RTD("ice.rtd",,$C615 &amp; $D615 &amp; ":" &amp; T$1)</f>
        <v>0</v>
      </c>
      <c r="U615" s="18">
        <f>RTD("ice.rtd",,$C615 &amp; $D615 &amp; ":" &amp; U$1)</f>
        <v>12</v>
      </c>
      <c r="V6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5" s="18" t="str">
        <f>IFERROR(IF(LEFT(ICE[[#This Row],[Tenor]], 1) = "B", RTD("esrtd",,$B615 &amp; " " &amp; ICE[[#This Row],[Tenor]] &amp; "-IEU", W$1), RTD("esrtd",,$B615 &amp; " " &amp; VLOOKUP(MONTH(ICE[[#This Row],[Strip]]), MthRef[], 2, 0) &amp; RIGHT(YEAR(ICE[[#This Row],[Strip]]), 2) &amp; "-IEU", W$1)), "")</f>
        <v/>
      </c>
      <c r="X615" s="36"/>
    </row>
    <row r="616" spans="1:24" x14ac:dyDescent="0.25">
      <c r="A616" s="37" t="s">
        <v>416</v>
      </c>
      <c r="B616" s="3" t="str">
        <f>RTD("ice.rtd",,$C616 &amp; $D616 &amp; ":" &amp; B$1)</f>
        <v>ULI</v>
      </c>
      <c r="C616" s="3">
        <v>34404098</v>
      </c>
      <c r="D616" t="s">
        <v>811</v>
      </c>
      <c r="E616" s="3" t="str">
        <f>RTD("ice.rtd",,$C616 &amp; $D616 &amp; ":" &amp; E$1)</f>
        <v>Jul28</v>
      </c>
      <c r="F616" s="3" t="str">
        <f>ICE[[#This Row],[Prod]]&amp;ICE[[#This Row],[Strip]]</f>
        <v>ulsdccmdiffJul28</v>
      </c>
      <c r="G616" s="18" t="str">
        <f>RTD("ice.rtd",,$C616 &amp; $D616 &amp; ":" &amp; G$1)</f>
        <v/>
      </c>
      <c r="H616" s="18" t="str">
        <f>RTD("ice.rtd",,$C616 &amp; $D616 &amp; ":" &amp; H$1)</f>
        <v/>
      </c>
      <c r="I616" s="18" t="str">
        <f>RTD("ice.rtd",,$C616 &amp; $D616 &amp; ":" &amp; I$1)</f>
        <v/>
      </c>
      <c r="J616" s="14" t="str">
        <f>IFERROR(MOD(RTD("ice.rtd",,$C616 &amp; $D616 &amp; ":" &amp; J$1), 1), "")</f>
        <v/>
      </c>
      <c r="K616" s="18" t="str">
        <f>RTD("ice.rtd",,$C616 &amp; $D616 &amp; ":" &amp; K$1)</f>
        <v/>
      </c>
      <c r="L616" s="36" t="str">
        <f>RTD("ice.rtd",,$C616 &amp; $D616 &amp; ":" &amp; L$1)</f>
        <v/>
      </c>
      <c r="M616" s="14" t="str">
        <f>IFERROR(MOD(TIMEVALUE(RTD("ice.rtd",,$C616 &amp; $D616 &amp; ":" &amp; M$1)), 1), "")</f>
        <v/>
      </c>
      <c r="N616" s="36">
        <f>RTD("ice.rtd",,$C616 &amp; $D616 &amp; ":" &amp; N$1)</f>
        <v>0</v>
      </c>
      <c r="O616" s="36">
        <f>RTD("ice.rtd",,$C616 &amp; $D616 &amp; ":" &amp; O$1)</f>
        <v>0</v>
      </c>
      <c r="P6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6" s="14" t="str">
        <f>IF(ICE[[#This Row],[LastType]] = "Scrn", ICE[[#This Row],[LstDate]], IF(ICE[[#This Row],[LastType]] = "Blk", ICE[[#This Row],[LstBlkTime]], ""))</f>
        <v/>
      </c>
      <c r="R616" s="41" t="str">
        <f>IF(ICE[[#This Row],[LastType]] = "Scrn", ICE[[#This Row],[LstPrc]], IF(ICE[[#This Row],[LastType]] = "Blk", ICE[[#This Row],[LstBlkPrc]], ""))</f>
        <v/>
      </c>
      <c r="S616" s="36">
        <f>ICE[[#This Row],[Vol]]+ICE[[#This Row],[BlkVol]]</f>
        <v>0</v>
      </c>
      <c r="T616" s="36">
        <f>RTD("ice.rtd",,$C616 &amp; $D616 &amp; ":" &amp; T$1)</f>
        <v>0</v>
      </c>
      <c r="U616" s="18">
        <f>RTD("ice.rtd",,$C616 &amp; $D616 &amp; ":" &amp; U$1)</f>
        <v>11.5</v>
      </c>
      <c r="V6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6" s="18" t="str">
        <f>IFERROR(IF(LEFT(ICE[[#This Row],[Tenor]], 1) = "B", RTD("esrtd",,$B616 &amp; " " &amp; ICE[[#This Row],[Tenor]] &amp; "-IEU", W$1), RTD("esrtd",,$B616 &amp; " " &amp; VLOOKUP(MONTH(ICE[[#This Row],[Strip]]), MthRef[], 2, 0) &amp; RIGHT(YEAR(ICE[[#This Row],[Strip]]), 2) &amp; "-IEU", W$1)), "")</f>
        <v/>
      </c>
      <c r="X616" s="36"/>
    </row>
    <row r="617" spans="1:24" x14ac:dyDescent="0.25">
      <c r="A617" s="37" t="s">
        <v>416</v>
      </c>
      <c r="B617" s="3" t="str">
        <f>RTD("ice.rtd",,$C617 &amp; $D617 &amp; ":" &amp; B$1)</f>
        <v>ULI</v>
      </c>
      <c r="C617" s="3">
        <v>34404098</v>
      </c>
      <c r="D617" t="s">
        <v>812</v>
      </c>
      <c r="E617" s="3" t="str">
        <f>RTD("ice.rtd",,$C617 &amp; $D617 &amp; ":" &amp; E$1)</f>
        <v>Aug28</v>
      </c>
      <c r="F617" s="3" t="str">
        <f>ICE[[#This Row],[Prod]]&amp;ICE[[#This Row],[Strip]]</f>
        <v>ulsdccmdiffAug28</v>
      </c>
      <c r="G617" s="18" t="str">
        <f>RTD("ice.rtd",,$C617 &amp; $D617 &amp; ":" &amp; G$1)</f>
        <v/>
      </c>
      <c r="H617" s="18" t="str">
        <f>RTD("ice.rtd",,$C617 &amp; $D617 &amp; ":" &amp; H$1)</f>
        <v/>
      </c>
      <c r="I617" s="18" t="str">
        <f>RTD("ice.rtd",,$C617 &amp; $D617 &amp; ":" &amp; I$1)</f>
        <v/>
      </c>
      <c r="J617" s="14" t="str">
        <f>IFERROR(MOD(RTD("ice.rtd",,$C617 &amp; $D617 &amp; ":" &amp; J$1), 1), "")</f>
        <v/>
      </c>
      <c r="K617" s="18" t="str">
        <f>RTD("ice.rtd",,$C617 &amp; $D617 &amp; ":" &amp; K$1)</f>
        <v/>
      </c>
      <c r="L617" s="36" t="str">
        <f>RTD("ice.rtd",,$C617 &amp; $D617 &amp; ":" &amp; L$1)</f>
        <v/>
      </c>
      <c r="M617" s="14" t="str">
        <f>IFERROR(MOD(TIMEVALUE(RTD("ice.rtd",,$C617 &amp; $D617 &amp; ":" &amp; M$1)), 1), "")</f>
        <v/>
      </c>
      <c r="N617" s="36">
        <f>RTD("ice.rtd",,$C617 &amp; $D617 &amp; ":" &amp; N$1)</f>
        <v>0</v>
      </c>
      <c r="O617" s="36">
        <f>RTD("ice.rtd",,$C617 &amp; $D617 &amp; ":" &amp; O$1)</f>
        <v>0</v>
      </c>
      <c r="P6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7" s="14" t="str">
        <f>IF(ICE[[#This Row],[LastType]] = "Scrn", ICE[[#This Row],[LstDate]], IF(ICE[[#This Row],[LastType]] = "Blk", ICE[[#This Row],[LstBlkTime]], ""))</f>
        <v/>
      </c>
      <c r="R617" s="41" t="str">
        <f>IF(ICE[[#This Row],[LastType]] = "Scrn", ICE[[#This Row],[LstPrc]], IF(ICE[[#This Row],[LastType]] = "Blk", ICE[[#This Row],[LstBlkPrc]], ""))</f>
        <v/>
      </c>
      <c r="S617" s="36">
        <f>ICE[[#This Row],[Vol]]+ICE[[#This Row],[BlkVol]]</f>
        <v>0</v>
      </c>
      <c r="T617" s="36">
        <f>RTD("ice.rtd",,$C617 &amp; $D617 &amp; ":" &amp; T$1)</f>
        <v>0</v>
      </c>
      <c r="U617" s="18">
        <f>RTD("ice.rtd",,$C617 &amp; $D617 &amp; ":" &amp; U$1)</f>
        <v>11.5</v>
      </c>
      <c r="V6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7" s="18" t="str">
        <f>IFERROR(IF(LEFT(ICE[[#This Row],[Tenor]], 1) = "B", RTD("esrtd",,$B617 &amp; " " &amp; ICE[[#This Row],[Tenor]] &amp; "-IEU", W$1), RTD("esrtd",,$B617 &amp; " " &amp; VLOOKUP(MONTH(ICE[[#This Row],[Strip]]), MthRef[], 2, 0) &amp; RIGHT(YEAR(ICE[[#This Row],[Strip]]), 2) &amp; "-IEU", W$1)), "")</f>
        <v/>
      </c>
      <c r="X617" s="36"/>
    </row>
    <row r="618" spans="1:24" x14ac:dyDescent="0.25">
      <c r="A618" s="37" t="s">
        <v>416</v>
      </c>
      <c r="B618" s="3" t="str">
        <f>RTD("ice.rtd",,$C618 &amp; $D618 &amp; ":" &amp; B$1)</f>
        <v>ULI</v>
      </c>
      <c r="C618" s="3">
        <v>34404098</v>
      </c>
      <c r="D618" t="s">
        <v>813</v>
      </c>
      <c r="E618" s="3" t="str">
        <f>RTD("ice.rtd",,$C618 &amp; $D618 &amp; ":" &amp; E$1)</f>
        <v>Sep28</v>
      </c>
      <c r="F618" s="3" t="str">
        <f>ICE[[#This Row],[Prod]]&amp;ICE[[#This Row],[Strip]]</f>
        <v>ulsdccmdiffSep28</v>
      </c>
      <c r="G618" s="18" t="str">
        <f>RTD("ice.rtd",,$C618 &amp; $D618 &amp; ":" &amp; G$1)</f>
        <v/>
      </c>
      <c r="H618" s="18" t="str">
        <f>RTD("ice.rtd",,$C618 &amp; $D618 &amp; ":" &amp; H$1)</f>
        <v/>
      </c>
      <c r="I618" s="18" t="str">
        <f>RTD("ice.rtd",,$C618 &amp; $D618 &amp; ":" &amp; I$1)</f>
        <v/>
      </c>
      <c r="J618" s="14" t="str">
        <f>IFERROR(MOD(RTD("ice.rtd",,$C618 &amp; $D618 &amp; ":" &amp; J$1), 1), "")</f>
        <v/>
      </c>
      <c r="K618" s="18" t="str">
        <f>RTD("ice.rtd",,$C618 &amp; $D618 &amp; ":" &amp; K$1)</f>
        <v/>
      </c>
      <c r="L618" s="36" t="str">
        <f>RTD("ice.rtd",,$C618 &amp; $D618 &amp; ":" &amp; L$1)</f>
        <v/>
      </c>
      <c r="M618" s="14" t="str">
        <f>IFERROR(MOD(TIMEVALUE(RTD("ice.rtd",,$C618 &amp; $D618 &amp; ":" &amp; M$1)), 1), "")</f>
        <v/>
      </c>
      <c r="N618" s="36">
        <f>RTD("ice.rtd",,$C618 &amp; $D618 &amp; ":" &amp; N$1)</f>
        <v>0</v>
      </c>
      <c r="O618" s="36">
        <f>RTD("ice.rtd",,$C618 &amp; $D618 &amp; ":" &amp; O$1)</f>
        <v>0</v>
      </c>
      <c r="P6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8" s="14" t="str">
        <f>IF(ICE[[#This Row],[LastType]] = "Scrn", ICE[[#This Row],[LstDate]], IF(ICE[[#This Row],[LastType]] = "Blk", ICE[[#This Row],[LstBlkTime]], ""))</f>
        <v/>
      </c>
      <c r="R618" s="41" t="str">
        <f>IF(ICE[[#This Row],[LastType]] = "Scrn", ICE[[#This Row],[LstPrc]], IF(ICE[[#This Row],[LastType]] = "Blk", ICE[[#This Row],[LstBlkPrc]], ""))</f>
        <v/>
      </c>
      <c r="S618" s="36">
        <f>ICE[[#This Row],[Vol]]+ICE[[#This Row],[BlkVol]]</f>
        <v>0</v>
      </c>
      <c r="T618" s="36">
        <f>RTD("ice.rtd",,$C618 &amp; $D618 &amp; ":" &amp; T$1)</f>
        <v>0</v>
      </c>
      <c r="U618" s="18">
        <f>RTD("ice.rtd",,$C618 &amp; $D618 &amp; ":" &amp; U$1)</f>
        <v>11.5</v>
      </c>
      <c r="V6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8" s="18" t="str">
        <f>IFERROR(IF(LEFT(ICE[[#This Row],[Tenor]], 1) = "B", RTD("esrtd",,$B618 &amp; " " &amp; ICE[[#This Row],[Tenor]] &amp; "-IEU", W$1), RTD("esrtd",,$B618 &amp; " " &amp; VLOOKUP(MONTH(ICE[[#This Row],[Strip]]), MthRef[], 2, 0) &amp; RIGHT(YEAR(ICE[[#This Row],[Strip]]), 2) &amp; "-IEU", W$1)), "")</f>
        <v/>
      </c>
      <c r="X618" s="36"/>
    </row>
    <row r="619" spans="1:24" x14ac:dyDescent="0.25">
      <c r="A619" s="37" t="s">
        <v>416</v>
      </c>
      <c r="B619" s="3" t="str">
        <f>RTD("ice.rtd",,$C619 &amp; $D619 &amp; ":" &amp; B$1)</f>
        <v>ULI</v>
      </c>
      <c r="C619" s="3">
        <v>34404098</v>
      </c>
      <c r="D619" t="s">
        <v>814</v>
      </c>
      <c r="E619" s="3" t="str">
        <f>RTD("ice.rtd",,$C619 &amp; $D619 &amp; ":" &amp; E$1)</f>
        <v>Q4 26</v>
      </c>
      <c r="F619" s="3" t="str">
        <f>ICE[[#This Row],[Prod]]&amp;ICE[[#This Row],[Strip]]</f>
        <v>ulsdccmdiffQ4 26</v>
      </c>
      <c r="G619" s="18" t="str">
        <f>RTD("ice.rtd",,$C619 &amp; $D619 &amp; ":" &amp; G$1)</f>
        <v/>
      </c>
      <c r="H619" s="18" t="str">
        <f>RTD("ice.rtd",,$C619 &amp; $D619 &amp; ":" &amp; H$1)</f>
        <v/>
      </c>
      <c r="I619" s="18" t="str">
        <f>RTD("ice.rtd",,$C619 &amp; $D619 &amp; ":" &amp; I$1)</f>
        <v/>
      </c>
      <c r="J619" s="14" t="str">
        <f>IFERROR(MOD(RTD("ice.rtd",,$C619 &amp; $D619 &amp; ":" &amp; J$1), 1), "")</f>
        <v/>
      </c>
      <c r="K619" s="18" t="str">
        <f>RTD("ice.rtd",,$C619 &amp; $D619 &amp; ":" &amp; K$1)</f>
        <v/>
      </c>
      <c r="L619" s="36" t="str">
        <f>RTD("ice.rtd",,$C619 &amp; $D619 &amp; ":" &amp; L$1)</f>
        <v/>
      </c>
      <c r="M619" s="14" t="str">
        <f>IFERROR(MOD(TIMEVALUE(RTD("ice.rtd",,$C619 &amp; $D619 &amp; ":" &amp; M$1)), 1), "")</f>
        <v/>
      </c>
      <c r="N619" s="36">
        <f>RTD("ice.rtd",,$C619 &amp; $D619 &amp; ":" &amp; N$1)</f>
        <v>0</v>
      </c>
      <c r="O619" s="36">
        <f>RTD("ice.rtd",,$C619 &amp; $D619 &amp; ":" &amp; O$1)</f>
        <v>0</v>
      </c>
      <c r="P6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19" s="14" t="str">
        <f>IF(ICE[[#This Row],[LastType]] = "Scrn", ICE[[#This Row],[LstDate]], IF(ICE[[#This Row],[LastType]] = "Blk", ICE[[#This Row],[LstBlkTime]], ""))</f>
        <v/>
      </c>
      <c r="R619" s="41" t="str">
        <f>IF(ICE[[#This Row],[LastType]] = "Scrn", ICE[[#This Row],[LstPrc]], IF(ICE[[#This Row],[LastType]] = "Blk", ICE[[#This Row],[LstBlkPrc]], ""))</f>
        <v/>
      </c>
      <c r="S619" s="36">
        <f>ICE[[#This Row],[Vol]]+ICE[[#This Row],[BlkVol]]</f>
        <v>0</v>
      </c>
      <c r="T619" s="36">
        <f>RTD("ice.rtd",,$C619 &amp; $D619 &amp; ":" &amp; T$1)</f>
        <v>0</v>
      </c>
      <c r="U619" s="18">
        <f>RTD("ice.rtd",,$C619 &amp; $D619 &amp; ":" &amp; U$1)</f>
        <v>42</v>
      </c>
      <c r="V6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19" s="18" t="str">
        <f>IFERROR(IF(LEFT(ICE[[#This Row],[Tenor]], 1) = "B", RTD("esrtd",,$B619 &amp; " " &amp; ICE[[#This Row],[Tenor]] &amp; "-IEU", W$1), RTD("esrtd",,$B619 &amp; " " &amp; VLOOKUP(MONTH(ICE[[#This Row],[Strip]]), MthRef[], 2, 0) &amp; RIGHT(YEAR(ICE[[#This Row],[Strip]]), 2) &amp; "-IEU", W$1)), "")</f>
        <v/>
      </c>
      <c r="X619" s="36"/>
    </row>
    <row r="620" spans="1:24" x14ac:dyDescent="0.25">
      <c r="A620" s="37" t="s">
        <v>416</v>
      </c>
      <c r="B620" s="3" t="str">
        <f>RTD("ice.rtd",,$C620 &amp; $D620 &amp; ":" &amp; B$1)</f>
        <v>ULI</v>
      </c>
      <c r="C620" s="3">
        <v>34404098</v>
      </c>
      <c r="D620" t="s">
        <v>815</v>
      </c>
      <c r="E620" s="3" t="str">
        <f>RTD("ice.rtd",,$C620 &amp; $D620 &amp; ":" &amp; E$1)</f>
        <v>Q1 27</v>
      </c>
      <c r="F620" s="3" t="str">
        <f>ICE[[#This Row],[Prod]]&amp;ICE[[#This Row],[Strip]]</f>
        <v>ulsdccmdiffQ1 27</v>
      </c>
      <c r="G620" s="18" t="str">
        <f>RTD("ice.rtd",,$C620 &amp; $D620 &amp; ":" &amp; G$1)</f>
        <v/>
      </c>
      <c r="H620" s="18" t="str">
        <f>RTD("ice.rtd",,$C620 &amp; $D620 &amp; ":" &amp; H$1)</f>
        <v/>
      </c>
      <c r="I620" s="18" t="str">
        <f>RTD("ice.rtd",,$C620 &amp; $D620 &amp; ":" &amp; I$1)</f>
        <v/>
      </c>
      <c r="J620" s="14" t="str">
        <f>IFERROR(MOD(RTD("ice.rtd",,$C620 &amp; $D620 &amp; ":" &amp; J$1), 1), "")</f>
        <v/>
      </c>
      <c r="K620" s="18" t="str">
        <f>RTD("ice.rtd",,$C620 &amp; $D620 &amp; ":" &amp; K$1)</f>
        <v/>
      </c>
      <c r="L620" s="36" t="str">
        <f>RTD("ice.rtd",,$C620 &amp; $D620 &amp; ":" &amp; L$1)</f>
        <v/>
      </c>
      <c r="M620" s="14" t="str">
        <f>IFERROR(MOD(TIMEVALUE(RTD("ice.rtd",,$C620 &amp; $D620 &amp; ":" &amp; M$1)), 1), "")</f>
        <v/>
      </c>
      <c r="N620" s="36">
        <f>RTD("ice.rtd",,$C620 &amp; $D620 &amp; ":" &amp; N$1)</f>
        <v>0</v>
      </c>
      <c r="O620" s="36">
        <f>RTD("ice.rtd",,$C620 &amp; $D620 &amp; ":" &amp; O$1)</f>
        <v>0</v>
      </c>
      <c r="P6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0" s="14" t="str">
        <f>IF(ICE[[#This Row],[LastType]] = "Scrn", ICE[[#This Row],[LstDate]], IF(ICE[[#This Row],[LastType]] = "Blk", ICE[[#This Row],[LstBlkTime]], ""))</f>
        <v/>
      </c>
      <c r="R620" s="41" t="str">
        <f>IF(ICE[[#This Row],[LastType]] = "Scrn", ICE[[#This Row],[LstPrc]], IF(ICE[[#This Row],[LastType]] = "Blk", ICE[[#This Row],[LstBlkPrc]], ""))</f>
        <v/>
      </c>
      <c r="S620" s="36">
        <f>ICE[[#This Row],[Vol]]+ICE[[#This Row],[BlkVol]]</f>
        <v>0</v>
      </c>
      <c r="T620" s="36">
        <f>RTD("ice.rtd",,$C620 &amp; $D620 &amp; ":" &amp; T$1)</f>
        <v>0</v>
      </c>
      <c r="U620" s="18">
        <f>RTD("ice.rtd",,$C620 &amp; $D620 &amp; ":" &amp; U$1)</f>
        <v>24.5</v>
      </c>
      <c r="V6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0" s="18" t="str">
        <f>IFERROR(IF(LEFT(ICE[[#This Row],[Tenor]], 1) = "B", RTD("esrtd",,$B620 &amp; " " &amp; ICE[[#This Row],[Tenor]] &amp; "-IEU", W$1), RTD("esrtd",,$B620 &amp; " " &amp; VLOOKUP(MONTH(ICE[[#This Row],[Strip]]), MthRef[], 2, 0) &amp; RIGHT(YEAR(ICE[[#This Row],[Strip]]), 2) &amp; "-IEU", W$1)), "")</f>
        <v/>
      </c>
      <c r="X620" s="36"/>
    </row>
    <row r="621" spans="1:24" x14ac:dyDescent="0.25">
      <c r="A621" s="37" t="s">
        <v>416</v>
      </c>
      <c r="B621" s="3" t="str">
        <f>RTD("ice.rtd",,$C621 &amp; $D621 &amp; ":" &amp; B$1)</f>
        <v>ULI</v>
      </c>
      <c r="C621" s="3">
        <v>34404098</v>
      </c>
      <c r="D621" t="s">
        <v>816</v>
      </c>
      <c r="E621" s="3" t="str">
        <f>RTD("ice.rtd",,$C621 &amp; $D621 &amp; ":" &amp; E$1)</f>
        <v>Q2 27</v>
      </c>
      <c r="F621" s="3" t="str">
        <f>ICE[[#This Row],[Prod]]&amp;ICE[[#This Row],[Strip]]</f>
        <v>ulsdccmdiffQ2 27</v>
      </c>
      <c r="G621" s="18" t="str">
        <f>RTD("ice.rtd",,$C621 &amp; $D621 &amp; ":" &amp; G$1)</f>
        <v/>
      </c>
      <c r="H621" s="18" t="str">
        <f>RTD("ice.rtd",,$C621 &amp; $D621 &amp; ":" &amp; H$1)</f>
        <v/>
      </c>
      <c r="I621" s="18" t="str">
        <f>RTD("ice.rtd",,$C621 &amp; $D621 &amp; ":" &amp; I$1)</f>
        <v/>
      </c>
      <c r="J621" s="14" t="str">
        <f>IFERROR(MOD(RTD("ice.rtd",,$C621 &amp; $D621 &amp; ":" &amp; J$1), 1), "")</f>
        <v/>
      </c>
      <c r="K621" s="18" t="str">
        <f>RTD("ice.rtd",,$C621 &amp; $D621 &amp; ":" &amp; K$1)</f>
        <v/>
      </c>
      <c r="L621" s="36" t="str">
        <f>RTD("ice.rtd",,$C621 &amp; $D621 &amp; ":" &amp; L$1)</f>
        <v/>
      </c>
      <c r="M621" s="14" t="str">
        <f>IFERROR(MOD(TIMEVALUE(RTD("ice.rtd",,$C621 &amp; $D621 &amp; ":" &amp; M$1)), 1), "")</f>
        <v/>
      </c>
      <c r="N621" s="36">
        <f>RTD("ice.rtd",,$C621 &amp; $D621 &amp; ":" &amp; N$1)</f>
        <v>0</v>
      </c>
      <c r="O621" s="36">
        <f>RTD("ice.rtd",,$C621 &amp; $D621 &amp; ":" &amp; O$1)</f>
        <v>0</v>
      </c>
      <c r="P6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1" s="14" t="str">
        <f>IF(ICE[[#This Row],[LastType]] = "Scrn", ICE[[#This Row],[LstDate]], IF(ICE[[#This Row],[LastType]] = "Blk", ICE[[#This Row],[LstBlkTime]], ""))</f>
        <v/>
      </c>
      <c r="R621" s="41" t="str">
        <f>IF(ICE[[#This Row],[LastType]] = "Scrn", ICE[[#This Row],[LstPrc]], IF(ICE[[#This Row],[LastType]] = "Blk", ICE[[#This Row],[LstBlkPrc]], ""))</f>
        <v/>
      </c>
      <c r="S621" s="36">
        <f>ICE[[#This Row],[Vol]]+ICE[[#This Row],[BlkVol]]</f>
        <v>0</v>
      </c>
      <c r="T621" s="36">
        <f>RTD("ice.rtd",,$C621 &amp; $D621 &amp; ":" &amp; T$1)</f>
        <v>0</v>
      </c>
      <c r="U621" s="18">
        <f>RTD("ice.rtd",,$C621 &amp; $D621 &amp; ":" &amp; U$1)</f>
        <v>16.5</v>
      </c>
      <c r="V6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1" s="18" t="str">
        <f>IFERROR(IF(LEFT(ICE[[#This Row],[Tenor]], 1) = "B", RTD("esrtd",,$B621 &amp; " " &amp; ICE[[#This Row],[Tenor]] &amp; "-IEU", W$1), RTD("esrtd",,$B621 &amp; " " &amp; VLOOKUP(MONTH(ICE[[#This Row],[Strip]]), MthRef[], 2, 0) &amp; RIGHT(YEAR(ICE[[#This Row],[Strip]]), 2) &amp; "-IEU", W$1)), "")</f>
        <v/>
      </c>
      <c r="X621" s="36"/>
    </row>
    <row r="622" spans="1:24" x14ac:dyDescent="0.25">
      <c r="A622" s="37" t="s">
        <v>416</v>
      </c>
      <c r="B622" s="3" t="str">
        <f>RTD("ice.rtd",,$C622 &amp; $D622 &amp; ":" &amp; B$1)</f>
        <v>ULI</v>
      </c>
      <c r="C622" s="3">
        <v>34404098</v>
      </c>
      <c r="D622" t="s">
        <v>817</v>
      </c>
      <c r="E622" s="3" t="str">
        <f>RTD("ice.rtd",,$C622 &amp; $D622 &amp; ":" &amp; E$1)</f>
        <v>Q3 27</v>
      </c>
      <c r="F622" s="3" t="str">
        <f>ICE[[#This Row],[Prod]]&amp;ICE[[#This Row],[Strip]]</f>
        <v>ulsdccmdiffQ3 27</v>
      </c>
      <c r="G622" s="18" t="str">
        <f>RTD("ice.rtd",,$C622 &amp; $D622 &amp; ":" &amp; G$1)</f>
        <v/>
      </c>
      <c r="H622" s="18" t="str">
        <f>RTD("ice.rtd",,$C622 &amp; $D622 &amp; ":" &amp; H$1)</f>
        <v/>
      </c>
      <c r="I622" s="18" t="str">
        <f>RTD("ice.rtd",,$C622 &amp; $D622 &amp; ":" &amp; I$1)</f>
        <v/>
      </c>
      <c r="J622" s="14" t="str">
        <f>IFERROR(MOD(RTD("ice.rtd",,$C622 &amp; $D622 &amp; ":" &amp; J$1), 1), "")</f>
        <v/>
      </c>
      <c r="K622" s="18" t="str">
        <f>RTD("ice.rtd",,$C622 &amp; $D622 &amp; ":" &amp; K$1)</f>
        <v/>
      </c>
      <c r="L622" s="36" t="str">
        <f>RTD("ice.rtd",,$C622 &amp; $D622 &amp; ":" &amp; L$1)</f>
        <v/>
      </c>
      <c r="M622" s="14" t="str">
        <f>IFERROR(MOD(TIMEVALUE(RTD("ice.rtd",,$C622 &amp; $D622 &amp; ":" &amp; M$1)), 1), "")</f>
        <v/>
      </c>
      <c r="N622" s="36">
        <f>RTD("ice.rtd",,$C622 &amp; $D622 &amp; ":" &amp; N$1)</f>
        <v>0</v>
      </c>
      <c r="O622" s="36">
        <f>RTD("ice.rtd",,$C622 &amp; $D622 &amp; ":" &amp; O$1)</f>
        <v>0</v>
      </c>
      <c r="P6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2" s="14" t="str">
        <f>IF(ICE[[#This Row],[LastType]] = "Scrn", ICE[[#This Row],[LstDate]], IF(ICE[[#This Row],[LastType]] = "Blk", ICE[[#This Row],[LstBlkTime]], ""))</f>
        <v/>
      </c>
      <c r="R622" s="41" t="str">
        <f>IF(ICE[[#This Row],[LastType]] = "Scrn", ICE[[#This Row],[LstPrc]], IF(ICE[[#This Row],[LastType]] = "Blk", ICE[[#This Row],[LstBlkPrc]], ""))</f>
        <v/>
      </c>
      <c r="S622" s="36">
        <f>ICE[[#This Row],[Vol]]+ICE[[#This Row],[BlkVol]]</f>
        <v>0</v>
      </c>
      <c r="T622" s="36">
        <f>RTD("ice.rtd",,$C622 &amp; $D622 &amp; ":" &amp; T$1)</f>
        <v>0</v>
      </c>
      <c r="U622" s="18">
        <f>RTD("ice.rtd",,$C622 &amp; $D622 &amp; ":" &amp; U$1)</f>
        <v>14.5</v>
      </c>
      <c r="V6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2" s="18" t="str">
        <f>IFERROR(IF(LEFT(ICE[[#This Row],[Tenor]], 1) = "B", RTD("esrtd",,$B622 &amp; " " &amp; ICE[[#This Row],[Tenor]] &amp; "-IEU", W$1), RTD("esrtd",,$B622 &amp; " " &amp; VLOOKUP(MONTH(ICE[[#This Row],[Strip]]), MthRef[], 2, 0) &amp; RIGHT(YEAR(ICE[[#This Row],[Strip]]), 2) &amp; "-IEU", W$1)), "")</f>
        <v/>
      </c>
      <c r="X622" s="36"/>
    </row>
    <row r="623" spans="1:24" x14ac:dyDescent="0.25">
      <c r="A623" s="37" t="s">
        <v>416</v>
      </c>
      <c r="B623" s="3" t="str">
        <f>RTD("ice.rtd",,$C623 &amp; $D623 &amp; ":" &amp; B$1)</f>
        <v>ULI</v>
      </c>
      <c r="C623" s="3">
        <v>34404098</v>
      </c>
      <c r="D623" t="s">
        <v>818</v>
      </c>
      <c r="E623" s="3" t="str">
        <f>RTD("ice.rtd",,$C623 &amp; $D623 &amp; ":" &amp; E$1)</f>
        <v>Q4 27</v>
      </c>
      <c r="F623" s="3" t="str">
        <f>ICE[[#This Row],[Prod]]&amp;ICE[[#This Row],[Strip]]</f>
        <v>ulsdccmdiffQ4 27</v>
      </c>
      <c r="G623" s="18" t="str">
        <f>RTD("ice.rtd",,$C623 &amp; $D623 &amp; ":" &amp; G$1)</f>
        <v/>
      </c>
      <c r="H623" s="18" t="str">
        <f>RTD("ice.rtd",,$C623 &amp; $D623 &amp; ":" &amp; H$1)</f>
        <v/>
      </c>
      <c r="I623" s="18" t="str">
        <f>RTD("ice.rtd",,$C623 &amp; $D623 &amp; ":" &amp; I$1)</f>
        <v/>
      </c>
      <c r="J623" s="14" t="str">
        <f>IFERROR(MOD(RTD("ice.rtd",,$C623 &amp; $D623 &amp; ":" &amp; J$1), 1), "")</f>
        <v/>
      </c>
      <c r="K623" s="18" t="str">
        <f>RTD("ice.rtd",,$C623 &amp; $D623 &amp; ":" &amp; K$1)</f>
        <v/>
      </c>
      <c r="L623" s="36" t="str">
        <f>RTD("ice.rtd",,$C623 &amp; $D623 &amp; ":" &amp; L$1)</f>
        <v/>
      </c>
      <c r="M623" s="14" t="str">
        <f>IFERROR(MOD(TIMEVALUE(RTD("ice.rtd",,$C623 &amp; $D623 &amp; ":" &amp; M$1)), 1), "")</f>
        <v/>
      </c>
      <c r="N623" s="36">
        <f>RTD("ice.rtd",,$C623 &amp; $D623 &amp; ":" &amp; N$1)</f>
        <v>0</v>
      </c>
      <c r="O623" s="36">
        <f>RTD("ice.rtd",,$C623 &amp; $D623 &amp; ":" &amp; O$1)</f>
        <v>0</v>
      </c>
      <c r="P6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3" s="14" t="str">
        <f>IF(ICE[[#This Row],[LastType]] = "Scrn", ICE[[#This Row],[LstDate]], IF(ICE[[#This Row],[LastType]] = "Blk", ICE[[#This Row],[LstBlkTime]], ""))</f>
        <v/>
      </c>
      <c r="R623" s="41" t="str">
        <f>IF(ICE[[#This Row],[LastType]] = "Scrn", ICE[[#This Row],[LstPrc]], IF(ICE[[#This Row],[LastType]] = "Blk", ICE[[#This Row],[LstBlkPrc]], ""))</f>
        <v/>
      </c>
      <c r="S623" s="36">
        <f>ICE[[#This Row],[Vol]]+ICE[[#This Row],[BlkVol]]</f>
        <v>0</v>
      </c>
      <c r="T623" s="36">
        <f>RTD("ice.rtd",,$C623 &amp; $D623 &amp; ":" &amp; T$1)</f>
        <v>0</v>
      </c>
      <c r="U623" s="18">
        <f>RTD("ice.rtd",,$C623 &amp; $D623 &amp; ":" &amp; U$1)</f>
        <v>14.083</v>
      </c>
      <c r="V6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3" s="18" t="str">
        <f>IFERROR(IF(LEFT(ICE[[#This Row],[Tenor]], 1) = "B", RTD("esrtd",,$B623 &amp; " " &amp; ICE[[#This Row],[Tenor]] &amp; "-IEU", W$1), RTD("esrtd",,$B623 &amp; " " &amp; VLOOKUP(MONTH(ICE[[#This Row],[Strip]]), MthRef[], 2, 0) &amp; RIGHT(YEAR(ICE[[#This Row],[Strip]]), 2) &amp; "-IEU", W$1)), "")</f>
        <v/>
      </c>
      <c r="X623" s="36"/>
    </row>
    <row r="624" spans="1:24" x14ac:dyDescent="0.25">
      <c r="A624" s="37" t="s">
        <v>416</v>
      </c>
      <c r="B624" s="3" t="str">
        <f>RTD("ice.rtd",,$C624 &amp; $D624 &amp; ":" &amp; B$1)</f>
        <v>ULI</v>
      </c>
      <c r="C624" s="3">
        <v>34404098</v>
      </c>
      <c r="D624" t="s">
        <v>819</v>
      </c>
      <c r="E624" s="3" t="str">
        <f>RTD("ice.rtd",,$C624 &amp; $D624 &amp; ":" &amp; E$1)</f>
        <v>Q1 28</v>
      </c>
      <c r="F624" s="3" t="str">
        <f>ICE[[#This Row],[Prod]]&amp;ICE[[#This Row],[Strip]]</f>
        <v>ulsdccmdiffQ1 28</v>
      </c>
      <c r="G624" s="18" t="str">
        <f>RTD("ice.rtd",,$C624 &amp; $D624 &amp; ":" &amp; G$1)</f>
        <v/>
      </c>
      <c r="H624" s="18" t="str">
        <f>RTD("ice.rtd",,$C624 &amp; $D624 &amp; ":" &amp; H$1)</f>
        <v/>
      </c>
      <c r="I624" s="18" t="str">
        <f>RTD("ice.rtd",,$C624 &amp; $D624 &amp; ":" &amp; I$1)</f>
        <v/>
      </c>
      <c r="J624" s="14" t="str">
        <f>IFERROR(MOD(RTD("ice.rtd",,$C624 &amp; $D624 &amp; ":" &amp; J$1), 1), "")</f>
        <v/>
      </c>
      <c r="K624" s="18" t="str">
        <f>RTD("ice.rtd",,$C624 &amp; $D624 &amp; ":" &amp; K$1)</f>
        <v/>
      </c>
      <c r="L624" s="36" t="str">
        <f>RTD("ice.rtd",,$C624 &amp; $D624 &amp; ":" &amp; L$1)</f>
        <v/>
      </c>
      <c r="M624" s="14" t="str">
        <f>IFERROR(MOD(TIMEVALUE(RTD("ice.rtd",,$C624 &amp; $D624 &amp; ":" &amp; M$1)), 1), "")</f>
        <v/>
      </c>
      <c r="N624" s="36">
        <f>RTD("ice.rtd",,$C624 &amp; $D624 &amp; ":" &amp; N$1)</f>
        <v>0</v>
      </c>
      <c r="O624" s="36">
        <f>RTD("ice.rtd",,$C624 &amp; $D624 &amp; ":" &amp; O$1)</f>
        <v>0</v>
      </c>
      <c r="P6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4" s="14" t="str">
        <f>IF(ICE[[#This Row],[LastType]] = "Scrn", ICE[[#This Row],[LstDate]], IF(ICE[[#This Row],[LastType]] = "Blk", ICE[[#This Row],[LstBlkTime]], ""))</f>
        <v/>
      </c>
      <c r="R624" s="41" t="str">
        <f>IF(ICE[[#This Row],[LastType]] = "Scrn", ICE[[#This Row],[LstPrc]], IF(ICE[[#This Row],[LastType]] = "Blk", ICE[[#This Row],[LstBlkPrc]], ""))</f>
        <v/>
      </c>
      <c r="S624" s="36">
        <f>ICE[[#This Row],[Vol]]+ICE[[#This Row],[BlkVol]]</f>
        <v>0</v>
      </c>
      <c r="T624" s="36">
        <f>RTD("ice.rtd",,$C624 &amp; $D624 &amp; ":" &amp; T$1)</f>
        <v>0</v>
      </c>
      <c r="U624" s="18">
        <f>RTD("ice.rtd",,$C624 &amp; $D624 &amp; ":" &amp; U$1)</f>
        <v>13</v>
      </c>
      <c r="V6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4" s="18" t="str">
        <f>IFERROR(IF(LEFT(ICE[[#This Row],[Tenor]], 1) = "B", RTD("esrtd",,$B624 &amp; " " &amp; ICE[[#This Row],[Tenor]] &amp; "-IEU", W$1), RTD("esrtd",,$B624 &amp; " " &amp; VLOOKUP(MONTH(ICE[[#This Row],[Strip]]), MthRef[], 2, 0) &amp; RIGHT(YEAR(ICE[[#This Row],[Strip]]), 2) &amp; "-IEU", W$1)), "")</f>
        <v/>
      </c>
      <c r="X624" s="36"/>
    </row>
    <row r="625" spans="1:24" x14ac:dyDescent="0.25">
      <c r="A625" s="37" t="s">
        <v>416</v>
      </c>
      <c r="B625" s="3" t="str">
        <f>RTD("ice.rtd",,$C625 &amp; $D625 &amp; ":" &amp; B$1)</f>
        <v>ULI</v>
      </c>
      <c r="C625" s="3">
        <v>34404098</v>
      </c>
      <c r="D625" t="s">
        <v>229</v>
      </c>
      <c r="E625" s="3" t="str">
        <f>RTD("ice.rtd",,$C625 &amp; $D625 &amp; ":" &amp; E$1)</f>
        <v>Q2 28</v>
      </c>
      <c r="F625" s="3" t="str">
        <f>ICE[[#This Row],[Prod]]&amp;ICE[[#This Row],[Strip]]</f>
        <v>ulsdccmdiffQ2 28</v>
      </c>
      <c r="G625" s="18" t="str">
        <f>RTD("ice.rtd",,$C625 &amp; $D625 &amp; ":" &amp; G$1)</f>
        <v/>
      </c>
      <c r="H625" s="18" t="str">
        <f>RTD("ice.rtd",,$C625 &amp; $D625 &amp; ":" &amp; H$1)</f>
        <v/>
      </c>
      <c r="I625" s="18" t="str">
        <f>RTD("ice.rtd",,$C625 &amp; $D625 &amp; ":" &amp; I$1)</f>
        <v/>
      </c>
      <c r="J625" s="14" t="str">
        <f>IFERROR(MOD(RTD("ice.rtd",,$C625 &amp; $D625 &amp; ":" &amp; J$1), 1), "")</f>
        <v/>
      </c>
      <c r="K625" s="18" t="str">
        <f>RTD("ice.rtd",,$C625 &amp; $D625 &amp; ":" &amp; K$1)</f>
        <v/>
      </c>
      <c r="L625" s="36" t="str">
        <f>RTD("ice.rtd",,$C625 &amp; $D625 &amp; ":" &amp; L$1)</f>
        <v/>
      </c>
      <c r="M625" s="14" t="str">
        <f>IFERROR(MOD(TIMEVALUE(RTD("ice.rtd",,$C625 &amp; $D625 &amp; ":" &amp; M$1)), 1), "")</f>
        <v/>
      </c>
      <c r="N625" s="36">
        <f>RTD("ice.rtd",,$C625 &amp; $D625 &amp; ":" &amp; N$1)</f>
        <v>0</v>
      </c>
      <c r="O625" s="36">
        <f>RTD("ice.rtd",,$C625 &amp; $D625 &amp; ":" &amp; O$1)</f>
        <v>0</v>
      </c>
      <c r="P6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5" s="14" t="str">
        <f>IF(ICE[[#This Row],[LastType]] = "Scrn", ICE[[#This Row],[LstDate]], IF(ICE[[#This Row],[LastType]] = "Blk", ICE[[#This Row],[LstBlkTime]], ""))</f>
        <v/>
      </c>
      <c r="R625" s="41" t="str">
        <f>IF(ICE[[#This Row],[LastType]] = "Scrn", ICE[[#This Row],[LstPrc]], IF(ICE[[#This Row],[LastType]] = "Blk", ICE[[#This Row],[LstBlkPrc]], ""))</f>
        <v/>
      </c>
      <c r="S625" s="36">
        <f>ICE[[#This Row],[Vol]]+ICE[[#This Row],[BlkVol]]</f>
        <v>0</v>
      </c>
      <c r="T625" s="36">
        <f>RTD("ice.rtd",,$C625 &amp; $D625 &amp; ":" &amp; T$1)</f>
        <v>0</v>
      </c>
      <c r="U625" s="18">
        <f>RTD("ice.rtd",,$C625 &amp; $D625 &amp; ":" &amp; U$1)</f>
        <v>12</v>
      </c>
      <c r="V6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5" s="18" t="str">
        <f>IFERROR(IF(LEFT(ICE[[#This Row],[Tenor]], 1) = "B", RTD("esrtd",,$B625 &amp; " " &amp; ICE[[#This Row],[Tenor]] &amp; "-IEU", W$1), RTD("esrtd",,$B625 &amp; " " &amp; VLOOKUP(MONTH(ICE[[#This Row],[Strip]]), MthRef[], 2, 0) &amp; RIGHT(YEAR(ICE[[#This Row],[Strip]]), 2) &amp; "-IEU", W$1)), "")</f>
        <v/>
      </c>
      <c r="X625" s="36"/>
    </row>
    <row r="626" spans="1:24" x14ac:dyDescent="0.25">
      <c r="A626" s="37" t="s">
        <v>416</v>
      </c>
      <c r="B626" s="3" t="str">
        <f>RTD("ice.rtd",,$C626 &amp; $D626 &amp; ":" &amp; B$1)</f>
        <v>ULI</v>
      </c>
      <c r="C626" s="3">
        <v>34404098</v>
      </c>
      <c r="D626" t="s">
        <v>820</v>
      </c>
      <c r="E626" s="3" t="str">
        <f>RTD("ice.rtd",,$C626 &amp; $D626 &amp; ":" &amp; E$1)</f>
        <v>Q3 28</v>
      </c>
      <c r="F626" s="3" t="str">
        <f>ICE[[#This Row],[Prod]]&amp;ICE[[#This Row],[Strip]]</f>
        <v>ulsdccmdiffQ3 28</v>
      </c>
      <c r="G626" s="18" t="str">
        <f>RTD("ice.rtd",,$C626 &amp; $D626 &amp; ":" &amp; G$1)</f>
        <v/>
      </c>
      <c r="H626" s="18" t="str">
        <f>RTD("ice.rtd",,$C626 &amp; $D626 &amp; ":" &amp; H$1)</f>
        <v/>
      </c>
      <c r="I626" s="18" t="str">
        <f>RTD("ice.rtd",,$C626 &amp; $D626 &amp; ":" &amp; I$1)</f>
        <v/>
      </c>
      <c r="J626" s="14" t="str">
        <f>IFERROR(MOD(RTD("ice.rtd",,$C626 &amp; $D626 &amp; ":" &amp; J$1), 1), "")</f>
        <v/>
      </c>
      <c r="K626" s="18" t="str">
        <f>RTD("ice.rtd",,$C626 &amp; $D626 &amp; ":" &amp; K$1)</f>
        <v/>
      </c>
      <c r="L626" s="36" t="str">
        <f>RTD("ice.rtd",,$C626 &amp; $D626 &amp; ":" &amp; L$1)</f>
        <v/>
      </c>
      <c r="M626" s="14" t="str">
        <f>IFERROR(MOD(TIMEVALUE(RTD("ice.rtd",,$C626 &amp; $D626 &amp; ":" &amp; M$1)), 1), "")</f>
        <v/>
      </c>
      <c r="N626" s="36">
        <f>RTD("ice.rtd",,$C626 &amp; $D626 &amp; ":" &amp; N$1)</f>
        <v>0</v>
      </c>
      <c r="O626" s="36">
        <f>RTD("ice.rtd",,$C626 &amp; $D626 &amp; ":" &amp; O$1)</f>
        <v>0</v>
      </c>
      <c r="P6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6" s="14" t="str">
        <f>IF(ICE[[#This Row],[LastType]] = "Scrn", ICE[[#This Row],[LstDate]], IF(ICE[[#This Row],[LastType]] = "Blk", ICE[[#This Row],[LstBlkTime]], ""))</f>
        <v/>
      </c>
      <c r="R626" s="41" t="str">
        <f>IF(ICE[[#This Row],[LastType]] = "Scrn", ICE[[#This Row],[LstPrc]], IF(ICE[[#This Row],[LastType]] = "Blk", ICE[[#This Row],[LstBlkPrc]], ""))</f>
        <v/>
      </c>
      <c r="S626" s="36">
        <f>ICE[[#This Row],[Vol]]+ICE[[#This Row],[BlkVol]]</f>
        <v>0</v>
      </c>
      <c r="T626" s="36">
        <f>RTD("ice.rtd",,$C626 &amp; $D626 &amp; ":" &amp; T$1)</f>
        <v>0</v>
      </c>
      <c r="U626" s="18">
        <f>RTD("ice.rtd",,$C626 &amp; $D626 &amp; ":" &amp; U$1)</f>
        <v>11.5</v>
      </c>
      <c r="V6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6" s="18" t="str">
        <f>IFERROR(IF(LEFT(ICE[[#This Row],[Tenor]], 1) = "B", RTD("esrtd",,$B626 &amp; " " &amp; ICE[[#This Row],[Tenor]] &amp; "-IEU", W$1), RTD("esrtd",,$B626 &amp; " " &amp; VLOOKUP(MONTH(ICE[[#This Row],[Strip]]), MthRef[], 2, 0) &amp; RIGHT(YEAR(ICE[[#This Row],[Strip]]), 2) &amp; "-IEU", W$1)), "")</f>
        <v/>
      </c>
      <c r="X626" s="36"/>
    </row>
    <row r="627" spans="1:24" x14ac:dyDescent="0.25">
      <c r="A627" s="37" t="s">
        <v>416</v>
      </c>
      <c r="B627" s="3" t="str">
        <f>RTD("ice.rtd",,$C627 &amp; $D627 &amp; ":" &amp; B$1)</f>
        <v>ULI</v>
      </c>
      <c r="C627" s="3">
        <v>34404098</v>
      </c>
      <c r="D627" t="s">
        <v>821</v>
      </c>
      <c r="E627" s="3" t="str">
        <f>RTD("ice.rtd",,$C627 &amp; $D627 &amp; ":" &amp; E$1)</f>
        <v>Q4 28</v>
      </c>
      <c r="F627" s="3" t="str">
        <f>ICE[[#This Row],[Prod]]&amp;ICE[[#This Row],[Strip]]</f>
        <v>ulsdccmdiffQ4 28</v>
      </c>
      <c r="G627" s="18" t="str">
        <f>RTD("ice.rtd",,$C627 &amp; $D627 &amp; ":" &amp; G$1)</f>
        <v/>
      </c>
      <c r="H627" s="18" t="str">
        <f>RTD("ice.rtd",,$C627 &amp; $D627 &amp; ":" &amp; H$1)</f>
        <v/>
      </c>
      <c r="I627" s="18" t="str">
        <f>RTD("ice.rtd",,$C627 &amp; $D627 &amp; ":" &amp; I$1)</f>
        <v/>
      </c>
      <c r="J627" s="14" t="str">
        <f>IFERROR(MOD(RTD("ice.rtd",,$C627 &amp; $D627 &amp; ":" &amp; J$1), 1), "")</f>
        <v/>
      </c>
      <c r="K627" s="18" t="str">
        <f>RTD("ice.rtd",,$C627 &amp; $D627 &amp; ":" &amp; K$1)</f>
        <v/>
      </c>
      <c r="L627" s="36" t="str">
        <f>RTD("ice.rtd",,$C627 &amp; $D627 &amp; ":" &amp; L$1)</f>
        <v/>
      </c>
      <c r="M627" s="14" t="str">
        <f>IFERROR(MOD(TIMEVALUE(RTD("ice.rtd",,$C627 &amp; $D627 &amp; ":" &amp; M$1)), 1), "")</f>
        <v/>
      </c>
      <c r="N627" s="36">
        <f>RTD("ice.rtd",,$C627 &amp; $D627 &amp; ":" &amp; N$1)</f>
        <v>0</v>
      </c>
      <c r="O627" s="36">
        <f>RTD("ice.rtd",,$C627 &amp; $D627 &amp; ":" &amp; O$1)</f>
        <v>0</v>
      </c>
      <c r="P6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7" s="14" t="str">
        <f>IF(ICE[[#This Row],[LastType]] = "Scrn", ICE[[#This Row],[LstDate]], IF(ICE[[#This Row],[LastType]] = "Blk", ICE[[#This Row],[LstBlkTime]], ""))</f>
        <v/>
      </c>
      <c r="R627" s="41" t="str">
        <f>IF(ICE[[#This Row],[LastType]] = "Scrn", ICE[[#This Row],[LstPrc]], IF(ICE[[#This Row],[LastType]] = "Blk", ICE[[#This Row],[LstBlkPrc]], ""))</f>
        <v/>
      </c>
      <c r="S627" s="36">
        <f>ICE[[#This Row],[Vol]]+ICE[[#This Row],[BlkVol]]</f>
        <v>0</v>
      </c>
      <c r="T627" s="36">
        <f>RTD("ice.rtd",,$C627 &amp; $D627 &amp; ":" &amp; T$1)</f>
        <v>0</v>
      </c>
      <c r="U627" s="18">
        <f>RTD("ice.rtd",,$C627 &amp; $D627 &amp; ":" &amp; U$1)</f>
        <v>12</v>
      </c>
      <c r="V6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7" s="18" t="str">
        <f>IFERROR(IF(LEFT(ICE[[#This Row],[Tenor]], 1) = "B", RTD("esrtd",,$B627 &amp; " " &amp; ICE[[#This Row],[Tenor]] &amp; "-IEU", W$1), RTD("esrtd",,$B627 &amp; " " &amp; VLOOKUP(MONTH(ICE[[#This Row],[Strip]]), MthRef[], 2, 0) &amp; RIGHT(YEAR(ICE[[#This Row],[Strip]]), 2) &amp; "-IEU", W$1)), "")</f>
        <v/>
      </c>
      <c r="X627" s="36"/>
    </row>
    <row r="628" spans="1:24" x14ac:dyDescent="0.25">
      <c r="A628" s="37" t="s">
        <v>416</v>
      </c>
      <c r="B628" s="3" t="str">
        <f>RTD("ice.rtd",,$C628 &amp; $D628 &amp; ":" &amp; B$1)</f>
        <v>ULI</v>
      </c>
      <c r="C628" s="3">
        <v>34404098</v>
      </c>
      <c r="D628" t="s">
        <v>822</v>
      </c>
      <c r="E628" s="3" t="str">
        <f>RTD("ice.rtd",,$C628 &amp; $D628 &amp; ":" &amp; E$1)</f>
        <v>Cal 27</v>
      </c>
      <c r="F628" s="3" t="str">
        <f>ICE[[#This Row],[Prod]]&amp;ICE[[#This Row],[Strip]]</f>
        <v>ulsdccmdiffCal 27</v>
      </c>
      <c r="G628" s="18" t="str">
        <f>RTD("ice.rtd",,$C628 &amp; $D628 &amp; ":" &amp; G$1)</f>
        <v/>
      </c>
      <c r="H628" s="18" t="str">
        <f>RTD("ice.rtd",,$C628 &amp; $D628 &amp; ":" &amp; H$1)</f>
        <v/>
      </c>
      <c r="I628" s="18" t="str">
        <f>RTD("ice.rtd",,$C628 &amp; $D628 &amp; ":" &amp; I$1)</f>
        <v/>
      </c>
      <c r="J628" s="14" t="str">
        <f>IFERROR(MOD(RTD("ice.rtd",,$C628 &amp; $D628 &amp; ":" &amp; J$1), 1), "")</f>
        <v/>
      </c>
      <c r="K628" s="18" t="str">
        <f>RTD("ice.rtd",,$C628 &amp; $D628 &amp; ":" &amp; K$1)</f>
        <v/>
      </c>
      <c r="L628" s="36" t="str">
        <f>RTD("ice.rtd",,$C628 &amp; $D628 &amp; ":" &amp; L$1)</f>
        <v/>
      </c>
      <c r="M628" s="14" t="str">
        <f>IFERROR(MOD(TIMEVALUE(RTD("ice.rtd",,$C628 &amp; $D628 &amp; ":" &amp; M$1)), 1), "")</f>
        <v/>
      </c>
      <c r="N628" s="36">
        <f>RTD("ice.rtd",,$C628 &amp; $D628 &amp; ":" &amp; N$1)</f>
        <v>0</v>
      </c>
      <c r="O628" s="36">
        <f>RTD("ice.rtd",,$C628 &amp; $D628 &amp; ":" &amp; O$1)</f>
        <v>0</v>
      </c>
      <c r="P6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8" s="14" t="str">
        <f>IF(ICE[[#This Row],[LastType]] = "Scrn", ICE[[#This Row],[LstDate]], IF(ICE[[#This Row],[LastType]] = "Blk", ICE[[#This Row],[LstBlkTime]], ""))</f>
        <v/>
      </c>
      <c r="R628" s="41" t="str">
        <f>IF(ICE[[#This Row],[LastType]] = "Scrn", ICE[[#This Row],[LstPrc]], IF(ICE[[#This Row],[LastType]] = "Blk", ICE[[#This Row],[LstBlkPrc]], ""))</f>
        <v/>
      </c>
      <c r="S628" s="36">
        <f>ICE[[#This Row],[Vol]]+ICE[[#This Row],[BlkVol]]</f>
        <v>0</v>
      </c>
      <c r="T628" s="36">
        <f>RTD("ice.rtd",,$C628 &amp; $D628 &amp; ":" &amp; T$1)</f>
        <v>0</v>
      </c>
      <c r="U628" s="18">
        <f>RTD("ice.rtd",,$C628 &amp; $D628 &amp; ":" &amp; U$1)</f>
        <v>17.396000000000001</v>
      </c>
      <c r="V6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8" s="18" t="str">
        <f>IFERROR(IF(LEFT(ICE[[#This Row],[Tenor]], 1) = "B", RTD("esrtd",,$B628 &amp; " " &amp; ICE[[#This Row],[Tenor]] &amp; "-IEU", W$1), RTD("esrtd",,$B628 &amp; " " &amp; VLOOKUP(MONTH(ICE[[#This Row],[Strip]]), MthRef[], 2, 0) &amp; RIGHT(YEAR(ICE[[#This Row],[Strip]]), 2) &amp; "-IEU", W$1)), "")</f>
        <v/>
      </c>
      <c r="X628" s="36"/>
    </row>
    <row r="629" spans="1:24" x14ac:dyDescent="0.25">
      <c r="A629" s="37" t="s">
        <v>416</v>
      </c>
      <c r="B629" s="3" t="str">
        <f>RTD("ice.rtd",,$C629 &amp; $D629 &amp; ":" &amp; B$1)</f>
        <v>ULI</v>
      </c>
      <c r="C629" s="3">
        <v>34404098</v>
      </c>
      <c r="D629" t="s">
        <v>823</v>
      </c>
      <c r="E629" s="3" t="str">
        <f>RTD("ice.rtd",,$C629 &amp; $D629 &amp; ":" &amp; E$1)</f>
        <v>Cal 28</v>
      </c>
      <c r="F629" s="3" t="str">
        <f>ICE[[#This Row],[Prod]]&amp;ICE[[#This Row],[Strip]]</f>
        <v>ulsdccmdiffCal 28</v>
      </c>
      <c r="G629" s="18" t="str">
        <f>RTD("ice.rtd",,$C629 &amp; $D629 &amp; ":" &amp; G$1)</f>
        <v/>
      </c>
      <c r="H629" s="18" t="str">
        <f>RTD("ice.rtd",,$C629 &amp; $D629 &amp; ":" &amp; H$1)</f>
        <v/>
      </c>
      <c r="I629" s="18" t="str">
        <f>RTD("ice.rtd",,$C629 &amp; $D629 &amp; ":" &amp; I$1)</f>
        <v/>
      </c>
      <c r="J629" s="14" t="str">
        <f>IFERROR(MOD(RTD("ice.rtd",,$C629 &amp; $D629 &amp; ":" &amp; J$1), 1), "")</f>
        <v/>
      </c>
      <c r="K629" s="18" t="str">
        <f>RTD("ice.rtd",,$C629 &amp; $D629 &amp; ":" &amp; K$1)</f>
        <v/>
      </c>
      <c r="L629" s="36" t="str">
        <f>RTD("ice.rtd",,$C629 &amp; $D629 &amp; ":" &amp; L$1)</f>
        <v/>
      </c>
      <c r="M629" s="14" t="str">
        <f>IFERROR(MOD(TIMEVALUE(RTD("ice.rtd",,$C629 &amp; $D629 &amp; ":" &amp; M$1)), 1), "")</f>
        <v/>
      </c>
      <c r="N629" s="36">
        <f>RTD("ice.rtd",,$C629 &amp; $D629 &amp; ":" &amp; N$1)</f>
        <v>0</v>
      </c>
      <c r="O629" s="36">
        <f>RTD("ice.rtd",,$C629 &amp; $D629 &amp; ":" &amp; O$1)</f>
        <v>0</v>
      </c>
      <c r="P6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29" s="14" t="str">
        <f>IF(ICE[[#This Row],[LastType]] = "Scrn", ICE[[#This Row],[LstDate]], IF(ICE[[#This Row],[LastType]] = "Blk", ICE[[#This Row],[LstBlkTime]], ""))</f>
        <v/>
      </c>
      <c r="R629" s="41" t="str">
        <f>IF(ICE[[#This Row],[LastType]] = "Scrn", ICE[[#This Row],[LstPrc]], IF(ICE[[#This Row],[LastType]] = "Blk", ICE[[#This Row],[LstBlkPrc]], ""))</f>
        <v/>
      </c>
      <c r="S629" s="36">
        <f>ICE[[#This Row],[Vol]]+ICE[[#This Row],[BlkVol]]</f>
        <v>0</v>
      </c>
      <c r="T629" s="36">
        <f>RTD("ice.rtd",,$C629 &amp; $D629 &amp; ":" &amp; T$1)</f>
        <v>0</v>
      </c>
      <c r="U629" s="18">
        <f>RTD("ice.rtd",,$C629 &amp; $D629 &amp; ":" &amp; U$1)</f>
        <v>12.125</v>
      </c>
      <c r="V6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29" s="18" t="str">
        <f>IFERROR(IF(LEFT(ICE[[#This Row],[Tenor]], 1) = "B", RTD("esrtd",,$B629 &amp; " " &amp; ICE[[#This Row],[Tenor]] &amp; "-IEU", W$1), RTD("esrtd",,$B629 &amp; " " &amp; VLOOKUP(MONTH(ICE[[#This Row],[Strip]]), MthRef[], 2, 0) &amp; RIGHT(YEAR(ICE[[#This Row],[Strip]]), 2) &amp; "-IEU", W$1)), "")</f>
        <v/>
      </c>
      <c r="X629" s="36"/>
    </row>
    <row r="630" spans="1:24" x14ac:dyDescent="0.25">
      <c r="A630" s="37" t="s">
        <v>416</v>
      </c>
      <c r="B630" s="3" t="str">
        <f>RTD("ice.rtd",,$C630 &amp; $D630 &amp; ":" &amp; B$1)</f>
        <v>Invalid Market: 34404098Y2</v>
      </c>
      <c r="C630" s="3">
        <v>34404098</v>
      </c>
      <c r="D630" t="s">
        <v>824</v>
      </c>
      <c r="E630" s="3" t="str">
        <f>RTD("ice.rtd",,$C630 &amp; $D630 &amp; ":" &amp; E$1)</f>
        <v>Invalid Market: 34404098Y2</v>
      </c>
      <c r="F630" s="3" t="str">
        <f>ICE[[#This Row],[Prod]]&amp;ICE[[#This Row],[Strip]]</f>
        <v>ulsdccmdiffInvalid Market: 34404098Y2</v>
      </c>
      <c r="G630" s="18" t="str">
        <f>RTD("ice.rtd",,$C630 &amp; $D630 &amp; ":" &amp; G$1)</f>
        <v>Invalid Market: 34404098Y2</v>
      </c>
      <c r="H630" s="18" t="str">
        <f>RTD("ice.rtd",,$C630 &amp; $D630 &amp; ":" &amp; H$1)</f>
        <v>Invalid Market: 34404098Y2</v>
      </c>
      <c r="I630" s="18" t="str">
        <f>RTD("ice.rtd",,$C630 &amp; $D630 &amp; ":" &amp; I$1)</f>
        <v>Invalid Market: 34404098Y2</v>
      </c>
      <c r="J630" s="14" t="str">
        <f>IFERROR(MOD(RTD("ice.rtd",,$C630 &amp; $D630 &amp; ":" &amp; J$1), 1), "")</f>
        <v/>
      </c>
      <c r="K630" s="18" t="str">
        <f>RTD("ice.rtd",,$C630 &amp; $D630 &amp; ":" &amp; K$1)</f>
        <v>Invalid Market: 34404098Y2</v>
      </c>
      <c r="L630" s="36" t="str">
        <f>RTD("ice.rtd",,$C630 &amp; $D630 &amp; ":" &amp; L$1)</f>
        <v>Invalid Market: 34404098Y2</v>
      </c>
      <c r="M630" s="14" t="str">
        <f>IFERROR(MOD(TIMEVALUE(RTD("ice.rtd",,$C630 &amp; $D630 &amp; ":" &amp; M$1)), 1), "")</f>
        <v/>
      </c>
      <c r="N630" s="36" t="str">
        <f>RTD("ice.rtd",,$C630 &amp; $D630 &amp; ":" &amp; N$1)</f>
        <v>Invalid Market: 34404098Y2</v>
      </c>
      <c r="O630" s="36" t="str">
        <f>RTD("ice.rtd",,$C630 &amp; $D630 &amp; ":" &amp; O$1)</f>
        <v>Invalid Market: 34404098Y2</v>
      </c>
      <c r="P6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0" s="14" t="str">
        <f>IF(ICE[[#This Row],[LastType]] = "Scrn", ICE[[#This Row],[LstDate]], IF(ICE[[#This Row],[LastType]] = "Blk", ICE[[#This Row],[LstBlkTime]], ""))</f>
        <v/>
      </c>
      <c r="R630" s="41" t="str">
        <f>IF(ICE[[#This Row],[LastType]] = "Scrn", ICE[[#This Row],[LstPrc]], IF(ICE[[#This Row],[LastType]] = "Blk", ICE[[#This Row],[LstBlkPrc]], ""))</f>
        <v/>
      </c>
      <c r="S630" s="36" t="e">
        <f>ICE[[#This Row],[Vol]]+ICE[[#This Row],[BlkVol]]</f>
        <v>#VALUE!</v>
      </c>
      <c r="T630" s="36" t="str">
        <f>RTD("ice.rtd",,$C630 &amp; $D630 &amp; ":" &amp; T$1)</f>
        <v>Invalid Market: 34404098Y2</v>
      </c>
      <c r="U630" s="18" t="str">
        <f>RTD("ice.rtd",,$C630 &amp; $D630 &amp; ":" &amp; U$1)</f>
        <v>Invalid Market: 34404098Y2</v>
      </c>
      <c r="V6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630" s="18" t="str">
        <f>IFERROR(IF(LEFT(ICE[[#This Row],[Tenor]], 1) = "B", RTD("esrtd",,$B630 &amp; " " &amp; ICE[[#This Row],[Tenor]] &amp; "-IEU", W$1), RTD("esrtd",,$B630 &amp; " " &amp; VLOOKUP(MONTH(ICE[[#This Row],[Strip]]), MthRef[], 2, 0) &amp; RIGHT(YEAR(ICE[[#This Row],[Strip]]), 2) &amp; "-IEU", W$1)), "")</f>
        <v/>
      </c>
      <c r="X630" s="36"/>
    </row>
    <row r="631" spans="1:24" x14ac:dyDescent="0.25">
      <c r="A631" s="37" t="s">
        <v>417</v>
      </c>
      <c r="B631" s="3" t="str">
        <f>RTD("ice.rtd",,$C631 &amp; $D631 &amp; ":" &amp; B$1)</f>
        <v>ULY</v>
      </c>
      <c r="C631" s="3">
        <v>2325225613</v>
      </c>
      <c r="D631" t="s">
        <v>792</v>
      </c>
      <c r="E631" s="3" t="str">
        <f>RTD("ice.rtd",,$C631 &amp; $D631 &amp; ":" &amp; E$1)</f>
        <v>Bal Month</v>
      </c>
      <c r="F631" s="3" t="str">
        <f>ICE[[#This Row],[Prod]]&amp;ICE[[#This Row],[Strip]]</f>
        <v>go01bfrdiffBal Month</v>
      </c>
      <c r="G631" s="18" t="str">
        <f>RTD("ice.rtd",,$C631 &amp; $D631 &amp; ":" &amp; G$1)</f>
        <v/>
      </c>
      <c r="H631" s="18" t="str">
        <f>RTD("ice.rtd",,$C631 &amp; $D631 &amp; ":" &amp; H$1)</f>
        <v/>
      </c>
      <c r="I631" s="18" t="str">
        <f>RTD("ice.rtd",,$C631 &amp; $D631 &amp; ":" &amp; I$1)</f>
        <v/>
      </c>
      <c r="J631" s="14" t="str">
        <f>IFERROR(MOD(RTD("ice.rtd",,$C631 &amp; $D631 &amp; ":" &amp; J$1), 1), "")</f>
        <v/>
      </c>
      <c r="K631" s="18" t="str">
        <f>RTD("ice.rtd",,$C631 &amp; $D631 &amp; ":" &amp; K$1)</f>
        <v/>
      </c>
      <c r="L631" s="36" t="str">
        <f>RTD("ice.rtd",,$C631 &amp; $D631 &amp; ":" &amp; L$1)</f>
        <v/>
      </c>
      <c r="M631" s="14" t="str">
        <f>IFERROR(MOD(TIMEVALUE(RTD("ice.rtd",,$C631 &amp; $D631 &amp; ":" &amp; M$1)), 1), "")</f>
        <v/>
      </c>
      <c r="N631" s="36">
        <f>RTD("ice.rtd",,$C631 &amp; $D631 &amp; ":" &amp; N$1)</f>
        <v>0</v>
      </c>
      <c r="O631" s="36">
        <f>RTD("ice.rtd",,$C631 &amp; $D631 &amp; ":" &amp; O$1)</f>
        <v>0</v>
      </c>
      <c r="P6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1" s="14" t="str">
        <f>IF(ICE[[#This Row],[LastType]] = "Scrn", ICE[[#This Row],[LstDate]], IF(ICE[[#This Row],[LastType]] = "Blk", ICE[[#This Row],[LstBlkTime]], ""))</f>
        <v/>
      </c>
      <c r="R631" s="41" t="str">
        <f>IF(ICE[[#This Row],[LastType]] = "Scrn", ICE[[#This Row],[LstPrc]], IF(ICE[[#This Row],[LastType]] = "Blk", ICE[[#This Row],[LstBlkPrc]], ""))</f>
        <v/>
      </c>
      <c r="S631" s="36">
        <f>ICE[[#This Row],[Vol]]+ICE[[#This Row],[BlkVol]]</f>
        <v>0</v>
      </c>
      <c r="T631" s="36">
        <f>RTD("ice.rtd",,$C631 &amp; $D631 &amp; ":" &amp; T$1)</f>
        <v>0</v>
      </c>
      <c r="U631" s="18">
        <f>RTD("ice.rtd",,$C631 &amp; $D631 &amp; ":" &amp; U$1)</f>
        <v>-52</v>
      </c>
      <c r="V6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1" s="18" t="str">
        <f>IFERROR(IF(LEFT(ICE[[#This Row],[Tenor]], 1) = "B", RTD("esrtd",,$B631 &amp; " " &amp; ICE[[#This Row],[Tenor]] &amp; "-IEU", W$1), RTD("esrtd",,$B631 &amp; " " &amp; VLOOKUP(MONTH(ICE[[#This Row],[Strip]]), MthRef[], 2, 0) &amp; RIGHT(YEAR(ICE[[#This Row],[Strip]]), 2) &amp; "-IEU", W$1)), "")</f>
        <v/>
      </c>
      <c r="X631" s="36"/>
    </row>
    <row r="632" spans="1:24" x14ac:dyDescent="0.25">
      <c r="A632" s="37" t="s">
        <v>417</v>
      </c>
      <c r="B632" s="3" t="str">
        <f>RTD("ice.rtd",,$C632 &amp; $D632 &amp; ":" &amp; B$1)</f>
        <v>ULR</v>
      </c>
      <c r="C632" s="3">
        <v>35544144</v>
      </c>
      <c r="D632" t="s">
        <v>793</v>
      </c>
      <c r="E632" s="3" t="str">
        <f>RTD("ice.rtd",,$C632 &amp; $D632 &amp; ":" &amp; E$1)</f>
        <v>Sep26</v>
      </c>
      <c r="F632" s="3" t="str">
        <f>ICE[[#This Row],[Prod]]&amp;ICE[[#This Row],[Strip]]</f>
        <v>go01bfrdiffSep26</v>
      </c>
      <c r="G632" s="18" t="str">
        <f>RTD("ice.rtd",,$C632 &amp; $D632 &amp; ":" &amp; G$1)</f>
        <v/>
      </c>
      <c r="H632" s="18" t="str">
        <f>RTD("ice.rtd",,$C632 &amp; $D632 &amp; ":" &amp; H$1)</f>
        <v/>
      </c>
      <c r="I632" s="18" t="str">
        <f>RTD("ice.rtd",,$C632 &amp; $D632 &amp; ":" &amp; I$1)</f>
        <v/>
      </c>
      <c r="J632" s="14" t="str">
        <f>IFERROR(MOD(RTD("ice.rtd",,$C632 &amp; $D632 &amp; ":" &amp; J$1), 1), "")</f>
        <v/>
      </c>
      <c r="K632" s="18" t="str">
        <f>RTD("ice.rtd",,$C632 &amp; $D632 &amp; ":" &amp; K$1)</f>
        <v/>
      </c>
      <c r="L632" s="36" t="str">
        <f>RTD("ice.rtd",,$C632 &amp; $D632 &amp; ":" &amp; L$1)</f>
        <v/>
      </c>
      <c r="M632" s="14" t="str">
        <f>IFERROR(MOD(TIMEVALUE(RTD("ice.rtd",,$C632 &amp; $D632 &amp; ":" &amp; M$1)), 1), "")</f>
        <v/>
      </c>
      <c r="N632" s="36">
        <f>RTD("ice.rtd",,$C632 &amp; $D632 &amp; ":" &amp; N$1)</f>
        <v>0</v>
      </c>
      <c r="O632" s="36">
        <f>RTD("ice.rtd",,$C632 &amp; $D632 &amp; ":" &amp; O$1)</f>
        <v>0</v>
      </c>
      <c r="P6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2" s="14" t="str">
        <f>IF(ICE[[#This Row],[LastType]] = "Scrn", ICE[[#This Row],[LstDate]], IF(ICE[[#This Row],[LastType]] = "Blk", ICE[[#This Row],[LstBlkTime]], ""))</f>
        <v/>
      </c>
      <c r="R632" s="41" t="str">
        <f>IF(ICE[[#This Row],[LastType]] = "Scrn", ICE[[#This Row],[LstPrc]], IF(ICE[[#This Row],[LastType]] = "Blk", ICE[[#This Row],[LstBlkPrc]], ""))</f>
        <v/>
      </c>
      <c r="S632" s="36">
        <f>ICE[[#This Row],[Vol]]+ICE[[#This Row],[BlkVol]]</f>
        <v>0</v>
      </c>
      <c r="T632" s="36">
        <f>RTD("ice.rtd",,$C632 &amp; $D632 &amp; ":" &amp; T$1)</f>
        <v>46</v>
      </c>
      <c r="U632" s="18">
        <f>RTD("ice.rtd",,$C632 &amp; $D632 &amp; ":" &amp; U$1)</f>
        <v>-52</v>
      </c>
      <c r="V6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2" s="18" t="str">
        <f>IFERROR(IF(LEFT(ICE[[#This Row],[Tenor]], 1) = "B", RTD("esrtd",,$B632 &amp; " " &amp; ICE[[#This Row],[Tenor]] &amp; "-IEU", W$1), RTD("esrtd",,$B632 &amp; " " &amp; VLOOKUP(MONTH(ICE[[#This Row],[Strip]]), MthRef[], 2, 0) &amp; RIGHT(YEAR(ICE[[#This Row],[Strip]]), 2) &amp; "-IEU", W$1)), "")</f>
        <v/>
      </c>
      <c r="X632" s="36"/>
    </row>
    <row r="633" spans="1:24" x14ac:dyDescent="0.25">
      <c r="A633" s="37" t="s">
        <v>417</v>
      </c>
      <c r="B633" s="3" t="str">
        <f>RTD("ice.rtd",,$C633 &amp; $D633 &amp; ":" &amp; B$1)</f>
        <v>ULR</v>
      </c>
      <c r="C633" s="3">
        <v>35544144</v>
      </c>
      <c r="D633" t="s">
        <v>324</v>
      </c>
      <c r="E633" s="3" t="str">
        <f>RTD("ice.rtd",,$C633 &amp; $D633 &amp; ":" &amp; E$1)</f>
        <v>Oct26</v>
      </c>
      <c r="F633" s="3" t="str">
        <f>ICE[[#This Row],[Prod]]&amp;ICE[[#This Row],[Strip]]</f>
        <v>go01bfrdiffOct26</v>
      </c>
      <c r="G633" s="18" t="str">
        <f>RTD("ice.rtd",,$C633 &amp; $D633 &amp; ":" &amp; G$1)</f>
        <v/>
      </c>
      <c r="H633" s="18" t="str">
        <f>RTD("ice.rtd",,$C633 &amp; $D633 &amp; ":" &amp; H$1)</f>
        <v/>
      </c>
      <c r="I633" s="18" t="str">
        <f>RTD("ice.rtd",,$C633 &amp; $D633 &amp; ":" &amp; I$1)</f>
        <v/>
      </c>
      <c r="J633" s="14" t="str">
        <f>IFERROR(MOD(RTD("ice.rtd",,$C633 &amp; $D633 &amp; ":" &amp; J$1), 1), "")</f>
        <v/>
      </c>
      <c r="K633" s="18" t="str">
        <f>RTD("ice.rtd",,$C633 &amp; $D633 &amp; ":" &amp; K$1)</f>
        <v/>
      </c>
      <c r="L633" s="36" t="str">
        <f>RTD("ice.rtd",,$C633 &amp; $D633 &amp; ":" &amp; L$1)</f>
        <v/>
      </c>
      <c r="M633" s="14" t="str">
        <f>IFERROR(MOD(TIMEVALUE(RTD("ice.rtd",,$C633 &amp; $D633 &amp; ":" &amp; M$1)), 1), "")</f>
        <v/>
      </c>
      <c r="N633" s="36">
        <f>RTD("ice.rtd",,$C633 &amp; $D633 &amp; ":" &amp; N$1)</f>
        <v>0</v>
      </c>
      <c r="O633" s="36">
        <f>RTD("ice.rtd",,$C633 &amp; $D633 &amp; ":" &amp; O$1)</f>
        <v>0</v>
      </c>
      <c r="P6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3" s="14" t="str">
        <f>IF(ICE[[#This Row],[LastType]] = "Scrn", ICE[[#This Row],[LstDate]], IF(ICE[[#This Row],[LastType]] = "Blk", ICE[[#This Row],[LstBlkTime]], ""))</f>
        <v/>
      </c>
      <c r="R633" s="41" t="str">
        <f>IF(ICE[[#This Row],[LastType]] = "Scrn", ICE[[#This Row],[LstPrc]], IF(ICE[[#This Row],[LastType]] = "Blk", ICE[[#This Row],[LstBlkPrc]], ""))</f>
        <v/>
      </c>
      <c r="S633" s="36">
        <f>ICE[[#This Row],[Vol]]+ICE[[#This Row],[BlkVol]]</f>
        <v>0</v>
      </c>
      <c r="T633" s="36">
        <f>RTD("ice.rtd",,$C633 &amp; $D633 &amp; ":" &amp; T$1)</f>
        <v>45</v>
      </c>
      <c r="U633" s="18">
        <f>RTD("ice.rtd",,$C633 &amp; $D633 &amp; ":" &amp; U$1)</f>
        <v>-50</v>
      </c>
      <c r="V6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3" s="18" t="str">
        <f>IFERROR(IF(LEFT(ICE[[#This Row],[Tenor]], 1) = "B", RTD("esrtd",,$B633 &amp; " " &amp; ICE[[#This Row],[Tenor]] &amp; "-IEU", W$1), RTD("esrtd",,$B633 &amp; " " &amp; VLOOKUP(MONTH(ICE[[#This Row],[Strip]]), MthRef[], 2, 0) &amp; RIGHT(YEAR(ICE[[#This Row],[Strip]]), 2) &amp; "-IEU", W$1)), "")</f>
        <v/>
      </c>
      <c r="X633" s="36"/>
    </row>
    <row r="634" spans="1:24" x14ac:dyDescent="0.25">
      <c r="A634" s="37" t="s">
        <v>417</v>
      </c>
      <c r="B634" s="3" t="str">
        <f>RTD("ice.rtd",,$C634 &amp; $D634 &amp; ":" &amp; B$1)</f>
        <v>ULR</v>
      </c>
      <c r="C634" s="3">
        <v>35544144</v>
      </c>
      <c r="D634" t="s">
        <v>325</v>
      </c>
      <c r="E634" s="3" t="str">
        <f>RTD("ice.rtd",,$C634 &amp; $D634 &amp; ":" &amp; E$1)</f>
        <v>Nov26</v>
      </c>
      <c r="F634" s="3" t="str">
        <f>ICE[[#This Row],[Prod]]&amp;ICE[[#This Row],[Strip]]</f>
        <v>go01bfrdiffNov26</v>
      </c>
      <c r="G634" s="18" t="str">
        <f>RTD("ice.rtd",,$C634 &amp; $D634 &amp; ":" &amp; G$1)</f>
        <v/>
      </c>
      <c r="H634" s="18" t="str">
        <f>RTD("ice.rtd",,$C634 &amp; $D634 &amp; ":" &amp; H$1)</f>
        <v/>
      </c>
      <c r="I634" s="18" t="str">
        <f>RTD("ice.rtd",,$C634 &amp; $D634 &amp; ":" &amp; I$1)</f>
        <v/>
      </c>
      <c r="J634" s="14" t="str">
        <f>IFERROR(MOD(RTD("ice.rtd",,$C634 &amp; $D634 &amp; ":" &amp; J$1), 1), "")</f>
        <v/>
      </c>
      <c r="K634" s="18" t="str">
        <f>RTD("ice.rtd",,$C634 &amp; $D634 &amp; ":" &amp; K$1)</f>
        <v/>
      </c>
      <c r="L634" s="36" t="str">
        <f>RTD("ice.rtd",,$C634 &amp; $D634 &amp; ":" &amp; L$1)</f>
        <v/>
      </c>
      <c r="M634" s="14" t="str">
        <f>IFERROR(MOD(TIMEVALUE(RTD("ice.rtd",,$C634 &amp; $D634 &amp; ":" &amp; M$1)), 1), "")</f>
        <v/>
      </c>
      <c r="N634" s="36">
        <f>RTD("ice.rtd",,$C634 &amp; $D634 &amp; ":" &amp; N$1)</f>
        <v>0</v>
      </c>
      <c r="O634" s="36">
        <f>RTD("ice.rtd",,$C634 &amp; $D634 &amp; ":" &amp; O$1)</f>
        <v>0</v>
      </c>
      <c r="P6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4" s="14" t="str">
        <f>IF(ICE[[#This Row],[LastType]] = "Scrn", ICE[[#This Row],[LstDate]], IF(ICE[[#This Row],[LastType]] = "Blk", ICE[[#This Row],[LstBlkTime]], ""))</f>
        <v/>
      </c>
      <c r="R634" s="41" t="str">
        <f>IF(ICE[[#This Row],[LastType]] = "Scrn", ICE[[#This Row],[LstPrc]], IF(ICE[[#This Row],[LastType]] = "Blk", ICE[[#This Row],[LstBlkPrc]], ""))</f>
        <v/>
      </c>
      <c r="S634" s="36">
        <f>ICE[[#This Row],[Vol]]+ICE[[#This Row],[BlkVol]]</f>
        <v>0</v>
      </c>
      <c r="T634" s="36">
        <f>RTD("ice.rtd",,$C634 &amp; $D634 &amp; ":" &amp; T$1)</f>
        <v>40</v>
      </c>
      <c r="U634" s="18">
        <f>RTD("ice.rtd",,$C634 &amp; $D634 &amp; ":" &amp; U$1)</f>
        <v>-45</v>
      </c>
      <c r="V6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4" s="18" t="str">
        <f>IFERROR(IF(LEFT(ICE[[#This Row],[Tenor]], 1) = "B", RTD("esrtd",,$B634 &amp; " " &amp; ICE[[#This Row],[Tenor]] &amp; "-IEU", W$1), RTD("esrtd",,$B634 &amp; " " &amp; VLOOKUP(MONTH(ICE[[#This Row],[Strip]]), MthRef[], 2, 0) &amp; RIGHT(YEAR(ICE[[#This Row],[Strip]]), 2) &amp; "-IEU", W$1)), "")</f>
        <v/>
      </c>
      <c r="X634" s="36"/>
    </row>
    <row r="635" spans="1:24" x14ac:dyDescent="0.25">
      <c r="A635" s="37" t="s">
        <v>417</v>
      </c>
      <c r="B635" s="3" t="str">
        <f>RTD("ice.rtd",,$C635 &amp; $D635 &amp; ":" &amp; B$1)</f>
        <v>ULR</v>
      </c>
      <c r="C635" s="3">
        <v>35544144</v>
      </c>
      <c r="D635" t="s">
        <v>326</v>
      </c>
      <c r="E635" s="3" t="str">
        <f>RTD("ice.rtd",,$C635 &amp; $D635 &amp; ":" &amp; E$1)</f>
        <v>Dec26</v>
      </c>
      <c r="F635" s="3" t="str">
        <f>ICE[[#This Row],[Prod]]&amp;ICE[[#This Row],[Strip]]</f>
        <v>go01bfrdiffDec26</v>
      </c>
      <c r="G635" s="18" t="str">
        <f>RTD("ice.rtd",,$C635 &amp; $D635 &amp; ":" &amp; G$1)</f>
        <v/>
      </c>
      <c r="H635" s="18" t="str">
        <f>RTD("ice.rtd",,$C635 &amp; $D635 &amp; ":" &amp; H$1)</f>
        <v/>
      </c>
      <c r="I635" s="18" t="str">
        <f>RTD("ice.rtd",,$C635 &amp; $D635 &amp; ":" &amp; I$1)</f>
        <v/>
      </c>
      <c r="J635" s="14" t="str">
        <f>IFERROR(MOD(RTD("ice.rtd",,$C635 &amp; $D635 &amp; ":" &amp; J$1), 1), "")</f>
        <v/>
      </c>
      <c r="K635" s="18" t="str">
        <f>RTD("ice.rtd",,$C635 &amp; $D635 &amp; ":" &amp; K$1)</f>
        <v/>
      </c>
      <c r="L635" s="36" t="str">
        <f>RTD("ice.rtd",,$C635 &amp; $D635 &amp; ":" &amp; L$1)</f>
        <v/>
      </c>
      <c r="M635" s="14" t="str">
        <f>IFERROR(MOD(TIMEVALUE(RTD("ice.rtd",,$C635 &amp; $D635 &amp; ":" &amp; M$1)), 1), "")</f>
        <v/>
      </c>
      <c r="N635" s="36">
        <f>RTD("ice.rtd",,$C635 &amp; $D635 &amp; ":" &amp; N$1)</f>
        <v>0</v>
      </c>
      <c r="O635" s="36">
        <f>RTD("ice.rtd",,$C635 &amp; $D635 &amp; ":" &amp; O$1)</f>
        <v>0</v>
      </c>
      <c r="P6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5" s="14" t="str">
        <f>IF(ICE[[#This Row],[LastType]] = "Scrn", ICE[[#This Row],[LstDate]], IF(ICE[[#This Row],[LastType]] = "Blk", ICE[[#This Row],[LstBlkTime]], ""))</f>
        <v/>
      </c>
      <c r="R635" s="41" t="str">
        <f>IF(ICE[[#This Row],[LastType]] = "Scrn", ICE[[#This Row],[LstPrc]], IF(ICE[[#This Row],[LastType]] = "Blk", ICE[[#This Row],[LstBlkPrc]], ""))</f>
        <v/>
      </c>
      <c r="S635" s="36">
        <f>ICE[[#This Row],[Vol]]+ICE[[#This Row],[BlkVol]]</f>
        <v>0</v>
      </c>
      <c r="T635" s="36">
        <f>RTD("ice.rtd",,$C635 &amp; $D635 &amp; ":" &amp; T$1)</f>
        <v>40</v>
      </c>
      <c r="U635" s="18">
        <f>RTD("ice.rtd",,$C635 &amp; $D635 &amp; ":" &amp; U$1)</f>
        <v>-40</v>
      </c>
      <c r="V6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5" s="18" t="str">
        <f>IFERROR(IF(LEFT(ICE[[#This Row],[Tenor]], 1) = "B", RTD("esrtd",,$B635 &amp; " " &amp; ICE[[#This Row],[Tenor]] &amp; "-IEU", W$1), RTD("esrtd",,$B635 &amp; " " &amp; VLOOKUP(MONTH(ICE[[#This Row],[Strip]]), MthRef[], 2, 0) &amp; RIGHT(YEAR(ICE[[#This Row],[Strip]]), 2) &amp; "-IEU", W$1)), "")</f>
        <v/>
      </c>
      <c r="X635" s="36"/>
    </row>
    <row r="636" spans="1:24" x14ac:dyDescent="0.25">
      <c r="A636" s="37" t="s">
        <v>417</v>
      </c>
      <c r="B636" s="3" t="str">
        <f>RTD("ice.rtd",,$C636 &amp; $D636 &amp; ":" &amp; B$1)</f>
        <v>ULR</v>
      </c>
      <c r="C636" s="3">
        <v>35544144</v>
      </c>
      <c r="D636" t="s">
        <v>794</v>
      </c>
      <c r="E636" s="3" t="str">
        <f>RTD("ice.rtd",,$C636 &amp; $D636 &amp; ":" &amp; E$1)</f>
        <v>Jan27</v>
      </c>
      <c r="F636" s="3" t="str">
        <f>ICE[[#This Row],[Prod]]&amp;ICE[[#This Row],[Strip]]</f>
        <v>go01bfrdiffJan27</v>
      </c>
      <c r="G636" s="18" t="str">
        <f>RTD("ice.rtd",,$C636 &amp; $D636 &amp; ":" &amp; G$1)</f>
        <v/>
      </c>
      <c r="H636" s="18" t="str">
        <f>RTD("ice.rtd",,$C636 &amp; $D636 &amp; ":" &amp; H$1)</f>
        <v/>
      </c>
      <c r="I636" s="18" t="str">
        <f>RTD("ice.rtd",,$C636 &amp; $D636 &amp; ":" &amp; I$1)</f>
        <v/>
      </c>
      <c r="J636" s="14" t="str">
        <f>IFERROR(MOD(RTD("ice.rtd",,$C636 &amp; $D636 &amp; ":" &amp; J$1), 1), "")</f>
        <v/>
      </c>
      <c r="K636" s="18" t="str">
        <f>RTD("ice.rtd",,$C636 &amp; $D636 &amp; ":" &amp; K$1)</f>
        <v/>
      </c>
      <c r="L636" s="36" t="str">
        <f>RTD("ice.rtd",,$C636 &amp; $D636 &amp; ":" &amp; L$1)</f>
        <v/>
      </c>
      <c r="M636" s="14" t="str">
        <f>IFERROR(MOD(TIMEVALUE(RTD("ice.rtd",,$C636 &amp; $D636 &amp; ":" &amp; M$1)), 1), "")</f>
        <v/>
      </c>
      <c r="N636" s="36">
        <f>RTD("ice.rtd",,$C636 &amp; $D636 &amp; ":" &amp; N$1)</f>
        <v>0</v>
      </c>
      <c r="O636" s="36">
        <f>RTD("ice.rtd",,$C636 &amp; $D636 &amp; ":" &amp; O$1)</f>
        <v>0</v>
      </c>
      <c r="P6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6" s="14" t="str">
        <f>IF(ICE[[#This Row],[LastType]] = "Scrn", ICE[[#This Row],[LstDate]], IF(ICE[[#This Row],[LastType]] = "Blk", ICE[[#This Row],[LstBlkTime]], ""))</f>
        <v/>
      </c>
      <c r="R636" s="41" t="str">
        <f>IF(ICE[[#This Row],[LastType]] = "Scrn", ICE[[#This Row],[LstPrc]], IF(ICE[[#This Row],[LastType]] = "Blk", ICE[[#This Row],[LstBlkPrc]], ""))</f>
        <v/>
      </c>
      <c r="S636" s="36">
        <f>ICE[[#This Row],[Vol]]+ICE[[#This Row],[BlkVol]]</f>
        <v>0</v>
      </c>
      <c r="T636" s="36">
        <f>RTD("ice.rtd",,$C636 &amp; $D636 &amp; ":" &amp; T$1)</f>
        <v>15</v>
      </c>
      <c r="U636" s="18">
        <f>RTD("ice.rtd",,$C636 &amp; $D636 &amp; ":" &amp; U$1)</f>
        <v>-31</v>
      </c>
      <c r="V6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6" s="18" t="str">
        <f>IFERROR(IF(LEFT(ICE[[#This Row],[Tenor]], 1) = "B", RTD("esrtd",,$B636 &amp; " " &amp; ICE[[#This Row],[Tenor]] &amp; "-IEU", W$1), RTD("esrtd",,$B636 &amp; " " &amp; VLOOKUP(MONTH(ICE[[#This Row],[Strip]]), MthRef[], 2, 0) &amp; RIGHT(YEAR(ICE[[#This Row],[Strip]]), 2) &amp; "-IEU", W$1)), "")</f>
        <v/>
      </c>
      <c r="X636" s="36"/>
    </row>
    <row r="637" spans="1:24" x14ac:dyDescent="0.25">
      <c r="A637" s="37" t="s">
        <v>417</v>
      </c>
      <c r="B637" s="3" t="str">
        <f>RTD("ice.rtd",,$C637 &amp; $D637 &amp; ":" &amp; B$1)</f>
        <v>ULR</v>
      </c>
      <c r="C637" s="3">
        <v>35544144</v>
      </c>
      <c r="D637" t="s">
        <v>795</v>
      </c>
      <c r="E637" s="3" t="str">
        <f>RTD("ice.rtd",,$C637 &amp; $D637 &amp; ":" &amp; E$1)</f>
        <v>Feb27</v>
      </c>
      <c r="F637" s="3" t="str">
        <f>ICE[[#This Row],[Prod]]&amp;ICE[[#This Row],[Strip]]</f>
        <v>go01bfrdiffFeb27</v>
      </c>
      <c r="G637" s="18" t="str">
        <f>RTD("ice.rtd",,$C637 &amp; $D637 &amp; ":" &amp; G$1)</f>
        <v/>
      </c>
      <c r="H637" s="18" t="str">
        <f>RTD("ice.rtd",,$C637 &amp; $D637 &amp; ":" &amp; H$1)</f>
        <v/>
      </c>
      <c r="I637" s="18" t="str">
        <f>RTD("ice.rtd",,$C637 &amp; $D637 &amp; ":" &amp; I$1)</f>
        <v/>
      </c>
      <c r="J637" s="14" t="str">
        <f>IFERROR(MOD(RTD("ice.rtd",,$C637 &amp; $D637 &amp; ":" &amp; J$1), 1), "")</f>
        <v/>
      </c>
      <c r="K637" s="18" t="str">
        <f>RTD("ice.rtd",,$C637 &amp; $D637 &amp; ":" &amp; K$1)</f>
        <v/>
      </c>
      <c r="L637" s="36" t="str">
        <f>RTD("ice.rtd",,$C637 &amp; $D637 &amp; ":" &amp; L$1)</f>
        <v/>
      </c>
      <c r="M637" s="14" t="str">
        <f>IFERROR(MOD(TIMEVALUE(RTD("ice.rtd",,$C637 &amp; $D637 &amp; ":" &amp; M$1)), 1), "")</f>
        <v/>
      </c>
      <c r="N637" s="36">
        <f>RTD("ice.rtd",,$C637 &amp; $D637 &amp; ":" &amp; N$1)</f>
        <v>0</v>
      </c>
      <c r="O637" s="36">
        <f>RTD("ice.rtd",,$C637 &amp; $D637 &amp; ":" &amp; O$1)</f>
        <v>0</v>
      </c>
      <c r="P6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7" s="14" t="str">
        <f>IF(ICE[[#This Row],[LastType]] = "Scrn", ICE[[#This Row],[LstDate]], IF(ICE[[#This Row],[LastType]] = "Blk", ICE[[#This Row],[LstBlkTime]], ""))</f>
        <v/>
      </c>
      <c r="R637" s="41" t="str">
        <f>IF(ICE[[#This Row],[LastType]] = "Scrn", ICE[[#This Row],[LstPrc]], IF(ICE[[#This Row],[LastType]] = "Blk", ICE[[#This Row],[LstBlkPrc]], ""))</f>
        <v/>
      </c>
      <c r="S637" s="36">
        <f>ICE[[#This Row],[Vol]]+ICE[[#This Row],[BlkVol]]</f>
        <v>0</v>
      </c>
      <c r="T637" s="36">
        <f>RTD("ice.rtd",,$C637 &amp; $D637 &amp; ":" &amp; T$1)</f>
        <v>15</v>
      </c>
      <c r="U637" s="18">
        <f>RTD("ice.rtd",,$C637 &amp; $D637 &amp; ":" &amp; U$1)</f>
        <v>-31</v>
      </c>
      <c r="V6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7" s="18" t="str">
        <f>IFERROR(IF(LEFT(ICE[[#This Row],[Tenor]], 1) = "B", RTD("esrtd",,$B637 &amp; " " &amp; ICE[[#This Row],[Tenor]] &amp; "-IEU", W$1), RTD("esrtd",,$B637 &amp; " " &amp; VLOOKUP(MONTH(ICE[[#This Row],[Strip]]), MthRef[], 2, 0) &amp; RIGHT(YEAR(ICE[[#This Row],[Strip]]), 2) &amp; "-IEU", W$1)), "")</f>
        <v/>
      </c>
      <c r="X637" s="36"/>
    </row>
    <row r="638" spans="1:24" x14ac:dyDescent="0.25">
      <c r="A638" s="37" t="s">
        <v>417</v>
      </c>
      <c r="B638" s="3" t="str">
        <f>RTD("ice.rtd",,$C638 &amp; $D638 &amp; ":" &amp; B$1)</f>
        <v>ULR</v>
      </c>
      <c r="C638" s="3">
        <v>35544144</v>
      </c>
      <c r="D638" t="s">
        <v>113</v>
      </c>
      <c r="E638" s="3" t="str">
        <f>RTD("ice.rtd",,$C638 &amp; $D638 &amp; ":" &amp; E$1)</f>
        <v>Mar27</v>
      </c>
      <c r="F638" s="3" t="str">
        <f>ICE[[#This Row],[Prod]]&amp;ICE[[#This Row],[Strip]]</f>
        <v>go01bfrdiffMar27</v>
      </c>
      <c r="G638" s="18" t="str">
        <f>RTD("ice.rtd",,$C638 &amp; $D638 &amp; ":" &amp; G$1)</f>
        <v/>
      </c>
      <c r="H638" s="18" t="str">
        <f>RTD("ice.rtd",,$C638 &amp; $D638 &amp; ":" &amp; H$1)</f>
        <v/>
      </c>
      <c r="I638" s="18" t="str">
        <f>RTD("ice.rtd",,$C638 &amp; $D638 &amp; ":" &amp; I$1)</f>
        <v/>
      </c>
      <c r="J638" s="14" t="str">
        <f>IFERROR(MOD(RTD("ice.rtd",,$C638 &amp; $D638 &amp; ":" &amp; J$1), 1), "")</f>
        <v/>
      </c>
      <c r="K638" s="18" t="str">
        <f>RTD("ice.rtd",,$C638 &amp; $D638 &amp; ":" &amp; K$1)</f>
        <v/>
      </c>
      <c r="L638" s="36" t="str">
        <f>RTD("ice.rtd",,$C638 &amp; $D638 &amp; ":" &amp; L$1)</f>
        <v/>
      </c>
      <c r="M638" s="14" t="str">
        <f>IFERROR(MOD(TIMEVALUE(RTD("ice.rtd",,$C638 &amp; $D638 &amp; ":" &amp; M$1)), 1), "")</f>
        <v/>
      </c>
      <c r="N638" s="36">
        <f>RTD("ice.rtd",,$C638 &amp; $D638 &amp; ":" &amp; N$1)</f>
        <v>0</v>
      </c>
      <c r="O638" s="36">
        <f>RTD("ice.rtd",,$C638 &amp; $D638 &amp; ":" &amp; O$1)</f>
        <v>0</v>
      </c>
      <c r="P6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8" s="14" t="str">
        <f>IF(ICE[[#This Row],[LastType]] = "Scrn", ICE[[#This Row],[LstDate]], IF(ICE[[#This Row],[LastType]] = "Blk", ICE[[#This Row],[LstBlkTime]], ""))</f>
        <v/>
      </c>
      <c r="R638" s="41" t="str">
        <f>IF(ICE[[#This Row],[LastType]] = "Scrn", ICE[[#This Row],[LstPrc]], IF(ICE[[#This Row],[LastType]] = "Blk", ICE[[#This Row],[LstBlkPrc]], ""))</f>
        <v/>
      </c>
      <c r="S638" s="36">
        <f>ICE[[#This Row],[Vol]]+ICE[[#This Row],[BlkVol]]</f>
        <v>0</v>
      </c>
      <c r="T638" s="36">
        <f>RTD("ice.rtd",,$C638 &amp; $D638 &amp; ":" &amp; T$1)</f>
        <v>15</v>
      </c>
      <c r="U638" s="18">
        <f>RTD("ice.rtd",,$C638 &amp; $D638 &amp; ":" &amp; U$1)</f>
        <v>-31</v>
      </c>
      <c r="V6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8" s="18" t="str">
        <f>IFERROR(IF(LEFT(ICE[[#This Row],[Tenor]], 1) = "B", RTD("esrtd",,$B638 &amp; " " &amp; ICE[[#This Row],[Tenor]] &amp; "-IEU", W$1), RTD("esrtd",,$B638 &amp; " " &amp; VLOOKUP(MONTH(ICE[[#This Row],[Strip]]), MthRef[], 2, 0) &amp; RIGHT(YEAR(ICE[[#This Row],[Strip]]), 2) &amp; "-IEU", W$1)), "")</f>
        <v/>
      </c>
      <c r="X638" s="36"/>
    </row>
    <row r="639" spans="1:24" x14ac:dyDescent="0.25">
      <c r="A639" s="37" t="s">
        <v>417</v>
      </c>
      <c r="B639" s="3" t="str">
        <f>RTD("ice.rtd",,$C639 &amp; $D639 &amp; ":" &amp; B$1)</f>
        <v>ULR</v>
      </c>
      <c r="C639" s="3">
        <v>35544144</v>
      </c>
      <c r="D639" t="s">
        <v>796</v>
      </c>
      <c r="E639" s="3" t="str">
        <f>RTD("ice.rtd",,$C639 &amp; $D639 &amp; ":" &amp; E$1)</f>
        <v>Apr27</v>
      </c>
      <c r="F639" s="3" t="str">
        <f>ICE[[#This Row],[Prod]]&amp;ICE[[#This Row],[Strip]]</f>
        <v>go01bfrdiffApr27</v>
      </c>
      <c r="G639" s="18" t="str">
        <f>RTD("ice.rtd",,$C639 &amp; $D639 &amp; ":" &amp; G$1)</f>
        <v/>
      </c>
      <c r="H639" s="18" t="str">
        <f>RTD("ice.rtd",,$C639 &amp; $D639 &amp; ":" &amp; H$1)</f>
        <v/>
      </c>
      <c r="I639" s="18" t="str">
        <f>RTD("ice.rtd",,$C639 &amp; $D639 &amp; ":" &amp; I$1)</f>
        <v/>
      </c>
      <c r="J639" s="14" t="str">
        <f>IFERROR(MOD(RTD("ice.rtd",,$C639 &amp; $D639 &amp; ":" &amp; J$1), 1), "")</f>
        <v/>
      </c>
      <c r="K639" s="18" t="str">
        <f>RTD("ice.rtd",,$C639 &amp; $D639 &amp; ":" &amp; K$1)</f>
        <v/>
      </c>
      <c r="L639" s="36" t="str">
        <f>RTD("ice.rtd",,$C639 &amp; $D639 &amp; ":" &amp; L$1)</f>
        <v/>
      </c>
      <c r="M639" s="14" t="str">
        <f>IFERROR(MOD(TIMEVALUE(RTD("ice.rtd",,$C639 &amp; $D639 &amp; ":" &amp; M$1)), 1), "")</f>
        <v/>
      </c>
      <c r="N639" s="36">
        <f>RTD("ice.rtd",,$C639 &amp; $D639 &amp; ":" &amp; N$1)</f>
        <v>0</v>
      </c>
      <c r="O639" s="36">
        <f>RTD("ice.rtd",,$C639 &amp; $D639 &amp; ":" &amp; O$1)</f>
        <v>0</v>
      </c>
      <c r="P6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39" s="14" t="str">
        <f>IF(ICE[[#This Row],[LastType]] = "Scrn", ICE[[#This Row],[LstDate]], IF(ICE[[#This Row],[LastType]] = "Blk", ICE[[#This Row],[LstBlkTime]], ""))</f>
        <v/>
      </c>
      <c r="R639" s="41" t="str">
        <f>IF(ICE[[#This Row],[LastType]] = "Scrn", ICE[[#This Row],[LstPrc]], IF(ICE[[#This Row],[LastType]] = "Blk", ICE[[#This Row],[LstBlkPrc]], ""))</f>
        <v/>
      </c>
      <c r="S639" s="36">
        <f>ICE[[#This Row],[Vol]]+ICE[[#This Row],[BlkVol]]</f>
        <v>0</v>
      </c>
      <c r="T639" s="36">
        <f>RTD("ice.rtd",,$C639 &amp; $D639 &amp; ":" &amp; T$1)</f>
        <v>14</v>
      </c>
      <c r="U639" s="18">
        <f>RTD("ice.rtd",,$C639 &amp; $D639 &amp; ":" &amp; U$1)</f>
        <v>-29</v>
      </c>
      <c r="V6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39" s="18" t="str">
        <f>IFERROR(IF(LEFT(ICE[[#This Row],[Tenor]], 1) = "B", RTD("esrtd",,$B639 &amp; " " &amp; ICE[[#This Row],[Tenor]] &amp; "-IEU", W$1), RTD("esrtd",,$B639 &amp; " " &amp; VLOOKUP(MONTH(ICE[[#This Row],[Strip]]), MthRef[], 2, 0) &amp; RIGHT(YEAR(ICE[[#This Row],[Strip]]), 2) &amp; "-IEU", W$1)), "")</f>
        <v/>
      </c>
      <c r="X639" s="36"/>
    </row>
    <row r="640" spans="1:24" x14ac:dyDescent="0.25">
      <c r="A640" s="37" t="s">
        <v>417</v>
      </c>
      <c r="B640" s="3" t="str">
        <f>RTD("ice.rtd",,$C640 &amp; $D640 &amp; ":" &amp; B$1)</f>
        <v>ULR</v>
      </c>
      <c r="C640" s="3">
        <v>35544144</v>
      </c>
      <c r="D640" t="s">
        <v>797</v>
      </c>
      <c r="E640" s="3" t="str">
        <f>RTD("ice.rtd",,$C640 &amp; $D640 &amp; ":" &amp; E$1)</f>
        <v>May27</v>
      </c>
      <c r="F640" s="3" t="str">
        <f>ICE[[#This Row],[Prod]]&amp;ICE[[#This Row],[Strip]]</f>
        <v>go01bfrdiffMay27</v>
      </c>
      <c r="G640" s="18" t="str">
        <f>RTD("ice.rtd",,$C640 &amp; $D640 &amp; ":" &amp; G$1)</f>
        <v/>
      </c>
      <c r="H640" s="18" t="str">
        <f>RTD("ice.rtd",,$C640 &amp; $D640 &amp; ":" &amp; H$1)</f>
        <v/>
      </c>
      <c r="I640" s="18" t="str">
        <f>RTD("ice.rtd",,$C640 &amp; $D640 &amp; ":" &amp; I$1)</f>
        <v/>
      </c>
      <c r="J640" s="14" t="str">
        <f>IFERROR(MOD(RTD("ice.rtd",,$C640 &amp; $D640 &amp; ":" &amp; J$1), 1), "")</f>
        <v/>
      </c>
      <c r="K640" s="18" t="str">
        <f>RTD("ice.rtd",,$C640 &amp; $D640 &amp; ":" &amp; K$1)</f>
        <v/>
      </c>
      <c r="L640" s="36" t="str">
        <f>RTD("ice.rtd",,$C640 &amp; $D640 &amp; ":" &amp; L$1)</f>
        <v/>
      </c>
      <c r="M640" s="14" t="str">
        <f>IFERROR(MOD(TIMEVALUE(RTD("ice.rtd",,$C640 &amp; $D640 &amp; ":" &amp; M$1)), 1), "")</f>
        <v/>
      </c>
      <c r="N640" s="36">
        <f>RTD("ice.rtd",,$C640 &amp; $D640 &amp; ":" &amp; N$1)</f>
        <v>0</v>
      </c>
      <c r="O640" s="36">
        <f>RTD("ice.rtd",,$C640 &amp; $D640 &amp; ":" &amp; O$1)</f>
        <v>0</v>
      </c>
      <c r="P6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0" s="14" t="str">
        <f>IF(ICE[[#This Row],[LastType]] = "Scrn", ICE[[#This Row],[LstDate]], IF(ICE[[#This Row],[LastType]] = "Blk", ICE[[#This Row],[LstBlkTime]], ""))</f>
        <v/>
      </c>
      <c r="R640" s="41" t="str">
        <f>IF(ICE[[#This Row],[LastType]] = "Scrn", ICE[[#This Row],[LstPrc]], IF(ICE[[#This Row],[LastType]] = "Blk", ICE[[#This Row],[LstBlkPrc]], ""))</f>
        <v/>
      </c>
      <c r="S640" s="36">
        <f>ICE[[#This Row],[Vol]]+ICE[[#This Row],[BlkVol]]</f>
        <v>0</v>
      </c>
      <c r="T640" s="36">
        <f>RTD("ice.rtd",,$C640 &amp; $D640 &amp; ":" &amp; T$1)</f>
        <v>14</v>
      </c>
      <c r="U640" s="18">
        <f>RTD("ice.rtd",,$C640 &amp; $D640 &amp; ":" &amp; U$1)</f>
        <v>-29</v>
      </c>
      <c r="V6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0" s="18" t="str">
        <f>IFERROR(IF(LEFT(ICE[[#This Row],[Tenor]], 1) = "B", RTD("esrtd",,$B640 &amp; " " &amp; ICE[[#This Row],[Tenor]] &amp; "-IEU", W$1), RTD("esrtd",,$B640 &amp; " " &amp; VLOOKUP(MONTH(ICE[[#This Row],[Strip]]), MthRef[], 2, 0) &amp; RIGHT(YEAR(ICE[[#This Row],[Strip]]), 2) &amp; "-IEU", W$1)), "")</f>
        <v/>
      </c>
      <c r="X640" s="36"/>
    </row>
    <row r="641" spans="1:24" x14ac:dyDescent="0.25">
      <c r="A641" s="37" t="s">
        <v>417</v>
      </c>
      <c r="B641" s="3" t="str">
        <f>RTD("ice.rtd",,$C641 &amp; $D641 &amp; ":" &amp; B$1)</f>
        <v>ULR</v>
      </c>
      <c r="C641" s="3">
        <v>35544144</v>
      </c>
      <c r="D641" t="s">
        <v>798</v>
      </c>
      <c r="E641" s="3" t="str">
        <f>RTD("ice.rtd",,$C641 &amp; $D641 &amp; ":" &amp; E$1)</f>
        <v>Jun27</v>
      </c>
      <c r="F641" s="3" t="str">
        <f>ICE[[#This Row],[Prod]]&amp;ICE[[#This Row],[Strip]]</f>
        <v>go01bfrdiffJun27</v>
      </c>
      <c r="G641" s="18" t="str">
        <f>RTD("ice.rtd",,$C641 &amp; $D641 &amp; ":" &amp; G$1)</f>
        <v/>
      </c>
      <c r="H641" s="18" t="str">
        <f>RTD("ice.rtd",,$C641 &amp; $D641 &amp; ":" &amp; H$1)</f>
        <v/>
      </c>
      <c r="I641" s="18" t="str">
        <f>RTD("ice.rtd",,$C641 &amp; $D641 &amp; ":" &amp; I$1)</f>
        <v/>
      </c>
      <c r="J641" s="14" t="str">
        <f>IFERROR(MOD(RTD("ice.rtd",,$C641 &amp; $D641 &amp; ":" &amp; J$1), 1), "")</f>
        <v/>
      </c>
      <c r="K641" s="18" t="str">
        <f>RTD("ice.rtd",,$C641 &amp; $D641 &amp; ":" &amp; K$1)</f>
        <v/>
      </c>
      <c r="L641" s="36" t="str">
        <f>RTD("ice.rtd",,$C641 &amp; $D641 &amp; ":" &amp; L$1)</f>
        <v/>
      </c>
      <c r="M641" s="14" t="str">
        <f>IFERROR(MOD(TIMEVALUE(RTD("ice.rtd",,$C641 &amp; $D641 &amp; ":" &amp; M$1)), 1), "")</f>
        <v/>
      </c>
      <c r="N641" s="36">
        <f>RTD("ice.rtd",,$C641 &amp; $D641 &amp; ":" &amp; N$1)</f>
        <v>0</v>
      </c>
      <c r="O641" s="36">
        <f>RTD("ice.rtd",,$C641 &amp; $D641 &amp; ":" &amp; O$1)</f>
        <v>0</v>
      </c>
      <c r="P6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1" s="14" t="str">
        <f>IF(ICE[[#This Row],[LastType]] = "Scrn", ICE[[#This Row],[LstDate]], IF(ICE[[#This Row],[LastType]] = "Blk", ICE[[#This Row],[LstBlkTime]], ""))</f>
        <v/>
      </c>
      <c r="R641" s="41" t="str">
        <f>IF(ICE[[#This Row],[LastType]] = "Scrn", ICE[[#This Row],[LstPrc]], IF(ICE[[#This Row],[LastType]] = "Blk", ICE[[#This Row],[LstBlkPrc]], ""))</f>
        <v/>
      </c>
      <c r="S641" s="36">
        <f>ICE[[#This Row],[Vol]]+ICE[[#This Row],[BlkVol]]</f>
        <v>0</v>
      </c>
      <c r="T641" s="36">
        <f>RTD("ice.rtd",,$C641 &amp; $D641 &amp; ":" &amp; T$1)</f>
        <v>14</v>
      </c>
      <c r="U641" s="18">
        <f>RTD("ice.rtd",,$C641 &amp; $D641 &amp; ":" &amp; U$1)</f>
        <v>-29</v>
      </c>
      <c r="V6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1" s="18" t="str">
        <f>IFERROR(IF(LEFT(ICE[[#This Row],[Tenor]], 1) = "B", RTD("esrtd",,$B641 &amp; " " &amp; ICE[[#This Row],[Tenor]] &amp; "-IEU", W$1), RTD("esrtd",,$B641 &amp; " " &amp; VLOOKUP(MONTH(ICE[[#This Row],[Strip]]), MthRef[], 2, 0) &amp; RIGHT(YEAR(ICE[[#This Row],[Strip]]), 2) &amp; "-IEU", W$1)), "")</f>
        <v/>
      </c>
      <c r="X641" s="36"/>
    </row>
    <row r="642" spans="1:24" x14ac:dyDescent="0.25">
      <c r="A642" s="37" t="s">
        <v>417</v>
      </c>
      <c r="B642" s="3" t="str">
        <f>RTD("ice.rtd",,$C642 &amp; $D642 &amp; ":" &amp; B$1)</f>
        <v>ULR</v>
      </c>
      <c r="C642" s="3">
        <v>35544144</v>
      </c>
      <c r="D642" t="s">
        <v>799</v>
      </c>
      <c r="E642" s="3" t="str">
        <f>RTD("ice.rtd",,$C642 &amp; $D642 &amp; ":" &amp; E$1)</f>
        <v>Jul27</v>
      </c>
      <c r="F642" s="3" t="str">
        <f>ICE[[#This Row],[Prod]]&amp;ICE[[#This Row],[Strip]]</f>
        <v>go01bfrdiffJul27</v>
      </c>
      <c r="G642" s="18" t="str">
        <f>RTD("ice.rtd",,$C642 &amp; $D642 &amp; ":" &amp; G$1)</f>
        <v/>
      </c>
      <c r="H642" s="18" t="str">
        <f>RTD("ice.rtd",,$C642 &amp; $D642 &amp; ":" &amp; H$1)</f>
        <v/>
      </c>
      <c r="I642" s="18" t="str">
        <f>RTD("ice.rtd",,$C642 &amp; $D642 &amp; ":" &amp; I$1)</f>
        <v/>
      </c>
      <c r="J642" s="14" t="str">
        <f>IFERROR(MOD(RTD("ice.rtd",,$C642 &amp; $D642 &amp; ":" &amp; J$1), 1), "")</f>
        <v/>
      </c>
      <c r="K642" s="18" t="str">
        <f>RTD("ice.rtd",,$C642 &amp; $D642 &amp; ":" &amp; K$1)</f>
        <v/>
      </c>
      <c r="L642" s="36" t="str">
        <f>RTD("ice.rtd",,$C642 &amp; $D642 &amp; ":" &amp; L$1)</f>
        <v/>
      </c>
      <c r="M642" s="14" t="str">
        <f>IFERROR(MOD(TIMEVALUE(RTD("ice.rtd",,$C642 &amp; $D642 &amp; ":" &amp; M$1)), 1), "")</f>
        <v/>
      </c>
      <c r="N642" s="36">
        <f>RTD("ice.rtd",,$C642 &amp; $D642 &amp; ":" &amp; N$1)</f>
        <v>0</v>
      </c>
      <c r="O642" s="36">
        <f>RTD("ice.rtd",,$C642 &amp; $D642 &amp; ":" &amp; O$1)</f>
        <v>0</v>
      </c>
      <c r="P6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2" s="14" t="str">
        <f>IF(ICE[[#This Row],[LastType]] = "Scrn", ICE[[#This Row],[LstDate]], IF(ICE[[#This Row],[LastType]] = "Blk", ICE[[#This Row],[LstBlkTime]], ""))</f>
        <v/>
      </c>
      <c r="R642" s="41" t="str">
        <f>IF(ICE[[#This Row],[LastType]] = "Scrn", ICE[[#This Row],[LstPrc]], IF(ICE[[#This Row],[LastType]] = "Blk", ICE[[#This Row],[LstBlkPrc]], ""))</f>
        <v/>
      </c>
      <c r="S642" s="36">
        <f>ICE[[#This Row],[Vol]]+ICE[[#This Row],[BlkVol]]</f>
        <v>0</v>
      </c>
      <c r="T642" s="36">
        <f>RTD("ice.rtd",,$C642 &amp; $D642 &amp; ":" &amp; T$1)</f>
        <v>12</v>
      </c>
      <c r="U642" s="18">
        <f>RTD("ice.rtd",,$C642 &amp; $D642 &amp; ":" &amp; U$1)</f>
        <v>-27</v>
      </c>
      <c r="V6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2" s="18" t="str">
        <f>IFERROR(IF(LEFT(ICE[[#This Row],[Tenor]], 1) = "B", RTD("esrtd",,$B642 &amp; " " &amp; ICE[[#This Row],[Tenor]] &amp; "-IEU", W$1), RTD("esrtd",,$B642 &amp; " " &amp; VLOOKUP(MONTH(ICE[[#This Row],[Strip]]), MthRef[], 2, 0) &amp; RIGHT(YEAR(ICE[[#This Row],[Strip]]), 2) &amp; "-IEU", W$1)), "")</f>
        <v/>
      </c>
      <c r="X642" s="36"/>
    </row>
    <row r="643" spans="1:24" x14ac:dyDescent="0.25">
      <c r="A643" s="37" t="s">
        <v>417</v>
      </c>
      <c r="B643" s="3" t="str">
        <f>RTD("ice.rtd",,$C643 &amp; $D643 &amp; ":" &amp; B$1)</f>
        <v>ULR</v>
      </c>
      <c r="C643" s="3">
        <v>35544144</v>
      </c>
      <c r="D643" t="s">
        <v>800</v>
      </c>
      <c r="E643" s="3" t="str">
        <f>RTD("ice.rtd",,$C643 &amp; $D643 &amp; ":" &amp; E$1)</f>
        <v>Aug27</v>
      </c>
      <c r="F643" s="3" t="str">
        <f>ICE[[#This Row],[Prod]]&amp;ICE[[#This Row],[Strip]]</f>
        <v>go01bfrdiffAug27</v>
      </c>
      <c r="G643" s="18" t="str">
        <f>RTD("ice.rtd",,$C643 &amp; $D643 &amp; ":" &amp; G$1)</f>
        <v/>
      </c>
      <c r="H643" s="18" t="str">
        <f>RTD("ice.rtd",,$C643 &amp; $D643 &amp; ":" &amp; H$1)</f>
        <v/>
      </c>
      <c r="I643" s="18" t="str">
        <f>RTD("ice.rtd",,$C643 &amp; $D643 &amp; ":" &amp; I$1)</f>
        <v/>
      </c>
      <c r="J643" s="14" t="str">
        <f>IFERROR(MOD(RTD("ice.rtd",,$C643 &amp; $D643 &amp; ":" &amp; J$1), 1), "")</f>
        <v/>
      </c>
      <c r="K643" s="18" t="str">
        <f>RTD("ice.rtd",,$C643 &amp; $D643 &amp; ":" &amp; K$1)</f>
        <v/>
      </c>
      <c r="L643" s="36" t="str">
        <f>RTD("ice.rtd",,$C643 &amp; $D643 &amp; ":" &amp; L$1)</f>
        <v/>
      </c>
      <c r="M643" s="14" t="str">
        <f>IFERROR(MOD(TIMEVALUE(RTD("ice.rtd",,$C643 &amp; $D643 &amp; ":" &amp; M$1)), 1), "")</f>
        <v/>
      </c>
      <c r="N643" s="36">
        <f>RTD("ice.rtd",,$C643 &amp; $D643 &amp; ":" &amp; N$1)</f>
        <v>0</v>
      </c>
      <c r="O643" s="36">
        <f>RTD("ice.rtd",,$C643 &amp; $D643 &amp; ":" &amp; O$1)</f>
        <v>0</v>
      </c>
      <c r="P6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3" s="14" t="str">
        <f>IF(ICE[[#This Row],[LastType]] = "Scrn", ICE[[#This Row],[LstDate]], IF(ICE[[#This Row],[LastType]] = "Blk", ICE[[#This Row],[LstBlkTime]], ""))</f>
        <v/>
      </c>
      <c r="R643" s="41" t="str">
        <f>IF(ICE[[#This Row],[LastType]] = "Scrn", ICE[[#This Row],[LstPrc]], IF(ICE[[#This Row],[LastType]] = "Blk", ICE[[#This Row],[LstBlkPrc]], ""))</f>
        <v/>
      </c>
      <c r="S643" s="36">
        <f>ICE[[#This Row],[Vol]]+ICE[[#This Row],[BlkVol]]</f>
        <v>0</v>
      </c>
      <c r="T643" s="36">
        <f>RTD("ice.rtd",,$C643 &amp; $D643 &amp; ":" &amp; T$1)</f>
        <v>12</v>
      </c>
      <c r="U643" s="18">
        <f>RTD("ice.rtd",,$C643 &amp; $D643 &amp; ":" &amp; U$1)</f>
        <v>-27</v>
      </c>
      <c r="V6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3" s="18" t="str">
        <f>IFERROR(IF(LEFT(ICE[[#This Row],[Tenor]], 1) = "B", RTD("esrtd",,$B643 &amp; " " &amp; ICE[[#This Row],[Tenor]] &amp; "-IEU", W$1), RTD("esrtd",,$B643 &amp; " " &amp; VLOOKUP(MONTH(ICE[[#This Row],[Strip]]), MthRef[], 2, 0) &amp; RIGHT(YEAR(ICE[[#This Row],[Strip]]), 2) &amp; "-IEU", W$1)), "")</f>
        <v/>
      </c>
      <c r="X643" s="36"/>
    </row>
    <row r="644" spans="1:24" x14ac:dyDescent="0.25">
      <c r="A644" s="37" t="s">
        <v>417</v>
      </c>
      <c r="B644" s="3" t="str">
        <f>RTD("ice.rtd",,$C644 &amp; $D644 &amp; ":" &amp; B$1)</f>
        <v>ULR</v>
      </c>
      <c r="C644" s="3">
        <v>35544144</v>
      </c>
      <c r="D644" t="s">
        <v>801</v>
      </c>
      <c r="E644" s="3" t="str">
        <f>RTD("ice.rtd",,$C644 &amp; $D644 &amp; ":" &amp; E$1)</f>
        <v>Sep27</v>
      </c>
      <c r="F644" s="3" t="str">
        <f>ICE[[#This Row],[Prod]]&amp;ICE[[#This Row],[Strip]]</f>
        <v>go01bfrdiffSep27</v>
      </c>
      <c r="G644" s="18" t="str">
        <f>RTD("ice.rtd",,$C644 &amp; $D644 &amp; ":" &amp; G$1)</f>
        <v/>
      </c>
      <c r="H644" s="18" t="str">
        <f>RTD("ice.rtd",,$C644 &amp; $D644 &amp; ":" &amp; H$1)</f>
        <v/>
      </c>
      <c r="I644" s="18" t="str">
        <f>RTD("ice.rtd",,$C644 &amp; $D644 &amp; ":" &amp; I$1)</f>
        <v/>
      </c>
      <c r="J644" s="14" t="str">
        <f>IFERROR(MOD(RTD("ice.rtd",,$C644 &amp; $D644 &amp; ":" &amp; J$1), 1), "")</f>
        <v/>
      </c>
      <c r="K644" s="18" t="str">
        <f>RTD("ice.rtd",,$C644 &amp; $D644 &amp; ":" &amp; K$1)</f>
        <v/>
      </c>
      <c r="L644" s="36" t="str">
        <f>RTD("ice.rtd",,$C644 &amp; $D644 &amp; ":" &amp; L$1)</f>
        <v/>
      </c>
      <c r="M644" s="14" t="str">
        <f>IFERROR(MOD(TIMEVALUE(RTD("ice.rtd",,$C644 &amp; $D644 &amp; ":" &amp; M$1)), 1), "")</f>
        <v/>
      </c>
      <c r="N644" s="36">
        <f>RTD("ice.rtd",,$C644 &amp; $D644 &amp; ":" &amp; N$1)</f>
        <v>0</v>
      </c>
      <c r="O644" s="36">
        <f>RTD("ice.rtd",,$C644 &amp; $D644 &amp; ":" &amp; O$1)</f>
        <v>0</v>
      </c>
      <c r="P6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4" s="14" t="str">
        <f>IF(ICE[[#This Row],[LastType]] = "Scrn", ICE[[#This Row],[LstDate]], IF(ICE[[#This Row],[LastType]] = "Blk", ICE[[#This Row],[LstBlkTime]], ""))</f>
        <v/>
      </c>
      <c r="R644" s="41" t="str">
        <f>IF(ICE[[#This Row],[LastType]] = "Scrn", ICE[[#This Row],[LstPrc]], IF(ICE[[#This Row],[LastType]] = "Blk", ICE[[#This Row],[LstBlkPrc]], ""))</f>
        <v/>
      </c>
      <c r="S644" s="36">
        <f>ICE[[#This Row],[Vol]]+ICE[[#This Row],[BlkVol]]</f>
        <v>0</v>
      </c>
      <c r="T644" s="36">
        <f>RTD("ice.rtd",,$C644 &amp; $D644 &amp; ":" &amp; T$1)</f>
        <v>12</v>
      </c>
      <c r="U644" s="18">
        <f>RTD("ice.rtd",,$C644 &amp; $D644 &amp; ":" &amp; U$1)</f>
        <v>-27</v>
      </c>
      <c r="V6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4" s="18" t="str">
        <f>IFERROR(IF(LEFT(ICE[[#This Row],[Tenor]], 1) = "B", RTD("esrtd",,$B644 &amp; " " &amp; ICE[[#This Row],[Tenor]] &amp; "-IEU", W$1), RTD("esrtd",,$B644 &amp; " " &amp; VLOOKUP(MONTH(ICE[[#This Row],[Strip]]), MthRef[], 2, 0) &amp; RIGHT(YEAR(ICE[[#This Row],[Strip]]), 2) &amp; "-IEU", W$1)), "")</f>
        <v/>
      </c>
      <c r="X644" s="36"/>
    </row>
    <row r="645" spans="1:24" x14ac:dyDescent="0.25">
      <c r="A645" s="37" t="s">
        <v>417</v>
      </c>
      <c r="B645" s="3" t="str">
        <f>RTD("ice.rtd",,$C645 &amp; $D645 &amp; ":" &amp; B$1)</f>
        <v>ULR</v>
      </c>
      <c r="C645" s="3">
        <v>35544144</v>
      </c>
      <c r="D645" t="s">
        <v>802</v>
      </c>
      <c r="E645" s="3" t="str">
        <f>RTD("ice.rtd",,$C645 &amp; $D645 &amp; ":" &amp; E$1)</f>
        <v>Oct27</v>
      </c>
      <c r="F645" s="3" t="str">
        <f>ICE[[#This Row],[Prod]]&amp;ICE[[#This Row],[Strip]]</f>
        <v>go01bfrdiffOct27</v>
      </c>
      <c r="G645" s="18" t="str">
        <f>RTD("ice.rtd",,$C645 &amp; $D645 &amp; ":" &amp; G$1)</f>
        <v/>
      </c>
      <c r="H645" s="18" t="str">
        <f>RTD("ice.rtd",,$C645 &amp; $D645 &amp; ":" &amp; H$1)</f>
        <v/>
      </c>
      <c r="I645" s="18" t="str">
        <f>RTD("ice.rtd",,$C645 &amp; $D645 &amp; ":" &amp; I$1)</f>
        <v/>
      </c>
      <c r="J645" s="14" t="str">
        <f>IFERROR(MOD(RTD("ice.rtd",,$C645 &amp; $D645 &amp; ":" &amp; J$1), 1), "")</f>
        <v/>
      </c>
      <c r="K645" s="18" t="str">
        <f>RTD("ice.rtd",,$C645 &amp; $D645 &amp; ":" &amp; K$1)</f>
        <v/>
      </c>
      <c r="L645" s="36" t="str">
        <f>RTD("ice.rtd",,$C645 &amp; $D645 &amp; ":" &amp; L$1)</f>
        <v/>
      </c>
      <c r="M645" s="14" t="str">
        <f>IFERROR(MOD(TIMEVALUE(RTD("ice.rtd",,$C645 &amp; $D645 &amp; ":" &amp; M$1)), 1), "")</f>
        <v/>
      </c>
      <c r="N645" s="36">
        <f>RTD("ice.rtd",,$C645 &amp; $D645 &amp; ":" &amp; N$1)</f>
        <v>0</v>
      </c>
      <c r="O645" s="36">
        <f>RTD("ice.rtd",,$C645 &amp; $D645 &amp; ":" &amp; O$1)</f>
        <v>0</v>
      </c>
      <c r="P6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5" s="14" t="str">
        <f>IF(ICE[[#This Row],[LastType]] = "Scrn", ICE[[#This Row],[LstDate]], IF(ICE[[#This Row],[LastType]] = "Blk", ICE[[#This Row],[LstBlkTime]], ""))</f>
        <v/>
      </c>
      <c r="R645" s="41" t="str">
        <f>IF(ICE[[#This Row],[LastType]] = "Scrn", ICE[[#This Row],[LstPrc]], IF(ICE[[#This Row],[LastType]] = "Blk", ICE[[#This Row],[LstBlkPrc]], ""))</f>
        <v/>
      </c>
      <c r="S645" s="36">
        <f>ICE[[#This Row],[Vol]]+ICE[[#This Row],[BlkVol]]</f>
        <v>0</v>
      </c>
      <c r="T645" s="36">
        <f>RTD("ice.rtd",,$C645 &amp; $D645 &amp; ":" &amp; T$1)</f>
        <v>12</v>
      </c>
      <c r="U645" s="18">
        <f>RTD("ice.rtd",,$C645 &amp; $D645 &amp; ":" &amp; U$1)</f>
        <v>-25</v>
      </c>
      <c r="V6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5" s="18" t="str">
        <f>IFERROR(IF(LEFT(ICE[[#This Row],[Tenor]], 1) = "B", RTD("esrtd",,$B645 &amp; " " &amp; ICE[[#This Row],[Tenor]] &amp; "-IEU", W$1), RTD("esrtd",,$B645 &amp; " " &amp; VLOOKUP(MONTH(ICE[[#This Row],[Strip]]), MthRef[], 2, 0) &amp; RIGHT(YEAR(ICE[[#This Row],[Strip]]), 2) &amp; "-IEU", W$1)), "")</f>
        <v/>
      </c>
      <c r="X645" s="36"/>
    </row>
    <row r="646" spans="1:24" x14ac:dyDescent="0.25">
      <c r="A646" s="37" t="s">
        <v>417</v>
      </c>
      <c r="B646" s="3" t="str">
        <f>RTD("ice.rtd",,$C646 &amp; $D646 &amp; ":" &amp; B$1)</f>
        <v>ULR</v>
      </c>
      <c r="C646" s="3">
        <v>35544144</v>
      </c>
      <c r="D646" t="s">
        <v>803</v>
      </c>
      <c r="E646" s="3" t="str">
        <f>RTD("ice.rtd",,$C646 &amp; $D646 &amp; ":" &amp; E$1)</f>
        <v>Nov27</v>
      </c>
      <c r="F646" s="3" t="str">
        <f>ICE[[#This Row],[Prod]]&amp;ICE[[#This Row],[Strip]]</f>
        <v>go01bfrdiffNov27</v>
      </c>
      <c r="G646" s="18" t="str">
        <f>RTD("ice.rtd",,$C646 &amp; $D646 &amp; ":" &amp; G$1)</f>
        <v/>
      </c>
      <c r="H646" s="18" t="str">
        <f>RTD("ice.rtd",,$C646 &amp; $D646 &amp; ":" &amp; H$1)</f>
        <v/>
      </c>
      <c r="I646" s="18" t="str">
        <f>RTD("ice.rtd",,$C646 &amp; $D646 &amp; ":" &amp; I$1)</f>
        <v/>
      </c>
      <c r="J646" s="14" t="str">
        <f>IFERROR(MOD(RTD("ice.rtd",,$C646 &amp; $D646 &amp; ":" &amp; J$1), 1), "")</f>
        <v/>
      </c>
      <c r="K646" s="18" t="str">
        <f>RTD("ice.rtd",,$C646 &amp; $D646 &amp; ":" &amp; K$1)</f>
        <v/>
      </c>
      <c r="L646" s="36" t="str">
        <f>RTD("ice.rtd",,$C646 &amp; $D646 &amp; ":" &amp; L$1)</f>
        <v/>
      </c>
      <c r="M646" s="14" t="str">
        <f>IFERROR(MOD(TIMEVALUE(RTD("ice.rtd",,$C646 &amp; $D646 &amp; ":" &amp; M$1)), 1), "")</f>
        <v/>
      </c>
      <c r="N646" s="36">
        <f>RTD("ice.rtd",,$C646 &amp; $D646 &amp; ":" &amp; N$1)</f>
        <v>0</v>
      </c>
      <c r="O646" s="36">
        <f>RTD("ice.rtd",,$C646 &amp; $D646 &amp; ":" &amp; O$1)</f>
        <v>0</v>
      </c>
      <c r="P6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6" s="14" t="str">
        <f>IF(ICE[[#This Row],[LastType]] = "Scrn", ICE[[#This Row],[LstDate]], IF(ICE[[#This Row],[LastType]] = "Blk", ICE[[#This Row],[LstBlkTime]], ""))</f>
        <v/>
      </c>
      <c r="R646" s="41" t="str">
        <f>IF(ICE[[#This Row],[LastType]] = "Scrn", ICE[[#This Row],[LstPrc]], IF(ICE[[#This Row],[LastType]] = "Blk", ICE[[#This Row],[LstBlkPrc]], ""))</f>
        <v/>
      </c>
      <c r="S646" s="36">
        <f>ICE[[#This Row],[Vol]]+ICE[[#This Row],[BlkVol]]</f>
        <v>0</v>
      </c>
      <c r="T646" s="36">
        <f>RTD("ice.rtd",,$C646 &amp; $D646 &amp; ":" &amp; T$1)</f>
        <v>12</v>
      </c>
      <c r="U646" s="18">
        <f>RTD("ice.rtd",,$C646 &amp; $D646 &amp; ":" &amp; U$1)</f>
        <v>-25</v>
      </c>
      <c r="V6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6" s="18" t="str">
        <f>IFERROR(IF(LEFT(ICE[[#This Row],[Tenor]], 1) = "B", RTD("esrtd",,$B646 &amp; " " &amp; ICE[[#This Row],[Tenor]] &amp; "-IEU", W$1), RTD("esrtd",,$B646 &amp; " " &amp; VLOOKUP(MONTH(ICE[[#This Row],[Strip]]), MthRef[], 2, 0) &amp; RIGHT(YEAR(ICE[[#This Row],[Strip]]), 2) &amp; "-IEU", W$1)), "")</f>
        <v/>
      </c>
      <c r="X646" s="36"/>
    </row>
    <row r="647" spans="1:24" x14ac:dyDescent="0.25">
      <c r="A647" s="37" t="s">
        <v>417</v>
      </c>
      <c r="B647" s="3" t="str">
        <f>RTD("ice.rtd",,$C647 &amp; $D647 &amp; ":" &amp; B$1)</f>
        <v>ULR</v>
      </c>
      <c r="C647" s="3">
        <v>35544144</v>
      </c>
      <c r="D647" t="s">
        <v>804</v>
      </c>
      <c r="E647" s="3" t="str">
        <f>RTD("ice.rtd",,$C647 &amp; $D647 &amp; ":" &amp; E$1)</f>
        <v>Dec27</v>
      </c>
      <c r="F647" s="3" t="str">
        <f>ICE[[#This Row],[Prod]]&amp;ICE[[#This Row],[Strip]]</f>
        <v>go01bfrdiffDec27</v>
      </c>
      <c r="G647" s="18" t="str">
        <f>RTD("ice.rtd",,$C647 &amp; $D647 &amp; ":" &amp; G$1)</f>
        <v/>
      </c>
      <c r="H647" s="18" t="str">
        <f>RTD("ice.rtd",,$C647 &amp; $D647 &amp; ":" &amp; H$1)</f>
        <v/>
      </c>
      <c r="I647" s="18" t="str">
        <f>RTD("ice.rtd",,$C647 &amp; $D647 &amp; ":" &amp; I$1)</f>
        <v/>
      </c>
      <c r="J647" s="14" t="str">
        <f>IFERROR(MOD(RTD("ice.rtd",,$C647 &amp; $D647 &amp; ":" &amp; J$1), 1), "")</f>
        <v/>
      </c>
      <c r="K647" s="18" t="str">
        <f>RTD("ice.rtd",,$C647 &amp; $D647 &amp; ":" &amp; K$1)</f>
        <v/>
      </c>
      <c r="L647" s="36" t="str">
        <f>RTD("ice.rtd",,$C647 &amp; $D647 &amp; ":" &amp; L$1)</f>
        <v/>
      </c>
      <c r="M647" s="14" t="str">
        <f>IFERROR(MOD(TIMEVALUE(RTD("ice.rtd",,$C647 &amp; $D647 &amp; ":" &amp; M$1)), 1), "")</f>
        <v/>
      </c>
      <c r="N647" s="36">
        <f>RTD("ice.rtd",,$C647 &amp; $D647 &amp; ":" &amp; N$1)</f>
        <v>0</v>
      </c>
      <c r="O647" s="36">
        <f>RTD("ice.rtd",,$C647 &amp; $D647 &amp; ":" &amp; O$1)</f>
        <v>0</v>
      </c>
      <c r="P6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7" s="14" t="str">
        <f>IF(ICE[[#This Row],[LastType]] = "Scrn", ICE[[#This Row],[LstDate]], IF(ICE[[#This Row],[LastType]] = "Blk", ICE[[#This Row],[LstBlkTime]], ""))</f>
        <v/>
      </c>
      <c r="R647" s="41" t="str">
        <f>IF(ICE[[#This Row],[LastType]] = "Scrn", ICE[[#This Row],[LstPrc]], IF(ICE[[#This Row],[LastType]] = "Blk", ICE[[#This Row],[LstBlkPrc]], ""))</f>
        <v/>
      </c>
      <c r="S647" s="36">
        <f>ICE[[#This Row],[Vol]]+ICE[[#This Row],[BlkVol]]</f>
        <v>0</v>
      </c>
      <c r="T647" s="36">
        <f>RTD("ice.rtd",,$C647 &amp; $D647 &amp; ":" &amp; T$1)</f>
        <v>12</v>
      </c>
      <c r="U647" s="18">
        <f>RTD("ice.rtd",,$C647 &amp; $D647 &amp; ":" &amp; U$1)</f>
        <v>-25</v>
      </c>
      <c r="V6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7" s="18" t="str">
        <f>IFERROR(IF(LEFT(ICE[[#This Row],[Tenor]], 1) = "B", RTD("esrtd",,$B647 &amp; " " &amp; ICE[[#This Row],[Tenor]] &amp; "-IEU", W$1), RTD("esrtd",,$B647 &amp; " " &amp; VLOOKUP(MONTH(ICE[[#This Row],[Strip]]), MthRef[], 2, 0) &amp; RIGHT(YEAR(ICE[[#This Row],[Strip]]), 2) &amp; "-IEU", W$1)), "")</f>
        <v/>
      </c>
      <c r="X647" s="36"/>
    </row>
    <row r="648" spans="1:24" x14ac:dyDescent="0.25">
      <c r="A648" s="37" t="s">
        <v>417</v>
      </c>
      <c r="B648" s="3" t="str">
        <f>RTD("ice.rtd",,$C648 &amp; $D648 &amp; ":" &amp; B$1)</f>
        <v>ULR</v>
      </c>
      <c r="C648" s="3">
        <v>35544144</v>
      </c>
      <c r="D648" t="s">
        <v>805</v>
      </c>
      <c r="E648" s="3" t="str">
        <f>RTD("ice.rtd",,$C648 &amp; $D648 &amp; ":" &amp; E$1)</f>
        <v>Jan28</v>
      </c>
      <c r="F648" s="3" t="str">
        <f>ICE[[#This Row],[Prod]]&amp;ICE[[#This Row],[Strip]]</f>
        <v>go01bfrdiffJan28</v>
      </c>
      <c r="G648" s="18" t="str">
        <f>RTD("ice.rtd",,$C648 &amp; $D648 &amp; ":" &amp; G$1)</f>
        <v/>
      </c>
      <c r="H648" s="18" t="str">
        <f>RTD("ice.rtd",,$C648 &amp; $D648 &amp; ":" &amp; H$1)</f>
        <v/>
      </c>
      <c r="I648" s="18" t="str">
        <f>RTD("ice.rtd",,$C648 &amp; $D648 &amp; ":" &amp; I$1)</f>
        <v/>
      </c>
      <c r="J648" s="14" t="str">
        <f>IFERROR(MOD(RTD("ice.rtd",,$C648 &amp; $D648 &amp; ":" &amp; J$1), 1), "")</f>
        <v/>
      </c>
      <c r="K648" s="18" t="str">
        <f>RTD("ice.rtd",,$C648 &amp; $D648 &amp; ":" &amp; K$1)</f>
        <v/>
      </c>
      <c r="L648" s="36" t="str">
        <f>RTD("ice.rtd",,$C648 &amp; $D648 &amp; ":" &amp; L$1)</f>
        <v/>
      </c>
      <c r="M648" s="14" t="str">
        <f>IFERROR(MOD(TIMEVALUE(RTD("ice.rtd",,$C648 &amp; $D648 &amp; ":" &amp; M$1)), 1), "")</f>
        <v/>
      </c>
      <c r="N648" s="36">
        <f>RTD("ice.rtd",,$C648 &amp; $D648 &amp; ":" &amp; N$1)</f>
        <v>0</v>
      </c>
      <c r="O648" s="36">
        <f>RTD("ice.rtd",,$C648 &amp; $D648 &amp; ":" &amp; O$1)</f>
        <v>0</v>
      </c>
      <c r="P6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8" s="14" t="str">
        <f>IF(ICE[[#This Row],[LastType]] = "Scrn", ICE[[#This Row],[LstDate]], IF(ICE[[#This Row],[LastType]] = "Blk", ICE[[#This Row],[LstBlkTime]], ""))</f>
        <v/>
      </c>
      <c r="R648" s="41" t="str">
        <f>IF(ICE[[#This Row],[LastType]] = "Scrn", ICE[[#This Row],[LstPrc]], IF(ICE[[#This Row],[LastType]] = "Blk", ICE[[#This Row],[LstBlkPrc]], ""))</f>
        <v/>
      </c>
      <c r="S648" s="36">
        <f>ICE[[#This Row],[Vol]]+ICE[[#This Row],[BlkVol]]</f>
        <v>0</v>
      </c>
      <c r="T648" s="36">
        <f>RTD("ice.rtd",,$C648 &amp; $D648 &amp; ":" &amp; T$1)</f>
        <v>6</v>
      </c>
      <c r="U648" s="18">
        <f>RTD("ice.rtd",,$C648 &amp; $D648 &amp; ":" &amp; U$1)</f>
        <v>-23</v>
      </c>
      <c r="V6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8" s="18" t="str">
        <f>IFERROR(IF(LEFT(ICE[[#This Row],[Tenor]], 1) = "B", RTD("esrtd",,$B648 &amp; " " &amp; ICE[[#This Row],[Tenor]] &amp; "-IEU", W$1), RTD("esrtd",,$B648 &amp; " " &amp; VLOOKUP(MONTH(ICE[[#This Row],[Strip]]), MthRef[], 2, 0) &amp; RIGHT(YEAR(ICE[[#This Row],[Strip]]), 2) &amp; "-IEU", W$1)), "")</f>
        <v/>
      </c>
      <c r="X648" s="36"/>
    </row>
    <row r="649" spans="1:24" x14ac:dyDescent="0.25">
      <c r="A649" s="37" t="s">
        <v>417</v>
      </c>
      <c r="B649" s="3" t="str">
        <f>RTD("ice.rtd",,$C649 &amp; $D649 &amp; ":" &amp; B$1)</f>
        <v>ULR</v>
      </c>
      <c r="C649" s="3">
        <v>35544144</v>
      </c>
      <c r="D649" t="s">
        <v>806</v>
      </c>
      <c r="E649" s="3" t="str">
        <f>RTD("ice.rtd",,$C649 &amp; $D649 &amp; ":" &amp; E$1)</f>
        <v>Feb28</v>
      </c>
      <c r="F649" s="3" t="str">
        <f>ICE[[#This Row],[Prod]]&amp;ICE[[#This Row],[Strip]]</f>
        <v>go01bfrdiffFeb28</v>
      </c>
      <c r="G649" s="18" t="str">
        <f>RTD("ice.rtd",,$C649 &amp; $D649 &amp; ":" &amp; G$1)</f>
        <v/>
      </c>
      <c r="H649" s="18" t="str">
        <f>RTD("ice.rtd",,$C649 &amp; $D649 &amp; ":" &amp; H$1)</f>
        <v/>
      </c>
      <c r="I649" s="18" t="str">
        <f>RTD("ice.rtd",,$C649 &amp; $D649 &amp; ":" &amp; I$1)</f>
        <v/>
      </c>
      <c r="J649" s="14" t="str">
        <f>IFERROR(MOD(RTD("ice.rtd",,$C649 &amp; $D649 &amp; ":" &amp; J$1), 1), "")</f>
        <v/>
      </c>
      <c r="K649" s="18" t="str">
        <f>RTD("ice.rtd",,$C649 &amp; $D649 &amp; ":" &amp; K$1)</f>
        <v/>
      </c>
      <c r="L649" s="36" t="str">
        <f>RTD("ice.rtd",,$C649 &amp; $D649 &amp; ":" &amp; L$1)</f>
        <v/>
      </c>
      <c r="M649" s="14" t="str">
        <f>IFERROR(MOD(TIMEVALUE(RTD("ice.rtd",,$C649 &amp; $D649 &amp; ":" &amp; M$1)), 1), "")</f>
        <v/>
      </c>
      <c r="N649" s="36">
        <f>RTD("ice.rtd",,$C649 &amp; $D649 &amp; ":" &amp; N$1)</f>
        <v>0</v>
      </c>
      <c r="O649" s="36">
        <f>RTD("ice.rtd",,$C649 &amp; $D649 &amp; ":" &amp; O$1)</f>
        <v>0</v>
      </c>
      <c r="P6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49" s="14" t="str">
        <f>IF(ICE[[#This Row],[LastType]] = "Scrn", ICE[[#This Row],[LstDate]], IF(ICE[[#This Row],[LastType]] = "Blk", ICE[[#This Row],[LstBlkTime]], ""))</f>
        <v/>
      </c>
      <c r="R649" s="41" t="str">
        <f>IF(ICE[[#This Row],[LastType]] = "Scrn", ICE[[#This Row],[LstPrc]], IF(ICE[[#This Row],[LastType]] = "Blk", ICE[[#This Row],[LstBlkPrc]], ""))</f>
        <v/>
      </c>
      <c r="S649" s="36">
        <f>ICE[[#This Row],[Vol]]+ICE[[#This Row],[BlkVol]]</f>
        <v>0</v>
      </c>
      <c r="T649" s="36">
        <f>RTD("ice.rtd",,$C649 &amp; $D649 &amp; ":" &amp; T$1)</f>
        <v>6</v>
      </c>
      <c r="U649" s="18">
        <f>RTD("ice.rtd",,$C649 &amp; $D649 &amp; ":" &amp; U$1)</f>
        <v>-23</v>
      </c>
      <c r="V6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49" s="18" t="str">
        <f>IFERROR(IF(LEFT(ICE[[#This Row],[Tenor]], 1) = "B", RTD("esrtd",,$B649 &amp; " " &amp; ICE[[#This Row],[Tenor]] &amp; "-IEU", W$1), RTD("esrtd",,$B649 &amp; " " &amp; VLOOKUP(MONTH(ICE[[#This Row],[Strip]]), MthRef[], 2, 0) &amp; RIGHT(YEAR(ICE[[#This Row],[Strip]]), 2) &amp; "-IEU", W$1)), "")</f>
        <v/>
      </c>
      <c r="X649" s="36"/>
    </row>
    <row r="650" spans="1:24" x14ac:dyDescent="0.25">
      <c r="A650" s="37" t="s">
        <v>417</v>
      </c>
      <c r="B650" s="3" t="str">
        <f>RTD("ice.rtd",,$C650 &amp; $D650 &amp; ":" &amp; B$1)</f>
        <v>ULR</v>
      </c>
      <c r="C650" s="3">
        <v>35544144</v>
      </c>
      <c r="D650" t="s">
        <v>807</v>
      </c>
      <c r="E650" s="3" t="str">
        <f>RTD("ice.rtd",,$C650 &amp; $D650 &amp; ":" &amp; E$1)</f>
        <v>Mar28</v>
      </c>
      <c r="F650" s="3" t="str">
        <f>ICE[[#This Row],[Prod]]&amp;ICE[[#This Row],[Strip]]</f>
        <v>go01bfrdiffMar28</v>
      </c>
      <c r="G650" s="18" t="str">
        <f>RTD("ice.rtd",,$C650 &amp; $D650 &amp; ":" &amp; G$1)</f>
        <v/>
      </c>
      <c r="H650" s="18" t="str">
        <f>RTD("ice.rtd",,$C650 &amp; $D650 &amp; ":" &amp; H$1)</f>
        <v/>
      </c>
      <c r="I650" s="18" t="str">
        <f>RTD("ice.rtd",,$C650 &amp; $D650 &amp; ":" &amp; I$1)</f>
        <v/>
      </c>
      <c r="J650" s="14" t="str">
        <f>IFERROR(MOD(RTD("ice.rtd",,$C650 &amp; $D650 &amp; ":" &amp; J$1), 1), "")</f>
        <v/>
      </c>
      <c r="K650" s="18" t="str">
        <f>RTD("ice.rtd",,$C650 &amp; $D650 &amp; ":" &amp; K$1)</f>
        <v/>
      </c>
      <c r="L650" s="36" t="str">
        <f>RTD("ice.rtd",,$C650 &amp; $D650 &amp; ":" &amp; L$1)</f>
        <v/>
      </c>
      <c r="M650" s="14" t="str">
        <f>IFERROR(MOD(TIMEVALUE(RTD("ice.rtd",,$C650 &amp; $D650 &amp; ":" &amp; M$1)), 1), "")</f>
        <v/>
      </c>
      <c r="N650" s="36">
        <f>RTD("ice.rtd",,$C650 &amp; $D650 &amp; ":" &amp; N$1)</f>
        <v>0</v>
      </c>
      <c r="O650" s="36">
        <f>RTD("ice.rtd",,$C650 &amp; $D650 &amp; ":" &amp; O$1)</f>
        <v>0</v>
      </c>
      <c r="P6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0" s="14" t="str">
        <f>IF(ICE[[#This Row],[LastType]] = "Scrn", ICE[[#This Row],[LstDate]], IF(ICE[[#This Row],[LastType]] = "Blk", ICE[[#This Row],[LstBlkTime]], ""))</f>
        <v/>
      </c>
      <c r="R650" s="41" t="str">
        <f>IF(ICE[[#This Row],[LastType]] = "Scrn", ICE[[#This Row],[LstPrc]], IF(ICE[[#This Row],[LastType]] = "Blk", ICE[[#This Row],[LstBlkPrc]], ""))</f>
        <v/>
      </c>
      <c r="S650" s="36">
        <f>ICE[[#This Row],[Vol]]+ICE[[#This Row],[BlkVol]]</f>
        <v>0</v>
      </c>
      <c r="T650" s="36">
        <f>RTD("ice.rtd",,$C650 &amp; $D650 &amp; ":" &amp; T$1)</f>
        <v>6</v>
      </c>
      <c r="U650" s="18">
        <f>RTD("ice.rtd",,$C650 &amp; $D650 &amp; ":" &amp; U$1)</f>
        <v>-23</v>
      </c>
      <c r="V6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0" s="18" t="str">
        <f>IFERROR(IF(LEFT(ICE[[#This Row],[Tenor]], 1) = "B", RTD("esrtd",,$B650 &amp; " " &amp; ICE[[#This Row],[Tenor]] &amp; "-IEU", W$1), RTD("esrtd",,$B650 &amp; " " &amp; VLOOKUP(MONTH(ICE[[#This Row],[Strip]]), MthRef[], 2, 0) &amp; RIGHT(YEAR(ICE[[#This Row],[Strip]]), 2) &amp; "-IEU", W$1)), "")</f>
        <v/>
      </c>
      <c r="X650" s="36"/>
    </row>
    <row r="651" spans="1:24" x14ac:dyDescent="0.25">
      <c r="A651" s="37" t="s">
        <v>417</v>
      </c>
      <c r="B651" s="3" t="str">
        <f>RTD("ice.rtd",,$C651 &amp; $D651 &amp; ":" &amp; B$1)</f>
        <v>ULR</v>
      </c>
      <c r="C651" s="3">
        <v>35544144</v>
      </c>
      <c r="D651" t="s">
        <v>808</v>
      </c>
      <c r="E651" s="3" t="str">
        <f>RTD("ice.rtd",,$C651 &amp; $D651 &amp; ":" &amp; E$1)</f>
        <v>Apr28</v>
      </c>
      <c r="F651" s="3" t="str">
        <f>ICE[[#This Row],[Prod]]&amp;ICE[[#This Row],[Strip]]</f>
        <v>go01bfrdiffApr28</v>
      </c>
      <c r="G651" s="18" t="str">
        <f>RTD("ice.rtd",,$C651 &amp; $D651 &amp; ":" &amp; G$1)</f>
        <v/>
      </c>
      <c r="H651" s="18" t="str">
        <f>RTD("ice.rtd",,$C651 &amp; $D651 &amp; ":" &amp; H$1)</f>
        <v/>
      </c>
      <c r="I651" s="18" t="str">
        <f>RTD("ice.rtd",,$C651 &amp; $D651 &amp; ":" &amp; I$1)</f>
        <v/>
      </c>
      <c r="J651" s="14" t="str">
        <f>IFERROR(MOD(RTD("ice.rtd",,$C651 &amp; $D651 &amp; ":" &amp; J$1), 1), "")</f>
        <v/>
      </c>
      <c r="K651" s="18" t="str">
        <f>RTD("ice.rtd",,$C651 &amp; $D651 &amp; ":" &amp; K$1)</f>
        <v/>
      </c>
      <c r="L651" s="36" t="str">
        <f>RTD("ice.rtd",,$C651 &amp; $D651 &amp; ":" &amp; L$1)</f>
        <v/>
      </c>
      <c r="M651" s="14" t="str">
        <f>IFERROR(MOD(TIMEVALUE(RTD("ice.rtd",,$C651 &amp; $D651 &amp; ":" &amp; M$1)), 1), "")</f>
        <v/>
      </c>
      <c r="N651" s="36">
        <f>RTD("ice.rtd",,$C651 &amp; $D651 &amp; ":" &amp; N$1)</f>
        <v>0</v>
      </c>
      <c r="O651" s="36">
        <f>RTD("ice.rtd",,$C651 &amp; $D651 &amp; ":" &amp; O$1)</f>
        <v>0</v>
      </c>
      <c r="P6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1" s="14" t="str">
        <f>IF(ICE[[#This Row],[LastType]] = "Scrn", ICE[[#This Row],[LstDate]], IF(ICE[[#This Row],[LastType]] = "Blk", ICE[[#This Row],[LstBlkTime]], ""))</f>
        <v/>
      </c>
      <c r="R651" s="41" t="str">
        <f>IF(ICE[[#This Row],[LastType]] = "Scrn", ICE[[#This Row],[LstPrc]], IF(ICE[[#This Row],[LastType]] = "Blk", ICE[[#This Row],[LstBlkPrc]], ""))</f>
        <v/>
      </c>
      <c r="S651" s="36">
        <f>ICE[[#This Row],[Vol]]+ICE[[#This Row],[BlkVol]]</f>
        <v>0</v>
      </c>
      <c r="T651" s="36">
        <f>RTD("ice.rtd",,$C651 &amp; $D651 &amp; ":" &amp; T$1)</f>
        <v>6</v>
      </c>
      <c r="U651" s="18">
        <f>RTD("ice.rtd",,$C651 &amp; $D651 &amp; ":" &amp; U$1)</f>
        <v>-22</v>
      </c>
      <c r="V6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1" s="18" t="str">
        <f>IFERROR(IF(LEFT(ICE[[#This Row],[Tenor]], 1) = "B", RTD("esrtd",,$B651 &amp; " " &amp; ICE[[#This Row],[Tenor]] &amp; "-IEU", W$1), RTD("esrtd",,$B651 &amp; " " &amp; VLOOKUP(MONTH(ICE[[#This Row],[Strip]]), MthRef[], 2, 0) &amp; RIGHT(YEAR(ICE[[#This Row],[Strip]]), 2) &amp; "-IEU", W$1)), "")</f>
        <v/>
      </c>
      <c r="X651" s="36"/>
    </row>
    <row r="652" spans="1:24" x14ac:dyDescent="0.25">
      <c r="A652" s="37" t="s">
        <v>417</v>
      </c>
      <c r="B652" s="3" t="str">
        <f>RTD("ice.rtd",,$C652 &amp; $D652 &amp; ":" &amp; B$1)</f>
        <v>ULR</v>
      </c>
      <c r="C652" s="3">
        <v>35544144</v>
      </c>
      <c r="D652" t="s">
        <v>809</v>
      </c>
      <c r="E652" s="3" t="str">
        <f>RTD("ice.rtd",,$C652 &amp; $D652 &amp; ":" &amp; E$1)</f>
        <v>May28</v>
      </c>
      <c r="F652" s="3" t="str">
        <f>ICE[[#This Row],[Prod]]&amp;ICE[[#This Row],[Strip]]</f>
        <v>go01bfrdiffMay28</v>
      </c>
      <c r="G652" s="18" t="str">
        <f>RTD("ice.rtd",,$C652 &amp; $D652 &amp; ":" &amp; G$1)</f>
        <v/>
      </c>
      <c r="H652" s="18" t="str">
        <f>RTD("ice.rtd",,$C652 &amp; $D652 &amp; ":" &amp; H$1)</f>
        <v/>
      </c>
      <c r="I652" s="18" t="str">
        <f>RTD("ice.rtd",,$C652 &amp; $D652 &amp; ":" &amp; I$1)</f>
        <v/>
      </c>
      <c r="J652" s="14" t="str">
        <f>IFERROR(MOD(RTD("ice.rtd",,$C652 &amp; $D652 &amp; ":" &amp; J$1), 1), "")</f>
        <v/>
      </c>
      <c r="K652" s="18" t="str">
        <f>RTD("ice.rtd",,$C652 &amp; $D652 &amp; ":" &amp; K$1)</f>
        <v/>
      </c>
      <c r="L652" s="36" t="str">
        <f>RTD("ice.rtd",,$C652 &amp; $D652 &amp; ":" &amp; L$1)</f>
        <v/>
      </c>
      <c r="M652" s="14" t="str">
        <f>IFERROR(MOD(TIMEVALUE(RTD("ice.rtd",,$C652 &amp; $D652 &amp; ":" &amp; M$1)), 1), "")</f>
        <v/>
      </c>
      <c r="N652" s="36">
        <f>RTD("ice.rtd",,$C652 &amp; $D652 &amp; ":" &amp; N$1)</f>
        <v>0</v>
      </c>
      <c r="O652" s="36">
        <f>RTD("ice.rtd",,$C652 &amp; $D652 &amp; ":" &amp; O$1)</f>
        <v>0</v>
      </c>
      <c r="P6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2" s="14" t="str">
        <f>IF(ICE[[#This Row],[LastType]] = "Scrn", ICE[[#This Row],[LstDate]], IF(ICE[[#This Row],[LastType]] = "Blk", ICE[[#This Row],[LstBlkTime]], ""))</f>
        <v/>
      </c>
      <c r="R652" s="41" t="str">
        <f>IF(ICE[[#This Row],[LastType]] = "Scrn", ICE[[#This Row],[LstPrc]], IF(ICE[[#This Row],[LastType]] = "Blk", ICE[[#This Row],[LstBlkPrc]], ""))</f>
        <v/>
      </c>
      <c r="S652" s="36">
        <f>ICE[[#This Row],[Vol]]+ICE[[#This Row],[BlkVol]]</f>
        <v>0</v>
      </c>
      <c r="T652" s="36">
        <f>RTD("ice.rtd",,$C652 &amp; $D652 &amp; ":" &amp; T$1)</f>
        <v>6</v>
      </c>
      <c r="U652" s="18">
        <f>RTD("ice.rtd",,$C652 &amp; $D652 &amp; ":" &amp; U$1)</f>
        <v>-22</v>
      </c>
      <c r="V6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2" s="18" t="str">
        <f>IFERROR(IF(LEFT(ICE[[#This Row],[Tenor]], 1) = "B", RTD("esrtd",,$B652 &amp; " " &amp; ICE[[#This Row],[Tenor]] &amp; "-IEU", W$1), RTD("esrtd",,$B652 &amp; " " &amp; VLOOKUP(MONTH(ICE[[#This Row],[Strip]]), MthRef[], 2, 0) &amp; RIGHT(YEAR(ICE[[#This Row],[Strip]]), 2) &amp; "-IEU", W$1)), "")</f>
        <v/>
      </c>
      <c r="X652" s="36"/>
    </row>
    <row r="653" spans="1:24" x14ac:dyDescent="0.25">
      <c r="A653" s="37" t="s">
        <v>417</v>
      </c>
      <c r="B653" s="3" t="str">
        <f>RTD("ice.rtd",,$C653 &amp; $D653 &amp; ":" &amp; B$1)</f>
        <v>ULR</v>
      </c>
      <c r="C653" s="3">
        <v>35544144</v>
      </c>
      <c r="D653" t="s">
        <v>810</v>
      </c>
      <c r="E653" s="3" t="str">
        <f>RTD("ice.rtd",,$C653 &amp; $D653 &amp; ":" &amp; E$1)</f>
        <v>Jun28</v>
      </c>
      <c r="F653" s="3" t="str">
        <f>ICE[[#This Row],[Prod]]&amp;ICE[[#This Row],[Strip]]</f>
        <v>go01bfrdiffJun28</v>
      </c>
      <c r="G653" s="18" t="str">
        <f>RTD("ice.rtd",,$C653 &amp; $D653 &amp; ":" &amp; G$1)</f>
        <v/>
      </c>
      <c r="H653" s="18" t="str">
        <f>RTD("ice.rtd",,$C653 &amp; $D653 &amp; ":" &amp; H$1)</f>
        <v/>
      </c>
      <c r="I653" s="18" t="str">
        <f>RTD("ice.rtd",,$C653 &amp; $D653 &amp; ":" &amp; I$1)</f>
        <v/>
      </c>
      <c r="J653" s="14" t="str">
        <f>IFERROR(MOD(RTD("ice.rtd",,$C653 &amp; $D653 &amp; ":" &amp; J$1), 1), "")</f>
        <v/>
      </c>
      <c r="K653" s="18" t="str">
        <f>RTD("ice.rtd",,$C653 &amp; $D653 &amp; ":" &amp; K$1)</f>
        <v/>
      </c>
      <c r="L653" s="36" t="str">
        <f>RTD("ice.rtd",,$C653 &amp; $D653 &amp; ":" &amp; L$1)</f>
        <v/>
      </c>
      <c r="M653" s="14" t="str">
        <f>IFERROR(MOD(TIMEVALUE(RTD("ice.rtd",,$C653 &amp; $D653 &amp; ":" &amp; M$1)), 1), "")</f>
        <v/>
      </c>
      <c r="N653" s="36">
        <f>RTD("ice.rtd",,$C653 &amp; $D653 &amp; ":" &amp; N$1)</f>
        <v>0</v>
      </c>
      <c r="O653" s="36">
        <f>RTD("ice.rtd",,$C653 &amp; $D653 &amp; ":" &amp; O$1)</f>
        <v>0</v>
      </c>
      <c r="P6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3" s="14" t="str">
        <f>IF(ICE[[#This Row],[LastType]] = "Scrn", ICE[[#This Row],[LstDate]], IF(ICE[[#This Row],[LastType]] = "Blk", ICE[[#This Row],[LstBlkTime]], ""))</f>
        <v/>
      </c>
      <c r="R653" s="41" t="str">
        <f>IF(ICE[[#This Row],[LastType]] = "Scrn", ICE[[#This Row],[LstPrc]], IF(ICE[[#This Row],[LastType]] = "Blk", ICE[[#This Row],[LstBlkPrc]], ""))</f>
        <v/>
      </c>
      <c r="S653" s="36">
        <f>ICE[[#This Row],[Vol]]+ICE[[#This Row],[BlkVol]]</f>
        <v>0</v>
      </c>
      <c r="T653" s="36">
        <f>RTD("ice.rtd",,$C653 &amp; $D653 &amp; ":" &amp; T$1)</f>
        <v>6</v>
      </c>
      <c r="U653" s="18">
        <f>RTD("ice.rtd",,$C653 &amp; $D653 &amp; ":" &amp; U$1)</f>
        <v>-22</v>
      </c>
      <c r="V6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3" s="18" t="str">
        <f>IFERROR(IF(LEFT(ICE[[#This Row],[Tenor]], 1) = "B", RTD("esrtd",,$B653 &amp; " " &amp; ICE[[#This Row],[Tenor]] &amp; "-IEU", W$1), RTD("esrtd",,$B653 &amp; " " &amp; VLOOKUP(MONTH(ICE[[#This Row],[Strip]]), MthRef[], 2, 0) &amp; RIGHT(YEAR(ICE[[#This Row],[Strip]]), 2) &amp; "-IEU", W$1)), "")</f>
        <v/>
      </c>
      <c r="X653" s="36"/>
    </row>
    <row r="654" spans="1:24" x14ac:dyDescent="0.25">
      <c r="A654" s="37" t="s">
        <v>417</v>
      </c>
      <c r="B654" s="3" t="str">
        <f>RTD("ice.rtd",,$C654 &amp; $D654 &amp; ":" &amp; B$1)</f>
        <v>ULR</v>
      </c>
      <c r="C654" s="3">
        <v>35544144</v>
      </c>
      <c r="D654" t="s">
        <v>811</v>
      </c>
      <c r="E654" s="3" t="str">
        <f>RTD("ice.rtd",,$C654 &amp; $D654 &amp; ":" &amp; E$1)</f>
        <v>Jul28</v>
      </c>
      <c r="F654" s="3" t="str">
        <f>ICE[[#This Row],[Prod]]&amp;ICE[[#This Row],[Strip]]</f>
        <v>go01bfrdiffJul28</v>
      </c>
      <c r="G654" s="18" t="str">
        <f>RTD("ice.rtd",,$C654 &amp; $D654 &amp; ":" &amp; G$1)</f>
        <v/>
      </c>
      <c r="H654" s="18" t="str">
        <f>RTD("ice.rtd",,$C654 &amp; $D654 &amp; ":" &amp; H$1)</f>
        <v/>
      </c>
      <c r="I654" s="18" t="str">
        <f>RTD("ice.rtd",,$C654 &amp; $D654 &amp; ":" &amp; I$1)</f>
        <v/>
      </c>
      <c r="J654" s="14" t="str">
        <f>IFERROR(MOD(RTD("ice.rtd",,$C654 &amp; $D654 &amp; ":" &amp; J$1), 1), "")</f>
        <v/>
      </c>
      <c r="K654" s="18" t="str">
        <f>RTD("ice.rtd",,$C654 &amp; $D654 &amp; ":" &amp; K$1)</f>
        <v/>
      </c>
      <c r="L654" s="36" t="str">
        <f>RTD("ice.rtd",,$C654 &amp; $D654 &amp; ":" &amp; L$1)</f>
        <v/>
      </c>
      <c r="M654" s="14" t="str">
        <f>IFERROR(MOD(TIMEVALUE(RTD("ice.rtd",,$C654 &amp; $D654 &amp; ":" &amp; M$1)), 1), "")</f>
        <v/>
      </c>
      <c r="N654" s="36">
        <f>RTD("ice.rtd",,$C654 &amp; $D654 &amp; ":" &amp; N$1)</f>
        <v>0</v>
      </c>
      <c r="O654" s="36">
        <f>RTD("ice.rtd",,$C654 &amp; $D654 &amp; ":" &amp; O$1)</f>
        <v>0</v>
      </c>
      <c r="P6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4" s="14" t="str">
        <f>IF(ICE[[#This Row],[LastType]] = "Scrn", ICE[[#This Row],[LstDate]], IF(ICE[[#This Row],[LastType]] = "Blk", ICE[[#This Row],[LstBlkTime]], ""))</f>
        <v/>
      </c>
      <c r="R654" s="41" t="str">
        <f>IF(ICE[[#This Row],[LastType]] = "Scrn", ICE[[#This Row],[LstPrc]], IF(ICE[[#This Row],[LastType]] = "Blk", ICE[[#This Row],[LstBlkPrc]], ""))</f>
        <v/>
      </c>
      <c r="S654" s="36">
        <f>ICE[[#This Row],[Vol]]+ICE[[#This Row],[BlkVol]]</f>
        <v>0</v>
      </c>
      <c r="T654" s="36">
        <f>RTD("ice.rtd",,$C654 &amp; $D654 &amp; ":" &amp; T$1)</f>
        <v>7</v>
      </c>
      <c r="U654" s="18">
        <f>RTD("ice.rtd",,$C654 &amp; $D654 &amp; ":" &amp; U$1)</f>
        <v>-21.5</v>
      </c>
      <c r="V6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4" s="18" t="str">
        <f>IFERROR(IF(LEFT(ICE[[#This Row],[Tenor]], 1) = "B", RTD("esrtd",,$B654 &amp; " " &amp; ICE[[#This Row],[Tenor]] &amp; "-IEU", W$1), RTD("esrtd",,$B654 &amp; " " &amp; VLOOKUP(MONTH(ICE[[#This Row],[Strip]]), MthRef[], 2, 0) &amp; RIGHT(YEAR(ICE[[#This Row],[Strip]]), 2) &amp; "-IEU", W$1)), "")</f>
        <v/>
      </c>
      <c r="X654" s="36"/>
    </row>
    <row r="655" spans="1:24" x14ac:dyDescent="0.25">
      <c r="A655" s="37" t="s">
        <v>417</v>
      </c>
      <c r="B655" s="3" t="str">
        <f>RTD("ice.rtd",,$C655 &amp; $D655 &amp; ":" &amp; B$1)</f>
        <v>ULR</v>
      </c>
      <c r="C655" s="3">
        <v>35544144</v>
      </c>
      <c r="D655" t="s">
        <v>812</v>
      </c>
      <c r="E655" s="3" t="str">
        <f>RTD("ice.rtd",,$C655 &amp; $D655 &amp; ":" &amp; E$1)</f>
        <v>Aug28</v>
      </c>
      <c r="F655" s="3" t="str">
        <f>ICE[[#This Row],[Prod]]&amp;ICE[[#This Row],[Strip]]</f>
        <v>go01bfrdiffAug28</v>
      </c>
      <c r="G655" s="18" t="str">
        <f>RTD("ice.rtd",,$C655 &amp; $D655 &amp; ":" &amp; G$1)</f>
        <v/>
      </c>
      <c r="H655" s="18" t="str">
        <f>RTD("ice.rtd",,$C655 &amp; $D655 &amp; ":" &amp; H$1)</f>
        <v/>
      </c>
      <c r="I655" s="18" t="str">
        <f>RTD("ice.rtd",,$C655 &amp; $D655 &amp; ":" &amp; I$1)</f>
        <v/>
      </c>
      <c r="J655" s="14" t="str">
        <f>IFERROR(MOD(RTD("ice.rtd",,$C655 &amp; $D655 &amp; ":" &amp; J$1), 1), "")</f>
        <v/>
      </c>
      <c r="K655" s="18" t="str">
        <f>RTD("ice.rtd",,$C655 &amp; $D655 &amp; ":" &amp; K$1)</f>
        <v/>
      </c>
      <c r="L655" s="36" t="str">
        <f>RTD("ice.rtd",,$C655 &amp; $D655 &amp; ":" &amp; L$1)</f>
        <v/>
      </c>
      <c r="M655" s="14" t="str">
        <f>IFERROR(MOD(TIMEVALUE(RTD("ice.rtd",,$C655 &amp; $D655 &amp; ":" &amp; M$1)), 1), "")</f>
        <v/>
      </c>
      <c r="N655" s="36">
        <f>RTD("ice.rtd",,$C655 &amp; $D655 &amp; ":" &amp; N$1)</f>
        <v>0</v>
      </c>
      <c r="O655" s="36">
        <f>RTD("ice.rtd",,$C655 &amp; $D655 &amp; ":" &amp; O$1)</f>
        <v>0</v>
      </c>
      <c r="P6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5" s="14" t="str">
        <f>IF(ICE[[#This Row],[LastType]] = "Scrn", ICE[[#This Row],[LstDate]], IF(ICE[[#This Row],[LastType]] = "Blk", ICE[[#This Row],[LstBlkTime]], ""))</f>
        <v/>
      </c>
      <c r="R655" s="41" t="str">
        <f>IF(ICE[[#This Row],[LastType]] = "Scrn", ICE[[#This Row],[LstPrc]], IF(ICE[[#This Row],[LastType]] = "Blk", ICE[[#This Row],[LstBlkPrc]], ""))</f>
        <v/>
      </c>
      <c r="S655" s="36">
        <f>ICE[[#This Row],[Vol]]+ICE[[#This Row],[BlkVol]]</f>
        <v>0</v>
      </c>
      <c r="T655" s="36">
        <f>RTD("ice.rtd",,$C655 &amp; $D655 &amp; ":" &amp; T$1)</f>
        <v>7</v>
      </c>
      <c r="U655" s="18">
        <f>RTD("ice.rtd",,$C655 &amp; $D655 &amp; ":" &amp; U$1)</f>
        <v>-21.5</v>
      </c>
      <c r="V6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5" s="18" t="str">
        <f>IFERROR(IF(LEFT(ICE[[#This Row],[Tenor]], 1) = "B", RTD("esrtd",,$B655 &amp; " " &amp; ICE[[#This Row],[Tenor]] &amp; "-IEU", W$1), RTD("esrtd",,$B655 &amp; " " &amp; VLOOKUP(MONTH(ICE[[#This Row],[Strip]]), MthRef[], 2, 0) &amp; RIGHT(YEAR(ICE[[#This Row],[Strip]]), 2) &amp; "-IEU", W$1)), "")</f>
        <v/>
      </c>
      <c r="X655" s="36"/>
    </row>
    <row r="656" spans="1:24" x14ac:dyDescent="0.25">
      <c r="A656" s="37" t="s">
        <v>417</v>
      </c>
      <c r="B656" s="3" t="str">
        <f>RTD("ice.rtd",,$C656 &amp; $D656 &amp; ":" &amp; B$1)</f>
        <v>ULR</v>
      </c>
      <c r="C656" s="3">
        <v>35544144</v>
      </c>
      <c r="D656" t="s">
        <v>813</v>
      </c>
      <c r="E656" s="3" t="str">
        <f>RTD("ice.rtd",,$C656 &amp; $D656 &amp; ":" &amp; E$1)</f>
        <v>Sep28</v>
      </c>
      <c r="F656" s="3" t="str">
        <f>ICE[[#This Row],[Prod]]&amp;ICE[[#This Row],[Strip]]</f>
        <v>go01bfrdiffSep28</v>
      </c>
      <c r="G656" s="18" t="str">
        <f>RTD("ice.rtd",,$C656 &amp; $D656 &amp; ":" &amp; G$1)</f>
        <v/>
      </c>
      <c r="H656" s="18" t="str">
        <f>RTD("ice.rtd",,$C656 &amp; $D656 &amp; ":" &amp; H$1)</f>
        <v/>
      </c>
      <c r="I656" s="18" t="str">
        <f>RTD("ice.rtd",,$C656 &amp; $D656 &amp; ":" &amp; I$1)</f>
        <v/>
      </c>
      <c r="J656" s="14" t="str">
        <f>IFERROR(MOD(RTD("ice.rtd",,$C656 &amp; $D656 &amp; ":" &amp; J$1), 1), "")</f>
        <v/>
      </c>
      <c r="K656" s="18" t="str">
        <f>RTD("ice.rtd",,$C656 &amp; $D656 &amp; ":" &amp; K$1)</f>
        <v/>
      </c>
      <c r="L656" s="36" t="str">
        <f>RTD("ice.rtd",,$C656 &amp; $D656 &amp; ":" &amp; L$1)</f>
        <v/>
      </c>
      <c r="M656" s="14" t="str">
        <f>IFERROR(MOD(TIMEVALUE(RTD("ice.rtd",,$C656 &amp; $D656 &amp; ":" &amp; M$1)), 1), "")</f>
        <v/>
      </c>
      <c r="N656" s="36">
        <f>RTD("ice.rtd",,$C656 &amp; $D656 &amp; ":" &amp; N$1)</f>
        <v>0</v>
      </c>
      <c r="O656" s="36">
        <f>RTD("ice.rtd",,$C656 &amp; $D656 &amp; ":" &amp; O$1)</f>
        <v>0</v>
      </c>
      <c r="P6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6" s="14" t="str">
        <f>IF(ICE[[#This Row],[LastType]] = "Scrn", ICE[[#This Row],[LstDate]], IF(ICE[[#This Row],[LastType]] = "Blk", ICE[[#This Row],[LstBlkTime]], ""))</f>
        <v/>
      </c>
      <c r="R656" s="41" t="str">
        <f>IF(ICE[[#This Row],[LastType]] = "Scrn", ICE[[#This Row],[LstPrc]], IF(ICE[[#This Row],[LastType]] = "Blk", ICE[[#This Row],[LstBlkPrc]], ""))</f>
        <v/>
      </c>
      <c r="S656" s="36">
        <f>ICE[[#This Row],[Vol]]+ICE[[#This Row],[BlkVol]]</f>
        <v>0</v>
      </c>
      <c r="T656" s="36">
        <f>RTD("ice.rtd",,$C656 &amp; $D656 &amp; ":" &amp; T$1)</f>
        <v>7</v>
      </c>
      <c r="U656" s="18">
        <f>RTD("ice.rtd",,$C656 &amp; $D656 &amp; ":" &amp; U$1)</f>
        <v>-21.5</v>
      </c>
      <c r="V6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6" s="18" t="str">
        <f>IFERROR(IF(LEFT(ICE[[#This Row],[Tenor]], 1) = "B", RTD("esrtd",,$B656 &amp; " " &amp; ICE[[#This Row],[Tenor]] &amp; "-IEU", W$1), RTD("esrtd",,$B656 &amp; " " &amp; VLOOKUP(MONTH(ICE[[#This Row],[Strip]]), MthRef[], 2, 0) &amp; RIGHT(YEAR(ICE[[#This Row],[Strip]]), 2) &amp; "-IEU", W$1)), "")</f>
        <v/>
      </c>
      <c r="X656" s="36"/>
    </row>
    <row r="657" spans="1:24" x14ac:dyDescent="0.25">
      <c r="A657" s="37" t="s">
        <v>417</v>
      </c>
      <c r="B657" s="3" t="str">
        <f>RTD("ice.rtd",,$C657 &amp; $D657 &amp; ":" &amp; B$1)</f>
        <v>ULR</v>
      </c>
      <c r="C657" s="3">
        <v>35544144</v>
      </c>
      <c r="D657" t="s">
        <v>814</v>
      </c>
      <c r="E657" s="3" t="str">
        <f>RTD("ice.rtd",,$C657 &amp; $D657 &amp; ":" &amp; E$1)</f>
        <v>Q4 26</v>
      </c>
      <c r="F657" s="3" t="str">
        <f>ICE[[#This Row],[Prod]]&amp;ICE[[#This Row],[Strip]]</f>
        <v>go01bfrdiffQ4 26</v>
      </c>
      <c r="G657" s="18" t="str">
        <f>RTD("ice.rtd",,$C657 &amp; $D657 &amp; ":" &amp; G$1)</f>
        <v/>
      </c>
      <c r="H657" s="18">
        <f>RTD("ice.rtd",,$C657 &amp; $D657 &amp; ":" &amp; H$1)</f>
        <v>-34</v>
      </c>
      <c r="I657" s="18" t="str">
        <f>RTD("ice.rtd",,$C657 &amp; $D657 &amp; ":" &amp; I$1)</f>
        <v/>
      </c>
      <c r="J657" s="14" t="str">
        <f>IFERROR(MOD(RTD("ice.rtd",,$C657 &amp; $D657 &amp; ":" &amp; J$1), 1), "")</f>
        <v/>
      </c>
      <c r="K657" s="18" t="str">
        <f>RTD("ice.rtd",,$C657 &amp; $D657 &amp; ":" &amp; K$1)</f>
        <v/>
      </c>
      <c r="L657" s="36" t="str">
        <f>RTD("ice.rtd",,$C657 &amp; $D657 &amp; ":" &amp; L$1)</f>
        <v/>
      </c>
      <c r="M657" s="14" t="str">
        <f>IFERROR(MOD(TIMEVALUE(RTD("ice.rtd",,$C657 &amp; $D657 &amp; ":" &amp; M$1)), 1), "")</f>
        <v/>
      </c>
      <c r="N657" s="36">
        <f>RTD("ice.rtd",,$C657 &amp; $D657 &amp; ":" &amp; N$1)</f>
        <v>0</v>
      </c>
      <c r="O657" s="36">
        <f>RTD("ice.rtd",,$C657 &amp; $D657 &amp; ":" &amp; O$1)</f>
        <v>0</v>
      </c>
      <c r="P6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7" s="14" t="str">
        <f>IF(ICE[[#This Row],[LastType]] = "Scrn", ICE[[#This Row],[LstDate]], IF(ICE[[#This Row],[LastType]] = "Blk", ICE[[#This Row],[LstBlkTime]], ""))</f>
        <v/>
      </c>
      <c r="R657" s="41" t="str">
        <f>IF(ICE[[#This Row],[LastType]] = "Scrn", ICE[[#This Row],[LstPrc]], IF(ICE[[#This Row],[LastType]] = "Blk", ICE[[#This Row],[LstBlkPrc]], ""))</f>
        <v/>
      </c>
      <c r="S657" s="36">
        <f>ICE[[#This Row],[Vol]]+ICE[[#This Row],[BlkVol]]</f>
        <v>0</v>
      </c>
      <c r="T657" s="36">
        <f>RTD("ice.rtd",,$C657 &amp; $D657 &amp; ":" &amp; T$1)</f>
        <v>0</v>
      </c>
      <c r="U657" s="18">
        <f>RTD("ice.rtd",,$C657 &amp; $D657 &amp; ":" &amp; U$1)</f>
        <v>-45</v>
      </c>
      <c r="V6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-34.00 </v>
      </c>
      <c r="W657" s="18" t="str">
        <f>IFERROR(IF(LEFT(ICE[[#This Row],[Tenor]], 1) = "B", RTD("esrtd",,$B657 &amp; " " &amp; ICE[[#This Row],[Tenor]] &amp; "-IEU", W$1), RTD("esrtd",,$B657 &amp; " " &amp; VLOOKUP(MONTH(ICE[[#This Row],[Strip]]), MthRef[], 2, 0) &amp; RIGHT(YEAR(ICE[[#This Row],[Strip]]), 2) &amp; "-IEU", W$1)), "")</f>
        <v/>
      </c>
      <c r="X657" s="36"/>
    </row>
    <row r="658" spans="1:24" x14ac:dyDescent="0.25">
      <c r="A658" s="37" t="s">
        <v>417</v>
      </c>
      <c r="B658" s="3" t="str">
        <f>RTD("ice.rtd",,$C658 &amp; $D658 &amp; ":" &amp; B$1)</f>
        <v>ULR</v>
      </c>
      <c r="C658" s="3">
        <v>35544144</v>
      </c>
      <c r="D658" t="s">
        <v>815</v>
      </c>
      <c r="E658" s="3" t="str">
        <f>RTD("ice.rtd",,$C658 &amp; $D658 &amp; ":" &amp; E$1)</f>
        <v>Q1 27</v>
      </c>
      <c r="F658" s="3" t="str">
        <f>ICE[[#This Row],[Prod]]&amp;ICE[[#This Row],[Strip]]</f>
        <v>go01bfrdiffQ1 27</v>
      </c>
      <c r="G658" s="18" t="str">
        <f>RTD("ice.rtd",,$C658 &amp; $D658 &amp; ":" &amp; G$1)</f>
        <v/>
      </c>
      <c r="H658" s="18" t="str">
        <f>RTD("ice.rtd",,$C658 &amp; $D658 &amp; ":" &amp; H$1)</f>
        <v/>
      </c>
      <c r="I658" s="18" t="str">
        <f>RTD("ice.rtd",,$C658 &amp; $D658 &amp; ":" &amp; I$1)</f>
        <v/>
      </c>
      <c r="J658" s="14" t="str">
        <f>IFERROR(MOD(RTD("ice.rtd",,$C658 &amp; $D658 &amp; ":" &amp; J$1), 1), "")</f>
        <v/>
      </c>
      <c r="K658" s="18" t="str">
        <f>RTD("ice.rtd",,$C658 &amp; $D658 &amp; ":" &amp; K$1)</f>
        <v/>
      </c>
      <c r="L658" s="36" t="str">
        <f>RTD("ice.rtd",,$C658 &amp; $D658 &amp; ":" &amp; L$1)</f>
        <v/>
      </c>
      <c r="M658" s="14" t="str">
        <f>IFERROR(MOD(TIMEVALUE(RTD("ice.rtd",,$C658 &amp; $D658 &amp; ":" &amp; M$1)), 1), "")</f>
        <v/>
      </c>
      <c r="N658" s="36">
        <f>RTD("ice.rtd",,$C658 &amp; $D658 &amp; ":" &amp; N$1)</f>
        <v>0</v>
      </c>
      <c r="O658" s="36">
        <f>RTD("ice.rtd",,$C658 &amp; $D658 &amp; ":" &amp; O$1)</f>
        <v>0</v>
      </c>
      <c r="P6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8" s="14" t="str">
        <f>IF(ICE[[#This Row],[LastType]] = "Scrn", ICE[[#This Row],[LstDate]], IF(ICE[[#This Row],[LastType]] = "Blk", ICE[[#This Row],[LstBlkTime]], ""))</f>
        <v/>
      </c>
      <c r="R658" s="41" t="str">
        <f>IF(ICE[[#This Row],[LastType]] = "Scrn", ICE[[#This Row],[LstPrc]], IF(ICE[[#This Row],[LastType]] = "Blk", ICE[[#This Row],[LstBlkPrc]], ""))</f>
        <v/>
      </c>
      <c r="S658" s="36">
        <f>ICE[[#This Row],[Vol]]+ICE[[#This Row],[BlkVol]]</f>
        <v>0</v>
      </c>
      <c r="T658" s="36">
        <f>RTD("ice.rtd",,$C658 &amp; $D658 &amp; ":" &amp; T$1)</f>
        <v>0</v>
      </c>
      <c r="U658" s="18">
        <f>RTD("ice.rtd",,$C658 &amp; $D658 &amp; ":" &amp; U$1)</f>
        <v>-31</v>
      </c>
      <c r="V6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8" s="18" t="str">
        <f>IFERROR(IF(LEFT(ICE[[#This Row],[Tenor]], 1) = "B", RTD("esrtd",,$B658 &amp; " " &amp; ICE[[#This Row],[Tenor]] &amp; "-IEU", W$1), RTD("esrtd",,$B658 &amp; " " &amp; VLOOKUP(MONTH(ICE[[#This Row],[Strip]]), MthRef[], 2, 0) &amp; RIGHT(YEAR(ICE[[#This Row],[Strip]]), 2) &amp; "-IEU", W$1)), "")</f>
        <v/>
      </c>
      <c r="X658" s="36"/>
    </row>
    <row r="659" spans="1:24" x14ac:dyDescent="0.25">
      <c r="A659" s="37" t="s">
        <v>417</v>
      </c>
      <c r="B659" s="3" t="str">
        <f>RTD("ice.rtd",,$C659 &amp; $D659 &amp; ":" &amp; B$1)</f>
        <v>ULR</v>
      </c>
      <c r="C659" s="3">
        <v>35544144</v>
      </c>
      <c r="D659" t="s">
        <v>816</v>
      </c>
      <c r="E659" s="3" t="str">
        <f>RTD("ice.rtd",,$C659 &amp; $D659 &amp; ":" &amp; E$1)</f>
        <v>Q2 27</v>
      </c>
      <c r="F659" s="3" t="str">
        <f>ICE[[#This Row],[Prod]]&amp;ICE[[#This Row],[Strip]]</f>
        <v>go01bfrdiffQ2 27</v>
      </c>
      <c r="G659" s="18" t="str">
        <f>RTD("ice.rtd",,$C659 &amp; $D659 &amp; ":" &amp; G$1)</f>
        <v/>
      </c>
      <c r="H659" s="18" t="str">
        <f>RTD("ice.rtd",,$C659 &amp; $D659 &amp; ":" &amp; H$1)</f>
        <v/>
      </c>
      <c r="I659" s="18" t="str">
        <f>RTD("ice.rtd",,$C659 &amp; $D659 &amp; ":" &amp; I$1)</f>
        <v/>
      </c>
      <c r="J659" s="14" t="str">
        <f>IFERROR(MOD(RTD("ice.rtd",,$C659 &amp; $D659 &amp; ":" &amp; J$1), 1), "")</f>
        <v/>
      </c>
      <c r="K659" s="18" t="str">
        <f>RTD("ice.rtd",,$C659 &amp; $D659 &amp; ":" &amp; K$1)</f>
        <v/>
      </c>
      <c r="L659" s="36" t="str">
        <f>RTD("ice.rtd",,$C659 &amp; $D659 &amp; ":" &amp; L$1)</f>
        <v/>
      </c>
      <c r="M659" s="14" t="str">
        <f>IFERROR(MOD(TIMEVALUE(RTD("ice.rtd",,$C659 &amp; $D659 &amp; ":" &amp; M$1)), 1), "")</f>
        <v/>
      </c>
      <c r="N659" s="36">
        <f>RTD("ice.rtd",,$C659 &amp; $D659 &amp; ":" &amp; N$1)</f>
        <v>0</v>
      </c>
      <c r="O659" s="36">
        <f>RTD("ice.rtd",,$C659 &amp; $D659 &amp; ":" &amp; O$1)</f>
        <v>0</v>
      </c>
      <c r="P6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59" s="14" t="str">
        <f>IF(ICE[[#This Row],[LastType]] = "Scrn", ICE[[#This Row],[LstDate]], IF(ICE[[#This Row],[LastType]] = "Blk", ICE[[#This Row],[LstBlkTime]], ""))</f>
        <v/>
      </c>
      <c r="R659" s="41" t="str">
        <f>IF(ICE[[#This Row],[LastType]] = "Scrn", ICE[[#This Row],[LstPrc]], IF(ICE[[#This Row],[LastType]] = "Blk", ICE[[#This Row],[LstBlkPrc]], ""))</f>
        <v/>
      </c>
      <c r="S659" s="36">
        <f>ICE[[#This Row],[Vol]]+ICE[[#This Row],[BlkVol]]</f>
        <v>0</v>
      </c>
      <c r="T659" s="36">
        <f>RTD("ice.rtd",,$C659 &amp; $D659 &amp; ":" &amp; T$1)</f>
        <v>0</v>
      </c>
      <c r="U659" s="18">
        <f>RTD("ice.rtd",,$C659 &amp; $D659 &amp; ":" &amp; U$1)</f>
        <v>-29</v>
      </c>
      <c r="V6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59" s="18" t="str">
        <f>IFERROR(IF(LEFT(ICE[[#This Row],[Tenor]], 1) = "B", RTD("esrtd",,$B659 &amp; " " &amp; ICE[[#This Row],[Tenor]] &amp; "-IEU", W$1), RTD("esrtd",,$B659 &amp; " " &amp; VLOOKUP(MONTH(ICE[[#This Row],[Strip]]), MthRef[], 2, 0) &amp; RIGHT(YEAR(ICE[[#This Row],[Strip]]), 2) &amp; "-IEU", W$1)), "")</f>
        <v/>
      </c>
      <c r="X659" s="36"/>
    </row>
    <row r="660" spans="1:24" x14ac:dyDescent="0.25">
      <c r="A660" s="37" t="s">
        <v>417</v>
      </c>
      <c r="B660" s="3" t="str">
        <f>RTD("ice.rtd",,$C660 &amp; $D660 &amp; ":" &amp; B$1)</f>
        <v>ULR</v>
      </c>
      <c r="C660" s="3">
        <v>35544144</v>
      </c>
      <c r="D660" t="s">
        <v>817</v>
      </c>
      <c r="E660" s="3" t="str">
        <f>RTD("ice.rtd",,$C660 &amp; $D660 &amp; ":" &amp; E$1)</f>
        <v>Q3 27</v>
      </c>
      <c r="F660" s="3" t="str">
        <f>ICE[[#This Row],[Prod]]&amp;ICE[[#This Row],[Strip]]</f>
        <v>go01bfrdiffQ3 27</v>
      </c>
      <c r="G660" s="18" t="str">
        <f>RTD("ice.rtd",,$C660 &amp; $D660 &amp; ":" &amp; G$1)</f>
        <v/>
      </c>
      <c r="H660" s="18" t="str">
        <f>RTD("ice.rtd",,$C660 &amp; $D660 &amp; ":" &amp; H$1)</f>
        <v/>
      </c>
      <c r="I660" s="18" t="str">
        <f>RTD("ice.rtd",,$C660 &amp; $D660 &amp; ":" &amp; I$1)</f>
        <v/>
      </c>
      <c r="J660" s="14" t="str">
        <f>IFERROR(MOD(RTD("ice.rtd",,$C660 &amp; $D660 &amp; ":" &amp; J$1), 1), "")</f>
        <v/>
      </c>
      <c r="K660" s="18" t="str">
        <f>RTD("ice.rtd",,$C660 &amp; $D660 &amp; ":" &amp; K$1)</f>
        <v/>
      </c>
      <c r="L660" s="36" t="str">
        <f>RTD("ice.rtd",,$C660 &amp; $D660 &amp; ":" &amp; L$1)</f>
        <v/>
      </c>
      <c r="M660" s="14" t="str">
        <f>IFERROR(MOD(TIMEVALUE(RTD("ice.rtd",,$C660 &amp; $D660 &amp; ":" &amp; M$1)), 1), "")</f>
        <v/>
      </c>
      <c r="N660" s="36">
        <f>RTD("ice.rtd",,$C660 &amp; $D660 &amp; ":" &amp; N$1)</f>
        <v>0</v>
      </c>
      <c r="O660" s="36">
        <f>RTD("ice.rtd",,$C660 &amp; $D660 &amp; ":" &amp; O$1)</f>
        <v>0</v>
      </c>
      <c r="P6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0" s="14" t="str">
        <f>IF(ICE[[#This Row],[LastType]] = "Scrn", ICE[[#This Row],[LstDate]], IF(ICE[[#This Row],[LastType]] = "Blk", ICE[[#This Row],[LstBlkTime]], ""))</f>
        <v/>
      </c>
      <c r="R660" s="41" t="str">
        <f>IF(ICE[[#This Row],[LastType]] = "Scrn", ICE[[#This Row],[LstPrc]], IF(ICE[[#This Row],[LastType]] = "Blk", ICE[[#This Row],[LstBlkPrc]], ""))</f>
        <v/>
      </c>
      <c r="S660" s="36">
        <f>ICE[[#This Row],[Vol]]+ICE[[#This Row],[BlkVol]]</f>
        <v>0</v>
      </c>
      <c r="T660" s="36">
        <f>RTD("ice.rtd",,$C660 &amp; $D660 &amp; ":" &amp; T$1)</f>
        <v>0</v>
      </c>
      <c r="U660" s="18">
        <f>RTD("ice.rtd",,$C660 &amp; $D660 &amp; ":" &amp; U$1)</f>
        <v>-27</v>
      </c>
      <c r="V6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0" s="18" t="str">
        <f>IFERROR(IF(LEFT(ICE[[#This Row],[Tenor]], 1) = "B", RTD("esrtd",,$B660 &amp; " " &amp; ICE[[#This Row],[Tenor]] &amp; "-IEU", W$1), RTD("esrtd",,$B660 &amp; " " &amp; VLOOKUP(MONTH(ICE[[#This Row],[Strip]]), MthRef[], 2, 0) &amp; RIGHT(YEAR(ICE[[#This Row],[Strip]]), 2) &amp; "-IEU", W$1)), "")</f>
        <v/>
      </c>
      <c r="X660" s="36"/>
    </row>
    <row r="661" spans="1:24" x14ac:dyDescent="0.25">
      <c r="A661" s="37" t="s">
        <v>417</v>
      </c>
      <c r="B661" s="3" t="str">
        <f>RTD("ice.rtd",,$C661 &amp; $D661 &amp; ":" &amp; B$1)</f>
        <v>ULR</v>
      </c>
      <c r="C661" s="3">
        <v>35544144</v>
      </c>
      <c r="D661" t="s">
        <v>818</v>
      </c>
      <c r="E661" s="3" t="str">
        <f>RTD("ice.rtd",,$C661 &amp; $D661 &amp; ":" &amp; E$1)</f>
        <v>Q4 27</v>
      </c>
      <c r="F661" s="3" t="str">
        <f>ICE[[#This Row],[Prod]]&amp;ICE[[#This Row],[Strip]]</f>
        <v>go01bfrdiffQ4 27</v>
      </c>
      <c r="G661" s="18" t="str">
        <f>RTD("ice.rtd",,$C661 &amp; $D661 &amp; ":" &amp; G$1)</f>
        <v/>
      </c>
      <c r="H661" s="18" t="str">
        <f>RTD("ice.rtd",,$C661 &amp; $D661 &amp; ":" &amp; H$1)</f>
        <v/>
      </c>
      <c r="I661" s="18" t="str">
        <f>RTD("ice.rtd",,$C661 &amp; $D661 &amp; ":" &amp; I$1)</f>
        <v/>
      </c>
      <c r="J661" s="14" t="str">
        <f>IFERROR(MOD(RTD("ice.rtd",,$C661 &amp; $D661 &amp; ":" &amp; J$1), 1), "")</f>
        <v/>
      </c>
      <c r="K661" s="18" t="str">
        <f>RTD("ice.rtd",,$C661 &amp; $D661 &amp; ":" &amp; K$1)</f>
        <v/>
      </c>
      <c r="L661" s="36" t="str">
        <f>RTD("ice.rtd",,$C661 &amp; $D661 &amp; ":" &amp; L$1)</f>
        <v/>
      </c>
      <c r="M661" s="14" t="str">
        <f>IFERROR(MOD(TIMEVALUE(RTD("ice.rtd",,$C661 &amp; $D661 &amp; ":" &amp; M$1)), 1), "")</f>
        <v/>
      </c>
      <c r="N661" s="36">
        <f>RTD("ice.rtd",,$C661 &amp; $D661 &amp; ":" &amp; N$1)</f>
        <v>0</v>
      </c>
      <c r="O661" s="36">
        <f>RTD("ice.rtd",,$C661 &amp; $D661 &amp; ":" &amp; O$1)</f>
        <v>0</v>
      </c>
      <c r="P6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1" s="14" t="str">
        <f>IF(ICE[[#This Row],[LastType]] = "Scrn", ICE[[#This Row],[LstDate]], IF(ICE[[#This Row],[LastType]] = "Blk", ICE[[#This Row],[LstBlkTime]], ""))</f>
        <v/>
      </c>
      <c r="R661" s="41" t="str">
        <f>IF(ICE[[#This Row],[LastType]] = "Scrn", ICE[[#This Row],[LstPrc]], IF(ICE[[#This Row],[LastType]] = "Blk", ICE[[#This Row],[LstBlkPrc]], ""))</f>
        <v/>
      </c>
      <c r="S661" s="36">
        <f>ICE[[#This Row],[Vol]]+ICE[[#This Row],[BlkVol]]</f>
        <v>0</v>
      </c>
      <c r="T661" s="36">
        <f>RTD("ice.rtd",,$C661 &amp; $D661 &amp; ":" &amp; T$1)</f>
        <v>0</v>
      </c>
      <c r="U661" s="18">
        <f>RTD("ice.rtd",,$C661 &amp; $D661 &amp; ":" &amp; U$1)</f>
        <v>-25</v>
      </c>
      <c r="V6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1" s="18" t="str">
        <f>IFERROR(IF(LEFT(ICE[[#This Row],[Tenor]], 1) = "B", RTD("esrtd",,$B661 &amp; " " &amp; ICE[[#This Row],[Tenor]] &amp; "-IEU", W$1), RTD("esrtd",,$B661 &amp; " " &amp; VLOOKUP(MONTH(ICE[[#This Row],[Strip]]), MthRef[], 2, 0) &amp; RIGHT(YEAR(ICE[[#This Row],[Strip]]), 2) &amp; "-IEU", W$1)), "")</f>
        <v/>
      </c>
      <c r="X661" s="36"/>
    </row>
    <row r="662" spans="1:24" x14ac:dyDescent="0.25">
      <c r="A662" s="37" t="s">
        <v>417</v>
      </c>
      <c r="B662" s="3" t="str">
        <f>RTD("ice.rtd",,$C662 &amp; $D662 &amp; ":" &amp; B$1)</f>
        <v>ULR</v>
      </c>
      <c r="C662" s="3">
        <v>35544144</v>
      </c>
      <c r="D662" t="s">
        <v>819</v>
      </c>
      <c r="E662" s="3" t="str">
        <f>RTD("ice.rtd",,$C662 &amp; $D662 &amp; ":" &amp; E$1)</f>
        <v>Q1 28</v>
      </c>
      <c r="F662" s="3" t="str">
        <f>ICE[[#This Row],[Prod]]&amp;ICE[[#This Row],[Strip]]</f>
        <v>go01bfrdiffQ1 28</v>
      </c>
      <c r="G662" s="18" t="str">
        <f>RTD("ice.rtd",,$C662 &amp; $D662 &amp; ":" &amp; G$1)</f>
        <v/>
      </c>
      <c r="H662" s="18" t="str">
        <f>RTD("ice.rtd",,$C662 &amp; $D662 &amp; ":" &amp; H$1)</f>
        <v/>
      </c>
      <c r="I662" s="18" t="str">
        <f>RTD("ice.rtd",,$C662 &amp; $D662 &amp; ":" &amp; I$1)</f>
        <v/>
      </c>
      <c r="J662" s="14" t="str">
        <f>IFERROR(MOD(RTD("ice.rtd",,$C662 &amp; $D662 &amp; ":" &amp; J$1), 1), "")</f>
        <v/>
      </c>
      <c r="K662" s="18" t="str">
        <f>RTD("ice.rtd",,$C662 &amp; $D662 &amp; ":" &amp; K$1)</f>
        <v/>
      </c>
      <c r="L662" s="36" t="str">
        <f>RTD("ice.rtd",,$C662 &amp; $D662 &amp; ":" &amp; L$1)</f>
        <v/>
      </c>
      <c r="M662" s="14" t="str">
        <f>IFERROR(MOD(TIMEVALUE(RTD("ice.rtd",,$C662 &amp; $D662 &amp; ":" &amp; M$1)), 1), "")</f>
        <v/>
      </c>
      <c r="N662" s="36">
        <f>RTD("ice.rtd",,$C662 &amp; $D662 &amp; ":" &amp; N$1)</f>
        <v>0</v>
      </c>
      <c r="O662" s="36">
        <f>RTD("ice.rtd",,$C662 &amp; $D662 &amp; ":" &amp; O$1)</f>
        <v>0</v>
      </c>
      <c r="P6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2" s="14" t="str">
        <f>IF(ICE[[#This Row],[LastType]] = "Scrn", ICE[[#This Row],[LstDate]], IF(ICE[[#This Row],[LastType]] = "Blk", ICE[[#This Row],[LstBlkTime]], ""))</f>
        <v/>
      </c>
      <c r="R662" s="41" t="str">
        <f>IF(ICE[[#This Row],[LastType]] = "Scrn", ICE[[#This Row],[LstPrc]], IF(ICE[[#This Row],[LastType]] = "Blk", ICE[[#This Row],[LstBlkPrc]], ""))</f>
        <v/>
      </c>
      <c r="S662" s="36">
        <f>ICE[[#This Row],[Vol]]+ICE[[#This Row],[BlkVol]]</f>
        <v>0</v>
      </c>
      <c r="T662" s="36">
        <f>RTD("ice.rtd",,$C662 &amp; $D662 &amp; ":" &amp; T$1)</f>
        <v>0</v>
      </c>
      <c r="U662" s="18">
        <f>RTD("ice.rtd",,$C662 &amp; $D662 &amp; ":" &amp; U$1)</f>
        <v>-23</v>
      </c>
      <c r="V6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2" s="18" t="str">
        <f>IFERROR(IF(LEFT(ICE[[#This Row],[Tenor]], 1) = "B", RTD("esrtd",,$B662 &amp; " " &amp; ICE[[#This Row],[Tenor]] &amp; "-IEU", W$1), RTD("esrtd",,$B662 &amp; " " &amp; VLOOKUP(MONTH(ICE[[#This Row],[Strip]]), MthRef[], 2, 0) &amp; RIGHT(YEAR(ICE[[#This Row],[Strip]]), 2) &amp; "-IEU", W$1)), "")</f>
        <v/>
      </c>
      <c r="X662" s="36"/>
    </row>
    <row r="663" spans="1:24" x14ac:dyDescent="0.25">
      <c r="A663" s="37" t="s">
        <v>417</v>
      </c>
      <c r="B663" s="3" t="str">
        <f>RTD("ice.rtd",,$C663 &amp; $D663 &amp; ":" &amp; B$1)</f>
        <v>ULR</v>
      </c>
      <c r="C663" s="3">
        <v>35544144</v>
      </c>
      <c r="D663" t="s">
        <v>229</v>
      </c>
      <c r="E663" s="3" t="str">
        <f>RTD("ice.rtd",,$C663 &amp; $D663 &amp; ":" &amp; E$1)</f>
        <v>Q2 28</v>
      </c>
      <c r="F663" s="3" t="str">
        <f>ICE[[#This Row],[Prod]]&amp;ICE[[#This Row],[Strip]]</f>
        <v>go01bfrdiffQ2 28</v>
      </c>
      <c r="G663" s="18" t="str">
        <f>RTD("ice.rtd",,$C663 &amp; $D663 &amp; ":" &amp; G$1)</f>
        <v/>
      </c>
      <c r="H663" s="18" t="str">
        <f>RTD("ice.rtd",,$C663 &amp; $D663 &amp; ":" &amp; H$1)</f>
        <v/>
      </c>
      <c r="I663" s="18" t="str">
        <f>RTD("ice.rtd",,$C663 &amp; $D663 &amp; ":" &amp; I$1)</f>
        <v/>
      </c>
      <c r="J663" s="14" t="str">
        <f>IFERROR(MOD(RTD("ice.rtd",,$C663 &amp; $D663 &amp; ":" &amp; J$1), 1), "")</f>
        <v/>
      </c>
      <c r="K663" s="18" t="str">
        <f>RTD("ice.rtd",,$C663 &amp; $D663 &amp; ":" &amp; K$1)</f>
        <v/>
      </c>
      <c r="L663" s="36" t="str">
        <f>RTD("ice.rtd",,$C663 &amp; $D663 &amp; ":" &amp; L$1)</f>
        <v/>
      </c>
      <c r="M663" s="14" t="str">
        <f>IFERROR(MOD(TIMEVALUE(RTD("ice.rtd",,$C663 &amp; $D663 &amp; ":" &amp; M$1)), 1), "")</f>
        <v/>
      </c>
      <c r="N663" s="36">
        <f>RTD("ice.rtd",,$C663 &amp; $D663 &amp; ":" &amp; N$1)</f>
        <v>0</v>
      </c>
      <c r="O663" s="36">
        <f>RTD("ice.rtd",,$C663 &amp; $D663 &amp; ":" &amp; O$1)</f>
        <v>0</v>
      </c>
      <c r="P6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3" s="14" t="str">
        <f>IF(ICE[[#This Row],[LastType]] = "Scrn", ICE[[#This Row],[LstDate]], IF(ICE[[#This Row],[LastType]] = "Blk", ICE[[#This Row],[LstBlkTime]], ""))</f>
        <v/>
      </c>
      <c r="R663" s="41" t="str">
        <f>IF(ICE[[#This Row],[LastType]] = "Scrn", ICE[[#This Row],[LstPrc]], IF(ICE[[#This Row],[LastType]] = "Blk", ICE[[#This Row],[LstBlkPrc]], ""))</f>
        <v/>
      </c>
      <c r="S663" s="36">
        <f>ICE[[#This Row],[Vol]]+ICE[[#This Row],[BlkVol]]</f>
        <v>0</v>
      </c>
      <c r="T663" s="36">
        <f>RTD("ice.rtd",,$C663 &amp; $D663 &amp; ":" &amp; T$1)</f>
        <v>0</v>
      </c>
      <c r="U663" s="18">
        <f>RTD("ice.rtd",,$C663 &amp; $D663 &amp; ":" &amp; U$1)</f>
        <v>-22</v>
      </c>
      <c r="V6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3" s="18" t="str">
        <f>IFERROR(IF(LEFT(ICE[[#This Row],[Tenor]], 1) = "B", RTD("esrtd",,$B663 &amp; " " &amp; ICE[[#This Row],[Tenor]] &amp; "-IEU", W$1), RTD("esrtd",,$B663 &amp; " " &amp; VLOOKUP(MONTH(ICE[[#This Row],[Strip]]), MthRef[], 2, 0) &amp; RIGHT(YEAR(ICE[[#This Row],[Strip]]), 2) &amp; "-IEU", W$1)), "")</f>
        <v/>
      </c>
      <c r="X663" s="36"/>
    </row>
    <row r="664" spans="1:24" x14ac:dyDescent="0.25">
      <c r="A664" s="37" t="s">
        <v>417</v>
      </c>
      <c r="B664" s="3" t="str">
        <f>RTD("ice.rtd",,$C664 &amp; $D664 &amp; ":" &amp; B$1)</f>
        <v>ULR</v>
      </c>
      <c r="C664" s="3">
        <v>35544144</v>
      </c>
      <c r="D664" t="s">
        <v>820</v>
      </c>
      <c r="E664" s="3" t="str">
        <f>RTD("ice.rtd",,$C664 &amp; $D664 &amp; ":" &amp; E$1)</f>
        <v>Q3 28</v>
      </c>
      <c r="F664" s="3" t="str">
        <f>ICE[[#This Row],[Prod]]&amp;ICE[[#This Row],[Strip]]</f>
        <v>go01bfrdiffQ3 28</v>
      </c>
      <c r="G664" s="18" t="str">
        <f>RTD("ice.rtd",,$C664 &amp; $D664 &amp; ":" &amp; G$1)</f>
        <v/>
      </c>
      <c r="H664" s="18" t="str">
        <f>RTD("ice.rtd",,$C664 &amp; $D664 &amp; ":" &amp; H$1)</f>
        <v/>
      </c>
      <c r="I664" s="18" t="str">
        <f>RTD("ice.rtd",,$C664 &amp; $D664 &amp; ":" &amp; I$1)</f>
        <v/>
      </c>
      <c r="J664" s="14" t="str">
        <f>IFERROR(MOD(RTD("ice.rtd",,$C664 &amp; $D664 &amp; ":" &amp; J$1), 1), "")</f>
        <v/>
      </c>
      <c r="K664" s="18" t="str">
        <f>RTD("ice.rtd",,$C664 &amp; $D664 &amp; ":" &amp; K$1)</f>
        <v/>
      </c>
      <c r="L664" s="36" t="str">
        <f>RTD("ice.rtd",,$C664 &amp; $D664 &amp; ":" &amp; L$1)</f>
        <v/>
      </c>
      <c r="M664" s="14" t="str">
        <f>IFERROR(MOD(TIMEVALUE(RTD("ice.rtd",,$C664 &amp; $D664 &amp; ":" &amp; M$1)), 1), "")</f>
        <v/>
      </c>
      <c r="N664" s="36">
        <f>RTD("ice.rtd",,$C664 &amp; $D664 &amp; ":" &amp; N$1)</f>
        <v>0</v>
      </c>
      <c r="O664" s="36">
        <f>RTD("ice.rtd",,$C664 &amp; $D664 &amp; ":" &amp; O$1)</f>
        <v>0</v>
      </c>
      <c r="P6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4" s="14" t="str">
        <f>IF(ICE[[#This Row],[LastType]] = "Scrn", ICE[[#This Row],[LstDate]], IF(ICE[[#This Row],[LastType]] = "Blk", ICE[[#This Row],[LstBlkTime]], ""))</f>
        <v/>
      </c>
      <c r="R664" s="41" t="str">
        <f>IF(ICE[[#This Row],[LastType]] = "Scrn", ICE[[#This Row],[LstPrc]], IF(ICE[[#This Row],[LastType]] = "Blk", ICE[[#This Row],[LstBlkPrc]], ""))</f>
        <v/>
      </c>
      <c r="S664" s="36">
        <f>ICE[[#This Row],[Vol]]+ICE[[#This Row],[BlkVol]]</f>
        <v>0</v>
      </c>
      <c r="T664" s="36">
        <f>RTD("ice.rtd",,$C664 &amp; $D664 &amp; ":" &amp; T$1)</f>
        <v>0</v>
      </c>
      <c r="U664" s="18">
        <f>RTD("ice.rtd",,$C664 &amp; $D664 &amp; ":" &amp; U$1)</f>
        <v>-21.5</v>
      </c>
      <c r="V6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4" s="18" t="str">
        <f>IFERROR(IF(LEFT(ICE[[#This Row],[Tenor]], 1) = "B", RTD("esrtd",,$B664 &amp; " " &amp; ICE[[#This Row],[Tenor]] &amp; "-IEU", W$1), RTD("esrtd",,$B664 &amp; " " &amp; VLOOKUP(MONTH(ICE[[#This Row],[Strip]]), MthRef[], 2, 0) &amp; RIGHT(YEAR(ICE[[#This Row],[Strip]]), 2) &amp; "-IEU", W$1)), "")</f>
        <v/>
      </c>
      <c r="X664" s="36"/>
    </row>
    <row r="665" spans="1:24" x14ac:dyDescent="0.25">
      <c r="A665" s="37" t="s">
        <v>417</v>
      </c>
      <c r="B665" s="3" t="str">
        <f>RTD("ice.rtd",,$C665 &amp; $D665 &amp; ":" &amp; B$1)</f>
        <v>ULR</v>
      </c>
      <c r="C665" s="3">
        <v>35544144</v>
      </c>
      <c r="D665" t="s">
        <v>821</v>
      </c>
      <c r="E665" s="3" t="str">
        <f>RTD("ice.rtd",,$C665 &amp; $D665 &amp; ":" &amp; E$1)</f>
        <v>Q4 28</v>
      </c>
      <c r="F665" s="3" t="str">
        <f>ICE[[#This Row],[Prod]]&amp;ICE[[#This Row],[Strip]]</f>
        <v>go01bfrdiffQ4 28</v>
      </c>
      <c r="G665" s="18" t="str">
        <f>RTD("ice.rtd",,$C665 &amp; $D665 &amp; ":" &amp; G$1)</f>
        <v/>
      </c>
      <c r="H665" s="18" t="str">
        <f>RTD("ice.rtd",,$C665 &amp; $D665 &amp; ":" &amp; H$1)</f>
        <v/>
      </c>
      <c r="I665" s="18" t="str">
        <f>RTD("ice.rtd",,$C665 &amp; $D665 &amp; ":" &amp; I$1)</f>
        <v/>
      </c>
      <c r="J665" s="14" t="str">
        <f>IFERROR(MOD(RTD("ice.rtd",,$C665 &amp; $D665 &amp; ":" &amp; J$1), 1), "")</f>
        <v/>
      </c>
      <c r="K665" s="18" t="str">
        <f>RTD("ice.rtd",,$C665 &amp; $D665 &amp; ":" &amp; K$1)</f>
        <v/>
      </c>
      <c r="L665" s="36" t="str">
        <f>RTD("ice.rtd",,$C665 &amp; $D665 &amp; ":" &amp; L$1)</f>
        <v/>
      </c>
      <c r="M665" s="14" t="str">
        <f>IFERROR(MOD(TIMEVALUE(RTD("ice.rtd",,$C665 &amp; $D665 &amp; ":" &amp; M$1)), 1), "")</f>
        <v/>
      </c>
      <c r="N665" s="36">
        <f>RTD("ice.rtd",,$C665 &amp; $D665 &amp; ":" &amp; N$1)</f>
        <v>0</v>
      </c>
      <c r="O665" s="36">
        <f>RTD("ice.rtd",,$C665 &amp; $D665 &amp; ":" &amp; O$1)</f>
        <v>0</v>
      </c>
      <c r="P6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5" s="14" t="str">
        <f>IF(ICE[[#This Row],[LastType]] = "Scrn", ICE[[#This Row],[LstDate]], IF(ICE[[#This Row],[LastType]] = "Blk", ICE[[#This Row],[LstBlkTime]], ""))</f>
        <v/>
      </c>
      <c r="R665" s="41" t="str">
        <f>IF(ICE[[#This Row],[LastType]] = "Scrn", ICE[[#This Row],[LstPrc]], IF(ICE[[#This Row],[LastType]] = "Blk", ICE[[#This Row],[LstBlkPrc]], ""))</f>
        <v/>
      </c>
      <c r="S665" s="36">
        <f>ICE[[#This Row],[Vol]]+ICE[[#This Row],[BlkVol]]</f>
        <v>0</v>
      </c>
      <c r="T665" s="36">
        <f>RTD("ice.rtd",,$C665 &amp; $D665 &amp; ":" &amp; T$1)</f>
        <v>0</v>
      </c>
      <c r="U665" s="18">
        <f>RTD("ice.rtd",,$C665 &amp; $D665 &amp; ":" &amp; U$1)</f>
        <v>-21.5</v>
      </c>
      <c r="V6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5" s="18" t="str">
        <f>IFERROR(IF(LEFT(ICE[[#This Row],[Tenor]], 1) = "B", RTD("esrtd",,$B665 &amp; " " &amp; ICE[[#This Row],[Tenor]] &amp; "-IEU", W$1), RTD("esrtd",,$B665 &amp; " " &amp; VLOOKUP(MONTH(ICE[[#This Row],[Strip]]), MthRef[], 2, 0) &amp; RIGHT(YEAR(ICE[[#This Row],[Strip]]), 2) &amp; "-IEU", W$1)), "")</f>
        <v/>
      </c>
      <c r="X665" s="36"/>
    </row>
    <row r="666" spans="1:24" x14ac:dyDescent="0.25">
      <c r="A666" s="37" t="s">
        <v>417</v>
      </c>
      <c r="B666" s="3" t="str">
        <f>RTD("ice.rtd",,$C666 &amp; $D666 &amp; ":" &amp; B$1)</f>
        <v>ULR</v>
      </c>
      <c r="C666" s="3">
        <v>35544144</v>
      </c>
      <c r="D666" t="s">
        <v>822</v>
      </c>
      <c r="E666" s="3" t="str">
        <f>RTD("ice.rtd",,$C666 &amp; $D666 &amp; ":" &amp; E$1)</f>
        <v>Cal 27</v>
      </c>
      <c r="F666" s="3" t="str">
        <f>ICE[[#This Row],[Prod]]&amp;ICE[[#This Row],[Strip]]</f>
        <v>go01bfrdiffCal 27</v>
      </c>
      <c r="G666" s="18" t="str">
        <f>RTD("ice.rtd",,$C666 &amp; $D666 &amp; ":" &amp; G$1)</f>
        <v/>
      </c>
      <c r="H666" s="18" t="str">
        <f>RTD("ice.rtd",,$C666 &amp; $D666 &amp; ":" &amp; H$1)</f>
        <v/>
      </c>
      <c r="I666" s="18" t="str">
        <f>RTD("ice.rtd",,$C666 &amp; $D666 &amp; ":" &amp; I$1)</f>
        <v/>
      </c>
      <c r="J666" s="14" t="str">
        <f>IFERROR(MOD(RTD("ice.rtd",,$C666 &amp; $D666 &amp; ":" &amp; J$1), 1), "")</f>
        <v/>
      </c>
      <c r="K666" s="18" t="str">
        <f>RTD("ice.rtd",,$C666 &amp; $D666 &amp; ":" &amp; K$1)</f>
        <v/>
      </c>
      <c r="L666" s="36" t="str">
        <f>RTD("ice.rtd",,$C666 &amp; $D666 &amp; ":" &amp; L$1)</f>
        <v/>
      </c>
      <c r="M666" s="14" t="str">
        <f>IFERROR(MOD(TIMEVALUE(RTD("ice.rtd",,$C666 &amp; $D666 &amp; ":" &amp; M$1)), 1), "")</f>
        <v/>
      </c>
      <c r="N666" s="36">
        <f>RTD("ice.rtd",,$C666 &amp; $D666 &amp; ":" &amp; N$1)</f>
        <v>0</v>
      </c>
      <c r="O666" s="36">
        <f>RTD("ice.rtd",,$C666 &amp; $D666 &amp; ":" &amp; O$1)</f>
        <v>0</v>
      </c>
      <c r="P6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6" s="14" t="str">
        <f>IF(ICE[[#This Row],[LastType]] = "Scrn", ICE[[#This Row],[LstDate]], IF(ICE[[#This Row],[LastType]] = "Blk", ICE[[#This Row],[LstBlkTime]], ""))</f>
        <v/>
      </c>
      <c r="R666" s="41" t="str">
        <f>IF(ICE[[#This Row],[LastType]] = "Scrn", ICE[[#This Row],[LstPrc]], IF(ICE[[#This Row],[LastType]] = "Blk", ICE[[#This Row],[LstBlkPrc]], ""))</f>
        <v/>
      </c>
      <c r="S666" s="36">
        <f>ICE[[#This Row],[Vol]]+ICE[[#This Row],[BlkVol]]</f>
        <v>0</v>
      </c>
      <c r="T666" s="36">
        <f>RTD("ice.rtd",,$C666 &amp; $D666 &amp; ":" &amp; T$1)</f>
        <v>0</v>
      </c>
      <c r="U666" s="18">
        <f>RTD("ice.rtd",,$C666 &amp; $D666 &amp; ":" &amp; U$1)</f>
        <v>-28</v>
      </c>
      <c r="V6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6" s="18" t="str">
        <f>IFERROR(IF(LEFT(ICE[[#This Row],[Tenor]], 1) = "B", RTD("esrtd",,$B666 &amp; " " &amp; ICE[[#This Row],[Tenor]] &amp; "-IEU", W$1), RTD("esrtd",,$B666 &amp; " " &amp; VLOOKUP(MONTH(ICE[[#This Row],[Strip]]), MthRef[], 2, 0) &amp; RIGHT(YEAR(ICE[[#This Row],[Strip]]), 2) &amp; "-IEU", W$1)), "")</f>
        <v/>
      </c>
      <c r="X666" s="36"/>
    </row>
    <row r="667" spans="1:24" x14ac:dyDescent="0.25">
      <c r="A667" s="37" t="s">
        <v>417</v>
      </c>
      <c r="B667" s="3" t="str">
        <f>RTD("ice.rtd",,$C667 &amp; $D667 &amp; ":" &amp; B$1)</f>
        <v>ULR</v>
      </c>
      <c r="C667" s="3">
        <v>35544144</v>
      </c>
      <c r="D667" t="s">
        <v>823</v>
      </c>
      <c r="E667" s="3" t="str">
        <f>RTD("ice.rtd",,$C667 &amp; $D667 &amp; ":" &amp; E$1)</f>
        <v>Cal 28</v>
      </c>
      <c r="F667" s="3" t="str">
        <f>ICE[[#This Row],[Prod]]&amp;ICE[[#This Row],[Strip]]</f>
        <v>go01bfrdiffCal 28</v>
      </c>
      <c r="G667" s="18" t="str">
        <f>RTD("ice.rtd",,$C667 &amp; $D667 &amp; ":" &amp; G$1)</f>
        <v/>
      </c>
      <c r="H667" s="18" t="str">
        <f>RTD("ice.rtd",,$C667 &amp; $D667 &amp; ":" &amp; H$1)</f>
        <v/>
      </c>
      <c r="I667" s="18" t="str">
        <f>RTD("ice.rtd",,$C667 &amp; $D667 &amp; ":" &amp; I$1)</f>
        <v/>
      </c>
      <c r="J667" s="14" t="str">
        <f>IFERROR(MOD(RTD("ice.rtd",,$C667 &amp; $D667 &amp; ":" &amp; J$1), 1), "")</f>
        <v/>
      </c>
      <c r="K667" s="18" t="str">
        <f>RTD("ice.rtd",,$C667 &amp; $D667 &amp; ":" &amp; K$1)</f>
        <v/>
      </c>
      <c r="L667" s="36" t="str">
        <f>RTD("ice.rtd",,$C667 &amp; $D667 &amp; ":" &amp; L$1)</f>
        <v/>
      </c>
      <c r="M667" s="14" t="str">
        <f>IFERROR(MOD(TIMEVALUE(RTD("ice.rtd",,$C667 &amp; $D667 &amp; ":" &amp; M$1)), 1), "")</f>
        <v/>
      </c>
      <c r="N667" s="36">
        <f>RTD("ice.rtd",,$C667 &amp; $D667 &amp; ":" &amp; N$1)</f>
        <v>0</v>
      </c>
      <c r="O667" s="36">
        <f>RTD("ice.rtd",,$C667 &amp; $D667 &amp; ":" &amp; O$1)</f>
        <v>0</v>
      </c>
      <c r="P6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7" s="14" t="str">
        <f>IF(ICE[[#This Row],[LastType]] = "Scrn", ICE[[#This Row],[LstDate]], IF(ICE[[#This Row],[LastType]] = "Blk", ICE[[#This Row],[LstBlkTime]], ""))</f>
        <v/>
      </c>
      <c r="R667" s="41" t="str">
        <f>IF(ICE[[#This Row],[LastType]] = "Scrn", ICE[[#This Row],[LstPrc]], IF(ICE[[#This Row],[LastType]] = "Blk", ICE[[#This Row],[LstBlkPrc]], ""))</f>
        <v/>
      </c>
      <c r="S667" s="36">
        <f>ICE[[#This Row],[Vol]]+ICE[[#This Row],[BlkVol]]</f>
        <v>0</v>
      </c>
      <c r="T667" s="36">
        <f>RTD("ice.rtd",,$C667 &amp; $D667 &amp; ":" &amp; T$1)</f>
        <v>0</v>
      </c>
      <c r="U667" s="18">
        <f>RTD("ice.rtd",,$C667 &amp; $D667 &amp; ":" &amp; U$1)</f>
        <v>-22</v>
      </c>
      <c r="V6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7" s="18" t="str">
        <f>IFERROR(IF(LEFT(ICE[[#This Row],[Tenor]], 1) = "B", RTD("esrtd",,$B667 &amp; " " &amp; ICE[[#This Row],[Tenor]] &amp; "-IEU", W$1), RTD("esrtd",,$B667 &amp; " " &amp; VLOOKUP(MONTH(ICE[[#This Row],[Strip]]), MthRef[], 2, 0) &amp; RIGHT(YEAR(ICE[[#This Row],[Strip]]), 2) &amp; "-IEU", W$1)), "")</f>
        <v/>
      </c>
      <c r="X667" s="36"/>
    </row>
    <row r="668" spans="1:24" x14ac:dyDescent="0.25">
      <c r="A668" s="37" t="s">
        <v>417</v>
      </c>
      <c r="B668" s="3" t="str">
        <f>RTD("ice.rtd",,$C668 &amp; $D668 &amp; ":" &amp; B$1)</f>
        <v>ULR</v>
      </c>
      <c r="C668" s="3">
        <v>35544144</v>
      </c>
      <c r="D668" t="s">
        <v>824</v>
      </c>
      <c r="E668" s="3" t="str">
        <f>RTD("ice.rtd",,$C668 &amp; $D668 &amp; ":" &amp; E$1)</f>
        <v>Cal 29</v>
      </c>
      <c r="F668" s="3" t="str">
        <f>ICE[[#This Row],[Prod]]&amp;ICE[[#This Row],[Strip]]</f>
        <v>go01bfrdiffCal 29</v>
      </c>
      <c r="G668" s="18" t="str">
        <f>RTD("ice.rtd",,$C668 &amp; $D668 &amp; ":" &amp; G$1)</f>
        <v/>
      </c>
      <c r="H668" s="18" t="str">
        <f>RTD("ice.rtd",,$C668 &amp; $D668 &amp; ":" &amp; H$1)</f>
        <v/>
      </c>
      <c r="I668" s="18" t="str">
        <f>RTD("ice.rtd",,$C668 &amp; $D668 &amp; ":" &amp; I$1)</f>
        <v/>
      </c>
      <c r="J668" s="14" t="str">
        <f>IFERROR(MOD(RTD("ice.rtd",,$C668 &amp; $D668 &amp; ":" &amp; J$1), 1), "")</f>
        <v/>
      </c>
      <c r="K668" s="18" t="str">
        <f>RTD("ice.rtd",,$C668 &amp; $D668 &amp; ":" &amp; K$1)</f>
        <v/>
      </c>
      <c r="L668" s="36" t="str">
        <f>RTD("ice.rtd",,$C668 &amp; $D668 &amp; ":" &amp; L$1)</f>
        <v/>
      </c>
      <c r="M668" s="14" t="str">
        <f>IFERROR(MOD(TIMEVALUE(RTD("ice.rtd",,$C668 &amp; $D668 &amp; ":" &amp; M$1)), 1), "")</f>
        <v/>
      </c>
      <c r="N668" s="36">
        <f>RTD("ice.rtd",,$C668 &amp; $D668 &amp; ":" &amp; N$1)</f>
        <v>0</v>
      </c>
      <c r="O668" s="36">
        <f>RTD("ice.rtd",,$C668 &amp; $D668 &amp; ":" &amp; O$1)</f>
        <v>0</v>
      </c>
      <c r="P6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8" s="14" t="str">
        <f>IF(ICE[[#This Row],[LastType]] = "Scrn", ICE[[#This Row],[LstDate]], IF(ICE[[#This Row],[LastType]] = "Blk", ICE[[#This Row],[LstBlkTime]], ""))</f>
        <v/>
      </c>
      <c r="R668" s="41" t="str">
        <f>IF(ICE[[#This Row],[LastType]] = "Scrn", ICE[[#This Row],[LstPrc]], IF(ICE[[#This Row],[LastType]] = "Blk", ICE[[#This Row],[LstBlkPrc]], ""))</f>
        <v/>
      </c>
      <c r="S668" s="36">
        <f>ICE[[#This Row],[Vol]]+ICE[[#This Row],[BlkVol]]</f>
        <v>0</v>
      </c>
      <c r="T668" s="36">
        <f>RTD("ice.rtd",,$C668 &amp; $D668 &amp; ":" &amp; T$1)</f>
        <v>0</v>
      </c>
      <c r="U668" s="18">
        <f>RTD("ice.rtd",,$C668 &amp; $D668 &amp; ":" &amp; U$1)</f>
        <v>-19</v>
      </c>
      <c r="V6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8" s="18" t="str">
        <f>IFERROR(IF(LEFT(ICE[[#This Row],[Tenor]], 1) = "B", RTD("esrtd",,$B668 &amp; " " &amp; ICE[[#This Row],[Tenor]] &amp; "-IEU", W$1), RTD("esrtd",,$B668 &amp; " " &amp; VLOOKUP(MONTH(ICE[[#This Row],[Strip]]), MthRef[], 2, 0) &amp; RIGHT(YEAR(ICE[[#This Row],[Strip]]), 2) &amp; "-IEU", W$1)), "")</f>
        <v/>
      </c>
      <c r="X668" s="36"/>
    </row>
    <row r="669" spans="1:24" x14ac:dyDescent="0.25">
      <c r="A669" s="37" t="s">
        <v>418</v>
      </c>
      <c r="B669" s="3" t="str">
        <f>RTD("ice.rtd",,$C669 &amp; $D669 &amp; ":" &amp; B$1)</f>
        <v>ULX</v>
      </c>
      <c r="C669" s="3">
        <v>2325125612</v>
      </c>
      <c r="D669" t="s">
        <v>792</v>
      </c>
      <c r="E669" s="3" t="str">
        <f>RTD("ice.rtd",,$C669 &amp; $D669 &amp; ":" &amp; E$1)</f>
        <v>Bal Month</v>
      </c>
      <c r="F669" s="3" t="str">
        <f>ICE[[#This Row],[Prod]]&amp;ICE[[#This Row],[Strip]]</f>
        <v>go01ccndiffBal Month</v>
      </c>
      <c r="G669" s="18" t="str">
        <f>RTD("ice.rtd",,$C669 &amp; $D669 &amp; ":" &amp; G$1)</f>
        <v/>
      </c>
      <c r="H669" s="18" t="str">
        <f>RTD("ice.rtd",,$C669 &amp; $D669 &amp; ":" &amp; H$1)</f>
        <v/>
      </c>
      <c r="I669" s="18" t="str">
        <f>RTD("ice.rtd",,$C669 &amp; $D669 &amp; ":" &amp; I$1)</f>
        <v/>
      </c>
      <c r="J669" s="14" t="str">
        <f>IFERROR(MOD(RTD("ice.rtd",,$C669 &amp; $D669 &amp; ":" &amp; J$1), 1), "")</f>
        <v/>
      </c>
      <c r="K669" s="18" t="str">
        <f>RTD("ice.rtd",,$C669 &amp; $D669 &amp; ":" &amp; K$1)</f>
        <v/>
      </c>
      <c r="L669" s="36" t="str">
        <f>RTD("ice.rtd",,$C669 &amp; $D669 &amp; ":" &amp; L$1)</f>
        <v/>
      </c>
      <c r="M669" s="14" t="str">
        <f>IFERROR(MOD(TIMEVALUE(RTD("ice.rtd",,$C669 &amp; $D669 &amp; ":" &amp; M$1)), 1), "")</f>
        <v/>
      </c>
      <c r="N669" s="36">
        <f>RTD("ice.rtd",,$C669 &amp; $D669 &amp; ":" &amp; N$1)</f>
        <v>0</v>
      </c>
      <c r="O669" s="36">
        <f>RTD("ice.rtd",,$C669 &amp; $D669 &amp; ":" &amp; O$1)</f>
        <v>0</v>
      </c>
      <c r="P6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69" s="14" t="str">
        <f>IF(ICE[[#This Row],[LastType]] = "Scrn", ICE[[#This Row],[LstDate]], IF(ICE[[#This Row],[LastType]] = "Blk", ICE[[#This Row],[LstBlkTime]], ""))</f>
        <v/>
      </c>
      <c r="R669" s="41" t="str">
        <f>IF(ICE[[#This Row],[LastType]] = "Scrn", ICE[[#This Row],[LstPrc]], IF(ICE[[#This Row],[LastType]] = "Blk", ICE[[#This Row],[LstBlkPrc]], ""))</f>
        <v/>
      </c>
      <c r="S669" s="36">
        <f>ICE[[#This Row],[Vol]]+ICE[[#This Row],[BlkVol]]</f>
        <v>0</v>
      </c>
      <c r="T669" s="36">
        <f>RTD("ice.rtd",,$C669 &amp; $D669 &amp; ":" &amp; T$1)</f>
        <v>0</v>
      </c>
      <c r="U669" s="18">
        <f>RTD("ice.rtd",,$C669 &amp; $D669 &amp; ":" &amp; U$1)</f>
        <v>-22.5</v>
      </c>
      <c r="V6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69" s="18" t="str">
        <f>IFERROR(IF(LEFT(ICE[[#This Row],[Tenor]], 1) = "B", RTD("esrtd",,$B669 &amp; " " &amp; ICE[[#This Row],[Tenor]] &amp; "-IEU", W$1), RTD("esrtd",,$B669 &amp; " " &amp; VLOOKUP(MONTH(ICE[[#This Row],[Strip]]), MthRef[], 2, 0) &amp; RIGHT(YEAR(ICE[[#This Row],[Strip]]), 2) &amp; "-IEU", W$1)), "")</f>
        <v/>
      </c>
      <c r="X669" s="36"/>
    </row>
    <row r="670" spans="1:24" x14ac:dyDescent="0.25">
      <c r="A670" s="37" t="s">
        <v>418</v>
      </c>
      <c r="B670" s="3" t="str">
        <f>RTD("ice.rtd",,$C670 &amp; $D670 &amp; ":" &amp; B$1)</f>
        <v>ULT</v>
      </c>
      <c r="C670" s="3">
        <v>35554145</v>
      </c>
      <c r="D670" t="s">
        <v>793</v>
      </c>
      <c r="E670" s="3" t="str">
        <f>RTD("ice.rtd",,$C670 &amp; $D670 &amp; ":" &amp; E$1)</f>
        <v>Sep26</v>
      </c>
      <c r="F670" s="3" t="str">
        <f>ICE[[#This Row],[Prod]]&amp;ICE[[#This Row],[Strip]]</f>
        <v>go01ccndiffSep26</v>
      </c>
      <c r="G670" s="18" t="str">
        <f>RTD("ice.rtd",,$C670 &amp; $D670 &amp; ":" &amp; G$1)</f>
        <v/>
      </c>
      <c r="H670" s="18" t="str">
        <f>RTD("ice.rtd",,$C670 &amp; $D670 &amp; ":" &amp; H$1)</f>
        <v/>
      </c>
      <c r="I670" s="18" t="str">
        <f>RTD("ice.rtd",,$C670 &amp; $D670 &amp; ":" &amp; I$1)</f>
        <v/>
      </c>
      <c r="J670" s="14" t="str">
        <f>IFERROR(MOD(RTD("ice.rtd",,$C670 &amp; $D670 &amp; ":" &amp; J$1), 1), "")</f>
        <v/>
      </c>
      <c r="K670" s="18" t="str">
        <f>RTD("ice.rtd",,$C670 &amp; $D670 &amp; ":" &amp; K$1)</f>
        <v/>
      </c>
      <c r="L670" s="36" t="str">
        <f>RTD("ice.rtd",,$C670 &amp; $D670 &amp; ":" &amp; L$1)</f>
        <v/>
      </c>
      <c r="M670" s="14" t="str">
        <f>IFERROR(MOD(TIMEVALUE(RTD("ice.rtd",,$C670 &amp; $D670 &amp; ":" &amp; M$1)), 1), "")</f>
        <v/>
      </c>
      <c r="N670" s="36">
        <f>RTD("ice.rtd",,$C670 &amp; $D670 &amp; ":" &amp; N$1)</f>
        <v>0</v>
      </c>
      <c r="O670" s="36">
        <f>RTD("ice.rtd",,$C670 &amp; $D670 &amp; ":" &amp; O$1)</f>
        <v>0</v>
      </c>
      <c r="P6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0" s="14" t="str">
        <f>IF(ICE[[#This Row],[LastType]] = "Scrn", ICE[[#This Row],[LstDate]], IF(ICE[[#This Row],[LastType]] = "Blk", ICE[[#This Row],[LstBlkTime]], ""))</f>
        <v/>
      </c>
      <c r="R670" s="41" t="str">
        <f>IF(ICE[[#This Row],[LastType]] = "Scrn", ICE[[#This Row],[LstPrc]], IF(ICE[[#This Row],[LastType]] = "Blk", ICE[[#This Row],[LstBlkPrc]], ""))</f>
        <v/>
      </c>
      <c r="S670" s="36">
        <f>ICE[[#This Row],[Vol]]+ICE[[#This Row],[BlkVol]]</f>
        <v>0</v>
      </c>
      <c r="T670" s="36">
        <f>RTD("ice.rtd",,$C670 &amp; $D670 &amp; ":" &amp; T$1)</f>
        <v>12</v>
      </c>
      <c r="U670" s="18">
        <f>RTD("ice.rtd",,$C670 &amp; $D670 &amp; ":" &amp; U$1)</f>
        <v>-22.5</v>
      </c>
      <c r="V6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0" s="18" t="str">
        <f>IFERROR(IF(LEFT(ICE[[#This Row],[Tenor]], 1) = "B", RTD("esrtd",,$B670 &amp; " " &amp; ICE[[#This Row],[Tenor]] &amp; "-IEU", W$1), RTD("esrtd",,$B670 &amp; " " &amp; VLOOKUP(MONTH(ICE[[#This Row],[Strip]]), MthRef[], 2, 0) &amp; RIGHT(YEAR(ICE[[#This Row],[Strip]]), 2) &amp; "-IEU", W$1)), "")</f>
        <v/>
      </c>
      <c r="X670" s="36"/>
    </row>
    <row r="671" spans="1:24" x14ac:dyDescent="0.25">
      <c r="A671" s="37" t="s">
        <v>418</v>
      </c>
      <c r="B671" s="3" t="str">
        <f>RTD("ice.rtd",,$C671 &amp; $D671 &amp; ":" &amp; B$1)</f>
        <v>ULT</v>
      </c>
      <c r="C671" s="3">
        <v>35554145</v>
      </c>
      <c r="D671" t="s">
        <v>324</v>
      </c>
      <c r="E671" s="3" t="str">
        <f>RTD("ice.rtd",,$C671 &amp; $D671 &amp; ":" &amp; E$1)</f>
        <v>Oct26</v>
      </c>
      <c r="F671" s="3" t="str">
        <f>ICE[[#This Row],[Prod]]&amp;ICE[[#This Row],[Strip]]</f>
        <v>go01ccndiffOct26</v>
      </c>
      <c r="G671" s="18" t="str">
        <f>RTD("ice.rtd",,$C671 &amp; $D671 &amp; ":" &amp; G$1)</f>
        <v/>
      </c>
      <c r="H671" s="18" t="str">
        <f>RTD("ice.rtd",,$C671 &amp; $D671 &amp; ":" &amp; H$1)</f>
        <v/>
      </c>
      <c r="I671" s="18" t="str">
        <f>RTD("ice.rtd",,$C671 &amp; $D671 &amp; ":" &amp; I$1)</f>
        <v/>
      </c>
      <c r="J671" s="14" t="str">
        <f>IFERROR(MOD(RTD("ice.rtd",,$C671 &amp; $D671 &amp; ":" &amp; J$1), 1), "")</f>
        <v/>
      </c>
      <c r="K671" s="18" t="str">
        <f>RTD("ice.rtd",,$C671 &amp; $D671 &amp; ":" &amp; K$1)</f>
        <v/>
      </c>
      <c r="L671" s="36" t="str">
        <f>RTD("ice.rtd",,$C671 &amp; $D671 &amp; ":" &amp; L$1)</f>
        <v/>
      </c>
      <c r="M671" s="14" t="str">
        <f>IFERROR(MOD(TIMEVALUE(RTD("ice.rtd",,$C671 &amp; $D671 &amp; ":" &amp; M$1)), 1), "")</f>
        <v/>
      </c>
      <c r="N671" s="36">
        <f>RTD("ice.rtd",,$C671 &amp; $D671 &amp; ":" &amp; N$1)</f>
        <v>0</v>
      </c>
      <c r="O671" s="36">
        <f>RTD("ice.rtd",,$C671 &amp; $D671 &amp; ":" &amp; O$1)</f>
        <v>0</v>
      </c>
      <c r="P6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1" s="14" t="str">
        <f>IF(ICE[[#This Row],[LastType]] = "Scrn", ICE[[#This Row],[LstDate]], IF(ICE[[#This Row],[LastType]] = "Blk", ICE[[#This Row],[LstBlkTime]], ""))</f>
        <v/>
      </c>
      <c r="R671" s="41" t="str">
        <f>IF(ICE[[#This Row],[LastType]] = "Scrn", ICE[[#This Row],[LstPrc]], IF(ICE[[#This Row],[LastType]] = "Blk", ICE[[#This Row],[LstBlkPrc]], ""))</f>
        <v/>
      </c>
      <c r="S671" s="36">
        <f>ICE[[#This Row],[Vol]]+ICE[[#This Row],[BlkVol]]</f>
        <v>0</v>
      </c>
      <c r="T671" s="36">
        <f>RTD("ice.rtd",,$C671 &amp; $D671 &amp; ":" &amp; T$1)</f>
        <v>16</v>
      </c>
      <c r="U671" s="18">
        <f>RTD("ice.rtd",,$C671 &amp; $D671 &amp; ":" &amp; U$1)</f>
        <v>-14</v>
      </c>
      <c r="V6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1" s="18" t="str">
        <f>IFERROR(IF(LEFT(ICE[[#This Row],[Tenor]], 1) = "B", RTD("esrtd",,$B671 &amp; " " &amp; ICE[[#This Row],[Tenor]] &amp; "-IEU", W$1), RTD("esrtd",,$B671 &amp; " " &amp; VLOOKUP(MONTH(ICE[[#This Row],[Strip]]), MthRef[], 2, 0) &amp; RIGHT(YEAR(ICE[[#This Row],[Strip]]), 2) &amp; "-IEU", W$1)), "")</f>
        <v/>
      </c>
      <c r="X671" s="36"/>
    </row>
    <row r="672" spans="1:24" x14ac:dyDescent="0.25">
      <c r="A672" s="37" t="s">
        <v>418</v>
      </c>
      <c r="B672" s="3" t="str">
        <f>RTD("ice.rtd",,$C672 &amp; $D672 &amp; ":" &amp; B$1)</f>
        <v>ULT</v>
      </c>
      <c r="C672" s="3">
        <v>35554145</v>
      </c>
      <c r="D672" t="s">
        <v>325</v>
      </c>
      <c r="E672" s="3" t="str">
        <f>RTD("ice.rtd",,$C672 &amp; $D672 &amp; ":" &amp; E$1)</f>
        <v>Nov26</v>
      </c>
      <c r="F672" s="3" t="str">
        <f>ICE[[#This Row],[Prod]]&amp;ICE[[#This Row],[Strip]]</f>
        <v>go01ccndiffNov26</v>
      </c>
      <c r="G672" s="18" t="str">
        <f>RTD("ice.rtd",,$C672 &amp; $D672 &amp; ":" &amp; G$1)</f>
        <v/>
      </c>
      <c r="H672" s="18" t="str">
        <f>RTD("ice.rtd",,$C672 &amp; $D672 &amp; ":" &amp; H$1)</f>
        <v/>
      </c>
      <c r="I672" s="18" t="str">
        <f>RTD("ice.rtd",,$C672 &amp; $D672 &amp; ":" &amp; I$1)</f>
        <v/>
      </c>
      <c r="J672" s="14" t="str">
        <f>IFERROR(MOD(RTD("ice.rtd",,$C672 &amp; $D672 &amp; ":" &amp; J$1), 1), "")</f>
        <v/>
      </c>
      <c r="K672" s="18" t="str">
        <f>RTD("ice.rtd",,$C672 &amp; $D672 &amp; ":" &amp; K$1)</f>
        <v/>
      </c>
      <c r="L672" s="36" t="str">
        <f>RTD("ice.rtd",,$C672 &amp; $D672 &amp; ":" &amp; L$1)</f>
        <v/>
      </c>
      <c r="M672" s="14" t="str">
        <f>IFERROR(MOD(TIMEVALUE(RTD("ice.rtd",,$C672 &amp; $D672 &amp; ":" &amp; M$1)), 1), "")</f>
        <v/>
      </c>
      <c r="N672" s="36">
        <f>RTD("ice.rtd",,$C672 &amp; $D672 &amp; ":" &amp; N$1)</f>
        <v>0</v>
      </c>
      <c r="O672" s="36">
        <f>RTD("ice.rtd",,$C672 &amp; $D672 &amp; ":" &amp; O$1)</f>
        <v>0</v>
      </c>
      <c r="P6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2" s="14" t="str">
        <f>IF(ICE[[#This Row],[LastType]] = "Scrn", ICE[[#This Row],[LstDate]], IF(ICE[[#This Row],[LastType]] = "Blk", ICE[[#This Row],[LstBlkTime]], ""))</f>
        <v/>
      </c>
      <c r="R672" s="41" t="str">
        <f>IF(ICE[[#This Row],[LastType]] = "Scrn", ICE[[#This Row],[LstPrc]], IF(ICE[[#This Row],[LastType]] = "Blk", ICE[[#This Row],[LstBlkPrc]], ""))</f>
        <v/>
      </c>
      <c r="S672" s="36">
        <f>ICE[[#This Row],[Vol]]+ICE[[#This Row],[BlkVol]]</f>
        <v>0</v>
      </c>
      <c r="T672" s="36">
        <f>RTD("ice.rtd",,$C672 &amp; $D672 &amp; ":" &amp; T$1)</f>
        <v>16</v>
      </c>
      <c r="U672" s="18">
        <f>RTD("ice.rtd",,$C672 &amp; $D672 &amp; ":" &amp; U$1)</f>
        <v>-14</v>
      </c>
      <c r="V6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2" s="18" t="str">
        <f>IFERROR(IF(LEFT(ICE[[#This Row],[Tenor]], 1) = "B", RTD("esrtd",,$B672 &amp; " " &amp; ICE[[#This Row],[Tenor]] &amp; "-IEU", W$1), RTD("esrtd",,$B672 &amp; " " &amp; VLOOKUP(MONTH(ICE[[#This Row],[Strip]]), MthRef[], 2, 0) &amp; RIGHT(YEAR(ICE[[#This Row],[Strip]]), 2) &amp; "-IEU", W$1)), "")</f>
        <v/>
      </c>
      <c r="X672" s="36"/>
    </row>
    <row r="673" spans="1:25" x14ac:dyDescent="0.25">
      <c r="A673" s="37" t="s">
        <v>418</v>
      </c>
      <c r="B673" s="3" t="str">
        <f>RTD("ice.rtd",,$C673 &amp; $D673 &amp; ":" &amp; B$1)</f>
        <v>ULT</v>
      </c>
      <c r="C673" s="3">
        <v>35554145</v>
      </c>
      <c r="D673" t="s">
        <v>326</v>
      </c>
      <c r="E673" s="3" t="str">
        <f>RTD("ice.rtd",,$C673 &amp; $D673 &amp; ":" &amp; E$1)</f>
        <v>Dec26</v>
      </c>
      <c r="F673" s="3" t="str">
        <f>ICE[[#This Row],[Prod]]&amp;ICE[[#This Row],[Strip]]</f>
        <v>go01ccndiffDec26</v>
      </c>
      <c r="G673" s="18" t="str">
        <f>RTD("ice.rtd",,$C673 &amp; $D673 &amp; ":" &amp; G$1)</f>
        <v/>
      </c>
      <c r="H673" s="18" t="str">
        <f>RTD("ice.rtd",,$C673 &amp; $D673 &amp; ":" &amp; H$1)</f>
        <v/>
      </c>
      <c r="I673" s="18" t="str">
        <f>RTD("ice.rtd",,$C673 &amp; $D673 &amp; ":" &amp; I$1)</f>
        <v/>
      </c>
      <c r="J673" s="14" t="str">
        <f>IFERROR(MOD(RTD("ice.rtd",,$C673 &amp; $D673 &amp; ":" &amp; J$1), 1), "")</f>
        <v/>
      </c>
      <c r="K673" s="18" t="str">
        <f>RTD("ice.rtd",,$C673 &amp; $D673 &amp; ":" &amp; K$1)</f>
        <v/>
      </c>
      <c r="L673" s="36" t="str">
        <f>RTD("ice.rtd",,$C673 &amp; $D673 &amp; ":" &amp; L$1)</f>
        <v/>
      </c>
      <c r="M673" s="14" t="str">
        <f>IFERROR(MOD(TIMEVALUE(RTD("ice.rtd",,$C673 &amp; $D673 &amp; ":" &amp; M$1)), 1), "")</f>
        <v/>
      </c>
      <c r="N673" s="36">
        <f>RTD("ice.rtd",,$C673 &amp; $D673 &amp; ":" &amp; N$1)</f>
        <v>0</v>
      </c>
      <c r="O673" s="36">
        <f>RTD("ice.rtd",,$C673 &amp; $D673 &amp; ":" &amp; O$1)</f>
        <v>0</v>
      </c>
      <c r="P6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3" s="14" t="str">
        <f>IF(ICE[[#This Row],[LastType]] = "Scrn", ICE[[#This Row],[LstDate]], IF(ICE[[#This Row],[LastType]] = "Blk", ICE[[#This Row],[LstBlkTime]], ""))</f>
        <v/>
      </c>
      <c r="R673" s="41" t="str">
        <f>IF(ICE[[#This Row],[LastType]] = "Scrn", ICE[[#This Row],[LstPrc]], IF(ICE[[#This Row],[LastType]] = "Blk", ICE[[#This Row],[LstBlkPrc]], ""))</f>
        <v/>
      </c>
      <c r="S673" s="36">
        <f>ICE[[#This Row],[Vol]]+ICE[[#This Row],[BlkVol]]</f>
        <v>0</v>
      </c>
      <c r="T673" s="36">
        <f>RTD("ice.rtd",,$C673 &amp; $D673 &amp; ":" &amp; T$1)</f>
        <v>16</v>
      </c>
      <c r="U673" s="18">
        <f>RTD("ice.rtd",,$C673 &amp; $D673 &amp; ":" &amp; U$1)</f>
        <v>-12</v>
      </c>
      <c r="V6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3" s="18" t="str">
        <f>IFERROR(IF(LEFT(ICE[[#This Row],[Tenor]], 1) = "B", RTD("esrtd",,$B673 &amp; " " &amp; ICE[[#This Row],[Tenor]] &amp; "-IEU", W$1), RTD("esrtd",,$B673 &amp; " " &amp; VLOOKUP(MONTH(ICE[[#This Row],[Strip]]), MthRef[], 2, 0) &amp; RIGHT(YEAR(ICE[[#This Row],[Strip]]), 2) &amp; "-IEU", W$1)), "")</f>
        <v/>
      </c>
      <c r="X673" s="36"/>
    </row>
    <row r="674" spans="1:25" x14ac:dyDescent="0.25">
      <c r="A674" s="37" t="s">
        <v>418</v>
      </c>
      <c r="B674" s="3" t="str">
        <f>RTD("ice.rtd",,$C674 &amp; $D674 &amp; ":" &amp; B$1)</f>
        <v>ULT</v>
      </c>
      <c r="C674" s="3">
        <v>35554145</v>
      </c>
      <c r="D674" t="s">
        <v>794</v>
      </c>
      <c r="E674" s="3" t="str">
        <f>RTD("ice.rtd",,$C674 &amp; $D674 &amp; ":" &amp; E$1)</f>
        <v>Jan27</v>
      </c>
      <c r="F674" s="3" t="str">
        <f>ICE[[#This Row],[Prod]]&amp;ICE[[#This Row],[Strip]]</f>
        <v>go01ccndiffJan27</v>
      </c>
      <c r="G674" s="18" t="str">
        <f>RTD("ice.rtd",,$C674 &amp; $D674 &amp; ":" &amp; G$1)</f>
        <v/>
      </c>
      <c r="H674" s="18" t="str">
        <f>RTD("ice.rtd",,$C674 &amp; $D674 &amp; ":" &amp; H$1)</f>
        <v/>
      </c>
      <c r="I674" s="18" t="str">
        <f>RTD("ice.rtd",,$C674 &amp; $D674 &amp; ":" &amp; I$1)</f>
        <v/>
      </c>
      <c r="J674" s="14" t="str">
        <f>IFERROR(MOD(RTD("ice.rtd",,$C674 &amp; $D674 &amp; ":" &amp; J$1), 1), "")</f>
        <v/>
      </c>
      <c r="K674" s="18" t="str">
        <f>RTD("ice.rtd",,$C674 &amp; $D674 &amp; ":" &amp; K$1)</f>
        <v/>
      </c>
      <c r="L674" s="36" t="str">
        <f>RTD("ice.rtd",,$C674 &amp; $D674 &amp; ":" &amp; L$1)</f>
        <v/>
      </c>
      <c r="M674" s="14" t="str">
        <f>IFERROR(MOD(TIMEVALUE(RTD("ice.rtd",,$C674 &amp; $D674 &amp; ":" &amp; M$1)), 1), "")</f>
        <v/>
      </c>
      <c r="N674" s="36">
        <f>RTD("ice.rtd",,$C674 &amp; $D674 &amp; ":" &amp; N$1)</f>
        <v>0</v>
      </c>
      <c r="O674" s="36">
        <f>RTD("ice.rtd",,$C674 &amp; $D674 &amp; ":" &amp; O$1)</f>
        <v>0</v>
      </c>
      <c r="P6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4" s="14" t="str">
        <f>IF(ICE[[#This Row],[LastType]] = "Scrn", ICE[[#This Row],[LstDate]], IF(ICE[[#This Row],[LastType]] = "Blk", ICE[[#This Row],[LstBlkTime]], ""))</f>
        <v/>
      </c>
      <c r="R674" s="41" t="str">
        <f>IF(ICE[[#This Row],[LastType]] = "Scrn", ICE[[#This Row],[LstPrc]], IF(ICE[[#This Row],[LastType]] = "Blk", ICE[[#This Row],[LstBlkPrc]], ""))</f>
        <v/>
      </c>
      <c r="S674" s="36">
        <f>ICE[[#This Row],[Vol]]+ICE[[#This Row],[BlkVol]]</f>
        <v>0</v>
      </c>
      <c r="T674" s="36">
        <f>RTD("ice.rtd",,$C674 &amp; $D674 &amp; ":" &amp; T$1)</f>
        <v>2</v>
      </c>
      <c r="U674" s="18">
        <f>RTD("ice.rtd",,$C674 &amp; $D674 &amp; ":" &amp; U$1)</f>
        <v>-9</v>
      </c>
      <c r="V6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4" s="18" t="str">
        <f>IFERROR(IF(LEFT(ICE[[#This Row],[Tenor]], 1) = "B", RTD("esrtd",,$B674 &amp; " " &amp; ICE[[#This Row],[Tenor]] &amp; "-IEU", W$1), RTD("esrtd",,$B674 &amp; " " &amp; VLOOKUP(MONTH(ICE[[#This Row],[Strip]]), MthRef[], 2, 0) &amp; RIGHT(YEAR(ICE[[#This Row],[Strip]]), 2) &amp; "-IEU", W$1)), "")</f>
        <v/>
      </c>
      <c r="X674" s="36"/>
    </row>
    <row r="675" spans="1:25" x14ac:dyDescent="0.25">
      <c r="A675" s="37" t="s">
        <v>418</v>
      </c>
      <c r="B675" s="3" t="str">
        <f>RTD("ice.rtd",,$C675 &amp; $D675 &amp; ":" &amp; B$1)</f>
        <v>ULT</v>
      </c>
      <c r="C675" s="3">
        <v>35554145</v>
      </c>
      <c r="D675" t="s">
        <v>795</v>
      </c>
      <c r="E675" s="3" t="str">
        <f>RTD("ice.rtd",,$C675 &amp; $D675 &amp; ":" &amp; E$1)</f>
        <v>Feb27</v>
      </c>
      <c r="F675" s="3" t="str">
        <f>ICE[[#This Row],[Prod]]&amp;ICE[[#This Row],[Strip]]</f>
        <v>go01ccndiffFeb27</v>
      </c>
      <c r="G675" s="18" t="str">
        <f>RTD("ice.rtd",,$C675 &amp; $D675 &amp; ":" &amp; G$1)</f>
        <v/>
      </c>
      <c r="H675" s="18" t="str">
        <f>RTD("ice.rtd",,$C675 &amp; $D675 &amp; ":" &amp; H$1)</f>
        <v/>
      </c>
      <c r="I675" s="18" t="str">
        <f>RTD("ice.rtd",,$C675 &amp; $D675 &amp; ":" &amp; I$1)</f>
        <v/>
      </c>
      <c r="J675" s="14" t="str">
        <f>IFERROR(MOD(RTD("ice.rtd",,$C675 &amp; $D675 &amp; ":" &amp; J$1), 1), "")</f>
        <v/>
      </c>
      <c r="K675" s="18" t="str">
        <f>RTD("ice.rtd",,$C675 &amp; $D675 &amp; ":" &amp; K$1)</f>
        <v/>
      </c>
      <c r="L675" s="36" t="str">
        <f>RTD("ice.rtd",,$C675 &amp; $D675 &amp; ":" &amp; L$1)</f>
        <v/>
      </c>
      <c r="M675" s="14" t="str">
        <f>IFERROR(MOD(TIMEVALUE(RTD("ice.rtd",,$C675 &amp; $D675 &amp; ":" &amp; M$1)), 1), "")</f>
        <v/>
      </c>
      <c r="N675" s="36">
        <f>RTD("ice.rtd",,$C675 &amp; $D675 &amp; ":" &amp; N$1)</f>
        <v>0</v>
      </c>
      <c r="O675" s="36">
        <f>RTD("ice.rtd",,$C675 &amp; $D675 &amp; ":" &amp; O$1)</f>
        <v>0</v>
      </c>
      <c r="P6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5" s="14" t="str">
        <f>IF(ICE[[#This Row],[LastType]] = "Scrn", ICE[[#This Row],[LstDate]], IF(ICE[[#This Row],[LastType]] = "Blk", ICE[[#This Row],[LstBlkTime]], ""))</f>
        <v/>
      </c>
      <c r="R675" s="41" t="str">
        <f>IF(ICE[[#This Row],[LastType]] = "Scrn", ICE[[#This Row],[LstPrc]], IF(ICE[[#This Row],[LastType]] = "Blk", ICE[[#This Row],[LstBlkPrc]], ""))</f>
        <v/>
      </c>
      <c r="S675" s="36">
        <f>ICE[[#This Row],[Vol]]+ICE[[#This Row],[BlkVol]]</f>
        <v>0</v>
      </c>
      <c r="T675" s="36">
        <f>RTD("ice.rtd",,$C675 &amp; $D675 &amp; ":" &amp; T$1)</f>
        <v>2</v>
      </c>
      <c r="U675" s="18">
        <f>RTD("ice.rtd",,$C675 &amp; $D675 &amp; ":" &amp; U$1)</f>
        <v>-9</v>
      </c>
      <c r="V6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5" s="18" t="str">
        <f>IFERROR(IF(LEFT(ICE[[#This Row],[Tenor]], 1) = "B", RTD("esrtd",,$B675 &amp; " " &amp; ICE[[#This Row],[Tenor]] &amp; "-IEU", W$1), RTD("esrtd",,$B675 &amp; " " &amp; VLOOKUP(MONTH(ICE[[#This Row],[Strip]]), MthRef[], 2, 0) &amp; RIGHT(YEAR(ICE[[#This Row],[Strip]]), 2) &amp; "-IEU", W$1)), "")</f>
        <v/>
      </c>
      <c r="X675" s="36"/>
    </row>
    <row r="676" spans="1:25" x14ac:dyDescent="0.25">
      <c r="A676" s="37" t="s">
        <v>418</v>
      </c>
      <c r="B676" s="3" t="str">
        <f>RTD("ice.rtd",,$C676 &amp; $D676 &amp; ":" &amp; B$1)</f>
        <v>ULT</v>
      </c>
      <c r="C676" s="3">
        <v>35554145</v>
      </c>
      <c r="D676" t="s">
        <v>113</v>
      </c>
      <c r="E676" s="3" t="str">
        <f>RTD("ice.rtd",,$C676 &amp; $D676 &amp; ":" &amp; E$1)</f>
        <v>Mar27</v>
      </c>
      <c r="F676" s="3" t="str">
        <f>ICE[[#This Row],[Prod]]&amp;ICE[[#This Row],[Strip]]</f>
        <v>go01ccndiffMar27</v>
      </c>
      <c r="G676" s="18" t="str">
        <f>RTD("ice.rtd",,$C676 &amp; $D676 &amp; ":" &amp; G$1)</f>
        <v/>
      </c>
      <c r="H676" s="18" t="str">
        <f>RTD("ice.rtd",,$C676 &amp; $D676 &amp; ":" &amp; H$1)</f>
        <v/>
      </c>
      <c r="I676" s="18" t="str">
        <f>RTD("ice.rtd",,$C676 &amp; $D676 &amp; ":" &amp; I$1)</f>
        <v/>
      </c>
      <c r="J676" s="14" t="str">
        <f>IFERROR(MOD(RTD("ice.rtd",,$C676 &amp; $D676 &amp; ":" &amp; J$1), 1), "")</f>
        <v/>
      </c>
      <c r="K676" s="18" t="str">
        <f>RTD("ice.rtd",,$C676 &amp; $D676 &amp; ":" &amp; K$1)</f>
        <v/>
      </c>
      <c r="L676" s="36" t="str">
        <f>RTD("ice.rtd",,$C676 &amp; $D676 &amp; ":" &amp; L$1)</f>
        <v/>
      </c>
      <c r="M676" s="14" t="str">
        <f>IFERROR(MOD(TIMEVALUE(RTD("ice.rtd",,$C676 &amp; $D676 &amp; ":" &amp; M$1)), 1), "")</f>
        <v/>
      </c>
      <c r="N676" s="36">
        <f>RTD("ice.rtd",,$C676 &amp; $D676 &amp; ":" &amp; N$1)</f>
        <v>0</v>
      </c>
      <c r="O676" s="36">
        <f>RTD("ice.rtd",,$C676 &amp; $D676 &amp; ":" &amp; O$1)</f>
        <v>0</v>
      </c>
      <c r="P6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6" s="14" t="str">
        <f>IF(ICE[[#This Row],[LastType]] = "Scrn", ICE[[#This Row],[LstDate]], IF(ICE[[#This Row],[LastType]] = "Blk", ICE[[#This Row],[LstBlkTime]], ""))</f>
        <v/>
      </c>
      <c r="R676" s="41" t="str">
        <f>IF(ICE[[#This Row],[LastType]] = "Scrn", ICE[[#This Row],[LstPrc]], IF(ICE[[#This Row],[LastType]] = "Blk", ICE[[#This Row],[LstBlkPrc]], ""))</f>
        <v/>
      </c>
      <c r="S676" s="36">
        <f>ICE[[#This Row],[Vol]]+ICE[[#This Row],[BlkVol]]</f>
        <v>0</v>
      </c>
      <c r="T676" s="36">
        <f>RTD("ice.rtd",,$C676 &amp; $D676 &amp; ":" &amp; T$1)</f>
        <v>2</v>
      </c>
      <c r="U676" s="18">
        <f>RTD("ice.rtd",,$C676 &amp; $D676 &amp; ":" &amp; U$1)</f>
        <v>-9</v>
      </c>
      <c r="V6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6" s="18" t="str">
        <f>IFERROR(IF(LEFT(ICE[[#This Row],[Tenor]], 1) = "B", RTD("esrtd",,$B676 &amp; " " &amp; ICE[[#This Row],[Tenor]] &amp; "-IEU", W$1), RTD("esrtd",,$B676 &amp; " " &amp; VLOOKUP(MONTH(ICE[[#This Row],[Strip]]), MthRef[], 2, 0) &amp; RIGHT(YEAR(ICE[[#This Row],[Strip]]), 2) &amp; "-IEU", W$1)), "")</f>
        <v/>
      </c>
      <c r="X676" s="36"/>
    </row>
    <row r="677" spans="1:25" x14ac:dyDescent="0.25">
      <c r="A677" s="37" t="s">
        <v>418</v>
      </c>
      <c r="B677" s="3" t="str">
        <f>RTD("ice.rtd",,$C677 &amp; $D677 &amp; ":" &amp; B$1)</f>
        <v>ULT</v>
      </c>
      <c r="C677" s="3">
        <v>35554145</v>
      </c>
      <c r="D677" t="s">
        <v>796</v>
      </c>
      <c r="E677" s="3" t="str">
        <f>RTD("ice.rtd",,$C677 &amp; $D677 &amp; ":" &amp; E$1)</f>
        <v>Apr27</v>
      </c>
      <c r="F677" s="3" t="str">
        <f>ICE[[#This Row],[Prod]]&amp;ICE[[#This Row],[Strip]]</f>
        <v>go01ccndiffApr27</v>
      </c>
      <c r="G677" s="18" t="str">
        <f>RTD("ice.rtd",,$C677 &amp; $D677 &amp; ":" &amp; G$1)</f>
        <v/>
      </c>
      <c r="H677" s="18" t="str">
        <f>RTD("ice.rtd",,$C677 &amp; $D677 &amp; ":" &amp; H$1)</f>
        <v/>
      </c>
      <c r="I677" s="18" t="str">
        <f>RTD("ice.rtd",,$C677 &amp; $D677 &amp; ":" &amp; I$1)</f>
        <v/>
      </c>
      <c r="J677" s="14" t="str">
        <f>IFERROR(MOD(RTD("ice.rtd",,$C677 &amp; $D677 &amp; ":" &amp; J$1), 1), "")</f>
        <v/>
      </c>
      <c r="K677" s="18" t="str">
        <f>RTD("ice.rtd",,$C677 &amp; $D677 &amp; ":" &amp; K$1)</f>
        <v/>
      </c>
      <c r="L677" s="36" t="str">
        <f>RTD("ice.rtd",,$C677 &amp; $D677 &amp; ":" &amp; L$1)</f>
        <v/>
      </c>
      <c r="M677" s="14" t="str">
        <f>IFERROR(MOD(TIMEVALUE(RTD("ice.rtd",,$C677 &amp; $D677 &amp; ":" &amp; M$1)), 1), "")</f>
        <v/>
      </c>
      <c r="N677" s="36">
        <f>RTD("ice.rtd",,$C677 &amp; $D677 &amp; ":" &amp; N$1)</f>
        <v>0</v>
      </c>
      <c r="O677" s="36">
        <f>RTD("ice.rtd",,$C677 &amp; $D677 &amp; ":" &amp; O$1)</f>
        <v>0</v>
      </c>
      <c r="P6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7" s="14" t="str">
        <f>IF(ICE[[#This Row],[LastType]] = "Scrn", ICE[[#This Row],[LstDate]], IF(ICE[[#This Row],[LastType]] = "Blk", ICE[[#This Row],[LstBlkTime]], ""))</f>
        <v/>
      </c>
      <c r="R677" s="41" t="str">
        <f>IF(ICE[[#This Row],[LastType]] = "Scrn", ICE[[#This Row],[LstPrc]], IF(ICE[[#This Row],[LastType]] = "Blk", ICE[[#This Row],[LstBlkPrc]], ""))</f>
        <v/>
      </c>
      <c r="S677" s="36">
        <f>ICE[[#This Row],[Vol]]+ICE[[#This Row],[BlkVol]]</f>
        <v>0</v>
      </c>
      <c r="T677" s="36">
        <f>RTD("ice.rtd",,$C677 &amp; $D677 &amp; ":" &amp; T$1)</f>
        <v>1</v>
      </c>
      <c r="U677" s="18">
        <f>RTD("ice.rtd",,$C677 &amp; $D677 &amp; ":" &amp; U$1)</f>
        <v>-5</v>
      </c>
      <c r="V6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7" s="18" t="str">
        <f>IFERROR(IF(LEFT(ICE[[#This Row],[Tenor]], 1) = "B", RTD("esrtd",,$B677 &amp; " " &amp; ICE[[#This Row],[Tenor]] &amp; "-IEU", W$1), RTD("esrtd",,$B677 &amp; " " &amp; VLOOKUP(MONTH(ICE[[#This Row],[Strip]]), MthRef[], 2, 0) &amp; RIGHT(YEAR(ICE[[#This Row],[Strip]]), 2) &amp; "-IEU", W$1)), "")</f>
        <v/>
      </c>
      <c r="X677" s="36"/>
      <c r="Y677" t="str">
        <f>RTD("ice.rtd",,"35554145M1:BstLiftPrc")</f>
        <v/>
      </c>
    </row>
    <row r="678" spans="1:25" x14ac:dyDescent="0.25">
      <c r="A678" s="37" t="s">
        <v>418</v>
      </c>
      <c r="B678" s="3" t="str">
        <f>RTD("ice.rtd",,$C678 &amp; $D678 &amp; ":" &amp; B$1)</f>
        <v>ULT</v>
      </c>
      <c r="C678" s="3">
        <v>35554145</v>
      </c>
      <c r="D678" t="s">
        <v>797</v>
      </c>
      <c r="E678" s="3" t="str">
        <f>RTD("ice.rtd",,$C678 &amp; $D678 &amp; ":" &amp; E$1)</f>
        <v>May27</v>
      </c>
      <c r="F678" s="3" t="str">
        <f>ICE[[#This Row],[Prod]]&amp;ICE[[#This Row],[Strip]]</f>
        <v>go01ccndiffMay27</v>
      </c>
      <c r="G678" s="18" t="str">
        <f>RTD("ice.rtd",,$C678 &amp; $D678 &amp; ":" &amp; G$1)</f>
        <v/>
      </c>
      <c r="H678" s="18" t="str">
        <f>RTD("ice.rtd",,$C678 &amp; $D678 &amp; ":" &amp; H$1)</f>
        <v/>
      </c>
      <c r="I678" s="18" t="str">
        <f>RTD("ice.rtd",,$C678 &amp; $D678 &amp; ":" &amp; I$1)</f>
        <v/>
      </c>
      <c r="J678" s="14" t="str">
        <f>IFERROR(MOD(RTD("ice.rtd",,$C678 &amp; $D678 &amp; ":" &amp; J$1), 1), "")</f>
        <v/>
      </c>
      <c r="K678" s="18" t="str">
        <f>RTD("ice.rtd",,$C678 &amp; $D678 &amp; ":" &amp; K$1)</f>
        <v/>
      </c>
      <c r="L678" s="36" t="str">
        <f>RTD("ice.rtd",,$C678 &amp; $D678 &amp; ":" &amp; L$1)</f>
        <v/>
      </c>
      <c r="M678" s="14" t="str">
        <f>IFERROR(MOD(TIMEVALUE(RTD("ice.rtd",,$C678 &amp; $D678 &amp; ":" &amp; M$1)), 1), "")</f>
        <v/>
      </c>
      <c r="N678" s="36">
        <f>RTD("ice.rtd",,$C678 &amp; $D678 &amp; ":" &amp; N$1)</f>
        <v>0</v>
      </c>
      <c r="O678" s="36">
        <f>RTD("ice.rtd",,$C678 &amp; $D678 &amp; ":" &amp; O$1)</f>
        <v>0</v>
      </c>
      <c r="P6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8" s="14" t="str">
        <f>IF(ICE[[#This Row],[LastType]] = "Scrn", ICE[[#This Row],[LstDate]], IF(ICE[[#This Row],[LastType]] = "Blk", ICE[[#This Row],[LstBlkTime]], ""))</f>
        <v/>
      </c>
      <c r="R678" s="41" t="str">
        <f>IF(ICE[[#This Row],[LastType]] = "Scrn", ICE[[#This Row],[LstPrc]], IF(ICE[[#This Row],[LastType]] = "Blk", ICE[[#This Row],[LstBlkPrc]], ""))</f>
        <v/>
      </c>
      <c r="S678" s="36">
        <f>ICE[[#This Row],[Vol]]+ICE[[#This Row],[BlkVol]]</f>
        <v>0</v>
      </c>
      <c r="T678" s="36">
        <f>RTD("ice.rtd",,$C678 &amp; $D678 &amp; ":" &amp; T$1)</f>
        <v>1</v>
      </c>
      <c r="U678" s="18">
        <f>RTD("ice.rtd",,$C678 &amp; $D678 &amp; ":" &amp; U$1)</f>
        <v>-5</v>
      </c>
      <c r="V6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8" s="18" t="str">
        <f>IFERROR(IF(LEFT(ICE[[#This Row],[Tenor]], 1) = "B", RTD("esrtd",,$B678 &amp; " " &amp; ICE[[#This Row],[Tenor]] &amp; "-IEU", W$1), RTD("esrtd",,$B678 &amp; " " &amp; VLOOKUP(MONTH(ICE[[#This Row],[Strip]]), MthRef[], 2, 0) &amp; RIGHT(YEAR(ICE[[#This Row],[Strip]]), 2) &amp; "-IEU", W$1)), "")</f>
        <v/>
      </c>
      <c r="X678" s="36"/>
    </row>
    <row r="679" spans="1:25" x14ac:dyDescent="0.25">
      <c r="A679" s="37" t="s">
        <v>418</v>
      </c>
      <c r="B679" s="3" t="str">
        <f>RTD("ice.rtd",,$C679 &amp; $D679 &amp; ":" &amp; B$1)</f>
        <v>ULT</v>
      </c>
      <c r="C679" s="3">
        <v>35554145</v>
      </c>
      <c r="D679" t="s">
        <v>798</v>
      </c>
      <c r="E679" s="3" t="str">
        <f>RTD("ice.rtd",,$C679 &amp; $D679 &amp; ":" &amp; E$1)</f>
        <v>Jun27</v>
      </c>
      <c r="F679" s="3" t="str">
        <f>ICE[[#This Row],[Prod]]&amp;ICE[[#This Row],[Strip]]</f>
        <v>go01ccndiffJun27</v>
      </c>
      <c r="G679" s="18" t="str">
        <f>RTD("ice.rtd",,$C679 &amp; $D679 &amp; ":" &amp; G$1)</f>
        <v/>
      </c>
      <c r="H679" s="18" t="str">
        <f>RTD("ice.rtd",,$C679 &amp; $D679 &amp; ":" &amp; H$1)</f>
        <v/>
      </c>
      <c r="I679" s="18" t="str">
        <f>RTD("ice.rtd",,$C679 &amp; $D679 &amp; ":" &amp; I$1)</f>
        <v/>
      </c>
      <c r="J679" s="14" t="str">
        <f>IFERROR(MOD(RTD("ice.rtd",,$C679 &amp; $D679 &amp; ":" &amp; J$1), 1), "")</f>
        <v/>
      </c>
      <c r="K679" s="18" t="str">
        <f>RTD("ice.rtd",,$C679 &amp; $D679 &amp; ":" &amp; K$1)</f>
        <v/>
      </c>
      <c r="L679" s="36" t="str">
        <f>RTD("ice.rtd",,$C679 &amp; $D679 &amp; ":" &amp; L$1)</f>
        <v/>
      </c>
      <c r="M679" s="14" t="str">
        <f>IFERROR(MOD(TIMEVALUE(RTD("ice.rtd",,$C679 &amp; $D679 &amp; ":" &amp; M$1)), 1), "")</f>
        <v/>
      </c>
      <c r="N679" s="36">
        <f>RTD("ice.rtd",,$C679 &amp; $D679 &amp; ":" &amp; N$1)</f>
        <v>0</v>
      </c>
      <c r="O679" s="36">
        <f>RTD("ice.rtd",,$C679 &amp; $D679 &amp; ":" &amp; O$1)</f>
        <v>0</v>
      </c>
      <c r="P6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79" s="14" t="str">
        <f>IF(ICE[[#This Row],[LastType]] = "Scrn", ICE[[#This Row],[LstDate]], IF(ICE[[#This Row],[LastType]] = "Blk", ICE[[#This Row],[LstBlkTime]], ""))</f>
        <v/>
      </c>
      <c r="R679" s="41" t="str">
        <f>IF(ICE[[#This Row],[LastType]] = "Scrn", ICE[[#This Row],[LstPrc]], IF(ICE[[#This Row],[LastType]] = "Blk", ICE[[#This Row],[LstBlkPrc]], ""))</f>
        <v/>
      </c>
      <c r="S679" s="36">
        <f>ICE[[#This Row],[Vol]]+ICE[[#This Row],[BlkVol]]</f>
        <v>0</v>
      </c>
      <c r="T679" s="36">
        <f>RTD("ice.rtd",,$C679 &amp; $D679 &amp; ":" &amp; T$1)</f>
        <v>1</v>
      </c>
      <c r="U679" s="18">
        <f>RTD("ice.rtd",,$C679 &amp; $D679 &amp; ":" &amp; U$1)</f>
        <v>-5</v>
      </c>
      <c r="V6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79" s="18" t="str">
        <f>IFERROR(IF(LEFT(ICE[[#This Row],[Tenor]], 1) = "B", RTD("esrtd",,$B679 &amp; " " &amp; ICE[[#This Row],[Tenor]] &amp; "-IEU", W$1), RTD("esrtd",,$B679 &amp; " " &amp; VLOOKUP(MONTH(ICE[[#This Row],[Strip]]), MthRef[], 2, 0) &amp; RIGHT(YEAR(ICE[[#This Row],[Strip]]), 2) &amp; "-IEU", W$1)), "")</f>
        <v/>
      </c>
      <c r="X679" s="36"/>
    </row>
    <row r="680" spans="1:25" x14ac:dyDescent="0.25">
      <c r="A680" s="37" t="s">
        <v>418</v>
      </c>
      <c r="B680" s="3" t="str">
        <f>RTD("ice.rtd",,$C680 &amp; $D680 &amp; ":" &amp; B$1)</f>
        <v>ULT</v>
      </c>
      <c r="C680" s="3">
        <v>35554145</v>
      </c>
      <c r="D680" t="s">
        <v>799</v>
      </c>
      <c r="E680" s="3" t="str">
        <f>RTD("ice.rtd",,$C680 &amp; $D680 &amp; ":" &amp; E$1)</f>
        <v>Jul27</v>
      </c>
      <c r="F680" s="3" t="str">
        <f>ICE[[#This Row],[Prod]]&amp;ICE[[#This Row],[Strip]]</f>
        <v>go01ccndiffJul27</v>
      </c>
      <c r="G680" s="18" t="str">
        <f>RTD("ice.rtd",,$C680 &amp; $D680 &amp; ":" &amp; G$1)</f>
        <v/>
      </c>
      <c r="H680" s="18" t="str">
        <f>RTD("ice.rtd",,$C680 &amp; $D680 &amp; ":" &amp; H$1)</f>
        <v/>
      </c>
      <c r="I680" s="18" t="str">
        <f>RTD("ice.rtd",,$C680 &amp; $D680 &amp; ":" &amp; I$1)</f>
        <v/>
      </c>
      <c r="J680" s="14" t="str">
        <f>IFERROR(MOD(RTD("ice.rtd",,$C680 &amp; $D680 &amp; ":" &amp; J$1), 1), "")</f>
        <v/>
      </c>
      <c r="K680" s="18" t="str">
        <f>RTD("ice.rtd",,$C680 &amp; $D680 &amp; ":" &amp; K$1)</f>
        <v/>
      </c>
      <c r="L680" s="36" t="str">
        <f>RTD("ice.rtd",,$C680 &amp; $D680 &amp; ":" &amp; L$1)</f>
        <v/>
      </c>
      <c r="M680" s="14" t="str">
        <f>IFERROR(MOD(TIMEVALUE(RTD("ice.rtd",,$C680 &amp; $D680 &amp; ":" &amp; M$1)), 1), "")</f>
        <v/>
      </c>
      <c r="N680" s="36">
        <f>RTD("ice.rtd",,$C680 &amp; $D680 &amp; ":" &amp; N$1)</f>
        <v>0</v>
      </c>
      <c r="O680" s="36">
        <f>RTD("ice.rtd",,$C680 &amp; $D680 &amp; ":" &amp; O$1)</f>
        <v>0</v>
      </c>
      <c r="P6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0" s="14" t="str">
        <f>IF(ICE[[#This Row],[LastType]] = "Scrn", ICE[[#This Row],[LstDate]], IF(ICE[[#This Row],[LastType]] = "Blk", ICE[[#This Row],[LstBlkTime]], ""))</f>
        <v/>
      </c>
      <c r="R680" s="41" t="str">
        <f>IF(ICE[[#This Row],[LastType]] = "Scrn", ICE[[#This Row],[LstPrc]], IF(ICE[[#This Row],[LastType]] = "Blk", ICE[[#This Row],[LstBlkPrc]], ""))</f>
        <v/>
      </c>
      <c r="S680" s="36">
        <f>ICE[[#This Row],[Vol]]+ICE[[#This Row],[BlkVol]]</f>
        <v>0</v>
      </c>
      <c r="T680" s="36">
        <f>RTD("ice.rtd",,$C680 &amp; $D680 &amp; ":" &amp; T$1)</f>
        <v>1</v>
      </c>
      <c r="U680" s="18">
        <f>RTD("ice.rtd",,$C680 &amp; $D680 &amp; ":" &amp; U$1)</f>
        <v>-5</v>
      </c>
      <c r="V6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0" s="18" t="str">
        <f>IFERROR(IF(LEFT(ICE[[#This Row],[Tenor]], 1) = "B", RTD("esrtd",,$B680 &amp; " " &amp; ICE[[#This Row],[Tenor]] &amp; "-IEU", W$1), RTD("esrtd",,$B680 &amp; " " &amp; VLOOKUP(MONTH(ICE[[#This Row],[Strip]]), MthRef[], 2, 0) &amp; RIGHT(YEAR(ICE[[#This Row],[Strip]]), 2) &amp; "-IEU", W$1)), "")</f>
        <v/>
      </c>
      <c r="X680" s="36"/>
    </row>
    <row r="681" spans="1:25" x14ac:dyDescent="0.25">
      <c r="A681" s="37" t="s">
        <v>418</v>
      </c>
      <c r="B681" s="3" t="str">
        <f>RTD("ice.rtd",,$C681 &amp; $D681 &amp; ":" &amp; B$1)</f>
        <v>ULT</v>
      </c>
      <c r="C681" s="3">
        <v>35554145</v>
      </c>
      <c r="D681" t="s">
        <v>800</v>
      </c>
      <c r="E681" s="3" t="str">
        <f>RTD("ice.rtd",,$C681 &amp; $D681 &amp; ":" &amp; E$1)</f>
        <v>Aug27</v>
      </c>
      <c r="F681" s="3" t="str">
        <f>ICE[[#This Row],[Prod]]&amp;ICE[[#This Row],[Strip]]</f>
        <v>go01ccndiffAug27</v>
      </c>
      <c r="G681" s="18" t="str">
        <f>RTD("ice.rtd",,$C681 &amp; $D681 &amp; ":" &amp; G$1)</f>
        <v/>
      </c>
      <c r="H681" s="18" t="str">
        <f>RTD("ice.rtd",,$C681 &amp; $D681 &amp; ":" &amp; H$1)</f>
        <v/>
      </c>
      <c r="I681" s="18" t="str">
        <f>RTD("ice.rtd",,$C681 &amp; $D681 &amp; ":" &amp; I$1)</f>
        <v/>
      </c>
      <c r="J681" s="14" t="str">
        <f>IFERROR(MOD(RTD("ice.rtd",,$C681 &amp; $D681 &amp; ":" &amp; J$1), 1), "")</f>
        <v/>
      </c>
      <c r="K681" s="18" t="str">
        <f>RTD("ice.rtd",,$C681 &amp; $D681 &amp; ":" &amp; K$1)</f>
        <v/>
      </c>
      <c r="L681" s="36" t="str">
        <f>RTD("ice.rtd",,$C681 &amp; $D681 &amp; ":" &amp; L$1)</f>
        <v/>
      </c>
      <c r="M681" s="14" t="str">
        <f>IFERROR(MOD(TIMEVALUE(RTD("ice.rtd",,$C681 &amp; $D681 &amp; ":" &amp; M$1)), 1), "")</f>
        <v/>
      </c>
      <c r="N681" s="36">
        <f>RTD("ice.rtd",,$C681 &amp; $D681 &amp; ":" &amp; N$1)</f>
        <v>0</v>
      </c>
      <c r="O681" s="36">
        <f>RTD("ice.rtd",,$C681 &amp; $D681 &amp; ":" &amp; O$1)</f>
        <v>0</v>
      </c>
      <c r="P6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1" s="14" t="str">
        <f>IF(ICE[[#This Row],[LastType]] = "Scrn", ICE[[#This Row],[LstDate]], IF(ICE[[#This Row],[LastType]] = "Blk", ICE[[#This Row],[LstBlkTime]], ""))</f>
        <v/>
      </c>
      <c r="R681" s="41" t="str">
        <f>IF(ICE[[#This Row],[LastType]] = "Scrn", ICE[[#This Row],[LstPrc]], IF(ICE[[#This Row],[LastType]] = "Blk", ICE[[#This Row],[LstBlkPrc]], ""))</f>
        <v/>
      </c>
      <c r="S681" s="36">
        <f>ICE[[#This Row],[Vol]]+ICE[[#This Row],[BlkVol]]</f>
        <v>0</v>
      </c>
      <c r="T681" s="36">
        <f>RTD("ice.rtd",,$C681 &amp; $D681 &amp; ":" &amp; T$1)</f>
        <v>1</v>
      </c>
      <c r="U681" s="18">
        <f>RTD("ice.rtd",,$C681 &amp; $D681 &amp; ":" &amp; U$1)</f>
        <v>-5</v>
      </c>
      <c r="V6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1" s="18" t="str">
        <f>IFERROR(IF(LEFT(ICE[[#This Row],[Tenor]], 1) = "B", RTD("esrtd",,$B681 &amp; " " &amp; ICE[[#This Row],[Tenor]] &amp; "-IEU", W$1), RTD("esrtd",,$B681 &amp; " " &amp; VLOOKUP(MONTH(ICE[[#This Row],[Strip]]), MthRef[], 2, 0) &amp; RIGHT(YEAR(ICE[[#This Row],[Strip]]), 2) &amp; "-IEU", W$1)), "")</f>
        <v/>
      </c>
      <c r="X681" s="36"/>
    </row>
    <row r="682" spans="1:25" x14ac:dyDescent="0.25">
      <c r="A682" s="37" t="s">
        <v>418</v>
      </c>
      <c r="B682" s="3" t="str">
        <f>RTD("ice.rtd",,$C682 &amp; $D682 &amp; ":" &amp; B$1)</f>
        <v>ULT</v>
      </c>
      <c r="C682" s="3">
        <v>35554145</v>
      </c>
      <c r="D682" t="s">
        <v>801</v>
      </c>
      <c r="E682" s="3" t="str">
        <f>RTD("ice.rtd",,$C682 &amp; $D682 &amp; ":" &amp; E$1)</f>
        <v>Sep27</v>
      </c>
      <c r="F682" s="3" t="str">
        <f>ICE[[#This Row],[Prod]]&amp;ICE[[#This Row],[Strip]]</f>
        <v>go01ccndiffSep27</v>
      </c>
      <c r="G682" s="18" t="str">
        <f>RTD("ice.rtd",,$C682 &amp; $D682 &amp; ":" &amp; G$1)</f>
        <v/>
      </c>
      <c r="H682" s="18" t="str">
        <f>RTD("ice.rtd",,$C682 &amp; $D682 &amp; ":" &amp; H$1)</f>
        <v/>
      </c>
      <c r="I682" s="18" t="str">
        <f>RTD("ice.rtd",,$C682 &amp; $D682 &amp; ":" &amp; I$1)</f>
        <v/>
      </c>
      <c r="J682" s="14" t="str">
        <f>IFERROR(MOD(RTD("ice.rtd",,$C682 &amp; $D682 &amp; ":" &amp; J$1), 1), "")</f>
        <v/>
      </c>
      <c r="K682" s="18" t="str">
        <f>RTD("ice.rtd",,$C682 &amp; $D682 &amp; ":" &amp; K$1)</f>
        <v/>
      </c>
      <c r="L682" s="36" t="str">
        <f>RTD("ice.rtd",,$C682 &amp; $D682 &amp; ":" &amp; L$1)</f>
        <v/>
      </c>
      <c r="M682" s="14" t="str">
        <f>IFERROR(MOD(TIMEVALUE(RTD("ice.rtd",,$C682 &amp; $D682 &amp; ":" &amp; M$1)), 1), "")</f>
        <v/>
      </c>
      <c r="N682" s="36">
        <f>RTD("ice.rtd",,$C682 &amp; $D682 &amp; ":" &amp; N$1)</f>
        <v>0</v>
      </c>
      <c r="O682" s="36">
        <f>RTD("ice.rtd",,$C682 &amp; $D682 &amp; ":" &amp; O$1)</f>
        <v>0</v>
      </c>
      <c r="P6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2" s="14" t="str">
        <f>IF(ICE[[#This Row],[LastType]] = "Scrn", ICE[[#This Row],[LstDate]], IF(ICE[[#This Row],[LastType]] = "Blk", ICE[[#This Row],[LstBlkTime]], ""))</f>
        <v/>
      </c>
      <c r="R682" s="41" t="str">
        <f>IF(ICE[[#This Row],[LastType]] = "Scrn", ICE[[#This Row],[LstPrc]], IF(ICE[[#This Row],[LastType]] = "Blk", ICE[[#This Row],[LstBlkPrc]], ""))</f>
        <v/>
      </c>
      <c r="S682" s="36">
        <f>ICE[[#This Row],[Vol]]+ICE[[#This Row],[BlkVol]]</f>
        <v>0</v>
      </c>
      <c r="T682" s="36">
        <f>RTD("ice.rtd",,$C682 &amp; $D682 &amp; ":" &amp; T$1)</f>
        <v>1</v>
      </c>
      <c r="U682" s="18">
        <f>RTD("ice.rtd",,$C682 &amp; $D682 &amp; ":" &amp; U$1)</f>
        <v>-5</v>
      </c>
      <c r="V6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2" s="18" t="str">
        <f>IFERROR(IF(LEFT(ICE[[#This Row],[Tenor]], 1) = "B", RTD("esrtd",,$B682 &amp; " " &amp; ICE[[#This Row],[Tenor]] &amp; "-IEU", W$1), RTD("esrtd",,$B682 &amp; " " &amp; VLOOKUP(MONTH(ICE[[#This Row],[Strip]]), MthRef[], 2, 0) &amp; RIGHT(YEAR(ICE[[#This Row],[Strip]]), 2) &amp; "-IEU", W$1)), "")</f>
        <v/>
      </c>
      <c r="X682" s="36"/>
    </row>
    <row r="683" spans="1:25" x14ac:dyDescent="0.25">
      <c r="A683" s="37" t="s">
        <v>418</v>
      </c>
      <c r="B683" s="3" t="str">
        <f>RTD("ice.rtd",,$C683 &amp; $D683 &amp; ":" &amp; B$1)</f>
        <v>ULT</v>
      </c>
      <c r="C683" s="3">
        <v>35554145</v>
      </c>
      <c r="D683" t="s">
        <v>802</v>
      </c>
      <c r="E683" s="3" t="str">
        <f>RTD("ice.rtd",,$C683 &amp; $D683 &amp; ":" &amp; E$1)</f>
        <v>Oct27</v>
      </c>
      <c r="F683" s="3" t="str">
        <f>ICE[[#This Row],[Prod]]&amp;ICE[[#This Row],[Strip]]</f>
        <v>go01ccndiffOct27</v>
      </c>
      <c r="G683" s="18" t="str">
        <f>RTD("ice.rtd",,$C683 &amp; $D683 &amp; ":" &amp; G$1)</f>
        <v/>
      </c>
      <c r="H683" s="18" t="str">
        <f>RTD("ice.rtd",,$C683 &amp; $D683 &amp; ":" &amp; H$1)</f>
        <v/>
      </c>
      <c r="I683" s="18" t="str">
        <f>RTD("ice.rtd",,$C683 &amp; $D683 &amp; ":" &amp; I$1)</f>
        <v/>
      </c>
      <c r="J683" s="14" t="str">
        <f>IFERROR(MOD(RTD("ice.rtd",,$C683 &amp; $D683 &amp; ":" &amp; J$1), 1), "")</f>
        <v/>
      </c>
      <c r="K683" s="18" t="str">
        <f>RTD("ice.rtd",,$C683 &amp; $D683 &amp; ":" &amp; K$1)</f>
        <v/>
      </c>
      <c r="L683" s="36" t="str">
        <f>RTD("ice.rtd",,$C683 &amp; $D683 &amp; ":" &amp; L$1)</f>
        <v/>
      </c>
      <c r="M683" s="14" t="str">
        <f>IFERROR(MOD(TIMEVALUE(RTD("ice.rtd",,$C683 &amp; $D683 &amp; ":" &amp; M$1)), 1), "")</f>
        <v/>
      </c>
      <c r="N683" s="36">
        <f>RTD("ice.rtd",,$C683 &amp; $D683 &amp; ":" &amp; N$1)</f>
        <v>0</v>
      </c>
      <c r="O683" s="36">
        <f>RTD("ice.rtd",,$C683 &amp; $D683 &amp; ":" &amp; O$1)</f>
        <v>0</v>
      </c>
      <c r="P6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3" s="14" t="str">
        <f>IF(ICE[[#This Row],[LastType]] = "Scrn", ICE[[#This Row],[LstDate]], IF(ICE[[#This Row],[LastType]] = "Blk", ICE[[#This Row],[LstBlkTime]], ""))</f>
        <v/>
      </c>
      <c r="R683" s="41" t="str">
        <f>IF(ICE[[#This Row],[LastType]] = "Scrn", ICE[[#This Row],[LstPrc]], IF(ICE[[#This Row],[LastType]] = "Blk", ICE[[#This Row],[LstBlkPrc]], ""))</f>
        <v/>
      </c>
      <c r="S683" s="36">
        <f>ICE[[#This Row],[Vol]]+ICE[[#This Row],[BlkVol]]</f>
        <v>0</v>
      </c>
      <c r="T683" s="36">
        <f>RTD("ice.rtd",,$C683 &amp; $D683 &amp; ":" &amp; T$1)</f>
        <v>1</v>
      </c>
      <c r="U683" s="18">
        <f>RTD("ice.rtd",,$C683 &amp; $D683 &amp; ":" &amp; U$1)</f>
        <v>-5</v>
      </c>
      <c r="V6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3" s="18" t="str">
        <f>IFERROR(IF(LEFT(ICE[[#This Row],[Tenor]], 1) = "B", RTD("esrtd",,$B683 &amp; " " &amp; ICE[[#This Row],[Tenor]] &amp; "-IEU", W$1), RTD("esrtd",,$B683 &amp; " " &amp; VLOOKUP(MONTH(ICE[[#This Row],[Strip]]), MthRef[], 2, 0) &amp; RIGHT(YEAR(ICE[[#This Row],[Strip]]), 2) &amp; "-IEU", W$1)), "")</f>
        <v/>
      </c>
      <c r="X683" s="36"/>
    </row>
    <row r="684" spans="1:25" x14ac:dyDescent="0.25">
      <c r="A684" s="37" t="s">
        <v>418</v>
      </c>
      <c r="B684" s="3" t="str">
        <f>RTD("ice.rtd",,$C684 &amp; $D684 &amp; ":" &amp; B$1)</f>
        <v>ULT</v>
      </c>
      <c r="C684" s="3">
        <v>35554145</v>
      </c>
      <c r="D684" t="s">
        <v>803</v>
      </c>
      <c r="E684" s="3" t="str">
        <f>RTD("ice.rtd",,$C684 &amp; $D684 &amp; ":" &amp; E$1)</f>
        <v>Nov27</v>
      </c>
      <c r="F684" s="3" t="str">
        <f>ICE[[#This Row],[Prod]]&amp;ICE[[#This Row],[Strip]]</f>
        <v>go01ccndiffNov27</v>
      </c>
      <c r="G684" s="18" t="str">
        <f>RTD("ice.rtd",,$C684 &amp; $D684 &amp; ":" &amp; G$1)</f>
        <v/>
      </c>
      <c r="H684" s="18" t="str">
        <f>RTD("ice.rtd",,$C684 &amp; $D684 &amp; ":" &amp; H$1)</f>
        <v/>
      </c>
      <c r="I684" s="18" t="str">
        <f>RTD("ice.rtd",,$C684 &amp; $D684 &amp; ":" &amp; I$1)</f>
        <v/>
      </c>
      <c r="J684" s="14" t="str">
        <f>IFERROR(MOD(RTD("ice.rtd",,$C684 &amp; $D684 &amp; ":" &amp; J$1), 1), "")</f>
        <v/>
      </c>
      <c r="K684" s="18" t="str">
        <f>RTD("ice.rtd",,$C684 &amp; $D684 &amp; ":" &amp; K$1)</f>
        <v/>
      </c>
      <c r="L684" s="36" t="str">
        <f>RTD("ice.rtd",,$C684 &amp; $D684 &amp; ":" &amp; L$1)</f>
        <v/>
      </c>
      <c r="M684" s="14" t="str">
        <f>IFERROR(MOD(TIMEVALUE(RTD("ice.rtd",,$C684 &amp; $D684 &amp; ":" &amp; M$1)), 1), "")</f>
        <v/>
      </c>
      <c r="N684" s="36">
        <f>RTD("ice.rtd",,$C684 &amp; $D684 &amp; ":" &amp; N$1)</f>
        <v>0</v>
      </c>
      <c r="O684" s="36">
        <f>RTD("ice.rtd",,$C684 &amp; $D684 &amp; ":" &amp; O$1)</f>
        <v>0</v>
      </c>
      <c r="P6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4" s="14" t="str">
        <f>IF(ICE[[#This Row],[LastType]] = "Scrn", ICE[[#This Row],[LstDate]], IF(ICE[[#This Row],[LastType]] = "Blk", ICE[[#This Row],[LstBlkTime]], ""))</f>
        <v/>
      </c>
      <c r="R684" s="41" t="str">
        <f>IF(ICE[[#This Row],[LastType]] = "Scrn", ICE[[#This Row],[LstPrc]], IF(ICE[[#This Row],[LastType]] = "Blk", ICE[[#This Row],[LstBlkPrc]], ""))</f>
        <v/>
      </c>
      <c r="S684" s="36">
        <f>ICE[[#This Row],[Vol]]+ICE[[#This Row],[BlkVol]]</f>
        <v>0</v>
      </c>
      <c r="T684" s="36">
        <f>RTD("ice.rtd",,$C684 &amp; $D684 &amp; ":" &amp; T$1)</f>
        <v>1</v>
      </c>
      <c r="U684" s="18">
        <f>RTD("ice.rtd",,$C684 &amp; $D684 &amp; ":" &amp; U$1)</f>
        <v>-5</v>
      </c>
      <c r="V6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4" s="18" t="str">
        <f>IFERROR(IF(LEFT(ICE[[#This Row],[Tenor]], 1) = "B", RTD("esrtd",,$B684 &amp; " " &amp; ICE[[#This Row],[Tenor]] &amp; "-IEU", W$1), RTD("esrtd",,$B684 &amp; " " &amp; VLOOKUP(MONTH(ICE[[#This Row],[Strip]]), MthRef[], 2, 0) &amp; RIGHT(YEAR(ICE[[#This Row],[Strip]]), 2) &amp; "-IEU", W$1)), "")</f>
        <v/>
      </c>
      <c r="X684" s="36"/>
    </row>
    <row r="685" spans="1:25" x14ac:dyDescent="0.25">
      <c r="A685" s="37" t="s">
        <v>418</v>
      </c>
      <c r="B685" s="3" t="str">
        <f>RTD("ice.rtd",,$C685 &amp; $D685 &amp; ":" &amp; B$1)</f>
        <v>ULT</v>
      </c>
      <c r="C685" s="3">
        <v>35554145</v>
      </c>
      <c r="D685" t="s">
        <v>804</v>
      </c>
      <c r="E685" s="3" t="str">
        <f>RTD("ice.rtd",,$C685 &amp; $D685 &amp; ":" &amp; E$1)</f>
        <v>Dec27</v>
      </c>
      <c r="F685" s="3" t="str">
        <f>ICE[[#This Row],[Prod]]&amp;ICE[[#This Row],[Strip]]</f>
        <v>go01ccndiffDec27</v>
      </c>
      <c r="G685" s="18" t="str">
        <f>RTD("ice.rtd",,$C685 &amp; $D685 &amp; ":" &amp; G$1)</f>
        <v/>
      </c>
      <c r="H685" s="18" t="str">
        <f>RTD("ice.rtd",,$C685 &amp; $D685 &amp; ":" &amp; H$1)</f>
        <v/>
      </c>
      <c r="I685" s="18" t="str">
        <f>RTD("ice.rtd",,$C685 &amp; $D685 &amp; ":" &amp; I$1)</f>
        <v/>
      </c>
      <c r="J685" s="14" t="str">
        <f>IFERROR(MOD(RTD("ice.rtd",,$C685 &amp; $D685 &amp; ":" &amp; J$1), 1), "")</f>
        <v/>
      </c>
      <c r="K685" s="18" t="str">
        <f>RTD("ice.rtd",,$C685 &amp; $D685 &amp; ":" &amp; K$1)</f>
        <v/>
      </c>
      <c r="L685" s="36" t="str">
        <f>RTD("ice.rtd",,$C685 &amp; $D685 &amp; ":" &amp; L$1)</f>
        <v/>
      </c>
      <c r="M685" s="14" t="str">
        <f>IFERROR(MOD(TIMEVALUE(RTD("ice.rtd",,$C685 &amp; $D685 &amp; ":" &amp; M$1)), 1), "")</f>
        <v/>
      </c>
      <c r="N685" s="36">
        <f>RTD("ice.rtd",,$C685 &amp; $D685 &amp; ":" &amp; N$1)</f>
        <v>0</v>
      </c>
      <c r="O685" s="36">
        <f>RTD("ice.rtd",,$C685 &amp; $D685 &amp; ":" &amp; O$1)</f>
        <v>0</v>
      </c>
      <c r="P6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5" s="14" t="str">
        <f>IF(ICE[[#This Row],[LastType]] = "Scrn", ICE[[#This Row],[LstDate]], IF(ICE[[#This Row],[LastType]] = "Blk", ICE[[#This Row],[LstBlkTime]], ""))</f>
        <v/>
      </c>
      <c r="R685" s="41" t="str">
        <f>IF(ICE[[#This Row],[LastType]] = "Scrn", ICE[[#This Row],[LstPrc]], IF(ICE[[#This Row],[LastType]] = "Blk", ICE[[#This Row],[LstBlkPrc]], ""))</f>
        <v/>
      </c>
      <c r="S685" s="36">
        <f>ICE[[#This Row],[Vol]]+ICE[[#This Row],[BlkVol]]</f>
        <v>0</v>
      </c>
      <c r="T685" s="36">
        <f>RTD("ice.rtd",,$C685 &amp; $D685 &amp; ":" &amp; T$1)</f>
        <v>1</v>
      </c>
      <c r="U685" s="18">
        <f>RTD("ice.rtd",,$C685 &amp; $D685 &amp; ":" &amp; U$1)</f>
        <v>-5</v>
      </c>
      <c r="V6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5" s="18" t="str">
        <f>IFERROR(IF(LEFT(ICE[[#This Row],[Tenor]], 1) = "B", RTD("esrtd",,$B685 &amp; " " &amp; ICE[[#This Row],[Tenor]] &amp; "-IEU", W$1), RTD("esrtd",,$B685 &amp; " " &amp; VLOOKUP(MONTH(ICE[[#This Row],[Strip]]), MthRef[], 2, 0) &amp; RIGHT(YEAR(ICE[[#This Row],[Strip]]), 2) &amp; "-IEU", W$1)), "")</f>
        <v/>
      </c>
      <c r="X685" s="36"/>
    </row>
    <row r="686" spans="1:25" x14ac:dyDescent="0.25">
      <c r="A686" s="37" t="s">
        <v>418</v>
      </c>
      <c r="B686" s="3" t="str">
        <f>RTD("ice.rtd",,$C686 &amp; $D686 &amp; ":" &amp; B$1)</f>
        <v>ULT</v>
      </c>
      <c r="C686" s="3">
        <v>35554145</v>
      </c>
      <c r="D686" t="s">
        <v>805</v>
      </c>
      <c r="E686" s="3" t="str">
        <f>RTD("ice.rtd",,$C686 &amp; $D686 &amp; ":" &amp; E$1)</f>
        <v>Jan28</v>
      </c>
      <c r="F686" s="3" t="str">
        <f>ICE[[#This Row],[Prod]]&amp;ICE[[#This Row],[Strip]]</f>
        <v>go01ccndiffJan28</v>
      </c>
      <c r="G686" s="18" t="str">
        <f>RTD("ice.rtd",,$C686 &amp; $D686 &amp; ":" &amp; G$1)</f>
        <v/>
      </c>
      <c r="H686" s="18" t="str">
        <f>RTD("ice.rtd",,$C686 &amp; $D686 &amp; ":" &amp; H$1)</f>
        <v/>
      </c>
      <c r="I686" s="18" t="str">
        <f>RTD("ice.rtd",,$C686 &amp; $D686 &amp; ":" &amp; I$1)</f>
        <v/>
      </c>
      <c r="J686" s="14" t="str">
        <f>IFERROR(MOD(RTD("ice.rtd",,$C686 &amp; $D686 &amp; ":" &amp; J$1), 1), "")</f>
        <v/>
      </c>
      <c r="K686" s="18" t="str">
        <f>RTD("ice.rtd",,$C686 &amp; $D686 &amp; ":" &amp; K$1)</f>
        <v/>
      </c>
      <c r="L686" s="36" t="str">
        <f>RTD("ice.rtd",,$C686 &amp; $D686 &amp; ":" &amp; L$1)</f>
        <v/>
      </c>
      <c r="M686" s="14" t="str">
        <f>IFERROR(MOD(TIMEVALUE(RTD("ice.rtd",,$C686 &amp; $D686 &amp; ":" &amp; M$1)), 1), "")</f>
        <v/>
      </c>
      <c r="N686" s="36">
        <f>RTD("ice.rtd",,$C686 &amp; $D686 &amp; ":" &amp; N$1)</f>
        <v>0</v>
      </c>
      <c r="O686" s="36">
        <f>RTD("ice.rtd",,$C686 &amp; $D686 &amp; ":" &amp; O$1)</f>
        <v>0</v>
      </c>
      <c r="P6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6" s="14" t="str">
        <f>IF(ICE[[#This Row],[LastType]] = "Scrn", ICE[[#This Row],[LstDate]], IF(ICE[[#This Row],[LastType]] = "Blk", ICE[[#This Row],[LstBlkTime]], ""))</f>
        <v/>
      </c>
      <c r="R686" s="41" t="str">
        <f>IF(ICE[[#This Row],[LastType]] = "Scrn", ICE[[#This Row],[LstPrc]], IF(ICE[[#This Row],[LastType]] = "Blk", ICE[[#This Row],[LstBlkPrc]], ""))</f>
        <v/>
      </c>
      <c r="S686" s="36">
        <f>ICE[[#This Row],[Vol]]+ICE[[#This Row],[BlkVol]]</f>
        <v>0</v>
      </c>
      <c r="T686" s="36">
        <f>RTD("ice.rtd",,$C686 &amp; $D686 &amp; ":" &amp; T$1)</f>
        <v>0</v>
      </c>
      <c r="U686" s="18">
        <f>RTD("ice.rtd",,$C686 &amp; $D686 &amp; ":" &amp; U$1)</f>
        <v>-3</v>
      </c>
      <c r="V6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6" s="18" t="str">
        <f>IFERROR(IF(LEFT(ICE[[#This Row],[Tenor]], 1) = "B", RTD("esrtd",,$B686 &amp; " " &amp; ICE[[#This Row],[Tenor]] &amp; "-IEU", W$1), RTD("esrtd",,$B686 &amp; " " &amp; VLOOKUP(MONTH(ICE[[#This Row],[Strip]]), MthRef[], 2, 0) &amp; RIGHT(YEAR(ICE[[#This Row],[Strip]]), 2) &amp; "-IEU", W$1)), "")</f>
        <v/>
      </c>
      <c r="X686" s="36"/>
    </row>
    <row r="687" spans="1:25" x14ac:dyDescent="0.25">
      <c r="A687" s="37" t="s">
        <v>418</v>
      </c>
      <c r="B687" s="3" t="str">
        <f>RTD("ice.rtd",,$C687 &amp; $D687 &amp; ":" &amp; B$1)</f>
        <v>ULT</v>
      </c>
      <c r="C687" s="3">
        <v>35554145</v>
      </c>
      <c r="D687" t="s">
        <v>806</v>
      </c>
      <c r="E687" s="3" t="str">
        <f>RTD("ice.rtd",,$C687 &amp; $D687 &amp; ":" &amp; E$1)</f>
        <v>Feb28</v>
      </c>
      <c r="F687" s="3" t="str">
        <f>ICE[[#This Row],[Prod]]&amp;ICE[[#This Row],[Strip]]</f>
        <v>go01ccndiffFeb28</v>
      </c>
      <c r="G687" s="18" t="str">
        <f>RTD("ice.rtd",,$C687 &amp; $D687 &amp; ":" &amp; G$1)</f>
        <v/>
      </c>
      <c r="H687" s="18" t="str">
        <f>RTD("ice.rtd",,$C687 &amp; $D687 &amp; ":" &amp; H$1)</f>
        <v/>
      </c>
      <c r="I687" s="18" t="str">
        <f>RTD("ice.rtd",,$C687 &amp; $D687 &amp; ":" &amp; I$1)</f>
        <v/>
      </c>
      <c r="J687" s="14" t="str">
        <f>IFERROR(MOD(RTD("ice.rtd",,$C687 &amp; $D687 &amp; ":" &amp; J$1), 1), "")</f>
        <v/>
      </c>
      <c r="K687" s="18" t="str">
        <f>RTD("ice.rtd",,$C687 &amp; $D687 &amp; ":" &amp; K$1)</f>
        <v/>
      </c>
      <c r="L687" s="36" t="str">
        <f>RTD("ice.rtd",,$C687 &amp; $D687 &amp; ":" &amp; L$1)</f>
        <v/>
      </c>
      <c r="M687" s="14" t="str">
        <f>IFERROR(MOD(TIMEVALUE(RTD("ice.rtd",,$C687 &amp; $D687 &amp; ":" &amp; M$1)), 1), "")</f>
        <v/>
      </c>
      <c r="N687" s="36">
        <f>RTD("ice.rtd",,$C687 &amp; $D687 &amp; ":" &amp; N$1)</f>
        <v>0</v>
      </c>
      <c r="O687" s="36">
        <f>RTD("ice.rtd",,$C687 &amp; $D687 &amp; ":" &amp; O$1)</f>
        <v>0</v>
      </c>
      <c r="P6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7" s="14" t="str">
        <f>IF(ICE[[#This Row],[LastType]] = "Scrn", ICE[[#This Row],[LstDate]], IF(ICE[[#This Row],[LastType]] = "Blk", ICE[[#This Row],[LstBlkTime]], ""))</f>
        <v/>
      </c>
      <c r="R687" s="41" t="str">
        <f>IF(ICE[[#This Row],[LastType]] = "Scrn", ICE[[#This Row],[LstPrc]], IF(ICE[[#This Row],[LastType]] = "Blk", ICE[[#This Row],[LstBlkPrc]], ""))</f>
        <v/>
      </c>
      <c r="S687" s="36">
        <f>ICE[[#This Row],[Vol]]+ICE[[#This Row],[BlkVol]]</f>
        <v>0</v>
      </c>
      <c r="T687" s="36">
        <f>RTD("ice.rtd",,$C687 &amp; $D687 &amp; ":" &amp; T$1)</f>
        <v>0</v>
      </c>
      <c r="U687" s="18">
        <f>RTD("ice.rtd",,$C687 &amp; $D687 &amp; ":" &amp; U$1)</f>
        <v>-3</v>
      </c>
      <c r="V6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7" s="18" t="str">
        <f>IFERROR(IF(LEFT(ICE[[#This Row],[Tenor]], 1) = "B", RTD("esrtd",,$B687 &amp; " " &amp; ICE[[#This Row],[Tenor]] &amp; "-IEU", W$1), RTD("esrtd",,$B687 &amp; " " &amp; VLOOKUP(MONTH(ICE[[#This Row],[Strip]]), MthRef[], 2, 0) &amp; RIGHT(YEAR(ICE[[#This Row],[Strip]]), 2) &amp; "-IEU", W$1)), "")</f>
        <v/>
      </c>
      <c r="X687" s="36"/>
    </row>
    <row r="688" spans="1:25" x14ac:dyDescent="0.25">
      <c r="A688" s="37" t="s">
        <v>418</v>
      </c>
      <c r="B688" s="3" t="str">
        <f>RTD("ice.rtd",,$C688 &amp; $D688 &amp; ":" &amp; B$1)</f>
        <v>ULT</v>
      </c>
      <c r="C688" s="3">
        <v>35554145</v>
      </c>
      <c r="D688" t="s">
        <v>807</v>
      </c>
      <c r="E688" s="3" t="str">
        <f>RTD("ice.rtd",,$C688 &amp; $D688 &amp; ":" &amp; E$1)</f>
        <v>Mar28</v>
      </c>
      <c r="F688" s="3" t="str">
        <f>ICE[[#This Row],[Prod]]&amp;ICE[[#This Row],[Strip]]</f>
        <v>go01ccndiffMar28</v>
      </c>
      <c r="G688" s="18" t="str">
        <f>RTD("ice.rtd",,$C688 &amp; $D688 &amp; ":" &amp; G$1)</f>
        <v/>
      </c>
      <c r="H688" s="18" t="str">
        <f>RTD("ice.rtd",,$C688 &amp; $D688 &amp; ":" &amp; H$1)</f>
        <v/>
      </c>
      <c r="I688" s="18" t="str">
        <f>RTD("ice.rtd",,$C688 &amp; $D688 &amp; ":" &amp; I$1)</f>
        <v/>
      </c>
      <c r="J688" s="14" t="str">
        <f>IFERROR(MOD(RTD("ice.rtd",,$C688 &amp; $D688 &amp; ":" &amp; J$1), 1), "")</f>
        <v/>
      </c>
      <c r="K688" s="18" t="str">
        <f>RTD("ice.rtd",,$C688 &amp; $D688 &amp; ":" &amp; K$1)</f>
        <v/>
      </c>
      <c r="L688" s="36" t="str">
        <f>RTD("ice.rtd",,$C688 &amp; $D688 &amp; ":" &amp; L$1)</f>
        <v/>
      </c>
      <c r="M688" s="14" t="str">
        <f>IFERROR(MOD(TIMEVALUE(RTD("ice.rtd",,$C688 &amp; $D688 &amp; ":" &amp; M$1)), 1), "")</f>
        <v/>
      </c>
      <c r="N688" s="36">
        <f>RTD("ice.rtd",,$C688 &amp; $D688 &amp; ":" &amp; N$1)</f>
        <v>0</v>
      </c>
      <c r="O688" s="36">
        <f>RTD("ice.rtd",,$C688 &amp; $D688 &amp; ":" &amp; O$1)</f>
        <v>0</v>
      </c>
      <c r="P6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8" s="14" t="str">
        <f>IF(ICE[[#This Row],[LastType]] = "Scrn", ICE[[#This Row],[LstDate]], IF(ICE[[#This Row],[LastType]] = "Blk", ICE[[#This Row],[LstBlkTime]], ""))</f>
        <v/>
      </c>
      <c r="R688" s="41" t="str">
        <f>IF(ICE[[#This Row],[LastType]] = "Scrn", ICE[[#This Row],[LstPrc]], IF(ICE[[#This Row],[LastType]] = "Blk", ICE[[#This Row],[LstBlkPrc]], ""))</f>
        <v/>
      </c>
      <c r="S688" s="36">
        <f>ICE[[#This Row],[Vol]]+ICE[[#This Row],[BlkVol]]</f>
        <v>0</v>
      </c>
      <c r="T688" s="36">
        <f>RTD("ice.rtd",,$C688 &amp; $D688 &amp; ":" &amp; T$1)</f>
        <v>0</v>
      </c>
      <c r="U688" s="18">
        <f>RTD("ice.rtd",,$C688 &amp; $D688 &amp; ":" &amp; U$1)</f>
        <v>-3</v>
      </c>
      <c r="V6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8" s="18" t="str">
        <f>IFERROR(IF(LEFT(ICE[[#This Row],[Tenor]], 1) = "B", RTD("esrtd",,$B688 &amp; " " &amp; ICE[[#This Row],[Tenor]] &amp; "-IEU", W$1), RTD("esrtd",,$B688 &amp; " " &amp; VLOOKUP(MONTH(ICE[[#This Row],[Strip]]), MthRef[], 2, 0) &amp; RIGHT(YEAR(ICE[[#This Row],[Strip]]), 2) &amp; "-IEU", W$1)), "")</f>
        <v/>
      </c>
      <c r="X688" s="36"/>
    </row>
    <row r="689" spans="1:24" x14ac:dyDescent="0.25">
      <c r="A689" s="37" t="s">
        <v>418</v>
      </c>
      <c r="B689" s="3" t="str">
        <f>RTD("ice.rtd",,$C689 &amp; $D689 &amp; ":" &amp; B$1)</f>
        <v>ULT</v>
      </c>
      <c r="C689" s="3">
        <v>35554145</v>
      </c>
      <c r="D689" t="s">
        <v>808</v>
      </c>
      <c r="E689" s="3" t="str">
        <f>RTD("ice.rtd",,$C689 &amp; $D689 &amp; ":" &amp; E$1)</f>
        <v>Apr28</v>
      </c>
      <c r="F689" s="3" t="str">
        <f>ICE[[#This Row],[Prod]]&amp;ICE[[#This Row],[Strip]]</f>
        <v>go01ccndiffApr28</v>
      </c>
      <c r="G689" s="18" t="str">
        <f>RTD("ice.rtd",,$C689 &amp; $D689 &amp; ":" &amp; G$1)</f>
        <v/>
      </c>
      <c r="H689" s="18" t="str">
        <f>RTD("ice.rtd",,$C689 &amp; $D689 &amp; ":" &amp; H$1)</f>
        <v/>
      </c>
      <c r="I689" s="18" t="str">
        <f>RTD("ice.rtd",,$C689 &amp; $D689 &amp; ":" &amp; I$1)</f>
        <v/>
      </c>
      <c r="J689" s="14" t="str">
        <f>IFERROR(MOD(RTD("ice.rtd",,$C689 &amp; $D689 &amp; ":" &amp; J$1), 1), "")</f>
        <v/>
      </c>
      <c r="K689" s="18" t="str">
        <f>RTD("ice.rtd",,$C689 &amp; $D689 &amp; ":" &amp; K$1)</f>
        <v/>
      </c>
      <c r="L689" s="36" t="str">
        <f>RTD("ice.rtd",,$C689 &amp; $D689 &amp; ":" &amp; L$1)</f>
        <v/>
      </c>
      <c r="M689" s="14" t="str">
        <f>IFERROR(MOD(TIMEVALUE(RTD("ice.rtd",,$C689 &amp; $D689 &amp; ":" &amp; M$1)), 1), "")</f>
        <v/>
      </c>
      <c r="N689" s="36">
        <f>RTD("ice.rtd",,$C689 &amp; $D689 &amp; ":" &amp; N$1)</f>
        <v>0</v>
      </c>
      <c r="O689" s="36">
        <f>RTD("ice.rtd",,$C689 &amp; $D689 &amp; ":" &amp; O$1)</f>
        <v>0</v>
      </c>
      <c r="P6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89" s="14" t="str">
        <f>IF(ICE[[#This Row],[LastType]] = "Scrn", ICE[[#This Row],[LstDate]], IF(ICE[[#This Row],[LastType]] = "Blk", ICE[[#This Row],[LstBlkTime]], ""))</f>
        <v/>
      </c>
      <c r="R689" s="41" t="str">
        <f>IF(ICE[[#This Row],[LastType]] = "Scrn", ICE[[#This Row],[LstPrc]], IF(ICE[[#This Row],[LastType]] = "Blk", ICE[[#This Row],[LstBlkPrc]], ""))</f>
        <v/>
      </c>
      <c r="S689" s="36">
        <f>ICE[[#This Row],[Vol]]+ICE[[#This Row],[BlkVol]]</f>
        <v>0</v>
      </c>
      <c r="T689" s="36">
        <f>RTD("ice.rtd",,$C689 &amp; $D689 &amp; ":" &amp; T$1)</f>
        <v>0</v>
      </c>
      <c r="U689" s="18">
        <f>RTD("ice.rtd",,$C689 &amp; $D689 &amp; ":" &amp; U$1)</f>
        <v>-3</v>
      </c>
      <c r="V6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89" s="18" t="str">
        <f>IFERROR(IF(LEFT(ICE[[#This Row],[Tenor]], 1) = "B", RTD("esrtd",,$B689 &amp; " " &amp; ICE[[#This Row],[Tenor]] &amp; "-IEU", W$1), RTD("esrtd",,$B689 &amp; " " &amp; VLOOKUP(MONTH(ICE[[#This Row],[Strip]]), MthRef[], 2, 0) &amp; RIGHT(YEAR(ICE[[#This Row],[Strip]]), 2) &amp; "-IEU", W$1)), "")</f>
        <v/>
      </c>
      <c r="X689" s="36"/>
    </row>
    <row r="690" spans="1:24" x14ac:dyDescent="0.25">
      <c r="A690" s="37" t="s">
        <v>418</v>
      </c>
      <c r="B690" s="3" t="str">
        <f>RTD("ice.rtd",,$C690 &amp; $D690 &amp; ":" &amp; B$1)</f>
        <v>ULT</v>
      </c>
      <c r="C690" s="3">
        <v>35554145</v>
      </c>
      <c r="D690" t="s">
        <v>809</v>
      </c>
      <c r="E690" s="3" t="str">
        <f>RTD("ice.rtd",,$C690 &amp; $D690 &amp; ":" &amp; E$1)</f>
        <v>May28</v>
      </c>
      <c r="F690" s="3" t="str">
        <f>ICE[[#This Row],[Prod]]&amp;ICE[[#This Row],[Strip]]</f>
        <v>go01ccndiffMay28</v>
      </c>
      <c r="G690" s="18" t="str">
        <f>RTD("ice.rtd",,$C690 &amp; $D690 &amp; ":" &amp; G$1)</f>
        <v/>
      </c>
      <c r="H690" s="18" t="str">
        <f>RTD("ice.rtd",,$C690 &amp; $D690 &amp; ":" &amp; H$1)</f>
        <v/>
      </c>
      <c r="I690" s="18" t="str">
        <f>RTD("ice.rtd",,$C690 &amp; $D690 &amp; ":" &amp; I$1)</f>
        <v/>
      </c>
      <c r="J690" s="14" t="str">
        <f>IFERROR(MOD(RTD("ice.rtd",,$C690 &amp; $D690 &amp; ":" &amp; J$1), 1), "")</f>
        <v/>
      </c>
      <c r="K690" s="18" t="str">
        <f>RTD("ice.rtd",,$C690 &amp; $D690 &amp; ":" &amp; K$1)</f>
        <v/>
      </c>
      <c r="L690" s="36" t="str">
        <f>RTD("ice.rtd",,$C690 &amp; $D690 &amp; ":" &amp; L$1)</f>
        <v/>
      </c>
      <c r="M690" s="14" t="str">
        <f>IFERROR(MOD(TIMEVALUE(RTD("ice.rtd",,$C690 &amp; $D690 &amp; ":" &amp; M$1)), 1), "")</f>
        <v/>
      </c>
      <c r="N690" s="36">
        <f>RTD("ice.rtd",,$C690 &amp; $D690 &amp; ":" &amp; N$1)</f>
        <v>0</v>
      </c>
      <c r="O690" s="36">
        <f>RTD("ice.rtd",,$C690 &amp; $D690 &amp; ":" &amp; O$1)</f>
        <v>0</v>
      </c>
      <c r="P6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0" s="14" t="str">
        <f>IF(ICE[[#This Row],[LastType]] = "Scrn", ICE[[#This Row],[LstDate]], IF(ICE[[#This Row],[LastType]] = "Blk", ICE[[#This Row],[LstBlkTime]], ""))</f>
        <v/>
      </c>
      <c r="R690" s="41" t="str">
        <f>IF(ICE[[#This Row],[LastType]] = "Scrn", ICE[[#This Row],[LstPrc]], IF(ICE[[#This Row],[LastType]] = "Blk", ICE[[#This Row],[LstBlkPrc]], ""))</f>
        <v/>
      </c>
      <c r="S690" s="36">
        <f>ICE[[#This Row],[Vol]]+ICE[[#This Row],[BlkVol]]</f>
        <v>0</v>
      </c>
      <c r="T690" s="36">
        <f>RTD("ice.rtd",,$C690 &amp; $D690 &amp; ":" &amp; T$1)</f>
        <v>0</v>
      </c>
      <c r="U690" s="18">
        <f>RTD("ice.rtd",,$C690 &amp; $D690 &amp; ":" &amp; U$1)</f>
        <v>-3</v>
      </c>
      <c r="V6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0" s="18" t="str">
        <f>IFERROR(IF(LEFT(ICE[[#This Row],[Tenor]], 1) = "B", RTD("esrtd",,$B690 &amp; " " &amp; ICE[[#This Row],[Tenor]] &amp; "-IEU", W$1), RTD("esrtd",,$B690 &amp; " " &amp; VLOOKUP(MONTH(ICE[[#This Row],[Strip]]), MthRef[], 2, 0) &amp; RIGHT(YEAR(ICE[[#This Row],[Strip]]), 2) &amp; "-IEU", W$1)), "")</f>
        <v/>
      </c>
      <c r="X690" s="36"/>
    </row>
    <row r="691" spans="1:24" x14ac:dyDescent="0.25">
      <c r="A691" s="37" t="s">
        <v>418</v>
      </c>
      <c r="B691" s="3" t="str">
        <f>RTD("ice.rtd",,$C691 &amp; $D691 &amp; ":" &amp; B$1)</f>
        <v>ULT</v>
      </c>
      <c r="C691" s="3">
        <v>35554145</v>
      </c>
      <c r="D691" t="s">
        <v>810</v>
      </c>
      <c r="E691" s="3" t="str">
        <f>RTD("ice.rtd",,$C691 &amp; $D691 &amp; ":" &amp; E$1)</f>
        <v>Jun28</v>
      </c>
      <c r="F691" s="3" t="str">
        <f>ICE[[#This Row],[Prod]]&amp;ICE[[#This Row],[Strip]]</f>
        <v>go01ccndiffJun28</v>
      </c>
      <c r="G691" s="18" t="str">
        <f>RTD("ice.rtd",,$C691 &amp; $D691 &amp; ":" &amp; G$1)</f>
        <v/>
      </c>
      <c r="H691" s="18" t="str">
        <f>RTD("ice.rtd",,$C691 &amp; $D691 &amp; ":" &amp; H$1)</f>
        <v/>
      </c>
      <c r="I691" s="18" t="str">
        <f>RTD("ice.rtd",,$C691 &amp; $D691 &amp; ":" &amp; I$1)</f>
        <v/>
      </c>
      <c r="J691" s="14" t="str">
        <f>IFERROR(MOD(RTD("ice.rtd",,$C691 &amp; $D691 &amp; ":" &amp; J$1), 1), "")</f>
        <v/>
      </c>
      <c r="K691" s="18" t="str">
        <f>RTD("ice.rtd",,$C691 &amp; $D691 &amp; ":" &amp; K$1)</f>
        <v/>
      </c>
      <c r="L691" s="36" t="str">
        <f>RTD("ice.rtd",,$C691 &amp; $D691 &amp; ":" &amp; L$1)</f>
        <v/>
      </c>
      <c r="M691" s="14" t="str">
        <f>IFERROR(MOD(TIMEVALUE(RTD("ice.rtd",,$C691 &amp; $D691 &amp; ":" &amp; M$1)), 1), "")</f>
        <v/>
      </c>
      <c r="N691" s="36">
        <f>RTD("ice.rtd",,$C691 &amp; $D691 &amp; ":" &amp; N$1)</f>
        <v>0</v>
      </c>
      <c r="O691" s="36">
        <f>RTD("ice.rtd",,$C691 &amp; $D691 &amp; ":" &amp; O$1)</f>
        <v>0</v>
      </c>
      <c r="P6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1" s="14" t="str">
        <f>IF(ICE[[#This Row],[LastType]] = "Scrn", ICE[[#This Row],[LstDate]], IF(ICE[[#This Row],[LastType]] = "Blk", ICE[[#This Row],[LstBlkTime]], ""))</f>
        <v/>
      </c>
      <c r="R691" s="41" t="str">
        <f>IF(ICE[[#This Row],[LastType]] = "Scrn", ICE[[#This Row],[LstPrc]], IF(ICE[[#This Row],[LastType]] = "Blk", ICE[[#This Row],[LstBlkPrc]], ""))</f>
        <v/>
      </c>
      <c r="S691" s="36">
        <f>ICE[[#This Row],[Vol]]+ICE[[#This Row],[BlkVol]]</f>
        <v>0</v>
      </c>
      <c r="T691" s="36">
        <f>RTD("ice.rtd",,$C691 &amp; $D691 &amp; ":" &amp; T$1)</f>
        <v>0</v>
      </c>
      <c r="U691" s="18">
        <f>RTD("ice.rtd",,$C691 &amp; $D691 &amp; ":" &amp; U$1)</f>
        <v>-3</v>
      </c>
      <c r="V6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1" s="18" t="str">
        <f>IFERROR(IF(LEFT(ICE[[#This Row],[Tenor]], 1) = "B", RTD("esrtd",,$B691 &amp; " " &amp; ICE[[#This Row],[Tenor]] &amp; "-IEU", W$1), RTD("esrtd",,$B691 &amp; " " &amp; VLOOKUP(MONTH(ICE[[#This Row],[Strip]]), MthRef[], 2, 0) &amp; RIGHT(YEAR(ICE[[#This Row],[Strip]]), 2) &amp; "-IEU", W$1)), "")</f>
        <v/>
      </c>
      <c r="X691" s="36"/>
    </row>
    <row r="692" spans="1:24" x14ac:dyDescent="0.25">
      <c r="A692" s="37" t="s">
        <v>418</v>
      </c>
      <c r="B692" s="3" t="str">
        <f>RTD("ice.rtd",,$C692 &amp; $D692 &amp; ":" &amp; B$1)</f>
        <v>ULT</v>
      </c>
      <c r="C692" s="3">
        <v>35554145</v>
      </c>
      <c r="D692" t="s">
        <v>811</v>
      </c>
      <c r="E692" s="3" t="str">
        <f>RTD("ice.rtd",,$C692 &amp; $D692 &amp; ":" &amp; E$1)</f>
        <v>Jul28</v>
      </c>
      <c r="F692" s="3" t="str">
        <f>ICE[[#This Row],[Prod]]&amp;ICE[[#This Row],[Strip]]</f>
        <v>go01ccndiffJul28</v>
      </c>
      <c r="G692" s="18" t="str">
        <f>RTD("ice.rtd",,$C692 &amp; $D692 &amp; ":" &amp; G$1)</f>
        <v/>
      </c>
      <c r="H692" s="18" t="str">
        <f>RTD("ice.rtd",,$C692 &amp; $D692 &amp; ":" &amp; H$1)</f>
        <v/>
      </c>
      <c r="I692" s="18" t="str">
        <f>RTD("ice.rtd",,$C692 &amp; $D692 &amp; ":" &amp; I$1)</f>
        <v/>
      </c>
      <c r="J692" s="14" t="str">
        <f>IFERROR(MOD(RTD("ice.rtd",,$C692 &amp; $D692 &amp; ":" &amp; J$1), 1), "")</f>
        <v/>
      </c>
      <c r="K692" s="18" t="str">
        <f>RTD("ice.rtd",,$C692 &amp; $D692 &amp; ":" &amp; K$1)</f>
        <v/>
      </c>
      <c r="L692" s="36" t="str">
        <f>RTD("ice.rtd",,$C692 &amp; $D692 &amp; ":" &amp; L$1)</f>
        <v/>
      </c>
      <c r="M692" s="14" t="str">
        <f>IFERROR(MOD(TIMEVALUE(RTD("ice.rtd",,$C692 &amp; $D692 &amp; ":" &amp; M$1)), 1), "")</f>
        <v/>
      </c>
      <c r="N692" s="36">
        <f>RTD("ice.rtd",,$C692 &amp; $D692 &amp; ":" &amp; N$1)</f>
        <v>0</v>
      </c>
      <c r="O692" s="36">
        <f>RTD("ice.rtd",,$C692 &amp; $D692 &amp; ":" &amp; O$1)</f>
        <v>0</v>
      </c>
      <c r="P6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2" s="14" t="str">
        <f>IF(ICE[[#This Row],[LastType]] = "Scrn", ICE[[#This Row],[LstDate]], IF(ICE[[#This Row],[LastType]] = "Blk", ICE[[#This Row],[LstBlkTime]], ""))</f>
        <v/>
      </c>
      <c r="R692" s="41" t="str">
        <f>IF(ICE[[#This Row],[LastType]] = "Scrn", ICE[[#This Row],[LstPrc]], IF(ICE[[#This Row],[LastType]] = "Blk", ICE[[#This Row],[LstBlkPrc]], ""))</f>
        <v/>
      </c>
      <c r="S692" s="36">
        <f>ICE[[#This Row],[Vol]]+ICE[[#This Row],[BlkVol]]</f>
        <v>0</v>
      </c>
      <c r="T692" s="36">
        <f>RTD("ice.rtd",,$C692 &amp; $D692 &amp; ":" &amp; T$1)</f>
        <v>0</v>
      </c>
      <c r="U692" s="18">
        <f>RTD("ice.rtd",,$C692 &amp; $D692 &amp; ":" &amp; U$1)</f>
        <v>-3</v>
      </c>
      <c r="V6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2" s="18" t="str">
        <f>IFERROR(IF(LEFT(ICE[[#This Row],[Tenor]], 1) = "B", RTD("esrtd",,$B692 &amp; " " &amp; ICE[[#This Row],[Tenor]] &amp; "-IEU", W$1), RTD("esrtd",,$B692 &amp; " " &amp; VLOOKUP(MONTH(ICE[[#This Row],[Strip]]), MthRef[], 2, 0) &amp; RIGHT(YEAR(ICE[[#This Row],[Strip]]), 2) &amp; "-IEU", W$1)), "")</f>
        <v/>
      </c>
      <c r="X692" s="36"/>
    </row>
    <row r="693" spans="1:24" x14ac:dyDescent="0.25">
      <c r="A693" s="37" t="s">
        <v>418</v>
      </c>
      <c r="B693" s="3" t="str">
        <f>RTD("ice.rtd",,$C693 &amp; $D693 &amp; ":" &amp; B$1)</f>
        <v>ULT</v>
      </c>
      <c r="C693" s="3">
        <v>35554145</v>
      </c>
      <c r="D693" t="s">
        <v>812</v>
      </c>
      <c r="E693" s="3" t="str">
        <f>RTD("ice.rtd",,$C693 &amp; $D693 &amp; ":" &amp; E$1)</f>
        <v>Aug28</v>
      </c>
      <c r="F693" s="3" t="str">
        <f>ICE[[#This Row],[Prod]]&amp;ICE[[#This Row],[Strip]]</f>
        <v>go01ccndiffAug28</v>
      </c>
      <c r="G693" s="18" t="str">
        <f>RTD("ice.rtd",,$C693 &amp; $D693 &amp; ":" &amp; G$1)</f>
        <v/>
      </c>
      <c r="H693" s="18" t="str">
        <f>RTD("ice.rtd",,$C693 &amp; $D693 &amp; ":" &amp; H$1)</f>
        <v/>
      </c>
      <c r="I693" s="18" t="str">
        <f>RTD("ice.rtd",,$C693 &amp; $D693 &amp; ":" &amp; I$1)</f>
        <v/>
      </c>
      <c r="J693" s="14" t="str">
        <f>IFERROR(MOD(RTD("ice.rtd",,$C693 &amp; $D693 &amp; ":" &amp; J$1), 1), "")</f>
        <v/>
      </c>
      <c r="K693" s="18" t="str">
        <f>RTD("ice.rtd",,$C693 &amp; $D693 &amp; ":" &amp; K$1)</f>
        <v/>
      </c>
      <c r="L693" s="36" t="str">
        <f>RTD("ice.rtd",,$C693 &amp; $D693 &amp; ":" &amp; L$1)</f>
        <v/>
      </c>
      <c r="M693" s="14" t="str">
        <f>IFERROR(MOD(TIMEVALUE(RTD("ice.rtd",,$C693 &amp; $D693 &amp; ":" &amp; M$1)), 1), "")</f>
        <v/>
      </c>
      <c r="N693" s="36">
        <f>RTD("ice.rtd",,$C693 &amp; $D693 &amp; ":" &amp; N$1)</f>
        <v>0</v>
      </c>
      <c r="O693" s="36">
        <f>RTD("ice.rtd",,$C693 &amp; $D693 &amp; ":" &amp; O$1)</f>
        <v>0</v>
      </c>
      <c r="P6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3" s="14" t="str">
        <f>IF(ICE[[#This Row],[LastType]] = "Scrn", ICE[[#This Row],[LstDate]], IF(ICE[[#This Row],[LastType]] = "Blk", ICE[[#This Row],[LstBlkTime]], ""))</f>
        <v/>
      </c>
      <c r="R693" s="41" t="str">
        <f>IF(ICE[[#This Row],[LastType]] = "Scrn", ICE[[#This Row],[LstPrc]], IF(ICE[[#This Row],[LastType]] = "Blk", ICE[[#This Row],[LstBlkPrc]], ""))</f>
        <v/>
      </c>
      <c r="S693" s="36">
        <f>ICE[[#This Row],[Vol]]+ICE[[#This Row],[BlkVol]]</f>
        <v>0</v>
      </c>
      <c r="T693" s="36">
        <f>RTD("ice.rtd",,$C693 &amp; $D693 &amp; ":" &amp; T$1)</f>
        <v>0</v>
      </c>
      <c r="U693" s="18">
        <f>RTD("ice.rtd",,$C693 &amp; $D693 &amp; ":" &amp; U$1)</f>
        <v>-3</v>
      </c>
      <c r="V6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3" s="18" t="str">
        <f>IFERROR(IF(LEFT(ICE[[#This Row],[Tenor]], 1) = "B", RTD("esrtd",,$B693 &amp; " " &amp; ICE[[#This Row],[Tenor]] &amp; "-IEU", W$1), RTD("esrtd",,$B693 &amp; " " &amp; VLOOKUP(MONTH(ICE[[#This Row],[Strip]]), MthRef[], 2, 0) &amp; RIGHT(YEAR(ICE[[#This Row],[Strip]]), 2) &amp; "-IEU", W$1)), "")</f>
        <v/>
      </c>
      <c r="X693" s="36"/>
    </row>
    <row r="694" spans="1:24" x14ac:dyDescent="0.25">
      <c r="A694" s="37" t="s">
        <v>418</v>
      </c>
      <c r="B694" s="3" t="str">
        <f>RTD("ice.rtd",,$C694 &amp; $D694 &amp; ":" &amp; B$1)</f>
        <v>ULT</v>
      </c>
      <c r="C694" s="3">
        <v>35554145</v>
      </c>
      <c r="D694" t="s">
        <v>813</v>
      </c>
      <c r="E694" s="3" t="str">
        <f>RTD("ice.rtd",,$C694 &amp; $D694 &amp; ":" &amp; E$1)</f>
        <v>Sep28</v>
      </c>
      <c r="F694" s="3" t="str">
        <f>ICE[[#This Row],[Prod]]&amp;ICE[[#This Row],[Strip]]</f>
        <v>go01ccndiffSep28</v>
      </c>
      <c r="G694" s="18" t="str">
        <f>RTD("ice.rtd",,$C694 &amp; $D694 &amp; ":" &amp; G$1)</f>
        <v/>
      </c>
      <c r="H694" s="18" t="str">
        <f>RTD("ice.rtd",,$C694 &amp; $D694 &amp; ":" &amp; H$1)</f>
        <v/>
      </c>
      <c r="I694" s="18" t="str">
        <f>RTD("ice.rtd",,$C694 &amp; $D694 &amp; ":" &amp; I$1)</f>
        <v/>
      </c>
      <c r="J694" s="14" t="str">
        <f>IFERROR(MOD(RTD("ice.rtd",,$C694 &amp; $D694 &amp; ":" &amp; J$1), 1), "")</f>
        <v/>
      </c>
      <c r="K694" s="18" t="str">
        <f>RTD("ice.rtd",,$C694 &amp; $D694 &amp; ":" &amp; K$1)</f>
        <v/>
      </c>
      <c r="L694" s="36" t="str">
        <f>RTD("ice.rtd",,$C694 &amp; $D694 &amp; ":" &amp; L$1)</f>
        <v/>
      </c>
      <c r="M694" s="14" t="str">
        <f>IFERROR(MOD(TIMEVALUE(RTD("ice.rtd",,$C694 &amp; $D694 &amp; ":" &amp; M$1)), 1), "")</f>
        <v/>
      </c>
      <c r="N694" s="36">
        <f>RTD("ice.rtd",,$C694 &amp; $D694 &amp; ":" &amp; N$1)</f>
        <v>0</v>
      </c>
      <c r="O694" s="36">
        <f>RTD("ice.rtd",,$C694 &amp; $D694 &amp; ":" &amp; O$1)</f>
        <v>0</v>
      </c>
      <c r="P6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4" s="14" t="str">
        <f>IF(ICE[[#This Row],[LastType]] = "Scrn", ICE[[#This Row],[LstDate]], IF(ICE[[#This Row],[LastType]] = "Blk", ICE[[#This Row],[LstBlkTime]], ""))</f>
        <v/>
      </c>
      <c r="R694" s="41" t="str">
        <f>IF(ICE[[#This Row],[LastType]] = "Scrn", ICE[[#This Row],[LstPrc]], IF(ICE[[#This Row],[LastType]] = "Blk", ICE[[#This Row],[LstBlkPrc]], ""))</f>
        <v/>
      </c>
      <c r="S694" s="36">
        <f>ICE[[#This Row],[Vol]]+ICE[[#This Row],[BlkVol]]</f>
        <v>0</v>
      </c>
      <c r="T694" s="36">
        <f>RTD("ice.rtd",,$C694 &amp; $D694 &amp; ":" &amp; T$1)</f>
        <v>0</v>
      </c>
      <c r="U694" s="18">
        <f>RTD("ice.rtd",,$C694 &amp; $D694 &amp; ":" &amp; U$1)</f>
        <v>-3</v>
      </c>
      <c r="V6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4" s="18" t="str">
        <f>IFERROR(IF(LEFT(ICE[[#This Row],[Tenor]], 1) = "B", RTD("esrtd",,$B694 &amp; " " &amp; ICE[[#This Row],[Tenor]] &amp; "-IEU", W$1), RTD("esrtd",,$B694 &amp; " " &amp; VLOOKUP(MONTH(ICE[[#This Row],[Strip]]), MthRef[], 2, 0) &amp; RIGHT(YEAR(ICE[[#This Row],[Strip]]), 2) &amp; "-IEU", W$1)), "")</f>
        <v/>
      </c>
      <c r="X694" s="36"/>
    </row>
    <row r="695" spans="1:24" x14ac:dyDescent="0.25">
      <c r="A695" s="37" t="s">
        <v>418</v>
      </c>
      <c r="B695" s="3" t="str">
        <f>RTD("ice.rtd",,$C695 &amp; $D695 &amp; ":" &amp; B$1)</f>
        <v>ULT</v>
      </c>
      <c r="C695" s="3">
        <v>35554145</v>
      </c>
      <c r="D695" t="s">
        <v>814</v>
      </c>
      <c r="E695" s="3" t="str">
        <f>RTD("ice.rtd",,$C695 &amp; $D695 &amp; ":" &amp; E$1)</f>
        <v>Q4 26</v>
      </c>
      <c r="F695" s="3" t="str">
        <f>ICE[[#This Row],[Prod]]&amp;ICE[[#This Row],[Strip]]</f>
        <v>go01ccndiffQ4 26</v>
      </c>
      <c r="G695" s="18" t="str">
        <f>RTD("ice.rtd",,$C695 &amp; $D695 &amp; ":" &amp; G$1)</f>
        <v/>
      </c>
      <c r="H695" s="18" t="str">
        <f>RTD("ice.rtd",,$C695 &amp; $D695 &amp; ":" &amp; H$1)</f>
        <v/>
      </c>
      <c r="I695" s="18" t="str">
        <f>RTD("ice.rtd",,$C695 &amp; $D695 &amp; ":" &amp; I$1)</f>
        <v/>
      </c>
      <c r="J695" s="14" t="str">
        <f>IFERROR(MOD(RTD("ice.rtd",,$C695 &amp; $D695 &amp; ":" &amp; J$1), 1), "")</f>
        <v/>
      </c>
      <c r="K695" s="18" t="str">
        <f>RTD("ice.rtd",,$C695 &amp; $D695 &amp; ":" &amp; K$1)</f>
        <v/>
      </c>
      <c r="L695" s="36" t="str">
        <f>RTD("ice.rtd",,$C695 &amp; $D695 &amp; ":" &amp; L$1)</f>
        <v/>
      </c>
      <c r="M695" s="14" t="str">
        <f>IFERROR(MOD(TIMEVALUE(RTD("ice.rtd",,$C695 &amp; $D695 &amp; ":" &amp; M$1)), 1), "")</f>
        <v/>
      </c>
      <c r="N695" s="36">
        <f>RTD("ice.rtd",,$C695 &amp; $D695 &amp; ":" &amp; N$1)</f>
        <v>0</v>
      </c>
      <c r="O695" s="36">
        <f>RTD("ice.rtd",,$C695 &amp; $D695 &amp; ":" &amp; O$1)</f>
        <v>0</v>
      </c>
      <c r="P6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5" s="14" t="str">
        <f>IF(ICE[[#This Row],[LastType]] = "Scrn", ICE[[#This Row],[LstDate]], IF(ICE[[#This Row],[LastType]] = "Blk", ICE[[#This Row],[LstBlkTime]], ""))</f>
        <v/>
      </c>
      <c r="R695" s="41" t="str">
        <f>IF(ICE[[#This Row],[LastType]] = "Scrn", ICE[[#This Row],[LstPrc]], IF(ICE[[#This Row],[LastType]] = "Blk", ICE[[#This Row],[LstBlkPrc]], ""))</f>
        <v/>
      </c>
      <c r="S695" s="36">
        <f>ICE[[#This Row],[Vol]]+ICE[[#This Row],[BlkVol]]</f>
        <v>0</v>
      </c>
      <c r="T695" s="36">
        <f>RTD("ice.rtd",,$C695 &amp; $D695 &amp; ":" &amp; T$1)</f>
        <v>0</v>
      </c>
      <c r="U695" s="18">
        <f>RTD("ice.rtd",,$C695 &amp; $D695 &amp; ":" &amp; U$1)</f>
        <v>-13.333</v>
      </c>
      <c r="V6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5" s="18" t="str">
        <f>IFERROR(IF(LEFT(ICE[[#This Row],[Tenor]], 1) = "B", RTD("esrtd",,$B695 &amp; " " &amp; ICE[[#This Row],[Tenor]] &amp; "-IEU", W$1), RTD("esrtd",,$B695 &amp; " " &amp; VLOOKUP(MONTH(ICE[[#This Row],[Strip]]), MthRef[], 2, 0) &amp; RIGHT(YEAR(ICE[[#This Row],[Strip]]), 2) &amp; "-IEU", W$1)), "")</f>
        <v/>
      </c>
      <c r="X695" s="36"/>
    </row>
    <row r="696" spans="1:24" x14ac:dyDescent="0.25">
      <c r="A696" s="37" t="s">
        <v>418</v>
      </c>
      <c r="B696" s="3" t="str">
        <f>RTD("ice.rtd",,$C696 &amp; $D696 &amp; ":" &amp; B$1)</f>
        <v>ULT</v>
      </c>
      <c r="C696" s="3">
        <v>35554145</v>
      </c>
      <c r="D696" t="s">
        <v>815</v>
      </c>
      <c r="E696" s="3" t="str">
        <f>RTD("ice.rtd",,$C696 &amp; $D696 &amp; ":" &amp; E$1)</f>
        <v>Q1 27</v>
      </c>
      <c r="F696" s="3" t="str">
        <f>ICE[[#This Row],[Prod]]&amp;ICE[[#This Row],[Strip]]</f>
        <v>go01ccndiffQ1 27</v>
      </c>
      <c r="G696" s="18" t="str">
        <f>RTD("ice.rtd",,$C696 &amp; $D696 &amp; ":" &amp; G$1)</f>
        <v/>
      </c>
      <c r="H696" s="18" t="str">
        <f>RTD("ice.rtd",,$C696 &amp; $D696 &amp; ":" &amp; H$1)</f>
        <v/>
      </c>
      <c r="I696" s="18" t="str">
        <f>RTD("ice.rtd",,$C696 &amp; $D696 &amp; ":" &amp; I$1)</f>
        <v/>
      </c>
      <c r="J696" s="14" t="str">
        <f>IFERROR(MOD(RTD("ice.rtd",,$C696 &amp; $D696 &amp; ":" &amp; J$1), 1), "")</f>
        <v/>
      </c>
      <c r="K696" s="18" t="str">
        <f>RTD("ice.rtd",,$C696 &amp; $D696 &amp; ":" &amp; K$1)</f>
        <v/>
      </c>
      <c r="L696" s="36" t="str">
        <f>RTD("ice.rtd",,$C696 &amp; $D696 &amp; ":" &amp; L$1)</f>
        <v/>
      </c>
      <c r="M696" s="14" t="str">
        <f>IFERROR(MOD(TIMEVALUE(RTD("ice.rtd",,$C696 &amp; $D696 &amp; ":" &amp; M$1)), 1), "")</f>
        <v/>
      </c>
      <c r="N696" s="36">
        <f>RTD("ice.rtd",,$C696 &amp; $D696 &amp; ":" &amp; N$1)</f>
        <v>0</v>
      </c>
      <c r="O696" s="36">
        <f>RTD("ice.rtd",,$C696 &amp; $D696 &amp; ":" &amp; O$1)</f>
        <v>0</v>
      </c>
      <c r="P6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6" s="14" t="str">
        <f>IF(ICE[[#This Row],[LastType]] = "Scrn", ICE[[#This Row],[LstDate]], IF(ICE[[#This Row],[LastType]] = "Blk", ICE[[#This Row],[LstBlkTime]], ""))</f>
        <v/>
      </c>
      <c r="R696" s="41" t="str">
        <f>IF(ICE[[#This Row],[LastType]] = "Scrn", ICE[[#This Row],[LstPrc]], IF(ICE[[#This Row],[LastType]] = "Blk", ICE[[#This Row],[LstBlkPrc]], ""))</f>
        <v/>
      </c>
      <c r="S696" s="36">
        <f>ICE[[#This Row],[Vol]]+ICE[[#This Row],[BlkVol]]</f>
        <v>0</v>
      </c>
      <c r="T696" s="36">
        <f>RTD("ice.rtd",,$C696 &amp; $D696 &amp; ":" &amp; T$1)</f>
        <v>0</v>
      </c>
      <c r="U696" s="18">
        <f>RTD("ice.rtd",,$C696 &amp; $D696 &amp; ":" &amp; U$1)</f>
        <v>-9</v>
      </c>
      <c r="V6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6" s="18" t="str">
        <f>IFERROR(IF(LEFT(ICE[[#This Row],[Tenor]], 1) = "B", RTD("esrtd",,$B696 &amp; " " &amp; ICE[[#This Row],[Tenor]] &amp; "-IEU", W$1), RTD("esrtd",,$B696 &amp; " " &amp; VLOOKUP(MONTH(ICE[[#This Row],[Strip]]), MthRef[], 2, 0) &amp; RIGHT(YEAR(ICE[[#This Row],[Strip]]), 2) &amp; "-IEU", W$1)), "")</f>
        <v/>
      </c>
      <c r="X696" s="36"/>
    </row>
    <row r="697" spans="1:24" x14ac:dyDescent="0.25">
      <c r="A697" s="37" t="s">
        <v>418</v>
      </c>
      <c r="B697" s="3" t="str">
        <f>RTD("ice.rtd",,$C697 &amp; $D697 &amp; ":" &amp; B$1)</f>
        <v>ULT</v>
      </c>
      <c r="C697" s="3">
        <v>35554145</v>
      </c>
      <c r="D697" t="s">
        <v>816</v>
      </c>
      <c r="E697" s="3" t="str">
        <f>RTD("ice.rtd",,$C697 &amp; $D697 &amp; ":" &amp; E$1)</f>
        <v>Q2 27</v>
      </c>
      <c r="F697" s="3" t="str">
        <f>ICE[[#This Row],[Prod]]&amp;ICE[[#This Row],[Strip]]</f>
        <v>go01ccndiffQ2 27</v>
      </c>
      <c r="G697" s="18" t="str">
        <f>RTD("ice.rtd",,$C697 &amp; $D697 &amp; ":" &amp; G$1)</f>
        <v/>
      </c>
      <c r="H697" s="18" t="str">
        <f>RTD("ice.rtd",,$C697 &amp; $D697 &amp; ":" &amp; H$1)</f>
        <v/>
      </c>
      <c r="I697" s="18" t="str">
        <f>RTD("ice.rtd",,$C697 &amp; $D697 &amp; ":" &amp; I$1)</f>
        <v/>
      </c>
      <c r="J697" s="14" t="str">
        <f>IFERROR(MOD(RTD("ice.rtd",,$C697 &amp; $D697 &amp; ":" &amp; J$1), 1), "")</f>
        <v/>
      </c>
      <c r="K697" s="18" t="str">
        <f>RTD("ice.rtd",,$C697 &amp; $D697 &amp; ":" &amp; K$1)</f>
        <v/>
      </c>
      <c r="L697" s="36" t="str">
        <f>RTD("ice.rtd",,$C697 &amp; $D697 &amp; ":" &amp; L$1)</f>
        <v/>
      </c>
      <c r="M697" s="14" t="str">
        <f>IFERROR(MOD(TIMEVALUE(RTD("ice.rtd",,$C697 &amp; $D697 &amp; ":" &amp; M$1)), 1), "")</f>
        <v/>
      </c>
      <c r="N697" s="36">
        <f>RTD("ice.rtd",,$C697 &amp; $D697 &amp; ":" &amp; N$1)</f>
        <v>0</v>
      </c>
      <c r="O697" s="36">
        <f>RTD("ice.rtd",,$C697 &amp; $D697 &amp; ":" &amp; O$1)</f>
        <v>0</v>
      </c>
      <c r="P6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7" s="14" t="str">
        <f>IF(ICE[[#This Row],[LastType]] = "Scrn", ICE[[#This Row],[LstDate]], IF(ICE[[#This Row],[LastType]] = "Blk", ICE[[#This Row],[LstBlkTime]], ""))</f>
        <v/>
      </c>
      <c r="R697" s="41" t="str">
        <f>IF(ICE[[#This Row],[LastType]] = "Scrn", ICE[[#This Row],[LstPrc]], IF(ICE[[#This Row],[LastType]] = "Blk", ICE[[#This Row],[LstBlkPrc]], ""))</f>
        <v/>
      </c>
      <c r="S697" s="36">
        <f>ICE[[#This Row],[Vol]]+ICE[[#This Row],[BlkVol]]</f>
        <v>0</v>
      </c>
      <c r="T697" s="36">
        <f>RTD("ice.rtd",,$C697 &amp; $D697 &amp; ":" &amp; T$1)</f>
        <v>0</v>
      </c>
      <c r="U697" s="18">
        <f>RTD("ice.rtd",,$C697 &amp; $D697 &amp; ":" &amp; U$1)</f>
        <v>-5</v>
      </c>
      <c r="V6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7" s="18" t="str">
        <f>IFERROR(IF(LEFT(ICE[[#This Row],[Tenor]], 1) = "B", RTD("esrtd",,$B697 &amp; " " &amp; ICE[[#This Row],[Tenor]] &amp; "-IEU", W$1), RTD("esrtd",,$B697 &amp; " " &amp; VLOOKUP(MONTH(ICE[[#This Row],[Strip]]), MthRef[], 2, 0) &amp; RIGHT(YEAR(ICE[[#This Row],[Strip]]), 2) &amp; "-IEU", W$1)), "")</f>
        <v/>
      </c>
      <c r="X697" s="36"/>
    </row>
    <row r="698" spans="1:24" x14ac:dyDescent="0.25">
      <c r="A698" s="37" t="s">
        <v>418</v>
      </c>
      <c r="B698" s="3" t="str">
        <f>RTD("ice.rtd",,$C698 &amp; $D698 &amp; ":" &amp; B$1)</f>
        <v>ULT</v>
      </c>
      <c r="C698" s="3">
        <v>35554145</v>
      </c>
      <c r="D698" t="s">
        <v>817</v>
      </c>
      <c r="E698" s="3" t="str">
        <f>RTD("ice.rtd",,$C698 &amp; $D698 &amp; ":" &amp; E$1)</f>
        <v>Q3 27</v>
      </c>
      <c r="F698" s="3" t="str">
        <f>ICE[[#This Row],[Prod]]&amp;ICE[[#This Row],[Strip]]</f>
        <v>go01ccndiffQ3 27</v>
      </c>
      <c r="G698" s="18" t="str">
        <f>RTD("ice.rtd",,$C698 &amp; $D698 &amp; ":" &amp; G$1)</f>
        <v/>
      </c>
      <c r="H698" s="18" t="str">
        <f>RTD("ice.rtd",,$C698 &amp; $D698 &amp; ":" &amp; H$1)</f>
        <v/>
      </c>
      <c r="I698" s="18" t="str">
        <f>RTD("ice.rtd",,$C698 &amp; $D698 &amp; ":" &amp; I$1)</f>
        <v/>
      </c>
      <c r="J698" s="14" t="str">
        <f>IFERROR(MOD(RTD("ice.rtd",,$C698 &amp; $D698 &amp; ":" &amp; J$1), 1), "")</f>
        <v/>
      </c>
      <c r="K698" s="18" t="str">
        <f>RTD("ice.rtd",,$C698 &amp; $D698 &amp; ":" &amp; K$1)</f>
        <v/>
      </c>
      <c r="L698" s="36" t="str">
        <f>RTD("ice.rtd",,$C698 &amp; $D698 &amp; ":" &amp; L$1)</f>
        <v/>
      </c>
      <c r="M698" s="14" t="str">
        <f>IFERROR(MOD(TIMEVALUE(RTD("ice.rtd",,$C698 &amp; $D698 &amp; ":" &amp; M$1)), 1), "")</f>
        <v/>
      </c>
      <c r="N698" s="36">
        <f>RTD("ice.rtd",,$C698 &amp; $D698 &amp; ":" &amp; N$1)</f>
        <v>0</v>
      </c>
      <c r="O698" s="36">
        <f>RTD("ice.rtd",,$C698 &amp; $D698 &amp; ":" &amp; O$1)</f>
        <v>0</v>
      </c>
      <c r="P6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8" s="14" t="str">
        <f>IF(ICE[[#This Row],[LastType]] = "Scrn", ICE[[#This Row],[LstDate]], IF(ICE[[#This Row],[LastType]] = "Blk", ICE[[#This Row],[LstBlkTime]], ""))</f>
        <v/>
      </c>
      <c r="R698" s="41" t="str">
        <f>IF(ICE[[#This Row],[LastType]] = "Scrn", ICE[[#This Row],[LstPrc]], IF(ICE[[#This Row],[LastType]] = "Blk", ICE[[#This Row],[LstBlkPrc]], ""))</f>
        <v/>
      </c>
      <c r="S698" s="36">
        <f>ICE[[#This Row],[Vol]]+ICE[[#This Row],[BlkVol]]</f>
        <v>0</v>
      </c>
      <c r="T698" s="36">
        <f>RTD("ice.rtd",,$C698 &amp; $D698 &amp; ":" &amp; T$1)</f>
        <v>0</v>
      </c>
      <c r="U698" s="18">
        <f>RTD("ice.rtd",,$C698 &amp; $D698 &amp; ":" &amp; U$1)</f>
        <v>-5</v>
      </c>
      <c r="V6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8" s="18" t="str">
        <f>IFERROR(IF(LEFT(ICE[[#This Row],[Tenor]], 1) = "B", RTD("esrtd",,$B698 &amp; " " &amp; ICE[[#This Row],[Tenor]] &amp; "-IEU", W$1), RTD("esrtd",,$B698 &amp; " " &amp; VLOOKUP(MONTH(ICE[[#This Row],[Strip]]), MthRef[], 2, 0) &amp; RIGHT(YEAR(ICE[[#This Row],[Strip]]), 2) &amp; "-IEU", W$1)), "")</f>
        <v/>
      </c>
      <c r="X698" s="36"/>
    </row>
    <row r="699" spans="1:24" x14ac:dyDescent="0.25">
      <c r="A699" s="37" t="s">
        <v>418</v>
      </c>
      <c r="B699" s="3" t="str">
        <f>RTD("ice.rtd",,$C699 &amp; $D699 &amp; ":" &amp; B$1)</f>
        <v>ULT</v>
      </c>
      <c r="C699" s="3">
        <v>35554145</v>
      </c>
      <c r="D699" t="s">
        <v>818</v>
      </c>
      <c r="E699" s="3" t="str">
        <f>RTD("ice.rtd",,$C699 &amp; $D699 &amp; ":" &amp; E$1)</f>
        <v>Q4 27</v>
      </c>
      <c r="F699" s="3" t="str">
        <f>ICE[[#This Row],[Prod]]&amp;ICE[[#This Row],[Strip]]</f>
        <v>go01ccndiffQ4 27</v>
      </c>
      <c r="G699" s="18" t="str">
        <f>RTD("ice.rtd",,$C699 &amp; $D699 &amp; ":" &amp; G$1)</f>
        <v/>
      </c>
      <c r="H699" s="18" t="str">
        <f>RTD("ice.rtd",,$C699 &amp; $D699 &amp; ":" &amp; H$1)</f>
        <v/>
      </c>
      <c r="I699" s="18" t="str">
        <f>RTD("ice.rtd",,$C699 &amp; $D699 &amp; ":" &amp; I$1)</f>
        <v/>
      </c>
      <c r="J699" s="14" t="str">
        <f>IFERROR(MOD(RTD("ice.rtd",,$C699 &amp; $D699 &amp; ":" &amp; J$1), 1), "")</f>
        <v/>
      </c>
      <c r="K699" s="18" t="str">
        <f>RTD("ice.rtd",,$C699 &amp; $D699 &amp; ":" &amp; K$1)</f>
        <v/>
      </c>
      <c r="L699" s="36" t="str">
        <f>RTD("ice.rtd",,$C699 &amp; $D699 &amp; ":" &amp; L$1)</f>
        <v/>
      </c>
      <c r="M699" s="14" t="str">
        <f>IFERROR(MOD(TIMEVALUE(RTD("ice.rtd",,$C699 &amp; $D699 &amp; ":" &amp; M$1)), 1), "")</f>
        <v/>
      </c>
      <c r="N699" s="36">
        <f>RTD("ice.rtd",,$C699 &amp; $D699 &amp; ":" &amp; N$1)</f>
        <v>0</v>
      </c>
      <c r="O699" s="36">
        <f>RTD("ice.rtd",,$C699 &amp; $D699 &amp; ":" &amp; O$1)</f>
        <v>0</v>
      </c>
      <c r="P6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699" s="14" t="str">
        <f>IF(ICE[[#This Row],[LastType]] = "Scrn", ICE[[#This Row],[LstDate]], IF(ICE[[#This Row],[LastType]] = "Blk", ICE[[#This Row],[LstBlkTime]], ""))</f>
        <v/>
      </c>
      <c r="R699" s="41" t="str">
        <f>IF(ICE[[#This Row],[LastType]] = "Scrn", ICE[[#This Row],[LstPrc]], IF(ICE[[#This Row],[LastType]] = "Blk", ICE[[#This Row],[LstBlkPrc]], ""))</f>
        <v/>
      </c>
      <c r="S699" s="36">
        <f>ICE[[#This Row],[Vol]]+ICE[[#This Row],[BlkVol]]</f>
        <v>0</v>
      </c>
      <c r="T699" s="36">
        <f>RTD("ice.rtd",,$C699 &amp; $D699 &amp; ":" &amp; T$1)</f>
        <v>0</v>
      </c>
      <c r="U699" s="18">
        <f>RTD("ice.rtd",,$C699 &amp; $D699 &amp; ":" &amp; U$1)</f>
        <v>-5</v>
      </c>
      <c r="V6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699" s="18" t="str">
        <f>IFERROR(IF(LEFT(ICE[[#This Row],[Tenor]], 1) = "B", RTD("esrtd",,$B699 &amp; " " &amp; ICE[[#This Row],[Tenor]] &amp; "-IEU", W$1), RTD("esrtd",,$B699 &amp; " " &amp; VLOOKUP(MONTH(ICE[[#This Row],[Strip]]), MthRef[], 2, 0) &amp; RIGHT(YEAR(ICE[[#This Row],[Strip]]), 2) &amp; "-IEU", W$1)), "")</f>
        <v/>
      </c>
      <c r="X699" s="36"/>
    </row>
    <row r="700" spans="1:24" x14ac:dyDescent="0.25">
      <c r="A700" s="37" t="s">
        <v>418</v>
      </c>
      <c r="B700" s="3" t="str">
        <f>RTD("ice.rtd",,$C700 &amp; $D700 &amp; ":" &amp; B$1)</f>
        <v>ULT</v>
      </c>
      <c r="C700" s="3">
        <v>35554145</v>
      </c>
      <c r="D700" t="s">
        <v>819</v>
      </c>
      <c r="E700" s="3" t="str">
        <f>RTD("ice.rtd",,$C700 &amp; $D700 &amp; ":" &amp; E$1)</f>
        <v>Q1 28</v>
      </c>
      <c r="F700" s="3" t="str">
        <f>ICE[[#This Row],[Prod]]&amp;ICE[[#This Row],[Strip]]</f>
        <v>go01ccndiffQ1 28</v>
      </c>
      <c r="G700" s="18" t="str">
        <f>RTD("ice.rtd",,$C700 &amp; $D700 &amp; ":" &amp; G$1)</f>
        <v/>
      </c>
      <c r="H700" s="18" t="str">
        <f>RTD("ice.rtd",,$C700 &amp; $D700 &amp; ":" &amp; H$1)</f>
        <v/>
      </c>
      <c r="I700" s="18" t="str">
        <f>RTD("ice.rtd",,$C700 &amp; $D700 &amp; ":" &amp; I$1)</f>
        <v/>
      </c>
      <c r="J700" s="14" t="str">
        <f>IFERROR(MOD(RTD("ice.rtd",,$C700 &amp; $D700 &amp; ":" &amp; J$1), 1), "")</f>
        <v/>
      </c>
      <c r="K700" s="18" t="str">
        <f>RTD("ice.rtd",,$C700 &amp; $D700 &amp; ":" &amp; K$1)</f>
        <v/>
      </c>
      <c r="L700" s="36" t="str">
        <f>RTD("ice.rtd",,$C700 &amp; $D700 &amp; ":" &amp; L$1)</f>
        <v/>
      </c>
      <c r="M700" s="14" t="str">
        <f>IFERROR(MOD(TIMEVALUE(RTD("ice.rtd",,$C700 &amp; $D700 &amp; ":" &amp; M$1)), 1), "")</f>
        <v/>
      </c>
      <c r="N700" s="36">
        <f>RTD("ice.rtd",,$C700 &amp; $D700 &amp; ":" &amp; N$1)</f>
        <v>0</v>
      </c>
      <c r="O700" s="36">
        <f>RTD("ice.rtd",,$C700 &amp; $D700 &amp; ":" &amp; O$1)</f>
        <v>0</v>
      </c>
      <c r="P7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0" s="14" t="str">
        <f>IF(ICE[[#This Row],[LastType]] = "Scrn", ICE[[#This Row],[LstDate]], IF(ICE[[#This Row],[LastType]] = "Blk", ICE[[#This Row],[LstBlkTime]], ""))</f>
        <v/>
      </c>
      <c r="R700" s="41" t="str">
        <f>IF(ICE[[#This Row],[LastType]] = "Scrn", ICE[[#This Row],[LstPrc]], IF(ICE[[#This Row],[LastType]] = "Blk", ICE[[#This Row],[LstBlkPrc]], ""))</f>
        <v/>
      </c>
      <c r="S700" s="36">
        <f>ICE[[#This Row],[Vol]]+ICE[[#This Row],[BlkVol]]</f>
        <v>0</v>
      </c>
      <c r="T700" s="36">
        <f>RTD("ice.rtd",,$C700 &amp; $D700 &amp; ":" &amp; T$1)</f>
        <v>0</v>
      </c>
      <c r="U700" s="18">
        <f>RTD("ice.rtd",,$C700 &amp; $D700 &amp; ":" &amp; U$1)</f>
        <v>-3</v>
      </c>
      <c r="V7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00" s="18" t="str">
        <f>IFERROR(IF(LEFT(ICE[[#This Row],[Tenor]], 1) = "B", RTD("esrtd",,$B700 &amp; " " &amp; ICE[[#This Row],[Tenor]] &amp; "-IEU", W$1), RTD("esrtd",,$B700 &amp; " " &amp; VLOOKUP(MONTH(ICE[[#This Row],[Strip]]), MthRef[], 2, 0) &amp; RIGHT(YEAR(ICE[[#This Row],[Strip]]), 2) &amp; "-IEU", W$1)), "")</f>
        <v/>
      </c>
      <c r="X700" s="36"/>
    </row>
    <row r="701" spans="1:24" x14ac:dyDescent="0.25">
      <c r="A701" s="37" t="s">
        <v>418</v>
      </c>
      <c r="B701" s="3" t="str">
        <f>RTD("ice.rtd",,$C701 &amp; $D701 &amp; ":" &amp; B$1)</f>
        <v>ULT</v>
      </c>
      <c r="C701" s="3">
        <v>35554145</v>
      </c>
      <c r="D701" t="s">
        <v>229</v>
      </c>
      <c r="E701" s="3" t="str">
        <f>RTD("ice.rtd",,$C701 &amp; $D701 &amp; ":" &amp; E$1)</f>
        <v>Q2 28</v>
      </c>
      <c r="F701" s="3" t="str">
        <f>ICE[[#This Row],[Prod]]&amp;ICE[[#This Row],[Strip]]</f>
        <v>go01ccndiffQ2 28</v>
      </c>
      <c r="G701" s="18" t="str">
        <f>RTD("ice.rtd",,$C701 &amp; $D701 &amp; ":" &amp; G$1)</f>
        <v/>
      </c>
      <c r="H701" s="18" t="str">
        <f>RTD("ice.rtd",,$C701 &amp; $D701 &amp; ":" &amp; H$1)</f>
        <v/>
      </c>
      <c r="I701" s="18" t="str">
        <f>RTD("ice.rtd",,$C701 &amp; $D701 &amp; ":" &amp; I$1)</f>
        <v/>
      </c>
      <c r="J701" s="14" t="str">
        <f>IFERROR(MOD(RTD("ice.rtd",,$C701 &amp; $D701 &amp; ":" &amp; J$1), 1), "")</f>
        <v/>
      </c>
      <c r="K701" s="18" t="str">
        <f>RTD("ice.rtd",,$C701 &amp; $D701 &amp; ":" &amp; K$1)</f>
        <v/>
      </c>
      <c r="L701" s="36" t="str">
        <f>RTD("ice.rtd",,$C701 &amp; $D701 &amp; ":" &amp; L$1)</f>
        <v/>
      </c>
      <c r="M701" s="14" t="str">
        <f>IFERROR(MOD(TIMEVALUE(RTD("ice.rtd",,$C701 &amp; $D701 &amp; ":" &amp; M$1)), 1), "")</f>
        <v/>
      </c>
      <c r="N701" s="36">
        <f>RTD("ice.rtd",,$C701 &amp; $D701 &amp; ":" &amp; N$1)</f>
        <v>0</v>
      </c>
      <c r="O701" s="36">
        <f>RTD("ice.rtd",,$C701 &amp; $D701 &amp; ":" &amp; O$1)</f>
        <v>0</v>
      </c>
      <c r="P7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1" s="14" t="str">
        <f>IF(ICE[[#This Row],[LastType]] = "Scrn", ICE[[#This Row],[LstDate]], IF(ICE[[#This Row],[LastType]] = "Blk", ICE[[#This Row],[LstBlkTime]], ""))</f>
        <v/>
      </c>
      <c r="R701" s="41" t="str">
        <f>IF(ICE[[#This Row],[LastType]] = "Scrn", ICE[[#This Row],[LstPrc]], IF(ICE[[#This Row],[LastType]] = "Blk", ICE[[#This Row],[LstBlkPrc]], ""))</f>
        <v/>
      </c>
      <c r="S701" s="36">
        <f>ICE[[#This Row],[Vol]]+ICE[[#This Row],[BlkVol]]</f>
        <v>0</v>
      </c>
      <c r="T701" s="36">
        <f>RTD("ice.rtd",,$C701 &amp; $D701 &amp; ":" &amp; T$1)</f>
        <v>0</v>
      </c>
      <c r="U701" s="18">
        <f>RTD("ice.rtd",,$C701 &amp; $D701 &amp; ":" &amp; U$1)</f>
        <v>-3</v>
      </c>
      <c r="V7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01" s="18" t="str">
        <f>IFERROR(IF(LEFT(ICE[[#This Row],[Tenor]], 1) = "B", RTD("esrtd",,$B701 &amp; " " &amp; ICE[[#This Row],[Tenor]] &amp; "-IEU", W$1), RTD("esrtd",,$B701 &amp; " " &amp; VLOOKUP(MONTH(ICE[[#This Row],[Strip]]), MthRef[], 2, 0) &amp; RIGHT(YEAR(ICE[[#This Row],[Strip]]), 2) &amp; "-IEU", W$1)), "")</f>
        <v/>
      </c>
      <c r="X701" s="36"/>
    </row>
    <row r="702" spans="1:24" x14ac:dyDescent="0.25">
      <c r="A702" s="37" t="s">
        <v>418</v>
      </c>
      <c r="B702" s="3" t="str">
        <f>RTD("ice.rtd",,$C702 &amp; $D702 &amp; ":" &amp; B$1)</f>
        <v>ULT</v>
      </c>
      <c r="C702" s="3">
        <v>35554145</v>
      </c>
      <c r="D702" t="s">
        <v>820</v>
      </c>
      <c r="E702" s="3" t="str">
        <f>RTD("ice.rtd",,$C702 &amp; $D702 &amp; ":" &amp; E$1)</f>
        <v>Q3 28</v>
      </c>
      <c r="F702" s="3" t="str">
        <f>ICE[[#This Row],[Prod]]&amp;ICE[[#This Row],[Strip]]</f>
        <v>go01ccndiffQ3 28</v>
      </c>
      <c r="G702" s="18" t="str">
        <f>RTD("ice.rtd",,$C702 &amp; $D702 &amp; ":" &amp; G$1)</f>
        <v/>
      </c>
      <c r="H702" s="18" t="str">
        <f>RTD("ice.rtd",,$C702 &amp; $D702 &amp; ":" &amp; H$1)</f>
        <v/>
      </c>
      <c r="I702" s="18" t="str">
        <f>RTD("ice.rtd",,$C702 &amp; $D702 &amp; ":" &amp; I$1)</f>
        <v/>
      </c>
      <c r="J702" s="14" t="str">
        <f>IFERROR(MOD(RTD("ice.rtd",,$C702 &amp; $D702 &amp; ":" &amp; J$1), 1), "")</f>
        <v/>
      </c>
      <c r="K702" s="18" t="str">
        <f>RTD("ice.rtd",,$C702 &amp; $D702 &amp; ":" &amp; K$1)</f>
        <v/>
      </c>
      <c r="L702" s="36" t="str">
        <f>RTD("ice.rtd",,$C702 &amp; $D702 &amp; ":" &amp; L$1)</f>
        <v/>
      </c>
      <c r="M702" s="14" t="str">
        <f>IFERROR(MOD(TIMEVALUE(RTD("ice.rtd",,$C702 &amp; $D702 &amp; ":" &amp; M$1)), 1), "")</f>
        <v/>
      </c>
      <c r="N702" s="36">
        <f>RTD("ice.rtd",,$C702 &amp; $D702 &amp; ":" &amp; N$1)</f>
        <v>0</v>
      </c>
      <c r="O702" s="36">
        <f>RTD("ice.rtd",,$C702 &amp; $D702 &amp; ":" &amp; O$1)</f>
        <v>0</v>
      </c>
      <c r="P7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2" s="14" t="str">
        <f>IF(ICE[[#This Row],[LastType]] = "Scrn", ICE[[#This Row],[LstDate]], IF(ICE[[#This Row],[LastType]] = "Blk", ICE[[#This Row],[LstBlkTime]], ""))</f>
        <v/>
      </c>
      <c r="R702" s="41" t="str">
        <f>IF(ICE[[#This Row],[LastType]] = "Scrn", ICE[[#This Row],[LstPrc]], IF(ICE[[#This Row],[LastType]] = "Blk", ICE[[#This Row],[LstBlkPrc]], ""))</f>
        <v/>
      </c>
      <c r="S702" s="36">
        <f>ICE[[#This Row],[Vol]]+ICE[[#This Row],[BlkVol]]</f>
        <v>0</v>
      </c>
      <c r="T702" s="36">
        <f>RTD("ice.rtd",,$C702 &amp; $D702 &amp; ":" &amp; T$1)</f>
        <v>0</v>
      </c>
      <c r="U702" s="18">
        <f>RTD("ice.rtd",,$C702 &amp; $D702 &amp; ":" &amp; U$1)</f>
        <v>-3</v>
      </c>
      <c r="V7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02" s="18" t="str">
        <f>IFERROR(IF(LEFT(ICE[[#This Row],[Tenor]], 1) = "B", RTD("esrtd",,$B702 &amp; " " &amp; ICE[[#This Row],[Tenor]] &amp; "-IEU", W$1), RTD("esrtd",,$B702 &amp; " " &amp; VLOOKUP(MONTH(ICE[[#This Row],[Strip]]), MthRef[], 2, 0) &amp; RIGHT(YEAR(ICE[[#This Row],[Strip]]), 2) &amp; "-IEU", W$1)), "")</f>
        <v/>
      </c>
      <c r="X702" s="36"/>
    </row>
    <row r="703" spans="1:24" x14ac:dyDescent="0.25">
      <c r="A703" s="37" t="s">
        <v>418</v>
      </c>
      <c r="B703" s="3" t="str">
        <f>RTD("ice.rtd",,$C703 &amp; $D703 &amp; ":" &amp; B$1)</f>
        <v>ULT</v>
      </c>
      <c r="C703" s="3">
        <v>35554145</v>
      </c>
      <c r="D703" t="s">
        <v>821</v>
      </c>
      <c r="E703" s="3" t="str">
        <f>RTD("ice.rtd",,$C703 &amp; $D703 &amp; ":" &amp; E$1)</f>
        <v>Q4 28</v>
      </c>
      <c r="F703" s="3" t="str">
        <f>ICE[[#This Row],[Prod]]&amp;ICE[[#This Row],[Strip]]</f>
        <v>go01ccndiffQ4 28</v>
      </c>
      <c r="G703" s="18" t="str">
        <f>RTD("ice.rtd",,$C703 &amp; $D703 &amp; ":" &amp; G$1)</f>
        <v/>
      </c>
      <c r="H703" s="18" t="str">
        <f>RTD("ice.rtd",,$C703 &amp; $D703 &amp; ":" &amp; H$1)</f>
        <v/>
      </c>
      <c r="I703" s="18" t="str">
        <f>RTD("ice.rtd",,$C703 &amp; $D703 &amp; ":" &amp; I$1)</f>
        <v/>
      </c>
      <c r="J703" s="14" t="str">
        <f>IFERROR(MOD(RTD("ice.rtd",,$C703 &amp; $D703 &amp; ":" &amp; J$1), 1), "")</f>
        <v/>
      </c>
      <c r="K703" s="18" t="str">
        <f>RTD("ice.rtd",,$C703 &amp; $D703 &amp; ":" &amp; K$1)</f>
        <v/>
      </c>
      <c r="L703" s="36" t="str">
        <f>RTD("ice.rtd",,$C703 &amp; $D703 &amp; ":" &amp; L$1)</f>
        <v/>
      </c>
      <c r="M703" s="14" t="str">
        <f>IFERROR(MOD(TIMEVALUE(RTD("ice.rtd",,$C703 &amp; $D703 &amp; ":" &amp; M$1)), 1), "")</f>
        <v/>
      </c>
      <c r="N703" s="36">
        <f>RTD("ice.rtd",,$C703 &amp; $D703 &amp; ":" &amp; N$1)</f>
        <v>0</v>
      </c>
      <c r="O703" s="36">
        <f>RTD("ice.rtd",,$C703 &amp; $D703 &amp; ":" &amp; O$1)</f>
        <v>0</v>
      </c>
      <c r="P7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3" s="14" t="str">
        <f>IF(ICE[[#This Row],[LastType]] = "Scrn", ICE[[#This Row],[LstDate]], IF(ICE[[#This Row],[LastType]] = "Blk", ICE[[#This Row],[LstBlkTime]], ""))</f>
        <v/>
      </c>
      <c r="R703" s="41" t="str">
        <f>IF(ICE[[#This Row],[LastType]] = "Scrn", ICE[[#This Row],[LstPrc]], IF(ICE[[#This Row],[LastType]] = "Blk", ICE[[#This Row],[LstBlkPrc]], ""))</f>
        <v/>
      </c>
      <c r="S703" s="36">
        <f>ICE[[#This Row],[Vol]]+ICE[[#This Row],[BlkVol]]</f>
        <v>0</v>
      </c>
      <c r="T703" s="36">
        <f>RTD("ice.rtd",,$C703 &amp; $D703 &amp; ":" &amp; T$1)</f>
        <v>0</v>
      </c>
      <c r="U703" s="18">
        <f>RTD("ice.rtd",,$C703 &amp; $D703 &amp; ":" &amp; U$1)</f>
        <v>-3</v>
      </c>
      <c r="V7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03" s="18" t="str">
        <f>IFERROR(IF(LEFT(ICE[[#This Row],[Tenor]], 1) = "B", RTD("esrtd",,$B703 &amp; " " &amp; ICE[[#This Row],[Tenor]] &amp; "-IEU", W$1), RTD("esrtd",,$B703 &amp; " " &amp; VLOOKUP(MONTH(ICE[[#This Row],[Strip]]), MthRef[], 2, 0) &amp; RIGHT(YEAR(ICE[[#This Row],[Strip]]), 2) &amp; "-IEU", W$1)), "")</f>
        <v/>
      </c>
      <c r="X703" s="36"/>
    </row>
    <row r="704" spans="1:24" x14ac:dyDescent="0.25">
      <c r="A704" s="37" t="s">
        <v>418</v>
      </c>
      <c r="B704" s="3" t="str">
        <f>RTD("ice.rtd",,$C704 &amp; $D704 &amp; ":" &amp; B$1)</f>
        <v>ULT</v>
      </c>
      <c r="C704" s="3">
        <v>35554145</v>
      </c>
      <c r="D704" t="s">
        <v>822</v>
      </c>
      <c r="E704" s="3" t="str">
        <f>RTD("ice.rtd",,$C704 &amp; $D704 &amp; ":" &amp; E$1)</f>
        <v>Cal 27</v>
      </c>
      <c r="F704" s="3" t="str">
        <f>ICE[[#This Row],[Prod]]&amp;ICE[[#This Row],[Strip]]</f>
        <v>go01ccndiffCal 27</v>
      </c>
      <c r="G704" s="18" t="str">
        <f>RTD("ice.rtd",,$C704 &amp; $D704 &amp; ":" &amp; G$1)</f>
        <v/>
      </c>
      <c r="H704" s="18" t="str">
        <f>RTD("ice.rtd",,$C704 &amp; $D704 &amp; ":" &amp; H$1)</f>
        <v/>
      </c>
      <c r="I704" s="18" t="str">
        <f>RTD("ice.rtd",,$C704 &amp; $D704 &amp; ":" &amp; I$1)</f>
        <v/>
      </c>
      <c r="J704" s="14" t="str">
        <f>IFERROR(MOD(RTD("ice.rtd",,$C704 &amp; $D704 &amp; ":" &amp; J$1), 1), "")</f>
        <v/>
      </c>
      <c r="K704" s="18" t="str">
        <f>RTD("ice.rtd",,$C704 &amp; $D704 &amp; ":" &amp; K$1)</f>
        <v/>
      </c>
      <c r="L704" s="36" t="str">
        <f>RTD("ice.rtd",,$C704 &amp; $D704 &amp; ":" &amp; L$1)</f>
        <v/>
      </c>
      <c r="M704" s="14" t="str">
        <f>IFERROR(MOD(TIMEVALUE(RTD("ice.rtd",,$C704 &amp; $D704 &amp; ":" &amp; M$1)), 1), "")</f>
        <v/>
      </c>
      <c r="N704" s="36">
        <f>RTD("ice.rtd",,$C704 &amp; $D704 &amp; ":" &amp; N$1)</f>
        <v>0</v>
      </c>
      <c r="O704" s="36">
        <f>RTD("ice.rtd",,$C704 &amp; $D704 &amp; ":" &amp; O$1)</f>
        <v>0</v>
      </c>
      <c r="P7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4" s="14" t="str">
        <f>IF(ICE[[#This Row],[LastType]] = "Scrn", ICE[[#This Row],[LstDate]], IF(ICE[[#This Row],[LastType]] = "Blk", ICE[[#This Row],[LstBlkTime]], ""))</f>
        <v/>
      </c>
      <c r="R704" s="41" t="str">
        <f>IF(ICE[[#This Row],[LastType]] = "Scrn", ICE[[#This Row],[LstPrc]], IF(ICE[[#This Row],[LastType]] = "Blk", ICE[[#This Row],[LstBlkPrc]], ""))</f>
        <v/>
      </c>
      <c r="S704" s="36">
        <f>ICE[[#This Row],[Vol]]+ICE[[#This Row],[BlkVol]]</f>
        <v>0</v>
      </c>
      <c r="T704" s="36">
        <f>RTD("ice.rtd",,$C704 &amp; $D704 &amp; ":" &amp; T$1)</f>
        <v>0</v>
      </c>
      <c r="U704" s="18">
        <f>RTD("ice.rtd",,$C704 &amp; $D704 &amp; ":" &amp; U$1)</f>
        <v>-6</v>
      </c>
      <c r="V7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04" s="18" t="str">
        <f>IFERROR(IF(LEFT(ICE[[#This Row],[Tenor]], 1) = "B", RTD("esrtd",,$B704 &amp; " " &amp; ICE[[#This Row],[Tenor]] &amp; "-IEU", W$1), RTD("esrtd",,$B704 &amp; " " &amp; VLOOKUP(MONTH(ICE[[#This Row],[Strip]]), MthRef[], 2, 0) &amp; RIGHT(YEAR(ICE[[#This Row],[Strip]]), 2) &amp; "-IEU", W$1)), "")</f>
        <v/>
      </c>
      <c r="X704" s="36"/>
    </row>
    <row r="705" spans="1:24" x14ac:dyDescent="0.25">
      <c r="A705" s="37" t="s">
        <v>418</v>
      </c>
      <c r="B705" s="3" t="str">
        <f>RTD("ice.rtd",,$C705 &amp; $D705 &amp; ":" &amp; B$1)</f>
        <v>ULT</v>
      </c>
      <c r="C705" s="3">
        <v>35554145</v>
      </c>
      <c r="D705" t="s">
        <v>823</v>
      </c>
      <c r="E705" s="3" t="str">
        <f>RTD("ice.rtd",,$C705 &amp; $D705 &amp; ":" &amp; E$1)</f>
        <v>Cal 28</v>
      </c>
      <c r="F705" s="3" t="str">
        <f>ICE[[#This Row],[Prod]]&amp;ICE[[#This Row],[Strip]]</f>
        <v>go01ccndiffCal 28</v>
      </c>
      <c r="G705" s="18" t="str">
        <f>RTD("ice.rtd",,$C705 &amp; $D705 &amp; ":" &amp; G$1)</f>
        <v/>
      </c>
      <c r="H705" s="18" t="str">
        <f>RTD("ice.rtd",,$C705 &amp; $D705 &amp; ":" &amp; H$1)</f>
        <v/>
      </c>
      <c r="I705" s="18" t="str">
        <f>RTD("ice.rtd",,$C705 &amp; $D705 &amp; ":" &amp; I$1)</f>
        <v/>
      </c>
      <c r="J705" s="14" t="str">
        <f>IFERROR(MOD(RTD("ice.rtd",,$C705 &amp; $D705 &amp; ":" &amp; J$1), 1), "")</f>
        <v/>
      </c>
      <c r="K705" s="18" t="str">
        <f>RTD("ice.rtd",,$C705 &amp; $D705 &amp; ":" &amp; K$1)</f>
        <v/>
      </c>
      <c r="L705" s="36" t="str">
        <f>RTD("ice.rtd",,$C705 &amp; $D705 &amp; ":" &amp; L$1)</f>
        <v/>
      </c>
      <c r="M705" s="14" t="str">
        <f>IFERROR(MOD(TIMEVALUE(RTD("ice.rtd",,$C705 &amp; $D705 &amp; ":" &amp; M$1)), 1), "")</f>
        <v/>
      </c>
      <c r="N705" s="36">
        <f>RTD("ice.rtd",,$C705 &amp; $D705 &amp; ":" &amp; N$1)</f>
        <v>0</v>
      </c>
      <c r="O705" s="36">
        <f>RTD("ice.rtd",,$C705 &amp; $D705 &amp; ":" &amp; O$1)</f>
        <v>0</v>
      </c>
      <c r="P7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5" s="14" t="str">
        <f>IF(ICE[[#This Row],[LastType]] = "Scrn", ICE[[#This Row],[LstDate]], IF(ICE[[#This Row],[LastType]] = "Blk", ICE[[#This Row],[LstBlkTime]], ""))</f>
        <v/>
      </c>
      <c r="R705" s="41" t="str">
        <f>IF(ICE[[#This Row],[LastType]] = "Scrn", ICE[[#This Row],[LstPrc]], IF(ICE[[#This Row],[LastType]] = "Blk", ICE[[#This Row],[LstBlkPrc]], ""))</f>
        <v/>
      </c>
      <c r="S705" s="36">
        <f>ICE[[#This Row],[Vol]]+ICE[[#This Row],[BlkVol]]</f>
        <v>0</v>
      </c>
      <c r="T705" s="36">
        <f>RTD("ice.rtd",,$C705 &amp; $D705 &amp; ":" &amp; T$1)</f>
        <v>0</v>
      </c>
      <c r="U705" s="18">
        <f>RTD("ice.rtd",,$C705 &amp; $D705 &amp; ":" &amp; U$1)</f>
        <v>-3</v>
      </c>
      <c r="V7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05" s="18" t="str">
        <f>IFERROR(IF(LEFT(ICE[[#This Row],[Tenor]], 1) = "B", RTD("esrtd",,$B705 &amp; " " &amp; ICE[[#This Row],[Tenor]] &amp; "-IEU", W$1), RTD("esrtd",,$B705 &amp; " " &amp; VLOOKUP(MONTH(ICE[[#This Row],[Strip]]), MthRef[], 2, 0) &amp; RIGHT(YEAR(ICE[[#This Row],[Strip]]), 2) &amp; "-IEU", W$1)), "")</f>
        <v/>
      </c>
      <c r="X705" s="36"/>
    </row>
    <row r="706" spans="1:24" x14ac:dyDescent="0.25">
      <c r="A706" s="37" t="s">
        <v>418</v>
      </c>
      <c r="B706" s="3" t="str">
        <f>RTD("ice.rtd",,$C706 &amp; $D706 &amp; ":" &amp; B$1)</f>
        <v>ULT</v>
      </c>
      <c r="C706" s="3">
        <v>35554145</v>
      </c>
      <c r="D706" t="s">
        <v>824</v>
      </c>
      <c r="E706" s="3" t="str">
        <f>RTD("ice.rtd",,$C706 &amp; $D706 &amp; ":" &amp; E$1)</f>
        <v>Cal 29</v>
      </c>
      <c r="F706" s="3" t="str">
        <f>ICE[[#This Row],[Prod]]&amp;ICE[[#This Row],[Strip]]</f>
        <v>go01ccndiffCal 29</v>
      </c>
      <c r="G706" s="18" t="str">
        <f>RTD("ice.rtd",,$C706 &amp; $D706 &amp; ":" &amp; G$1)</f>
        <v/>
      </c>
      <c r="H706" s="18" t="str">
        <f>RTD("ice.rtd",,$C706 &amp; $D706 &amp; ":" &amp; H$1)</f>
        <v/>
      </c>
      <c r="I706" s="18" t="str">
        <f>RTD("ice.rtd",,$C706 &amp; $D706 &amp; ":" &amp; I$1)</f>
        <v/>
      </c>
      <c r="J706" s="14" t="str">
        <f>IFERROR(MOD(RTD("ice.rtd",,$C706 &amp; $D706 &amp; ":" &amp; J$1), 1), "")</f>
        <v/>
      </c>
      <c r="K706" s="18" t="str">
        <f>RTD("ice.rtd",,$C706 &amp; $D706 &amp; ":" &amp; K$1)</f>
        <v/>
      </c>
      <c r="L706" s="36" t="str">
        <f>RTD("ice.rtd",,$C706 &amp; $D706 &amp; ":" &amp; L$1)</f>
        <v/>
      </c>
      <c r="M706" s="14" t="str">
        <f>IFERROR(MOD(TIMEVALUE(RTD("ice.rtd",,$C706 &amp; $D706 &amp; ":" &amp; M$1)), 1), "")</f>
        <v/>
      </c>
      <c r="N706" s="36">
        <f>RTD("ice.rtd",,$C706 &amp; $D706 &amp; ":" &amp; N$1)</f>
        <v>0</v>
      </c>
      <c r="O706" s="36">
        <f>RTD("ice.rtd",,$C706 &amp; $D706 &amp; ":" &amp; O$1)</f>
        <v>0</v>
      </c>
      <c r="P7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6" s="14" t="str">
        <f>IF(ICE[[#This Row],[LastType]] = "Scrn", ICE[[#This Row],[LstDate]], IF(ICE[[#This Row],[LastType]] = "Blk", ICE[[#This Row],[LstBlkTime]], ""))</f>
        <v/>
      </c>
      <c r="R706" s="41" t="str">
        <f>IF(ICE[[#This Row],[LastType]] = "Scrn", ICE[[#This Row],[LstPrc]], IF(ICE[[#This Row],[LastType]] = "Blk", ICE[[#This Row],[LstBlkPrc]], ""))</f>
        <v/>
      </c>
      <c r="S706" s="36">
        <f>ICE[[#This Row],[Vol]]+ICE[[#This Row],[BlkVol]]</f>
        <v>0</v>
      </c>
      <c r="T706" s="36">
        <f>RTD("ice.rtd",,$C706 &amp; $D706 &amp; ":" &amp; T$1)</f>
        <v>0</v>
      </c>
      <c r="U706" s="18">
        <f>RTD("ice.rtd",,$C706 &amp; $D706 &amp; ":" &amp; U$1)</f>
        <v>-3</v>
      </c>
      <c r="V7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06" s="18" t="str">
        <f>IFERROR(IF(LEFT(ICE[[#This Row],[Tenor]], 1) = "B", RTD("esrtd",,$B706 &amp; " " &amp; ICE[[#This Row],[Tenor]] &amp; "-IEU", W$1), RTD("esrtd",,$B706 &amp; " " &amp; VLOOKUP(MONTH(ICE[[#This Row],[Strip]]), MthRef[], 2, 0) &amp; RIGHT(YEAR(ICE[[#This Row],[Strip]]), 2) &amp; "-IEU", W$1)), "")</f>
        <v/>
      </c>
      <c r="X706" s="36"/>
    </row>
    <row r="707" spans="1:24" x14ac:dyDescent="0.25">
      <c r="A707" s="37" t="s">
        <v>419</v>
      </c>
      <c r="B707" s="3" t="str">
        <f>RTD("ice.rtd",,$C707 &amp; $D707 &amp; ":" &amp; B$1)</f>
        <v>ULW</v>
      </c>
      <c r="C707" s="3">
        <v>2184924621</v>
      </c>
      <c r="D707" t="s">
        <v>792</v>
      </c>
      <c r="E707" s="3" t="str">
        <f>RTD("ice.rtd",,$C707 &amp; $D707 &amp; ":" &amp; E$1)</f>
        <v>Bal Month</v>
      </c>
      <c r="F707" s="3" t="str">
        <f>ICE[[#This Row],[Prod]]&amp;ICE[[#This Row],[Strip]]</f>
        <v>go01ccmdiffBal Month</v>
      </c>
      <c r="G707" s="18" t="str">
        <f>RTD("ice.rtd",,$C707 &amp; $D707 &amp; ":" &amp; G$1)</f>
        <v/>
      </c>
      <c r="H707" s="18" t="str">
        <f>RTD("ice.rtd",,$C707 &amp; $D707 &amp; ":" &amp; H$1)</f>
        <v/>
      </c>
      <c r="I707" s="18" t="str">
        <f>RTD("ice.rtd",,$C707 &amp; $D707 &amp; ":" &amp; I$1)</f>
        <v/>
      </c>
      <c r="J707" s="14" t="str">
        <f>IFERROR(MOD(RTD("ice.rtd",,$C707 &amp; $D707 &amp; ":" &amp; J$1), 1), "")</f>
        <v/>
      </c>
      <c r="K707" s="18">
        <f>RTD("ice.rtd",,$C707 &amp; $D707 &amp; ":" &amp; K$1)</f>
        <v>16</v>
      </c>
      <c r="L707" s="36">
        <f>RTD("ice.rtd",,$C707 &amp; $D707 &amp; ":" &amp; L$1)</f>
        <v>4</v>
      </c>
      <c r="M707" s="14">
        <f>IFERROR(MOD(TIMEVALUE(RTD("ice.rtd",,$C707 &amp; $D707 &amp; ":" &amp; M$1)), 1), "")</f>
        <v>0.3989699074074074</v>
      </c>
      <c r="N707" s="36">
        <f>RTD("ice.rtd",,$C707 &amp; $D707 &amp; ":" &amp; N$1)</f>
        <v>0</v>
      </c>
      <c r="O707" s="36">
        <f>RTD("ice.rtd",,$C707 &amp; $D707 &amp; ":" &amp; O$1)</f>
        <v>4</v>
      </c>
      <c r="P7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707" s="14">
        <f>IF(ICE[[#This Row],[LastType]] = "Scrn", ICE[[#This Row],[LstDate]], IF(ICE[[#This Row],[LastType]] = "Blk", ICE[[#This Row],[LstBlkTime]], ""))</f>
        <v>0.3989699074074074</v>
      </c>
      <c r="R707" s="41">
        <f>IF(ICE[[#This Row],[LastType]] = "Scrn", ICE[[#This Row],[LstPrc]], IF(ICE[[#This Row],[LastType]] = "Blk", ICE[[#This Row],[LstBlkPrc]], ""))</f>
        <v>16</v>
      </c>
      <c r="S707" s="36">
        <f>ICE[[#This Row],[Vol]]+ICE[[#This Row],[BlkVol]]</f>
        <v>4</v>
      </c>
      <c r="T707" s="36">
        <f>RTD("ice.rtd",,$C707 &amp; $D707 &amp; ":" &amp; T$1)</f>
        <v>0</v>
      </c>
      <c r="U707" s="18">
        <f>RTD("ice.rtd",,$C707 &amp; $D707 &amp; ":" &amp; U$1)</f>
        <v>18</v>
      </c>
      <c r="V7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{16.00} |4x</v>
      </c>
      <c r="W707" s="18" t="str">
        <f>IFERROR(IF(LEFT(ICE[[#This Row],[Tenor]], 1) = "B", RTD("esrtd",,$B707 &amp; " " &amp; ICE[[#This Row],[Tenor]] &amp; "-IEU", W$1), RTD("esrtd",,$B707 &amp; " " &amp; VLOOKUP(MONTH(ICE[[#This Row],[Strip]]), MthRef[], 2, 0) &amp; RIGHT(YEAR(ICE[[#This Row],[Strip]]), 2) &amp; "-IEU", W$1)), "")</f>
        <v/>
      </c>
      <c r="X707" s="36"/>
    </row>
    <row r="708" spans="1:24" x14ac:dyDescent="0.25">
      <c r="A708" s="37" t="s">
        <v>419</v>
      </c>
      <c r="B708" s="3" t="str">
        <f>RTD("ice.rtd",,$C708 &amp; $D708 &amp; ":" &amp; B$1)</f>
        <v>ULQ</v>
      </c>
      <c r="C708" s="3">
        <v>35534143</v>
      </c>
      <c r="D708" t="s">
        <v>793</v>
      </c>
      <c r="E708" s="3" t="str">
        <f>RTD("ice.rtd",,$C708 &amp; $D708 &amp; ":" &amp; E$1)</f>
        <v>Sep26</v>
      </c>
      <c r="F708" s="3" t="str">
        <f>ICE[[#This Row],[Prod]]&amp;ICE[[#This Row],[Strip]]</f>
        <v>go01ccmdiffSep26</v>
      </c>
      <c r="G708" s="18" t="str">
        <f>RTD("ice.rtd",,$C708 &amp; $D708 &amp; ":" &amp; G$1)</f>
        <v/>
      </c>
      <c r="H708" s="18" t="str">
        <f>RTD("ice.rtd",,$C708 &amp; $D708 &amp; ":" &amp; H$1)</f>
        <v/>
      </c>
      <c r="I708" s="18" t="str">
        <f>RTD("ice.rtd",,$C708 &amp; $D708 &amp; ":" &amp; I$1)</f>
        <v/>
      </c>
      <c r="J708" s="14" t="str">
        <f>IFERROR(MOD(RTD("ice.rtd",,$C708 &amp; $D708 &amp; ":" &amp; J$1), 1), "")</f>
        <v/>
      </c>
      <c r="K708" s="18" t="str">
        <f>RTD("ice.rtd",,$C708 &amp; $D708 &amp; ":" &amp; K$1)</f>
        <v/>
      </c>
      <c r="L708" s="36" t="str">
        <f>RTD("ice.rtd",,$C708 &amp; $D708 &amp; ":" &amp; L$1)</f>
        <v/>
      </c>
      <c r="M708" s="14" t="str">
        <f>IFERROR(MOD(TIMEVALUE(RTD("ice.rtd",,$C708 &amp; $D708 &amp; ":" &amp; M$1)), 1), "")</f>
        <v/>
      </c>
      <c r="N708" s="36">
        <f>RTD("ice.rtd",,$C708 &amp; $D708 &amp; ":" &amp; N$1)</f>
        <v>0</v>
      </c>
      <c r="O708" s="36">
        <f>RTD("ice.rtd",,$C708 &amp; $D708 &amp; ":" &amp; O$1)</f>
        <v>0</v>
      </c>
      <c r="P7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08" s="14" t="str">
        <f>IF(ICE[[#This Row],[LastType]] = "Scrn", ICE[[#This Row],[LstDate]], IF(ICE[[#This Row],[LastType]] = "Blk", ICE[[#This Row],[LstBlkTime]], ""))</f>
        <v/>
      </c>
      <c r="R708" s="41" t="str">
        <f>IF(ICE[[#This Row],[LastType]] = "Scrn", ICE[[#This Row],[LstPrc]], IF(ICE[[#This Row],[LastType]] = "Blk", ICE[[#This Row],[LstBlkPrc]], ""))</f>
        <v/>
      </c>
      <c r="S708" s="36">
        <f>ICE[[#This Row],[Vol]]+ICE[[#This Row],[BlkVol]]</f>
        <v>0</v>
      </c>
      <c r="T708" s="36">
        <f>RTD("ice.rtd",,$C708 &amp; $D708 &amp; ":" &amp; T$1)</f>
        <v>150</v>
      </c>
      <c r="U708" s="18">
        <f>RTD("ice.rtd",,$C708 &amp; $D708 &amp; ":" &amp; U$1)</f>
        <v>18</v>
      </c>
      <c r="V7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08" s="18" t="str">
        <f>IFERROR(IF(LEFT(ICE[[#This Row],[Tenor]], 1) = "B", RTD("esrtd",,$B708 &amp; " " &amp; ICE[[#This Row],[Tenor]] &amp; "-IEU", W$1), RTD("esrtd",,$B708 &amp; " " &amp; VLOOKUP(MONTH(ICE[[#This Row],[Strip]]), MthRef[], 2, 0) &amp; RIGHT(YEAR(ICE[[#This Row],[Strip]]), 2) &amp; "-IEU", W$1)), "")</f>
        <v/>
      </c>
      <c r="X708" s="36"/>
    </row>
    <row r="709" spans="1:24" x14ac:dyDescent="0.25">
      <c r="A709" s="37" t="s">
        <v>419</v>
      </c>
      <c r="B709" s="3" t="str">
        <f>RTD("ice.rtd",,$C709 &amp; $D709 &amp; ":" &amp; B$1)</f>
        <v>ULQ</v>
      </c>
      <c r="C709" s="3">
        <v>35534143</v>
      </c>
      <c r="D709" t="s">
        <v>324</v>
      </c>
      <c r="E709" s="3" t="str">
        <f>RTD("ice.rtd",,$C709 &amp; $D709 &amp; ":" &amp; E$1)</f>
        <v>Oct26</v>
      </c>
      <c r="F709" s="3" t="str">
        <f>ICE[[#This Row],[Prod]]&amp;ICE[[#This Row],[Strip]]</f>
        <v>go01ccmdiffOct26</v>
      </c>
      <c r="G709" s="18" t="str">
        <f>RTD("ice.rtd",,$C709 &amp; $D709 &amp; ":" &amp; G$1)</f>
        <v/>
      </c>
      <c r="H709" s="18" t="str">
        <f>RTD("ice.rtd",,$C709 &amp; $D709 &amp; ":" &amp; H$1)</f>
        <v/>
      </c>
      <c r="I709" s="18" t="str">
        <f>RTD("ice.rtd",,$C709 &amp; $D709 &amp; ":" &amp; I$1)</f>
        <v/>
      </c>
      <c r="J709" s="14" t="str">
        <f>IFERROR(MOD(RTD("ice.rtd",,$C709 &amp; $D709 &amp; ":" &amp; J$1), 1), "")</f>
        <v/>
      </c>
      <c r="K709" s="18">
        <f>RTD("ice.rtd",,$C709 &amp; $D709 &amp; ":" &amp; K$1)</f>
        <v>12</v>
      </c>
      <c r="L709" s="36">
        <f>RTD("ice.rtd",,$C709 &amp; $D709 &amp; ":" &amp; L$1)</f>
        <v>4</v>
      </c>
      <c r="M709" s="14">
        <f>IFERROR(MOD(TIMEVALUE(RTD("ice.rtd",,$C709 &amp; $D709 &amp; ":" &amp; M$1)), 1), "")</f>
        <v>0.3989699074074074</v>
      </c>
      <c r="N709" s="36">
        <f>RTD("ice.rtd",,$C709 &amp; $D709 &amp; ":" &amp; N$1)</f>
        <v>0</v>
      </c>
      <c r="O709" s="36">
        <f>RTD("ice.rtd",,$C709 &amp; $D709 &amp; ":" &amp; O$1)</f>
        <v>4</v>
      </c>
      <c r="P7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709" s="14">
        <f>IF(ICE[[#This Row],[LastType]] = "Scrn", ICE[[#This Row],[LstDate]], IF(ICE[[#This Row],[LastType]] = "Blk", ICE[[#This Row],[LstBlkTime]], ""))</f>
        <v>0.3989699074074074</v>
      </c>
      <c r="R709" s="41">
        <f>IF(ICE[[#This Row],[LastType]] = "Scrn", ICE[[#This Row],[LstPrc]], IF(ICE[[#This Row],[LastType]] = "Blk", ICE[[#This Row],[LstBlkPrc]], ""))</f>
        <v>12</v>
      </c>
      <c r="S709" s="36">
        <f>ICE[[#This Row],[Vol]]+ICE[[#This Row],[BlkVol]]</f>
        <v>4</v>
      </c>
      <c r="T709" s="36">
        <f>RTD("ice.rtd",,$C709 &amp; $D709 &amp; ":" &amp; T$1)</f>
        <v>87</v>
      </c>
      <c r="U709" s="18">
        <f>RTD("ice.rtd",,$C709 &amp; $D709 &amp; ":" &amp; U$1)</f>
        <v>15</v>
      </c>
      <c r="V7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{12.00} |4x</v>
      </c>
      <c r="W709" s="18" t="str">
        <f>IFERROR(IF(LEFT(ICE[[#This Row],[Tenor]], 1) = "B", RTD("esrtd",,$B709 &amp; " " &amp; ICE[[#This Row],[Tenor]] &amp; "-IEU", W$1), RTD("esrtd",,$B709 &amp; " " &amp; VLOOKUP(MONTH(ICE[[#This Row],[Strip]]), MthRef[], 2, 0) &amp; RIGHT(YEAR(ICE[[#This Row],[Strip]]), 2) &amp; "-IEU", W$1)), "")</f>
        <v/>
      </c>
      <c r="X709" s="36"/>
    </row>
    <row r="710" spans="1:24" x14ac:dyDescent="0.25">
      <c r="A710" s="37" t="s">
        <v>419</v>
      </c>
      <c r="B710" s="3" t="str">
        <f>RTD("ice.rtd",,$C710 &amp; $D710 &amp; ":" &amp; B$1)</f>
        <v>ULQ</v>
      </c>
      <c r="C710" s="3">
        <v>35534143</v>
      </c>
      <c r="D710" t="s">
        <v>325</v>
      </c>
      <c r="E710" s="3" t="str">
        <f>RTD("ice.rtd",,$C710 &amp; $D710 &amp; ":" &amp; E$1)</f>
        <v>Nov26</v>
      </c>
      <c r="F710" s="3" t="str">
        <f>ICE[[#This Row],[Prod]]&amp;ICE[[#This Row],[Strip]]</f>
        <v>go01ccmdiffNov26</v>
      </c>
      <c r="G710" s="18" t="str">
        <f>RTD("ice.rtd",,$C710 &amp; $D710 &amp; ":" &amp; G$1)</f>
        <v/>
      </c>
      <c r="H710" s="18" t="str">
        <f>RTD("ice.rtd",,$C710 &amp; $D710 &amp; ":" &amp; H$1)</f>
        <v/>
      </c>
      <c r="I710" s="18" t="str">
        <f>RTD("ice.rtd",,$C710 &amp; $D710 &amp; ":" &amp; I$1)</f>
        <v/>
      </c>
      <c r="J710" s="14" t="str">
        <f>IFERROR(MOD(RTD("ice.rtd",,$C710 &amp; $D710 &amp; ":" &amp; J$1), 1), "")</f>
        <v/>
      </c>
      <c r="K710" s="18" t="str">
        <f>RTD("ice.rtd",,$C710 &amp; $D710 &amp; ":" &amp; K$1)</f>
        <v/>
      </c>
      <c r="L710" s="36" t="str">
        <f>RTD("ice.rtd",,$C710 &amp; $D710 &amp; ":" &amp; L$1)</f>
        <v/>
      </c>
      <c r="M710" s="14" t="str">
        <f>IFERROR(MOD(TIMEVALUE(RTD("ice.rtd",,$C710 &amp; $D710 &amp; ":" &amp; M$1)), 1), "")</f>
        <v/>
      </c>
      <c r="N710" s="36">
        <f>RTD("ice.rtd",,$C710 &amp; $D710 &amp; ":" &amp; N$1)</f>
        <v>0</v>
      </c>
      <c r="O710" s="36">
        <f>RTD("ice.rtd",,$C710 &amp; $D710 &amp; ":" &amp; O$1)</f>
        <v>0</v>
      </c>
      <c r="P7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0" s="14" t="str">
        <f>IF(ICE[[#This Row],[LastType]] = "Scrn", ICE[[#This Row],[LstDate]], IF(ICE[[#This Row],[LastType]] = "Blk", ICE[[#This Row],[LstBlkTime]], ""))</f>
        <v/>
      </c>
      <c r="R710" s="41" t="str">
        <f>IF(ICE[[#This Row],[LastType]] = "Scrn", ICE[[#This Row],[LstPrc]], IF(ICE[[#This Row],[LastType]] = "Blk", ICE[[#This Row],[LstBlkPrc]], ""))</f>
        <v/>
      </c>
      <c r="S710" s="36">
        <f>ICE[[#This Row],[Vol]]+ICE[[#This Row],[BlkVol]]</f>
        <v>0</v>
      </c>
      <c r="T710" s="36">
        <f>RTD("ice.rtd",,$C710 &amp; $D710 &amp; ":" &amp; T$1)</f>
        <v>92</v>
      </c>
      <c r="U710" s="18">
        <f>RTD("ice.rtd",,$C710 &amp; $D710 &amp; ":" &amp; U$1)</f>
        <v>13</v>
      </c>
      <c r="V7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0" s="18" t="str">
        <f>IFERROR(IF(LEFT(ICE[[#This Row],[Tenor]], 1) = "B", RTD("esrtd",,$B710 &amp; " " &amp; ICE[[#This Row],[Tenor]] &amp; "-IEU", W$1), RTD("esrtd",,$B710 &amp; " " &amp; VLOOKUP(MONTH(ICE[[#This Row],[Strip]]), MthRef[], 2, 0) &amp; RIGHT(YEAR(ICE[[#This Row],[Strip]]), 2) &amp; "-IEU", W$1)), "")</f>
        <v/>
      </c>
      <c r="X710" s="36"/>
    </row>
    <row r="711" spans="1:24" x14ac:dyDescent="0.25">
      <c r="A711" s="37" t="s">
        <v>419</v>
      </c>
      <c r="B711" s="3" t="str">
        <f>RTD("ice.rtd",,$C711 &amp; $D711 &amp; ":" &amp; B$1)</f>
        <v>ULQ</v>
      </c>
      <c r="C711" s="3">
        <v>35534143</v>
      </c>
      <c r="D711" t="s">
        <v>326</v>
      </c>
      <c r="E711" s="3" t="str">
        <f>RTD("ice.rtd",,$C711 &amp; $D711 &amp; ":" &amp; E$1)</f>
        <v>Dec26</v>
      </c>
      <c r="F711" s="3" t="str">
        <f>ICE[[#This Row],[Prod]]&amp;ICE[[#This Row],[Strip]]</f>
        <v>go01ccmdiffDec26</v>
      </c>
      <c r="G711" s="18" t="str">
        <f>RTD("ice.rtd",,$C711 &amp; $D711 &amp; ":" &amp; G$1)</f>
        <v/>
      </c>
      <c r="H711" s="18" t="str">
        <f>RTD("ice.rtd",,$C711 &amp; $D711 &amp; ":" &amp; H$1)</f>
        <v/>
      </c>
      <c r="I711" s="18" t="str">
        <f>RTD("ice.rtd",,$C711 &amp; $D711 &amp; ":" &amp; I$1)</f>
        <v/>
      </c>
      <c r="J711" s="14" t="str">
        <f>IFERROR(MOD(RTD("ice.rtd",,$C711 &amp; $D711 &amp; ":" &amp; J$1), 1), "")</f>
        <v/>
      </c>
      <c r="K711" s="18" t="str">
        <f>RTD("ice.rtd",,$C711 &amp; $D711 &amp; ":" &amp; K$1)</f>
        <v/>
      </c>
      <c r="L711" s="36" t="str">
        <f>RTD("ice.rtd",,$C711 &amp; $D711 &amp; ":" &amp; L$1)</f>
        <v/>
      </c>
      <c r="M711" s="14" t="str">
        <f>IFERROR(MOD(TIMEVALUE(RTD("ice.rtd",,$C711 &amp; $D711 &amp; ":" &amp; M$1)), 1), "")</f>
        <v/>
      </c>
      <c r="N711" s="36">
        <f>RTD("ice.rtd",,$C711 &amp; $D711 &amp; ":" &amp; N$1)</f>
        <v>0</v>
      </c>
      <c r="O711" s="36">
        <f>RTD("ice.rtd",,$C711 &amp; $D711 &amp; ":" &amp; O$1)</f>
        <v>0</v>
      </c>
      <c r="P7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1" s="14" t="str">
        <f>IF(ICE[[#This Row],[LastType]] = "Scrn", ICE[[#This Row],[LstDate]], IF(ICE[[#This Row],[LastType]] = "Blk", ICE[[#This Row],[LstBlkTime]], ""))</f>
        <v/>
      </c>
      <c r="R711" s="41" t="str">
        <f>IF(ICE[[#This Row],[LastType]] = "Scrn", ICE[[#This Row],[LstPrc]], IF(ICE[[#This Row],[LastType]] = "Blk", ICE[[#This Row],[LstBlkPrc]], ""))</f>
        <v/>
      </c>
      <c r="S711" s="36">
        <f>ICE[[#This Row],[Vol]]+ICE[[#This Row],[BlkVol]]</f>
        <v>0</v>
      </c>
      <c r="T711" s="36">
        <f>RTD("ice.rtd",,$C711 &amp; $D711 &amp; ":" &amp; T$1)</f>
        <v>60</v>
      </c>
      <c r="U711" s="18">
        <f>RTD("ice.rtd",,$C711 &amp; $D711 &amp; ":" &amp; U$1)</f>
        <v>7</v>
      </c>
      <c r="V7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1" s="18" t="str">
        <f>IFERROR(IF(LEFT(ICE[[#This Row],[Tenor]], 1) = "B", RTD("esrtd",,$B711 &amp; " " &amp; ICE[[#This Row],[Tenor]] &amp; "-IEU", W$1), RTD("esrtd",,$B711 &amp; " " &amp; VLOOKUP(MONTH(ICE[[#This Row],[Strip]]), MthRef[], 2, 0) &amp; RIGHT(YEAR(ICE[[#This Row],[Strip]]), 2) &amp; "-IEU", W$1)), "")</f>
        <v/>
      </c>
      <c r="X711" s="36"/>
    </row>
    <row r="712" spans="1:24" x14ac:dyDescent="0.25">
      <c r="A712" s="37" t="s">
        <v>419</v>
      </c>
      <c r="B712" s="3" t="str">
        <f>RTD("ice.rtd",,$C712 &amp; $D712 &amp; ":" &amp; B$1)</f>
        <v>ULQ</v>
      </c>
      <c r="C712" s="3">
        <v>35534143</v>
      </c>
      <c r="D712" t="s">
        <v>794</v>
      </c>
      <c r="E712" s="3" t="str">
        <f>RTD("ice.rtd",,$C712 &amp; $D712 &amp; ":" &amp; E$1)</f>
        <v>Jan27</v>
      </c>
      <c r="F712" s="3" t="str">
        <f>ICE[[#This Row],[Prod]]&amp;ICE[[#This Row],[Strip]]</f>
        <v>go01ccmdiffJan27</v>
      </c>
      <c r="G712" s="18" t="str">
        <f>RTD("ice.rtd",,$C712 &amp; $D712 &amp; ":" &amp; G$1)</f>
        <v/>
      </c>
      <c r="H712" s="18" t="str">
        <f>RTD("ice.rtd",,$C712 &amp; $D712 &amp; ":" &amp; H$1)</f>
        <v/>
      </c>
      <c r="I712" s="18" t="str">
        <f>RTD("ice.rtd",,$C712 &amp; $D712 &amp; ":" &amp; I$1)</f>
        <v/>
      </c>
      <c r="J712" s="14" t="str">
        <f>IFERROR(MOD(RTD("ice.rtd",,$C712 &amp; $D712 &amp; ":" &amp; J$1), 1), "")</f>
        <v/>
      </c>
      <c r="K712" s="18" t="str">
        <f>RTD("ice.rtd",,$C712 &amp; $D712 &amp; ":" &amp; K$1)</f>
        <v/>
      </c>
      <c r="L712" s="36" t="str">
        <f>RTD("ice.rtd",,$C712 &amp; $D712 &amp; ":" &amp; L$1)</f>
        <v/>
      </c>
      <c r="M712" s="14" t="str">
        <f>IFERROR(MOD(TIMEVALUE(RTD("ice.rtd",,$C712 &amp; $D712 &amp; ":" &amp; M$1)), 1), "")</f>
        <v/>
      </c>
      <c r="N712" s="36">
        <f>RTD("ice.rtd",,$C712 &amp; $D712 &amp; ":" &amp; N$1)</f>
        <v>0</v>
      </c>
      <c r="O712" s="36">
        <f>RTD("ice.rtd",,$C712 &amp; $D712 &amp; ":" &amp; O$1)</f>
        <v>0</v>
      </c>
      <c r="P7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2" s="14" t="str">
        <f>IF(ICE[[#This Row],[LastType]] = "Scrn", ICE[[#This Row],[LstDate]], IF(ICE[[#This Row],[LastType]] = "Blk", ICE[[#This Row],[LstBlkTime]], ""))</f>
        <v/>
      </c>
      <c r="R712" s="41" t="str">
        <f>IF(ICE[[#This Row],[LastType]] = "Scrn", ICE[[#This Row],[LstPrc]], IF(ICE[[#This Row],[LastType]] = "Blk", ICE[[#This Row],[LstBlkPrc]], ""))</f>
        <v/>
      </c>
      <c r="S712" s="36">
        <f>ICE[[#This Row],[Vol]]+ICE[[#This Row],[BlkVol]]</f>
        <v>0</v>
      </c>
      <c r="T712" s="36">
        <f>RTD("ice.rtd",,$C712 &amp; $D712 &amp; ":" &amp; T$1)</f>
        <v>12</v>
      </c>
      <c r="U712" s="18">
        <f>RTD("ice.rtd",,$C712 &amp; $D712 &amp; ":" &amp; U$1)</f>
        <v>2.5</v>
      </c>
      <c r="V7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2" s="18" t="str">
        <f>IFERROR(IF(LEFT(ICE[[#This Row],[Tenor]], 1) = "B", RTD("esrtd",,$B712 &amp; " " &amp; ICE[[#This Row],[Tenor]] &amp; "-IEU", W$1), RTD("esrtd",,$B712 &amp; " " &amp; VLOOKUP(MONTH(ICE[[#This Row],[Strip]]), MthRef[], 2, 0) &amp; RIGHT(YEAR(ICE[[#This Row],[Strip]]), 2) &amp; "-IEU", W$1)), "")</f>
        <v/>
      </c>
      <c r="X712" s="36"/>
    </row>
    <row r="713" spans="1:24" x14ac:dyDescent="0.25">
      <c r="A713" s="37" t="s">
        <v>419</v>
      </c>
      <c r="B713" s="3" t="str">
        <f>RTD("ice.rtd",,$C713 &amp; $D713 &amp; ":" &amp; B$1)</f>
        <v>ULQ</v>
      </c>
      <c r="C713" s="3">
        <v>35534143</v>
      </c>
      <c r="D713" t="s">
        <v>795</v>
      </c>
      <c r="E713" s="3" t="str">
        <f>RTD("ice.rtd",,$C713 &amp; $D713 &amp; ":" &amp; E$1)</f>
        <v>Feb27</v>
      </c>
      <c r="F713" s="3" t="str">
        <f>ICE[[#This Row],[Prod]]&amp;ICE[[#This Row],[Strip]]</f>
        <v>go01ccmdiffFeb27</v>
      </c>
      <c r="G713" s="18" t="str">
        <f>RTD("ice.rtd",,$C713 &amp; $D713 &amp; ":" &amp; G$1)</f>
        <v/>
      </c>
      <c r="H713" s="18" t="str">
        <f>RTD("ice.rtd",,$C713 &amp; $D713 &amp; ":" &amp; H$1)</f>
        <v/>
      </c>
      <c r="I713" s="18" t="str">
        <f>RTD("ice.rtd",,$C713 &amp; $D713 &amp; ":" &amp; I$1)</f>
        <v/>
      </c>
      <c r="J713" s="14" t="str">
        <f>IFERROR(MOD(RTD("ice.rtd",,$C713 &amp; $D713 &amp; ":" &amp; J$1), 1), "")</f>
        <v/>
      </c>
      <c r="K713" s="18" t="str">
        <f>RTD("ice.rtd",,$C713 &amp; $D713 &amp; ":" &amp; K$1)</f>
        <v/>
      </c>
      <c r="L713" s="36" t="str">
        <f>RTD("ice.rtd",,$C713 &amp; $D713 &amp; ":" &amp; L$1)</f>
        <v/>
      </c>
      <c r="M713" s="14" t="str">
        <f>IFERROR(MOD(TIMEVALUE(RTD("ice.rtd",,$C713 &amp; $D713 &amp; ":" &amp; M$1)), 1), "")</f>
        <v/>
      </c>
      <c r="N713" s="36">
        <f>RTD("ice.rtd",,$C713 &amp; $D713 &amp; ":" &amp; N$1)</f>
        <v>0</v>
      </c>
      <c r="O713" s="36">
        <f>RTD("ice.rtd",,$C713 &amp; $D713 &amp; ":" &amp; O$1)</f>
        <v>0</v>
      </c>
      <c r="P7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3" s="14" t="str">
        <f>IF(ICE[[#This Row],[LastType]] = "Scrn", ICE[[#This Row],[LstDate]], IF(ICE[[#This Row],[LastType]] = "Blk", ICE[[#This Row],[LstBlkTime]], ""))</f>
        <v/>
      </c>
      <c r="R713" s="41" t="str">
        <f>IF(ICE[[#This Row],[LastType]] = "Scrn", ICE[[#This Row],[LstPrc]], IF(ICE[[#This Row],[LastType]] = "Blk", ICE[[#This Row],[LstBlkPrc]], ""))</f>
        <v/>
      </c>
      <c r="S713" s="36">
        <f>ICE[[#This Row],[Vol]]+ICE[[#This Row],[BlkVol]]</f>
        <v>0</v>
      </c>
      <c r="T713" s="36">
        <f>RTD("ice.rtd",,$C713 &amp; $D713 &amp; ":" &amp; T$1)</f>
        <v>12</v>
      </c>
      <c r="U713" s="18">
        <f>RTD("ice.rtd",,$C713 &amp; $D713 &amp; ":" &amp; U$1)</f>
        <v>2</v>
      </c>
      <c r="V7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3" s="18" t="str">
        <f>IFERROR(IF(LEFT(ICE[[#This Row],[Tenor]], 1) = "B", RTD("esrtd",,$B713 &amp; " " &amp; ICE[[#This Row],[Tenor]] &amp; "-IEU", W$1), RTD("esrtd",,$B713 &amp; " " &amp; VLOOKUP(MONTH(ICE[[#This Row],[Strip]]), MthRef[], 2, 0) &amp; RIGHT(YEAR(ICE[[#This Row],[Strip]]), 2) &amp; "-IEU", W$1)), "")</f>
        <v/>
      </c>
      <c r="X713" s="36"/>
    </row>
    <row r="714" spans="1:24" x14ac:dyDescent="0.25">
      <c r="A714" s="37" t="s">
        <v>419</v>
      </c>
      <c r="B714" s="3" t="str">
        <f>RTD("ice.rtd",,$C714 &amp; $D714 &amp; ":" &amp; B$1)</f>
        <v>ULQ</v>
      </c>
      <c r="C714" s="3">
        <v>35534143</v>
      </c>
      <c r="D714" t="s">
        <v>113</v>
      </c>
      <c r="E714" s="3" t="str">
        <f>RTD("ice.rtd",,$C714 &amp; $D714 &amp; ":" &amp; E$1)</f>
        <v>Mar27</v>
      </c>
      <c r="F714" s="3" t="str">
        <f>ICE[[#This Row],[Prod]]&amp;ICE[[#This Row],[Strip]]</f>
        <v>go01ccmdiffMar27</v>
      </c>
      <c r="G714" s="18" t="str">
        <f>RTD("ice.rtd",,$C714 &amp; $D714 &amp; ":" &amp; G$1)</f>
        <v/>
      </c>
      <c r="H714" s="18" t="str">
        <f>RTD("ice.rtd",,$C714 &amp; $D714 &amp; ":" &amp; H$1)</f>
        <v/>
      </c>
      <c r="I714" s="18" t="str">
        <f>RTD("ice.rtd",,$C714 &amp; $D714 &amp; ":" &amp; I$1)</f>
        <v/>
      </c>
      <c r="J714" s="14" t="str">
        <f>IFERROR(MOD(RTD("ice.rtd",,$C714 &amp; $D714 &amp; ":" &amp; J$1), 1), "")</f>
        <v/>
      </c>
      <c r="K714" s="18" t="str">
        <f>RTD("ice.rtd",,$C714 &amp; $D714 &amp; ":" &amp; K$1)</f>
        <v/>
      </c>
      <c r="L714" s="36" t="str">
        <f>RTD("ice.rtd",,$C714 &amp; $D714 &amp; ":" &amp; L$1)</f>
        <v/>
      </c>
      <c r="M714" s="14" t="str">
        <f>IFERROR(MOD(TIMEVALUE(RTD("ice.rtd",,$C714 &amp; $D714 &amp; ":" &amp; M$1)), 1), "")</f>
        <v/>
      </c>
      <c r="N714" s="36">
        <f>RTD("ice.rtd",,$C714 &amp; $D714 &amp; ":" &amp; N$1)</f>
        <v>0</v>
      </c>
      <c r="O714" s="36">
        <f>RTD("ice.rtd",,$C714 &amp; $D714 &amp; ":" &amp; O$1)</f>
        <v>0</v>
      </c>
      <c r="P7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4" s="14" t="str">
        <f>IF(ICE[[#This Row],[LastType]] = "Scrn", ICE[[#This Row],[LstDate]], IF(ICE[[#This Row],[LastType]] = "Blk", ICE[[#This Row],[LstBlkTime]], ""))</f>
        <v/>
      </c>
      <c r="R714" s="41" t="str">
        <f>IF(ICE[[#This Row],[LastType]] = "Scrn", ICE[[#This Row],[LstPrc]], IF(ICE[[#This Row],[LastType]] = "Blk", ICE[[#This Row],[LstBlkPrc]], ""))</f>
        <v/>
      </c>
      <c r="S714" s="36">
        <f>ICE[[#This Row],[Vol]]+ICE[[#This Row],[BlkVol]]</f>
        <v>0</v>
      </c>
      <c r="T714" s="36">
        <f>RTD("ice.rtd",,$C714 &amp; $D714 &amp; ":" &amp; T$1)</f>
        <v>12</v>
      </c>
      <c r="U714" s="18">
        <f>RTD("ice.rtd",,$C714 &amp; $D714 &amp; ":" &amp; U$1)</f>
        <v>1.5</v>
      </c>
      <c r="V7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4" s="18" t="str">
        <f>IFERROR(IF(LEFT(ICE[[#This Row],[Tenor]], 1) = "B", RTD("esrtd",,$B714 &amp; " " &amp; ICE[[#This Row],[Tenor]] &amp; "-IEU", W$1), RTD("esrtd",,$B714 &amp; " " &amp; VLOOKUP(MONTH(ICE[[#This Row],[Strip]]), MthRef[], 2, 0) &amp; RIGHT(YEAR(ICE[[#This Row],[Strip]]), 2) &amp; "-IEU", W$1)), "")</f>
        <v/>
      </c>
      <c r="X714" s="36"/>
    </row>
    <row r="715" spans="1:24" x14ac:dyDescent="0.25">
      <c r="A715" s="37" t="s">
        <v>419</v>
      </c>
      <c r="B715" s="3" t="str">
        <f>RTD("ice.rtd",,$C715 &amp; $D715 &amp; ":" &amp; B$1)</f>
        <v>ULQ</v>
      </c>
      <c r="C715" s="3">
        <v>35534143</v>
      </c>
      <c r="D715" t="s">
        <v>796</v>
      </c>
      <c r="E715" s="3" t="str">
        <f>RTD("ice.rtd",,$C715 &amp; $D715 &amp; ":" &amp; E$1)</f>
        <v>Apr27</v>
      </c>
      <c r="F715" s="3" t="str">
        <f>ICE[[#This Row],[Prod]]&amp;ICE[[#This Row],[Strip]]</f>
        <v>go01ccmdiffApr27</v>
      </c>
      <c r="G715" s="18" t="str">
        <f>RTD("ice.rtd",,$C715 &amp; $D715 &amp; ":" &amp; G$1)</f>
        <v/>
      </c>
      <c r="H715" s="18" t="str">
        <f>RTD("ice.rtd",,$C715 &amp; $D715 &amp; ":" &amp; H$1)</f>
        <v/>
      </c>
      <c r="I715" s="18" t="str">
        <f>RTD("ice.rtd",,$C715 &amp; $D715 &amp; ":" &amp; I$1)</f>
        <v/>
      </c>
      <c r="J715" s="14" t="str">
        <f>IFERROR(MOD(RTD("ice.rtd",,$C715 &amp; $D715 &amp; ":" &amp; J$1), 1), "")</f>
        <v/>
      </c>
      <c r="K715" s="18" t="str">
        <f>RTD("ice.rtd",,$C715 &amp; $D715 &amp; ":" &amp; K$1)</f>
        <v/>
      </c>
      <c r="L715" s="36" t="str">
        <f>RTD("ice.rtd",,$C715 &amp; $D715 &amp; ":" &amp; L$1)</f>
        <v/>
      </c>
      <c r="M715" s="14" t="str">
        <f>IFERROR(MOD(TIMEVALUE(RTD("ice.rtd",,$C715 &amp; $D715 &amp; ":" &amp; M$1)), 1), "")</f>
        <v/>
      </c>
      <c r="N715" s="36">
        <f>RTD("ice.rtd",,$C715 &amp; $D715 &amp; ":" &amp; N$1)</f>
        <v>0</v>
      </c>
      <c r="O715" s="36">
        <f>RTD("ice.rtd",,$C715 &amp; $D715 &amp; ":" &amp; O$1)</f>
        <v>0</v>
      </c>
      <c r="P7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5" s="14" t="str">
        <f>IF(ICE[[#This Row],[LastType]] = "Scrn", ICE[[#This Row],[LstDate]], IF(ICE[[#This Row],[LastType]] = "Blk", ICE[[#This Row],[LstBlkTime]], ""))</f>
        <v/>
      </c>
      <c r="R715" s="41" t="str">
        <f>IF(ICE[[#This Row],[LastType]] = "Scrn", ICE[[#This Row],[LstPrc]], IF(ICE[[#This Row],[LastType]] = "Blk", ICE[[#This Row],[LstBlkPrc]], ""))</f>
        <v/>
      </c>
      <c r="S715" s="36">
        <f>ICE[[#This Row],[Vol]]+ICE[[#This Row],[BlkVol]]</f>
        <v>0</v>
      </c>
      <c r="T715" s="36">
        <f>RTD("ice.rtd",,$C715 &amp; $D715 &amp; ":" &amp; T$1)</f>
        <v>12</v>
      </c>
      <c r="U715" s="18">
        <f>RTD("ice.rtd",,$C715 &amp; $D715 &amp; ":" &amp; U$1)</f>
        <v>1</v>
      </c>
      <c r="V7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5" s="18" t="str">
        <f>IFERROR(IF(LEFT(ICE[[#This Row],[Tenor]], 1) = "B", RTD("esrtd",,$B715 &amp; " " &amp; ICE[[#This Row],[Tenor]] &amp; "-IEU", W$1), RTD("esrtd",,$B715 &amp; " " &amp; VLOOKUP(MONTH(ICE[[#This Row],[Strip]]), MthRef[], 2, 0) &amp; RIGHT(YEAR(ICE[[#This Row],[Strip]]), 2) &amp; "-IEU", W$1)), "")</f>
        <v/>
      </c>
      <c r="X715" s="36"/>
    </row>
    <row r="716" spans="1:24" x14ac:dyDescent="0.25">
      <c r="A716" s="37" t="s">
        <v>419</v>
      </c>
      <c r="B716" s="3" t="str">
        <f>RTD("ice.rtd",,$C716 &amp; $D716 &amp; ":" &amp; B$1)</f>
        <v>ULQ</v>
      </c>
      <c r="C716" s="3">
        <v>35534143</v>
      </c>
      <c r="D716" t="s">
        <v>797</v>
      </c>
      <c r="E716" s="3" t="str">
        <f>RTD("ice.rtd",,$C716 &amp; $D716 &amp; ":" &amp; E$1)</f>
        <v>May27</v>
      </c>
      <c r="F716" s="3" t="str">
        <f>ICE[[#This Row],[Prod]]&amp;ICE[[#This Row],[Strip]]</f>
        <v>go01ccmdiffMay27</v>
      </c>
      <c r="G716" s="18" t="str">
        <f>RTD("ice.rtd",,$C716 &amp; $D716 &amp; ":" &amp; G$1)</f>
        <v/>
      </c>
      <c r="H716" s="18" t="str">
        <f>RTD("ice.rtd",,$C716 &amp; $D716 &amp; ":" &amp; H$1)</f>
        <v/>
      </c>
      <c r="I716" s="18" t="str">
        <f>RTD("ice.rtd",,$C716 &amp; $D716 &amp; ":" &amp; I$1)</f>
        <v/>
      </c>
      <c r="J716" s="14" t="str">
        <f>IFERROR(MOD(RTD("ice.rtd",,$C716 &amp; $D716 &amp; ":" &amp; J$1), 1), "")</f>
        <v/>
      </c>
      <c r="K716" s="18" t="str">
        <f>RTD("ice.rtd",,$C716 &amp; $D716 &amp; ":" &amp; K$1)</f>
        <v/>
      </c>
      <c r="L716" s="36" t="str">
        <f>RTD("ice.rtd",,$C716 &amp; $D716 &amp; ":" &amp; L$1)</f>
        <v/>
      </c>
      <c r="M716" s="14" t="str">
        <f>IFERROR(MOD(TIMEVALUE(RTD("ice.rtd",,$C716 &amp; $D716 &amp; ":" &amp; M$1)), 1), "")</f>
        <v/>
      </c>
      <c r="N716" s="36">
        <f>RTD("ice.rtd",,$C716 &amp; $D716 &amp; ":" &amp; N$1)</f>
        <v>0</v>
      </c>
      <c r="O716" s="36">
        <f>RTD("ice.rtd",,$C716 &amp; $D716 &amp; ":" &amp; O$1)</f>
        <v>0</v>
      </c>
      <c r="P7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6" s="14" t="str">
        <f>IF(ICE[[#This Row],[LastType]] = "Scrn", ICE[[#This Row],[LstDate]], IF(ICE[[#This Row],[LastType]] = "Blk", ICE[[#This Row],[LstBlkTime]], ""))</f>
        <v/>
      </c>
      <c r="R716" s="41" t="str">
        <f>IF(ICE[[#This Row],[LastType]] = "Scrn", ICE[[#This Row],[LstPrc]], IF(ICE[[#This Row],[LastType]] = "Blk", ICE[[#This Row],[LstBlkPrc]], ""))</f>
        <v/>
      </c>
      <c r="S716" s="36">
        <f>ICE[[#This Row],[Vol]]+ICE[[#This Row],[BlkVol]]</f>
        <v>0</v>
      </c>
      <c r="T716" s="36">
        <f>RTD("ice.rtd",,$C716 &amp; $D716 &amp; ":" &amp; T$1)</f>
        <v>12</v>
      </c>
      <c r="U716" s="18">
        <f>RTD("ice.rtd",,$C716 &amp; $D716 &amp; ":" &amp; U$1)</f>
        <v>1</v>
      </c>
      <c r="V7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6" s="18" t="str">
        <f>IFERROR(IF(LEFT(ICE[[#This Row],[Tenor]], 1) = "B", RTD("esrtd",,$B716 &amp; " " &amp; ICE[[#This Row],[Tenor]] &amp; "-IEU", W$1), RTD("esrtd",,$B716 &amp; " " &amp; VLOOKUP(MONTH(ICE[[#This Row],[Strip]]), MthRef[], 2, 0) &amp; RIGHT(YEAR(ICE[[#This Row],[Strip]]), 2) &amp; "-IEU", W$1)), "")</f>
        <v/>
      </c>
      <c r="X716" s="36"/>
    </row>
    <row r="717" spans="1:24" x14ac:dyDescent="0.25">
      <c r="A717" s="37" t="s">
        <v>419</v>
      </c>
      <c r="B717" s="3" t="str">
        <f>RTD("ice.rtd",,$C717 &amp; $D717 &amp; ":" &amp; B$1)</f>
        <v>ULQ</v>
      </c>
      <c r="C717" s="3">
        <v>35534143</v>
      </c>
      <c r="D717" t="s">
        <v>798</v>
      </c>
      <c r="E717" s="3" t="str">
        <f>RTD("ice.rtd",,$C717 &amp; $D717 &amp; ":" &amp; E$1)</f>
        <v>Jun27</v>
      </c>
      <c r="F717" s="3" t="str">
        <f>ICE[[#This Row],[Prod]]&amp;ICE[[#This Row],[Strip]]</f>
        <v>go01ccmdiffJun27</v>
      </c>
      <c r="G717" s="18" t="str">
        <f>RTD("ice.rtd",,$C717 &amp; $D717 &amp; ":" &amp; G$1)</f>
        <v/>
      </c>
      <c r="H717" s="18" t="str">
        <f>RTD("ice.rtd",,$C717 &amp; $D717 &amp; ":" &amp; H$1)</f>
        <v/>
      </c>
      <c r="I717" s="18" t="str">
        <f>RTD("ice.rtd",,$C717 &amp; $D717 &amp; ":" &amp; I$1)</f>
        <v/>
      </c>
      <c r="J717" s="14" t="str">
        <f>IFERROR(MOD(RTD("ice.rtd",,$C717 &amp; $D717 &amp; ":" &amp; J$1), 1), "")</f>
        <v/>
      </c>
      <c r="K717" s="18" t="str">
        <f>RTD("ice.rtd",,$C717 &amp; $D717 &amp; ":" &amp; K$1)</f>
        <v/>
      </c>
      <c r="L717" s="36" t="str">
        <f>RTD("ice.rtd",,$C717 &amp; $D717 &amp; ":" &amp; L$1)</f>
        <v/>
      </c>
      <c r="M717" s="14" t="str">
        <f>IFERROR(MOD(TIMEVALUE(RTD("ice.rtd",,$C717 &amp; $D717 &amp; ":" &amp; M$1)), 1), "")</f>
        <v/>
      </c>
      <c r="N717" s="36">
        <f>RTD("ice.rtd",,$C717 &amp; $D717 &amp; ":" &amp; N$1)</f>
        <v>0</v>
      </c>
      <c r="O717" s="36">
        <f>RTD("ice.rtd",,$C717 &amp; $D717 &amp; ":" &amp; O$1)</f>
        <v>0</v>
      </c>
      <c r="P7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7" s="14" t="str">
        <f>IF(ICE[[#This Row],[LastType]] = "Scrn", ICE[[#This Row],[LstDate]], IF(ICE[[#This Row],[LastType]] = "Blk", ICE[[#This Row],[LstBlkTime]], ""))</f>
        <v/>
      </c>
      <c r="R717" s="41" t="str">
        <f>IF(ICE[[#This Row],[LastType]] = "Scrn", ICE[[#This Row],[LstPrc]], IF(ICE[[#This Row],[LastType]] = "Blk", ICE[[#This Row],[LstBlkPrc]], ""))</f>
        <v/>
      </c>
      <c r="S717" s="36">
        <f>ICE[[#This Row],[Vol]]+ICE[[#This Row],[BlkVol]]</f>
        <v>0</v>
      </c>
      <c r="T717" s="36">
        <f>RTD("ice.rtd",,$C717 &amp; $D717 &amp; ":" &amp; T$1)</f>
        <v>12</v>
      </c>
      <c r="U717" s="18">
        <f>RTD("ice.rtd",,$C717 &amp; $D717 &amp; ":" &amp; U$1)</f>
        <v>1</v>
      </c>
      <c r="V7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7" s="18" t="str">
        <f>IFERROR(IF(LEFT(ICE[[#This Row],[Tenor]], 1) = "B", RTD("esrtd",,$B717 &amp; " " &amp; ICE[[#This Row],[Tenor]] &amp; "-IEU", W$1), RTD("esrtd",,$B717 &amp; " " &amp; VLOOKUP(MONTH(ICE[[#This Row],[Strip]]), MthRef[], 2, 0) &amp; RIGHT(YEAR(ICE[[#This Row],[Strip]]), 2) &amp; "-IEU", W$1)), "")</f>
        <v/>
      </c>
      <c r="X717" s="36"/>
    </row>
    <row r="718" spans="1:24" x14ac:dyDescent="0.25">
      <c r="A718" s="37" t="s">
        <v>419</v>
      </c>
      <c r="B718" s="3" t="str">
        <f>RTD("ice.rtd",,$C718 &amp; $D718 &amp; ":" &amp; B$1)</f>
        <v>ULQ</v>
      </c>
      <c r="C718" s="3">
        <v>35534143</v>
      </c>
      <c r="D718" t="s">
        <v>799</v>
      </c>
      <c r="E718" s="3" t="str">
        <f>RTD("ice.rtd",,$C718 &amp; $D718 &amp; ":" &amp; E$1)</f>
        <v>Jul27</v>
      </c>
      <c r="F718" s="3" t="str">
        <f>ICE[[#This Row],[Prod]]&amp;ICE[[#This Row],[Strip]]</f>
        <v>go01ccmdiffJul27</v>
      </c>
      <c r="G718" s="18" t="str">
        <f>RTD("ice.rtd",,$C718 &amp; $D718 &amp; ":" &amp; G$1)</f>
        <v/>
      </c>
      <c r="H718" s="18" t="str">
        <f>RTD("ice.rtd",,$C718 &amp; $D718 &amp; ":" &amp; H$1)</f>
        <v/>
      </c>
      <c r="I718" s="18" t="str">
        <f>RTD("ice.rtd",,$C718 &amp; $D718 &amp; ":" &amp; I$1)</f>
        <v/>
      </c>
      <c r="J718" s="14" t="str">
        <f>IFERROR(MOD(RTD("ice.rtd",,$C718 &amp; $D718 &amp; ":" &amp; J$1), 1), "")</f>
        <v/>
      </c>
      <c r="K718" s="18" t="str">
        <f>RTD("ice.rtd",,$C718 &amp; $D718 &amp; ":" &amp; K$1)</f>
        <v/>
      </c>
      <c r="L718" s="36" t="str">
        <f>RTD("ice.rtd",,$C718 &amp; $D718 &amp; ":" &amp; L$1)</f>
        <v/>
      </c>
      <c r="M718" s="14" t="str">
        <f>IFERROR(MOD(TIMEVALUE(RTD("ice.rtd",,$C718 &amp; $D718 &amp; ":" &amp; M$1)), 1), "")</f>
        <v/>
      </c>
      <c r="N718" s="36">
        <f>RTD("ice.rtd",,$C718 &amp; $D718 &amp; ":" &amp; N$1)</f>
        <v>0</v>
      </c>
      <c r="O718" s="36">
        <f>RTD("ice.rtd",,$C718 &amp; $D718 &amp; ":" &amp; O$1)</f>
        <v>0</v>
      </c>
      <c r="P7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8" s="14" t="str">
        <f>IF(ICE[[#This Row],[LastType]] = "Scrn", ICE[[#This Row],[LstDate]], IF(ICE[[#This Row],[LastType]] = "Blk", ICE[[#This Row],[LstBlkTime]], ""))</f>
        <v/>
      </c>
      <c r="R718" s="41" t="str">
        <f>IF(ICE[[#This Row],[LastType]] = "Scrn", ICE[[#This Row],[LstPrc]], IF(ICE[[#This Row],[LastType]] = "Blk", ICE[[#This Row],[LstBlkPrc]], ""))</f>
        <v/>
      </c>
      <c r="S718" s="36">
        <f>ICE[[#This Row],[Vol]]+ICE[[#This Row],[BlkVol]]</f>
        <v>0</v>
      </c>
      <c r="T718" s="36">
        <f>RTD("ice.rtd",,$C718 &amp; $D718 &amp; ":" &amp; T$1)</f>
        <v>13</v>
      </c>
      <c r="U718" s="18">
        <f>RTD("ice.rtd",,$C718 &amp; $D718 &amp; ":" &amp; U$1)</f>
        <v>0.5</v>
      </c>
      <c r="V7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8" s="18" t="str">
        <f>IFERROR(IF(LEFT(ICE[[#This Row],[Tenor]], 1) = "B", RTD("esrtd",,$B718 &amp; " " &amp; ICE[[#This Row],[Tenor]] &amp; "-IEU", W$1), RTD("esrtd",,$B718 &amp; " " &amp; VLOOKUP(MONTH(ICE[[#This Row],[Strip]]), MthRef[], 2, 0) &amp; RIGHT(YEAR(ICE[[#This Row],[Strip]]), 2) &amp; "-IEU", W$1)), "")</f>
        <v/>
      </c>
      <c r="X718" s="36"/>
    </row>
    <row r="719" spans="1:24" x14ac:dyDescent="0.25">
      <c r="A719" s="37" t="s">
        <v>419</v>
      </c>
      <c r="B719" s="3" t="str">
        <f>RTD("ice.rtd",,$C719 &amp; $D719 &amp; ":" &amp; B$1)</f>
        <v>ULQ</v>
      </c>
      <c r="C719" s="3">
        <v>35534143</v>
      </c>
      <c r="D719" t="s">
        <v>800</v>
      </c>
      <c r="E719" s="3" t="str">
        <f>RTD("ice.rtd",,$C719 &amp; $D719 &amp; ":" &amp; E$1)</f>
        <v>Aug27</v>
      </c>
      <c r="F719" s="3" t="str">
        <f>ICE[[#This Row],[Prod]]&amp;ICE[[#This Row],[Strip]]</f>
        <v>go01ccmdiffAug27</v>
      </c>
      <c r="G719" s="18" t="str">
        <f>RTD("ice.rtd",,$C719 &amp; $D719 &amp; ":" &amp; G$1)</f>
        <v/>
      </c>
      <c r="H719" s="18" t="str">
        <f>RTD("ice.rtd",,$C719 &amp; $D719 &amp; ":" &amp; H$1)</f>
        <v/>
      </c>
      <c r="I719" s="18" t="str">
        <f>RTD("ice.rtd",,$C719 &amp; $D719 &amp; ":" &amp; I$1)</f>
        <v/>
      </c>
      <c r="J719" s="14" t="str">
        <f>IFERROR(MOD(RTD("ice.rtd",,$C719 &amp; $D719 &amp; ":" &amp; J$1), 1), "")</f>
        <v/>
      </c>
      <c r="K719" s="18" t="str">
        <f>RTD("ice.rtd",,$C719 &amp; $D719 &amp; ":" &amp; K$1)</f>
        <v/>
      </c>
      <c r="L719" s="36" t="str">
        <f>RTD("ice.rtd",,$C719 &amp; $D719 &amp; ":" &amp; L$1)</f>
        <v/>
      </c>
      <c r="M719" s="14" t="str">
        <f>IFERROR(MOD(TIMEVALUE(RTD("ice.rtd",,$C719 &amp; $D719 &amp; ":" &amp; M$1)), 1), "")</f>
        <v/>
      </c>
      <c r="N719" s="36">
        <f>RTD("ice.rtd",,$C719 &amp; $D719 &amp; ":" &amp; N$1)</f>
        <v>0</v>
      </c>
      <c r="O719" s="36">
        <f>RTD("ice.rtd",,$C719 &amp; $D719 &amp; ":" &amp; O$1)</f>
        <v>0</v>
      </c>
      <c r="P7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19" s="14" t="str">
        <f>IF(ICE[[#This Row],[LastType]] = "Scrn", ICE[[#This Row],[LstDate]], IF(ICE[[#This Row],[LastType]] = "Blk", ICE[[#This Row],[LstBlkTime]], ""))</f>
        <v/>
      </c>
      <c r="R719" s="41" t="str">
        <f>IF(ICE[[#This Row],[LastType]] = "Scrn", ICE[[#This Row],[LstPrc]], IF(ICE[[#This Row],[LastType]] = "Blk", ICE[[#This Row],[LstBlkPrc]], ""))</f>
        <v/>
      </c>
      <c r="S719" s="36">
        <f>ICE[[#This Row],[Vol]]+ICE[[#This Row],[BlkVol]]</f>
        <v>0</v>
      </c>
      <c r="T719" s="36">
        <f>RTD("ice.rtd",,$C719 &amp; $D719 &amp; ":" &amp; T$1)</f>
        <v>13</v>
      </c>
      <c r="U719" s="18">
        <f>RTD("ice.rtd",,$C719 &amp; $D719 &amp; ":" &amp; U$1)</f>
        <v>0.5</v>
      </c>
      <c r="V7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19" s="18" t="str">
        <f>IFERROR(IF(LEFT(ICE[[#This Row],[Tenor]], 1) = "B", RTD("esrtd",,$B719 &amp; " " &amp; ICE[[#This Row],[Tenor]] &amp; "-IEU", W$1), RTD("esrtd",,$B719 &amp; " " &amp; VLOOKUP(MONTH(ICE[[#This Row],[Strip]]), MthRef[], 2, 0) &amp; RIGHT(YEAR(ICE[[#This Row],[Strip]]), 2) &amp; "-IEU", W$1)), "")</f>
        <v/>
      </c>
      <c r="X719" s="36"/>
    </row>
    <row r="720" spans="1:24" x14ac:dyDescent="0.25">
      <c r="A720" s="37" t="s">
        <v>419</v>
      </c>
      <c r="B720" s="3" t="str">
        <f>RTD("ice.rtd",,$C720 &amp; $D720 &amp; ":" &amp; B$1)</f>
        <v>ULQ</v>
      </c>
      <c r="C720" s="3">
        <v>35534143</v>
      </c>
      <c r="D720" t="s">
        <v>801</v>
      </c>
      <c r="E720" s="3" t="str">
        <f>RTD("ice.rtd",,$C720 &amp; $D720 &amp; ":" &amp; E$1)</f>
        <v>Sep27</v>
      </c>
      <c r="F720" s="3" t="str">
        <f>ICE[[#This Row],[Prod]]&amp;ICE[[#This Row],[Strip]]</f>
        <v>go01ccmdiffSep27</v>
      </c>
      <c r="G720" s="18" t="str">
        <f>RTD("ice.rtd",,$C720 &amp; $D720 &amp; ":" &amp; G$1)</f>
        <v/>
      </c>
      <c r="H720" s="18" t="str">
        <f>RTD("ice.rtd",,$C720 &amp; $D720 &amp; ":" &amp; H$1)</f>
        <v/>
      </c>
      <c r="I720" s="18" t="str">
        <f>RTD("ice.rtd",,$C720 &amp; $D720 &amp; ":" &amp; I$1)</f>
        <v/>
      </c>
      <c r="J720" s="14" t="str">
        <f>IFERROR(MOD(RTD("ice.rtd",,$C720 &amp; $D720 &amp; ":" &amp; J$1), 1), "")</f>
        <v/>
      </c>
      <c r="K720" s="18" t="str">
        <f>RTD("ice.rtd",,$C720 &amp; $D720 &amp; ":" &amp; K$1)</f>
        <v/>
      </c>
      <c r="L720" s="36" t="str">
        <f>RTD("ice.rtd",,$C720 &amp; $D720 &amp; ":" &amp; L$1)</f>
        <v/>
      </c>
      <c r="M720" s="14" t="str">
        <f>IFERROR(MOD(TIMEVALUE(RTD("ice.rtd",,$C720 &amp; $D720 &amp; ":" &amp; M$1)), 1), "")</f>
        <v/>
      </c>
      <c r="N720" s="36">
        <f>RTD("ice.rtd",,$C720 &amp; $D720 &amp; ":" &amp; N$1)</f>
        <v>0</v>
      </c>
      <c r="O720" s="36">
        <f>RTD("ice.rtd",,$C720 &amp; $D720 &amp; ":" &amp; O$1)</f>
        <v>0</v>
      </c>
      <c r="P7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0" s="14" t="str">
        <f>IF(ICE[[#This Row],[LastType]] = "Scrn", ICE[[#This Row],[LstDate]], IF(ICE[[#This Row],[LastType]] = "Blk", ICE[[#This Row],[LstBlkTime]], ""))</f>
        <v/>
      </c>
      <c r="R720" s="41" t="str">
        <f>IF(ICE[[#This Row],[LastType]] = "Scrn", ICE[[#This Row],[LstPrc]], IF(ICE[[#This Row],[LastType]] = "Blk", ICE[[#This Row],[LstBlkPrc]], ""))</f>
        <v/>
      </c>
      <c r="S720" s="36">
        <f>ICE[[#This Row],[Vol]]+ICE[[#This Row],[BlkVol]]</f>
        <v>0</v>
      </c>
      <c r="T720" s="36">
        <f>RTD("ice.rtd",,$C720 &amp; $D720 &amp; ":" &amp; T$1)</f>
        <v>13</v>
      </c>
      <c r="U720" s="18">
        <f>RTD("ice.rtd",,$C720 &amp; $D720 &amp; ":" &amp; U$1)</f>
        <v>0.5</v>
      </c>
      <c r="V7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0" s="18" t="str">
        <f>IFERROR(IF(LEFT(ICE[[#This Row],[Tenor]], 1) = "B", RTD("esrtd",,$B720 &amp; " " &amp; ICE[[#This Row],[Tenor]] &amp; "-IEU", W$1), RTD("esrtd",,$B720 &amp; " " &amp; VLOOKUP(MONTH(ICE[[#This Row],[Strip]]), MthRef[], 2, 0) &amp; RIGHT(YEAR(ICE[[#This Row],[Strip]]), 2) &amp; "-IEU", W$1)), "")</f>
        <v/>
      </c>
      <c r="X720" s="36"/>
    </row>
    <row r="721" spans="1:24" x14ac:dyDescent="0.25">
      <c r="A721" s="37" t="s">
        <v>419</v>
      </c>
      <c r="B721" s="3" t="str">
        <f>RTD("ice.rtd",,$C721 &amp; $D721 &amp; ":" &amp; B$1)</f>
        <v>ULQ</v>
      </c>
      <c r="C721" s="3">
        <v>35534143</v>
      </c>
      <c r="D721" t="s">
        <v>802</v>
      </c>
      <c r="E721" s="3" t="str">
        <f>RTD("ice.rtd",,$C721 &amp; $D721 &amp; ":" &amp; E$1)</f>
        <v>Oct27</v>
      </c>
      <c r="F721" s="3" t="str">
        <f>ICE[[#This Row],[Prod]]&amp;ICE[[#This Row],[Strip]]</f>
        <v>go01ccmdiffOct27</v>
      </c>
      <c r="G721" s="18" t="str">
        <f>RTD("ice.rtd",,$C721 &amp; $D721 &amp; ":" &amp; G$1)</f>
        <v/>
      </c>
      <c r="H721" s="18" t="str">
        <f>RTD("ice.rtd",,$C721 &amp; $D721 &amp; ":" &amp; H$1)</f>
        <v/>
      </c>
      <c r="I721" s="18" t="str">
        <f>RTD("ice.rtd",,$C721 &amp; $D721 &amp; ":" &amp; I$1)</f>
        <v/>
      </c>
      <c r="J721" s="14" t="str">
        <f>IFERROR(MOD(RTD("ice.rtd",,$C721 &amp; $D721 &amp; ":" &amp; J$1), 1), "")</f>
        <v/>
      </c>
      <c r="K721" s="18" t="str">
        <f>RTD("ice.rtd",,$C721 &amp; $D721 &amp; ":" &amp; K$1)</f>
        <v/>
      </c>
      <c r="L721" s="36" t="str">
        <f>RTD("ice.rtd",,$C721 &amp; $D721 &amp; ":" &amp; L$1)</f>
        <v/>
      </c>
      <c r="M721" s="14" t="str">
        <f>IFERROR(MOD(TIMEVALUE(RTD("ice.rtd",,$C721 &amp; $D721 &amp; ":" &amp; M$1)), 1), "")</f>
        <v/>
      </c>
      <c r="N721" s="36">
        <f>RTD("ice.rtd",,$C721 &amp; $D721 &amp; ":" &amp; N$1)</f>
        <v>0</v>
      </c>
      <c r="O721" s="36">
        <f>RTD("ice.rtd",,$C721 &amp; $D721 &amp; ":" &amp; O$1)</f>
        <v>0</v>
      </c>
      <c r="P7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1" s="14" t="str">
        <f>IF(ICE[[#This Row],[LastType]] = "Scrn", ICE[[#This Row],[LstDate]], IF(ICE[[#This Row],[LastType]] = "Blk", ICE[[#This Row],[LstBlkTime]], ""))</f>
        <v/>
      </c>
      <c r="R721" s="41" t="str">
        <f>IF(ICE[[#This Row],[LastType]] = "Scrn", ICE[[#This Row],[LstPrc]], IF(ICE[[#This Row],[LastType]] = "Blk", ICE[[#This Row],[LstBlkPrc]], ""))</f>
        <v/>
      </c>
      <c r="S721" s="36">
        <f>ICE[[#This Row],[Vol]]+ICE[[#This Row],[BlkVol]]</f>
        <v>0</v>
      </c>
      <c r="T721" s="36">
        <f>RTD("ice.rtd",,$C721 &amp; $D721 &amp; ":" &amp; T$1)</f>
        <v>13</v>
      </c>
      <c r="U721" s="18">
        <f>RTD("ice.rtd",,$C721 &amp; $D721 &amp; ":" &amp; U$1)</f>
        <v>1.25</v>
      </c>
      <c r="V7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1" s="18" t="str">
        <f>IFERROR(IF(LEFT(ICE[[#This Row],[Tenor]], 1) = "B", RTD("esrtd",,$B721 &amp; " " &amp; ICE[[#This Row],[Tenor]] &amp; "-IEU", W$1), RTD("esrtd",,$B721 &amp; " " &amp; VLOOKUP(MONTH(ICE[[#This Row],[Strip]]), MthRef[], 2, 0) &amp; RIGHT(YEAR(ICE[[#This Row],[Strip]]), 2) &amp; "-IEU", W$1)), "")</f>
        <v/>
      </c>
      <c r="X721" s="36"/>
    </row>
    <row r="722" spans="1:24" x14ac:dyDescent="0.25">
      <c r="A722" s="37" t="s">
        <v>419</v>
      </c>
      <c r="B722" s="3" t="str">
        <f>RTD("ice.rtd",,$C722 &amp; $D722 &amp; ":" &amp; B$1)</f>
        <v>ULQ</v>
      </c>
      <c r="C722" s="3">
        <v>35534143</v>
      </c>
      <c r="D722" t="s">
        <v>803</v>
      </c>
      <c r="E722" s="3" t="str">
        <f>RTD("ice.rtd",,$C722 &amp; $D722 &amp; ":" &amp; E$1)</f>
        <v>Nov27</v>
      </c>
      <c r="F722" s="3" t="str">
        <f>ICE[[#This Row],[Prod]]&amp;ICE[[#This Row],[Strip]]</f>
        <v>go01ccmdiffNov27</v>
      </c>
      <c r="G722" s="18" t="str">
        <f>RTD("ice.rtd",,$C722 &amp; $D722 &amp; ":" &amp; G$1)</f>
        <v/>
      </c>
      <c r="H722" s="18" t="str">
        <f>RTD("ice.rtd",,$C722 &amp; $D722 &amp; ":" &amp; H$1)</f>
        <v/>
      </c>
      <c r="I722" s="18" t="str">
        <f>RTD("ice.rtd",,$C722 &amp; $D722 &amp; ":" &amp; I$1)</f>
        <v/>
      </c>
      <c r="J722" s="14" t="str">
        <f>IFERROR(MOD(RTD("ice.rtd",,$C722 &amp; $D722 &amp; ":" &amp; J$1), 1), "")</f>
        <v/>
      </c>
      <c r="K722" s="18" t="str">
        <f>RTD("ice.rtd",,$C722 &amp; $D722 &amp; ":" &amp; K$1)</f>
        <v/>
      </c>
      <c r="L722" s="36" t="str">
        <f>RTD("ice.rtd",,$C722 &amp; $D722 &amp; ":" &amp; L$1)</f>
        <v/>
      </c>
      <c r="M722" s="14" t="str">
        <f>IFERROR(MOD(TIMEVALUE(RTD("ice.rtd",,$C722 &amp; $D722 &amp; ":" &amp; M$1)), 1), "")</f>
        <v/>
      </c>
      <c r="N722" s="36">
        <f>RTD("ice.rtd",,$C722 &amp; $D722 &amp; ":" &amp; N$1)</f>
        <v>0</v>
      </c>
      <c r="O722" s="36">
        <f>RTD("ice.rtd",,$C722 &amp; $D722 &amp; ":" &amp; O$1)</f>
        <v>0</v>
      </c>
      <c r="P7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2" s="14" t="str">
        <f>IF(ICE[[#This Row],[LastType]] = "Scrn", ICE[[#This Row],[LstDate]], IF(ICE[[#This Row],[LastType]] = "Blk", ICE[[#This Row],[LstBlkTime]], ""))</f>
        <v/>
      </c>
      <c r="R722" s="41" t="str">
        <f>IF(ICE[[#This Row],[LastType]] = "Scrn", ICE[[#This Row],[LstPrc]], IF(ICE[[#This Row],[LastType]] = "Blk", ICE[[#This Row],[LstBlkPrc]], ""))</f>
        <v/>
      </c>
      <c r="S722" s="36">
        <f>ICE[[#This Row],[Vol]]+ICE[[#This Row],[BlkVol]]</f>
        <v>0</v>
      </c>
      <c r="T722" s="36">
        <f>RTD("ice.rtd",,$C722 &amp; $D722 &amp; ":" &amp; T$1)</f>
        <v>13</v>
      </c>
      <c r="U722" s="18">
        <f>RTD("ice.rtd",,$C722 &amp; $D722 &amp; ":" &amp; U$1)</f>
        <v>1.25</v>
      </c>
      <c r="V7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2" s="18" t="str">
        <f>IFERROR(IF(LEFT(ICE[[#This Row],[Tenor]], 1) = "B", RTD("esrtd",,$B722 &amp; " " &amp; ICE[[#This Row],[Tenor]] &amp; "-IEU", W$1), RTD("esrtd",,$B722 &amp; " " &amp; VLOOKUP(MONTH(ICE[[#This Row],[Strip]]), MthRef[], 2, 0) &amp; RIGHT(YEAR(ICE[[#This Row],[Strip]]), 2) &amp; "-IEU", W$1)), "")</f>
        <v/>
      </c>
      <c r="X722" s="36"/>
    </row>
    <row r="723" spans="1:24" x14ac:dyDescent="0.25">
      <c r="A723" s="37" t="s">
        <v>419</v>
      </c>
      <c r="B723" s="3" t="str">
        <f>RTD("ice.rtd",,$C723 &amp; $D723 &amp; ":" &amp; B$1)</f>
        <v>ULQ</v>
      </c>
      <c r="C723" s="3">
        <v>35534143</v>
      </c>
      <c r="D723" t="s">
        <v>804</v>
      </c>
      <c r="E723" s="3" t="str">
        <f>RTD("ice.rtd",,$C723 &amp; $D723 &amp; ":" &amp; E$1)</f>
        <v>Dec27</v>
      </c>
      <c r="F723" s="3" t="str">
        <f>ICE[[#This Row],[Prod]]&amp;ICE[[#This Row],[Strip]]</f>
        <v>go01ccmdiffDec27</v>
      </c>
      <c r="G723" s="18" t="str">
        <f>RTD("ice.rtd",,$C723 &amp; $D723 &amp; ":" &amp; G$1)</f>
        <v/>
      </c>
      <c r="H723" s="18" t="str">
        <f>RTD("ice.rtd",,$C723 &amp; $D723 &amp; ":" &amp; H$1)</f>
        <v/>
      </c>
      <c r="I723" s="18" t="str">
        <f>RTD("ice.rtd",,$C723 &amp; $D723 &amp; ":" &amp; I$1)</f>
        <v/>
      </c>
      <c r="J723" s="14" t="str">
        <f>IFERROR(MOD(RTD("ice.rtd",,$C723 &amp; $D723 &amp; ":" &amp; J$1), 1), "")</f>
        <v/>
      </c>
      <c r="K723" s="18" t="str">
        <f>RTD("ice.rtd",,$C723 &amp; $D723 &amp; ":" &amp; K$1)</f>
        <v/>
      </c>
      <c r="L723" s="36" t="str">
        <f>RTD("ice.rtd",,$C723 &amp; $D723 &amp; ":" &amp; L$1)</f>
        <v/>
      </c>
      <c r="M723" s="14" t="str">
        <f>IFERROR(MOD(TIMEVALUE(RTD("ice.rtd",,$C723 &amp; $D723 &amp; ":" &amp; M$1)), 1), "")</f>
        <v/>
      </c>
      <c r="N723" s="36">
        <f>RTD("ice.rtd",,$C723 &amp; $D723 &amp; ":" &amp; N$1)</f>
        <v>0</v>
      </c>
      <c r="O723" s="36">
        <f>RTD("ice.rtd",,$C723 &amp; $D723 &amp; ":" &amp; O$1)</f>
        <v>0</v>
      </c>
      <c r="P7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3" s="14" t="str">
        <f>IF(ICE[[#This Row],[LastType]] = "Scrn", ICE[[#This Row],[LstDate]], IF(ICE[[#This Row],[LastType]] = "Blk", ICE[[#This Row],[LstBlkTime]], ""))</f>
        <v/>
      </c>
      <c r="R723" s="41" t="str">
        <f>IF(ICE[[#This Row],[LastType]] = "Scrn", ICE[[#This Row],[LstPrc]], IF(ICE[[#This Row],[LastType]] = "Blk", ICE[[#This Row],[LstBlkPrc]], ""))</f>
        <v/>
      </c>
      <c r="S723" s="36">
        <f>ICE[[#This Row],[Vol]]+ICE[[#This Row],[BlkVol]]</f>
        <v>0</v>
      </c>
      <c r="T723" s="36">
        <f>RTD("ice.rtd",,$C723 &amp; $D723 &amp; ":" &amp; T$1)</f>
        <v>13</v>
      </c>
      <c r="U723" s="18">
        <f>RTD("ice.rtd",,$C723 &amp; $D723 &amp; ":" &amp; U$1)</f>
        <v>0.5</v>
      </c>
      <c r="V7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3" s="18" t="str">
        <f>IFERROR(IF(LEFT(ICE[[#This Row],[Tenor]], 1) = "B", RTD("esrtd",,$B723 &amp; " " &amp; ICE[[#This Row],[Tenor]] &amp; "-IEU", W$1), RTD("esrtd",,$B723 &amp; " " &amp; VLOOKUP(MONTH(ICE[[#This Row],[Strip]]), MthRef[], 2, 0) &amp; RIGHT(YEAR(ICE[[#This Row],[Strip]]), 2) &amp; "-IEU", W$1)), "")</f>
        <v/>
      </c>
      <c r="X723" s="36"/>
    </row>
    <row r="724" spans="1:24" x14ac:dyDescent="0.25">
      <c r="A724" s="37" t="s">
        <v>419</v>
      </c>
      <c r="B724" s="3" t="str">
        <f>RTD("ice.rtd",,$C724 &amp; $D724 &amp; ":" &amp; B$1)</f>
        <v>ULQ</v>
      </c>
      <c r="C724" s="3">
        <v>35534143</v>
      </c>
      <c r="D724" t="s">
        <v>805</v>
      </c>
      <c r="E724" s="3" t="str">
        <f>RTD("ice.rtd",,$C724 &amp; $D724 &amp; ":" &amp; E$1)</f>
        <v>Jan28</v>
      </c>
      <c r="F724" s="3" t="str">
        <f>ICE[[#This Row],[Prod]]&amp;ICE[[#This Row],[Strip]]</f>
        <v>go01ccmdiffJan28</v>
      </c>
      <c r="G724" s="18">
        <f>RTD("ice.rtd",,$C724 &amp; $D724 &amp; ":" &amp; G$1)</f>
        <v>0</v>
      </c>
      <c r="H724" s="18" t="str">
        <f>RTD("ice.rtd",,$C724 &amp; $D724 &amp; ":" &amp; H$1)</f>
        <v/>
      </c>
      <c r="I724" s="18" t="str">
        <f>RTD("ice.rtd",,$C724 &amp; $D724 &amp; ":" &amp; I$1)</f>
        <v/>
      </c>
      <c r="J724" s="14" t="str">
        <f>IFERROR(MOD(RTD("ice.rtd",,$C724 &amp; $D724 &amp; ":" &amp; J$1), 1), "")</f>
        <v/>
      </c>
      <c r="K724" s="18" t="str">
        <f>RTD("ice.rtd",,$C724 &amp; $D724 &amp; ":" &amp; K$1)</f>
        <v/>
      </c>
      <c r="L724" s="36" t="str">
        <f>RTD("ice.rtd",,$C724 &amp; $D724 &amp; ":" &amp; L$1)</f>
        <v/>
      </c>
      <c r="M724" s="14" t="str">
        <f>IFERROR(MOD(TIMEVALUE(RTD("ice.rtd",,$C724 &amp; $D724 &amp; ":" &amp; M$1)), 1), "")</f>
        <v/>
      </c>
      <c r="N724" s="36">
        <f>RTD("ice.rtd",,$C724 &amp; $D724 &amp; ":" &amp; N$1)</f>
        <v>0</v>
      </c>
      <c r="O724" s="36">
        <f>RTD("ice.rtd",,$C724 &amp; $D724 &amp; ":" &amp; O$1)</f>
        <v>0</v>
      </c>
      <c r="P7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4" s="14" t="str">
        <f>IF(ICE[[#This Row],[LastType]] = "Scrn", ICE[[#This Row],[LstDate]], IF(ICE[[#This Row],[LastType]] = "Blk", ICE[[#This Row],[LstBlkTime]], ""))</f>
        <v/>
      </c>
      <c r="R724" s="41" t="str">
        <f>IF(ICE[[#This Row],[LastType]] = "Scrn", ICE[[#This Row],[LstPrc]], IF(ICE[[#This Row],[LastType]] = "Blk", ICE[[#This Row],[LstBlkPrc]], ""))</f>
        <v/>
      </c>
      <c r="S724" s="36">
        <f>ICE[[#This Row],[Vol]]+ICE[[#This Row],[BlkVol]]</f>
        <v>0</v>
      </c>
      <c r="T724" s="36">
        <f>RTD("ice.rtd",,$C724 &amp; $D724 &amp; ":" &amp; T$1)</f>
        <v>0</v>
      </c>
      <c r="U724" s="18">
        <f>RTD("ice.rtd",,$C724 &amp; $D724 &amp; ":" &amp; U$1)</f>
        <v>1</v>
      </c>
      <c r="V7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0.00 /  </v>
      </c>
      <c r="W724" s="18" t="str">
        <f>IFERROR(IF(LEFT(ICE[[#This Row],[Tenor]], 1) = "B", RTD("esrtd",,$B724 &amp; " " &amp; ICE[[#This Row],[Tenor]] &amp; "-IEU", W$1), RTD("esrtd",,$B724 &amp; " " &amp; VLOOKUP(MONTH(ICE[[#This Row],[Strip]]), MthRef[], 2, 0) &amp; RIGHT(YEAR(ICE[[#This Row],[Strip]]), 2) &amp; "-IEU", W$1)), "")</f>
        <v/>
      </c>
      <c r="X724" s="36"/>
    </row>
    <row r="725" spans="1:24" x14ac:dyDescent="0.25">
      <c r="A725" s="37" t="s">
        <v>419</v>
      </c>
      <c r="B725" s="3" t="str">
        <f>RTD("ice.rtd",,$C725 &amp; $D725 &amp; ":" &amp; B$1)</f>
        <v>ULQ</v>
      </c>
      <c r="C725" s="3">
        <v>35534143</v>
      </c>
      <c r="D725" t="s">
        <v>806</v>
      </c>
      <c r="E725" s="3" t="str">
        <f>RTD("ice.rtd",,$C725 &amp; $D725 &amp; ":" &amp; E$1)</f>
        <v>Feb28</v>
      </c>
      <c r="F725" s="3" t="str">
        <f>ICE[[#This Row],[Prod]]&amp;ICE[[#This Row],[Strip]]</f>
        <v>go01ccmdiffFeb28</v>
      </c>
      <c r="G725" s="18" t="str">
        <f>RTD("ice.rtd",,$C725 &amp; $D725 &amp; ":" &amp; G$1)</f>
        <v/>
      </c>
      <c r="H725" s="18" t="str">
        <f>RTD("ice.rtd",,$C725 &amp; $D725 &amp; ":" &amp; H$1)</f>
        <v/>
      </c>
      <c r="I725" s="18" t="str">
        <f>RTD("ice.rtd",,$C725 &amp; $D725 &amp; ":" &amp; I$1)</f>
        <v/>
      </c>
      <c r="J725" s="14" t="str">
        <f>IFERROR(MOD(RTD("ice.rtd",,$C725 &amp; $D725 &amp; ":" &amp; J$1), 1), "")</f>
        <v/>
      </c>
      <c r="K725" s="18" t="str">
        <f>RTD("ice.rtd",,$C725 &amp; $D725 &amp; ":" &amp; K$1)</f>
        <v/>
      </c>
      <c r="L725" s="36" t="str">
        <f>RTD("ice.rtd",,$C725 &amp; $D725 &amp; ":" &amp; L$1)</f>
        <v/>
      </c>
      <c r="M725" s="14" t="str">
        <f>IFERROR(MOD(TIMEVALUE(RTD("ice.rtd",,$C725 &amp; $D725 &amp; ":" &amp; M$1)), 1), "")</f>
        <v/>
      </c>
      <c r="N725" s="36">
        <f>RTD("ice.rtd",,$C725 &amp; $D725 &amp; ":" &amp; N$1)</f>
        <v>0</v>
      </c>
      <c r="O725" s="36">
        <f>RTD("ice.rtd",,$C725 &amp; $D725 &amp; ":" &amp; O$1)</f>
        <v>0</v>
      </c>
      <c r="P7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5" s="14" t="str">
        <f>IF(ICE[[#This Row],[LastType]] = "Scrn", ICE[[#This Row],[LstDate]], IF(ICE[[#This Row],[LastType]] = "Blk", ICE[[#This Row],[LstBlkTime]], ""))</f>
        <v/>
      </c>
      <c r="R725" s="41" t="str">
        <f>IF(ICE[[#This Row],[LastType]] = "Scrn", ICE[[#This Row],[LstPrc]], IF(ICE[[#This Row],[LastType]] = "Blk", ICE[[#This Row],[LstBlkPrc]], ""))</f>
        <v/>
      </c>
      <c r="S725" s="36">
        <f>ICE[[#This Row],[Vol]]+ICE[[#This Row],[BlkVol]]</f>
        <v>0</v>
      </c>
      <c r="T725" s="36">
        <f>RTD("ice.rtd",,$C725 &amp; $D725 &amp; ":" &amp; T$1)</f>
        <v>0</v>
      </c>
      <c r="U725" s="18">
        <f>RTD("ice.rtd",,$C725 &amp; $D725 &amp; ":" &amp; U$1)</f>
        <v>1</v>
      </c>
      <c r="V7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5" s="18" t="str">
        <f>IFERROR(IF(LEFT(ICE[[#This Row],[Tenor]], 1) = "B", RTD("esrtd",,$B725 &amp; " " &amp; ICE[[#This Row],[Tenor]] &amp; "-IEU", W$1), RTD("esrtd",,$B725 &amp; " " &amp; VLOOKUP(MONTH(ICE[[#This Row],[Strip]]), MthRef[], 2, 0) &amp; RIGHT(YEAR(ICE[[#This Row],[Strip]]), 2) &amp; "-IEU", W$1)), "")</f>
        <v/>
      </c>
      <c r="X725" s="36"/>
    </row>
    <row r="726" spans="1:24" x14ac:dyDescent="0.25">
      <c r="A726" s="37" t="s">
        <v>419</v>
      </c>
      <c r="B726" s="3" t="str">
        <f>RTD("ice.rtd",,$C726 &amp; $D726 &amp; ":" &amp; B$1)</f>
        <v>ULQ</v>
      </c>
      <c r="C726" s="3">
        <v>35534143</v>
      </c>
      <c r="D726" t="s">
        <v>807</v>
      </c>
      <c r="E726" s="3" t="str">
        <f>RTD("ice.rtd",,$C726 &amp; $D726 &amp; ":" &amp; E$1)</f>
        <v>Mar28</v>
      </c>
      <c r="F726" s="3" t="str">
        <f>ICE[[#This Row],[Prod]]&amp;ICE[[#This Row],[Strip]]</f>
        <v>go01ccmdiffMar28</v>
      </c>
      <c r="G726" s="18" t="str">
        <f>RTD("ice.rtd",,$C726 &amp; $D726 &amp; ":" &amp; G$1)</f>
        <v/>
      </c>
      <c r="H726" s="18" t="str">
        <f>RTD("ice.rtd",,$C726 &amp; $D726 &amp; ":" &amp; H$1)</f>
        <v/>
      </c>
      <c r="I726" s="18" t="str">
        <f>RTD("ice.rtd",,$C726 &amp; $D726 &amp; ":" &amp; I$1)</f>
        <v/>
      </c>
      <c r="J726" s="14" t="str">
        <f>IFERROR(MOD(RTD("ice.rtd",,$C726 &amp; $D726 &amp; ":" &amp; J$1), 1), "")</f>
        <v/>
      </c>
      <c r="K726" s="18" t="str">
        <f>RTD("ice.rtd",,$C726 &amp; $D726 &amp; ":" &amp; K$1)</f>
        <v/>
      </c>
      <c r="L726" s="36" t="str">
        <f>RTD("ice.rtd",,$C726 &amp; $D726 &amp; ":" &amp; L$1)</f>
        <v/>
      </c>
      <c r="M726" s="14" t="str">
        <f>IFERROR(MOD(TIMEVALUE(RTD("ice.rtd",,$C726 &amp; $D726 &amp; ":" &amp; M$1)), 1), "")</f>
        <v/>
      </c>
      <c r="N726" s="36">
        <f>RTD("ice.rtd",,$C726 &amp; $D726 &amp; ":" &amp; N$1)</f>
        <v>0</v>
      </c>
      <c r="O726" s="36">
        <f>RTD("ice.rtd",,$C726 &amp; $D726 &amp; ":" &amp; O$1)</f>
        <v>0</v>
      </c>
      <c r="P7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6" s="14" t="str">
        <f>IF(ICE[[#This Row],[LastType]] = "Scrn", ICE[[#This Row],[LstDate]], IF(ICE[[#This Row],[LastType]] = "Blk", ICE[[#This Row],[LstBlkTime]], ""))</f>
        <v/>
      </c>
      <c r="R726" s="41" t="str">
        <f>IF(ICE[[#This Row],[LastType]] = "Scrn", ICE[[#This Row],[LstPrc]], IF(ICE[[#This Row],[LastType]] = "Blk", ICE[[#This Row],[LstBlkPrc]], ""))</f>
        <v/>
      </c>
      <c r="S726" s="36">
        <f>ICE[[#This Row],[Vol]]+ICE[[#This Row],[BlkVol]]</f>
        <v>0</v>
      </c>
      <c r="T726" s="36">
        <f>RTD("ice.rtd",,$C726 &amp; $D726 &amp; ":" &amp; T$1)</f>
        <v>0</v>
      </c>
      <c r="U726" s="18">
        <f>RTD("ice.rtd",,$C726 &amp; $D726 &amp; ":" &amp; U$1)</f>
        <v>1</v>
      </c>
      <c r="V7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6" s="18" t="str">
        <f>IFERROR(IF(LEFT(ICE[[#This Row],[Tenor]], 1) = "B", RTD("esrtd",,$B726 &amp; " " &amp; ICE[[#This Row],[Tenor]] &amp; "-IEU", W$1), RTD("esrtd",,$B726 &amp; " " &amp; VLOOKUP(MONTH(ICE[[#This Row],[Strip]]), MthRef[], 2, 0) &amp; RIGHT(YEAR(ICE[[#This Row],[Strip]]), 2) &amp; "-IEU", W$1)), "")</f>
        <v/>
      </c>
      <c r="X726" s="36"/>
    </row>
    <row r="727" spans="1:24" x14ac:dyDescent="0.25">
      <c r="A727" s="37" t="s">
        <v>419</v>
      </c>
      <c r="B727" s="3" t="str">
        <f>RTD("ice.rtd",,$C727 &amp; $D727 &amp; ":" &amp; B$1)</f>
        <v>ULQ</v>
      </c>
      <c r="C727" s="3">
        <v>35534143</v>
      </c>
      <c r="D727" t="s">
        <v>808</v>
      </c>
      <c r="E727" s="3" t="str">
        <f>RTD("ice.rtd",,$C727 &amp; $D727 &amp; ":" &amp; E$1)</f>
        <v>Apr28</v>
      </c>
      <c r="F727" s="3" t="str">
        <f>ICE[[#This Row],[Prod]]&amp;ICE[[#This Row],[Strip]]</f>
        <v>go01ccmdiffApr28</v>
      </c>
      <c r="G727" s="18" t="str">
        <f>RTD("ice.rtd",,$C727 &amp; $D727 &amp; ":" &amp; G$1)</f>
        <v/>
      </c>
      <c r="H727" s="18" t="str">
        <f>RTD("ice.rtd",,$C727 &amp; $D727 &amp; ":" &amp; H$1)</f>
        <v/>
      </c>
      <c r="I727" s="18" t="str">
        <f>RTD("ice.rtd",,$C727 &amp; $D727 &amp; ":" &amp; I$1)</f>
        <v/>
      </c>
      <c r="J727" s="14" t="str">
        <f>IFERROR(MOD(RTD("ice.rtd",,$C727 &amp; $D727 &amp; ":" &amp; J$1), 1), "")</f>
        <v/>
      </c>
      <c r="K727" s="18" t="str">
        <f>RTD("ice.rtd",,$C727 &amp; $D727 &amp; ":" &amp; K$1)</f>
        <v/>
      </c>
      <c r="L727" s="36" t="str">
        <f>RTD("ice.rtd",,$C727 &amp; $D727 &amp; ":" &amp; L$1)</f>
        <v/>
      </c>
      <c r="M727" s="14" t="str">
        <f>IFERROR(MOD(TIMEVALUE(RTD("ice.rtd",,$C727 &amp; $D727 &amp; ":" &amp; M$1)), 1), "")</f>
        <v/>
      </c>
      <c r="N727" s="36">
        <f>RTD("ice.rtd",,$C727 &amp; $D727 &amp; ":" &amp; N$1)</f>
        <v>0</v>
      </c>
      <c r="O727" s="36">
        <f>RTD("ice.rtd",,$C727 &amp; $D727 &amp; ":" &amp; O$1)</f>
        <v>0</v>
      </c>
      <c r="P7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7" s="14" t="str">
        <f>IF(ICE[[#This Row],[LastType]] = "Scrn", ICE[[#This Row],[LstDate]], IF(ICE[[#This Row],[LastType]] = "Blk", ICE[[#This Row],[LstBlkTime]], ""))</f>
        <v/>
      </c>
      <c r="R727" s="41" t="str">
        <f>IF(ICE[[#This Row],[LastType]] = "Scrn", ICE[[#This Row],[LstPrc]], IF(ICE[[#This Row],[LastType]] = "Blk", ICE[[#This Row],[LstBlkPrc]], ""))</f>
        <v/>
      </c>
      <c r="S727" s="36">
        <f>ICE[[#This Row],[Vol]]+ICE[[#This Row],[BlkVol]]</f>
        <v>0</v>
      </c>
      <c r="T727" s="36">
        <f>RTD("ice.rtd",,$C727 &amp; $D727 &amp; ":" &amp; T$1)</f>
        <v>0</v>
      </c>
      <c r="U727" s="18">
        <f>RTD("ice.rtd",,$C727 &amp; $D727 &amp; ":" &amp; U$1)</f>
        <v>1</v>
      </c>
      <c r="V7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7" s="18" t="str">
        <f>IFERROR(IF(LEFT(ICE[[#This Row],[Tenor]], 1) = "B", RTD("esrtd",,$B727 &amp; " " &amp; ICE[[#This Row],[Tenor]] &amp; "-IEU", W$1), RTD("esrtd",,$B727 &amp; " " &amp; VLOOKUP(MONTH(ICE[[#This Row],[Strip]]), MthRef[], 2, 0) &amp; RIGHT(YEAR(ICE[[#This Row],[Strip]]), 2) &amp; "-IEU", W$1)), "")</f>
        <v/>
      </c>
      <c r="X727" s="36"/>
    </row>
    <row r="728" spans="1:24" x14ac:dyDescent="0.25">
      <c r="A728" s="37" t="s">
        <v>419</v>
      </c>
      <c r="B728" s="3" t="str">
        <f>RTD("ice.rtd",,$C728 &amp; $D728 &amp; ":" &amp; B$1)</f>
        <v>ULQ</v>
      </c>
      <c r="C728" s="3">
        <v>35534143</v>
      </c>
      <c r="D728" t="s">
        <v>809</v>
      </c>
      <c r="E728" s="3" t="str">
        <f>RTD("ice.rtd",,$C728 &amp; $D728 &amp; ":" &amp; E$1)</f>
        <v>May28</v>
      </c>
      <c r="F728" s="3" t="str">
        <f>ICE[[#This Row],[Prod]]&amp;ICE[[#This Row],[Strip]]</f>
        <v>go01ccmdiffMay28</v>
      </c>
      <c r="G728" s="18" t="str">
        <f>RTD("ice.rtd",,$C728 &amp; $D728 &amp; ":" &amp; G$1)</f>
        <v/>
      </c>
      <c r="H728" s="18" t="str">
        <f>RTD("ice.rtd",,$C728 &amp; $D728 &amp; ":" &amp; H$1)</f>
        <v/>
      </c>
      <c r="I728" s="18" t="str">
        <f>RTD("ice.rtd",,$C728 &amp; $D728 &amp; ":" &amp; I$1)</f>
        <v/>
      </c>
      <c r="J728" s="14" t="str">
        <f>IFERROR(MOD(RTD("ice.rtd",,$C728 &amp; $D728 &amp; ":" &amp; J$1), 1), "")</f>
        <v/>
      </c>
      <c r="K728" s="18" t="str">
        <f>RTD("ice.rtd",,$C728 &amp; $D728 &amp; ":" &amp; K$1)</f>
        <v/>
      </c>
      <c r="L728" s="36" t="str">
        <f>RTD("ice.rtd",,$C728 &amp; $D728 &amp; ":" &amp; L$1)</f>
        <v/>
      </c>
      <c r="M728" s="14" t="str">
        <f>IFERROR(MOD(TIMEVALUE(RTD("ice.rtd",,$C728 &amp; $D728 &amp; ":" &amp; M$1)), 1), "")</f>
        <v/>
      </c>
      <c r="N728" s="36">
        <f>RTD("ice.rtd",,$C728 &amp; $D728 &amp; ":" &amp; N$1)</f>
        <v>0</v>
      </c>
      <c r="O728" s="36">
        <f>RTD("ice.rtd",,$C728 &amp; $D728 &amp; ":" &amp; O$1)</f>
        <v>0</v>
      </c>
      <c r="P7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8" s="14" t="str">
        <f>IF(ICE[[#This Row],[LastType]] = "Scrn", ICE[[#This Row],[LstDate]], IF(ICE[[#This Row],[LastType]] = "Blk", ICE[[#This Row],[LstBlkTime]], ""))</f>
        <v/>
      </c>
      <c r="R728" s="41" t="str">
        <f>IF(ICE[[#This Row],[LastType]] = "Scrn", ICE[[#This Row],[LstPrc]], IF(ICE[[#This Row],[LastType]] = "Blk", ICE[[#This Row],[LstBlkPrc]], ""))</f>
        <v/>
      </c>
      <c r="S728" s="36">
        <f>ICE[[#This Row],[Vol]]+ICE[[#This Row],[BlkVol]]</f>
        <v>0</v>
      </c>
      <c r="T728" s="36">
        <f>RTD("ice.rtd",,$C728 &amp; $D728 &amp; ":" &amp; T$1)</f>
        <v>0</v>
      </c>
      <c r="U728" s="18">
        <f>RTD("ice.rtd",,$C728 &amp; $D728 &amp; ":" &amp; U$1)</f>
        <v>1</v>
      </c>
      <c r="V7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8" s="18" t="str">
        <f>IFERROR(IF(LEFT(ICE[[#This Row],[Tenor]], 1) = "B", RTD("esrtd",,$B728 &amp; " " &amp; ICE[[#This Row],[Tenor]] &amp; "-IEU", W$1), RTD("esrtd",,$B728 &amp; " " &amp; VLOOKUP(MONTH(ICE[[#This Row],[Strip]]), MthRef[], 2, 0) &amp; RIGHT(YEAR(ICE[[#This Row],[Strip]]), 2) &amp; "-IEU", W$1)), "")</f>
        <v/>
      </c>
      <c r="X728" s="36"/>
    </row>
    <row r="729" spans="1:24" x14ac:dyDescent="0.25">
      <c r="A729" s="37" t="s">
        <v>419</v>
      </c>
      <c r="B729" s="3" t="str">
        <f>RTD("ice.rtd",,$C729 &amp; $D729 &amp; ":" &amp; B$1)</f>
        <v>ULQ</v>
      </c>
      <c r="C729" s="3">
        <v>35534143</v>
      </c>
      <c r="D729" t="s">
        <v>810</v>
      </c>
      <c r="E729" s="3" t="str">
        <f>RTD("ice.rtd",,$C729 &amp; $D729 &amp; ":" &amp; E$1)</f>
        <v>Jun28</v>
      </c>
      <c r="F729" s="3" t="str">
        <f>ICE[[#This Row],[Prod]]&amp;ICE[[#This Row],[Strip]]</f>
        <v>go01ccmdiffJun28</v>
      </c>
      <c r="G729" s="18" t="str">
        <f>RTD("ice.rtd",,$C729 &amp; $D729 &amp; ":" &amp; G$1)</f>
        <v/>
      </c>
      <c r="H729" s="18" t="str">
        <f>RTD("ice.rtd",,$C729 &amp; $D729 &amp; ":" &amp; H$1)</f>
        <v/>
      </c>
      <c r="I729" s="18" t="str">
        <f>RTD("ice.rtd",,$C729 &amp; $D729 &amp; ":" &amp; I$1)</f>
        <v/>
      </c>
      <c r="J729" s="14" t="str">
        <f>IFERROR(MOD(RTD("ice.rtd",,$C729 &amp; $D729 &amp; ":" &amp; J$1), 1), "")</f>
        <v/>
      </c>
      <c r="K729" s="18" t="str">
        <f>RTD("ice.rtd",,$C729 &amp; $D729 &amp; ":" &amp; K$1)</f>
        <v/>
      </c>
      <c r="L729" s="36" t="str">
        <f>RTD("ice.rtd",,$C729 &amp; $D729 &amp; ":" &amp; L$1)</f>
        <v/>
      </c>
      <c r="M729" s="14" t="str">
        <f>IFERROR(MOD(TIMEVALUE(RTD("ice.rtd",,$C729 &amp; $D729 &amp; ":" &amp; M$1)), 1), "")</f>
        <v/>
      </c>
      <c r="N729" s="36">
        <f>RTD("ice.rtd",,$C729 &amp; $D729 &amp; ":" &amp; N$1)</f>
        <v>0</v>
      </c>
      <c r="O729" s="36">
        <f>RTD("ice.rtd",,$C729 &amp; $D729 &amp; ":" &amp; O$1)</f>
        <v>0</v>
      </c>
      <c r="P7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29" s="14" t="str">
        <f>IF(ICE[[#This Row],[LastType]] = "Scrn", ICE[[#This Row],[LstDate]], IF(ICE[[#This Row],[LastType]] = "Blk", ICE[[#This Row],[LstBlkTime]], ""))</f>
        <v/>
      </c>
      <c r="R729" s="41" t="str">
        <f>IF(ICE[[#This Row],[LastType]] = "Scrn", ICE[[#This Row],[LstPrc]], IF(ICE[[#This Row],[LastType]] = "Blk", ICE[[#This Row],[LstBlkPrc]], ""))</f>
        <v/>
      </c>
      <c r="S729" s="36">
        <f>ICE[[#This Row],[Vol]]+ICE[[#This Row],[BlkVol]]</f>
        <v>0</v>
      </c>
      <c r="T729" s="36">
        <f>RTD("ice.rtd",,$C729 &amp; $D729 &amp; ":" &amp; T$1)</f>
        <v>0</v>
      </c>
      <c r="U729" s="18">
        <f>RTD("ice.rtd",,$C729 &amp; $D729 &amp; ":" &amp; U$1)</f>
        <v>1</v>
      </c>
      <c r="V7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29" s="18" t="str">
        <f>IFERROR(IF(LEFT(ICE[[#This Row],[Tenor]], 1) = "B", RTD("esrtd",,$B729 &amp; " " &amp; ICE[[#This Row],[Tenor]] &amp; "-IEU", W$1), RTD("esrtd",,$B729 &amp; " " &amp; VLOOKUP(MONTH(ICE[[#This Row],[Strip]]), MthRef[], 2, 0) &amp; RIGHT(YEAR(ICE[[#This Row],[Strip]]), 2) &amp; "-IEU", W$1)), "")</f>
        <v/>
      </c>
      <c r="X729" s="36"/>
    </row>
    <row r="730" spans="1:24" x14ac:dyDescent="0.25">
      <c r="A730" s="37" t="s">
        <v>419</v>
      </c>
      <c r="B730" s="3" t="str">
        <f>RTD("ice.rtd",,$C730 &amp; $D730 &amp; ":" &amp; B$1)</f>
        <v>ULQ</v>
      </c>
      <c r="C730" s="3">
        <v>35534143</v>
      </c>
      <c r="D730" t="s">
        <v>811</v>
      </c>
      <c r="E730" s="3" t="str">
        <f>RTD("ice.rtd",,$C730 &amp; $D730 &amp; ":" &amp; E$1)</f>
        <v>Jul28</v>
      </c>
      <c r="F730" s="3" t="str">
        <f>ICE[[#This Row],[Prod]]&amp;ICE[[#This Row],[Strip]]</f>
        <v>go01ccmdiffJul28</v>
      </c>
      <c r="G730" s="18">
        <f>RTD("ice.rtd",,$C730 &amp; $D730 &amp; ":" &amp; G$1)</f>
        <v>0</v>
      </c>
      <c r="H730" s="18" t="str">
        <f>RTD("ice.rtd",,$C730 &amp; $D730 &amp; ":" &amp; H$1)</f>
        <v/>
      </c>
      <c r="I730" s="18" t="str">
        <f>RTD("ice.rtd",,$C730 &amp; $D730 &amp; ":" &amp; I$1)</f>
        <v/>
      </c>
      <c r="J730" s="14" t="str">
        <f>IFERROR(MOD(RTD("ice.rtd",,$C730 &amp; $D730 &amp; ":" &amp; J$1), 1), "")</f>
        <v/>
      </c>
      <c r="K730" s="18" t="str">
        <f>RTD("ice.rtd",,$C730 &amp; $D730 &amp; ":" &amp; K$1)</f>
        <v/>
      </c>
      <c r="L730" s="36" t="str">
        <f>RTD("ice.rtd",,$C730 &amp; $D730 &amp; ":" &amp; L$1)</f>
        <v/>
      </c>
      <c r="M730" s="14" t="str">
        <f>IFERROR(MOD(TIMEVALUE(RTD("ice.rtd",,$C730 &amp; $D730 &amp; ":" &amp; M$1)), 1), "")</f>
        <v/>
      </c>
      <c r="N730" s="36">
        <f>RTD("ice.rtd",,$C730 &amp; $D730 &amp; ":" &amp; N$1)</f>
        <v>0</v>
      </c>
      <c r="O730" s="36">
        <f>RTD("ice.rtd",,$C730 &amp; $D730 &amp; ":" &amp; O$1)</f>
        <v>0</v>
      </c>
      <c r="P7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0" s="14" t="str">
        <f>IF(ICE[[#This Row],[LastType]] = "Scrn", ICE[[#This Row],[LstDate]], IF(ICE[[#This Row],[LastType]] = "Blk", ICE[[#This Row],[LstBlkTime]], ""))</f>
        <v/>
      </c>
      <c r="R730" s="41" t="str">
        <f>IF(ICE[[#This Row],[LastType]] = "Scrn", ICE[[#This Row],[LstPrc]], IF(ICE[[#This Row],[LastType]] = "Blk", ICE[[#This Row],[LstBlkPrc]], ""))</f>
        <v/>
      </c>
      <c r="S730" s="36">
        <f>ICE[[#This Row],[Vol]]+ICE[[#This Row],[BlkVol]]</f>
        <v>0</v>
      </c>
      <c r="T730" s="36">
        <f>RTD("ice.rtd",,$C730 &amp; $D730 &amp; ":" &amp; T$1)</f>
        <v>0</v>
      </c>
      <c r="U730" s="18">
        <f>RTD("ice.rtd",,$C730 &amp; $D730 &amp; ":" &amp; U$1)</f>
        <v>1</v>
      </c>
      <c r="V7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0.00 /  </v>
      </c>
      <c r="W730" s="18" t="str">
        <f>IFERROR(IF(LEFT(ICE[[#This Row],[Tenor]], 1) = "B", RTD("esrtd",,$B730 &amp; " " &amp; ICE[[#This Row],[Tenor]] &amp; "-IEU", W$1), RTD("esrtd",,$B730 &amp; " " &amp; VLOOKUP(MONTH(ICE[[#This Row],[Strip]]), MthRef[], 2, 0) &amp; RIGHT(YEAR(ICE[[#This Row],[Strip]]), 2) &amp; "-IEU", W$1)), "")</f>
        <v/>
      </c>
      <c r="X730" s="36"/>
    </row>
    <row r="731" spans="1:24" x14ac:dyDescent="0.25">
      <c r="A731" s="37" t="s">
        <v>419</v>
      </c>
      <c r="B731" s="3" t="str">
        <f>RTD("ice.rtd",,$C731 &amp; $D731 &amp; ":" &amp; B$1)</f>
        <v>ULQ</v>
      </c>
      <c r="C731" s="3">
        <v>35534143</v>
      </c>
      <c r="D731" t="s">
        <v>812</v>
      </c>
      <c r="E731" s="3" t="str">
        <f>RTD("ice.rtd",,$C731 &amp; $D731 &amp; ":" &amp; E$1)</f>
        <v>Aug28</v>
      </c>
      <c r="F731" s="3" t="str">
        <f>ICE[[#This Row],[Prod]]&amp;ICE[[#This Row],[Strip]]</f>
        <v>go01ccmdiffAug28</v>
      </c>
      <c r="G731" s="18" t="str">
        <f>RTD("ice.rtd",,$C731 &amp; $D731 &amp; ":" &amp; G$1)</f>
        <v/>
      </c>
      <c r="H731" s="18" t="str">
        <f>RTD("ice.rtd",,$C731 &amp; $D731 &amp; ":" &amp; H$1)</f>
        <v/>
      </c>
      <c r="I731" s="18" t="str">
        <f>RTD("ice.rtd",,$C731 &amp; $D731 &amp; ":" &amp; I$1)</f>
        <v/>
      </c>
      <c r="J731" s="14" t="str">
        <f>IFERROR(MOD(RTD("ice.rtd",,$C731 &amp; $D731 &amp; ":" &amp; J$1), 1), "")</f>
        <v/>
      </c>
      <c r="K731" s="18" t="str">
        <f>RTD("ice.rtd",,$C731 &amp; $D731 &amp; ":" &amp; K$1)</f>
        <v/>
      </c>
      <c r="L731" s="36" t="str">
        <f>RTD("ice.rtd",,$C731 &amp; $D731 &amp; ":" &amp; L$1)</f>
        <v/>
      </c>
      <c r="M731" s="14" t="str">
        <f>IFERROR(MOD(TIMEVALUE(RTD("ice.rtd",,$C731 &amp; $D731 &amp; ":" &amp; M$1)), 1), "")</f>
        <v/>
      </c>
      <c r="N731" s="36">
        <f>RTD("ice.rtd",,$C731 &amp; $D731 &amp; ":" &amp; N$1)</f>
        <v>0</v>
      </c>
      <c r="O731" s="36">
        <f>RTD("ice.rtd",,$C731 &amp; $D731 &amp; ":" &amp; O$1)</f>
        <v>0</v>
      </c>
      <c r="P7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1" s="14" t="str">
        <f>IF(ICE[[#This Row],[LastType]] = "Scrn", ICE[[#This Row],[LstDate]], IF(ICE[[#This Row],[LastType]] = "Blk", ICE[[#This Row],[LstBlkTime]], ""))</f>
        <v/>
      </c>
      <c r="R731" s="41" t="str">
        <f>IF(ICE[[#This Row],[LastType]] = "Scrn", ICE[[#This Row],[LstPrc]], IF(ICE[[#This Row],[LastType]] = "Blk", ICE[[#This Row],[LstBlkPrc]], ""))</f>
        <v/>
      </c>
      <c r="S731" s="36">
        <f>ICE[[#This Row],[Vol]]+ICE[[#This Row],[BlkVol]]</f>
        <v>0</v>
      </c>
      <c r="T731" s="36">
        <f>RTD("ice.rtd",,$C731 &amp; $D731 &amp; ":" &amp; T$1)</f>
        <v>0</v>
      </c>
      <c r="U731" s="18">
        <f>RTD("ice.rtd",,$C731 &amp; $D731 &amp; ":" &amp; U$1)</f>
        <v>1</v>
      </c>
      <c r="V7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1" s="18" t="str">
        <f>IFERROR(IF(LEFT(ICE[[#This Row],[Tenor]], 1) = "B", RTD("esrtd",,$B731 &amp; " " &amp; ICE[[#This Row],[Tenor]] &amp; "-IEU", W$1), RTD("esrtd",,$B731 &amp; " " &amp; VLOOKUP(MONTH(ICE[[#This Row],[Strip]]), MthRef[], 2, 0) &amp; RIGHT(YEAR(ICE[[#This Row],[Strip]]), 2) &amp; "-IEU", W$1)), "")</f>
        <v/>
      </c>
      <c r="X731" s="36"/>
    </row>
    <row r="732" spans="1:24" x14ac:dyDescent="0.25">
      <c r="A732" s="37" t="s">
        <v>419</v>
      </c>
      <c r="B732" s="3" t="str">
        <f>RTD("ice.rtd",,$C732 &amp; $D732 &amp; ":" &amp; B$1)</f>
        <v>ULQ</v>
      </c>
      <c r="C732" s="3">
        <v>35534143</v>
      </c>
      <c r="D732" t="s">
        <v>813</v>
      </c>
      <c r="E732" s="3" t="str">
        <f>RTD("ice.rtd",,$C732 &amp; $D732 &amp; ":" &amp; E$1)</f>
        <v>Sep28</v>
      </c>
      <c r="F732" s="3" t="str">
        <f>ICE[[#This Row],[Prod]]&amp;ICE[[#This Row],[Strip]]</f>
        <v>go01ccmdiffSep28</v>
      </c>
      <c r="G732" s="18" t="str">
        <f>RTD("ice.rtd",,$C732 &amp; $D732 &amp; ":" &amp; G$1)</f>
        <v/>
      </c>
      <c r="H732" s="18" t="str">
        <f>RTD("ice.rtd",,$C732 &amp; $D732 &amp; ":" &amp; H$1)</f>
        <v/>
      </c>
      <c r="I732" s="18" t="str">
        <f>RTD("ice.rtd",,$C732 &amp; $D732 &amp; ":" &amp; I$1)</f>
        <v/>
      </c>
      <c r="J732" s="14" t="str">
        <f>IFERROR(MOD(RTD("ice.rtd",,$C732 &amp; $D732 &amp; ":" &amp; J$1), 1), "")</f>
        <v/>
      </c>
      <c r="K732" s="18" t="str">
        <f>RTD("ice.rtd",,$C732 &amp; $D732 &amp; ":" &amp; K$1)</f>
        <v/>
      </c>
      <c r="L732" s="36" t="str">
        <f>RTD("ice.rtd",,$C732 &amp; $D732 &amp; ":" &amp; L$1)</f>
        <v/>
      </c>
      <c r="M732" s="14" t="str">
        <f>IFERROR(MOD(TIMEVALUE(RTD("ice.rtd",,$C732 &amp; $D732 &amp; ":" &amp; M$1)), 1), "")</f>
        <v/>
      </c>
      <c r="N732" s="36">
        <f>RTD("ice.rtd",,$C732 &amp; $D732 &amp; ":" &amp; N$1)</f>
        <v>0</v>
      </c>
      <c r="O732" s="36">
        <f>RTD("ice.rtd",,$C732 &amp; $D732 &amp; ":" &amp; O$1)</f>
        <v>0</v>
      </c>
      <c r="P7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2" s="14" t="str">
        <f>IF(ICE[[#This Row],[LastType]] = "Scrn", ICE[[#This Row],[LstDate]], IF(ICE[[#This Row],[LastType]] = "Blk", ICE[[#This Row],[LstBlkTime]], ""))</f>
        <v/>
      </c>
      <c r="R732" s="41" t="str">
        <f>IF(ICE[[#This Row],[LastType]] = "Scrn", ICE[[#This Row],[LstPrc]], IF(ICE[[#This Row],[LastType]] = "Blk", ICE[[#This Row],[LstBlkPrc]], ""))</f>
        <v/>
      </c>
      <c r="S732" s="36">
        <f>ICE[[#This Row],[Vol]]+ICE[[#This Row],[BlkVol]]</f>
        <v>0</v>
      </c>
      <c r="T732" s="36">
        <f>RTD("ice.rtd",,$C732 &amp; $D732 &amp; ":" &amp; T$1)</f>
        <v>0</v>
      </c>
      <c r="U732" s="18">
        <f>RTD("ice.rtd",,$C732 &amp; $D732 &amp; ":" &amp; U$1)</f>
        <v>1</v>
      </c>
      <c r="V7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2" s="18" t="str">
        <f>IFERROR(IF(LEFT(ICE[[#This Row],[Tenor]], 1) = "B", RTD("esrtd",,$B732 &amp; " " &amp; ICE[[#This Row],[Tenor]] &amp; "-IEU", W$1), RTD("esrtd",,$B732 &amp; " " &amp; VLOOKUP(MONTH(ICE[[#This Row],[Strip]]), MthRef[], 2, 0) &amp; RIGHT(YEAR(ICE[[#This Row],[Strip]]), 2) &amp; "-IEU", W$1)), "")</f>
        <v/>
      </c>
      <c r="X732" s="36"/>
    </row>
    <row r="733" spans="1:24" x14ac:dyDescent="0.25">
      <c r="A733" s="37" t="s">
        <v>419</v>
      </c>
      <c r="B733" s="3" t="str">
        <f>RTD("ice.rtd",,$C733 &amp; $D733 &amp; ":" &amp; B$1)</f>
        <v>ULQ</v>
      </c>
      <c r="C733" s="3">
        <v>35534143</v>
      </c>
      <c r="D733" t="s">
        <v>814</v>
      </c>
      <c r="E733" s="3" t="str">
        <f>RTD("ice.rtd",,$C733 &amp; $D733 &amp; ":" &amp; E$1)</f>
        <v>Q4 26</v>
      </c>
      <c r="F733" s="3" t="str">
        <f>ICE[[#This Row],[Prod]]&amp;ICE[[#This Row],[Strip]]</f>
        <v>go01ccmdiffQ4 26</v>
      </c>
      <c r="G733" s="18" t="str">
        <f>RTD("ice.rtd",,$C733 &amp; $D733 &amp; ":" &amp; G$1)</f>
        <v/>
      </c>
      <c r="H733" s="18" t="str">
        <f>RTD("ice.rtd",,$C733 &amp; $D733 &amp; ":" &amp; H$1)</f>
        <v/>
      </c>
      <c r="I733" s="18" t="str">
        <f>RTD("ice.rtd",,$C733 &amp; $D733 &amp; ":" &amp; I$1)</f>
        <v/>
      </c>
      <c r="J733" s="14" t="str">
        <f>IFERROR(MOD(RTD("ice.rtd",,$C733 &amp; $D733 &amp; ":" &amp; J$1), 1), "")</f>
        <v/>
      </c>
      <c r="K733" s="18" t="str">
        <f>RTD("ice.rtd",,$C733 &amp; $D733 &amp; ":" &amp; K$1)</f>
        <v/>
      </c>
      <c r="L733" s="36" t="str">
        <f>RTD("ice.rtd",,$C733 &amp; $D733 &amp; ":" &amp; L$1)</f>
        <v/>
      </c>
      <c r="M733" s="14" t="str">
        <f>IFERROR(MOD(TIMEVALUE(RTD("ice.rtd",,$C733 &amp; $D733 &amp; ":" &amp; M$1)), 1), "")</f>
        <v/>
      </c>
      <c r="N733" s="36">
        <f>RTD("ice.rtd",,$C733 &amp; $D733 &amp; ":" &amp; N$1)</f>
        <v>0</v>
      </c>
      <c r="O733" s="36">
        <f>RTD("ice.rtd",,$C733 &amp; $D733 &amp; ":" &amp; O$1)</f>
        <v>0</v>
      </c>
      <c r="P7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3" s="14" t="str">
        <f>IF(ICE[[#This Row],[LastType]] = "Scrn", ICE[[#This Row],[LstDate]], IF(ICE[[#This Row],[LastType]] = "Blk", ICE[[#This Row],[LstBlkTime]], ""))</f>
        <v/>
      </c>
      <c r="R733" s="41" t="str">
        <f>IF(ICE[[#This Row],[LastType]] = "Scrn", ICE[[#This Row],[LstPrc]], IF(ICE[[#This Row],[LastType]] = "Blk", ICE[[#This Row],[LstBlkPrc]], ""))</f>
        <v/>
      </c>
      <c r="S733" s="36">
        <f>ICE[[#This Row],[Vol]]+ICE[[#This Row],[BlkVol]]</f>
        <v>0</v>
      </c>
      <c r="T733" s="36">
        <f>RTD("ice.rtd",,$C733 &amp; $D733 &amp; ":" &amp; T$1)</f>
        <v>0</v>
      </c>
      <c r="U733" s="18">
        <f>RTD("ice.rtd",,$C733 &amp; $D733 &amp; ":" &amp; U$1)</f>
        <v>11.667</v>
      </c>
      <c r="V7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3" s="18" t="str">
        <f>IFERROR(IF(LEFT(ICE[[#This Row],[Tenor]], 1) = "B", RTD("esrtd",,$B733 &amp; " " &amp; ICE[[#This Row],[Tenor]] &amp; "-IEU", W$1), RTD("esrtd",,$B733 &amp; " " &amp; VLOOKUP(MONTH(ICE[[#This Row],[Strip]]), MthRef[], 2, 0) &amp; RIGHT(YEAR(ICE[[#This Row],[Strip]]), 2) &amp; "-IEU", W$1)), "")</f>
        <v/>
      </c>
      <c r="X733" s="36"/>
    </row>
    <row r="734" spans="1:24" x14ac:dyDescent="0.25">
      <c r="A734" s="37" t="s">
        <v>419</v>
      </c>
      <c r="B734" s="3" t="str">
        <f>RTD("ice.rtd",,$C734 &amp; $D734 &amp; ":" &amp; B$1)</f>
        <v>ULQ</v>
      </c>
      <c r="C734" s="3">
        <v>35534143</v>
      </c>
      <c r="D734" t="s">
        <v>815</v>
      </c>
      <c r="E734" s="3" t="str">
        <f>RTD("ice.rtd",,$C734 &amp; $D734 &amp; ":" &amp; E$1)</f>
        <v>Q1 27</v>
      </c>
      <c r="F734" s="3" t="str">
        <f>ICE[[#This Row],[Prod]]&amp;ICE[[#This Row],[Strip]]</f>
        <v>go01ccmdiffQ1 27</v>
      </c>
      <c r="G734" s="18" t="str">
        <f>RTD("ice.rtd",,$C734 &amp; $D734 &amp; ":" &amp; G$1)</f>
        <v/>
      </c>
      <c r="H734" s="18" t="str">
        <f>RTD("ice.rtd",,$C734 &amp; $D734 &amp; ":" &amp; H$1)</f>
        <v/>
      </c>
      <c r="I734" s="18" t="str">
        <f>RTD("ice.rtd",,$C734 &amp; $D734 &amp; ":" &amp; I$1)</f>
        <v/>
      </c>
      <c r="J734" s="14" t="str">
        <f>IFERROR(MOD(RTD("ice.rtd",,$C734 &amp; $D734 &amp; ":" &amp; J$1), 1), "")</f>
        <v/>
      </c>
      <c r="K734" s="18" t="str">
        <f>RTD("ice.rtd",,$C734 &amp; $D734 &amp; ":" &amp; K$1)</f>
        <v/>
      </c>
      <c r="L734" s="36" t="str">
        <f>RTD("ice.rtd",,$C734 &amp; $D734 &amp; ":" &amp; L$1)</f>
        <v/>
      </c>
      <c r="M734" s="14" t="str">
        <f>IFERROR(MOD(TIMEVALUE(RTD("ice.rtd",,$C734 &amp; $D734 &amp; ":" &amp; M$1)), 1), "")</f>
        <v/>
      </c>
      <c r="N734" s="36">
        <f>RTD("ice.rtd",,$C734 &amp; $D734 &amp; ":" &amp; N$1)</f>
        <v>0</v>
      </c>
      <c r="O734" s="36">
        <f>RTD("ice.rtd",,$C734 &amp; $D734 &amp; ":" &amp; O$1)</f>
        <v>0</v>
      </c>
      <c r="P7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4" s="14" t="str">
        <f>IF(ICE[[#This Row],[LastType]] = "Scrn", ICE[[#This Row],[LstDate]], IF(ICE[[#This Row],[LastType]] = "Blk", ICE[[#This Row],[LstBlkTime]], ""))</f>
        <v/>
      </c>
      <c r="R734" s="41" t="str">
        <f>IF(ICE[[#This Row],[LastType]] = "Scrn", ICE[[#This Row],[LstPrc]], IF(ICE[[#This Row],[LastType]] = "Blk", ICE[[#This Row],[LstBlkPrc]], ""))</f>
        <v/>
      </c>
      <c r="S734" s="36">
        <f>ICE[[#This Row],[Vol]]+ICE[[#This Row],[BlkVol]]</f>
        <v>0</v>
      </c>
      <c r="T734" s="36">
        <f>RTD("ice.rtd",,$C734 &amp; $D734 &amp; ":" &amp; T$1)</f>
        <v>0</v>
      </c>
      <c r="U734" s="18">
        <f>RTD("ice.rtd",,$C734 &amp; $D734 &amp; ":" &amp; U$1)</f>
        <v>2</v>
      </c>
      <c r="V7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4" s="18" t="str">
        <f>IFERROR(IF(LEFT(ICE[[#This Row],[Tenor]], 1) = "B", RTD("esrtd",,$B734 &amp; " " &amp; ICE[[#This Row],[Tenor]] &amp; "-IEU", W$1), RTD("esrtd",,$B734 &amp; " " &amp; VLOOKUP(MONTH(ICE[[#This Row],[Strip]]), MthRef[], 2, 0) &amp; RIGHT(YEAR(ICE[[#This Row],[Strip]]), 2) &amp; "-IEU", W$1)), "")</f>
        <v/>
      </c>
      <c r="X734" s="36"/>
    </row>
    <row r="735" spans="1:24" x14ac:dyDescent="0.25">
      <c r="A735" s="37" t="s">
        <v>419</v>
      </c>
      <c r="B735" s="3" t="str">
        <f>RTD("ice.rtd",,$C735 &amp; $D735 &amp; ":" &amp; B$1)</f>
        <v>ULQ</v>
      </c>
      <c r="C735" s="3">
        <v>35534143</v>
      </c>
      <c r="D735" t="s">
        <v>816</v>
      </c>
      <c r="E735" s="3" t="str">
        <f>RTD("ice.rtd",,$C735 &amp; $D735 &amp; ":" &amp; E$1)</f>
        <v>Q2 27</v>
      </c>
      <c r="F735" s="3" t="str">
        <f>ICE[[#This Row],[Prod]]&amp;ICE[[#This Row],[Strip]]</f>
        <v>go01ccmdiffQ2 27</v>
      </c>
      <c r="G735" s="18" t="str">
        <f>RTD("ice.rtd",,$C735 &amp; $D735 &amp; ":" &amp; G$1)</f>
        <v/>
      </c>
      <c r="H735" s="18" t="str">
        <f>RTD("ice.rtd",,$C735 &amp; $D735 &amp; ":" &amp; H$1)</f>
        <v/>
      </c>
      <c r="I735" s="18" t="str">
        <f>RTD("ice.rtd",,$C735 &amp; $D735 &amp; ":" &amp; I$1)</f>
        <v/>
      </c>
      <c r="J735" s="14" t="str">
        <f>IFERROR(MOD(RTD("ice.rtd",,$C735 &amp; $D735 &amp; ":" &amp; J$1), 1), "")</f>
        <v/>
      </c>
      <c r="K735" s="18" t="str">
        <f>RTD("ice.rtd",,$C735 &amp; $D735 &amp; ":" &amp; K$1)</f>
        <v/>
      </c>
      <c r="L735" s="36" t="str">
        <f>RTD("ice.rtd",,$C735 &amp; $D735 &amp; ":" &amp; L$1)</f>
        <v/>
      </c>
      <c r="M735" s="14" t="str">
        <f>IFERROR(MOD(TIMEVALUE(RTD("ice.rtd",,$C735 &amp; $D735 &amp; ":" &amp; M$1)), 1), "")</f>
        <v/>
      </c>
      <c r="N735" s="36">
        <f>RTD("ice.rtd",,$C735 &amp; $D735 &amp; ":" &amp; N$1)</f>
        <v>0</v>
      </c>
      <c r="O735" s="36">
        <f>RTD("ice.rtd",,$C735 &amp; $D735 &amp; ":" &amp; O$1)</f>
        <v>0</v>
      </c>
      <c r="P7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5" s="14" t="str">
        <f>IF(ICE[[#This Row],[LastType]] = "Scrn", ICE[[#This Row],[LstDate]], IF(ICE[[#This Row],[LastType]] = "Blk", ICE[[#This Row],[LstBlkTime]], ""))</f>
        <v/>
      </c>
      <c r="R735" s="41" t="str">
        <f>IF(ICE[[#This Row],[LastType]] = "Scrn", ICE[[#This Row],[LstPrc]], IF(ICE[[#This Row],[LastType]] = "Blk", ICE[[#This Row],[LstBlkPrc]], ""))</f>
        <v/>
      </c>
      <c r="S735" s="36">
        <f>ICE[[#This Row],[Vol]]+ICE[[#This Row],[BlkVol]]</f>
        <v>0</v>
      </c>
      <c r="T735" s="36">
        <f>RTD("ice.rtd",,$C735 &amp; $D735 &amp; ":" &amp; T$1)</f>
        <v>0</v>
      </c>
      <c r="U735" s="18">
        <f>RTD("ice.rtd",,$C735 &amp; $D735 &amp; ":" &amp; U$1)</f>
        <v>1</v>
      </c>
      <c r="V7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5" s="18" t="str">
        <f>IFERROR(IF(LEFT(ICE[[#This Row],[Tenor]], 1) = "B", RTD("esrtd",,$B735 &amp; " " &amp; ICE[[#This Row],[Tenor]] &amp; "-IEU", W$1), RTD("esrtd",,$B735 &amp; " " &amp; VLOOKUP(MONTH(ICE[[#This Row],[Strip]]), MthRef[], 2, 0) &amp; RIGHT(YEAR(ICE[[#This Row],[Strip]]), 2) &amp; "-IEU", W$1)), "")</f>
        <v/>
      </c>
      <c r="X735" s="36"/>
    </row>
    <row r="736" spans="1:24" x14ac:dyDescent="0.25">
      <c r="A736" s="37" t="s">
        <v>419</v>
      </c>
      <c r="B736" s="3" t="str">
        <f>RTD("ice.rtd",,$C736 &amp; $D736 &amp; ":" &amp; B$1)</f>
        <v>ULQ</v>
      </c>
      <c r="C736" s="3">
        <v>35534143</v>
      </c>
      <c r="D736" t="s">
        <v>817</v>
      </c>
      <c r="E736" s="3" t="str">
        <f>RTD("ice.rtd",,$C736 &amp; $D736 &amp; ":" &amp; E$1)</f>
        <v>Q3 27</v>
      </c>
      <c r="F736" s="3" t="str">
        <f>ICE[[#This Row],[Prod]]&amp;ICE[[#This Row],[Strip]]</f>
        <v>go01ccmdiffQ3 27</v>
      </c>
      <c r="G736" s="18" t="str">
        <f>RTD("ice.rtd",,$C736 &amp; $D736 &amp; ":" &amp; G$1)</f>
        <v/>
      </c>
      <c r="H736" s="18" t="str">
        <f>RTD("ice.rtd",,$C736 &amp; $D736 &amp; ":" &amp; H$1)</f>
        <v/>
      </c>
      <c r="I736" s="18" t="str">
        <f>RTD("ice.rtd",,$C736 &amp; $D736 &amp; ":" &amp; I$1)</f>
        <v/>
      </c>
      <c r="J736" s="14" t="str">
        <f>IFERROR(MOD(RTD("ice.rtd",,$C736 &amp; $D736 &amp; ":" &amp; J$1), 1), "")</f>
        <v/>
      </c>
      <c r="K736" s="18" t="str">
        <f>RTD("ice.rtd",,$C736 &amp; $D736 &amp; ":" &amp; K$1)</f>
        <v/>
      </c>
      <c r="L736" s="36" t="str">
        <f>RTD("ice.rtd",,$C736 &amp; $D736 &amp; ":" &amp; L$1)</f>
        <v/>
      </c>
      <c r="M736" s="14" t="str">
        <f>IFERROR(MOD(TIMEVALUE(RTD("ice.rtd",,$C736 &amp; $D736 &amp; ":" &amp; M$1)), 1), "")</f>
        <v/>
      </c>
      <c r="N736" s="36">
        <f>RTD("ice.rtd",,$C736 &amp; $D736 &amp; ":" &amp; N$1)</f>
        <v>0</v>
      </c>
      <c r="O736" s="36">
        <f>RTD("ice.rtd",,$C736 &amp; $D736 &amp; ":" &amp; O$1)</f>
        <v>0</v>
      </c>
      <c r="P7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6" s="14" t="str">
        <f>IF(ICE[[#This Row],[LastType]] = "Scrn", ICE[[#This Row],[LstDate]], IF(ICE[[#This Row],[LastType]] = "Blk", ICE[[#This Row],[LstBlkTime]], ""))</f>
        <v/>
      </c>
      <c r="R736" s="41" t="str">
        <f>IF(ICE[[#This Row],[LastType]] = "Scrn", ICE[[#This Row],[LstPrc]], IF(ICE[[#This Row],[LastType]] = "Blk", ICE[[#This Row],[LstBlkPrc]], ""))</f>
        <v/>
      </c>
      <c r="S736" s="36">
        <f>ICE[[#This Row],[Vol]]+ICE[[#This Row],[BlkVol]]</f>
        <v>0</v>
      </c>
      <c r="T736" s="36">
        <f>RTD("ice.rtd",,$C736 &amp; $D736 &amp; ":" &amp; T$1)</f>
        <v>0</v>
      </c>
      <c r="U736" s="18">
        <f>RTD("ice.rtd",,$C736 &amp; $D736 &amp; ":" &amp; U$1)</f>
        <v>0.5</v>
      </c>
      <c r="V7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6" s="18" t="str">
        <f>IFERROR(IF(LEFT(ICE[[#This Row],[Tenor]], 1) = "B", RTD("esrtd",,$B736 &amp; " " &amp; ICE[[#This Row],[Tenor]] &amp; "-IEU", W$1), RTD("esrtd",,$B736 &amp; " " &amp; VLOOKUP(MONTH(ICE[[#This Row],[Strip]]), MthRef[], 2, 0) &amp; RIGHT(YEAR(ICE[[#This Row],[Strip]]), 2) &amp; "-IEU", W$1)), "")</f>
        <v/>
      </c>
      <c r="X736" s="36"/>
    </row>
    <row r="737" spans="1:24" x14ac:dyDescent="0.25">
      <c r="A737" s="37" t="s">
        <v>419</v>
      </c>
      <c r="B737" s="3" t="str">
        <f>RTD("ice.rtd",,$C737 &amp; $D737 &amp; ":" &amp; B$1)</f>
        <v>ULQ</v>
      </c>
      <c r="C737" s="3">
        <v>35534143</v>
      </c>
      <c r="D737" t="s">
        <v>818</v>
      </c>
      <c r="E737" s="3" t="str">
        <f>RTD("ice.rtd",,$C737 &amp; $D737 &amp; ":" &amp; E$1)</f>
        <v>Q4 27</v>
      </c>
      <c r="F737" s="3" t="str">
        <f>ICE[[#This Row],[Prod]]&amp;ICE[[#This Row],[Strip]]</f>
        <v>go01ccmdiffQ4 27</v>
      </c>
      <c r="G737" s="18" t="str">
        <f>RTD("ice.rtd",,$C737 &amp; $D737 &amp; ":" &amp; G$1)</f>
        <v/>
      </c>
      <c r="H737" s="18" t="str">
        <f>RTD("ice.rtd",,$C737 &amp; $D737 &amp; ":" &amp; H$1)</f>
        <v/>
      </c>
      <c r="I737" s="18" t="str">
        <f>RTD("ice.rtd",,$C737 &amp; $D737 &amp; ":" &amp; I$1)</f>
        <v/>
      </c>
      <c r="J737" s="14" t="str">
        <f>IFERROR(MOD(RTD("ice.rtd",,$C737 &amp; $D737 &amp; ":" &amp; J$1), 1), "")</f>
        <v/>
      </c>
      <c r="K737" s="18" t="str">
        <f>RTD("ice.rtd",,$C737 &amp; $D737 &amp; ":" &amp; K$1)</f>
        <v/>
      </c>
      <c r="L737" s="36" t="str">
        <f>RTD("ice.rtd",,$C737 &amp; $D737 &amp; ":" &amp; L$1)</f>
        <v/>
      </c>
      <c r="M737" s="14" t="str">
        <f>IFERROR(MOD(TIMEVALUE(RTD("ice.rtd",,$C737 &amp; $D737 &amp; ":" &amp; M$1)), 1), "")</f>
        <v/>
      </c>
      <c r="N737" s="36">
        <f>RTD("ice.rtd",,$C737 &amp; $D737 &amp; ":" &amp; N$1)</f>
        <v>0</v>
      </c>
      <c r="O737" s="36">
        <f>RTD("ice.rtd",,$C737 &amp; $D737 &amp; ":" &amp; O$1)</f>
        <v>0</v>
      </c>
      <c r="P7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7" s="14" t="str">
        <f>IF(ICE[[#This Row],[LastType]] = "Scrn", ICE[[#This Row],[LstDate]], IF(ICE[[#This Row],[LastType]] = "Blk", ICE[[#This Row],[LstBlkTime]], ""))</f>
        <v/>
      </c>
      <c r="R737" s="41" t="str">
        <f>IF(ICE[[#This Row],[LastType]] = "Scrn", ICE[[#This Row],[LstPrc]], IF(ICE[[#This Row],[LastType]] = "Blk", ICE[[#This Row],[LstBlkPrc]], ""))</f>
        <v/>
      </c>
      <c r="S737" s="36">
        <f>ICE[[#This Row],[Vol]]+ICE[[#This Row],[BlkVol]]</f>
        <v>0</v>
      </c>
      <c r="T737" s="36">
        <f>RTD("ice.rtd",,$C737 &amp; $D737 &amp; ":" &amp; T$1)</f>
        <v>0</v>
      </c>
      <c r="U737" s="18">
        <f>RTD("ice.rtd",,$C737 &amp; $D737 &amp; ":" &amp; U$1)</f>
        <v>1</v>
      </c>
      <c r="V7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7" s="18" t="str">
        <f>IFERROR(IF(LEFT(ICE[[#This Row],[Tenor]], 1) = "B", RTD("esrtd",,$B737 &amp; " " &amp; ICE[[#This Row],[Tenor]] &amp; "-IEU", W$1), RTD("esrtd",,$B737 &amp; " " &amp; VLOOKUP(MONTH(ICE[[#This Row],[Strip]]), MthRef[], 2, 0) &amp; RIGHT(YEAR(ICE[[#This Row],[Strip]]), 2) &amp; "-IEU", W$1)), "")</f>
        <v/>
      </c>
      <c r="X737" s="36"/>
    </row>
    <row r="738" spans="1:24" x14ac:dyDescent="0.25">
      <c r="A738" s="37" t="s">
        <v>419</v>
      </c>
      <c r="B738" s="3" t="str">
        <f>RTD("ice.rtd",,$C738 &amp; $D738 &amp; ":" &amp; B$1)</f>
        <v>ULQ</v>
      </c>
      <c r="C738" s="3">
        <v>35534143</v>
      </c>
      <c r="D738" t="s">
        <v>819</v>
      </c>
      <c r="E738" s="3" t="str">
        <f>RTD("ice.rtd",,$C738 &amp; $D738 &amp; ":" &amp; E$1)</f>
        <v>Q1 28</v>
      </c>
      <c r="F738" s="3" t="str">
        <f>ICE[[#This Row],[Prod]]&amp;ICE[[#This Row],[Strip]]</f>
        <v>go01ccmdiffQ1 28</v>
      </c>
      <c r="G738" s="18" t="str">
        <f>RTD("ice.rtd",,$C738 &amp; $D738 &amp; ":" &amp; G$1)</f>
        <v/>
      </c>
      <c r="H738" s="18" t="str">
        <f>RTD("ice.rtd",,$C738 &amp; $D738 &amp; ":" &amp; H$1)</f>
        <v/>
      </c>
      <c r="I738" s="18" t="str">
        <f>RTD("ice.rtd",,$C738 &amp; $D738 &amp; ":" &amp; I$1)</f>
        <v/>
      </c>
      <c r="J738" s="14" t="str">
        <f>IFERROR(MOD(RTD("ice.rtd",,$C738 &amp; $D738 &amp; ":" &amp; J$1), 1), "")</f>
        <v/>
      </c>
      <c r="K738" s="18" t="str">
        <f>RTD("ice.rtd",,$C738 &amp; $D738 &amp; ":" &amp; K$1)</f>
        <v/>
      </c>
      <c r="L738" s="36" t="str">
        <f>RTD("ice.rtd",,$C738 &amp; $D738 &amp; ":" &amp; L$1)</f>
        <v/>
      </c>
      <c r="M738" s="14" t="str">
        <f>IFERROR(MOD(TIMEVALUE(RTD("ice.rtd",,$C738 &amp; $D738 &amp; ":" &amp; M$1)), 1), "")</f>
        <v/>
      </c>
      <c r="N738" s="36">
        <f>RTD("ice.rtd",,$C738 &amp; $D738 &amp; ":" &amp; N$1)</f>
        <v>0</v>
      </c>
      <c r="O738" s="36">
        <f>RTD("ice.rtd",,$C738 &amp; $D738 &amp; ":" &amp; O$1)</f>
        <v>0</v>
      </c>
      <c r="P7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8" s="14" t="str">
        <f>IF(ICE[[#This Row],[LastType]] = "Scrn", ICE[[#This Row],[LstDate]], IF(ICE[[#This Row],[LastType]] = "Blk", ICE[[#This Row],[LstBlkTime]], ""))</f>
        <v/>
      </c>
      <c r="R738" s="41" t="str">
        <f>IF(ICE[[#This Row],[LastType]] = "Scrn", ICE[[#This Row],[LstPrc]], IF(ICE[[#This Row],[LastType]] = "Blk", ICE[[#This Row],[LstBlkPrc]], ""))</f>
        <v/>
      </c>
      <c r="S738" s="36">
        <f>ICE[[#This Row],[Vol]]+ICE[[#This Row],[BlkVol]]</f>
        <v>0</v>
      </c>
      <c r="T738" s="36">
        <f>RTD("ice.rtd",,$C738 &amp; $D738 &amp; ":" &amp; T$1)</f>
        <v>0</v>
      </c>
      <c r="U738" s="18">
        <f>RTD("ice.rtd",,$C738 &amp; $D738 &amp; ":" &amp; U$1)</f>
        <v>1</v>
      </c>
      <c r="V7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8" s="18" t="str">
        <f>IFERROR(IF(LEFT(ICE[[#This Row],[Tenor]], 1) = "B", RTD("esrtd",,$B738 &amp; " " &amp; ICE[[#This Row],[Tenor]] &amp; "-IEU", W$1), RTD("esrtd",,$B738 &amp; " " &amp; VLOOKUP(MONTH(ICE[[#This Row],[Strip]]), MthRef[], 2, 0) &amp; RIGHT(YEAR(ICE[[#This Row],[Strip]]), 2) &amp; "-IEU", W$1)), "")</f>
        <v/>
      </c>
      <c r="X738" s="36"/>
    </row>
    <row r="739" spans="1:24" x14ac:dyDescent="0.25">
      <c r="A739" s="37" t="s">
        <v>419</v>
      </c>
      <c r="B739" s="3" t="str">
        <f>RTD("ice.rtd",,$C739 &amp; $D739 &amp; ":" &amp; B$1)</f>
        <v>ULQ</v>
      </c>
      <c r="C739" s="3">
        <v>35534143</v>
      </c>
      <c r="D739" t="s">
        <v>229</v>
      </c>
      <c r="E739" s="3" t="str">
        <f>RTD("ice.rtd",,$C739 &amp; $D739 &amp; ":" &amp; E$1)</f>
        <v>Q2 28</v>
      </c>
      <c r="F739" s="3" t="str">
        <f>ICE[[#This Row],[Prod]]&amp;ICE[[#This Row],[Strip]]</f>
        <v>go01ccmdiffQ2 28</v>
      </c>
      <c r="G739" s="18" t="str">
        <f>RTD("ice.rtd",,$C739 &amp; $D739 &amp; ":" &amp; G$1)</f>
        <v/>
      </c>
      <c r="H739" s="18" t="str">
        <f>RTD("ice.rtd",,$C739 &amp; $D739 &amp; ":" &amp; H$1)</f>
        <v/>
      </c>
      <c r="I739" s="18" t="str">
        <f>RTD("ice.rtd",,$C739 &amp; $D739 &amp; ":" &amp; I$1)</f>
        <v/>
      </c>
      <c r="J739" s="14" t="str">
        <f>IFERROR(MOD(RTD("ice.rtd",,$C739 &amp; $D739 &amp; ":" &amp; J$1), 1), "")</f>
        <v/>
      </c>
      <c r="K739" s="18" t="str">
        <f>RTD("ice.rtd",,$C739 &amp; $D739 &amp; ":" &amp; K$1)</f>
        <v/>
      </c>
      <c r="L739" s="36" t="str">
        <f>RTD("ice.rtd",,$C739 &amp; $D739 &amp; ":" &amp; L$1)</f>
        <v/>
      </c>
      <c r="M739" s="14" t="str">
        <f>IFERROR(MOD(TIMEVALUE(RTD("ice.rtd",,$C739 &amp; $D739 &amp; ":" &amp; M$1)), 1), "")</f>
        <v/>
      </c>
      <c r="N739" s="36">
        <f>RTD("ice.rtd",,$C739 &amp; $D739 &amp; ":" &amp; N$1)</f>
        <v>0</v>
      </c>
      <c r="O739" s="36">
        <f>RTD("ice.rtd",,$C739 &amp; $D739 &amp; ":" &amp; O$1)</f>
        <v>0</v>
      </c>
      <c r="P7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39" s="14" t="str">
        <f>IF(ICE[[#This Row],[LastType]] = "Scrn", ICE[[#This Row],[LstDate]], IF(ICE[[#This Row],[LastType]] = "Blk", ICE[[#This Row],[LstBlkTime]], ""))</f>
        <v/>
      </c>
      <c r="R739" s="41" t="str">
        <f>IF(ICE[[#This Row],[LastType]] = "Scrn", ICE[[#This Row],[LstPrc]], IF(ICE[[#This Row],[LastType]] = "Blk", ICE[[#This Row],[LstBlkPrc]], ""))</f>
        <v/>
      </c>
      <c r="S739" s="36">
        <f>ICE[[#This Row],[Vol]]+ICE[[#This Row],[BlkVol]]</f>
        <v>0</v>
      </c>
      <c r="T739" s="36">
        <f>RTD("ice.rtd",,$C739 &amp; $D739 &amp; ":" &amp; T$1)</f>
        <v>0</v>
      </c>
      <c r="U739" s="18">
        <f>RTD("ice.rtd",,$C739 &amp; $D739 &amp; ":" &amp; U$1)</f>
        <v>1</v>
      </c>
      <c r="V7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39" s="18" t="str">
        <f>IFERROR(IF(LEFT(ICE[[#This Row],[Tenor]], 1) = "B", RTD("esrtd",,$B739 &amp; " " &amp; ICE[[#This Row],[Tenor]] &amp; "-IEU", W$1), RTD("esrtd",,$B739 &amp; " " &amp; VLOOKUP(MONTH(ICE[[#This Row],[Strip]]), MthRef[], 2, 0) &amp; RIGHT(YEAR(ICE[[#This Row],[Strip]]), 2) &amp; "-IEU", W$1)), "")</f>
        <v/>
      </c>
      <c r="X739" s="36"/>
    </row>
    <row r="740" spans="1:24" x14ac:dyDescent="0.25">
      <c r="A740" s="37" t="s">
        <v>419</v>
      </c>
      <c r="B740" s="3" t="str">
        <f>RTD("ice.rtd",,$C740 &amp; $D740 &amp; ":" &amp; B$1)</f>
        <v>ULQ</v>
      </c>
      <c r="C740" s="3">
        <v>35534143</v>
      </c>
      <c r="D740" t="s">
        <v>820</v>
      </c>
      <c r="E740" s="3" t="str">
        <f>RTD("ice.rtd",,$C740 &amp; $D740 &amp; ":" &amp; E$1)</f>
        <v>Q3 28</v>
      </c>
      <c r="F740" s="3" t="str">
        <f>ICE[[#This Row],[Prod]]&amp;ICE[[#This Row],[Strip]]</f>
        <v>go01ccmdiffQ3 28</v>
      </c>
      <c r="G740" s="18" t="str">
        <f>RTD("ice.rtd",,$C740 &amp; $D740 &amp; ":" &amp; G$1)</f>
        <v/>
      </c>
      <c r="H740" s="18" t="str">
        <f>RTD("ice.rtd",,$C740 &amp; $D740 &amp; ":" &amp; H$1)</f>
        <v/>
      </c>
      <c r="I740" s="18" t="str">
        <f>RTD("ice.rtd",,$C740 &amp; $D740 &amp; ":" &amp; I$1)</f>
        <v/>
      </c>
      <c r="J740" s="14" t="str">
        <f>IFERROR(MOD(RTD("ice.rtd",,$C740 &amp; $D740 &amp; ":" &amp; J$1), 1), "")</f>
        <v/>
      </c>
      <c r="K740" s="18" t="str">
        <f>RTD("ice.rtd",,$C740 &amp; $D740 &amp; ":" &amp; K$1)</f>
        <v/>
      </c>
      <c r="L740" s="36" t="str">
        <f>RTD("ice.rtd",,$C740 &amp; $D740 &amp; ":" &amp; L$1)</f>
        <v/>
      </c>
      <c r="M740" s="14" t="str">
        <f>IFERROR(MOD(TIMEVALUE(RTD("ice.rtd",,$C740 &amp; $D740 &amp; ":" &amp; M$1)), 1), "")</f>
        <v/>
      </c>
      <c r="N740" s="36">
        <f>RTD("ice.rtd",,$C740 &amp; $D740 &amp; ":" &amp; N$1)</f>
        <v>0</v>
      </c>
      <c r="O740" s="36">
        <f>RTD("ice.rtd",,$C740 &amp; $D740 &amp; ":" &amp; O$1)</f>
        <v>0</v>
      </c>
      <c r="P7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0" s="14" t="str">
        <f>IF(ICE[[#This Row],[LastType]] = "Scrn", ICE[[#This Row],[LstDate]], IF(ICE[[#This Row],[LastType]] = "Blk", ICE[[#This Row],[LstBlkTime]], ""))</f>
        <v/>
      </c>
      <c r="R740" s="41" t="str">
        <f>IF(ICE[[#This Row],[LastType]] = "Scrn", ICE[[#This Row],[LstPrc]], IF(ICE[[#This Row],[LastType]] = "Blk", ICE[[#This Row],[LstBlkPrc]], ""))</f>
        <v/>
      </c>
      <c r="S740" s="36">
        <f>ICE[[#This Row],[Vol]]+ICE[[#This Row],[BlkVol]]</f>
        <v>0</v>
      </c>
      <c r="T740" s="36">
        <f>RTD("ice.rtd",,$C740 &amp; $D740 &amp; ":" &amp; T$1)</f>
        <v>0</v>
      </c>
      <c r="U740" s="18">
        <f>RTD("ice.rtd",,$C740 &amp; $D740 &amp; ":" &amp; U$1)</f>
        <v>1</v>
      </c>
      <c r="V7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0" s="18" t="str">
        <f>IFERROR(IF(LEFT(ICE[[#This Row],[Tenor]], 1) = "B", RTD("esrtd",,$B740 &amp; " " &amp; ICE[[#This Row],[Tenor]] &amp; "-IEU", W$1), RTD("esrtd",,$B740 &amp; " " &amp; VLOOKUP(MONTH(ICE[[#This Row],[Strip]]), MthRef[], 2, 0) &amp; RIGHT(YEAR(ICE[[#This Row],[Strip]]), 2) &amp; "-IEU", W$1)), "")</f>
        <v/>
      </c>
      <c r="X740" s="36"/>
    </row>
    <row r="741" spans="1:24" x14ac:dyDescent="0.25">
      <c r="A741" s="37" t="s">
        <v>419</v>
      </c>
      <c r="B741" s="3" t="str">
        <f>RTD("ice.rtd",,$C741 &amp; $D741 &amp; ":" &amp; B$1)</f>
        <v>ULQ</v>
      </c>
      <c r="C741" s="3">
        <v>35534143</v>
      </c>
      <c r="D741" t="s">
        <v>821</v>
      </c>
      <c r="E741" s="3" t="str">
        <f>RTD("ice.rtd",,$C741 &amp; $D741 &amp; ":" &amp; E$1)</f>
        <v>Q4 28</v>
      </c>
      <c r="F741" s="3" t="str">
        <f>ICE[[#This Row],[Prod]]&amp;ICE[[#This Row],[Strip]]</f>
        <v>go01ccmdiffQ4 28</v>
      </c>
      <c r="G741" s="18" t="str">
        <f>RTD("ice.rtd",,$C741 &amp; $D741 &amp; ":" &amp; G$1)</f>
        <v/>
      </c>
      <c r="H741" s="18" t="str">
        <f>RTD("ice.rtd",,$C741 &amp; $D741 &amp; ":" &amp; H$1)</f>
        <v/>
      </c>
      <c r="I741" s="18" t="str">
        <f>RTD("ice.rtd",,$C741 &amp; $D741 &amp; ":" &amp; I$1)</f>
        <v/>
      </c>
      <c r="J741" s="14" t="str">
        <f>IFERROR(MOD(RTD("ice.rtd",,$C741 &amp; $D741 &amp; ":" &amp; J$1), 1), "")</f>
        <v/>
      </c>
      <c r="K741" s="18" t="str">
        <f>RTD("ice.rtd",,$C741 &amp; $D741 &amp; ":" &amp; K$1)</f>
        <v/>
      </c>
      <c r="L741" s="36" t="str">
        <f>RTD("ice.rtd",,$C741 &amp; $D741 &amp; ":" &amp; L$1)</f>
        <v/>
      </c>
      <c r="M741" s="14" t="str">
        <f>IFERROR(MOD(TIMEVALUE(RTD("ice.rtd",,$C741 &amp; $D741 &amp; ":" &amp; M$1)), 1), "")</f>
        <v/>
      </c>
      <c r="N741" s="36">
        <f>RTD("ice.rtd",,$C741 &amp; $D741 &amp; ":" &amp; N$1)</f>
        <v>0</v>
      </c>
      <c r="O741" s="36">
        <f>RTD("ice.rtd",,$C741 &amp; $D741 &amp; ":" &amp; O$1)</f>
        <v>0</v>
      </c>
      <c r="P7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1" s="14" t="str">
        <f>IF(ICE[[#This Row],[LastType]] = "Scrn", ICE[[#This Row],[LstDate]], IF(ICE[[#This Row],[LastType]] = "Blk", ICE[[#This Row],[LstBlkTime]], ""))</f>
        <v/>
      </c>
      <c r="R741" s="41" t="str">
        <f>IF(ICE[[#This Row],[LastType]] = "Scrn", ICE[[#This Row],[LstPrc]], IF(ICE[[#This Row],[LastType]] = "Blk", ICE[[#This Row],[LstBlkPrc]], ""))</f>
        <v/>
      </c>
      <c r="S741" s="36">
        <f>ICE[[#This Row],[Vol]]+ICE[[#This Row],[BlkVol]]</f>
        <v>0</v>
      </c>
      <c r="T741" s="36">
        <f>RTD("ice.rtd",,$C741 &amp; $D741 &amp; ":" &amp; T$1)</f>
        <v>0</v>
      </c>
      <c r="U741" s="18">
        <f>RTD("ice.rtd",,$C741 &amp; $D741 &amp; ":" &amp; U$1)</f>
        <v>1</v>
      </c>
      <c r="V7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1" s="18" t="str">
        <f>IFERROR(IF(LEFT(ICE[[#This Row],[Tenor]], 1) = "B", RTD("esrtd",,$B741 &amp; " " &amp; ICE[[#This Row],[Tenor]] &amp; "-IEU", W$1), RTD("esrtd",,$B741 &amp; " " &amp; VLOOKUP(MONTH(ICE[[#This Row],[Strip]]), MthRef[], 2, 0) &amp; RIGHT(YEAR(ICE[[#This Row],[Strip]]), 2) &amp; "-IEU", W$1)), "")</f>
        <v/>
      </c>
      <c r="X741" s="36"/>
    </row>
    <row r="742" spans="1:24" x14ac:dyDescent="0.25">
      <c r="A742" s="37" t="s">
        <v>419</v>
      </c>
      <c r="B742" s="3" t="str">
        <f>RTD("ice.rtd",,$C742 &amp; $D742 &amp; ":" &amp; B$1)</f>
        <v>ULQ</v>
      </c>
      <c r="C742" s="3">
        <v>35534143</v>
      </c>
      <c r="D742" t="s">
        <v>822</v>
      </c>
      <c r="E742" s="3" t="str">
        <f>RTD("ice.rtd",,$C742 &amp; $D742 &amp; ":" &amp; E$1)</f>
        <v>Cal 27</v>
      </c>
      <c r="F742" s="3" t="str">
        <f>ICE[[#This Row],[Prod]]&amp;ICE[[#This Row],[Strip]]</f>
        <v>go01ccmdiffCal 27</v>
      </c>
      <c r="G742" s="18" t="str">
        <f>RTD("ice.rtd",,$C742 &amp; $D742 &amp; ":" &amp; G$1)</f>
        <v/>
      </c>
      <c r="H742" s="18" t="str">
        <f>RTD("ice.rtd",,$C742 &amp; $D742 &amp; ":" &amp; H$1)</f>
        <v/>
      </c>
      <c r="I742" s="18" t="str">
        <f>RTD("ice.rtd",,$C742 &amp; $D742 &amp; ":" &amp; I$1)</f>
        <v/>
      </c>
      <c r="J742" s="14" t="str">
        <f>IFERROR(MOD(RTD("ice.rtd",,$C742 &amp; $D742 &amp; ":" &amp; J$1), 1), "")</f>
        <v/>
      </c>
      <c r="K742" s="18" t="str">
        <f>RTD("ice.rtd",,$C742 &amp; $D742 &amp; ":" &amp; K$1)</f>
        <v/>
      </c>
      <c r="L742" s="36" t="str">
        <f>RTD("ice.rtd",,$C742 &amp; $D742 &amp; ":" &amp; L$1)</f>
        <v/>
      </c>
      <c r="M742" s="14" t="str">
        <f>IFERROR(MOD(TIMEVALUE(RTD("ice.rtd",,$C742 &amp; $D742 &amp; ":" &amp; M$1)), 1), "")</f>
        <v/>
      </c>
      <c r="N742" s="36">
        <f>RTD("ice.rtd",,$C742 &amp; $D742 &amp; ":" &amp; N$1)</f>
        <v>0</v>
      </c>
      <c r="O742" s="36">
        <f>RTD("ice.rtd",,$C742 &amp; $D742 &amp; ":" &amp; O$1)</f>
        <v>0</v>
      </c>
      <c r="P7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2" s="14" t="str">
        <f>IF(ICE[[#This Row],[LastType]] = "Scrn", ICE[[#This Row],[LstDate]], IF(ICE[[#This Row],[LastType]] = "Blk", ICE[[#This Row],[LstBlkTime]], ""))</f>
        <v/>
      </c>
      <c r="R742" s="41" t="str">
        <f>IF(ICE[[#This Row],[LastType]] = "Scrn", ICE[[#This Row],[LstPrc]], IF(ICE[[#This Row],[LastType]] = "Blk", ICE[[#This Row],[LstBlkPrc]], ""))</f>
        <v/>
      </c>
      <c r="S742" s="36">
        <f>ICE[[#This Row],[Vol]]+ICE[[#This Row],[BlkVol]]</f>
        <v>0</v>
      </c>
      <c r="T742" s="36">
        <f>RTD("ice.rtd",,$C742 &amp; $D742 &amp; ":" &amp; T$1)</f>
        <v>0</v>
      </c>
      <c r="U742" s="18">
        <f>RTD("ice.rtd",,$C742 &amp; $D742 &amp; ":" &amp; U$1)</f>
        <v>1.125</v>
      </c>
      <c r="V7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2" s="18" t="str">
        <f>IFERROR(IF(LEFT(ICE[[#This Row],[Tenor]], 1) = "B", RTD("esrtd",,$B742 &amp; " " &amp; ICE[[#This Row],[Tenor]] &amp; "-IEU", W$1), RTD("esrtd",,$B742 &amp; " " &amp; VLOOKUP(MONTH(ICE[[#This Row],[Strip]]), MthRef[], 2, 0) &amp; RIGHT(YEAR(ICE[[#This Row],[Strip]]), 2) &amp; "-IEU", W$1)), "")</f>
        <v/>
      </c>
      <c r="X742" s="36"/>
    </row>
    <row r="743" spans="1:24" x14ac:dyDescent="0.25">
      <c r="A743" s="37" t="s">
        <v>419</v>
      </c>
      <c r="B743" s="3" t="str">
        <f>RTD("ice.rtd",,$C743 &amp; $D743 &amp; ":" &amp; B$1)</f>
        <v>ULQ</v>
      </c>
      <c r="C743" s="3">
        <v>35534143</v>
      </c>
      <c r="D743" t="s">
        <v>823</v>
      </c>
      <c r="E743" s="3" t="str">
        <f>RTD("ice.rtd",,$C743 &amp; $D743 &amp; ":" &amp; E$1)</f>
        <v>Cal 28</v>
      </c>
      <c r="F743" s="3" t="str">
        <f>ICE[[#This Row],[Prod]]&amp;ICE[[#This Row],[Strip]]</f>
        <v>go01ccmdiffCal 28</v>
      </c>
      <c r="G743" s="18" t="str">
        <f>RTD("ice.rtd",,$C743 &amp; $D743 &amp; ":" &amp; G$1)</f>
        <v/>
      </c>
      <c r="H743" s="18" t="str">
        <f>RTD("ice.rtd",,$C743 &amp; $D743 &amp; ":" &amp; H$1)</f>
        <v/>
      </c>
      <c r="I743" s="18" t="str">
        <f>RTD("ice.rtd",,$C743 &amp; $D743 &amp; ":" &amp; I$1)</f>
        <v/>
      </c>
      <c r="J743" s="14" t="str">
        <f>IFERROR(MOD(RTD("ice.rtd",,$C743 &amp; $D743 &amp; ":" &amp; J$1), 1), "")</f>
        <v/>
      </c>
      <c r="K743" s="18" t="str">
        <f>RTD("ice.rtd",,$C743 &amp; $D743 &amp; ":" &amp; K$1)</f>
        <v/>
      </c>
      <c r="L743" s="36" t="str">
        <f>RTD("ice.rtd",,$C743 &amp; $D743 &amp; ":" &amp; L$1)</f>
        <v/>
      </c>
      <c r="M743" s="14" t="str">
        <f>IFERROR(MOD(TIMEVALUE(RTD("ice.rtd",,$C743 &amp; $D743 &amp; ":" &amp; M$1)), 1), "")</f>
        <v/>
      </c>
      <c r="N743" s="36">
        <f>RTD("ice.rtd",,$C743 &amp; $D743 &amp; ":" &amp; N$1)</f>
        <v>0</v>
      </c>
      <c r="O743" s="36">
        <f>RTD("ice.rtd",,$C743 &amp; $D743 &amp; ":" &amp; O$1)</f>
        <v>0</v>
      </c>
      <c r="P7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3" s="14" t="str">
        <f>IF(ICE[[#This Row],[LastType]] = "Scrn", ICE[[#This Row],[LstDate]], IF(ICE[[#This Row],[LastType]] = "Blk", ICE[[#This Row],[LstBlkTime]], ""))</f>
        <v/>
      </c>
      <c r="R743" s="41" t="str">
        <f>IF(ICE[[#This Row],[LastType]] = "Scrn", ICE[[#This Row],[LstPrc]], IF(ICE[[#This Row],[LastType]] = "Blk", ICE[[#This Row],[LstBlkPrc]], ""))</f>
        <v/>
      </c>
      <c r="S743" s="36">
        <f>ICE[[#This Row],[Vol]]+ICE[[#This Row],[BlkVol]]</f>
        <v>0</v>
      </c>
      <c r="T743" s="36">
        <f>RTD("ice.rtd",,$C743 &amp; $D743 &amp; ":" &amp; T$1)</f>
        <v>0</v>
      </c>
      <c r="U743" s="18">
        <f>RTD("ice.rtd",,$C743 &amp; $D743 &amp; ":" &amp; U$1)</f>
        <v>1</v>
      </c>
      <c r="V7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3" s="18" t="str">
        <f>IFERROR(IF(LEFT(ICE[[#This Row],[Tenor]], 1) = "B", RTD("esrtd",,$B743 &amp; " " &amp; ICE[[#This Row],[Tenor]] &amp; "-IEU", W$1), RTD("esrtd",,$B743 &amp; " " &amp; VLOOKUP(MONTH(ICE[[#This Row],[Strip]]), MthRef[], 2, 0) &amp; RIGHT(YEAR(ICE[[#This Row],[Strip]]), 2) &amp; "-IEU", W$1)), "")</f>
        <v/>
      </c>
      <c r="X743" s="36"/>
    </row>
    <row r="744" spans="1:24" x14ac:dyDescent="0.25">
      <c r="A744" s="37" t="s">
        <v>419</v>
      </c>
      <c r="B744" s="3" t="str">
        <f>RTD("ice.rtd",,$C744 &amp; $D744 &amp; ":" &amp; B$1)</f>
        <v>ULQ</v>
      </c>
      <c r="C744" s="3">
        <v>35534143</v>
      </c>
      <c r="D744" t="s">
        <v>824</v>
      </c>
      <c r="E744" s="3" t="str">
        <f>RTD("ice.rtd",,$C744 &amp; $D744 &amp; ":" &amp; E$1)</f>
        <v>Cal 29</v>
      </c>
      <c r="F744" s="3" t="str">
        <f>ICE[[#This Row],[Prod]]&amp;ICE[[#This Row],[Strip]]</f>
        <v>go01ccmdiffCal 29</v>
      </c>
      <c r="G744" s="18" t="str">
        <f>RTD("ice.rtd",,$C744 &amp; $D744 &amp; ":" &amp; G$1)</f>
        <v/>
      </c>
      <c r="H744" s="18" t="str">
        <f>RTD("ice.rtd",,$C744 &amp; $D744 &amp; ":" &amp; H$1)</f>
        <v/>
      </c>
      <c r="I744" s="18" t="str">
        <f>RTD("ice.rtd",,$C744 &amp; $D744 &amp; ":" &amp; I$1)</f>
        <v/>
      </c>
      <c r="J744" s="14" t="str">
        <f>IFERROR(MOD(RTD("ice.rtd",,$C744 &amp; $D744 &amp; ":" &amp; J$1), 1), "")</f>
        <v/>
      </c>
      <c r="K744" s="18" t="str">
        <f>RTD("ice.rtd",,$C744 &amp; $D744 &amp; ":" &amp; K$1)</f>
        <v/>
      </c>
      <c r="L744" s="36" t="str">
        <f>RTD("ice.rtd",,$C744 &amp; $D744 &amp; ":" &amp; L$1)</f>
        <v/>
      </c>
      <c r="M744" s="14" t="str">
        <f>IFERROR(MOD(TIMEVALUE(RTD("ice.rtd",,$C744 &amp; $D744 &amp; ":" &amp; M$1)), 1), "")</f>
        <v/>
      </c>
      <c r="N744" s="36">
        <f>RTD("ice.rtd",,$C744 &amp; $D744 &amp; ":" &amp; N$1)</f>
        <v>0</v>
      </c>
      <c r="O744" s="36">
        <f>RTD("ice.rtd",,$C744 &amp; $D744 &amp; ":" &amp; O$1)</f>
        <v>0</v>
      </c>
      <c r="P7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4" s="14" t="str">
        <f>IF(ICE[[#This Row],[LastType]] = "Scrn", ICE[[#This Row],[LstDate]], IF(ICE[[#This Row],[LastType]] = "Blk", ICE[[#This Row],[LstBlkTime]], ""))</f>
        <v/>
      </c>
      <c r="R744" s="41" t="str">
        <f>IF(ICE[[#This Row],[LastType]] = "Scrn", ICE[[#This Row],[LstPrc]], IF(ICE[[#This Row],[LastType]] = "Blk", ICE[[#This Row],[LstBlkPrc]], ""))</f>
        <v/>
      </c>
      <c r="S744" s="36">
        <f>ICE[[#This Row],[Vol]]+ICE[[#This Row],[BlkVol]]</f>
        <v>0</v>
      </c>
      <c r="T744" s="36">
        <f>RTD("ice.rtd",,$C744 &amp; $D744 &amp; ":" &amp; T$1)</f>
        <v>0</v>
      </c>
      <c r="U744" s="18">
        <f>RTD("ice.rtd",,$C744 &amp; $D744 &amp; ":" &amp; U$1)</f>
        <v>1</v>
      </c>
      <c r="V7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4" s="18" t="str">
        <f>IFERROR(IF(LEFT(ICE[[#This Row],[Tenor]], 1) = "B", RTD("esrtd",,$B744 &amp; " " &amp; ICE[[#This Row],[Tenor]] &amp; "-IEU", W$1), RTD("esrtd",,$B744 &amp; " " &amp; VLOOKUP(MONTH(ICE[[#This Row],[Strip]]), MthRef[], 2, 0) &amp; RIGHT(YEAR(ICE[[#This Row],[Strip]]), 2) &amp; "-IEU", W$1)), "")</f>
        <v/>
      </c>
      <c r="X744" s="36"/>
    </row>
    <row r="745" spans="1:24" x14ac:dyDescent="0.25">
      <c r="A745" s="37" t="s">
        <v>421</v>
      </c>
      <c r="B745" s="3" t="str">
        <f>RTD("ice.rtd",,$C745 &amp; $D745 &amp; ":" &amp; B$1)</f>
        <v>GCH</v>
      </c>
      <c r="C745" s="3">
        <v>2185624628</v>
      </c>
      <c r="D745" t="s">
        <v>792</v>
      </c>
      <c r="E745" s="3" t="str">
        <f>RTD("ice.rtd",,$C745 &amp; $D745 &amp; ":" &amp; E$1)</f>
        <v>Bal Month</v>
      </c>
      <c r="F745" s="3" t="str">
        <f>ICE[[#This Row],[Prod]]&amp;ICE[[#This Row],[Strip]]</f>
        <v>ulsdgcBal Month</v>
      </c>
      <c r="G745" s="18" t="str">
        <f>RTD("ice.rtd",,$C745 &amp; $D745 &amp; ":" &amp; G$1)</f>
        <v/>
      </c>
      <c r="H745" s="18" t="str">
        <f>RTD("ice.rtd",,$C745 &amp; $D745 &amp; ":" &amp; H$1)</f>
        <v/>
      </c>
      <c r="I745" s="18" t="str">
        <f>RTD("ice.rtd",,$C745 &amp; $D745 &amp; ":" &amp; I$1)</f>
        <v/>
      </c>
      <c r="J745" s="14" t="str">
        <f>IFERROR(MOD(RTD("ice.rtd",,$C745 &amp; $D745 &amp; ":" &amp; J$1), 1), "")</f>
        <v/>
      </c>
      <c r="K745" s="18" t="str">
        <f>RTD("ice.rtd",,$C745 &amp; $D745 &amp; ":" &amp; K$1)</f>
        <v/>
      </c>
      <c r="L745" s="36" t="str">
        <f>RTD("ice.rtd",,$C745 &amp; $D745 &amp; ":" &amp; L$1)</f>
        <v/>
      </c>
      <c r="M745" s="14" t="str">
        <f>IFERROR(MOD(TIMEVALUE(RTD("ice.rtd",,$C745 &amp; $D745 &amp; ":" &amp; M$1)), 1), "")</f>
        <v/>
      </c>
      <c r="N745" s="36">
        <f>RTD("ice.rtd",,$C745 &amp; $D745 &amp; ":" &amp; N$1)</f>
        <v>0</v>
      </c>
      <c r="O745" s="36">
        <f>RTD("ice.rtd",,$C745 &amp; $D745 &amp; ":" &amp; O$1)</f>
        <v>0</v>
      </c>
      <c r="P7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5" s="14" t="str">
        <f>IF(ICE[[#This Row],[LastType]] = "Scrn", ICE[[#This Row],[LstDate]], IF(ICE[[#This Row],[LastType]] = "Blk", ICE[[#This Row],[LstBlkTime]], ""))</f>
        <v/>
      </c>
      <c r="R745" s="41" t="str">
        <f>IF(ICE[[#This Row],[LastType]] = "Scrn", ICE[[#This Row],[LstPrc]], IF(ICE[[#This Row],[LastType]] = "Blk", ICE[[#This Row],[LstBlkPrc]], ""))</f>
        <v/>
      </c>
      <c r="S745" s="36">
        <f>ICE[[#This Row],[Vol]]+ICE[[#This Row],[BlkVol]]</f>
        <v>0</v>
      </c>
      <c r="T745" s="36">
        <f>RTD("ice.rtd",,$C745 &amp; $D745 &amp; ":" &amp; T$1)</f>
        <v>0</v>
      </c>
      <c r="U745" s="18">
        <f>RTD("ice.rtd",,$C745 &amp; $D745 &amp; ":" &amp; U$1)</f>
        <v>0.02</v>
      </c>
      <c r="V7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5" s="18" t="str">
        <f>IFERROR(IF(LEFT(ICE[[#This Row],[Tenor]], 1) = "B", RTD("esrtd",,$B745 &amp; " " &amp; ICE[[#This Row],[Tenor]] &amp; "-IEU", W$1), RTD("esrtd",,$B745 &amp; " " &amp; VLOOKUP(MONTH(ICE[[#This Row],[Strip]]), MthRef[], 2, 0) &amp; RIGHT(YEAR(ICE[[#This Row],[Strip]]), 2) &amp; "-IEU", W$1)), "")</f>
        <v/>
      </c>
      <c r="X745" s="36"/>
    </row>
    <row r="746" spans="1:24" x14ac:dyDescent="0.25">
      <c r="A746" s="37" t="s">
        <v>421</v>
      </c>
      <c r="B746" s="3" t="str">
        <f>RTD("ice.rtd",,$C746 &amp; $D746 &amp; ":" &amp; B$1)</f>
        <v>GOH</v>
      </c>
      <c r="C746" s="3">
        <v>29243602</v>
      </c>
      <c r="D746" t="s">
        <v>793</v>
      </c>
      <c r="E746" s="3" t="str">
        <f>RTD("ice.rtd",,$C746 &amp; $D746 &amp; ":" &amp; E$1)</f>
        <v>Sep26</v>
      </c>
      <c r="F746" s="3" t="str">
        <f>ICE[[#This Row],[Prod]]&amp;ICE[[#This Row],[Strip]]</f>
        <v>ulsdgcSep26</v>
      </c>
      <c r="G746" s="18" t="str">
        <f>RTD("ice.rtd",,$C746 &amp; $D746 &amp; ":" &amp; G$1)</f>
        <v/>
      </c>
      <c r="H746" s="18" t="str">
        <f>RTD("ice.rtd",,$C746 &amp; $D746 &amp; ":" &amp; H$1)</f>
        <v/>
      </c>
      <c r="I746" s="18" t="str">
        <f>RTD("ice.rtd",,$C746 &amp; $D746 &amp; ":" &amp; I$1)</f>
        <v/>
      </c>
      <c r="J746" s="14" t="str">
        <f>IFERROR(MOD(RTD("ice.rtd",,$C746 &amp; $D746 &amp; ":" &amp; J$1), 1), "")</f>
        <v/>
      </c>
      <c r="K746" s="18" t="str">
        <f>RTD("ice.rtd",,$C746 &amp; $D746 &amp; ":" &amp; K$1)</f>
        <v/>
      </c>
      <c r="L746" s="36" t="str">
        <f>RTD("ice.rtd",,$C746 &amp; $D746 &amp; ":" &amp; L$1)</f>
        <v/>
      </c>
      <c r="M746" s="14" t="str">
        <f>IFERROR(MOD(TIMEVALUE(RTD("ice.rtd",,$C746 &amp; $D746 &amp; ":" &amp; M$1)), 1), "")</f>
        <v/>
      </c>
      <c r="N746" s="36">
        <f>RTD("ice.rtd",,$C746 &amp; $D746 &amp; ":" &amp; N$1)</f>
        <v>0</v>
      </c>
      <c r="O746" s="36">
        <f>RTD("ice.rtd",,$C746 &amp; $D746 &amp; ":" &amp; O$1)</f>
        <v>0</v>
      </c>
      <c r="P7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6" s="14" t="str">
        <f>IF(ICE[[#This Row],[LastType]] = "Scrn", ICE[[#This Row],[LstDate]], IF(ICE[[#This Row],[LastType]] = "Blk", ICE[[#This Row],[LstBlkTime]], ""))</f>
        <v/>
      </c>
      <c r="R746" s="41" t="str">
        <f>IF(ICE[[#This Row],[LastType]] = "Scrn", ICE[[#This Row],[LstPrc]], IF(ICE[[#This Row],[LastType]] = "Blk", ICE[[#This Row],[LstBlkPrc]], ""))</f>
        <v/>
      </c>
      <c r="S746" s="36">
        <f>ICE[[#This Row],[Vol]]+ICE[[#This Row],[BlkVol]]</f>
        <v>0</v>
      </c>
      <c r="T746" s="36">
        <f>RTD("ice.rtd",,$C746 &amp; $D746 &amp; ":" &amp; T$1)</f>
        <v>0</v>
      </c>
      <c r="U746" s="18">
        <f>RTD("ice.rtd",,$C746 &amp; $D746 &amp; ":" &amp; U$1)</f>
        <v>0.02</v>
      </c>
      <c r="V7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6" s="18" t="str">
        <f>IFERROR(IF(LEFT(ICE[[#This Row],[Tenor]], 1) = "B", RTD("esrtd",,$B746 &amp; " " &amp; ICE[[#This Row],[Tenor]] &amp; "-IEU", W$1), RTD("esrtd",,$B746 &amp; " " &amp; VLOOKUP(MONTH(ICE[[#This Row],[Strip]]), MthRef[], 2, 0) &amp; RIGHT(YEAR(ICE[[#This Row],[Strip]]), 2) &amp; "-IEU", W$1)), "")</f>
        <v/>
      </c>
      <c r="X746" s="36"/>
    </row>
    <row r="747" spans="1:24" x14ac:dyDescent="0.25">
      <c r="A747" s="37" t="s">
        <v>421</v>
      </c>
      <c r="B747" s="3" t="str">
        <f>RTD("ice.rtd",,$C747 &amp; $D747 &amp; ":" &amp; B$1)</f>
        <v>GOH</v>
      </c>
      <c r="C747" s="3">
        <v>29243602</v>
      </c>
      <c r="D747" t="s">
        <v>324</v>
      </c>
      <c r="E747" s="3" t="str">
        <f>RTD("ice.rtd",,$C747 &amp; $D747 &amp; ":" &amp; E$1)</f>
        <v>Oct26</v>
      </c>
      <c r="F747" s="3" t="str">
        <f>ICE[[#This Row],[Prod]]&amp;ICE[[#This Row],[Strip]]</f>
        <v>ulsdgcOct26</v>
      </c>
      <c r="G747" s="18" t="str">
        <f>RTD("ice.rtd",,$C747 &amp; $D747 &amp; ":" &amp; G$1)</f>
        <v/>
      </c>
      <c r="H747" s="18" t="str">
        <f>RTD("ice.rtd",,$C747 &amp; $D747 &amp; ":" &amp; H$1)</f>
        <v/>
      </c>
      <c r="I747" s="18" t="str">
        <f>RTD("ice.rtd",,$C747 &amp; $D747 &amp; ":" &amp; I$1)</f>
        <v/>
      </c>
      <c r="J747" s="14" t="str">
        <f>IFERROR(MOD(RTD("ice.rtd",,$C747 &amp; $D747 &amp; ":" &amp; J$1), 1), "")</f>
        <v/>
      </c>
      <c r="K747" s="18" t="str">
        <f>RTD("ice.rtd",,$C747 &amp; $D747 &amp; ":" &amp; K$1)</f>
        <v/>
      </c>
      <c r="L747" s="36" t="str">
        <f>RTD("ice.rtd",,$C747 &amp; $D747 &amp; ":" &amp; L$1)</f>
        <v/>
      </c>
      <c r="M747" s="14" t="str">
        <f>IFERROR(MOD(TIMEVALUE(RTD("ice.rtd",,$C747 &amp; $D747 &amp; ":" &amp; M$1)), 1), "")</f>
        <v/>
      </c>
      <c r="N747" s="36">
        <f>RTD("ice.rtd",,$C747 &amp; $D747 &amp; ":" &amp; N$1)</f>
        <v>0</v>
      </c>
      <c r="O747" s="36">
        <f>RTD("ice.rtd",,$C747 &amp; $D747 &amp; ":" &amp; O$1)</f>
        <v>0</v>
      </c>
      <c r="P7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7" s="14" t="str">
        <f>IF(ICE[[#This Row],[LastType]] = "Scrn", ICE[[#This Row],[LstDate]], IF(ICE[[#This Row],[LastType]] = "Blk", ICE[[#This Row],[LstBlkTime]], ""))</f>
        <v/>
      </c>
      <c r="R747" s="41" t="str">
        <f>IF(ICE[[#This Row],[LastType]] = "Scrn", ICE[[#This Row],[LstPrc]], IF(ICE[[#This Row],[LastType]] = "Blk", ICE[[#This Row],[LstBlkPrc]], ""))</f>
        <v/>
      </c>
      <c r="S747" s="36">
        <f>ICE[[#This Row],[Vol]]+ICE[[#This Row],[BlkVol]]</f>
        <v>0</v>
      </c>
      <c r="T747" s="36">
        <f>RTD("ice.rtd",,$C747 &amp; $D747 &amp; ":" &amp; T$1)</f>
        <v>0</v>
      </c>
      <c r="U747" s="18">
        <f>RTD("ice.rtd",,$C747 &amp; $D747 &amp; ":" &amp; U$1)</f>
        <v>-0.10500000000000001</v>
      </c>
      <c r="V7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7" s="18" t="str">
        <f>IFERROR(IF(LEFT(ICE[[#This Row],[Tenor]], 1) = "B", RTD("esrtd",,$B747 &amp; " " &amp; ICE[[#This Row],[Tenor]] &amp; "-IEU", W$1), RTD("esrtd",,$B747 &amp; " " &amp; VLOOKUP(MONTH(ICE[[#This Row],[Strip]]), MthRef[], 2, 0) &amp; RIGHT(YEAR(ICE[[#This Row],[Strip]]), 2) &amp; "-IEU", W$1)), "")</f>
        <v/>
      </c>
      <c r="X747" s="36"/>
    </row>
    <row r="748" spans="1:24" x14ac:dyDescent="0.25">
      <c r="A748" s="37" t="s">
        <v>421</v>
      </c>
      <c r="B748" s="3" t="str">
        <f>RTD("ice.rtd",,$C748 &amp; $D748 &amp; ":" &amp; B$1)</f>
        <v>GOH</v>
      </c>
      <c r="C748" s="3">
        <v>29243602</v>
      </c>
      <c r="D748" t="s">
        <v>325</v>
      </c>
      <c r="E748" s="3" t="str">
        <f>RTD("ice.rtd",,$C748 &amp; $D748 &amp; ":" &amp; E$1)</f>
        <v>Nov26</v>
      </c>
      <c r="F748" s="3" t="str">
        <f>ICE[[#This Row],[Prod]]&amp;ICE[[#This Row],[Strip]]</f>
        <v>ulsdgcNov26</v>
      </c>
      <c r="G748" s="18" t="str">
        <f>RTD("ice.rtd",,$C748 &amp; $D748 &amp; ":" &amp; G$1)</f>
        <v/>
      </c>
      <c r="H748" s="18" t="str">
        <f>RTD("ice.rtd",,$C748 &amp; $D748 &amp; ":" &amp; H$1)</f>
        <v/>
      </c>
      <c r="I748" s="18" t="str">
        <f>RTD("ice.rtd",,$C748 &amp; $D748 &amp; ":" &amp; I$1)</f>
        <v/>
      </c>
      <c r="J748" s="14" t="str">
        <f>IFERROR(MOD(RTD("ice.rtd",,$C748 &amp; $D748 &amp; ":" &amp; J$1), 1), "")</f>
        <v/>
      </c>
      <c r="K748" s="18" t="str">
        <f>RTD("ice.rtd",,$C748 &amp; $D748 &amp; ":" &amp; K$1)</f>
        <v/>
      </c>
      <c r="L748" s="36" t="str">
        <f>RTD("ice.rtd",,$C748 &amp; $D748 &amp; ":" &amp; L$1)</f>
        <v/>
      </c>
      <c r="M748" s="14" t="str">
        <f>IFERROR(MOD(TIMEVALUE(RTD("ice.rtd",,$C748 &amp; $D748 &amp; ":" &amp; M$1)), 1), "")</f>
        <v/>
      </c>
      <c r="N748" s="36">
        <f>RTD("ice.rtd",,$C748 &amp; $D748 &amp; ":" &amp; N$1)</f>
        <v>0</v>
      </c>
      <c r="O748" s="36">
        <f>RTD("ice.rtd",,$C748 &amp; $D748 &amp; ":" &amp; O$1)</f>
        <v>0</v>
      </c>
      <c r="P7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8" s="14" t="str">
        <f>IF(ICE[[#This Row],[LastType]] = "Scrn", ICE[[#This Row],[LstDate]], IF(ICE[[#This Row],[LastType]] = "Blk", ICE[[#This Row],[LstBlkTime]], ""))</f>
        <v/>
      </c>
      <c r="R748" s="41" t="str">
        <f>IF(ICE[[#This Row],[LastType]] = "Scrn", ICE[[#This Row],[LstPrc]], IF(ICE[[#This Row],[LastType]] = "Blk", ICE[[#This Row],[LstBlkPrc]], ""))</f>
        <v/>
      </c>
      <c r="S748" s="36">
        <f>ICE[[#This Row],[Vol]]+ICE[[#This Row],[BlkVol]]</f>
        <v>0</v>
      </c>
      <c r="T748" s="36">
        <f>RTD("ice.rtd",,$C748 &amp; $D748 &amp; ":" &amp; T$1)</f>
        <v>0</v>
      </c>
      <c r="U748" s="18">
        <f>RTD("ice.rtd",,$C748 &amp; $D748 &amp; ":" &amp; U$1)</f>
        <v>-0.14500000000000002</v>
      </c>
      <c r="V7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8" s="18" t="str">
        <f>IFERROR(IF(LEFT(ICE[[#This Row],[Tenor]], 1) = "B", RTD("esrtd",,$B748 &amp; " " &amp; ICE[[#This Row],[Tenor]] &amp; "-IEU", W$1), RTD("esrtd",,$B748 &amp; " " &amp; VLOOKUP(MONTH(ICE[[#This Row],[Strip]]), MthRef[], 2, 0) &amp; RIGHT(YEAR(ICE[[#This Row],[Strip]]), 2) &amp; "-IEU", W$1)), "")</f>
        <v/>
      </c>
      <c r="X748" s="36"/>
    </row>
    <row r="749" spans="1:24" x14ac:dyDescent="0.25">
      <c r="A749" s="37" t="s">
        <v>421</v>
      </c>
      <c r="B749" s="3" t="str">
        <f>RTD("ice.rtd",,$C749 &amp; $D749 &amp; ":" &amp; B$1)</f>
        <v>GOH</v>
      </c>
      <c r="C749" s="3">
        <v>29243602</v>
      </c>
      <c r="D749" t="s">
        <v>326</v>
      </c>
      <c r="E749" s="3" t="str">
        <f>RTD("ice.rtd",,$C749 &amp; $D749 &amp; ":" &amp; E$1)</f>
        <v>Dec26</v>
      </c>
      <c r="F749" s="3" t="str">
        <f>ICE[[#This Row],[Prod]]&amp;ICE[[#This Row],[Strip]]</f>
        <v>ulsdgcDec26</v>
      </c>
      <c r="G749" s="18" t="str">
        <f>RTD("ice.rtd",,$C749 &amp; $D749 &amp; ":" &amp; G$1)</f>
        <v/>
      </c>
      <c r="H749" s="18" t="str">
        <f>RTD("ice.rtd",,$C749 &amp; $D749 &amp; ":" &amp; H$1)</f>
        <v/>
      </c>
      <c r="I749" s="18" t="str">
        <f>RTD("ice.rtd",,$C749 &amp; $D749 &amp; ":" &amp; I$1)</f>
        <v/>
      </c>
      <c r="J749" s="14" t="str">
        <f>IFERROR(MOD(RTD("ice.rtd",,$C749 &amp; $D749 &amp; ":" &amp; J$1), 1), "")</f>
        <v/>
      </c>
      <c r="K749" s="18" t="str">
        <f>RTD("ice.rtd",,$C749 &amp; $D749 &amp; ":" &amp; K$1)</f>
        <v/>
      </c>
      <c r="L749" s="36" t="str">
        <f>RTD("ice.rtd",,$C749 &amp; $D749 &amp; ":" &amp; L$1)</f>
        <v/>
      </c>
      <c r="M749" s="14" t="str">
        <f>IFERROR(MOD(TIMEVALUE(RTD("ice.rtd",,$C749 &amp; $D749 &amp; ":" &amp; M$1)), 1), "")</f>
        <v/>
      </c>
      <c r="N749" s="36">
        <f>RTD("ice.rtd",,$C749 &amp; $D749 &amp; ":" &amp; N$1)</f>
        <v>0</v>
      </c>
      <c r="O749" s="36">
        <f>RTD("ice.rtd",,$C749 &amp; $D749 &amp; ":" &amp; O$1)</f>
        <v>0</v>
      </c>
      <c r="P7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49" s="14" t="str">
        <f>IF(ICE[[#This Row],[LastType]] = "Scrn", ICE[[#This Row],[LstDate]], IF(ICE[[#This Row],[LastType]] = "Blk", ICE[[#This Row],[LstBlkTime]], ""))</f>
        <v/>
      </c>
      <c r="R749" s="41" t="str">
        <f>IF(ICE[[#This Row],[LastType]] = "Scrn", ICE[[#This Row],[LstPrc]], IF(ICE[[#This Row],[LastType]] = "Blk", ICE[[#This Row],[LstBlkPrc]], ""))</f>
        <v/>
      </c>
      <c r="S749" s="36">
        <f>ICE[[#This Row],[Vol]]+ICE[[#This Row],[BlkVol]]</f>
        <v>0</v>
      </c>
      <c r="T749" s="36">
        <f>RTD("ice.rtd",,$C749 &amp; $D749 &amp; ":" &amp; T$1)</f>
        <v>0</v>
      </c>
      <c r="U749" s="18">
        <f>RTD("ice.rtd",,$C749 &amp; $D749 &amp; ":" &amp; U$1)</f>
        <v>-0.17750000000000002</v>
      </c>
      <c r="V7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49" s="18" t="str">
        <f>IFERROR(IF(LEFT(ICE[[#This Row],[Tenor]], 1) = "B", RTD("esrtd",,$B749 &amp; " " &amp; ICE[[#This Row],[Tenor]] &amp; "-IEU", W$1), RTD("esrtd",,$B749 &amp; " " &amp; VLOOKUP(MONTH(ICE[[#This Row],[Strip]]), MthRef[], 2, 0) &amp; RIGHT(YEAR(ICE[[#This Row],[Strip]]), 2) &amp; "-IEU", W$1)), "")</f>
        <v/>
      </c>
      <c r="X749" s="36"/>
    </row>
    <row r="750" spans="1:24" x14ac:dyDescent="0.25">
      <c r="A750" s="37" t="s">
        <v>421</v>
      </c>
      <c r="B750" s="3" t="str">
        <f>RTD("ice.rtd",,$C750 &amp; $D750 &amp; ":" &amp; B$1)</f>
        <v>GOH</v>
      </c>
      <c r="C750" s="3">
        <v>29243602</v>
      </c>
      <c r="D750" t="s">
        <v>794</v>
      </c>
      <c r="E750" s="3" t="str">
        <f>RTD("ice.rtd",,$C750 &amp; $D750 &amp; ":" &amp; E$1)</f>
        <v>Jan27</v>
      </c>
      <c r="F750" s="3" t="str">
        <f>ICE[[#This Row],[Prod]]&amp;ICE[[#This Row],[Strip]]</f>
        <v>ulsdgcJan27</v>
      </c>
      <c r="G750" s="18" t="str">
        <f>RTD("ice.rtd",,$C750 &amp; $D750 &amp; ":" &amp; G$1)</f>
        <v/>
      </c>
      <c r="H750" s="18" t="str">
        <f>RTD("ice.rtd",,$C750 &amp; $D750 &amp; ":" &amp; H$1)</f>
        <v/>
      </c>
      <c r="I750" s="18" t="str">
        <f>RTD("ice.rtd",,$C750 &amp; $D750 &amp; ":" &amp; I$1)</f>
        <v/>
      </c>
      <c r="J750" s="14" t="str">
        <f>IFERROR(MOD(RTD("ice.rtd",,$C750 &amp; $D750 &amp; ":" &amp; J$1), 1), "")</f>
        <v/>
      </c>
      <c r="K750" s="18" t="str">
        <f>RTD("ice.rtd",,$C750 &amp; $D750 &amp; ":" &amp; K$1)</f>
        <v/>
      </c>
      <c r="L750" s="36" t="str">
        <f>RTD("ice.rtd",,$C750 &amp; $D750 &amp; ":" &amp; L$1)</f>
        <v/>
      </c>
      <c r="M750" s="14" t="str">
        <f>IFERROR(MOD(TIMEVALUE(RTD("ice.rtd",,$C750 &amp; $D750 &amp; ":" &amp; M$1)), 1), "")</f>
        <v/>
      </c>
      <c r="N750" s="36">
        <f>RTD("ice.rtd",,$C750 &amp; $D750 &amp; ":" &amp; N$1)</f>
        <v>0</v>
      </c>
      <c r="O750" s="36">
        <f>RTD("ice.rtd",,$C750 &amp; $D750 &amp; ":" &amp; O$1)</f>
        <v>0</v>
      </c>
      <c r="P7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0" s="14" t="str">
        <f>IF(ICE[[#This Row],[LastType]] = "Scrn", ICE[[#This Row],[LstDate]], IF(ICE[[#This Row],[LastType]] = "Blk", ICE[[#This Row],[LstBlkTime]], ""))</f>
        <v/>
      </c>
      <c r="R750" s="41" t="str">
        <f>IF(ICE[[#This Row],[LastType]] = "Scrn", ICE[[#This Row],[LstPrc]], IF(ICE[[#This Row],[LastType]] = "Blk", ICE[[#This Row],[LstBlkPrc]], ""))</f>
        <v/>
      </c>
      <c r="S750" s="36">
        <f>ICE[[#This Row],[Vol]]+ICE[[#This Row],[BlkVol]]</f>
        <v>0</v>
      </c>
      <c r="T750" s="36">
        <f>RTD("ice.rtd",,$C750 &amp; $D750 &amp; ":" &amp; T$1)</f>
        <v>0</v>
      </c>
      <c r="U750" s="18">
        <f>RTD("ice.rtd",,$C750 &amp; $D750 &amp; ":" &amp; U$1)</f>
        <v>-0.1288</v>
      </c>
      <c r="V7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0" s="18" t="str">
        <f>IFERROR(IF(LEFT(ICE[[#This Row],[Tenor]], 1) = "B", RTD("esrtd",,$B750 &amp; " " &amp; ICE[[#This Row],[Tenor]] &amp; "-IEU", W$1), RTD("esrtd",,$B750 &amp; " " &amp; VLOOKUP(MONTH(ICE[[#This Row],[Strip]]), MthRef[], 2, 0) &amp; RIGHT(YEAR(ICE[[#This Row],[Strip]]), 2) &amp; "-IEU", W$1)), "")</f>
        <v/>
      </c>
      <c r="X750" s="36"/>
    </row>
    <row r="751" spans="1:24" x14ac:dyDescent="0.25">
      <c r="A751" s="37" t="s">
        <v>421</v>
      </c>
      <c r="B751" s="3" t="str">
        <f>RTD("ice.rtd",,$C751 &amp; $D751 &amp; ":" &amp; B$1)</f>
        <v>GOH</v>
      </c>
      <c r="C751" s="3">
        <v>29243602</v>
      </c>
      <c r="D751" t="s">
        <v>795</v>
      </c>
      <c r="E751" s="3" t="str">
        <f>RTD("ice.rtd",,$C751 &amp; $D751 &amp; ":" &amp; E$1)</f>
        <v>Feb27</v>
      </c>
      <c r="F751" s="3" t="str">
        <f>ICE[[#This Row],[Prod]]&amp;ICE[[#This Row],[Strip]]</f>
        <v>ulsdgcFeb27</v>
      </c>
      <c r="G751" s="18" t="str">
        <f>RTD("ice.rtd",,$C751 &amp; $D751 &amp; ":" &amp; G$1)</f>
        <v/>
      </c>
      <c r="H751" s="18" t="str">
        <f>RTD("ice.rtd",,$C751 &amp; $D751 &amp; ":" &amp; H$1)</f>
        <v/>
      </c>
      <c r="I751" s="18" t="str">
        <f>RTD("ice.rtd",,$C751 &amp; $D751 &amp; ":" &amp; I$1)</f>
        <v/>
      </c>
      <c r="J751" s="14" t="str">
        <f>IFERROR(MOD(RTD("ice.rtd",,$C751 &amp; $D751 &amp; ":" &amp; J$1), 1), "")</f>
        <v/>
      </c>
      <c r="K751" s="18" t="str">
        <f>RTD("ice.rtd",,$C751 &amp; $D751 &amp; ":" &amp; K$1)</f>
        <v/>
      </c>
      <c r="L751" s="36" t="str">
        <f>RTD("ice.rtd",,$C751 &amp; $D751 &amp; ":" &amp; L$1)</f>
        <v/>
      </c>
      <c r="M751" s="14" t="str">
        <f>IFERROR(MOD(TIMEVALUE(RTD("ice.rtd",,$C751 &amp; $D751 &amp; ":" &amp; M$1)), 1), "")</f>
        <v/>
      </c>
      <c r="N751" s="36">
        <f>RTD("ice.rtd",,$C751 &amp; $D751 &amp; ":" &amp; N$1)</f>
        <v>0</v>
      </c>
      <c r="O751" s="36">
        <f>RTD("ice.rtd",,$C751 &amp; $D751 &amp; ":" &amp; O$1)</f>
        <v>0</v>
      </c>
      <c r="P7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1" s="14" t="str">
        <f>IF(ICE[[#This Row],[LastType]] = "Scrn", ICE[[#This Row],[LstDate]], IF(ICE[[#This Row],[LastType]] = "Blk", ICE[[#This Row],[LstBlkTime]], ""))</f>
        <v/>
      </c>
      <c r="R751" s="41" t="str">
        <f>IF(ICE[[#This Row],[LastType]] = "Scrn", ICE[[#This Row],[LstPrc]], IF(ICE[[#This Row],[LastType]] = "Blk", ICE[[#This Row],[LstBlkPrc]], ""))</f>
        <v/>
      </c>
      <c r="S751" s="36">
        <f>ICE[[#This Row],[Vol]]+ICE[[#This Row],[BlkVol]]</f>
        <v>0</v>
      </c>
      <c r="T751" s="36">
        <f>RTD("ice.rtd",,$C751 &amp; $D751 &amp; ":" &amp; T$1)</f>
        <v>0</v>
      </c>
      <c r="U751" s="18">
        <f>RTD("ice.rtd",,$C751 &amp; $D751 &amp; ":" &amp; U$1)</f>
        <v>-0.12130000000000001</v>
      </c>
      <c r="V7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1" s="18" t="str">
        <f>IFERROR(IF(LEFT(ICE[[#This Row],[Tenor]], 1) = "B", RTD("esrtd",,$B751 &amp; " " &amp; ICE[[#This Row],[Tenor]] &amp; "-IEU", W$1), RTD("esrtd",,$B751 &amp; " " &amp; VLOOKUP(MONTH(ICE[[#This Row],[Strip]]), MthRef[], 2, 0) &amp; RIGHT(YEAR(ICE[[#This Row],[Strip]]), 2) &amp; "-IEU", W$1)), "")</f>
        <v/>
      </c>
      <c r="X751" s="36"/>
    </row>
    <row r="752" spans="1:24" x14ac:dyDescent="0.25">
      <c r="A752" s="37" t="s">
        <v>421</v>
      </c>
      <c r="B752" s="3" t="str">
        <f>RTD("ice.rtd",,$C752 &amp; $D752 &amp; ":" &amp; B$1)</f>
        <v>GOH</v>
      </c>
      <c r="C752" s="3">
        <v>29243602</v>
      </c>
      <c r="D752" t="s">
        <v>113</v>
      </c>
      <c r="E752" s="3" t="str">
        <f>RTD("ice.rtd",,$C752 &amp; $D752 &amp; ":" &amp; E$1)</f>
        <v>Mar27</v>
      </c>
      <c r="F752" s="3" t="str">
        <f>ICE[[#This Row],[Prod]]&amp;ICE[[#This Row],[Strip]]</f>
        <v>ulsdgcMar27</v>
      </c>
      <c r="G752" s="18" t="str">
        <f>RTD("ice.rtd",,$C752 &amp; $D752 &amp; ":" &amp; G$1)</f>
        <v/>
      </c>
      <c r="H752" s="18" t="str">
        <f>RTD("ice.rtd",,$C752 &amp; $D752 &amp; ":" &amp; H$1)</f>
        <v/>
      </c>
      <c r="I752" s="18" t="str">
        <f>RTD("ice.rtd",,$C752 &amp; $D752 &amp; ":" &amp; I$1)</f>
        <v/>
      </c>
      <c r="J752" s="14" t="str">
        <f>IFERROR(MOD(RTD("ice.rtd",,$C752 &amp; $D752 &amp; ":" &amp; J$1), 1), "")</f>
        <v/>
      </c>
      <c r="K752" s="18" t="str">
        <f>RTD("ice.rtd",,$C752 &amp; $D752 &amp; ":" &amp; K$1)</f>
        <v/>
      </c>
      <c r="L752" s="36" t="str">
        <f>RTD("ice.rtd",,$C752 &amp; $D752 &amp; ":" &amp; L$1)</f>
        <v/>
      </c>
      <c r="M752" s="14" t="str">
        <f>IFERROR(MOD(TIMEVALUE(RTD("ice.rtd",,$C752 &amp; $D752 &amp; ":" &amp; M$1)), 1), "")</f>
        <v/>
      </c>
      <c r="N752" s="36">
        <f>RTD("ice.rtd",,$C752 &amp; $D752 &amp; ":" &amp; N$1)</f>
        <v>0</v>
      </c>
      <c r="O752" s="36">
        <f>RTD("ice.rtd",,$C752 &amp; $D752 &amp; ":" &amp; O$1)</f>
        <v>0</v>
      </c>
      <c r="P7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2" s="14" t="str">
        <f>IF(ICE[[#This Row],[LastType]] = "Scrn", ICE[[#This Row],[LstDate]], IF(ICE[[#This Row],[LastType]] = "Blk", ICE[[#This Row],[LstBlkTime]], ""))</f>
        <v/>
      </c>
      <c r="R752" s="41" t="str">
        <f>IF(ICE[[#This Row],[LastType]] = "Scrn", ICE[[#This Row],[LstPrc]], IF(ICE[[#This Row],[LastType]] = "Blk", ICE[[#This Row],[LstBlkPrc]], ""))</f>
        <v/>
      </c>
      <c r="S752" s="36">
        <f>ICE[[#This Row],[Vol]]+ICE[[#This Row],[BlkVol]]</f>
        <v>0</v>
      </c>
      <c r="T752" s="36">
        <f>RTD("ice.rtd",,$C752 &amp; $D752 &amp; ":" &amp; T$1)</f>
        <v>0</v>
      </c>
      <c r="U752" s="18">
        <f>RTD("ice.rtd",,$C752 &amp; $D752 &amp; ":" &amp; U$1)</f>
        <v>-0.10630000000000001</v>
      </c>
      <c r="V7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2" s="18" t="str">
        <f>IFERROR(IF(LEFT(ICE[[#This Row],[Tenor]], 1) = "B", RTD("esrtd",,$B752 &amp; " " &amp; ICE[[#This Row],[Tenor]] &amp; "-IEU", W$1), RTD("esrtd",,$B752 &amp; " " &amp; VLOOKUP(MONTH(ICE[[#This Row],[Strip]]), MthRef[], 2, 0) &amp; RIGHT(YEAR(ICE[[#This Row],[Strip]]), 2) &amp; "-IEU", W$1)), "")</f>
        <v/>
      </c>
      <c r="X752" s="36"/>
    </row>
    <row r="753" spans="1:24" x14ac:dyDescent="0.25">
      <c r="A753" s="37" t="s">
        <v>421</v>
      </c>
      <c r="B753" s="3" t="str">
        <f>RTD("ice.rtd",,$C753 &amp; $D753 &amp; ":" &amp; B$1)</f>
        <v>GOH</v>
      </c>
      <c r="C753" s="3">
        <v>29243602</v>
      </c>
      <c r="D753" t="s">
        <v>796</v>
      </c>
      <c r="E753" s="3" t="str">
        <f>RTD("ice.rtd",,$C753 &amp; $D753 &amp; ":" &amp; E$1)</f>
        <v>Apr27</v>
      </c>
      <c r="F753" s="3" t="str">
        <f>ICE[[#This Row],[Prod]]&amp;ICE[[#This Row],[Strip]]</f>
        <v>ulsdgcApr27</v>
      </c>
      <c r="G753" s="18" t="str">
        <f>RTD("ice.rtd",,$C753 &amp; $D753 &amp; ":" &amp; G$1)</f>
        <v/>
      </c>
      <c r="H753" s="18" t="str">
        <f>RTD("ice.rtd",,$C753 &amp; $D753 &amp; ":" &amp; H$1)</f>
        <v/>
      </c>
      <c r="I753" s="18" t="str">
        <f>RTD("ice.rtd",,$C753 &amp; $D753 &amp; ":" &amp; I$1)</f>
        <v/>
      </c>
      <c r="J753" s="14" t="str">
        <f>IFERROR(MOD(RTD("ice.rtd",,$C753 &amp; $D753 &amp; ":" &amp; J$1), 1), "")</f>
        <v/>
      </c>
      <c r="K753" s="18" t="str">
        <f>RTD("ice.rtd",,$C753 &amp; $D753 &amp; ":" &amp; K$1)</f>
        <v/>
      </c>
      <c r="L753" s="36" t="str">
        <f>RTD("ice.rtd",,$C753 &amp; $D753 &amp; ":" &amp; L$1)</f>
        <v/>
      </c>
      <c r="M753" s="14" t="str">
        <f>IFERROR(MOD(TIMEVALUE(RTD("ice.rtd",,$C753 &amp; $D753 &amp; ":" &amp; M$1)), 1), "")</f>
        <v/>
      </c>
      <c r="N753" s="36">
        <f>RTD("ice.rtd",,$C753 &amp; $D753 &amp; ":" &amp; N$1)</f>
        <v>0</v>
      </c>
      <c r="O753" s="36">
        <f>RTD("ice.rtd",,$C753 &amp; $D753 &amp; ":" &amp; O$1)</f>
        <v>0</v>
      </c>
      <c r="P7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3" s="14" t="str">
        <f>IF(ICE[[#This Row],[LastType]] = "Scrn", ICE[[#This Row],[LstDate]], IF(ICE[[#This Row],[LastType]] = "Blk", ICE[[#This Row],[LstBlkTime]], ""))</f>
        <v/>
      </c>
      <c r="R753" s="41" t="str">
        <f>IF(ICE[[#This Row],[LastType]] = "Scrn", ICE[[#This Row],[LstPrc]], IF(ICE[[#This Row],[LastType]] = "Blk", ICE[[#This Row],[LstBlkPrc]], ""))</f>
        <v/>
      </c>
      <c r="S753" s="36">
        <f>ICE[[#This Row],[Vol]]+ICE[[#This Row],[BlkVol]]</f>
        <v>0</v>
      </c>
      <c r="T753" s="36">
        <f>RTD("ice.rtd",,$C753 &amp; $D753 &amp; ":" &amp; T$1)</f>
        <v>0</v>
      </c>
      <c r="U753" s="18">
        <f>RTD("ice.rtd",,$C753 &amp; $D753 &amp; ":" &amp; U$1)</f>
        <v>-9.7500000000000003E-2</v>
      </c>
      <c r="V7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3" s="18" t="str">
        <f>IFERROR(IF(LEFT(ICE[[#This Row],[Tenor]], 1) = "B", RTD("esrtd",,$B753 &amp; " " &amp; ICE[[#This Row],[Tenor]] &amp; "-IEU", W$1), RTD("esrtd",,$B753 &amp; " " &amp; VLOOKUP(MONTH(ICE[[#This Row],[Strip]]), MthRef[], 2, 0) &amp; RIGHT(YEAR(ICE[[#This Row],[Strip]]), 2) &amp; "-IEU", W$1)), "")</f>
        <v/>
      </c>
      <c r="X753" s="36"/>
    </row>
    <row r="754" spans="1:24" x14ac:dyDescent="0.25">
      <c r="A754" s="37" t="s">
        <v>421</v>
      </c>
      <c r="B754" s="3" t="str">
        <f>RTD("ice.rtd",,$C754 &amp; $D754 &amp; ":" &amp; B$1)</f>
        <v>GOH</v>
      </c>
      <c r="C754" s="3">
        <v>29243602</v>
      </c>
      <c r="D754" t="s">
        <v>797</v>
      </c>
      <c r="E754" s="3" t="str">
        <f>RTD("ice.rtd",,$C754 &amp; $D754 &amp; ":" &amp; E$1)</f>
        <v>May27</v>
      </c>
      <c r="F754" s="3" t="str">
        <f>ICE[[#This Row],[Prod]]&amp;ICE[[#This Row],[Strip]]</f>
        <v>ulsdgcMay27</v>
      </c>
      <c r="G754" s="18" t="str">
        <f>RTD("ice.rtd",,$C754 &amp; $D754 &amp; ":" &amp; G$1)</f>
        <v/>
      </c>
      <c r="H754" s="18" t="str">
        <f>RTD("ice.rtd",,$C754 &amp; $D754 &amp; ":" &amp; H$1)</f>
        <v/>
      </c>
      <c r="I754" s="18" t="str">
        <f>RTD("ice.rtd",,$C754 &amp; $D754 &amp; ":" &amp; I$1)</f>
        <v/>
      </c>
      <c r="J754" s="14" t="str">
        <f>IFERROR(MOD(RTD("ice.rtd",,$C754 &amp; $D754 &amp; ":" &amp; J$1), 1), "")</f>
        <v/>
      </c>
      <c r="K754" s="18" t="str">
        <f>RTD("ice.rtd",,$C754 &amp; $D754 &amp; ":" &amp; K$1)</f>
        <v/>
      </c>
      <c r="L754" s="36" t="str">
        <f>RTD("ice.rtd",,$C754 &amp; $D754 &amp; ":" &amp; L$1)</f>
        <v/>
      </c>
      <c r="M754" s="14" t="str">
        <f>IFERROR(MOD(TIMEVALUE(RTD("ice.rtd",,$C754 &amp; $D754 &amp; ":" &amp; M$1)), 1), "")</f>
        <v/>
      </c>
      <c r="N754" s="36">
        <f>RTD("ice.rtd",,$C754 &amp; $D754 &amp; ":" &amp; N$1)</f>
        <v>0</v>
      </c>
      <c r="O754" s="36">
        <f>RTD("ice.rtd",,$C754 &amp; $D754 &amp; ":" &amp; O$1)</f>
        <v>0</v>
      </c>
      <c r="P7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4" s="14" t="str">
        <f>IF(ICE[[#This Row],[LastType]] = "Scrn", ICE[[#This Row],[LstDate]], IF(ICE[[#This Row],[LastType]] = "Blk", ICE[[#This Row],[LstBlkTime]], ""))</f>
        <v/>
      </c>
      <c r="R754" s="41" t="str">
        <f>IF(ICE[[#This Row],[LastType]] = "Scrn", ICE[[#This Row],[LstPrc]], IF(ICE[[#This Row],[LastType]] = "Blk", ICE[[#This Row],[LstBlkPrc]], ""))</f>
        <v/>
      </c>
      <c r="S754" s="36">
        <f>ICE[[#This Row],[Vol]]+ICE[[#This Row],[BlkVol]]</f>
        <v>0</v>
      </c>
      <c r="T754" s="36">
        <f>RTD("ice.rtd",,$C754 &amp; $D754 &amp; ":" &amp; T$1)</f>
        <v>0</v>
      </c>
      <c r="U754" s="18">
        <f>RTD("ice.rtd",,$C754 &amp; $D754 &amp; ":" &amp; U$1)</f>
        <v>-0.09</v>
      </c>
      <c r="V7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4" s="18" t="str">
        <f>IFERROR(IF(LEFT(ICE[[#This Row],[Tenor]], 1) = "B", RTD("esrtd",,$B754 &amp; " " &amp; ICE[[#This Row],[Tenor]] &amp; "-IEU", W$1), RTD("esrtd",,$B754 &amp; " " &amp; VLOOKUP(MONTH(ICE[[#This Row],[Strip]]), MthRef[], 2, 0) &amp; RIGHT(YEAR(ICE[[#This Row],[Strip]]), 2) &amp; "-IEU", W$1)), "")</f>
        <v/>
      </c>
      <c r="X754" s="36"/>
    </row>
    <row r="755" spans="1:24" x14ac:dyDescent="0.25">
      <c r="A755" s="37" t="s">
        <v>421</v>
      </c>
      <c r="B755" s="3" t="str">
        <f>RTD("ice.rtd",,$C755 &amp; $D755 &amp; ":" &amp; B$1)</f>
        <v>GOH</v>
      </c>
      <c r="C755" s="3">
        <v>29243602</v>
      </c>
      <c r="D755" t="s">
        <v>798</v>
      </c>
      <c r="E755" s="3" t="str">
        <f>RTD("ice.rtd",,$C755 &amp; $D755 &amp; ":" &amp; E$1)</f>
        <v>Jun27</v>
      </c>
      <c r="F755" s="3" t="str">
        <f>ICE[[#This Row],[Prod]]&amp;ICE[[#This Row],[Strip]]</f>
        <v>ulsdgcJun27</v>
      </c>
      <c r="G755" s="18" t="str">
        <f>RTD("ice.rtd",,$C755 &amp; $D755 &amp; ":" &amp; G$1)</f>
        <v/>
      </c>
      <c r="H755" s="18" t="str">
        <f>RTD("ice.rtd",,$C755 &amp; $D755 &amp; ":" &amp; H$1)</f>
        <v/>
      </c>
      <c r="I755" s="18" t="str">
        <f>RTD("ice.rtd",,$C755 &amp; $D755 &amp; ":" &amp; I$1)</f>
        <v/>
      </c>
      <c r="J755" s="14" t="str">
        <f>IFERROR(MOD(RTD("ice.rtd",,$C755 &amp; $D755 &amp; ":" &amp; J$1), 1), "")</f>
        <v/>
      </c>
      <c r="K755" s="18" t="str">
        <f>RTD("ice.rtd",,$C755 &amp; $D755 &amp; ":" &amp; K$1)</f>
        <v/>
      </c>
      <c r="L755" s="36" t="str">
        <f>RTD("ice.rtd",,$C755 &amp; $D755 &amp; ":" &amp; L$1)</f>
        <v/>
      </c>
      <c r="M755" s="14" t="str">
        <f>IFERROR(MOD(TIMEVALUE(RTD("ice.rtd",,$C755 &amp; $D755 &amp; ":" &amp; M$1)), 1), "")</f>
        <v/>
      </c>
      <c r="N755" s="36">
        <f>RTD("ice.rtd",,$C755 &amp; $D755 &amp; ":" &amp; N$1)</f>
        <v>0</v>
      </c>
      <c r="O755" s="36">
        <f>RTD("ice.rtd",,$C755 &amp; $D755 &amp; ":" &amp; O$1)</f>
        <v>0</v>
      </c>
      <c r="P7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5" s="14" t="str">
        <f>IF(ICE[[#This Row],[LastType]] = "Scrn", ICE[[#This Row],[LstDate]], IF(ICE[[#This Row],[LastType]] = "Blk", ICE[[#This Row],[LstBlkTime]], ""))</f>
        <v/>
      </c>
      <c r="R755" s="41" t="str">
        <f>IF(ICE[[#This Row],[LastType]] = "Scrn", ICE[[#This Row],[LstPrc]], IF(ICE[[#This Row],[LastType]] = "Blk", ICE[[#This Row],[LstBlkPrc]], ""))</f>
        <v/>
      </c>
      <c r="S755" s="36">
        <f>ICE[[#This Row],[Vol]]+ICE[[#This Row],[BlkVol]]</f>
        <v>0</v>
      </c>
      <c r="T755" s="36">
        <f>RTD("ice.rtd",,$C755 &amp; $D755 &amp; ":" &amp; T$1)</f>
        <v>0</v>
      </c>
      <c r="U755" s="18">
        <f>RTD("ice.rtd",,$C755 &amp; $D755 &amp; ":" &amp; U$1)</f>
        <v>-9.1300000000000006E-2</v>
      </c>
      <c r="V7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5" s="18" t="str">
        <f>IFERROR(IF(LEFT(ICE[[#This Row],[Tenor]], 1) = "B", RTD("esrtd",,$B755 &amp; " " &amp; ICE[[#This Row],[Tenor]] &amp; "-IEU", W$1), RTD("esrtd",,$B755 &amp; " " &amp; VLOOKUP(MONTH(ICE[[#This Row],[Strip]]), MthRef[], 2, 0) &amp; RIGHT(YEAR(ICE[[#This Row],[Strip]]), 2) &amp; "-IEU", W$1)), "")</f>
        <v/>
      </c>
      <c r="X755" s="36"/>
    </row>
    <row r="756" spans="1:24" x14ac:dyDescent="0.25">
      <c r="A756" s="37" t="s">
        <v>421</v>
      </c>
      <c r="B756" s="3" t="str">
        <f>RTD("ice.rtd",,$C756 &amp; $D756 &amp; ":" &amp; B$1)</f>
        <v>GOH</v>
      </c>
      <c r="C756" s="3">
        <v>29243602</v>
      </c>
      <c r="D756" t="s">
        <v>799</v>
      </c>
      <c r="E756" s="3" t="str">
        <f>RTD("ice.rtd",,$C756 &amp; $D756 &amp; ":" &amp; E$1)</f>
        <v>Jul27</v>
      </c>
      <c r="F756" s="3" t="str">
        <f>ICE[[#This Row],[Prod]]&amp;ICE[[#This Row],[Strip]]</f>
        <v>ulsdgcJul27</v>
      </c>
      <c r="G756" s="18" t="str">
        <f>RTD("ice.rtd",,$C756 &amp; $D756 &amp; ":" &amp; G$1)</f>
        <v/>
      </c>
      <c r="H756" s="18" t="str">
        <f>RTD("ice.rtd",,$C756 &amp; $D756 &amp; ":" &amp; H$1)</f>
        <v/>
      </c>
      <c r="I756" s="18" t="str">
        <f>RTD("ice.rtd",,$C756 &amp; $D756 &amp; ":" &amp; I$1)</f>
        <v/>
      </c>
      <c r="J756" s="14" t="str">
        <f>IFERROR(MOD(RTD("ice.rtd",,$C756 &amp; $D756 &amp; ":" &amp; J$1), 1), "")</f>
        <v/>
      </c>
      <c r="K756" s="18" t="str">
        <f>RTD("ice.rtd",,$C756 &amp; $D756 &amp; ":" &amp; K$1)</f>
        <v/>
      </c>
      <c r="L756" s="36" t="str">
        <f>RTD("ice.rtd",,$C756 &amp; $D756 &amp; ":" &amp; L$1)</f>
        <v/>
      </c>
      <c r="M756" s="14" t="str">
        <f>IFERROR(MOD(TIMEVALUE(RTD("ice.rtd",,$C756 &amp; $D756 &amp; ":" &amp; M$1)), 1), "")</f>
        <v/>
      </c>
      <c r="N756" s="36">
        <f>RTD("ice.rtd",,$C756 &amp; $D756 &amp; ":" &amp; N$1)</f>
        <v>0</v>
      </c>
      <c r="O756" s="36">
        <f>RTD("ice.rtd",,$C756 &amp; $D756 &amp; ":" &amp; O$1)</f>
        <v>0</v>
      </c>
      <c r="P7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6" s="14" t="str">
        <f>IF(ICE[[#This Row],[LastType]] = "Scrn", ICE[[#This Row],[LstDate]], IF(ICE[[#This Row],[LastType]] = "Blk", ICE[[#This Row],[LstBlkTime]], ""))</f>
        <v/>
      </c>
      <c r="R756" s="41" t="str">
        <f>IF(ICE[[#This Row],[LastType]] = "Scrn", ICE[[#This Row],[LstPrc]], IF(ICE[[#This Row],[LastType]] = "Blk", ICE[[#This Row],[LstBlkPrc]], ""))</f>
        <v/>
      </c>
      <c r="S756" s="36">
        <f>ICE[[#This Row],[Vol]]+ICE[[#This Row],[BlkVol]]</f>
        <v>0</v>
      </c>
      <c r="T756" s="36">
        <f>RTD("ice.rtd",,$C756 &amp; $D756 &amp; ":" &amp; T$1)</f>
        <v>0</v>
      </c>
      <c r="U756" s="18">
        <f>RTD("ice.rtd",,$C756 &amp; $D756 &amp; ":" &amp; U$1)</f>
        <v>-8.3500000000000005E-2</v>
      </c>
      <c r="V7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6" s="18" t="str">
        <f>IFERROR(IF(LEFT(ICE[[#This Row],[Tenor]], 1) = "B", RTD("esrtd",,$B756 &amp; " " &amp; ICE[[#This Row],[Tenor]] &amp; "-IEU", W$1), RTD("esrtd",,$B756 &amp; " " &amp; VLOOKUP(MONTH(ICE[[#This Row],[Strip]]), MthRef[], 2, 0) &amp; RIGHT(YEAR(ICE[[#This Row],[Strip]]), 2) &amp; "-IEU", W$1)), "")</f>
        <v/>
      </c>
      <c r="X756" s="36"/>
    </row>
    <row r="757" spans="1:24" x14ac:dyDescent="0.25">
      <c r="A757" s="37" t="s">
        <v>421</v>
      </c>
      <c r="B757" s="3" t="str">
        <f>RTD("ice.rtd",,$C757 &amp; $D757 &amp; ":" &amp; B$1)</f>
        <v>GOH</v>
      </c>
      <c r="C757" s="3">
        <v>29243602</v>
      </c>
      <c r="D757" t="s">
        <v>800</v>
      </c>
      <c r="E757" s="3" t="str">
        <f>RTD("ice.rtd",,$C757 &amp; $D757 &amp; ":" &amp; E$1)</f>
        <v>Aug27</v>
      </c>
      <c r="F757" s="3" t="str">
        <f>ICE[[#This Row],[Prod]]&amp;ICE[[#This Row],[Strip]]</f>
        <v>ulsdgcAug27</v>
      </c>
      <c r="G757" s="18" t="str">
        <f>RTD("ice.rtd",,$C757 &amp; $D757 &amp; ":" &amp; G$1)</f>
        <v/>
      </c>
      <c r="H757" s="18" t="str">
        <f>RTD("ice.rtd",,$C757 &amp; $D757 &amp; ":" &amp; H$1)</f>
        <v/>
      </c>
      <c r="I757" s="18" t="str">
        <f>RTD("ice.rtd",,$C757 &amp; $D757 &amp; ":" &amp; I$1)</f>
        <v/>
      </c>
      <c r="J757" s="14" t="str">
        <f>IFERROR(MOD(RTD("ice.rtd",,$C757 &amp; $D757 &amp; ":" &amp; J$1), 1), "")</f>
        <v/>
      </c>
      <c r="K757" s="18" t="str">
        <f>RTD("ice.rtd",,$C757 &amp; $D757 &amp; ":" &amp; K$1)</f>
        <v/>
      </c>
      <c r="L757" s="36" t="str">
        <f>RTD("ice.rtd",,$C757 &amp; $D757 &amp; ":" &amp; L$1)</f>
        <v/>
      </c>
      <c r="M757" s="14" t="str">
        <f>IFERROR(MOD(TIMEVALUE(RTD("ice.rtd",,$C757 &amp; $D757 &amp; ":" &amp; M$1)), 1), "")</f>
        <v/>
      </c>
      <c r="N757" s="36">
        <f>RTD("ice.rtd",,$C757 &amp; $D757 &amp; ":" &amp; N$1)</f>
        <v>0</v>
      </c>
      <c r="O757" s="36">
        <f>RTD("ice.rtd",,$C757 &amp; $D757 &amp; ":" &amp; O$1)</f>
        <v>0</v>
      </c>
      <c r="P7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7" s="14" t="str">
        <f>IF(ICE[[#This Row],[LastType]] = "Scrn", ICE[[#This Row],[LstDate]], IF(ICE[[#This Row],[LastType]] = "Blk", ICE[[#This Row],[LstBlkTime]], ""))</f>
        <v/>
      </c>
      <c r="R757" s="41" t="str">
        <f>IF(ICE[[#This Row],[LastType]] = "Scrn", ICE[[#This Row],[LstPrc]], IF(ICE[[#This Row],[LastType]] = "Blk", ICE[[#This Row],[LstBlkPrc]], ""))</f>
        <v/>
      </c>
      <c r="S757" s="36">
        <f>ICE[[#This Row],[Vol]]+ICE[[#This Row],[BlkVol]]</f>
        <v>0</v>
      </c>
      <c r="T757" s="36">
        <f>RTD("ice.rtd",,$C757 &amp; $D757 &amp; ":" &amp; T$1)</f>
        <v>0</v>
      </c>
      <c r="U757" s="18">
        <f>RTD("ice.rtd",,$C757 &amp; $D757 &amp; ":" &amp; U$1)</f>
        <v>-8.2799999999999999E-2</v>
      </c>
      <c r="V7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7" s="18" t="str">
        <f>IFERROR(IF(LEFT(ICE[[#This Row],[Tenor]], 1) = "B", RTD("esrtd",,$B757 &amp; " " &amp; ICE[[#This Row],[Tenor]] &amp; "-IEU", W$1), RTD("esrtd",,$B757 &amp; " " &amp; VLOOKUP(MONTH(ICE[[#This Row],[Strip]]), MthRef[], 2, 0) &amp; RIGHT(YEAR(ICE[[#This Row],[Strip]]), 2) &amp; "-IEU", W$1)), "")</f>
        <v/>
      </c>
      <c r="X757" s="36"/>
    </row>
    <row r="758" spans="1:24" x14ac:dyDescent="0.25">
      <c r="A758" s="37" t="s">
        <v>421</v>
      </c>
      <c r="B758" s="3" t="str">
        <f>RTD("ice.rtd",,$C758 &amp; $D758 &amp; ":" &amp; B$1)</f>
        <v>GOH</v>
      </c>
      <c r="C758" s="3">
        <v>29243602</v>
      </c>
      <c r="D758" t="s">
        <v>801</v>
      </c>
      <c r="E758" s="3" t="str">
        <f>RTD("ice.rtd",,$C758 &amp; $D758 &amp; ":" &amp; E$1)</f>
        <v>Sep27</v>
      </c>
      <c r="F758" s="3" t="str">
        <f>ICE[[#This Row],[Prod]]&amp;ICE[[#This Row],[Strip]]</f>
        <v>ulsdgcSep27</v>
      </c>
      <c r="G758" s="18" t="str">
        <f>RTD("ice.rtd",,$C758 &amp; $D758 &amp; ":" &amp; G$1)</f>
        <v/>
      </c>
      <c r="H758" s="18" t="str">
        <f>RTD("ice.rtd",,$C758 &amp; $D758 &amp; ":" &amp; H$1)</f>
        <v/>
      </c>
      <c r="I758" s="18" t="str">
        <f>RTD("ice.rtd",,$C758 &amp; $D758 &amp; ":" &amp; I$1)</f>
        <v/>
      </c>
      <c r="J758" s="14" t="str">
        <f>IFERROR(MOD(RTD("ice.rtd",,$C758 &amp; $D758 &amp; ":" &amp; J$1), 1), "")</f>
        <v/>
      </c>
      <c r="K758" s="18" t="str">
        <f>RTD("ice.rtd",,$C758 &amp; $D758 &amp; ":" &amp; K$1)</f>
        <v/>
      </c>
      <c r="L758" s="36" t="str">
        <f>RTD("ice.rtd",,$C758 &amp; $D758 &amp; ":" &amp; L$1)</f>
        <v/>
      </c>
      <c r="M758" s="14" t="str">
        <f>IFERROR(MOD(TIMEVALUE(RTD("ice.rtd",,$C758 &amp; $D758 &amp; ":" &amp; M$1)), 1), "")</f>
        <v/>
      </c>
      <c r="N758" s="36">
        <f>RTD("ice.rtd",,$C758 &amp; $D758 &amp; ":" &amp; N$1)</f>
        <v>0</v>
      </c>
      <c r="O758" s="36">
        <f>RTD("ice.rtd",,$C758 &amp; $D758 &amp; ":" &amp; O$1)</f>
        <v>0</v>
      </c>
      <c r="P7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8" s="14" t="str">
        <f>IF(ICE[[#This Row],[LastType]] = "Scrn", ICE[[#This Row],[LstDate]], IF(ICE[[#This Row],[LastType]] = "Blk", ICE[[#This Row],[LstBlkTime]], ""))</f>
        <v/>
      </c>
      <c r="R758" s="41" t="str">
        <f>IF(ICE[[#This Row],[LastType]] = "Scrn", ICE[[#This Row],[LstPrc]], IF(ICE[[#This Row],[LastType]] = "Blk", ICE[[#This Row],[LstBlkPrc]], ""))</f>
        <v/>
      </c>
      <c r="S758" s="36">
        <f>ICE[[#This Row],[Vol]]+ICE[[#This Row],[BlkVol]]</f>
        <v>0</v>
      </c>
      <c r="T758" s="36">
        <f>RTD("ice.rtd",,$C758 &amp; $D758 &amp; ":" &amp; T$1)</f>
        <v>0</v>
      </c>
      <c r="U758" s="18">
        <f>RTD("ice.rtd",,$C758 &amp; $D758 &amp; ":" &amp; U$1)</f>
        <v>-7.5499999999999998E-2</v>
      </c>
      <c r="V7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8" s="18" t="str">
        <f>IFERROR(IF(LEFT(ICE[[#This Row],[Tenor]], 1) = "B", RTD("esrtd",,$B758 &amp; " " &amp; ICE[[#This Row],[Tenor]] &amp; "-IEU", W$1), RTD("esrtd",,$B758 &amp; " " &amp; VLOOKUP(MONTH(ICE[[#This Row],[Strip]]), MthRef[], 2, 0) &amp; RIGHT(YEAR(ICE[[#This Row],[Strip]]), 2) &amp; "-IEU", W$1)), "")</f>
        <v/>
      </c>
      <c r="X758" s="36"/>
    </row>
    <row r="759" spans="1:24" x14ac:dyDescent="0.25">
      <c r="A759" s="37" t="s">
        <v>421</v>
      </c>
      <c r="B759" s="3" t="str">
        <f>RTD("ice.rtd",,$C759 &amp; $D759 &amp; ":" &amp; B$1)</f>
        <v>GOH</v>
      </c>
      <c r="C759" s="3">
        <v>29243602</v>
      </c>
      <c r="D759" t="s">
        <v>802</v>
      </c>
      <c r="E759" s="3" t="str">
        <f>RTD("ice.rtd",,$C759 &amp; $D759 &amp; ":" &amp; E$1)</f>
        <v>Oct27</v>
      </c>
      <c r="F759" s="3" t="str">
        <f>ICE[[#This Row],[Prod]]&amp;ICE[[#This Row],[Strip]]</f>
        <v>ulsdgcOct27</v>
      </c>
      <c r="G759" s="18" t="str">
        <f>RTD("ice.rtd",,$C759 &amp; $D759 &amp; ":" &amp; G$1)</f>
        <v/>
      </c>
      <c r="H759" s="18" t="str">
        <f>RTD("ice.rtd",,$C759 &amp; $D759 &amp; ":" &amp; H$1)</f>
        <v/>
      </c>
      <c r="I759" s="18" t="str">
        <f>RTD("ice.rtd",,$C759 &amp; $D759 &amp; ":" &amp; I$1)</f>
        <v/>
      </c>
      <c r="J759" s="14" t="str">
        <f>IFERROR(MOD(RTD("ice.rtd",,$C759 &amp; $D759 &amp; ":" &amp; J$1), 1), "")</f>
        <v/>
      </c>
      <c r="K759" s="18" t="str">
        <f>RTD("ice.rtd",,$C759 &amp; $D759 &amp; ":" &amp; K$1)</f>
        <v/>
      </c>
      <c r="L759" s="36" t="str">
        <f>RTD("ice.rtd",,$C759 &amp; $D759 &amp; ":" &amp; L$1)</f>
        <v/>
      </c>
      <c r="M759" s="14" t="str">
        <f>IFERROR(MOD(TIMEVALUE(RTD("ice.rtd",,$C759 &amp; $D759 &amp; ":" &amp; M$1)), 1), "")</f>
        <v/>
      </c>
      <c r="N759" s="36">
        <f>RTD("ice.rtd",,$C759 &amp; $D759 &amp; ":" &amp; N$1)</f>
        <v>0</v>
      </c>
      <c r="O759" s="36">
        <f>RTD("ice.rtd",,$C759 &amp; $D759 &amp; ":" &amp; O$1)</f>
        <v>0</v>
      </c>
      <c r="P7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59" s="14" t="str">
        <f>IF(ICE[[#This Row],[LastType]] = "Scrn", ICE[[#This Row],[LstDate]], IF(ICE[[#This Row],[LastType]] = "Blk", ICE[[#This Row],[LstBlkTime]], ""))</f>
        <v/>
      </c>
      <c r="R759" s="41" t="str">
        <f>IF(ICE[[#This Row],[LastType]] = "Scrn", ICE[[#This Row],[LstPrc]], IF(ICE[[#This Row],[LastType]] = "Blk", ICE[[#This Row],[LstBlkPrc]], ""))</f>
        <v/>
      </c>
      <c r="S759" s="36">
        <f>ICE[[#This Row],[Vol]]+ICE[[#This Row],[BlkVol]]</f>
        <v>0</v>
      </c>
      <c r="T759" s="36">
        <f>RTD("ice.rtd",,$C759 &amp; $D759 &amp; ":" &amp; T$1)</f>
        <v>0</v>
      </c>
      <c r="U759" s="18">
        <f>RTD("ice.rtd",,$C759 &amp; $D759 &amp; ":" &amp; U$1)</f>
        <v>-0.1105</v>
      </c>
      <c r="V7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59" s="18" t="str">
        <f>IFERROR(IF(LEFT(ICE[[#This Row],[Tenor]], 1) = "B", RTD("esrtd",,$B759 &amp; " " &amp; ICE[[#This Row],[Tenor]] &amp; "-IEU", W$1), RTD("esrtd",,$B759 &amp; " " &amp; VLOOKUP(MONTH(ICE[[#This Row],[Strip]]), MthRef[], 2, 0) &amp; RIGHT(YEAR(ICE[[#This Row],[Strip]]), 2) &amp; "-IEU", W$1)), "")</f>
        <v/>
      </c>
      <c r="X759" s="36"/>
    </row>
    <row r="760" spans="1:24" x14ac:dyDescent="0.25">
      <c r="A760" s="37" t="s">
        <v>421</v>
      </c>
      <c r="B760" s="3" t="str">
        <f>RTD("ice.rtd",,$C760 &amp; $D760 &amp; ":" &amp; B$1)</f>
        <v>GOH</v>
      </c>
      <c r="C760" s="3">
        <v>29243602</v>
      </c>
      <c r="D760" t="s">
        <v>803</v>
      </c>
      <c r="E760" s="3" t="str">
        <f>RTD("ice.rtd",,$C760 &amp; $D760 &amp; ":" &amp; E$1)</f>
        <v>Nov27</v>
      </c>
      <c r="F760" s="3" t="str">
        <f>ICE[[#This Row],[Prod]]&amp;ICE[[#This Row],[Strip]]</f>
        <v>ulsdgcNov27</v>
      </c>
      <c r="G760" s="18" t="str">
        <f>RTD("ice.rtd",,$C760 &amp; $D760 &amp; ":" &amp; G$1)</f>
        <v/>
      </c>
      <c r="H760" s="18" t="str">
        <f>RTD("ice.rtd",,$C760 &amp; $D760 &amp; ":" &amp; H$1)</f>
        <v/>
      </c>
      <c r="I760" s="18" t="str">
        <f>RTD("ice.rtd",,$C760 &amp; $D760 &amp; ":" &amp; I$1)</f>
        <v/>
      </c>
      <c r="J760" s="14" t="str">
        <f>IFERROR(MOD(RTD("ice.rtd",,$C760 &amp; $D760 &amp; ":" &amp; J$1), 1), "")</f>
        <v/>
      </c>
      <c r="K760" s="18" t="str">
        <f>RTD("ice.rtd",,$C760 &amp; $D760 &amp; ":" &amp; K$1)</f>
        <v/>
      </c>
      <c r="L760" s="36" t="str">
        <f>RTD("ice.rtd",,$C760 &amp; $D760 &amp; ":" &amp; L$1)</f>
        <v/>
      </c>
      <c r="M760" s="14" t="str">
        <f>IFERROR(MOD(TIMEVALUE(RTD("ice.rtd",,$C760 &amp; $D760 &amp; ":" &amp; M$1)), 1), "")</f>
        <v/>
      </c>
      <c r="N760" s="36">
        <f>RTD("ice.rtd",,$C760 &amp; $D760 &amp; ":" &amp; N$1)</f>
        <v>0</v>
      </c>
      <c r="O760" s="36">
        <f>RTD("ice.rtd",,$C760 &amp; $D760 &amp; ":" &amp; O$1)</f>
        <v>0</v>
      </c>
      <c r="P7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0" s="14" t="str">
        <f>IF(ICE[[#This Row],[LastType]] = "Scrn", ICE[[#This Row],[LstDate]], IF(ICE[[#This Row],[LastType]] = "Blk", ICE[[#This Row],[LstBlkTime]], ""))</f>
        <v/>
      </c>
      <c r="R760" s="41" t="str">
        <f>IF(ICE[[#This Row],[LastType]] = "Scrn", ICE[[#This Row],[LstPrc]], IF(ICE[[#This Row],[LastType]] = "Blk", ICE[[#This Row],[LstBlkPrc]], ""))</f>
        <v/>
      </c>
      <c r="S760" s="36">
        <f>ICE[[#This Row],[Vol]]+ICE[[#This Row],[BlkVol]]</f>
        <v>0</v>
      </c>
      <c r="T760" s="36">
        <f>RTD("ice.rtd",,$C760 &amp; $D760 &amp; ":" &amp; T$1)</f>
        <v>0</v>
      </c>
      <c r="U760" s="18">
        <f>RTD("ice.rtd",,$C760 &amp; $D760 &amp; ":" &amp; U$1)</f>
        <v>-0.128</v>
      </c>
      <c r="V7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0" s="18" t="str">
        <f>IFERROR(IF(LEFT(ICE[[#This Row],[Tenor]], 1) = "B", RTD("esrtd",,$B760 &amp; " " &amp; ICE[[#This Row],[Tenor]] &amp; "-IEU", W$1), RTD("esrtd",,$B760 &amp; " " &amp; VLOOKUP(MONTH(ICE[[#This Row],[Strip]]), MthRef[], 2, 0) &amp; RIGHT(YEAR(ICE[[#This Row],[Strip]]), 2) &amp; "-IEU", W$1)), "")</f>
        <v/>
      </c>
      <c r="X760" s="36"/>
    </row>
    <row r="761" spans="1:24" x14ac:dyDescent="0.25">
      <c r="A761" s="37" t="s">
        <v>421</v>
      </c>
      <c r="B761" s="3" t="str">
        <f>RTD("ice.rtd",,$C761 &amp; $D761 &amp; ":" &amp; B$1)</f>
        <v>GOH</v>
      </c>
      <c r="C761" s="3">
        <v>29243602</v>
      </c>
      <c r="D761" t="s">
        <v>804</v>
      </c>
      <c r="E761" s="3" t="str">
        <f>RTD("ice.rtd",,$C761 &amp; $D761 &amp; ":" &amp; E$1)</f>
        <v>Dec27</v>
      </c>
      <c r="F761" s="3" t="str">
        <f>ICE[[#This Row],[Prod]]&amp;ICE[[#This Row],[Strip]]</f>
        <v>ulsdgcDec27</v>
      </c>
      <c r="G761" s="18" t="str">
        <f>RTD("ice.rtd",,$C761 &amp; $D761 &amp; ":" &amp; G$1)</f>
        <v/>
      </c>
      <c r="H761" s="18" t="str">
        <f>RTD("ice.rtd",,$C761 &amp; $D761 &amp; ":" &amp; H$1)</f>
        <v/>
      </c>
      <c r="I761" s="18" t="str">
        <f>RTD("ice.rtd",,$C761 &amp; $D761 &amp; ":" &amp; I$1)</f>
        <v/>
      </c>
      <c r="J761" s="14" t="str">
        <f>IFERROR(MOD(RTD("ice.rtd",,$C761 &amp; $D761 &amp; ":" &amp; J$1), 1), "")</f>
        <v/>
      </c>
      <c r="K761" s="18" t="str">
        <f>RTD("ice.rtd",,$C761 &amp; $D761 &amp; ":" &amp; K$1)</f>
        <v/>
      </c>
      <c r="L761" s="36" t="str">
        <f>RTD("ice.rtd",,$C761 &amp; $D761 &amp; ":" &amp; L$1)</f>
        <v/>
      </c>
      <c r="M761" s="14" t="str">
        <f>IFERROR(MOD(TIMEVALUE(RTD("ice.rtd",,$C761 &amp; $D761 &amp; ":" &amp; M$1)), 1), "")</f>
        <v/>
      </c>
      <c r="N761" s="36">
        <f>RTD("ice.rtd",,$C761 &amp; $D761 &amp; ":" &amp; N$1)</f>
        <v>0</v>
      </c>
      <c r="O761" s="36">
        <f>RTD("ice.rtd",,$C761 &amp; $D761 &amp; ":" &amp; O$1)</f>
        <v>0</v>
      </c>
      <c r="P7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1" s="14" t="str">
        <f>IF(ICE[[#This Row],[LastType]] = "Scrn", ICE[[#This Row],[LstDate]], IF(ICE[[#This Row],[LastType]] = "Blk", ICE[[#This Row],[LstBlkTime]], ""))</f>
        <v/>
      </c>
      <c r="R761" s="41" t="str">
        <f>IF(ICE[[#This Row],[LastType]] = "Scrn", ICE[[#This Row],[LstPrc]], IF(ICE[[#This Row],[LastType]] = "Blk", ICE[[#This Row],[LstBlkPrc]], ""))</f>
        <v/>
      </c>
      <c r="S761" s="36">
        <f>ICE[[#This Row],[Vol]]+ICE[[#This Row],[BlkVol]]</f>
        <v>0</v>
      </c>
      <c r="T761" s="36">
        <f>RTD("ice.rtd",,$C761 &amp; $D761 &amp; ":" &amp; T$1)</f>
        <v>0</v>
      </c>
      <c r="U761" s="18">
        <f>RTD("ice.rtd",,$C761 &amp; $D761 &amp; ":" &amp; U$1)</f>
        <v>-0.14800000000000002</v>
      </c>
      <c r="V7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1" s="18" t="str">
        <f>IFERROR(IF(LEFT(ICE[[#This Row],[Tenor]], 1) = "B", RTD("esrtd",,$B761 &amp; " " &amp; ICE[[#This Row],[Tenor]] &amp; "-IEU", W$1), RTD("esrtd",,$B761 &amp; " " &amp; VLOOKUP(MONTH(ICE[[#This Row],[Strip]]), MthRef[], 2, 0) &amp; RIGHT(YEAR(ICE[[#This Row],[Strip]]), 2) &amp; "-IEU", W$1)), "")</f>
        <v/>
      </c>
      <c r="X761" s="36"/>
    </row>
    <row r="762" spans="1:24" x14ac:dyDescent="0.25">
      <c r="A762" s="37" t="s">
        <v>421</v>
      </c>
      <c r="B762" s="3" t="str">
        <f>RTD("ice.rtd",,$C762 &amp; $D762 &amp; ":" &amp; B$1)</f>
        <v>GOH</v>
      </c>
      <c r="C762" s="3">
        <v>29243602</v>
      </c>
      <c r="D762" t="s">
        <v>814</v>
      </c>
      <c r="E762" s="3" t="str">
        <f>RTD("ice.rtd",,$C762 &amp; $D762 &amp; ":" &amp; E$1)</f>
        <v>Q4 26</v>
      </c>
      <c r="F762" s="3" t="str">
        <f>ICE[[#This Row],[Prod]]&amp;ICE[[#This Row],[Strip]]</f>
        <v>ulsdgcQ4 26</v>
      </c>
      <c r="G762" s="18" t="str">
        <f>RTD("ice.rtd",,$C762 &amp; $D762 &amp; ":" &amp; G$1)</f>
        <v/>
      </c>
      <c r="H762" s="18" t="str">
        <f>RTD("ice.rtd",,$C762 &amp; $D762 &amp; ":" &amp; H$1)</f>
        <v/>
      </c>
      <c r="I762" s="18" t="str">
        <f>RTD("ice.rtd",,$C762 &amp; $D762 &amp; ":" &amp; I$1)</f>
        <v/>
      </c>
      <c r="J762" s="14" t="str">
        <f>IFERROR(MOD(RTD("ice.rtd",,$C762 &amp; $D762 &amp; ":" &amp; J$1), 1), "")</f>
        <v/>
      </c>
      <c r="K762" s="18" t="str">
        <f>RTD("ice.rtd",,$C762 &amp; $D762 &amp; ":" &amp; K$1)</f>
        <v/>
      </c>
      <c r="L762" s="36" t="str">
        <f>RTD("ice.rtd",,$C762 &amp; $D762 &amp; ":" &amp; L$1)</f>
        <v/>
      </c>
      <c r="M762" s="14" t="str">
        <f>IFERROR(MOD(TIMEVALUE(RTD("ice.rtd",,$C762 &amp; $D762 &amp; ":" &amp; M$1)), 1), "")</f>
        <v/>
      </c>
      <c r="N762" s="36">
        <f>RTD("ice.rtd",,$C762 &amp; $D762 &amp; ":" &amp; N$1)</f>
        <v>0</v>
      </c>
      <c r="O762" s="36">
        <f>RTD("ice.rtd",,$C762 &amp; $D762 &amp; ":" &amp; O$1)</f>
        <v>0</v>
      </c>
      <c r="P7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2" s="14" t="str">
        <f>IF(ICE[[#This Row],[LastType]] = "Scrn", ICE[[#This Row],[LstDate]], IF(ICE[[#This Row],[LastType]] = "Blk", ICE[[#This Row],[LstBlkTime]], ""))</f>
        <v/>
      </c>
      <c r="R762" s="41" t="str">
        <f>IF(ICE[[#This Row],[LastType]] = "Scrn", ICE[[#This Row],[LstPrc]], IF(ICE[[#This Row],[LastType]] = "Blk", ICE[[#This Row],[LstBlkPrc]], ""))</f>
        <v/>
      </c>
      <c r="S762" s="36">
        <f>ICE[[#This Row],[Vol]]+ICE[[#This Row],[BlkVol]]</f>
        <v>0</v>
      </c>
      <c r="T762" s="36">
        <f>RTD("ice.rtd",,$C762 &amp; $D762 &amp; ":" &amp; T$1)</f>
        <v>0</v>
      </c>
      <c r="U762" s="18">
        <f>RTD("ice.rtd",,$C762 &amp; $D762 &amp; ":" &amp; U$1)</f>
        <v>-0.14250000000000002</v>
      </c>
      <c r="V7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2" s="18" t="str">
        <f>IFERROR(IF(LEFT(ICE[[#This Row],[Tenor]], 1) = "B", RTD("esrtd",,$B762 &amp; " " &amp; ICE[[#This Row],[Tenor]] &amp; "-IEU", W$1), RTD("esrtd",,$B762 &amp; " " &amp; VLOOKUP(MONTH(ICE[[#This Row],[Strip]]), MthRef[], 2, 0) &amp; RIGHT(YEAR(ICE[[#This Row],[Strip]]), 2) &amp; "-IEU", W$1)), "")</f>
        <v/>
      </c>
      <c r="X762" s="36"/>
    </row>
    <row r="763" spans="1:24" x14ac:dyDescent="0.25">
      <c r="A763" s="37" t="s">
        <v>421</v>
      </c>
      <c r="B763" s="3" t="str">
        <f>RTD("ice.rtd",,$C763 &amp; $D763 &amp; ":" &amp; B$1)</f>
        <v>GOH</v>
      </c>
      <c r="C763" s="3">
        <v>29243602</v>
      </c>
      <c r="D763" t="s">
        <v>815</v>
      </c>
      <c r="E763" s="3" t="str">
        <f>RTD("ice.rtd",,$C763 &amp; $D763 &amp; ":" &amp; E$1)</f>
        <v>Q1 27</v>
      </c>
      <c r="F763" s="3" t="str">
        <f>ICE[[#This Row],[Prod]]&amp;ICE[[#This Row],[Strip]]</f>
        <v>ulsdgcQ1 27</v>
      </c>
      <c r="G763" s="18" t="str">
        <f>RTD("ice.rtd",,$C763 &amp; $D763 &amp; ":" &amp; G$1)</f>
        <v/>
      </c>
      <c r="H763" s="18" t="str">
        <f>RTD("ice.rtd",,$C763 &amp; $D763 &amp; ":" &amp; H$1)</f>
        <v/>
      </c>
      <c r="I763" s="18" t="str">
        <f>RTD("ice.rtd",,$C763 &amp; $D763 &amp; ":" &amp; I$1)</f>
        <v/>
      </c>
      <c r="J763" s="14" t="str">
        <f>IFERROR(MOD(RTD("ice.rtd",,$C763 &amp; $D763 &amp; ":" &amp; J$1), 1), "")</f>
        <v/>
      </c>
      <c r="K763" s="18" t="str">
        <f>RTD("ice.rtd",,$C763 &amp; $D763 &amp; ":" &amp; K$1)</f>
        <v/>
      </c>
      <c r="L763" s="36" t="str">
        <f>RTD("ice.rtd",,$C763 &amp; $D763 &amp; ":" &amp; L$1)</f>
        <v/>
      </c>
      <c r="M763" s="14" t="str">
        <f>IFERROR(MOD(TIMEVALUE(RTD("ice.rtd",,$C763 &amp; $D763 &amp; ":" &amp; M$1)), 1), "")</f>
        <v/>
      </c>
      <c r="N763" s="36">
        <f>RTD("ice.rtd",,$C763 &amp; $D763 &amp; ":" &amp; N$1)</f>
        <v>0</v>
      </c>
      <c r="O763" s="36">
        <f>RTD("ice.rtd",,$C763 &amp; $D763 &amp; ":" &amp; O$1)</f>
        <v>0</v>
      </c>
      <c r="P7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3" s="14" t="str">
        <f>IF(ICE[[#This Row],[LastType]] = "Scrn", ICE[[#This Row],[LstDate]], IF(ICE[[#This Row],[LastType]] = "Blk", ICE[[#This Row],[LstBlkTime]], ""))</f>
        <v/>
      </c>
      <c r="R763" s="41" t="str">
        <f>IF(ICE[[#This Row],[LastType]] = "Scrn", ICE[[#This Row],[LstPrc]], IF(ICE[[#This Row],[LastType]] = "Blk", ICE[[#This Row],[LstBlkPrc]], ""))</f>
        <v/>
      </c>
      <c r="S763" s="36">
        <f>ICE[[#This Row],[Vol]]+ICE[[#This Row],[BlkVol]]</f>
        <v>0</v>
      </c>
      <c r="T763" s="36">
        <f>RTD("ice.rtd",,$C763 &amp; $D763 &amp; ":" &amp; T$1)</f>
        <v>0</v>
      </c>
      <c r="U763" s="18">
        <f>RTD("ice.rtd",,$C763 &amp; $D763 &amp; ":" &amp; U$1)</f>
        <v>-0.1188</v>
      </c>
      <c r="V7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3" s="18" t="str">
        <f>IFERROR(IF(LEFT(ICE[[#This Row],[Tenor]], 1) = "B", RTD("esrtd",,$B763 &amp; " " &amp; ICE[[#This Row],[Tenor]] &amp; "-IEU", W$1), RTD("esrtd",,$B763 &amp; " " &amp; VLOOKUP(MONTH(ICE[[#This Row],[Strip]]), MthRef[], 2, 0) &amp; RIGHT(YEAR(ICE[[#This Row],[Strip]]), 2) &amp; "-IEU", W$1)), "")</f>
        <v/>
      </c>
      <c r="X763" s="36"/>
    </row>
    <row r="764" spans="1:24" x14ac:dyDescent="0.25">
      <c r="A764" s="37" t="s">
        <v>421</v>
      </c>
      <c r="B764" s="3" t="str">
        <f>RTD("ice.rtd",,$C764 &amp; $D764 &amp; ":" &amp; B$1)</f>
        <v>GOH</v>
      </c>
      <c r="C764" s="3">
        <v>29243602</v>
      </c>
      <c r="D764" t="s">
        <v>816</v>
      </c>
      <c r="E764" s="3" t="str">
        <f>RTD("ice.rtd",,$C764 &amp; $D764 &amp; ":" &amp; E$1)</f>
        <v>Q2 27</v>
      </c>
      <c r="F764" s="3" t="str">
        <f>ICE[[#This Row],[Prod]]&amp;ICE[[#This Row],[Strip]]</f>
        <v>ulsdgcQ2 27</v>
      </c>
      <c r="G764" s="18" t="str">
        <f>RTD("ice.rtd",,$C764 &amp; $D764 &amp; ":" &amp; G$1)</f>
        <v/>
      </c>
      <c r="H764" s="18" t="str">
        <f>RTD("ice.rtd",,$C764 &amp; $D764 &amp; ":" &amp; H$1)</f>
        <v/>
      </c>
      <c r="I764" s="18" t="str">
        <f>RTD("ice.rtd",,$C764 &amp; $D764 &amp; ":" &amp; I$1)</f>
        <v/>
      </c>
      <c r="J764" s="14" t="str">
        <f>IFERROR(MOD(RTD("ice.rtd",,$C764 &amp; $D764 &amp; ":" &amp; J$1), 1), "")</f>
        <v/>
      </c>
      <c r="K764" s="18" t="str">
        <f>RTD("ice.rtd",,$C764 &amp; $D764 &amp; ":" &amp; K$1)</f>
        <v/>
      </c>
      <c r="L764" s="36" t="str">
        <f>RTD("ice.rtd",,$C764 &amp; $D764 &amp; ":" &amp; L$1)</f>
        <v/>
      </c>
      <c r="M764" s="14" t="str">
        <f>IFERROR(MOD(TIMEVALUE(RTD("ice.rtd",,$C764 &amp; $D764 &amp; ":" &amp; M$1)), 1), "")</f>
        <v/>
      </c>
      <c r="N764" s="36">
        <f>RTD("ice.rtd",,$C764 &amp; $D764 &amp; ":" &amp; N$1)</f>
        <v>0</v>
      </c>
      <c r="O764" s="36">
        <f>RTD("ice.rtd",,$C764 &amp; $D764 &amp; ":" &amp; O$1)</f>
        <v>0</v>
      </c>
      <c r="P7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4" s="14" t="str">
        <f>IF(ICE[[#This Row],[LastType]] = "Scrn", ICE[[#This Row],[LstDate]], IF(ICE[[#This Row],[LastType]] = "Blk", ICE[[#This Row],[LstBlkTime]], ""))</f>
        <v/>
      </c>
      <c r="R764" s="41" t="str">
        <f>IF(ICE[[#This Row],[LastType]] = "Scrn", ICE[[#This Row],[LstPrc]], IF(ICE[[#This Row],[LastType]] = "Blk", ICE[[#This Row],[LstBlkPrc]], ""))</f>
        <v/>
      </c>
      <c r="S764" s="36">
        <f>ICE[[#This Row],[Vol]]+ICE[[#This Row],[BlkVol]]</f>
        <v>0</v>
      </c>
      <c r="T764" s="36">
        <f>RTD("ice.rtd",,$C764 &amp; $D764 &amp; ":" &amp; T$1)</f>
        <v>0</v>
      </c>
      <c r="U764" s="18">
        <f>RTD("ice.rtd",,$C764 &amp; $D764 &amp; ":" &amp; U$1)</f>
        <v>-9.290000000000001E-2</v>
      </c>
      <c r="V7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4" s="18" t="str">
        <f>IFERROR(IF(LEFT(ICE[[#This Row],[Tenor]], 1) = "B", RTD("esrtd",,$B764 &amp; " " &amp; ICE[[#This Row],[Tenor]] &amp; "-IEU", W$1), RTD("esrtd",,$B764 &amp; " " &amp; VLOOKUP(MONTH(ICE[[#This Row],[Strip]]), MthRef[], 2, 0) &amp; RIGHT(YEAR(ICE[[#This Row],[Strip]]), 2) &amp; "-IEU", W$1)), "")</f>
        <v/>
      </c>
      <c r="X764" s="36"/>
    </row>
    <row r="765" spans="1:24" x14ac:dyDescent="0.25">
      <c r="A765" s="37" t="s">
        <v>421</v>
      </c>
      <c r="B765" s="3" t="str">
        <f>RTD("ice.rtd",,$C765 &amp; $D765 &amp; ":" &amp; B$1)</f>
        <v>GOH</v>
      </c>
      <c r="C765" s="3">
        <v>29243602</v>
      </c>
      <c r="D765" t="s">
        <v>817</v>
      </c>
      <c r="E765" s="3" t="str">
        <f>RTD("ice.rtd",,$C765 &amp; $D765 &amp; ":" &amp; E$1)</f>
        <v>Q3 27</v>
      </c>
      <c r="F765" s="3" t="str">
        <f>ICE[[#This Row],[Prod]]&amp;ICE[[#This Row],[Strip]]</f>
        <v>ulsdgcQ3 27</v>
      </c>
      <c r="G765" s="18" t="str">
        <f>RTD("ice.rtd",,$C765 &amp; $D765 &amp; ":" &amp; G$1)</f>
        <v/>
      </c>
      <c r="H765" s="18" t="str">
        <f>RTD("ice.rtd",,$C765 &amp; $D765 &amp; ":" &amp; H$1)</f>
        <v/>
      </c>
      <c r="I765" s="18" t="str">
        <f>RTD("ice.rtd",,$C765 &amp; $D765 &amp; ":" &amp; I$1)</f>
        <v/>
      </c>
      <c r="J765" s="14" t="str">
        <f>IFERROR(MOD(RTD("ice.rtd",,$C765 &amp; $D765 &amp; ":" &amp; J$1), 1), "")</f>
        <v/>
      </c>
      <c r="K765" s="18" t="str">
        <f>RTD("ice.rtd",,$C765 &amp; $D765 &amp; ":" &amp; K$1)</f>
        <v/>
      </c>
      <c r="L765" s="36" t="str">
        <f>RTD("ice.rtd",,$C765 &amp; $D765 &amp; ":" &amp; L$1)</f>
        <v/>
      </c>
      <c r="M765" s="14" t="str">
        <f>IFERROR(MOD(TIMEVALUE(RTD("ice.rtd",,$C765 &amp; $D765 &amp; ":" &amp; M$1)), 1), "")</f>
        <v/>
      </c>
      <c r="N765" s="36">
        <f>RTD("ice.rtd",,$C765 &amp; $D765 &amp; ":" &amp; N$1)</f>
        <v>0</v>
      </c>
      <c r="O765" s="36">
        <f>RTD("ice.rtd",,$C765 &amp; $D765 &amp; ":" &amp; O$1)</f>
        <v>0</v>
      </c>
      <c r="P7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5" s="14" t="str">
        <f>IF(ICE[[#This Row],[LastType]] = "Scrn", ICE[[#This Row],[LstDate]], IF(ICE[[#This Row],[LastType]] = "Blk", ICE[[#This Row],[LstBlkTime]], ""))</f>
        <v/>
      </c>
      <c r="R765" s="41" t="str">
        <f>IF(ICE[[#This Row],[LastType]] = "Scrn", ICE[[#This Row],[LstPrc]], IF(ICE[[#This Row],[LastType]] = "Blk", ICE[[#This Row],[LstBlkPrc]], ""))</f>
        <v/>
      </c>
      <c r="S765" s="36">
        <f>ICE[[#This Row],[Vol]]+ICE[[#This Row],[BlkVol]]</f>
        <v>0</v>
      </c>
      <c r="T765" s="36">
        <f>RTD("ice.rtd",,$C765 &amp; $D765 &amp; ":" &amp; T$1)</f>
        <v>0</v>
      </c>
      <c r="U765" s="18">
        <f>RTD("ice.rtd",,$C765 &amp; $D765 &amp; ":" &amp; U$1)</f>
        <v>-8.0600000000000005E-2</v>
      </c>
      <c r="V7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5" s="18" t="str">
        <f>IFERROR(IF(LEFT(ICE[[#This Row],[Tenor]], 1) = "B", RTD("esrtd",,$B765 &amp; " " &amp; ICE[[#This Row],[Tenor]] &amp; "-IEU", W$1), RTD("esrtd",,$B765 &amp; " " &amp; VLOOKUP(MONTH(ICE[[#This Row],[Strip]]), MthRef[], 2, 0) &amp; RIGHT(YEAR(ICE[[#This Row],[Strip]]), 2) &amp; "-IEU", W$1)), "")</f>
        <v/>
      </c>
      <c r="X765" s="36"/>
    </row>
    <row r="766" spans="1:24" x14ac:dyDescent="0.25">
      <c r="A766" s="37" t="s">
        <v>421</v>
      </c>
      <c r="B766" s="3" t="str">
        <f>RTD("ice.rtd",,$C766 &amp; $D766 &amp; ":" &amp; B$1)</f>
        <v>GOH</v>
      </c>
      <c r="C766" s="3">
        <v>29243602</v>
      </c>
      <c r="D766" t="s">
        <v>818</v>
      </c>
      <c r="E766" s="3" t="str">
        <f>RTD("ice.rtd",,$C766 &amp; $D766 &amp; ":" &amp; E$1)</f>
        <v>Q4 27</v>
      </c>
      <c r="F766" s="3" t="str">
        <f>ICE[[#This Row],[Prod]]&amp;ICE[[#This Row],[Strip]]</f>
        <v>ulsdgcQ4 27</v>
      </c>
      <c r="G766" s="18" t="str">
        <f>RTD("ice.rtd",,$C766 &amp; $D766 &amp; ":" &amp; G$1)</f>
        <v/>
      </c>
      <c r="H766" s="18" t="str">
        <f>RTD("ice.rtd",,$C766 &amp; $D766 &amp; ":" &amp; H$1)</f>
        <v/>
      </c>
      <c r="I766" s="18" t="str">
        <f>RTD("ice.rtd",,$C766 &amp; $D766 &amp; ":" &amp; I$1)</f>
        <v/>
      </c>
      <c r="J766" s="14" t="str">
        <f>IFERROR(MOD(RTD("ice.rtd",,$C766 &amp; $D766 &amp; ":" &amp; J$1), 1), "")</f>
        <v/>
      </c>
      <c r="K766" s="18" t="str">
        <f>RTD("ice.rtd",,$C766 &amp; $D766 &amp; ":" &amp; K$1)</f>
        <v/>
      </c>
      <c r="L766" s="36" t="str">
        <f>RTD("ice.rtd",,$C766 &amp; $D766 &amp; ":" &amp; L$1)</f>
        <v/>
      </c>
      <c r="M766" s="14" t="str">
        <f>IFERROR(MOD(TIMEVALUE(RTD("ice.rtd",,$C766 &amp; $D766 &amp; ":" &amp; M$1)), 1), "")</f>
        <v/>
      </c>
      <c r="N766" s="36">
        <f>RTD("ice.rtd",,$C766 &amp; $D766 &amp; ":" &amp; N$1)</f>
        <v>0</v>
      </c>
      <c r="O766" s="36">
        <f>RTD("ice.rtd",,$C766 &amp; $D766 &amp; ":" &amp; O$1)</f>
        <v>0</v>
      </c>
      <c r="P7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6" s="14" t="str">
        <f>IF(ICE[[#This Row],[LastType]] = "Scrn", ICE[[#This Row],[LstDate]], IF(ICE[[#This Row],[LastType]] = "Blk", ICE[[#This Row],[LstBlkTime]], ""))</f>
        <v/>
      </c>
      <c r="R766" s="41" t="str">
        <f>IF(ICE[[#This Row],[LastType]] = "Scrn", ICE[[#This Row],[LstPrc]], IF(ICE[[#This Row],[LastType]] = "Blk", ICE[[#This Row],[LstBlkPrc]], ""))</f>
        <v/>
      </c>
      <c r="S766" s="36">
        <f>ICE[[#This Row],[Vol]]+ICE[[#This Row],[BlkVol]]</f>
        <v>0</v>
      </c>
      <c r="T766" s="36">
        <f>RTD("ice.rtd",,$C766 &amp; $D766 &amp; ":" &amp; T$1)</f>
        <v>0</v>
      </c>
      <c r="U766" s="18">
        <f>RTD("ice.rtd",,$C766 &amp; $D766 &amp; ":" &amp; U$1)</f>
        <v>-0.1288</v>
      </c>
      <c r="V7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6" s="18" t="str">
        <f>IFERROR(IF(LEFT(ICE[[#This Row],[Tenor]], 1) = "B", RTD("esrtd",,$B766 &amp; " " &amp; ICE[[#This Row],[Tenor]] &amp; "-IEU", W$1), RTD("esrtd",,$B766 &amp; " " &amp; VLOOKUP(MONTH(ICE[[#This Row],[Strip]]), MthRef[], 2, 0) &amp; RIGHT(YEAR(ICE[[#This Row],[Strip]]), 2) &amp; "-IEU", W$1)), "")</f>
        <v/>
      </c>
      <c r="X766" s="36"/>
    </row>
    <row r="767" spans="1:24" x14ac:dyDescent="0.25">
      <c r="A767" s="37" t="s">
        <v>421</v>
      </c>
      <c r="B767" s="3" t="str">
        <f>RTD("ice.rtd",,$C767 &amp; $D767 &amp; ":" &amp; B$1)</f>
        <v>GOH</v>
      </c>
      <c r="C767" s="3">
        <v>29243602</v>
      </c>
      <c r="D767" t="s">
        <v>822</v>
      </c>
      <c r="E767" s="3" t="str">
        <f>RTD("ice.rtd",,$C767 &amp; $D767 &amp; ":" &amp; E$1)</f>
        <v>Cal 27</v>
      </c>
      <c r="F767" s="3" t="str">
        <f>ICE[[#This Row],[Prod]]&amp;ICE[[#This Row],[Strip]]</f>
        <v>ulsdgcCal 27</v>
      </c>
      <c r="G767" s="18" t="str">
        <f>RTD("ice.rtd",,$C767 &amp; $D767 &amp; ":" &amp; G$1)</f>
        <v/>
      </c>
      <c r="H767" s="18" t="str">
        <f>RTD("ice.rtd",,$C767 &amp; $D767 &amp; ":" &amp; H$1)</f>
        <v/>
      </c>
      <c r="I767" s="18" t="str">
        <f>RTD("ice.rtd",,$C767 &amp; $D767 &amp; ":" &amp; I$1)</f>
        <v/>
      </c>
      <c r="J767" s="14" t="str">
        <f>IFERROR(MOD(RTD("ice.rtd",,$C767 &amp; $D767 &amp; ":" &amp; J$1), 1), "")</f>
        <v/>
      </c>
      <c r="K767" s="18" t="str">
        <f>RTD("ice.rtd",,$C767 &amp; $D767 &amp; ":" &amp; K$1)</f>
        <v/>
      </c>
      <c r="L767" s="36" t="str">
        <f>RTD("ice.rtd",,$C767 &amp; $D767 &amp; ":" &amp; L$1)</f>
        <v/>
      </c>
      <c r="M767" s="14" t="str">
        <f>IFERROR(MOD(TIMEVALUE(RTD("ice.rtd",,$C767 &amp; $D767 &amp; ":" &amp; M$1)), 1), "")</f>
        <v/>
      </c>
      <c r="N767" s="36">
        <f>RTD("ice.rtd",,$C767 &amp; $D767 &amp; ":" &amp; N$1)</f>
        <v>0</v>
      </c>
      <c r="O767" s="36">
        <f>RTD("ice.rtd",,$C767 &amp; $D767 &amp; ":" &amp; O$1)</f>
        <v>0</v>
      </c>
      <c r="P7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7" s="14" t="str">
        <f>IF(ICE[[#This Row],[LastType]] = "Scrn", ICE[[#This Row],[LstDate]], IF(ICE[[#This Row],[LastType]] = "Blk", ICE[[#This Row],[LstBlkTime]], ""))</f>
        <v/>
      </c>
      <c r="R767" s="41" t="str">
        <f>IF(ICE[[#This Row],[LastType]] = "Scrn", ICE[[#This Row],[LstPrc]], IF(ICE[[#This Row],[LastType]] = "Blk", ICE[[#This Row],[LstBlkPrc]], ""))</f>
        <v/>
      </c>
      <c r="S767" s="36">
        <f>ICE[[#This Row],[Vol]]+ICE[[#This Row],[BlkVol]]</f>
        <v>0</v>
      </c>
      <c r="T767" s="36">
        <f>RTD("ice.rtd",,$C767 &amp; $D767 &amp; ":" &amp; T$1)</f>
        <v>0</v>
      </c>
      <c r="U767" s="18">
        <f>RTD("ice.rtd",,$C767 &amp; $D767 &amp; ":" &amp; U$1)</f>
        <v>-0.1053</v>
      </c>
      <c r="V7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7" s="18" t="str">
        <f>IFERROR(IF(LEFT(ICE[[#This Row],[Tenor]], 1) = "B", RTD("esrtd",,$B767 &amp; " " &amp; ICE[[#This Row],[Tenor]] &amp; "-IEU", W$1), RTD("esrtd",,$B767 &amp; " " &amp; VLOOKUP(MONTH(ICE[[#This Row],[Strip]]), MthRef[], 2, 0) &amp; RIGHT(YEAR(ICE[[#This Row],[Strip]]), 2) &amp; "-IEU", W$1)), "")</f>
        <v/>
      </c>
      <c r="X767" s="36"/>
    </row>
    <row r="768" spans="1:24" x14ac:dyDescent="0.25">
      <c r="A768" s="37" t="s">
        <v>830</v>
      </c>
      <c r="B768" s="3" t="str">
        <f>RTD("ice.rtd",,$C768 &amp; $D768 &amp; ":" &amp; B$1)</f>
        <v>FQZ</v>
      </c>
      <c r="C768" s="3">
        <v>2505226937</v>
      </c>
      <c r="D768" t="s">
        <v>792</v>
      </c>
      <c r="E768" s="3" t="str">
        <f>RTD("ice.rtd",,$C768 &amp; $D768 &amp; ":" &amp; E$1)</f>
        <v>Bal Month</v>
      </c>
      <c r="F768" s="3" t="str">
        <f>ICE[[#This Row],[Prod]]&amp;ICE[[#This Row],[Strip]]</f>
        <v>fo35brxmtBal Month</v>
      </c>
      <c r="G768" s="18" t="str">
        <f>RTD("ice.rtd",,$C768 &amp; $D768 &amp; ":" &amp; G$1)</f>
        <v/>
      </c>
      <c r="H768" s="18" t="str">
        <f>RTD("ice.rtd",,$C768 &amp; $D768 &amp; ":" &amp; H$1)</f>
        <v/>
      </c>
      <c r="I768" s="18" t="str">
        <f>RTD("ice.rtd",,$C768 &amp; $D768 &amp; ":" &amp; I$1)</f>
        <v/>
      </c>
      <c r="J768" s="14" t="str">
        <f>IFERROR(MOD(RTD("ice.rtd",,$C768 &amp; $D768 &amp; ":" &amp; J$1), 1), "")</f>
        <v/>
      </c>
      <c r="K768" s="18" t="str">
        <f>RTD("ice.rtd",,$C768 &amp; $D768 &amp; ":" &amp; K$1)</f>
        <v/>
      </c>
      <c r="L768" s="36" t="str">
        <f>RTD("ice.rtd",,$C768 &amp; $D768 &amp; ":" &amp; L$1)</f>
        <v/>
      </c>
      <c r="M768" s="14" t="str">
        <f>IFERROR(MOD(TIMEVALUE(RTD("ice.rtd",,$C768 &amp; $D768 &amp; ":" &amp; M$1)), 1), "")</f>
        <v/>
      </c>
      <c r="N768" s="36">
        <f>RTD("ice.rtd",,$C768 &amp; $D768 &amp; ":" &amp; N$1)</f>
        <v>0</v>
      </c>
      <c r="O768" s="36">
        <f>RTD("ice.rtd",,$C768 &amp; $D768 &amp; ":" &amp; O$1)</f>
        <v>0</v>
      </c>
      <c r="P7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8" s="14" t="str">
        <f>IF(ICE[[#This Row],[LastType]] = "Scrn", ICE[[#This Row],[LstDate]], IF(ICE[[#This Row],[LastType]] = "Blk", ICE[[#This Row],[LstBlkTime]], ""))</f>
        <v/>
      </c>
      <c r="R768" s="41" t="str">
        <f>IF(ICE[[#This Row],[LastType]] = "Scrn", ICE[[#This Row],[LstPrc]], IF(ICE[[#This Row],[LastType]] = "Blk", ICE[[#This Row],[LstBlkPrc]], ""))</f>
        <v/>
      </c>
      <c r="S768" s="36">
        <f>ICE[[#This Row],[Vol]]+ICE[[#This Row],[BlkVol]]</f>
        <v>0</v>
      </c>
      <c r="T768" s="36">
        <f>RTD("ice.rtd",,$C768 &amp; $D768 &amp; ":" &amp; T$1)</f>
        <v>0</v>
      </c>
      <c r="U768" s="18">
        <f>RTD("ice.rtd",,$C768 &amp; $D768 &amp; ":" &amp; U$1)</f>
        <v>-12.157</v>
      </c>
      <c r="V7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8" s="18" t="str">
        <f>IFERROR(IF(LEFT(ICE[[#This Row],[Tenor]], 1) = "B", RTD("esrtd",,$B768 &amp; " " &amp; ICE[[#This Row],[Tenor]] &amp; "-IEU", W$1), RTD("esrtd",,$B768 &amp; " " &amp; VLOOKUP(MONTH(ICE[[#This Row],[Strip]]), MthRef[], 2, 0) &amp; RIGHT(YEAR(ICE[[#This Row],[Strip]]), 2) &amp; "-IEU", W$1)), "")</f>
        <v/>
      </c>
      <c r="X768" s="36"/>
    </row>
    <row r="769" spans="1:24" x14ac:dyDescent="0.25">
      <c r="A769" s="37" t="s">
        <v>830</v>
      </c>
      <c r="B769" s="3" t="str">
        <f>RTD("ice.rtd",,$C769 &amp; $D769 &amp; ":" &amp; B$1)</f>
        <v>BOB</v>
      </c>
      <c r="C769" s="3">
        <v>5162</v>
      </c>
      <c r="D769" t="s">
        <v>793</v>
      </c>
      <c r="E769" s="3" t="str">
        <f>RTD("ice.rtd",,$C769 &amp; $D769 &amp; ":" &amp; E$1)</f>
        <v>Sep26</v>
      </c>
      <c r="F769" s="3" t="str">
        <f>ICE[[#This Row],[Prod]]&amp;ICE[[#This Row],[Strip]]</f>
        <v>fo35brxmtSep26</v>
      </c>
      <c r="G769" s="18" t="str">
        <f>RTD("ice.rtd",,$C769 &amp; $D769 &amp; ":" &amp; G$1)</f>
        <v/>
      </c>
      <c r="H769" s="18" t="str">
        <f>RTD("ice.rtd",,$C769 &amp; $D769 &amp; ":" &amp; H$1)</f>
        <v/>
      </c>
      <c r="I769" s="18" t="str">
        <f>RTD("ice.rtd",,$C769 &amp; $D769 &amp; ":" &amp; I$1)</f>
        <v/>
      </c>
      <c r="J769" s="14" t="str">
        <f>IFERROR(MOD(RTD("ice.rtd",,$C769 &amp; $D769 &amp; ":" &amp; J$1), 1), "")</f>
        <v/>
      </c>
      <c r="K769" s="18" t="str">
        <f>RTD("ice.rtd",,$C769 &amp; $D769 &amp; ":" &amp; K$1)</f>
        <v/>
      </c>
      <c r="L769" s="36" t="str">
        <f>RTD("ice.rtd",,$C769 &amp; $D769 &amp; ":" &amp; L$1)</f>
        <v/>
      </c>
      <c r="M769" s="14" t="str">
        <f>IFERROR(MOD(TIMEVALUE(RTD("ice.rtd",,$C769 &amp; $D769 &amp; ":" &amp; M$1)), 1), "")</f>
        <v/>
      </c>
      <c r="N769" s="36">
        <f>RTD("ice.rtd",,$C769 &amp; $D769 &amp; ":" &amp; N$1)</f>
        <v>0</v>
      </c>
      <c r="O769" s="36">
        <f>RTD("ice.rtd",,$C769 &amp; $D769 &amp; ":" &amp; O$1)</f>
        <v>0</v>
      </c>
      <c r="P7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69" s="14" t="str">
        <f>IF(ICE[[#This Row],[LastType]] = "Scrn", ICE[[#This Row],[LstDate]], IF(ICE[[#This Row],[LastType]] = "Blk", ICE[[#This Row],[LstBlkTime]], ""))</f>
        <v/>
      </c>
      <c r="R769" s="41" t="str">
        <f>IF(ICE[[#This Row],[LastType]] = "Scrn", ICE[[#This Row],[LstPrc]], IF(ICE[[#This Row],[LastType]] = "Blk", ICE[[#This Row],[LstBlkPrc]], ""))</f>
        <v/>
      </c>
      <c r="S769" s="36">
        <f>ICE[[#This Row],[Vol]]+ICE[[#This Row],[BlkVol]]</f>
        <v>0</v>
      </c>
      <c r="T769" s="36">
        <f>RTD("ice.rtd",,$C769 &amp; $D769 &amp; ":" &amp; T$1)</f>
        <v>1986</v>
      </c>
      <c r="U769" s="18">
        <f>RTD("ice.rtd",,$C769 &amp; $D769 &amp; ":" &amp; U$1)</f>
        <v>-12.157400000000001</v>
      </c>
      <c r="V7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69" s="18" t="str">
        <f>IFERROR(IF(LEFT(ICE[[#This Row],[Tenor]], 1) = "B", RTD("esrtd",,$B769 &amp; " " &amp; ICE[[#This Row],[Tenor]] &amp; "-IEU", W$1), RTD("esrtd",,$B769 &amp; " " &amp; VLOOKUP(MONTH(ICE[[#This Row],[Strip]]), MthRef[], 2, 0) &amp; RIGHT(YEAR(ICE[[#This Row],[Strip]]), 2) &amp; "-IEU", W$1)), "")</f>
        <v/>
      </c>
      <c r="X769" s="36"/>
    </row>
    <row r="770" spans="1:24" x14ac:dyDescent="0.25">
      <c r="A770" s="37" t="s">
        <v>830</v>
      </c>
      <c r="B770" s="3" t="str">
        <f>RTD("ice.rtd",,$C770 &amp; $D770 &amp; ":" &amp; B$1)</f>
        <v>BOB</v>
      </c>
      <c r="C770" s="3">
        <v>5162</v>
      </c>
      <c r="D770" t="s">
        <v>324</v>
      </c>
      <c r="E770" s="3" t="str">
        <f>RTD("ice.rtd",,$C770 &amp; $D770 &amp; ":" &amp; E$1)</f>
        <v>Oct26</v>
      </c>
      <c r="F770" s="3" t="str">
        <f>ICE[[#This Row],[Prod]]&amp;ICE[[#This Row],[Strip]]</f>
        <v>fo35brxmtOct26</v>
      </c>
      <c r="G770" s="18">
        <f>RTD("ice.rtd",,$C770 &amp; $D770 &amp; ":" &amp; G$1)</f>
        <v>-12.14</v>
      </c>
      <c r="H770" s="18">
        <f>RTD("ice.rtd",,$C770 &amp; $D770 &amp; ":" &amp; H$1)</f>
        <v>-11.85</v>
      </c>
      <c r="I770" s="18">
        <f>RTD("ice.rtd",,$C770 &amp; $D770 &amp; ":" &amp; I$1)</f>
        <v>-12.03</v>
      </c>
      <c r="J770" s="14">
        <f>IFERROR(MOD(RTD("ice.rtd",,$C770 &amp; $D770 &amp; ":" &amp; J$1), 1), "")</f>
        <v>0.45938295139058027</v>
      </c>
      <c r="K770" s="18">
        <f>RTD("ice.rtd",,$C770 &amp; $D770 &amp; ":" &amp; K$1)</f>
        <v>-11.8</v>
      </c>
      <c r="L770" s="36">
        <f>RTD("ice.rtd",,$C770 &amp; $D770 &amp; ":" &amp; L$1)</f>
        <v>5</v>
      </c>
      <c r="M770" s="14">
        <f>IFERROR(MOD(TIMEVALUE(RTD("ice.rtd",,$C770 &amp; $D770 &amp; ":" &amp; M$1)), 1), "")</f>
        <v>0.41690972222222222</v>
      </c>
      <c r="N770" s="36">
        <f>RTD("ice.rtd",,$C770 &amp; $D770 &amp; ":" &amp; N$1)</f>
        <v>32</v>
      </c>
      <c r="O770" s="36">
        <f>RTD("ice.rtd",,$C770 &amp; $D770 &amp; ":" &amp; O$1)</f>
        <v>15</v>
      </c>
      <c r="P7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770" s="14">
        <f>IF(ICE[[#This Row],[LastType]] = "Scrn", ICE[[#This Row],[LstDate]], IF(ICE[[#This Row],[LastType]] = "Blk", ICE[[#This Row],[LstBlkTime]], ""))</f>
        <v>0.45938295139058027</v>
      </c>
      <c r="R770" s="41">
        <f>IF(ICE[[#This Row],[LastType]] = "Scrn", ICE[[#This Row],[LstPrc]], IF(ICE[[#This Row],[LastType]] = "Blk", ICE[[#This Row],[LstBlkPrc]], ""))</f>
        <v>-12.03</v>
      </c>
      <c r="S770" s="36">
        <f>ICE[[#This Row],[Vol]]+ICE[[#This Row],[BlkVol]]</f>
        <v>47</v>
      </c>
      <c r="T770" s="36">
        <f>RTD("ice.rtd",,$C770 &amp; $D770 &amp; ":" &amp; T$1)</f>
        <v>583</v>
      </c>
      <c r="U770" s="18">
        <f>RTD("ice.rtd",,$C770 &amp; $D770 &amp; ":" &amp; U$1)</f>
        <v>-11.450000000000001</v>
      </c>
      <c r="V7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-12.14 / -11.85 {-12.03} |47x</v>
      </c>
      <c r="W770" s="18" t="str">
        <f>IFERROR(IF(LEFT(ICE[[#This Row],[Tenor]], 1) = "B", RTD("esrtd",,$B770 &amp; " " &amp; ICE[[#This Row],[Tenor]] &amp; "-IEU", W$1), RTD("esrtd",,$B770 &amp; " " &amp; VLOOKUP(MONTH(ICE[[#This Row],[Strip]]), MthRef[], 2, 0) &amp; RIGHT(YEAR(ICE[[#This Row],[Strip]]), 2) &amp; "-IEU", W$1)), "")</f>
        <v/>
      </c>
      <c r="X770" s="36"/>
    </row>
    <row r="771" spans="1:24" x14ac:dyDescent="0.25">
      <c r="A771" s="37" t="s">
        <v>830</v>
      </c>
      <c r="B771" s="3" t="str">
        <f>RTD("ice.rtd",,$C771 &amp; $D771 &amp; ":" &amp; B$1)</f>
        <v>BOB</v>
      </c>
      <c r="C771" s="3">
        <v>5162</v>
      </c>
      <c r="D771" t="s">
        <v>325</v>
      </c>
      <c r="E771" s="3" t="str">
        <f>RTD("ice.rtd",,$C771 &amp; $D771 &amp; ":" &amp; E$1)</f>
        <v>Nov26</v>
      </c>
      <c r="F771" s="3" t="str">
        <f>ICE[[#This Row],[Prod]]&amp;ICE[[#This Row],[Strip]]</f>
        <v>fo35brxmtNov26</v>
      </c>
      <c r="G771" s="18" t="str">
        <f>RTD("ice.rtd",,$C771 &amp; $D771 &amp; ":" &amp; G$1)</f>
        <v/>
      </c>
      <c r="H771" s="18" t="str">
        <f>RTD("ice.rtd",,$C771 &amp; $D771 &amp; ":" &amp; H$1)</f>
        <v/>
      </c>
      <c r="I771" s="18" t="str">
        <f>RTD("ice.rtd",,$C771 &amp; $D771 &amp; ":" &amp; I$1)</f>
        <v/>
      </c>
      <c r="J771" s="14" t="str">
        <f>IFERROR(MOD(RTD("ice.rtd",,$C771 &amp; $D771 &amp; ":" &amp; J$1), 1), "")</f>
        <v/>
      </c>
      <c r="K771" s="18" t="str">
        <f>RTD("ice.rtd",,$C771 &amp; $D771 &amp; ":" &amp; K$1)</f>
        <v/>
      </c>
      <c r="L771" s="36" t="str">
        <f>RTD("ice.rtd",,$C771 &amp; $D771 &amp; ":" &amp; L$1)</f>
        <v/>
      </c>
      <c r="M771" s="14" t="str">
        <f>IFERROR(MOD(TIMEVALUE(RTD("ice.rtd",,$C771 &amp; $D771 &amp; ":" &amp; M$1)), 1), "")</f>
        <v/>
      </c>
      <c r="N771" s="36">
        <f>RTD("ice.rtd",,$C771 &amp; $D771 &amp; ":" &amp; N$1)</f>
        <v>0</v>
      </c>
      <c r="O771" s="36">
        <f>RTD("ice.rtd",,$C771 &amp; $D771 &amp; ":" &amp; O$1)</f>
        <v>0</v>
      </c>
      <c r="P7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1" s="14" t="str">
        <f>IF(ICE[[#This Row],[LastType]] = "Scrn", ICE[[#This Row],[LstDate]], IF(ICE[[#This Row],[LastType]] = "Blk", ICE[[#This Row],[LstBlkTime]], ""))</f>
        <v/>
      </c>
      <c r="R771" s="41" t="str">
        <f>IF(ICE[[#This Row],[LastType]] = "Scrn", ICE[[#This Row],[LstPrc]], IF(ICE[[#This Row],[LastType]] = "Blk", ICE[[#This Row],[LstBlkPrc]], ""))</f>
        <v/>
      </c>
      <c r="S771" s="36">
        <f>ICE[[#This Row],[Vol]]+ICE[[#This Row],[BlkVol]]</f>
        <v>0</v>
      </c>
      <c r="T771" s="36">
        <f>RTD("ice.rtd",,$C771 &amp; $D771 &amp; ":" &amp; T$1)</f>
        <v>376</v>
      </c>
      <c r="U771" s="18">
        <f>RTD("ice.rtd",,$C771 &amp; $D771 &amp; ":" &amp; U$1)</f>
        <v>-10.4961</v>
      </c>
      <c r="V7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71" s="18" t="str">
        <f>IFERROR(IF(LEFT(ICE[[#This Row],[Tenor]], 1) = "B", RTD("esrtd",,$B771 &amp; " " &amp; ICE[[#This Row],[Tenor]] &amp; "-IEU", W$1), RTD("esrtd",,$B771 &amp; " " &amp; VLOOKUP(MONTH(ICE[[#This Row],[Strip]]), MthRef[], 2, 0) &amp; RIGHT(YEAR(ICE[[#This Row],[Strip]]), 2) &amp; "-IEU", W$1)), "")</f>
        <v/>
      </c>
      <c r="X771" s="36"/>
    </row>
    <row r="772" spans="1:24" x14ac:dyDescent="0.25">
      <c r="A772" s="37" t="s">
        <v>830</v>
      </c>
      <c r="B772" s="3" t="str">
        <f>RTD("ice.rtd",,$C772 &amp; $D772 &amp; ":" &amp; B$1)</f>
        <v>BOB</v>
      </c>
      <c r="C772" s="3">
        <v>5162</v>
      </c>
      <c r="D772" t="s">
        <v>326</v>
      </c>
      <c r="E772" s="3" t="str">
        <f>RTD("ice.rtd",,$C772 &amp; $D772 &amp; ":" &amp; E$1)</f>
        <v>Dec26</v>
      </c>
      <c r="F772" s="3" t="str">
        <f>ICE[[#This Row],[Prod]]&amp;ICE[[#This Row],[Strip]]</f>
        <v>fo35brxmtDec26</v>
      </c>
      <c r="G772" s="18">
        <f>RTD("ice.rtd",,$C772 &amp; $D772 &amp; ":" &amp; G$1)</f>
        <v>-10.25</v>
      </c>
      <c r="H772" s="18">
        <f>RTD("ice.rtd",,$C772 &amp; $D772 &amp; ":" &amp; H$1)</f>
        <v>-9.15</v>
      </c>
      <c r="I772" s="18" t="str">
        <f>RTD("ice.rtd",,$C772 &amp; $D772 &amp; ":" &amp; I$1)</f>
        <v/>
      </c>
      <c r="J772" s="14" t="str">
        <f>IFERROR(MOD(RTD("ice.rtd",,$C772 &amp; $D772 &amp; ":" &amp; J$1), 1), "")</f>
        <v/>
      </c>
      <c r="K772" s="18" t="str">
        <f>RTD("ice.rtd",,$C772 &amp; $D772 &amp; ":" &amp; K$1)</f>
        <v/>
      </c>
      <c r="L772" s="36" t="str">
        <f>RTD("ice.rtd",,$C772 &amp; $D772 &amp; ":" &amp; L$1)</f>
        <v/>
      </c>
      <c r="M772" s="14" t="str">
        <f>IFERROR(MOD(TIMEVALUE(RTD("ice.rtd",,$C772 &amp; $D772 &amp; ":" &amp; M$1)), 1), "")</f>
        <v/>
      </c>
      <c r="N772" s="36">
        <f>RTD("ice.rtd",,$C772 &amp; $D772 &amp; ":" &amp; N$1)</f>
        <v>0</v>
      </c>
      <c r="O772" s="36">
        <f>RTD("ice.rtd",,$C772 &amp; $D772 &amp; ":" &amp; O$1)</f>
        <v>0</v>
      </c>
      <c r="P7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2" s="14" t="str">
        <f>IF(ICE[[#This Row],[LastType]] = "Scrn", ICE[[#This Row],[LstDate]], IF(ICE[[#This Row],[LastType]] = "Blk", ICE[[#This Row],[LstBlkTime]], ""))</f>
        <v/>
      </c>
      <c r="R772" s="41" t="str">
        <f>IF(ICE[[#This Row],[LastType]] = "Scrn", ICE[[#This Row],[LstPrc]], IF(ICE[[#This Row],[LastType]] = "Blk", ICE[[#This Row],[LstBlkPrc]], ""))</f>
        <v/>
      </c>
      <c r="S772" s="36">
        <f>ICE[[#This Row],[Vol]]+ICE[[#This Row],[BlkVol]]</f>
        <v>0</v>
      </c>
      <c r="T772" s="36">
        <f>RTD("ice.rtd",,$C772 &amp; $D772 &amp; ":" &amp; T$1)</f>
        <v>463</v>
      </c>
      <c r="U772" s="18">
        <f>RTD("ice.rtd",,$C772 &amp; $D772 &amp; ":" &amp; U$1)</f>
        <v>-9.6342999999999996</v>
      </c>
      <c r="V7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-10.25 / -9.15 </v>
      </c>
      <c r="W772" s="18" t="str">
        <f>IFERROR(IF(LEFT(ICE[[#This Row],[Tenor]], 1) = "B", RTD("esrtd",,$B772 &amp; " " &amp; ICE[[#This Row],[Tenor]] &amp; "-IEU", W$1), RTD("esrtd",,$B772 &amp; " " &amp; VLOOKUP(MONTH(ICE[[#This Row],[Strip]]), MthRef[], 2, 0) &amp; RIGHT(YEAR(ICE[[#This Row],[Strip]]), 2) &amp; "-IEU", W$1)), "")</f>
        <v/>
      </c>
      <c r="X772" s="36"/>
    </row>
    <row r="773" spans="1:24" x14ac:dyDescent="0.25">
      <c r="A773" s="37" t="s">
        <v>830</v>
      </c>
      <c r="B773" s="3" t="str">
        <f>RTD("ice.rtd",,$C773 &amp; $D773 &amp; ":" &amp; B$1)</f>
        <v>BOB</v>
      </c>
      <c r="C773" s="3">
        <v>5162</v>
      </c>
      <c r="D773" t="s">
        <v>794</v>
      </c>
      <c r="E773" s="3" t="str">
        <f>RTD("ice.rtd",,$C773 &amp; $D773 &amp; ":" &amp; E$1)</f>
        <v>Jan27</v>
      </c>
      <c r="F773" s="3" t="str">
        <f>ICE[[#This Row],[Prod]]&amp;ICE[[#This Row],[Strip]]</f>
        <v>fo35brxmtJan27</v>
      </c>
      <c r="G773" s="18" t="str">
        <f>RTD("ice.rtd",,$C773 &amp; $D773 &amp; ":" &amp; G$1)</f>
        <v/>
      </c>
      <c r="H773" s="18" t="str">
        <f>RTD("ice.rtd",,$C773 &amp; $D773 &amp; ":" &amp; H$1)</f>
        <v/>
      </c>
      <c r="I773" s="18" t="str">
        <f>RTD("ice.rtd",,$C773 &amp; $D773 &amp; ":" &amp; I$1)</f>
        <v/>
      </c>
      <c r="J773" s="14" t="str">
        <f>IFERROR(MOD(RTD("ice.rtd",,$C773 &amp; $D773 &amp; ":" &amp; J$1), 1), "")</f>
        <v/>
      </c>
      <c r="K773" s="18" t="str">
        <f>RTD("ice.rtd",,$C773 &amp; $D773 &amp; ":" &amp; K$1)</f>
        <v/>
      </c>
      <c r="L773" s="36" t="str">
        <f>RTD("ice.rtd",,$C773 &amp; $D773 &amp; ":" &amp; L$1)</f>
        <v/>
      </c>
      <c r="M773" s="14" t="str">
        <f>IFERROR(MOD(TIMEVALUE(RTD("ice.rtd",,$C773 &amp; $D773 &amp; ":" &amp; M$1)), 1), "")</f>
        <v/>
      </c>
      <c r="N773" s="36">
        <f>RTD("ice.rtd",,$C773 &amp; $D773 &amp; ":" &amp; N$1)</f>
        <v>0</v>
      </c>
      <c r="O773" s="36">
        <f>RTD("ice.rtd",,$C773 &amp; $D773 &amp; ":" &amp; O$1)</f>
        <v>0</v>
      </c>
      <c r="P7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3" s="14" t="str">
        <f>IF(ICE[[#This Row],[LastType]] = "Scrn", ICE[[#This Row],[LstDate]], IF(ICE[[#This Row],[LastType]] = "Blk", ICE[[#This Row],[LstBlkTime]], ""))</f>
        <v/>
      </c>
      <c r="R773" s="41" t="str">
        <f>IF(ICE[[#This Row],[LastType]] = "Scrn", ICE[[#This Row],[LstPrc]], IF(ICE[[#This Row],[LastType]] = "Blk", ICE[[#This Row],[LstBlkPrc]], ""))</f>
        <v/>
      </c>
      <c r="S773" s="36">
        <f>ICE[[#This Row],[Vol]]+ICE[[#This Row],[BlkVol]]</f>
        <v>0</v>
      </c>
      <c r="T773" s="36">
        <f>RTD("ice.rtd",,$C773 &amp; $D773 &amp; ":" &amp; T$1)</f>
        <v>279</v>
      </c>
      <c r="U773" s="18">
        <f>RTD("ice.rtd",,$C773 &amp; $D773 &amp; ":" &amp; U$1)</f>
        <v>-9.0707000000000004</v>
      </c>
      <c r="V7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73" s="18" t="str">
        <f>IFERROR(IF(LEFT(ICE[[#This Row],[Tenor]], 1) = "B", RTD("esrtd",,$B773 &amp; " " &amp; ICE[[#This Row],[Tenor]] &amp; "-IEU", W$1), RTD("esrtd",,$B773 &amp; " " &amp; VLOOKUP(MONTH(ICE[[#This Row],[Strip]]), MthRef[], 2, 0) &amp; RIGHT(YEAR(ICE[[#This Row],[Strip]]), 2) &amp; "-IEU", W$1)), "")</f>
        <v/>
      </c>
      <c r="X773" s="36"/>
    </row>
    <row r="774" spans="1:24" x14ac:dyDescent="0.25">
      <c r="A774" s="37" t="s">
        <v>830</v>
      </c>
      <c r="B774" s="3" t="str">
        <f>RTD("ice.rtd",,$C774 &amp; $D774 &amp; ":" &amp; B$1)</f>
        <v>BOB</v>
      </c>
      <c r="C774" s="3">
        <v>5162</v>
      </c>
      <c r="D774" t="s">
        <v>795</v>
      </c>
      <c r="E774" s="3" t="str">
        <f>RTD("ice.rtd",,$C774 &amp; $D774 &amp; ":" &amp; E$1)</f>
        <v>Feb27</v>
      </c>
      <c r="F774" s="3" t="str">
        <f>ICE[[#This Row],[Prod]]&amp;ICE[[#This Row],[Strip]]</f>
        <v>fo35brxmtFeb27</v>
      </c>
      <c r="G774" s="18" t="str">
        <f>RTD("ice.rtd",,$C774 &amp; $D774 &amp; ":" &amp; G$1)</f>
        <v/>
      </c>
      <c r="H774" s="18" t="str">
        <f>RTD("ice.rtd",,$C774 &amp; $D774 &amp; ":" &amp; H$1)</f>
        <v/>
      </c>
      <c r="I774" s="18" t="str">
        <f>RTD("ice.rtd",,$C774 &amp; $D774 &amp; ":" &amp; I$1)</f>
        <v/>
      </c>
      <c r="J774" s="14" t="str">
        <f>IFERROR(MOD(RTD("ice.rtd",,$C774 &amp; $D774 &amp; ":" &amp; J$1), 1), "")</f>
        <v/>
      </c>
      <c r="K774" s="18" t="str">
        <f>RTD("ice.rtd",,$C774 &amp; $D774 &amp; ":" &amp; K$1)</f>
        <v/>
      </c>
      <c r="L774" s="36" t="str">
        <f>RTD("ice.rtd",,$C774 &amp; $D774 &amp; ":" &amp; L$1)</f>
        <v/>
      </c>
      <c r="M774" s="14" t="str">
        <f>IFERROR(MOD(TIMEVALUE(RTD("ice.rtd",,$C774 &amp; $D774 &amp; ":" &amp; M$1)), 1), "")</f>
        <v/>
      </c>
      <c r="N774" s="36">
        <f>RTD("ice.rtd",,$C774 &amp; $D774 &amp; ":" &amp; N$1)</f>
        <v>0</v>
      </c>
      <c r="O774" s="36">
        <f>RTD("ice.rtd",,$C774 &amp; $D774 &amp; ":" &amp; O$1)</f>
        <v>0</v>
      </c>
      <c r="P7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4" s="14" t="str">
        <f>IF(ICE[[#This Row],[LastType]] = "Scrn", ICE[[#This Row],[LstDate]], IF(ICE[[#This Row],[LastType]] = "Blk", ICE[[#This Row],[LstBlkTime]], ""))</f>
        <v/>
      </c>
      <c r="R774" s="41" t="str">
        <f>IF(ICE[[#This Row],[LastType]] = "Scrn", ICE[[#This Row],[LstPrc]], IF(ICE[[#This Row],[LastType]] = "Blk", ICE[[#This Row],[LstBlkPrc]], ""))</f>
        <v/>
      </c>
      <c r="S774" s="36">
        <f>ICE[[#This Row],[Vol]]+ICE[[#This Row],[BlkVol]]</f>
        <v>0</v>
      </c>
      <c r="T774" s="36">
        <f>RTD("ice.rtd",,$C774 &amp; $D774 &amp; ":" &amp; T$1)</f>
        <v>285</v>
      </c>
      <c r="U774" s="18">
        <f>RTD("ice.rtd",,$C774 &amp; $D774 &amp; ":" &amp; U$1)</f>
        <v>-8.6094000000000008</v>
      </c>
      <c r="V7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74" s="18" t="str">
        <f>IFERROR(IF(LEFT(ICE[[#This Row],[Tenor]], 1) = "B", RTD("esrtd",,$B774 &amp; " " &amp; ICE[[#This Row],[Tenor]] &amp; "-IEU", W$1), RTD("esrtd",,$B774 &amp; " " &amp; VLOOKUP(MONTH(ICE[[#This Row],[Strip]]), MthRef[], 2, 0) &amp; RIGHT(YEAR(ICE[[#This Row],[Strip]]), 2) &amp; "-IEU", W$1)), "")</f>
        <v/>
      </c>
      <c r="X774" s="36"/>
    </row>
    <row r="775" spans="1:24" x14ac:dyDescent="0.25">
      <c r="A775" s="37" t="s">
        <v>830</v>
      </c>
      <c r="B775" s="3" t="str">
        <f>RTD("ice.rtd",,$C775 &amp; $D775 &amp; ":" &amp; B$1)</f>
        <v>BOB</v>
      </c>
      <c r="C775" s="3">
        <v>5162</v>
      </c>
      <c r="D775" t="s">
        <v>113</v>
      </c>
      <c r="E775" s="3" t="str">
        <f>RTD("ice.rtd",,$C775 &amp; $D775 &amp; ":" &amp; E$1)</f>
        <v>Mar27</v>
      </c>
      <c r="F775" s="3" t="str">
        <f>ICE[[#This Row],[Prod]]&amp;ICE[[#This Row],[Strip]]</f>
        <v>fo35brxmtMar27</v>
      </c>
      <c r="G775" s="18" t="str">
        <f>RTD("ice.rtd",,$C775 &amp; $D775 &amp; ":" &amp; G$1)</f>
        <v/>
      </c>
      <c r="H775" s="18" t="str">
        <f>RTD("ice.rtd",,$C775 &amp; $D775 &amp; ":" &amp; H$1)</f>
        <v/>
      </c>
      <c r="I775" s="18" t="str">
        <f>RTD("ice.rtd",,$C775 &amp; $D775 &amp; ":" &amp; I$1)</f>
        <v/>
      </c>
      <c r="J775" s="14" t="str">
        <f>IFERROR(MOD(RTD("ice.rtd",,$C775 &amp; $D775 &amp; ":" &amp; J$1), 1), "")</f>
        <v/>
      </c>
      <c r="K775" s="18" t="str">
        <f>RTD("ice.rtd",,$C775 &amp; $D775 &amp; ":" &amp; K$1)</f>
        <v/>
      </c>
      <c r="L775" s="36" t="str">
        <f>RTD("ice.rtd",,$C775 &amp; $D775 &amp; ":" &amp; L$1)</f>
        <v/>
      </c>
      <c r="M775" s="14" t="str">
        <f>IFERROR(MOD(TIMEVALUE(RTD("ice.rtd",,$C775 &amp; $D775 &amp; ":" &amp; M$1)), 1), "")</f>
        <v/>
      </c>
      <c r="N775" s="36">
        <f>RTD("ice.rtd",,$C775 &amp; $D775 &amp; ":" &amp; N$1)</f>
        <v>0</v>
      </c>
      <c r="O775" s="36">
        <f>RTD("ice.rtd",,$C775 &amp; $D775 &amp; ":" &amp; O$1)</f>
        <v>0</v>
      </c>
      <c r="P7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5" s="14" t="str">
        <f>IF(ICE[[#This Row],[LastType]] = "Scrn", ICE[[#This Row],[LstDate]], IF(ICE[[#This Row],[LastType]] = "Blk", ICE[[#This Row],[LstBlkTime]], ""))</f>
        <v/>
      </c>
      <c r="R775" s="41" t="str">
        <f>IF(ICE[[#This Row],[LastType]] = "Scrn", ICE[[#This Row],[LstPrc]], IF(ICE[[#This Row],[LastType]] = "Blk", ICE[[#This Row],[LstBlkPrc]], ""))</f>
        <v/>
      </c>
      <c r="S775" s="36">
        <f>ICE[[#This Row],[Vol]]+ICE[[#This Row],[BlkVol]]</f>
        <v>0</v>
      </c>
      <c r="T775" s="36">
        <f>RTD("ice.rtd",,$C775 &amp; $D775 &amp; ":" &amp; T$1)</f>
        <v>277</v>
      </c>
      <c r="U775" s="18">
        <f>RTD("ice.rtd",,$C775 &amp; $D775 &amp; ":" &amp; U$1)</f>
        <v>-8.2018000000000004</v>
      </c>
      <c r="V7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75" s="18" t="str">
        <f>IFERROR(IF(LEFT(ICE[[#This Row],[Tenor]], 1) = "B", RTD("esrtd",,$B775 &amp; " " &amp; ICE[[#This Row],[Tenor]] &amp; "-IEU", W$1), RTD("esrtd",,$B775 &amp; " " &amp; VLOOKUP(MONTH(ICE[[#This Row],[Strip]]), MthRef[], 2, 0) &amp; RIGHT(YEAR(ICE[[#This Row],[Strip]]), 2) &amp; "-IEU", W$1)), "")</f>
        <v/>
      </c>
      <c r="X775" s="36"/>
    </row>
    <row r="776" spans="1:24" x14ac:dyDescent="0.25">
      <c r="A776" s="37" t="s">
        <v>830</v>
      </c>
      <c r="B776" s="3" t="str">
        <f>RTD("ice.rtd",,$C776 &amp; $D776 &amp; ":" &amp; B$1)</f>
        <v>BOB</v>
      </c>
      <c r="C776" s="3">
        <v>5162</v>
      </c>
      <c r="D776" t="s">
        <v>796</v>
      </c>
      <c r="E776" s="3" t="str">
        <f>RTD("ice.rtd",,$C776 &amp; $D776 &amp; ":" &amp; E$1)</f>
        <v>Apr27</v>
      </c>
      <c r="F776" s="3" t="str">
        <f>ICE[[#This Row],[Prod]]&amp;ICE[[#This Row],[Strip]]</f>
        <v>fo35brxmtApr27</v>
      </c>
      <c r="G776" s="18" t="str">
        <f>RTD("ice.rtd",,$C776 &amp; $D776 &amp; ":" &amp; G$1)</f>
        <v/>
      </c>
      <c r="H776" s="18" t="str">
        <f>RTD("ice.rtd",,$C776 &amp; $D776 &amp; ":" &amp; H$1)</f>
        <v/>
      </c>
      <c r="I776" s="18" t="str">
        <f>RTD("ice.rtd",,$C776 &amp; $D776 &amp; ":" &amp; I$1)</f>
        <v/>
      </c>
      <c r="J776" s="14" t="str">
        <f>IFERROR(MOD(RTD("ice.rtd",,$C776 &amp; $D776 &amp; ":" &amp; J$1), 1), "")</f>
        <v/>
      </c>
      <c r="K776" s="18" t="str">
        <f>RTD("ice.rtd",,$C776 &amp; $D776 &amp; ":" &amp; K$1)</f>
        <v/>
      </c>
      <c r="L776" s="36" t="str">
        <f>RTD("ice.rtd",,$C776 &amp; $D776 &amp; ":" &amp; L$1)</f>
        <v/>
      </c>
      <c r="M776" s="14" t="str">
        <f>IFERROR(MOD(TIMEVALUE(RTD("ice.rtd",,$C776 &amp; $D776 &amp; ":" &amp; M$1)), 1), "")</f>
        <v/>
      </c>
      <c r="N776" s="36">
        <f>RTD("ice.rtd",,$C776 &amp; $D776 &amp; ":" &amp; N$1)</f>
        <v>0</v>
      </c>
      <c r="O776" s="36">
        <f>RTD("ice.rtd",,$C776 &amp; $D776 &amp; ":" &amp; O$1)</f>
        <v>0</v>
      </c>
      <c r="P7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6" s="14" t="str">
        <f>IF(ICE[[#This Row],[LastType]] = "Scrn", ICE[[#This Row],[LstDate]], IF(ICE[[#This Row],[LastType]] = "Blk", ICE[[#This Row],[LstBlkTime]], ""))</f>
        <v/>
      </c>
      <c r="R776" s="41" t="str">
        <f>IF(ICE[[#This Row],[LastType]] = "Scrn", ICE[[#This Row],[LstPrc]], IF(ICE[[#This Row],[LastType]] = "Blk", ICE[[#This Row],[LstBlkPrc]], ""))</f>
        <v/>
      </c>
      <c r="S776" s="36">
        <f>ICE[[#This Row],[Vol]]+ICE[[#This Row],[BlkVol]]</f>
        <v>0</v>
      </c>
      <c r="T776" s="36">
        <f>RTD("ice.rtd",,$C776 &amp; $D776 &amp; ":" &amp; T$1)</f>
        <v>97</v>
      </c>
      <c r="U776" s="18">
        <f>RTD("ice.rtd",,$C776 &amp; $D776 &amp; ":" &amp; U$1)</f>
        <v>-7.8093000000000004</v>
      </c>
      <c r="V7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76" s="18" t="str">
        <f>IFERROR(IF(LEFT(ICE[[#This Row],[Tenor]], 1) = "B", RTD("esrtd",,$B776 &amp; " " &amp; ICE[[#This Row],[Tenor]] &amp; "-IEU", W$1), RTD("esrtd",,$B776 &amp; " " &amp; VLOOKUP(MONTH(ICE[[#This Row],[Strip]]), MthRef[], 2, 0) &amp; RIGHT(YEAR(ICE[[#This Row],[Strip]]), 2) &amp; "-IEU", W$1)), "")</f>
        <v/>
      </c>
      <c r="X776" s="36"/>
    </row>
    <row r="777" spans="1:24" x14ac:dyDescent="0.25">
      <c r="A777" s="37" t="s">
        <v>830</v>
      </c>
      <c r="B777" s="3" t="str">
        <f>RTD("ice.rtd",,$C777 &amp; $D777 &amp; ":" &amp; B$1)</f>
        <v>BOB</v>
      </c>
      <c r="C777" s="3">
        <v>5162</v>
      </c>
      <c r="D777" t="s">
        <v>797</v>
      </c>
      <c r="E777" s="3" t="str">
        <f>RTD("ice.rtd",,$C777 &amp; $D777 &amp; ":" &amp; E$1)</f>
        <v>May27</v>
      </c>
      <c r="F777" s="3" t="str">
        <f>ICE[[#This Row],[Prod]]&amp;ICE[[#This Row],[Strip]]</f>
        <v>fo35brxmtMay27</v>
      </c>
      <c r="G777" s="18" t="str">
        <f>RTD("ice.rtd",,$C777 &amp; $D777 &amp; ":" &amp; G$1)</f>
        <v/>
      </c>
      <c r="H777" s="18" t="str">
        <f>RTD("ice.rtd",,$C777 &amp; $D777 &amp; ":" &amp; H$1)</f>
        <v/>
      </c>
      <c r="I777" s="18" t="str">
        <f>RTD("ice.rtd",,$C777 &amp; $D777 &amp; ":" &amp; I$1)</f>
        <v/>
      </c>
      <c r="J777" s="14" t="str">
        <f>IFERROR(MOD(RTD("ice.rtd",,$C777 &amp; $D777 &amp; ":" &amp; J$1), 1), "")</f>
        <v/>
      </c>
      <c r="K777" s="18" t="str">
        <f>RTD("ice.rtd",,$C777 &amp; $D777 &amp; ":" &amp; K$1)</f>
        <v/>
      </c>
      <c r="L777" s="36" t="str">
        <f>RTD("ice.rtd",,$C777 &amp; $D777 &amp; ":" &amp; L$1)</f>
        <v/>
      </c>
      <c r="M777" s="14" t="str">
        <f>IFERROR(MOD(TIMEVALUE(RTD("ice.rtd",,$C777 &amp; $D777 &amp; ":" &amp; M$1)), 1), "")</f>
        <v/>
      </c>
      <c r="N777" s="36">
        <f>RTD("ice.rtd",,$C777 &amp; $D777 &amp; ":" &amp; N$1)</f>
        <v>0</v>
      </c>
      <c r="O777" s="36">
        <f>RTD("ice.rtd",,$C777 &amp; $D777 &amp; ":" &amp; O$1)</f>
        <v>0</v>
      </c>
      <c r="P7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7" s="14" t="str">
        <f>IF(ICE[[#This Row],[LastType]] = "Scrn", ICE[[#This Row],[LstDate]], IF(ICE[[#This Row],[LastType]] = "Blk", ICE[[#This Row],[LstBlkTime]], ""))</f>
        <v/>
      </c>
      <c r="R777" s="41" t="str">
        <f>IF(ICE[[#This Row],[LastType]] = "Scrn", ICE[[#This Row],[LstPrc]], IF(ICE[[#This Row],[LastType]] = "Blk", ICE[[#This Row],[LstBlkPrc]], ""))</f>
        <v/>
      </c>
      <c r="S777" s="36">
        <f>ICE[[#This Row],[Vol]]+ICE[[#This Row],[BlkVol]]</f>
        <v>0</v>
      </c>
      <c r="T777" s="36">
        <f>RTD("ice.rtd",,$C777 &amp; $D777 &amp; ":" &amp; T$1)</f>
        <v>102</v>
      </c>
      <c r="U777" s="18">
        <f>RTD("ice.rtd",,$C777 &amp; $D777 &amp; ":" &amp; U$1)</f>
        <v>-7.5005000000000006</v>
      </c>
      <c r="V7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77" s="18" t="str">
        <f>IFERROR(IF(LEFT(ICE[[#This Row],[Tenor]], 1) = "B", RTD("esrtd",,$B777 &amp; " " &amp; ICE[[#This Row],[Tenor]] &amp; "-IEU", W$1), RTD("esrtd",,$B777 &amp; " " &amp; VLOOKUP(MONTH(ICE[[#This Row],[Strip]]), MthRef[], 2, 0) &amp; RIGHT(YEAR(ICE[[#This Row],[Strip]]), 2) &amp; "-IEU", W$1)), "")</f>
        <v/>
      </c>
      <c r="X777" s="36"/>
    </row>
    <row r="778" spans="1:24" x14ac:dyDescent="0.25">
      <c r="A778" s="37" t="s">
        <v>830</v>
      </c>
      <c r="B778" s="3" t="str">
        <f>RTD("ice.rtd",,$C778 &amp; $D778 &amp; ":" &amp; B$1)</f>
        <v>BOB</v>
      </c>
      <c r="C778" s="3">
        <v>5162</v>
      </c>
      <c r="D778" t="s">
        <v>798</v>
      </c>
      <c r="E778" s="3" t="str">
        <f>RTD("ice.rtd",,$C778 &amp; $D778 &amp; ":" &amp; E$1)</f>
        <v>Jun27</v>
      </c>
      <c r="F778" s="3" t="str">
        <f>ICE[[#This Row],[Prod]]&amp;ICE[[#This Row],[Strip]]</f>
        <v>fo35brxmtJun27</v>
      </c>
      <c r="G778" s="18" t="str">
        <f>RTD("ice.rtd",,$C778 &amp; $D778 &amp; ":" &amp; G$1)</f>
        <v/>
      </c>
      <c r="H778" s="18" t="str">
        <f>RTD("ice.rtd",,$C778 &amp; $D778 &amp; ":" &amp; H$1)</f>
        <v/>
      </c>
      <c r="I778" s="18" t="str">
        <f>RTD("ice.rtd",,$C778 &amp; $D778 &amp; ":" &amp; I$1)</f>
        <v/>
      </c>
      <c r="J778" s="14" t="str">
        <f>IFERROR(MOD(RTD("ice.rtd",,$C778 &amp; $D778 &amp; ":" &amp; J$1), 1), "")</f>
        <v/>
      </c>
      <c r="K778" s="18" t="str">
        <f>RTD("ice.rtd",,$C778 &amp; $D778 &amp; ":" &amp; K$1)</f>
        <v/>
      </c>
      <c r="L778" s="36" t="str">
        <f>RTD("ice.rtd",,$C778 &amp; $D778 &amp; ":" &amp; L$1)</f>
        <v/>
      </c>
      <c r="M778" s="14" t="str">
        <f>IFERROR(MOD(TIMEVALUE(RTD("ice.rtd",,$C778 &amp; $D778 &amp; ":" &amp; M$1)), 1), "")</f>
        <v/>
      </c>
      <c r="N778" s="36">
        <f>RTD("ice.rtd",,$C778 &amp; $D778 &amp; ":" &amp; N$1)</f>
        <v>0</v>
      </c>
      <c r="O778" s="36">
        <f>RTD("ice.rtd",,$C778 &amp; $D778 &amp; ":" &amp; O$1)</f>
        <v>0</v>
      </c>
      <c r="P7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8" s="14" t="str">
        <f>IF(ICE[[#This Row],[LastType]] = "Scrn", ICE[[#This Row],[LstDate]], IF(ICE[[#This Row],[LastType]] = "Blk", ICE[[#This Row],[LstBlkTime]], ""))</f>
        <v/>
      </c>
      <c r="R778" s="41" t="str">
        <f>IF(ICE[[#This Row],[LastType]] = "Scrn", ICE[[#This Row],[LstPrc]], IF(ICE[[#This Row],[LastType]] = "Blk", ICE[[#This Row],[LstBlkPrc]], ""))</f>
        <v/>
      </c>
      <c r="S778" s="36">
        <f>ICE[[#This Row],[Vol]]+ICE[[#This Row],[BlkVol]]</f>
        <v>0</v>
      </c>
      <c r="T778" s="36">
        <f>RTD("ice.rtd",,$C778 &amp; $D778 &amp; ":" &amp; T$1)</f>
        <v>97</v>
      </c>
      <c r="U778" s="18">
        <f>RTD("ice.rtd",,$C778 &amp; $D778 &amp; ":" &amp; U$1)</f>
        <v>-7.4603999999999999</v>
      </c>
      <c r="V7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78" s="18" t="str">
        <f>IFERROR(IF(LEFT(ICE[[#This Row],[Tenor]], 1) = "B", RTD("esrtd",,$B778 &amp; " " &amp; ICE[[#This Row],[Tenor]] &amp; "-IEU", W$1), RTD("esrtd",,$B778 &amp; " " &amp; VLOOKUP(MONTH(ICE[[#This Row],[Strip]]), MthRef[], 2, 0) &amp; RIGHT(YEAR(ICE[[#This Row],[Strip]]), 2) &amp; "-IEU", W$1)), "")</f>
        <v/>
      </c>
      <c r="X778" s="36"/>
    </row>
    <row r="779" spans="1:24" x14ac:dyDescent="0.25">
      <c r="A779" s="37" t="s">
        <v>830</v>
      </c>
      <c r="B779" s="3" t="str">
        <f>RTD("ice.rtd",,$C779 &amp; $D779 &amp; ":" &amp; B$1)</f>
        <v>BOB</v>
      </c>
      <c r="C779" s="3">
        <v>5162</v>
      </c>
      <c r="D779" t="s">
        <v>799</v>
      </c>
      <c r="E779" s="3" t="str">
        <f>RTD("ice.rtd",,$C779 &amp; $D779 &amp; ":" &amp; E$1)</f>
        <v>Jul27</v>
      </c>
      <c r="F779" s="3" t="str">
        <f>ICE[[#This Row],[Prod]]&amp;ICE[[#This Row],[Strip]]</f>
        <v>fo35brxmtJul27</v>
      </c>
      <c r="G779" s="18">
        <f>RTD("ice.rtd",,$C779 &amp; $D779 &amp; ":" &amp; G$1)</f>
        <v>-8.48</v>
      </c>
      <c r="H779" s="18" t="str">
        <f>RTD("ice.rtd",,$C779 &amp; $D779 &amp; ":" &amp; H$1)</f>
        <v/>
      </c>
      <c r="I779" s="18" t="str">
        <f>RTD("ice.rtd",,$C779 &amp; $D779 &amp; ":" &amp; I$1)</f>
        <v/>
      </c>
      <c r="J779" s="14" t="str">
        <f>IFERROR(MOD(RTD("ice.rtd",,$C779 &amp; $D779 &amp; ":" &amp; J$1), 1), "")</f>
        <v/>
      </c>
      <c r="K779" s="18" t="str">
        <f>RTD("ice.rtd",,$C779 &amp; $D779 &amp; ":" &amp; K$1)</f>
        <v/>
      </c>
      <c r="L779" s="36" t="str">
        <f>RTD("ice.rtd",,$C779 &amp; $D779 &amp; ":" &amp; L$1)</f>
        <v/>
      </c>
      <c r="M779" s="14" t="str">
        <f>IFERROR(MOD(TIMEVALUE(RTD("ice.rtd",,$C779 &amp; $D779 &amp; ":" &amp; M$1)), 1), "")</f>
        <v/>
      </c>
      <c r="N779" s="36">
        <f>RTD("ice.rtd",,$C779 &amp; $D779 &amp; ":" &amp; N$1)</f>
        <v>0</v>
      </c>
      <c r="O779" s="36">
        <f>RTD("ice.rtd",,$C779 &amp; $D779 &amp; ":" &amp; O$1)</f>
        <v>0</v>
      </c>
      <c r="P7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79" s="14" t="str">
        <f>IF(ICE[[#This Row],[LastType]] = "Scrn", ICE[[#This Row],[LstDate]], IF(ICE[[#This Row],[LastType]] = "Blk", ICE[[#This Row],[LstBlkTime]], ""))</f>
        <v/>
      </c>
      <c r="R779" s="41" t="str">
        <f>IF(ICE[[#This Row],[LastType]] = "Scrn", ICE[[#This Row],[LstPrc]], IF(ICE[[#This Row],[LastType]] = "Blk", ICE[[#This Row],[LstBlkPrc]], ""))</f>
        <v/>
      </c>
      <c r="S779" s="36">
        <f>ICE[[#This Row],[Vol]]+ICE[[#This Row],[BlkVol]]</f>
        <v>0</v>
      </c>
      <c r="T779" s="36">
        <f>RTD("ice.rtd",,$C779 &amp; $D779 &amp; ":" &amp; T$1)</f>
        <v>105</v>
      </c>
      <c r="U779" s="18">
        <f>RTD("ice.rtd",,$C779 &amp; $D779 &amp; ":" &amp; U$1)</f>
        <v>-7.5127000000000006</v>
      </c>
      <c r="V7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-8.48 /  </v>
      </c>
      <c r="W779" s="18" t="str">
        <f>IFERROR(IF(LEFT(ICE[[#This Row],[Tenor]], 1) = "B", RTD("esrtd",,$B779 &amp; " " &amp; ICE[[#This Row],[Tenor]] &amp; "-IEU", W$1), RTD("esrtd",,$B779 &amp; " " &amp; VLOOKUP(MONTH(ICE[[#This Row],[Strip]]), MthRef[], 2, 0) &amp; RIGHT(YEAR(ICE[[#This Row],[Strip]]), 2) &amp; "-IEU", W$1)), "")</f>
        <v/>
      </c>
      <c r="X779" s="36"/>
    </row>
    <row r="780" spans="1:24" x14ac:dyDescent="0.25">
      <c r="A780" s="37" t="s">
        <v>830</v>
      </c>
      <c r="B780" s="3" t="str">
        <f>RTD("ice.rtd",,$C780 &amp; $D780 &amp; ":" &amp; B$1)</f>
        <v>BOB</v>
      </c>
      <c r="C780" s="3">
        <v>5162</v>
      </c>
      <c r="D780" t="s">
        <v>800</v>
      </c>
      <c r="E780" s="3" t="str">
        <f>RTD("ice.rtd",,$C780 &amp; $D780 &amp; ":" &amp; E$1)</f>
        <v>Aug27</v>
      </c>
      <c r="F780" s="3" t="str">
        <f>ICE[[#This Row],[Prod]]&amp;ICE[[#This Row],[Strip]]</f>
        <v>fo35brxmtAug27</v>
      </c>
      <c r="G780" s="18" t="str">
        <f>RTD("ice.rtd",,$C780 &amp; $D780 &amp; ":" &amp; G$1)</f>
        <v/>
      </c>
      <c r="H780" s="18" t="str">
        <f>RTD("ice.rtd",,$C780 &amp; $D780 &amp; ":" &amp; H$1)</f>
        <v/>
      </c>
      <c r="I780" s="18" t="str">
        <f>RTD("ice.rtd",,$C780 &amp; $D780 &amp; ":" &amp; I$1)</f>
        <v/>
      </c>
      <c r="J780" s="14" t="str">
        <f>IFERROR(MOD(RTD("ice.rtd",,$C780 &amp; $D780 &amp; ":" &amp; J$1), 1), "")</f>
        <v/>
      </c>
      <c r="K780" s="18" t="str">
        <f>RTD("ice.rtd",,$C780 &amp; $D780 &amp; ":" &amp; K$1)</f>
        <v/>
      </c>
      <c r="L780" s="36" t="str">
        <f>RTD("ice.rtd",,$C780 &amp; $D780 &amp; ":" &amp; L$1)</f>
        <v/>
      </c>
      <c r="M780" s="14" t="str">
        <f>IFERROR(MOD(TIMEVALUE(RTD("ice.rtd",,$C780 &amp; $D780 &amp; ":" &amp; M$1)), 1), "")</f>
        <v/>
      </c>
      <c r="N780" s="36">
        <f>RTD("ice.rtd",,$C780 &amp; $D780 &amp; ":" &amp; N$1)</f>
        <v>0</v>
      </c>
      <c r="O780" s="36">
        <f>RTD("ice.rtd",,$C780 &amp; $D780 &amp; ":" &amp; O$1)</f>
        <v>0</v>
      </c>
      <c r="P7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0" s="14" t="str">
        <f>IF(ICE[[#This Row],[LastType]] = "Scrn", ICE[[#This Row],[LstDate]], IF(ICE[[#This Row],[LastType]] = "Blk", ICE[[#This Row],[LstBlkTime]], ""))</f>
        <v/>
      </c>
      <c r="R780" s="41" t="str">
        <f>IF(ICE[[#This Row],[LastType]] = "Scrn", ICE[[#This Row],[LstPrc]], IF(ICE[[#This Row],[LastType]] = "Blk", ICE[[#This Row],[LstBlkPrc]], ""))</f>
        <v/>
      </c>
      <c r="S780" s="36">
        <f>ICE[[#This Row],[Vol]]+ICE[[#This Row],[BlkVol]]</f>
        <v>0</v>
      </c>
      <c r="T780" s="36">
        <f>RTD("ice.rtd",,$C780 &amp; $D780 &amp; ":" &amp; T$1)</f>
        <v>105</v>
      </c>
      <c r="U780" s="18">
        <f>RTD("ice.rtd",,$C780 &amp; $D780 &amp; ":" &amp; U$1)</f>
        <v>-7.6844000000000001</v>
      </c>
      <c r="V7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0" s="18" t="str">
        <f>IFERROR(IF(LEFT(ICE[[#This Row],[Tenor]], 1) = "B", RTD("esrtd",,$B780 &amp; " " &amp; ICE[[#This Row],[Tenor]] &amp; "-IEU", W$1), RTD("esrtd",,$B780 &amp; " " &amp; VLOOKUP(MONTH(ICE[[#This Row],[Strip]]), MthRef[], 2, 0) &amp; RIGHT(YEAR(ICE[[#This Row],[Strip]]), 2) &amp; "-IEU", W$1)), "")</f>
        <v/>
      </c>
      <c r="X780" s="36"/>
    </row>
    <row r="781" spans="1:24" x14ac:dyDescent="0.25">
      <c r="A781" s="37" t="s">
        <v>830</v>
      </c>
      <c r="B781" s="3" t="str">
        <f>RTD("ice.rtd",,$C781 &amp; $D781 &amp; ":" &amp; B$1)</f>
        <v>BOB</v>
      </c>
      <c r="C781" s="3">
        <v>5162</v>
      </c>
      <c r="D781" t="s">
        <v>801</v>
      </c>
      <c r="E781" s="3" t="str">
        <f>RTD("ice.rtd",,$C781 &amp; $D781 &amp; ":" &amp; E$1)</f>
        <v>Sep27</v>
      </c>
      <c r="F781" s="3" t="str">
        <f>ICE[[#This Row],[Prod]]&amp;ICE[[#This Row],[Strip]]</f>
        <v>fo35brxmtSep27</v>
      </c>
      <c r="G781" s="18" t="str">
        <f>RTD("ice.rtd",,$C781 &amp; $D781 &amp; ":" &amp; G$1)</f>
        <v/>
      </c>
      <c r="H781" s="18" t="str">
        <f>RTD("ice.rtd",,$C781 &amp; $D781 &amp; ":" &amp; H$1)</f>
        <v/>
      </c>
      <c r="I781" s="18" t="str">
        <f>RTD("ice.rtd",,$C781 &amp; $D781 &amp; ":" &amp; I$1)</f>
        <v/>
      </c>
      <c r="J781" s="14" t="str">
        <f>IFERROR(MOD(RTD("ice.rtd",,$C781 &amp; $D781 &amp; ":" &amp; J$1), 1), "")</f>
        <v/>
      </c>
      <c r="K781" s="18" t="str">
        <f>RTD("ice.rtd",,$C781 &amp; $D781 &amp; ":" &amp; K$1)</f>
        <v/>
      </c>
      <c r="L781" s="36" t="str">
        <f>RTD("ice.rtd",,$C781 &amp; $D781 &amp; ":" &amp; L$1)</f>
        <v/>
      </c>
      <c r="M781" s="14" t="str">
        <f>IFERROR(MOD(TIMEVALUE(RTD("ice.rtd",,$C781 &amp; $D781 &amp; ":" &amp; M$1)), 1), "")</f>
        <v/>
      </c>
      <c r="N781" s="36">
        <f>RTD("ice.rtd",,$C781 &amp; $D781 &amp; ":" &amp; N$1)</f>
        <v>0</v>
      </c>
      <c r="O781" s="36">
        <f>RTD("ice.rtd",,$C781 &amp; $D781 &amp; ":" &amp; O$1)</f>
        <v>0</v>
      </c>
      <c r="P7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1" s="14" t="str">
        <f>IF(ICE[[#This Row],[LastType]] = "Scrn", ICE[[#This Row],[LstDate]], IF(ICE[[#This Row],[LastType]] = "Blk", ICE[[#This Row],[LstBlkTime]], ""))</f>
        <v/>
      </c>
      <c r="R781" s="41" t="str">
        <f>IF(ICE[[#This Row],[LastType]] = "Scrn", ICE[[#This Row],[LstPrc]], IF(ICE[[#This Row],[LastType]] = "Blk", ICE[[#This Row],[LstBlkPrc]], ""))</f>
        <v/>
      </c>
      <c r="S781" s="36">
        <f>ICE[[#This Row],[Vol]]+ICE[[#This Row],[BlkVol]]</f>
        <v>0</v>
      </c>
      <c r="T781" s="36">
        <f>RTD("ice.rtd",,$C781 &amp; $D781 &amp; ":" &amp; T$1)</f>
        <v>105</v>
      </c>
      <c r="U781" s="18">
        <f>RTD("ice.rtd",,$C781 &amp; $D781 &amp; ":" &amp; U$1)</f>
        <v>-7.9938000000000002</v>
      </c>
      <c r="V7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1" s="18" t="str">
        <f>IFERROR(IF(LEFT(ICE[[#This Row],[Tenor]], 1) = "B", RTD("esrtd",,$B781 &amp; " " &amp; ICE[[#This Row],[Tenor]] &amp; "-IEU", W$1), RTD("esrtd",,$B781 &amp; " " &amp; VLOOKUP(MONTH(ICE[[#This Row],[Strip]]), MthRef[], 2, 0) &amp; RIGHT(YEAR(ICE[[#This Row],[Strip]]), 2) &amp; "-IEU", W$1)), "")</f>
        <v/>
      </c>
      <c r="X781" s="36"/>
    </row>
    <row r="782" spans="1:24" x14ac:dyDescent="0.25">
      <c r="A782" s="37" t="s">
        <v>830</v>
      </c>
      <c r="B782" s="3" t="str">
        <f>RTD("ice.rtd",,$C782 &amp; $D782 &amp; ":" &amp; B$1)</f>
        <v>BOB</v>
      </c>
      <c r="C782" s="3">
        <v>5162</v>
      </c>
      <c r="D782" t="s">
        <v>802</v>
      </c>
      <c r="E782" s="3" t="str">
        <f>RTD("ice.rtd",,$C782 &amp; $D782 &amp; ":" &amp; E$1)</f>
        <v>Oct27</v>
      </c>
      <c r="F782" s="3" t="str">
        <f>ICE[[#This Row],[Prod]]&amp;ICE[[#This Row],[Strip]]</f>
        <v>fo35brxmtOct27</v>
      </c>
      <c r="G782" s="18" t="str">
        <f>RTD("ice.rtd",,$C782 &amp; $D782 &amp; ":" &amp; G$1)</f>
        <v/>
      </c>
      <c r="H782" s="18" t="str">
        <f>RTD("ice.rtd",,$C782 &amp; $D782 &amp; ":" &amp; H$1)</f>
        <v/>
      </c>
      <c r="I782" s="18" t="str">
        <f>RTD("ice.rtd",,$C782 &amp; $D782 &amp; ":" &amp; I$1)</f>
        <v/>
      </c>
      <c r="J782" s="14" t="str">
        <f>IFERROR(MOD(RTD("ice.rtd",,$C782 &amp; $D782 &amp; ":" &amp; J$1), 1), "")</f>
        <v/>
      </c>
      <c r="K782" s="18" t="str">
        <f>RTD("ice.rtd",,$C782 &amp; $D782 &amp; ":" &amp; K$1)</f>
        <v/>
      </c>
      <c r="L782" s="36" t="str">
        <f>RTD("ice.rtd",,$C782 &amp; $D782 &amp; ":" &amp; L$1)</f>
        <v/>
      </c>
      <c r="M782" s="14" t="str">
        <f>IFERROR(MOD(TIMEVALUE(RTD("ice.rtd",,$C782 &amp; $D782 &amp; ":" &amp; M$1)), 1), "")</f>
        <v/>
      </c>
      <c r="N782" s="36">
        <f>RTD("ice.rtd",,$C782 &amp; $D782 &amp; ":" &amp; N$1)</f>
        <v>0</v>
      </c>
      <c r="O782" s="36">
        <f>RTD("ice.rtd",,$C782 &amp; $D782 &amp; ":" &amp; O$1)</f>
        <v>0</v>
      </c>
      <c r="P7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2" s="14" t="str">
        <f>IF(ICE[[#This Row],[LastType]] = "Scrn", ICE[[#This Row],[LstDate]], IF(ICE[[#This Row],[LastType]] = "Blk", ICE[[#This Row],[LstBlkTime]], ""))</f>
        <v/>
      </c>
      <c r="R782" s="41" t="str">
        <f>IF(ICE[[#This Row],[LastType]] = "Scrn", ICE[[#This Row],[LstPrc]], IF(ICE[[#This Row],[LastType]] = "Blk", ICE[[#This Row],[LstBlkPrc]], ""))</f>
        <v/>
      </c>
      <c r="S782" s="36">
        <f>ICE[[#This Row],[Vol]]+ICE[[#This Row],[BlkVol]]</f>
        <v>0</v>
      </c>
      <c r="T782" s="36">
        <f>RTD("ice.rtd",,$C782 &amp; $D782 &amp; ":" &amp; T$1)</f>
        <v>119</v>
      </c>
      <c r="U782" s="18">
        <f>RTD("ice.rtd",,$C782 &amp; $D782 &amp; ":" &amp; U$1)</f>
        <v>-8.3806000000000012</v>
      </c>
      <c r="V7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2" s="18" t="str">
        <f>IFERROR(IF(LEFT(ICE[[#This Row],[Tenor]], 1) = "B", RTD("esrtd",,$B782 &amp; " " &amp; ICE[[#This Row],[Tenor]] &amp; "-IEU", W$1), RTD("esrtd",,$B782 &amp; " " &amp; VLOOKUP(MONTH(ICE[[#This Row],[Strip]]), MthRef[], 2, 0) &amp; RIGHT(YEAR(ICE[[#This Row],[Strip]]), 2) &amp; "-IEU", W$1)), "")</f>
        <v/>
      </c>
      <c r="X782" s="36"/>
    </row>
    <row r="783" spans="1:24" x14ac:dyDescent="0.25">
      <c r="A783" s="37" t="s">
        <v>830</v>
      </c>
      <c r="B783" s="3" t="str">
        <f>RTD("ice.rtd",,$C783 &amp; $D783 &amp; ":" &amp; B$1)</f>
        <v>BOB</v>
      </c>
      <c r="C783" s="3">
        <v>5162</v>
      </c>
      <c r="D783" t="s">
        <v>803</v>
      </c>
      <c r="E783" s="3" t="str">
        <f>RTD("ice.rtd",,$C783 &amp; $D783 &amp; ":" &amp; E$1)</f>
        <v>Nov27</v>
      </c>
      <c r="F783" s="3" t="str">
        <f>ICE[[#This Row],[Prod]]&amp;ICE[[#This Row],[Strip]]</f>
        <v>fo35brxmtNov27</v>
      </c>
      <c r="G783" s="18" t="str">
        <f>RTD("ice.rtd",,$C783 &amp; $D783 &amp; ":" &amp; G$1)</f>
        <v/>
      </c>
      <c r="H783" s="18" t="str">
        <f>RTD("ice.rtd",,$C783 &amp; $D783 &amp; ":" &amp; H$1)</f>
        <v/>
      </c>
      <c r="I783" s="18" t="str">
        <f>RTD("ice.rtd",,$C783 &amp; $D783 &amp; ":" &amp; I$1)</f>
        <v/>
      </c>
      <c r="J783" s="14" t="str">
        <f>IFERROR(MOD(RTD("ice.rtd",,$C783 &amp; $D783 &amp; ":" &amp; J$1), 1), "")</f>
        <v/>
      </c>
      <c r="K783" s="18" t="str">
        <f>RTD("ice.rtd",,$C783 &amp; $D783 &amp; ":" &amp; K$1)</f>
        <v/>
      </c>
      <c r="L783" s="36" t="str">
        <f>RTD("ice.rtd",,$C783 &amp; $D783 &amp; ":" &amp; L$1)</f>
        <v/>
      </c>
      <c r="M783" s="14" t="str">
        <f>IFERROR(MOD(TIMEVALUE(RTD("ice.rtd",,$C783 &amp; $D783 &amp; ":" &amp; M$1)), 1), "")</f>
        <v/>
      </c>
      <c r="N783" s="36">
        <f>RTD("ice.rtd",,$C783 &amp; $D783 &amp; ":" &amp; N$1)</f>
        <v>0</v>
      </c>
      <c r="O783" s="36">
        <f>RTD("ice.rtd",,$C783 &amp; $D783 &amp; ":" &amp; O$1)</f>
        <v>0</v>
      </c>
      <c r="P7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3" s="14" t="str">
        <f>IF(ICE[[#This Row],[LastType]] = "Scrn", ICE[[#This Row],[LstDate]], IF(ICE[[#This Row],[LastType]] = "Blk", ICE[[#This Row],[LstBlkTime]], ""))</f>
        <v/>
      </c>
      <c r="R783" s="41" t="str">
        <f>IF(ICE[[#This Row],[LastType]] = "Scrn", ICE[[#This Row],[LstPrc]], IF(ICE[[#This Row],[LastType]] = "Blk", ICE[[#This Row],[LstBlkPrc]], ""))</f>
        <v/>
      </c>
      <c r="S783" s="36">
        <f>ICE[[#This Row],[Vol]]+ICE[[#This Row],[BlkVol]]</f>
        <v>0</v>
      </c>
      <c r="T783" s="36">
        <f>RTD("ice.rtd",,$C783 &amp; $D783 &amp; ":" &amp; T$1)</f>
        <v>119</v>
      </c>
      <c r="U783" s="18">
        <f>RTD("ice.rtd",,$C783 &amp; $D783 &amp; ":" &amp; U$1)</f>
        <v>-8.5137</v>
      </c>
      <c r="V7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3" s="18" t="str">
        <f>IFERROR(IF(LEFT(ICE[[#This Row],[Tenor]], 1) = "B", RTD("esrtd",,$B783 &amp; " " &amp; ICE[[#This Row],[Tenor]] &amp; "-IEU", W$1), RTD("esrtd",,$B783 &amp; " " &amp; VLOOKUP(MONTH(ICE[[#This Row],[Strip]]), MthRef[], 2, 0) &amp; RIGHT(YEAR(ICE[[#This Row],[Strip]]), 2) &amp; "-IEU", W$1)), "")</f>
        <v/>
      </c>
      <c r="X783" s="36"/>
    </row>
    <row r="784" spans="1:24" x14ac:dyDescent="0.25">
      <c r="A784" s="37" t="s">
        <v>830</v>
      </c>
      <c r="B784" s="3" t="str">
        <f>RTD("ice.rtd",,$C784 &amp; $D784 &amp; ":" &amp; B$1)</f>
        <v>BOB</v>
      </c>
      <c r="C784" s="3">
        <v>5162</v>
      </c>
      <c r="D784" t="s">
        <v>804</v>
      </c>
      <c r="E784" s="3" t="str">
        <f>RTD("ice.rtd",,$C784 &amp; $D784 &amp; ":" &amp; E$1)</f>
        <v>Dec27</v>
      </c>
      <c r="F784" s="3" t="str">
        <f>ICE[[#This Row],[Prod]]&amp;ICE[[#This Row],[Strip]]</f>
        <v>fo35brxmtDec27</v>
      </c>
      <c r="G784" s="18" t="str">
        <f>RTD("ice.rtd",,$C784 &amp; $D784 &amp; ":" &amp; G$1)</f>
        <v/>
      </c>
      <c r="H784" s="18" t="str">
        <f>RTD("ice.rtd",,$C784 &amp; $D784 &amp; ":" &amp; H$1)</f>
        <v/>
      </c>
      <c r="I784" s="18" t="str">
        <f>RTD("ice.rtd",,$C784 &amp; $D784 &amp; ":" &amp; I$1)</f>
        <v/>
      </c>
      <c r="J784" s="14" t="str">
        <f>IFERROR(MOD(RTD("ice.rtd",,$C784 &amp; $D784 &amp; ":" &amp; J$1), 1), "")</f>
        <v/>
      </c>
      <c r="K784" s="18" t="str">
        <f>RTD("ice.rtd",,$C784 &amp; $D784 &amp; ":" &amp; K$1)</f>
        <v/>
      </c>
      <c r="L784" s="36" t="str">
        <f>RTD("ice.rtd",,$C784 &amp; $D784 &amp; ":" &amp; L$1)</f>
        <v/>
      </c>
      <c r="M784" s="14" t="str">
        <f>IFERROR(MOD(TIMEVALUE(RTD("ice.rtd",,$C784 &amp; $D784 &amp; ":" &amp; M$1)), 1), "")</f>
        <v/>
      </c>
      <c r="N784" s="36">
        <f>RTD("ice.rtd",,$C784 &amp; $D784 &amp; ":" &amp; N$1)</f>
        <v>0</v>
      </c>
      <c r="O784" s="36">
        <f>RTD("ice.rtd",,$C784 &amp; $D784 &amp; ":" &amp; O$1)</f>
        <v>0</v>
      </c>
      <c r="P7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4" s="14" t="str">
        <f>IF(ICE[[#This Row],[LastType]] = "Scrn", ICE[[#This Row],[LstDate]], IF(ICE[[#This Row],[LastType]] = "Blk", ICE[[#This Row],[LstBlkTime]], ""))</f>
        <v/>
      </c>
      <c r="R784" s="41" t="str">
        <f>IF(ICE[[#This Row],[LastType]] = "Scrn", ICE[[#This Row],[LstPrc]], IF(ICE[[#This Row],[LastType]] = "Blk", ICE[[#This Row],[LstBlkPrc]], ""))</f>
        <v/>
      </c>
      <c r="S784" s="36">
        <f>ICE[[#This Row],[Vol]]+ICE[[#This Row],[BlkVol]]</f>
        <v>0</v>
      </c>
      <c r="T784" s="36">
        <f>RTD("ice.rtd",,$C784 &amp; $D784 &amp; ":" &amp; T$1)</f>
        <v>135</v>
      </c>
      <c r="U784" s="18">
        <f>RTD("ice.rtd",,$C784 &amp; $D784 &amp; ":" &amp; U$1)</f>
        <v>-8.4661000000000008</v>
      </c>
      <c r="V7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4" s="18" t="str">
        <f>IFERROR(IF(LEFT(ICE[[#This Row],[Tenor]], 1) = "B", RTD("esrtd",,$B784 &amp; " " &amp; ICE[[#This Row],[Tenor]] &amp; "-IEU", W$1), RTD("esrtd",,$B784 &amp; " " &amp; VLOOKUP(MONTH(ICE[[#This Row],[Strip]]), MthRef[], 2, 0) &amp; RIGHT(YEAR(ICE[[#This Row],[Strip]]), 2) &amp; "-IEU", W$1)), "")</f>
        <v/>
      </c>
      <c r="X784" s="36"/>
    </row>
    <row r="785" spans="1:24" x14ac:dyDescent="0.25">
      <c r="A785" s="37" t="s">
        <v>830</v>
      </c>
      <c r="B785" s="3" t="str">
        <f>RTD("ice.rtd",,$C785 &amp; $D785 &amp; ":" &amp; B$1)</f>
        <v>BOB</v>
      </c>
      <c r="C785" s="3">
        <v>5162</v>
      </c>
      <c r="D785" t="s">
        <v>805</v>
      </c>
      <c r="E785" s="3" t="str">
        <f>RTD("ice.rtd",,$C785 &amp; $D785 &amp; ":" &amp; E$1)</f>
        <v>Jan28</v>
      </c>
      <c r="F785" s="3" t="str">
        <f>ICE[[#This Row],[Prod]]&amp;ICE[[#This Row],[Strip]]</f>
        <v>fo35brxmtJan28</v>
      </c>
      <c r="G785" s="18" t="str">
        <f>RTD("ice.rtd",,$C785 &amp; $D785 &amp; ":" &amp; G$1)</f>
        <v/>
      </c>
      <c r="H785" s="18" t="str">
        <f>RTD("ice.rtd",,$C785 &amp; $D785 &amp; ":" &amp; H$1)</f>
        <v/>
      </c>
      <c r="I785" s="18" t="str">
        <f>RTD("ice.rtd",,$C785 &amp; $D785 &amp; ":" &amp; I$1)</f>
        <v/>
      </c>
      <c r="J785" s="14" t="str">
        <f>IFERROR(MOD(RTD("ice.rtd",,$C785 &amp; $D785 &amp; ":" &amp; J$1), 1), "")</f>
        <v/>
      </c>
      <c r="K785" s="18" t="str">
        <f>RTD("ice.rtd",,$C785 &amp; $D785 &amp; ":" &amp; K$1)</f>
        <v/>
      </c>
      <c r="L785" s="36" t="str">
        <f>RTD("ice.rtd",,$C785 &amp; $D785 &amp; ":" &amp; L$1)</f>
        <v/>
      </c>
      <c r="M785" s="14" t="str">
        <f>IFERROR(MOD(TIMEVALUE(RTD("ice.rtd",,$C785 &amp; $D785 &amp; ":" &amp; M$1)), 1), "")</f>
        <v/>
      </c>
      <c r="N785" s="36">
        <f>RTD("ice.rtd",,$C785 &amp; $D785 &amp; ":" &amp; N$1)</f>
        <v>0</v>
      </c>
      <c r="O785" s="36">
        <f>RTD("ice.rtd",,$C785 &amp; $D785 &amp; ":" &amp; O$1)</f>
        <v>0</v>
      </c>
      <c r="P7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5" s="14" t="str">
        <f>IF(ICE[[#This Row],[LastType]] = "Scrn", ICE[[#This Row],[LstDate]], IF(ICE[[#This Row],[LastType]] = "Blk", ICE[[#This Row],[LstBlkTime]], ""))</f>
        <v/>
      </c>
      <c r="R785" s="41" t="str">
        <f>IF(ICE[[#This Row],[LastType]] = "Scrn", ICE[[#This Row],[LstPrc]], IF(ICE[[#This Row],[LastType]] = "Blk", ICE[[#This Row],[LstBlkPrc]], ""))</f>
        <v/>
      </c>
      <c r="S785" s="36">
        <f>ICE[[#This Row],[Vol]]+ICE[[#This Row],[BlkVol]]</f>
        <v>0</v>
      </c>
      <c r="T785" s="36">
        <f>RTD("ice.rtd",,$C785 &amp; $D785 &amp; ":" &amp; T$1)</f>
        <v>31</v>
      </c>
      <c r="U785" s="18">
        <f>RTD("ice.rtd",,$C785 &amp; $D785 &amp; ":" &amp; U$1)</f>
        <v>-8.3773</v>
      </c>
      <c r="V7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5" s="18" t="str">
        <f>IFERROR(IF(LEFT(ICE[[#This Row],[Tenor]], 1) = "B", RTD("esrtd",,$B785 &amp; " " &amp; ICE[[#This Row],[Tenor]] &amp; "-IEU", W$1), RTD("esrtd",,$B785 &amp; " " &amp; VLOOKUP(MONTH(ICE[[#This Row],[Strip]]), MthRef[], 2, 0) &amp; RIGHT(YEAR(ICE[[#This Row],[Strip]]), 2) &amp; "-IEU", W$1)), "")</f>
        <v/>
      </c>
      <c r="X785" s="36"/>
    </row>
    <row r="786" spans="1:24" x14ac:dyDescent="0.25">
      <c r="A786" s="37" t="s">
        <v>830</v>
      </c>
      <c r="B786" s="3" t="str">
        <f>RTD("ice.rtd",,$C786 &amp; $D786 &amp; ":" &amp; B$1)</f>
        <v>BOB</v>
      </c>
      <c r="C786" s="3">
        <v>5162</v>
      </c>
      <c r="D786" t="s">
        <v>806</v>
      </c>
      <c r="E786" s="3" t="str">
        <f>RTD("ice.rtd",,$C786 &amp; $D786 &amp; ":" &amp; E$1)</f>
        <v>Feb28</v>
      </c>
      <c r="F786" s="3" t="str">
        <f>ICE[[#This Row],[Prod]]&amp;ICE[[#This Row],[Strip]]</f>
        <v>fo35brxmtFeb28</v>
      </c>
      <c r="G786" s="18" t="str">
        <f>RTD("ice.rtd",,$C786 &amp; $D786 &amp; ":" &amp; G$1)</f>
        <v/>
      </c>
      <c r="H786" s="18" t="str">
        <f>RTD("ice.rtd",,$C786 &amp; $D786 &amp; ":" &amp; H$1)</f>
        <v/>
      </c>
      <c r="I786" s="18" t="str">
        <f>RTD("ice.rtd",,$C786 &amp; $D786 &amp; ":" &amp; I$1)</f>
        <v/>
      </c>
      <c r="J786" s="14" t="str">
        <f>IFERROR(MOD(RTD("ice.rtd",,$C786 &amp; $D786 &amp; ":" &amp; J$1), 1), "")</f>
        <v/>
      </c>
      <c r="K786" s="18" t="str">
        <f>RTD("ice.rtd",,$C786 &amp; $D786 &amp; ":" &amp; K$1)</f>
        <v/>
      </c>
      <c r="L786" s="36" t="str">
        <f>RTD("ice.rtd",,$C786 &amp; $D786 &amp; ":" &amp; L$1)</f>
        <v/>
      </c>
      <c r="M786" s="14" t="str">
        <f>IFERROR(MOD(TIMEVALUE(RTD("ice.rtd",,$C786 &amp; $D786 &amp; ":" &amp; M$1)), 1), "")</f>
        <v/>
      </c>
      <c r="N786" s="36">
        <f>RTD("ice.rtd",,$C786 &amp; $D786 &amp; ":" &amp; N$1)</f>
        <v>0</v>
      </c>
      <c r="O786" s="36">
        <f>RTD("ice.rtd",,$C786 &amp; $D786 &amp; ":" &amp; O$1)</f>
        <v>0</v>
      </c>
      <c r="P7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6" s="14" t="str">
        <f>IF(ICE[[#This Row],[LastType]] = "Scrn", ICE[[#This Row],[LstDate]], IF(ICE[[#This Row],[LastType]] = "Blk", ICE[[#This Row],[LstBlkTime]], ""))</f>
        <v/>
      </c>
      <c r="R786" s="41" t="str">
        <f>IF(ICE[[#This Row],[LastType]] = "Scrn", ICE[[#This Row],[LstPrc]], IF(ICE[[#This Row],[LastType]] = "Blk", ICE[[#This Row],[LstBlkPrc]], ""))</f>
        <v/>
      </c>
      <c r="S786" s="36">
        <f>ICE[[#This Row],[Vol]]+ICE[[#This Row],[BlkVol]]</f>
        <v>0</v>
      </c>
      <c r="T786" s="36">
        <f>RTD("ice.rtd",,$C786 &amp; $D786 &amp; ":" &amp; T$1)</f>
        <v>31</v>
      </c>
      <c r="U786" s="18">
        <f>RTD("ice.rtd",,$C786 &amp; $D786 &amp; ":" &amp; U$1)</f>
        <v>-8.2651000000000003</v>
      </c>
      <c r="V7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6" s="18" t="str">
        <f>IFERROR(IF(LEFT(ICE[[#This Row],[Tenor]], 1) = "B", RTD("esrtd",,$B786 &amp; " " &amp; ICE[[#This Row],[Tenor]] &amp; "-IEU", W$1), RTD("esrtd",,$B786 &amp; " " &amp; VLOOKUP(MONTH(ICE[[#This Row],[Strip]]), MthRef[], 2, 0) &amp; RIGHT(YEAR(ICE[[#This Row],[Strip]]), 2) &amp; "-IEU", W$1)), "")</f>
        <v/>
      </c>
      <c r="X786" s="36"/>
    </row>
    <row r="787" spans="1:24" x14ac:dyDescent="0.25">
      <c r="A787" s="37" t="s">
        <v>830</v>
      </c>
      <c r="B787" s="3" t="str">
        <f>RTD("ice.rtd",,$C787 &amp; $D787 &amp; ":" &amp; B$1)</f>
        <v>BOB</v>
      </c>
      <c r="C787" s="3">
        <v>5162</v>
      </c>
      <c r="D787" t="s">
        <v>807</v>
      </c>
      <c r="E787" s="3" t="str">
        <f>RTD("ice.rtd",,$C787 &amp; $D787 &amp; ":" &amp; E$1)</f>
        <v>Mar28</v>
      </c>
      <c r="F787" s="3" t="str">
        <f>ICE[[#This Row],[Prod]]&amp;ICE[[#This Row],[Strip]]</f>
        <v>fo35brxmtMar28</v>
      </c>
      <c r="G787" s="18" t="str">
        <f>RTD("ice.rtd",,$C787 &amp; $D787 &amp; ":" &amp; G$1)</f>
        <v/>
      </c>
      <c r="H787" s="18" t="str">
        <f>RTD("ice.rtd",,$C787 &amp; $D787 &amp; ":" &amp; H$1)</f>
        <v/>
      </c>
      <c r="I787" s="18" t="str">
        <f>RTD("ice.rtd",,$C787 &amp; $D787 &amp; ":" &amp; I$1)</f>
        <v/>
      </c>
      <c r="J787" s="14" t="str">
        <f>IFERROR(MOD(RTD("ice.rtd",,$C787 &amp; $D787 &amp; ":" &amp; J$1), 1), "")</f>
        <v/>
      </c>
      <c r="K787" s="18" t="str">
        <f>RTD("ice.rtd",,$C787 &amp; $D787 &amp; ":" &amp; K$1)</f>
        <v/>
      </c>
      <c r="L787" s="36" t="str">
        <f>RTD("ice.rtd",,$C787 &amp; $D787 &amp; ":" &amp; L$1)</f>
        <v/>
      </c>
      <c r="M787" s="14" t="str">
        <f>IFERROR(MOD(TIMEVALUE(RTD("ice.rtd",,$C787 &amp; $D787 &amp; ":" &amp; M$1)), 1), "")</f>
        <v/>
      </c>
      <c r="N787" s="36">
        <f>RTD("ice.rtd",,$C787 &amp; $D787 &amp; ":" &amp; N$1)</f>
        <v>0</v>
      </c>
      <c r="O787" s="36">
        <f>RTD("ice.rtd",,$C787 &amp; $D787 &amp; ":" &amp; O$1)</f>
        <v>0</v>
      </c>
      <c r="P7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7" s="14" t="str">
        <f>IF(ICE[[#This Row],[LastType]] = "Scrn", ICE[[#This Row],[LstDate]], IF(ICE[[#This Row],[LastType]] = "Blk", ICE[[#This Row],[LstBlkTime]], ""))</f>
        <v/>
      </c>
      <c r="R787" s="41" t="str">
        <f>IF(ICE[[#This Row],[LastType]] = "Scrn", ICE[[#This Row],[LstPrc]], IF(ICE[[#This Row],[LastType]] = "Blk", ICE[[#This Row],[LstBlkPrc]], ""))</f>
        <v/>
      </c>
      <c r="S787" s="36">
        <f>ICE[[#This Row],[Vol]]+ICE[[#This Row],[BlkVol]]</f>
        <v>0</v>
      </c>
      <c r="T787" s="36">
        <f>RTD("ice.rtd",,$C787 &amp; $D787 &amp; ":" &amp; T$1)</f>
        <v>31</v>
      </c>
      <c r="U787" s="18">
        <f>RTD("ice.rtd",,$C787 &amp; $D787 &amp; ":" &amp; U$1)</f>
        <v>-8.1639999999999997</v>
      </c>
      <c r="V7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7" s="18" t="str">
        <f>IFERROR(IF(LEFT(ICE[[#This Row],[Tenor]], 1) = "B", RTD("esrtd",,$B787 &amp; " " &amp; ICE[[#This Row],[Tenor]] &amp; "-IEU", W$1), RTD("esrtd",,$B787 &amp; " " &amp; VLOOKUP(MONTH(ICE[[#This Row],[Strip]]), MthRef[], 2, 0) &amp; RIGHT(YEAR(ICE[[#This Row],[Strip]]), 2) &amp; "-IEU", W$1)), "")</f>
        <v/>
      </c>
      <c r="X787" s="36"/>
    </row>
    <row r="788" spans="1:24" x14ac:dyDescent="0.25">
      <c r="A788" s="37" t="s">
        <v>830</v>
      </c>
      <c r="B788" s="3" t="str">
        <f>RTD("ice.rtd",,$C788 &amp; $D788 &amp; ":" &amp; B$1)</f>
        <v>BOB</v>
      </c>
      <c r="C788" s="3">
        <v>5162</v>
      </c>
      <c r="D788" t="s">
        <v>808</v>
      </c>
      <c r="E788" s="3" t="str">
        <f>RTD("ice.rtd",,$C788 &amp; $D788 &amp; ":" &amp; E$1)</f>
        <v>Apr28</v>
      </c>
      <c r="F788" s="3" t="str">
        <f>ICE[[#This Row],[Prod]]&amp;ICE[[#This Row],[Strip]]</f>
        <v>fo35brxmtApr28</v>
      </c>
      <c r="G788" s="18" t="str">
        <f>RTD("ice.rtd",,$C788 &amp; $D788 &amp; ":" &amp; G$1)</f>
        <v/>
      </c>
      <c r="H788" s="18" t="str">
        <f>RTD("ice.rtd",,$C788 &amp; $D788 &amp; ":" &amp; H$1)</f>
        <v/>
      </c>
      <c r="I788" s="18" t="str">
        <f>RTD("ice.rtd",,$C788 &amp; $D788 &amp; ":" &amp; I$1)</f>
        <v/>
      </c>
      <c r="J788" s="14" t="str">
        <f>IFERROR(MOD(RTD("ice.rtd",,$C788 &amp; $D788 &amp; ":" &amp; J$1), 1), "")</f>
        <v/>
      </c>
      <c r="K788" s="18" t="str">
        <f>RTD("ice.rtd",,$C788 &amp; $D788 &amp; ":" &amp; K$1)</f>
        <v/>
      </c>
      <c r="L788" s="36" t="str">
        <f>RTD("ice.rtd",,$C788 &amp; $D788 &amp; ":" &amp; L$1)</f>
        <v/>
      </c>
      <c r="M788" s="14" t="str">
        <f>IFERROR(MOD(TIMEVALUE(RTD("ice.rtd",,$C788 &amp; $D788 &amp; ":" &amp; M$1)), 1), "")</f>
        <v/>
      </c>
      <c r="N788" s="36">
        <f>RTD("ice.rtd",,$C788 &amp; $D788 &amp; ":" &amp; N$1)</f>
        <v>0</v>
      </c>
      <c r="O788" s="36">
        <f>RTD("ice.rtd",,$C788 &amp; $D788 &amp; ":" &amp; O$1)</f>
        <v>0</v>
      </c>
      <c r="P7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8" s="14" t="str">
        <f>IF(ICE[[#This Row],[LastType]] = "Scrn", ICE[[#This Row],[LstDate]], IF(ICE[[#This Row],[LastType]] = "Blk", ICE[[#This Row],[LstBlkTime]], ""))</f>
        <v/>
      </c>
      <c r="R788" s="41" t="str">
        <f>IF(ICE[[#This Row],[LastType]] = "Scrn", ICE[[#This Row],[LstPrc]], IF(ICE[[#This Row],[LastType]] = "Blk", ICE[[#This Row],[LstBlkPrc]], ""))</f>
        <v/>
      </c>
      <c r="S788" s="36">
        <f>ICE[[#This Row],[Vol]]+ICE[[#This Row],[BlkVol]]</f>
        <v>0</v>
      </c>
      <c r="T788" s="36">
        <f>RTD("ice.rtd",,$C788 &amp; $D788 &amp; ":" &amp; T$1)</f>
        <v>32</v>
      </c>
      <c r="U788" s="18">
        <f>RTD("ice.rtd",,$C788 &amp; $D788 &amp; ":" &amp; U$1)</f>
        <v>-8.0777999999999999</v>
      </c>
      <c r="V7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8" s="18" t="str">
        <f>IFERROR(IF(LEFT(ICE[[#This Row],[Tenor]], 1) = "B", RTD("esrtd",,$B788 &amp; " " &amp; ICE[[#This Row],[Tenor]] &amp; "-IEU", W$1), RTD("esrtd",,$B788 &amp; " " &amp; VLOOKUP(MONTH(ICE[[#This Row],[Strip]]), MthRef[], 2, 0) &amp; RIGHT(YEAR(ICE[[#This Row],[Strip]]), 2) &amp; "-IEU", W$1)), "")</f>
        <v/>
      </c>
      <c r="X788" s="36"/>
    </row>
    <row r="789" spans="1:24" x14ac:dyDescent="0.25">
      <c r="A789" s="37" t="s">
        <v>830</v>
      </c>
      <c r="B789" s="3" t="str">
        <f>RTD("ice.rtd",,$C789 &amp; $D789 &amp; ":" &amp; B$1)</f>
        <v>BOB</v>
      </c>
      <c r="C789" s="3">
        <v>5162</v>
      </c>
      <c r="D789" t="s">
        <v>809</v>
      </c>
      <c r="E789" s="3" t="str">
        <f>RTD("ice.rtd",,$C789 &amp; $D789 &amp; ":" &amp; E$1)</f>
        <v>May28</v>
      </c>
      <c r="F789" s="3" t="str">
        <f>ICE[[#This Row],[Prod]]&amp;ICE[[#This Row],[Strip]]</f>
        <v>fo35brxmtMay28</v>
      </c>
      <c r="G789" s="18" t="str">
        <f>RTD("ice.rtd",,$C789 &amp; $D789 &amp; ":" &amp; G$1)</f>
        <v/>
      </c>
      <c r="H789" s="18" t="str">
        <f>RTD("ice.rtd",,$C789 &amp; $D789 &amp; ":" &amp; H$1)</f>
        <v/>
      </c>
      <c r="I789" s="18" t="str">
        <f>RTD("ice.rtd",,$C789 &amp; $D789 &amp; ":" &amp; I$1)</f>
        <v/>
      </c>
      <c r="J789" s="14" t="str">
        <f>IFERROR(MOD(RTD("ice.rtd",,$C789 &amp; $D789 &amp; ":" &amp; J$1), 1), "")</f>
        <v/>
      </c>
      <c r="K789" s="18" t="str">
        <f>RTD("ice.rtd",,$C789 &amp; $D789 &amp; ":" &amp; K$1)</f>
        <v/>
      </c>
      <c r="L789" s="36" t="str">
        <f>RTD("ice.rtd",,$C789 &amp; $D789 &amp; ":" &amp; L$1)</f>
        <v/>
      </c>
      <c r="M789" s="14" t="str">
        <f>IFERROR(MOD(TIMEVALUE(RTD("ice.rtd",,$C789 &amp; $D789 &amp; ":" &amp; M$1)), 1), "")</f>
        <v/>
      </c>
      <c r="N789" s="36">
        <f>RTD("ice.rtd",,$C789 &amp; $D789 &amp; ":" &amp; N$1)</f>
        <v>0</v>
      </c>
      <c r="O789" s="36">
        <f>RTD("ice.rtd",,$C789 &amp; $D789 &amp; ":" &amp; O$1)</f>
        <v>0</v>
      </c>
      <c r="P7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89" s="14" t="str">
        <f>IF(ICE[[#This Row],[LastType]] = "Scrn", ICE[[#This Row],[LstDate]], IF(ICE[[#This Row],[LastType]] = "Blk", ICE[[#This Row],[LstBlkTime]], ""))</f>
        <v/>
      </c>
      <c r="R789" s="41" t="str">
        <f>IF(ICE[[#This Row],[LastType]] = "Scrn", ICE[[#This Row],[LstPrc]], IF(ICE[[#This Row],[LastType]] = "Blk", ICE[[#This Row],[LstBlkPrc]], ""))</f>
        <v/>
      </c>
      <c r="S789" s="36">
        <f>ICE[[#This Row],[Vol]]+ICE[[#This Row],[BlkVol]]</f>
        <v>0</v>
      </c>
      <c r="T789" s="36">
        <f>RTD("ice.rtd",,$C789 &amp; $D789 &amp; ":" &amp; T$1)</f>
        <v>32</v>
      </c>
      <c r="U789" s="18">
        <f>RTD("ice.rtd",,$C789 &amp; $D789 &amp; ":" &amp; U$1)</f>
        <v>-7.9987000000000004</v>
      </c>
      <c r="V7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89" s="18" t="str">
        <f>IFERROR(IF(LEFT(ICE[[#This Row],[Tenor]], 1) = "B", RTD("esrtd",,$B789 &amp; " " &amp; ICE[[#This Row],[Tenor]] &amp; "-IEU", W$1), RTD("esrtd",,$B789 &amp; " " &amp; VLOOKUP(MONTH(ICE[[#This Row],[Strip]]), MthRef[], 2, 0) &amp; RIGHT(YEAR(ICE[[#This Row],[Strip]]), 2) &amp; "-IEU", W$1)), "")</f>
        <v/>
      </c>
      <c r="X789" s="36"/>
    </row>
    <row r="790" spans="1:24" x14ac:dyDescent="0.25">
      <c r="A790" s="37" t="s">
        <v>830</v>
      </c>
      <c r="B790" s="3" t="str">
        <f>RTD("ice.rtd",,$C790 &amp; $D790 &amp; ":" &amp; B$1)</f>
        <v>BOB</v>
      </c>
      <c r="C790" s="3">
        <v>5162</v>
      </c>
      <c r="D790" t="s">
        <v>810</v>
      </c>
      <c r="E790" s="3" t="str">
        <f>RTD("ice.rtd",,$C790 &amp; $D790 &amp; ":" &amp; E$1)</f>
        <v>Jun28</v>
      </c>
      <c r="F790" s="3" t="str">
        <f>ICE[[#This Row],[Prod]]&amp;ICE[[#This Row],[Strip]]</f>
        <v>fo35brxmtJun28</v>
      </c>
      <c r="G790" s="18" t="str">
        <f>RTD("ice.rtd",,$C790 &amp; $D790 &amp; ":" &amp; G$1)</f>
        <v/>
      </c>
      <c r="H790" s="18" t="str">
        <f>RTD("ice.rtd",,$C790 &amp; $D790 &amp; ":" &amp; H$1)</f>
        <v/>
      </c>
      <c r="I790" s="18" t="str">
        <f>RTD("ice.rtd",,$C790 &amp; $D790 &amp; ":" &amp; I$1)</f>
        <v/>
      </c>
      <c r="J790" s="14" t="str">
        <f>IFERROR(MOD(RTD("ice.rtd",,$C790 &amp; $D790 &amp; ":" &amp; J$1), 1), "")</f>
        <v/>
      </c>
      <c r="K790" s="18" t="str">
        <f>RTD("ice.rtd",,$C790 &amp; $D790 &amp; ":" &amp; K$1)</f>
        <v/>
      </c>
      <c r="L790" s="36" t="str">
        <f>RTD("ice.rtd",,$C790 &amp; $D790 &amp; ":" &amp; L$1)</f>
        <v/>
      </c>
      <c r="M790" s="14" t="str">
        <f>IFERROR(MOD(TIMEVALUE(RTD("ice.rtd",,$C790 &amp; $D790 &amp; ":" &amp; M$1)), 1), "")</f>
        <v/>
      </c>
      <c r="N790" s="36">
        <f>RTD("ice.rtd",,$C790 &amp; $D790 &amp; ":" &amp; N$1)</f>
        <v>0</v>
      </c>
      <c r="O790" s="36">
        <f>RTD("ice.rtd",,$C790 &amp; $D790 &amp; ":" &amp; O$1)</f>
        <v>0</v>
      </c>
      <c r="P7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0" s="14" t="str">
        <f>IF(ICE[[#This Row],[LastType]] = "Scrn", ICE[[#This Row],[LstDate]], IF(ICE[[#This Row],[LastType]] = "Blk", ICE[[#This Row],[LstBlkTime]], ""))</f>
        <v/>
      </c>
      <c r="R790" s="41" t="str">
        <f>IF(ICE[[#This Row],[LastType]] = "Scrn", ICE[[#This Row],[LstPrc]], IF(ICE[[#This Row],[LastType]] = "Blk", ICE[[#This Row],[LstBlkPrc]], ""))</f>
        <v/>
      </c>
      <c r="S790" s="36">
        <f>ICE[[#This Row],[Vol]]+ICE[[#This Row],[BlkVol]]</f>
        <v>0</v>
      </c>
      <c r="T790" s="36">
        <f>RTD("ice.rtd",,$C790 &amp; $D790 &amp; ":" &amp; T$1)</f>
        <v>32</v>
      </c>
      <c r="U790" s="18">
        <f>RTD("ice.rtd",,$C790 &amp; $D790 &amp; ":" &amp; U$1)</f>
        <v>-7.9355000000000002</v>
      </c>
      <c r="V7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90" s="18" t="str">
        <f>IFERROR(IF(LEFT(ICE[[#This Row],[Tenor]], 1) = "B", RTD("esrtd",,$B790 &amp; " " &amp; ICE[[#This Row],[Tenor]] &amp; "-IEU", W$1), RTD("esrtd",,$B790 &amp; " " &amp; VLOOKUP(MONTH(ICE[[#This Row],[Strip]]), MthRef[], 2, 0) &amp; RIGHT(YEAR(ICE[[#This Row],[Strip]]), 2) &amp; "-IEU", W$1)), "")</f>
        <v/>
      </c>
      <c r="X790" s="36"/>
    </row>
    <row r="791" spans="1:24" x14ac:dyDescent="0.25">
      <c r="A791" s="37" t="s">
        <v>830</v>
      </c>
      <c r="B791" s="3" t="str">
        <f>RTD("ice.rtd",,$C791 &amp; $D791 &amp; ":" &amp; B$1)</f>
        <v>BOB</v>
      </c>
      <c r="C791" s="3">
        <v>5162</v>
      </c>
      <c r="D791" t="s">
        <v>811</v>
      </c>
      <c r="E791" s="3" t="str">
        <f>RTD("ice.rtd",,$C791 &amp; $D791 &amp; ":" &amp; E$1)</f>
        <v>Jul28</v>
      </c>
      <c r="F791" s="3" t="str">
        <f>ICE[[#This Row],[Prod]]&amp;ICE[[#This Row],[Strip]]</f>
        <v>fo35brxmtJul28</v>
      </c>
      <c r="G791" s="18" t="str">
        <f>RTD("ice.rtd",,$C791 &amp; $D791 &amp; ":" &amp; G$1)</f>
        <v/>
      </c>
      <c r="H791" s="18" t="str">
        <f>RTD("ice.rtd",,$C791 &amp; $D791 &amp; ":" &amp; H$1)</f>
        <v/>
      </c>
      <c r="I791" s="18" t="str">
        <f>RTD("ice.rtd",,$C791 &amp; $D791 &amp; ":" &amp; I$1)</f>
        <v/>
      </c>
      <c r="J791" s="14" t="str">
        <f>IFERROR(MOD(RTD("ice.rtd",,$C791 &amp; $D791 &amp; ":" &amp; J$1), 1), "")</f>
        <v/>
      </c>
      <c r="K791" s="18" t="str">
        <f>RTD("ice.rtd",,$C791 &amp; $D791 &amp; ":" &amp; K$1)</f>
        <v/>
      </c>
      <c r="L791" s="36" t="str">
        <f>RTD("ice.rtd",,$C791 &amp; $D791 &amp; ":" &amp; L$1)</f>
        <v/>
      </c>
      <c r="M791" s="14" t="str">
        <f>IFERROR(MOD(TIMEVALUE(RTD("ice.rtd",,$C791 &amp; $D791 &amp; ":" &amp; M$1)), 1), "")</f>
        <v/>
      </c>
      <c r="N791" s="36">
        <f>RTD("ice.rtd",,$C791 &amp; $D791 &amp; ":" &amp; N$1)</f>
        <v>0</v>
      </c>
      <c r="O791" s="36">
        <f>RTD("ice.rtd",,$C791 &amp; $D791 &amp; ":" &amp; O$1)</f>
        <v>0</v>
      </c>
      <c r="P7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1" s="14" t="str">
        <f>IF(ICE[[#This Row],[LastType]] = "Scrn", ICE[[#This Row],[LstDate]], IF(ICE[[#This Row],[LastType]] = "Blk", ICE[[#This Row],[LstBlkTime]], ""))</f>
        <v/>
      </c>
      <c r="R791" s="41" t="str">
        <f>IF(ICE[[#This Row],[LastType]] = "Scrn", ICE[[#This Row],[LstPrc]], IF(ICE[[#This Row],[LastType]] = "Blk", ICE[[#This Row],[LstBlkPrc]], ""))</f>
        <v/>
      </c>
      <c r="S791" s="36">
        <f>ICE[[#This Row],[Vol]]+ICE[[#This Row],[BlkVol]]</f>
        <v>0</v>
      </c>
      <c r="T791" s="36">
        <f>RTD("ice.rtd",,$C791 &amp; $D791 &amp; ":" &amp; T$1)</f>
        <v>32</v>
      </c>
      <c r="U791" s="18">
        <f>RTD("ice.rtd",,$C791 &amp; $D791 &amp; ":" &amp; U$1)</f>
        <v>-7.9218000000000002</v>
      </c>
      <c r="V7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91" s="18" t="str">
        <f>IFERROR(IF(LEFT(ICE[[#This Row],[Tenor]], 1) = "B", RTD("esrtd",,$B791 &amp; " " &amp; ICE[[#This Row],[Tenor]] &amp; "-IEU", W$1), RTD("esrtd",,$B791 &amp; " " &amp; VLOOKUP(MONTH(ICE[[#This Row],[Strip]]), MthRef[], 2, 0) &amp; RIGHT(YEAR(ICE[[#This Row],[Strip]]), 2) &amp; "-IEU", W$1)), "")</f>
        <v/>
      </c>
      <c r="X791" s="36"/>
    </row>
    <row r="792" spans="1:24" x14ac:dyDescent="0.25">
      <c r="A792" s="37" t="s">
        <v>830</v>
      </c>
      <c r="B792" s="3" t="str">
        <f>RTD("ice.rtd",,$C792 &amp; $D792 &amp; ":" &amp; B$1)</f>
        <v>BOB</v>
      </c>
      <c r="C792" s="3">
        <v>5162</v>
      </c>
      <c r="D792" t="s">
        <v>812</v>
      </c>
      <c r="E792" s="3" t="str">
        <f>RTD("ice.rtd",,$C792 &amp; $D792 &amp; ":" &amp; E$1)</f>
        <v>Aug28</v>
      </c>
      <c r="F792" s="3" t="str">
        <f>ICE[[#This Row],[Prod]]&amp;ICE[[#This Row],[Strip]]</f>
        <v>fo35brxmtAug28</v>
      </c>
      <c r="G792" s="18" t="str">
        <f>RTD("ice.rtd",,$C792 &amp; $D792 &amp; ":" &amp; G$1)</f>
        <v/>
      </c>
      <c r="H792" s="18" t="str">
        <f>RTD("ice.rtd",,$C792 &amp; $D792 &amp; ":" &amp; H$1)</f>
        <v/>
      </c>
      <c r="I792" s="18" t="str">
        <f>RTD("ice.rtd",,$C792 &amp; $D792 &amp; ":" &amp; I$1)</f>
        <v/>
      </c>
      <c r="J792" s="14" t="str">
        <f>IFERROR(MOD(RTD("ice.rtd",,$C792 &amp; $D792 &amp; ":" &amp; J$1), 1), "")</f>
        <v/>
      </c>
      <c r="K792" s="18" t="str">
        <f>RTD("ice.rtd",,$C792 &amp; $D792 &amp; ":" &amp; K$1)</f>
        <v/>
      </c>
      <c r="L792" s="36" t="str">
        <f>RTD("ice.rtd",,$C792 &amp; $D792 &amp; ":" &amp; L$1)</f>
        <v/>
      </c>
      <c r="M792" s="14" t="str">
        <f>IFERROR(MOD(TIMEVALUE(RTD("ice.rtd",,$C792 &amp; $D792 &amp; ":" &amp; M$1)), 1), "")</f>
        <v/>
      </c>
      <c r="N792" s="36">
        <f>RTD("ice.rtd",,$C792 &amp; $D792 &amp; ":" &amp; N$1)</f>
        <v>0</v>
      </c>
      <c r="O792" s="36">
        <f>RTD("ice.rtd",,$C792 &amp; $D792 &amp; ":" &amp; O$1)</f>
        <v>0</v>
      </c>
      <c r="P7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2" s="14" t="str">
        <f>IF(ICE[[#This Row],[LastType]] = "Scrn", ICE[[#This Row],[LstDate]], IF(ICE[[#This Row],[LastType]] = "Blk", ICE[[#This Row],[LstBlkTime]], ""))</f>
        <v/>
      </c>
      <c r="R792" s="41" t="str">
        <f>IF(ICE[[#This Row],[LastType]] = "Scrn", ICE[[#This Row],[LstPrc]], IF(ICE[[#This Row],[LastType]] = "Blk", ICE[[#This Row],[LstBlkPrc]], ""))</f>
        <v/>
      </c>
      <c r="S792" s="36">
        <f>ICE[[#This Row],[Vol]]+ICE[[#This Row],[BlkVol]]</f>
        <v>0</v>
      </c>
      <c r="T792" s="36">
        <f>RTD("ice.rtd",,$C792 &amp; $D792 &amp; ":" &amp; T$1)</f>
        <v>32</v>
      </c>
      <c r="U792" s="18">
        <f>RTD("ice.rtd",,$C792 &amp; $D792 &amp; ":" &amp; U$1)</f>
        <v>-7.9583000000000004</v>
      </c>
      <c r="V7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92" s="18" t="str">
        <f>IFERROR(IF(LEFT(ICE[[#This Row],[Tenor]], 1) = "B", RTD("esrtd",,$B792 &amp; " " &amp; ICE[[#This Row],[Tenor]] &amp; "-IEU", W$1), RTD("esrtd",,$B792 &amp; " " &amp; VLOOKUP(MONTH(ICE[[#This Row],[Strip]]), MthRef[], 2, 0) &amp; RIGHT(YEAR(ICE[[#This Row],[Strip]]), 2) &amp; "-IEU", W$1)), "")</f>
        <v/>
      </c>
      <c r="X792" s="36"/>
    </row>
    <row r="793" spans="1:24" x14ac:dyDescent="0.25">
      <c r="A793" s="37" t="s">
        <v>830</v>
      </c>
      <c r="B793" s="3" t="str">
        <f>RTD("ice.rtd",,$C793 &amp; $D793 &amp; ":" &amp; B$1)</f>
        <v>BOB</v>
      </c>
      <c r="C793" s="3">
        <v>5162</v>
      </c>
      <c r="D793" t="s">
        <v>813</v>
      </c>
      <c r="E793" s="3" t="str">
        <f>RTD("ice.rtd",,$C793 &amp; $D793 &amp; ":" &amp; E$1)</f>
        <v>Sep28</v>
      </c>
      <c r="F793" s="3" t="str">
        <f>ICE[[#This Row],[Prod]]&amp;ICE[[#This Row],[Strip]]</f>
        <v>fo35brxmtSep28</v>
      </c>
      <c r="G793" s="18" t="str">
        <f>RTD("ice.rtd",,$C793 &amp; $D793 &amp; ":" &amp; G$1)</f>
        <v/>
      </c>
      <c r="H793" s="18" t="str">
        <f>RTD("ice.rtd",,$C793 &amp; $D793 &amp; ":" &amp; H$1)</f>
        <v/>
      </c>
      <c r="I793" s="18" t="str">
        <f>RTD("ice.rtd",,$C793 &amp; $D793 &amp; ":" &amp; I$1)</f>
        <v/>
      </c>
      <c r="J793" s="14" t="str">
        <f>IFERROR(MOD(RTD("ice.rtd",,$C793 &amp; $D793 &amp; ":" &amp; J$1), 1), "")</f>
        <v/>
      </c>
      <c r="K793" s="18" t="str">
        <f>RTD("ice.rtd",,$C793 &amp; $D793 &amp; ":" &amp; K$1)</f>
        <v/>
      </c>
      <c r="L793" s="36" t="str">
        <f>RTD("ice.rtd",,$C793 &amp; $D793 &amp; ":" &amp; L$1)</f>
        <v/>
      </c>
      <c r="M793" s="14" t="str">
        <f>IFERROR(MOD(TIMEVALUE(RTD("ice.rtd",,$C793 &amp; $D793 &amp; ":" &amp; M$1)), 1), "")</f>
        <v/>
      </c>
      <c r="N793" s="36">
        <f>RTD("ice.rtd",,$C793 &amp; $D793 &amp; ":" &amp; N$1)</f>
        <v>0</v>
      </c>
      <c r="O793" s="36">
        <f>RTD("ice.rtd",,$C793 &amp; $D793 &amp; ":" &amp; O$1)</f>
        <v>0</v>
      </c>
      <c r="P7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3" s="14" t="str">
        <f>IF(ICE[[#This Row],[LastType]] = "Scrn", ICE[[#This Row],[LstDate]], IF(ICE[[#This Row],[LastType]] = "Blk", ICE[[#This Row],[LstBlkTime]], ""))</f>
        <v/>
      </c>
      <c r="R793" s="41" t="str">
        <f>IF(ICE[[#This Row],[LastType]] = "Scrn", ICE[[#This Row],[LstPrc]], IF(ICE[[#This Row],[LastType]] = "Blk", ICE[[#This Row],[LstBlkPrc]], ""))</f>
        <v/>
      </c>
      <c r="S793" s="36">
        <f>ICE[[#This Row],[Vol]]+ICE[[#This Row],[BlkVol]]</f>
        <v>0</v>
      </c>
      <c r="T793" s="36">
        <f>RTD("ice.rtd",,$C793 &amp; $D793 &amp; ":" &amp; T$1)</f>
        <v>32</v>
      </c>
      <c r="U793" s="18">
        <f>RTD("ice.rtd",,$C793 &amp; $D793 &amp; ":" &amp; U$1)</f>
        <v>-7.9929000000000006</v>
      </c>
      <c r="V7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93" s="18" t="str">
        <f>IFERROR(IF(LEFT(ICE[[#This Row],[Tenor]], 1) = "B", RTD("esrtd",,$B793 &amp; " " &amp; ICE[[#This Row],[Tenor]] &amp; "-IEU", W$1), RTD("esrtd",,$B793 &amp; " " &amp; VLOOKUP(MONTH(ICE[[#This Row],[Strip]]), MthRef[], 2, 0) &amp; RIGHT(YEAR(ICE[[#This Row],[Strip]]), 2) &amp; "-IEU", W$1)), "")</f>
        <v/>
      </c>
      <c r="X793" s="36"/>
    </row>
    <row r="794" spans="1:24" x14ac:dyDescent="0.25">
      <c r="A794" s="37" t="s">
        <v>830</v>
      </c>
      <c r="B794" s="3" t="str">
        <f>RTD("ice.rtd",,$C794 &amp; $D794 &amp; ":" &amp; B$1)</f>
        <v>BOB</v>
      </c>
      <c r="C794" s="3">
        <v>5162</v>
      </c>
      <c r="D794" t="s">
        <v>814</v>
      </c>
      <c r="E794" s="3" t="str">
        <f>RTD("ice.rtd",,$C794 &amp; $D794 &amp; ":" &amp; E$1)</f>
        <v>Q4 26</v>
      </c>
      <c r="F794" s="3" t="str">
        <f>ICE[[#This Row],[Prod]]&amp;ICE[[#This Row],[Strip]]</f>
        <v>fo35brxmtQ4 26</v>
      </c>
      <c r="G794" s="18" t="str">
        <f>RTD("ice.rtd",,$C794 &amp; $D794 &amp; ":" &amp; G$1)</f>
        <v/>
      </c>
      <c r="H794" s="18">
        <f>RTD("ice.rtd",,$C794 &amp; $D794 &amp; ":" &amp; H$1)</f>
        <v>-9</v>
      </c>
      <c r="I794" s="18" t="str">
        <f>RTD("ice.rtd",,$C794 &amp; $D794 &amp; ":" &amp; I$1)</f>
        <v/>
      </c>
      <c r="J794" s="14" t="str">
        <f>IFERROR(MOD(RTD("ice.rtd",,$C794 &amp; $D794 &amp; ":" &amp; J$1), 1), "")</f>
        <v/>
      </c>
      <c r="K794" s="18" t="str">
        <f>RTD("ice.rtd",,$C794 &amp; $D794 &amp; ":" &amp; K$1)</f>
        <v/>
      </c>
      <c r="L794" s="36" t="str">
        <f>RTD("ice.rtd",,$C794 &amp; $D794 &amp; ":" &amp; L$1)</f>
        <v/>
      </c>
      <c r="M794" s="14" t="str">
        <f>IFERROR(MOD(TIMEVALUE(RTD("ice.rtd",,$C794 &amp; $D794 &amp; ":" &amp; M$1)), 1), "")</f>
        <v/>
      </c>
      <c r="N794" s="36">
        <f>RTD("ice.rtd",,$C794 &amp; $D794 &amp; ":" &amp; N$1)</f>
        <v>0</v>
      </c>
      <c r="O794" s="36">
        <f>RTD("ice.rtd",,$C794 &amp; $D794 &amp; ":" &amp; O$1)</f>
        <v>0</v>
      </c>
      <c r="P7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4" s="14" t="str">
        <f>IF(ICE[[#This Row],[LastType]] = "Scrn", ICE[[#This Row],[LstDate]], IF(ICE[[#This Row],[LastType]] = "Blk", ICE[[#This Row],[LstBlkTime]], ""))</f>
        <v/>
      </c>
      <c r="R794" s="41" t="str">
        <f>IF(ICE[[#This Row],[LastType]] = "Scrn", ICE[[#This Row],[LstPrc]], IF(ICE[[#This Row],[LastType]] = "Blk", ICE[[#This Row],[LstBlkPrc]], ""))</f>
        <v/>
      </c>
      <c r="S794" s="36">
        <f>ICE[[#This Row],[Vol]]+ICE[[#This Row],[BlkVol]]</f>
        <v>0</v>
      </c>
      <c r="T794" s="36">
        <f>RTD("ice.rtd",,$C794 &amp; $D794 &amp; ":" &amp; T$1)</f>
        <v>0</v>
      </c>
      <c r="U794" s="18">
        <f>RTD("ice.rtd",,$C794 &amp; $D794 &amp; ":" &amp; U$1)</f>
        <v>-10.5268</v>
      </c>
      <c r="V7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-9.00 </v>
      </c>
      <c r="W794" s="18" t="str">
        <f>IFERROR(IF(LEFT(ICE[[#This Row],[Tenor]], 1) = "B", RTD("esrtd",,$B794 &amp; " " &amp; ICE[[#This Row],[Tenor]] &amp; "-IEU", W$1), RTD("esrtd",,$B794 &amp; " " &amp; VLOOKUP(MONTH(ICE[[#This Row],[Strip]]), MthRef[], 2, 0) &amp; RIGHT(YEAR(ICE[[#This Row],[Strip]]), 2) &amp; "-IEU", W$1)), "")</f>
        <v/>
      </c>
      <c r="X794" s="36"/>
    </row>
    <row r="795" spans="1:24" x14ac:dyDescent="0.25">
      <c r="A795" s="37" t="s">
        <v>830</v>
      </c>
      <c r="B795" s="3" t="str">
        <f>RTD("ice.rtd",,$C795 &amp; $D795 &amp; ":" &amp; B$1)</f>
        <v>BOB</v>
      </c>
      <c r="C795" s="3">
        <v>5162</v>
      </c>
      <c r="D795" t="s">
        <v>815</v>
      </c>
      <c r="E795" s="3" t="str">
        <f>RTD("ice.rtd",,$C795 &amp; $D795 &amp; ":" &amp; E$1)</f>
        <v>Q1 27</v>
      </c>
      <c r="F795" s="3" t="str">
        <f>ICE[[#This Row],[Prod]]&amp;ICE[[#This Row],[Strip]]</f>
        <v>fo35brxmtQ1 27</v>
      </c>
      <c r="G795" s="18" t="str">
        <f>RTD("ice.rtd",,$C795 &amp; $D795 &amp; ":" &amp; G$1)</f>
        <v/>
      </c>
      <c r="H795" s="18">
        <f>RTD("ice.rtd",,$C795 &amp; $D795 &amp; ":" &amp; H$1)</f>
        <v>-8.1999999999999993</v>
      </c>
      <c r="I795" s="18" t="str">
        <f>RTD("ice.rtd",,$C795 &amp; $D795 &amp; ":" &amp; I$1)</f>
        <v/>
      </c>
      <c r="J795" s="14" t="str">
        <f>IFERROR(MOD(RTD("ice.rtd",,$C795 &amp; $D795 &amp; ":" &amp; J$1), 1), "")</f>
        <v/>
      </c>
      <c r="K795" s="18" t="str">
        <f>RTD("ice.rtd",,$C795 &amp; $D795 &amp; ":" &amp; K$1)</f>
        <v/>
      </c>
      <c r="L795" s="36" t="str">
        <f>RTD("ice.rtd",,$C795 &amp; $D795 &amp; ":" &amp; L$1)</f>
        <v/>
      </c>
      <c r="M795" s="14" t="str">
        <f>IFERROR(MOD(TIMEVALUE(RTD("ice.rtd",,$C795 &amp; $D795 &amp; ":" &amp; M$1)), 1), "")</f>
        <v/>
      </c>
      <c r="N795" s="36">
        <f>RTD("ice.rtd",,$C795 &amp; $D795 &amp; ":" &amp; N$1)</f>
        <v>0</v>
      </c>
      <c r="O795" s="36">
        <f>RTD("ice.rtd",,$C795 &amp; $D795 &amp; ":" &amp; O$1)</f>
        <v>0</v>
      </c>
      <c r="P7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5" s="14" t="str">
        <f>IF(ICE[[#This Row],[LastType]] = "Scrn", ICE[[#This Row],[LstDate]], IF(ICE[[#This Row],[LastType]] = "Blk", ICE[[#This Row],[LstBlkTime]], ""))</f>
        <v/>
      </c>
      <c r="R795" s="41" t="str">
        <f>IF(ICE[[#This Row],[LastType]] = "Scrn", ICE[[#This Row],[LstPrc]], IF(ICE[[#This Row],[LastType]] = "Blk", ICE[[#This Row],[LstBlkPrc]], ""))</f>
        <v/>
      </c>
      <c r="S795" s="36">
        <f>ICE[[#This Row],[Vol]]+ICE[[#This Row],[BlkVol]]</f>
        <v>0</v>
      </c>
      <c r="T795" s="36">
        <f>RTD("ice.rtd",,$C795 &amp; $D795 &amp; ":" &amp; T$1)</f>
        <v>0</v>
      </c>
      <c r="U795" s="18">
        <f>RTD("ice.rtd",,$C795 &amp; $D795 &amp; ":" &amp; U$1)</f>
        <v>-8.6273</v>
      </c>
      <c r="V7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-8.20 </v>
      </c>
      <c r="W795" s="18" t="str">
        <f>IFERROR(IF(LEFT(ICE[[#This Row],[Tenor]], 1) = "B", RTD("esrtd",,$B795 &amp; " " &amp; ICE[[#This Row],[Tenor]] &amp; "-IEU", W$1), RTD("esrtd",,$B795 &amp; " " &amp; VLOOKUP(MONTH(ICE[[#This Row],[Strip]]), MthRef[], 2, 0) &amp; RIGHT(YEAR(ICE[[#This Row],[Strip]]), 2) &amp; "-IEU", W$1)), "")</f>
        <v/>
      </c>
      <c r="X795" s="36"/>
    </row>
    <row r="796" spans="1:24" x14ac:dyDescent="0.25">
      <c r="A796" s="37" t="s">
        <v>830</v>
      </c>
      <c r="B796" s="3" t="str">
        <f>RTD("ice.rtd",,$C796 &amp; $D796 &amp; ":" &amp; B$1)</f>
        <v>BOB</v>
      </c>
      <c r="C796" s="3">
        <v>5162</v>
      </c>
      <c r="D796" t="s">
        <v>816</v>
      </c>
      <c r="E796" s="3" t="str">
        <f>RTD("ice.rtd",,$C796 &amp; $D796 &amp; ":" &amp; E$1)</f>
        <v>Q2 27</v>
      </c>
      <c r="F796" s="3" t="str">
        <f>ICE[[#This Row],[Prod]]&amp;ICE[[#This Row],[Strip]]</f>
        <v>fo35brxmtQ2 27</v>
      </c>
      <c r="G796" s="18" t="str">
        <f>RTD("ice.rtd",,$C796 &amp; $D796 &amp; ":" &amp; G$1)</f>
        <v/>
      </c>
      <c r="H796" s="18" t="str">
        <f>RTD("ice.rtd",,$C796 &amp; $D796 &amp; ":" &amp; H$1)</f>
        <v/>
      </c>
      <c r="I796" s="18" t="str">
        <f>RTD("ice.rtd",,$C796 &amp; $D796 &amp; ":" &amp; I$1)</f>
        <v/>
      </c>
      <c r="J796" s="14" t="str">
        <f>IFERROR(MOD(RTD("ice.rtd",,$C796 &amp; $D796 &amp; ":" &amp; J$1), 1), "")</f>
        <v/>
      </c>
      <c r="K796" s="18" t="str">
        <f>RTD("ice.rtd",,$C796 &amp; $D796 &amp; ":" &amp; K$1)</f>
        <v/>
      </c>
      <c r="L796" s="36" t="str">
        <f>RTD("ice.rtd",,$C796 &amp; $D796 &amp; ":" &amp; L$1)</f>
        <v/>
      </c>
      <c r="M796" s="14" t="str">
        <f>IFERROR(MOD(TIMEVALUE(RTD("ice.rtd",,$C796 &amp; $D796 &amp; ":" &amp; M$1)), 1), "")</f>
        <v/>
      </c>
      <c r="N796" s="36">
        <f>RTD("ice.rtd",,$C796 &amp; $D796 &amp; ":" &amp; N$1)</f>
        <v>0</v>
      </c>
      <c r="O796" s="36">
        <f>RTD("ice.rtd",,$C796 &amp; $D796 &amp; ":" &amp; O$1)</f>
        <v>0</v>
      </c>
      <c r="P7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6" s="14" t="str">
        <f>IF(ICE[[#This Row],[LastType]] = "Scrn", ICE[[#This Row],[LstDate]], IF(ICE[[#This Row],[LastType]] = "Blk", ICE[[#This Row],[LstBlkTime]], ""))</f>
        <v/>
      </c>
      <c r="R796" s="41" t="str">
        <f>IF(ICE[[#This Row],[LastType]] = "Scrn", ICE[[#This Row],[LstPrc]], IF(ICE[[#This Row],[LastType]] = "Blk", ICE[[#This Row],[LstBlkPrc]], ""))</f>
        <v/>
      </c>
      <c r="S796" s="36">
        <f>ICE[[#This Row],[Vol]]+ICE[[#This Row],[BlkVol]]</f>
        <v>0</v>
      </c>
      <c r="T796" s="36">
        <f>RTD("ice.rtd",,$C796 &amp; $D796 &amp; ":" &amp; T$1)</f>
        <v>0</v>
      </c>
      <c r="U796" s="18">
        <f>RTD("ice.rtd",,$C796 &amp; $D796 &amp; ":" &amp; U$1)</f>
        <v>-7.5901000000000005</v>
      </c>
      <c r="V7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96" s="18" t="str">
        <f>IFERROR(IF(LEFT(ICE[[#This Row],[Tenor]], 1) = "B", RTD("esrtd",,$B796 &amp; " " &amp; ICE[[#This Row],[Tenor]] &amp; "-IEU", W$1), RTD("esrtd",,$B796 &amp; " " &amp; VLOOKUP(MONTH(ICE[[#This Row],[Strip]]), MthRef[], 2, 0) &amp; RIGHT(YEAR(ICE[[#This Row],[Strip]]), 2) &amp; "-IEU", W$1)), "")</f>
        <v/>
      </c>
      <c r="X796" s="36"/>
    </row>
    <row r="797" spans="1:24" x14ac:dyDescent="0.25">
      <c r="A797" s="37" t="s">
        <v>830</v>
      </c>
      <c r="B797" s="3" t="str">
        <f>RTD("ice.rtd",,$C797 &amp; $D797 &amp; ":" &amp; B$1)</f>
        <v>BOB</v>
      </c>
      <c r="C797" s="3">
        <v>5162</v>
      </c>
      <c r="D797" t="s">
        <v>817</v>
      </c>
      <c r="E797" s="3" t="str">
        <f>RTD("ice.rtd",,$C797 &amp; $D797 &amp; ":" &amp; E$1)</f>
        <v>Q3 27</v>
      </c>
      <c r="F797" s="3" t="str">
        <f>ICE[[#This Row],[Prod]]&amp;ICE[[#This Row],[Strip]]</f>
        <v>fo35brxmtQ3 27</v>
      </c>
      <c r="G797" s="18" t="str">
        <f>RTD("ice.rtd",,$C797 &amp; $D797 &amp; ":" &amp; G$1)</f>
        <v/>
      </c>
      <c r="H797" s="18" t="str">
        <f>RTD("ice.rtd",,$C797 &amp; $D797 &amp; ":" &amp; H$1)</f>
        <v/>
      </c>
      <c r="I797" s="18" t="str">
        <f>RTD("ice.rtd",,$C797 &amp; $D797 &amp; ":" &amp; I$1)</f>
        <v/>
      </c>
      <c r="J797" s="14" t="str">
        <f>IFERROR(MOD(RTD("ice.rtd",,$C797 &amp; $D797 &amp; ":" &amp; J$1), 1), "")</f>
        <v/>
      </c>
      <c r="K797" s="18" t="str">
        <f>RTD("ice.rtd",,$C797 &amp; $D797 &amp; ":" &amp; K$1)</f>
        <v/>
      </c>
      <c r="L797" s="36" t="str">
        <f>RTD("ice.rtd",,$C797 &amp; $D797 &amp; ":" &amp; L$1)</f>
        <v/>
      </c>
      <c r="M797" s="14" t="str">
        <f>IFERROR(MOD(TIMEVALUE(RTD("ice.rtd",,$C797 &amp; $D797 &amp; ":" &amp; M$1)), 1), "")</f>
        <v/>
      </c>
      <c r="N797" s="36">
        <f>RTD("ice.rtd",,$C797 &amp; $D797 &amp; ":" &amp; N$1)</f>
        <v>0</v>
      </c>
      <c r="O797" s="36">
        <f>RTD("ice.rtd",,$C797 &amp; $D797 &amp; ":" &amp; O$1)</f>
        <v>0</v>
      </c>
      <c r="P7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7" s="14" t="str">
        <f>IF(ICE[[#This Row],[LastType]] = "Scrn", ICE[[#This Row],[LstDate]], IF(ICE[[#This Row],[LastType]] = "Blk", ICE[[#This Row],[LstBlkTime]], ""))</f>
        <v/>
      </c>
      <c r="R797" s="41" t="str">
        <f>IF(ICE[[#This Row],[LastType]] = "Scrn", ICE[[#This Row],[LstPrc]], IF(ICE[[#This Row],[LastType]] = "Blk", ICE[[#This Row],[LstBlkPrc]], ""))</f>
        <v/>
      </c>
      <c r="S797" s="36">
        <f>ICE[[#This Row],[Vol]]+ICE[[#This Row],[BlkVol]]</f>
        <v>0</v>
      </c>
      <c r="T797" s="36">
        <f>RTD("ice.rtd",,$C797 &amp; $D797 &amp; ":" &amp; T$1)</f>
        <v>0</v>
      </c>
      <c r="U797" s="18">
        <f>RTD("ice.rtd",,$C797 &amp; $D797 &amp; ":" &amp; U$1)</f>
        <v>-7.7303000000000006</v>
      </c>
      <c r="V7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97" s="18" t="str">
        <f>IFERROR(IF(LEFT(ICE[[#This Row],[Tenor]], 1) = "B", RTD("esrtd",,$B797 &amp; " " &amp; ICE[[#This Row],[Tenor]] &amp; "-IEU", W$1), RTD("esrtd",,$B797 &amp; " " &amp; VLOOKUP(MONTH(ICE[[#This Row],[Strip]]), MthRef[], 2, 0) &amp; RIGHT(YEAR(ICE[[#This Row],[Strip]]), 2) &amp; "-IEU", W$1)), "")</f>
        <v/>
      </c>
      <c r="X797" s="36"/>
    </row>
    <row r="798" spans="1:24" x14ac:dyDescent="0.25">
      <c r="A798" s="37" t="s">
        <v>830</v>
      </c>
      <c r="B798" s="3" t="str">
        <f>RTD("ice.rtd",,$C798 &amp; $D798 &amp; ":" &amp; B$1)</f>
        <v>BOB</v>
      </c>
      <c r="C798" s="3">
        <v>5162</v>
      </c>
      <c r="D798" t="s">
        <v>818</v>
      </c>
      <c r="E798" s="3" t="str">
        <f>RTD("ice.rtd",,$C798 &amp; $D798 &amp; ":" &amp; E$1)</f>
        <v>Q4 27</v>
      </c>
      <c r="F798" s="3" t="str">
        <f>ICE[[#This Row],[Prod]]&amp;ICE[[#This Row],[Strip]]</f>
        <v>fo35brxmtQ4 27</v>
      </c>
      <c r="G798" s="18" t="str">
        <f>RTD("ice.rtd",,$C798 &amp; $D798 &amp; ":" &amp; G$1)</f>
        <v/>
      </c>
      <c r="H798" s="18" t="str">
        <f>RTD("ice.rtd",,$C798 &amp; $D798 &amp; ":" &amp; H$1)</f>
        <v/>
      </c>
      <c r="I798" s="18" t="str">
        <f>RTD("ice.rtd",,$C798 &amp; $D798 &amp; ":" &amp; I$1)</f>
        <v/>
      </c>
      <c r="J798" s="14" t="str">
        <f>IFERROR(MOD(RTD("ice.rtd",,$C798 &amp; $D798 &amp; ":" &amp; J$1), 1), "")</f>
        <v/>
      </c>
      <c r="K798" s="18" t="str">
        <f>RTD("ice.rtd",,$C798 &amp; $D798 &amp; ":" &amp; K$1)</f>
        <v/>
      </c>
      <c r="L798" s="36" t="str">
        <f>RTD("ice.rtd",,$C798 &amp; $D798 &amp; ":" &amp; L$1)</f>
        <v/>
      </c>
      <c r="M798" s="14" t="str">
        <f>IFERROR(MOD(TIMEVALUE(RTD("ice.rtd",,$C798 &amp; $D798 &amp; ":" &amp; M$1)), 1), "")</f>
        <v/>
      </c>
      <c r="N798" s="36">
        <f>RTD("ice.rtd",,$C798 &amp; $D798 &amp; ":" &amp; N$1)</f>
        <v>0</v>
      </c>
      <c r="O798" s="36">
        <f>RTD("ice.rtd",,$C798 &amp; $D798 &amp; ":" &amp; O$1)</f>
        <v>0</v>
      </c>
      <c r="P7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8" s="14" t="str">
        <f>IF(ICE[[#This Row],[LastType]] = "Scrn", ICE[[#This Row],[LstDate]], IF(ICE[[#This Row],[LastType]] = "Blk", ICE[[#This Row],[LstBlkTime]], ""))</f>
        <v/>
      </c>
      <c r="R798" s="41" t="str">
        <f>IF(ICE[[#This Row],[LastType]] = "Scrn", ICE[[#This Row],[LstPrc]], IF(ICE[[#This Row],[LastType]] = "Blk", ICE[[#This Row],[LstBlkPrc]], ""))</f>
        <v/>
      </c>
      <c r="S798" s="36">
        <f>ICE[[#This Row],[Vol]]+ICE[[#This Row],[BlkVol]]</f>
        <v>0</v>
      </c>
      <c r="T798" s="36">
        <f>RTD("ice.rtd",,$C798 &amp; $D798 &amp; ":" &amp; T$1)</f>
        <v>0</v>
      </c>
      <c r="U798" s="18">
        <f>RTD("ice.rtd",,$C798 &amp; $D798 &amp; ":" &amp; U$1)</f>
        <v>-8.4535</v>
      </c>
      <c r="V7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98" s="18" t="str">
        <f>IFERROR(IF(LEFT(ICE[[#This Row],[Tenor]], 1) = "B", RTD("esrtd",,$B798 &amp; " " &amp; ICE[[#This Row],[Tenor]] &amp; "-IEU", W$1), RTD("esrtd",,$B798 &amp; " " &amp; VLOOKUP(MONTH(ICE[[#This Row],[Strip]]), MthRef[], 2, 0) &amp; RIGHT(YEAR(ICE[[#This Row],[Strip]]), 2) &amp; "-IEU", W$1)), "")</f>
        <v/>
      </c>
      <c r="X798" s="36"/>
    </row>
    <row r="799" spans="1:24" x14ac:dyDescent="0.25">
      <c r="A799" s="37" t="s">
        <v>830</v>
      </c>
      <c r="B799" s="3" t="str">
        <f>RTD("ice.rtd",,$C799 &amp; $D799 &amp; ":" &amp; B$1)</f>
        <v>BOB</v>
      </c>
      <c r="C799" s="3">
        <v>5162</v>
      </c>
      <c r="D799" t="s">
        <v>819</v>
      </c>
      <c r="E799" s="3" t="str">
        <f>RTD("ice.rtd",,$C799 &amp; $D799 &amp; ":" &amp; E$1)</f>
        <v>Q1 28</v>
      </c>
      <c r="F799" s="3" t="str">
        <f>ICE[[#This Row],[Prod]]&amp;ICE[[#This Row],[Strip]]</f>
        <v>fo35brxmtQ1 28</v>
      </c>
      <c r="G799" s="18" t="str">
        <f>RTD("ice.rtd",,$C799 &amp; $D799 &amp; ":" &amp; G$1)</f>
        <v/>
      </c>
      <c r="H799" s="18" t="str">
        <f>RTD("ice.rtd",,$C799 &amp; $D799 &amp; ":" &amp; H$1)</f>
        <v/>
      </c>
      <c r="I799" s="18" t="str">
        <f>RTD("ice.rtd",,$C799 &amp; $D799 &amp; ":" &amp; I$1)</f>
        <v/>
      </c>
      <c r="J799" s="14" t="str">
        <f>IFERROR(MOD(RTD("ice.rtd",,$C799 &amp; $D799 &amp; ":" &amp; J$1), 1), "")</f>
        <v/>
      </c>
      <c r="K799" s="18" t="str">
        <f>RTD("ice.rtd",,$C799 &amp; $D799 &amp; ":" &amp; K$1)</f>
        <v/>
      </c>
      <c r="L799" s="36" t="str">
        <f>RTD("ice.rtd",,$C799 &amp; $D799 &amp; ":" &amp; L$1)</f>
        <v/>
      </c>
      <c r="M799" s="14" t="str">
        <f>IFERROR(MOD(TIMEVALUE(RTD("ice.rtd",,$C799 &amp; $D799 &amp; ":" &amp; M$1)), 1), "")</f>
        <v/>
      </c>
      <c r="N799" s="36">
        <f>RTD("ice.rtd",,$C799 &amp; $D799 &amp; ":" &amp; N$1)</f>
        <v>0</v>
      </c>
      <c r="O799" s="36">
        <f>RTD("ice.rtd",,$C799 &amp; $D799 &amp; ":" &amp; O$1)</f>
        <v>0</v>
      </c>
      <c r="P7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799" s="14" t="str">
        <f>IF(ICE[[#This Row],[LastType]] = "Scrn", ICE[[#This Row],[LstDate]], IF(ICE[[#This Row],[LastType]] = "Blk", ICE[[#This Row],[LstBlkTime]], ""))</f>
        <v/>
      </c>
      <c r="R799" s="41" t="str">
        <f>IF(ICE[[#This Row],[LastType]] = "Scrn", ICE[[#This Row],[LstPrc]], IF(ICE[[#This Row],[LastType]] = "Blk", ICE[[#This Row],[LstBlkPrc]], ""))</f>
        <v/>
      </c>
      <c r="S799" s="36">
        <f>ICE[[#This Row],[Vol]]+ICE[[#This Row],[BlkVol]]</f>
        <v>0</v>
      </c>
      <c r="T799" s="36">
        <f>RTD("ice.rtd",,$C799 &amp; $D799 &amp; ":" &amp; T$1)</f>
        <v>0</v>
      </c>
      <c r="U799" s="18">
        <f>RTD("ice.rtd",,$C799 &amp; $D799 &amp; ":" &amp; U$1)</f>
        <v>-8.2688000000000006</v>
      </c>
      <c r="V7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799" s="18" t="str">
        <f>IFERROR(IF(LEFT(ICE[[#This Row],[Tenor]], 1) = "B", RTD("esrtd",,$B799 &amp; " " &amp; ICE[[#This Row],[Tenor]] &amp; "-IEU", W$1), RTD("esrtd",,$B799 &amp; " " &amp; VLOOKUP(MONTH(ICE[[#This Row],[Strip]]), MthRef[], 2, 0) &amp; RIGHT(YEAR(ICE[[#This Row],[Strip]]), 2) &amp; "-IEU", W$1)), "")</f>
        <v/>
      </c>
      <c r="X799" s="36"/>
    </row>
    <row r="800" spans="1:24" x14ac:dyDescent="0.25">
      <c r="A800" s="37" t="s">
        <v>830</v>
      </c>
      <c r="B800" s="3" t="str">
        <f>RTD("ice.rtd",,$C800 &amp; $D800 &amp; ":" &amp; B$1)</f>
        <v>BOB</v>
      </c>
      <c r="C800" s="3">
        <v>5162</v>
      </c>
      <c r="D800" t="s">
        <v>229</v>
      </c>
      <c r="E800" s="3" t="str">
        <f>RTD("ice.rtd",,$C800 &amp; $D800 &amp; ":" &amp; E$1)</f>
        <v>Q2 28</v>
      </c>
      <c r="F800" s="3" t="str">
        <f>ICE[[#This Row],[Prod]]&amp;ICE[[#This Row],[Strip]]</f>
        <v>fo35brxmtQ2 28</v>
      </c>
      <c r="G800" s="18" t="str">
        <f>RTD("ice.rtd",,$C800 &amp; $D800 &amp; ":" &amp; G$1)</f>
        <v/>
      </c>
      <c r="H800" s="18" t="str">
        <f>RTD("ice.rtd",,$C800 &amp; $D800 &amp; ":" &amp; H$1)</f>
        <v/>
      </c>
      <c r="I800" s="18" t="str">
        <f>RTD("ice.rtd",,$C800 &amp; $D800 &amp; ":" &amp; I$1)</f>
        <v/>
      </c>
      <c r="J800" s="14" t="str">
        <f>IFERROR(MOD(RTD("ice.rtd",,$C800 &amp; $D800 &amp; ":" &amp; J$1), 1), "")</f>
        <v/>
      </c>
      <c r="K800" s="18" t="str">
        <f>RTD("ice.rtd",,$C800 &amp; $D800 &amp; ":" &amp; K$1)</f>
        <v/>
      </c>
      <c r="L800" s="36" t="str">
        <f>RTD("ice.rtd",,$C800 &amp; $D800 &amp; ":" &amp; L$1)</f>
        <v/>
      </c>
      <c r="M800" s="14" t="str">
        <f>IFERROR(MOD(TIMEVALUE(RTD("ice.rtd",,$C800 &amp; $D800 &amp; ":" &amp; M$1)), 1), "")</f>
        <v/>
      </c>
      <c r="N800" s="36">
        <f>RTD("ice.rtd",,$C800 &amp; $D800 &amp; ":" &amp; N$1)</f>
        <v>0</v>
      </c>
      <c r="O800" s="36">
        <f>RTD("ice.rtd",,$C800 &amp; $D800 &amp; ":" &amp; O$1)</f>
        <v>0</v>
      </c>
      <c r="P8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00" s="14" t="str">
        <f>IF(ICE[[#This Row],[LastType]] = "Scrn", ICE[[#This Row],[LstDate]], IF(ICE[[#This Row],[LastType]] = "Blk", ICE[[#This Row],[LstBlkTime]], ""))</f>
        <v/>
      </c>
      <c r="R800" s="41" t="str">
        <f>IF(ICE[[#This Row],[LastType]] = "Scrn", ICE[[#This Row],[LstPrc]], IF(ICE[[#This Row],[LastType]] = "Blk", ICE[[#This Row],[LstBlkPrc]], ""))</f>
        <v/>
      </c>
      <c r="S800" s="36">
        <f>ICE[[#This Row],[Vol]]+ICE[[#This Row],[BlkVol]]</f>
        <v>0</v>
      </c>
      <c r="T800" s="36">
        <f>RTD("ice.rtd",,$C800 &amp; $D800 &amp; ":" &amp; T$1)</f>
        <v>0</v>
      </c>
      <c r="U800" s="18">
        <f>RTD("ice.rtd",,$C800 &amp; $D800 &amp; ":" &amp; U$1)</f>
        <v>-8.0039999999999996</v>
      </c>
      <c r="V8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00" s="18" t="str">
        <f>IFERROR(IF(LEFT(ICE[[#This Row],[Tenor]], 1) = "B", RTD("esrtd",,$B800 &amp; " " &amp; ICE[[#This Row],[Tenor]] &amp; "-IEU", W$1), RTD("esrtd",,$B800 &amp; " " &amp; VLOOKUP(MONTH(ICE[[#This Row],[Strip]]), MthRef[], 2, 0) &amp; RIGHT(YEAR(ICE[[#This Row],[Strip]]), 2) &amp; "-IEU", W$1)), "")</f>
        <v/>
      </c>
      <c r="X800" s="36"/>
    </row>
    <row r="801" spans="1:24" x14ac:dyDescent="0.25">
      <c r="A801" s="37" t="s">
        <v>830</v>
      </c>
      <c r="B801" s="3" t="str">
        <f>RTD("ice.rtd",,$C801 &amp; $D801 &amp; ":" &amp; B$1)</f>
        <v>BOB</v>
      </c>
      <c r="C801" s="3">
        <v>5162</v>
      </c>
      <c r="D801" t="s">
        <v>820</v>
      </c>
      <c r="E801" s="3" t="str">
        <f>RTD("ice.rtd",,$C801 &amp; $D801 &amp; ":" &amp; E$1)</f>
        <v>Q3 28</v>
      </c>
      <c r="F801" s="3" t="str">
        <f>ICE[[#This Row],[Prod]]&amp;ICE[[#This Row],[Strip]]</f>
        <v>fo35brxmtQ3 28</v>
      </c>
      <c r="G801" s="18" t="str">
        <f>RTD("ice.rtd",,$C801 &amp; $D801 &amp; ":" &amp; G$1)</f>
        <v/>
      </c>
      <c r="H801" s="18" t="str">
        <f>RTD("ice.rtd",,$C801 &amp; $D801 &amp; ":" &amp; H$1)</f>
        <v/>
      </c>
      <c r="I801" s="18" t="str">
        <f>RTD("ice.rtd",,$C801 &amp; $D801 &amp; ":" &amp; I$1)</f>
        <v/>
      </c>
      <c r="J801" s="14" t="str">
        <f>IFERROR(MOD(RTD("ice.rtd",,$C801 &amp; $D801 &amp; ":" &amp; J$1), 1), "")</f>
        <v/>
      </c>
      <c r="K801" s="18" t="str">
        <f>RTD("ice.rtd",,$C801 &amp; $D801 &amp; ":" &amp; K$1)</f>
        <v/>
      </c>
      <c r="L801" s="36" t="str">
        <f>RTD("ice.rtd",,$C801 &amp; $D801 &amp; ":" &amp; L$1)</f>
        <v/>
      </c>
      <c r="M801" s="14" t="str">
        <f>IFERROR(MOD(TIMEVALUE(RTD("ice.rtd",,$C801 &amp; $D801 &amp; ":" &amp; M$1)), 1), "")</f>
        <v/>
      </c>
      <c r="N801" s="36">
        <f>RTD("ice.rtd",,$C801 &amp; $D801 &amp; ":" &amp; N$1)</f>
        <v>0</v>
      </c>
      <c r="O801" s="36">
        <f>RTD("ice.rtd",,$C801 &amp; $D801 &amp; ":" &amp; O$1)</f>
        <v>0</v>
      </c>
      <c r="P8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01" s="14" t="str">
        <f>IF(ICE[[#This Row],[LastType]] = "Scrn", ICE[[#This Row],[LstDate]], IF(ICE[[#This Row],[LastType]] = "Blk", ICE[[#This Row],[LstBlkTime]], ""))</f>
        <v/>
      </c>
      <c r="R801" s="41" t="str">
        <f>IF(ICE[[#This Row],[LastType]] = "Scrn", ICE[[#This Row],[LstPrc]], IF(ICE[[#This Row],[LastType]] = "Blk", ICE[[#This Row],[LstBlkPrc]], ""))</f>
        <v/>
      </c>
      <c r="S801" s="36">
        <f>ICE[[#This Row],[Vol]]+ICE[[#This Row],[BlkVol]]</f>
        <v>0</v>
      </c>
      <c r="T801" s="36">
        <f>RTD("ice.rtd",,$C801 &amp; $D801 &amp; ":" &amp; T$1)</f>
        <v>0</v>
      </c>
      <c r="U801" s="18">
        <f>RTD("ice.rtd",,$C801 &amp; $D801 &amp; ":" &amp; U$1)</f>
        <v>-7.9577</v>
      </c>
      <c r="V8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01" s="18" t="str">
        <f>IFERROR(IF(LEFT(ICE[[#This Row],[Tenor]], 1) = "B", RTD("esrtd",,$B801 &amp; " " &amp; ICE[[#This Row],[Tenor]] &amp; "-IEU", W$1), RTD("esrtd",,$B801 &amp; " " &amp; VLOOKUP(MONTH(ICE[[#This Row],[Strip]]), MthRef[], 2, 0) &amp; RIGHT(YEAR(ICE[[#This Row],[Strip]]), 2) &amp; "-IEU", W$1)), "")</f>
        <v/>
      </c>
      <c r="X801" s="36"/>
    </row>
    <row r="802" spans="1:24" x14ac:dyDescent="0.25">
      <c r="A802" s="37" t="s">
        <v>830</v>
      </c>
      <c r="B802" s="3" t="str">
        <f>RTD("ice.rtd",,$C802 &amp; $D802 &amp; ":" &amp; B$1)</f>
        <v>BOB</v>
      </c>
      <c r="C802" s="3">
        <v>5162</v>
      </c>
      <c r="D802" t="s">
        <v>821</v>
      </c>
      <c r="E802" s="3" t="str">
        <f>RTD("ice.rtd",,$C802 &amp; $D802 &amp; ":" &amp; E$1)</f>
        <v>Q4 28</v>
      </c>
      <c r="F802" s="3" t="str">
        <f>ICE[[#This Row],[Prod]]&amp;ICE[[#This Row],[Strip]]</f>
        <v>fo35brxmtQ4 28</v>
      </c>
      <c r="G802" s="18" t="str">
        <f>RTD("ice.rtd",,$C802 &amp; $D802 &amp; ":" &amp; G$1)</f>
        <v/>
      </c>
      <c r="H802" s="18" t="str">
        <f>RTD("ice.rtd",,$C802 &amp; $D802 &amp; ":" &amp; H$1)</f>
        <v/>
      </c>
      <c r="I802" s="18" t="str">
        <f>RTD("ice.rtd",,$C802 &amp; $D802 &amp; ":" &amp; I$1)</f>
        <v/>
      </c>
      <c r="J802" s="14" t="str">
        <f>IFERROR(MOD(RTD("ice.rtd",,$C802 &amp; $D802 &amp; ":" &amp; J$1), 1), "")</f>
        <v/>
      </c>
      <c r="K802" s="18" t="str">
        <f>RTD("ice.rtd",,$C802 &amp; $D802 &amp; ":" &amp; K$1)</f>
        <v/>
      </c>
      <c r="L802" s="36" t="str">
        <f>RTD("ice.rtd",,$C802 &amp; $D802 &amp; ":" &amp; L$1)</f>
        <v/>
      </c>
      <c r="M802" s="14" t="str">
        <f>IFERROR(MOD(TIMEVALUE(RTD("ice.rtd",,$C802 &amp; $D802 &amp; ":" &amp; M$1)), 1), "")</f>
        <v/>
      </c>
      <c r="N802" s="36">
        <f>RTD("ice.rtd",,$C802 &amp; $D802 &amp; ":" &amp; N$1)</f>
        <v>0</v>
      </c>
      <c r="O802" s="36">
        <f>RTD("ice.rtd",,$C802 &amp; $D802 &amp; ":" &amp; O$1)</f>
        <v>0</v>
      </c>
      <c r="P8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02" s="14" t="str">
        <f>IF(ICE[[#This Row],[LastType]] = "Scrn", ICE[[#This Row],[LstDate]], IF(ICE[[#This Row],[LastType]] = "Blk", ICE[[#This Row],[LstBlkTime]], ""))</f>
        <v/>
      </c>
      <c r="R802" s="41" t="str">
        <f>IF(ICE[[#This Row],[LastType]] = "Scrn", ICE[[#This Row],[LstPrc]], IF(ICE[[#This Row],[LastType]] = "Blk", ICE[[#This Row],[LstBlkPrc]], ""))</f>
        <v/>
      </c>
      <c r="S802" s="36">
        <f>ICE[[#This Row],[Vol]]+ICE[[#This Row],[BlkVol]]</f>
        <v>0</v>
      </c>
      <c r="T802" s="36">
        <f>RTD("ice.rtd",,$C802 &amp; $D802 &amp; ":" &amp; T$1)</f>
        <v>0</v>
      </c>
      <c r="U802" s="18">
        <f>RTD("ice.rtd",,$C802 &amp; $D802 &amp; ":" &amp; U$1)</f>
        <v>-7.8374000000000006</v>
      </c>
      <c r="V8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02" s="18" t="str">
        <f>IFERROR(IF(LEFT(ICE[[#This Row],[Tenor]], 1) = "B", RTD("esrtd",,$B802 &amp; " " &amp; ICE[[#This Row],[Tenor]] &amp; "-IEU", W$1), RTD("esrtd",,$B802 &amp; " " &amp; VLOOKUP(MONTH(ICE[[#This Row],[Strip]]), MthRef[], 2, 0) &amp; RIGHT(YEAR(ICE[[#This Row],[Strip]]), 2) &amp; "-IEU", W$1)), "")</f>
        <v/>
      </c>
      <c r="X802" s="36"/>
    </row>
    <row r="803" spans="1:24" x14ac:dyDescent="0.25">
      <c r="A803" s="37" t="s">
        <v>830</v>
      </c>
      <c r="B803" s="3" t="str">
        <f>RTD("ice.rtd",,$C803 &amp; $D803 &amp; ":" &amp; B$1)</f>
        <v>BOB</v>
      </c>
      <c r="C803" s="3">
        <v>5162</v>
      </c>
      <c r="D803" t="s">
        <v>822</v>
      </c>
      <c r="E803" s="3" t="str">
        <f>RTD("ice.rtd",,$C803 &amp; $D803 &amp; ":" &amp; E$1)</f>
        <v>Cal 27</v>
      </c>
      <c r="F803" s="3" t="str">
        <f>ICE[[#This Row],[Prod]]&amp;ICE[[#This Row],[Strip]]</f>
        <v>fo35brxmtCal 27</v>
      </c>
      <c r="G803" s="18" t="str">
        <f>RTD("ice.rtd",,$C803 &amp; $D803 &amp; ":" &amp; G$1)</f>
        <v/>
      </c>
      <c r="H803" s="18" t="str">
        <f>RTD("ice.rtd",,$C803 &amp; $D803 &amp; ":" &amp; H$1)</f>
        <v/>
      </c>
      <c r="I803" s="18" t="str">
        <f>RTD("ice.rtd",,$C803 &amp; $D803 &amp; ":" &amp; I$1)</f>
        <v/>
      </c>
      <c r="J803" s="14" t="str">
        <f>IFERROR(MOD(RTD("ice.rtd",,$C803 &amp; $D803 &amp; ":" &amp; J$1), 1), "")</f>
        <v/>
      </c>
      <c r="K803" s="18" t="str">
        <f>RTD("ice.rtd",,$C803 &amp; $D803 &amp; ":" &amp; K$1)</f>
        <v/>
      </c>
      <c r="L803" s="36" t="str">
        <f>RTD("ice.rtd",,$C803 &amp; $D803 &amp; ":" &amp; L$1)</f>
        <v/>
      </c>
      <c r="M803" s="14" t="str">
        <f>IFERROR(MOD(TIMEVALUE(RTD("ice.rtd",,$C803 &amp; $D803 &amp; ":" &amp; M$1)), 1), "")</f>
        <v/>
      </c>
      <c r="N803" s="36">
        <f>RTD("ice.rtd",,$C803 &amp; $D803 &amp; ":" &amp; N$1)</f>
        <v>0</v>
      </c>
      <c r="O803" s="36">
        <f>RTD("ice.rtd",,$C803 &amp; $D803 &amp; ":" &amp; O$1)</f>
        <v>0</v>
      </c>
      <c r="P8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03" s="14" t="str">
        <f>IF(ICE[[#This Row],[LastType]] = "Scrn", ICE[[#This Row],[LstDate]], IF(ICE[[#This Row],[LastType]] = "Blk", ICE[[#This Row],[LstBlkTime]], ""))</f>
        <v/>
      </c>
      <c r="R803" s="41" t="str">
        <f>IF(ICE[[#This Row],[LastType]] = "Scrn", ICE[[#This Row],[LstPrc]], IF(ICE[[#This Row],[LastType]] = "Blk", ICE[[#This Row],[LstBlkPrc]], ""))</f>
        <v/>
      </c>
      <c r="S803" s="36">
        <f>ICE[[#This Row],[Vol]]+ICE[[#This Row],[BlkVol]]</f>
        <v>0</v>
      </c>
      <c r="T803" s="36">
        <f>RTD("ice.rtd",,$C803 &amp; $D803 &amp; ":" &amp; T$1)</f>
        <v>0</v>
      </c>
      <c r="U803" s="18">
        <f>RTD("ice.rtd",,$C803 &amp; $D803 &amp; ":" &amp; U$1)</f>
        <v>-8.1003000000000007</v>
      </c>
      <c r="V8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03" s="18" t="str">
        <f>IFERROR(IF(LEFT(ICE[[#This Row],[Tenor]], 1) = "B", RTD("esrtd",,$B803 &amp; " " &amp; ICE[[#This Row],[Tenor]] &amp; "-IEU", W$1), RTD("esrtd",,$B803 &amp; " " &amp; VLOOKUP(MONTH(ICE[[#This Row],[Strip]]), MthRef[], 2, 0) &amp; RIGHT(YEAR(ICE[[#This Row],[Strip]]), 2) &amp; "-IEU", W$1)), "")</f>
        <v/>
      </c>
      <c r="X803" s="36"/>
    </row>
    <row r="804" spans="1:24" x14ac:dyDescent="0.25">
      <c r="A804" s="37" t="s">
        <v>830</v>
      </c>
      <c r="B804" s="3" t="str">
        <f>RTD("ice.rtd",,$C804 &amp; $D804 &amp; ":" &amp; B$1)</f>
        <v>BOB</v>
      </c>
      <c r="C804" s="3">
        <v>5162</v>
      </c>
      <c r="D804" t="s">
        <v>823</v>
      </c>
      <c r="E804" s="3" t="str">
        <f>RTD("ice.rtd",,$C804 &amp; $D804 &amp; ":" &amp; E$1)</f>
        <v>Cal 28</v>
      </c>
      <c r="F804" s="3" t="str">
        <f>ICE[[#This Row],[Prod]]&amp;ICE[[#This Row],[Strip]]</f>
        <v>fo35brxmtCal 28</v>
      </c>
      <c r="G804" s="18" t="str">
        <f>RTD("ice.rtd",,$C804 &amp; $D804 &amp; ":" &amp; G$1)</f>
        <v/>
      </c>
      <c r="H804" s="18" t="str">
        <f>RTD("ice.rtd",,$C804 &amp; $D804 &amp; ":" &amp; H$1)</f>
        <v/>
      </c>
      <c r="I804" s="18" t="str">
        <f>RTD("ice.rtd",,$C804 &amp; $D804 &amp; ":" &amp; I$1)</f>
        <v/>
      </c>
      <c r="J804" s="14" t="str">
        <f>IFERROR(MOD(RTD("ice.rtd",,$C804 &amp; $D804 &amp; ":" &amp; J$1), 1), "")</f>
        <v/>
      </c>
      <c r="K804" s="18" t="str">
        <f>RTD("ice.rtd",,$C804 &amp; $D804 &amp; ":" &amp; K$1)</f>
        <v/>
      </c>
      <c r="L804" s="36" t="str">
        <f>RTD("ice.rtd",,$C804 &amp; $D804 &amp; ":" &amp; L$1)</f>
        <v/>
      </c>
      <c r="M804" s="14" t="str">
        <f>IFERROR(MOD(TIMEVALUE(RTD("ice.rtd",,$C804 &amp; $D804 &amp; ":" &amp; M$1)), 1), "")</f>
        <v/>
      </c>
      <c r="N804" s="36">
        <f>RTD("ice.rtd",,$C804 &amp; $D804 &amp; ":" &amp; N$1)</f>
        <v>0</v>
      </c>
      <c r="O804" s="36">
        <f>RTD("ice.rtd",,$C804 &amp; $D804 &amp; ":" &amp; O$1)</f>
        <v>0</v>
      </c>
      <c r="P8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04" s="14" t="str">
        <f>IF(ICE[[#This Row],[LastType]] = "Scrn", ICE[[#This Row],[LstDate]], IF(ICE[[#This Row],[LastType]] = "Blk", ICE[[#This Row],[LstBlkTime]], ""))</f>
        <v/>
      </c>
      <c r="R804" s="41" t="str">
        <f>IF(ICE[[#This Row],[LastType]] = "Scrn", ICE[[#This Row],[LstPrc]], IF(ICE[[#This Row],[LastType]] = "Blk", ICE[[#This Row],[LstBlkPrc]], ""))</f>
        <v/>
      </c>
      <c r="S804" s="36">
        <f>ICE[[#This Row],[Vol]]+ICE[[#This Row],[BlkVol]]</f>
        <v>0</v>
      </c>
      <c r="T804" s="36">
        <f>RTD("ice.rtd",,$C804 &amp; $D804 &amp; ":" &amp; T$1)</f>
        <v>0</v>
      </c>
      <c r="U804" s="18">
        <f>RTD("ice.rtd",,$C804 &amp; $D804 &amp; ":" &amp; U$1)</f>
        <v>-8.0170000000000012</v>
      </c>
      <c r="V8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04" s="18" t="str">
        <f>IFERROR(IF(LEFT(ICE[[#This Row],[Tenor]], 1) = "B", RTD("esrtd",,$B804 &amp; " " &amp; ICE[[#This Row],[Tenor]] &amp; "-IEU", W$1), RTD("esrtd",,$B804 &amp; " " &amp; VLOOKUP(MONTH(ICE[[#This Row],[Strip]]), MthRef[], 2, 0) &amp; RIGHT(YEAR(ICE[[#This Row],[Strip]]), 2) &amp; "-IEU", W$1)), "")</f>
        <v/>
      </c>
      <c r="X804" s="36"/>
    </row>
    <row r="805" spans="1:24" x14ac:dyDescent="0.25">
      <c r="A805" s="37" t="s">
        <v>831</v>
      </c>
      <c r="B805" s="3" t="str">
        <f>RTD("ice.rtd",,$C805 &amp; $D805 &amp; ":" &amp; B$1)</f>
        <v>BOB</v>
      </c>
      <c r="C805" s="3">
        <v>5162</v>
      </c>
      <c r="D805" t="s">
        <v>824</v>
      </c>
      <c r="E805" s="3" t="str">
        <f>RTD("ice.rtd",,$C805 &amp; $D805 &amp; ":" &amp; E$1)</f>
        <v>Cal 29</v>
      </c>
      <c r="F805" s="3" t="str">
        <f>ICE[[#This Row],[Prod]]&amp;ICE[[#This Row],[Strip]]</f>
        <v>fo35brxbblCal 29</v>
      </c>
      <c r="G805" s="18" t="str">
        <f>RTD("ice.rtd",,$C805 &amp; $D805 &amp; ":" &amp; G$1)</f>
        <v/>
      </c>
      <c r="H805" s="18" t="str">
        <f>RTD("ice.rtd",,$C805 &amp; $D805 &amp; ":" &amp; H$1)</f>
        <v/>
      </c>
      <c r="I805" s="18" t="str">
        <f>RTD("ice.rtd",,$C805 &amp; $D805 &amp; ":" &amp; I$1)</f>
        <v/>
      </c>
      <c r="J805" s="14" t="str">
        <f>IFERROR(MOD(RTD("ice.rtd",,$C805 &amp; $D805 &amp; ":" &amp; J$1), 1), "")</f>
        <v/>
      </c>
      <c r="K805" s="18" t="str">
        <f>RTD("ice.rtd",,$C805 &amp; $D805 &amp; ":" &amp; K$1)</f>
        <v/>
      </c>
      <c r="L805" s="36" t="str">
        <f>RTD("ice.rtd",,$C805 &amp; $D805 &amp; ":" &amp; L$1)</f>
        <v/>
      </c>
      <c r="M805" s="14" t="str">
        <f>IFERROR(MOD(TIMEVALUE(RTD("ice.rtd",,$C805 &amp; $D805 &amp; ":" &amp; M$1)), 1), "")</f>
        <v/>
      </c>
      <c r="N805" s="36">
        <f>RTD("ice.rtd",,$C805 &amp; $D805 &amp; ":" &amp; N$1)</f>
        <v>0</v>
      </c>
      <c r="O805" s="36">
        <f>RTD("ice.rtd",,$C805 &amp; $D805 &amp; ":" &amp; O$1)</f>
        <v>0</v>
      </c>
      <c r="P8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05" s="14" t="str">
        <f>IF(ICE[[#This Row],[LastType]] = "Scrn", ICE[[#This Row],[LstDate]], IF(ICE[[#This Row],[LastType]] = "Blk", ICE[[#This Row],[LstBlkTime]], ""))</f>
        <v/>
      </c>
      <c r="R805" s="41" t="str">
        <f>IF(ICE[[#This Row],[LastType]] = "Scrn", ICE[[#This Row],[LstPrc]], IF(ICE[[#This Row],[LastType]] = "Blk", ICE[[#This Row],[LstBlkPrc]], ""))</f>
        <v/>
      </c>
      <c r="S805" s="36">
        <f>ICE[[#This Row],[Vol]]+ICE[[#This Row],[BlkVol]]</f>
        <v>0</v>
      </c>
      <c r="T805" s="36">
        <f>RTD("ice.rtd",,$C805 &amp; $D805 &amp; ":" &amp; T$1)</f>
        <v>0</v>
      </c>
      <c r="U805" s="18">
        <f>RTD("ice.rtd",,$C805 &amp; $D805 &amp; ":" &amp; U$1)</f>
        <v>-6.7701000000000002</v>
      </c>
      <c r="V8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05" s="18" t="str">
        <f>IFERROR(IF(LEFT(ICE[[#This Row],[Tenor]], 1) = "B", RTD("esrtd",,$B805 &amp; " " &amp; ICE[[#This Row],[Tenor]] &amp; "-IEU", W$1), RTD("esrtd",,$B805 &amp; " " &amp; VLOOKUP(MONTH(ICE[[#This Row],[Strip]]), MthRef[], 2, 0) &amp; RIGHT(YEAR(ICE[[#This Row],[Strip]]), 2) &amp; "-IEU", W$1)), "")</f>
        <v/>
      </c>
      <c r="X805" s="36"/>
    </row>
    <row r="806" spans="1:24" x14ac:dyDescent="0.25">
      <c r="A806" s="37" t="s">
        <v>831</v>
      </c>
      <c r="B806" s="3" t="str">
        <f>RTD("ice.rtd",,$C806 &amp; $D806 &amp; ":" &amp; B$1)</f>
        <v>FOO</v>
      </c>
      <c r="C806" s="3">
        <v>2326325624</v>
      </c>
      <c r="D806" t="s">
        <v>792</v>
      </c>
      <c r="E806" s="3" t="str">
        <f>RTD("ice.rtd",,$C806 &amp; $D806 &amp; ":" &amp; E$1)</f>
        <v>Bal Month</v>
      </c>
      <c r="F806" s="3" t="str">
        <f>ICE[[#This Row],[Prod]]&amp;ICE[[#This Row],[Strip]]</f>
        <v>fo35brxbblBal Month</v>
      </c>
      <c r="G806" s="18" t="str">
        <f>RTD("ice.rtd",,$C806 &amp; $D806 &amp; ":" &amp; G$1)</f>
        <v/>
      </c>
      <c r="H806" s="18" t="str">
        <f>RTD("ice.rtd",,$C806 &amp; $D806 &amp; ":" &amp; H$1)</f>
        <v/>
      </c>
      <c r="I806" s="18" t="str">
        <f>RTD("ice.rtd",,$C806 &amp; $D806 &amp; ":" &amp; I$1)</f>
        <v/>
      </c>
      <c r="J806" s="14" t="str">
        <f>IFERROR(MOD(RTD("ice.rtd",,$C806 &amp; $D806 &amp; ":" &amp; J$1), 1), "")</f>
        <v/>
      </c>
      <c r="K806" s="18" t="str">
        <f>RTD("ice.rtd",,$C806 &amp; $D806 &amp; ":" &amp; K$1)</f>
        <v/>
      </c>
      <c r="L806" s="36" t="str">
        <f>RTD("ice.rtd",,$C806 &amp; $D806 &amp; ":" &amp; L$1)</f>
        <v/>
      </c>
      <c r="M806" s="14" t="str">
        <f>IFERROR(MOD(TIMEVALUE(RTD("ice.rtd",,$C806 &amp; $D806 &amp; ":" &amp; M$1)), 1), "")</f>
        <v/>
      </c>
      <c r="N806" s="36">
        <f>RTD("ice.rtd",,$C806 &amp; $D806 &amp; ":" &amp; N$1)</f>
        <v>0</v>
      </c>
      <c r="O806" s="36">
        <f>RTD("ice.rtd",,$C806 &amp; $D806 &amp; ":" &amp; O$1)</f>
        <v>0</v>
      </c>
      <c r="P8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06" s="14" t="str">
        <f>IF(ICE[[#This Row],[LastType]] = "Scrn", ICE[[#This Row],[LstDate]], IF(ICE[[#This Row],[LastType]] = "Blk", ICE[[#This Row],[LstBlkTime]], ""))</f>
        <v/>
      </c>
      <c r="R806" s="41" t="str">
        <f>IF(ICE[[#This Row],[LastType]] = "Scrn", ICE[[#This Row],[LstPrc]], IF(ICE[[#This Row],[LastType]] = "Blk", ICE[[#This Row],[LstBlkPrc]], ""))</f>
        <v/>
      </c>
      <c r="S806" s="36">
        <f>ICE[[#This Row],[Vol]]+ICE[[#This Row],[BlkVol]]</f>
        <v>0</v>
      </c>
      <c r="T806" s="36">
        <f>RTD("ice.rtd",,$C806 &amp; $D806 &amp; ":" &amp; T$1)</f>
        <v>0</v>
      </c>
      <c r="U806" s="18">
        <f>RTD("ice.rtd",,$C806 &amp; $D806 &amp; ":" &amp; U$1)</f>
        <v>-12.157</v>
      </c>
      <c r="V8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06" s="18" t="str">
        <f>IFERROR(IF(LEFT(ICE[[#This Row],[Tenor]], 1) = "B", RTD("esrtd",,$B806 &amp; " " &amp; ICE[[#This Row],[Tenor]] &amp; "-IEU", W$1), RTD("esrtd",,$B806 &amp; " " &amp; VLOOKUP(MONTH(ICE[[#This Row],[Strip]]), MthRef[], 2, 0) &amp; RIGHT(YEAR(ICE[[#This Row],[Strip]]), 2) &amp; "-IEU", W$1)), "")</f>
        <v/>
      </c>
      <c r="X806" s="36"/>
    </row>
    <row r="807" spans="1:24" x14ac:dyDescent="0.25">
      <c r="A807" s="37" t="s">
        <v>831</v>
      </c>
      <c r="B807" s="3" t="str">
        <f>RTD("ice.rtd",,$C807 &amp; $D807 &amp; ":" &amp; B$1)</f>
        <v>BOA</v>
      </c>
      <c r="C807" s="3">
        <v>41787896</v>
      </c>
      <c r="D807" t="s">
        <v>793</v>
      </c>
      <c r="E807" s="3" t="str">
        <f>RTD("ice.rtd",,$C807 &amp; $D807 &amp; ":" &amp; E$1)</f>
        <v>Sep26</v>
      </c>
      <c r="F807" s="3" t="str">
        <f>ICE[[#This Row],[Prod]]&amp;ICE[[#This Row],[Strip]]</f>
        <v>fo35brxbblSep26</v>
      </c>
      <c r="G807" s="18">
        <f>RTD("ice.rtd",,$C807 &amp; $D807 &amp; ":" &amp; G$1)</f>
        <v>-15</v>
      </c>
      <c r="H807" s="18">
        <f>RTD("ice.rtd",,$C807 &amp; $D807 &amp; ":" &amp; H$1)</f>
        <v>-9.0500000000000007</v>
      </c>
      <c r="I807" s="18" t="str">
        <f>RTD("ice.rtd",,$C807 &amp; $D807 &amp; ":" &amp; I$1)</f>
        <v/>
      </c>
      <c r="J807" s="14" t="str">
        <f>IFERROR(MOD(RTD("ice.rtd",,$C807 &amp; $D807 &amp; ":" &amp; J$1), 1), "")</f>
        <v/>
      </c>
      <c r="K807" s="18" t="str">
        <f>RTD("ice.rtd",,$C807 &amp; $D807 &amp; ":" &amp; K$1)</f>
        <v/>
      </c>
      <c r="L807" s="36" t="str">
        <f>RTD("ice.rtd",,$C807 &amp; $D807 &amp; ":" &amp; L$1)</f>
        <v/>
      </c>
      <c r="M807" s="14" t="str">
        <f>IFERROR(MOD(TIMEVALUE(RTD("ice.rtd",,$C807 &amp; $D807 &amp; ":" &amp; M$1)), 1), "")</f>
        <v/>
      </c>
      <c r="N807" s="36">
        <f>RTD("ice.rtd",,$C807 &amp; $D807 &amp; ":" &amp; N$1)</f>
        <v>0</v>
      </c>
      <c r="O807" s="36">
        <f>RTD("ice.rtd",,$C807 &amp; $D807 &amp; ":" &amp; O$1)</f>
        <v>0</v>
      </c>
      <c r="P8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07" s="14" t="str">
        <f>IF(ICE[[#This Row],[LastType]] = "Scrn", ICE[[#This Row],[LstDate]], IF(ICE[[#This Row],[LastType]] = "Blk", ICE[[#This Row],[LstBlkTime]], ""))</f>
        <v/>
      </c>
      <c r="R807" s="41" t="str">
        <f>IF(ICE[[#This Row],[LastType]] = "Scrn", ICE[[#This Row],[LstPrc]], IF(ICE[[#This Row],[LastType]] = "Blk", ICE[[#This Row],[LstBlkPrc]], ""))</f>
        <v/>
      </c>
      <c r="S807" s="36">
        <f>ICE[[#This Row],[Vol]]+ICE[[#This Row],[BlkVol]]</f>
        <v>0</v>
      </c>
      <c r="T807" s="36">
        <f>RTD("ice.rtd",,$C807 &amp; $D807 &amp; ":" &amp; T$1)</f>
        <v>5623</v>
      </c>
      <c r="U807" s="18">
        <f>RTD("ice.rtd",,$C807 &amp; $D807 &amp; ":" &amp; U$1)</f>
        <v>-12.157</v>
      </c>
      <c r="V8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-15.00 / -9.05 </v>
      </c>
      <c r="W807" s="18" t="str">
        <f>IFERROR(IF(LEFT(ICE[[#This Row],[Tenor]], 1) = "B", RTD("esrtd",,$B807 &amp; " " &amp; ICE[[#This Row],[Tenor]] &amp; "-IEU", W$1), RTD("esrtd",,$B807 &amp; " " &amp; VLOOKUP(MONTH(ICE[[#This Row],[Strip]]), MthRef[], 2, 0) &amp; RIGHT(YEAR(ICE[[#This Row],[Strip]]), 2) &amp; "-IEU", W$1)), "")</f>
        <v/>
      </c>
      <c r="X807" s="36"/>
    </row>
    <row r="808" spans="1:24" x14ac:dyDescent="0.25">
      <c r="A808" s="37" t="s">
        <v>831</v>
      </c>
      <c r="B808" s="3" t="str">
        <f>RTD("ice.rtd",,$C808 &amp; $D808 &amp; ":" &amp; B$1)</f>
        <v>BOA</v>
      </c>
      <c r="C808" s="3">
        <v>41787896</v>
      </c>
      <c r="D808" t="s">
        <v>324</v>
      </c>
      <c r="E808" s="3" t="str">
        <f>RTD("ice.rtd",,$C808 &amp; $D808 &amp; ":" &amp; E$1)</f>
        <v>Oct26</v>
      </c>
      <c r="F808" s="3" t="str">
        <f>ICE[[#This Row],[Prod]]&amp;ICE[[#This Row],[Strip]]</f>
        <v>fo35brxbblOct26</v>
      </c>
      <c r="G808" s="18" t="str">
        <f>RTD("ice.rtd",,$C808 &amp; $D808 &amp; ":" &amp; G$1)</f>
        <v/>
      </c>
      <c r="H808" s="18" t="str">
        <f>RTD("ice.rtd",,$C808 &amp; $D808 &amp; ":" &amp; H$1)</f>
        <v/>
      </c>
      <c r="I808" s="18" t="str">
        <f>RTD("ice.rtd",,$C808 &amp; $D808 &amp; ":" &amp; I$1)</f>
        <v/>
      </c>
      <c r="J808" s="14" t="str">
        <f>IFERROR(MOD(RTD("ice.rtd",,$C808 &amp; $D808 &amp; ":" &amp; J$1), 1), "")</f>
        <v/>
      </c>
      <c r="K808" s="18">
        <f>RTD("ice.rtd",,$C808 &amp; $D808 &amp; ":" &amp; K$1)</f>
        <v>-11.9</v>
      </c>
      <c r="L808" s="36">
        <f>RTD("ice.rtd",,$C808 &amp; $D808 &amp; ":" &amp; L$1)</f>
        <v>20</v>
      </c>
      <c r="M808" s="14">
        <f>IFERROR(MOD(TIMEVALUE(RTD("ice.rtd",,$C808 &amp; $D808 &amp; ":" &amp; M$1)), 1), "")</f>
        <v>0.40576388888888887</v>
      </c>
      <c r="N808" s="36">
        <f>RTD("ice.rtd",,$C808 &amp; $D808 &amp; ":" &amp; N$1)</f>
        <v>0</v>
      </c>
      <c r="O808" s="36">
        <f>RTD("ice.rtd",,$C808 &amp; $D808 &amp; ":" &amp; O$1)</f>
        <v>20</v>
      </c>
      <c r="P8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808" s="14">
        <f>IF(ICE[[#This Row],[LastType]] = "Scrn", ICE[[#This Row],[LstDate]], IF(ICE[[#This Row],[LastType]] = "Blk", ICE[[#This Row],[LstBlkTime]], ""))</f>
        <v>0.40576388888888887</v>
      </c>
      <c r="R808" s="41">
        <f>IF(ICE[[#This Row],[LastType]] = "Scrn", ICE[[#This Row],[LstPrc]], IF(ICE[[#This Row],[LastType]] = "Blk", ICE[[#This Row],[LstBlkPrc]], ""))</f>
        <v>-11.9</v>
      </c>
      <c r="S808" s="36">
        <f>ICE[[#This Row],[Vol]]+ICE[[#This Row],[BlkVol]]</f>
        <v>20</v>
      </c>
      <c r="T808" s="36">
        <f>RTD("ice.rtd",,$C808 &amp; $D808 &amp; ":" &amp; T$1)</f>
        <v>3056</v>
      </c>
      <c r="U808" s="18">
        <f>RTD("ice.rtd",,$C808 &amp; $D808 &amp; ":" &amp; U$1)</f>
        <v>-11.450000000000001</v>
      </c>
      <c r="V8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{-11.90} |20x</v>
      </c>
      <c r="W808" s="18" t="str">
        <f>IFERROR(IF(LEFT(ICE[[#This Row],[Tenor]], 1) = "B", RTD("esrtd",,$B808 &amp; " " &amp; ICE[[#This Row],[Tenor]] &amp; "-IEU", W$1), RTD("esrtd",,$B808 &amp; " " &amp; VLOOKUP(MONTH(ICE[[#This Row],[Strip]]), MthRef[], 2, 0) &amp; RIGHT(YEAR(ICE[[#This Row],[Strip]]), 2) &amp; "-IEU", W$1)), "")</f>
        <v/>
      </c>
      <c r="X808" s="36"/>
    </row>
    <row r="809" spans="1:24" x14ac:dyDescent="0.25">
      <c r="A809" s="37" t="s">
        <v>831</v>
      </c>
      <c r="B809" s="3" t="str">
        <f>RTD("ice.rtd",,$C809 &amp; $D809 &amp; ":" &amp; B$1)</f>
        <v>BOA</v>
      </c>
      <c r="C809" s="3">
        <v>41787896</v>
      </c>
      <c r="D809" t="s">
        <v>325</v>
      </c>
      <c r="E809" s="3" t="str">
        <f>RTD("ice.rtd",,$C809 &amp; $D809 &amp; ":" &amp; E$1)</f>
        <v>Nov26</v>
      </c>
      <c r="F809" s="3" t="str">
        <f>ICE[[#This Row],[Prod]]&amp;ICE[[#This Row],[Strip]]</f>
        <v>fo35brxbblNov26</v>
      </c>
      <c r="G809" s="18" t="str">
        <f>RTD("ice.rtd",,$C809 &amp; $D809 &amp; ":" &amp; G$1)</f>
        <v/>
      </c>
      <c r="H809" s="18" t="str">
        <f>RTD("ice.rtd",,$C809 &amp; $D809 &amp; ":" &amp; H$1)</f>
        <v/>
      </c>
      <c r="I809" s="18" t="str">
        <f>RTD("ice.rtd",,$C809 &amp; $D809 &amp; ":" &amp; I$1)</f>
        <v/>
      </c>
      <c r="J809" s="14" t="str">
        <f>IFERROR(MOD(RTD("ice.rtd",,$C809 &amp; $D809 &amp; ":" &amp; J$1), 1), "")</f>
        <v/>
      </c>
      <c r="K809" s="18">
        <f>RTD("ice.rtd",,$C809 &amp; $D809 &amp; ":" &amp; K$1)</f>
        <v>-10.9</v>
      </c>
      <c r="L809" s="36">
        <f>RTD("ice.rtd",,$C809 &amp; $D809 &amp; ":" &amp; L$1)</f>
        <v>10</v>
      </c>
      <c r="M809" s="14">
        <f>IFERROR(MOD(TIMEVALUE(RTD("ice.rtd",,$C809 &amp; $D809 &amp; ":" &amp; M$1)), 1), "")</f>
        <v>0.40131944444444445</v>
      </c>
      <c r="N809" s="36">
        <f>RTD("ice.rtd",,$C809 &amp; $D809 &amp; ":" &amp; N$1)</f>
        <v>0</v>
      </c>
      <c r="O809" s="36">
        <f>RTD("ice.rtd",,$C809 &amp; $D809 &amp; ":" &amp; O$1)</f>
        <v>10</v>
      </c>
      <c r="P8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809" s="14">
        <f>IF(ICE[[#This Row],[LastType]] = "Scrn", ICE[[#This Row],[LstDate]], IF(ICE[[#This Row],[LastType]] = "Blk", ICE[[#This Row],[LstBlkTime]], ""))</f>
        <v>0.40131944444444445</v>
      </c>
      <c r="R809" s="41">
        <f>IF(ICE[[#This Row],[LastType]] = "Scrn", ICE[[#This Row],[LstPrc]], IF(ICE[[#This Row],[LastType]] = "Blk", ICE[[#This Row],[LstBlkPrc]], ""))</f>
        <v>-10.9</v>
      </c>
      <c r="S809" s="36">
        <f>ICE[[#This Row],[Vol]]+ICE[[#This Row],[BlkVol]]</f>
        <v>10</v>
      </c>
      <c r="T809" s="36">
        <f>RTD("ice.rtd",,$C809 &amp; $D809 &amp; ":" &amp; T$1)</f>
        <v>2386</v>
      </c>
      <c r="U809" s="18">
        <f>RTD("ice.rtd",,$C809 &amp; $D809 &amp; ":" &amp; U$1)</f>
        <v>-10.496</v>
      </c>
      <c r="V8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{-10.90} |10x</v>
      </c>
      <c r="W809" s="18" t="str">
        <f>IFERROR(IF(LEFT(ICE[[#This Row],[Tenor]], 1) = "B", RTD("esrtd",,$B809 &amp; " " &amp; ICE[[#This Row],[Tenor]] &amp; "-IEU", W$1), RTD("esrtd",,$B809 &amp; " " &amp; VLOOKUP(MONTH(ICE[[#This Row],[Strip]]), MthRef[], 2, 0) &amp; RIGHT(YEAR(ICE[[#This Row],[Strip]]), 2) &amp; "-IEU", W$1)), "")</f>
        <v/>
      </c>
      <c r="X809" s="36"/>
    </row>
    <row r="810" spans="1:24" x14ac:dyDescent="0.25">
      <c r="A810" s="37" t="s">
        <v>831</v>
      </c>
      <c r="B810" s="3" t="str">
        <f>RTD("ice.rtd",,$C810 &amp; $D810 &amp; ":" &amp; B$1)</f>
        <v>BOA</v>
      </c>
      <c r="C810" s="3">
        <v>41787896</v>
      </c>
      <c r="D810" t="s">
        <v>326</v>
      </c>
      <c r="E810" s="3" t="str">
        <f>RTD("ice.rtd",,$C810 &amp; $D810 &amp; ":" &amp; E$1)</f>
        <v>Dec26</v>
      </c>
      <c r="F810" s="3" t="str">
        <f>ICE[[#This Row],[Prod]]&amp;ICE[[#This Row],[Strip]]</f>
        <v>fo35brxbblDec26</v>
      </c>
      <c r="G810" s="18" t="str">
        <f>RTD("ice.rtd",,$C810 &amp; $D810 &amp; ":" &amp; G$1)</f>
        <v/>
      </c>
      <c r="H810" s="18" t="str">
        <f>RTD("ice.rtd",,$C810 &amp; $D810 &amp; ":" &amp; H$1)</f>
        <v/>
      </c>
      <c r="I810" s="18" t="str">
        <f>RTD("ice.rtd",,$C810 &amp; $D810 &amp; ":" &amp; I$1)</f>
        <v/>
      </c>
      <c r="J810" s="14" t="str">
        <f>IFERROR(MOD(RTD("ice.rtd",,$C810 &amp; $D810 &amp; ":" &amp; J$1), 1), "")</f>
        <v/>
      </c>
      <c r="K810" s="18" t="str">
        <f>RTD("ice.rtd",,$C810 &amp; $D810 &amp; ":" &amp; K$1)</f>
        <v/>
      </c>
      <c r="L810" s="36" t="str">
        <f>RTD("ice.rtd",,$C810 &amp; $D810 &amp; ":" &amp; L$1)</f>
        <v/>
      </c>
      <c r="M810" s="14" t="str">
        <f>IFERROR(MOD(TIMEVALUE(RTD("ice.rtd",,$C810 &amp; $D810 &amp; ":" &amp; M$1)), 1), "")</f>
        <v/>
      </c>
      <c r="N810" s="36">
        <f>RTD("ice.rtd",,$C810 &amp; $D810 &amp; ":" &amp; N$1)</f>
        <v>0</v>
      </c>
      <c r="O810" s="36">
        <f>RTD("ice.rtd",,$C810 &amp; $D810 &amp; ":" &amp; O$1)</f>
        <v>0</v>
      </c>
      <c r="P8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0" s="14" t="str">
        <f>IF(ICE[[#This Row],[LastType]] = "Scrn", ICE[[#This Row],[LstDate]], IF(ICE[[#This Row],[LastType]] = "Blk", ICE[[#This Row],[LstBlkTime]], ""))</f>
        <v/>
      </c>
      <c r="R810" s="41" t="str">
        <f>IF(ICE[[#This Row],[LastType]] = "Scrn", ICE[[#This Row],[LstPrc]], IF(ICE[[#This Row],[LastType]] = "Blk", ICE[[#This Row],[LstBlkPrc]], ""))</f>
        <v/>
      </c>
      <c r="S810" s="36">
        <f>ICE[[#This Row],[Vol]]+ICE[[#This Row],[BlkVol]]</f>
        <v>0</v>
      </c>
      <c r="T810" s="36">
        <f>RTD("ice.rtd",,$C810 &amp; $D810 &amp; ":" &amp; T$1)</f>
        <v>2871</v>
      </c>
      <c r="U810" s="18">
        <f>RTD("ice.rtd",,$C810 &amp; $D810 &amp; ":" &amp; U$1)</f>
        <v>-9.6340000000000003</v>
      </c>
      <c r="V8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0" s="18" t="str">
        <f>IFERROR(IF(LEFT(ICE[[#This Row],[Tenor]], 1) = "B", RTD("esrtd",,$B810 &amp; " " &amp; ICE[[#This Row],[Tenor]] &amp; "-IEU", W$1), RTD("esrtd",,$B810 &amp; " " &amp; VLOOKUP(MONTH(ICE[[#This Row],[Strip]]), MthRef[], 2, 0) &amp; RIGHT(YEAR(ICE[[#This Row],[Strip]]), 2) &amp; "-IEU", W$1)), "")</f>
        <v/>
      </c>
      <c r="X810" s="36"/>
    </row>
    <row r="811" spans="1:24" x14ac:dyDescent="0.25">
      <c r="A811" s="37" t="s">
        <v>831</v>
      </c>
      <c r="B811" s="3" t="str">
        <f>RTD("ice.rtd",,$C811 &amp; $D811 &amp; ":" &amp; B$1)</f>
        <v>BOA</v>
      </c>
      <c r="C811" s="3">
        <v>41787896</v>
      </c>
      <c r="D811" t="s">
        <v>794</v>
      </c>
      <c r="E811" s="3" t="str">
        <f>RTD("ice.rtd",,$C811 &amp; $D811 &amp; ":" &amp; E$1)</f>
        <v>Jan27</v>
      </c>
      <c r="F811" s="3" t="str">
        <f>ICE[[#This Row],[Prod]]&amp;ICE[[#This Row],[Strip]]</f>
        <v>fo35brxbblJan27</v>
      </c>
      <c r="G811" s="18" t="str">
        <f>RTD("ice.rtd",,$C811 &amp; $D811 &amp; ":" &amp; G$1)</f>
        <v/>
      </c>
      <c r="H811" s="18" t="str">
        <f>RTD("ice.rtd",,$C811 &amp; $D811 &amp; ":" &amp; H$1)</f>
        <v/>
      </c>
      <c r="I811" s="18" t="str">
        <f>RTD("ice.rtd",,$C811 &amp; $D811 &amp; ":" &amp; I$1)</f>
        <v/>
      </c>
      <c r="J811" s="14" t="str">
        <f>IFERROR(MOD(RTD("ice.rtd",,$C811 &amp; $D811 &amp; ":" &amp; J$1), 1), "")</f>
        <v/>
      </c>
      <c r="K811" s="18" t="str">
        <f>RTD("ice.rtd",,$C811 &amp; $D811 &amp; ":" &amp; K$1)</f>
        <v/>
      </c>
      <c r="L811" s="36" t="str">
        <f>RTD("ice.rtd",,$C811 &amp; $D811 &amp; ":" &amp; L$1)</f>
        <v/>
      </c>
      <c r="M811" s="14" t="str">
        <f>IFERROR(MOD(TIMEVALUE(RTD("ice.rtd",,$C811 &amp; $D811 &amp; ":" &amp; M$1)), 1), "")</f>
        <v/>
      </c>
      <c r="N811" s="36">
        <f>RTD("ice.rtd",,$C811 &amp; $D811 &amp; ":" &amp; N$1)</f>
        <v>0</v>
      </c>
      <c r="O811" s="36">
        <f>RTD("ice.rtd",,$C811 &amp; $D811 &amp; ":" &amp; O$1)</f>
        <v>0</v>
      </c>
      <c r="P8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1" s="14" t="str">
        <f>IF(ICE[[#This Row],[LastType]] = "Scrn", ICE[[#This Row],[LstDate]], IF(ICE[[#This Row],[LastType]] = "Blk", ICE[[#This Row],[LstBlkTime]], ""))</f>
        <v/>
      </c>
      <c r="R811" s="41" t="str">
        <f>IF(ICE[[#This Row],[LastType]] = "Scrn", ICE[[#This Row],[LstPrc]], IF(ICE[[#This Row],[LastType]] = "Blk", ICE[[#This Row],[LstBlkPrc]], ""))</f>
        <v/>
      </c>
      <c r="S811" s="36">
        <f>ICE[[#This Row],[Vol]]+ICE[[#This Row],[BlkVol]]</f>
        <v>0</v>
      </c>
      <c r="T811" s="36">
        <f>RTD("ice.rtd",,$C811 &amp; $D811 &amp; ":" &amp; T$1)</f>
        <v>896</v>
      </c>
      <c r="U811" s="18">
        <f>RTD("ice.rtd",,$C811 &amp; $D811 &amp; ":" &amp; U$1)</f>
        <v>-9.0709999999999997</v>
      </c>
      <c r="V8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1" s="18" t="str">
        <f>IFERROR(IF(LEFT(ICE[[#This Row],[Tenor]], 1) = "B", RTD("esrtd",,$B811 &amp; " " &amp; ICE[[#This Row],[Tenor]] &amp; "-IEU", W$1), RTD("esrtd",,$B811 &amp; " " &amp; VLOOKUP(MONTH(ICE[[#This Row],[Strip]]), MthRef[], 2, 0) &amp; RIGHT(YEAR(ICE[[#This Row],[Strip]]), 2) &amp; "-IEU", W$1)), "")</f>
        <v/>
      </c>
      <c r="X811" s="36"/>
    </row>
    <row r="812" spans="1:24" x14ac:dyDescent="0.25">
      <c r="A812" s="37" t="s">
        <v>831</v>
      </c>
      <c r="B812" s="3" t="str">
        <f>RTD("ice.rtd",,$C812 &amp; $D812 &amp; ":" &amp; B$1)</f>
        <v>BOA</v>
      </c>
      <c r="C812" s="3">
        <v>41787896</v>
      </c>
      <c r="D812" t="s">
        <v>795</v>
      </c>
      <c r="E812" s="3" t="str">
        <f>RTD("ice.rtd",,$C812 &amp; $D812 &amp; ":" &amp; E$1)</f>
        <v>Feb27</v>
      </c>
      <c r="F812" s="3" t="str">
        <f>ICE[[#This Row],[Prod]]&amp;ICE[[#This Row],[Strip]]</f>
        <v>fo35brxbblFeb27</v>
      </c>
      <c r="G812" s="18" t="str">
        <f>RTD("ice.rtd",,$C812 &amp; $D812 &amp; ":" &amp; G$1)</f>
        <v/>
      </c>
      <c r="H812" s="18" t="str">
        <f>RTD("ice.rtd",,$C812 &amp; $D812 &amp; ":" &amp; H$1)</f>
        <v/>
      </c>
      <c r="I812" s="18" t="str">
        <f>RTD("ice.rtd",,$C812 &amp; $D812 &amp; ":" &amp; I$1)</f>
        <v/>
      </c>
      <c r="J812" s="14" t="str">
        <f>IFERROR(MOD(RTD("ice.rtd",,$C812 &amp; $D812 &amp; ":" &amp; J$1), 1), "")</f>
        <v/>
      </c>
      <c r="K812" s="18" t="str">
        <f>RTD("ice.rtd",,$C812 &amp; $D812 &amp; ":" &amp; K$1)</f>
        <v/>
      </c>
      <c r="L812" s="36" t="str">
        <f>RTD("ice.rtd",,$C812 &amp; $D812 &amp; ":" &amp; L$1)</f>
        <v/>
      </c>
      <c r="M812" s="14" t="str">
        <f>IFERROR(MOD(TIMEVALUE(RTD("ice.rtd",,$C812 &amp; $D812 &amp; ":" &amp; M$1)), 1), "")</f>
        <v/>
      </c>
      <c r="N812" s="36">
        <f>RTD("ice.rtd",,$C812 &amp; $D812 &amp; ":" &amp; N$1)</f>
        <v>0</v>
      </c>
      <c r="O812" s="36">
        <f>RTD("ice.rtd",,$C812 &amp; $D812 &amp; ":" &amp; O$1)</f>
        <v>0</v>
      </c>
      <c r="P8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2" s="14" t="str">
        <f>IF(ICE[[#This Row],[LastType]] = "Scrn", ICE[[#This Row],[LstDate]], IF(ICE[[#This Row],[LastType]] = "Blk", ICE[[#This Row],[LstBlkTime]], ""))</f>
        <v/>
      </c>
      <c r="R812" s="41" t="str">
        <f>IF(ICE[[#This Row],[LastType]] = "Scrn", ICE[[#This Row],[LstPrc]], IF(ICE[[#This Row],[LastType]] = "Blk", ICE[[#This Row],[LstBlkPrc]], ""))</f>
        <v/>
      </c>
      <c r="S812" s="36">
        <f>ICE[[#This Row],[Vol]]+ICE[[#This Row],[BlkVol]]</f>
        <v>0</v>
      </c>
      <c r="T812" s="36">
        <f>RTD("ice.rtd",,$C812 &amp; $D812 &amp; ":" &amp; T$1)</f>
        <v>932</v>
      </c>
      <c r="U812" s="18">
        <f>RTD("ice.rtd",,$C812 &amp; $D812 &amp; ":" &amp; U$1)</f>
        <v>-8.609</v>
      </c>
      <c r="V8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2" s="18" t="str">
        <f>IFERROR(IF(LEFT(ICE[[#This Row],[Tenor]], 1) = "B", RTD("esrtd",,$B812 &amp; " " &amp; ICE[[#This Row],[Tenor]] &amp; "-IEU", W$1), RTD("esrtd",,$B812 &amp; " " &amp; VLOOKUP(MONTH(ICE[[#This Row],[Strip]]), MthRef[], 2, 0) &amp; RIGHT(YEAR(ICE[[#This Row],[Strip]]), 2) &amp; "-IEU", W$1)), "")</f>
        <v/>
      </c>
      <c r="X812" s="36"/>
    </row>
    <row r="813" spans="1:24" x14ac:dyDescent="0.25">
      <c r="A813" s="37" t="s">
        <v>831</v>
      </c>
      <c r="B813" s="3" t="str">
        <f>RTD("ice.rtd",,$C813 &amp; $D813 &amp; ":" &amp; B$1)</f>
        <v>BOA</v>
      </c>
      <c r="C813" s="3">
        <v>41787896</v>
      </c>
      <c r="D813" t="s">
        <v>113</v>
      </c>
      <c r="E813" s="3" t="str">
        <f>RTD("ice.rtd",,$C813 &amp; $D813 &amp; ":" &amp; E$1)</f>
        <v>Mar27</v>
      </c>
      <c r="F813" s="3" t="str">
        <f>ICE[[#This Row],[Prod]]&amp;ICE[[#This Row],[Strip]]</f>
        <v>fo35brxbblMar27</v>
      </c>
      <c r="G813" s="18" t="str">
        <f>RTD("ice.rtd",,$C813 &amp; $D813 &amp; ":" &amp; G$1)</f>
        <v/>
      </c>
      <c r="H813" s="18" t="str">
        <f>RTD("ice.rtd",,$C813 &amp; $D813 &amp; ":" &amp; H$1)</f>
        <v/>
      </c>
      <c r="I813" s="18" t="str">
        <f>RTD("ice.rtd",,$C813 &amp; $D813 &amp; ":" &amp; I$1)</f>
        <v/>
      </c>
      <c r="J813" s="14" t="str">
        <f>IFERROR(MOD(RTD("ice.rtd",,$C813 &amp; $D813 &amp; ":" &amp; J$1), 1), "")</f>
        <v/>
      </c>
      <c r="K813" s="18" t="str">
        <f>RTD("ice.rtd",,$C813 &amp; $D813 &amp; ":" &amp; K$1)</f>
        <v/>
      </c>
      <c r="L813" s="36" t="str">
        <f>RTD("ice.rtd",,$C813 &amp; $D813 &amp; ":" &amp; L$1)</f>
        <v/>
      </c>
      <c r="M813" s="14" t="str">
        <f>IFERROR(MOD(TIMEVALUE(RTD("ice.rtd",,$C813 &amp; $D813 &amp; ":" &amp; M$1)), 1), "")</f>
        <v/>
      </c>
      <c r="N813" s="36">
        <f>RTD("ice.rtd",,$C813 &amp; $D813 &amp; ":" &amp; N$1)</f>
        <v>0</v>
      </c>
      <c r="O813" s="36">
        <f>RTD("ice.rtd",,$C813 &amp; $D813 &amp; ":" &amp; O$1)</f>
        <v>0</v>
      </c>
      <c r="P8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3" s="14" t="str">
        <f>IF(ICE[[#This Row],[LastType]] = "Scrn", ICE[[#This Row],[LstDate]], IF(ICE[[#This Row],[LastType]] = "Blk", ICE[[#This Row],[LstBlkTime]], ""))</f>
        <v/>
      </c>
      <c r="R813" s="41" t="str">
        <f>IF(ICE[[#This Row],[LastType]] = "Scrn", ICE[[#This Row],[LstPrc]], IF(ICE[[#This Row],[LastType]] = "Blk", ICE[[#This Row],[LstBlkPrc]], ""))</f>
        <v/>
      </c>
      <c r="S813" s="36">
        <f>ICE[[#This Row],[Vol]]+ICE[[#This Row],[BlkVol]]</f>
        <v>0</v>
      </c>
      <c r="T813" s="36">
        <f>RTD("ice.rtd",,$C813 &amp; $D813 &amp; ":" &amp; T$1)</f>
        <v>896</v>
      </c>
      <c r="U813" s="18">
        <f>RTD("ice.rtd",,$C813 &amp; $D813 &amp; ":" &amp; U$1)</f>
        <v>-8.202</v>
      </c>
      <c r="V8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3" s="18" t="str">
        <f>IFERROR(IF(LEFT(ICE[[#This Row],[Tenor]], 1) = "B", RTD("esrtd",,$B813 &amp; " " &amp; ICE[[#This Row],[Tenor]] &amp; "-IEU", W$1), RTD("esrtd",,$B813 &amp; " " &amp; VLOOKUP(MONTH(ICE[[#This Row],[Strip]]), MthRef[], 2, 0) &amp; RIGHT(YEAR(ICE[[#This Row],[Strip]]), 2) &amp; "-IEU", W$1)), "")</f>
        <v/>
      </c>
      <c r="X813" s="36"/>
    </row>
    <row r="814" spans="1:24" x14ac:dyDescent="0.25">
      <c r="A814" s="37" t="s">
        <v>831</v>
      </c>
      <c r="B814" s="3" t="str">
        <f>RTD("ice.rtd",,$C814 &amp; $D814 &amp; ":" &amp; B$1)</f>
        <v>BOA</v>
      </c>
      <c r="C814" s="3">
        <v>41787896</v>
      </c>
      <c r="D814" t="s">
        <v>796</v>
      </c>
      <c r="E814" s="3" t="str">
        <f>RTD("ice.rtd",,$C814 &amp; $D814 &amp; ":" &amp; E$1)</f>
        <v>Apr27</v>
      </c>
      <c r="F814" s="3" t="str">
        <f>ICE[[#This Row],[Prod]]&amp;ICE[[#This Row],[Strip]]</f>
        <v>fo35brxbblApr27</v>
      </c>
      <c r="G814" s="18" t="str">
        <f>RTD("ice.rtd",,$C814 &amp; $D814 &amp; ":" &amp; G$1)</f>
        <v/>
      </c>
      <c r="H814" s="18" t="str">
        <f>RTD("ice.rtd",,$C814 &amp; $D814 &amp; ":" &amp; H$1)</f>
        <v/>
      </c>
      <c r="I814" s="18" t="str">
        <f>RTD("ice.rtd",,$C814 &amp; $D814 &amp; ":" &amp; I$1)</f>
        <v/>
      </c>
      <c r="J814" s="14" t="str">
        <f>IFERROR(MOD(RTD("ice.rtd",,$C814 &amp; $D814 &amp; ":" &amp; J$1), 1), "")</f>
        <v/>
      </c>
      <c r="K814" s="18" t="str">
        <f>RTD("ice.rtd",,$C814 &amp; $D814 &amp; ":" &amp; K$1)</f>
        <v/>
      </c>
      <c r="L814" s="36" t="str">
        <f>RTD("ice.rtd",,$C814 &amp; $D814 &amp; ":" &amp; L$1)</f>
        <v/>
      </c>
      <c r="M814" s="14" t="str">
        <f>IFERROR(MOD(TIMEVALUE(RTD("ice.rtd",,$C814 &amp; $D814 &amp; ":" &amp; M$1)), 1), "")</f>
        <v/>
      </c>
      <c r="N814" s="36">
        <f>RTD("ice.rtd",,$C814 &amp; $D814 &amp; ":" &amp; N$1)</f>
        <v>0</v>
      </c>
      <c r="O814" s="36">
        <f>RTD("ice.rtd",,$C814 &amp; $D814 &amp; ":" &amp; O$1)</f>
        <v>0</v>
      </c>
      <c r="P8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4" s="14" t="str">
        <f>IF(ICE[[#This Row],[LastType]] = "Scrn", ICE[[#This Row],[LstDate]], IF(ICE[[#This Row],[LastType]] = "Blk", ICE[[#This Row],[LstBlkTime]], ""))</f>
        <v/>
      </c>
      <c r="R814" s="41" t="str">
        <f>IF(ICE[[#This Row],[LastType]] = "Scrn", ICE[[#This Row],[LstPrc]], IF(ICE[[#This Row],[LastType]] = "Blk", ICE[[#This Row],[LstBlkPrc]], ""))</f>
        <v/>
      </c>
      <c r="S814" s="36">
        <f>ICE[[#This Row],[Vol]]+ICE[[#This Row],[BlkVol]]</f>
        <v>0</v>
      </c>
      <c r="T814" s="36">
        <f>RTD("ice.rtd",,$C814 &amp; $D814 &amp; ":" &amp; T$1)</f>
        <v>596</v>
      </c>
      <c r="U814" s="18">
        <f>RTD("ice.rtd",,$C814 &amp; $D814 &amp; ":" &amp; U$1)</f>
        <v>-7.8090000000000002</v>
      </c>
      <c r="V8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4" s="18" t="str">
        <f>IFERROR(IF(LEFT(ICE[[#This Row],[Tenor]], 1) = "B", RTD("esrtd",,$B814 &amp; " " &amp; ICE[[#This Row],[Tenor]] &amp; "-IEU", W$1), RTD("esrtd",,$B814 &amp; " " &amp; VLOOKUP(MONTH(ICE[[#This Row],[Strip]]), MthRef[], 2, 0) &amp; RIGHT(YEAR(ICE[[#This Row],[Strip]]), 2) &amp; "-IEU", W$1)), "")</f>
        <v/>
      </c>
      <c r="X814" s="36"/>
    </row>
    <row r="815" spans="1:24" x14ac:dyDescent="0.25">
      <c r="A815" s="37" t="s">
        <v>831</v>
      </c>
      <c r="B815" s="3" t="str">
        <f>RTD("ice.rtd",,$C815 &amp; $D815 &amp; ":" &amp; B$1)</f>
        <v>BOA</v>
      </c>
      <c r="C815" s="3">
        <v>41787896</v>
      </c>
      <c r="D815" t="s">
        <v>797</v>
      </c>
      <c r="E815" s="3" t="str">
        <f>RTD("ice.rtd",,$C815 &amp; $D815 &amp; ":" &amp; E$1)</f>
        <v>May27</v>
      </c>
      <c r="F815" s="3" t="str">
        <f>ICE[[#This Row],[Prod]]&amp;ICE[[#This Row],[Strip]]</f>
        <v>fo35brxbblMay27</v>
      </c>
      <c r="G815" s="18" t="str">
        <f>RTD("ice.rtd",,$C815 &amp; $D815 &amp; ":" &amp; G$1)</f>
        <v/>
      </c>
      <c r="H815" s="18" t="str">
        <f>RTD("ice.rtd",,$C815 &amp; $D815 &amp; ":" &amp; H$1)</f>
        <v/>
      </c>
      <c r="I815" s="18" t="str">
        <f>RTD("ice.rtd",,$C815 &amp; $D815 &amp; ":" &amp; I$1)</f>
        <v/>
      </c>
      <c r="J815" s="14" t="str">
        <f>IFERROR(MOD(RTD("ice.rtd",,$C815 &amp; $D815 &amp; ":" &amp; J$1), 1), "")</f>
        <v/>
      </c>
      <c r="K815" s="18" t="str">
        <f>RTD("ice.rtd",,$C815 &amp; $D815 &amp; ":" &amp; K$1)</f>
        <v/>
      </c>
      <c r="L815" s="36" t="str">
        <f>RTD("ice.rtd",,$C815 &amp; $D815 &amp; ":" &amp; L$1)</f>
        <v/>
      </c>
      <c r="M815" s="14" t="str">
        <f>IFERROR(MOD(TIMEVALUE(RTD("ice.rtd",,$C815 &amp; $D815 &amp; ":" &amp; M$1)), 1), "")</f>
        <v/>
      </c>
      <c r="N815" s="36">
        <f>RTD("ice.rtd",,$C815 &amp; $D815 &amp; ":" &amp; N$1)</f>
        <v>0</v>
      </c>
      <c r="O815" s="36">
        <f>RTD("ice.rtd",,$C815 &amp; $D815 &amp; ":" &amp; O$1)</f>
        <v>0</v>
      </c>
      <c r="P8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5" s="14" t="str">
        <f>IF(ICE[[#This Row],[LastType]] = "Scrn", ICE[[#This Row],[LstDate]], IF(ICE[[#This Row],[LastType]] = "Blk", ICE[[#This Row],[LstBlkTime]], ""))</f>
        <v/>
      </c>
      <c r="R815" s="41" t="str">
        <f>IF(ICE[[#This Row],[LastType]] = "Scrn", ICE[[#This Row],[LstPrc]], IF(ICE[[#This Row],[LastType]] = "Blk", ICE[[#This Row],[LstBlkPrc]], ""))</f>
        <v/>
      </c>
      <c r="S815" s="36">
        <f>ICE[[#This Row],[Vol]]+ICE[[#This Row],[BlkVol]]</f>
        <v>0</v>
      </c>
      <c r="T815" s="36">
        <f>RTD("ice.rtd",,$C815 &amp; $D815 &amp; ":" &amp; T$1)</f>
        <v>596</v>
      </c>
      <c r="U815" s="18">
        <f>RTD("ice.rtd",,$C815 &amp; $D815 &amp; ":" &amp; U$1)</f>
        <v>-7.5010000000000003</v>
      </c>
      <c r="V8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5" s="18" t="str">
        <f>IFERROR(IF(LEFT(ICE[[#This Row],[Tenor]], 1) = "B", RTD("esrtd",,$B815 &amp; " " &amp; ICE[[#This Row],[Tenor]] &amp; "-IEU", W$1), RTD("esrtd",,$B815 &amp; " " &amp; VLOOKUP(MONTH(ICE[[#This Row],[Strip]]), MthRef[], 2, 0) &amp; RIGHT(YEAR(ICE[[#This Row],[Strip]]), 2) &amp; "-IEU", W$1)), "")</f>
        <v/>
      </c>
      <c r="X815" s="36"/>
    </row>
    <row r="816" spans="1:24" x14ac:dyDescent="0.25">
      <c r="A816" s="37" t="s">
        <v>831</v>
      </c>
      <c r="B816" s="3" t="str">
        <f>RTD("ice.rtd",,$C816 &amp; $D816 &amp; ":" &amp; B$1)</f>
        <v>BOA</v>
      </c>
      <c r="C816" s="3">
        <v>41787896</v>
      </c>
      <c r="D816" t="s">
        <v>798</v>
      </c>
      <c r="E816" s="3" t="str">
        <f>RTD("ice.rtd",,$C816 &amp; $D816 &amp; ":" &amp; E$1)</f>
        <v>Jun27</v>
      </c>
      <c r="F816" s="3" t="str">
        <f>ICE[[#This Row],[Prod]]&amp;ICE[[#This Row],[Strip]]</f>
        <v>fo35brxbblJun27</v>
      </c>
      <c r="G816" s="18" t="str">
        <f>RTD("ice.rtd",,$C816 &amp; $D816 &amp; ":" &amp; G$1)</f>
        <v/>
      </c>
      <c r="H816" s="18" t="str">
        <f>RTD("ice.rtd",,$C816 &amp; $D816 &amp; ":" &amp; H$1)</f>
        <v/>
      </c>
      <c r="I816" s="18" t="str">
        <f>RTD("ice.rtd",,$C816 &amp; $D816 &amp; ":" &amp; I$1)</f>
        <v/>
      </c>
      <c r="J816" s="14" t="str">
        <f>IFERROR(MOD(RTD("ice.rtd",,$C816 &amp; $D816 &amp; ":" &amp; J$1), 1), "")</f>
        <v/>
      </c>
      <c r="K816" s="18" t="str">
        <f>RTD("ice.rtd",,$C816 &amp; $D816 &amp; ":" &amp; K$1)</f>
        <v/>
      </c>
      <c r="L816" s="36" t="str">
        <f>RTD("ice.rtd",,$C816 &amp; $D816 &amp; ":" &amp; L$1)</f>
        <v/>
      </c>
      <c r="M816" s="14" t="str">
        <f>IFERROR(MOD(TIMEVALUE(RTD("ice.rtd",,$C816 &amp; $D816 &amp; ":" &amp; M$1)), 1), "")</f>
        <v/>
      </c>
      <c r="N816" s="36">
        <f>RTD("ice.rtd",,$C816 &amp; $D816 &amp; ":" &amp; N$1)</f>
        <v>0</v>
      </c>
      <c r="O816" s="36">
        <f>RTD("ice.rtd",,$C816 &amp; $D816 &amp; ":" &amp; O$1)</f>
        <v>0</v>
      </c>
      <c r="P8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6" s="14" t="str">
        <f>IF(ICE[[#This Row],[LastType]] = "Scrn", ICE[[#This Row],[LstDate]], IF(ICE[[#This Row],[LastType]] = "Blk", ICE[[#This Row],[LstBlkTime]], ""))</f>
        <v/>
      </c>
      <c r="R816" s="41" t="str">
        <f>IF(ICE[[#This Row],[LastType]] = "Scrn", ICE[[#This Row],[LstPrc]], IF(ICE[[#This Row],[LastType]] = "Blk", ICE[[#This Row],[LstBlkPrc]], ""))</f>
        <v/>
      </c>
      <c r="S816" s="36">
        <f>ICE[[#This Row],[Vol]]+ICE[[#This Row],[BlkVol]]</f>
        <v>0</v>
      </c>
      <c r="T816" s="36">
        <f>RTD("ice.rtd",,$C816 &amp; $D816 &amp; ":" &amp; T$1)</f>
        <v>592</v>
      </c>
      <c r="U816" s="18">
        <f>RTD("ice.rtd",,$C816 &amp; $D816 &amp; ":" &amp; U$1)</f>
        <v>-7.46</v>
      </c>
      <c r="V8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6" s="18" t="str">
        <f>IFERROR(IF(LEFT(ICE[[#This Row],[Tenor]], 1) = "B", RTD("esrtd",,$B816 &amp; " " &amp; ICE[[#This Row],[Tenor]] &amp; "-IEU", W$1), RTD("esrtd",,$B816 &amp; " " &amp; VLOOKUP(MONTH(ICE[[#This Row],[Strip]]), MthRef[], 2, 0) &amp; RIGHT(YEAR(ICE[[#This Row],[Strip]]), 2) &amp; "-IEU", W$1)), "")</f>
        <v/>
      </c>
      <c r="X816" s="36"/>
    </row>
    <row r="817" spans="1:24" x14ac:dyDescent="0.25">
      <c r="A817" s="37" t="s">
        <v>831</v>
      </c>
      <c r="B817" s="3" t="str">
        <f>RTD("ice.rtd",,$C817 &amp; $D817 &amp; ":" &amp; B$1)</f>
        <v>BOA</v>
      </c>
      <c r="C817" s="3">
        <v>41787896</v>
      </c>
      <c r="D817" t="s">
        <v>799</v>
      </c>
      <c r="E817" s="3" t="str">
        <f>RTD("ice.rtd",,$C817 &amp; $D817 &amp; ":" &amp; E$1)</f>
        <v>Jul27</v>
      </c>
      <c r="F817" s="3" t="str">
        <f>ICE[[#This Row],[Prod]]&amp;ICE[[#This Row],[Strip]]</f>
        <v>fo35brxbblJul27</v>
      </c>
      <c r="G817" s="18" t="str">
        <f>RTD("ice.rtd",,$C817 &amp; $D817 &amp; ":" &amp; G$1)</f>
        <v/>
      </c>
      <c r="H817" s="18" t="str">
        <f>RTD("ice.rtd",,$C817 &amp; $D817 &amp; ":" &amp; H$1)</f>
        <v/>
      </c>
      <c r="I817" s="18" t="str">
        <f>RTD("ice.rtd",,$C817 &amp; $D817 &amp; ":" &amp; I$1)</f>
        <v/>
      </c>
      <c r="J817" s="14" t="str">
        <f>IFERROR(MOD(RTD("ice.rtd",,$C817 &amp; $D817 &amp; ":" &amp; J$1), 1), "")</f>
        <v/>
      </c>
      <c r="K817" s="18" t="str">
        <f>RTD("ice.rtd",,$C817 &amp; $D817 &amp; ":" &amp; K$1)</f>
        <v/>
      </c>
      <c r="L817" s="36" t="str">
        <f>RTD("ice.rtd",,$C817 &amp; $D817 &amp; ":" &amp; L$1)</f>
        <v/>
      </c>
      <c r="M817" s="14" t="str">
        <f>IFERROR(MOD(TIMEVALUE(RTD("ice.rtd",,$C817 &amp; $D817 &amp; ":" &amp; M$1)), 1), "")</f>
        <v/>
      </c>
      <c r="N817" s="36">
        <f>RTD("ice.rtd",,$C817 &amp; $D817 &amp; ":" &amp; N$1)</f>
        <v>0</v>
      </c>
      <c r="O817" s="36">
        <f>RTD("ice.rtd",,$C817 &amp; $D817 &amp; ":" &amp; O$1)</f>
        <v>0</v>
      </c>
      <c r="P8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7" s="14" t="str">
        <f>IF(ICE[[#This Row],[LastType]] = "Scrn", ICE[[#This Row],[LstDate]], IF(ICE[[#This Row],[LastType]] = "Blk", ICE[[#This Row],[LstBlkTime]], ""))</f>
        <v/>
      </c>
      <c r="R817" s="41" t="str">
        <f>IF(ICE[[#This Row],[LastType]] = "Scrn", ICE[[#This Row],[LstPrc]], IF(ICE[[#This Row],[LastType]] = "Blk", ICE[[#This Row],[LstBlkPrc]], ""))</f>
        <v/>
      </c>
      <c r="S817" s="36">
        <f>ICE[[#This Row],[Vol]]+ICE[[#This Row],[BlkVol]]</f>
        <v>0</v>
      </c>
      <c r="T817" s="36">
        <f>RTD("ice.rtd",,$C817 &amp; $D817 &amp; ":" &amp; T$1)</f>
        <v>651</v>
      </c>
      <c r="U817" s="18">
        <f>RTD("ice.rtd",,$C817 &amp; $D817 &amp; ":" &amp; U$1)</f>
        <v>-7.5130000000000008</v>
      </c>
      <c r="V8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7" s="18" t="str">
        <f>IFERROR(IF(LEFT(ICE[[#This Row],[Tenor]], 1) = "B", RTD("esrtd",,$B817 &amp; " " &amp; ICE[[#This Row],[Tenor]] &amp; "-IEU", W$1), RTD("esrtd",,$B817 &amp; " " &amp; VLOOKUP(MONTH(ICE[[#This Row],[Strip]]), MthRef[], 2, 0) &amp; RIGHT(YEAR(ICE[[#This Row],[Strip]]), 2) &amp; "-IEU", W$1)), "")</f>
        <v/>
      </c>
      <c r="X817" s="36"/>
    </row>
    <row r="818" spans="1:24" x14ac:dyDescent="0.25">
      <c r="A818" s="37" t="s">
        <v>831</v>
      </c>
      <c r="B818" s="3" t="str">
        <f>RTD("ice.rtd",,$C818 &amp; $D818 &amp; ":" &amp; B$1)</f>
        <v>BOA</v>
      </c>
      <c r="C818" s="3">
        <v>41787896</v>
      </c>
      <c r="D818" t="s">
        <v>800</v>
      </c>
      <c r="E818" s="3" t="str">
        <f>RTD("ice.rtd",,$C818 &amp; $D818 &amp; ":" &amp; E$1)</f>
        <v>Aug27</v>
      </c>
      <c r="F818" s="3" t="str">
        <f>ICE[[#This Row],[Prod]]&amp;ICE[[#This Row],[Strip]]</f>
        <v>fo35brxbblAug27</v>
      </c>
      <c r="G818" s="18" t="str">
        <f>RTD("ice.rtd",,$C818 &amp; $D818 &amp; ":" &amp; G$1)</f>
        <v/>
      </c>
      <c r="H818" s="18" t="str">
        <f>RTD("ice.rtd",,$C818 &amp; $D818 &amp; ":" &amp; H$1)</f>
        <v/>
      </c>
      <c r="I818" s="18" t="str">
        <f>RTD("ice.rtd",,$C818 &amp; $D818 &amp; ":" &amp; I$1)</f>
        <v/>
      </c>
      <c r="J818" s="14" t="str">
        <f>IFERROR(MOD(RTD("ice.rtd",,$C818 &amp; $D818 &amp; ":" &amp; J$1), 1), "")</f>
        <v/>
      </c>
      <c r="K818" s="18" t="str">
        <f>RTD("ice.rtd",,$C818 &amp; $D818 &amp; ":" &amp; K$1)</f>
        <v/>
      </c>
      <c r="L818" s="36" t="str">
        <f>RTD("ice.rtd",,$C818 &amp; $D818 &amp; ":" &amp; L$1)</f>
        <v/>
      </c>
      <c r="M818" s="14" t="str">
        <f>IFERROR(MOD(TIMEVALUE(RTD("ice.rtd",,$C818 &amp; $D818 &amp; ":" &amp; M$1)), 1), "")</f>
        <v/>
      </c>
      <c r="N818" s="36">
        <f>RTD("ice.rtd",,$C818 &amp; $D818 &amp; ":" &amp; N$1)</f>
        <v>0</v>
      </c>
      <c r="O818" s="36">
        <f>RTD("ice.rtd",,$C818 &amp; $D818 &amp; ":" &amp; O$1)</f>
        <v>0</v>
      </c>
      <c r="P8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8" s="14" t="str">
        <f>IF(ICE[[#This Row],[LastType]] = "Scrn", ICE[[#This Row],[LstDate]], IF(ICE[[#This Row],[LastType]] = "Blk", ICE[[#This Row],[LstBlkTime]], ""))</f>
        <v/>
      </c>
      <c r="R818" s="41" t="str">
        <f>IF(ICE[[#This Row],[LastType]] = "Scrn", ICE[[#This Row],[LstPrc]], IF(ICE[[#This Row],[LastType]] = "Blk", ICE[[#This Row],[LstBlkPrc]], ""))</f>
        <v/>
      </c>
      <c r="S818" s="36">
        <f>ICE[[#This Row],[Vol]]+ICE[[#This Row],[BlkVol]]</f>
        <v>0</v>
      </c>
      <c r="T818" s="36">
        <f>RTD("ice.rtd",,$C818 &amp; $D818 &amp; ":" &amp; T$1)</f>
        <v>651</v>
      </c>
      <c r="U818" s="18">
        <f>RTD("ice.rtd",,$C818 &amp; $D818 &amp; ":" &amp; U$1)</f>
        <v>-7.6840000000000002</v>
      </c>
      <c r="V8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8" s="18" t="str">
        <f>IFERROR(IF(LEFT(ICE[[#This Row],[Tenor]], 1) = "B", RTD("esrtd",,$B818 &amp; " " &amp; ICE[[#This Row],[Tenor]] &amp; "-IEU", W$1), RTD("esrtd",,$B818 &amp; " " &amp; VLOOKUP(MONTH(ICE[[#This Row],[Strip]]), MthRef[], 2, 0) &amp; RIGHT(YEAR(ICE[[#This Row],[Strip]]), 2) &amp; "-IEU", W$1)), "")</f>
        <v/>
      </c>
      <c r="X818" s="36"/>
    </row>
    <row r="819" spans="1:24" x14ac:dyDescent="0.25">
      <c r="A819" s="37" t="s">
        <v>831</v>
      </c>
      <c r="B819" s="3" t="str">
        <f>RTD("ice.rtd",,$C819 &amp; $D819 &amp; ":" &amp; B$1)</f>
        <v>BOA</v>
      </c>
      <c r="C819" s="3">
        <v>41787896</v>
      </c>
      <c r="D819" t="s">
        <v>801</v>
      </c>
      <c r="E819" s="3" t="str">
        <f>RTD("ice.rtd",,$C819 &amp; $D819 &amp; ":" &amp; E$1)</f>
        <v>Sep27</v>
      </c>
      <c r="F819" s="3" t="str">
        <f>ICE[[#This Row],[Prod]]&amp;ICE[[#This Row],[Strip]]</f>
        <v>fo35brxbblSep27</v>
      </c>
      <c r="G819" s="18" t="str">
        <f>RTD("ice.rtd",,$C819 &amp; $D819 &amp; ":" &amp; G$1)</f>
        <v/>
      </c>
      <c r="H819" s="18" t="str">
        <f>RTD("ice.rtd",,$C819 &amp; $D819 &amp; ":" &amp; H$1)</f>
        <v/>
      </c>
      <c r="I819" s="18" t="str">
        <f>RTD("ice.rtd",,$C819 &amp; $D819 &amp; ":" &amp; I$1)</f>
        <v/>
      </c>
      <c r="J819" s="14" t="str">
        <f>IFERROR(MOD(RTD("ice.rtd",,$C819 &amp; $D819 &amp; ":" &amp; J$1), 1), "")</f>
        <v/>
      </c>
      <c r="K819" s="18" t="str">
        <f>RTD("ice.rtd",,$C819 &amp; $D819 &amp; ":" &amp; K$1)</f>
        <v/>
      </c>
      <c r="L819" s="36" t="str">
        <f>RTD("ice.rtd",,$C819 &amp; $D819 &amp; ":" &amp; L$1)</f>
        <v/>
      </c>
      <c r="M819" s="14" t="str">
        <f>IFERROR(MOD(TIMEVALUE(RTD("ice.rtd",,$C819 &amp; $D819 &amp; ":" &amp; M$1)), 1), "")</f>
        <v/>
      </c>
      <c r="N819" s="36">
        <f>RTD("ice.rtd",,$C819 &amp; $D819 &amp; ":" &amp; N$1)</f>
        <v>0</v>
      </c>
      <c r="O819" s="36">
        <f>RTD("ice.rtd",,$C819 &amp; $D819 &amp; ":" &amp; O$1)</f>
        <v>0</v>
      </c>
      <c r="P8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19" s="14" t="str">
        <f>IF(ICE[[#This Row],[LastType]] = "Scrn", ICE[[#This Row],[LstDate]], IF(ICE[[#This Row],[LastType]] = "Blk", ICE[[#This Row],[LstBlkTime]], ""))</f>
        <v/>
      </c>
      <c r="R819" s="41" t="str">
        <f>IF(ICE[[#This Row],[LastType]] = "Scrn", ICE[[#This Row],[LstPrc]], IF(ICE[[#This Row],[LastType]] = "Blk", ICE[[#This Row],[LstBlkPrc]], ""))</f>
        <v/>
      </c>
      <c r="S819" s="36">
        <f>ICE[[#This Row],[Vol]]+ICE[[#This Row],[BlkVol]]</f>
        <v>0</v>
      </c>
      <c r="T819" s="36">
        <f>RTD("ice.rtd",,$C819 &amp; $D819 &amp; ":" &amp; T$1)</f>
        <v>651</v>
      </c>
      <c r="U819" s="18">
        <f>RTD("ice.rtd",,$C819 &amp; $D819 &amp; ":" &amp; U$1)</f>
        <v>-7.9940000000000007</v>
      </c>
      <c r="V8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19" s="18" t="str">
        <f>IFERROR(IF(LEFT(ICE[[#This Row],[Tenor]], 1) = "B", RTD("esrtd",,$B819 &amp; " " &amp; ICE[[#This Row],[Tenor]] &amp; "-IEU", W$1), RTD("esrtd",,$B819 &amp; " " &amp; VLOOKUP(MONTH(ICE[[#This Row],[Strip]]), MthRef[], 2, 0) &amp; RIGHT(YEAR(ICE[[#This Row],[Strip]]), 2) &amp; "-IEU", W$1)), "")</f>
        <v/>
      </c>
      <c r="X819" s="36"/>
    </row>
    <row r="820" spans="1:24" x14ac:dyDescent="0.25">
      <c r="A820" s="37" t="s">
        <v>831</v>
      </c>
      <c r="B820" s="3" t="str">
        <f>RTD("ice.rtd",,$C820 &amp; $D820 &amp; ":" &amp; B$1)</f>
        <v>BOA</v>
      </c>
      <c r="C820" s="3">
        <v>41787896</v>
      </c>
      <c r="D820" t="s">
        <v>802</v>
      </c>
      <c r="E820" s="3" t="str">
        <f>RTD("ice.rtd",,$C820 &amp; $D820 &amp; ":" &amp; E$1)</f>
        <v>Oct27</v>
      </c>
      <c r="F820" s="3" t="str">
        <f>ICE[[#This Row],[Prod]]&amp;ICE[[#This Row],[Strip]]</f>
        <v>fo35brxbblOct27</v>
      </c>
      <c r="G820" s="18" t="str">
        <f>RTD("ice.rtd",,$C820 &amp; $D820 &amp; ":" &amp; G$1)</f>
        <v/>
      </c>
      <c r="H820" s="18" t="str">
        <f>RTD("ice.rtd",,$C820 &amp; $D820 &amp; ":" &amp; H$1)</f>
        <v/>
      </c>
      <c r="I820" s="18" t="str">
        <f>RTD("ice.rtd",,$C820 &amp; $D820 &amp; ":" &amp; I$1)</f>
        <v/>
      </c>
      <c r="J820" s="14" t="str">
        <f>IFERROR(MOD(RTD("ice.rtd",,$C820 &amp; $D820 &amp; ":" &amp; J$1), 1), "")</f>
        <v/>
      </c>
      <c r="K820" s="18" t="str">
        <f>RTD("ice.rtd",,$C820 &amp; $D820 &amp; ":" &amp; K$1)</f>
        <v/>
      </c>
      <c r="L820" s="36" t="str">
        <f>RTD("ice.rtd",,$C820 &amp; $D820 &amp; ":" &amp; L$1)</f>
        <v/>
      </c>
      <c r="M820" s="14" t="str">
        <f>IFERROR(MOD(TIMEVALUE(RTD("ice.rtd",,$C820 &amp; $D820 &amp; ":" &amp; M$1)), 1), "")</f>
        <v/>
      </c>
      <c r="N820" s="36">
        <f>RTD("ice.rtd",,$C820 &amp; $D820 &amp; ":" &amp; N$1)</f>
        <v>0</v>
      </c>
      <c r="O820" s="36">
        <f>RTD("ice.rtd",,$C820 &amp; $D820 &amp; ":" &amp; O$1)</f>
        <v>0</v>
      </c>
      <c r="P8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0" s="14" t="str">
        <f>IF(ICE[[#This Row],[LastType]] = "Scrn", ICE[[#This Row],[LstDate]], IF(ICE[[#This Row],[LastType]] = "Blk", ICE[[#This Row],[LstBlkTime]], ""))</f>
        <v/>
      </c>
      <c r="R820" s="41" t="str">
        <f>IF(ICE[[#This Row],[LastType]] = "Scrn", ICE[[#This Row],[LstPrc]], IF(ICE[[#This Row],[LastType]] = "Blk", ICE[[#This Row],[LstBlkPrc]], ""))</f>
        <v/>
      </c>
      <c r="S820" s="36">
        <f>ICE[[#This Row],[Vol]]+ICE[[#This Row],[BlkVol]]</f>
        <v>0</v>
      </c>
      <c r="T820" s="36">
        <f>RTD("ice.rtd",,$C820 &amp; $D820 &amp; ":" &amp; T$1)</f>
        <v>687</v>
      </c>
      <c r="U820" s="18">
        <f>RTD("ice.rtd",,$C820 &amp; $D820 &amp; ":" &amp; U$1)</f>
        <v>-8.3810000000000002</v>
      </c>
      <c r="V8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0" s="18" t="str">
        <f>IFERROR(IF(LEFT(ICE[[#This Row],[Tenor]], 1) = "B", RTD("esrtd",,$B820 &amp; " " &amp; ICE[[#This Row],[Tenor]] &amp; "-IEU", W$1), RTD("esrtd",,$B820 &amp; " " &amp; VLOOKUP(MONTH(ICE[[#This Row],[Strip]]), MthRef[], 2, 0) &amp; RIGHT(YEAR(ICE[[#This Row],[Strip]]), 2) &amp; "-IEU", W$1)), "")</f>
        <v/>
      </c>
      <c r="X820" s="36"/>
    </row>
    <row r="821" spans="1:24" x14ac:dyDescent="0.25">
      <c r="A821" s="37" t="s">
        <v>831</v>
      </c>
      <c r="B821" s="3" t="str">
        <f>RTD("ice.rtd",,$C821 &amp; $D821 &amp; ":" &amp; B$1)</f>
        <v>BOA</v>
      </c>
      <c r="C821" s="3">
        <v>41787896</v>
      </c>
      <c r="D821" t="s">
        <v>803</v>
      </c>
      <c r="E821" s="3" t="str">
        <f>RTD("ice.rtd",,$C821 &amp; $D821 &amp; ":" &amp; E$1)</f>
        <v>Nov27</v>
      </c>
      <c r="F821" s="3" t="str">
        <f>ICE[[#This Row],[Prod]]&amp;ICE[[#This Row],[Strip]]</f>
        <v>fo35brxbblNov27</v>
      </c>
      <c r="G821" s="18" t="str">
        <f>RTD("ice.rtd",,$C821 &amp; $D821 &amp; ":" &amp; G$1)</f>
        <v/>
      </c>
      <c r="H821" s="18" t="str">
        <f>RTD("ice.rtd",,$C821 &amp; $D821 &amp; ":" &amp; H$1)</f>
        <v/>
      </c>
      <c r="I821" s="18" t="str">
        <f>RTD("ice.rtd",,$C821 &amp; $D821 &amp; ":" &amp; I$1)</f>
        <v/>
      </c>
      <c r="J821" s="14" t="str">
        <f>IFERROR(MOD(RTD("ice.rtd",,$C821 &amp; $D821 &amp; ":" &amp; J$1), 1), "")</f>
        <v/>
      </c>
      <c r="K821" s="18" t="str">
        <f>RTD("ice.rtd",,$C821 &amp; $D821 &amp; ":" &amp; K$1)</f>
        <v/>
      </c>
      <c r="L821" s="36" t="str">
        <f>RTD("ice.rtd",,$C821 &amp; $D821 &amp; ":" &amp; L$1)</f>
        <v/>
      </c>
      <c r="M821" s="14" t="str">
        <f>IFERROR(MOD(TIMEVALUE(RTD("ice.rtd",,$C821 &amp; $D821 &amp; ":" &amp; M$1)), 1), "")</f>
        <v/>
      </c>
      <c r="N821" s="36">
        <f>RTD("ice.rtd",,$C821 &amp; $D821 &amp; ":" &amp; N$1)</f>
        <v>0</v>
      </c>
      <c r="O821" s="36">
        <f>RTD("ice.rtd",,$C821 &amp; $D821 &amp; ":" &amp; O$1)</f>
        <v>0</v>
      </c>
      <c r="P8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1" s="14" t="str">
        <f>IF(ICE[[#This Row],[LastType]] = "Scrn", ICE[[#This Row],[LstDate]], IF(ICE[[#This Row],[LastType]] = "Blk", ICE[[#This Row],[LstBlkTime]], ""))</f>
        <v/>
      </c>
      <c r="R821" s="41" t="str">
        <f>IF(ICE[[#This Row],[LastType]] = "Scrn", ICE[[#This Row],[LstPrc]], IF(ICE[[#This Row],[LastType]] = "Blk", ICE[[#This Row],[LstBlkPrc]], ""))</f>
        <v/>
      </c>
      <c r="S821" s="36">
        <f>ICE[[#This Row],[Vol]]+ICE[[#This Row],[BlkVol]]</f>
        <v>0</v>
      </c>
      <c r="T821" s="36">
        <f>RTD("ice.rtd",,$C821 &amp; $D821 &amp; ":" &amp; T$1)</f>
        <v>687</v>
      </c>
      <c r="U821" s="18">
        <f>RTD("ice.rtd",,$C821 &amp; $D821 &amp; ":" &amp; U$1)</f>
        <v>-8.5140000000000011</v>
      </c>
      <c r="V8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1" s="18" t="str">
        <f>IFERROR(IF(LEFT(ICE[[#This Row],[Tenor]], 1) = "B", RTD("esrtd",,$B821 &amp; " " &amp; ICE[[#This Row],[Tenor]] &amp; "-IEU", W$1), RTD("esrtd",,$B821 &amp; " " &amp; VLOOKUP(MONTH(ICE[[#This Row],[Strip]]), MthRef[], 2, 0) &amp; RIGHT(YEAR(ICE[[#This Row],[Strip]]), 2) &amp; "-IEU", W$1)), "")</f>
        <v/>
      </c>
      <c r="X821" s="36"/>
    </row>
    <row r="822" spans="1:24" x14ac:dyDescent="0.25">
      <c r="A822" s="37" t="s">
        <v>831</v>
      </c>
      <c r="B822" s="3" t="str">
        <f>RTD("ice.rtd",,$C822 &amp; $D822 &amp; ":" &amp; B$1)</f>
        <v>BOA</v>
      </c>
      <c r="C822" s="3">
        <v>41787896</v>
      </c>
      <c r="D822" t="s">
        <v>804</v>
      </c>
      <c r="E822" s="3" t="str">
        <f>RTD("ice.rtd",,$C822 &amp; $D822 &amp; ":" &amp; E$1)</f>
        <v>Dec27</v>
      </c>
      <c r="F822" s="3" t="str">
        <f>ICE[[#This Row],[Prod]]&amp;ICE[[#This Row],[Strip]]</f>
        <v>fo35brxbblDec27</v>
      </c>
      <c r="G822" s="18" t="str">
        <f>RTD("ice.rtd",,$C822 &amp; $D822 &amp; ":" &amp; G$1)</f>
        <v/>
      </c>
      <c r="H822" s="18" t="str">
        <f>RTD("ice.rtd",,$C822 &amp; $D822 &amp; ":" &amp; H$1)</f>
        <v/>
      </c>
      <c r="I822" s="18" t="str">
        <f>RTD("ice.rtd",,$C822 &amp; $D822 &amp; ":" &amp; I$1)</f>
        <v/>
      </c>
      <c r="J822" s="14" t="str">
        <f>IFERROR(MOD(RTD("ice.rtd",,$C822 &amp; $D822 &amp; ":" &amp; J$1), 1), "")</f>
        <v/>
      </c>
      <c r="K822" s="18" t="str">
        <f>RTD("ice.rtd",,$C822 &amp; $D822 &amp; ":" &amp; K$1)</f>
        <v/>
      </c>
      <c r="L822" s="36" t="str">
        <f>RTD("ice.rtd",,$C822 &amp; $D822 &amp; ":" &amp; L$1)</f>
        <v/>
      </c>
      <c r="M822" s="14" t="str">
        <f>IFERROR(MOD(TIMEVALUE(RTD("ice.rtd",,$C822 &amp; $D822 &amp; ":" &amp; M$1)), 1), "")</f>
        <v/>
      </c>
      <c r="N822" s="36">
        <f>RTD("ice.rtd",,$C822 &amp; $D822 &amp; ":" &amp; N$1)</f>
        <v>0</v>
      </c>
      <c r="O822" s="36">
        <f>RTD("ice.rtd",,$C822 &amp; $D822 &amp; ":" &amp; O$1)</f>
        <v>0</v>
      </c>
      <c r="P8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2" s="14" t="str">
        <f>IF(ICE[[#This Row],[LastType]] = "Scrn", ICE[[#This Row],[LstDate]], IF(ICE[[#This Row],[LastType]] = "Blk", ICE[[#This Row],[LstBlkTime]], ""))</f>
        <v/>
      </c>
      <c r="R822" s="41" t="str">
        <f>IF(ICE[[#This Row],[LastType]] = "Scrn", ICE[[#This Row],[LstPrc]], IF(ICE[[#This Row],[LastType]] = "Blk", ICE[[#This Row],[LstBlkPrc]], ""))</f>
        <v/>
      </c>
      <c r="S822" s="36">
        <f>ICE[[#This Row],[Vol]]+ICE[[#This Row],[BlkVol]]</f>
        <v>0</v>
      </c>
      <c r="T822" s="36">
        <f>RTD("ice.rtd",,$C822 &amp; $D822 &amp; ":" &amp; T$1)</f>
        <v>770</v>
      </c>
      <c r="U822" s="18">
        <f>RTD("ice.rtd",,$C822 &amp; $D822 &amp; ":" &amp; U$1)</f>
        <v>-8.4660000000000011</v>
      </c>
      <c r="V8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2" s="18" t="str">
        <f>IFERROR(IF(LEFT(ICE[[#This Row],[Tenor]], 1) = "B", RTD("esrtd",,$B822 &amp; " " &amp; ICE[[#This Row],[Tenor]] &amp; "-IEU", W$1), RTD("esrtd",,$B822 &amp; " " &amp; VLOOKUP(MONTH(ICE[[#This Row],[Strip]]), MthRef[], 2, 0) &amp; RIGHT(YEAR(ICE[[#This Row],[Strip]]), 2) &amp; "-IEU", W$1)), "")</f>
        <v/>
      </c>
      <c r="X822" s="36"/>
    </row>
    <row r="823" spans="1:24" x14ac:dyDescent="0.25">
      <c r="A823" s="37" t="s">
        <v>831</v>
      </c>
      <c r="B823" s="3" t="str">
        <f>RTD("ice.rtd",,$C823 &amp; $D823 &amp; ":" &amp; B$1)</f>
        <v>BOA</v>
      </c>
      <c r="C823" s="3">
        <v>41787896</v>
      </c>
      <c r="D823" t="s">
        <v>805</v>
      </c>
      <c r="E823" s="3" t="str">
        <f>RTD("ice.rtd",,$C823 &amp; $D823 &amp; ":" &amp; E$1)</f>
        <v>Jan28</v>
      </c>
      <c r="F823" s="3" t="str">
        <f>ICE[[#This Row],[Prod]]&amp;ICE[[#This Row],[Strip]]</f>
        <v>fo35brxbblJan28</v>
      </c>
      <c r="G823" s="18" t="str">
        <f>RTD("ice.rtd",,$C823 &amp; $D823 &amp; ":" &amp; G$1)</f>
        <v/>
      </c>
      <c r="H823" s="18" t="str">
        <f>RTD("ice.rtd",,$C823 &amp; $D823 &amp; ":" &amp; H$1)</f>
        <v/>
      </c>
      <c r="I823" s="18" t="str">
        <f>RTD("ice.rtd",,$C823 &amp; $D823 &amp; ":" &amp; I$1)</f>
        <v/>
      </c>
      <c r="J823" s="14" t="str">
        <f>IFERROR(MOD(RTD("ice.rtd",,$C823 &amp; $D823 &amp; ":" &amp; J$1), 1), "")</f>
        <v/>
      </c>
      <c r="K823" s="18" t="str">
        <f>RTD("ice.rtd",,$C823 &amp; $D823 &amp; ":" &amp; K$1)</f>
        <v/>
      </c>
      <c r="L823" s="36" t="str">
        <f>RTD("ice.rtd",,$C823 &amp; $D823 &amp; ":" &amp; L$1)</f>
        <v/>
      </c>
      <c r="M823" s="14" t="str">
        <f>IFERROR(MOD(TIMEVALUE(RTD("ice.rtd",,$C823 &amp; $D823 &amp; ":" &amp; M$1)), 1), "")</f>
        <v/>
      </c>
      <c r="N823" s="36">
        <f>RTD("ice.rtd",,$C823 &amp; $D823 &amp; ":" &amp; N$1)</f>
        <v>0</v>
      </c>
      <c r="O823" s="36">
        <f>RTD("ice.rtd",,$C823 &amp; $D823 &amp; ":" &amp; O$1)</f>
        <v>0</v>
      </c>
      <c r="P8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3" s="14" t="str">
        <f>IF(ICE[[#This Row],[LastType]] = "Scrn", ICE[[#This Row],[LstDate]], IF(ICE[[#This Row],[LastType]] = "Blk", ICE[[#This Row],[LstBlkTime]], ""))</f>
        <v/>
      </c>
      <c r="R823" s="41" t="str">
        <f>IF(ICE[[#This Row],[LastType]] = "Scrn", ICE[[#This Row],[LstPrc]], IF(ICE[[#This Row],[LastType]] = "Blk", ICE[[#This Row],[LstBlkPrc]], ""))</f>
        <v/>
      </c>
      <c r="S823" s="36">
        <f>ICE[[#This Row],[Vol]]+ICE[[#This Row],[BlkVol]]</f>
        <v>0</v>
      </c>
      <c r="T823" s="36">
        <f>RTD("ice.rtd",,$C823 &amp; $D823 &amp; ":" &amp; T$1)</f>
        <v>164</v>
      </c>
      <c r="U823" s="18">
        <f>RTD("ice.rtd",,$C823 &amp; $D823 &amp; ":" &amp; U$1)</f>
        <v>-8.3770000000000007</v>
      </c>
      <c r="V8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3" s="18" t="str">
        <f>IFERROR(IF(LEFT(ICE[[#This Row],[Tenor]], 1) = "B", RTD("esrtd",,$B823 &amp; " " &amp; ICE[[#This Row],[Tenor]] &amp; "-IEU", W$1), RTD("esrtd",,$B823 &amp; " " &amp; VLOOKUP(MONTH(ICE[[#This Row],[Strip]]), MthRef[], 2, 0) &amp; RIGHT(YEAR(ICE[[#This Row],[Strip]]), 2) &amp; "-IEU", W$1)), "")</f>
        <v/>
      </c>
      <c r="X823" s="36"/>
    </row>
    <row r="824" spans="1:24" x14ac:dyDescent="0.25">
      <c r="A824" s="37" t="s">
        <v>831</v>
      </c>
      <c r="B824" s="3" t="str">
        <f>RTD("ice.rtd",,$C824 &amp; $D824 &amp; ":" &amp; B$1)</f>
        <v>BOA</v>
      </c>
      <c r="C824" s="3">
        <v>41787896</v>
      </c>
      <c r="D824" t="s">
        <v>806</v>
      </c>
      <c r="E824" s="3" t="str">
        <f>RTD("ice.rtd",,$C824 &amp; $D824 &amp; ":" &amp; E$1)</f>
        <v>Feb28</v>
      </c>
      <c r="F824" s="3" t="str">
        <f>ICE[[#This Row],[Prod]]&amp;ICE[[#This Row],[Strip]]</f>
        <v>fo35brxbblFeb28</v>
      </c>
      <c r="G824" s="18" t="str">
        <f>RTD("ice.rtd",,$C824 &amp; $D824 &amp; ":" &amp; G$1)</f>
        <v/>
      </c>
      <c r="H824" s="18" t="str">
        <f>RTD("ice.rtd",,$C824 &amp; $D824 &amp; ":" &amp; H$1)</f>
        <v/>
      </c>
      <c r="I824" s="18" t="str">
        <f>RTD("ice.rtd",,$C824 &amp; $D824 &amp; ":" &amp; I$1)</f>
        <v/>
      </c>
      <c r="J824" s="14" t="str">
        <f>IFERROR(MOD(RTD("ice.rtd",,$C824 &amp; $D824 &amp; ":" &amp; J$1), 1), "")</f>
        <v/>
      </c>
      <c r="K824" s="18" t="str">
        <f>RTD("ice.rtd",,$C824 &amp; $D824 &amp; ":" &amp; K$1)</f>
        <v/>
      </c>
      <c r="L824" s="36" t="str">
        <f>RTD("ice.rtd",,$C824 &amp; $D824 &amp; ":" &amp; L$1)</f>
        <v/>
      </c>
      <c r="M824" s="14" t="str">
        <f>IFERROR(MOD(TIMEVALUE(RTD("ice.rtd",,$C824 &amp; $D824 &amp; ":" &amp; M$1)), 1), "")</f>
        <v/>
      </c>
      <c r="N824" s="36">
        <f>RTD("ice.rtd",,$C824 &amp; $D824 &amp; ":" &amp; N$1)</f>
        <v>0</v>
      </c>
      <c r="O824" s="36">
        <f>RTD("ice.rtd",,$C824 &amp; $D824 &amp; ":" &amp; O$1)</f>
        <v>0</v>
      </c>
      <c r="P8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4" s="14" t="str">
        <f>IF(ICE[[#This Row],[LastType]] = "Scrn", ICE[[#This Row],[LstDate]], IF(ICE[[#This Row],[LastType]] = "Blk", ICE[[#This Row],[LstBlkTime]], ""))</f>
        <v/>
      </c>
      <c r="R824" s="41" t="str">
        <f>IF(ICE[[#This Row],[LastType]] = "Scrn", ICE[[#This Row],[LstPrc]], IF(ICE[[#This Row],[LastType]] = "Blk", ICE[[#This Row],[LstBlkPrc]], ""))</f>
        <v/>
      </c>
      <c r="S824" s="36">
        <f>ICE[[#This Row],[Vol]]+ICE[[#This Row],[BlkVol]]</f>
        <v>0</v>
      </c>
      <c r="T824" s="36">
        <f>RTD("ice.rtd",,$C824 &amp; $D824 &amp; ":" &amp; T$1)</f>
        <v>151</v>
      </c>
      <c r="U824" s="18">
        <f>RTD("ice.rtd",,$C824 &amp; $D824 &amp; ":" &amp; U$1)</f>
        <v>-8.2650000000000006</v>
      </c>
      <c r="V8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4" s="18" t="str">
        <f>IFERROR(IF(LEFT(ICE[[#This Row],[Tenor]], 1) = "B", RTD("esrtd",,$B824 &amp; " " &amp; ICE[[#This Row],[Tenor]] &amp; "-IEU", W$1), RTD("esrtd",,$B824 &amp; " " &amp; VLOOKUP(MONTH(ICE[[#This Row],[Strip]]), MthRef[], 2, 0) &amp; RIGHT(YEAR(ICE[[#This Row],[Strip]]), 2) &amp; "-IEU", W$1)), "")</f>
        <v/>
      </c>
      <c r="X824" s="36"/>
    </row>
    <row r="825" spans="1:24" x14ac:dyDescent="0.25">
      <c r="A825" s="37" t="s">
        <v>831</v>
      </c>
      <c r="B825" s="3" t="str">
        <f>RTD("ice.rtd",,$C825 &amp; $D825 &amp; ":" &amp; B$1)</f>
        <v>BOA</v>
      </c>
      <c r="C825" s="3">
        <v>41787896</v>
      </c>
      <c r="D825" t="s">
        <v>807</v>
      </c>
      <c r="E825" s="3" t="str">
        <f>RTD("ice.rtd",,$C825 &amp; $D825 &amp; ":" &amp; E$1)</f>
        <v>Mar28</v>
      </c>
      <c r="F825" s="3" t="str">
        <f>ICE[[#This Row],[Prod]]&amp;ICE[[#This Row],[Strip]]</f>
        <v>fo35brxbblMar28</v>
      </c>
      <c r="G825" s="18" t="str">
        <f>RTD("ice.rtd",,$C825 &amp; $D825 &amp; ":" &amp; G$1)</f>
        <v/>
      </c>
      <c r="H825" s="18" t="str">
        <f>RTD("ice.rtd",,$C825 &amp; $D825 &amp; ":" &amp; H$1)</f>
        <v/>
      </c>
      <c r="I825" s="18" t="str">
        <f>RTD("ice.rtd",,$C825 &amp; $D825 &amp; ":" &amp; I$1)</f>
        <v/>
      </c>
      <c r="J825" s="14" t="str">
        <f>IFERROR(MOD(RTD("ice.rtd",,$C825 &amp; $D825 &amp; ":" &amp; J$1), 1), "")</f>
        <v/>
      </c>
      <c r="K825" s="18" t="str">
        <f>RTD("ice.rtd",,$C825 &amp; $D825 &amp; ":" &amp; K$1)</f>
        <v/>
      </c>
      <c r="L825" s="36" t="str">
        <f>RTD("ice.rtd",,$C825 &amp; $D825 &amp; ":" &amp; L$1)</f>
        <v/>
      </c>
      <c r="M825" s="14" t="str">
        <f>IFERROR(MOD(TIMEVALUE(RTD("ice.rtd",,$C825 &amp; $D825 &amp; ":" &amp; M$1)), 1), "")</f>
        <v/>
      </c>
      <c r="N825" s="36">
        <f>RTD("ice.rtd",,$C825 &amp; $D825 &amp; ":" &amp; N$1)</f>
        <v>0</v>
      </c>
      <c r="O825" s="36">
        <f>RTD("ice.rtd",,$C825 &amp; $D825 &amp; ":" &amp; O$1)</f>
        <v>0</v>
      </c>
      <c r="P8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5" s="14" t="str">
        <f>IF(ICE[[#This Row],[LastType]] = "Scrn", ICE[[#This Row],[LstDate]], IF(ICE[[#This Row],[LastType]] = "Blk", ICE[[#This Row],[LstBlkTime]], ""))</f>
        <v/>
      </c>
      <c r="R825" s="41" t="str">
        <f>IF(ICE[[#This Row],[LastType]] = "Scrn", ICE[[#This Row],[LstPrc]], IF(ICE[[#This Row],[LastType]] = "Blk", ICE[[#This Row],[LstBlkPrc]], ""))</f>
        <v/>
      </c>
      <c r="S825" s="36">
        <f>ICE[[#This Row],[Vol]]+ICE[[#This Row],[BlkVol]]</f>
        <v>0</v>
      </c>
      <c r="T825" s="36">
        <f>RTD("ice.rtd",,$C825 &amp; $D825 &amp; ":" &amp; T$1)</f>
        <v>151</v>
      </c>
      <c r="U825" s="18">
        <f>RTD("ice.rtd",,$C825 &amp; $D825 &amp; ":" &amp; U$1)</f>
        <v>-8.1639999999999997</v>
      </c>
      <c r="V8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5" s="18" t="str">
        <f>IFERROR(IF(LEFT(ICE[[#This Row],[Tenor]], 1) = "B", RTD("esrtd",,$B825 &amp; " " &amp; ICE[[#This Row],[Tenor]] &amp; "-IEU", W$1), RTD("esrtd",,$B825 &amp; " " &amp; VLOOKUP(MONTH(ICE[[#This Row],[Strip]]), MthRef[], 2, 0) &amp; RIGHT(YEAR(ICE[[#This Row],[Strip]]), 2) &amp; "-IEU", W$1)), "")</f>
        <v/>
      </c>
      <c r="X825" s="36"/>
    </row>
    <row r="826" spans="1:24" x14ac:dyDescent="0.25">
      <c r="A826" s="37" t="s">
        <v>831</v>
      </c>
      <c r="B826" s="3" t="str">
        <f>RTD("ice.rtd",,$C826 &amp; $D826 &amp; ":" &amp; B$1)</f>
        <v>BOA</v>
      </c>
      <c r="C826" s="3">
        <v>41787896</v>
      </c>
      <c r="D826" t="s">
        <v>808</v>
      </c>
      <c r="E826" s="3" t="str">
        <f>RTD("ice.rtd",,$C826 &amp; $D826 &amp; ":" &amp; E$1)</f>
        <v>Apr28</v>
      </c>
      <c r="F826" s="3" t="str">
        <f>ICE[[#This Row],[Prod]]&amp;ICE[[#This Row],[Strip]]</f>
        <v>fo35brxbblApr28</v>
      </c>
      <c r="G826" s="18" t="str">
        <f>RTD("ice.rtd",,$C826 &amp; $D826 &amp; ":" &amp; G$1)</f>
        <v/>
      </c>
      <c r="H826" s="18" t="str">
        <f>RTD("ice.rtd",,$C826 &amp; $D826 &amp; ":" &amp; H$1)</f>
        <v/>
      </c>
      <c r="I826" s="18" t="str">
        <f>RTD("ice.rtd",,$C826 &amp; $D826 &amp; ":" &amp; I$1)</f>
        <v/>
      </c>
      <c r="J826" s="14" t="str">
        <f>IFERROR(MOD(RTD("ice.rtd",,$C826 &amp; $D826 &amp; ":" &amp; J$1), 1), "")</f>
        <v/>
      </c>
      <c r="K826" s="18" t="str">
        <f>RTD("ice.rtd",,$C826 &amp; $D826 &amp; ":" &amp; K$1)</f>
        <v/>
      </c>
      <c r="L826" s="36" t="str">
        <f>RTD("ice.rtd",,$C826 &amp; $D826 &amp; ":" &amp; L$1)</f>
        <v/>
      </c>
      <c r="M826" s="14" t="str">
        <f>IFERROR(MOD(TIMEVALUE(RTD("ice.rtd",,$C826 &amp; $D826 &amp; ":" &amp; M$1)), 1), "")</f>
        <v/>
      </c>
      <c r="N826" s="36">
        <f>RTD("ice.rtd",,$C826 &amp; $D826 &amp; ":" &amp; N$1)</f>
        <v>0</v>
      </c>
      <c r="O826" s="36">
        <f>RTD("ice.rtd",,$C826 &amp; $D826 &amp; ":" &amp; O$1)</f>
        <v>0</v>
      </c>
      <c r="P8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6" s="14" t="str">
        <f>IF(ICE[[#This Row],[LastType]] = "Scrn", ICE[[#This Row],[LstDate]], IF(ICE[[#This Row],[LastType]] = "Blk", ICE[[#This Row],[LstBlkTime]], ""))</f>
        <v/>
      </c>
      <c r="R826" s="41" t="str">
        <f>IF(ICE[[#This Row],[LastType]] = "Scrn", ICE[[#This Row],[LstPrc]], IF(ICE[[#This Row],[LastType]] = "Blk", ICE[[#This Row],[LstBlkPrc]], ""))</f>
        <v/>
      </c>
      <c r="S826" s="36">
        <f>ICE[[#This Row],[Vol]]+ICE[[#This Row],[BlkVol]]</f>
        <v>0</v>
      </c>
      <c r="T826" s="36">
        <f>RTD("ice.rtd",,$C826 &amp; $D826 &amp; ":" &amp; T$1)</f>
        <v>151</v>
      </c>
      <c r="U826" s="18">
        <f>RTD("ice.rtd",,$C826 &amp; $D826 &amp; ":" &amp; U$1)</f>
        <v>-8.0780000000000012</v>
      </c>
      <c r="V8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6" s="18" t="str">
        <f>IFERROR(IF(LEFT(ICE[[#This Row],[Tenor]], 1) = "B", RTD("esrtd",,$B826 &amp; " " &amp; ICE[[#This Row],[Tenor]] &amp; "-IEU", W$1), RTD("esrtd",,$B826 &amp; " " &amp; VLOOKUP(MONTH(ICE[[#This Row],[Strip]]), MthRef[], 2, 0) &amp; RIGHT(YEAR(ICE[[#This Row],[Strip]]), 2) &amp; "-IEU", W$1)), "")</f>
        <v/>
      </c>
      <c r="X826" s="36"/>
    </row>
    <row r="827" spans="1:24" x14ac:dyDescent="0.25">
      <c r="A827" s="37" t="s">
        <v>831</v>
      </c>
      <c r="B827" s="3" t="str">
        <f>RTD("ice.rtd",,$C827 &amp; $D827 &amp; ":" &amp; B$1)</f>
        <v>BOA</v>
      </c>
      <c r="C827" s="3">
        <v>41787896</v>
      </c>
      <c r="D827" t="s">
        <v>809</v>
      </c>
      <c r="E827" s="3" t="str">
        <f>RTD("ice.rtd",,$C827 &amp; $D827 &amp; ":" &amp; E$1)</f>
        <v>May28</v>
      </c>
      <c r="F827" s="3" t="str">
        <f>ICE[[#This Row],[Prod]]&amp;ICE[[#This Row],[Strip]]</f>
        <v>fo35brxbblMay28</v>
      </c>
      <c r="G827" s="18" t="str">
        <f>RTD("ice.rtd",,$C827 &amp; $D827 &amp; ":" &amp; G$1)</f>
        <v/>
      </c>
      <c r="H827" s="18" t="str">
        <f>RTD("ice.rtd",,$C827 &amp; $D827 &amp; ":" &amp; H$1)</f>
        <v/>
      </c>
      <c r="I827" s="18" t="str">
        <f>RTD("ice.rtd",,$C827 &amp; $D827 &amp; ":" &amp; I$1)</f>
        <v/>
      </c>
      <c r="J827" s="14" t="str">
        <f>IFERROR(MOD(RTD("ice.rtd",,$C827 &amp; $D827 &amp; ":" &amp; J$1), 1), "")</f>
        <v/>
      </c>
      <c r="K827" s="18" t="str">
        <f>RTD("ice.rtd",,$C827 &amp; $D827 &amp; ":" &amp; K$1)</f>
        <v/>
      </c>
      <c r="L827" s="36" t="str">
        <f>RTD("ice.rtd",,$C827 &amp; $D827 &amp; ":" &amp; L$1)</f>
        <v/>
      </c>
      <c r="M827" s="14" t="str">
        <f>IFERROR(MOD(TIMEVALUE(RTD("ice.rtd",,$C827 &amp; $D827 &amp; ":" &amp; M$1)), 1), "")</f>
        <v/>
      </c>
      <c r="N827" s="36">
        <f>RTD("ice.rtd",,$C827 &amp; $D827 &amp; ":" &amp; N$1)</f>
        <v>0</v>
      </c>
      <c r="O827" s="36">
        <f>RTD("ice.rtd",,$C827 &amp; $D827 &amp; ":" &amp; O$1)</f>
        <v>0</v>
      </c>
      <c r="P8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7" s="14" t="str">
        <f>IF(ICE[[#This Row],[LastType]] = "Scrn", ICE[[#This Row],[LstDate]], IF(ICE[[#This Row],[LastType]] = "Blk", ICE[[#This Row],[LstBlkTime]], ""))</f>
        <v/>
      </c>
      <c r="R827" s="41" t="str">
        <f>IF(ICE[[#This Row],[LastType]] = "Scrn", ICE[[#This Row],[LstPrc]], IF(ICE[[#This Row],[LastType]] = "Blk", ICE[[#This Row],[LstBlkPrc]], ""))</f>
        <v/>
      </c>
      <c r="S827" s="36">
        <f>ICE[[#This Row],[Vol]]+ICE[[#This Row],[BlkVol]]</f>
        <v>0</v>
      </c>
      <c r="T827" s="36">
        <f>RTD("ice.rtd",,$C827 &amp; $D827 &amp; ":" &amp; T$1)</f>
        <v>151</v>
      </c>
      <c r="U827" s="18">
        <f>RTD("ice.rtd",,$C827 &amp; $D827 &amp; ":" &amp; U$1)</f>
        <v>-7.9990000000000006</v>
      </c>
      <c r="V8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7" s="18" t="str">
        <f>IFERROR(IF(LEFT(ICE[[#This Row],[Tenor]], 1) = "B", RTD("esrtd",,$B827 &amp; " " &amp; ICE[[#This Row],[Tenor]] &amp; "-IEU", W$1), RTD("esrtd",,$B827 &amp; " " &amp; VLOOKUP(MONTH(ICE[[#This Row],[Strip]]), MthRef[], 2, 0) &amp; RIGHT(YEAR(ICE[[#This Row],[Strip]]), 2) &amp; "-IEU", W$1)), "")</f>
        <v/>
      </c>
      <c r="X827" s="36"/>
    </row>
    <row r="828" spans="1:24" x14ac:dyDescent="0.25">
      <c r="A828" s="37" t="s">
        <v>831</v>
      </c>
      <c r="B828" s="3" t="str">
        <f>RTD("ice.rtd",,$C828 &amp; $D828 &amp; ":" &amp; B$1)</f>
        <v>BOA</v>
      </c>
      <c r="C828" s="3">
        <v>41787896</v>
      </c>
      <c r="D828" t="s">
        <v>810</v>
      </c>
      <c r="E828" s="3" t="str">
        <f>RTD("ice.rtd",,$C828 &amp; $D828 &amp; ":" &amp; E$1)</f>
        <v>Jun28</v>
      </c>
      <c r="F828" s="3" t="str">
        <f>ICE[[#This Row],[Prod]]&amp;ICE[[#This Row],[Strip]]</f>
        <v>fo35brxbblJun28</v>
      </c>
      <c r="G828" s="18" t="str">
        <f>RTD("ice.rtd",,$C828 &amp; $D828 &amp; ":" &amp; G$1)</f>
        <v/>
      </c>
      <c r="H828" s="18" t="str">
        <f>RTD("ice.rtd",,$C828 &amp; $D828 &amp; ":" &amp; H$1)</f>
        <v/>
      </c>
      <c r="I828" s="18" t="str">
        <f>RTD("ice.rtd",,$C828 &amp; $D828 &amp; ":" &amp; I$1)</f>
        <v/>
      </c>
      <c r="J828" s="14" t="str">
        <f>IFERROR(MOD(RTD("ice.rtd",,$C828 &amp; $D828 &amp; ":" &amp; J$1), 1), "")</f>
        <v/>
      </c>
      <c r="K828" s="18" t="str">
        <f>RTD("ice.rtd",,$C828 &amp; $D828 &amp; ":" &amp; K$1)</f>
        <v/>
      </c>
      <c r="L828" s="36" t="str">
        <f>RTD("ice.rtd",,$C828 &amp; $D828 &amp; ":" &amp; L$1)</f>
        <v/>
      </c>
      <c r="M828" s="14" t="str">
        <f>IFERROR(MOD(TIMEVALUE(RTD("ice.rtd",,$C828 &amp; $D828 &amp; ":" &amp; M$1)), 1), "")</f>
        <v/>
      </c>
      <c r="N828" s="36">
        <f>RTD("ice.rtd",,$C828 &amp; $D828 &amp; ":" &amp; N$1)</f>
        <v>0</v>
      </c>
      <c r="O828" s="36">
        <f>RTD("ice.rtd",,$C828 &amp; $D828 &amp; ":" &amp; O$1)</f>
        <v>0</v>
      </c>
      <c r="P8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8" s="14" t="str">
        <f>IF(ICE[[#This Row],[LastType]] = "Scrn", ICE[[#This Row],[LstDate]], IF(ICE[[#This Row],[LastType]] = "Blk", ICE[[#This Row],[LstBlkTime]], ""))</f>
        <v/>
      </c>
      <c r="R828" s="41" t="str">
        <f>IF(ICE[[#This Row],[LastType]] = "Scrn", ICE[[#This Row],[LstPrc]], IF(ICE[[#This Row],[LastType]] = "Blk", ICE[[#This Row],[LstBlkPrc]], ""))</f>
        <v/>
      </c>
      <c r="S828" s="36">
        <f>ICE[[#This Row],[Vol]]+ICE[[#This Row],[BlkVol]]</f>
        <v>0</v>
      </c>
      <c r="T828" s="36">
        <f>RTD("ice.rtd",,$C828 &amp; $D828 &amp; ":" &amp; T$1)</f>
        <v>151</v>
      </c>
      <c r="U828" s="18">
        <f>RTD("ice.rtd",,$C828 &amp; $D828 &amp; ":" &amp; U$1)</f>
        <v>-7.9359999999999999</v>
      </c>
      <c r="V8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8" s="18" t="str">
        <f>IFERROR(IF(LEFT(ICE[[#This Row],[Tenor]], 1) = "B", RTD("esrtd",,$B828 &amp; " " &amp; ICE[[#This Row],[Tenor]] &amp; "-IEU", W$1), RTD("esrtd",,$B828 &amp; " " &amp; VLOOKUP(MONTH(ICE[[#This Row],[Strip]]), MthRef[], 2, 0) &amp; RIGHT(YEAR(ICE[[#This Row],[Strip]]), 2) &amp; "-IEU", W$1)), "")</f>
        <v/>
      </c>
      <c r="X828" s="36"/>
    </row>
    <row r="829" spans="1:24" x14ac:dyDescent="0.25">
      <c r="A829" s="37" t="s">
        <v>831</v>
      </c>
      <c r="B829" s="3" t="str">
        <f>RTD("ice.rtd",,$C829 &amp; $D829 &amp; ":" &amp; B$1)</f>
        <v>BOA</v>
      </c>
      <c r="C829" s="3">
        <v>41787896</v>
      </c>
      <c r="D829" t="s">
        <v>811</v>
      </c>
      <c r="E829" s="3" t="str">
        <f>RTD("ice.rtd",,$C829 &amp; $D829 &amp; ":" &amp; E$1)</f>
        <v>Jul28</v>
      </c>
      <c r="F829" s="3" t="str">
        <f>ICE[[#This Row],[Prod]]&amp;ICE[[#This Row],[Strip]]</f>
        <v>fo35brxbblJul28</v>
      </c>
      <c r="G829" s="18" t="str">
        <f>RTD("ice.rtd",,$C829 &amp; $D829 &amp; ":" &amp; G$1)</f>
        <v/>
      </c>
      <c r="H829" s="18" t="str">
        <f>RTD("ice.rtd",,$C829 &amp; $D829 &amp; ":" &amp; H$1)</f>
        <v/>
      </c>
      <c r="I829" s="18" t="str">
        <f>RTD("ice.rtd",,$C829 &amp; $D829 &amp; ":" &amp; I$1)</f>
        <v/>
      </c>
      <c r="J829" s="14" t="str">
        <f>IFERROR(MOD(RTD("ice.rtd",,$C829 &amp; $D829 &amp; ":" &amp; J$1), 1), "")</f>
        <v/>
      </c>
      <c r="K829" s="18" t="str">
        <f>RTD("ice.rtd",,$C829 &amp; $D829 &amp; ":" &amp; K$1)</f>
        <v/>
      </c>
      <c r="L829" s="36" t="str">
        <f>RTD("ice.rtd",,$C829 &amp; $D829 &amp; ":" &amp; L$1)</f>
        <v/>
      </c>
      <c r="M829" s="14" t="str">
        <f>IFERROR(MOD(TIMEVALUE(RTD("ice.rtd",,$C829 &amp; $D829 &amp; ":" &amp; M$1)), 1), "")</f>
        <v/>
      </c>
      <c r="N829" s="36">
        <f>RTD("ice.rtd",,$C829 &amp; $D829 &amp; ":" &amp; N$1)</f>
        <v>0</v>
      </c>
      <c r="O829" s="36">
        <f>RTD("ice.rtd",,$C829 &amp; $D829 &amp; ":" &amp; O$1)</f>
        <v>0</v>
      </c>
      <c r="P8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29" s="14" t="str">
        <f>IF(ICE[[#This Row],[LastType]] = "Scrn", ICE[[#This Row],[LstDate]], IF(ICE[[#This Row],[LastType]] = "Blk", ICE[[#This Row],[LstBlkTime]], ""))</f>
        <v/>
      </c>
      <c r="R829" s="41" t="str">
        <f>IF(ICE[[#This Row],[LastType]] = "Scrn", ICE[[#This Row],[LstPrc]], IF(ICE[[#This Row],[LastType]] = "Blk", ICE[[#This Row],[LstBlkPrc]], ""))</f>
        <v/>
      </c>
      <c r="S829" s="36">
        <f>ICE[[#This Row],[Vol]]+ICE[[#This Row],[BlkVol]]</f>
        <v>0</v>
      </c>
      <c r="T829" s="36">
        <f>RTD("ice.rtd",,$C829 &amp; $D829 &amp; ":" &amp; T$1)</f>
        <v>151</v>
      </c>
      <c r="U829" s="18">
        <f>RTD("ice.rtd",,$C829 &amp; $D829 &amp; ":" &amp; U$1)</f>
        <v>-7.9220000000000006</v>
      </c>
      <c r="V8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29" s="18" t="str">
        <f>IFERROR(IF(LEFT(ICE[[#This Row],[Tenor]], 1) = "B", RTD("esrtd",,$B829 &amp; " " &amp; ICE[[#This Row],[Tenor]] &amp; "-IEU", W$1), RTD("esrtd",,$B829 &amp; " " &amp; VLOOKUP(MONTH(ICE[[#This Row],[Strip]]), MthRef[], 2, 0) &amp; RIGHT(YEAR(ICE[[#This Row],[Strip]]), 2) &amp; "-IEU", W$1)), "")</f>
        <v/>
      </c>
      <c r="X829" s="36"/>
    </row>
    <row r="830" spans="1:24" x14ac:dyDescent="0.25">
      <c r="A830" s="37" t="s">
        <v>831</v>
      </c>
      <c r="B830" s="3" t="str">
        <f>RTD("ice.rtd",,$C830 &amp; $D830 &amp; ":" &amp; B$1)</f>
        <v>BOA</v>
      </c>
      <c r="C830" s="3">
        <v>41787896</v>
      </c>
      <c r="D830" t="s">
        <v>812</v>
      </c>
      <c r="E830" s="3" t="str">
        <f>RTD("ice.rtd",,$C830 &amp; $D830 &amp; ":" &amp; E$1)</f>
        <v>Aug28</v>
      </c>
      <c r="F830" s="3" t="str">
        <f>ICE[[#This Row],[Prod]]&amp;ICE[[#This Row],[Strip]]</f>
        <v>fo35brxbblAug28</v>
      </c>
      <c r="G830" s="18" t="str">
        <f>RTD("ice.rtd",,$C830 &amp; $D830 &amp; ":" &amp; G$1)</f>
        <v/>
      </c>
      <c r="H830" s="18" t="str">
        <f>RTD("ice.rtd",,$C830 &amp; $D830 &amp; ":" &amp; H$1)</f>
        <v/>
      </c>
      <c r="I830" s="18" t="str">
        <f>RTD("ice.rtd",,$C830 &amp; $D830 &amp; ":" &amp; I$1)</f>
        <v/>
      </c>
      <c r="J830" s="14" t="str">
        <f>IFERROR(MOD(RTD("ice.rtd",,$C830 &amp; $D830 &amp; ":" &amp; J$1), 1), "")</f>
        <v/>
      </c>
      <c r="K830" s="18" t="str">
        <f>RTD("ice.rtd",,$C830 &amp; $D830 &amp; ":" &amp; K$1)</f>
        <v/>
      </c>
      <c r="L830" s="36" t="str">
        <f>RTD("ice.rtd",,$C830 &amp; $D830 &amp; ":" &amp; L$1)</f>
        <v/>
      </c>
      <c r="M830" s="14" t="str">
        <f>IFERROR(MOD(TIMEVALUE(RTD("ice.rtd",,$C830 &amp; $D830 &amp; ":" &amp; M$1)), 1), "")</f>
        <v/>
      </c>
      <c r="N830" s="36">
        <f>RTD("ice.rtd",,$C830 &amp; $D830 &amp; ":" &amp; N$1)</f>
        <v>0</v>
      </c>
      <c r="O830" s="36">
        <f>RTD("ice.rtd",,$C830 &amp; $D830 &amp; ":" &amp; O$1)</f>
        <v>0</v>
      </c>
      <c r="P8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0" s="14" t="str">
        <f>IF(ICE[[#This Row],[LastType]] = "Scrn", ICE[[#This Row],[LstDate]], IF(ICE[[#This Row],[LastType]] = "Blk", ICE[[#This Row],[LstBlkTime]], ""))</f>
        <v/>
      </c>
      <c r="R830" s="41" t="str">
        <f>IF(ICE[[#This Row],[LastType]] = "Scrn", ICE[[#This Row],[LstPrc]], IF(ICE[[#This Row],[LastType]] = "Blk", ICE[[#This Row],[LstBlkPrc]], ""))</f>
        <v/>
      </c>
      <c r="S830" s="36">
        <f>ICE[[#This Row],[Vol]]+ICE[[#This Row],[BlkVol]]</f>
        <v>0</v>
      </c>
      <c r="T830" s="36">
        <f>RTD("ice.rtd",,$C830 &amp; $D830 &amp; ":" &amp; T$1)</f>
        <v>151</v>
      </c>
      <c r="U830" s="18">
        <f>RTD("ice.rtd",,$C830 &amp; $D830 &amp; ":" &amp; U$1)</f>
        <v>-7.9580000000000002</v>
      </c>
      <c r="V8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0" s="18" t="str">
        <f>IFERROR(IF(LEFT(ICE[[#This Row],[Tenor]], 1) = "B", RTD("esrtd",,$B830 &amp; " " &amp; ICE[[#This Row],[Tenor]] &amp; "-IEU", W$1), RTD("esrtd",,$B830 &amp; " " &amp; VLOOKUP(MONTH(ICE[[#This Row],[Strip]]), MthRef[], 2, 0) &amp; RIGHT(YEAR(ICE[[#This Row],[Strip]]), 2) &amp; "-IEU", W$1)), "")</f>
        <v/>
      </c>
      <c r="X830" s="36"/>
    </row>
    <row r="831" spans="1:24" x14ac:dyDescent="0.25">
      <c r="A831" s="37" t="s">
        <v>831</v>
      </c>
      <c r="B831" s="3" t="str">
        <f>RTD("ice.rtd",,$C831 &amp; $D831 &amp; ":" &amp; B$1)</f>
        <v>BOA</v>
      </c>
      <c r="C831" s="3">
        <v>41787896</v>
      </c>
      <c r="D831" t="s">
        <v>813</v>
      </c>
      <c r="E831" s="3" t="str">
        <f>RTD("ice.rtd",,$C831 &amp; $D831 &amp; ":" &amp; E$1)</f>
        <v>Sep28</v>
      </c>
      <c r="F831" s="3" t="str">
        <f>ICE[[#This Row],[Prod]]&amp;ICE[[#This Row],[Strip]]</f>
        <v>fo35brxbblSep28</v>
      </c>
      <c r="G831" s="18" t="str">
        <f>RTD("ice.rtd",,$C831 &amp; $D831 &amp; ":" &amp; G$1)</f>
        <v/>
      </c>
      <c r="H831" s="18" t="str">
        <f>RTD("ice.rtd",,$C831 &amp; $D831 &amp; ":" &amp; H$1)</f>
        <v/>
      </c>
      <c r="I831" s="18" t="str">
        <f>RTD("ice.rtd",,$C831 &amp; $D831 &amp; ":" &amp; I$1)</f>
        <v/>
      </c>
      <c r="J831" s="14" t="str">
        <f>IFERROR(MOD(RTD("ice.rtd",,$C831 &amp; $D831 &amp; ":" &amp; J$1), 1), "")</f>
        <v/>
      </c>
      <c r="K831" s="18" t="str">
        <f>RTD("ice.rtd",,$C831 &amp; $D831 &amp; ":" &amp; K$1)</f>
        <v/>
      </c>
      <c r="L831" s="36" t="str">
        <f>RTD("ice.rtd",,$C831 &amp; $D831 &amp; ":" &amp; L$1)</f>
        <v/>
      </c>
      <c r="M831" s="14" t="str">
        <f>IFERROR(MOD(TIMEVALUE(RTD("ice.rtd",,$C831 &amp; $D831 &amp; ":" &amp; M$1)), 1), "")</f>
        <v/>
      </c>
      <c r="N831" s="36">
        <f>RTD("ice.rtd",,$C831 &amp; $D831 &amp; ":" &amp; N$1)</f>
        <v>0</v>
      </c>
      <c r="O831" s="36">
        <f>RTD("ice.rtd",,$C831 &amp; $D831 &amp; ":" &amp; O$1)</f>
        <v>0</v>
      </c>
      <c r="P8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1" s="14" t="str">
        <f>IF(ICE[[#This Row],[LastType]] = "Scrn", ICE[[#This Row],[LstDate]], IF(ICE[[#This Row],[LastType]] = "Blk", ICE[[#This Row],[LstBlkTime]], ""))</f>
        <v/>
      </c>
      <c r="R831" s="41" t="str">
        <f>IF(ICE[[#This Row],[LastType]] = "Scrn", ICE[[#This Row],[LstPrc]], IF(ICE[[#This Row],[LastType]] = "Blk", ICE[[#This Row],[LstBlkPrc]], ""))</f>
        <v/>
      </c>
      <c r="S831" s="36">
        <f>ICE[[#This Row],[Vol]]+ICE[[#This Row],[BlkVol]]</f>
        <v>0</v>
      </c>
      <c r="T831" s="36">
        <f>RTD("ice.rtd",,$C831 &amp; $D831 &amp; ":" &amp; T$1)</f>
        <v>151</v>
      </c>
      <c r="U831" s="18">
        <f>RTD("ice.rtd",,$C831 &amp; $D831 &amp; ":" &amp; U$1)</f>
        <v>-7.9930000000000003</v>
      </c>
      <c r="V8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1" s="18" t="str">
        <f>IFERROR(IF(LEFT(ICE[[#This Row],[Tenor]], 1) = "B", RTD("esrtd",,$B831 &amp; " " &amp; ICE[[#This Row],[Tenor]] &amp; "-IEU", W$1), RTD("esrtd",,$B831 &amp; " " &amp; VLOOKUP(MONTH(ICE[[#This Row],[Strip]]), MthRef[], 2, 0) &amp; RIGHT(YEAR(ICE[[#This Row],[Strip]]), 2) &amp; "-IEU", W$1)), "")</f>
        <v/>
      </c>
      <c r="X831" s="36"/>
    </row>
    <row r="832" spans="1:24" x14ac:dyDescent="0.25">
      <c r="A832" s="37" t="s">
        <v>831</v>
      </c>
      <c r="B832" s="3" t="str">
        <f>RTD("ice.rtd",,$C832 &amp; $D832 &amp; ":" &amp; B$1)</f>
        <v>BOA</v>
      </c>
      <c r="C832" s="3">
        <v>41787896</v>
      </c>
      <c r="D832" t="s">
        <v>814</v>
      </c>
      <c r="E832" s="3" t="str">
        <f>RTD("ice.rtd",,$C832 &amp; $D832 &amp; ":" &amp; E$1)</f>
        <v>Q4 26</v>
      </c>
      <c r="F832" s="3" t="str">
        <f>ICE[[#This Row],[Prod]]&amp;ICE[[#This Row],[Strip]]</f>
        <v>fo35brxbblQ4 26</v>
      </c>
      <c r="G832" s="18" t="str">
        <f>RTD("ice.rtd",,$C832 &amp; $D832 &amp; ":" &amp; G$1)</f>
        <v/>
      </c>
      <c r="H832" s="18" t="str">
        <f>RTD("ice.rtd",,$C832 &amp; $D832 &amp; ":" &amp; H$1)</f>
        <v/>
      </c>
      <c r="I832" s="18" t="str">
        <f>RTD("ice.rtd",,$C832 &amp; $D832 &amp; ":" &amp; I$1)</f>
        <v/>
      </c>
      <c r="J832" s="14" t="str">
        <f>IFERROR(MOD(RTD("ice.rtd",,$C832 &amp; $D832 &amp; ":" &amp; J$1), 1), "")</f>
        <v/>
      </c>
      <c r="K832" s="18" t="str">
        <f>RTD("ice.rtd",,$C832 &amp; $D832 &amp; ":" &amp; K$1)</f>
        <v/>
      </c>
      <c r="L832" s="36" t="str">
        <f>RTD("ice.rtd",,$C832 &amp; $D832 &amp; ":" &amp; L$1)</f>
        <v/>
      </c>
      <c r="M832" s="14" t="str">
        <f>IFERROR(MOD(TIMEVALUE(RTD("ice.rtd",,$C832 &amp; $D832 &amp; ":" &amp; M$1)), 1), "")</f>
        <v/>
      </c>
      <c r="N832" s="36">
        <f>RTD("ice.rtd",,$C832 &amp; $D832 &amp; ":" &amp; N$1)</f>
        <v>0</v>
      </c>
      <c r="O832" s="36">
        <f>RTD("ice.rtd",,$C832 &amp; $D832 &amp; ":" &amp; O$1)</f>
        <v>0</v>
      </c>
      <c r="P8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2" s="14" t="str">
        <f>IF(ICE[[#This Row],[LastType]] = "Scrn", ICE[[#This Row],[LstDate]], IF(ICE[[#This Row],[LastType]] = "Blk", ICE[[#This Row],[LstBlkTime]], ""))</f>
        <v/>
      </c>
      <c r="R832" s="41" t="str">
        <f>IF(ICE[[#This Row],[LastType]] = "Scrn", ICE[[#This Row],[LstPrc]], IF(ICE[[#This Row],[LastType]] = "Blk", ICE[[#This Row],[LstBlkPrc]], ""))</f>
        <v/>
      </c>
      <c r="S832" s="36">
        <f>ICE[[#This Row],[Vol]]+ICE[[#This Row],[BlkVol]]</f>
        <v>0</v>
      </c>
      <c r="T832" s="36">
        <f>RTD("ice.rtd",,$C832 &amp; $D832 &amp; ":" &amp; T$1)</f>
        <v>0</v>
      </c>
      <c r="U832" s="18">
        <f>RTD("ice.rtd",,$C832 &amp; $D832 &amp; ":" &amp; U$1)</f>
        <v>-10.527000000000001</v>
      </c>
      <c r="V8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2" s="18" t="str">
        <f>IFERROR(IF(LEFT(ICE[[#This Row],[Tenor]], 1) = "B", RTD("esrtd",,$B832 &amp; " " &amp; ICE[[#This Row],[Tenor]] &amp; "-IEU", W$1), RTD("esrtd",,$B832 &amp; " " &amp; VLOOKUP(MONTH(ICE[[#This Row],[Strip]]), MthRef[], 2, 0) &amp; RIGHT(YEAR(ICE[[#This Row],[Strip]]), 2) &amp; "-IEU", W$1)), "")</f>
        <v/>
      </c>
      <c r="X832" s="36"/>
    </row>
    <row r="833" spans="1:24" x14ac:dyDescent="0.25">
      <c r="A833" s="37" t="s">
        <v>831</v>
      </c>
      <c r="B833" s="3" t="str">
        <f>RTD("ice.rtd",,$C833 &amp; $D833 &amp; ":" &amp; B$1)</f>
        <v>BOA</v>
      </c>
      <c r="C833" s="3">
        <v>41787896</v>
      </c>
      <c r="D833" t="s">
        <v>815</v>
      </c>
      <c r="E833" s="3" t="str">
        <f>RTD("ice.rtd",,$C833 &amp; $D833 &amp; ":" &amp; E$1)</f>
        <v>Q1 27</v>
      </c>
      <c r="F833" s="3" t="str">
        <f>ICE[[#This Row],[Prod]]&amp;ICE[[#This Row],[Strip]]</f>
        <v>fo35brxbblQ1 27</v>
      </c>
      <c r="G833" s="18" t="str">
        <f>RTD("ice.rtd",,$C833 &amp; $D833 &amp; ":" &amp; G$1)</f>
        <v/>
      </c>
      <c r="H833" s="18" t="str">
        <f>RTD("ice.rtd",,$C833 &amp; $D833 &amp; ":" &amp; H$1)</f>
        <v/>
      </c>
      <c r="I833" s="18" t="str">
        <f>RTD("ice.rtd",,$C833 &amp; $D833 &amp; ":" &amp; I$1)</f>
        <v/>
      </c>
      <c r="J833" s="14" t="str">
        <f>IFERROR(MOD(RTD("ice.rtd",,$C833 &amp; $D833 &amp; ":" &amp; J$1), 1), "")</f>
        <v/>
      </c>
      <c r="K833" s="18" t="str">
        <f>RTD("ice.rtd",,$C833 &amp; $D833 &amp; ":" &amp; K$1)</f>
        <v/>
      </c>
      <c r="L833" s="36" t="str">
        <f>RTD("ice.rtd",,$C833 &amp; $D833 &amp; ":" &amp; L$1)</f>
        <v/>
      </c>
      <c r="M833" s="14" t="str">
        <f>IFERROR(MOD(TIMEVALUE(RTD("ice.rtd",,$C833 &amp; $D833 &amp; ":" &amp; M$1)), 1), "")</f>
        <v/>
      </c>
      <c r="N833" s="36">
        <f>RTD("ice.rtd",,$C833 &amp; $D833 &amp; ":" &amp; N$1)</f>
        <v>0</v>
      </c>
      <c r="O833" s="36">
        <f>RTD("ice.rtd",,$C833 &amp; $D833 &amp; ":" &amp; O$1)</f>
        <v>0</v>
      </c>
      <c r="P8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3" s="14" t="str">
        <f>IF(ICE[[#This Row],[LastType]] = "Scrn", ICE[[#This Row],[LstDate]], IF(ICE[[#This Row],[LastType]] = "Blk", ICE[[#This Row],[LstBlkTime]], ""))</f>
        <v/>
      </c>
      <c r="R833" s="41" t="str">
        <f>IF(ICE[[#This Row],[LastType]] = "Scrn", ICE[[#This Row],[LstPrc]], IF(ICE[[#This Row],[LastType]] = "Blk", ICE[[#This Row],[LstBlkPrc]], ""))</f>
        <v/>
      </c>
      <c r="S833" s="36">
        <f>ICE[[#This Row],[Vol]]+ICE[[#This Row],[BlkVol]]</f>
        <v>0</v>
      </c>
      <c r="T833" s="36">
        <f>RTD("ice.rtd",,$C833 &amp; $D833 &amp; ":" &amp; T$1)</f>
        <v>0</v>
      </c>
      <c r="U833" s="18">
        <f>RTD("ice.rtd",,$C833 &amp; $D833 &amp; ":" &amp; U$1)</f>
        <v>-8.6270000000000007</v>
      </c>
      <c r="V8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3" s="18" t="str">
        <f>IFERROR(IF(LEFT(ICE[[#This Row],[Tenor]], 1) = "B", RTD("esrtd",,$B833 &amp; " " &amp; ICE[[#This Row],[Tenor]] &amp; "-IEU", W$1), RTD("esrtd",,$B833 &amp; " " &amp; VLOOKUP(MONTH(ICE[[#This Row],[Strip]]), MthRef[], 2, 0) &amp; RIGHT(YEAR(ICE[[#This Row],[Strip]]), 2) &amp; "-IEU", W$1)), "")</f>
        <v/>
      </c>
      <c r="X833" s="36"/>
    </row>
    <row r="834" spans="1:24" x14ac:dyDescent="0.25">
      <c r="A834" s="37" t="s">
        <v>831</v>
      </c>
      <c r="B834" s="3" t="str">
        <f>RTD("ice.rtd",,$C834 &amp; $D834 &amp; ":" &amp; B$1)</f>
        <v>BOA</v>
      </c>
      <c r="C834" s="3">
        <v>41787896</v>
      </c>
      <c r="D834" t="s">
        <v>816</v>
      </c>
      <c r="E834" s="3" t="str">
        <f>RTD("ice.rtd",,$C834 &amp; $D834 &amp; ":" &amp; E$1)</f>
        <v>Q2 27</v>
      </c>
      <c r="F834" s="3" t="str">
        <f>ICE[[#This Row],[Prod]]&amp;ICE[[#This Row],[Strip]]</f>
        <v>fo35brxbblQ2 27</v>
      </c>
      <c r="G834" s="18" t="str">
        <f>RTD("ice.rtd",,$C834 &amp; $D834 &amp; ":" &amp; G$1)</f>
        <v/>
      </c>
      <c r="H834" s="18" t="str">
        <f>RTD("ice.rtd",,$C834 &amp; $D834 &amp; ":" &amp; H$1)</f>
        <v/>
      </c>
      <c r="I834" s="18" t="str">
        <f>RTD("ice.rtd",,$C834 &amp; $D834 &amp; ":" &amp; I$1)</f>
        <v/>
      </c>
      <c r="J834" s="14" t="str">
        <f>IFERROR(MOD(RTD("ice.rtd",,$C834 &amp; $D834 &amp; ":" &amp; J$1), 1), "")</f>
        <v/>
      </c>
      <c r="K834" s="18" t="str">
        <f>RTD("ice.rtd",,$C834 &amp; $D834 &amp; ":" &amp; K$1)</f>
        <v/>
      </c>
      <c r="L834" s="36" t="str">
        <f>RTD("ice.rtd",,$C834 &amp; $D834 &amp; ":" &amp; L$1)</f>
        <v/>
      </c>
      <c r="M834" s="14" t="str">
        <f>IFERROR(MOD(TIMEVALUE(RTD("ice.rtd",,$C834 &amp; $D834 &amp; ":" &amp; M$1)), 1), "")</f>
        <v/>
      </c>
      <c r="N834" s="36">
        <f>RTD("ice.rtd",,$C834 &amp; $D834 &amp; ":" &amp; N$1)</f>
        <v>0</v>
      </c>
      <c r="O834" s="36">
        <f>RTD("ice.rtd",,$C834 &amp; $D834 &amp; ":" &amp; O$1)</f>
        <v>0</v>
      </c>
      <c r="P8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4" s="14" t="str">
        <f>IF(ICE[[#This Row],[LastType]] = "Scrn", ICE[[#This Row],[LstDate]], IF(ICE[[#This Row],[LastType]] = "Blk", ICE[[#This Row],[LstBlkTime]], ""))</f>
        <v/>
      </c>
      <c r="R834" s="41" t="str">
        <f>IF(ICE[[#This Row],[LastType]] = "Scrn", ICE[[#This Row],[LstPrc]], IF(ICE[[#This Row],[LastType]] = "Blk", ICE[[#This Row],[LstBlkPrc]], ""))</f>
        <v/>
      </c>
      <c r="S834" s="36">
        <f>ICE[[#This Row],[Vol]]+ICE[[#This Row],[BlkVol]]</f>
        <v>0</v>
      </c>
      <c r="T834" s="36">
        <f>RTD("ice.rtd",,$C834 &amp; $D834 &amp; ":" &amp; T$1)</f>
        <v>0</v>
      </c>
      <c r="U834" s="18">
        <f>RTD("ice.rtd",,$C834 &amp; $D834 &amp; ":" &amp; U$1)</f>
        <v>-7.59</v>
      </c>
      <c r="V8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4" s="18" t="str">
        <f>IFERROR(IF(LEFT(ICE[[#This Row],[Tenor]], 1) = "B", RTD("esrtd",,$B834 &amp; " " &amp; ICE[[#This Row],[Tenor]] &amp; "-IEU", W$1), RTD("esrtd",,$B834 &amp; " " &amp; VLOOKUP(MONTH(ICE[[#This Row],[Strip]]), MthRef[], 2, 0) &amp; RIGHT(YEAR(ICE[[#This Row],[Strip]]), 2) &amp; "-IEU", W$1)), "")</f>
        <v/>
      </c>
      <c r="X834" s="36"/>
    </row>
    <row r="835" spans="1:24" x14ac:dyDescent="0.25">
      <c r="A835" s="37" t="s">
        <v>831</v>
      </c>
      <c r="B835" s="3" t="str">
        <f>RTD("ice.rtd",,$C835 &amp; $D835 &amp; ":" &amp; B$1)</f>
        <v>BOA</v>
      </c>
      <c r="C835" s="3">
        <v>41787896</v>
      </c>
      <c r="D835" t="s">
        <v>817</v>
      </c>
      <c r="E835" s="3" t="str">
        <f>RTD("ice.rtd",,$C835 &amp; $D835 &amp; ":" &amp; E$1)</f>
        <v>Q3 27</v>
      </c>
      <c r="F835" s="3" t="str">
        <f>ICE[[#This Row],[Prod]]&amp;ICE[[#This Row],[Strip]]</f>
        <v>fo35brxbblQ3 27</v>
      </c>
      <c r="G835" s="18" t="str">
        <f>RTD("ice.rtd",,$C835 &amp; $D835 &amp; ":" &amp; G$1)</f>
        <v/>
      </c>
      <c r="H835" s="18" t="str">
        <f>RTD("ice.rtd",,$C835 &amp; $D835 &amp; ":" &amp; H$1)</f>
        <v/>
      </c>
      <c r="I835" s="18" t="str">
        <f>RTD("ice.rtd",,$C835 &amp; $D835 &amp; ":" &amp; I$1)</f>
        <v/>
      </c>
      <c r="J835" s="14" t="str">
        <f>IFERROR(MOD(RTD("ice.rtd",,$C835 &amp; $D835 &amp; ":" &amp; J$1), 1), "")</f>
        <v/>
      </c>
      <c r="K835" s="18" t="str">
        <f>RTD("ice.rtd",,$C835 &amp; $D835 &amp; ":" &amp; K$1)</f>
        <v/>
      </c>
      <c r="L835" s="36" t="str">
        <f>RTD("ice.rtd",,$C835 &amp; $D835 &amp; ":" &amp; L$1)</f>
        <v/>
      </c>
      <c r="M835" s="14" t="str">
        <f>IFERROR(MOD(TIMEVALUE(RTD("ice.rtd",,$C835 &amp; $D835 &amp; ":" &amp; M$1)), 1), "")</f>
        <v/>
      </c>
      <c r="N835" s="36">
        <f>RTD("ice.rtd",,$C835 &amp; $D835 &amp; ":" &amp; N$1)</f>
        <v>0</v>
      </c>
      <c r="O835" s="36">
        <f>RTD("ice.rtd",,$C835 &amp; $D835 &amp; ":" &amp; O$1)</f>
        <v>0</v>
      </c>
      <c r="P8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5" s="14" t="str">
        <f>IF(ICE[[#This Row],[LastType]] = "Scrn", ICE[[#This Row],[LstDate]], IF(ICE[[#This Row],[LastType]] = "Blk", ICE[[#This Row],[LstBlkTime]], ""))</f>
        <v/>
      </c>
      <c r="R835" s="41" t="str">
        <f>IF(ICE[[#This Row],[LastType]] = "Scrn", ICE[[#This Row],[LstPrc]], IF(ICE[[#This Row],[LastType]] = "Blk", ICE[[#This Row],[LstBlkPrc]], ""))</f>
        <v/>
      </c>
      <c r="S835" s="36">
        <f>ICE[[#This Row],[Vol]]+ICE[[#This Row],[BlkVol]]</f>
        <v>0</v>
      </c>
      <c r="T835" s="36">
        <f>RTD("ice.rtd",,$C835 &amp; $D835 &amp; ":" &amp; T$1)</f>
        <v>0</v>
      </c>
      <c r="U835" s="18">
        <f>RTD("ice.rtd",,$C835 &amp; $D835 &amp; ":" &amp; U$1)</f>
        <v>-7.73</v>
      </c>
      <c r="V8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5" s="18" t="str">
        <f>IFERROR(IF(LEFT(ICE[[#This Row],[Tenor]], 1) = "B", RTD("esrtd",,$B835 &amp; " " &amp; ICE[[#This Row],[Tenor]] &amp; "-IEU", W$1), RTD("esrtd",,$B835 &amp; " " &amp; VLOOKUP(MONTH(ICE[[#This Row],[Strip]]), MthRef[], 2, 0) &amp; RIGHT(YEAR(ICE[[#This Row],[Strip]]), 2) &amp; "-IEU", W$1)), "")</f>
        <v/>
      </c>
      <c r="X835" s="36"/>
    </row>
    <row r="836" spans="1:24" x14ac:dyDescent="0.25">
      <c r="A836" s="37" t="s">
        <v>831</v>
      </c>
      <c r="B836" s="3" t="str">
        <f>RTD("ice.rtd",,$C836 &amp; $D836 &amp; ":" &amp; B$1)</f>
        <v>BOA</v>
      </c>
      <c r="C836" s="3">
        <v>41787896</v>
      </c>
      <c r="D836" t="s">
        <v>818</v>
      </c>
      <c r="E836" s="3" t="str">
        <f>RTD("ice.rtd",,$C836 &amp; $D836 &amp; ":" &amp; E$1)</f>
        <v>Q4 27</v>
      </c>
      <c r="F836" s="3" t="str">
        <f>ICE[[#This Row],[Prod]]&amp;ICE[[#This Row],[Strip]]</f>
        <v>fo35brxbblQ4 27</v>
      </c>
      <c r="G836" s="18" t="str">
        <f>RTD("ice.rtd",,$C836 &amp; $D836 &amp; ":" &amp; G$1)</f>
        <v/>
      </c>
      <c r="H836" s="18" t="str">
        <f>RTD("ice.rtd",,$C836 &amp; $D836 &amp; ":" &amp; H$1)</f>
        <v/>
      </c>
      <c r="I836" s="18" t="str">
        <f>RTD("ice.rtd",,$C836 &amp; $D836 &amp; ":" &amp; I$1)</f>
        <v/>
      </c>
      <c r="J836" s="14" t="str">
        <f>IFERROR(MOD(RTD("ice.rtd",,$C836 &amp; $D836 &amp; ":" &amp; J$1), 1), "")</f>
        <v/>
      </c>
      <c r="K836" s="18" t="str">
        <f>RTD("ice.rtd",,$C836 &amp; $D836 &amp; ":" &amp; K$1)</f>
        <v/>
      </c>
      <c r="L836" s="36" t="str">
        <f>RTD("ice.rtd",,$C836 &amp; $D836 &amp; ":" &amp; L$1)</f>
        <v/>
      </c>
      <c r="M836" s="14" t="str">
        <f>IFERROR(MOD(TIMEVALUE(RTD("ice.rtd",,$C836 &amp; $D836 &amp; ":" &amp; M$1)), 1), "")</f>
        <v/>
      </c>
      <c r="N836" s="36">
        <f>RTD("ice.rtd",,$C836 &amp; $D836 &amp; ":" &amp; N$1)</f>
        <v>0</v>
      </c>
      <c r="O836" s="36">
        <f>RTD("ice.rtd",,$C836 &amp; $D836 &amp; ":" &amp; O$1)</f>
        <v>0</v>
      </c>
      <c r="P8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6" s="14" t="str">
        <f>IF(ICE[[#This Row],[LastType]] = "Scrn", ICE[[#This Row],[LstDate]], IF(ICE[[#This Row],[LastType]] = "Blk", ICE[[#This Row],[LstBlkTime]], ""))</f>
        <v/>
      </c>
      <c r="R836" s="41" t="str">
        <f>IF(ICE[[#This Row],[LastType]] = "Scrn", ICE[[#This Row],[LstPrc]], IF(ICE[[#This Row],[LastType]] = "Blk", ICE[[#This Row],[LstBlkPrc]], ""))</f>
        <v/>
      </c>
      <c r="S836" s="36">
        <f>ICE[[#This Row],[Vol]]+ICE[[#This Row],[BlkVol]]</f>
        <v>0</v>
      </c>
      <c r="T836" s="36">
        <f>RTD("ice.rtd",,$C836 &amp; $D836 &amp; ":" &amp; T$1)</f>
        <v>0</v>
      </c>
      <c r="U836" s="18">
        <f>RTD("ice.rtd",,$C836 &amp; $D836 &amp; ":" &amp; U$1)</f>
        <v>-8.4540000000000006</v>
      </c>
      <c r="V8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6" s="18" t="str">
        <f>IFERROR(IF(LEFT(ICE[[#This Row],[Tenor]], 1) = "B", RTD("esrtd",,$B836 &amp; " " &amp; ICE[[#This Row],[Tenor]] &amp; "-IEU", W$1), RTD("esrtd",,$B836 &amp; " " &amp; VLOOKUP(MONTH(ICE[[#This Row],[Strip]]), MthRef[], 2, 0) &amp; RIGHT(YEAR(ICE[[#This Row],[Strip]]), 2) &amp; "-IEU", W$1)), "")</f>
        <v/>
      </c>
      <c r="X836" s="36"/>
    </row>
    <row r="837" spans="1:24" x14ac:dyDescent="0.25">
      <c r="A837" s="37" t="s">
        <v>831</v>
      </c>
      <c r="B837" s="3" t="str">
        <f>RTD("ice.rtd",,$C837 &amp; $D837 &amp; ":" &amp; B$1)</f>
        <v>BOA</v>
      </c>
      <c r="C837" s="3">
        <v>41787896</v>
      </c>
      <c r="D837" t="s">
        <v>819</v>
      </c>
      <c r="E837" s="3" t="str">
        <f>RTD("ice.rtd",,$C837 &amp; $D837 &amp; ":" &amp; E$1)</f>
        <v>Q1 28</v>
      </c>
      <c r="F837" s="3" t="str">
        <f>ICE[[#This Row],[Prod]]&amp;ICE[[#This Row],[Strip]]</f>
        <v>fo35brxbblQ1 28</v>
      </c>
      <c r="G837" s="18" t="str">
        <f>RTD("ice.rtd",,$C837 &amp; $D837 &amp; ":" &amp; G$1)</f>
        <v/>
      </c>
      <c r="H837" s="18" t="str">
        <f>RTD("ice.rtd",,$C837 &amp; $D837 &amp; ":" &amp; H$1)</f>
        <v/>
      </c>
      <c r="I837" s="18" t="str">
        <f>RTD("ice.rtd",,$C837 &amp; $D837 &amp; ":" &amp; I$1)</f>
        <v/>
      </c>
      <c r="J837" s="14" t="str">
        <f>IFERROR(MOD(RTD("ice.rtd",,$C837 &amp; $D837 &amp; ":" &amp; J$1), 1), "")</f>
        <v/>
      </c>
      <c r="K837" s="18" t="str">
        <f>RTD("ice.rtd",,$C837 &amp; $D837 &amp; ":" &amp; K$1)</f>
        <v/>
      </c>
      <c r="L837" s="36" t="str">
        <f>RTD("ice.rtd",,$C837 &amp; $D837 &amp; ":" &amp; L$1)</f>
        <v/>
      </c>
      <c r="M837" s="14" t="str">
        <f>IFERROR(MOD(TIMEVALUE(RTD("ice.rtd",,$C837 &amp; $D837 &amp; ":" &amp; M$1)), 1), "")</f>
        <v/>
      </c>
      <c r="N837" s="36">
        <f>RTD("ice.rtd",,$C837 &amp; $D837 &amp; ":" &amp; N$1)</f>
        <v>0</v>
      </c>
      <c r="O837" s="36">
        <f>RTD("ice.rtd",,$C837 &amp; $D837 &amp; ":" &amp; O$1)</f>
        <v>0</v>
      </c>
      <c r="P8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7" s="14" t="str">
        <f>IF(ICE[[#This Row],[LastType]] = "Scrn", ICE[[#This Row],[LstDate]], IF(ICE[[#This Row],[LastType]] = "Blk", ICE[[#This Row],[LstBlkTime]], ""))</f>
        <v/>
      </c>
      <c r="R837" s="41" t="str">
        <f>IF(ICE[[#This Row],[LastType]] = "Scrn", ICE[[#This Row],[LstPrc]], IF(ICE[[#This Row],[LastType]] = "Blk", ICE[[#This Row],[LstBlkPrc]], ""))</f>
        <v/>
      </c>
      <c r="S837" s="36">
        <f>ICE[[#This Row],[Vol]]+ICE[[#This Row],[BlkVol]]</f>
        <v>0</v>
      </c>
      <c r="T837" s="36">
        <f>RTD("ice.rtd",,$C837 &amp; $D837 &amp; ":" &amp; T$1)</f>
        <v>0</v>
      </c>
      <c r="U837" s="18">
        <f>RTD("ice.rtd",,$C837 &amp; $D837 &amp; ":" &amp; U$1)</f>
        <v>-8.2690000000000001</v>
      </c>
      <c r="V8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7" s="18" t="str">
        <f>IFERROR(IF(LEFT(ICE[[#This Row],[Tenor]], 1) = "B", RTD("esrtd",,$B837 &amp; " " &amp; ICE[[#This Row],[Tenor]] &amp; "-IEU", W$1), RTD("esrtd",,$B837 &amp; " " &amp; VLOOKUP(MONTH(ICE[[#This Row],[Strip]]), MthRef[], 2, 0) &amp; RIGHT(YEAR(ICE[[#This Row],[Strip]]), 2) &amp; "-IEU", W$1)), "")</f>
        <v/>
      </c>
      <c r="X837" s="36"/>
    </row>
    <row r="838" spans="1:24" x14ac:dyDescent="0.25">
      <c r="A838" s="37" t="s">
        <v>831</v>
      </c>
      <c r="B838" s="3" t="str">
        <f>RTD("ice.rtd",,$C838 &amp; $D838 &amp; ":" &amp; B$1)</f>
        <v>BOA</v>
      </c>
      <c r="C838" s="3">
        <v>41787896</v>
      </c>
      <c r="D838" t="s">
        <v>229</v>
      </c>
      <c r="E838" s="3" t="str">
        <f>RTD("ice.rtd",,$C838 &amp; $D838 &amp; ":" &amp; E$1)</f>
        <v>Q2 28</v>
      </c>
      <c r="F838" s="3" t="str">
        <f>ICE[[#This Row],[Prod]]&amp;ICE[[#This Row],[Strip]]</f>
        <v>fo35brxbblQ2 28</v>
      </c>
      <c r="G838" s="18" t="str">
        <f>RTD("ice.rtd",,$C838 &amp; $D838 &amp; ":" &amp; G$1)</f>
        <v/>
      </c>
      <c r="H838" s="18" t="str">
        <f>RTD("ice.rtd",,$C838 &amp; $D838 &amp; ":" &amp; H$1)</f>
        <v/>
      </c>
      <c r="I838" s="18" t="str">
        <f>RTD("ice.rtd",,$C838 &amp; $D838 &amp; ":" &amp; I$1)</f>
        <v/>
      </c>
      <c r="J838" s="14" t="str">
        <f>IFERROR(MOD(RTD("ice.rtd",,$C838 &amp; $D838 &amp; ":" &amp; J$1), 1), "")</f>
        <v/>
      </c>
      <c r="K838" s="18" t="str">
        <f>RTD("ice.rtd",,$C838 &amp; $D838 &amp; ":" &amp; K$1)</f>
        <v/>
      </c>
      <c r="L838" s="36" t="str">
        <f>RTD("ice.rtd",,$C838 &amp; $D838 &amp; ":" &amp; L$1)</f>
        <v/>
      </c>
      <c r="M838" s="14" t="str">
        <f>IFERROR(MOD(TIMEVALUE(RTD("ice.rtd",,$C838 &amp; $D838 &amp; ":" &amp; M$1)), 1), "")</f>
        <v/>
      </c>
      <c r="N838" s="36">
        <f>RTD("ice.rtd",,$C838 &amp; $D838 &amp; ":" &amp; N$1)</f>
        <v>0</v>
      </c>
      <c r="O838" s="36">
        <f>RTD("ice.rtd",,$C838 &amp; $D838 &amp; ":" &amp; O$1)</f>
        <v>0</v>
      </c>
      <c r="P8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8" s="14" t="str">
        <f>IF(ICE[[#This Row],[LastType]] = "Scrn", ICE[[#This Row],[LstDate]], IF(ICE[[#This Row],[LastType]] = "Blk", ICE[[#This Row],[LstBlkTime]], ""))</f>
        <v/>
      </c>
      <c r="R838" s="41" t="str">
        <f>IF(ICE[[#This Row],[LastType]] = "Scrn", ICE[[#This Row],[LstPrc]], IF(ICE[[#This Row],[LastType]] = "Blk", ICE[[#This Row],[LstBlkPrc]], ""))</f>
        <v/>
      </c>
      <c r="S838" s="36">
        <f>ICE[[#This Row],[Vol]]+ICE[[#This Row],[BlkVol]]</f>
        <v>0</v>
      </c>
      <c r="T838" s="36">
        <f>RTD("ice.rtd",,$C838 &amp; $D838 &amp; ":" &amp; T$1)</f>
        <v>0</v>
      </c>
      <c r="U838" s="18">
        <f>RTD("ice.rtd",,$C838 &amp; $D838 &amp; ":" &amp; U$1)</f>
        <v>-8.0039999999999996</v>
      </c>
      <c r="V8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8" s="18" t="str">
        <f>IFERROR(IF(LEFT(ICE[[#This Row],[Tenor]], 1) = "B", RTD("esrtd",,$B838 &amp; " " &amp; ICE[[#This Row],[Tenor]] &amp; "-IEU", W$1), RTD("esrtd",,$B838 &amp; " " &amp; VLOOKUP(MONTH(ICE[[#This Row],[Strip]]), MthRef[], 2, 0) &amp; RIGHT(YEAR(ICE[[#This Row],[Strip]]), 2) &amp; "-IEU", W$1)), "")</f>
        <v/>
      </c>
      <c r="X838" s="36"/>
    </row>
    <row r="839" spans="1:24" x14ac:dyDescent="0.25">
      <c r="A839" s="37" t="s">
        <v>831</v>
      </c>
      <c r="B839" s="3" t="str">
        <f>RTD("ice.rtd",,$C839 &amp; $D839 &amp; ":" &amp; B$1)</f>
        <v>BOA</v>
      </c>
      <c r="C839" s="3">
        <v>41787896</v>
      </c>
      <c r="D839" t="s">
        <v>820</v>
      </c>
      <c r="E839" s="3" t="str">
        <f>RTD("ice.rtd",,$C839 &amp; $D839 &amp; ":" &amp; E$1)</f>
        <v>Q3 28</v>
      </c>
      <c r="F839" s="3" t="str">
        <f>ICE[[#This Row],[Prod]]&amp;ICE[[#This Row],[Strip]]</f>
        <v>fo35brxbblQ3 28</v>
      </c>
      <c r="G839" s="18" t="str">
        <f>RTD("ice.rtd",,$C839 &amp; $D839 &amp; ":" &amp; G$1)</f>
        <v/>
      </c>
      <c r="H839" s="18" t="str">
        <f>RTD("ice.rtd",,$C839 &amp; $D839 &amp; ":" &amp; H$1)</f>
        <v/>
      </c>
      <c r="I839" s="18" t="str">
        <f>RTD("ice.rtd",,$C839 &amp; $D839 &amp; ":" &amp; I$1)</f>
        <v/>
      </c>
      <c r="J839" s="14" t="str">
        <f>IFERROR(MOD(RTD("ice.rtd",,$C839 &amp; $D839 &amp; ":" &amp; J$1), 1), "")</f>
        <v/>
      </c>
      <c r="K839" s="18" t="str">
        <f>RTD("ice.rtd",,$C839 &amp; $D839 &amp; ":" &amp; K$1)</f>
        <v/>
      </c>
      <c r="L839" s="36" t="str">
        <f>RTD("ice.rtd",,$C839 &amp; $D839 &amp; ":" &amp; L$1)</f>
        <v/>
      </c>
      <c r="M839" s="14" t="str">
        <f>IFERROR(MOD(TIMEVALUE(RTD("ice.rtd",,$C839 &amp; $D839 &amp; ":" &amp; M$1)), 1), "")</f>
        <v/>
      </c>
      <c r="N839" s="36">
        <f>RTD("ice.rtd",,$C839 &amp; $D839 &amp; ":" &amp; N$1)</f>
        <v>0</v>
      </c>
      <c r="O839" s="36">
        <f>RTD("ice.rtd",,$C839 &amp; $D839 &amp; ":" &amp; O$1)</f>
        <v>0</v>
      </c>
      <c r="P8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39" s="14" t="str">
        <f>IF(ICE[[#This Row],[LastType]] = "Scrn", ICE[[#This Row],[LstDate]], IF(ICE[[#This Row],[LastType]] = "Blk", ICE[[#This Row],[LstBlkTime]], ""))</f>
        <v/>
      </c>
      <c r="R839" s="41" t="str">
        <f>IF(ICE[[#This Row],[LastType]] = "Scrn", ICE[[#This Row],[LstPrc]], IF(ICE[[#This Row],[LastType]] = "Blk", ICE[[#This Row],[LstBlkPrc]], ""))</f>
        <v/>
      </c>
      <c r="S839" s="36">
        <f>ICE[[#This Row],[Vol]]+ICE[[#This Row],[BlkVol]]</f>
        <v>0</v>
      </c>
      <c r="T839" s="36">
        <f>RTD("ice.rtd",,$C839 &amp; $D839 &amp; ":" &amp; T$1)</f>
        <v>0</v>
      </c>
      <c r="U839" s="18">
        <f>RTD("ice.rtd",,$C839 &amp; $D839 &amp; ":" &amp; U$1)</f>
        <v>-7.9580000000000002</v>
      </c>
      <c r="V8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39" s="18" t="str">
        <f>IFERROR(IF(LEFT(ICE[[#This Row],[Tenor]], 1) = "B", RTD("esrtd",,$B839 &amp; " " &amp; ICE[[#This Row],[Tenor]] &amp; "-IEU", W$1), RTD("esrtd",,$B839 &amp; " " &amp; VLOOKUP(MONTH(ICE[[#This Row],[Strip]]), MthRef[], 2, 0) &amp; RIGHT(YEAR(ICE[[#This Row],[Strip]]), 2) &amp; "-IEU", W$1)), "")</f>
        <v/>
      </c>
      <c r="X839" s="36"/>
    </row>
    <row r="840" spans="1:24" x14ac:dyDescent="0.25">
      <c r="A840" s="37" t="s">
        <v>831</v>
      </c>
      <c r="B840" s="3" t="str">
        <f>RTD("ice.rtd",,$C840 &amp; $D840 &amp; ":" &amp; B$1)</f>
        <v>BOA</v>
      </c>
      <c r="C840" s="3">
        <v>41787896</v>
      </c>
      <c r="D840" t="s">
        <v>821</v>
      </c>
      <c r="E840" s="3" t="str">
        <f>RTD("ice.rtd",,$C840 &amp; $D840 &amp; ":" &amp; E$1)</f>
        <v>Q4 28</v>
      </c>
      <c r="F840" s="3" t="str">
        <f>ICE[[#This Row],[Prod]]&amp;ICE[[#This Row],[Strip]]</f>
        <v>fo35brxbblQ4 28</v>
      </c>
      <c r="G840" s="18" t="str">
        <f>RTD("ice.rtd",,$C840 &amp; $D840 &amp; ":" &amp; G$1)</f>
        <v/>
      </c>
      <c r="H840" s="18" t="str">
        <f>RTD("ice.rtd",,$C840 &amp; $D840 &amp; ":" &amp; H$1)</f>
        <v/>
      </c>
      <c r="I840" s="18" t="str">
        <f>RTD("ice.rtd",,$C840 &amp; $D840 &amp; ":" &amp; I$1)</f>
        <v/>
      </c>
      <c r="J840" s="14" t="str">
        <f>IFERROR(MOD(RTD("ice.rtd",,$C840 &amp; $D840 &amp; ":" &amp; J$1), 1), "")</f>
        <v/>
      </c>
      <c r="K840" s="18" t="str">
        <f>RTD("ice.rtd",,$C840 &amp; $D840 &amp; ":" &amp; K$1)</f>
        <v/>
      </c>
      <c r="L840" s="36" t="str">
        <f>RTD("ice.rtd",,$C840 &amp; $D840 &amp; ":" &amp; L$1)</f>
        <v/>
      </c>
      <c r="M840" s="14" t="str">
        <f>IFERROR(MOD(TIMEVALUE(RTD("ice.rtd",,$C840 &amp; $D840 &amp; ":" &amp; M$1)), 1), "")</f>
        <v/>
      </c>
      <c r="N840" s="36">
        <f>RTD("ice.rtd",,$C840 &amp; $D840 &amp; ":" &amp; N$1)</f>
        <v>0</v>
      </c>
      <c r="O840" s="36">
        <f>RTD("ice.rtd",,$C840 &amp; $D840 &amp; ":" &amp; O$1)</f>
        <v>0</v>
      </c>
      <c r="P8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40" s="14" t="str">
        <f>IF(ICE[[#This Row],[LastType]] = "Scrn", ICE[[#This Row],[LstDate]], IF(ICE[[#This Row],[LastType]] = "Blk", ICE[[#This Row],[LstBlkTime]], ""))</f>
        <v/>
      </c>
      <c r="R840" s="41" t="str">
        <f>IF(ICE[[#This Row],[LastType]] = "Scrn", ICE[[#This Row],[LstPrc]], IF(ICE[[#This Row],[LastType]] = "Blk", ICE[[#This Row],[LstBlkPrc]], ""))</f>
        <v/>
      </c>
      <c r="S840" s="36">
        <f>ICE[[#This Row],[Vol]]+ICE[[#This Row],[BlkVol]]</f>
        <v>0</v>
      </c>
      <c r="T840" s="36">
        <f>RTD("ice.rtd",,$C840 &amp; $D840 &amp; ":" &amp; T$1)</f>
        <v>0</v>
      </c>
      <c r="U840" s="18">
        <f>RTD("ice.rtd",,$C840 &amp; $D840 &amp; ":" &amp; U$1)</f>
        <v>-7.8370000000000006</v>
      </c>
      <c r="V8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40" s="18" t="str">
        <f>IFERROR(IF(LEFT(ICE[[#This Row],[Tenor]], 1) = "B", RTD("esrtd",,$B840 &amp; " " &amp; ICE[[#This Row],[Tenor]] &amp; "-IEU", W$1), RTD("esrtd",,$B840 &amp; " " &amp; VLOOKUP(MONTH(ICE[[#This Row],[Strip]]), MthRef[], 2, 0) &amp; RIGHT(YEAR(ICE[[#This Row],[Strip]]), 2) &amp; "-IEU", W$1)), "")</f>
        <v/>
      </c>
      <c r="X840" s="36"/>
    </row>
    <row r="841" spans="1:24" x14ac:dyDescent="0.25">
      <c r="A841" s="37" t="s">
        <v>831</v>
      </c>
      <c r="B841" s="3" t="str">
        <f>RTD("ice.rtd",,$C841 &amp; $D841 &amp; ":" &amp; B$1)</f>
        <v>BOA</v>
      </c>
      <c r="C841" s="3">
        <v>41787896</v>
      </c>
      <c r="D841" t="s">
        <v>822</v>
      </c>
      <c r="E841" s="3" t="str">
        <f>RTD("ice.rtd",,$C841 &amp; $D841 &amp; ":" &amp; E$1)</f>
        <v>Cal 27</v>
      </c>
      <c r="F841" s="3" t="str">
        <f>ICE[[#This Row],[Prod]]&amp;ICE[[#This Row],[Strip]]</f>
        <v>fo35brxbblCal 27</v>
      </c>
      <c r="G841" s="18" t="str">
        <f>RTD("ice.rtd",,$C841 &amp; $D841 &amp; ":" &amp; G$1)</f>
        <v/>
      </c>
      <c r="H841" s="18" t="str">
        <f>RTD("ice.rtd",,$C841 &amp; $D841 &amp; ":" &amp; H$1)</f>
        <v/>
      </c>
      <c r="I841" s="18" t="str">
        <f>RTD("ice.rtd",,$C841 &amp; $D841 &amp; ":" &amp; I$1)</f>
        <v/>
      </c>
      <c r="J841" s="14" t="str">
        <f>IFERROR(MOD(RTD("ice.rtd",,$C841 &amp; $D841 &amp; ":" &amp; J$1), 1), "")</f>
        <v/>
      </c>
      <c r="K841" s="18" t="str">
        <f>RTD("ice.rtd",,$C841 &amp; $D841 &amp; ":" &amp; K$1)</f>
        <v/>
      </c>
      <c r="L841" s="36" t="str">
        <f>RTD("ice.rtd",,$C841 &amp; $D841 &amp; ":" &amp; L$1)</f>
        <v/>
      </c>
      <c r="M841" s="14" t="str">
        <f>IFERROR(MOD(TIMEVALUE(RTD("ice.rtd",,$C841 &amp; $D841 &amp; ":" &amp; M$1)), 1), "")</f>
        <v/>
      </c>
      <c r="N841" s="36">
        <f>RTD("ice.rtd",,$C841 &amp; $D841 &amp; ":" &amp; N$1)</f>
        <v>0</v>
      </c>
      <c r="O841" s="36">
        <f>RTD("ice.rtd",,$C841 &amp; $D841 &amp; ":" &amp; O$1)</f>
        <v>0</v>
      </c>
      <c r="P8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41" s="14" t="str">
        <f>IF(ICE[[#This Row],[LastType]] = "Scrn", ICE[[#This Row],[LstDate]], IF(ICE[[#This Row],[LastType]] = "Blk", ICE[[#This Row],[LstBlkTime]], ""))</f>
        <v/>
      </c>
      <c r="R841" s="41" t="str">
        <f>IF(ICE[[#This Row],[LastType]] = "Scrn", ICE[[#This Row],[LstPrc]], IF(ICE[[#This Row],[LastType]] = "Blk", ICE[[#This Row],[LstBlkPrc]], ""))</f>
        <v/>
      </c>
      <c r="S841" s="36">
        <f>ICE[[#This Row],[Vol]]+ICE[[#This Row],[BlkVol]]</f>
        <v>0</v>
      </c>
      <c r="T841" s="36">
        <f>RTD("ice.rtd",,$C841 &amp; $D841 &amp; ":" &amp; T$1)</f>
        <v>0</v>
      </c>
      <c r="U841" s="18">
        <f>RTD("ice.rtd",,$C841 &amp; $D841 &amp; ":" &amp; U$1)</f>
        <v>-8.1</v>
      </c>
      <c r="V8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41" s="18" t="str">
        <f>IFERROR(IF(LEFT(ICE[[#This Row],[Tenor]], 1) = "B", RTD("esrtd",,$B841 &amp; " " &amp; ICE[[#This Row],[Tenor]] &amp; "-IEU", W$1), RTD("esrtd",,$B841 &amp; " " &amp; VLOOKUP(MONTH(ICE[[#This Row],[Strip]]), MthRef[], 2, 0) &amp; RIGHT(YEAR(ICE[[#This Row],[Strip]]), 2) &amp; "-IEU", W$1)), "")</f>
        <v/>
      </c>
      <c r="X841" s="36"/>
    </row>
    <row r="842" spans="1:24" x14ac:dyDescent="0.25">
      <c r="A842" s="37" t="s">
        <v>831</v>
      </c>
      <c r="B842" s="3" t="str">
        <f>RTD("ice.rtd",,$C842 &amp; $D842 &amp; ":" &amp; B$1)</f>
        <v>BOA</v>
      </c>
      <c r="C842" s="3">
        <v>41787896</v>
      </c>
      <c r="D842" t="s">
        <v>823</v>
      </c>
      <c r="E842" s="3" t="str">
        <f>RTD("ice.rtd",,$C842 &amp; $D842 &amp; ":" &amp; E$1)</f>
        <v>Cal 28</v>
      </c>
      <c r="F842" s="3" t="str">
        <f>ICE[[#This Row],[Prod]]&amp;ICE[[#This Row],[Strip]]</f>
        <v>fo35brxbblCal 28</v>
      </c>
      <c r="G842" s="18" t="str">
        <f>RTD("ice.rtd",,$C842 &amp; $D842 &amp; ":" &amp; G$1)</f>
        <v/>
      </c>
      <c r="H842" s="18" t="str">
        <f>RTD("ice.rtd",,$C842 &amp; $D842 &amp; ":" &amp; H$1)</f>
        <v/>
      </c>
      <c r="I842" s="18" t="str">
        <f>RTD("ice.rtd",,$C842 &amp; $D842 &amp; ":" &amp; I$1)</f>
        <v/>
      </c>
      <c r="J842" s="14" t="str">
        <f>IFERROR(MOD(RTD("ice.rtd",,$C842 &amp; $D842 &amp; ":" &amp; J$1), 1), "")</f>
        <v/>
      </c>
      <c r="K842" s="18" t="str">
        <f>RTD("ice.rtd",,$C842 &amp; $D842 &amp; ":" &amp; K$1)</f>
        <v/>
      </c>
      <c r="L842" s="36" t="str">
        <f>RTD("ice.rtd",,$C842 &amp; $D842 &amp; ":" &amp; L$1)</f>
        <v/>
      </c>
      <c r="M842" s="14" t="str">
        <f>IFERROR(MOD(TIMEVALUE(RTD("ice.rtd",,$C842 &amp; $D842 &amp; ":" &amp; M$1)), 1), "")</f>
        <v/>
      </c>
      <c r="N842" s="36">
        <f>RTD("ice.rtd",,$C842 &amp; $D842 &amp; ":" &amp; N$1)</f>
        <v>0</v>
      </c>
      <c r="O842" s="36">
        <f>RTD("ice.rtd",,$C842 &amp; $D842 &amp; ":" &amp; O$1)</f>
        <v>0</v>
      </c>
      <c r="P8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42" s="14" t="str">
        <f>IF(ICE[[#This Row],[LastType]] = "Scrn", ICE[[#This Row],[LstDate]], IF(ICE[[#This Row],[LastType]] = "Blk", ICE[[#This Row],[LstBlkTime]], ""))</f>
        <v/>
      </c>
      <c r="R842" s="41" t="str">
        <f>IF(ICE[[#This Row],[LastType]] = "Scrn", ICE[[#This Row],[LstPrc]], IF(ICE[[#This Row],[LastType]] = "Blk", ICE[[#This Row],[LstBlkPrc]], ""))</f>
        <v/>
      </c>
      <c r="S842" s="36">
        <f>ICE[[#This Row],[Vol]]+ICE[[#This Row],[BlkVol]]</f>
        <v>0</v>
      </c>
      <c r="T842" s="36">
        <f>RTD("ice.rtd",,$C842 &amp; $D842 &amp; ":" &amp; T$1)</f>
        <v>0</v>
      </c>
      <c r="U842" s="18">
        <f>RTD("ice.rtd",,$C842 &amp; $D842 &amp; ":" &amp; U$1)</f>
        <v>-8.0170000000000012</v>
      </c>
      <c r="V8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42" s="18" t="str">
        <f>IFERROR(IF(LEFT(ICE[[#This Row],[Tenor]], 1) = "B", RTD("esrtd",,$B842 &amp; " " &amp; ICE[[#This Row],[Tenor]] &amp; "-IEU", W$1), RTD("esrtd",,$B842 &amp; " " &amp; VLOOKUP(MONTH(ICE[[#This Row],[Strip]]), MthRef[], 2, 0) &amp; RIGHT(YEAR(ICE[[#This Row],[Strip]]), 2) &amp; "-IEU", W$1)), "")</f>
        <v/>
      </c>
      <c r="X842" s="36"/>
    </row>
    <row r="843" spans="1:24" x14ac:dyDescent="0.25">
      <c r="A843" s="37" t="s">
        <v>831</v>
      </c>
      <c r="B843" s="3" t="str">
        <f>RTD("ice.rtd",,$C843 &amp; $D843 &amp; ":" &amp; B$1)</f>
        <v>BOA</v>
      </c>
      <c r="C843" s="3">
        <v>41787896</v>
      </c>
      <c r="D843" t="s">
        <v>824</v>
      </c>
      <c r="E843" s="3" t="str">
        <f>RTD("ice.rtd",,$C843 &amp; $D843 &amp; ":" &amp; E$1)</f>
        <v>Cal 29</v>
      </c>
      <c r="F843" s="3" t="str">
        <f>ICE[[#This Row],[Prod]]&amp;ICE[[#This Row],[Strip]]</f>
        <v>fo35brxbblCal 29</v>
      </c>
      <c r="G843" s="18" t="str">
        <f>RTD("ice.rtd",,$C843 &amp; $D843 &amp; ":" &amp; G$1)</f>
        <v/>
      </c>
      <c r="H843" s="18" t="str">
        <f>RTD("ice.rtd",,$C843 &amp; $D843 &amp; ":" &amp; H$1)</f>
        <v/>
      </c>
      <c r="I843" s="18" t="str">
        <f>RTD("ice.rtd",,$C843 &amp; $D843 &amp; ":" &amp; I$1)</f>
        <v/>
      </c>
      <c r="J843" s="14" t="str">
        <f>IFERROR(MOD(RTD("ice.rtd",,$C843 &amp; $D843 &amp; ":" &amp; J$1), 1), "")</f>
        <v/>
      </c>
      <c r="K843" s="18" t="str">
        <f>RTD("ice.rtd",,$C843 &amp; $D843 &amp; ":" &amp; K$1)</f>
        <v/>
      </c>
      <c r="L843" s="36" t="str">
        <f>RTD("ice.rtd",,$C843 &amp; $D843 &amp; ":" &amp; L$1)</f>
        <v/>
      </c>
      <c r="M843" s="14" t="str">
        <f>IFERROR(MOD(TIMEVALUE(RTD("ice.rtd",,$C843 &amp; $D843 &amp; ":" &amp; M$1)), 1), "")</f>
        <v/>
      </c>
      <c r="N843" s="36">
        <f>RTD("ice.rtd",,$C843 &amp; $D843 &amp; ":" &amp; N$1)</f>
        <v>0</v>
      </c>
      <c r="O843" s="36">
        <f>RTD("ice.rtd",,$C843 &amp; $D843 &amp; ":" &amp; O$1)</f>
        <v>0</v>
      </c>
      <c r="P8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43" s="14" t="str">
        <f>IF(ICE[[#This Row],[LastType]] = "Scrn", ICE[[#This Row],[LstDate]], IF(ICE[[#This Row],[LastType]] = "Blk", ICE[[#This Row],[LstBlkTime]], ""))</f>
        <v/>
      </c>
      <c r="R843" s="41" t="str">
        <f>IF(ICE[[#This Row],[LastType]] = "Scrn", ICE[[#This Row],[LstPrc]], IF(ICE[[#This Row],[LastType]] = "Blk", ICE[[#This Row],[LstBlkPrc]], ""))</f>
        <v/>
      </c>
      <c r="S843" s="36">
        <f>ICE[[#This Row],[Vol]]+ICE[[#This Row],[BlkVol]]</f>
        <v>0</v>
      </c>
      <c r="T843" s="36">
        <f>RTD("ice.rtd",,$C843 &amp; $D843 &amp; ":" &amp; T$1)</f>
        <v>0</v>
      </c>
      <c r="U843" s="18">
        <f>RTD("ice.rtd",,$C843 &amp; $D843 &amp; ":" &amp; U$1)</f>
        <v>-6.7700000000000005</v>
      </c>
      <c r="V8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43" s="18" t="str">
        <f>IFERROR(IF(LEFT(ICE[[#This Row],[Tenor]], 1) = "B", RTD("esrtd",,$B843 &amp; " " &amp; ICE[[#This Row],[Tenor]] &amp; "-IEU", W$1), RTD("esrtd",,$B843 &amp; " " &amp; VLOOKUP(MONTH(ICE[[#This Row],[Strip]]), MthRef[], 2, 0) &amp; RIGHT(YEAR(ICE[[#This Row],[Strip]]), 2) &amp; "-IEU", W$1)), "")</f>
        <v/>
      </c>
      <c r="X843" s="36"/>
    </row>
    <row r="844" spans="1:24" x14ac:dyDescent="0.25">
      <c r="A844" s="71" t="s">
        <v>433</v>
      </c>
      <c r="B844" s="3" t="str">
        <f>RTD("ice.rtd",,$C844 &amp; $D844 &amp; ":" &amp; B$1)</f>
        <v>Invalid Market: CALCB0</v>
      </c>
      <c r="C844" s="72" t="s">
        <v>827</v>
      </c>
      <c r="D844" s="73" t="s">
        <v>792</v>
      </c>
      <c r="E844" s="72" t="str">
        <f t="shared" ref="E844:E881" si="12">E806</f>
        <v>Bal Month</v>
      </c>
      <c r="F844" s="72" t="str">
        <f>ICE[[#This Row],[Prod]]&amp;ICE[[#This Row],[Strip]]</f>
        <v>fo35brxBal Month</v>
      </c>
      <c r="G844" s="75"/>
      <c r="H844" s="75" t="str">
        <f>IF(ISNUMBER(H768), IF(ISNUMBER(H806), MAX(H768, H806), H768), IF(ISNUMBER(H806), H806, ""))</f>
        <v/>
      </c>
      <c r="I844" s="75"/>
      <c r="J844" s="76"/>
      <c r="K844" s="75"/>
      <c r="L844" s="74"/>
      <c r="M844" s="76"/>
      <c r="N844" s="74"/>
      <c r="O844" s="74"/>
      <c r="P844" s="74"/>
      <c r="Q844" s="76"/>
      <c r="R844" s="75" t="str">
        <f>IF(ISNUMBER(R768), IF(ISNUMBER(R806), IF(Q768&gt;Q806, R768, R806), R768), IF(ISNUMBER(R806), R806, ""))</f>
        <v/>
      </c>
      <c r="S844" s="74">
        <f>S768*6.35 + S806</f>
        <v>0</v>
      </c>
      <c r="T844" s="74">
        <f>T768*6.35 + T806</f>
        <v>0</v>
      </c>
      <c r="U844" s="75">
        <f>U806</f>
        <v>-12.157</v>
      </c>
      <c r="V8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44" s="18" t="str">
        <f>IFERROR(IF(LEFT(ICE[[#This Row],[Tenor]], 1) = "B", RTD("esrtd",,$B844 &amp; " " &amp; ICE[[#This Row],[Tenor]] &amp; "-IEU", W$1), RTD("esrtd",,$B844 &amp; " " &amp; VLOOKUP(MONTH(ICE[[#This Row],[Strip]]), MthRef[], 2, 0) &amp; RIGHT(YEAR(ICE[[#This Row],[Strip]]), 2) &amp; "-IEU", W$1)), "")</f>
        <v/>
      </c>
      <c r="X844" s="36"/>
    </row>
    <row r="845" spans="1:24" x14ac:dyDescent="0.25">
      <c r="A845" s="71" t="s">
        <v>433</v>
      </c>
      <c r="B845" s="3" t="str">
        <f>RTD("ice.rtd",,$C845 &amp; $D845 &amp; ":" &amp; B$1)</f>
        <v>Invalid Market: CALCM0</v>
      </c>
      <c r="C845" s="72" t="s">
        <v>827</v>
      </c>
      <c r="D845" s="73" t="s">
        <v>793</v>
      </c>
      <c r="E845" s="72" t="str">
        <f t="shared" si="12"/>
        <v>Sep26</v>
      </c>
      <c r="F845" s="72" t="str">
        <f>ICE[[#This Row],[Prod]]&amp;ICE[[#This Row],[Strip]]</f>
        <v>fo35brxSep26</v>
      </c>
      <c r="G845" s="75"/>
      <c r="H845" s="75">
        <f t="shared" ref="H845:H881" si="13">IF(ISNUMBER(H769), IF(ISNUMBER(H807), MAX(H769, H807), H769), IF(ISNUMBER(H807), H807, ""))</f>
        <v>-9.0500000000000007</v>
      </c>
      <c r="I845" s="75"/>
      <c r="J845" s="76"/>
      <c r="K845" s="75"/>
      <c r="L845" s="74"/>
      <c r="M845" s="76"/>
      <c r="N845" s="74"/>
      <c r="O845" s="74"/>
      <c r="P845" s="74"/>
      <c r="Q845" s="76"/>
      <c r="R845" s="75" t="str">
        <f t="shared" ref="R845:R881" si="14">IF(ISNUMBER(R769), IF(ISNUMBER(R807), IF(Q769&gt;Q807, R769, R807), R769), IF(ISNUMBER(R807), R807, ""))</f>
        <v/>
      </c>
      <c r="S845" s="74">
        <f t="shared" ref="S845:T881" si="15">S769*6.35 + S807</f>
        <v>0</v>
      </c>
      <c r="T845" s="74">
        <f t="shared" si="15"/>
        <v>18234.099999999999</v>
      </c>
      <c r="U845" s="75">
        <f t="shared" ref="U845:U881" si="16">U807</f>
        <v>-12.157</v>
      </c>
      <c r="V8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-9.05 </v>
      </c>
      <c r="W845" s="18" t="str">
        <f>IFERROR(IF(LEFT(ICE[[#This Row],[Tenor]], 1) = "B", RTD("esrtd",,$B845 &amp; " " &amp; ICE[[#This Row],[Tenor]] &amp; "-IEU", W$1), RTD("esrtd",,$B845 &amp; " " &amp; VLOOKUP(MONTH(ICE[[#This Row],[Strip]]), MthRef[], 2, 0) &amp; RIGHT(YEAR(ICE[[#This Row],[Strip]]), 2) &amp; "-IEU", W$1)), "")</f>
        <v/>
      </c>
      <c r="X845" s="36"/>
    </row>
    <row r="846" spans="1:24" x14ac:dyDescent="0.25">
      <c r="A846" s="71" t="s">
        <v>433</v>
      </c>
      <c r="B846" s="3" t="str">
        <f>RTD("ice.rtd",,$C846 &amp; $D846 &amp; ":" &amp; B$1)</f>
        <v>Invalid Market: CALCM1</v>
      </c>
      <c r="C846" s="72" t="s">
        <v>827</v>
      </c>
      <c r="D846" s="73" t="s">
        <v>324</v>
      </c>
      <c r="E846" s="72" t="str">
        <f t="shared" si="12"/>
        <v>Oct26</v>
      </c>
      <c r="F846" s="72" t="str">
        <f>ICE[[#This Row],[Prod]]&amp;ICE[[#This Row],[Strip]]</f>
        <v>fo35brxOct26</v>
      </c>
      <c r="G846" s="75"/>
      <c r="H846" s="75">
        <f t="shared" si="13"/>
        <v>-11.85</v>
      </c>
      <c r="I846" s="75"/>
      <c r="J846" s="76"/>
      <c r="K846" s="75"/>
      <c r="L846" s="74"/>
      <c r="M846" s="76"/>
      <c r="N846" s="74"/>
      <c r="O846" s="74"/>
      <c r="P846" s="74"/>
      <c r="Q846" s="76"/>
      <c r="R846" s="75">
        <f t="shared" si="14"/>
        <v>-12.03</v>
      </c>
      <c r="S846" s="74">
        <f t="shared" si="15"/>
        <v>318.45</v>
      </c>
      <c r="T846" s="74">
        <f t="shared" si="15"/>
        <v>6758.0499999999993</v>
      </c>
      <c r="U846" s="75">
        <f t="shared" si="16"/>
        <v>-11.450000000000001</v>
      </c>
      <c r="V8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-11.85 {-12.03} |318x</v>
      </c>
      <c r="W846" s="18" t="str">
        <f>IFERROR(IF(LEFT(ICE[[#This Row],[Tenor]], 1) = "B", RTD("esrtd",,$B846 &amp; " " &amp; ICE[[#This Row],[Tenor]] &amp; "-IEU", W$1), RTD("esrtd",,$B846 &amp; " " &amp; VLOOKUP(MONTH(ICE[[#This Row],[Strip]]), MthRef[], 2, 0) &amp; RIGHT(YEAR(ICE[[#This Row],[Strip]]), 2) &amp; "-IEU", W$1)), "")</f>
        <v/>
      </c>
      <c r="X846" s="36"/>
    </row>
    <row r="847" spans="1:24" x14ac:dyDescent="0.25">
      <c r="A847" s="71" t="s">
        <v>433</v>
      </c>
      <c r="B847" s="3" t="str">
        <f>RTD("ice.rtd",,$C847 &amp; $D847 &amp; ":" &amp; B$1)</f>
        <v>Invalid Market: CALCM2</v>
      </c>
      <c r="C847" s="72" t="s">
        <v>827</v>
      </c>
      <c r="D847" s="73" t="s">
        <v>325</v>
      </c>
      <c r="E847" s="72" t="str">
        <f t="shared" si="12"/>
        <v>Nov26</v>
      </c>
      <c r="F847" s="72" t="str">
        <f>ICE[[#This Row],[Prod]]&amp;ICE[[#This Row],[Strip]]</f>
        <v>fo35brxNov26</v>
      </c>
      <c r="G847" s="75"/>
      <c r="H847" s="75" t="str">
        <f t="shared" si="13"/>
        <v/>
      </c>
      <c r="I847" s="75"/>
      <c r="J847" s="76"/>
      <c r="K847" s="75"/>
      <c r="L847" s="74"/>
      <c r="M847" s="76"/>
      <c r="N847" s="74"/>
      <c r="O847" s="74"/>
      <c r="P847" s="74"/>
      <c r="Q847" s="76"/>
      <c r="R847" s="75">
        <f t="shared" si="14"/>
        <v>-10.9</v>
      </c>
      <c r="S847" s="74">
        <f t="shared" si="15"/>
        <v>10</v>
      </c>
      <c r="T847" s="74">
        <f t="shared" si="15"/>
        <v>4773.6000000000004</v>
      </c>
      <c r="U847" s="75">
        <f t="shared" si="16"/>
        <v>-10.496</v>
      </c>
      <c r="V8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{-10.90} |10x</v>
      </c>
      <c r="W847" s="18" t="str">
        <f>IFERROR(IF(LEFT(ICE[[#This Row],[Tenor]], 1) = "B", RTD("esrtd",,$B847 &amp; " " &amp; ICE[[#This Row],[Tenor]] &amp; "-IEU", W$1), RTD("esrtd",,$B847 &amp; " " &amp; VLOOKUP(MONTH(ICE[[#This Row],[Strip]]), MthRef[], 2, 0) &amp; RIGHT(YEAR(ICE[[#This Row],[Strip]]), 2) &amp; "-IEU", W$1)), "")</f>
        <v/>
      </c>
      <c r="X847" s="36"/>
    </row>
    <row r="848" spans="1:24" x14ac:dyDescent="0.25">
      <c r="A848" s="71" t="s">
        <v>433</v>
      </c>
      <c r="B848" s="3" t="str">
        <f>RTD("ice.rtd",,$C848 &amp; $D848 &amp; ":" &amp; B$1)</f>
        <v>Invalid Market: CALCM3</v>
      </c>
      <c r="C848" s="72" t="s">
        <v>827</v>
      </c>
      <c r="D848" s="73" t="s">
        <v>326</v>
      </c>
      <c r="E848" s="72" t="str">
        <f t="shared" si="12"/>
        <v>Dec26</v>
      </c>
      <c r="F848" s="72" t="str">
        <f>ICE[[#This Row],[Prod]]&amp;ICE[[#This Row],[Strip]]</f>
        <v>fo35brxDec26</v>
      </c>
      <c r="G848" s="75"/>
      <c r="H848" s="75">
        <f t="shared" si="13"/>
        <v>-9.15</v>
      </c>
      <c r="I848" s="75"/>
      <c r="J848" s="76"/>
      <c r="K848" s="75"/>
      <c r="L848" s="74"/>
      <c r="M848" s="76"/>
      <c r="N848" s="74"/>
      <c r="O848" s="74"/>
      <c r="P848" s="74"/>
      <c r="Q848" s="76"/>
      <c r="R848" s="75" t="str">
        <f t="shared" si="14"/>
        <v/>
      </c>
      <c r="S848" s="74">
        <f t="shared" si="15"/>
        <v>0</v>
      </c>
      <c r="T848" s="74">
        <f t="shared" si="15"/>
        <v>5811.0499999999993</v>
      </c>
      <c r="U848" s="75">
        <f t="shared" si="16"/>
        <v>-9.6340000000000003</v>
      </c>
      <c r="V8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-9.15 </v>
      </c>
      <c r="W848" s="18" t="str">
        <f>IFERROR(IF(LEFT(ICE[[#This Row],[Tenor]], 1) = "B", RTD("esrtd",,$B848 &amp; " " &amp; ICE[[#This Row],[Tenor]] &amp; "-IEU", W$1), RTD("esrtd",,$B848 &amp; " " &amp; VLOOKUP(MONTH(ICE[[#This Row],[Strip]]), MthRef[], 2, 0) &amp; RIGHT(YEAR(ICE[[#This Row],[Strip]]), 2) &amp; "-IEU", W$1)), "")</f>
        <v/>
      </c>
      <c r="X848" s="36"/>
    </row>
    <row r="849" spans="1:24" x14ac:dyDescent="0.25">
      <c r="A849" s="71" t="s">
        <v>433</v>
      </c>
      <c r="B849" s="3" t="str">
        <f>RTD("ice.rtd",,$C849 &amp; $D849 &amp; ":" &amp; B$1)</f>
        <v>Invalid Market: CALCM4</v>
      </c>
      <c r="C849" s="72" t="s">
        <v>827</v>
      </c>
      <c r="D849" s="73" t="s">
        <v>794</v>
      </c>
      <c r="E849" s="72" t="str">
        <f t="shared" si="12"/>
        <v>Jan27</v>
      </c>
      <c r="F849" s="72" t="str">
        <f>ICE[[#This Row],[Prod]]&amp;ICE[[#This Row],[Strip]]</f>
        <v>fo35brxJan27</v>
      </c>
      <c r="G849" s="75"/>
      <c r="H849" s="75" t="str">
        <f t="shared" si="13"/>
        <v/>
      </c>
      <c r="I849" s="75"/>
      <c r="J849" s="76"/>
      <c r="K849" s="75"/>
      <c r="L849" s="74"/>
      <c r="M849" s="76"/>
      <c r="N849" s="74"/>
      <c r="O849" s="74"/>
      <c r="P849" s="74"/>
      <c r="Q849" s="76"/>
      <c r="R849" s="75" t="str">
        <f t="shared" si="14"/>
        <v/>
      </c>
      <c r="S849" s="74">
        <f t="shared" si="15"/>
        <v>0</v>
      </c>
      <c r="T849" s="74">
        <f t="shared" si="15"/>
        <v>2667.6499999999996</v>
      </c>
      <c r="U849" s="75">
        <f t="shared" si="16"/>
        <v>-9.0709999999999997</v>
      </c>
      <c r="V8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49" s="18" t="str">
        <f>IFERROR(IF(LEFT(ICE[[#This Row],[Tenor]], 1) = "B", RTD("esrtd",,$B849 &amp; " " &amp; ICE[[#This Row],[Tenor]] &amp; "-IEU", W$1), RTD("esrtd",,$B849 &amp; " " &amp; VLOOKUP(MONTH(ICE[[#This Row],[Strip]]), MthRef[], 2, 0) &amp; RIGHT(YEAR(ICE[[#This Row],[Strip]]), 2) &amp; "-IEU", W$1)), "")</f>
        <v/>
      </c>
      <c r="X849" s="36"/>
    </row>
    <row r="850" spans="1:24" x14ac:dyDescent="0.25">
      <c r="A850" s="71" t="s">
        <v>433</v>
      </c>
      <c r="B850" s="3" t="str">
        <f>RTD("ice.rtd",,$C850 &amp; $D850 &amp; ":" &amp; B$1)</f>
        <v>Invalid Market: CALCM5</v>
      </c>
      <c r="C850" s="72" t="s">
        <v>827</v>
      </c>
      <c r="D850" s="73" t="s">
        <v>795</v>
      </c>
      <c r="E850" s="72" t="str">
        <f t="shared" si="12"/>
        <v>Feb27</v>
      </c>
      <c r="F850" s="72" t="str">
        <f>ICE[[#This Row],[Prod]]&amp;ICE[[#This Row],[Strip]]</f>
        <v>fo35brxFeb27</v>
      </c>
      <c r="G850" s="75"/>
      <c r="H850" s="75" t="str">
        <f t="shared" si="13"/>
        <v/>
      </c>
      <c r="I850" s="75"/>
      <c r="J850" s="76"/>
      <c r="K850" s="75"/>
      <c r="L850" s="74"/>
      <c r="M850" s="76"/>
      <c r="N850" s="74"/>
      <c r="O850" s="74"/>
      <c r="P850" s="74"/>
      <c r="Q850" s="76"/>
      <c r="R850" s="75" t="str">
        <f t="shared" si="14"/>
        <v/>
      </c>
      <c r="S850" s="74">
        <f t="shared" si="15"/>
        <v>0</v>
      </c>
      <c r="T850" s="74">
        <f t="shared" si="15"/>
        <v>2741.75</v>
      </c>
      <c r="U850" s="75">
        <f t="shared" si="16"/>
        <v>-8.609</v>
      </c>
      <c r="V8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0" s="18" t="str">
        <f>IFERROR(IF(LEFT(ICE[[#This Row],[Tenor]], 1) = "B", RTD("esrtd",,$B850 &amp; " " &amp; ICE[[#This Row],[Tenor]] &amp; "-IEU", W$1), RTD("esrtd",,$B850 &amp; " " &amp; VLOOKUP(MONTH(ICE[[#This Row],[Strip]]), MthRef[], 2, 0) &amp; RIGHT(YEAR(ICE[[#This Row],[Strip]]), 2) &amp; "-IEU", W$1)), "")</f>
        <v/>
      </c>
      <c r="X850" s="36"/>
    </row>
    <row r="851" spans="1:24" x14ac:dyDescent="0.25">
      <c r="A851" s="71" t="s">
        <v>433</v>
      </c>
      <c r="B851" s="3" t="str">
        <f>RTD("ice.rtd",,$C851 &amp; $D851 &amp; ":" &amp; B$1)</f>
        <v>Invalid Market: CALCM6</v>
      </c>
      <c r="C851" s="72" t="s">
        <v>827</v>
      </c>
      <c r="D851" s="73" t="s">
        <v>113</v>
      </c>
      <c r="E851" s="72" t="str">
        <f t="shared" si="12"/>
        <v>Mar27</v>
      </c>
      <c r="F851" s="72" t="str">
        <f>ICE[[#This Row],[Prod]]&amp;ICE[[#This Row],[Strip]]</f>
        <v>fo35brxMar27</v>
      </c>
      <c r="G851" s="75"/>
      <c r="H851" s="75" t="str">
        <f t="shared" si="13"/>
        <v/>
      </c>
      <c r="I851" s="75"/>
      <c r="J851" s="76"/>
      <c r="K851" s="75"/>
      <c r="L851" s="74"/>
      <c r="M851" s="76"/>
      <c r="N851" s="74"/>
      <c r="O851" s="74"/>
      <c r="P851" s="74"/>
      <c r="Q851" s="76"/>
      <c r="R851" s="75" t="str">
        <f t="shared" si="14"/>
        <v/>
      </c>
      <c r="S851" s="74">
        <f t="shared" si="15"/>
        <v>0</v>
      </c>
      <c r="T851" s="74">
        <f t="shared" si="15"/>
        <v>2654.95</v>
      </c>
      <c r="U851" s="75">
        <f t="shared" si="16"/>
        <v>-8.202</v>
      </c>
      <c r="V8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1" s="18" t="str">
        <f>IFERROR(IF(LEFT(ICE[[#This Row],[Tenor]], 1) = "B", RTD("esrtd",,$B851 &amp; " " &amp; ICE[[#This Row],[Tenor]] &amp; "-IEU", W$1), RTD("esrtd",,$B851 &amp; " " &amp; VLOOKUP(MONTH(ICE[[#This Row],[Strip]]), MthRef[], 2, 0) &amp; RIGHT(YEAR(ICE[[#This Row],[Strip]]), 2) &amp; "-IEU", W$1)), "")</f>
        <v/>
      </c>
      <c r="X851" s="36"/>
    </row>
    <row r="852" spans="1:24" x14ac:dyDescent="0.25">
      <c r="A852" s="71" t="s">
        <v>433</v>
      </c>
      <c r="B852" s="3" t="str">
        <f>RTD("ice.rtd",,$C852 &amp; $D852 &amp; ":" &amp; B$1)</f>
        <v>Invalid Market: CALCM7</v>
      </c>
      <c r="C852" s="72" t="s">
        <v>827</v>
      </c>
      <c r="D852" s="73" t="s">
        <v>796</v>
      </c>
      <c r="E852" s="72" t="str">
        <f t="shared" si="12"/>
        <v>Apr27</v>
      </c>
      <c r="F852" s="72" t="str">
        <f>ICE[[#This Row],[Prod]]&amp;ICE[[#This Row],[Strip]]</f>
        <v>fo35brxApr27</v>
      </c>
      <c r="G852" s="75"/>
      <c r="H852" s="75" t="str">
        <f t="shared" si="13"/>
        <v/>
      </c>
      <c r="I852" s="75"/>
      <c r="J852" s="76"/>
      <c r="K852" s="75"/>
      <c r="L852" s="74"/>
      <c r="M852" s="76"/>
      <c r="N852" s="74"/>
      <c r="O852" s="74"/>
      <c r="P852" s="74"/>
      <c r="Q852" s="76"/>
      <c r="R852" s="75" t="str">
        <f t="shared" si="14"/>
        <v/>
      </c>
      <c r="S852" s="74">
        <f t="shared" si="15"/>
        <v>0</v>
      </c>
      <c r="T852" s="74">
        <f t="shared" si="15"/>
        <v>1211.9499999999998</v>
      </c>
      <c r="U852" s="75">
        <f t="shared" si="16"/>
        <v>-7.8090000000000002</v>
      </c>
      <c r="V8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2" s="18" t="str">
        <f>IFERROR(IF(LEFT(ICE[[#This Row],[Tenor]], 1) = "B", RTD("esrtd",,$B852 &amp; " " &amp; ICE[[#This Row],[Tenor]] &amp; "-IEU", W$1), RTD("esrtd",,$B852 &amp; " " &amp; VLOOKUP(MONTH(ICE[[#This Row],[Strip]]), MthRef[], 2, 0) &amp; RIGHT(YEAR(ICE[[#This Row],[Strip]]), 2) &amp; "-IEU", W$1)), "")</f>
        <v/>
      </c>
      <c r="X852" s="36"/>
    </row>
    <row r="853" spans="1:24" x14ac:dyDescent="0.25">
      <c r="A853" s="71" t="s">
        <v>433</v>
      </c>
      <c r="B853" s="3" t="str">
        <f>RTD("ice.rtd",,$C853 &amp; $D853 &amp; ":" &amp; B$1)</f>
        <v>Invalid Market: CALCM8</v>
      </c>
      <c r="C853" s="72" t="s">
        <v>827</v>
      </c>
      <c r="D853" s="73" t="s">
        <v>797</v>
      </c>
      <c r="E853" s="72" t="str">
        <f t="shared" si="12"/>
        <v>May27</v>
      </c>
      <c r="F853" s="72" t="str">
        <f>ICE[[#This Row],[Prod]]&amp;ICE[[#This Row],[Strip]]</f>
        <v>fo35brxMay27</v>
      </c>
      <c r="G853" s="75"/>
      <c r="H853" s="75" t="str">
        <f t="shared" si="13"/>
        <v/>
      </c>
      <c r="I853" s="75"/>
      <c r="J853" s="76"/>
      <c r="K853" s="75"/>
      <c r="L853" s="74"/>
      <c r="M853" s="76"/>
      <c r="N853" s="74"/>
      <c r="O853" s="74"/>
      <c r="P853" s="74"/>
      <c r="Q853" s="76"/>
      <c r="R853" s="75" t="str">
        <f t="shared" si="14"/>
        <v/>
      </c>
      <c r="S853" s="74">
        <f t="shared" si="15"/>
        <v>0</v>
      </c>
      <c r="T853" s="74">
        <f t="shared" si="15"/>
        <v>1243.6999999999998</v>
      </c>
      <c r="U853" s="75">
        <f t="shared" si="16"/>
        <v>-7.5010000000000003</v>
      </c>
      <c r="V8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3" s="18" t="str">
        <f>IFERROR(IF(LEFT(ICE[[#This Row],[Tenor]], 1) = "B", RTD("esrtd",,$B853 &amp; " " &amp; ICE[[#This Row],[Tenor]] &amp; "-IEU", W$1), RTD("esrtd",,$B853 &amp; " " &amp; VLOOKUP(MONTH(ICE[[#This Row],[Strip]]), MthRef[], 2, 0) &amp; RIGHT(YEAR(ICE[[#This Row],[Strip]]), 2) &amp; "-IEU", W$1)), "")</f>
        <v/>
      </c>
      <c r="X853" s="36"/>
    </row>
    <row r="854" spans="1:24" x14ac:dyDescent="0.25">
      <c r="A854" s="71" t="s">
        <v>433</v>
      </c>
      <c r="B854" s="3" t="str">
        <f>RTD("ice.rtd",,$C854 &amp; $D854 &amp; ":" &amp; B$1)</f>
        <v>Invalid Market: CALCM9</v>
      </c>
      <c r="C854" s="72" t="s">
        <v>827</v>
      </c>
      <c r="D854" s="73" t="s">
        <v>798</v>
      </c>
      <c r="E854" s="72" t="str">
        <f t="shared" si="12"/>
        <v>Jun27</v>
      </c>
      <c r="F854" s="72" t="str">
        <f>ICE[[#This Row],[Prod]]&amp;ICE[[#This Row],[Strip]]</f>
        <v>fo35brxJun27</v>
      </c>
      <c r="G854" s="75"/>
      <c r="H854" s="75" t="str">
        <f t="shared" si="13"/>
        <v/>
      </c>
      <c r="I854" s="75"/>
      <c r="J854" s="76"/>
      <c r="K854" s="75"/>
      <c r="L854" s="74"/>
      <c r="M854" s="76"/>
      <c r="N854" s="74"/>
      <c r="O854" s="74"/>
      <c r="P854" s="74"/>
      <c r="Q854" s="76"/>
      <c r="R854" s="75" t="str">
        <f t="shared" si="14"/>
        <v/>
      </c>
      <c r="S854" s="74">
        <f t="shared" si="15"/>
        <v>0</v>
      </c>
      <c r="T854" s="74">
        <f t="shared" si="15"/>
        <v>1207.9499999999998</v>
      </c>
      <c r="U854" s="75">
        <f t="shared" si="16"/>
        <v>-7.46</v>
      </c>
      <c r="V8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4" s="18" t="str">
        <f>IFERROR(IF(LEFT(ICE[[#This Row],[Tenor]], 1) = "B", RTD("esrtd",,$B854 &amp; " " &amp; ICE[[#This Row],[Tenor]] &amp; "-IEU", W$1), RTD("esrtd",,$B854 &amp; " " &amp; VLOOKUP(MONTH(ICE[[#This Row],[Strip]]), MthRef[], 2, 0) &amp; RIGHT(YEAR(ICE[[#This Row],[Strip]]), 2) &amp; "-IEU", W$1)), "")</f>
        <v/>
      </c>
      <c r="X854" s="36"/>
    </row>
    <row r="855" spans="1:24" x14ac:dyDescent="0.25">
      <c r="A855" s="71" t="s">
        <v>433</v>
      </c>
      <c r="B855" s="3" t="str">
        <f>RTD("ice.rtd",,$C855 &amp; $D855 &amp; ":" &amp; B$1)</f>
        <v>Invalid Market: CALCM10</v>
      </c>
      <c r="C855" s="72" t="s">
        <v>827</v>
      </c>
      <c r="D855" s="73" t="s">
        <v>799</v>
      </c>
      <c r="E855" s="72" t="str">
        <f t="shared" si="12"/>
        <v>Jul27</v>
      </c>
      <c r="F855" s="72" t="str">
        <f>ICE[[#This Row],[Prod]]&amp;ICE[[#This Row],[Strip]]</f>
        <v>fo35brxJul27</v>
      </c>
      <c r="G855" s="75"/>
      <c r="H855" s="75" t="str">
        <f t="shared" si="13"/>
        <v/>
      </c>
      <c r="I855" s="75"/>
      <c r="J855" s="76"/>
      <c r="K855" s="75"/>
      <c r="L855" s="74"/>
      <c r="M855" s="76"/>
      <c r="N855" s="74"/>
      <c r="O855" s="74"/>
      <c r="P855" s="74"/>
      <c r="Q855" s="76"/>
      <c r="R855" s="75" t="str">
        <f t="shared" si="14"/>
        <v/>
      </c>
      <c r="S855" s="74">
        <f t="shared" si="15"/>
        <v>0</v>
      </c>
      <c r="T855" s="74">
        <f t="shared" si="15"/>
        <v>1317.75</v>
      </c>
      <c r="U855" s="75">
        <f t="shared" si="16"/>
        <v>-7.5130000000000008</v>
      </c>
      <c r="V8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5" s="18" t="str">
        <f>IFERROR(IF(LEFT(ICE[[#This Row],[Tenor]], 1) = "B", RTD("esrtd",,$B855 &amp; " " &amp; ICE[[#This Row],[Tenor]] &amp; "-IEU", W$1), RTD("esrtd",,$B855 &amp; " " &amp; VLOOKUP(MONTH(ICE[[#This Row],[Strip]]), MthRef[], 2, 0) &amp; RIGHT(YEAR(ICE[[#This Row],[Strip]]), 2) &amp; "-IEU", W$1)), "")</f>
        <v/>
      </c>
      <c r="X855" s="36"/>
    </row>
    <row r="856" spans="1:24" x14ac:dyDescent="0.25">
      <c r="A856" s="71" t="s">
        <v>433</v>
      </c>
      <c r="B856" s="3" t="str">
        <f>RTD("ice.rtd",,$C856 &amp; $D856 &amp; ":" &amp; B$1)</f>
        <v>Invalid Market: CALCM11</v>
      </c>
      <c r="C856" s="72" t="s">
        <v>827</v>
      </c>
      <c r="D856" s="73" t="s">
        <v>800</v>
      </c>
      <c r="E856" s="72" t="str">
        <f t="shared" si="12"/>
        <v>Aug27</v>
      </c>
      <c r="F856" s="72" t="str">
        <f>ICE[[#This Row],[Prod]]&amp;ICE[[#This Row],[Strip]]</f>
        <v>fo35brxAug27</v>
      </c>
      <c r="G856" s="75"/>
      <c r="H856" s="75" t="str">
        <f t="shared" si="13"/>
        <v/>
      </c>
      <c r="I856" s="75"/>
      <c r="J856" s="76"/>
      <c r="K856" s="75"/>
      <c r="L856" s="74"/>
      <c r="M856" s="76"/>
      <c r="N856" s="74"/>
      <c r="O856" s="74"/>
      <c r="P856" s="74"/>
      <c r="Q856" s="76"/>
      <c r="R856" s="75" t="str">
        <f t="shared" si="14"/>
        <v/>
      </c>
      <c r="S856" s="74">
        <f t="shared" si="15"/>
        <v>0</v>
      </c>
      <c r="T856" s="74">
        <f t="shared" si="15"/>
        <v>1317.75</v>
      </c>
      <c r="U856" s="75">
        <f t="shared" si="16"/>
        <v>-7.6840000000000002</v>
      </c>
      <c r="V8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6" s="18" t="str">
        <f>IFERROR(IF(LEFT(ICE[[#This Row],[Tenor]], 1) = "B", RTD("esrtd",,$B856 &amp; " " &amp; ICE[[#This Row],[Tenor]] &amp; "-IEU", W$1), RTD("esrtd",,$B856 &amp; " " &amp; VLOOKUP(MONTH(ICE[[#This Row],[Strip]]), MthRef[], 2, 0) &amp; RIGHT(YEAR(ICE[[#This Row],[Strip]]), 2) &amp; "-IEU", W$1)), "")</f>
        <v/>
      </c>
      <c r="X856" s="36"/>
    </row>
    <row r="857" spans="1:24" x14ac:dyDescent="0.25">
      <c r="A857" s="71" t="s">
        <v>433</v>
      </c>
      <c r="B857" s="3" t="str">
        <f>RTD("ice.rtd",,$C857 &amp; $D857 &amp; ":" &amp; B$1)</f>
        <v>Invalid Market: CALCM12</v>
      </c>
      <c r="C857" s="72" t="s">
        <v>827</v>
      </c>
      <c r="D857" s="73" t="s">
        <v>801</v>
      </c>
      <c r="E857" s="72" t="str">
        <f t="shared" si="12"/>
        <v>Sep27</v>
      </c>
      <c r="F857" s="72" t="str">
        <f>ICE[[#This Row],[Prod]]&amp;ICE[[#This Row],[Strip]]</f>
        <v>fo35brxSep27</v>
      </c>
      <c r="G857" s="75"/>
      <c r="H857" s="75" t="str">
        <f t="shared" si="13"/>
        <v/>
      </c>
      <c r="I857" s="75"/>
      <c r="J857" s="76"/>
      <c r="K857" s="75"/>
      <c r="L857" s="74"/>
      <c r="M857" s="76"/>
      <c r="N857" s="74"/>
      <c r="O857" s="74"/>
      <c r="P857" s="74"/>
      <c r="Q857" s="76"/>
      <c r="R857" s="75" t="str">
        <f t="shared" si="14"/>
        <v/>
      </c>
      <c r="S857" s="74">
        <f t="shared" si="15"/>
        <v>0</v>
      </c>
      <c r="T857" s="74">
        <f t="shared" si="15"/>
        <v>1317.75</v>
      </c>
      <c r="U857" s="75">
        <f t="shared" si="16"/>
        <v>-7.9940000000000007</v>
      </c>
      <c r="V8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7" s="18" t="str">
        <f>IFERROR(IF(LEFT(ICE[[#This Row],[Tenor]], 1) = "B", RTD("esrtd",,$B857 &amp; " " &amp; ICE[[#This Row],[Tenor]] &amp; "-IEU", W$1), RTD("esrtd",,$B857 &amp; " " &amp; VLOOKUP(MONTH(ICE[[#This Row],[Strip]]), MthRef[], 2, 0) &amp; RIGHT(YEAR(ICE[[#This Row],[Strip]]), 2) &amp; "-IEU", W$1)), "")</f>
        <v/>
      </c>
      <c r="X857" s="36"/>
    </row>
    <row r="858" spans="1:24" x14ac:dyDescent="0.25">
      <c r="A858" s="71" t="s">
        <v>433</v>
      </c>
      <c r="B858" s="3" t="str">
        <f>RTD("ice.rtd",,$C858 &amp; $D858 &amp; ":" &amp; B$1)</f>
        <v>Invalid Market: CALCM13</v>
      </c>
      <c r="C858" s="72" t="s">
        <v>827</v>
      </c>
      <c r="D858" s="73" t="s">
        <v>802</v>
      </c>
      <c r="E858" s="72" t="str">
        <f t="shared" si="12"/>
        <v>Oct27</v>
      </c>
      <c r="F858" s="72" t="str">
        <f>ICE[[#This Row],[Prod]]&amp;ICE[[#This Row],[Strip]]</f>
        <v>fo35brxOct27</v>
      </c>
      <c r="G858" s="75"/>
      <c r="H858" s="75" t="str">
        <f t="shared" si="13"/>
        <v/>
      </c>
      <c r="I858" s="75"/>
      <c r="J858" s="76"/>
      <c r="K858" s="75"/>
      <c r="L858" s="74"/>
      <c r="M858" s="76"/>
      <c r="N858" s="74"/>
      <c r="O858" s="74"/>
      <c r="P858" s="74"/>
      <c r="Q858" s="76"/>
      <c r="R858" s="75" t="str">
        <f t="shared" si="14"/>
        <v/>
      </c>
      <c r="S858" s="74">
        <f t="shared" si="15"/>
        <v>0</v>
      </c>
      <c r="T858" s="74">
        <f t="shared" si="15"/>
        <v>1442.65</v>
      </c>
      <c r="U858" s="75">
        <f t="shared" si="16"/>
        <v>-8.3810000000000002</v>
      </c>
      <c r="V8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8" s="18" t="str">
        <f>IFERROR(IF(LEFT(ICE[[#This Row],[Tenor]], 1) = "B", RTD("esrtd",,$B858 &amp; " " &amp; ICE[[#This Row],[Tenor]] &amp; "-IEU", W$1), RTD("esrtd",,$B858 &amp; " " &amp; VLOOKUP(MONTH(ICE[[#This Row],[Strip]]), MthRef[], 2, 0) &amp; RIGHT(YEAR(ICE[[#This Row],[Strip]]), 2) &amp; "-IEU", W$1)), "")</f>
        <v/>
      </c>
      <c r="X858" s="36"/>
    </row>
    <row r="859" spans="1:24" x14ac:dyDescent="0.25">
      <c r="A859" s="71" t="s">
        <v>433</v>
      </c>
      <c r="B859" s="3" t="str">
        <f>RTD("ice.rtd",,$C859 &amp; $D859 &amp; ":" &amp; B$1)</f>
        <v>Invalid Market: CALCM14</v>
      </c>
      <c r="C859" s="72" t="s">
        <v>827</v>
      </c>
      <c r="D859" s="73" t="s">
        <v>803</v>
      </c>
      <c r="E859" s="72" t="str">
        <f t="shared" si="12"/>
        <v>Nov27</v>
      </c>
      <c r="F859" s="72" t="str">
        <f>ICE[[#This Row],[Prod]]&amp;ICE[[#This Row],[Strip]]</f>
        <v>fo35brxNov27</v>
      </c>
      <c r="G859" s="75"/>
      <c r="H859" s="75" t="str">
        <f t="shared" si="13"/>
        <v/>
      </c>
      <c r="I859" s="75"/>
      <c r="J859" s="76"/>
      <c r="K859" s="75"/>
      <c r="L859" s="74"/>
      <c r="M859" s="76"/>
      <c r="N859" s="74"/>
      <c r="O859" s="74"/>
      <c r="P859" s="74"/>
      <c r="Q859" s="76"/>
      <c r="R859" s="75" t="str">
        <f t="shared" si="14"/>
        <v/>
      </c>
      <c r="S859" s="74">
        <f t="shared" si="15"/>
        <v>0</v>
      </c>
      <c r="T859" s="74">
        <f t="shared" si="15"/>
        <v>1442.65</v>
      </c>
      <c r="U859" s="75">
        <f t="shared" si="16"/>
        <v>-8.5140000000000011</v>
      </c>
      <c r="V8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59" s="18" t="str">
        <f>IFERROR(IF(LEFT(ICE[[#This Row],[Tenor]], 1) = "B", RTD("esrtd",,$B859 &amp; " " &amp; ICE[[#This Row],[Tenor]] &amp; "-IEU", W$1), RTD("esrtd",,$B859 &amp; " " &amp; VLOOKUP(MONTH(ICE[[#This Row],[Strip]]), MthRef[], 2, 0) &amp; RIGHT(YEAR(ICE[[#This Row],[Strip]]), 2) &amp; "-IEU", W$1)), "")</f>
        <v/>
      </c>
      <c r="X859" s="36"/>
    </row>
    <row r="860" spans="1:24" x14ac:dyDescent="0.25">
      <c r="A860" s="71" t="s">
        <v>433</v>
      </c>
      <c r="B860" s="3" t="str">
        <f>RTD("ice.rtd",,$C860 &amp; $D860 &amp; ":" &amp; B$1)</f>
        <v>Invalid Market: CALCM15</v>
      </c>
      <c r="C860" s="72" t="s">
        <v>827</v>
      </c>
      <c r="D860" s="73" t="s">
        <v>804</v>
      </c>
      <c r="E860" s="72" t="str">
        <f t="shared" si="12"/>
        <v>Dec27</v>
      </c>
      <c r="F860" s="72" t="str">
        <f>ICE[[#This Row],[Prod]]&amp;ICE[[#This Row],[Strip]]</f>
        <v>fo35brxDec27</v>
      </c>
      <c r="G860" s="75"/>
      <c r="H860" s="75" t="str">
        <f t="shared" si="13"/>
        <v/>
      </c>
      <c r="I860" s="75"/>
      <c r="J860" s="76"/>
      <c r="K860" s="75"/>
      <c r="L860" s="74"/>
      <c r="M860" s="76"/>
      <c r="N860" s="74"/>
      <c r="O860" s="74"/>
      <c r="P860" s="74"/>
      <c r="Q860" s="76"/>
      <c r="R860" s="75" t="str">
        <f t="shared" si="14"/>
        <v/>
      </c>
      <c r="S860" s="74">
        <f t="shared" si="15"/>
        <v>0</v>
      </c>
      <c r="T860" s="74">
        <f t="shared" si="15"/>
        <v>1627.25</v>
      </c>
      <c r="U860" s="75">
        <f t="shared" si="16"/>
        <v>-8.4660000000000011</v>
      </c>
      <c r="V8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0" s="18" t="str">
        <f>IFERROR(IF(LEFT(ICE[[#This Row],[Tenor]], 1) = "B", RTD("esrtd",,$B860 &amp; " " &amp; ICE[[#This Row],[Tenor]] &amp; "-IEU", W$1), RTD("esrtd",,$B860 &amp; " " &amp; VLOOKUP(MONTH(ICE[[#This Row],[Strip]]), MthRef[], 2, 0) &amp; RIGHT(YEAR(ICE[[#This Row],[Strip]]), 2) &amp; "-IEU", W$1)), "")</f>
        <v/>
      </c>
      <c r="X860" s="36"/>
    </row>
    <row r="861" spans="1:24" x14ac:dyDescent="0.25">
      <c r="A861" s="71" t="s">
        <v>433</v>
      </c>
      <c r="B861" s="3" t="str">
        <f>RTD("ice.rtd",,$C861 &amp; $D861 &amp; ":" &amp; B$1)</f>
        <v>Invalid Market: CALCM16</v>
      </c>
      <c r="C861" s="72" t="s">
        <v>827</v>
      </c>
      <c r="D861" s="73" t="s">
        <v>805</v>
      </c>
      <c r="E861" s="72" t="str">
        <f t="shared" si="12"/>
        <v>Jan28</v>
      </c>
      <c r="F861" s="72" t="str">
        <f>ICE[[#This Row],[Prod]]&amp;ICE[[#This Row],[Strip]]</f>
        <v>fo35brxJan28</v>
      </c>
      <c r="G861" s="75"/>
      <c r="H861" s="75" t="str">
        <f t="shared" si="13"/>
        <v/>
      </c>
      <c r="I861" s="75"/>
      <c r="J861" s="76"/>
      <c r="K861" s="75"/>
      <c r="L861" s="74"/>
      <c r="M861" s="76"/>
      <c r="N861" s="74"/>
      <c r="O861" s="74"/>
      <c r="P861" s="74"/>
      <c r="Q861" s="76"/>
      <c r="R861" s="75" t="str">
        <f t="shared" si="14"/>
        <v/>
      </c>
      <c r="S861" s="74">
        <f t="shared" si="15"/>
        <v>0</v>
      </c>
      <c r="T861" s="74">
        <f t="shared" si="15"/>
        <v>360.85</v>
      </c>
      <c r="U861" s="75">
        <f t="shared" si="16"/>
        <v>-8.3770000000000007</v>
      </c>
      <c r="V8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1" s="18" t="str">
        <f>IFERROR(IF(LEFT(ICE[[#This Row],[Tenor]], 1) = "B", RTD("esrtd",,$B861 &amp; " " &amp; ICE[[#This Row],[Tenor]] &amp; "-IEU", W$1), RTD("esrtd",,$B861 &amp; " " &amp; VLOOKUP(MONTH(ICE[[#This Row],[Strip]]), MthRef[], 2, 0) &amp; RIGHT(YEAR(ICE[[#This Row],[Strip]]), 2) &amp; "-IEU", W$1)), "")</f>
        <v/>
      </c>
      <c r="X861" s="36"/>
    </row>
    <row r="862" spans="1:24" x14ac:dyDescent="0.25">
      <c r="A862" s="71" t="s">
        <v>433</v>
      </c>
      <c r="B862" s="3" t="str">
        <f>RTD("ice.rtd",,$C862 &amp; $D862 &amp; ":" &amp; B$1)</f>
        <v>Invalid Market: CALCM17</v>
      </c>
      <c r="C862" s="72" t="s">
        <v>827</v>
      </c>
      <c r="D862" s="73" t="s">
        <v>806</v>
      </c>
      <c r="E862" s="72" t="str">
        <f t="shared" si="12"/>
        <v>Feb28</v>
      </c>
      <c r="F862" s="72" t="str">
        <f>ICE[[#This Row],[Prod]]&amp;ICE[[#This Row],[Strip]]</f>
        <v>fo35brxFeb28</v>
      </c>
      <c r="G862" s="75"/>
      <c r="H862" s="75" t="str">
        <f t="shared" si="13"/>
        <v/>
      </c>
      <c r="I862" s="75"/>
      <c r="J862" s="76"/>
      <c r="K862" s="75"/>
      <c r="L862" s="74"/>
      <c r="M862" s="76"/>
      <c r="N862" s="74"/>
      <c r="O862" s="74"/>
      <c r="P862" s="74"/>
      <c r="Q862" s="76"/>
      <c r="R862" s="75" t="str">
        <f t="shared" si="14"/>
        <v/>
      </c>
      <c r="S862" s="74">
        <f t="shared" si="15"/>
        <v>0</v>
      </c>
      <c r="T862" s="74">
        <f t="shared" si="15"/>
        <v>347.85</v>
      </c>
      <c r="U862" s="75">
        <f t="shared" si="16"/>
        <v>-8.2650000000000006</v>
      </c>
      <c r="V8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2" s="18" t="str">
        <f>IFERROR(IF(LEFT(ICE[[#This Row],[Tenor]], 1) = "B", RTD("esrtd",,$B862 &amp; " " &amp; ICE[[#This Row],[Tenor]] &amp; "-IEU", W$1), RTD("esrtd",,$B862 &amp; " " &amp; VLOOKUP(MONTH(ICE[[#This Row],[Strip]]), MthRef[], 2, 0) &amp; RIGHT(YEAR(ICE[[#This Row],[Strip]]), 2) &amp; "-IEU", W$1)), "")</f>
        <v/>
      </c>
      <c r="X862" s="36"/>
    </row>
    <row r="863" spans="1:24" x14ac:dyDescent="0.25">
      <c r="A863" s="71" t="s">
        <v>433</v>
      </c>
      <c r="B863" s="3" t="str">
        <f>RTD("ice.rtd",,$C863 &amp; $D863 &amp; ":" &amp; B$1)</f>
        <v>Invalid Market: CALCM18</v>
      </c>
      <c r="C863" s="72" t="s">
        <v>827</v>
      </c>
      <c r="D863" s="73" t="s">
        <v>807</v>
      </c>
      <c r="E863" s="72" t="str">
        <f t="shared" si="12"/>
        <v>Mar28</v>
      </c>
      <c r="F863" s="72" t="str">
        <f>ICE[[#This Row],[Prod]]&amp;ICE[[#This Row],[Strip]]</f>
        <v>fo35brxMar28</v>
      </c>
      <c r="G863" s="75"/>
      <c r="H863" s="75" t="str">
        <f t="shared" si="13"/>
        <v/>
      </c>
      <c r="I863" s="75"/>
      <c r="J863" s="76"/>
      <c r="K863" s="75"/>
      <c r="L863" s="74"/>
      <c r="M863" s="76"/>
      <c r="N863" s="74"/>
      <c r="O863" s="74"/>
      <c r="P863" s="74"/>
      <c r="Q863" s="76"/>
      <c r="R863" s="75" t="str">
        <f t="shared" si="14"/>
        <v/>
      </c>
      <c r="S863" s="74">
        <f t="shared" si="15"/>
        <v>0</v>
      </c>
      <c r="T863" s="74">
        <f t="shared" si="15"/>
        <v>347.85</v>
      </c>
      <c r="U863" s="75">
        <f t="shared" si="16"/>
        <v>-8.1639999999999997</v>
      </c>
      <c r="V8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3" s="18" t="str">
        <f>IFERROR(IF(LEFT(ICE[[#This Row],[Tenor]], 1) = "B", RTD("esrtd",,$B863 &amp; " " &amp; ICE[[#This Row],[Tenor]] &amp; "-IEU", W$1), RTD("esrtd",,$B863 &amp; " " &amp; VLOOKUP(MONTH(ICE[[#This Row],[Strip]]), MthRef[], 2, 0) &amp; RIGHT(YEAR(ICE[[#This Row],[Strip]]), 2) &amp; "-IEU", W$1)), "")</f>
        <v/>
      </c>
      <c r="X863" s="36"/>
    </row>
    <row r="864" spans="1:24" x14ac:dyDescent="0.25">
      <c r="A864" s="71" t="s">
        <v>433</v>
      </c>
      <c r="B864" s="3" t="str">
        <f>RTD("ice.rtd",,$C864 &amp; $D864 &amp; ":" &amp; B$1)</f>
        <v>Invalid Market: CALCM19</v>
      </c>
      <c r="C864" s="72" t="s">
        <v>827</v>
      </c>
      <c r="D864" s="73" t="s">
        <v>808</v>
      </c>
      <c r="E864" s="72" t="str">
        <f t="shared" si="12"/>
        <v>Apr28</v>
      </c>
      <c r="F864" s="72" t="str">
        <f>ICE[[#This Row],[Prod]]&amp;ICE[[#This Row],[Strip]]</f>
        <v>fo35brxApr28</v>
      </c>
      <c r="G864" s="75"/>
      <c r="H864" s="75" t="str">
        <f t="shared" si="13"/>
        <v/>
      </c>
      <c r="I864" s="75"/>
      <c r="J864" s="76"/>
      <c r="K864" s="75"/>
      <c r="L864" s="74"/>
      <c r="M864" s="76"/>
      <c r="N864" s="74"/>
      <c r="O864" s="74"/>
      <c r="P864" s="74"/>
      <c r="Q864" s="76"/>
      <c r="R864" s="75" t="str">
        <f t="shared" si="14"/>
        <v/>
      </c>
      <c r="S864" s="74">
        <f t="shared" si="15"/>
        <v>0</v>
      </c>
      <c r="T864" s="74">
        <f t="shared" si="15"/>
        <v>354.2</v>
      </c>
      <c r="U864" s="75">
        <f t="shared" si="16"/>
        <v>-8.0780000000000012</v>
      </c>
      <c r="V8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4" s="18" t="str">
        <f>IFERROR(IF(LEFT(ICE[[#This Row],[Tenor]], 1) = "B", RTD("esrtd",,$B864 &amp; " " &amp; ICE[[#This Row],[Tenor]] &amp; "-IEU", W$1), RTD("esrtd",,$B864 &amp; " " &amp; VLOOKUP(MONTH(ICE[[#This Row],[Strip]]), MthRef[], 2, 0) &amp; RIGHT(YEAR(ICE[[#This Row],[Strip]]), 2) &amp; "-IEU", W$1)), "")</f>
        <v/>
      </c>
      <c r="X864" s="36"/>
    </row>
    <row r="865" spans="1:25" x14ac:dyDescent="0.25">
      <c r="A865" s="71" t="s">
        <v>433</v>
      </c>
      <c r="B865" s="3" t="str">
        <f>RTD("ice.rtd",,$C865 &amp; $D865 &amp; ":" &amp; B$1)</f>
        <v>Invalid Market: CALCM20</v>
      </c>
      <c r="C865" s="72" t="s">
        <v>827</v>
      </c>
      <c r="D865" s="73" t="s">
        <v>809</v>
      </c>
      <c r="E865" s="72" t="str">
        <f t="shared" si="12"/>
        <v>May28</v>
      </c>
      <c r="F865" s="72" t="str">
        <f>ICE[[#This Row],[Prod]]&amp;ICE[[#This Row],[Strip]]</f>
        <v>fo35brxMay28</v>
      </c>
      <c r="G865" s="75"/>
      <c r="H865" s="75" t="str">
        <f t="shared" si="13"/>
        <v/>
      </c>
      <c r="I865" s="75"/>
      <c r="J865" s="76"/>
      <c r="K865" s="75"/>
      <c r="L865" s="74"/>
      <c r="M865" s="76"/>
      <c r="N865" s="74"/>
      <c r="O865" s="74"/>
      <c r="P865" s="74"/>
      <c r="Q865" s="76"/>
      <c r="R865" s="75" t="str">
        <f t="shared" si="14"/>
        <v/>
      </c>
      <c r="S865" s="74">
        <f t="shared" si="15"/>
        <v>0</v>
      </c>
      <c r="T865" s="74">
        <f t="shared" si="15"/>
        <v>354.2</v>
      </c>
      <c r="U865" s="75">
        <f t="shared" si="16"/>
        <v>-7.9990000000000006</v>
      </c>
      <c r="V8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5" s="18" t="str">
        <f>IFERROR(IF(LEFT(ICE[[#This Row],[Tenor]], 1) = "B", RTD("esrtd",,$B865 &amp; " " &amp; ICE[[#This Row],[Tenor]] &amp; "-IEU", W$1), RTD("esrtd",,$B865 &amp; " " &amp; VLOOKUP(MONTH(ICE[[#This Row],[Strip]]), MthRef[], 2, 0) &amp; RIGHT(YEAR(ICE[[#This Row],[Strip]]), 2) &amp; "-IEU", W$1)), "")</f>
        <v/>
      </c>
      <c r="X865" s="36"/>
    </row>
    <row r="866" spans="1:25" x14ac:dyDescent="0.25">
      <c r="A866" s="71" t="s">
        <v>433</v>
      </c>
      <c r="B866" s="3" t="str">
        <f>RTD("ice.rtd",,$C866 &amp; $D866 &amp; ":" &amp; B$1)</f>
        <v>Invalid Market: CALCM21</v>
      </c>
      <c r="C866" s="72" t="s">
        <v>827</v>
      </c>
      <c r="D866" s="73" t="s">
        <v>810</v>
      </c>
      <c r="E866" s="72" t="str">
        <f t="shared" si="12"/>
        <v>Jun28</v>
      </c>
      <c r="F866" s="72" t="str">
        <f>ICE[[#This Row],[Prod]]&amp;ICE[[#This Row],[Strip]]</f>
        <v>fo35brxJun28</v>
      </c>
      <c r="G866" s="75"/>
      <c r="H866" s="75" t="str">
        <f t="shared" si="13"/>
        <v/>
      </c>
      <c r="I866" s="75"/>
      <c r="J866" s="76"/>
      <c r="K866" s="75"/>
      <c r="L866" s="74"/>
      <c r="M866" s="76"/>
      <c r="N866" s="74"/>
      <c r="O866" s="74"/>
      <c r="P866" s="74"/>
      <c r="Q866" s="76"/>
      <c r="R866" s="75" t="str">
        <f t="shared" si="14"/>
        <v/>
      </c>
      <c r="S866" s="74">
        <f t="shared" si="15"/>
        <v>0</v>
      </c>
      <c r="T866" s="74">
        <f t="shared" si="15"/>
        <v>354.2</v>
      </c>
      <c r="U866" s="75">
        <f t="shared" si="16"/>
        <v>-7.9359999999999999</v>
      </c>
      <c r="V8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6" s="18" t="str">
        <f>IFERROR(IF(LEFT(ICE[[#This Row],[Tenor]], 1) = "B", RTD("esrtd",,$B866 &amp; " " &amp; ICE[[#This Row],[Tenor]] &amp; "-IEU", W$1), RTD("esrtd",,$B866 &amp; " " &amp; VLOOKUP(MONTH(ICE[[#This Row],[Strip]]), MthRef[], 2, 0) &amp; RIGHT(YEAR(ICE[[#This Row],[Strip]]), 2) &amp; "-IEU", W$1)), "")</f>
        <v/>
      </c>
      <c r="X866" s="36"/>
    </row>
    <row r="867" spans="1:25" x14ac:dyDescent="0.25">
      <c r="A867" s="71" t="s">
        <v>433</v>
      </c>
      <c r="B867" s="3" t="str">
        <f>RTD("ice.rtd",,$C867 &amp; $D867 &amp; ":" &amp; B$1)</f>
        <v>Invalid Market: CALCM22</v>
      </c>
      <c r="C867" s="72" t="s">
        <v>827</v>
      </c>
      <c r="D867" s="73" t="s">
        <v>811</v>
      </c>
      <c r="E867" s="72" t="str">
        <f t="shared" si="12"/>
        <v>Jul28</v>
      </c>
      <c r="F867" s="72" t="str">
        <f>ICE[[#This Row],[Prod]]&amp;ICE[[#This Row],[Strip]]</f>
        <v>fo35brxJul28</v>
      </c>
      <c r="G867" s="75"/>
      <c r="H867" s="75" t="str">
        <f t="shared" si="13"/>
        <v/>
      </c>
      <c r="I867" s="75"/>
      <c r="J867" s="76"/>
      <c r="K867" s="75"/>
      <c r="L867" s="74"/>
      <c r="M867" s="76"/>
      <c r="N867" s="74"/>
      <c r="O867" s="74"/>
      <c r="P867" s="74"/>
      <c r="Q867" s="76"/>
      <c r="R867" s="75" t="str">
        <f t="shared" si="14"/>
        <v/>
      </c>
      <c r="S867" s="74">
        <f t="shared" si="15"/>
        <v>0</v>
      </c>
      <c r="T867" s="74">
        <f t="shared" si="15"/>
        <v>354.2</v>
      </c>
      <c r="U867" s="75">
        <f t="shared" si="16"/>
        <v>-7.9220000000000006</v>
      </c>
      <c r="V8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7" s="18" t="str">
        <f>IFERROR(IF(LEFT(ICE[[#This Row],[Tenor]], 1) = "B", RTD("esrtd",,$B867 &amp; " " &amp; ICE[[#This Row],[Tenor]] &amp; "-IEU", W$1), RTD("esrtd",,$B867 &amp; " " &amp; VLOOKUP(MONTH(ICE[[#This Row],[Strip]]), MthRef[], 2, 0) &amp; RIGHT(YEAR(ICE[[#This Row],[Strip]]), 2) &amp; "-IEU", W$1)), "")</f>
        <v/>
      </c>
      <c r="X867" s="36"/>
    </row>
    <row r="868" spans="1:25" x14ac:dyDescent="0.25">
      <c r="A868" s="71" t="s">
        <v>433</v>
      </c>
      <c r="B868" s="3" t="str">
        <f>RTD("ice.rtd",,$C868 &amp; $D868 &amp; ":" &amp; B$1)</f>
        <v>Invalid Market: CALCM23</v>
      </c>
      <c r="C868" s="72" t="s">
        <v>827</v>
      </c>
      <c r="D868" s="73" t="s">
        <v>812</v>
      </c>
      <c r="E868" s="72" t="str">
        <f t="shared" si="12"/>
        <v>Aug28</v>
      </c>
      <c r="F868" s="72" t="str">
        <f>ICE[[#This Row],[Prod]]&amp;ICE[[#This Row],[Strip]]</f>
        <v>fo35brxAug28</v>
      </c>
      <c r="G868" s="75"/>
      <c r="H868" s="75" t="str">
        <f t="shared" si="13"/>
        <v/>
      </c>
      <c r="I868" s="75"/>
      <c r="J868" s="76"/>
      <c r="K868" s="75"/>
      <c r="L868" s="74"/>
      <c r="M868" s="76"/>
      <c r="N868" s="74"/>
      <c r="O868" s="74"/>
      <c r="P868" s="74"/>
      <c r="Q868" s="76"/>
      <c r="R868" s="75" t="str">
        <f t="shared" si="14"/>
        <v/>
      </c>
      <c r="S868" s="74">
        <f t="shared" si="15"/>
        <v>0</v>
      </c>
      <c r="T868" s="74">
        <f t="shared" si="15"/>
        <v>354.2</v>
      </c>
      <c r="U868" s="75">
        <f t="shared" si="16"/>
        <v>-7.9580000000000002</v>
      </c>
      <c r="V8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8" s="18" t="str">
        <f>IFERROR(IF(LEFT(ICE[[#This Row],[Tenor]], 1) = "B", RTD("esrtd",,$B868 &amp; " " &amp; ICE[[#This Row],[Tenor]] &amp; "-IEU", W$1), RTD("esrtd",,$B868 &amp; " " &amp; VLOOKUP(MONTH(ICE[[#This Row],[Strip]]), MthRef[], 2, 0) &amp; RIGHT(YEAR(ICE[[#This Row],[Strip]]), 2) &amp; "-IEU", W$1)), "")</f>
        <v/>
      </c>
      <c r="X868" s="36"/>
    </row>
    <row r="869" spans="1:25" x14ac:dyDescent="0.25">
      <c r="A869" s="71" t="s">
        <v>433</v>
      </c>
      <c r="B869" s="3" t="str">
        <f>RTD("ice.rtd",,$C869 &amp; $D869 &amp; ":" &amp; B$1)</f>
        <v>Invalid Market: CALCM24</v>
      </c>
      <c r="C869" s="72" t="s">
        <v>827</v>
      </c>
      <c r="D869" s="73" t="s">
        <v>813</v>
      </c>
      <c r="E869" s="72" t="str">
        <f t="shared" si="12"/>
        <v>Sep28</v>
      </c>
      <c r="F869" s="72" t="str">
        <f>ICE[[#This Row],[Prod]]&amp;ICE[[#This Row],[Strip]]</f>
        <v>fo35brxSep28</v>
      </c>
      <c r="G869" s="75"/>
      <c r="H869" s="75" t="str">
        <f t="shared" si="13"/>
        <v/>
      </c>
      <c r="I869" s="75"/>
      <c r="J869" s="76"/>
      <c r="K869" s="75"/>
      <c r="L869" s="74"/>
      <c r="M869" s="76"/>
      <c r="N869" s="74"/>
      <c r="O869" s="74"/>
      <c r="P869" s="74"/>
      <c r="Q869" s="76"/>
      <c r="R869" s="75" t="str">
        <f t="shared" si="14"/>
        <v/>
      </c>
      <c r="S869" s="74">
        <f t="shared" si="15"/>
        <v>0</v>
      </c>
      <c r="T869" s="74">
        <f t="shared" si="15"/>
        <v>354.2</v>
      </c>
      <c r="U869" s="75">
        <f t="shared" si="16"/>
        <v>-7.9930000000000003</v>
      </c>
      <c r="V8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69" s="18" t="str">
        <f>IFERROR(IF(LEFT(ICE[[#This Row],[Tenor]], 1) = "B", RTD("esrtd",,$B869 &amp; " " &amp; ICE[[#This Row],[Tenor]] &amp; "-IEU", W$1), RTD("esrtd",,$B869 &amp; " " &amp; VLOOKUP(MONTH(ICE[[#This Row],[Strip]]), MthRef[], 2, 0) &amp; RIGHT(YEAR(ICE[[#This Row],[Strip]]), 2) &amp; "-IEU", W$1)), "")</f>
        <v/>
      </c>
      <c r="X869" s="36"/>
      <c r="Y869" t="str">
        <f>RTD("ice.rtd",,"2324225603B0:BstLiftPrc")</f>
        <v/>
      </c>
    </row>
    <row r="870" spans="1:25" x14ac:dyDescent="0.25">
      <c r="A870" s="71" t="s">
        <v>433</v>
      </c>
      <c r="B870" s="3" t="str">
        <f>RTD("ice.rtd",,$C870 &amp; $D870 &amp; ":" &amp; B$1)</f>
        <v>Invalid Market: CALCQ0</v>
      </c>
      <c r="C870" s="72" t="s">
        <v>827</v>
      </c>
      <c r="D870" s="73" t="s">
        <v>814</v>
      </c>
      <c r="E870" s="72" t="str">
        <f t="shared" si="12"/>
        <v>Q4 26</v>
      </c>
      <c r="F870" s="72" t="str">
        <f>ICE[[#This Row],[Prod]]&amp;ICE[[#This Row],[Strip]]</f>
        <v>fo35brxQ4 26</v>
      </c>
      <c r="G870" s="75"/>
      <c r="H870" s="75">
        <f t="shared" si="13"/>
        <v>-9</v>
      </c>
      <c r="I870" s="75"/>
      <c r="J870" s="76"/>
      <c r="K870" s="75"/>
      <c r="L870" s="74"/>
      <c r="M870" s="76"/>
      <c r="N870" s="74"/>
      <c r="O870" s="74"/>
      <c r="P870" s="74"/>
      <c r="Q870" s="76"/>
      <c r="R870" s="75" t="str">
        <f t="shared" si="14"/>
        <v/>
      </c>
      <c r="S870" s="74">
        <f t="shared" si="15"/>
        <v>0</v>
      </c>
      <c r="T870" s="74">
        <f t="shared" si="15"/>
        <v>0</v>
      </c>
      <c r="U870" s="75">
        <f t="shared" si="16"/>
        <v>-10.527000000000001</v>
      </c>
      <c r="V8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-9.00 </v>
      </c>
      <c r="W870" s="18" t="str">
        <f>IFERROR(IF(LEFT(ICE[[#This Row],[Tenor]], 1) = "B", RTD("esrtd",,$B870 &amp; " " &amp; ICE[[#This Row],[Tenor]] &amp; "-IEU", W$1), RTD("esrtd",,$B870 &amp; " " &amp; VLOOKUP(MONTH(ICE[[#This Row],[Strip]]), MthRef[], 2, 0) &amp; RIGHT(YEAR(ICE[[#This Row],[Strip]]), 2) &amp; "-IEU", W$1)), "")</f>
        <v/>
      </c>
      <c r="X870" s="36"/>
    </row>
    <row r="871" spans="1:25" x14ac:dyDescent="0.25">
      <c r="A871" s="71" t="s">
        <v>433</v>
      </c>
      <c r="B871" s="3" t="str">
        <f>RTD("ice.rtd",,$C871 &amp; $D871 &amp; ":" &amp; B$1)</f>
        <v>Invalid Market: CALCQ1</v>
      </c>
      <c r="C871" s="72" t="s">
        <v>827</v>
      </c>
      <c r="D871" s="73" t="s">
        <v>815</v>
      </c>
      <c r="E871" s="72" t="str">
        <f t="shared" si="12"/>
        <v>Q1 27</v>
      </c>
      <c r="F871" s="72" t="str">
        <f>ICE[[#This Row],[Prod]]&amp;ICE[[#This Row],[Strip]]</f>
        <v>fo35brxQ1 27</v>
      </c>
      <c r="G871" s="75"/>
      <c r="H871" s="75">
        <f t="shared" si="13"/>
        <v>-8.1999999999999993</v>
      </c>
      <c r="I871" s="75"/>
      <c r="J871" s="76"/>
      <c r="K871" s="75"/>
      <c r="L871" s="74"/>
      <c r="M871" s="76"/>
      <c r="N871" s="74"/>
      <c r="O871" s="74"/>
      <c r="P871" s="74"/>
      <c r="Q871" s="76"/>
      <c r="R871" s="75" t="str">
        <f t="shared" si="14"/>
        <v/>
      </c>
      <c r="S871" s="74">
        <f t="shared" si="15"/>
        <v>0</v>
      </c>
      <c r="T871" s="74">
        <f t="shared" si="15"/>
        <v>0</v>
      </c>
      <c r="U871" s="75">
        <f t="shared" si="16"/>
        <v>-8.6270000000000007</v>
      </c>
      <c r="V8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-8.20 </v>
      </c>
      <c r="W871" s="18" t="str">
        <f>IFERROR(IF(LEFT(ICE[[#This Row],[Tenor]], 1) = "B", RTD("esrtd",,$B871 &amp; " " &amp; ICE[[#This Row],[Tenor]] &amp; "-IEU", W$1), RTD("esrtd",,$B871 &amp; " " &amp; VLOOKUP(MONTH(ICE[[#This Row],[Strip]]), MthRef[], 2, 0) &amp; RIGHT(YEAR(ICE[[#This Row],[Strip]]), 2) &amp; "-IEU", W$1)), "")</f>
        <v/>
      </c>
      <c r="X871" s="36"/>
    </row>
    <row r="872" spans="1:25" x14ac:dyDescent="0.25">
      <c r="A872" s="71" t="s">
        <v>433</v>
      </c>
      <c r="B872" s="3" t="str">
        <f>RTD("ice.rtd",,$C872 &amp; $D872 &amp; ":" &amp; B$1)</f>
        <v>Invalid Market: CALCQ2</v>
      </c>
      <c r="C872" s="72" t="s">
        <v>827</v>
      </c>
      <c r="D872" s="73" t="s">
        <v>816</v>
      </c>
      <c r="E872" s="72" t="str">
        <f t="shared" si="12"/>
        <v>Q2 27</v>
      </c>
      <c r="F872" s="72" t="str">
        <f>ICE[[#This Row],[Prod]]&amp;ICE[[#This Row],[Strip]]</f>
        <v>fo35brxQ2 27</v>
      </c>
      <c r="G872" s="75"/>
      <c r="H872" s="75" t="str">
        <f t="shared" si="13"/>
        <v/>
      </c>
      <c r="I872" s="75"/>
      <c r="J872" s="76"/>
      <c r="K872" s="75"/>
      <c r="L872" s="74"/>
      <c r="M872" s="76"/>
      <c r="N872" s="74"/>
      <c r="O872" s="74"/>
      <c r="P872" s="74"/>
      <c r="Q872" s="76"/>
      <c r="R872" s="75" t="str">
        <f t="shared" si="14"/>
        <v/>
      </c>
      <c r="S872" s="74">
        <f t="shared" si="15"/>
        <v>0</v>
      </c>
      <c r="T872" s="74">
        <f t="shared" si="15"/>
        <v>0</v>
      </c>
      <c r="U872" s="75">
        <f t="shared" si="16"/>
        <v>-7.59</v>
      </c>
      <c r="V8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72" s="18" t="str">
        <f>IFERROR(IF(LEFT(ICE[[#This Row],[Tenor]], 1) = "B", RTD("esrtd",,$B872 &amp; " " &amp; ICE[[#This Row],[Tenor]] &amp; "-IEU", W$1), RTD("esrtd",,$B872 &amp; " " &amp; VLOOKUP(MONTH(ICE[[#This Row],[Strip]]), MthRef[], 2, 0) &amp; RIGHT(YEAR(ICE[[#This Row],[Strip]]), 2) &amp; "-IEU", W$1)), "")</f>
        <v/>
      </c>
      <c r="X872" s="36"/>
    </row>
    <row r="873" spans="1:25" x14ac:dyDescent="0.25">
      <c r="A873" s="71" t="s">
        <v>433</v>
      </c>
      <c r="B873" s="3" t="str">
        <f>RTD("ice.rtd",,$C873 &amp; $D873 &amp; ":" &amp; B$1)</f>
        <v>Invalid Market: CALCQ3</v>
      </c>
      <c r="C873" s="72" t="s">
        <v>827</v>
      </c>
      <c r="D873" s="73" t="s">
        <v>817</v>
      </c>
      <c r="E873" s="72" t="str">
        <f t="shared" si="12"/>
        <v>Q3 27</v>
      </c>
      <c r="F873" s="72" t="str">
        <f>ICE[[#This Row],[Prod]]&amp;ICE[[#This Row],[Strip]]</f>
        <v>fo35brxQ3 27</v>
      </c>
      <c r="G873" s="75"/>
      <c r="H873" s="75" t="str">
        <f t="shared" si="13"/>
        <v/>
      </c>
      <c r="I873" s="75"/>
      <c r="J873" s="76"/>
      <c r="K873" s="75"/>
      <c r="L873" s="74"/>
      <c r="M873" s="76"/>
      <c r="N873" s="74"/>
      <c r="O873" s="74"/>
      <c r="P873" s="74"/>
      <c r="Q873" s="76"/>
      <c r="R873" s="75" t="str">
        <f t="shared" si="14"/>
        <v/>
      </c>
      <c r="S873" s="74">
        <f t="shared" si="15"/>
        <v>0</v>
      </c>
      <c r="T873" s="74">
        <f t="shared" si="15"/>
        <v>0</v>
      </c>
      <c r="U873" s="75">
        <f t="shared" si="16"/>
        <v>-7.73</v>
      </c>
      <c r="V8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73" s="18" t="str">
        <f>IFERROR(IF(LEFT(ICE[[#This Row],[Tenor]], 1) = "B", RTD("esrtd",,$B873 &amp; " " &amp; ICE[[#This Row],[Tenor]] &amp; "-IEU", W$1), RTD("esrtd",,$B873 &amp; " " &amp; VLOOKUP(MONTH(ICE[[#This Row],[Strip]]), MthRef[], 2, 0) &amp; RIGHT(YEAR(ICE[[#This Row],[Strip]]), 2) &amp; "-IEU", W$1)), "")</f>
        <v/>
      </c>
      <c r="X873" s="36"/>
    </row>
    <row r="874" spans="1:25" x14ac:dyDescent="0.25">
      <c r="A874" s="71" t="s">
        <v>433</v>
      </c>
      <c r="B874" s="3" t="str">
        <f>RTD("ice.rtd",,$C874 &amp; $D874 &amp; ":" &amp; B$1)</f>
        <v>Invalid Market: CALCQ4</v>
      </c>
      <c r="C874" s="72" t="s">
        <v>827</v>
      </c>
      <c r="D874" s="73" t="s">
        <v>818</v>
      </c>
      <c r="E874" s="72" t="str">
        <f t="shared" si="12"/>
        <v>Q4 27</v>
      </c>
      <c r="F874" s="72" t="str">
        <f>ICE[[#This Row],[Prod]]&amp;ICE[[#This Row],[Strip]]</f>
        <v>fo35brxQ4 27</v>
      </c>
      <c r="G874" s="75"/>
      <c r="H874" s="75" t="str">
        <f t="shared" si="13"/>
        <v/>
      </c>
      <c r="I874" s="75"/>
      <c r="J874" s="76"/>
      <c r="K874" s="75"/>
      <c r="L874" s="74"/>
      <c r="M874" s="76"/>
      <c r="N874" s="74"/>
      <c r="O874" s="74"/>
      <c r="P874" s="74"/>
      <c r="Q874" s="76"/>
      <c r="R874" s="75" t="str">
        <f t="shared" si="14"/>
        <v/>
      </c>
      <c r="S874" s="74">
        <f t="shared" si="15"/>
        <v>0</v>
      </c>
      <c r="T874" s="74">
        <f t="shared" si="15"/>
        <v>0</v>
      </c>
      <c r="U874" s="75">
        <f t="shared" si="16"/>
        <v>-8.4540000000000006</v>
      </c>
      <c r="V8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74" s="18" t="str">
        <f>IFERROR(IF(LEFT(ICE[[#This Row],[Tenor]], 1) = "B", RTD("esrtd",,$B874 &amp; " " &amp; ICE[[#This Row],[Tenor]] &amp; "-IEU", W$1), RTD("esrtd",,$B874 &amp; " " &amp; VLOOKUP(MONTH(ICE[[#This Row],[Strip]]), MthRef[], 2, 0) &amp; RIGHT(YEAR(ICE[[#This Row],[Strip]]), 2) &amp; "-IEU", W$1)), "")</f>
        <v/>
      </c>
      <c r="X874" s="36"/>
    </row>
    <row r="875" spans="1:25" x14ac:dyDescent="0.25">
      <c r="A875" s="71" t="s">
        <v>433</v>
      </c>
      <c r="B875" s="3" t="str">
        <f>RTD("ice.rtd",,$C875 &amp; $D875 &amp; ":" &amp; B$1)</f>
        <v>Invalid Market: CALCQ5</v>
      </c>
      <c r="C875" s="72" t="s">
        <v>827</v>
      </c>
      <c r="D875" s="73" t="s">
        <v>819</v>
      </c>
      <c r="E875" s="72" t="str">
        <f t="shared" si="12"/>
        <v>Q1 28</v>
      </c>
      <c r="F875" s="72" t="str">
        <f>ICE[[#This Row],[Prod]]&amp;ICE[[#This Row],[Strip]]</f>
        <v>fo35brxQ1 28</v>
      </c>
      <c r="G875" s="75"/>
      <c r="H875" s="75" t="str">
        <f t="shared" si="13"/>
        <v/>
      </c>
      <c r="I875" s="75"/>
      <c r="J875" s="76"/>
      <c r="K875" s="75"/>
      <c r="L875" s="74"/>
      <c r="M875" s="76"/>
      <c r="N875" s="74"/>
      <c r="O875" s="74"/>
      <c r="P875" s="74"/>
      <c r="Q875" s="76"/>
      <c r="R875" s="75" t="str">
        <f t="shared" si="14"/>
        <v/>
      </c>
      <c r="S875" s="74">
        <f t="shared" si="15"/>
        <v>0</v>
      </c>
      <c r="T875" s="74">
        <f t="shared" si="15"/>
        <v>0</v>
      </c>
      <c r="U875" s="75">
        <f t="shared" si="16"/>
        <v>-8.2690000000000001</v>
      </c>
      <c r="V8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75" s="18" t="str">
        <f>IFERROR(IF(LEFT(ICE[[#This Row],[Tenor]], 1) = "B", RTD("esrtd",,$B875 &amp; " " &amp; ICE[[#This Row],[Tenor]] &amp; "-IEU", W$1), RTD("esrtd",,$B875 &amp; " " &amp; VLOOKUP(MONTH(ICE[[#This Row],[Strip]]), MthRef[], 2, 0) &amp; RIGHT(YEAR(ICE[[#This Row],[Strip]]), 2) &amp; "-IEU", W$1)), "")</f>
        <v/>
      </c>
      <c r="X875" s="36"/>
    </row>
    <row r="876" spans="1:25" x14ac:dyDescent="0.25">
      <c r="A876" s="71" t="s">
        <v>433</v>
      </c>
      <c r="B876" s="3" t="str">
        <f>RTD("ice.rtd",,$C876 &amp; $D876 &amp; ":" &amp; B$1)</f>
        <v>Invalid Market: CALCQ6</v>
      </c>
      <c r="C876" s="72" t="s">
        <v>827</v>
      </c>
      <c r="D876" s="73" t="s">
        <v>229</v>
      </c>
      <c r="E876" s="72" t="str">
        <f t="shared" si="12"/>
        <v>Q2 28</v>
      </c>
      <c r="F876" s="72" t="str">
        <f>ICE[[#This Row],[Prod]]&amp;ICE[[#This Row],[Strip]]</f>
        <v>fo35brxQ2 28</v>
      </c>
      <c r="G876" s="75"/>
      <c r="H876" s="75" t="str">
        <f t="shared" si="13"/>
        <v/>
      </c>
      <c r="I876" s="75"/>
      <c r="J876" s="76"/>
      <c r="K876" s="75"/>
      <c r="L876" s="74"/>
      <c r="M876" s="76"/>
      <c r="N876" s="74"/>
      <c r="O876" s="74"/>
      <c r="P876" s="74"/>
      <c r="Q876" s="76"/>
      <c r="R876" s="75" t="str">
        <f t="shared" si="14"/>
        <v/>
      </c>
      <c r="S876" s="74">
        <f t="shared" si="15"/>
        <v>0</v>
      </c>
      <c r="T876" s="74">
        <f t="shared" si="15"/>
        <v>0</v>
      </c>
      <c r="U876" s="75">
        <f t="shared" si="16"/>
        <v>-8.0039999999999996</v>
      </c>
      <c r="V8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76" s="18" t="str">
        <f>IFERROR(IF(LEFT(ICE[[#This Row],[Tenor]], 1) = "B", RTD("esrtd",,$B876 &amp; " " &amp; ICE[[#This Row],[Tenor]] &amp; "-IEU", W$1), RTD("esrtd",,$B876 &amp; " " &amp; VLOOKUP(MONTH(ICE[[#This Row],[Strip]]), MthRef[], 2, 0) &amp; RIGHT(YEAR(ICE[[#This Row],[Strip]]), 2) &amp; "-IEU", W$1)), "")</f>
        <v/>
      </c>
      <c r="X876" s="36"/>
    </row>
    <row r="877" spans="1:25" x14ac:dyDescent="0.25">
      <c r="A877" s="71" t="s">
        <v>433</v>
      </c>
      <c r="B877" s="3" t="str">
        <f>RTD("ice.rtd",,$C877 &amp; $D877 &amp; ":" &amp; B$1)</f>
        <v>Invalid Market: CALCQ7</v>
      </c>
      <c r="C877" s="72" t="s">
        <v>827</v>
      </c>
      <c r="D877" s="73" t="s">
        <v>820</v>
      </c>
      <c r="E877" s="72" t="str">
        <f t="shared" si="12"/>
        <v>Q3 28</v>
      </c>
      <c r="F877" s="72" t="str">
        <f>ICE[[#This Row],[Prod]]&amp;ICE[[#This Row],[Strip]]</f>
        <v>fo35brxQ3 28</v>
      </c>
      <c r="G877" s="75"/>
      <c r="H877" s="75" t="str">
        <f t="shared" si="13"/>
        <v/>
      </c>
      <c r="I877" s="75"/>
      <c r="J877" s="76"/>
      <c r="K877" s="75"/>
      <c r="L877" s="74"/>
      <c r="M877" s="76"/>
      <c r="N877" s="74"/>
      <c r="O877" s="74"/>
      <c r="P877" s="74"/>
      <c r="Q877" s="76"/>
      <c r="R877" s="75" t="str">
        <f t="shared" si="14"/>
        <v/>
      </c>
      <c r="S877" s="74">
        <f t="shared" si="15"/>
        <v>0</v>
      </c>
      <c r="T877" s="74">
        <f t="shared" si="15"/>
        <v>0</v>
      </c>
      <c r="U877" s="75">
        <f t="shared" si="16"/>
        <v>-7.9580000000000002</v>
      </c>
      <c r="V8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77" s="18" t="str">
        <f>IFERROR(IF(LEFT(ICE[[#This Row],[Tenor]], 1) = "B", RTD("esrtd",,$B877 &amp; " " &amp; ICE[[#This Row],[Tenor]] &amp; "-IEU", W$1), RTD("esrtd",,$B877 &amp; " " &amp; VLOOKUP(MONTH(ICE[[#This Row],[Strip]]), MthRef[], 2, 0) &amp; RIGHT(YEAR(ICE[[#This Row],[Strip]]), 2) &amp; "-IEU", W$1)), "")</f>
        <v/>
      </c>
      <c r="X877" s="36"/>
    </row>
    <row r="878" spans="1:25" x14ac:dyDescent="0.25">
      <c r="A878" s="71" t="s">
        <v>433</v>
      </c>
      <c r="B878" s="3" t="str">
        <f>RTD("ice.rtd",,$C878 &amp; $D878 &amp; ":" &amp; B$1)</f>
        <v>Invalid Market: CALCQ8</v>
      </c>
      <c r="C878" s="72" t="s">
        <v>827</v>
      </c>
      <c r="D878" s="73" t="s">
        <v>821</v>
      </c>
      <c r="E878" s="72" t="str">
        <f t="shared" si="12"/>
        <v>Q4 28</v>
      </c>
      <c r="F878" s="72" t="str">
        <f>ICE[[#This Row],[Prod]]&amp;ICE[[#This Row],[Strip]]</f>
        <v>fo35brxQ4 28</v>
      </c>
      <c r="G878" s="75"/>
      <c r="H878" s="75" t="str">
        <f t="shared" si="13"/>
        <v/>
      </c>
      <c r="I878" s="75"/>
      <c r="J878" s="76"/>
      <c r="K878" s="75"/>
      <c r="L878" s="74"/>
      <c r="M878" s="76"/>
      <c r="N878" s="74"/>
      <c r="O878" s="74"/>
      <c r="P878" s="74"/>
      <c r="Q878" s="76"/>
      <c r="R878" s="75" t="str">
        <f t="shared" si="14"/>
        <v/>
      </c>
      <c r="S878" s="74">
        <f t="shared" si="15"/>
        <v>0</v>
      </c>
      <c r="T878" s="74">
        <f t="shared" si="15"/>
        <v>0</v>
      </c>
      <c r="U878" s="75">
        <f t="shared" si="16"/>
        <v>-7.8370000000000006</v>
      </c>
      <c r="V8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78" s="18" t="str">
        <f>IFERROR(IF(LEFT(ICE[[#This Row],[Tenor]], 1) = "B", RTD("esrtd",,$B878 &amp; " " &amp; ICE[[#This Row],[Tenor]] &amp; "-IEU", W$1), RTD("esrtd",,$B878 &amp; " " &amp; VLOOKUP(MONTH(ICE[[#This Row],[Strip]]), MthRef[], 2, 0) &amp; RIGHT(YEAR(ICE[[#This Row],[Strip]]), 2) &amp; "-IEU", W$1)), "")</f>
        <v/>
      </c>
      <c r="X878" s="36"/>
    </row>
    <row r="879" spans="1:25" x14ac:dyDescent="0.25">
      <c r="A879" s="71" t="s">
        <v>433</v>
      </c>
      <c r="B879" s="3" t="str">
        <f>RTD("ice.rtd",,$C879 &amp; $D879 &amp; ":" &amp; B$1)</f>
        <v>Invalid Market: CALCY0</v>
      </c>
      <c r="C879" s="72" t="s">
        <v>827</v>
      </c>
      <c r="D879" s="73" t="s">
        <v>822</v>
      </c>
      <c r="E879" s="72" t="str">
        <f t="shared" si="12"/>
        <v>Cal 27</v>
      </c>
      <c r="F879" s="72" t="str">
        <f>ICE[[#This Row],[Prod]]&amp;ICE[[#This Row],[Strip]]</f>
        <v>fo35brxCal 27</v>
      </c>
      <c r="G879" s="75"/>
      <c r="H879" s="75" t="str">
        <f t="shared" si="13"/>
        <v/>
      </c>
      <c r="I879" s="75"/>
      <c r="J879" s="76"/>
      <c r="K879" s="75"/>
      <c r="L879" s="74"/>
      <c r="M879" s="76"/>
      <c r="N879" s="74"/>
      <c r="O879" s="74"/>
      <c r="P879" s="74"/>
      <c r="Q879" s="76"/>
      <c r="R879" s="75" t="str">
        <f t="shared" si="14"/>
        <v/>
      </c>
      <c r="S879" s="74">
        <f t="shared" si="15"/>
        <v>0</v>
      </c>
      <c r="T879" s="74">
        <f t="shared" si="15"/>
        <v>0</v>
      </c>
      <c r="U879" s="75">
        <f t="shared" si="16"/>
        <v>-8.1</v>
      </c>
      <c r="V8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79" s="18" t="str">
        <f>IFERROR(IF(LEFT(ICE[[#This Row],[Tenor]], 1) = "B", RTD("esrtd",,$B879 &amp; " " &amp; ICE[[#This Row],[Tenor]] &amp; "-IEU", W$1), RTD("esrtd",,$B879 &amp; " " &amp; VLOOKUP(MONTH(ICE[[#This Row],[Strip]]), MthRef[], 2, 0) &amp; RIGHT(YEAR(ICE[[#This Row],[Strip]]), 2) &amp; "-IEU", W$1)), "")</f>
        <v/>
      </c>
      <c r="X879" s="36"/>
    </row>
    <row r="880" spans="1:25" x14ac:dyDescent="0.25">
      <c r="A880" s="71" t="s">
        <v>433</v>
      </c>
      <c r="B880" s="3" t="str">
        <f>RTD("ice.rtd",,$C880 &amp; $D880 &amp; ":" &amp; B$1)</f>
        <v>Invalid Market: CALCY1</v>
      </c>
      <c r="C880" s="72" t="s">
        <v>827</v>
      </c>
      <c r="D880" s="73" t="s">
        <v>823</v>
      </c>
      <c r="E880" s="72" t="str">
        <f t="shared" si="12"/>
        <v>Cal 28</v>
      </c>
      <c r="F880" s="72" t="str">
        <f>ICE[[#This Row],[Prod]]&amp;ICE[[#This Row],[Strip]]</f>
        <v>fo35brxCal 28</v>
      </c>
      <c r="G880" s="75"/>
      <c r="H880" s="75" t="str">
        <f t="shared" si="13"/>
        <v/>
      </c>
      <c r="I880" s="75"/>
      <c r="J880" s="76"/>
      <c r="K880" s="75"/>
      <c r="L880" s="74"/>
      <c r="M880" s="76"/>
      <c r="N880" s="74"/>
      <c r="O880" s="74"/>
      <c r="P880" s="74"/>
      <c r="Q880" s="76"/>
      <c r="R880" s="75" t="str">
        <f t="shared" si="14"/>
        <v/>
      </c>
      <c r="S880" s="74">
        <f t="shared" si="15"/>
        <v>0</v>
      </c>
      <c r="T880" s="74">
        <f t="shared" si="15"/>
        <v>0</v>
      </c>
      <c r="U880" s="75">
        <f t="shared" si="16"/>
        <v>-8.0170000000000012</v>
      </c>
      <c r="V8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80" s="18" t="str">
        <f>IFERROR(IF(LEFT(ICE[[#This Row],[Tenor]], 1) = "B", RTD("esrtd",,$B880 &amp; " " &amp; ICE[[#This Row],[Tenor]] &amp; "-IEU", W$1), RTD("esrtd",,$B880 &amp; " " &amp; VLOOKUP(MONTH(ICE[[#This Row],[Strip]]), MthRef[], 2, 0) &amp; RIGHT(YEAR(ICE[[#This Row],[Strip]]), 2) &amp; "-IEU", W$1)), "")</f>
        <v/>
      </c>
      <c r="X880" s="36"/>
    </row>
    <row r="881" spans="1:24" x14ac:dyDescent="0.25">
      <c r="A881" s="71" t="s">
        <v>433</v>
      </c>
      <c r="B881" s="3" t="str">
        <f>RTD("ice.rtd",,$C881 &amp; $D881 &amp; ":" &amp; B$1)</f>
        <v>Invalid Market: CALCY2</v>
      </c>
      <c r="C881" s="72" t="s">
        <v>827</v>
      </c>
      <c r="D881" s="73" t="s">
        <v>824</v>
      </c>
      <c r="E881" s="72" t="str">
        <f t="shared" si="12"/>
        <v>Cal 29</v>
      </c>
      <c r="F881" s="72" t="str">
        <f>ICE[[#This Row],[Prod]]&amp;ICE[[#This Row],[Strip]]</f>
        <v>fo35brxCal 29</v>
      </c>
      <c r="G881" s="75"/>
      <c r="H881" s="75" t="str">
        <f t="shared" si="13"/>
        <v/>
      </c>
      <c r="I881" s="75"/>
      <c r="J881" s="76"/>
      <c r="K881" s="75"/>
      <c r="L881" s="74"/>
      <c r="M881" s="76"/>
      <c r="N881" s="74"/>
      <c r="O881" s="74"/>
      <c r="P881" s="74"/>
      <c r="Q881" s="76"/>
      <c r="R881" s="75" t="str">
        <f t="shared" si="14"/>
        <v/>
      </c>
      <c r="S881" s="74">
        <f t="shared" si="15"/>
        <v>0</v>
      </c>
      <c r="T881" s="74">
        <f t="shared" si="15"/>
        <v>0</v>
      </c>
      <c r="U881" s="75">
        <f t="shared" si="16"/>
        <v>-6.7700000000000005</v>
      </c>
      <c r="V8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81" s="18" t="str">
        <f>IFERROR(IF(LEFT(ICE[[#This Row],[Tenor]], 1) = "B", RTD("esrtd",,$B881 &amp; " " &amp; ICE[[#This Row],[Tenor]] &amp; "-IEU", W$1), RTD("esrtd",,$B881 &amp; " " &amp; VLOOKUP(MONTH(ICE[[#This Row],[Strip]]), MthRef[], 2, 0) &amp; RIGHT(YEAR(ICE[[#This Row],[Strip]]), 2) &amp; "-IEU", W$1)), "")</f>
        <v/>
      </c>
      <c r="X881" s="36"/>
    </row>
    <row r="882" spans="1:24" x14ac:dyDescent="0.25">
      <c r="A882" s="37" t="s">
        <v>434</v>
      </c>
      <c r="B882" s="3" t="str">
        <f>RTD("ice.rtd",,$C882 &amp; $D882 &amp; ":" &amp; B$1)</f>
        <v>SKS</v>
      </c>
      <c r="C882" s="3">
        <v>2324925610</v>
      </c>
      <c r="D882" t="s">
        <v>792</v>
      </c>
      <c r="E882" s="3" t="str">
        <f>RTD("ice.rtd",,$C882 &amp; $D882 &amp; ":" &amp; E$1)</f>
        <v>Bal Month</v>
      </c>
      <c r="F882" s="3" t="str">
        <f>ICE[[#This Row],[Prod]]&amp;ICE[[#This Row],[Strip]]</f>
        <v>hsfoewBal Month</v>
      </c>
      <c r="G882" s="18" t="str">
        <f>RTD("ice.rtd",,$C882 &amp; $D882 &amp; ":" &amp; G$1)</f>
        <v/>
      </c>
      <c r="H882" s="18" t="str">
        <f>RTD("ice.rtd",,$C882 &amp; $D882 &amp; ":" &amp; H$1)</f>
        <v/>
      </c>
      <c r="I882" s="18" t="str">
        <f>RTD("ice.rtd",,$C882 &amp; $D882 &amp; ":" &amp; I$1)</f>
        <v/>
      </c>
      <c r="J882" s="14" t="str">
        <f>IFERROR(MOD(RTD("ice.rtd",,$C882 &amp; $D882 &amp; ":" &amp; J$1), 1), "")</f>
        <v/>
      </c>
      <c r="K882" s="18" t="str">
        <f>RTD("ice.rtd",,$C882 &amp; $D882 &amp; ":" &amp; K$1)</f>
        <v/>
      </c>
      <c r="L882" s="36" t="str">
        <f>RTD("ice.rtd",,$C882 &amp; $D882 &amp; ":" &amp; L$1)</f>
        <v/>
      </c>
      <c r="M882" s="14" t="str">
        <f>IFERROR(MOD(TIMEVALUE(RTD("ice.rtd",,$C882 &amp; $D882 &amp; ":" &amp; M$1)), 1), "")</f>
        <v/>
      </c>
      <c r="N882" s="36">
        <f>RTD("ice.rtd",,$C882 &amp; $D882 &amp; ":" &amp; N$1)</f>
        <v>0</v>
      </c>
      <c r="O882" s="36">
        <f>RTD("ice.rtd",,$C882 &amp; $D882 &amp; ":" &amp; O$1)</f>
        <v>0</v>
      </c>
      <c r="P8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82" s="14" t="str">
        <f>IF(ICE[[#This Row],[LastType]] = "Scrn", ICE[[#This Row],[LstDate]], IF(ICE[[#This Row],[LastType]] = "Blk", ICE[[#This Row],[LstBlkTime]], ""))</f>
        <v/>
      </c>
      <c r="R882" s="41" t="str">
        <f>IF(ICE[[#This Row],[LastType]] = "Scrn", ICE[[#This Row],[LstPrc]], IF(ICE[[#This Row],[LastType]] = "Blk", ICE[[#This Row],[LstBlkPrc]], ""))</f>
        <v/>
      </c>
      <c r="S882" s="36">
        <f>ICE[[#This Row],[Vol]]+ICE[[#This Row],[BlkVol]]</f>
        <v>0</v>
      </c>
      <c r="T882" s="36">
        <f>RTD("ice.rtd",,$C882 &amp; $D882 &amp; ":" &amp; T$1)</f>
        <v>0</v>
      </c>
      <c r="U882" s="18">
        <f>RTD("ice.rtd",,$C882 &amp; $D882 &amp; ":" &amp; U$1)</f>
        <v>53.859000000000002</v>
      </c>
      <c r="V8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82" s="18" t="str">
        <f>IFERROR(IF(LEFT(ICE[[#This Row],[Tenor]], 1) = "B", RTD("esrtd",,$B882 &amp; " " &amp; ICE[[#This Row],[Tenor]] &amp; "-IEU", W$1), RTD("esrtd",,$B882 &amp; " " &amp; VLOOKUP(MONTH(ICE[[#This Row],[Strip]]), MthRef[], 2, 0) &amp; RIGHT(YEAR(ICE[[#This Row],[Strip]]), 2) &amp; "-IEU", W$1)), "")</f>
        <v/>
      </c>
      <c r="X882" s="36"/>
    </row>
    <row r="883" spans="1:24" x14ac:dyDescent="0.25">
      <c r="A883" s="37" t="s">
        <v>434</v>
      </c>
      <c r="B883" s="3" t="str">
        <f>RTD("ice.rtd",,$C883 &amp; $D883 &amp; ":" &amp; B$1)</f>
        <v>SJS</v>
      </c>
      <c r="C883" s="3">
        <v>30793693</v>
      </c>
      <c r="D883" t="s">
        <v>793</v>
      </c>
      <c r="E883" s="3" t="str">
        <f>RTD("ice.rtd",,$C883 &amp; $D883 &amp; ":" &amp; E$1)</f>
        <v>Sep26</v>
      </c>
      <c r="F883" s="3" t="str">
        <f>ICE[[#This Row],[Prod]]&amp;ICE[[#This Row],[Strip]]</f>
        <v>hsfoewSep26</v>
      </c>
      <c r="G883" s="18" t="str">
        <f>RTD("ice.rtd",,$C883 &amp; $D883 &amp; ":" &amp; G$1)</f>
        <v/>
      </c>
      <c r="H883" s="18" t="str">
        <f>RTD("ice.rtd",,$C883 &amp; $D883 &amp; ":" &amp; H$1)</f>
        <v/>
      </c>
      <c r="I883" s="18" t="str">
        <f>RTD("ice.rtd",,$C883 &amp; $D883 &amp; ":" &amp; I$1)</f>
        <v/>
      </c>
      <c r="J883" s="14" t="str">
        <f>IFERROR(MOD(RTD("ice.rtd",,$C883 &amp; $D883 &amp; ":" &amp; J$1), 1), "")</f>
        <v/>
      </c>
      <c r="K883" s="18" t="str">
        <f>RTD("ice.rtd",,$C883 &amp; $D883 &amp; ":" &amp; K$1)</f>
        <v/>
      </c>
      <c r="L883" s="36" t="str">
        <f>RTD("ice.rtd",,$C883 &amp; $D883 &amp; ":" &amp; L$1)</f>
        <v/>
      </c>
      <c r="M883" s="14" t="str">
        <f>IFERROR(MOD(TIMEVALUE(RTD("ice.rtd",,$C883 &amp; $D883 &amp; ":" &amp; M$1)), 1), "")</f>
        <v/>
      </c>
      <c r="N883" s="36">
        <f>RTD("ice.rtd",,$C883 &amp; $D883 &amp; ":" &amp; N$1)</f>
        <v>0</v>
      </c>
      <c r="O883" s="36">
        <f>RTD("ice.rtd",,$C883 &amp; $D883 &amp; ":" &amp; O$1)</f>
        <v>0</v>
      </c>
      <c r="P8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83" s="14" t="str">
        <f>IF(ICE[[#This Row],[LastType]] = "Scrn", ICE[[#This Row],[LstDate]], IF(ICE[[#This Row],[LastType]] = "Blk", ICE[[#This Row],[LstBlkTime]], ""))</f>
        <v/>
      </c>
      <c r="R883" s="41" t="str">
        <f>IF(ICE[[#This Row],[LastType]] = "Scrn", ICE[[#This Row],[LstPrc]], IF(ICE[[#This Row],[LastType]] = "Blk", ICE[[#This Row],[LstBlkPrc]], ""))</f>
        <v/>
      </c>
      <c r="S883" s="36">
        <f>ICE[[#This Row],[Vol]]+ICE[[#This Row],[BlkVol]]</f>
        <v>0</v>
      </c>
      <c r="T883" s="36">
        <f>RTD("ice.rtd",,$C883 &amp; $D883 &amp; ":" &amp; T$1)</f>
        <v>2005</v>
      </c>
      <c r="U883" s="18">
        <f>RTD("ice.rtd",,$C883 &amp; $D883 &amp; ":" &amp; U$1)</f>
        <v>53.859000000000002</v>
      </c>
      <c r="V8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83" s="18" t="str">
        <f>IFERROR(IF(LEFT(ICE[[#This Row],[Tenor]], 1) = "B", RTD("esrtd",,$B883 &amp; " " &amp; ICE[[#This Row],[Tenor]] &amp; "-IEU", W$1), RTD("esrtd",,$B883 &amp; " " &amp; VLOOKUP(MONTH(ICE[[#This Row],[Strip]]), MthRef[], 2, 0) &amp; RIGHT(YEAR(ICE[[#This Row],[Strip]]), 2) &amp; "-IEU", W$1)), "")</f>
        <v/>
      </c>
      <c r="X883" s="36"/>
    </row>
    <row r="884" spans="1:24" x14ac:dyDescent="0.25">
      <c r="A884" s="37" t="s">
        <v>434</v>
      </c>
      <c r="B884" s="3" t="str">
        <f>RTD("ice.rtd",,$C884 &amp; $D884 &amp; ":" &amp; B$1)</f>
        <v>SJS</v>
      </c>
      <c r="C884" s="3">
        <v>30793693</v>
      </c>
      <c r="D884" t="s">
        <v>324</v>
      </c>
      <c r="E884" s="3" t="str">
        <f>RTD("ice.rtd",,$C884 &amp; $D884 &amp; ":" &amp; E$1)</f>
        <v>Oct26</v>
      </c>
      <c r="F884" s="3" t="str">
        <f>ICE[[#This Row],[Prod]]&amp;ICE[[#This Row],[Strip]]</f>
        <v>hsfoewOct26</v>
      </c>
      <c r="G884" s="18">
        <f>RTD("ice.rtd",,$C884 &amp; $D884 &amp; ":" &amp; G$1)</f>
        <v>36.5</v>
      </c>
      <c r="H884" s="18">
        <f>RTD("ice.rtd",,$C884 &amp; $D884 &amp; ":" &amp; H$1)</f>
        <v>40</v>
      </c>
      <c r="I884" s="18">
        <f>RTD("ice.rtd",,$C884 &amp; $D884 &amp; ":" &amp; I$1)</f>
        <v>39.5</v>
      </c>
      <c r="J884" s="14">
        <f>IFERROR(MOD(RTD("ice.rtd",,$C884 &amp; $D884 &amp; ":" &amp; J$1), 1), "")</f>
        <v>0.35087651620415272</v>
      </c>
      <c r="K884" s="18" t="str">
        <f>RTD("ice.rtd",,$C884 &amp; $D884 &amp; ":" &amp; K$1)</f>
        <v/>
      </c>
      <c r="L884" s="36" t="str">
        <f>RTD("ice.rtd",,$C884 &amp; $D884 &amp; ":" &amp; L$1)</f>
        <v/>
      </c>
      <c r="M884" s="14" t="str">
        <f>IFERROR(MOD(TIMEVALUE(RTD("ice.rtd",,$C884 &amp; $D884 &amp; ":" &amp; M$1)), 1), "")</f>
        <v/>
      </c>
      <c r="N884" s="36">
        <f>RTD("ice.rtd",,$C884 &amp; $D884 &amp; ":" &amp; N$1)</f>
        <v>13</v>
      </c>
      <c r="O884" s="36">
        <f>RTD("ice.rtd",,$C884 &amp; $D884 &amp; ":" &amp; O$1)</f>
        <v>0</v>
      </c>
      <c r="P8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884" s="14">
        <f>IF(ICE[[#This Row],[LastType]] = "Scrn", ICE[[#This Row],[LstDate]], IF(ICE[[#This Row],[LastType]] = "Blk", ICE[[#This Row],[LstBlkTime]], ""))</f>
        <v>0.35087651620415272</v>
      </c>
      <c r="R884" s="41">
        <f>IF(ICE[[#This Row],[LastType]] = "Scrn", ICE[[#This Row],[LstPrc]], IF(ICE[[#This Row],[LastType]] = "Blk", ICE[[#This Row],[LstBlkPrc]], ""))</f>
        <v>39.5</v>
      </c>
      <c r="S884" s="36">
        <f>ICE[[#This Row],[Vol]]+ICE[[#This Row],[BlkVol]]</f>
        <v>13</v>
      </c>
      <c r="T884" s="36">
        <f>RTD("ice.rtd",,$C884 &amp; $D884 &amp; ":" &amp; T$1)</f>
        <v>875</v>
      </c>
      <c r="U884" s="18">
        <f>RTD("ice.rtd",,$C884 &amp; $D884 &amp; ":" &amp; U$1)</f>
        <v>38</v>
      </c>
      <c r="V8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36.50 / 40.00 {39.50} |13x</v>
      </c>
      <c r="W884" s="18" t="str">
        <f>IFERROR(IF(LEFT(ICE[[#This Row],[Tenor]], 1) = "B", RTD("esrtd",,$B884 &amp; " " &amp; ICE[[#This Row],[Tenor]] &amp; "-IEU", W$1), RTD("esrtd",,$B884 &amp; " " &amp; VLOOKUP(MONTH(ICE[[#This Row],[Strip]]), MthRef[], 2, 0) &amp; RIGHT(YEAR(ICE[[#This Row],[Strip]]), 2) &amp; "-IEU", W$1)), "")</f>
        <v/>
      </c>
      <c r="X884" s="36"/>
    </row>
    <row r="885" spans="1:24" x14ac:dyDescent="0.25">
      <c r="A885" s="37" t="s">
        <v>434</v>
      </c>
      <c r="B885" s="3" t="str">
        <f>RTD("ice.rtd",,$C885 &amp; $D885 &amp; ":" &amp; B$1)</f>
        <v>SJS</v>
      </c>
      <c r="C885" s="3">
        <v>30793693</v>
      </c>
      <c r="D885" t="s">
        <v>325</v>
      </c>
      <c r="E885" s="3" t="str">
        <f>RTD("ice.rtd",,$C885 &amp; $D885 &amp; ":" &amp; E$1)</f>
        <v>Nov26</v>
      </c>
      <c r="F885" s="3" t="str">
        <f>ICE[[#This Row],[Prod]]&amp;ICE[[#This Row],[Strip]]</f>
        <v>hsfoewNov26</v>
      </c>
      <c r="G885" s="18" t="str">
        <f>RTD("ice.rtd",,$C885 &amp; $D885 &amp; ":" &amp; G$1)</f>
        <v/>
      </c>
      <c r="H885" s="18">
        <f>RTD("ice.rtd",,$C885 &amp; $D885 &amp; ":" &amp; H$1)</f>
        <v>40</v>
      </c>
      <c r="I885" s="18" t="str">
        <f>RTD("ice.rtd",,$C885 &amp; $D885 &amp; ":" &amp; I$1)</f>
        <v/>
      </c>
      <c r="J885" s="14" t="str">
        <f>IFERROR(MOD(RTD("ice.rtd",,$C885 &amp; $D885 &amp; ":" &amp; J$1), 1), "")</f>
        <v/>
      </c>
      <c r="K885" s="18">
        <f>RTD("ice.rtd",,$C885 &amp; $D885 &amp; ":" &amp; K$1)</f>
        <v>35</v>
      </c>
      <c r="L885" s="36">
        <f>RTD("ice.rtd",,$C885 &amp; $D885 &amp; ":" &amp; L$1)</f>
        <v>5</v>
      </c>
      <c r="M885" s="14">
        <f>IFERROR(MOD(TIMEVALUE(RTD("ice.rtd",,$C885 &amp; $D885 &amp; ":" &amp; M$1)), 1), "")</f>
        <v>0.39707175925925925</v>
      </c>
      <c r="N885" s="36">
        <f>RTD("ice.rtd",,$C885 &amp; $D885 &amp; ":" &amp; N$1)</f>
        <v>0</v>
      </c>
      <c r="O885" s="36">
        <f>RTD("ice.rtd",,$C885 &amp; $D885 &amp; ":" &amp; O$1)</f>
        <v>25</v>
      </c>
      <c r="P8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885" s="14">
        <f>IF(ICE[[#This Row],[LastType]] = "Scrn", ICE[[#This Row],[LstDate]], IF(ICE[[#This Row],[LastType]] = "Blk", ICE[[#This Row],[LstBlkTime]], ""))</f>
        <v>0.39707175925925925</v>
      </c>
      <c r="R885" s="41">
        <f>IF(ICE[[#This Row],[LastType]] = "Scrn", ICE[[#This Row],[LstPrc]], IF(ICE[[#This Row],[LastType]] = "Blk", ICE[[#This Row],[LstBlkPrc]], ""))</f>
        <v>35</v>
      </c>
      <c r="S885" s="36">
        <f>ICE[[#This Row],[Vol]]+ICE[[#This Row],[BlkVol]]</f>
        <v>25</v>
      </c>
      <c r="T885" s="36">
        <f>RTD("ice.rtd",,$C885 &amp; $D885 &amp; ":" &amp; T$1)</f>
        <v>656</v>
      </c>
      <c r="U885" s="18">
        <f>RTD("ice.rtd",,$C885 &amp; $D885 &amp; ":" &amp; U$1)</f>
        <v>34.5</v>
      </c>
      <c r="V8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40.00 {35.00} |25x</v>
      </c>
      <c r="W885" s="18" t="str">
        <f>IFERROR(IF(LEFT(ICE[[#This Row],[Tenor]], 1) = "B", RTD("esrtd",,$B885 &amp; " " &amp; ICE[[#This Row],[Tenor]] &amp; "-IEU", W$1), RTD("esrtd",,$B885 &amp; " " &amp; VLOOKUP(MONTH(ICE[[#This Row],[Strip]]), MthRef[], 2, 0) &amp; RIGHT(YEAR(ICE[[#This Row],[Strip]]), 2) &amp; "-IEU", W$1)), "")</f>
        <v/>
      </c>
      <c r="X885" s="36"/>
    </row>
    <row r="886" spans="1:24" x14ac:dyDescent="0.25">
      <c r="A886" s="37" t="s">
        <v>434</v>
      </c>
      <c r="B886" s="3" t="str">
        <f>RTD("ice.rtd",,$C886 &amp; $D886 &amp; ":" &amp; B$1)</f>
        <v>SJS</v>
      </c>
      <c r="C886" s="3">
        <v>30793693</v>
      </c>
      <c r="D886" t="s">
        <v>326</v>
      </c>
      <c r="E886" s="3" t="str">
        <f>RTD("ice.rtd",,$C886 &amp; $D886 &amp; ":" &amp; E$1)</f>
        <v>Dec26</v>
      </c>
      <c r="F886" s="3" t="str">
        <f>ICE[[#This Row],[Prod]]&amp;ICE[[#This Row],[Strip]]</f>
        <v>hsfoewDec26</v>
      </c>
      <c r="G886" s="18" t="str">
        <f>RTD("ice.rtd",,$C886 &amp; $D886 &amp; ":" &amp; G$1)</f>
        <v/>
      </c>
      <c r="H886" s="18" t="str">
        <f>RTD("ice.rtd",,$C886 &amp; $D886 &amp; ":" &amp; H$1)</f>
        <v/>
      </c>
      <c r="I886" s="18" t="str">
        <f>RTD("ice.rtd",,$C886 &amp; $D886 &amp; ":" &amp; I$1)</f>
        <v/>
      </c>
      <c r="J886" s="14" t="str">
        <f>IFERROR(MOD(RTD("ice.rtd",,$C886 &amp; $D886 &amp; ":" &amp; J$1), 1), "")</f>
        <v/>
      </c>
      <c r="K886" s="18">
        <f>RTD("ice.rtd",,$C886 &amp; $D886 &amp; ":" &amp; K$1)</f>
        <v>32.25</v>
      </c>
      <c r="L886" s="36">
        <f>RTD("ice.rtd",,$C886 &amp; $D886 &amp; ":" &amp; L$1)</f>
        <v>5</v>
      </c>
      <c r="M886" s="14">
        <f>IFERROR(MOD(TIMEVALUE(RTD("ice.rtd",,$C886 &amp; $D886 &amp; ":" &amp; M$1)), 1), "")</f>
        <v>0.39707175925925925</v>
      </c>
      <c r="N886" s="36">
        <f>RTD("ice.rtd",,$C886 &amp; $D886 &amp; ":" &amp; N$1)</f>
        <v>0</v>
      </c>
      <c r="O886" s="36">
        <f>RTD("ice.rtd",,$C886 &amp; $D886 &amp; ":" &amp; O$1)</f>
        <v>20</v>
      </c>
      <c r="P8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886" s="14">
        <f>IF(ICE[[#This Row],[LastType]] = "Scrn", ICE[[#This Row],[LstDate]], IF(ICE[[#This Row],[LastType]] = "Blk", ICE[[#This Row],[LstBlkTime]], ""))</f>
        <v>0.39707175925925925</v>
      </c>
      <c r="R886" s="41">
        <f>IF(ICE[[#This Row],[LastType]] = "Scrn", ICE[[#This Row],[LstPrc]], IF(ICE[[#This Row],[LastType]] = "Blk", ICE[[#This Row],[LstBlkPrc]], ""))</f>
        <v>32.25</v>
      </c>
      <c r="S886" s="36">
        <f>ICE[[#This Row],[Vol]]+ICE[[#This Row],[BlkVol]]</f>
        <v>20</v>
      </c>
      <c r="T886" s="36">
        <f>RTD("ice.rtd",,$C886 &amp; $D886 &amp; ":" &amp; T$1)</f>
        <v>768</v>
      </c>
      <c r="U886" s="18">
        <f>RTD("ice.rtd",,$C886 &amp; $D886 &amp; ":" &amp; U$1)</f>
        <v>32.5</v>
      </c>
      <c r="V8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{32.25} |20x</v>
      </c>
      <c r="W886" s="18" t="str">
        <f>IFERROR(IF(LEFT(ICE[[#This Row],[Tenor]], 1) = "B", RTD("esrtd",,$B886 &amp; " " &amp; ICE[[#This Row],[Tenor]] &amp; "-IEU", W$1), RTD("esrtd",,$B886 &amp; " " &amp; VLOOKUP(MONTH(ICE[[#This Row],[Strip]]), MthRef[], 2, 0) &amp; RIGHT(YEAR(ICE[[#This Row],[Strip]]), 2) &amp; "-IEU", W$1)), "")</f>
        <v/>
      </c>
      <c r="X886" s="36"/>
    </row>
    <row r="887" spans="1:24" x14ac:dyDescent="0.25">
      <c r="A887" s="37" t="s">
        <v>434</v>
      </c>
      <c r="B887" s="3" t="str">
        <f>RTD("ice.rtd",,$C887 &amp; $D887 &amp; ":" &amp; B$1)</f>
        <v>SJS</v>
      </c>
      <c r="C887" s="3">
        <v>30793693</v>
      </c>
      <c r="D887" t="s">
        <v>794</v>
      </c>
      <c r="E887" s="3" t="str">
        <f>RTD("ice.rtd",,$C887 &amp; $D887 &amp; ":" &amp; E$1)</f>
        <v>Jan27</v>
      </c>
      <c r="F887" s="3" t="str">
        <f>ICE[[#This Row],[Prod]]&amp;ICE[[#This Row],[Strip]]</f>
        <v>hsfoewJan27</v>
      </c>
      <c r="G887" s="18">
        <f>RTD("ice.rtd",,$C887 &amp; $D887 &amp; ":" &amp; G$1)</f>
        <v>15.25</v>
      </c>
      <c r="H887" s="18" t="str">
        <f>RTD("ice.rtd",,$C887 &amp; $D887 &amp; ":" &amp; H$1)</f>
        <v/>
      </c>
      <c r="I887" s="18" t="str">
        <f>RTD("ice.rtd",,$C887 &amp; $D887 &amp; ":" &amp; I$1)</f>
        <v/>
      </c>
      <c r="J887" s="14" t="str">
        <f>IFERROR(MOD(RTD("ice.rtd",,$C887 &amp; $D887 &amp; ":" &amp; J$1), 1), "")</f>
        <v/>
      </c>
      <c r="K887" s="18" t="str">
        <f>RTD("ice.rtd",,$C887 &amp; $D887 &amp; ":" &amp; K$1)</f>
        <v/>
      </c>
      <c r="L887" s="36" t="str">
        <f>RTD("ice.rtd",,$C887 &amp; $D887 &amp; ":" &amp; L$1)</f>
        <v/>
      </c>
      <c r="M887" s="14" t="str">
        <f>IFERROR(MOD(TIMEVALUE(RTD("ice.rtd",,$C887 &amp; $D887 &amp; ":" &amp; M$1)), 1), "")</f>
        <v/>
      </c>
      <c r="N887" s="36">
        <f>RTD("ice.rtd",,$C887 &amp; $D887 &amp; ":" &amp; N$1)</f>
        <v>0</v>
      </c>
      <c r="O887" s="36">
        <f>RTD("ice.rtd",,$C887 &amp; $D887 &amp; ":" &amp; O$1)</f>
        <v>0</v>
      </c>
      <c r="P8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87" s="14" t="str">
        <f>IF(ICE[[#This Row],[LastType]] = "Scrn", ICE[[#This Row],[LstDate]], IF(ICE[[#This Row],[LastType]] = "Blk", ICE[[#This Row],[LstBlkTime]], ""))</f>
        <v/>
      </c>
      <c r="R887" s="41" t="str">
        <f>IF(ICE[[#This Row],[LastType]] = "Scrn", ICE[[#This Row],[LstPrc]], IF(ICE[[#This Row],[LastType]] = "Blk", ICE[[#This Row],[LstBlkPrc]], ""))</f>
        <v/>
      </c>
      <c r="S887" s="36">
        <f>ICE[[#This Row],[Vol]]+ICE[[#This Row],[BlkVol]]</f>
        <v>0</v>
      </c>
      <c r="T887" s="36">
        <f>RTD("ice.rtd",,$C887 &amp; $D887 &amp; ":" &amp; T$1)</f>
        <v>141</v>
      </c>
      <c r="U887" s="18">
        <f>RTD("ice.rtd",,$C887 &amp; $D887 &amp; ":" &amp; U$1)</f>
        <v>29.5</v>
      </c>
      <c r="V8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15.25 /  </v>
      </c>
      <c r="W887" s="18" t="str">
        <f>IFERROR(IF(LEFT(ICE[[#This Row],[Tenor]], 1) = "B", RTD("esrtd",,$B887 &amp; " " &amp; ICE[[#This Row],[Tenor]] &amp; "-IEU", W$1), RTD("esrtd",,$B887 &amp; " " &amp; VLOOKUP(MONTH(ICE[[#This Row],[Strip]]), MthRef[], 2, 0) &amp; RIGHT(YEAR(ICE[[#This Row],[Strip]]), 2) &amp; "-IEU", W$1)), "")</f>
        <v/>
      </c>
      <c r="X887" s="36"/>
    </row>
    <row r="888" spans="1:24" x14ac:dyDescent="0.25">
      <c r="A888" s="37" t="s">
        <v>434</v>
      </c>
      <c r="B888" s="3" t="str">
        <f>RTD("ice.rtd",,$C888 &amp; $D888 &amp; ":" &amp; B$1)</f>
        <v>SJS</v>
      </c>
      <c r="C888" s="3">
        <v>30793693</v>
      </c>
      <c r="D888" t="s">
        <v>795</v>
      </c>
      <c r="E888" s="3" t="str">
        <f>RTD("ice.rtd",,$C888 &amp; $D888 &amp; ":" &amp; E$1)</f>
        <v>Feb27</v>
      </c>
      <c r="F888" s="3" t="str">
        <f>ICE[[#This Row],[Prod]]&amp;ICE[[#This Row],[Strip]]</f>
        <v>hsfoewFeb27</v>
      </c>
      <c r="G888" s="18" t="str">
        <f>RTD("ice.rtd",,$C888 &amp; $D888 &amp; ":" &amp; G$1)</f>
        <v/>
      </c>
      <c r="H888" s="18" t="str">
        <f>RTD("ice.rtd",,$C888 &amp; $D888 &amp; ":" &amp; H$1)</f>
        <v/>
      </c>
      <c r="I888" s="18" t="str">
        <f>RTD("ice.rtd",,$C888 &amp; $D888 &amp; ":" &amp; I$1)</f>
        <v/>
      </c>
      <c r="J888" s="14" t="str">
        <f>IFERROR(MOD(RTD("ice.rtd",,$C888 &amp; $D888 &amp; ":" &amp; J$1), 1), "")</f>
        <v/>
      </c>
      <c r="K888" s="18" t="str">
        <f>RTD("ice.rtd",,$C888 &amp; $D888 &amp; ":" &amp; K$1)</f>
        <v/>
      </c>
      <c r="L888" s="36" t="str">
        <f>RTD("ice.rtd",,$C888 &amp; $D888 &amp; ":" &amp; L$1)</f>
        <v/>
      </c>
      <c r="M888" s="14" t="str">
        <f>IFERROR(MOD(TIMEVALUE(RTD("ice.rtd",,$C888 &amp; $D888 &amp; ":" &amp; M$1)), 1), "")</f>
        <v/>
      </c>
      <c r="N888" s="36">
        <f>RTD("ice.rtd",,$C888 &amp; $D888 &amp; ":" &amp; N$1)</f>
        <v>0</v>
      </c>
      <c r="O888" s="36">
        <f>RTD("ice.rtd",,$C888 &amp; $D888 &amp; ":" &amp; O$1)</f>
        <v>0</v>
      </c>
      <c r="P8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88" s="14" t="str">
        <f>IF(ICE[[#This Row],[LastType]] = "Scrn", ICE[[#This Row],[LstDate]], IF(ICE[[#This Row],[LastType]] = "Blk", ICE[[#This Row],[LstBlkTime]], ""))</f>
        <v/>
      </c>
      <c r="R888" s="41" t="str">
        <f>IF(ICE[[#This Row],[LastType]] = "Scrn", ICE[[#This Row],[LstPrc]], IF(ICE[[#This Row],[LastType]] = "Blk", ICE[[#This Row],[LstBlkPrc]], ""))</f>
        <v/>
      </c>
      <c r="S888" s="36">
        <f>ICE[[#This Row],[Vol]]+ICE[[#This Row],[BlkVol]]</f>
        <v>0</v>
      </c>
      <c r="T888" s="36">
        <f>RTD("ice.rtd",,$C888 &amp; $D888 &amp; ":" &amp; T$1)</f>
        <v>156</v>
      </c>
      <c r="U888" s="18">
        <f>RTD("ice.rtd",,$C888 &amp; $D888 &amp; ":" &amp; U$1)</f>
        <v>27.25</v>
      </c>
      <c r="V8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88" s="18" t="str">
        <f>IFERROR(IF(LEFT(ICE[[#This Row],[Tenor]], 1) = "B", RTD("esrtd",,$B888 &amp; " " &amp; ICE[[#This Row],[Tenor]] &amp; "-IEU", W$1), RTD("esrtd",,$B888 &amp; " " &amp; VLOOKUP(MONTH(ICE[[#This Row],[Strip]]), MthRef[], 2, 0) &amp; RIGHT(YEAR(ICE[[#This Row],[Strip]]), 2) &amp; "-IEU", W$1)), "")</f>
        <v/>
      </c>
      <c r="X888" s="36"/>
    </row>
    <row r="889" spans="1:24" x14ac:dyDescent="0.25">
      <c r="A889" s="37" t="s">
        <v>434</v>
      </c>
      <c r="B889" s="3" t="str">
        <f>RTD("ice.rtd",,$C889 &amp; $D889 &amp; ":" &amp; B$1)</f>
        <v>SJS</v>
      </c>
      <c r="C889" s="3">
        <v>30793693</v>
      </c>
      <c r="D889" t="s">
        <v>113</v>
      </c>
      <c r="E889" s="3" t="str">
        <f>RTD("ice.rtd",,$C889 &amp; $D889 &amp; ":" &amp; E$1)</f>
        <v>Mar27</v>
      </c>
      <c r="F889" s="3" t="str">
        <f>ICE[[#This Row],[Prod]]&amp;ICE[[#This Row],[Strip]]</f>
        <v>hsfoewMar27</v>
      </c>
      <c r="G889" s="18" t="str">
        <f>RTD("ice.rtd",,$C889 &amp; $D889 &amp; ":" &amp; G$1)</f>
        <v/>
      </c>
      <c r="H889" s="18" t="str">
        <f>RTD("ice.rtd",,$C889 &amp; $D889 &amp; ":" &amp; H$1)</f>
        <v/>
      </c>
      <c r="I889" s="18" t="str">
        <f>RTD("ice.rtd",,$C889 &amp; $D889 &amp; ":" &amp; I$1)</f>
        <v/>
      </c>
      <c r="J889" s="14" t="str">
        <f>IFERROR(MOD(RTD("ice.rtd",,$C889 &amp; $D889 &amp; ":" &amp; J$1), 1), "")</f>
        <v/>
      </c>
      <c r="K889" s="18" t="str">
        <f>RTD("ice.rtd",,$C889 &amp; $D889 &amp; ":" &amp; K$1)</f>
        <v/>
      </c>
      <c r="L889" s="36" t="str">
        <f>RTD("ice.rtd",,$C889 &amp; $D889 &amp; ":" &amp; L$1)</f>
        <v/>
      </c>
      <c r="M889" s="14" t="str">
        <f>IFERROR(MOD(TIMEVALUE(RTD("ice.rtd",,$C889 &amp; $D889 &amp; ":" &amp; M$1)), 1), "")</f>
        <v/>
      </c>
      <c r="N889" s="36">
        <f>RTD("ice.rtd",,$C889 &amp; $D889 &amp; ":" &amp; N$1)</f>
        <v>0</v>
      </c>
      <c r="O889" s="36">
        <f>RTD("ice.rtd",,$C889 &amp; $D889 &amp; ":" &amp; O$1)</f>
        <v>0</v>
      </c>
      <c r="P8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89" s="14" t="str">
        <f>IF(ICE[[#This Row],[LastType]] = "Scrn", ICE[[#This Row],[LstDate]], IF(ICE[[#This Row],[LastType]] = "Blk", ICE[[#This Row],[LstBlkTime]], ""))</f>
        <v/>
      </c>
      <c r="R889" s="41" t="str">
        <f>IF(ICE[[#This Row],[LastType]] = "Scrn", ICE[[#This Row],[LstPrc]], IF(ICE[[#This Row],[LastType]] = "Blk", ICE[[#This Row],[LstBlkPrc]], ""))</f>
        <v/>
      </c>
      <c r="S889" s="36">
        <f>ICE[[#This Row],[Vol]]+ICE[[#This Row],[BlkVol]]</f>
        <v>0</v>
      </c>
      <c r="T889" s="36">
        <f>RTD("ice.rtd",,$C889 &amp; $D889 &amp; ":" &amp; T$1)</f>
        <v>140</v>
      </c>
      <c r="U889" s="18">
        <f>RTD("ice.rtd",,$C889 &amp; $D889 &amp; ":" &amp; U$1)</f>
        <v>25.25</v>
      </c>
      <c r="V8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89" s="18" t="str">
        <f>IFERROR(IF(LEFT(ICE[[#This Row],[Tenor]], 1) = "B", RTD("esrtd",,$B889 &amp; " " &amp; ICE[[#This Row],[Tenor]] &amp; "-IEU", W$1), RTD("esrtd",,$B889 &amp; " " &amp; VLOOKUP(MONTH(ICE[[#This Row],[Strip]]), MthRef[], 2, 0) &amp; RIGHT(YEAR(ICE[[#This Row],[Strip]]), 2) &amp; "-IEU", W$1)), "")</f>
        <v/>
      </c>
      <c r="X889" s="36"/>
    </row>
    <row r="890" spans="1:24" x14ac:dyDescent="0.25">
      <c r="A890" s="37" t="s">
        <v>434</v>
      </c>
      <c r="B890" s="3" t="str">
        <f>RTD("ice.rtd",,$C890 &amp; $D890 &amp; ":" &amp; B$1)</f>
        <v>SJS</v>
      </c>
      <c r="C890" s="3">
        <v>30793693</v>
      </c>
      <c r="D890" t="s">
        <v>796</v>
      </c>
      <c r="E890" s="3" t="str">
        <f>RTD("ice.rtd",,$C890 &amp; $D890 &amp; ":" &amp; E$1)</f>
        <v>Apr27</v>
      </c>
      <c r="F890" s="3" t="str">
        <f>ICE[[#This Row],[Prod]]&amp;ICE[[#This Row],[Strip]]</f>
        <v>hsfoewApr27</v>
      </c>
      <c r="G890" s="18" t="str">
        <f>RTD("ice.rtd",,$C890 &amp; $D890 &amp; ":" &amp; G$1)</f>
        <v/>
      </c>
      <c r="H890" s="18" t="str">
        <f>RTD("ice.rtd",,$C890 &amp; $D890 &amp; ":" &amp; H$1)</f>
        <v/>
      </c>
      <c r="I890" s="18" t="str">
        <f>RTD("ice.rtd",,$C890 &amp; $D890 &amp; ":" &amp; I$1)</f>
        <v/>
      </c>
      <c r="J890" s="14" t="str">
        <f>IFERROR(MOD(RTD("ice.rtd",,$C890 &amp; $D890 &amp; ":" &amp; J$1), 1), "")</f>
        <v/>
      </c>
      <c r="K890" s="18" t="str">
        <f>RTD("ice.rtd",,$C890 &amp; $D890 &amp; ":" &amp; K$1)</f>
        <v/>
      </c>
      <c r="L890" s="36" t="str">
        <f>RTD("ice.rtd",,$C890 &amp; $D890 &amp; ":" &amp; L$1)</f>
        <v/>
      </c>
      <c r="M890" s="14" t="str">
        <f>IFERROR(MOD(TIMEVALUE(RTD("ice.rtd",,$C890 &amp; $D890 &amp; ":" &amp; M$1)), 1), "")</f>
        <v/>
      </c>
      <c r="N890" s="36">
        <f>RTD("ice.rtd",,$C890 &amp; $D890 &amp; ":" &amp; N$1)</f>
        <v>0</v>
      </c>
      <c r="O890" s="36">
        <f>RTD("ice.rtd",,$C890 &amp; $D890 &amp; ":" &amp; O$1)</f>
        <v>0</v>
      </c>
      <c r="P8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0" s="14" t="str">
        <f>IF(ICE[[#This Row],[LastType]] = "Scrn", ICE[[#This Row],[LstDate]], IF(ICE[[#This Row],[LastType]] = "Blk", ICE[[#This Row],[LstBlkTime]], ""))</f>
        <v/>
      </c>
      <c r="R890" s="41" t="str">
        <f>IF(ICE[[#This Row],[LastType]] = "Scrn", ICE[[#This Row],[LstPrc]], IF(ICE[[#This Row],[LastType]] = "Blk", ICE[[#This Row],[LstBlkPrc]], ""))</f>
        <v/>
      </c>
      <c r="S890" s="36">
        <f>ICE[[#This Row],[Vol]]+ICE[[#This Row],[BlkVol]]</f>
        <v>0</v>
      </c>
      <c r="T890" s="36">
        <f>RTD("ice.rtd",,$C890 &amp; $D890 &amp; ":" &amp; T$1)</f>
        <v>137</v>
      </c>
      <c r="U890" s="18">
        <f>RTD("ice.rtd",,$C890 &amp; $D890 &amp; ":" &amp; U$1)</f>
        <v>23.5</v>
      </c>
      <c r="V8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0" s="18" t="str">
        <f>IFERROR(IF(LEFT(ICE[[#This Row],[Tenor]], 1) = "B", RTD("esrtd",,$B890 &amp; " " &amp; ICE[[#This Row],[Tenor]] &amp; "-IEU", W$1), RTD("esrtd",,$B890 &amp; " " &amp; VLOOKUP(MONTH(ICE[[#This Row],[Strip]]), MthRef[], 2, 0) &amp; RIGHT(YEAR(ICE[[#This Row],[Strip]]), 2) &amp; "-IEU", W$1)), "")</f>
        <v/>
      </c>
      <c r="X890" s="36"/>
    </row>
    <row r="891" spans="1:24" x14ac:dyDescent="0.25">
      <c r="A891" s="37" t="s">
        <v>434</v>
      </c>
      <c r="B891" s="3" t="str">
        <f>RTD("ice.rtd",,$C891 &amp; $D891 &amp; ":" &amp; B$1)</f>
        <v>SJS</v>
      </c>
      <c r="C891" s="3">
        <v>30793693</v>
      </c>
      <c r="D891" t="s">
        <v>797</v>
      </c>
      <c r="E891" s="3" t="str">
        <f>RTD("ice.rtd",,$C891 &amp; $D891 &amp; ":" &amp; E$1)</f>
        <v>May27</v>
      </c>
      <c r="F891" s="3" t="str">
        <f>ICE[[#This Row],[Prod]]&amp;ICE[[#This Row],[Strip]]</f>
        <v>hsfoewMay27</v>
      </c>
      <c r="G891" s="18" t="str">
        <f>RTD("ice.rtd",,$C891 &amp; $D891 &amp; ":" &amp; G$1)</f>
        <v/>
      </c>
      <c r="H891" s="18" t="str">
        <f>RTD("ice.rtd",,$C891 &amp; $D891 &amp; ":" &amp; H$1)</f>
        <v/>
      </c>
      <c r="I891" s="18" t="str">
        <f>RTD("ice.rtd",,$C891 &amp; $D891 &amp; ":" &amp; I$1)</f>
        <v/>
      </c>
      <c r="J891" s="14" t="str">
        <f>IFERROR(MOD(RTD("ice.rtd",,$C891 &amp; $D891 &amp; ":" &amp; J$1), 1), "")</f>
        <v/>
      </c>
      <c r="K891" s="18" t="str">
        <f>RTD("ice.rtd",,$C891 &amp; $D891 &amp; ":" &amp; K$1)</f>
        <v/>
      </c>
      <c r="L891" s="36" t="str">
        <f>RTD("ice.rtd",,$C891 &amp; $D891 &amp; ":" &amp; L$1)</f>
        <v/>
      </c>
      <c r="M891" s="14" t="str">
        <f>IFERROR(MOD(TIMEVALUE(RTD("ice.rtd",,$C891 &amp; $D891 &amp; ":" &amp; M$1)), 1), "")</f>
        <v/>
      </c>
      <c r="N891" s="36">
        <f>RTD("ice.rtd",,$C891 &amp; $D891 &amp; ":" &amp; N$1)</f>
        <v>0</v>
      </c>
      <c r="O891" s="36">
        <f>RTD("ice.rtd",,$C891 &amp; $D891 &amp; ":" &amp; O$1)</f>
        <v>0</v>
      </c>
      <c r="P8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1" s="14" t="str">
        <f>IF(ICE[[#This Row],[LastType]] = "Scrn", ICE[[#This Row],[LstDate]], IF(ICE[[#This Row],[LastType]] = "Blk", ICE[[#This Row],[LstBlkTime]], ""))</f>
        <v/>
      </c>
      <c r="R891" s="41" t="str">
        <f>IF(ICE[[#This Row],[LastType]] = "Scrn", ICE[[#This Row],[LstPrc]], IF(ICE[[#This Row],[LastType]] = "Blk", ICE[[#This Row],[LstBlkPrc]], ""))</f>
        <v/>
      </c>
      <c r="S891" s="36">
        <f>ICE[[#This Row],[Vol]]+ICE[[#This Row],[BlkVol]]</f>
        <v>0</v>
      </c>
      <c r="T891" s="36">
        <f>RTD("ice.rtd",,$C891 &amp; $D891 &amp; ":" &amp; T$1)</f>
        <v>79</v>
      </c>
      <c r="U891" s="18">
        <f>RTD("ice.rtd",,$C891 &amp; $D891 &amp; ":" &amp; U$1)</f>
        <v>22</v>
      </c>
      <c r="V8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1" s="18" t="str">
        <f>IFERROR(IF(LEFT(ICE[[#This Row],[Tenor]], 1) = "B", RTD("esrtd",,$B891 &amp; " " &amp; ICE[[#This Row],[Tenor]] &amp; "-IEU", W$1), RTD("esrtd",,$B891 &amp; " " &amp; VLOOKUP(MONTH(ICE[[#This Row],[Strip]]), MthRef[], 2, 0) &amp; RIGHT(YEAR(ICE[[#This Row],[Strip]]), 2) &amp; "-IEU", W$1)), "")</f>
        <v/>
      </c>
      <c r="X891" s="36"/>
    </row>
    <row r="892" spans="1:24" x14ac:dyDescent="0.25">
      <c r="A892" s="37" t="s">
        <v>434</v>
      </c>
      <c r="B892" s="3" t="str">
        <f>RTD("ice.rtd",,$C892 &amp; $D892 &amp; ":" &amp; B$1)</f>
        <v>SJS</v>
      </c>
      <c r="C892" s="3">
        <v>30793693</v>
      </c>
      <c r="D892" t="s">
        <v>798</v>
      </c>
      <c r="E892" s="3" t="str">
        <f>RTD("ice.rtd",,$C892 &amp; $D892 &amp; ":" &amp; E$1)</f>
        <v>Jun27</v>
      </c>
      <c r="F892" s="3" t="str">
        <f>ICE[[#This Row],[Prod]]&amp;ICE[[#This Row],[Strip]]</f>
        <v>hsfoewJun27</v>
      </c>
      <c r="G892" s="18" t="str">
        <f>RTD("ice.rtd",,$C892 &amp; $D892 &amp; ":" &amp; G$1)</f>
        <v/>
      </c>
      <c r="H892" s="18" t="str">
        <f>RTD("ice.rtd",,$C892 &amp; $D892 &amp; ":" &amp; H$1)</f>
        <v/>
      </c>
      <c r="I892" s="18" t="str">
        <f>RTD("ice.rtd",,$C892 &amp; $D892 &amp; ":" &amp; I$1)</f>
        <v/>
      </c>
      <c r="J892" s="14" t="str">
        <f>IFERROR(MOD(RTD("ice.rtd",,$C892 &amp; $D892 &amp; ":" &amp; J$1), 1), "")</f>
        <v/>
      </c>
      <c r="K892" s="18" t="str">
        <f>RTD("ice.rtd",,$C892 &amp; $D892 &amp; ":" &amp; K$1)</f>
        <v/>
      </c>
      <c r="L892" s="36" t="str">
        <f>RTD("ice.rtd",,$C892 &amp; $D892 &amp; ":" &amp; L$1)</f>
        <v/>
      </c>
      <c r="M892" s="14" t="str">
        <f>IFERROR(MOD(TIMEVALUE(RTD("ice.rtd",,$C892 &amp; $D892 &amp; ":" &amp; M$1)), 1), "")</f>
        <v/>
      </c>
      <c r="N892" s="36">
        <f>RTD("ice.rtd",,$C892 &amp; $D892 &amp; ":" &amp; N$1)</f>
        <v>0</v>
      </c>
      <c r="O892" s="36">
        <f>RTD("ice.rtd",,$C892 &amp; $D892 &amp; ":" &amp; O$1)</f>
        <v>0</v>
      </c>
      <c r="P8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2" s="14" t="str">
        <f>IF(ICE[[#This Row],[LastType]] = "Scrn", ICE[[#This Row],[LstDate]], IF(ICE[[#This Row],[LastType]] = "Blk", ICE[[#This Row],[LstBlkTime]], ""))</f>
        <v/>
      </c>
      <c r="R892" s="41" t="str">
        <f>IF(ICE[[#This Row],[LastType]] = "Scrn", ICE[[#This Row],[LstPrc]], IF(ICE[[#This Row],[LastType]] = "Blk", ICE[[#This Row],[LstBlkPrc]], ""))</f>
        <v/>
      </c>
      <c r="S892" s="36">
        <f>ICE[[#This Row],[Vol]]+ICE[[#This Row],[BlkVol]]</f>
        <v>0</v>
      </c>
      <c r="T892" s="36">
        <f>RTD("ice.rtd",,$C892 &amp; $D892 &amp; ":" &amp; T$1)</f>
        <v>135</v>
      </c>
      <c r="U892" s="18">
        <f>RTD("ice.rtd",,$C892 &amp; $D892 &amp; ":" &amp; U$1)</f>
        <v>20.75</v>
      </c>
      <c r="V8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2" s="18" t="str">
        <f>IFERROR(IF(LEFT(ICE[[#This Row],[Tenor]], 1) = "B", RTD("esrtd",,$B892 &amp; " " &amp; ICE[[#This Row],[Tenor]] &amp; "-IEU", W$1), RTD("esrtd",,$B892 &amp; " " &amp; VLOOKUP(MONTH(ICE[[#This Row],[Strip]]), MthRef[], 2, 0) &amp; RIGHT(YEAR(ICE[[#This Row],[Strip]]), 2) &amp; "-IEU", W$1)), "")</f>
        <v/>
      </c>
      <c r="X892" s="36"/>
    </row>
    <row r="893" spans="1:24" x14ac:dyDescent="0.25">
      <c r="A893" s="37" t="s">
        <v>434</v>
      </c>
      <c r="B893" s="3" t="str">
        <f>RTD("ice.rtd",,$C893 &amp; $D893 &amp; ":" &amp; B$1)</f>
        <v>SJS</v>
      </c>
      <c r="C893" s="3">
        <v>30793693</v>
      </c>
      <c r="D893" t="s">
        <v>799</v>
      </c>
      <c r="E893" s="3" t="str">
        <f>RTD("ice.rtd",,$C893 &amp; $D893 &amp; ":" &amp; E$1)</f>
        <v>Jul27</v>
      </c>
      <c r="F893" s="3" t="str">
        <f>ICE[[#This Row],[Prod]]&amp;ICE[[#This Row],[Strip]]</f>
        <v>hsfoewJul27</v>
      </c>
      <c r="G893" s="18" t="str">
        <f>RTD("ice.rtd",,$C893 &amp; $D893 &amp; ":" &amp; G$1)</f>
        <v/>
      </c>
      <c r="H893" s="18" t="str">
        <f>RTD("ice.rtd",,$C893 &amp; $D893 &amp; ":" &amp; H$1)</f>
        <v/>
      </c>
      <c r="I893" s="18" t="str">
        <f>RTD("ice.rtd",,$C893 &amp; $D893 &amp; ":" &amp; I$1)</f>
        <v/>
      </c>
      <c r="J893" s="14" t="str">
        <f>IFERROR(MOD(RTD("ice.rtd",,$C893 &amp; $D893 &amp; ":" &amp; J$1), 1), "")</f>
        <v/>
      </c>
      <c r="K893" s="18" t="str">
        <f>RTD("ice.rtd",,$C893 &amp; $D893 &amp; ":" &amp; K$1)</f>
        <v/>
      </c>
      <c r="L893" s="36" t="str">
        <f>RTD("ice.rtd",,$C893 &amp; $D893 &amp; ":" &amp; L$1)</f>
        <v/>
      </c>
      <c r="M893" s="14" t="str">
        <f>IFERROR(MOD(TIMEVALUE(RTD("ice.rtd",,$C893 &amp; $D893 &amp; ":" &amp; M$1)), 1), "")</f>
        <v/>
      </c>
      <c r="N893" s="36">
        <f>RTD("ice.rtd",,$C893 &amp; $D893 &amp; ":" &amp; N$1)</f>
        <v>0</v>
      </c>
      <c r="O893" s="36">
        <f>RTD("ice.rtd",,$C893 &amp; $D893 &amp; ":" &amp; O$1)</f>
        <v>0</v>
      </c>
      <c r="P8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3" s="14" t="str">
        <f>IF(ICE[[#This Row],[LastType]] = "Scrn", ICE[[#This Row],[LstDate]], IF(ICE[[#This Row],[LastType]] = "Blk", ICE[[#This Row],[LstBlkTime]], ""))</f>
        <v/>
      </c>
      <c r="R893" s="41" t="str">
        <f>IF(ICE[[#This Row],[LastType]] = "Scrn", ICE[[#This Row],[LstPrc]], IF(ICE[[#This Row],[LastType]] = "Blk", ICE[[#This Row],[LstBlkPrc]], ""))</f>
        <v/>
      </c>
      <c r="S893" s="36">
        <f>ICE[[#This Row],[Vol]]+ICE[[#This Row],[BlkVol]]</f>
        <v>0</v>
      </c>
      <c r="T893" s="36">
        <f>RTD("ice.rtd",,$C893 &amp; $D893 &amp; ":" &amp; T$1)</f>
        <v>83</v>
      </c>
      <c r="U893" s="18">
        <f>RTD("ice.rtd",,$C893 &amp; $D893 &amp; ":" &amp; U$1)</f>
        <v>19.75</v>
      </c>
      <c r="V8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3" s="18" t="str">
        <f>IFERROR(IF(LEFT(ICE[[#This Row],[Tenor]], 1) = "B", RTD("esrtd",,$B893 &amp; " " &amp; ICE[[#This Row],[Tenor]] &amp; "-IEU", W$1), RTD("esrtd",,$B893 &amp; " " &amp; VLOOKUP(MONTH(ICE[[#This Row],[Strip]]), MthRef[], 2, 0) &amp; RIGHT(YEAR(ICE[[#This Row],[Strip]]), 2) &amp; "-IEU", W$1)), "")</f>
        <v/>
      </c>
      <c r="X893" s="36"/>
    </row>
    <row r="894" spans="1:24" x14ac:dyDescent="0.25">
      <c r="A894" s="37" t="s">
        <v>434</v>
      </c>
      <c r="B894" s="3" t="str">
        <f>RTD("ice.rtd",,$C894 &amp; $D894 &amp; ":" &amp; B$1)</f>
        <v>SJS</v>
      </c>
      <c r="C894" s="3">
        <v>30793693</v>
      </c>
      <c r="D894" t="s">
        <v>800</v>
      </c>
      <c r="E894" s="3" t="str">
        <f>RTD("ice.rtd",,$C894 &amp; $D894 &amp; ":" &amp; E$1)</f>
        <v>Aug27</v>
      </c>
      <c r="F894" s="3" t="str">
        <f>ICE[[#This Row],[Prod]]&amp;ICE[[#This Row],[Strip]]</f>
        <v>hsfoewAug27</v>
      </c>
      <c r="G894" s="18" t="str">
        <f>RTD("ice.rtd",,$C894 &amp; $D894 &amp; ":" &amp; G$1)</f>
        <v/>
      </c>
      <c r="H894" s="18" t="str">
        <f>RTD("ice.rtd",,$C894 &amp; $D894 &amp; ":" &amp; H$1)</f>
        <v/>
      </c>
      <c r="I894" s="18" t="str">
        <f>RTD("ice.rtd",,$C894 &amp; $D894 &amp; ":" &amp; I$1)</f>
        <v/>
      </c>
      <c r="J894" s="14" t="str">
        <f>IFERROR(MOD(RTD("ice.rtd",,$C894 &amp; $D894 &amp; ":" &amp; J$1), 1), "")</f>
        <v/>
      </c>
      <c r="K894" s="18" t="str">
        <f>RTD("ice.rtd",,$C894 &amp; $D894 &amp; ":" &amp; K$1)</f>
        <v/>
      </c>
      <c r="L894" s="36" t="str">
        <f>RTD("ice.rtd",,$C894 &amp; $D894 &amp; ":" &amp; L$1)</f>
        <v/>
      </c>
      <c r="M894" s="14" t="str">
        <f>IFERROR(MOD(TIMEVALUE(RTD("ice.rtd",,$C894 &amp; $D894 &amp; ":" &amp; M$1)), 1), "")</f>
        <v/>
      </c>
      <c r="N894" s="36">
        <f>RTD("ice.rtd",,$C894 &amp; $D894 &amp; ":" &amp; N$1)</f>
        <v>0</v>
      </c>
      <c r="O894" s="36">
        <f>RTD("ice.rtd",,$C894 &amp; $D894 &amp; ":" &amp; O$1)</f>
        <v>0</v>
      </c>
      <c r="P8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4" s="14" t="str">
        <f>IF(ICE[[#This Row],[LastType]] = "Scrn", ICE[[#This Row],[LstDate]], IF(ICE[[#This Row],[LastType]] = "Blk", ICE[[#This Row],[LstBlkTime]], ""))</f>
        <v/>
      </c>
      <c r="R894" s="41" t="str">
        <f>IF(ICE[[#This Row],[LastType]] = "Scrn", ICE[[#This Row],[LstPrc]], IF(ICE[[#This Row],[LastType]] = "Blk", ICE[[#This Row],[LstBlkPrc]], ""))</f>
        <v/>
      </c>
      <c r="S894" s="36">
        <f>ICE[[#This Row],[Vol]]+ICE[[#This Row],[BlkVol]]</f>
        <v>0</v>
      </c>
      <c r="T894" s="36">
        <f>RTD("ice.rtd",,$C894 &amp; $D894 &amp; ":" &amp; T$1)</f>
        <v>83</v>
      </c>
      <c r="U894" s="18">
        <f>RTD("ice.rtd",,$C894 &amp; $D894 &amp; ":" &amp; U$1)</f>
        <v>18.75</v>
      </c>
      <c r="V8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4" s="18" t="str">
        <f>IFERROR(IF(LEFT(ICE[[#This Row],[Tenor]], 1) = "B", RTD("esrtd",,$B894 &amp; " " &amp; ICE[[#This Row],[Tenor]] &amp; "-IEU", W$1), RTD("esrtd",,$B894 &amp; " " &amp; VLOOKUP(MONTH(ICE[[#This Row],[Strip]]), MthRef[], 2, 0) &amp; RIGHT(YEAR(ICE[[#This Row],[Strip]]), 2) &amp; "-IEU", W$1)), "")</f>
        <v/>
      </c>
      <c r="X894" s="36"/>
    </row>
    <row r="895" spans="1:24" x14ac:dyDescent="0.25">
      <c r="A895" s="37" t="s">
        <v>434</v>
      </c>
      <c r="B895" s="3" t="str">
        <f>RTD("ice.rtd",,$C895 &amp; $D895 &amp; ":" &amp; B$1)</f>
        <v>SJS</v>
      </c>
      <c r="C895" s="3">
        <v>30793693</v>
      </c>
      <c r="D895" t="s">
        <v>801</v>
      </c>
      <c r="E895" s="3" t="str">
        <f>RTD("ice.rtd",,$C895 &amp; $D895 &amp; ":" &amp; E$1)</f>
        <v>Sep27</v>
      </c>
      <c r="F895" s="3" t="str">
        <f>ICE[[#This Row],[Prod]]&amp;ICE[[#This Row],[Strip]]</f>
        <v>hsfoewSep27</v>
      </c>
      <c r="G895" s="18" t="str">
        <f>RTD("ice.rtd",,$C895 &amp; $D895 &amp; ":" &amp; G$1)</f>
        <v/>
      </c>
      <c r="H895" s="18" t="str">
        <f>RTD("ice.rtd",,$C895 &amp; $D895 &amp; ":" &amp; H$1)</f>
        <v/>
      </c>
      <c r="I895" s="18" t="str">
        <f>RTD("ice.rtd",,$C895 &amp; $D895 &amp; ":" &amp; I$1)</f>
        <v/>
      </c>
      <c r="J895" s="14" t="str">
        <f>IFERROR(MOD(RTD("ice.rtd",,$C895 &amp; $D895 &amp; ":" &amp; J$1), 1), "")</f>
        <v/>
      </c>
      <c r="K895" s="18" t="str">
        <f>RTD("ice.rtd",,$C895 &amp; $D895 &amp; ":" &amp; K$1)</f>
        <v/>
      </c>
      <c r="L895" s="36" t="str">
        <f>RTD("ice.rtd",,$C895 &amp; $D895 &amp; ":" &amp; L$1)</f>
        <v/>
      </c>
      <c r="M895" s="14" t="str">
        <f>IFERROR(MOD(TIMEVALUE(RTD("ice.rtd",,$C895 &amp; $D895 &amp; ":" &amp; M$1)), 1), "")</f>
        <v/>
      </c>
      <c r="N895" s="36">
        <f>RTD("ice.rtd",,$C895 &amp; $D895 &amp; ":" &amp; N$1)</f>
        <v>0</v>
      </c>
      <c r="O895" s="36">
        <f>RTD("ice.rtd",,$C895 &amp; $D895 &amp; ":" &amp; O$1)</f>
        <v>0</v>
      </c>
      <c r="P8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5" s="14" t="str">
        <f>IF(ICE[[#This Row],[LastType]] = "Scrn", ICE[[#This Row],[LstDate]], IF(ICE[[#This Row],[LastType]] = "Blk", ICE[[#This Row],[LstBlkTime]], ""))</f>
        <v/>
      </c>
      <c r="R895" s="41" t="str">
        <f>IF(ICE[[#This Row],[LastType]] = "Scrn", ICE[[#This Row],[LstPrc]], IF(ICE[[#This Row],[LastType]] = "Blk", ICE[[#This Row],[LstBlkPrc]], ""))</f>
        <v/>
      </c>
      <c r="S895" s="36">
        <f>ICE[[#This Row],[Vol]]+ICE[[#This Row],[BlkVol]]</f>
        <v>0</v>
      </c>
      <c r="T895" s="36">
        <f>RTD("ice.rtd",,$C895 &amp; $D895 &amp; ":" &amp; T$1)</f>
        <v>83</v>
      </c>
      <c r="U895" s="18">
        <f>RTD("ice.rtd",,$C895 &amp; $D895 &amp; ":" &amp; U$1)</f>
        <v>18</v>
      </c>
      <c r="V8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5" s="18" t="str">
        <f>IFERROR(IF(LEFT(ICE[[#This Row],[Tenor]], 1) = "B", RTD("esrtd",,$B895 &amp; " " &amp; ICE[[#This Row],[Tenor]] &amp; "-IEU", W$1), RTD("esrtd",,$B895 &amp; " " &amp; VLOOKUP(MONTH(ICE[[#This Row],[Strip]]), MthRef[], 2, 0) &amp; RIGHT(YEAR(ICE[[#This Row],[Strip]]), 2) &amp; "-IEU", W$1)), "")</f>
        <v/>
      </c>
      <c r="X895" s="36"/>
    </row>
    <row r="896" spans="1:24" x14ac:dyDescent="0.25">
      <c r="A896" s="37" t="s">
        <v>434</v>
      </c>
      <c r="B896" s="3" t="str">
        <f>RTD("ice.rtd",,$C896 &amp; $D896 &amp; ":" &amp; B$1)</f>
        <v>SJS</v>
      </c>
      <c r="C896" s="3">
        <v>30793693</v>
      </c>
      <c r="D896" t="s">
        <v>802</v>
      </c>
      <c r="E896" s="3" t="str">
        <f>RTD("ice.rtd",,$C896 &amp; $D896 &amp; ":" &amp; E$1)</f>
        <v>Oct27</v>
      </c>
      <c r="F896" s="3" t="str">
        <f>ICE[[#This Row],[Prod]]&amp;ICE[[#This Row],[Strip]]</f>
        <v>hsfoewOct27</v>
      </c>
      <c r="G896" s="18" t="str">
        <f>RTD("ice.rtd",,$C896 &amp; $D896 &amp; ":" &amp; G$1)</f>
        <v/>
      </c>
      <c r="H896" s="18" t="str">
        <f>RTD("ice.rtd",,$C896 &amp; $D896 &amp; ":" &amp; H$1)</f>
        <v/>
      </c>
      <c r="I896" s="18" t="str">
        <f>RTD("ice.rtd",,$C896 &amp; $D896 &amp; ":" &amp; I$1)</f>
        <v/>
      </c>
      <c r="J896" s="14" t="str">
        <f>IFERROR(MOD(RTD("ice.rtd",,$C896 &amp; $D896 &amp; ":" &amp; J$1), 1), "")</f>
        <v/>
      </c>
      <c r="K896" s="18" t="str">
        <f>RTD("ice.rtd",,$C896 &amp; $D896 &amp; ":" &amp; K$1)</f>
        <v/>
      </c>
      <c r="L896" s="36" t="str">
        <f>RTD("ice.rtd",,$C896 &amp; $D896 &amp; ":" &amp; L$1)</f>
        <v/>
      </c>
      <c r="M896" s="14" t="str">
        <f>IFERROR(MOD(TIMEVALUE(RTD("ice.rtd",,$C896 &amp; $D896 &amp; ":" &amp; M$1)), 1), "")</f>
        <v/>
      </c>
      <c r="N896" s="36">
        <f>RTD("ice.rtd",,$C896 &amp; $D896 &amp; ":" &amp; N$1)</f>
        <v>0</v>
      </c>
      <c r="O896" s="36">
        <f>RTD("ice.rtd",,$C896 &amp; $D896 &amp; ":" &amp; O$1)</f>
        <v>0</v>
      </c>
      <c r="P8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6" s="14" t="str">
        <f>IF(ICE[[#This Row],[LastType]] = "Scrn", ICE[[#This Row],[LstDate]], IF(ICE[[#This Row],[LastType]] = "Blk", ICE[[#This Row],[LstBlkTime]], ""))</f>
        <v/>
      </c>
      <c r="R896" s="41" t="str">
        <f>IF(ICE[[#This Row],[LastType]] = "Scrn", ICE[[#This Row],[LstPrc]], IF(ICE[[#This Row],[LastType]] = "Blk", ICE[[#This Row],[LstBlkPrc]], ""))</f>
        <v/>
      </c>
      <c r="S896" s="36">
        <f>ICE[[#This Row],[Vol]]+ICE[[#This Row],[BlkVol]]</f>
        <v>0</v>
      </c>
      <c r="T896" s="36">
        <f>RTD("ice.rtd",,$C896 &amp; $D896 &amp; ":" &amp; T$1)</f>
        <v>82</v>
      </c>
      <c r="U896" s="18">
        <f>RTD("ice.rtd",,$C896 &amp; $D896 &amp; ":" &amp; U$1)</f>
        <v>17.25</v>
      </c>
      <c r="V8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6" s="18" t="str">
        <f>IFERROR(IF(LEFT(ICE[[#This Row],[Tenor]], 1) = "B", RTD("esrtd",,$B896 &amp; " " &amp; ICE[[#This Row],[Tenor]] &amp; "-IEU", W$1), RTD("esrtd",,$B896 &amp; " " &amp; VLOOKUP(MONTH(ICE[[#This Row],[Strip]]), MthRef[], 2, 0) &amp; RIGHT(YEAR(ICE[[#This Row],[Strip]]), 2) &amp; "-IEU", W$1)), "")</f>
        <v/>
      </c>
      <c r="X896" s="36"/>
    </row>
    <row r="897" spans="1:24" x14ac:dyDescent="0.25">
      <c r="A897" s="37" t="s">
        <v>434</v>
      </c>
      <c r="B897" s="3" t="str">
        <f>RTD("ice.rtd",,$C897 &amp; $D897 &amp; ":" &amp; B$1)</f>
        <v>SJS</v>
      </c>
      <c r="C897" s="3">
        <v>30793693</v>
      </c>
      <c r="D897" t="s">
        <v>803</v>
      </c>
      <c r="E897" s="3" t="str">
        <f>RTD("ice.rtd",,$C897 &amp; $D897 &amp; ":" &amp; E$1)</f>
        <v>Nov27</v>
      </c>
      <c r="F897" s="3" t="str">
        <f>ICE[[#This Row],[Prod]]&amp;ICE[[#This Row],[Strip]]</f>
        <v>hsfoewNov27</v>
      </c>
      <c r="G897" s="18" t="str">
        <f>RTD("ice.rtd",,$C897 &amp; $D897 &amp; ":" &amp; G$1)</f>
        <v/>
      </c>
      <c r="H897" s="18" t="str">
        <f>RTD("ice.rtd",,$C897 &amp; $D897 &amp; ":" &amp; H$1)</f>
        <v/>
      </c>
      <c r="I897" s="18" t="str">
        <f>RTD("ice.rtd",,$C897 &amp; $D897 &amp; ":" &amp; I$1)</f>
        <v/>
      </c>
      <c r="J897" s="14" t="str">
        <f>IFERROR(MOD(RTD("ice.rtd",,$C897 &amp; $D897 &amp; ":" &amp; J$1), 1), "")</f>
        <v/>
      </c>
      <c r="K897" s="18" t="str">
        <f>RTD("ice.rtd",,$C897 &amp; $D897 &amp; ":" &amp; K$1)</f>
        <v/>
      </c>
      <c r="L897" s="36" t="str">
        <f>RTD("ice.rtd",,$C897 &amp; $D897 &amp; ":" &amp; L$1)</f>
        <v/>
      </c>
      <c r="M897" s="14" t="str">
        <f>IFERROR(MOD(TIMEVALUE(RTD("ice.rtd",,$C897 &amp; $D897 &amp; ":" &amp; M$1)), 1), "")</f>
        <v/>
      </c>
      <c r="N897" s="36">
        <f>RTD("ice.rtd",,$C897 &amp; $D897 &amp; ":" &amp; N$1)</f>
        <v>0</v>
      </c>
      <c r="O897" s="36">
        <f>RTD("ice.rtd",,$C897 &amp; $D897 &amp; ":" &amp; O$1)</f>
        <v>0</v>
      </c>
      <c r="P8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7" s="14" t="str">
        <f>IF(ICE[[#This Row],[LastType]] = "Scrn", ICE[[#This Row],[LstDate]], IF(ICE[[#This Row],[LastType]] = "Blk", ICE[[#This Row],[LstBlkTime]], ""))</f>
        <v/>
      </c>
      <c r="R897" s="41" t="str">
        <f>IF(ICE[[#This Row],[LastType]] = "Scrn", ICE[[#This Row],[LstPrc]], IF(ICE[[#This Row],[LastType]] = "Blk", ICE[[#This Row],[LstBlkPrc]], ""))</f>
        <v/>
      </c>
      <c r="S897" s="36">
        <f>ICE[[#This Row],[Vol]]+ICE[[#This Row],[BlkVol]]</f>
        <v>0</v>
      </c>
      <c r="T897" s="36">
        <f>RTD("ice.rtd",,$C897 &amp; $D897 &amp; ":" &amp; T$1)</f>
        <v>82</v>
      </c>
      <c r="U897" s="18">
        <f>RTD("ice.rtd",,$C897 &amp; $D897 &amp; ":" &amp; U$1)</f>
        <v>17.25</v>
      </c>
      <c r="V8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7" s="18" t="str">
        <f>IFERROR(IF(LEFT(ICE[[#This Row],[Tenor]], 1) = "B", RTD("esrtd",,$B897 &amp; " " &amp; ICE[[#This Row],[Tenor]] &amp; "-IEU", W$1), RTD("esrtd",,$B897 &amp; " " &amp; VLOOKUP(MONTH(ICE[[#This Row],[Strip]]), MthRef[], 2, 0) &amp; RIGHT(YEAR(ICE[[#This Row],[Strip]]), 2) &amp; "-IEU", W$1)), "")</f>
        <v/>
      </c>
      <c r="X897" s="36"/>
    </row>
    <row r="898" spans="1:24" x14ac:dyDescent="0.25">
      <c r="A898" s="37" t="s">
        <v>434</v>
      </c>
      <c r="B898" s="3" t="str">
        <f>RTD("ice.rtd",,$C898 &amp; $D898 &amp; ":" &amp; B$1)</f>
        <v>SJS</v>
      </c>
      <c r="C898" s="3">
        <v>30793693</v>
      </c>
      <c r="D898" t="s">
        <v>804</v>
      </c>
      <c r="E898" s="3" t="str">
        <f>RTD("ice.rtd",,$C898 &amp; $D898 &amp; ":" &amp; E$1)</f>
        <v>Dec27</v>
      </c>
      <c r="F898" s="3" t="str">
        <f>ICE[[#This Row],[Prod]]&amp;ICE[[#This Row],[Strip]]</f>
        <v>hsfoewDec27</v>
      </c>
      <c r="G898" s="18" t="str">
        <f>RTD("ice.rtd",,$C898 &amp; $D898 &amp; ":" &amp; G$1)</f>
        <v/>
      </c>
      <c r="H898" s="18" t="str">
        <f>RTD("ice.rtd",,$C898 &amp; $D898 &amp; ":" &amp; H$1)</f>
        <v/>
      </c>
      <c r="I898" s="18" t="str">
        <f>RTD("ice.rtd",,$C898 &amp; $D898 &amp; ":" &amp; I$1)</f>
        <v/>
      </c>
      <c r="J898" s="14" t="str">
        <f>IFERROR(MOD(RTD("ice.rtd",,$C898 &amp; $D898 &amp; ":" &amp; J$1), 1), "")</f>
        <v/>
      </c>
      <c r="K898" s="18" t="str">
        <f>RTD("ice.rtd",,$C898 &amp; $D898 &amp; ":" &amp; K$1)</f>
        <v/>
      </c>
      <c r="L898" s="36" t="str">
        <f>RTD("ice.rtd",,$C898 &amp; $D898 &amp; ":" &amp; L$1)</f>
        <v/>
      </c>
      <c r="M898" s="14" t="str">
        <f>IFERROR(MOD(TIMEVALUE(RTD("ice.rtd",,$C898 &amp; $D898 &amp; ":" &amp; M$1)), 1), "")</f>
        <v/>
      </c>
      <c r="N898" s="36">
        <f>RTD("ice.rtd",,$C898 &amp; $D898 &amp; ":" &amp; N$1)</f>
        <v>0</v>
      </c>
      <c r="O898" s="36">
        <f>RTD("ice.rtd",,$C898 &amp; $D898 &amp; ":" &amp; O$1)</f>
        <v>0</v>
      </c>
      <c r="P8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8" s="14" t="str">
        <f>IF(ICE[[#This Row],[LastType]] = "Scrn", ICE[[#This Row],[LstDate]], IF(ICE[[#This Row],[LastType]] = "Blk", ICE[[#This Row],[LstBlkTime]], ""))</f>
        <v/>
      </c>
      <c r="R898" s="41" t="str">
        <f>IF(ICE[[#This Row],[LastType]] = "Scrn", ICE[[#This Row],[LstPrc]], IF(ICE[[#This Row],[LastType]] = "Blk", ICE[[#This Row],[LstBlkPrc]], ""))</f>
        <v/>
      </c>
      <c r="S898" s="36">
        <f>ICE[[#This Row],[Vol]]+ICE[[#This Row],[BlkVol]]</f>
        <v>0</v>
      </c>
      <c r="T898" s="36">
        <f>RTD("ice.rtd",,$C898 &amp; $D898 &amp; ":" &amp; T$1)</f>
        <v>173</v>
      </c>
      <c r="U898" s="18">
        <f>RTD("ice.rtd",,$C898 &amp; $D898 &amp; ":" &amp; U$1)</f>
        <v>17.25</v>
      </c>
      <c r="V8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8" s="18" t="str">
        <f>IFERROR(IF(LEFT(ICE[[#This Row],[Tenor]], 1) = "B", RTD("esrtd",,$B898 &amp; " " &amp; ICE[[#This Row],[Tenor]] &amp; "-IEU", W$1), RTD("esrtd",,$B898 &amp; " " &amp; VLOOKUP(MONTH(ICE[[#This Row],[Strip]]), MthRef[], 2, 0) &amp; RIGHT(YEAR(ICE[[#This Row],[Strip]]), 2) &amp; "-IEU", W$1)), "")</f>
        <v/>
      </c>
      <c r="X898" s="36"/>
    </row>
    <row r="899" spans="1:24" x14ac:dyDescent="0.25">
      <c r="A899" s="37" t="s">
        <v>434</v>
      </c>
      <c r="B899" s="3" t="str">
        <f>RTD("ice.rtd",,$C899 &amp; $D899 &amp; ":" &amp; B$1)</f>
        <v>SJS</v>
      </c>
      <c r="C899" s="3">
        <v>30793693</v>
      </c>
      <c r="D899" t="s">
        <v>805</v>
      </c>
      <c r="E899" s="3" t="str">
        <f>RTD("ice.rtd",,$C899 &amp; $D899 &amp; ":" &amp; E$1)</f>
        <v>Jan28</v>
      </c>
      <c r="F899" s="3" t="str">
        <f>ICE[[#This Row],[Prod]]&amp;ICE[[#This Row],[Strip]]</f>
        <v>hsfoewJan28</v>
      </c>
      <c r="G899" s="18" t="str">
        <f>RTD("ice.rtd",,$C899 &amp; $D899 &amp; ":" &amp; G$1)</f>
        <v/>
      </c>
      <c r="H899" s="18" t="str">
        <f>RTD("ice.rtd",,$C899 &amp; $D899 &amp; ":" &amp; H$1)</f>
        <v/>
      </c>
      <c r="I899" s="18" t="str">
        <f>RTD("ice.rtd",,$C899 &amp; $D899 &amp; ":" &amp; I$1)</f>
        <v/>
      </c>
      <c r="J899" s="14" t="str">
        <f>IFERROR(MOD(RTD("ice.rtd",,$C899 &amp; $D899 &amp; ":" &amp; J$1), 1), "")</f>
        <v/>
      </c>
      <c r="K899" s="18" t="str">
        <f>RTD("ice.rtd",,$C899 &amp; $D899 &amp; ":" &amp; K$1)</f>
        <v/>
      </c>
      <c r="L899" s="36" t="str">
        <f>RTD("ice.rtd",,$C899 &amp; $D899 &amp; ":" &amp; L$1)</f>
        <v/>
      </c>
      <c r="M899" s="14" t="str">
        <f>IFERROR(MOD(TIMEVALUE(RTD("ice.rtd",,$C899 &amp; $D899 &amp; ":" &amp; M$1)), 1), "")</f>
        <v/>
      </c>
      <c r="N899" s="36">
        <f>RTD("ice.rtd",,$C899 &amp; $D899 &amp; ":" &amp; N$1)</f>
        <v>0</v>
      </c>
      <c r="O899" s="36">
        <f>RTD("ice.rtd",,$C899 &amp; $D899 &amp; ":" &amp; O$1)</f>
        <v>0</v>
      </c>
      <c r="P8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899" s="14" t="str">
        <f>IF(ICE[[#This Row],[LastType]] = "Scrn", ICE[[#This Row],[LstDate]], IF(ICE[[#This Row],[LastType]] = "Blk", ICE[[#This Row],[LstBlkTime]], ""))</f>
        <v/>
      </c>
      <c r="R899" s="41" t="str">
        <f>IF(ICE[[#This Row],[LastType]] = "Scrn", ICE[[#This Row],[LstPrc]], IF(ICE[[#This Row],[LastType]] = "Blk", ICE[[#This Row],[LstBlkPrc]], ""))</f>
        <v/>
      </c>
      <c r="S899" s="36">
        <f>ICE[[#This Row],[Vol]]+ICE[[#This Row],[BlkVol]]</f>
        <v>0</v>
      </c>
      <c r="T899" s="36">
        <f>RTD("ice.rtd",,$C899 &amp; $D899 &amp; ":" &amp; T$1)</f>
        <v>3</v>
      </c>
      <c r="U899" s="18">
        <f>RTD("ice.rtd",,$C899 &amp; $D899 &amp; ":" &amp; U$1)</f>
        <v>17.25</v>
      </c>
      <c r="V8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899" s="18" t="str">
        <f>IFERROR(IF(LEFT(ICE[[#This Row],[Tenor]], 1) = "B", RTD("esrtd",,$B899 &amp; " " &amp; ICE[[#This Row],[Tenor]] &amp; "-IEU", W$1), RTD("esrtd",,$B899 &amp; " " &amp; VLOOKUP(MONTH(ICE[[#This Row],[Strip]]), MthRef[], 2, 0) &amp; RIGHT(YEAR(ICE[[#This Row],[Strip]]), 2) &amp; "-IEU", W$1)), "")</f>
        <v/>
      </c>
      <c r="X899" s="36"/>
    </row>
    <row r="900" spans="1:24" x14ac:dyDescent="0.25">
      <c r="A900" s="37" t="s">
        <v>434</v>
      </c>
      <c r="B900" s="3" t="str">
        <f>RTD("ice.rtd",,$C900 &amp; $D900 &amp; ":" &amp; B$1)</f>
        <v>SJS</v>
      </c>
      <c r="C900" s="3">
        <v>30793693</v>
      </c>
      <c r="D900" t="s">
        <v>806</v>
      </c>
      <c r="E900" s="3" t="str">
        <f>RTD("ice.rtd",,$C900 &amp; $D900 &amp; ":" &amp; E$1)</f>
        <v>Feb28</v>
      </c>
      <c r="F900" s="3" t="str">
        <f>ICE[[#This Row],[Prod]]&amp;ICE[[#This Row],[Strip]]</f>
        <v>hsfoewFeb28</v>
      </c>
      <c r="G900" s="18" t="str">
        <f>RTD("ice.rtd",,$C900 &amp; $D900 &amp; ":" &amp; G$1)</f>
        <v/>
      </c>
      <c r="H900" s="18" t="str">
        <f>RTD("ice.rtd",,$C900 &amp; $D900 &amp; ":" &amp; H$1)</f>
        <v/>
      </c>
      <c r="I900" s="18" t="str">
        <f>RTD("ice.rtd",,$C900 &amp; $D900 &amp; ":" &amp; I$1)</f>
        <v/>
      </c>
      <c r="J900" s="14" t="str">
        <f>IFERROR(MOD(RTD("ice.rtd",,$C900 &amp; $D900 &amp; ":" &amp; J$1), 1), "")</f>
        <v/>
      </c>
      <c r="K900" s="18" t="str">
        <f>RTD("ice.rtd",,$C900 &amp; $D900 &amp; ":" &amp; K$1)</f>
        <v/>
      </c>
      <c r="L900" s="36" t="str">
        <f>RTD("ice.rtd",,$C900 &amp; $D900 &amp; ":" &amp; L$1)</f>
        <v/>
      </c>
      <c r="M900" s="14" t="str">
        <f>IFERROR(MOD(TIMEVALUE(RTD("ice.rtd",,$C900 &amp; $D900 &amp; ":" &amp; M$1)), 1), "")</f>
        <v/>
      </c>
      <c r="N900" s="36">
        <f>RTD("ice.rtd",,$C900 &amp; $D900 &amp; ":" &amp; N$1)</f>
        <v>0</v>
      </c>
      <c r="O900" s="36">
        <f>RTD("ice.rtd",,$C900 &amp; $D900 &amp; ":" &amp; O$1)</f>
        <v>0</v>
      </c>
      <c r="P9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0" s="14" t="str">
        <f>IF(ICE[[#This Row],[LastType]] = "Scrn", ICE[[#This Row],[LstDate]], IF(ICE[[#This Row],[LastType]] = "Blk", ICE[[#This Row],[LstBlkTime]], ""))</f>
        <v/>
      </c>
      <c r="R900" s="41" t="str">
        <f>IF(ICE[[#This Row],[LastType]] = "Scrn", ICE[[#This Row],[LstPrc]], IF(ICE[[#This Row],[LastType]] = "Blk", ICE[[#This Row],[LstBlkPrc]], ""))</f>
        <v/>
      </c>
      <c r="S900" s="36">
        <f>ICE[[#This Row],[Vol]]+ICE[[#This Row],[BlkVol]]</f>
        <v>0</v>
      </c>
      <c r="T900" s="36">
        <f>RTD("ice.rtd",,$C900 &amp; $D900 &amp; ":" &amp; T$1)</f>
        <v>3</v>
      </c>
      <c r="U900" s="18">
        <f>RTD("ice.rtd",,$C900 &amp; $D900 &amp; ":" &amp; U$1)</f>
        <v>17</v>
      </c>
      <c r="V9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0" s="18" t="str">
        <f>IFERROR(IF(LEFT(ICE[[#This Row],[Tenor]], 1) = "B", RTD("esrtd",,$B900 &amp; " " &amp; ICE[[#This Row],[Tenor]] &amp; "-IEU", W$1), RTD("esrtd",,$B900 &amp; " " &amp; VLOOKUP(MONTH(ICE[[#This Row],[Strip]]), MthRef[], 2, 0) &amp; RIGHT(YEAR(ICE[[#This Row],[Strip]]), 2) &amp; "-IEU", W$1)), "")</f>
        <v/>
      </c>
      <c r="X900" s="36"/>
    </row>
    <row r="901" spans="1:24" x14ac:dyDescent="0.25">
      <c r="A901" s="37" t="s">
        <v>434</v>
      </c>
      <c r="B901" s="3" t="str">
        <f>RTD("ice.rtd",,$C901 &amp; $D901 &amp; ":" &amp; B$1)</f>
        <v>SJS</v>
      </c>
      <c r="C901" s="3">
        <v>30793693</v>
      </c>
      <c r="D901" t="s">
        <v>807</v>
      </c>
      <c r="E901" s="3" t="str">
        <f>RTD("ice.rtd",,$C901 &amp; $D901 &amp; ":" &amp; E$1)</f>
        <v>Mar28</v>
      </c>
      <c r="F901" s="3" t="str">
        <f>ICE[[#This Row],[Prod]]&amp;ICE[[#This Row],[Strip]]</f>
        <v>hsfoewMar28</v>
      </c>
      <c r="G901" s="18" t="str">
        <f>RTD("ice.rtd",,$C901 &amp; $D901 &amp; ":" &amp; G$1)</f>
        <v/>
      </c>
      <c r="H901" s="18" t="str">
        <f>RTD("ice.rtd",,$C901 &amp; $D901 &amp; ":" &amp; H$1)</f>
        <v/>
      </c>
      <c r="I901" s="18" t="str">
        <f>RTD("ice.rtd",,$C901 &amp; $D901 &amp; ":" &amp; I$1)</f>
        <v/>
      </c>
      <c r="J901" s="14" t="str">
        <f>IFERROR(MOD(RTD("ice.rtd",,$C901 &amp; $D901 &amp; ":" &amp; J$1), 1), "")</f>
        <v/>
      </c>
      <c r="K901" s="18" t="str">
        <f>RTD("ice.rtd",,$C901 &amp; $D901 &amp; ":" &amp; K$1)</f>
        <v/>
      </c>
      <c r="L901" s="36" t="str">
        <f>RTD("ice.rtd",,$C901 &amp; $D901 &amp; ":" &amp; L$1)</f>
        <v/>
      </c>
      <c r="M901" s="14" t="str">
        <f>IFERROR(MOD(TIMEVALUE(RTD("ice.rtd",,$C901 &amp; $D901 &amp; ":" &amp; M$1)), 1), "")</f>
        <v/>
      </c>
      <c r="N901" s="36">
        <f>RTD("ice.rtd",,$C901 &amp; $D901 &amp; ":" &amp; N$1)</f>
        <v>0</v>
      </c>
      <c r="O901" s="36">
        <f>RTD("ice.rtd",,$C901 &amp; $D901 &amp; ":" &amp; O$1)</f>
        <v>0</v>
      </c>
      <c r="P9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1" s="14" t="str">
        <f>IF(ICE[[#This Row],[LastType]] = "Scrn", ICE[[#This Row],[LstDate]], IF(ICE[[#This Row],[LastType]] = "Blk", ICE[[#This Row],[LstBlkTime]], ""))</f>
        <v/>
      </c>
      <c r="R901" s="41" t="str">
        <f>IF(ICE[[#This Row],[LastType]] = "Scrn", ICE[[#This Row],[LstPrc]], IF(ICE[[#This Row],[LastType]] = "Blk", ICE[[#This Row],[LstBlkPrc]], ""))</f>
        <v/>
      </c>
      <c r="S901" s="36">
        <f>ICE[[#This Row],[Vol]]+ICE[[#This Row],[BlkVol]]</f>
        <v>0</v>
      </c>
      <c r="T901" s="36">
        <f>RTD("ice.rtd",,$C901 &amp; $D901 &amp; ":" &amp; T$1)</f>
        <v>3</v>
      </c>
      <c r="U901" s="18">
        <f>RTD("ice.rtd",,$C901 &amp; $D901 &amp; ":" &amp; U$1)</f>
        <v>16.75</v>
      </c>
      <c r="V9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1" s="18" t="str">
        <f>IFERROR(IF(LEFT(ICE[[#This Row],[Tenor]], 1) = "B", RTD("esrtd",,$B901 &amp; " " &amp; ICE[[#This Row],[Tenor]] &amp; "-IEU", W$1), RTD("esrtd",,$B901 &amp; " " &amp; VLOOKUP(MONTH(ICE[[#This Row],[Strip]]), MthRef[], 2, 0) &amp; RIGHT(YEAR(ICE[[#This Row],[Strip]]), 2) &amp; "-IEU", W$1)), "")</f>
        <v/>
      </c>
      <c r="X901" s="36"/>
    </row>
    <row r="902" spans="1:24" x14ac:dyDescent="0.25">
      <c r="A902" s="37" t="s">
        <v>434</v>
      </c>
      <c r="B902" s="3" t="str">
        <f>RTD("ice.rtd",,$C902 &amp; $D902 &amp; ":" &amp; B$1)</f>
        <v>SJS</v>
      </c>
      <c r="C902" s="3">
        <v>30793693</v>
      </c>
      <c r="D902" t="s">
        <v>808</v>
      </c>
      <c r="E902" s="3" t="str">
        <f>RTD("ice.rtd",,$C902 &amp; $D902 &amp; ":" &amp; E$1)</f>
        <v>Apr28</v>
      </c>
      <c r="F902" s="3" t="str">
        <f>ICE[[#This Row],[Prod]]&amp;ICE[[#This Row],[Strip]]</f>
        <v>hsfoewApr28</v>
      </c>
      <c r="G902" s="18" t="str">
        <f>RTD("ice.rtd",,$C902 &amp; $D902 &amp; ":" &amp; G$1)</f>
        <v/>
      </c>
      <c r="H902" s="18" t="str">
        <f>RTD("ice.rtd",,$C902 &amp; $D902 &amp; ":" &amp; H$1)</f>
        <v/>
      </c>
      <c r="I902" s="18" t="str">
        <f>RTD("ice.rtd",,$C902 &amp; $D902 &amp; ":" &amp; I$1)</f>
        <v/>
      </c>
      <c r="J902" s="14" t="str">
        <f>IFERROR(MOD(RTD("ice.rtd",,$C902 &amp; $D902 &amp; ":" &amp; J$1), 1), "")</f>
        <v/>
      </c>
      <c r="K902" s="18" t="str">
        <f>RTD("ice.rtd",,$C902 &amp; $D902 &amp; ":" &amp; K$1)</f>
        <v/>
      </c>
      <c r="L902" s="36" t="str">
        <f>RTD("ice.rtd",,$C902 &amp; $D902 &amp; ":" &amp; L$1)</f>
        <v/>
      </c>
      <c r="M902" s="14" t="str">
        <f>IFERROR(MOD(TIMEVALUE(RTD("ice.rtd",,$C902 &amp; $D902 &amp; ":" &amp; M$1)), 1), "")</f>
        <v/>
      </c>
      <c r="N902" s="36">
        <f>RTD("ice.rtd",,$C902 &amp; $D902 &amp; ":" &amp; N$1)</f>
        <v>0</v>
      </c>
      <c r="O902" s="36">
        <f>RTD("ice.rtd",,$C902 &amp; $D902 &amp; ":" &amp; O$1)</f>
        <v>0</v>
      </c>
      <c r="P9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2" s="14" t="str">
        <f>IF(ICE[[#This Row],[LastType]] = "Scrn", ICE[[#This Row],[LstDate]], IF(ICE[[#This Row],[LastType]] = "Blk", ICE[[#This Row],[LstBlkTime]], ""))</f>
        <v/>
      </c>
      <c r="R902" s="41" t="str">
        <f>IF(ICE[[#This Row],[LastType]] = "Scrn", ICE[[#This Row],[LstPrc]], IF(ICE[[#This Row],[LastType]] = "Blk", ICE[[#This Row],[LstBlkPrc]], ""))</f>
        <v/>
      </c>
      <c r="S902" s="36">
        <f>ICE[[#This Row],[Vol]]+ICE[[#This Row],[BlkVol]]</f>
        <v>0</v>
      </c>
      <c r="T902" s="36">
        <f>RTD("ice.rtd",,$C902 &amp; $D902 &amp; ":" &amp; T$1)</f>
        <v>8</v>
      </c>
      <c r="U902" s="18">
        <f>RTD("ice.rtd",,$C902 &amp; $D902 &amp; ":" &amp; U$1)</f>
        <v>16.5</v>
      </c>
      <c r="V9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2" s="18" t="str">
        <f>IFERROR(IF(LEFT(ICE[[#This Row],[Tenor]], 1) = "B", RTD("esrtd",,$B902 &amp; " " &amp; ICE[[#This Row],[Tenor]] &amp; "-IEU", W$1), RTD("esrtd",,$B902 &amp; " " &amp; VLOOKUP(MONTH(ICE[[#This Row],[Strip]]), MthRef[], 2, 0) &amp; RIGHT(YEAR(ICE[[#This Row],[Strip]]), 2) &amp; "-IEU", W$1)), "")</f>
        <v/>
      </c>
      <c r="X902" s="36"/>
    </row>
    <row r="903" spans="1:24" x14ac:dyDescent="0.25">
      <c r="A903" s="37" t="s">
        <v>434</v>
      </c>
      <c r="B903" s="3" t="str">
        <f>RTD("ice.rtd",,$C903 &amp; $D903 &amp; ":" &amp; B$1)</f>
        <v>SJS</v>
      </c>
      <c r="C903" s="3">
        <v>30793693</v>
      </c>
      <c r="D903" t="s">
        <v>809</v>
      </c>
      <c r="E903" s="3" t="str">
        <f>RTD("ice.rtd",,$C903 &amp; $D903 &amp; ":" &amp; E$1)</f>
        <v>May28</v>
      </c>
      <c r="F903" s="3" t="str">
        <f>ICE[[#This Row],[Prod]]&amp;ICE[[#This Row],[Strip]]</f>
        <v>hsfoewMay28</v>
      </c>
      <c r="G903" s="18" t="str">
        <f>RTD("ice.rtd",,$C903 &amp; $D903 &amp; ":" &amp; G$1)</f>
        <v/>
      </c>
      <c r="H903" s="18" t="str">
        <f>RTD("ice.rtd",,$C903 &amp; $D903 &amp; ":" &amp; H$1)</f>
        <v/>
      </c>
      <c r="I903" s="18" t="str">
        <f>RTD("ice.rtd",,$C903 &amp; $D903 &amp; ":" &amp; I$1)</f>
        <v/>
      </c>
      <c r="J903" s="14" t="str">
        <f>IFERROR(MOD(RTD("ice.rtd",,$C903 &amp; $D903 &amp; ":" &amp; J$1), 1), "")</f>
        <v/>
      </c>
      <c r="K903" s="18" t="str">
        <f>RTD("ice.rtd",,$C903 &amp; $D903 &amp; ":" &amp; K$1)</f>
        <v/>
      </c>
      <c r="L903" s="36" t="str">
        <f>RTD("ice.rtd",,$C903 &amp; $D903 &amp; ":" &amp; L$1)</f>
        <v/>
      </c>
      <c r="M903" s="14" t="str">
        <f>IFERROR(MOD(TIMEVALUE(RTD("ice.rtd",,$C903 &amp; $D903 &amp; ":" &amp; M$1)), 1), "")</f>
        <v/>
      </c>
      <c r="N903" s="36">
        <f>RTD("ice.rtd",,$C903 &amp; $D903 &amp; ":" &amp; N$1)</f>
        <v>0</v>
      </c>
      <c r="O903" s="36">
        <f>RTD("ice.rtd",,$C903 &amp; $D903 &amp; ":" &amp; O$1)</f>
        <v>0</v>
      </c>
      <c r="P9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3" s="14" t="str">
        <f>IF(ICE[[#This Row],[LastType]] = "Scrn", ICE[[#This Row],[LstDate]], IF(ICE[[#This Row],[LastType]] = "Blk", ICE[[#This Row],[LstBlkTime]], ""))</f>
        <v/>
      </c>
      <c r="R903" s="41" t="str">
        <f>IF(ICE[[#This Row],[LastType]] = "Scrn", ICE[[#This Row],[LstPrc]], IF(ICE[[#This Row],[LastType]] = "Blk", ICE[[#This Row],[LstBlkPrc]], ""))</f>
        <v/>
      </c>
      <c r="S903" s="36">
        <f>ICE[[#This Row],[Vol]]+ICE[[#This Row],[BlkVol]]</f>
        <v>0</v>
      </c>
      <c r="T903" s="36">
        <f>RTD("ice.rtd",,$C903 &amp; $D903 &amp; ":" &amp; T$1)</f>
        <v>8</v>
      </c>
      <c r="U903" s="18">
        <f>RTD("ice.rtd",,$C903 &amp; $D903 &amp; ":" &amp; U$1)</f>
        <v>16</v>
      </c>
      <c r="V9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3" s="18" t="str">
        <f>IFERROR(IF(LEFT(ICE[[#This Row],[Tenor]], 1) = "B", RTD("esrtd",,$B903 &amp; " " &amp; ICE[[#This Row],[Tenor]] &amp; "-IEU", W$1), RTD("esrtd",,$B903 &amp; " " &amp; VLOOKUP(MONTH(ICE[[#This Row],[Strip]]), MthRef[], 2, 0) &amp; RIGHT(YEAR(ICE[[#This Row],[Strip]]), 2) &amp; "-IEU", W$1)), "")</f>
        <v/>
      </c>
      <c r="X903" s="36"/>
    </row>
    <row r="904" spans="1:24" x14ac:dyDescent="0.25">
      <c r="A904" s="37" t="s">
        <v>434</v>
      </c>
      <c r="B904" s="3" t="str">
        <f>RTD("ice.rtd",,$C904 &amp; $D904 &amp; ":" &amp; B$1)</f>
        <v>SJS</v>
      </c>
      <c r="C904" s="3">
        <v>30793693</v>
      </c>
      <c r="D904" t="s">
        <v>810</v>
      </c>
      <c r="E904" s="3" t="str">
        <f>RTD("ice.rtd",,$C904 &amp; $D904 &amp; ":" &amp; E$1)</f>
        <v>Jun28</v>
      </c>
      <c r="F904" s="3" t="str">
        <f>ICE[[#This Row],[Prod]]&amp;ICE[[#This Row],[Strip]]</f>
        <v>hsfoewJun28</v>
      </c>
      <c r="G904" s="18" t="str">
        <f>RTD("ice.rtd",,$C904 &amp; $D904 &amp; ":" &amp; G$1)</f>
        <v/>
      </c>
      <c r="H904" s="18" t="str">
        <f>RTD("ice.rtd",,$C904 &amp; $D904 &amp; ":" &amp; H$1)</f>
        <v/>
      </c>
      <c r="I904" s="18" t="str">
        <f>RTD("ice.rtd",,$C904 &amp; $D904 &amp; ":" &amp; I$1)</f>
        <v/>
      </c>
      <c r="J904" s="14" t="str">
        <f>IFERROR(MOD(RTD("ice.rtd",,$C904 &amp; $D904 &amp; ":" &amp; J$1), 1), "")</f>
        <v/>
      </c>
      <c r="K904" s="18" t="str">
        <f>RTD("ice.rtd",,$C904 &amp; $D904 &amp; ":" &amp; K$1)</f>
        <v/>
      </c>
      <c r="L904" s="36" t="str">
        <f>RTD("ice.rtd",,$C904 &amp; $D904 &amp; ":" &amp; L$1)</f>
        <v/>
      </c>
      <c r="M904" s="14" t="str">
        <f>IFERROR(MOD(TIMEVALUE(RTD("ice.rtd",,$C904 &amp; $D904 &amp; ":" &amp; M$1)), 1), "")</f>
        <v/>
      </c>
      <c r="N904" s="36">
        <f>RTD("ice.rtd",,$C904 &amp; $D904 &amp; ":" &amp; N$1)</f>
        <v>0</v>
      </c>
      <c r="O904" s="36">
        <f>RTD("ice.rtd",,$C904 &amp; $D904 &amp; ":" &amp; O$1)</f>
        <v>0</v>
      </c>
      <c r="P9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4" s="14" t="str">
        <f>IF(ICE[[#This Row],[LastType]] = "Scrn", ICE[[#This Row],[LstDate]], IF(ICE[[#This Row],[LastType]] = "Blk", ICE[[#This Row],[LstBlkTime]], ""))</f>
        <v/>
      </c>
      <c r="R904" s="41" t="str">
        <f>IF(ICE[[#This Row],[LastType]] = "Scrn", ICE[[#This Row],[LstPrc]], IF(ICE[[#This Row],[LastType]] = "Blk", ICE[[#This Row],[LstBlkPrc]], ""))</f>
        <v/>
      </c>
      <c r="S904" s="36">
        <f>ICE[[#This Row],[Vol]]+ICE[[#This Row],[BlkVol]]</f>
        <v>0</v>
      </c>
      <c r="T904" s="36">
        <f>RTD("ice.rtd",,$C904 &amp; $D904 &amp; ":" &amp; T$1)</f>
        <v>8</v>
      </c>
      <c r="U904" s="18">
        <f>RTD("ice.rtd",,$C904 &amp; $D904 &amp; ":" &amp; U$1)</f>
        <v>15.5</v>
      </c>
      <c r="V9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4" s="18" t="str">
        <f>IFERROR(IF(LEFT(ICE[[#This Row],[Tenor]], 1) = "B", RTD("esrtd",,$B904 &amp; " " &amp; ICE[[#This Row],[Tenor]] &amp; "-IEU", W$1), RTD("esrtd",,$B904 &amp; " " &amp; VLOOKUP(MONTH(ICE[[#This Row],[Strip]]), MthRef[], 2, 0) &amp; RIGHT(YEAR(ICE[[#This Row],[Strip]]), 2) &amp; "-IEU", W$1)), "")</f>
        <v/>
      </c>
      <c r="X904" s="36"/>
    </row>
    <row r="905" spans="1:24" x14ac:dyDescent="0.25">
      <c r="A905" s="37" t="s">
        <v>434</v>
      </c>
      <c r="B905" s="3" t="str">
        <f>RTD("ice.rtd",,$C905 &amp; $D905 &amp; ":" &amp; B$1)</f>
        <v>SJS</v>
      </c>
      <c r="C905" s="3">
        <v>30793693</v>
      </c>
      <c r="D905" t="s">
        <v>811</v>
      </c>
      <c r="E905" s="3" t="str">
        <f>RTD("ice.rtd",,$C905 &amp; $D905 &amp; ":" &amp; E$1)</f>
        <v>Jul28</v>
      </c>
      <c r="F905" s="3" t="str">
        <f>ICE[[#This Row],[Prod]]&amp;ICE[[#This Row],[Strip]]</f>
        <v>hsfoewJul28</v>
      </c>
      <c r="G905" s="18" t="str">
        <f>RTD("ice.rtd",,$C905 &amp; $D905 &amp; ":" &amp; G$1)</f>
        <v/>
      </c>
      <c r="H905" s="18" t="str">
        <f>RTD("ice.rtd",,$C905 &amp; $D905 &amp; ":" &amp; H$1)</f>
        <v/>
      </c>
      <c r="I905" s="18" t="str">
        <f>RTD("ice.rtd",,$C905 &amp; $D905 &amp; ":" &amp; I$1)</f>
        <v/>
      </c>
      <c r="J905" s="14" t="str">
        <f>IFERROR(MOD(RTD("ice.rtd",,$C905 &amp; $D905 &amp; ":" &amp; J$1), 1), "")</f>
        <v/>
      </c>
      <c r="K905" s="18" t="str">
        <f>RTD("ice.rtd",,$C905 &amp; $D905 &amp; ":" &amp; K$1)</f>
        <v/>
      </c>
      <c r="L905" s="36" t="str">
        <f>RTD("ice.rtd",,$C905 &amp; $D905 &amp; ":" &amp; L$1)</f>
        <v/>
      </c>
      <c r="M905" s="14" t="str">
        <f>IFERROR(MOD(TIMEVALUE(RTD("ice.rtd",,$C905 &amp; $D905 &amp; ":" &amp; M$1)), 1), "")</f>
        <v/>
      </c>
      <c r="N905" s="36">
        <f>RTD("ice.rtd",,$C905 &amp; $D905 &amp; ":" &amp; N$1)</f>
        <v>0</v>
      </c>
      <c r="O905" s="36">
        <f>RTD("ice.rtd",,$C905 &amp; $D905 &amp; ":" &amp; O$1)</f>
        <v>0</v>
      </c>
      <c r="P9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5" s="14" t="str">
        <f>IF(ICE[[#This Row],[LastType]] = "Scrn", ICE[[#This Row],[LstDate]], IF(ICE[[#This Row],[LastType]] = "Blk", ICE[[#This Row],[LstBlkTime]], ""))</f>
        <v/>
      </c>
      <c r="R905" s="41" t="str">
        <f>IF(ICE[[#This Row],[LastType]] = "Scrn", ICE[[#This Row],[LstPrc]], IF(ICE[[#This Row],[LastType]] = "Blk", ICE[[#This Row],[LstBlkPrc]], ""))</f>
        <v/>
      </c>
      <c r="S905" s="36">
        <f>ICE[[#This Row],[Vol]]+ICE[[#This Row],[BlkVol]]</f>
        <v>0</v>
      </c>
      <c r="T905" s="36">
        <f>RTD("ice.rtd",,$C905 &amp; $D905 &amp; ":" &amp; T$1)</f>
        <v>8</v>
      </c>
      <c r="U905" s="18">
        <f>RTD("ice.rtd",,$C905 &amp; $D905 &amp; ":" &amp; U$1)</f>
        <v>15.25</v>
      </c>
      <c r="V9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5" s="18" t="str">
        <f>IFERROR(IF(LEFT(ICE[[#This Row],[Tenor]], 1) = "B", RTD("esrtd",,$B905 &amp; " " &amp; ICE[[#This Row],[Tenor]] &amp; "-IEU", W$1), RTD("esrtd",,$B905 &amp; " " &amp; VLOOKUP(MONTH(ICE[[#This Row],[Strip]]), MthRef[], 2, 0) &amp; RIGHT(YEAR(ICE[[#This Row],[Strip]]), 2) &amp; "-IEU", W$1)), "")</f>
        <v/>
      </c>
      <c r="X905" s="36"/>
    </row>
    <row r="906" spans="1:24" x14ac:dyDescent="0.25">
      <c r="A906" s="37" t="s">
        <v>434</v>
      </c>
      <c r="B906" s="3" t="str">
        <f>RTD("ice.rtd",,$C906 &amp; $D906 &amp; ":" &amp; B$1)</f>
        <v>SJS</v>
      </c>
      <c r="C906" s="3">
        <v>30793693</v>
      </c>
      <c r="D906" t="s">
        <v>812</v>
      </c>
      <c r="E906" s="3" t="str">
        <f>RTD("ice.rtd",,$C906 &amp; $D906 &amp; ":" &amp; E$1)</f>
        <v>Aug28</v>
      </c>
      <c r="F906" s="3" t="str">
        <f>ICE[[#This Row],[Prod]]&amp;ICE[[#This Row],[Strip]]</f>
        <v>hsfoewAug28</v>
      </c>
      <c r="G906" s="18" t="str">
        <f>RTD("ice.rtd",,$C906 &amp; $D906 &amp; ":" &amp; G$1)</f>
        <v/>
      </c>
      <c r="H906" s="18" t="str">
        <f>RTD("ice.rtd",,$C906 &amp; $D906 &amp; ":" &amp; H$1)</f>
        <v/>
      </c>
      <c r="I906" s="18" t="str">
        <f>RTD("ice.rtd",,$C906 &amp; $D906 &amp; ":" &amp; I$1)</f>
        <v/>
      </c>
      <c r="J906" s="14" t="str">
        <f>IFERROR(MOD(RTD("ice.rtd",,$C906 &amp; $D906 &amp; ":" &amp; J$1), 1), "")</f>
        <v/>
      </c>
      <c r="K906" s="18" t="str">
        <f>RTD("ice.rtd",,$C906 &amp; $D906 &amp; ":" &amp; K$1)</f>
        <v/>
      </c>
      <c r="L906" s="36" t="str">
        <f>RTD("ice.rtd",,$C906 &amp; $D906 &amp; ":" &amp; L$1)</f>
        <v/>
      </c>
      <c r="M906" s="14" t="str">
        <f>IFERROR(MOD(TIMEVALUE(RTD("ice.rtd",,$C906 &amp; $D906 &amp; ":" &amp; M$1)), 1), "")</f>
        <v/>
      </c>
      <c r="N906" s="36">
        <f>RTD("ice.rtd",,$C906 &amp; $D906 &amp; ":" &amp; N$1)</f>
        <v>0</v>
      </c>
      <c r="O906" s="36">
        <f>RTD("ice.rtd",,$C906 &amp; $D906 &amp; ":" &amp; O$1)</f>
        <v>0</v>
      </c>
      <c r="P9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6" s="14" t="str">
        <f>IF(ICE[[#This Row],[LastType]] = "Scrn", ICE[[#This Row],[LstDate]], IF(ICE[[#This Row],[LastType]] = "Blk", ICE[[#This Row],[LstBlkTime]], ""))</f>
        <v/>
      </c>
      <c r="R906" s="41" t="str">
        <f>IF(ICE[[#This Row],[LastType]] = "Scrn", ICE[[#This Row],[LstPrc]], IF(ICE[[#This Row],[LastType]] = "Blk", ICE[[#This Row],[LstBlkPrc]], ""))</f>
        <v/>
      </c>
      <c r="S906" s="36">
        <f>ICE[[#This Row],[Vol]]+ICE[[#This Row],[BlkVol]]</f>
        <v>0</v>
      </c>
      <c r="T906" s="36">
        <f>RTD("ice.rtd",,$C906 &amp; $D906 &amp; ":" &amp; T$1)</f>
        <v>8</v>
      </c>
      <c r="U906" s="18">
        <f>RTD("ice.rtd",,$C906 &amp; $D906 &amp; ":" &amp; U$1)</f>
        <v>15</v>
      </c>
      <c r="V9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6" s="18" t="str">
        <f>IFERROR(IF(LEFT(ICE[[#This Row],[Tenor]], 1) = "B", RTD("esrtd",,$B906 &amp; " " &amp; ICE[[#This Row],[Tenor]] &amp; "-IEU", W$1), RTD("esrtd",,$B906 &amp; " " &amp; VLOOKUP(MONTH(ICE[[#This Row],[Strip]]), MthRef[], 2, 0) &amp; RIGHT(YEAR(ICE[[#This Row],[Strip]]), 2) &amp; "-IEU", W$1)), "")</f>
        <v/>
      </c>
      <c r="X906" s="36"/>
    </row>
    <row r="907" spans="1:24" x14ac:dyDescent="0.25">
      <c r="A907" s="37" t="s">
        <v>434</v>
      </c>
      <c r="B907" s="3" t="str">
        <f>RTD("ice.rtd",,$C907 &amp; $D907 &amp; ":" &amp; B$1)</f>
        <v>SJS</v>
      </c>
      <c r="C907" s="3">
        <v>30793693</v>
      </c>
      <c r="D907" t="s">
        <v>813</v>
      </c>
      <c r="E907" s="3" t="str">
        <f>RTD("ice.rtd",,$C907 &amp; $D907 &amp; ":" &amp; E$1)</f>
        <v>Sep28</v>
      </c>
      <c r="F907" s="3" t="str">
        <f>ICE[[#This Row],[Prod]]&amp;ICE[[#This Row],[Strip]]</f>
        <v>hsfoewSep28</v>
      </c>
      <c r="G907" s="18" t="str">
        <f>RTD("ice.rtd",,$C907 &amp; $D907 &amp; ":" &amp; G$1)</f>
        <v/>
      </c>
      <c r="H907" s="18" t="str">
        <f>RTD("ice.rtd",,$C907 &amp; $D907 &amp; ":" &amp; H$1)</f>
        <v/>
      </c>
      <c r="I907" s="18" t="str">
        <f>RTD("ice.rtd",,$C907 &amp; $D907 &amp; ":" &amp; I$1)</f>
        <v/>
      </c>
      <c r="J907" s="14" t="str">
        <f>IFERROR(MOD(RTD("ice.rtd",,$C907 &amp; $D907 &amp; ":" &amp; J$1), 1), "")</f>
        <v/>
      </c>
      <c r="K907" s="18" t="str">
        <f>RTD("ice.rtd",,$C907 &amp; $D907 &amp; ":" &amp; K$1)</f>
        <v/>
      </c>
      <c r="L907" s="36" t="str">
        <f>RTD("ice.rtd",,$C907 &amp; $D907 &amp; ":" &amp; L$1)</f>
        <v/>
      </c>
      <c r="M907" s="14" t="str">
        <f>IFERROR(MOD(TIMEVALUE(RTD("ice.rtd",,$C907 &amp; $D907 &amp; ":" &amp; M$1)), 1), "")</f>
        <v/>
      </c>
      <c r="N907" s="36">
        <f>RTD("ice.rtd",,$C907 &amp; $D907 &amp; ":" &amp; N$1)</f>
        <v>0</v>
      </c>
      <c r="O907" s="36">
        <f>RTD("ice.rtd",,$C907 &amp; $D907 &amp; ":" &amp; O$1)</f>
        <v>0</v>
      </c>
      <c r="P9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7" s="14" t="str">
        <f>IF(ICE[[#This Row],[LastType]] = "Scrn", ICE[[#This Row],[LstDate]], IF(ICE[[#This Row],[LastType]] = "Blk", ICE[[#This Row],[LstBlkTime]], ""))</f>
        <v/>
      </c>
      <c r="R907" s="41" t="str">
        <f>IF(ICE[[#This Row],[LastType]] = "Scrn", ICE[[#This Row],[LstPrc]], IF(ICE[[#This Row],[LastType]] = "Blk", ICE[[#This Row],[LstBlkPrc]], ""))</f>
        <v/>
      </c>
      <c r="S907" s="36">
        <f>ICE[[#This Row],[Vol]]+ICE[[#This Row],[BlkVol]]</f>
        <v>0</v>
      </c>
      <c r="T907" s="36">
        <f>RTD("ice.rtd",,$C907 &amp; $D907 &amp; ":" &amp; T$1)</f>
        <v>8</v>
      </c>
      <c r="U907" s="18">
        <f>RTD("ice.rtd",,$C907 &amp; $D907 &amp; ":" &amp; U$1)</f>
        <v>15</v>
      </c>
      <c r="V9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07" s="18" t="str">
        <f>IFERROR(IF(LEFT(ICE[[#This Row],[Tenor]], 1) = "B", RTD("esrtd",,$B907 &amp; " " &amp; ICE[[#This Row],[Tenor]] &amp; "-IEU", W$1), RTD("esrtd",,$B907 &amp; " " &amp; VLOOKUP(MONTH(ICE[[#This Row],[Strip]]), MthRef[], 2, 0) &amp; RIGHT(YEAR(ICE[[#This Row],[Strip]]), 2) &amp; "-IEU", W$1)), "")</f>
        <v/>
      </c>
      <c r="X907" s="36"/>
    </row>
    <row r="908" spans="1:24" x14ac:dyDescent="0.25">
      <c r="A908" s="37" t="s">
        <v>434</v>
      </c>
      <c r="B908" s="3" t="str">
        <f>RTD("ice.rtd",,$C908 &amp; $D908 &amp; ":" &amp; B$1)</f>
        <v>SJS</v>
      </c>
      <c r="C908" s="3">
        <v>30793693</v>
      </c>
      <c r="D908" t="s">
        <v>814</v>
      </c>
      <c r="E908" s="3" t="str">
        <f>RTD("ice.rtd",,$C908 &amp; $D908 &amp; ":" &amp; E$1)</f>
        <v>Q4 26</v>
      </c>
      <c r="F908" s="3" t="str">
        <f>ICE[[#This Row],[Prod]]&amp;ICE[[#This Row],[Strip]]</f>
        <v>hsfoewQ4 26</v>
      </c>
      <c r="G908" s="18">
        <f>RTD("ice.rtd",,$C908 &amp; $D908 &amp; ":" &amp; G$1)</f>
        <v>7.75</v>
      </c>
      <c r="H908" s="18">
        <f>RTD("ice.rtd",,$C908 &amp; $D908 &amp; ":" &amp; H$1)</f>
        <v>50</v>
      </c>
      <c r="I908" s="18" t="str">
        <f>RTD("ice.rtd",,$C908 &amp; $D908 &amp; ":" &amp; I$1)</f>
        <v/>
      </c>
      <c r="J908" s="14" t="str">
        <f>IFERROR(MOD(RTD("ice.rtd",,$C908 &amp; $D908 &amp; ":" &amp; J$1), 1), "")</f>
        <v/>
      </c>
      <c r="K908" s="18" t="str">
        <f>RTD("ice.rtd",,$C908 &amp; $D908 &amp; ":" &amp; K$1)</f>
        <v/>
      </c>
      <c r="L908" s="36" t="str">
        <f>RTD("ice.rtd",,$C908 &amp; $D908 &amp; ":" &amp; L$1)</f>
        <v/>
      </c>
      <c r="M908" s="14" t="str">
        <f>IFERROR(MOD(TIMEVALUE(RTD("ice.rtd",,$C908 &amp; $D908 &amp; ":" &amp; M$1)), 1), "")</f>
        <v/>
      </c>
      <c r="N908" s="36">
        <f>RTD("ice.rtd",,$C908 &amp; $D908 &amp; ":" &amp; N$1)</f>
        <v>0</v>
      </c>
      <c r="O908" s="36">
        <f>RTD("ice.rtd",,$C908 &amp; $D908 &amp; ":" &amp; O$1)</f>
        <v>0</v>
      </c>
      <c r="P9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8" s="14" t="str">
        <f>IF(ICE[[#This Row],[LastType]] = "Scrn", ICE[[#This Row],[LstDate]], IF(ICE[[#This Row],[LastType]] = "Blk", ICE[[#This Row],[LstBlkTime]], ""))</f>
        <v/>
      </c>
      <c r="R908" s="41" t="str">
        <f>IF(ICE[[#This Row],[LastType]] = "Scrn", ICE[[#This Row],[LstPrc]], IF(ICE[[#This Row],[LastType]] = "Blk", ICE[[#This Row],[LstBlkPrc]], ""))</f>
        <v/>
      </c>
      <c r="S908" s="36">
        <f>ICE[[#This Row],[Vol]]+ICE[[#This Row],[BlkVol]]</f>
        <v>0</v>
      </c>
      <c r="T908" s="36">
        <f>RTD("ice.rtd",,$C908 &amp; $D908 &amp; ":" &amp; T$1)</f>
        <v>0</v>
      </c>
      <c r="U908" s="18">
        <f>RTD("ice.rtd",,$C908 &amp; $D908 &amp; ":" &amp; U$1)</f>
        <v>35</v>
      </c>
      <c r="V9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7.75 / 50.00 </v>
      </c>
      <c r="W908" s="18" t="str">
        <f>IFERROR(IF(LEFT(ICE[[#This Row],[Tenor]], 1) = "B", RTD("esrtd",,$B908 &amp; " " &amp; ICE[[#This Row],[Tenor]] &amp; "-IEU", W$1), RTD("esrtd",,$B908 &amp; " " &amp; VLOOKUP(MONTH(ICE[[#This Row],[Strip]]), MthRef[], 2, 0) &amp; RIGHT(YEAR(ICE[[#This Row],[Strip]]), 2) &amp; "-IEU", W$1)), "")</f>
        <v/>
      </c>
      <c r="X908" s="36"/>
    </row>
    <row r="909" spans="1:24" x14ac:dyDescent="0.25">
      <c r="A909" s="37" t="s">
        <v>434</v>
      </c>
      <c r="B909" s="3" t="str">
        <f>RTD("ice.rtd",,$C909 &amp; $D909 &amp; ":" &amp; B$1)</f>
        <v>SJS</v>
      </c>
      <c r="C909" s="3">
        <v>30793693</v>
      </c>
      <c r="D909" t="s">
        <v>815</v>
      </c>
      <c r="E909" s="3" t="str">
        <f>RTD("ice.rtd",,$C909 &amp; $D909 &amp; ":" &amp; E$1)</f>
        <v>Q1 27</v>
      </c>
      <c r="F909" s="3" t="str">
        <f>ICE[[#This Row],[Prod]]&amp;ICE[[#This Row],[Strip]]</f>
        <v>hsfoewQ1 27</v>
      </c>
      <c r="G909" s="18">
        <f>RTD("ice.rtd",,$C909 &amp; $D909 &amp; ":" &amp; G$1)</f>
        <v>10.25</v>
      </c>
      <c r="H909" s="18">
        <f>RTD("ice.rtd",,$C909 &amp; $D909 &amp; ":" &amp; H$1)</f>
        <v>30.5</v>
      </c>
      <c r="I909" s="18" t="str">
        <f>RTD("ice.rtd",,$C909 &amp; $D909 &amp; ":" &amp; I$1)</f>
        <v/>
      </c>
      <c r="J909" s="14" t="str">
        <f>IFERROR(MOD(RTD("ice.rtd",,$C909 &amp; $D909 &amp; ":" &amp; J$1), 1), "")</f>
        <v/>
      </c>
      <c r="K909" s="18" t="str">
        <f>RTD("ice.rtd",,$C909 &amp; $D909 &amp; ":" &amp; K$1)</f>
        <v/>
      </c>
      <c r="L909" s="36" t="str">
        <f>RTD("ice.rtd",,$C909 &amp; $D909 &amp; ":" &amp; L$1)</f>
        <v/>
      </c>
      <c r="M909" s="14" t="str">
        <f>IFERROR(MOD(TIMEVALUE(RTD("ice.rtd",,$C909 &amp; $D909 &amp; ":" &amp; M$1)), 1), "")</f>
        <v/>
      </c>
      <c r="N909" s="36">
        <f>RTD("ice.rtd",,$C909 &amp; $D909 &amp; ":" &amp; N$1)</f>
        <v>0</v>
      </c>
      <c r="O909" s="36">
        <f>RTD("ice.rtd",,$C909 &amp; $D909 &amp; ":" &amp; O$1)</f>
        <v>0</v>
      </c>
      <c r="P9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09" s="14" t="str">
        <f>IF(ICE[[#This Row],[LastType]] = "Scrn", ICE[[#This Row],[LstDate]], IF(ICE[[#This Row],[LastType]] = "Blk", ICE[[#This Row],[LstBlkTime]], ""))</f>
        <v/>
      </c>
      <c r="R909" s="41" t="str">
        <f>IF(ICE[[#This Row],[LastType]] = "Scrn", ICE[[#This Row],[LstPrc]], IF(ICE[[#This Row],[LastType]] = "Blk", ICE[[#This Row],[LstBlkPrc]], ""))</f>
        <v/>
      </c>
      <c r="S909" s="36">
        <f>ICE[[#This Row],[Vol]]+ICE[[#This Row],[BlkVol]]</f>
        <v>0</v>
      </c>
      <c r="T909" s="36">
        <f>RTD("ice.rtd",,$C909 &amp; $D909 &amp; ":" &amp; T$1)</f>
        <v>0</v>
      </c>
      <c r="U909" s="18">
        <f>RTD("ice.rtd",,$C909 &amp; $D909 &amp; ":" &amp; U$1)</f>
        <v>27.333000000000002</v>
      </c>
      <c r="V9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10.25 / 30.50 </v>
      </c>
      <c r="W909" s="18" t="str">
        <f>IFERROR(IF(LEFT(ICE[[#This Row],[Tenor]], 1) = "B", RTD("esrtd",,$B909 &amp; " " &amp; ICE[[#This Row],[Tenor]] &amp; "-IEU", W$1), RTD("esrtd",,$B909 &amp; " " &amp; VLOOKUP(MONTH(ICE[[#This Row],[Strip]]), MthRef[], 2, 0) &amp; RIGHT(YEAR(ICE[[#This Row],[Strip]]), 2) &amp; "-IEU", W$1)), "")</f>
        <v/>
      </c>
      <c r="X909" s="36"/>
    </row>
    <row r="910" spans="1:24" x14ac:dyDescent="0.25">
      <c r="A910" s="37" t="s">
        <v>434</v>
      </c>
      <c r="B910" s="3" t="str">
        <f>RTD("ice.rtd",,$C910 &amp; $D910 &amp; ":" &amp; B$1)</f>
        <v>SJS</v>
      </c>
      <c r="C910" s="3">
        <v>30793693</v>
      </c>
      <c r="D910" t="s">
        <v>816</v>
      </c>
      <c r="E910" s="3" t="str">
        <f>RTD("ice.rtd",,$C910 &amp; $D910 &amp; ":" &amp; E$1)</f>
        <v>Q2 27</v>
      </c>
      <c r="F910" s="3" t="str">
        <f>ICE[[#This Row],[Prod]]&amp;ICE[[#This Row],[Strip]]</f>
        <v>hsfoewQ2 27</v>
      </c>
      <c r="G910" s="18">
        <f>RTD("ice.rtd",,$C910 &amp; $D910 &amp; ":" &amp; G$1)</f>
        <v>15.25</v>
      </c>
      <c r="H910" s="18" t="str">
        <f>RTD("ice.rtd",,$C910 &amp; $D910 &amp; ":" &amp; H$1)</f>
        <v/>
      </c>
      <c r="I910" s="18" t="str">
        <f>RTD("ice.rtd",,$C910 &amp; $D910 &amp; ":" &amp; I$1)</f>
        <v/>
      </c>
      <c r="J910" s="14" t="str">
        <f>IFERROR(MOD(RTD("ice.rtd",,$C910 &amp; $D910 &amp; ":" &amp; J$1), 1), "")</f>
        <v/>
      </c>
      <c r="K910" s="18" t="str">
        <f>RTD("ice.rtd",,$C910 &amp; $D910 &amp; ":" &amp; K$1)</f>
        <v/>
      </c>
      <c r="L910" s="36" t="str">
        <f>RTD("ice.rtd",,$C910 &amp; $D910 &amp; ":" &amp; L$1)</f>
        <v/>
      </c>
      <c r="M910" s="14" t="str">
        <f>IFERROR(MOD(TIMEVALUE(RTD("ice.rtd",,$C910 &amp; $D910 &amp; ":" &amp; M$1)), 1), "")</f>
        <v/>
      </c>
      <c r="N910" s="36">
        <f>RTD("ice.rtd",,$C910 &amp; $D910 &amp; ":" &amp; N$1)</f>
        <v>0</v>
      </c>
      <c r="O910" s="36">
        <f>RTD("ice.rtd",,$C910 &amp; $D910 &amp; ":" &amp; O$1)</f>
        <v>0</v>
      </c>
      <c r="P9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0" s="14" t="str">
        <f>IF(ICE[[#This Row],[LastType]] = "Scrn", ICE[[#This Row],[LstDate]], IF(ICE[[#This Row],[LastType]] = "Blk", ICE[[#This Row],[LstBlkTime]], ""))</f>
        <v/>
      </c>
      <c r="R910" s="41" t="str">
        <f>IF(ICE[[#This Row],[LastType]] = "Scrn", ICE[[#This Row],[LstPrc]], IF(ICE[[#This Row],[LastType]] = "Blk", ICE[[#This Row],[LstBlkPrc]], ""))</f>
        <v/>
      </c>
      <c r="S910" s="36">
        <f>ICE[[#This Row],[Vol]]+ICE[[#This Row],[BlkVol]]</f>
        <v>0</v>
      </c>
      <c r="T910" s="36">
        <f>RTD("ice.rtd",,$C910 &amp; $D910 &amp; ":" &amp; T$1)</f>
        <v>0</v>
      </c>
      <c r="U910" s="18">
        <f>RTD("ice.rtd",,$C910 &amp; $D910 &amp; ":" &amp; U$1)</f>
        <v>22.083000000000002</v>
      </c>
      <c r="V9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15.25 /  </v>
      </c>
      <c r="W910" s="18" t="str">
        <f>IFERROR(IF(LEFT(ICE[[#This Row],[Tenor]], 1) = "B", RTD("esrtd",,$B910 &amp; " " &amp; ICE[[#This Row],[Tenor]] &amp; "-IEU", W$1), RTD("esrtd",,$B910 &amp; " " &amp; VLOOKUP(MONTH(ICE[[#This Row],[Strip]]), MthRef[], 2, 0) &amp; RIGHT(YEAR(ICE[[#This Row],[Strip]]), 2) &amp; "-IEU", W$1)), "")</f>
        <v/>
      </c>
      <c r="X910" s="36"/>
    </row>
    <row r="911" spans="1:24" x14ac:dyDescent="0.25">
      <c r="A911" s="37" t="s">
        <v>434</v>
      </c>
      <c r="B911" s="3" t="str">
        <f>RTD("ice.rtd",,$C911 &amp; $D911 &amp; ":" &amp; B$1)</f>
        <v>SJS</v>
      </c>
      <c r="C911" s="3">
        <v>30793693</v>
      </c>
      <c r="D911" t="s">
        <v>817</v>
      </c>
      <c r="E911" s="3" t="str">
        <f>RTD("ice.rtd",,$C911 &amp; $D911 &amp; ":" &amp; E$1)</f>
        <v>Q3 27</v>
      </c>
      <c r="F911" s="3" t="str">
        <f>ICE[[#This Row],[Prod]]&amp;ICE[[#This Row],[Strip]]</f>
        <v>hsfoewQ3 27</v>
      </c>
      <c r="G911" s="18" t="str">
        <f>RTD("ice.rtd",,$C911 &amp; $D911 &amp; ":" &amp; G$1)</f>
        <v/>
      </c>
      <c r="H911" s="18" t="str">
        <f>RTD("ice.rtd",,$C911 &amp; $D911 &amp; ":" &amp; H$1)</f>
        <v/>
      </c>
      <c r="I911" s="18" t="str">
        <f>RTD("ice.rtd",,$C911 &amp; $D911 &amp; ":" &amp; I$1)</f>
        <v/>
      </c>
      <c r="J911" s="14" t="str">
        <f>IFERROR(MOD(RTD("ice.rtd",,$C911 &amp; $D911 &amp; ":" &amp; J$1), 1), "")</f>
        <v/>
      </c>
      <c r="K911" s="18" t="str">
        <f>RTD("ice.rtd",,$C911 &amp; $D911 &amp; ":" &amp; K$1)</f>
        <v/>
      </c>
      <c r="L911" s="36" t="str">
        <f>RTD("ice.rtd",,$C911 &amp; $D911 &amp; ":" &amp; L$1)</f>
        <v/>
      </c>
      <c r="M911" s="14" t="str">
        <f>IFERROR(MOD(TIMEVALUE(RTD("ice.rtd",,$C911 &amp; $D911 &amp; ":" &amp; M$1)), 1), "")</f>
        <v/>
      </c>
      <c r="N911" s="36">
        <f>RTD("ice.rtd",,$C911 &amp; $D911 &amp; ":" &amp; N$1)</f>
        <v>0</v>
      </c>
      <c r="O911" s="36">
        <f>RTD("ice.rtd",,$C911 &amp; $D911 &amp; ":" &amp; O$1)</f>
        <v>0</v>
      </c>
      <c r="P9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1" s="14" t="str">
        <f>IF(ICE[[#This Row],[LastType]] = "Scrn", ICE[[#This Row],[LstDate]], IF(ICE[[#This Row],[LastType]] = "Blk", ICE[[#This Row],[LstBlkTime]], ""))</f>
        <v/>
      </c>
      <c r="R911" s="41" t="str">
        <f>IF(ICE[[#This Row],[LastType]] = "Scrn", ICE[[#This Row],[LstPrc]], IF(ICE[[#This Row],[LastType]] = "Blk", ICE[[#This Row],[LstBlkPrc]], ""))</f>
        <v/>
      </c>
      <c r="S911" s="36">
        <f>ICE[[#This Row],[Vol]]+ICE[[#This Row],[BlkVol]]</f>
        <v>0</v>
      </c>
      <c r="T911" s="36">
        <f>RTD("ice.rtd",,$C911 &amp; $D911 &amp; ":" &amp; T$1)</f>
        <v>0</v>
      </c>
      <c r="U911" s="18">
        <f>RTD("ice.rtd",,$C911 &amp; $D911 &amp; ":" &amp; U$1)</f>
        <v>18.833000000000002</v>
      </c>
      <c r="V9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1" s="18" t="str">
        <f>IFERROR(IF(LEFT(ICE[[#This Row],[Tenor]], 1) = "B", RTD("esrtd",,$B911 &amp; " " &amp; ICE[[#This Row],[Tenor]] &amp; "-IEU", W$1), RTD("esrtd",,$B911 &amp; " " &amp; VLOOKUP(MONTH(ICE[[#This Row],[Strip]]), MthRef[], 2, 0) &amp; RIGHT(YEAR(ICE[[#This Row],[Strip]]), 2) &amp; "-IEU", W$1)), "")</f>
        <v/>
      </c>
      <c r="X911" s="36"/>
    </row>
    <row r="912" spans="1:24" x14ac:dyDescent="0.25">
      <c r="A912" s="37" t="s">
        <v>434</v>
      </c>
      <c r="B912" s="3" t="str">
        <f>RTD("ice.rtd",,$C912 &amp; $D912 &amp; ":" &amp; B$1)</f>
        <v>SJS</v>
      </c>
      <c r="C912" s="3">
        <v>30793693</v>
      </c>
      <c r="D912" t="s">
        <v>818</v>
      </c>
      <c r="E912" s="3" t="str">
        <f>RTD("ice.rtd",,$C912 &amp; $D912 &amp; ":" &amp; E$1)</f>
        <v>Q4 27</v>
      </c>
      <c r="F912" s="3" t="str">
        <f>ICE[[#This Row],[Prod]]&amp;ICE[[#This Row],[Strip]]</f>
        <v>hsfoewQ4 27</v>
      </c>
      <c r="G912" s="18" t="str">
        <f>RTD("ice.rtd",,$C912 &amp; $D912 &amp; ":" &amp; G$1)</f>
        <v/>
      </c>
      <c r="H912" s="18" t="str">
        <f>RTD("ice.rtd",,$C912 &amp; $D912 &amp; ":" &amp; H$1)</f>
        <v/>
      </c>
      <c r="I912" s="18" t="str">
        <f>RTD("ice.rtd",,$C912 &amp; $D912 &amp; ":" &amp; I$1)</f>
        <v/>
      </c>
      <c r="J912" s="14" t="str">
        <f>IFERROR(MOD(RTD("ice.rtd",,$C912 &amp; $D912 &amp; ":" &amp; J$1), 1), "")</f>
        <v/>
      </c>
      <c r="K912" s="18" t="str">
        <f>RTD("ice.rtd",,$C912 &amp; $D912 &amp; ":" &amp; K$1)</f>
        <v/>
      </c>
      <c r="L912" s="36" t="str">
        <f>RTD("ice.rtd",,$C912 &amp; $D912 &amp; ":" &amp; L$1)</f>
        <v/>
      </c>
      <c r="M912" s="14" t="str">
        <f>IFERROR(MOD(TIMEVALUE(RTD("ice.rtd",,$C912 &amp; $D912 &amp; ":" &amp; M$1)), 1), "")</f>
        <v/>
      </c>
      <c r="N912" s="36">
        <f>RTD("ice.rtd",,$C912 &amp; $D912 &amp; ":" &amp; N$1)</f>
        <v>0</v>
      </c>
      <c r="O912" s="36">
        <f>RTD("ice.rtd",,$C912 &amp; $D912 &amp; ":" &amp; O$1)</f>
        <v>0</v>
      </c>
      <c r="P9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2" s="14" t="str">
        <f>IF(ICE[[#This Row],[LastType]] = "Scrn", ICE[[#This Row],[LstDate]], IF(ICE[[#This Row],[LastType]] = "Blk", ICE[[#This Row],[LstBlkTime]], ""))</f>
        <v/>
      </c>
      <c r="R912" s="41" t="str">
        <f>IF(ICE[[#This Row],[LastType]] = "Scrn", ICE[[#This Row],[LstPrc]], IF(ICE[[#This Row],[LastType]] = "Blk", ICE[[#This Row],[LstBlkPrc]], ""))</f>
        <v/>
      </c>
      <c r="S912" s="36">
        <f>ICE[[#This Row],[Vol]]+ICE[[#This Row],[BlkVol]]</f>
        <v>0</v>
      </c>
      <c r="T912" s="36">
        <f>RTD("ice.rtd",,$C912 &amp; $D912 &amp; ":" &amp; T$1)</f>
        <v>0</v>
      </c>
      <c r="U912" s="18">
        <f>RTD("ice.rtd",,$C912 &amp; $D912 &amp; ":" &amp; U$1)</f>
        <v>17.25</v>
      </c>
      <c r="V9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2" s="18" t="str">
        <f>IFERROR(IF(LEFT(ICE[[#This Row],[Tenor]], 1) = "B", RTD("esrtd",,$B912 &amp; " " &amp; ICE[[#This Row],[Tenor]] &amp; "-IEU", W$1), RTD("esrtd",,$B912 &amp; " " &amp; VLOOKUP(MONTH(ICE[[#This Row],[Strip]]), MthRef[], 2, 0) &amp; RIGHT(YEAR(ICE[[#This Row],[Strip]]), 2) &amp; "-IEU", W$1)), "")</f>
        <v/>
      </c>
      <c r="X912" s="36"/>
    </row>
    <row r="913" spans="1:24" x14ac:dyDescent="0.25">
      <c r="A913" s="37" t="s">
        <v>434</v>
      </c>
      <c r="B913" s="3" t="str">
        <f>RTD("ice.rtd",,$C913 &amp; $D913 &amp; ":" &amp; B$1)</f>
        <v>SJS</v>
      </c>
      <c r="C913" s="3">
        <v>30793693</v>
      </c>
      <c r="D913" t="s">
        <v>819</v>
      </c>
      <c r="E913" s="3" t="str">
        <f>RTD("ice.rtd",,$C913 &amp; $D913 &amp; ":" &amp; E$1)</f>
        <v>Q1 28</v>
      </c>
      <c r="F913" s="3" t="str">
        <f>ICE[[#This Row],[Prod]]&amp;ICE[[#This Row],[Strip]]</f>
        <v>hsfoewQ1 28</v>
      </c>
      <c r="G913" s="18" t="str">
        <f>RTD("ice.rtd",,$C913 &amp; $D913 &amp; ":" &amp; G$1)</f>
        <v/>
      </c>
      <c r="H913" s="18" t="str">
        <f>RTD("ice.rtd",,$C913 &amp; $D913 &amp; ":" &amp; H$1)</f>
        <v/>
      </c>
      <c r="I913" s="18" t="str">
        <f>RTD("ice.rtd",,$C913 &amp; $D913 &amp; ":" &amp; I$1)</f>
        <v/>
      </c>
      <c r="J913" s="14" t="str">
        <f>IFERROR(MOD(RTD("ice.rtd",,$C913 &amp; $D913 &amp; ":" &amp; J$1), 1), "")</f>
        <v/>
      </c>
      <c r="K913" s="18" t="str">
        <f>RTD("ice.rtd",,$C913 &amp; $D913 &amp; ":" &amp; K$1)</f>
        <v/>
      </c>
      <c r="L913" s="36" t="str">
        <f>RTD("ice.rtd",,$C913 &amp; $D913 &amp; ":" &amp; L$1)</f>
        <v/>
      </c>
      <c r="M913" s="14" t="str">
        <f>IFERROR(MOD(TIMEVALUE(RTD("ice.rtd",,$C913 &amp; $D913 &amp; ":" &amp; M$1)), 1), "")</f>
        <v/>
      </c>
      <c r="N913" s="36">
        <f>RTD("ice.rtd",,$C913 &amp; $D913 &amp; ":" &amp; N$1)</f>
        <v>0</v>
      </c>
      <c r="O913" s="36">
        <f>RTD("ice.rtd",,$C913 &amp; $D913 &amp; ":" &amp; O$1)</f>
        <v>0</v>
      </c>
      <c r="P9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3" s="14" t="str">
        <f>IF(ICE[[#This Row],[LastType]] = "Scrn", ICE[[#This Row],[LstDate]], IF(ICE[[#This Row],[LastType]] = "Blk", ICE[[#This Row],[LstBlkTime]], ""))</f>
        <v/>
      </c>
      <c r="R913" s="41" t="str">
        <f>IF(ICE[[#This Row],[LastType]] = "Scrn", ICE[[#This Row],[LstPrc]], IF(ICE[[#This Row],[LastType]] = "Blk", ICE[[#This Row],[LstBlkPrc]], ""))</f>
        <v/>
      </c>
      <c r="S913" s="36">
        <f>ICE[[#This Row],[Vol]]+ICE[[#This Row],[BlkVol]]</f>
        <v>0</v>
      </c>
      <c r="T913" s="36">
        <f>RTD("ice.rtd",,$C913 &amp; $D913 &amp; ":" &amp; T$1)</f>
        <v>0</v>
      </c>
      <c r="U913" s="18">
        <f>RTD("ice.rtd",,$C913 &amp; $D913 &amp; ":" &amp; U$1)</f>
        <v>17</v>
      </c>
      <c r="V9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3" s="18" t="str">
        <f>IFERROR(IF(LEFT(ICE[[#This Row],[Tenor]], 1) = "B", RTD("esrtd",,$B913 &amp; " " &amp; ICE[[#This Row],[Tenor]] &amp; "-IEU", W$1), RTD("esrtd",,$B913 &amp; " " &amp; VLOOKUP(MONTH(ICE[[#This Row],[Strip]]), MthRef[], 2, 0) &amp; RIGHT(YEAR(ICE[[#This Row],[Strip]]), 2) &amp; "-IEU", W$1)), "")</f>
        <v/>
      </c>
      <c r="X913" s="36"/>
    </row>
    <row r="914" spans="1:24" x14ac:dyDescent="0.25">
      <c r="A914" s="37" t="s">
        <v>434</v>
      </c>
      <c r="B914" s="3" t="str">
        <f>RTD("ice.rtd",,$C914 &amp; $D914 &amp; ":" &amp; B$1)</f>
        <v>SJS</v>
      </c>
      <c r="C914" s="3">
        <v>30793693</v>
      </c>
      <c r="D914" t="s">
        <v>229</v>
      </c>
      <c r="E914" s="3" t="str">
        <f>RTD("ice.rtd",,$C914 &amp; $D914 &amp; ":" &amp; E$1)</f>
        <v>Q2 28</v>
      </c>
      <c r="F914" s="3" t="str">
        <f>ICE[[#This Row],[Prod]]&amp;ICE[[#This Row],[Strip]]</f>
        <v>hsfoewQ2 28</v>
      </c>
      <c r="G914" s="18" t="str">
        <f>RTD("ice.rtd",,$C914 &amp; $D914 &amp; ":" &amp; G$1)</f>
        <v/>
      </c>
      <c r="H914" s="18" t="str">
        <f>RTD("ice.rtd",,$C914 &amp; $D914 &amp; ":" &amp; H$1)</f>
        <v/>
      </c>
      <c r="I914" s="18" t="str">
        <f>RTD("ice.rtd",,$C914 &amp; $D914 &amp; ":" &amp; I$1)</f>
        <v/>
      </c>
      <c r="J914" s="14" t="str">
        <f>IFERROR(MOD(RTD("ice.rtd",,$C914 &amp; $D914 &amp; ":" &amp; J$1), 1), "")</f>
        <v/>
      </c>
      <c r="K914" s="18" t="str">
        <f>RTD("ice.rtd",,$C914 &amp; $D914 &amp; ":" &amp; K$1)</f>
        <v/>
      </c>
      <c r="L914" s="36" t="str">
        <f>RTD("ice.rtd",,$C914 &amp; $D914 &amp; ":" &amp; L$1)</f>
        <v/>
      </c>
      <c r="M914" s="14" t="str">
        <f>IFERROR(MOD(TIMEVALUE(RTD("ice.rtd",,$C914 &amp; $D914 &amp; ":" &amp; M$1)), 1), "")</f>
        <v/>
      </c>
      <c r="N914" s="36">
        <f>RTD("ice.rtd",,$C914 &amp; $D914 &amp; ":" &amp; N$1)</f>
        <v>0</v>
      </c>
      <c r="O914" s="36">
        <f>RTD("ice.rtd",,$C914 &amp; $D914 &amp; ":" &amp; O$1)</f>
        <v>0</v>
      </c>
      <c r="P9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4" s="14" t="str">
        <f>IF(ICE[[#This Row],[LastType]] = "Scrn", ICE[[#This Row],[LstDate]], IF(ICE[[#This Row],[LastType]] = "Blk", ICE[[#This Row],[LstBlkTime]], ""))</f>
        <v/>
      </c>
      <c r="R914" s="41" t="str">
        <f>IF(ICE[[#This Row],[LastType]] = "Scrn", ICE[[#This Row],[LstPrc]], IF(ICE[[#This Row],[LastType]] = "Blk", ICE[[#This Row],[LstBlkPrc]], ""))</f>
        <v/>
      </c>
      <c r="S914" s="36">
        <f>ICE[[#This Row],[Vol]]+ICE[[#This Row],[BlkVol]]</f>
        <v>0</v>
      </c>
      <c r="T914" s="36">
        <f>RTD("ice.rtd",,$C914 &amp; $D914 &amp; ":" &amp; T$1)</f>
        <v>0</v>
      </c>
      <c r="U914" s="18">
        <f>RTD("ice.rtd",,$C914 &amp; $D914 &amp; ":" &amp; U$1)</f>
        <v>16</v>
      </c>
      <c r="V9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4" s="18" t="str">
        <f>IFERROR(IF(LEFT(ICE[[#This Row],[Tenor]], 1) = "B", RTD("esrtd",,$B914 &amp; " " &amp; ICE[[#This Row],[Tenor]] &amp; "-IEU", W$1), RTD("esrtd",,$B914 &amp; " " &amp; VLOOKUP(MONTH(ICE[[#This Row],[Strip]]), MthRef[], 2, 0) &amp; RIGHT(YEAR(ICE[[#This Row],[Strip]]), 2) &amp; "-IEU", W$1)), "")</f>
        <v/>
      </c>
      <c r="X914" s="36"/>
    </row>
    <row r="915" spans="1:24" x14ac:dyDescent="0.25">
      <c r="A915" s="37" t="s">
        <v>434</v>
      </c>
      <c r="B915" s="3" t="str">
        <f>RTD("ice.rtd",,$C915 &amp; $D915 &amp; ":" &amp; B$1)</f>
        <v>SJS</v>
      </c>
      <c r="C915" s="3">
        <v>30793693</v>
      </c>
      <c r="D915" t="s">
        <v>820</v>
      </c>
      <c r="E915" s="3" t="str">
        <f>RTD("ice.rtd",,$C915 &amp; $D915 &amp; ":" &amp; E$1)</f>
        <v>Q3 28</v>
      </c>
      <c r="F915" s="3" t="str">
        <f>ICE[[#This Row],[Prod]]&amp;ICE[[#This Row],[Strip]]</f>
        <v>hsfoewQ3 28</v>
      </c>
      <c r="G915" s="18" t="str">
        <f>RTD("ice.rtd",,$C915 &amp; $D915 &amp; ":" &amp; G$1)</f>
        <v/>
      </c>
      <c r="H915" s="18" t="str">
        <f>RTD("ice.rtd",,$C915 &amp; $D915 &amp; ":" &amp; H$1)</f>
        <v/>
      </c>
      <c r="I915" s="18" t="str">
        <f>RTD("ice.rtd",,$C915 &amp; $D915 &amp; ":" &amp; I$1)</f>
        <v/>
      </c>
      <c r="J915" s="14" t="str">
        <f>IFERROR(MOD(RTD("ice.rtd",,$C915 &amp; $D915 &amp; ":" &amp; J$1), 1), "")</f>
        <v/>
      </c>
      <c r="K915" s="18" t="str">
        <f>RTD("ice.rtd",,$C915 &amp; $D915 &amp; ":" &amp; K$1)</f>
        <v/>
      </c>
      <c r="L915" s="36" t="str">
        <f>RTD("ice.rtd",,$C915 &amp; $D915 &amp; ":" &amp; L$1)</f>
        <v/>
      </c>
      <c r="M915" s="14" t="str">
        <f>IFERROR(MOD(TIMEVALUE(RTD("ice.rtd",,$C915 &amp; $D915 &amp; ":" &amp; M$1)), 1), "")</f>
        <v/>
      </c>
      <c r="N915" s="36">
        <f>RTD("ice.rtd",,$C915 &amp; $D915 &amp; ":" &amp; N$1)</f>
        <v>0</v>
      </c>
      <c r="O915" s="36">
        <f>RTD("ice.rtd",,$C915 &amp; $D915 &amp; ":" &amp; O$1)</f>
        <v>0</v>
      </c>
      <c r="P9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5" s="14" t="str">
        <f>IF(ICE[[#This Row],[LastType]] = "Scrn", ICE[[#This Row],[LstDate]], IF(ICE[[#This Row],[LastType]] = "Blk", ICE[[#This Row],[LstBlkTime]], ""))</f>
        <v/>
      </c>
      <c r="R915" s="41" t="str">
        <f>IF(ICE[[#This Row],[LastType]] = "Scrn", ICE[[#This Row],[LstPrc]], IF(ICE[[#This Row],[LastType]] = "Blk", ICE[[#This Row],[LstBlkPrc]], ""))</f>
        <v/>
      </c>
      <c r="S915" s="36">
        <f>ICE[[#This Row],[Vol]]+ICE[[#This Row],[BlkVol]]</f>
        <v>0</v>
      </c>
      <c r="T915" s="36">
        <f>RTD("ice.rtd",,$C915 &amp; $D915 &amp; ":" &amp; T$1)</f>
        <v>0</v>
      </c>
      <c r="U915" s="18">
        <f>RTD("ice.rtd",,$C915 &amp; $D915 &amp; ":" &amp; U$1)</f>
        <v>15.083</v>
      </c>
      <c r="V9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5" s="18" t="str">
        <f>IFERROR(IF(LEFT(ICE[[#This Row],[Tenor]], 1) = "B", RTD("esrtd",,$B915 &amp; " " &amp; ICE[[#This Row],[Tenor]] &amp; "-IEU", W$1), RTD("esrtd",,$B915 &amp; " " &amp; VLOOKUP(MONTH(ICE[[#This Row],[Strip]]), MthRef[], 2, 0) &amp; RIGHT(YEAR(ICE[[#This Row],[Strip]]), 2) &amp; "-IEU", W$1)), "")</f>
        <v/>
      </c>
      <c r="X915" s="36"/>
    </row>
    <row r="916" spans="1:24" x14ac:dyDescent="0.25">
      <c r="A916" s="37" t="s">
        <v>434</v>
      </c>
      <c r="B916" s="3" t="str">
        <f>RTD("ice.rtd",,$C916 &amp; $D916 &amp; ":" &amp; B$1)</f>
        <v>SJS</v>
      </c>
      <c r="C916" s="3">
        <v>30793693</v>
      </c>
      <c r="D916" t="s">
        <v>821</v>
      </c>
      <c r="E916" s="3" t="str">
        <f>RTD("ice.rtd",,$C916 &amp; $D916 &amp; ":" &amp; E$1)</f>
        <v>Q4 28</v>
      </c>
      <c r="F916" s="3" t="str">
        <f>ICE[[#This Row],[Prod]]&amp;ICE[[#This Row],[Strip]]</f>
        <v>hsfoewQ4 28</v>
      </c>
      <c r="G916" s="18" t="str">
        <f>RTD("ice.rtd",,$C916 &amp; $D916 &amp; ":" &amp; G$1)</f>
        <v/>
      </c>
      <c r="H916" s="18" t="str">
        <f>RTD("ice.rtd",,$C916 &amp; $D916 &amp; ":" &amp; H$1)</f>
        <v/>
      </c>
      <c r="I916" s="18" t="str">
        <f>RTD("ice.rtd",,$C916 &amp; $D916 &amp; ":" &amp; I$1)</f>
        <v/>
      </c>
      <c r="J916" s="14" t="str">
        <f>IFERROR(MOD(RTD("ice.rtd",,$C916 &amp; $D916 &amp; ":" &amp; J$1), 1), "")</f>
        <v/>
      </c>
      <c r="K916" s="18" t="str">
        <f>RTD("ice.rtd",,$C916 &amp; $D916 &amp; ":" &amp; K$1)</f>
        <v/>
      </c>
      <c r="L916" s="36" t="str">
        <f>RTD("ice.rtd",,$C916 &amp; $D916 &amp; ":" &amp; L$1)</f>
        <v/>
      </c>
      <c r="M916" s="14" t="str">
        <f>IFERROR(MOD(TIMEVALUE(RTD("ice.rtd",,$C916 &amp; $D916 &amp; ":" &amp; M$1)), 1), "")</f>
        <v/>
      </c>
      <c r="N916" s="36">
        <f>RTD("ice.rtd",,$C916 &amp; $D916 &amp; ":" &amp; N$1)</f>
        <v>0</v>
      </c>
      <c r="O916" s="36">
        <f>RTD("ice.rtd",,$C916 &amp; $D916 &amp; ":" &amp; O$1)</f>
        <v>0</v>
      </c>
      <c r="P9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6" s="14" t="str">
        <f>IF(ICE[[#This Row],[LastType]] = "Scrn", ICE[[#This Row],[LstDate]], IF(ICE[[#This Row],[LastType]] = "Blk", ICE[[#This Row],[LstBlkTime]], ""))</f>
        <v/>
      </c>
      <c r="R916" s="41" t="str">
        <f>IF(ICE[[#This Row],[LastType]] = "Scrn", ICE[[#This Row],[LstPrc]], IF(ICE[[#This Row],[LastType]] = "Blk", ICE[[#This Row],[LstBlkPrc]], ""))</f>
        <v/>
      </c>
      <c r="S916" s="36">
        <f>ICE[[#This Row],[Vol]]+ICE[[#This Row],[BlkVol]]</f>
        <v>0</v>
      </c>
      <c r="T916" s="36">
        <f>RTD("ice.rtd",,$C916 &amp; $D916 &amp; ":" &amp; T$1)</f>
        <v>0</v>
      </c>
      <c r="U916" s="18">
        <f>RTD("ice.rtd",,$C916 &amp; $D916 &amp; ":" &amp; U$1)</f>
        <v>14.433</v>
      </c>
      <c r="V9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6" s="18" t="str">
        <f>IFERROR(IF(LEFT(ICE[[#This Row],[Tenor]], 1) = "B", RTD("esrtd",,$B916 &amp; " " &amp; ICE[[#This Row],[Tenor]] &amp; "-IEU", W$1), RTD("esrtd",,$B916 &amp; " " &amp; VLOOKUP(MONTH(ICE[[#This Row],[Strip]]), MthRef[], 2, 0) &amp; RIGHT(YEAR(ICE[[#This Row],[Strip]]), 2) &amp; "-IEU", W$1)), "")</f>
        <v/>
      </c>
      <c r="X916" s="36"/>
    </row>
    <row r="917" spans="1:24" x14ac:dyDescent="0.25">
      <c r="A917" s="37" t="s">
        <v>434</v>
      </c>
      <c r="B917" s="3" t="str">
        <f>RTD("ice.rtd",,$C917 &amp; $D917 &amp; ":" &amp; B$1)</f>
        <v>SJS</v>
      </c>
      <c r="C917" s="3">
        <v>30793693</v>
      </c>
      <c r="D917" t="s">
        <v>822</v>
      </c>
      <c r="E917" s="3" t="str">
        <f>RTD("ice.rtd",,$C917 &amp; $D917 &amp; ":" &amp; E$1)</f>
        <v>Cal 27</v>
      </c>
      <c r="F917" s="3" t="str">
        <f>ICE[[#This Row],[Prod]]&amp;ICE[[#This Row],[Strip]]</f>
        <v>hsfoewCal 27</v>
      </c>
      <c r="G917" s="18">
        <f>RTD("ice.rtd",,$C917 &amp; $D917 &amp; ":" &amp; G$1)</f>
        <v>16</v>
      </c>
      <c r="H917" s="18">
        <f>RTD("ice.rtd",,$C917 &amp; $D917 &amp; ":" &amp; H$1)</f>
        <v>25</v>
      </c>
      <c r="I917" s="18" t="str">
        <f>RTD("ice.rtd",,$C917 &amp; $D917 &amp; ":" &amp; I$1)</f>
        <v/>
      </c>
      <c r="J917" s="14" t="str">
        <f>IFERROR(MOD(RTD("ice.rtd",,$C917 &amp; $D917 &amp; ":" &amp; J$1), 1), "")</f>
        <v/>
      </c>
      <c r="K917" s="18" t="str">
        <f>RTD("ice.rtd",,$C917 &amp; $D917 &amp; ":" &amp; K$1)</f>
        <v/>
      </c>
      <c r="L917" s="36" t="str">
        <f>RTD("ice.rtd",,$C917 &amp; $D917 &amp; ":" &amp; L$1)</f>
        <v/>
      </c>
      <c r="M917" s="14" t="str">
        <f>IFERROR(MOD(TIMEVALUE(RTD("ice.rtd",,$C917 &amp; $D917 &amp; ":" &amp; M$1)), 1), "")</f>
        <v/>
      </c>
      <c r="N917" s="36">
        <f>RTD("ice.rtd",,$C917 &amp; $D917 &amp; ":" &amp; N$1)</f>
        <v>0</v>
      </c>
      <c r="O917" s="36">
        <f>RTD("ice.rtd",,$C917 &amp; $D917 &amp; ":" &amp; O$1)</f>
        <v>0</v>
      </c>
      <c r="P9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7" s="14" t="str">
        <f>IF(ICE[[#This Row],[LastType]] = "Scrn", ICE[[#This Row],[LstDate]], IF(ICE[[#This Row],[LastType]] = "Blk", ICE[[#This Row],[LstBlkTime]], ""))</f>
        <v/>
      </c>
      <c r="R917" s="41" t="str">
        <f>IF(ICE[[#This Row],[LastType]] = "Scrn", ICE[[#This Row],[LstPrc]], IF(ICE[[#This Row],[LastType]] = "Blk", ICE[[#This Row],[LstBlkPrc]], ""))</f>
        <v/>
      </c>
      <c r="S917" s="36">
        <f>ICE[[#This Row],[Vol]]+ICE[[#This Row],[BlkVol]]</f>
        <v>0</v>
      </c>
      <c r="T917" s="36">
        <f>RTD("ice.rtd",,$C917 &amp; $D917 &amp; ":" &amp; T$1)</f>
        <v>0</v>
      </c>
      <c r="U917" s="18">
        <f>RTD("ice.rtd",,$C917 &amp; $D917 &amp; ":" &amp; U$1)</f>
        <v>21.375</v>
      </c>
      <c r="V9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16.00 / 25.00 </v>
      </c>
      <c r="W917" s="18" t="str">
        <f>IFERROR(IF(LEFT(ICE[[#This Row],[Tenor]], 1) = "B", RTD("esrtd",,$B917 &amp; " " &amp; ICE[[#This Row],[Tenor]] &amp; "-IEU", W$1), RTD("esrtd",,$B917 &amp; " " &amp; VLOOKUP(MONTH(ICE[[#This Row],[Strip]]), MthRef[], 2, 0) &amp; RIGHT(YEAR(ICE[[#This Row],[Strip]]), 2) &amp; "-IEU", W$1)), "")</f>
        <v/>
      </c>
      <c r="X917" s="36"/>
    </row>
    <row r="918" spans="1:24" x14ac:dyDescent="0.25">
      <c r="A918" s="37" t="s">
        <v>434</v>
      </c>
      <c r="B918" s="3" t="str">
        <f>RTD("ice.rtd",,$C918 &amp; $D918 &amp; ":" &amp; B$1)</f>
        <v>SJS</v>
      </c>
      <c r="C918" s="3">
        <v>30793693</v>
      </c>
      <c r="D918" t="s">
        <v>823</v>
      </c>
      <c r="E918" s="3" t="str">
        <f>RTD("ice.rtd",,$C918 &amp; $D918 &amp; ":" &amp; E$1)</f>
        <v>Cal 28</v>
      </c>
      <c r="F918" s="3" t="str">
        <f>ICE[[#This Row],[Prod]]&amp;ICE[[#This Row],[Strip]]</f>
        <v>hsfoewCal 28</v>
      </c>
      <c r="G918" s="18" t="str">
        <f>RTD("ice.rtd",,$C918 &amp; $D918 &amp; ":" &amp; G$1)</f>
        <v/>
      </c>
      <c r="H918" s="18" t="str">
        <f>RTD("ice.rtd",,$C918 &amp; $D918 &amp; ":" &amp; H$1)</f>
        <v/>
      </c>
      <c r="I918" s="18" t="str">
        <f>RTD("ice.rtd",,$C918 &amp; $D918 &amp; ":" &amp; I$1)</f>
        <v/>
      </c>
      <c r="J918" s="14" t="str">
        <f>IFERROR(MOD(RTD("ice.rtd",,$C918 &amp; $D918 &amp; ":" &amp; J$1), 1), "")</f>
        <v/>
      </c>
      <c r="K918" s="18" t="str">
        <f>RTD("ice.rtd",,$C918 &amp; $D918 &amp; ":" &amp; K$1)</f>
        <v/>
      </c>
      <c r="L918" s="36" t="str">
        <f>RTD("ice.rtd",,$C918 &amp; $D918 &amp; ":" &amp; L$1)</f>
        <v/>
      </c>
      <c r="M918" s="14" t="str">
        <f>IFERROR(MOD(TIMEVALUE(RTD("ice.rtd",,$C918 &amp; $D918 &amp; ":" &amp; M$1)), 1), "")</f>
        <v/>
      </c>
      <c r="N918" s="36">
        <f>RTD("ice.rtd",,$C918 &amp; $D918 &amp; ":" &amp; N$1)</f>
        <v>0</v>
      </c>
      <c r="O918" s="36">
        <f>RTD("ice.rtd",,$C918 &amp; $D918 &amp; ":" &amp; O$1)</f>
        <v>0</v>
      </c>
      <c r="P9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8" s="14" t="str">
        <f>IF(ICE[[#This Row],[LastType]] = "Scrn", ICE[[#This Row],[LstDate]], IF(ICE[[#This Row],[LastType]] = "Blk", ICE[[#This Row],[LstBlkTime]], ""))</f>
        <v/>
      </c>
      <c r="R918" s="41" t="str">
        <f>IF(ICE[[#This Row],[LastType]] = "Scrn", ICE[[#This Row],[LstPrc]], IF(ICE[[#This Row],[LastType]] = "Blk", ICE[[#This Row],[LstBlkPrc]], ""))</f>
        <v/>
      </c>
      <c r="S918" s="36">
        <f>ICE[[#This Row],[Vol]]+ICE[[#This Row],[BlkVol]]</f>
        <v>0</v>
      </c>
      <c r="T918" s="36">
        <f>RTD("ice.rtd",,$C918 &amp; $D918 &amp; ":" &amp; T$1)</f>
        <v>0</v>
      </c>
      <c r="U918" s="18">
        <f>RTD("ice.rtd",,$C918 &amp; $D918 &amp; ":" &amp; U$1)</f>
        <v>15.629000000000001</v>
      </c>
      <c r="V9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8" s="18" t="str">
        <f>IFERROR(IF(LEFT(ICE[[#This Row],[Tenor]], 1) = "B", RTD("esrtd",,$B918 &amp; " " &amp; ICE[[#This Row],[Tenor]] &amp; "-IEU", W$1), RTD("esrtd",,$B918 &amp; " " &amp; VLOOKUP(MONTH(ICE[[#This Row],[Strip]]), MthRef[], 2, 0) &amp; RIGHT(YEAR(ICE[[#This Row],[Strip]]), 2) &amp; "-IEU", W$1)), "")</f>
        <v/>
      </c>
      <c r="X918" s="36"/>
    </row>
    <row r="919" spans="1:24" x14ac:dyDescent="0.25">
      <c r="A919" s="37" t="s">
        <v>434</v>
      </c>
      <c r="B919" s="3" t="str">
        <f>RTD("ice.rtd",,$C919 &amp; $D919 &amp; ":" &amp; B$1)</f>
        <v>SJS</v>
      </c>
      <c r="C919" s="3">
        <v>30793693</v>
      </c>
      <c r="D919" t="s">
        <v>824</v>
      </c>
      <c r="E919" s="3" t="str">
        <f>RTD("ice.rtd",,$C919 &amp; $D919 &amp; ":" &amp; E$1)</f>
        <v>Cal 29</v>
      </c>
      <c r="F919" s="3" t="str">
        <f>ICE[[#This Row],[Prod]]&amp;ICE[[#This Row],[Strip]]</f>
        <v>hsfoewCal 29</v>
      </c>
      <c r="G919" s="18" t="str">
        <f>RTD("ice.rtd",,$C919 &amp; $D919 &amp; ":" &amp; G$1)</f>
        <v/>
      </c>
      <c r="H919" s="18" t="str">
        <f>RTD("ice.rtd",,$C919 &amp; $D919 &amp; ":" &amp; H$1)</f>
        <v/>
      </c>
      <c r="I919" s="18" t="str">
        <f>RTD("ice.rtd",,$C919 &amp; $D919 &amp; ":" &amp; I$1)</f>
        <v/>
      </c>
      <c r="J919" s="14" t="str">
        <f>IFERROR(MOD(RTD("ice.rtd",,$C919 &amp; $D919 &amp; ":" &amp; J$1), 1), "")</f>
        <v/>
      </c>
      <c r="K919" s="18" t="str">
        <f>RTD("ice.rtd",,$C919 &amp; $D919 &amp; ":" &amp; K$1)</f>
        <v/>
      </c>
      <c r="L919" s="36" t="str">
        <f>RTD("ice.rtd",,$C919 &amp; $D919 &amp; ":" &amp; L$1)</f>
        <v/>
      </c>
      <c r="M919" s="14" t="str">
        <f>IFERROR(MOD(TIMEVALUE(RTD("ice.rtd",,$C919 &amp; $D919 &amp; ":" &amp; M$1)), 1), "")</f>
        <v/>
      </c>
      <c r="N919" s="36">
        <f>RTD("ice.rtd",,$C919 &amp; $D919 &amp; ":" &amp; N$1)</f>
        <v>0</v>
      </c>
      <c r="O919" s="36">
        <f>RTD("ice.rtd",,$C919 &amp; $D919 &amp; ":" &amp; O$1)</f>
        <v>0</v>
      </c>
      <c r="P9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19" s="14" t="str">
        <f>IF(ICE[[#This Row],[LastType]] = "Scrn", ICE[[#This Row],[LstDate]], IF(ICE[[#This Row],[LastType]] = "Blk", ICE[[#This Row],[LstBlkTime]], ""))</f>
        <v/>
      </c>
      <c r="R919" s="41" t="str">
        <f>IF(ICE[[#This Row],[LastType]] = "Scrn", ICE[[#This Row],[LstPrc]], IF(ICE[[#This Row],[LastType]] = "Blk", ICE[[#This Row],[LstBlkPrc]], ""))</f>
        <v/>
      </c>
      <c r="S919" s="36">
        <f>ICE[[#This Row],[Vol]]+ICE[[#This Row],[BlkVol]]</f>
        <v>0</v>
      </c>
      <c r="T919" s="36">
        <f>RTD("ice.rtd",,$C919 &amp; $D919 &amp; ":" &amp; T$1)</f>
        <v>0</v>
      </c>
      <c r="U919" s="18">
        <f>RTD("ice.rtd",,$C919 &amp; $D919 &amp; ":" &amp; U$1)</f>
        <v>13.85</v>
      </c>
      <c r="V9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19" s="18" t="str">
        <f>IFERROR(IF(LEFT(ICE[[#This Row],[Tenor]], 1) = "B", RTD("esrtd",,$B919 &amp; " " &amp; ICE[[#This Row],[Tenor]] &amp; "-IEU", W$1), RTD("esrtd",,$B919 &amp; " " &amp; VLOOKUP(MONTH(ICE[[#This Row],[Strip]]), MthRef[], 2, 0) &amp; RIGHT(YEAR(ICE[[#This Row],[Strip]]), 2) &amp; "-IEU", W$1)), "")</f>
        <v/>
      </c>
      <c r="X919" s="36"/>
    </row>
    <row r="920" spans="1:24" x14ac:dyDescent="0.25">
      <c r="A920" s="37" t="s">
        <v>435</v>
      </c>
      <c r="B920" s="3" t="str">
        <f>RTD("ice.rtd",,$C920 &amp; $D920 &amp; ":" &amp; B$1)</f>
        <v>FOT</v>
      </c>
      <c r="C920" s="3">
        <v>2324225603</v>
      </c>
      <c r="D920" t="s">
        <v>792</v>
      </c>
      <c r="E920" s="3" t="str">
        <f>RTD("ice.rtd",,$C920 &amp; $D920 &amp; ":" &amp; E$1)</f>
        <v>Bal Month</v>
      </c>
      <c r="F920" s="3" t="str">
        <f>ICE[[#This Row],[Prod]]&amp;ICE[[#This Row],[Strip]]</f>
        <v>hiloBal Month</v>
      </c>
      <c r="G920" s="18" t="str">
        <f>RTD("ice.rtd",,$C920 &amp; $D920 &amp; ":" &amp; G$1)</f>
        <v/>
      </c>
      <c r="H920" s="18" t="str">
        <f>RTD("ice.rtd",,$C920 &amp; $D920 &amp; ":" &amp; H$1)</f>
        <v/>
      </c>
      <c r="I920" s="18" t="str">
        <f>RTD("ice.rtd",,$C920 &amp; $D920 &amp; ":" &amp; I$1)</f>
        <v/>
      </c>
      <c r="J920" s="14" t="str">
        <f>IFERROR(MOD(RTD("ice.rtd",,$C920 &amp; $D920 &amp; ":" &amp; J$1), 1), "")</f>
        <v/>
      </c>
      <c r="K920" s="18" t="str">
        <f>RTD("ice.rtd",,$C920 &amp; $D920 &amp; ":" &amp; K$1)</f>
        <v/>
      </c>
      <c r="L920" s="36" t="str">
        <f>RTD("ice.rtd",,$C920 &amp; $D920 &amp; ":" &amp; L$1)</f>
        <v/>
      </c>
      <c r="M920" s="14" t="str">
        <f>IFERROR(MOD(TIMEVALUE(RTD("ice.rtd",,$C920 &amp; $D920 &amp; ":" &amp; M$1)), 1), "")</f>
        <v/>
      </c>
      <c r="N920" s="36">
        <f>RTD("ice.rtd",,$C920 &amp; $D920 &amp; ":" &amp; N$1)</f>
        <v>0</v>
      </c>
      <c r="O920" s="36">
        <f>RTD("ice.rtd",,$C920 &amp; $D920 &amp; ":" &amp; O$1)</f>
        <v>0</v>
      </c>
      <c r="P9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0" s="14" t="str">
        <f>IF(ICE[[#This Row],[LastType]] = "Scrn", ICE[[#This Row],[LstDate]], IF(ICE[[#This Row],[LastType]] = "Blk", ICE[[#This Row],[LstBlkTime]], ""))</f>
        <v/>
      </c>
      <c r="R920" s="41" t="str">
        <f>IF(ICE[[#This Row],[LastType]] = "Scrn", ICE[[#This Row],[LstPrc]], IF(ICE[[#This Row],[LastType]] = "Blk", ICE[[#This Row],[LstBlkPrc]], ""))</f>
        <v/>
      </c>
      <c r="S920" s="36">
        <f>ICE[[#This Row],[Vol]]+ICE[[#This Row],[BlkVol]]</f>
        <v>0</v>
      </c>
      <c r="T920" s="36">
        <f>RTD("ice.rtd",,$C920 &amp; $D920 &amp; ":" &amp; T$1)</f>
        <v>0</v>
      </c>
      <c r="U920" s="18">
        <f>RTD("ice.rtd",,$C920 &amp; $D920 &amp; ":" &amp; U$1)</f>
        <v>22.818000000000001</v>
      </c>
      <c r="V9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0" s="18" t="str">
        <f>IFERROR(IF(LEFT(ICE[[#This Row],[Tenor]], 1) = "B", RTD("esrtd",,$B920 &amp; " " &amp; ICE[[#This Row],[Tenor]] &amp; "-IEU", W$1), RTD("esrtd",,$B920 &amp; " " &amp; VLOOKUP(MONTH(ICE[[#This Row],[Strip]]), MthRef[], 2, 0) &amp; RIGHT(YEAR(ICE[[#This Row],[Strip]]), 2) &amp; "-IEU", W$1)), "")</f>
        <v/>
      </c>
      <c r="X920" s="36"/>
    </row>
    <row r="921" spans="1:24" x14ac:dyDescent="0.25">
      <c r="A921" s="37" t="s">
        <v>435</v>
      </c>
      <c r="B921" s="3" t="str">
        <f>RTD("ice.rtd",,$C921 &amp; $D921 &amp; ":" &amp; B$1)</f>
        <v>FOS</v>
      </c>
      <c r="C921" s="3">
        <v>266</v>
      </c>
      <c r="D921" t="s">
        <v>793</v>
      </c>
      <c r="E921" s="3" t="str">
        <f>RTD("ice.rtd",,$C921 &amp; $D921 &amp; ":" &amp; E$1)</f>
        <v>Sep26</v>
      </c>
      <c r="F921" s="3" t="str">
        <f>ICE[[#This Row],[Prod]]&amp;ICE[[#This Row],[Strip]]</f>
        <v>hiloSep26</v>
      </c>
      <c r="G921" s="18" t="str">
        <f>RTD("ice.rtd",,$C921 &amp; $D921 &amp; ":" &amp; G$1)</f>
        <v/>
      </c>
      <c r="H921" s="18" t="str">
        <f>RTD("ice.rtd",,$C921 &amp; $D921 &amp; ":" &amp; H$1)</f>
        <v/>
      </c>
      <c r="I921" s="18" t="str">
        <f>RTD("ice.rtd",,$C921 &amp; $D921 &amp; ":" &amp; I$1)</f>
        <v/>
      </c>
      <c r="J921" s="14" t="str">
        <f>IFERROR(MOD(RTD("ice.rtd",,$C921 &amp; $D921 &amp; ":" &amp; J$1), 1), "")</f>
        <v/>
      </c>
      <c r="K921" s="18" t="str">
        <f>RTD("ice.rtd",,$C921 &amp; $D921 &amp; ":" &amp; K$1)</f>
        <v/>
      </c>
      <c r="L921" s="36" t="str">
        <f>RTD("ice.rtd",,$C921 &amp; $D921 &amp; ":" &amp; L$1)</f>
        <v/>
      </c>
      <c r="M921" s="14" t="str">
        <f>IFERROR(MOD(TIMEVALUE(RTD("ice.rtd",,$C921 &amp; $D921 &amp; ":" &amp; M$1)), 1), "")</f>
        <v/>
      </c>
      <c r="N921" s="36">
        <f>RTD("ice.rtd",,$C921 &amp; $D921 &amp; ":" &amp; N$1)</f>
        <v>0</v>
      </c>
      <c r="O921" s="36">
        <f>RTD("ice.rtd",,$C921 &amp; $D921 &amp; ":" &amp; O$1)</f>
        <v>0</v>
      </c>
      <c r="P9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1" s="14" t="str">
        <f>IF(ICE[[#This Row],[LastType]] = "Scrn", ICE[[#This Row],[LstDate]], IF(ICE[[#This Row],[LastType]] = "Blk", ICE[[#This Row],[LstBlkTime]], ""))</f>
        <v/>
      </c>
      <c r="R921" s="41" t="str">
        <f>IF(ICE[[#This Row],[LastType]] = "Scrn", ICE[[#This Row],[LstPrc]], IF(ICE[[#This Row],[LastType]] = "Blk", ICE[[#This Row],[LstBlkPrc]], ""))</f>
        <v/>
      </c>
      <c r="S921" s="36">
        <f>ICE[[#This Row],[Vol]]+ICE[[#This Row],[BlkVol]]</f>
        <v>0</v>
      </c>
      <c r="T921" s="36">
        <f>RTD("ice.rtd",,$C921 &amp; $D921 &amp; ":" &amp; T$1)</f>
        <v>137</v>
      </c>
      <c r="U921" s="18">
        <f>RTD("ice.rtd",,$C921 &amp; $D921 &amp; ":" &amp; U$1)</f>
        <v>22.818000000000001</v>
      </c>
      <c r="V9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1" s="18" t="str">
        <f>IFERROR(IF(LEFT(ICE[[#This Row],[Tenor]], 1) = "B", RTD("esrtd",,$B921 &amp; " " &amp; ICE[[#This Row],[Tenor]] &amp; "-IEU", W$1), RTD("esrtd",,$B921 &amp; " " &amp; VLOOKUP(MONTH(ICE[[#This Row],[Strip]]), MthRef[], 2, 0) &amp; RIGHT(YEAR(ICE[[#This Row],[Strip]]), 2) &amp; "-IEU", W$1)), "")</f>
        <v/>
      </c>
      <c r="X921" s="36"/>
    </row>
    <row r="922" spans="1:24" x14ac:dyDescent="0.25">
      <c r="A922" s="37" t="s">
        <v>435</v>
      </c>
      <c r="B922" s="3" t="str">
        <f>RTD("ice.rtd",,$C922 &amp; $D922 &amp; ":" &amp; B$1)</f>
        <v>FOS</v>
      </c>
      <c r="C922" s="3">
        <v>266</v>
      </c>
      <c r="D922" t="s">
        <v>324</v>
      </c>
      <c r="E922" s="3" t="str">
        <f>RTD("ice.rtd",,$C922 &amp; $D922 &amp; ":" &amp; E$1)</f>
        <v>Oct26</v>
      </c>
      <c r="F922" s="3" t="str">
        <f>ICE[[#This Row],[Prod]]&amp;ICE[[#This Row],[Strip]]</f>
        <v>hiloOct26</v>
      </c>
      <c r="G922" s="18" t="str">
        <f>RTD("ice.rtd",,$C922 &amp; $D922 &amp; ":" &amp; G$1)</f>
        <v/>
      </c>
      <c r="H922" s="18" t="str">
        <f>RTD("ice.rtd",,$C922 &amp; $D922 &amp; ":" &amp; H$1)</f>
        <v/>
      </c>
      <c r="I922" s="18" t="str">
        <f>RTD("ice.rtd",,$C922 &amp; $D922 &amp; ":" &amp; I$1)</f>
        <v/>
      </c>
      <c r="J922" s="14" t="str">
        <f>IFERROR(MOD(RTD("ice.rtd",,$C922 &amp; $D922 &amp; ":" &amp; J$1), 1), "")</f>
        <v/>
      </c>
      <c r="K922" s="18" t="str">
        <f>RTD("ice.rtd",,$C922 &amp; $D922 &amp; ":" &amp; K$1)</f>
        <v/>
      </c>
      <c r="L922" s="36" t="str">
        <f>RTD("ice.rtd",,$C922 &amp; $D922 &amp; ":" &amp; L$1)</f>
        <v/>
      </c>
      <c r="M922" s="14" t="str">
        <f>IFERROR(MOD(TIMEVALUE(RTD("ice.rtd",,$C922 &amp; $D922 &amp; ":" &amp; M$1)), 1), "")</f>
        <v/>
      </c>
      <c r="N922" s="36">
        <f>RTD("ice.rtd",,$C922 &amp; $D922 &amp; ":" &amp; N$1)</f>
        <v>0</v>
      </c>
      <c r="O922" s="36">
        <f>RTD("ice.rtd",,$C922 &amp; $D922 &amp; ":" &amp; O$1)</f>
        <v>0</v>
      </c>
      <c r="P9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2" s="14" t="str">
        <f>IF(ICE[[#This Row],[LastType]] = "Scrn", ICE[[#This Row],[LstDate]], IF(ICE[[#This Row],[LastType]] = "Blk", ICE[[#This Row],[LstBlkTime]], ""))</f>
        <v/>
      </c>
      <c r="R922" s="41" t="str">
        <f>IF(ICE[[#This Row],[LastType]] = "Scrn", ICE[[#This Row],[LstPrc]], IF(ICE[[#This Row],[LastType]] = "Blk", ICE[[#This Row],[LstBlkPrc]], ""))</f>
        <v/>
      </c>
      <c r="S922" s="36">
        <f>ICE[[#This Row],[Vol]]+ICE[[#This Row],[BlkVol]]</f>
        <v>0</v>
      </c>
      <c r="T922" s="36">
        <f>RTD("ice.rtd",,$C922 &amp; $D922 &amp; ":" &amp; T$1)</f>
        <v>56</v>
      </c>
      <c r="U922" s="18">
        <f>RTD("ice.rtd",,$C922 &amp; $D922 &amp; ":" &amp; U$1)</f>
        <v>21.25</v>
      </c>
      <c r="V9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2" s="18" t="str">
        <f>IFERROR(IF(LEFT(ICE[[#This Row],[Tenor]], 1) = "B", RTD("esrtd",,$B922 &amp; " " &amp; ICE[[#This Row],[Tenor]] &amp; "-IEU", W$1), RTD("esrtd",,$B922 &amp; " " &amp; VLOOKUP(MONTH(ICE[[#This Row],[Strip]]), MthRef[], 2, 0) &amp; RIGHT(YEAR(ICE[[#This Row],[Strip]]), 2) &amp; "-IEU", W$1)), "")</f>
        <v/>
      </c>
      <c r="X922" s="36"/>
    </row>
    <row r="923" spans="1:24" x14ac:dyDescent="0.25">
      <c r="A923" s="37" t="s">
        <v>435</v>
      </c>
      <c r="B923" s="3" t="str">
        <f>RTD("ice.rtd",,$C923 &amp; $D923 &amp; ":" &amp; B$1)</f>
        <v>FOS</v>
      </c>
      <c r="C923" s="3">
        <v>266</v>
      </c>
      <c r="D923" t="s">
        <v>325</v>
      </c>
      <c r="E923" s="3" t="str">
        <f>RTD("ice.rtd",,$C923 &amp; $D923 &amp; ":" &amp; E$1)</f>
        <v>Nov26</v>
      </c>
      <c r="F923" s="3" t="str">
        <f>ICE[[#This Row],[Prod]]&amp;ICE[[#This Row],[Strip]]</f>
        <v>hiloNov26</v>
      </c>
      <c r="G923" s="18" t="str">
        <f>RTD("ice.rtd",,$C923 &amp; $D923 &amp; ":" &amp; G$1)</f>
        <v/>
      </c>
      <c r="H923" s="18" t="str">
        <f>RTD("ice.rtd",,$C923 &amp; $D923 &amp; ":" &amp; H$1)</f>
        <v/>
      </c>
      <c r="I923" s="18" t="str">
        <f>RTD("ice.rtd",,$C923 &amp; $D923 &amp; ":" &amp; I$1)</f>
        <v/>
      </c>
      <c r="J923" s="14" t="str">
        <f>IFERROR(MOD(RTD("ice.rtd",,$C923 &amp; $D923 &amp; ":" &amp; J$1), 1), "")</f>
        <v/>
      </c>
      <c r="K923" s="18" t="str">
        <f>RTD("ice.rtd",,$C923 &amp; $D923 &amp; ":" &amp; K$1)</f>
        <v/>
      </c>
      <c r="L923" s="36" t="str">
        <f>RTD("ice.rtd",,$C923 &amp; $D923 &amp; ":" &amp; L$1)</f>
        <v/>
      </c>
      <c r="M923" s="14" t="str">
        <f>IFERROR(MOD(TIMEVALUE(RTD("ice.rtd",,$C923 &amp; $D923 &amp; ":" &amp; M$1)), 1), "")</f>
        <v/>
      </c>
      <c r="N923" s="36">
        <f>RTD("ice.rtd",,$C923 &amp; $D923 &amp; ":" &amp; N$1)</f>
        <v>0</v>
      </c>
      <c r="O923" s="36">
        <f>RTD("ice.rtd",,$C923 &amp; $D923 &amp; ":" &amp; O$1)</f>
        <v>0</v>
      </c>
      <c r="P9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3" s="14" t="str">
        <f>IF(ICE[[#This Row],[LastType]] = "Scrn", ICE[[#This Row],[LstDate]], IF(ICE[[#This Row],[LastType]] = "Blk", ICE[[#This Row],[LstBlkTime]], ""))</f>
        <v/>
      </c>
      <c r="R923" s="41" t="str">
        <f>IF(ICE[[#This Row],[LastType]] = "Scrn", ICE[[#This Row],[LstPrc]], IF(ICE[[#This Row],[LastType]] = "Blk", ICE[[#This Row],[LstBlkPrc]], ""))</f>
        <v/>
      </c>
      <c r="S923" s="36">
        <f>ICE[[#This Row],[Vol]]+ICE[[#This Row],[BlkVol]]</f>
        <v>0</v>
      </c>
      <c r="T923" s="36">
        <f>RTD("ice.rtd",,$C923 &amp; $D923 &amp; ":" &amp; T$1)</f>
        <v>52</v>
      </c>
      <c r="U923" s="18">
        <f>RTD("ice.rtd",,$C923 &amp; $D923 &amp; ":" &amp; U$1)</f>
        <v>17.5</v>
      </c>
      <c r="V9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3" s="18" t="str">
        <f>IFERROR(IF(LEFT(ICE[[#This Row],[Tenor]], 1) = "B", RTD("esrtd",,$B923 &amp; " " &amp; ICE[[#This Row],[Tenor]] &amp; "-IEU", W$1), RTD("esrtd",,$B923 &amp; " " &amp; VLOOKUP(MONTH(ICE[[#This Row],[Strip]]), MthRef[], 2, 0) &amp; RIGHT(YEAR(ICE[[#This Row],[Strip]]), 2) &amp; "-IEU", W$1)), "")</f>
        <v/>
      </c>
      <c r="X923" s="36"/>
    </row>
    <row r="924" spans="1:24" x14ac:dyDescent="0.25">
      <c r="A924" s="37" t="s">
        <v>435</v>
      </c>
      <c r="B924" s="3" t="str">
        <f>RTD("ice.rtd",,$C924 &amp; $D924 &amp; ":" &amp; B$1)</f>
        <v>FOS</v>
      </c>
      <c r="C924" s="3">
        <v>266</v>
      </c>
      <c r="D924" t="s">
        <v>326</v>
      </c>
      <c r="E924" s="3" t="str">
        <f>RTD("ice.rtd",,$C924 &amp; $D924 &amp; ":" &amp; E$1)</f>
        <v>Dec26</v>
      </c>
      <c r="F924" s="3" t="str">
        <f>ICE[[#This Row],[Prod]]&amp;ICE[[#This Row],[Strip]]</f>
        <v>hiloDec26</v>
      </c>
      <c r="G924" s="18" t="str">
        <f>RTD("ice.rtd",,$C924 &amp; $D924 &amp; ":" &amp; G$1)</f>
        <v/>
      </c>
      <c r="H924" s="18" t="str">
        <f>RTD("ice.rtd",,$C924 &amp; $D924 &amp; ":" &amp; H$1)</f>
        <v/>
      </c>
      <c r="I924" s="18" t="str">
        <f>RTD("ice.rtd",,$C924 &amp; $D924 &amp; ":" &amp; I$1)</f>
        <v/>
      </c>
      <c r="J924" s="14" t="str">
        <f>IFERROR(MOD(RTD("ice.rtd",,$C924 &amp; $D924 &amp; ":" &amp; J$1), 1), "")</f>
        <v/>
      </c>
      <c r="K924" s="18" t="str">
        <f>RTD("ice.rtd",,$C924 &amp; $D924 &amp; ":" &amp; K$1)</f>
        <v/>
      </c>
      <c r="L924" s="36" t="str">
        <f>RTD("ice.rtd",,$C924 &amp; $D924 &amp; ":" &amp; L$1)</f>
        <v/>
      </c>
      <c r="M924" s="14" t="str">
        <f>IFERROR(MOD(TIMEVALUE(RTD("ice.rtd",,$C924 &amp; $D924 &amp; ":" &amp; M$1)), 1), "")</f>
        <v/>
      </c>
      <c r="N924" s="36">
        <f>RTD("ice.rtd",,$C924 &amp; $D924 &amp; ":" &amp; N$1)</f>
        <v>0</v>
      </c>
      <c r="O924" s="36">
        <f>RTD("ice.rtd",,$C924 &amp; $D924 &amp; ":" &amp; O$1)</f>
        <v>0</v>
      </c>
      <c r="P9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4" s="14" t="str">
        <f>IF(ICE[[#This Row],[LastType]] = "Scrn", ICE[[#This Row],[LstDate]], IF(ICE[[#This Row],[LastType]] = "Blk", ICE[[#This Row],[LstBlkTime]], ""))</f>
        <v/>
      </c>
      <c r="R924" s="41" t="str">
        <f>IF(ICE[[#This Row],[LastType]] = "Scrn", ICE[[#This Row],[LstPrc]], IF(ICE[[#This Row],[LastType]] = "Blk", ICE[[#This Row],[LstBlkPrc]], ""))</f>
        <v/>
      </c>
      <c r="S924" s="36">
        <f>ICE[[#This Row],[Vol]]+ICE[[#This Row],[BlkVol]]</f>
        <v>0</v>
      </c>
      <c r="T924" s="36">
        <f>RTD("ice.rtd",,$C924 &amp; $D924 &amp; ":" &amp; T$1)</f>
        <v>57</v>
      </c>
      <c r="U924" s="18">
        <f>RTD("ice.rtd",,$C924 &amp; $D924 &amp; ":" &amp; U$1)</f>
        <v>15.25</v>
      </c>
      <c r="V9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4" s="18" t="str">
        <f>IFERROR(IF(LEFT(ICE[[#This Row],[Tenor]], 1) = "B", RTD("esrtd",,$B924 &amp; " " &amp; ICE[[#This Row],[Tenor]] &amp; "-IEU", W$1), RTD("esrtd",,$B924 &amp; " " &amp; VLOOKUP(MONTH(ICE[[#This Row],[Strip]]), MthRef[], 2, 0) &amp; RIGHT(YEAR(ICE[[#This Row],[Strip]]), 2) &amp; "-IEU", W$1)), "")</f>
        <v/>
      </c>
      <c r="X924" s="36"/>
    </row>
    <row r="925" spans="1:24" x14ac:dyDescent="0.25">
      <c r="A925" s="37" t="s">
        <v>435</v>
      </c>
      <c r="B925" s="3" t="str">
        <f>RTD("ice.rtd",,$C925 &amp; $D925 &amp; ":" &amp; B$1)</f>
        <v>FOS</v>
      </c>
      <c r="C925" s="3">
        <v>266</v>
      </c>
      <c r="D925" t="s">
        <v>794</v>
      </c>
      <c r="E925" s="3" t="str">
        <f>RTD("ice.rtd",,$C925 &amp; $D925 &amp; ":" &amp; E$1)</f>
        <v>Jan27</v>
      </c>
      <c r="F925" s="3" t="str">
        <f>ICE[[#This Row],[Prod]]&amp;ICE[[#This Row],[Strip]]</f>
        <v>hiloJan27</v>
      </c>
      <c r="G925" s="18" t="str">
        <f>RTD("ice.rtd",,$C925 &amp; $D925 &amp; ":" &amp; G$1)</f>
        <v/>
      </c>
      <c r="H925" s="18" t="str">
        <f>RTD("ice.rtd",,$C925 &amp; $D925 &amp; ":" &amp; H$1)</f>
        <v/>
      </c>
      <c r="I925" s="18" t="str">
        <f>RTD("ice.rtd",,$C925 &amp; $D925 &amp; ":" &amp; I$1)</f>
        <v/>
      </c>
      <c r="J925" s="14" t="str">
        <f>IFERROR(MOD(RTD("ice.rtd",,$C925 &amp; $D925 &amp; ":" &amp; J$1), 1), "")</f>
        <v/>
      </c>
      <c r="K925" s="18" t="str">
        <f>RTD("ice.rtd",,$C925 &amp; $D925 &amp; ":" &amp; K$1)</f>
        <v/>
      </c>
      <c r="L925" s="36" t="str">
        <f>RTD("ice.rtd",,$C925 &amp; $D925 &amp; ":" &amp; L$1)</f>
        <v/>
      </c>
      <c r="M925" s="14" t="str">
        <f>IFERROR(MOD(TIMEVALUE(RTD("ice.rtd",,$C925 &amp; $D925 &amp; ":" &amp; M$1)), 1), "")</f>
        <v/>
      </c>
      <c r="N925" s="36">
        <f>RTD("ice.rtd",,$C925 &amp; $D925 &amp; ":" &amp; N$1)</f>
        <v>0</v>
      </c>
      <c r="O925" s="36">
        <f>RTD("ice.rtd",,$C925 &amp; $D925 &amp; ":" &amp; O$1)</f>
        <v>0</v>
      </c>
      <c r="P9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5" s="14" t="str">
        <f>IF(ICE[[#This Row],[LastType]] = "Scrn", ICE[[#This Row],[LstDate]], IF(ICE[[#This Row],[LastType]] = "Blk", ICE[[#This Row],[LstBlkTime]], ""))</f>
        <v/>
      </c>
      <c r="R925" s="41" t="str">
        <f>IF(ICE[[#This Row],[LastType]] = "Scrn", ICE[[#This Row],[LstPrc]], IF(ICE[[#This Row],[LastType]] = "Blk", ICE[[#This Row],[LstBlkPrc]], ""))</f>
        <v/>
      </c>
      <c r="S925" s="36">
        <f>ICE[[#This Row],[Vol]]+ICE[[#This Row],[BlkVol]]</f>
        <v>0</v>
      </c>
      <c r="T925" s="36">
        <f>RTD("ice.rtd",,$C925 &amp; $D925 &amp; ":" &amp; T$1)</f>
        <v>16</v>
      </c>
      <c r="U925" s="18">
        <f>RTD("ice.rtd",,$C925 &amp; $D925 &amp; ":" &amp; U$1)</f>
        <v>15</v>
      </c>
      <c r="V9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5" s="18" t="str">
        <f>IFERROR(IF(LEFT(ICE[[#This Row],[Tenor]], 1) = "B", RTD("esrtd",,$B925 &amp; " " &amp; ICE[[#This Row],[Tenor]] &amp; "-IEU", W$1), RTD("esrtd",,$B925 &amp; " " &amp; VLOOKUP(MONTH(ICE[[#This Row],[Strip]]), MthRef[], 2, 0) &amp; RIGHT(YEAR(ICE[[#This Row],[Strip]]), 2) &amp; "-IEU", W$1)), "")</f>
        <v/>
      </c>
      <c r="X925" s="36"/>
    </row>
    <row r="926" spans="1:24" x14ac:dyDescent="0.25">
      <c r="A926" s="37" t="s">
        <v>435</v>
      </c>
      <c r="B926" s="3" t="str">
        <f>RTD("ice.rtd",,$C926 &amp; $D926 &amp; ":" &amp; B$1)</f>
        <v>FOS</v>
      </c>
      <c r="C926" s="3">
        <v>266</v>
      </c>
      <c r="D926" t="s">
        <v>795</v>
      </c>
      <c r="E926" s="3" t="str">
        <f>RTD("ice.rtd",,$C926 &amp; $D926 &amp; ":" &amp; E$1)</f>
        <v>Feb27</v>
      </c>
      <c r="F926" s="3" t="str">
        <f>ICE[[#This Row],[Prod]]&amp;ICE[[#This Row],[Strip]]</f>
        <v>hiloFeb27</v>
      </c>
      <c r="G926" s="18" t="str">
        <f>RTD("ice.rtd",,$C926 &amp; $D926 &amp; ":" &amp; G$1)</f>
        <v/>
      </c>
      <c r="H926" s="18" t="str">
        <f>RTD("ice.rtd",,$C926 &amp; $D926 &amp; ":" &amp; H$1)</f>
        <v/>
      </c>
      <c r="I926" s="18" t="str">
        <f>RTD("ice.rtd",,$C926 &amp; $D926 &amp; ":" &amp; I$1)</f>
        <v/>
      </c>
      <c r="J926" s="14" t="str">
        <f>IFERROR(MOD(RTD("ice.rtd",,$C926 &amp; $D926 &amp; ":" &amp; J$1), 1), "")</f>
        <v/>
      </c>
      <c r="K926" s="18" t="str">
        <f>RTD("ice.rtd",,$C926 &amp; $D926 &amp; ":" &amp; K$1)</f>
        <v/>
      </c>
      <c r="L926" s="36" t="str">
        <f>RTD("ice.rtd",,$C926 &amp; $D926 &amp; ":" &amp; L$1)</f>
        <v/>
      </c>
      <c r="M926" s="14" t="str">
        <f>IFERROR(MOD(TIMEVALUE(RTD("ice.rtd",,$C926 &amp; $D926 &amp; ":" &amp; M$1)), 1), "")</f>
        <v/>
      </c>
      <c r="N926" s="36">
        <f>RTD("ice.rtd",,$C926 &amp; $D926 &amp; ":" &amp; N$1)</f>
        <v>0</v>
      </c>
      <c r="O926" s="36">
        <f>RTD("ice.rtd",,$C926 &amp; $D926 &amp; ":" &amp; O$1)</f>
        <v>0</v>
      </c>
      <c r="P9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6" s="14" t="str">
        <f>IF(ICE[[#This Row],[LastType]] = "Scrn", ICE[[#This Row],[LstDate]], IF(ICE[[#This Row],[LastType]] = "Blk", ICE[[#This Row],[LstBlkTime]], ""))</f>
        <v/>
      </c>
      <c r="R926" s="41" t="str">
        <f>IF(ICE[[#This Row],[LastType]] = "Scrn", ICE[[#This Row],[LstPrc]], IF(ICE[[#This Row],[LastType]] = "Blk", ICE[[#This Row],[LstBlkPrc]], ""))</f>
        <v/>
      </c>
      <c r="S926" s="36">
        <f>ICE[[#This Row],[Vol]]+ICE[[#This Row],[BlkVol]]</f>
        <v>0</v>
      </c>
      <c r="T926" s="36">
        <f>RTD("ice.rtd",,$C926 &amp; $D926 &amp; ":" &amp; T$1)</f>
        <v>16</v>
      </c>
      <c r="U926" s="18">
        <f>RTD("ice.rtd",,$C926 &amp; $D926 &amp; ":" &amp; U$1)</f>
        <v>14.75</v>
      </c>
      <c r="V9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6" s="18" t="str">
        <f>IFERROR(IF(LEFT(ICE[[#This Row],[Tenor]], 1) = "B", RTD("esrtd",,$B926 &amp; " " &amp; ICE[[#This Row],[Tenor]] &amp; "-IEU", W$1), RTD("esrtd",,$B926 &amp; " " &amp; VLOOKUP(MONTH(ICE[[#This Row],[Strip]]), MthRef[], 2, 0) &amp; RIGHT(YEAR(ICE[[#This Row],[Strip]]), 2) &amp; "-IEU", W$1)), "")</f>
        <v/>
      </c>
      <c r="X926" s="36"/>
    </row>
    <row r="927" spans="1:24" x14ac:dyDescent="0.25">
      <c r="A927" s="37" t="s">
        <v>435</v>
      </c>
      <c r="B927" s="3" t="str">
        <f>RTD("ice.rtd",,$C927 &amp; $D927 &amp; ":" &amp; B$1)</f>
        <v>FOS</v>
      </c>
      <c r="C927" s="3">
        <v>266</v>
      </c>
      <c r="D927" t="s">
        <v>113</v>
      </c>
      <c r="E927" s="3" t="str">
        <f>RTD("ice.rtd",,$C927 &amp; $D927 &amp; ":" &amp; E$1)</f>
        <v>Mar27</v>
      </c>
      <c r="F927" s="3" t="str">
        <f>ICE[[#This Row],[Prod]]&amp;ICE[[#This Row],[Strip]]</f>
        <v>hiloMar27</v>
      </c>
      <c r="G927" s="18" t="str">
        <f>RTD("ice.rtd",,$C927 &amp; $D927 &amp; ":" &amp; G$1)</f>
        <v/>
      </c>
      <c r="H927" s="18" t="str">
        <f>RTD("ice.rtd",,$C927 &amp; $D927 &amp; ":" &amp; H$1)</f>
        <v/>
      </c>
      <c r="I927" s="18" t="str">
        <f>RTD("ice.rtd",,$C927 &amp; $D927 &amp; ":" &amp; I$1)</f>
        <v/>
      </c>
      <c r="J927" s="14" t="str">
        <f>IFERROR(MOD(RTD("ice.rtd",,$C927 &amp; $D927 &amp; ":" &amp; J$1), 1), "")</f>
        <v/>
      </c>
      <c r="K927" s="18" t="str">
        <f>RTD("ice.rtd",,$C927 &amp; $D927 &amp; ":" &amp; K$1)</f>
        <v/>
      </c>
      <c r="L927" s="36" t="str">
        <f>RTD("ice.rtd",,$C927 &amp; $D927 &amp; ":" &amp; L$1)</f>
        <v/>
      </c>
      <c r="M927" s="14" t="str">
        <f>IFERROR(MOD(TIMEVALUE(RTD("ice.rtd",,$C927 &amp; $D927 &amp; ":" &amp; M$1)), 1), "")</f>
        <v/>
      </c>
      <c r="N927" s="36">
        <f>RTD("ice.rtd",,$C927 &amp; $D927 &amp; ":" &amp; N$1)</f>
        <v>0</v>
      </c>
      <c r="O927" s="36">
        <f>RTD("ice.rtd",,$C927 &amp; $D927 &amp; ":" &amp; O$1)</f>
        <v>0</v>
      </c>
      <c r="P9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7" s="14" t="str">
        <f>IF(ICE[[#This Row],[LastType]] = "Scrn", ICE[[#This Row],[LstDate]], IF(ICE[[#This Row],[LastType]] = "Blk", ICE[[#This Row],[LstBlkTime]], ""))</f>
        <v/>
      </c>
      <c r="R927" s="41" t="str">
        <f>IF(ICE[[#This Row],[LastType]] = "Scrn", ICE[[#This Row],[LstPrc]], IF(ICE[[#This Row],[LastType]] = "Blk", ICE[[#This Row],[LstBlkPrc]], ""))</f>
        <v/>
      </c>
      <c r="S927" s="36">
        <f>ICE[[#This Row],[Vol]]+ICE[[#This Row],[BlkVol]]</f>
        <v>0</v>
      </c>
      <c r="T927" s="36">
        <f>RTD("ice.rtd",,$C927 &amp; $D927 &amp; ":" &amp; T$1)</f>
        <v>16</v>
      </c>
      <c r="U927" s="18">
        <f>RTD("ice.rtd",,$C927 &amp; $D927 &amp; ":" &amp; U$1)</f>
        <v>14.75</v>
      </c>
      <c r="V9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7" s="18" t="str">
        <f>IFERROR(IF(LEFT(ICE[[#This Row],[Tenor]], 1) = "B", RTD("esrtd",,$B927 &amp; " " &amp; ICE[[#This Row],[Tenor]] &amp; "-IEU", W$1), RTD("esrtd",,$B927 &amp; " " &amp; VLOOKUP(MONTH(ICE[[#This Row],[Strip]]), MthRef[], 2, 0) &amp; RIGHT(YEAR(ICE[[#This Row],[Strip]]), 2) &amp; "-IEU", W$1)), "")</f>
        <v/>
      </c>
      <c r="X927" s="36"/>
    </row>
    <row r="928" spans="1:24" x14ac:dyDescent="0.25">
      <c r="A928" s="37" t="s">
        <v>435</v>
      </c>
      <c r="B928" s="3" t="str">
        <f>RTD("ice.rtd",,$C928 &amp; $D928 &amp; ":" &amp; B$1)</f>
        <v>FOS</v>
      </c>
      <c r="C928" s="3">
        <v>266</v>
      </c>
      <c r="D928" t="s">
        <v>796</v>
      </c>
      <c r="E928" s="3" t="str">
        <f>RTD("ice.rtd",,$C928 &amp; $D928 &amp; ":" &amp; E$1)</f>
        <v>Apr27</v>
      </c>
      <c r="F928" s="3" t="str">
        <f>ICE[[#This Row],[Prod]]&amp;ICE[[#This Row],[Strip]]</f>
        <v>hiloApr27</v>
      </c>
      <c r="G928" s="18" t="str">
        <f>RTD("ice.rtd",,$C928 &amp; $D928 &amp; ":" &amp; G$1)</f>
        <v/>
      </c>
      <c r="H928" s="18" t="str">
        <f>RTD("ice.rtd",,$C928 &amp; $D928 &amp; ":" &amp; H$1)</f>
        <v/>
      </c>
      <c r="I928" s="18" t="str">
        <f>RTD("ice.rtd",,$C928 &amp; $D928 &amp; ":" &amp; I$1)</f>
        <v/>
      </c>
      <c r="J928" s="14" t="str">
        <f>IFERROR(MOD(RTD("ice.rtd",,$C928 &amp; $D928 &amp; ":" &amp; J$1), 1), "")</f>
        <v/>
      </c>
      <c r="K928" s="18" t="str">
        <f>RTD("ice.rtd",,$C928 &amp; $D928 &amp; ":" &amp; K$1)</f>
        <v/>
      </c>
      <c r="L928" s="36" t="str">
        <f>RTD("ice.rtd",,$C928 &amp; $D928 &amp; ":" &amp; L$1)</f>
        <v/>
      </c>
      <c r="M928" s="14" t="str">
        <f>IFERROR(MOD(TIMEVALUE(RTD("ice.rtd",,$C928 &amp; $D928 &amp; ":" &amp; M$1)), 1), "")</f>
        <v/>
      </c>
      <c r="N928" s="36">
        <f>RTD("ice.rtd",,$C928 &amp; $D928 &amp; ":" &amp; N$1)</f>
        <v>0</v>
      </c>
      <c r="O928" s="36">
        <f>RTD("ice.rtd",,$C928 &amp; $D928 &amp; ":" &amp; O$1)</f>
        <v>0</v>
      </c>
      <c r="P9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8" s="14" t="str">
        <f>IF(ICE[[#This Row],[LastType]] = "Scrn", ICE[[#This Row],[LstDate]], IF(ICE[[#This Row],[LastType]] = "Blk", ICE[[#This Row],[LstBlkTime]], ""))</f>
        <v/>
      </c>
      <c r="R928" s="41" t="str">
        <f>IF(ICE[[#This Row],[LastType]] = "Scrn", ICE[[#This Row],[LstPrc]], IF(ICE[[#This Row],[LastType]] = "Blk", ICE[[#This Row],[LstBlkPrc]], ""))</f>
        <v/>
      </c>
      <c r="S928" s="36">
        <f>ICE[[#This Row],[Vol]]+ICE[[#This Row],[BlkVol]]</f>
        <v>0</v>
      </c>
      <c r="T928" s="36">
        <f>RTD("ice.rtd",,$C928 &amp; $D928 &amp; ":" &amp; T$1)</f>
        <v>6</v>
      </c>
      <c r="U928" s="18">
        <f>RTD("ice.rtd",,$C928 &amp; $D928 &amp; ":" &amp; U$1)</f>
        <v>14</v>
      </c>
      <c r="V9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8" s="18" t="str">
        <f>IFERROR(IF(LEFT(ICE[[#This Row],[Tenor]], 1) = "B", RTD("esrtd",,$B928 &amp; " " &amp; ICE[[#This Row],[Tenor]] &amp; "-IEU", W$1), RTD("esrtd",,$B928 &amp; " " &amp; VLOOKUP(MONTH(ICE[[#This Row],[Strip]]), MthRef[], 2, 0) &amp; RIGHT(YEAR(ICE[[#This Row],[Strip]]), 2) &amp; "-IEU", W$1)), "")</f>
        <v/>
      </c>
      <c r="X928" s="36"/>
    </row>
    <row r="929" spans="1:24" x14ac:dyDescent="0.25">
      <c r="A929" s="37" t="s">
        <v>435</v>
      </c>
      <c r="B929" s="3" t="str">
        <f>RTD("ice.rtd",,$C929 &amp; $D929 &amp; ":" &amp; B$1)</f>
        <v>FOS</v>
      </c>
      <c r="C929" s="3">
        <v>266</v>
      </c>
      <c r="D929" t="s">
        <v>797</v>
      </c>
      <c r="E929" s="3" t="str">
        <f>RTD("ice.rtd",,$C929 &amp; $D929 &amp; ":" &amp; E$1)</f>
        <v>May27</v>
      </c>
      <c r="F929" s="3" t="str">
        <f>ICE[[#This Row],[Prod]]&amp;ICE[[#This Row],[Strip]]</f>
        <v>hiloMay27</v>
      </c>
      <c r="G929" s="18" t="str">
        <f>RTD("ice.rtd",,$C929 &amp; $D929 &amp; ":" &amp; G$1)</f>
        <v/>
      </c>
      <c r="H929" s="18" t="str">
        <f>RTD("ice.rtd",,$C929 &amp; $D929 &amp; ":" &amp; H$1)</f>
        <v/>
      </c>
      <c r="I929" s="18" t="str">
        <f>RTD("ice.rtd",,$C929 &amp; $D929 &amp; ":" &amp; I$1)</f>
        <v/>
      </c>
      <c r="J929" s="14" t="str">
        <f>IFERROR(MOD(RTD("ice.rtd",,$C929 &amp; $D929 &amp; ":" &amp; J$1), 1), "")</f>
        <v/>
      </c>
      <c r="K929" s="18" t="str">
        <f>RTD("ice.rtd",,$C929 &amp; $D929 &amp; ":" &amp; K$1)</f>
        <v/>
      </c>
      <c r="L929" s="36" t="str">
        <f>RTD("ice.rtd",,$C929 &amp; $D929 &amp; ":" &amp; L$1)</f>
        <v/>
      </c>
      <c r="M929" s="14" t="str">
        <f>IFERROR(MOD(TIMEVALUE(RTD("ice.rtd",,$C929 &amp; $D929 &amp; ":" &amp; M$1)), 1), "")</f>
        <v/>
      </c>
      <c r="N929" s="36">
        <f>RTD("ice.rtd",,$C929 &amp; $D929 &amp; ":" &amp; N$1)</f>
        <v>0</v>
      </c>
      <c r="O929" s="36">
        <f>RTD("ice.rtd",,$C929 &amp; $D929 &amp; ":" &amp; O$1)</f>
        <v>0</v>
      </c>
      <c r="P9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29" s="14" t="str">
        <f>IF(ICE[[#This Row],[LastType]] = "Scrn", ICE[[#This Row],[LstDate]], IF(ICE[[#This Row],[LastType]] = "Blk", ICE[[#This Row],[LstBlkTime]], ""))</f>
        <v/>
      </c>
      <c r="R929" s="41" t="str">
        <f>IF(ICE[[#This Row],[LastType]] = "Scrn", ICE[[#This Row],[LstPrc]], IF(ICE[[#This Row],[LastType]] = "Blk", ICE[[#This Row],[LstBlkPrc]], ""))</f>
        <v/>
      </c>
      <c r="S929" s="36">
        <f>ICE[[#This Row],[Vol]]+ICE[[#This Row],[BlkVol]]</f>
        <v>0</v>
      </c>
      <c r="T929" s="36">
        <f>RTD("ice.rtd",,$C929 &amp; $D929 &amp; ":" &amp; T$1)</f>
        <v>6</v>
      </c>
      <c r="U929" s="18">
        <f>RTD("ice.rtd",,$C929 &amp; $D929 &amp; ":" &amp; U$1)</f>
        <v>13.5</v>
      </c>
      <c r="V9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29" s="18" t="str">
        <f>IFERROR(IF(LEFT(ICE[[#This Row],[Tenor]], 1) = "B", RTD("esrtd",,$B929 &amp; " " &amp; ICE[[#This Row],[Tenor]] &amp; "-IEU", W$1), RTD("esrtd",,$B929 &amp; " " &amp; VLOOKUP(MONTH(ICE[[#This Row],[Strip]]), MthRef[], 2, 0) &amp; RIGHT(YEAR(ICE[[#This Row],[Strip]]), 2) &amp; "-IEU", W$1)), "")</f>
        <v/>
      </c>
      <c r="X929" s="36"/>
    </row>
    <row r="930" spans="1:24" x14ac:dyDescent="0.25">
      <c r="A930" s="37" t="s">
        <v>435</v>
      </c>
      <c r="B930" s="3" t="str">
        <f>RTD("ice.rtd",,$C930 &amp; $D930 &amp; ":" &amp; B$1)</f>
        <v>FOS</v>
      </c>
      <c r="C930" s="3">
        <v>266</v>
      </c>
      <c r="D930" t="s">
        <v>798</v>
      </c>
      <c r="E930" s="3" t="str">
        <f>RTD("ice.rtd",,$C930 &amp; $D930 &amp; ":" &amp; E$1)</f>
        <v>Jun27</v>
      </c>
      <c r="F930" s="3" t="str">
        <f>ICE[[#This Row],[Prod]]&amp;ICE[[#This Row],[Strip]]</f>
        <v>hiloJun27</v>
      </c>
      <c r="G930" s="18" t="str">
        <f>RTD("ice.rtd",,$C930 &amp; $D930 &amp; ":" &amp; G$1)</f>
        <v/>
      </c>
      <c r="H930" s="18" t="str">
        <f>RTD("ice.rtd",,$C930 &amp; $D930 &amp; ":" &amp; H$1)</f>
        <v/>
      </c>
      <c r="I930" s="18" t="str">
        <f>RTD("ice.rtd",,$C930 &amp; $D930 &amp; ":" &amp; I$1)</f>
        <v/>
      </c>
      <c r="J930" s="14" t="str">
        <f>IFERROR(MOD(RTD("ice.rtd",,$C930 &amp; $D930 &amp; ":" &amp; J$1), 1), "")</f>
        <v/>
      </c>
      <c r="K930" s="18" t="str">
        <f>RTD("ice.rtd",,$C930 &amp; $D930 &amp; ":" &amp; K$1)</f>
        <v/>
      </c>
      <c r="L930" s="36" t="str">
        <f>RTD("ice.rtd",,$C930 &amp; $D930 &amp; ":" &amp; L$1)</f>
        <v/>
      </c>
      <c r="M930" s="14" t="str">
        <f>IFERROR(MOD(TIMEVALUE(RTD("ice.rtd",,$C930 &amp; $D930 &amp; ":" &amp; M$1)), 1), "")</f>
        <v/>
      </c>
      <c r="N930" s="36">
        <f>RTD("ice.rtd",,$C930 &amp; $D930 &amp; ":" &amp; N$1)</f>
        <v>0</v>
      </c>
      <c r="O930" s="36">
        <f>RTD("ice.rtd",,$C930 &amp; $D930 &amp; ":" &amp; O$1)</f>
        <v>0</v>
      </c>
      <c r="P9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0" s="14" t="str">
        <f>IF(ICE[[#This Row],[LastType]] = "Scrn", ICE[[#This Row],[LstDate]], IF(ICE[[#This Row],[LastType]] = "Blk", ICE[[#This Row],[LstBlkTime]], ""))</f>
        <v/>
      </c>
      <c r="R930" s="41" t="str">
        <f>IF(ICE[[#This Row],[LastType]] = "Scrn", ICE[[#This Row],[LstPrc]], IF(ICE[[#This Row],[LastType]] = "Blk", ICE[[#This Row],[LstBlkPrc]], ""))</f>
        <v/>
      </c>
      <c r="S930" s="36">
        <f>ICE[[#This Row],[Vol]]+ICE[[#This Row],[BlkVol]]</f>
        <v>0</v>
      </c>
      <c r="T930" s="36">
        <f>RTD("ice.rtd",,$C930 &amp; $D930 &amp; ":" &amp; T$1)</f>
        <v>6</v>
      </c>
      <c r="U930" s="18">
        <f>RTD("ice.rtd",,$C930 &amp; $D930 &amp; ":" &amp; U$1)</f>
        <v>13</v>
      </c>
      <c r="V9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0" s="18" t="str">
        <f>IFERROR(IF(LEFT(ICE[[#This Row],[Tenor]], 1) = "B", RTD("esrtd",,$B930 &amp; " " &amp; ICE[[#This Row],[Tenor]] &amp; "-IEU", W$1), RTD("esrtd",,$B930 &amp; " " &amp; VLOOKUP(MONTH(ICE[[#This Row],[Strip]]), MthRef[], 2, 0) &amp; RIGHT(YEAR(ICE[[#This Row],[Strip]]), 2) &amp; "-IEU", W$1)), "")</f>
        <v/>
      </c>
      <c r="X930" s="36"/>
    </row>
    <row r="931" spans="1:24" x14ac:dyDescent="0.25">
      <c r="A931" s="37" t="s">
        <v>435</v>
      </c>
      <c r="B931" s="3" t="str">
        <f>RTD("ice.rtd",,$C931 &amp; $D931 &amp; ":" &amp; B$1)</f>
        <v>FOS</v>
      </c>
      <c r="C931" s="3">
        <v>266</v>
      </c>
      <c r="D931" t="s">
        <v>799</v>
      </c>
      <c r="E931" s="3" t="str">
        <f>RTD("ice.rtd",,$C931 &amp; $D931 &amp; ":" &amp; E$1)</f>
        <v>Jul27</v>
      </c>
      <c r="F931" s="3" t="str">
        <f>ICE[[#This Row],[Prod]]&amp;ICE[[#This Row],[Strip]]</f>
        <v>hiloJul27</v>
      </c>
      <c r="G931" s="18" t="str">
        <f>RTD("ice.rtd",,$C931 &amp; $D931 &amp; ":" &amp; G$1)</f>
        <v/>
      </c>
      <c r="H931" s="18" t="str">
        <f>RTD("ice.rtd",,$C931 &amp; $D931 &amp; ":" &amp; H$1)</f>
        <v/>
      </c>
      <c r="I931" s="18" t="str">
        <f>RTD("ice.rtd",,$C931 &amp; $D931 &amp; ":" &amp; I$1)</f>
        <v/>
      </c>
      <c r="J931" s="14" t="str">
        <f>IFERROR(MOD(RTD("ice.rtd",,$C931 &amp; $D931 &amp; ":" &amp; J$1), 1), "")</f>
        <v/>
      </c>
      <c r="K931" s="18" t="str">
        <f>RTD("ice.rtd",,$C931 &amp; $D931 &amp; ":" &amp; K$1)</f>
        <v/>
      </c>
      <c r="L931" s="36" t="str">
        <f>RTD("ice.rtd",,$C931 &amp; $D931 &amp; ":" &amp; L$1)</f>
        <v/>
      </c>
      <c r="M931" s="14" t="str">
        <f>IFERROR(MOD(TIMEVALUE(RTD("ice.rtd",,$C931 &amp; $D931 &amp; ":" &amp; M$1)), 1), "")</f>
        <v/>
      </c>
      <c r="N931" s="36">
        <f>RTD("ice.rtd",,$C931 &amp; $D931 &amp; ":" &amp; N$1)</f>
        <v>0</v>
      </c>
      <c r="O931" s="36">
        <f>RTD("ice.rtd",,$C931 &amp; $D931 &amp; ":" &amp; O$1)</f>
        <v>0</v>
      </c>
      <c r="P9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1" s="14" t="str">
        <f>IF(ICE[[#This Row],[LastType]] = "Scrn", ICE[[#This Row],[LstDate]], IF(ICE[[#This Row],[LastType]] = "Blk", ICE[[#This Row],[LstBlkTime]], ""))</f>
        <v/>
      </c>
      <c r="R931" s="41" t="str">
        <f>IF(ICE[[#This Row],[LastType]] = "Scrn", ICE[[#This Row],[LstPrc]], IF(ICE[[#This Row],[LastType]] = "Blk", ICE[[#This Row],[LstBlkPrc]], ""))</f>
        <v/>
      </c>
      <c r="S931" s="36">
        <f>ICE[[#This Row],[Vol]]+ICE[[#This Row],[BlkVol]]</f>
        <v>0</v>
      </c>
      <c r="T931" s="36">
        <f>RTD("ice.rtd",,$C931 &amp; $D931 &amp; ":" &amp; T$1)</f>
        <v>0</v>
      </c>
      <c r="U931" s="18">
        <f>RTD("ice.rtd",,$C931 &amp; $D931 &amp; ":" &amp; U$1)</f>
        <v>12.75</v>
      </c>
      <c r="V9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1" s="18" t="str">
        <f>IFERROR(IF(LEFT(ICE[[#This Row],[Tenor]], 1) = "B", RTD("esrtd",,$B931 &amp; " " &amp; ICE[[#This Row],[Tenor]] &amp; "-IEU", W$1), RTD("esrtd",,$B931 &amp; " " &amp; VLOOKUP(MONTH(ICE[[#This Row],[Strip]]), MthRef[], 2, 0) &amp; RIGHT(YEAR(ICE[[#This Row],[Strip]]), 2) &amp; "-IEU", W$1)), "")</f>
        <v/>
      </c>
      <c r="X931" s="36"/>
    </row>
    <row r="932" spans="1:24" x14ac:dyDescent="0.25">
      <c r="A932" s="37" t="s">
        <v>435</v>
      </c>
      <c r="B932" s="3" t="str">
        <f>RTD("ice.rtd",,$C932 &amp; $D932 &amp; ":" &amp; B$1)</f>
        <v>FOS</v>
      </c>
      <c r="C932" s="3">
        <v>266</v>
      </c>
      <c r="D932" t="s">
        <v>800</v>
      </c>
      <c r="E932" s="3" t="str">
        <f>RTD("ice.rtd",,$C932 &amp; $D932 &amp; ":" &amp; E$1)</f>
        <v>Aug27</v>
      </c>
      <c r="F932" s="3" t="str">
        <f>ICE[[#This Row],[Prod]]&amp;ICE[[#This Row],[Strip]]</f>
        <v>hiloAug27</v>
      </c>
      <c r="G932" s="18" t="str">
        <f>RTD("ice.rtd",,$C932 &amp; $D932 &amp; ":" &amp; G$1)</f>
        <v/>
      </c>
      <c r="H932" s="18" t="str">
        <f>RTD("ice.rtd",,$C932 &amp; $D932 &amp; ":" &amp; H$1)</f>
        <v/>
      </c>
      <c r="I932" s="18" t="str">
        <f>RTD("ice.rtd",,$C932 &amp; $D932 &amp; ":" &amp; I$1)</f>
        <v/>
      </c>
      <c r="J932" s="14" t="str">
        <f>IFERROR(MOD(RTD("ice.rtd",,$C932 &amp; $D932 &amp; ":" &amp; J$1), 1), "")</f>
        <v/>
      </c>
      <c r="K932" s="18" t="str">
        <f>RTD("ice.rtd",,$C932 &amp; $D932 &amp; ":" &amp; K$1)</f>
        <v/>
      </c>
      <c r="L932" s="36" t="str">
        <f>RTD("ice.rtd",,$C932 &amp; $D932 &amp; ":" &amp; L$1)</f>
        <v/>
      </c>
      <c r="M932" s="14" t="str">
        <f>IFERROR(MOD(TIMEVALUE(RTD("ice.rtd",,$C932 &amp; $D932 &amp; ":" &amp; M$1)), 1), "")</f>
        <v/>
      </c>
      <c r="N932" s="36">
        <f>RTD("ice.rtd",,$C932 &amp; $D932 &amp; ":" &amp; N$1)</f>
        <v>0</v>
      </c>
      <c r="O932" s="36">
        <f>RTD("ice.rtd",,$C932 &amp; $D932 &amp; ":" &amp; O$1)</f>
        <v>0</v>
      </c>
      <c r="P9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2" s="14" t="str">
        <f>IF(ICE[[#This Row],[LastType]] = "Scrn", ICE[[#This Row],[LstDate]], IF(ICE[[#This Row],[LastType]] = "Blk", ICE[[#This Row],[LstBlkTime]], ""))</f>
        <v/>
      </c>
      <c r="R932" s="41" t="str">
        <f>IF(ICE[[#This Row],[LastType]] = "Scrn", ICE[[#This Row],[LstPrc]], IF(ICE[[#This Row],[LastType]] = "Blk", ICE[[#This Row],[LstBlkPrc]], ""))</f>
        <v/>
      </c>
      <c r="S932" s="36">
        <f>ICE[[#This Row],[Vol]]+ICE[[#This Row],[BlkVol]]</f>
        <v>0</v>
      </c>
      <c r="T932" s="36">
        <f>RTD("ice.rtd",,$C932 &amp; $D932 &amp; ":" &amp; T$1)</f>
        <v>0</v>
      </c>
      <c r="U932" s="18">
        <f>RTD("ice.rtd",,$C932 &amp; $D932 &amp; ":" &amp; U$1)</f>
        <v>12.75</v>
      </c>
      <c r="V9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2" s="18" t="str">
        <f>IFERROR(IF(LEFT(ICE[[#This Row],[Tenor]], 1) = "B", RTD("esrtd",,$B932 &amp; " " &amp; ICE[[#This Row],[Tenor]] &amp; "-IEU", W$1), RTD("esrtd",,$B932 &amp; " " &amp; VLOOKUP(MONTH(ICE[[#This Row],[Strip]]), MthRef[], 2, 0) &amp; RIGHT(YEAR(ICE[[#This Row],[Strip]]), 2) &amp; "-IEU", W$1)), "")</f>
        <v/>
      </c>
      <c r="X932" s="36"/>
    </row>
    <row r="933" spans="1:24" x14ac:dyDescent="0.25">
      <c r="A933" s="37" t="s">
        <v>435</v>
      </c>
      <c r="B933" s="3" t="str">
        <f>RTD("ice.rtd",,$C933 &amp; $D933 &amp; ":" &amp; B$1)</f>
        <v>FOS</v>
      </c>
      <c r="C933" s="3">
        <v>266</v>
      </c>
      <c r="D933" t="s">
        <v>801</v>
      </c>
      <c r="E933" s="3" t="str">
        <f>RTD("ice.rtd",,$C933 &amp; $D933 &amp; ":" &amp; E$1)</f>
        <v>Sep27</v>
      </c>
      <c r="F933" s="3" t="str">
        <f>ICE[[#This Row],[Prod]]&amp;ICE[[#This Row],[Strip]]</f>
        <v>hiloSep27</v>
      </c>
      <c r="G933" s="18" t="str">
        <f>RTD("ice.rtd",,$C933 &amp; $D933 &amp; ":" &amp; G$1)</f>
        <v/>
      </c>
      <c r="H933" s="18" t="str">
        <f>RTD("ice.rtd",,$C933 &amp; $D933 &amp; ":" &amp; H$1)</f>
        <v/>
      </c>
      <c r="I933" s="18" t="str">
        <f>RTD("ice.rtd",,$C933 &amp; $D933 &amp; ":" &amp; I$1)</f>
        <v/>
      </c>
      <c r="J933" s="14" t="str">
        <f>IFERROR(MOD(RTD("ice.rtd",,$C933 &amp; $D933 &amp; ":" &amp; J$1), 1), "")</f>
        <v/>
      </c>
      <c r="K933" s="18" t="str">
        <f>RTD("ice.rtd",,$C933 &amp; $D933 &amp; ":" &amp; K$1)</f>
        <v/>
      </c>
      <c r="L933" s="36" t="str">
        <f>RTD("ice.rtd",,$C933 &amp; $D933 &amp; ":" &amp; L$1)</f>
        <v/>
      </c>
      <c r="M933" s="14" t="str">
        <f>IFERROR(MOD(TIMEVALUE(RTD("ice.rtd",,$C933 &amp; $D933 &amp; ":" &amp; M$1)), 1), "")</f>
        <v/>
      </c>
      <c r="N933" s="36">
        <f>RTD("ice.rtd",,$C933 &amp; $D933 &amp; ":" &amp; N$1)</f>
        <v>0</v>
      </c>
      <c r="O933" s="36">
        <f>RTD("ice.rtd",,$C933 &amp; $D933 &amp; ":" &amp; O$1)</f>
        <v>0</v>
      </c>
      <c r="P9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3" s="14" t="str">
        <f>IF(ICE[[#This Row],[LastType]] = "Scrn", ICE[[#This Row],[LstDate]], IF(ICE[[#This Row],[LastType]] = "Blk", ICE[[#This Row],[LstBlkTime]], ""))</f>
        <v/>
      </c>
      <c r="R933" s="41" t="str">
        <f>IF(ICE[[#This Row],[LastType]] = "Scrn", ICE[[#This Row],[LstPrc]], IF(ICE[[#This Row],[LastType]] = "Blk", ICE[[#This Row],[LstBlkPrc]], ""))</f>
        <v/>
      </c>
      <c r="S933" s="36">
        <f>ICE[[#This Row],[Vol]]+ICE[[#This Row],[BlkVol]]</f>
        <v>0</v>
      </c>
      <c r="T933" s="36">
        <f>RTD("ice.rtd",,$C933 &amp; $D933 &amp; ":" &amp; T$1)</f>
        <v>0</v>
      </c>
      <c r="U933" s="18">
        <f>RTD("ice.rtd",,$C933 &amp; $D933 &amp; ":" &amp; U$1)</f>
        <v>13</v>
      </c>
      <c r="V9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3" s="18" t="str">
        <f>IFERROR(IF(LEFT(ICE[[#This Row],[Tenor]], 1) = "B", RTD("esrtd",,$B933 &amp; " " &amp; ICE[[#This Row],[Tenor]] &amp; "-IEU", W$1), RTD("esrtd",,$B933 &amp; " " &amp; VLOOKUP(MONTH(ICE[[#This Row],[Strip]]), MthRef[], 2, 0) &amp; RIGHT(YEAR(ICE[[#This Row],[Strip]]), 2) &amp; "-IEU", W$1)), "")</f>
        <v/>
      </c>
      <c r="X933" s="36"/>
    </row>
    <row r="934" spans="1:24" x14ac:dyDescent="0.25">
      <c r="A934" s="37" t="s">
        <v>435</v>
      </c>
      <c r="B934" s="3" t="str">
        <f>RTD("ice.rtd",,$C934 &amp; $D934 &amp; ":" &amp; B$1)</f>
        <v>FOS</v>
      </c>
      <c r="C934" s="3">
        <v>266</v>
      </c>
      <c r="D934" t="s">
        <v>802</v>
      </c>
      <c r="E934" s="3" t="str">
        <f>RTD("ice.rtd",,$C934 &amp; $D934 &amp; ":" &amp; E$1)</f>
        <v>Oct27</v>
      </c>
      <c r="F934" s="3" t="str">
        <f>ICE[[#This Row],[Prod]]&amp;ICE[[#This Row],[Strip]]</f>
        <v>hiloOct27</v>
      </c>
      <c r="G934" s="18" t="str">
        <f>RTD("ice.rtd",,$C934 &amp; $D934 &amp; ":" &amp; G$1)</f>
        <v/>
      </c>
      <c r="H934" s="18" t="str">
        <f>RTD("ice.rtd",,$C934 &amp; $D934 &amp; ":" &amp; H$1)</f>
        <v/>
      </c>
      <c r="I934" s="18" t="str">
        <f>RTD("ice.rtd",,$C934 &amp; $D934 &amp; ":" &amp; I$1)</f>
        <v/>
      </c>
      <c r="J934" s="14" t="str">
        <f>IFERROR(MOD(RTD("ice.rtd",,$C934 &amp; $D934 &amp; ":" &amp; J$1), 1), "")</f>
        <v/>
      </c>
      <c r="K934" s="18" t="str">
        <f>RTD("ice.rtd",,$C934 &amp; $D934 &amp; ":" &amp; K$1)</f>
        <v/>
      </c>
      <c r="L934" s="36" t="str">
        <f>RTD("ice.rtd",,$C934 &amp; $D934 &amp; ":" &amp; L$1)</f>
        <v/>
      </c>
      <c r="M934" s="14" t="str">
        <f>IFERROR(MOD(TIMEVALUE(RTD("ice.rtd",,$C934 &amp; $D934 &amp; ":" &amp; M$1)), 1), "")</f>
        <v/>
      </c>
      <c r="N934" s="36">
        <f>RTD("ice.rtd",,$C934 &amp; $D934 &amp; ":" &amp; N$1)</f>
        <v>0</v>
      </c>
      <c r="O934" s="36">
        <f>RTD("ice.rtd",,$C934 &amp; $D934 &amp; ":" &amp; O$1)</f>
        <v>0</v>
      </c>
      <c r="P9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4" s="14" t="str">
        <f>IF(ICE[[#This Row],[LastType]] = "Scrn", ICE[[#This Row],[LstDate]], IF(ICE[[#This Row],[LastType]] = "Blk", ICE[[#This Row],[LstBlkTime]], ""))</f>
        <v/>
      </c>
      <c r="R934" s="41" t="str">
        <f>IF(ICE[[#This Row],[LastType]] = "Scrn", ICE[[#This Row],[LstPrc]], IF(ICE[[#This Row],[LastType]] = "Blk", ICE[[#This Row],[LstBlkPrc]], ""))</f>
        <v/>
      </c>
      <c r="S934" s="36">
        <f>ICE[[#This Row],[Vol]]+ICE[[#This Row],[BlkVol]]</f>
        <v>0</v>
      </c>
      <c r="T934" s="36">
        <f>RTD("ice.rtd",,$C934 &amp; $D934 &amp; ":" &amp; T$1)</f>
        <v>0</v>
      </c>
      <c r="U934" s="18">
        <f>RTD("ice.rtd",,$C934 &amp; $D934 &amp; ":" &amp; U$1)</f>
        <v>13</v>
      </c>
      <c r="V9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4" s="18" t="str">
        <f>IFERROR(IF(LEFT(ICE[[#This Row],[Tenor]], 1) = "B", RTD("esrtd",,$B934 &amp; " " &amp; ICE[[#This Row],[Tenor]] &amp; "-IEU", W$1), RTD("esrtd",,$B934 &amp; " " &amp; VLOOKUP(MONTH(ICE[[#This Row],[Strip]]), MthRef[], 2, 0) &amp; RIGHT(YEAR(ICE[[#This Row],[Strip]]), 2) &amp; "-IEU", W$1)), "")</f>
        <v/>
      </c>
      <c r="X934" s="36"/>
    </row>
    <row r="935" spans="1:24" x14ac:dyDescent="0.25">
      <c r="A935" s="37" t="s">
        <v>435</v>
      </c>
      <c r="B935" s="3" t="str">
        <f>RTD("ice.rtd",,$C935 &amp; $D935 &amp; ":" &amp; B$1)</f>
        <v>FOS</v>
      </c>
      <c r="C935" s="3">
        <v>266</v>
      </c>
      <c r="D935" t="s">
        <v>803</v>
      </c>
      <c r="E935" s="3" t="str">
        <f>RTD("ice.rtd",,$C935 &amp; $D935 &amp; ":" &amp; E$1)</f>
        <v>Nov27</v>
      </c>
      <c r="F935" s="3" t="str">
        <f>ICE[[#This Row],[Prod]]&amp;ICE[[#This Row],[Strip]]</f>
        <v>hiloNov27</v>
      </c>
      <c r="G935" s="18" t="str">
        <f>RTD("ice.rtd",,$C935 &amp; $D935 &amp; ":" &amp; G$1)</f>
        <v/>
      </c>
      <c r="H935" s="18" t="str">
        <f>RTD("ice.rtd",,$C935 &amp; $D935 &amp; ":" &amp; H$1)</f>
        <v/>
      </c>
      <c r="I935" s="18" t="str">
        <f>RTD("ice.rtd",,$C935 &amp; $D935 &amp; ":" &amp; I$1)</f>
        <v/>
      </c>
      <c r="J935" s="14" t="str">
        <f>IFERROR(MOD(RTD("ice.rtd",,$C935 &amp; $D935 &amp; ":" &amp; J$1), 1), "")</f>
        <v/>
      </c>
      <c r="K935" s="18" t="str">
        <f>RTD("ice.rtd",,$C935 &amp; $D935 &amp; ":" &amp; K$1)</f>
        <v/>
      </c>
      <c r="L935" s="36" t="str">
        <f>RTD("ice.rtd",,$C935 &amp; $D935 &amp; ":" &amp; L$1)</f>
        <v/>
      </c>
      <c r="M935" s="14" t="str">
        <f>IFERROR(MOD(TIMEVALUE(RTD("ice.rtd",,$C935 &amp; $D935 &amp; ":" &amp; M$1)), 1), "")</f>
        <v/>
      </c>
      <c r="N935" s="36">
        <f>RTD("ice.rtd",,$C935 &amp; $D935 &amp; ":" &amp; N$1)</f>
        <v>0</v>
      </c>
      <c r="O935" s="36">
        <f>RTD("ice.rtd",,$C935 &amp; $D935 &amp; ":" &amp; O$1)</f>
        <v>0</v>
      </c>
      <c r="P9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5" s="14" t="str">
        <f>IF(ICE[[#This Row],[LastType]] = "Scrn", ICE[[#This Row],[LstDate]], IF(ICE[[#This Row],[LastType]] = "Blk", ICE[[#This Row],[LstBlkTime]], ""))</f>
        <v/>
      </c>
      <c r="R935" s="41" t="str">
        <f>IF(ICE[[#This Row],[LastType]] = "Scrn", ICE[[#This Row],[LstPrc]], IF(ICE[[#This Row],[LastType]] = "Blk", ICE[[#This Row],[LstBlkPrc]], ""))</f>
        <v/>
      </c>
      <c r="S935" s="36">
        <f>ICE[[#This Row],[Vol]]+ICE[[#This Row],[BlkVol]]</f>
        <v>0</v>
      </c>
      <c r="T935" s="36">
        <f>RTD("ice.rtd",,$C935 &amp; $D935 &amp; ":" &amp; T$1)</f>
        <v>0</v>
      </c>
      <c r="U935" s="18">
        <f>RTD("ice.rtd",,$C935 &amp; $D935 &amp; ":" &amp; U$1)</f>
        <v>12.75</v>
      </c>
      <c r="V9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5" s="18" t="str">
        <f>IFERROR(IF(LEFT(ICE[[#This Row],[Tenor]], 1) = "B", RTD("esrtd",,$B935 &amp; " " &amp; ICE[[#This Row],[Tenor]] &amp; "-IEU", W$1), RTD("esrtd",,$B935 &amp; " " &amp; VLOOKUP(MONTH(ICE[[#This Row],[Strip]]), MthRef[], 2, 0) &amp; RIGHT(YEAR(ICE[[#This Row],[Strip]]), 2) &amp; "-IEU", W$1)), "")</f>
        <v/>
      </c>
      <c r="X935" s="36"/>
    </row>
    <row r="936" spans="1:24" x14ac:dyDescent="0.25">
      <c r="A936" s="37" t="s">
        <v>435</v>
      </c>
      <c r="B936" s="3" t="str">
        <f>RTD("ice.rtd",,$C936 &amp; $D936 &amp; ":" &amp; B$1)</f>
        <v>FOS</v>
      </c>
      <c r="C936" s="3">
        <v>266</v>
      </c>
      <c r="D936" t="s">
        <v>804</v>
      </c>
      <c r="E936" s="3" t="str">
        <f>RTD("ice.rtd",,$C936 &amp; $D936 &amp; ":" &amp; E$1)</f>
        <v>Dec27</v>
      </c>
      <c r="F936" s="3" t="str">
        <f>ICE[[#This Row],[Prod]]&amp;ICE[[#This Row],[Strip]]</f>
        <v>hiloDec27</v>
      </c>
      <c r="G936" s="18" t="str">
        <f>RTD("ice.rtd",,$C936 &amp; $D936 &amp; ":" &amp; G$1)</f>
        <v/>
      </c>
      <c r="H936" s="18" t="str">
        <f>RTD("ice.rtd",,$C936 &amp; $D936 &amp; ":" &amp; H$1)</f>
        <v/>
      </c>
      <c r="I936" s="18" t="str">
        <f>RTD("ice.rtd",,$C936 &amp; $D936 &amp; ":" &amp; I$1)</f>
        <v/>
      </c>
      <c r="J936" s="14" t="str">
        <f>IFERROR(MOD(RTD("ice.rtd",,$C936 &amp; $D936 &amp; ":" &amp; J$1), 1), "")</f>
        <v/>
      </c>
      <c r="K936" s="18" t="str">
        <f>RTD("ice.rtd",,$C936 &amp; $D936 &amp; ":" &amp; K$1)</f>
        <v/>
      </c>
      <c r="L936" s="36" t="str">
        <f>RTD("ice.rtd",,$C936 &amp; $D936 &amp; ":" &amp; L$1)</f>
        <v/>
      </c>
      <c r="M936" s="14" t="str">
        <f>IFERROR(MOD(TIMEVALUE(RTD("ice.rtd",,$C936 &amp; $D936 &amp; ":" &amp; M$1)), 1), "")</f>
        <v/>
      </c>
      <c r="N936" s="36">
        <f>RTD("ice.rtd",,$C936 &amp; $D936 &amp; ":" &amp; N$1)</f>
        <v>0</v>
      </c>
      <c r="O936" s="36">
        <f>RTD("ice.rtd",,$C936 &amp; $D936 &amp; ":" &amp; O$1)</f>
        <v>0</v>
      </c>
      <c r="P9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6" s="14" t="str">
        <f>IF(ICE[[#This Row],[LastType]] = "Scrn", ICE[[#This Row],[LstDate]], IF(ICE[[#This Row],[LastType]] = "Blk", ICE[[#This Row],[LstBlkTime]], ""))</f>
        <v/>
      </c>
      <c r="R936" s="41" t="str">
        <f>IF(ICE[[#This Row],[LastType]] = "Scrn", ICE[[#This Row],[LstPrc]], IF(ICE[[#This Row],[LastType]] = "Blk", ICE[[#This Row],[LstBlkPrc]], ""))</f>
        <v/>
      </c>
      <c r="S936" s="36">
        <f>ICE[[#This Row],[Vol]]+ICE[[#This Row],[BlkVol]]</f>
        <v>0</v>
      </c>
      <c r="T936" s="36">
        <f>RTD("ice.rtd",,$C936 &amp; $D936 &amp; ":" &amp; T$1)</f>
        <v>0</v>
      </c>
      <c r="U936" s="18">
        <f>RTD("ice.rtd",,$C936 &amp; $D936 &amp; ":" &amp; U$1)</f>
        <v>12.75</v>
      </c>
      <c r="V9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6" s="18" t="str">
        <f>IFERROR(IF(LEFT(ICE[[#This Row],[Tenor]], 1) = "B", RTD("esrtd",,$B936 &amp; " " &amp; ICE[[#This Row],[Tenor]] &amp; "-IEU", W$1), RTD("esrtd",,$B936 &amp; " " &amp; VLOOKUP(MONTH(ICE[[#This Row],[Strip]]), MthRef[], 2, 0) &amp; RIGHT(YEAR(ICE[[#This Row],[Strip]]), 2) &amp; "-IEU", W$1)), "")</f>
        <v/>
      </c>
      <c r="X936" s="36"/>
    </row>
    <row r="937" spans="1:24" x14ac:dyDescent="0.25">
      <c r="A937" s="37" t="s">
        <v>435</v>
      </c>
      <c r="B937" s="3" t="str">
        <f>RTD("ice.rtd",,$C937 &amp; $D937 &amp; ":" &amp; B$1)</f>
        <v>FOS</v>
      </c>
      <c r="C937" s="3">
        <v>266</v>
      </c>
      <c r="D937" t="s">
        <v>805</v>
      </c>
      <c r="E937" s="3" t="str">
        <f>RTD("ice.rtd",,$C937 &amp; $D937 &amp; ":" &amp; E$1)</f>
        <v>Jan28</v>
      </c>
      <c r="F937" s="3" t="str">
        <f>ICE[[#This Row],[Prod]]&amp;ICE[[#This Row],[Strip]]</f>
        <v>hiloJan28</v>
      </c>
      <c r="G937" s="18" t="str">
        <f>RTD("ice.rtd",,$C937 &amp; $D937 &amp; ":" &amp; G$1)</f>
        <v/>
      </c>
      <c r="H937" s="18" t="str">
        <f>RTD("ice.rtd",,$C937 &amp; $D937 &amp; ":" &amp; H$1)</f>
        <v/>
      </c>
      <c r="I937" s="18" t="str">
        <f>RTD("ice.rtd",,$C937 &amp; $D937 &amp; ":" &amp; I$1)</f>
        <v/>
      </c>
      <c r="J937" s="14" t="str">
        <f>IFERROR(MOD(RTD("ice.rtd",,$C937 &amp; $D937 &amp; ":" &amp; J$1), 1), "")</f>
        <v/>
      </c>
      <c r="K937" s="18" t="str">
        <f>RTD("ice.rtd",,$C937 &amp; $D937 &amp; ":" &amp; K$1)</f>
        <v/>
      </c>
      <c r="L937" s="36" t="str">
        <f>RTD("ice.rtd",,$C937 &amp; $D937 &amp; ":" &amp; L$1)</f>
        <v/>
      </c>
      <c r="M937" s="14" t="str">
        <f>IFERROR(MOD(TIMEVALUE(RTD("ice.rtd",,$C937 &amp; $D937 &amp; ":" &amp; M$1)), 1), "")</f>
        <v/>
      </c>
      <c r="N937" s="36">
        <f>RTD("ice.rtd",,$C937 &amp; $D937 &amp; ":" &amp; N$1)</f>
        <v>0</v>
      </c>
      <c r="O937" s="36">
        <f>RTD("ice.rtd",,$C937 &amp; $D937 &amp; ":" &amp; O$1)</f>
        <v>0</v>
      </c>
      <c r="P9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7" s="14" t="str">
        <f>IF(ICE[[#This Row],[LastType]] = "Scrn", ICE[[#This Row],[LstDate]], IF(ICE[[#This Row],[LastType]] = "Blk", ICE[[#This Row],[LstBlkTime]], ""))</f>
        <v/>
      </c>
      <c r="R937" s="41" t="str">
        <f>IF(ICE[[#This Row],[LastType]] = "Scrn", ICE[[#This Row],[LstPrc]], IF(ICE[[#This Row],[LastType]] = "Blk", ICE[[#This Row],[LstBlkPrc]], ""))</f>
        <v/>
      </c>
      <c r="S937" s="36">
        <f>ICE[[#This Row],[Vol]]+ICE[[#This Row],[BlkVol]]</f>
        <v>0</v>
      </c>
      <c r="T937" s="36">
        <f>RTD("ice.rtd",,$C937 &amp; $D937 &amp; ":" &amp; T$1)</f>
        <v>0</v>
      </c>
      <c r="U937" s="18">
        <f>RTD("ice.rtd",,$C937 &amp; $D937 &amp; ":" &amp; U$1)</f>
        <v>12.75</v>
      </c>
      <c r="V9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7" s="18" t="str">
        <f>IFERROR(IF(LEFT(ICE[[#This Row],[Tenor]], 1) = "B", RTD("esrtd",,$B937 &amp; " " &amp; ICE[[#This Row],[Tenor]] &amp; "-IEU", W$1), RTD("esrtd",,$B937 &amp; " " &amp; VLOOKUP(MONTH(ICE[[#This Row],[Strip]]), MthRef[], 2, 0) &amp; RIGHT(YEAR(ICE[[#This Row],[Strip]]), 2) &amp; "-IEU", W$1)), "")</f>
        <v/>
      </c>
      <c r="X937" s="36"/>
    </row>
    <row r="938" spans="1:24" x14ac:dyDescent="0.25">
      <c r="A938" s="37" t="s">
        <v>435</v>
      </c>
      <c r="B938" s="3" t="str">
        <f>RTD("ice.rtd",,$C938 &amp; $D938 &amp; ":" &amp; B$1)</f>
        <v>FOS</v>
      </c>
      <c r="C938" s="3">
        <v>266</v>
      </c>
      <c r="D938" t="s">
        <v>806</v>
      </c>
      <c r="E938" s="3" t="str">
        <f>RTD("ice.rtd",,$C938 &amp; $D938 &amp; ":" &amp; E$1)</f>
        <v>Feb28</v>
      </c>
      <c r="F938" s="3" t="str">
        <f>ICE[[#This Row],[Prod]]&amp;ICE[[#This Row],[Strip]]</f>
        <v>hiloFeb28</v>
      </c>
      <c r="G938" s="18" t="str">
        <f>RTD("ice.rtd",,$C938 &amp; $D938 &amp; ":" &amp; G$1)</f>
        <v/>
      </c>
      <c r="H938" s="18" t="str">
        <f>RTD("ice.rtd",,$C938 &amp; $D938 &amp; ":" &amp; H$1)</f>
        <v/>
      </c>
      <c r="I938" s="18" t="str">
        <f>RTD("ice.rtd",,$C938 &amp; $D938 &amp; ":" &amp; I$1)</f>
        <v/>
      </c>
      <c r="J938" s="14" t="str">
        <f>IFERROR(MOD(RTD("ice.rtd",,$C938 &amp; $D938 &amp; ":" &amp; J$1), 1), "")</f>
        <v/>
      </c>
      <c r="K938" s="18" t="str">
        <f>RTD("ice.rtd",,$C938 &amp; $D938 &amp; ":" &amp; K$1)</f>
        <v/>
      </c>
      <c r="L938" s="36" t="str">
        <f>RTD("ice.rtd",,$C938 &amp; $D938 &amp; ":" &amp; L$1)</f>
        <v/>
      </c>
      <c r="M938" s="14" t="str">
        <f>IFERROR(MOD(TIMEVALUE(RTD("ice.rtd",,$C938 &amp; $D938 &amp; ":" &amp; M$1)), 1), "")</f>
        <v/>
      </c>
      <c r="N938" s="36">
        <f>RTD("ice.rtd",,$C938 &amp; $D938 &amp; ":" &amp; N$1)</f>
        <v>0</v>
      </c>
      <c r="O938" s="36">
        <f>RTD("ice.rtd",,$C938 &amp; $D938 &amp; ":" &amp; O$1)</f>
        <v>0</v>
      </c>
      <c r="P9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8" s="14" t="str">
        <f>IF(ICE[[#This Row],[LastType]] = "Scrn", ICE[[#This Row],[LstDate]], IF(ICE[[#This Row],[LastType]] = "Blk", ICE[[#This Row],[LstBlkTime]], ""))</f>
        <v/>
      </c>
      <c r="R938" s="41" t="str">
        <f>IF(ICE[[#This Row],[LastType]] = "Scrn", ICE[[#This Row],[LstPrc]], IF(ICE[[#This Row],[LastType]] = "Blk", ICE[[#This Row],[LstBlkPrc]], ""))</f>
        <v/>
      </c>
      <c r="S938" s="36">
        <f>ICE[[#This Row],[Vol]]+ICE[[#This Row],[BlkVol]]</f>
        <v>0</v>
      </c>
      <c r="T938" s="36">
        <f>RTD("ice.rtd",,$C938 &amp; $D938 &amp; ":" &amp; T$1)</f>
        <v>0</v>
      </c>
      <c r="U938" s="18">
        <f>RTD("ice.rtd",,$C938 &amp; $D938 &amp; ":" &amp; U$1)</f>
        <v>14.25</v>
      </c>
      <c r="V9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8" s="18" t="str">
        <f>IFERROR(IF(LEFT(ICE[[#This Row],[Tenor]], 1) = "B", RTD("esrtd",,$B938 &amp; " " &amp; ICE[[#This Row],[Tenor]] &amp; "-IEU", W$1), RTD("esrtd",,$B938 &amp; " " &amp; VLOOKUP(MONTH(ICE[[#This Row],[Strip]]), MthRef[], 2, 0) &amp; RIGHT(YEAR(ICE[[#This Row],[Strip]]), 2) &amp; "-IEU", W$1)), "")</f>
        <v/>
      </c>
      <c r="X938" s="36"/>
    </row>
    <row r="939" spans="1:24" x14ac:dyDescent="0.25">
      <c r="A939" s="37" t="s">
        <v>435</v>
      </c>
      <c r="B939" s="3" t="str">
        <f>RTD("ice.rtd",,$C939 &amp; $D939 &amp; ":" &amp; B$1)</f>
        <v>FOS</v>
      </c>
      <c r="C939" s="3">
        <v>266</v>
      </c>
      <c r="D939" t="s">
        <v>807</v>
      </c>
      <c r="E939" s="3" t="str">
        <f>RTD("ice.rtd",,$C939 &amp; $D939 &amp; ":" &amp; E$1)</f>
        <v>Mar28</v>
      </c>
      <c r="F939" s="3" t="str">
        <f>ICE[[#This Row],[Prod]]&amp;ICE[[#This Row],[Strip]]</f>
        <v>hiloMar28</v>
      </c>
      <c r="G939" s="18" t="str">
        <f>RTD("ice.rtd",,$C939 &amp; $D939 &amp; ":" &amp; G$1)</f>
        <v/>
      </c>
      <c r="H939" s="18" t="str">
        <f>RTD("ice.rtd",,$C939 &amp; $D939 &amp; ":" &amp; H$1)</f>
        <v/>
      </c>
      <c r="I939" s="18" t="str">
        <f>RTD("ice.rtd",,$C939 &amp; $D939 &amp; ":" &amp; I$1)</f>
        <v/>
      </c>
      <c r="J939" s="14" t="str">
        <f>IFERROR(MOD(RTD("ice.rtd",,$C939 &amp; $D939 &amp; ":" &amp; J$1), 1), "")</f>
        <v/>
      </c>
      <c r="K939" s="18" t="str">
        <f>RTD("ice.rtd",,$C939 &amp; $D939 &amp; ":" &amp; K$1)</f>
        <v/>
      </c>
      <c r="L939" s="36" t="str">
        <f>RTD("ice.rtd",,$C939 &amp; $D939 &amp; ":" &amp; L$1)</f>
        <v/>
      </c>
      <c r="M939" s="14" t="str">
        <f>IFERROR(MOD(TIMEVALUE(RTD("ice.rtd",,$C939 &amp; $D939 &amp; ":" &amp; M$1)), 1), "")</f>
        <v/>
      </c>
      <c r="N939" s="36">
        <f>RTD("ice.rtd",,$C939 &amp; $D939 &amp; ":" &amp; N$1)</f>
        <v>0</v>
      </c>
      <c r="O939" s="36">
        <f>RTD("ice.rtd",,$C939 &amp; $D939 &amp; ":" &amp; O$1)</f>
        <v>0</v>
      </c>
      <c r="P9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39" s="14" t="str">
        <f>IF(ICE[[#This Row],[LastType]] = "Scrn", ICE[[#This Row],[LstDate]], IF(ICE[[#This Row],[LastType]] = "Blk", ICE[[#This Row],[LstBlkTime]], ""))</f>
        <v/>
      </c>
      <c r="R939" s="41" t="str">
        <f>IF(ICE[[#This Row],[LastType]] = "Scrn", ICE[[#This Row],[LstPrc]], IF(ICE[[#This Row],[LastType]] = "Blk", ICE[[#This Row],[LstBlkPrc]], ""))</f>
        <v/>
      </c>
      <c r="S939" s="36">
        <f>ICE[[#This Row],[Vol]]+ICE[[#This Row],[BlkVol]]</f>
        <v>0</v>
      </c>
      <c r="T939" s="36">
        <f>RTD("ice.rtd",,$C939 &amp; $D939 &amp; ":" &amp; T$1)</f>
        <v>0</v>
      </c>
      <c r="U939" s="18">
        <f>RTD("ice.rtd",,$C939 &amp; $D939 &amp; ":" &amp; U$1)</f>
        <v>15.75</v>
      </c>
      <c r="V9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39" s="18" t="str">
        <f>IFERROR(IF(LEFT(ICE[[#This Row],[Tenor]], 1) = "B", RTD("esrtd",,$B939 &amp; " " &amp; ICE[[#This Row],[Tenor]] &amp; "-IEU", W$1), RTD("esrtd",,$B939 &amp; " " &amp; VLOOKUP(MONTH(ICE[[#This Row],[Strip]]), MthRef[], 2, 0) &amp; RIGHT(YEAR(ICE[[#This Row],[Strip]]), 2) &amp; "-IEU", W$1)), "")</f>
        <v/>
      </c>
      <c r="X939" s="36"/>
    </row>
    <row r="940" spans="1:24" x14ac:dyDescent="0.25">
      <c r="A940" s="37" t="s">
        <v>435</v>
      </c>
      <c r="B940" s="3" t="str">
        <f>RTD("ice.rtd",,$C940 &amp; $D940 &amp; ":" &amp; B$1)</f>
        <v>FOS</v>
      </c>
      <c r="C940" s="3">
        <v>266</v>
      </c>
      <c r="D940" t="s">
        <v>808</v>
      </c>
      <c r="E940" s="3" t="str">
        <f>RTD("ice.rtd",,$C940 &amp; $D940 &amp; ":" &amp; E$1)</f>
        <v>Apr28</v>
      </c>
      <c r="F940" s="3" t="str">
        <f>ICE[[#This Row],[Prod]]&amp;ICE[[#This Row],[Strip]]</f>
        <v>hiloApr28</v>
      </c>
      <c r="G940" s="18" t="str">
        <f>RTD("ice.rtd",,$C940 &amp; $D940 &amp; ":" &amp; G$1)</f>
        <v/>
      </c>
      <c r="H940" s="18" t="str">
        <f>RTD("ice.rtd",,$C940 &amp; $D940 &amp; ":" &amp; H$1)</f>
        <v/>
      </c>
      <c r="I940" s="18" t="str">
        <f>RTD("ice.rtd",,$C940 &amp; $D940 &amp; ":" &amp; I$1)</f>
        <v/>
      </c>
      <c r="J940" s="14" t="str">
        <f>IFERROR(MOD(RTD("ice.rtd",,$C940 &amp; $D940 &amp; ":" &amp; J$1), 1), "")</f>
        <v/>
      </c>
      <c r="K940" s="18" t="str">
        <f>RTD("ice.rtd",,$C940 &amp; $D940 &amp; ":" &amp; K$1)</f>
        <v/>
      </c>
      <c r="L940" s="36" t="str">
        <f>RTD("ice.rtd",,$C940 &amp; $D940 &amp; ":" &amp; L$1)</f>
        <v/>
      </c>
      <c r="M940" s="14" t="str">
        <f>IFERROR(MOD(TIMEVALUE(RTD("ice.rtd",,$C940 &amp; $D940 &amp; ":" &amp; M$1)), 1), "")</f>
        <v/>
      </c>
      <c r="N940" s="36">
        <f>RTD("ice.rtd",,$C940 &amp; $D940 &amp; ":" &amp; N$1)</f>
        <v>0</v>
      </c>
      <c r="O940" s="36">
        <f>RTD("ice.rtd",,$C940 &amp; $D940 &amp; ":" &amp; O$1)</f>
        <v>0</v>
      </c>
      <c r="P9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0" s="14" t="str">
        <f>IF(ICE[[#This Row],[LastType]] = "Scrn", ICE[[#This Row],[LstDate]], IF(ICE[[#This Row],[LastType]] = "Blk", ICE[[#This Row],[LstBlkTime]], ""))</f>
        <v/>
      </c>
      <c r="R940" s="41" t="str">
        <f>IF(ICE[[#This Row],[LastType]] = "Scrn", ICE[[#This Row],[LstPrc]], IF(ICE[[#This Row],[LastType]] = "Blk", ICE[[#This Row],[LstBlkPrc]], ""))</f>
        <v/>
      </c>
      <c r="S940" s="36">
        <f>ICE[[#This Row],[Vol]]+ICE[[#This Row],[BlkVol]]</f>
        <v>0</v>
      </c>
      <c r="T940" s="36">
        <f>RTD("ice.rtd",,$C940 &amp; $D940 &amp; ":" &amp; T$1)</f>
        <v>0</v>
      </c>
      <c r="U940" s="18">
        <f>RTD("ice.rtd",,$C940 &amp; $D940 &amp; ":" &amp; U$1)</f>
        <v>17.25</v>
      </c>
      <c r="V9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0" s="18" t="str">
        <f>IFERROR(IF(LEFT(ICE[[#This Row],[Tenor]], 1) = "B", RTD("esrtd",,$B940 &amp; " " &amp; ICE[[#This Row],[Tenor]] &amp; "-IEU", W$1), RTD("esrtd",,$B940 &amp; " " &amp; VLOOKUP(MONTH(ICE[[#This Row],[Strip]]), MthRef[], 2, 0) &amp; RIGHT(YEAR(ICE[[#This Row],[Strip]]), 2) &amp; "-IEU", W$1)), "")</f>
        <v/>
      </c>
      <c r="X940" s="36"/>
    </row>
    <row r="941" spans="1:24" x14ac:dyDescent="0.25">
      <c r="A941" s="37" t="s">
        <v>435</v>
      </c>
      <c r="B941" s="3" t="str">
        <f>RTD("ice.rtd",,$C941 &amp; $D941 &amp; ":" &amp; B$1)</f>
        <v>FOS</v>
      </c>
      <c r="C941" s="3">
        <v>266</v>
      </c>
      <c r="D941" t="s">
        <v>809</v>
      </c>
      <c r="E941" s="3" t="str">
        <f>RTD("ice.rtd",,$C941 &amp; $D941 &amp; ":" &amp; E$1)</f>
        <v>May28</v>
      </c>
      <c r="F941" s="3" t="str">
        <f>ICE[[#This Row],[Prod]]&amp;ICE[[#This Row],[Strip]]</f>
        <v>hiloMay28</v>
      </c>
      <c r="G941" s="18" t="str">
        <f>RTD("ice.rtd",,$C941 &amp; $D941 &amp; ":" &amp; G$1)</f>
        <v/>
      </c>
      <c r="H941" s="18" t="str">
        <f>RTD("ice.rtd",,$C941 &amp; $D941 &amp; ":" &amp; H$1)</f>
        <v/>
      </c>
      <c r="I941" s="18" t="str">
        <f>RTD("ice.rtd",,$C941 &amp; $D941 &amp; ":" &amp; I$1)</f>
        <v/>
      </c>
      <c r="J941" s="14" t="str">
        <f>IFERROR(MOD(RTD("ice.rtd",,$C941 &amp; $D941 &amp; ":" &amp; J$1), 1), "")</f>
        <v/>
      </c>
      <c r="K941" s="18" t="str">
        <f>RTD("ice.rtd",,$C941 &amp; $D941 &amp; ":" &amp; K$1)</f>
        <v/>
      </c>
      <c r="L941" s="36" t="str">
        <f>RTD("ice.rtd",,$C941 &amp; $D941 &amp; ":" &amp; L$1)</f>
        <v/>
      </c>
      <c r="M941" s="14" t="str">
        <f>IFERROR(MOD(TIMEVALUE(RTD("ice.rtd",,$C941 &amp; $D941 &amp; ":" &amp; M$1)), 1), "")</f>
        <v/>
      </c>
      <c r="N941" s="36">
        <f>RTD("ice.rtd",,$C941 &amp; $D941 &amp; ":" &amp; N$1)</f>
        <v>0</v>
      </c>
      <c r="O941" s="36">
        <f>RTD("ice.rtd",,$C941 &amp; $D941 &amp; ":" &amp; O$1)</f>
        <v>0</v>
      </c>
      <c r="P9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1" s="14" t="str">
        <f>IF(ICE[[#This Row],[LastType]] = "Scrn", ICE[[#This Row],[LstDate]], IF(ICE[[#This Row],[LastType]] = "Blk", ICE[[#This Row],[LstBlkTime]], ""))</f>
        <v/>
      </c>
      <c r="R941" s="41" t="str">
        <f>IF(ICE[[#This Row],[LastType]] = "Scrn", ICE[[#This Row],[LstPrc]], IF(ICE[[#This Row],[LastType]] = "Blk", ICE[[#This Row],[LstBlkPrc]], ""))</f>
        <v/>
      </c>
      <c r="S941" s="36">
        <f>ICE[[#This Row],[Vol]]+ICE[[#This Row],[BlkVol]]</f>
        <v>0</v>
      </c>
      <c r="T941" s="36">
        <f>RTD("ice.rtd",,$C941 &amp; $D941 &amp; ":" &amp; T$1)</f>
        <v>0</v>
      </c>
      <c r="U941" s="18">
        <f>RTD("ice.rtd",,$C941 &amp; $D941 &amp; ":" &amp; U$1)</f>
        <v>18.75</v>
      </c>
      <c r="V9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1" s="18" t="str">
        <f>IFERROR(IF(LEFT(ICE[[#This Row],[Tenor]], 1) = "B", RTD("esrtd",,$B941 &amp; " " &amp; ICE[[#This Row],[Tenor]] &amp; "-IEU", W$1), RTD("esrtd",,$B941 &amp; " " &amp; VLOOKUP(MONTH(ICE[[#This Row],[Strip]]), MthRef[], 2, 0) &amp; RIGHT(YEAR(ICE[[#This Row],[Strip]]), 2) &amp; "-IEU", W$1)), "")</f>
        <v/>
      </c>
      <c r="X941" s="36"/>
    </row>
    <row r="942" spans="1:24" x14ac:dyDescent="0.25">
      <c r="A942" s="37" t="s">
        <v>435</v>
      </c>
      <c r="B942" s="3" t="str">
        <f>RTD("ice.rtd",,$C942 &amp; $D942 &amp; ":" &amp; B$1)</f>
        <v>FOS</v>
      </c>
      <c r="C942" s="3">
        <v>266</v>
      </c>
      <c r="D942" t="s">
        <v>810</v>
      </c>
      <c r="E942" s="3" t="str">
        <f>RTD("ice.rtd",,$C942 &amp; $D942 &amp; ":" &amp; E$1)</f>
        <v>Jun28</v>
      </c>
      <c r="F942" s="3" t="str">
        <f>ICE[[#This Row],[Prod]]&amp;ICE[[#This Row],[Strip]]</f>
        <v>hiloJun28</v>
      </c>
      <c r="G942" s="18" t="str">
        <f>RTD("ice.rtd",,$C942 &amp; $D942 &amp; ":" &amp; G$1)</f>
        <v/>
      </c>
      <c r="H942" s="18" t="str">
        <f>RTD("ice.rtd",,$C942 &amp; $D942 &amp; ":" &amp; H$1)</f>
        <v/>
      </c>
      <c r="I942" s="18" t="str">
        <f>RTD("ice.rtd",,$C942 &amp; $D942 &amp; ":" &amp; I$1)</f>
        <v/>
      </c>
      <c r="J942" s="14" t="str">
        <f>IFERROR(MOD(RTD("ice.rtd",,$C942 &amp; $D942 &amp; ":" &amp; J$1), 1), "")</f>
        <v/>
      </c>
      <c r="K942" s="18" t="str">
        <f>RTD("ice.rtd",,$C942 &amp; $D942 &amp; ":" &amp; K$1)</f>
        <v/>
      </c>
      <c r="L942" s="36" t="str">
        <f>RTD("ice.rtd",,$C942 &amp; $D942 &amp; ":" &amp; L$1)</f>
        <v/>
      </c>
      <c r="M942" s="14" t="str">
        <f>IFERROR(MOD(TIMEVALUE(RTD("ice.rtd",,$C942 &amp; $D942 &amp; ":" &amp; M$1)), 1), "")</f>
        <v/>
      </c>
      <c r="N942" s="36">
        <f>RTD("ice.rtd",,$C942 &amp; $D942 &amp; ":" &amp; N$1)</f>
        <v>0</v>
      </c>
      <c r="O942" s="36">
        <f>RTD("ice.rtd",,$C942 &amp; $D942 &amp; ":" &amp; O$1)</f>
        <v>0</v>
      </c>
      <c r="P9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2" s="14" t="str">
        <f>IF(ICE[[#This Row],[LastType]] = "Scrn", ICE[[#This Row],[LstDate]], IF(ICE[[#This Row],[LastType]] = "Blk", ICE[[#This Row],[LstBlkTime]], ""))</f>
        <v/>
      </c>
      <c r="R942" s="41" t="str">
        <f>IF(ICE[[#This Row],[LastType]] = "Scrn", ICE[[#This Row],[LstPrc]], IF(ICE[[#This Row],[LastType]] = "Blk", ICE[[#This Row],[LstBlkPrc]], ""))</f>
        <v/>
      </c>
      <c r="S942" s="36">
        <f>ICE[[#This Row],[Vol]]+ICE[[#This Row],[BlkVol]]</f>
        <v>0</v>
      </c>
      <c r="T942" s="36">
        <f>RTD("ice.rtd",,$C942 &amp; $D942 &amp; ":" &amp; T$1)</f>
        <v>0</v>
      </c>
      <c r="U942" s="18">
        <f>RTD("ice.rtd",,$C942 &amp; $D942 &amp; ":" &amp; U$1)</f>
        <v>20.5</v>
      </c>
      <c r="V9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2" s="18" t="str">
        <f>IFERROR(IF(LEFT(ICE[[#This Row],[Tenor]], 1) = "B", RTD("esrtd",,$B942 &amp; " " &amp; ICE[[#This Row],[Tenor]] &amp; "-IEU", W$1), RTD("esrtd",,$B942 &amp; " " &amp; VLOOKUP(MONTH(ICE[[#This Row],[Strip]]), MthRef[], 2, 0) &amp; RIGHT(YEAR(ICE[[#This Row],[Strip]]), 2) &amp; "-IEU", W$1)), "")</f>
        <v/>
      </c>
      <c r="X942" s="36"/>
    </row>
    <row r="943" spans="1:24" x14ac:dyDescent="0.25">
      <c r="A943" s="37" t="s">
        <v>435</v>
      </c>
      <c r="B943" s="3" t="str">
        <f>RTD("ice.rtd",,$C943 &amp; $D943 &amp; ":" &amp; B$1)</f>
        <v>FOS</v>
      </c>
      <c r="C943" s="3">
        <v>266</v>
      </c>
      <c r="D943" t="s">
        <v>811</v>
      </c>
      <c r="E943" s="3" t="str">
        <f>RTD("ice.rtd",,$C943 &amp; $D943 &amp; ":" &amp; E$1)</f>
        <v>Jul28</v>
      </c>
      <c r="F943" s="3" t="str">
        <f>ICE[[#This Row],[Prod]]&amp;ICE[[#This Row],[Strip]]</f>
        <v>hiloJul28</v>
      </c>
      <c r="G943" s="18" t="str">
        <f>RTD("ice.rtd",,$C943 &amp; $D943 &amp; ":" &amp; G$1)</f>
        <v/>
      </c>
      <c r="H943" s="18" t="str">
        <f>RTD("ice.rtd",,$C943 &amp; $D943 &amp; ":" &amp; H$1)</f>
        <v/>
      </c>
      <c r="I943" s="18" t="str">
        <f>RTD("ice.rtd",,$C943 &amp; $D943 &amp; ":" &amp; I$1)</f>
        <v/>
      </c>
      <c r="J943" s="14" t="str">
        <f>IFERROR(MOD(RTD("ice.rtd",,$C943 &amp; $D943 &amp; ":" &amp; J$1), 1), "")</f>
        <v/>
      </c>
      <c r="K943" s="18" t="str">
        <f>RTD("ice.rtd",,$C943 &amp; $D943 &amp; ":" &amp; K$1)</f>
        <v/>
      </c>
      <c r="L943" s="36" t="str">
        <f>RTD("ice.rtd",,$C943 &amp; $D943 &amp; ":" &amp; L$1)</f>
        <v/>
      </c>
      <c r="M943" s="14" t="str">
        <f>IFERROR(MOD(TIMEVALUE(RTD("ice.rtd",,$C943 &amp; $D943 &amp; ":" &amp; M$1)), 1), "")</f>
        <v/>
      </c>
      <c r="N943" s="36">
        <f>RTD("ice.rtd",,$C943 &amp; $D943 &amp; ":" &amp; N$1)</f>
        <v>0</v>
      </c>
      <c r="O943" s="36">
        <f>RTD("ice.rtd",,$C943 &amp; $D943 &amp; ":" &amp; O$1)</f>
        <v>0</v>
      </c>
      <c r="P9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3" s="14" t="str">
        <f>IF(ICE[[#This Row],[LastType]] = "Scrn", ICE[[#This Row],[LstDate]], IF(ICE[[#This Row],[LastType]] = "Blk", ICE[[#This Row],[LstBlkTime]], ""))</f>
        <v/>
      </c>
      <c r="R943" s="41" t="str">
        <f>IF(ICE[[#This Row],[LastType]] = "Scrn", ICE[[#This Row],[LstPrc]], IF(ICE[[#This Row],[LastType]] = "Blk", ICE[[#This Row],[LstBlkPrc]], ""))</f>
        <v/>
      </c>
      <c r="S943" s="36">
        <f>ICE[[#This Row],[Vol]]+ICE[[#This Row],[BlkVol]]</f>
        <v>0</v>
      </c>
      <c r="T943" s="36">
        <f>RTD("ice.rtd",,$C943 &amp; $D943 &amp; ":" &amp; T$1)</f>
        <v>0</v>
      </c>
      <c r="U943" s="18">
        <f>RTD("ice.rtd",,$C943 &amp; $D943 &amp; ":" &amp; U$1)</f>
        <v>22.25</v>
      </c>
      <c r="V9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3" s="18" t="str">
        <f>IFERROR(IF(LEFT(ICE[[#This Row],[Tenor]], 1) = "B", RTD("esrtd",,$B943 &amp; " " &amp; ICE[[#This Row],[Tenor]] &amp; "-IEU", W$1), RTD("esrtd",,$B943 &amp; " " &amp; VLOOKUP(MONTH(ICE[[#This Row],[Strip]]), MthRef[], 2, 0) &amp; RIGHT(YEAR(ICE[[#This Row],[Strip]]), 2) &amp; "-IEU", W$1)), "")</f>
        <v/>
      </c>
      <c r="X943" s="36"/>
    </row>
    <row r="944" spans="1:24" x14ac:dyDescent="0.25">
      <c r="A944" s="37" t="s">
        <v>435</v>
      </c>
      <c r="B944" s="3" t="str">
        <f>RTD("ice.rtd",,$C944 &amp; $D944 &amp; ":" &amp; B$1)</f>
        <v>FOS</v>
      </c>
      <c r="C944" s="3">
        <v>266</v>
      </c>
      <c r="D944" t="s">
        <v>812</v>
      </c>
      <c r="E944" s="3" t="str">
        <f>RTD("ice.rtd",,$C944 &amp; $D944 &amp; ":" &amp; E$1)</f>
        <v>Aug28</v>
      </c>
      <c r="F944" s="3" t="str">
        <f>ICE[[#This Row],[Prod]]&amp;ICE[[#This Row],[Strip]]</f>
        <v>hiloAug28</v>
      </c>
      <c r="G944" s="18" t="str">
        <f>RTD("ice.rtd",,$C944 &amp; $D944 &amp; ":" &amp; G$1)</f>
        <v/>
      </c>
      <c r="H944" s="18" t="str">
        <f>RTD("ice.rtd",,$C944 &amp; $D944 &amp; ":" &amp; H$1)</f>
        <v/>
      </c>
      <c r="I944" s="18" t="str">
        <f>RTD("ice.rtd",,$C944 &amp; $D944 &amp; ":" &amp; I$1)</f>
        <v/>
      </c>
      <c r="J944" s="14" t="str">
        <f>IFERROR(MOD(RTD("ice.rtd",,$C944 &amp; $D944 &amp; ":" &amp; J$1), 1), "")</f>
        <v/>
      </c>
      <c r="K944" s="18" t="str">
        <f>RTD("ice.rtd",,$C944 &amp; $D944 &amp; ":" &amp; K$1)</f>
        <v/>
      </c>
      <c r="L944" s="36" t="str">
        <f>RTD("ice.rtd",,$C944 &amp; $D944 &amp; ":" &amp; L$1)</f>
        <v/>
      </c>
      <c r="M944" s="14" t="str">
        <f>IFERROR(MOD(TIMEVALUE(RTD("ice.rtd",,$C944 &amp; $D944 &amp; ":" &amp; M$1)), 1), "")</f>
        <v/>
      </c>
      <c r="N944" s="36">
        <f>RTD("ice.rtd",,$C944 &amp; $D944 &amp; ":" &amp; N$1)</f>
        <v>0</v>
      </c>
      <c r="O944" s="36">
        <f>RTD("ice.rtd",,$C944 &amp; $D944 &amp; ":" &amp; O$1)</f>
        <v>0</v>
      </c>
      <c r="P9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4" s="14" t="str">
        <f>IF(ICE[[#This Row],[LastType]] = "Scrn", ICE[[#This Row],[LstDate]], IF(ICE[[#This Row],[LastType]] = "Blk", ICE[[#This Row],[LstBlkTime]], ""))</f>
        <v/>
      </c>
      <c r="R944" s="41" t="str">
        <f>IF(ICE[[#This Row],[LastType]] = "Scrn", ICE[[#This Row],[LstPrc]], IF(ICE[[#This Row],[LastType]] = "Blk", ICE[[#This Row],[LstBlkPrc]], ""))</f>
        <v/>
      </c>
      <c r="S944" s="36">
        <f>ICE[[#This Row],[Vol]]+ICE[[#This Row],[BlkVol]]</f>
        <v>0</v>
      </c>
      <c r="T944" s="36">
        <f>RTD("ice.rtd",,$C944 &amp; $D944 &amp; ":" &amp; T$1)</f>
        <v>0</v>
      </c>
      <c r="U944" s="18">
        <f>RTD("ice.rtd",,$C944 &amp; $D944 &amp; ":" &amp; U$1)</f>
        <v>24.25</v>
      </c>
      <c r="V9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4" s="18" t="str">
        <f>IFERROR(IF(LEFT(ICE[[#This Row],[Tenor]], 1) = "B", RTD("esrtd",,$B944 &amp; " " &amp; ICE[[#This Row],[Tenor]] &amp; "-IEU", W$1), RTD("esrtd",,$B944 &amp; " " &amp; VLOOKUP(MONTH(ICE[[#This Row],[Strip]]), MthRef[], 2, 0) &amp; RIGHT(YEAR(ICE[[#This Row],[Strip]]), 2) &amp; "-IEU", W$1)), "")</f>
        <v/>
      </c>
      <c r="X944" s="36"/>
    </row>
    <row r="945" spans="1:24" x14ac:dyDescent="0.25">
      <c r="A945" s="37" t="s">
        <v>435</v>
      </c>
      <c r="B945" s="3" t="str">
        <f>RTD("ice.rtd",,$C945 &amp; $D945 &amp; ":" &amp; B$1)</f>
        <v>FOS</v>
      </c>
      <c r="C945" s="3">
        <v>266</v>
      </c>
      <c r="D945" t="s">
        <v>813</v>
      </c>
      <c r="E945" s="3" t="str">
        <f>RTD("ice.rtd",,$C945 &amp; $D945 &amp; ":" &amp; E$1)</f>
        <v>Sep28</v>
      </c>
      <c r="F945" s="3" t="str">
        <f>ICE[[#This Row],[Prod]]&amp;ICE[[#This Row],[Strip]]</f>
        <v>hiloSep28</v>
      </c>
      <c r="G945" s="18" t="str">
        <f>RTD("ice.rtd",,$C945 &amp; $D945 &amp; ":" &amp; G$1)</f>
        <v/>
      </c>
      <c r="H945" s="18" t="str">
        <f>RTD("ice.rtd",,$C945 &amp; $D945 &amp; ":" &amp; H$1)</f>
        <v/>
      </c>
      <c r="I945" s="18" t="str">
        <f>RTD("ice.rtd",,$C945 &amp; $D945 &amp; ":" &amp; I$1)</f>
        <v/>
      </c>
      <c r="J945" s="14" t="str">
        <f>IFERROR(MOD(RTD("ice.rtd",,$C945 &amp; $D945 &amp; ":" &amp; J$1), 1), "")</f>
        <v/>
      </c>
      <c r="K945" s="18" t="str">
        <f>RTD("ice.rtd",,$C945 &amp; $D945 &amp; ":" &amp; K$1)</f>
        <v/>
      </c>
      <c r="L945" s="36" t="str">
        <f>RTD("ice.rtd",,$C945 &amp; $D945 &amp; ":" &amp; L$1)</f>
        <v/>
      </c>
      <c r="M945" s="14" t="str">
        <f>IFERROR(MOD(TIMEVALUE(RTD("ice.rtd",,$C945 &amp; $D945 &amp; ":" &amp; M$1)), 1), "")</f>
        <v/>
      </c>
      <c r="N945" s="36">
        <f>RTD("ice.rtd",,$C945 &amp; $D945 &amp; ":" &amp; N$1)</f>
        <v>0</v>
      </c>
      <c r="O945" s="36">
        <f>RTD("ice.rtd",,$C945 &amp; $D945 &amp; ":" &amp; O$1)</f>
        <v>0</v>
      </c>
      <c r="P9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5" s="14" t="str">
        <f>IF(ICE[[#This Row],[LastType]] = "Scrn", ICE[[#This Row],[LstDate]], IF(ICE[[#This Row],[LastType]] = "Blk", ICE[[#This Row],[LstBlkTime]], ""))</f>
        <v/>
      </c>
      <c r="R945" s="41" t="str">
        <f>IF(ICE[[#This Row],[LastType]] = "Scrn", ICE[[#This Row],[LstPrc]], IF(ICE[[#This Row],[LastType]] = "Blk", ICE[[#This Row],[LstBlkPrc]], ""))</f>
        <v/>
      </c>
      <c r="S945" s="36">
        <f>ICE[[#This Row],[Vol]]+ICE[[#This Row],[BlkVol]]</f>
        <v>0</v>
      </c>
      <c r="T945" s="36">
        <f>RTD("ice.rtd",,$C945 &amp; $D945 &amp; ":" &amp; T$1)</f>
        <v>0</v>
      </c>
      <c r="U945" s="18">
        <f>RTD("ice.rtd",,$C945 &amp; $D945 &amp; ":" &amp; U$1)</f>
        <v>26.5</v>
      </c>
      <c r="V9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5" s="18" t="str">
        <f>IFERROR(IF(LEFT(ICE[[#This Row],[Tenor]], 1) = "B", RTD("esrtd",,$B945 &amp; " " &amp; ICE[[#This Row],[Tenor]] &amp; "-IEU", W$1), RTD("esrtd",,$B945 &amp; " " &amp; VLOOKUP(MONTH(ICE[[#This Row],[Strip]]), MthRef[], 2, 0) &amp; RIGHT(YEAR(ICE[[#This Row],[Strip]]), 2) &amp; "-IEU", W$1)), "")</f>
        <v/>
      </c>
      <c r="X945" s="36"/>
    </row>
    <row r="946" spans="1:24" x14ac:dyDescent="0.25">
      <c r="A946" s="37" t="s">
        <v>435</v>
      </c>
      <c r="B946" s="3" t="str">
        <f>RTD("ice.rtd",,$C946 &amp; $D946 &amp; ":" &amp; B$1)</f>
        <v>FOS</v>
      </c>
      <c r="C946" s="3">
        <v>266</v>
      </c>
      <c r="D946" t="s">
        <v>814</v>
      </c>
      <c r="E946" s="3" t="str">
        <f>RTD("ice.rtd",,$C946 &amp; $D946 &amp; ":" &amp; E$1)</f>
        <v>Q4 26</v>
      </c>
      <c r="F946" s="3" t="str">
        <f>ICE[[#This Row],[Prod]]&amp;ICE[[#This Row],[Strip]]</f>
        <v>hiloQ4 26</v>
      </c>
      <c r="G946" s="18" t="str">
        <f>RTD("ice.rtd",,$C946 &amp; $D946 &amp; ":" &amp; G$1)</f>
        <v/>
      </c>
      <c r="H946" s="18" t="str">
        <f>RTD("ice.rtd",,$C946 &amp; $D946 &amp; ":" &amp; H$1)</f>
        <v/>
      </c>
      <c r="I946" s="18" t="str">
        <f>RTD("ice.rtd",,$C946 &amp; $D946 &amp; ":" &amp; I$1)</f>
        <v/>
      </c>
      <c r="J946" s="14" t="str">
        <f>IFERROR(MOD(RTD("ice.rtd",,$C946 &amp; $D946 &amp; ":" &amp; J$1), 1), "")</f>
        <v/>
      </c>
      <c r="K946" s="18" t="str">
        <f>RTD("ice.rtd",,$C946 &amp; $D946 &amp; ":" &amp; K$1)</f>
        <v/>
      </c>
      <c r="L946" s="36" t="str">
        <f>RTD("ice.rtd",,$C946 &amp; $D946 &amp; ":" &amp; L$1)</f>
        <v/>
      </c>
      <c r="M946" s="14" t="str">
        <f>IFERROR(MOD(TIMEVALUE(RTD("ice.rtd",,$C946 &amp; $D946 &amp; ":" &amp; M$1)), 1), "")</f>
        <v/>
      </c>
      <c r="N946" s="36">
        <f>RTD("ice.rtd",,$C946 &amp; $D946 &amp; ":" &amp; N$1)</f>
        <v>0</v>
      </c>
      <c r="O946" s="36">
        <f>RTD("ice.rtd",,$C946 &amp; $D946 &amp; ":" &amp; O$1)</f>
        <v>0</v>
      </c>
      <c r="P9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6" s="14" t="str">
        <f>IF(ICE[[#This Row],[LastType]] = "Scrn", ICE[[#This Row],[LstDate]], IF(ICE[[#This Row],[LastType]] = "Blk", ICE[[#This Row],[LstBlkTime]], ""))</f>
        <v/>
      </c>
      <c r="R946" s="41" t="str">
        <f>IF(ICE[[#This Row],[LastType]] = "Scrn", ICE[[#This Row],[LstPrc]], IF(ICE[[#This Row],[LastType]] = "Blk", ICE[[#This Row],[LstBlkPrc]], ""))</f>
        <v/>
      </c>
      <c r="S946" s="36">
        <f>ICE[[#This Row],[Vol]]+ICE[[#This Row],[BlkVol]]</f>
        <v>0</v>
      </c>
      <c r="T946" s="36">
        <f>RTD("ice.rtd",,$C946 &amp; $D946 &amp; ":" &amp; T$1)</f>
        <v>0</v>
      </c>
      <c r="U946" s="18">
        <f>RTD("ice.rtd",,$C946 &amp; $D946 &amp; ":" &amp; U$1)</f>
        <v>18</v>
      </c>
      <c r="V9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6" s="18" t="str">
        <f>IFERROR(IF(LEFT(ICE[[#This Row],[Tenor]], 1) = "B", RTD("esrtd",,$B946 &amp; " " &amp; ICE[[#This Row],[Tenor]] &amp; "-IEU", W$1), RTD("esrtd",,$B946 &amp; " " &amp; VLOOKUP(MONTH(ICE[[#This Row],[Strip]]), MthRef[], 2, 0) &amp; RIGHT(YEAR(ICE[[#This Row],[Strip]]), 2) &amp; "-IEU", W$1)), "")</f>
        <v/>
      </c>
      <c r="X946" s="36"/>
    </row>
    <row r="947" spans="1:24" x14ac:dyDescent="0.25">
      <c r="A947" s="37" t="s">
        <v>435</v>
      </c>
      <c r="B947" s="3" t="str">
        <f>RTD("ice.rtd",,$C947 &amp; $D947 &amp; ":" &amp; B$1)</f>
        <v>FOS</v>
      </c>
      <c r="C947" s="3">
        <v>266</v>
      </c>
      <c r="D947" t="s">
        <v>815</v>
      </c>
      <c r="E947" s="3" t="str">
        <f>RTD("ice.rtd",,$C947 &amp; $D947 &amp; ":" &amp; E$1)</f>
        <v>Q1 27</v>
      </c>
      <c r="F947" s="3" t="str">
        <f>ICE[[#This Row],[Prod]]&amp;ICE[[#This Row],[Strip]]</f>
        <v>hiloQ1 27</v>
      </c>
      <c r="G947" s="18" t="str">
        <f>RTD("ice.rtd",,$C947 &amp; $D947 &amp; ":" &amp; G$1)</f>
        <v/>
      </c>
      <c r="H947" s="18" t="str">
        <f>RTD("ice.rtd",,$C947 &amp; $D947 &amp; ":" &amp; H$1)</f>
        <v/>
      </c>
      <c r="I947" s="18" t="str">
        <f>RTD("ice.rtd",,$C947 &amp; $D947 &amp; ":" &amp; I$1)</f>
        <v/>
      </c>
      <c r="J947" s="14" t="str">
        <f>IFERROR(MOD(RTD("ice.rtd",,$C947 &amp; $D947 &amp; ":" &amp; J$1), 1), "")</f>
        <v/>
      </c>
      <c r="K947" s="18" t="str">
        <f>RTD("ice.rtd",,$C947 &amp; $D947 &amp; ":" &amp; K$1)</f>
        <v/>
      </c>
      <c r="L947" s="36" t="str">
        <f>RTD("ice.rtd",,$C947 &amp; $D947 &amp; ":" &amp; L$1)</f>
        <v/>
      </c>
      <c r="M947" s="14" t="str">
        <f>IFERROR(MOD(TIMEVALUE(RTD("ice.rtd",,$C947 &amp; $D947 &amp; ":" &amp; M$1)), 1), "")</f>
        <v/>
      </c>
      <c r="N947" s="36">
        <f>RTD("ice.rtd",,$C947 &amp; $D947 &amp; ":" &amp; N$1)</f>
        <v>0</v>
      </c>
      <c r="O947" s="36">
        <f>RTD("ice.rtd",,$C947 &amp; $D947 &amp; ":" &amp; O$1)</f>
        <v>0</v>
      </c>
      <c r="P9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7" s="14" t="str">
        <f>IF(ICE[[#This Row],[LastType]] = "Scrn", ICE[[#This Row],[LstDate]], IF(ICE[[#This Row],[LastType]] = "Blk", ICE[[#This Row],[LstBlkTime]], ""))</f>
        <v/>
      </c>
      <c r="R947" s="41" t="str">
        <f>IF(ICE[[#This Row],[LastType]] = "Scrn", ICE[[#This Row],[LstPrc]], IF(ICE[[#This Row],[LastType]] = "Blk", ICE[[#This Row],[LstBlkPrc]], ""))</f>
        <v/>
      </c>
      <c r="S947" s="36">
        <f>ICE[[#This Row],[Vol]]+ICE[[#This Row],[BlkVol]]</f>
        <v>0</v>
      </c>
      <c r="T947" s="36">
        <f>RTD("ice.rtd",,$C947 &amp; $D947 &amp; ":" &amp; T$1)</f>
        <v>0</v>
      </c>
      <c r="U947" s="18">
        <f>RTD("ice.rtd",,$C947 &amp; $D947 &amp; ":" &amp; U$1)</f>
        <v>14.833</v>
      </c>
      <c r="V9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7" s="18" t="str">
        <f>IFERROR(IF(LEFT(ICE[[#This Row],[Tenor]], 1) = "B", RTD("esrtd",,$B947 &amp; " " &amp; ICE[[#This Row],[Tenor]] &amp; "-IEU", W$1), RTD("esrtd",,$B947 &amp; " " &amp; VLOOKUP(MONTH(ICE[[#This Row],[Strip]]), MthRef[], 2, 0) &amp; RIGHT(YEAR(ICE[[#This Row],[Strip]]), 2) &amp; "-IEU", W$1)), "")</f>
        <v/>
      </c>
      <c r="X947" s="36"/>
    </row>
    <row r="948" spans="1:24" x14ac:dyDescent="0.25">
      <c r="A948" s="37" t="s">
        <v>435</v>
      </c>
      <c r="B948" s="3" t="str">
        <f>RTD("ice.rtd",,$C948 &amp; $D948 &amp; ":" &amp; B$1)</f>
        <v>FOS</v>
      </c>
      <c r="C948" s="3">
        <v>266</v>
      </c>
      <c r="D948" t="s">
        <v>816</v>
      </c>
      <c r="E948" s="3" t="str">
        <f>RTD("ice.rtd",,$C948 &amp; $D948 &amp; ":" &amp; E$1)</f>
        <v>Q2 27</v>
      </c>
      <c r="F948" s="3" t="str">
        <f>ICE[[#This Row],[Prod]]&amp;ICE[[#This Row],[Strip]]</f>
        <v>hiloQ2 27</v>
      </c>
      <c r="G948" s="18" t="str">
        <f>RTD("ice.rtd",,$C948 &amp; $D948 &amp; ":" &amp; G$1)</f>
        <v/>
      </c>
      <c r="H948" s="18" t="str">
        <f>RTD("ice.rtd",,$C948 &amp; $D948 &amp; ":" &amp; H$1)</f>
        <v/>
      </c>
      <c r="I948" s="18" t="str">
        <f>RTD("ice.rtd",,$C948 &amp; $D948 &amp; ":" &amp; I$1)</f>
        <v/>
      </c>
      <c r="J948" s="14" t="str">
        <f>IFERROR(MOD(RTD("ice.rtd",,$C948 &amp; $D948 &amp; ":" &amp; J$1), 1), "")</f>
        <v/>
      </c>
      <c r="K948" s="18" t="str">
        <f>RTD("ice.rtd",,$C948 &amp; $D948 &amp; ":" &amp; K$1)</f>
        <v/>
      </c>
      <c r="L948" s="36" t="str">
        <f>RTD("ice.rtd",,$C948 &amp; $D948 &amp; ":" &amp; L$1)</f>
        <v/>
      </c>
      <c r="M948" s="14" t="str">
        <f>IFERROR(MOD(TIMEVALUE(RTD("ice.rtd",,$C948 &amp; $D948 &amp; ":" &amp; M$1)), 1), "")</f>
        <v/>
      </c>
      <c r="N948" s="36">
        <f>RTD("ice.rtd",,$C948 &amp; $D948 &amp; ":" &amp; N$1)</f>
        <v>0</v>
      </c>
      <c r="O948" s="36">
        <f>RTD("ice.rtd",,$C948 &amp; $D948 &amp; ":" &amp; O$1)</f>
        <v>0</v>
      </c>
      <c r="P9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8" s="14" t="str">
        <f>IF(ICE[[#This Row],[LastType]] = "Scrn", ICE[[#This Row],[LstDate]], IF(ICE[[#This Row],[LastType]] = "Blk", ICE[[#This Row],[LstBlkTime]], ""))</f>
        <v/>
      </c>
      <c r="R948" s="41" t="str">
        <f>IF(ICE[[#This Row],[LastType]] = "Scrn", ICE[[#This Row],[LstPrc]], IF(ICE[[#This Row],[LastType]] = "Blk", ICE[[#This Row],[LstBlkPrc]], ""))</f>
        <v/>
      </c>
      <c r="S948" s="36">
        <f>ICE[[#This Row],[Vol]]+ICE[[#This Row],[BlkVol]]</f>
        <v>0</v>
      </c>
      <c r="T948" s="36">
        <f>RTD("ice.rtd",,$C948 &amp; $D948 &amp; ":" &amp; T$1)</f>
        <v>0</v>
      </c>
      <c r="U948" s="18">
        <f>RTD("ice.rtd",,$C948 &amp; $D948 &amp; ":" &amp; U$1)</f>
        <v>13.5</v>
      </c>
      <c r="V9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8" s="18" t="str">
        <f>IFERROR(IF(LEFT(ICE[[#This Row],[Tenor]], 1) = "B", RTD("esrtd",,$B948 &amp; " " &amp; ICE[[#This Row],[Tenor]] &amp; "-IEU", W$1), RTD("esrtd",,$B948 &amp; " " &amp; VLOOKUP(MONTH(ICE[[#This Row],[Strip]]), MthRef[], 2, 0) &amp; RIGHT(YEAR(ICE[[#This Row],[Strip]]), 2) &amp; "-IEU", W$1)), "")</f>
        <v/>
      </c>
      <c r="X948" s="36"/>
    </row>
    <row r="949" spans="1:24" x14ac:dyDescent="0.25">
      <c r="A949" s="37" t="s">
        <v>435</v>
      </c>
      <c r="B949" s="3" t="str">
        <f>RTD("ice.rtd",,$C949 &amp; $D949 &amp; ":" &amp; B$1)</f>
        <v>FOS</v>
      </c>
      <c r="C949" s="3">
        <v>266</v>
      </c>
      <c r="D949" t="s">
        <v>817</v>
      </c>
      <c r="E949" s="3" t="str">
        <f>RTD("ice.rtd",,$C949 &amp; $D949 &amp; ":" &amp; E$1)</f>
        <v>Q3 27</v>
      </c>
      <c r="F949" s="3" t="str">
        <f>ICE[[#This Row],[Prod]]&amp;ICE[[#This Row],[Strip]]</f>
        <v>hiloQ3 27</v>
      </c>
      <c r="G949" s="18" t="str">
        <f>RTD("ice.rtd",,$C949 &amp; $D949 &amp; ":" &amp; G$1)</f>
        <v/>
      </c>
      <c r="H949" s="18" t="str">
        <f>RTD("ice.rtd",,$C949 &amp; $D949 &amp; ":" &amp; H$1)</f>
        <v/>
      </c>
      <c r="I949" s="18" t="str">
        <f>RTD("ice.rtd",,$C949 &amp; $D949 &amp; ":" &amp; I$1)</f>
        <v/>
      </c>
      <c r="J949" s="14" t="str">
        <f>IFERROR(MOD(RTD("ice.rtd",,$C949 &amp; $D949 &amp; ":" &amp; J$1), 1), "")</f>
        <v/>
      </c>
      <c r="K949" s="18" t="str">
        <f>RTD("ice.rtd",,$C949 &amp; $D949 &amp; ":" &amp; K$1)</f>
        <v/>
      </c>
      <c r="L949" s="36" t="str">
        <f>RTD("ice.rtd",,$C949 &amp; $D949 &amp; ":" &amp; L$1)</f>
        <v/>
      </c>
      <c r="M949" s="14" t="str">
        <f>IFERROR(MOD(TIMEVALUE(RTD("ice.rtd",,$C949 &amp; $D949 &amp; ":" &amp; M$1)), 1), "")</f>
        <v/>
      </c>
      <c r="N949" s="36">
        <f>RTD("ice.rtd",,$C949 &amp; $D949 &amp; ":" &amp; N$1)</f>
        <v>0</v>
      </c>
      <c r="O949" s="36">
        <f>RTD("ice.rtd",,$C949 &amp; $D949 &amp; ":" &amp; O$1)</f>
        <v>0</v>
      </c>
      <c r="P9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49" s="14" t="str">
        <f>IF(ICE[[#This Row],[LastType]] = "Scrn", ICE[[#This Row],[LstDate]], IF(ICE[[#This Row],[LastType]] = "Blk", ICE[[#This Row],[LstBlkTime]], ""))</f>
        <v/>
      </c>
      <c r="R949" s="41" t="str">
        <f>IF(ICE[[#This Row],[LastType]] = "Scrn", ICE[[#This Row],[LstPrc]], IF(ICE[[#This Row],[LastType]] = "Blk", ICE[[#This Row],[LstBlkPrc]], ""))</f>
        <v/>
      </c>
      <c r="S949" s="36">
        <f>ICE[[#This Row],[Vol]]+ICE[[#This Row],[BlkVol]]</f>
        <v>0</v>
      </c>
      <c r="T949" s="36">
        <f>RTD("ice.rtd",,$C949 &amp; $D949 &amp; ":" &amp; T$1)</f>
        <v>0</v>
      </c>
      <c r="U949" s="18">
        <f>RTD("ice.rtd",,$C949 &amp; $D949 &amp; ":" &amp; U$1)</f>
        <v>12.833</v>
      </c>
      <c r="V9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49" s="18" t="str">
        <f>IFERROR(IF(LEFT(ICE[[#This Row],[Tenor]], 1) = "B", RTD("esrtd",,$B949 &amp; " " &amp; ICE[[#This Row],[Tenor]] &amp; "-IEU", W$1), RTD("esrtd",,$B949 &amp; " " &amp; VLOOKUP(MONTH(ICE[[#This Row],[Strip]]), MthRef[], 2, 0) &amp; RIGHT(YEAR(ICE[[#This Row],[Strip]]), 2) &amp; "-IEU", W$1)), "")</f>
        <v/>
      </c>
      <c r="X949" s="36"/>
    </row>
    <row r="950" spans="1:24" x14ac:dyDescent="0.25">
      <c r="A950" s="37" t="s">
        <v>435</v>
      </c>
      <c r="B950" s="3" t="str">
        <f>RTD("ice.rtd",,$C950 &amp; $D950 &amp; ":" &amp; B$1)</f>
        <v>FOS</v>
      </c>
      <c r="C950" s="3">
        <v>266</v>
      </c>
      <c r="D950" t="s">
        <v>818</v>
      </c>
      <c r="E950" s="3" t="str">
        <f>RTD("ice.rtd",,$C950 &amp; $D950 &amp; ":" &amp; E$1)</f>
        <v>Q4 27</v>
      </c>
      <c r="F950" s="3" t="str">
        <f>ICE[[#This Row],[Prod]]&amp;ICE[[#This Row],[Strip]]</f>
        <v>hiloQ4 27</v>
      </c>
      <c r="G950" s="18" t="str">
        <f>RTD("ice.rtd",,$C950 &amp; $D950 &amp; ":" &amp; G$1)</f>
        <v/>
      </c>
      <c r="H950" s="18" t="str">
        <f>RTD("ice.rtd",,$C950 &amp; $D950 &amp; ":" &amp; H$1)</f>
        <v/>
      </c>
      <c r="I950" s="18" t="str">
        <f>RTD("ice.rtd",,$C950 &amp; $D950 &amp; ":" &amp; I$1)</f>
        <v/>
      </c>
      <c r="J950" s="14" t="str">
        <f>IFERROR(MOD(RTD("ice.rtd",,$C950 &amp; $D950 &amp; ":" &amp; J$1), 1), "")</f>
        <v/>
      </c>
      <c r="K950" s="18" t="str">
        <f>RTD("ice.rtd",,$C950 &amp; $D950 &amp; ":" &amp; K$1)</f>
        <v/>
      </c>
      <c r="L950" s="36" t="str">
        <f>RTD("ice.rtd",,$C950 &amp; $D950 &amp; ":" &amp; L$1)</f>
        <v/>
      </c>
      <c r="M950" s="14" t="str">
        <f>IFERROR(MOD(TIMEVALUE(RTD("ice.rtd",,$C950 &amp; $D950 &amp; ":" &amp; M$1)), 1), "")</f>
        <v/>
      </c>
      <c r="N950" s="36">
        <f>RTD("ice.rtd",,$C950 &amp; $D950 &amp; ":" &amp; N$1)</f>
        <v>0</v>
      </c>
      <c r="O950" s="36">
        <f>RTD("ice.rtd",,$C950 &amp; $D950 &amp; ":" &amp; O$1)</f>
        <v>0</v>
      </c>
      <c r="P9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0" s="14" t="str">
        <f>IF(ICE[[#This Row],[LastType]] = "Scrn", ICE[[#This Row],[LstDate]], IF(ICE[[#This Row],[LastType]] = "Blk", ICE[[#This Row],[LstBlkTime]], ""))</f>
        <v/>
      </c>
      <c r="R950" s="41" t="str">
        <f>IF(ICE[[#This Row],[LastType]] = "Scrn", ICE[[#This Row],[LstPrc]], IF(ICE[[#This Row],[LastType]] = "Blk", ICE[[#This Row],[LstBlkPrc]], ""))</f>
        <v/>
      </c>
      <c r="S950" s="36">
        <f>ICE[[#This Row],[Vol]]+ICE[[#This Row],[BlkVol]]</f>
        <v>0</v>
      </c>
      <c r="T950" s="36">
        <f>RTD("ice.rtd",,$C950 &amp; $D950 &amp; ":" &amp; T$1)</f>
        <v>0</v>
      </c>
      <c r="U950" s="18">
        <f>RTD("ice.rtd",,$C950 &amp; $D950 &amp; ":" &amp; U$1)</f>
        <v>12.833</v>
      </c>
      <c r="V9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0" s="18" t="str">
        <f>IFERROR(IF(LEFT(ICE[[#This Row],[Tenor]], 1) = "B", RTD("esrtd",,$B950 &amp; " " &amp; ICE[[#This Row],[Tenor]] &amp; "-IEU", W$1), RTD("esrtd",,$B950 &amp; " " &amp; VLOOKUP(MONTH(ICE[[#This Row],[Strip]]), MthRef[], 2, 0) &amp; RIGHT(YEAR(ICE[[#This Row],[Strip]]), 2) &amp; "-IEU", W$1)), "")</f>
        <v/>
      </c>
      <c r="X950" s="36"/>
    </row>
    <row r="951" spans="1:24" x14ac:dyDescent="0.25">
      <c r="A951" s="37" t="s">
        <v>435</v>
      </c>
      <c r="B951" s="3" t="str">
        <f>RTD("ice.rtd",,$C951 &amp; $D951 &amp; ":" &amp; B$1)</f>
        <v>FOS</v>
      </c>
      <c r="C951" s="3">
        <v>266</v>
      </c>
      <c r="D951" t="s">
        <v>819</v>
      </c>
      <c r="E951" s="3" t="str">
        <f>RTD("ice.rtd",,$C951 &amp; $D951 &amp; ":" &amp; E$1)</f>
        <v>Q1 28</v>
      </c>
      <c r="F951" s="3" t="str">
        <f>ICE[[#This Row],[Prod]]&amp;ICE[[#This Row],[Strip]]</f>
        <v>hiloQ1 28</v>
      </c>
      <c r="G951" s="18" t="str">
        <f>RTD("ice.rtd",,$C951 &amp; $D951 &amp; ":" &amp; G$1)</f>
        <v/>
      </c>
      <c r="H951" s="18" t="str">
        <f>RTD("ice.rtd",,$C951 &amp; $D951 &amp; ":" &amp; H$1)</f>
        <v/>
      </c>
      <c r="I951" s="18" t="str">
        <f>RTD("ice.rtd",,$C951 &amp; $D951 &amp; ":" &amp; I$1)</f>
        <v/>
      </c>
      <c r="J951" s="14" t="str">
        <f>IFERROR(MOD(RTD("ice.rtd",,$C951 &amp; $D951 &amp; ":" &amp; J$1), 1), "")</f>
        <v/>
      </c>
      <c r="K951" s="18" t="str">
        <f>RTD("ice.rtd",,$C951 &amp; $D951 &amp; ":" &amp; K$1)</f>
        <v/>
      </c>
      <c r="L951" s="36" t="str">
        <f>RTD("ice.rtd",,$C951 &amp; $D951 &amp; ":" &amp; L$1)</f>
        <v/>
      </c>
      <c r="M951" s="14" t="str">
        <f>IFERROR(MOD(TIMEVALUE(RTD("ice.rtd",,$C951 &amp; $D951 &amp; ":" &amp; M$1)), 1), "")</f>
        <v/>
      </c>
      <c r="N951" s="36">
        <f>RTD("ice.rtd",,$C951 &amp; $D951 &amp; ":" &amp; N$1)</f>
        <v>0</v>
      </c>
      <c r="O951" s="36">
        <f>RTD("ice.rtd",,$C951 &amp; $D951 &amp; ":" &amp; O$1)</f>
        <v>0</v>
      </c>
      <c r="P9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1" s="14" t="str">
        <f>IF(ICE[[#This Row],[LastType]] = "Scrn", ICE[[#This Row],[LstDate]], IF(ICE[[#This Row],[LastType]] = "Blk", ICE[[#This Row],[LstBlkTime]], ""))</f>
        <v/>
      </c>
      <c r="R951" s="41" t="str">
        <f>IF(ICE[[#This Row],[LastType]] = "Scrn", ICE[[#This Row],[LstPrc]], IF(ICE[[#This Row],[LastType]] = "Blk", ICE[[#This Row],[LstBlkPrc]], ""))</f>
        <v/>
      </c>
      <c r="S951" s="36">
        <f>ICE[[#This Row],[Vol]]+ICE[[#This Row],[BlkVol]]</f>
        <v>0</v>
      </c>
      <c r="T951" s="36">
        <f>RTD("ice.rtd",,$C951 &amp; $D951 &amp; ":" &amp; T$1)</f>
        <v>0</v>
      </c>
      <c r="U951" s="18">
        <f>RTD("ice.rtd",,$C951 &amp; $D951 &amp; ":" &amp; U$1)</f>
        <v>14.25</v>
      </c>
      <c r="V9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1" s="18" t="str">
        <f>IFERROR(IF(LEFT(ICE[[#This Row],[Tenor]], 1) = "B", RTD("esrtd",,$B951 &amp; " " &amp; ICE[[#This Row],[Tenor]] &amp; "-IEU", W$1), RTD("esrtd",,$B951 &amp; " " &amp; VLOOKUP(MONTH(ICE[[#This Row],[Strip]]), MthRef[], 2, 0) &amp; RIGHT(YEAR(ICE[[#This Row],[Strip]]), 2) &amp; "-IEU", W$1)), "")</f>
        <v/>
      </c>
      <c r="X951" s="36"/>
    </row>
    <row r="952" spans="1:24" x14ac:dyDescent="0.25">
      <c r="A952" s="37" t="s">
        <v>435</v>
      </c>
      <c r="B952" s="3" t="str">
        <f>RTD("ice.rtd",,$C952 &amp; $D952 &amp; ":" &amp; B$1)</f>
        <v>FOS</v>
      </c>
      <c r="C952" s="3">
        <v>266</v>
      </c>
      <c r="D952" t="s">
        <v>229</v>
      </c>
      <c r="E952" s="3" t="str">
        <f>RTD("ice.rtd",,$C952 &amp; $D952 &amp; ":" &amp; E$1)</f>
        <v>Q2 28</v>
      </c>
      <c r="F952" s="3" t="str">
        <f>ICE[[#This Row],[Prod]]&amp;ICE[[#This Row],[Strip]]</f>
        <v>hiloQ2 28</v>
      </c>
      <c r="G952" s="18" t="str">
        <f>RTD("ice.rtd",,$C952 &amp; $D952 &amp; ":" &amp; G$1)</f>
        <v/>
      </c>
      <c r="H952" s="18" t="str">
        <f>RTD("ice.rtd",,$C952 &amp; $D952 &amp; ":" &amp; H$1)</f>
        <v/>
      </c>
      <c r="I952" s="18" t="str">
        <f>RTD("ice.rtd",,$C952 &amp; $D952 &amp; ":" &amp; I$1)</f>
        <v/>
      </c>
      <c r="J952" s="14" t="str">
        <f>IFERROR(MOD(RTD("ice.rtd",,$C952 &amp; $D952 &amp; ":" &amp; J$1), 1), "")</f>
        <v/>
      </c>
      <c r="K952" s="18" t="str">
        <f>RTD("ice.rtd",,$C952 &amp; $D952 &amp; ":" &amp; K$1)</f>
        <v/>
      </c>
      <c r="L952" s="36" t="str">
        <f>RTD("ice.rtd",,$C952 &amp; $D952 &amp; ":" &amp; L$1)</f>
        <v/>
      </c>
      <c r="M952" s="14" t="str">
        <f>IFERROR(MOD(TIMEVALUE(RTD("ice.rtd",,$C952 &amp; $D952 &amp; ":" &amp; M$1)), 1), "")</f>
        <v/>
      </c>
      <c r="N952" s="36">
        <f>RTD("ice.rtd",,$C952 &amp; $D952 &amp; ":" &amp; N$1)</f>
        <v>0</v>
      </c>
      <c r="O952" s="36">
        <f>RTD("ice.rtd",,$C952 &amp; $D952 &amp; ":" &amp; O$1)</f>
        <v>0</v>
      </c>
      <c r="P9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2" s="14" t="str">
        <f>IF(ICE[[#This Row],[LastType]] = "Scrn", ICE[[#This Row],[LstDate]], IF(ICE[[#This Row],[LastType]] = "Blk", ICE[[#This Row],[LstBlkTime]], ""))</f>
        <v/>
      </c>
      <c r="R952" s="41" t="str">
        <f>IF(ICE[[#This Row],[LastType]] = "Scrn", ICE[[#This Row],[LstPrc]], IF(ICE[[#This Row],[LastType]] = "Blk", ICE[[#This Row],[LstBlkPrc]], ""))</f>
        <v/>
      </c>
      <c r="S952" s="36">
        <f>ICE[[#This Row],[Vol]]+ICE[[#This Row],[BlkVol]]</f>
        <v>0</v>
      </c>
      <c r="T952" s="36">
        <f>RTD("ice.rtd",,$C952 &amp; $D952 &amp; ":" &amp; T$1)</f>
        <v>0</v>
      </c>
      <c r="U952" s="18">
        <f>RTD("ice.rtd",,$C952 &amp; $D952 &amp; ":" &amp; U$1)</f>
        <v>18.833000000000002</v>
      </c>
      <c r="V9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2" s="18" t="str">
        <f>IFERROR(IF(LEFT(ICE[[#This Row],[Tenor]], 1) = "B", RTD("esrtd",,$B952 &amp; " " &amp; ICE[[#This Row],[Tenor]] &amp; "-IEU", W$1), RTD("esrtd",,$B952 &amp; " " &amp; VLOOKUP(MONTH(ICE[[#This Row],[Strip]]), MthRef[], 2, 0) &amp; RIGHT(YEAR(ICE[[#This Row],[Strip]]), 2) &amp; "-IEU", W$1)), "")</f>
        <v/>
      </c>
      <c r="X952" s="36"/>
    </row>
    <row r="953" spans="1:24" x14ac:dyDescent="0.25">
      <c r="A953" s="37" t="s">
        <v>435</v>
      </c>
      <c r="B953" s="3" t="str">
        <f>RTD("ice.rtd",,$C953 &amp; $D953 &amp; ":" &amp; B$1)</f>
        <v>FOS</v>
      </c>
      <c r="C953" s="3">
        <v>266</v>
      </c>
      <c r="D953" t="s">
        <v>820</v>
      </c>
      <c r="E953" s="3" t="str">
        <f>RTD("ice.rtd",,$C953 &amp; $D953 &amp; ":" &amp; E$1)</f>
        <v>Q3 28</v>
      </c>
      <c r="F953" s="3" t="str">
        <f>ICE[[#This Row],[Prod]]&amp;ICE[[#This Row],[Strip]]</f>
        <v>hiloQ3 28</v>
      </c>
      <c r="G953" s="18" t="str">
        <f>RTD("ice.rtd",,$C953 &amp; $D953 &amp; ":" &amp; G$1)</f>
        <v/>
      </c>
      <c r="H953" s="18" t="str">
        <f>RTD("ice.rtd",,$C953 &amp; $D953 &amp; ":" &amp; H$1)</f>
        <v/>
      </c>
      <c r="I953" s="18" t="str">
        <f>RTD("ice.rtd",,$C953 &amp; $D953 &amp; ":" &amp; I$1)</f>
        <v/>
      </c>
      <c r="J953" s="14" t="str">
        <f>IFERROR(MOD(RTD("ice.rtd",,$C953 &amp; $D953 &amp; ":" &amp; J$1), 1), "")</f>
        <v/>
      </c>
      <c r="K953" s="18" t="str">
        <f>RTD("ice.rtd",,$C953 &amp; $D953 &amp; ":" &amp; K$1)</f>
        <v/>
      </c>
      <c r="L953" s="36" t="str">
        <f>RTD("ice.rtd",,$C953 &amp; $D953 &amp; ":" &amp; L$1)</f>
        <v/>
      </c>
      <c r="M953" s="14" t="str">
        <f>IFERROR(MOD(TIMEVALUE(RTD("ice.rtd",,$C953 &amp; $D953 &amp; ":" &amp; M$1)), 1), "")</f>
        <v/>
      </c>
      <c r="N953" s="36">
        <f>RTD("ice.rtd",,$C953 &amp; $D953 &amp; ":" &amp; N$1)</f>
        <v>0</v>
      </c>
      <c r="O953" s="36">
        <f>RTD("ice.rtd",,$C953 &amp; $D953 &amp; ":" &amp; O$1)</f>
        <v>0</v>
      </c>
      <c r="P9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3" s="14" t="str">
        <f>IF(ICE[[#This Row],[LastType]] = "Scrn", ICE[[#This Row],[LstDate]], IF(ICE[[#This Row],[LastType]] = "Blk", ICE[[#This Row],[LstBlkTime]], ""))</f>
        <v/>
      </c>
      <c r="R953" s="41" t="str">
        <f>IF(ICE[[#This Row],[LastType]] = "Scrn", ICE[[#This Row],[LstPrc]], IF(ICE[[#This Row],[LastType]] = "Blk", ICE[[#This Row],[LstBlkPrc]], ""))</f>
        <v/>
      </c>
      <c r="S953" s="36">
        <f>ICE[[#This Row],[Vol]]+ICE[[#This Row],[BlkVol]]</f>
        <v>0</v>
      </c>
      <c r="T953" s="36">
        <f>RTD("ice.rtd",,$C953 &amp; $D953 &amp; ":" &amp; T$1)</f>
        <v>0</v>
      </c>
      <c r="U953" s="18">
        <f>RTD("ice.rtd",,$C953 &amp; $D953 &amp; ":" &amp; U$1)</f>
        <v>24.333000000000002</v>
      </c>
      <c r="V9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3" s="18" t="str">
        <f>IFERROR(IF(LEFT(ICE[[#This Row],[Tenor]], 1) = "B", RTD("esrtd",,$B953 &amp; " " &amp; ICE[[#This Row],[Tenor]] &amp; "-IEU", W$1), RTD("esrtd",,$B953 &amp; " " &amp; VLOOKUP(MONTH(ICE[[#This Row],[Strip]]), MthRef[], 2, 0) &amp; RIGHT(YEAR(ICE[[#This Row],[Strip]]), 2) &amp; "-IEU", W$1)), "")</f>
        <v/>
      </c>
      <c r="X953" s="36"/>
    </row>
    <row r="954" spans="1:24" x14ac:dyDescent="0.25">
      <c r="A954" s="37" t="s">
        <v>435</v>
      </c>
      <c r="B954" s="3" t="str">
        <f>RTD("ice.rtd",,$C954 &amp; $D954 &amp; ":" &amp; B$1)</f>
        <v>FOS</v>
      </c>
      <c r="C954" s="3">
        <v>266</v>
      </c>
      <c r="D954" t="s">
        <v>821</v>
      </c>
      <c r="E954" s="3" t="str">
        <f>RTD("ice.rtd",,$C954 &amp; $D954 &amp; ":" &amp; E$1)</f>
        <v>Q4 28</v>
      </c>
      <c r="F954" s="3" t="str">
        <f>ICE[[#This Row],[Prod]]&amp;ICE[[#This Row],[Strip]]</f>
        <v>hiloQ4 28</v>
      </c>
      <c r="G954" s="18" t="str">
        <f>RTD("ice.rtd",,$C954 &amp; $D954 &amp; ":" &amp; G$1)</f>
        <v/>
      </c>
      <c r="H954" s="18" t="str">
        <f>RTD("ice.rtd",,$C954 &amp; $D954 &amp; ":" &amp; H$1)</f>
        <v/>
      </c>
      <c r="I954" s="18" t="str">
        <f>RTD("ice.rtd",,$C954 &amp; $D954 &amp; ":" &amp; I$1)</f>
        <v/>
      </c>
      <c r="J954" s="14" t="str">
        <f>IFERROR(MOD(RTD("ice.rtd",,$C954 &amp; $D954 &amp; ":" &amp; J$1), 1), "")</f>
        <v/>
      </c>
      <c r="K954" s="18" t="str">
        <f>RTD("ice.rtd",,$C954 &amp; $D954 &amp; ":" &amp; K$1)</f>
        <v/>
      </c>
      <c r="L954" s="36" t="str">
        <f>RTD("ice.rtd",,$C954 &amp; $D954 &amp; ":" &amp; L$1)</f>
        <v/>
      </c>
      <c r="M954" s="14" t="str">
        <f>IFERROR(MOD(TIMEVALUE(RTD("ice.rtd",,$C954 &amp; $D954 &amp; ":" &amp; M$1)), 1), "")</f>
        <v/>
      </c>
      <c r="N954" s="36">
        <f>RTD("ice.rtd",,$C954 &amp; $D954 &amp; ":" &amp; N$1)</f>
        <v>0</v>
      </c>
      <c r="O954" s="36">
        <f>RTD("ice.rtd",,$C954 &amp; $D954 &amp; ":" &amp; O$1)</f>
        <v>0</v>
      </c>
      <c r="P9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4" s="14" t="str">
        <f>IF(ICE[[#This Row],[LastType]] = "Scrn", ICE[[#This Row],[LstDate]], IF(ICE[[#This Row],[LastType]] = "Blk", ICE[[#This Row],[LstBlkTime]], ""))</f>
        <v/>
      </c>
      <c r="R954" s="41" t="str">
        <f>IF(ICE[[#This Row],[LastType]] = "Scrn", ICE[[#This Row],[LstPrc]], IF(ICE[[#This Row],[LastType]] = "Blk", ICE[[#This Row],[LstBlkPrc]], ""))</f>
        <v/>
      </c>
      <c r="S954" s="36">
        <f>ICE[[#This Row],[Vol]]+ICE[[#This Row],[BlkVol]]</f>
        <v>0</v>
      </c>
      <c r="T954" s="36">
        <f>RTD("ice.rtd",,$C954 &amp; $D954 &amp; ":" &amp; T$1)</f>
        <v>0</v>
      </c>
      <c r="U954" s="18">
        <f>RTD("ice.rtd",,$C954 &amp; $D954 &amp; ":" &amp; U$1)</f>
        <v>29.917000000000002</v>
      </c>
      <c r="V9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4" s="18" t="str">
        <f>IFERROR(IF(LEFT(ICE[[#This Row],[Tenor]], 1) = "B", RTD("esrtd",,$B954 &amp; " " &amp; ICE[[#This Row],[Tenor]] &amp; "-IEU", W$1), RTD("esrtd",,$B954 &amp; " " &amp; VLOOKUP(MONTH(ICE[[#This Row],[Strip]]), MthRef[], 2, 0) &amp; RIGHT(YEAR(ICE[[#This Row],[Strip]]), 2) &amp; "-IEU", W$1)), "")</f>
        <v/>
      </c>
      <c r="X954" s="36"/>
    </row>
    <row r="955" spans="1:24" x14ac:dyDescent="0.25">
      <c r="A955" s="37" t="s">
        <v>435</v>
      </c>
      <c r="B955" s="3" t="str">
        <f>RTD("ice.rtd",,$C955 &amp; $D955 &amp; ":" &amp; B$1)</f>
        <v>FOS</v>
      </c>
      <c r="C955" s="3">
        <v>266</v>
      </c>
      <c r="D955" t="s">
        <v>822</v>
      </c>
      <c r="E955" s="3" t="str">
        <f>RTD("ice.rtd",,$C955 &amp; $D955 &amp; ":" &amp; E$1)</f>
        <v>Cal 27</v>
      </c>
      <c r="F955" s="3" t="str">
        <f>ICE[[#This Row],[Prod]]&amp;ICE[[#This Row],[Strip]]</f>
        <v>hiloCal 27</v>
      </c>
      <c r="G955" s="18" t="str">
        <f>RTD("ice.rtd",,$C955 &amp; $D955 &amp; ":" &amp; G$1)</f>
        <v/>
      </c>
      <c r="H955" s="18" t="str">
        <f>RTD("ice.rtd",,$C955 &amp; $D955 &amp; ":" &amp; H$1)</f>
        <v/>
      </c>
      <c r="I955" s="18" t="str">
        <f>RTD("ice.rtd",,$C955 &amp; $D955 &amp; ":" &amp; I$1)</f>
        <v/>
      </c>
      <c r="J955" s="14" t="str">
        <f>IFERROR(MOD(RTD("ice.rtd",,$C955 &amp; $D955 &amp; ":" &amp; J$1), 1), "")</f>
        <v/>
      </c>
      <c r="K955" s="18" t="str">
        <f>RTD("ice.rtd",,$C955 &amp; $D955 &amp; ":" &amp; K$1)</f>
        <v/>
      </c>
      <c r="L955" s="36" t="str">
        <f>RTD("ice.rtd",,$C955 &amp; $D955 &amp; ":" &amp; L$1)</f>
        <v/>
      </c>
      <c r="M955" s="14" t="str">
        <f>IFERROR(MOD(TIMEVALUE(RTD("ice.rtd",,$C955 &amp; $D955 &amp; ":" &amp; M$1)), 1), "")</f>
        <v/>
      </c>
      <c r="N955" s="36">
        <f>RTD("ice.rtd",,$C955 &amp; $D955 &amp; ":" &amp; N$1)</f>
        <v>0</v>
      </c>
      <c r="O955" s="36">
        <f>RTD("ice.rtd",,$C955 &amp; $D955 &amp; ":" &amp; O$1)</f>
        <v>0</v>
      </c>
      <c r="P9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5" s="14" t="str">
        <f>IF(ICE[[#This Row],[LastType]] = "Scrn", ICE[[#This Row],[LstDate]], IF(ICE[[#This Row],[LastType]] = "Blk", ICE[[#This Row],[LstBlkTime]], ""))</f>
        <v/>
      </c>
      <c r="R955" s="41" t="str">
        <f>IF(ICE[[#This Row],[LastType]] = "Scrn", ICE[[#This Row],[LstPrc]], IF(ICE[[#This Row],[LastType]] = "Blk", ICE[[#This Row],[LstBlkPrc]], ""))</f>
        <v/>
      </c>
      <c r="S955" s="36">
        <f>ICE[[#This Row],[Vol]]+ICE[[#This Row],[BlkVol]]</f>
        <v>0</v>
      </c>
      <c r="T955" s="36">
        <f>RTD("ice.rtd",,$C955 &amp; $D955 &amp; ":" &amp; T$1)</f>
        <v>0</v>
      </c>
      <c r="U955" s="18">
        <f>RTD("ice.rtd",,$C955 &amp; $D955 &amp; ":" &amp; U$1)</f>
        <v>13.5</v>
      </c>
      <c r="V9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5" s="18" t="str">
        <f>IFERROR(IF(LEFT(ICE[[#This Row],[Tenor]], 1) = "B", RTD("esrtd",,$B955 &amp; " " &amp; ICE[[#This Row],[Tenor]] &amp; "-IEU", W$1), RTD("esrtd",,$B955 &amp; " " &amp; VLOOKUP(MONTH(ICE[[#This Row],[Strip]]), MthRef[], 2, 0) &amp; RIGHT(YEAR(ICE[[#This Row],[Strip]]), 2) &amp; "-IEU", W$1)), "")</f>
        <v/>
      </c>
      <c r="X955" s="36"/>
    </row>
    <row r="956" spans="1:24" x14ac:dyDescent="0.25">
      <c r="A956" s="37" t="s">
        <v>435</v>
      </c>
      <c r="B956" s="3" t="str">
        <f>RTD("ice.rtd",,$C956 &amp; $D956 &amp; ":" &amp; B$1)</f>
        <v>FOS</v>
      </c>
      <c r="C956" s="3">
        <v>266</v>
      </c>
      <c r="D956" t="s">
        <v>823</v>
      </c>
      <c r="E956" s="3" t="str">
        <f>RTD("ice.rtd",,$C956 &amp; $D956 &amp; ":" &amp; E$1)</f>
        <v>Cal 28</v>
      </c>
      <c r="F956" s="3" t="str">
        <f>ICE[[#This Row],[Prod]]&amp;ICE[[#This Row],[Strip]]</f>
        <v>hiloCal 28</v>
      </c>
      <c r="G956" s="18" t="str">
        <f>RTD("ice.rtd",,$C956 &amp; $D956 &amp; ":" &amp; G$1)</f>
        <v/>
      </c>
      <c r="H956" s="18" t="str">
        <f>RTD("ice.rtd",,$C956 &amp; $D956 &amp; ":" &amp; H$1)</f>
        <v/>
      </c>
      <c r="I956" s="18" t="str">
        <f>RTD("ice.rtd",,$C956 &amp; $D956 &amp; ":" &amp; I$1)</f>
        <v/>
      </c>
      <c r="J956" s="14" t="str">
        <f>IFERROR(MOD(RTD("ice.rtd",,$C956 &amp; $D956 &amp; ":" &amp; J$1), 1), "")</f>
        <v/>
      </c>
      <c r="K956" s="18" t="str">
        <f>RTD("ice.rtd",,$C956 &amp; $D956 &amp; ":" &amp; K$1)</f>
        <v/>
      </c>
      <c r="L956" s="36" t="str">
        <f>RTD("ice.rtd",,$C956 &amp; $D956 &amp; ":" &amp; L$1)</f>
        <v/>
      </c>
      <c r="M956" s="14" t="str">
        <f>IFERROR(MOD(TIMEVALUE(RTD("ice.rtd",,$C956 &amp; $D956 &amp; ":" &amp; M$1)), 1), "")</f>
        <v/>
      </c>
      <c r="N956" s="36">
        <f>RTD("ice.rtd",,$C956 &amp; $D956 &amp; ":" &amp; N$1)</f>
        <v>0</v>
      </c>
      <c r="O956" s="36">
        <f>RTD("ice.rtd",,$C956 &amp; $D956 &amp; ":" &amp; O$1)</f>
        <v>0</v>
      </c>
      <c r="P9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6" s="14" t="str">
        <f>IF(ICE[[#This Row],[LastType]] = "Scrn", ICE[[#This Row],[LstDate]], IF(ICE[[#This Row],[LastType]] = "Blk", ICE[[#This Row],[LstBlkTime]], ""))</f>
        <v/>
      </c>
      <c r="R956" s="41" t="str">
        <f>IF(ICE[[#This Row],[LastType]] = "Scrn", ICE[[#This Row],[LstPrc]], IF(ICE[[#This Row],[LastType]] = "Blk", ICE[[#This Row],[LstBlkPrc]], ""))</f>
        <v/>
      </c>
      <c r="S956" s="36">
        <f>ICE[[#This Row],[Vol]]+ICE[[#This Row],[BlkVol]]</f>
        <v>0</v>
      </c>
      <c r="T956" s="36">
        <f>RTD("ice.rtd",,$C956 &amp; $D956 &amp; ":" &amp; T$1)</f>
        <v>0</v>
      </c>
      <c r="U956" s="18">
        <f>RTD("ice.rtd",,$C956 &amp; $D956 &amp; ":" &amp; U$1)</f>
        <v>21.833000000000002</v>
      </c>
      <c r="V9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6" s="18" t="str">
        <f>IFERROR(IF(LEFT(ICE[[#This Row],[Tenor]], 1) = "B", RTD("esrtd",,$B956 &amp; " " &amp; ICE[[#This Row],[Tenor]] &amp; "-IEU", W$1), RTD("esrtd",,$B956 &amp; " " &amp; VLOOKUP(MONTH(ICE[[#This Row],[Strip]]), MthRef[], 2, 0) &amp; RIGHT(YEAR(ICE[[#This Row],[Strip]]), 2) &amp; "-IEU", W$1)), "")</f>
        <v/>
      </c>
      <c r="X956" s="36"/>
    </row>
    <row r="957" spans="1:24" x14ac:dyDescent="0.25">
      <c r="A957" s="37" t="s">
        <v>435</v>
      </c>
      <c r="B957" s="3" t="str">
        <f>RTD("ice.rtd",,$C957 &amp; $D957 &amp; ":" &amp; B$1)</f>
        <v>FOS</v>
      </c>
      <c r="C957" s="3">
        <v>266</v>
      </c>
      <c r="D957" t="s">
        <v>824</v>
      </c>
      <c r="E957" s="3" t="str">
        <f>RTD("ice.rtd",,$C957 &amp; $D957 &amp; ":" &amp; E$1)</f>
        <v>Cal 29</v>
      </c>
      <c r="F957" s="3" t="str">
        <f>ICE[[#This Row],[Prod]]&amp;ICE[[#This Row],[Strip]]</f>
        <v>hiloCal 29</v>
      </c>
      <c r="G957" s="18" t="str">
        <f>RTD("ice.rtd",,$C957 &amp; $D957 &amp; ":" &amp; G$1)</f>
        <v/>
      </c>
      <c r="H957" s="18" t="str">
        <f>RTD("ice.rtd",,$C957 &amp; $D957 &amp; ":" &amp; H$1)</f>
        <v/>
      </c>
      <c r="I957" s="18" t="str">
        <f>RTD("ice.rtd",,$C957 &amp; $D957 &amp; ":" &amp; I$1)</f>
        <v/>
      </c>
      <c r="J957" s="14" t="str">
        <f>IFERROR(MOD(RTD("ice.rtd",,$C957 &amp; $D957 &amp; ":" &amp; J$1), 1), "")</f>
        <v/>
      </c>
      <c r="K957" s="18" t="str">
        <f>RTD("ice.rtd",,$C957 &amp; $D957 &amp; ":" &amp; K$1)</f>
        <v/>
      </c>
      <c r="L957" s="36" t="str">
        <f>RTD("ice.rtd",,$C957 &amp; $D957 &amp; ":" &amp; L$1)</f>
        <v/>
      </c>
      <c r="M957" s="14" t="str">
        <f>IFERROR(MOD(TIMEVALUE(RTD("ice.rtd",,$C957 &amp; $D957 &amp; ":" &amp; M$1)), 1), "")</f>
        <v/>
      </c>
      <c r="N957" s="36">
        <f>RTD("ice.rtd",,$C957 &amp; $D957 &amp; ":" &amp; N$1)</f>
        <v>0</v>
      </c>
      <c r="O957" s="36">
        <f>RTD("ice.rtd",,$C957 &amp; $D957 &amp; ":" &amp; O$1)</f>
        <v>0</v>
      </c>
      <c r="P9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7" s="14" t="str">
        <f>IF(ICE[[#This Row],[LastType]] = "Scrn", ICE[[#This Row],[LstDate]], IF(ICE[[#This Row],[LastType]] = "Blk", ICE[[#This Row],[LstBlkTime]], ""))</f>
        <v/>
      </c>
      <c r="R957" s="41" t="str">
        <f>IF(ICE[[#This Row],[LastType]] = "Scrn", ICE[[#This Row],[LstPrc]], IF(ICE[[#This Row],[LastType]] = "Blk", ICE[[#This Row],[LstBlkPrc]], ""))</f>
        <v/>
      </c>
      <c r="S957" s="36">
        <f>ICE[[#This Row],[Vol]]+ICE[[#This Row],[BlkVol]]</f>
        <v>0</v>
      </c>
      <c r="T957" s="36">
        <f>RTD("ice.rtd",,$C957 &amp; $D957 &amp; ":" &amp; T$1)</f>
        <v>0</v>
      </c>
      <c r="U957" s="18">
        <f>RTD("ice.rtd",,$C957 &amp; $D957 &amp; ":" &amp; U$1)</f>
        <v>30.75</v>
      </c>
      <c r="V9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7" s="18" t="str">
        <f>IFERROR(IF(LEFT(ICE[[#This Row],[Tenor]], 1) = "B", RTD("esrtd",,$B957 &amp; " " &amp; ICE[[#This Row],[Tenor]] &amp; "-IEU", W$1), RTD("esrtd",,$B957 &amp; " " &amp; VLOOKUP(MONTH(ICE[[#This Row],[Strip]]), MthRef[], 2, 0) &amp; RIGHT(YEAR(ICE[[#This Row],[Strip]]), 2) &amp; "-IEU", W$1)), "")</f>
        <v/>
      </c>
      <c r="X957" s="36"/>
    </row>
    <row r="958" spans="1:24" x14ac:dyDescent="0.25">
      <c r="A958" s="37" t="s">
        <v>436</v>
      </c>
      <c r="B958" s="3" t="str">
        <f>RTD("ice.rtd",,$C958 &amp; $D958 &amp; ":" &amp; B$1)</f>
        <v>STT</v>
      </c>
      <c r="C958" s="3">
        <v>2323325594</v>
      </c>
      <c r="D958" t="s">
        <v>792</v>
      </c>
      <c r="E958" s="3" t="str">
        <f>RTD("ice.rtd",,$C958 &amp; $D958 &amp; ":" &amp; E$1)</f>
        <v>Bal Month</v>
      </c>
      <c r="F958" s="3" t="str">
        <f>ICE[[#This Row],[Prod]]&amp;ICE[[#This Row],[Strip]]</f>
        <v>viscoBal Month</v>
      </c>
      <c r="G958" s="18" t="str">
        <f>RTD("ice.rtd",,$C958 &amp; $D958 &amp; ":" &amp; G$1)</f>
        <v/>
      </c>
      <c r="H958" s="18">
        <f>RTD("ice.rtd",,$C958 &amp; $D958 &amp; ":" &amp; H$1)</f>
        <v>30</v>
      </c>
      <c r="I958" s="18" t="str">
        <f>RTD("ice.rtd",,$C958 &amp; $D958 &amp; ":" &amp; I$1)</f>
        <v/>
      </c>
      <c r="J958" s="14" t="str">
        <f>IFERROR(MOD(RTD("ice.rtd",,$C958 &amp; $D958 &amp; ":" &amp; J$1), 1), "")</f>
        <v/>
      </c>
      <c r="K958" s="18">
        <f>RTD("ice.rtd",,$C958 &amp; $D958 &amp; ":" &amp; K$1)</f>
        <v>8.5</v>
      </c>
      <c r="L958" s="36">
        <f>RTD("ice.rtd",,$C958 &amp; $D958 &amp; ":" &amp; L$1)</f>
        <v>30</v>
      </c>
      <c r="M958" s="14">
        <f>IFERROR(MOD(TIMEVALUE(RTD("ice.rtd",,$C958 &amp; $D958 &amp; ":" &amp; M$1)), 1), "")</f>
        <v>0.37627314814814816</v>
      </c>
      <c r="N958" s="36">
        <f>RTD("ice.rtd",,$C958 &amp; $D958 &amp; ":" &amp; N$1)</f>
        <v>0</v>
      </c>
      <c r="O958" s="36">
        <f>RTD("ice.rtd",,$C958 &amp; $D958 &amp; ":" &amp; O$1)</f>
        <v>30</v>
      </c>
      <c r="P9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958" s="14">
        <f>IF(ICE[[#This Row],[LastType]] = "Scrn", ICE[[#This Row],[LstDate]], IF(ICE[[#This Row],[LastType]] = "Blk", ICE[[#This Row],[LstBlkTime]], ""))</f>
        <v>0.37627314814814816</v>
      </c>
      <c r="R958" s="41">
        <f>IF(ICE[[#This Row],[LastType]] = "Scrn", ICE[[#This Row],[LstPrc]], IF(ICE[[#This Row],[LastType]] = "Blk", ICE[[#This Row],[LstBlkPrc]], ""))</f>
        <v>8.5</v>
      </c>
      <c r="S958" s="36">
        <f>ICE[[#This Row],[Vol]]+ICE[[#This Row],[BlkVol]]</f>
        <v>30</v>
      </c>
      <c r="T958" s="36">
        <f>RTD("ice.rtd",,$C958 &amp; $D958 &amp; ":" &amp; T$1)</f>
        <v>0</v>
      </c>
      <c r="U958" s="18">
        <f>RTD("ice.rtd",,$C958 &amp; $D958 &amp; ":" &amp; U$1)</f>
        <v>8.5140000000000011</v>
      </c>
      <c r="V9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30.00 {8.50} |30x</v>
      </c>
      <c r="W958" s="18" t="str">
        <f>IFERROR(IF(LEFT(ICE[[#This Row],[Tenor]], 1) = "B", RTD("esrtd",,$B958 &amp; " " &amp; ICE[[#This Row],[Tenor]] &amp; "-IEU", W$1), RTD("esrtd",,$B958 &amp; " " &amp; VLOOKUP(MONTH(ICE[[#This Row],[Strip]]), MthRef[], 2, 0) &amp; RIGHT(YEAR(ICE[[#This Row],[Strip]]), 2) &amp; "-IEU", W$1)), "")</f>
        <v/>
      </c>
      <c r="X958" s="36"/>
    </row>
    <row r="959" spans="1:24" x14ac:dyDescent="0.25">
      <c r="A959" s="37" t="s">
        <v>436</v>
      </c>
      <c r="B959" s="3" t="str">
        <f>RTD("ice.rtd",,$C959 &amp; $D959 &amp; ":" &amp; B$1)</f>
        <v>STS</v>
      </c>
      <c r="C959" s="3">
        <v>266419</v>
      </c>
      <c r="D959" t="s">
        <v>793</v>
      </c>
      <c r="E959" s="3" t="str">
        <f>RTD("ice.rtd",,$C959 &amp; $D959 &amp; ":" &amp; E$1)</f>
        <v>Sep26</v>
      </c>
      <c r="F959" s="3" t="str">
        <f>ICE[[#This Row],[Prod]]&amp;ICE[[#This Row],[Strip]]</f>
        <v>viscoSep26</v>
      </c>
      <c r="G959" s="18" t="str">
        <f>RTD("ice.rtd",,$C959 &amp; $D959 &amp; ":" &amp; G$1)</f>
        <v/>
      </c>
      <c r="H959" s="18" t="str">
        <f>RTD("ice.rtd",,$C959 &amp; $D959 &amp; ":" &amp; H$1)</f>
        <v/>
      </c>
      <c r="I959" s="18" t="str">
        <f>RTD("ice.rtd",,$C959 &amp; $D959 &amp; ":" &amp; I$1)</f>
        <v/>
      </c>
      <c r="J959" s="14" t="str">
        <f>IFERROR(MOD(RTD("ice.rtd",,$C959 &amp; $D959 &amp; ":" &amp; J$1), 1), "")</f>
        <v/>
      </c>
      <c r="K959" s="18" t="str">
        <f>RTD("ice.rtd",,$C959 &amp; $D959 &amp; ":" &amp; K$1)</f>
        <v/>
      </c>
      <c r="L959" s="36" t="str">
        <f>RTD("ice.rtd",,$C959 &amp; $D959 &amp; ":" &amp; L$1)</f>
        <v/>
      </c>
      <c r="M959" s="14" t="str">
        <f>IFERROR(MOD(TIMEVALUE(RTD("ice.rtd",,$C959 &amp; $D959 &amp; ":" &amp; M$1)), 1), "")</f>
        <v/>
      </c>
      <c r="N959" s="36">
        <f>RTD("ice.rtd",,$C959 &amp; $D959 &amp; ":" &amp; N$1)</f>
        <v>0</v>
      </c>
      <c r="O959" s="36">
        <f>RTD("ice.rtd",,$C959 &amp; $D959 &amp; ":" &amp; O$1)</f>
        <v>0</v>
      </c>
      <c r="P9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59" s="14" t="str">
        <f>IF(ICE[[#This Row],[LastType]] = "Scrn", ICE[[#This Row],[LstDate]], IF(ICE[[#This Row],[LastType]] = "Blk", ICE[[#This Row],[LstBlkTime]], ""))</f>
        <v/>
      </c>
      <c r="R959" s="41" t="str">
        <f>IF(ICE[[#This Row],[LastType]] = "Scrn", ICE[[#This Row],[LstPrc]], IF(ICE[[#This Row],[LastType]] = "Blk", ICE[[#This Row],[LstBlkPrc]], ""))</f>
        <v/>
      </c>
      <c r="S959" s="36">
        <f>ICE[[#This Row],[Vol]]+ICE[[#This Row],[BlkVol]]</f>
        <v>0</v>
      </c>
      <c r="T959" s="36">
        <f>RTD("ice.rtd",,$C959 &amp; $D959 &amp; ":" &amp; T$1)</f>
        <v>593</v>
      </c>
      <c r="U959" s="18">
        <f>RTD("ice.rtd",,$C959 &amp; $D959 &amp; ":" &amp; U$1)</f>
        <v>8.5140000000000011</v>
      </c>
      <c r="V9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59" s="18" t="str">
        <f>IFERROR(IF(LEFT(ICE[[#This Row],[Tenor]], 1) = "B", RTD("esrtd",,$B959 &amp; " " &amp; ICE[[#This Row],[Tenor]] &amp; "-IEU", W$1), RTD("esrtd",,$B959 &amp; " " &amp; VLOOKUP(MONTH(ICE[[#This Row],[Strip]]), MthRef[], 2, 0) &amp; RIGHT(YEAR(ICE[[#This Row],[Strip]]), 2) &amp; "-IEU", W$1)), "")</f>
        <v/>
      </c>
      <c r="X959" s="36"/>
    </row>
    <row r="960" spans="1:24" x14ac:dyDescent="0.25">
      <c r="A960" s="37" t="s">
        <v>436</v>
      </c>
      <c r="B960" s="3" t="str">
        <f>RTD("ice.rtd",,$C960 &amp; $D960 &amp; ":" &amp; B$1)</f>
        <v>STS</v>
      </c>
      <c r="C960" s="3">
        <v>266419</v>
      </c>
      <c r="D960" t="s">
        <v>324</v>
      </c>
      <c r="E960" s="3" t="str">
        <f>RTD("ice.rtd",,$C960 &amp; $D960 &amp; ":" &amp; E$1)</f>
        <v>Oct26</v>
      </c>
      <c r="F960" s="3" t="str">
        <f>ICE[[#This Row],[Prod]]&amp;ICE[[#This Row],[Strip]]</f>
        <v>viscoOct26</v>
      </c>
      <c r="G960" s="18" t="str">
        <f>RTD("ice.rtd",,$C960 &amp; $D960 &amp; ":" &amp; G$1)</f>
        <v/>
      </c>
      <c r="H960" s="18" t="str">
        <f>RTD("ice.rtd",,$C960 &amp; $D960 &amp; ":" &amp; H$1)</f>
        <v/>
      </c>
      <c r="I960" s="18" t="str">
        <f>RTD("ice.rtd",,$C960 &amp; $D960 &amp; ":" &amp; I$1)</f>
        <v/>
      </c>
      <c r="J960" s="14" t="str">
        <f>IFERROR(MOD(RTD("ice.rtd",,$C960 &amp; $D960 &amp; ":" &amp; J$1), 1), "")</f>
        <v/>
      </c>
      <c r="K960" s="18" t="str">
        <f>RTD("ice.rtd",,$C960 &amp; $D960 &amp; ":" &amp; K$1)</f>
        <v/>
      </c>
      <c r="L960" s="36" t="str">
        <f>RTD("ice.rtd",,$C960 &amp; $D960 &amp; ":" &amp; L$1)</f>
        <v/>
      </c>
      <c r="M960" s="14" t="str">
        <f>IFERROR(MOD(TIMEVALUE(RTD("ice.rtd",,$C960 &amp; $D960 &amp; ":" &amp; M$1)), 1), "")</f>
        <v/>
      </c>
      <c r="N960" s="36">
        <f>RTD("ice.rtd",,$C960 &amp; $D960 &amp; ":" &amp; N$1)</f>
        <v>0</v>
      </c>
      <c r="O960" s="36">
        <f>RTD("ice.rtd",,$C960 &amp; $D960 &amp; ":" &amp; O$1)</f>
        <v>0</v>
      </c>
      <c r="P9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0" s="14" t="str">
        <f>IF(ICE[[#This Row],[LastType]] = "Scrn", ICE[[#This Row],[LstDate]], IF(ICE[[#This Row],[LastType]] = "Blk", ICE[[#This Row],[LstBlkTime]], ""))</f>
        <v/>
      </c>
      <c r="R960" s="41" t="str">
        <f>IF(ICE[[#This Row],[LastType]] = "Scrn", ICE[[#This Row],[LstPrc]], IF(ICE[[#This Row],[LastType]] = "Blk", ICE[[#This Row],[LstBlkPrc]], ""))</f>
        <v/>
      </c>
      <c r="S960" s="36">
        <f>ICE[[#This Row],[Vol]]+ICE[[#This Row],[BlkVol]]</f>
        <v>0</v>
      </c>
      <c r="T960" s="36">
        <f>RTD("ice.rtd",,$C960 &amp; $D960 &amp; ":" &amp; T$1)</f>
        <v>421</v>
      </c>
      <c r="U960" s="18">
        <f>RTD("ice.rtd",,$C960 &amp; $D960 &amp; ":" &amp; U$1)</f>
        <v>7.75</v>
      </c>
      <c r="V9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0" s="18" t="str">
        <f>IFERROR(IF(LEFT(ICE[[#This Row],[Tenor]], 1) = "B", RTD("esrtd",,$B960 &amp; " " &amp; ICE[[#This Row],[Tenor]] &amp; "-IEU", W$1), RTD("esrtd",,$B960 &amp; " " &amp; VLOOKUP(MONTH(ICE[[#This Row],[Strip]]), MthRef[], 2, 0) &amp; RIGHT(YEAR(ICE[[#This Row],[Strip]]), 2) &amp; "-IEU", W$1)), "")</f>
        <v/>
      </c>
      <c r="X960" s="36"/>
    </row>
    <row r="961" spans="1:24" x14ac:dyDescent="0.25">
      <c r="A961" s="37" t="s">
        <v>436</v>
      </c>
      <c r="B961" s="3" t="str">
        <f>RTD("ice.rtd",,$C961 &amp; $D961 &amp; ":" &amp; B$1)</f>
        <v>STS</v>
      </c>
      <c r="C961" s="3">
        <v>266419</v>
      </c>
      <c r="D961" t="s">
        <v>325</v>
      </c>
      <c r="E961" s="3" t="str">
        <f>RTD("ice.rtd",,$C961 &amp; $D961 &amp; ":" &amp; E$1)</f>
        <v>Nov26</v>
      </c>
      <c r="F961" s="3" t="str">
        <f>ICE[[#This Row],[Prod]]&amp;ICE[[#This Row],[Strip]]</f>
        <v>viscoNov26</v>
      </c>
      <c r="G961" s="18" t="str">
        <f>RTD("ice.rtd",,$C961 &amp; $D961 &amp; ":" &amp; G$1)</f>
        <v/>
      </c>
      <c r="H961" s="18" t="str">
        <f>RTD("ice.rtd",,$C961 &amp; $D961 &amp; ":" &amp; H$1)</f>
        <v/>
      </c>
      <c r="I961" s="18" t="str">
        <f>RTD("ice.rtd",,$C961 &amp; $D961 &amp; ":" &amp; I$1)</f>
        <v/>
      </c>
      <c r="J961" s="14" t="str">
        <f>IFERROR(MOD(RTD("ice.rtd",,$C961 &amp; $D961 &amp; ":" &amp; J$1), 1), "")</f>
        <v/>
      </c>
      <c r="K961" s="18" t="str">
        <f>RTD("ice.rtd",,$C961 &amp; $D961 &amp; ":" &amp; K$1)</f>
        <v/>
      </c>
      <c r="L961" s="36" t="str">
        <f>RTD("ice.rtd",,$C961 &amp; $D961 &amp; ":" &amp; L$1)</f>
        <v/>
      </c>
      <c r="M961" s="14" t="str">
        <f>IFERROR(MOD(TIMEVALUE(RTD("ice.rtd",,$C961 &amp; $D961 &amp; ":" &amp; M$1)), 1), "")</f>
        <v/>
      </c>
      <c r="N961" s="36">
        <f>RTD("ice.rtd",,$C961 &amp; $D961 &amp; ":" &amp; N$1)</f>
        <v>0</v>
      </c>
      <c r="O961" s="36">
        <f>RTD("ice.rtd",,$C961 &amp; $D961 &amp; ":" &amp; O$1)</f>
        <v>0</v>
      </c>
      <c r="P9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1" s="14" t="str">
        <f>IF(ICE[[#This Row],[LastType]] = "Scrn", ICE[[#This Row],[LstDate]], IF(ICE[[#This Row],[LastType]] = "Blk", ICE[[#This Row],[LstBlkTime]], ""))</f>
        <v/>
      </c>
      <c r="R961" s="41" t="str">
        <f>IF(ICE[[#This Row],[LastType]] = "Scrn", ICE[[#This Row],[LstPrc]], IF(ICE[[#This Row],[LastType]] = "Blk", ICE[[#This Row],[LstBlkPrc]], ""))</f>
        <v/>
      </c>
      <c r="S961" s="36">
        <f>ICE[[#This Row],[Vol]]+ICE[[#This Row],[BlkVol]]</f>
        <v>0</v>
      </c>
      <c r="T961" s="36">
        <f>RTD("ice.rtd",,$C961 &amp; $D961 &amp; ":" &amp; T$1)</f>
        <v>157</v>
      </c>
      <c r="U961" s="18">
        <f>RTD("ice.rtd",,$C961 &amp; $D961 &amp; ":" &amp; U$1)</f>
        <v>7.75</v>
      </c>
      <c r="V9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1" s="18" t="str">
        <f>IFERROR(IF(LEFT(ICE[[#This Row],[Tenor]], 1) = "B", RTD("esrtd",,$B961 &amp; " " &amp; ICE[[#This Row],[Tenor]] &amp; "-IEU", W$1), RTD("esrtd",,$B961 &amp; " " &amp; VLOOKUP(MONTH(ICE[[#This Row],[Strip]]), MthRef[], 2, 0) &amp; RIGHT(YEAR(ICE[[#This Row],[Strip]]), 2) &amp; "-IEU", W$1)), "")</f>
        <v/>
      </c>
      <c r="X961" s="36"/>
    </row>
    <row r="962" spans="1:24" x14ac:dyDescent="0.25">
      <c r="A962" s="37" t="s">
        <v>436</v>
      </c>
      <c r="B962" s="3" t="str">
        <f>RTD("ice.rtd",,$C962 &amp; $D962 &amp; ":" &amp; B$1)</f>
        <v>STS</v>
      </c>
      <c r="C962" s="3">
        <v>266419</v>
      </c>
      <c r="D962" t="s">
        <v>326</v>
      </c>
      <c r="E962" s="3" t="str">
        <f>RTD("ice.rtd",,$C962 &amp; $D962 &amp; ":" &amp; E$1)</f>
        <v>Dec26</v>
      </c>
      <c r="F962" s="3" t="str">
        <f>ICE[[#This Row],[Prod]]&amp;ICE[[#This Row],[Strip]]</f>
        <v>viscoDec26</v>
      </c>
      <c r="G962" s="18" t="str">
        <f>RTD("ice.rtd",,$C962 &amp; $D962 &amp; ":" &amp; G$1)</f>
        <v/>
      </c>
      <c r="H962" s="18">
        <f>RTD("ice.rtd",,$C962 &amp; $D962 &amp; ":" &amp; H$1)</f>
        <v>8.75</v>
      </c>
      <c r="I962" s="18" t="str">
        <f>RTD("ice.rtd",,$C962 &amp; $D962 &amp; ":" &amp; I$1)</f>
        <v/>
      </c>
      <c r="J962" s="14" t="str">
        <f>IFERROR(MOD(RTD("ice.rtd",,$C962 &amp; $D962 &amp; ":" &amp; J$1), 1), "")</f>
        <v/>
      </c>
      <c r="K962" s="18" t="str">
        <f>RTD("ice.rtd",,$C962 &amp; $D962 &amp; ":" &amp; K$1)</f>
        <v/>
      </c>
      <c r="L962" s="36" t="str">
        <f>RTD("ice.rtd",,$C962 &amp; $D962 &amp; ":" &amp; L$1)</f>
        <v/>
      </c>
      <c r="M962" s="14" t="str">
        <f>IFERROR(MOD(TIMEVALUE(RTD("ice.rtd",,$C962 &amp; $D962 &amp; ":" &amp; M$1)), 1), "")</f>
        <v/>
      </c>
      <c r="N962" s="36">
        <f>RTD("ice.rtd",,$C962 &amp; $D962 &amp; ":" &amp; N$1)</f>
        <v>0</v>
      </c>
      <c r="O962" s="36">
        <f>RTD("ice.rtd",,$C962 &amp; $D962 &amp; ":" &amp; O$1)</f>
        <v>0</v>
      </c>
      <c r="P9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2" s="14" t="str">
        <f>IF(ICE[[#This Row],[LastType]] = "Scrn", ICE[[#This Row],[LstDate]], IF(ICE[[#This Row],[LastType]] = "Blk", ICE[[#This Row],[LstBlkTime]], ""))</f>
        <v/>
      </c>
      <c r="R962" s="41" t="str">
        <f>IF(ICE[[#This Row],[LastType]] = "Scrn", ICE[[#This Row],[LstPrc]], IF(ICE[[#This Row],[LastType]] = "Blk", ICE[[#This Row],[LstBlkPrc]], ""))</f>
        <v/>
      </c>
      <c r="S962" s="36">
        <f>ICE[[#This Row],[Vol]]+ICE[[#This Row],[BlkVol]]</f>
        <v>0</v>
      </c>
      <c r="T962" s="36">
        <f>RTD("ice.rtd",,$C962 &amp; $D962 &amp; ":" &amp; T$1)</f>
        <v>333</v>
      </c>
      <c r="U962" s="18">
        <f>RTD("ice.rtd",,$C962 &amp; $D962 &amp; ":" &amp; U$1)</f>
        <v>7.25</v>
      </c>
      <c r="V9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8.75 </v>
      </c>
      <c r="W962" s="18" t="str">
        <f>IFERROR(IF(LEFT(ICE[[#This Row],[Tenor]], 1) = "B", RTD("esrtd",,$B962 &amp; " " &amp; ICE[[#This Row],[Tenor]] &amp; "-IEU", W$1), RTD("esrtd",,$B962 &amp; " " &amp; VLOOKUP(MONTH(ICE[[#This Row],[Strip]]), MthRef[], 2, 0) &amp; RIGHT(YEAR(ICE[[#This Row],[Strip]]), 2) &amp; "-IEU", W$1)), "")</f>
        <v/>
      </c>
      <c r="X962" s="36"/>
    </row>
    <row r="963" spans="1:24" x14ac:dyDescent="0.25">
      <c r="A963" s="37" t="s">
        <v>436</v>
      </c>
      <c r="B963" s="3" t="str">
        <f>RTD("ice.rtd",,$C963 &amp; $D963 &amp; ":" &amp; B$1)</f>
        <v>STS</v>
      </c>
      <c r="C963" s="3">
        <v>266419</v>
      </c>
      <c r="D963" t="s">
        <v>794</v>
      </c>
      <c r="E963" s="3" t="str">
        <f>RTD("ice.rtd",,$C963 &amp; $D963 &amp; ":" &amp; E$1)</f>
        <v>Jan27</v>
      </c>
      <c r="F963" s="3" t="str">
        <f>ICE[[#This Row],[Prod]]&amp;ICE[[#This Row],[Strip]]</f>
        <v>viscoJan27</v>
      </c>
      <c r="G963" s="18" t="str">
        <f>RTD("ice.rtd",,$C963 &amp; $D963 &amp; ":" &amp; G$1)</f>
        <v/>
      </c>
      <c r="H963" s="18" t="str">
        <f>RTD("ice.rtd",,$C963 &amp; $D963 &amp; ":" &amp; H$1)</f>
        <v/>
      </c>
      <c r="I963" s="18" t="str">
        <f>RTD("ice.rtd",,$C963 &amp; $D963 &amp; ":" &amp; I$1)</f>
        <v/>
      </c>
      <c r="J963" s="14" t="str">
        <f>IFERROR(MOD(RTD("ice.rtd",,$C963 &amp; $D963 &amp; ":" &amp; J$1), 1), "")</f>
        <v/>
      </c>
      <c r="K963" s="18" t="str">
        <f>RTD("ice.rtd",,$C963 &amp; $D963 &amp; ":" &amp; K$1)</f>
        <v/>
      </c>
      <c r="L963" s="36" t="str">
        <f>RTD("ice.rtd",,$C963 &amp; $D963 &amp; ":" &amp; L$1)</f>
        <v/>
      </c>
      <c r="M963" s="14" t="str">
        <f>IFERROR(MOD(TIMEVALUE(RTD("ice.rtd",,$C963 &amp; $D963 &amp; ":" &amp; M$1)), 1), "")</f>
        <v/>
      </c>
      <c r="N963" s="36">
        <f>RTD("ice.rtd",,$C963 &amp; $D963 &amp; ":" &amp; N$1)</f>
        <v>0</v>
      </c>
      <c r="O963" s="36">
        <f>RTD("ice.rtd",,$C963 &amp; $D963 &amp; ":" &amp; O$1)</f>
        <v>0</v>
      </c>
      <c r="P9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3" s="14" t="str">
        <f>IF(ICE[[#This Row],[LastType]] = "Scrn", ICE[[#This Row],[LstDate]], IF(ICE[[#This Row],[LastType]] = "Blk", ICE[[#This Row],[LstBlkTime]], ""))</f>
        <v/>
      </c>
      <c r="R963" s="41" t="str">
        <f>IF(ICE[[#This Row],[LastType]] = "Scrn", ICE[[#This Row],[LstPrc]], IF(ICE[[#This Row],[LastType]] = "Blk", ICE[[#This Row],[LstBlkPrc]], ""))</f>
        <v/>
      </c>
      <c r="S963" s="36">
        <f>ICE[[#This Row],[Vol]]+ICE[[#This Row],[BlkVol]]</f>
        <v>0</v>
      </c>
      <c r="T963" s="36">
        <f>RTD("ice.rtd",,$C963 &amp; $D963 &amp; ":" &amp; T$1)</f>
        <v>37</v>
      </c>
      <c r="U963" s="18">
        <f>RTD("ice.rtd",,$C963 &amp; $D963 &amp; ":" &amp; U$1)</f>
        <v>8.5</v>
      </c>
      <c r="V9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3" s="18" t="str">
        <f>IFERROR(IF(LEFT(ICE[[#This Row],[Tenor]], 1) = "B", RTD("esrtd",,$B963 &amp; " " &amp; ICE[[#This Row],[Tenor]] &amp; "-IEU", W$1), RTD("esrtd",,$B963 &amp; " " &amp; VLOOKUP(MONTH(ICE[[#This Row],[Strip]]), MthRef[], 2, 0) &amp; RIGHT(YEAR(ICE[[#This Row],[Strip]]), 2) &amp; "-IEU", W$1)), "")</f>
        <v/>
      </c>
      <c r="X963" s="36"/>
    </row>
    <row r="964" spans="1:24" x14ac:dyDescent="0.25">
      <c r="A964" s="37" t="s">
        <v>436</v>
      </c>
      <c r="B964" s="3" t="str">
        <f>RTD("ice.rtd",,$C964 &amp; $D964 &amp; ":" &amp; B$1)</f>
        <v>STS</v>
      </c>
      <c r="C964" s="3">
        <v>266419</v>
      </c>
      <c r="D964" t="s">
        <v>795</v>
      </c>
      <c r="E964" s="3" t="str">
        <f>RTD("ice.rtd",,$C964 &amp; $D964 &amp; ":" &amp; E$1)</f>
        <v>Feb27</v>
      </c>
      <c r="F964" s="3" t="str">
        <f>ICE[[#This Row],[Prod]]&amp;ICE[[#This Row],[Strip]]</f>
        <v>viscoFeb27</v>
      </c>
      <c r="G964" s="18" t="str">
        <f>RTD("ice.rtd",,$C964 &amp; $D964 &amp; ":" &amp; G$1)</f>
        <v/>
      </c>
      <c r="H964" s="18" t="str">
        <f>RTD("ice.rtd",,$C964 &amp; $D964 &amp; ":" &amp; H$1)</f>
        <v/>
      </c>
      <c r="I964" s="18" t="str">
        <f>RTD("ice.rtd",,$C964 &amp; $D964 &amp; ":" &amp; I$1)</f>
        <v/>
      </c>
      <c r="J964" s="14" t="str">
        <f>IFERROR(MOD(RTD("ice.rtd",,$C964 &amp; $D964 &amp; ":" &amp; J$1), 1), "")</f>
        <v/>
      </c>
      <c r="K964" s="18" t="str">
        <f>RTD("ice.rtd",,$C964 &amp; $D964 &amp; ":" &amp; K$1)</f>
        <v/>
      </c>
      <c r="L964" s="36" t="str">
        <f>RTD("ice.rtd",,$C964 &amp; $D964 &amp; ":" &amp; L$1)</f>
        <v/>
      </c>
      <c r="M964" s="14" t="str">
        <f>IFERROR(MOD(TIMEVALUE(RTD("ice.rtd",,$C964 &amp; $D964 &amp; ":" &amp; M$1)), 1), "")</f>
        <v/>
      </c>
      <c r="N964" s="36">
        <f>RTD("ice.rtd",,$C964 &amp; $D964 &amp; ":" &amp; N$1)</f>
        <v>0</v>
      </c>
      <c r="O964" s="36">
        <f>RTD("ice.rtd",,$C964 &amp; $D964 &amp; ":" &amp; O$1)</f>
        <v>0</v>
      </c>
      <c r="P9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4" s="14" t="str">
        <f>IF(ICE[[#This Row],[LastType]] = "Scrn", ICE[[#This Row],[LstDate]], IF(ICE[[#This Row],[LastType]] = "Blk", ICE[[#This Row],[LstBlkTime]], ""))</f>
        <v/>
      </c>
      <c r="R964" s="41" t="str">
        <f>IF(ICE[[#This Row],[LastType]] = "Scrn", ICE[[#This Row],[LstPrc]], IF(ICE[[#This Row],[LastType]] = "Blk", ICE[[#This Row],[LstBlkPrc]], ""))</f>
        <v/>
      </c>
      <c r="S964" s="36">
        <f>ICE[[#This Row],[Vol]]+ICE[[#This Row],[BlkVol]]</f>
        <v>0</v>
      </c>
      <c r="T964" s="36">
        <f>RTD("ice.rtd",,$C964 &amp; $D964 &amp; ":" &amp; T$1)</f>
        <v>37</v>
      </c>
      <c r="U964" s="18">
        <f>RTD("ice.rtd",,$C964 &amp; $D964 &amp; ":" &amp; U$1)</f>
        <v>9</v>
      </c>
      <c r="V9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4" s="18" t="str">
        <f>IFERROR(IF(LEFT(ICE[[#This Row],[Tenor]], 1) = "B", RTD("esrtd",,$B964 &amp; " " &amp; ICE[[#This Row],[Tenor]] &amp; "-IEU", W$1), RTD("esrtd",,$B964 &amp; " " &amp; VLOOKUP(MONTH(ICE[[#This Row],[Strip]]), MthRef[], 2, 0) &amp; RIGHT(YEAR(ICE[[#This Row],[Strip]]), 2) &amp; "-IEU", W$1)), "")</f>
        <v/>
      </c>
      <c r="X964" s="36"/>
    </row>
    <row r="965" spans="1:24" x14ac:dyDescent="0.25">
      <c r="A965" s="37" t="s">
        <v>436</v>
      </c>
      <c r="B965" s="3" t="str">
        <f>RTD("ice.rtd",,$C965 &amp; $D965 &amp; ":" &amp; B$1)</f>
        <v>STS</v>
      </c>
      <c r="C965" s="3">
        <v>266419</v>
      </c>
      <c r="D965" t="s">
        <v>113</v>
      </c>
      <c r="E965" s="3" t="str">
        <f>RTD("ice.rtd",,$C965 &amp; $D965 &amp; ":" &amp; E$1)</f>
        <v>Mar27</v>
      </c>
      <c r="F965" s="3" t="str">
        <f>ICE[[#This Row],[Prod]]&amp;ICE[[#This Row],[Strip]]</f>
        <v>viscoMar27</v>
      </c>
      <c r="G965" s="18" t="str">
        <f>RTD("ice.rtd",,$C965 &amp; $D965 &amp; ":" &amp; G$1)</f>
        <v/>
      </c>
      <c r="H965" s="18" t="str">
        <f>RTD("ice.rtd",,$C965 &amp; $D965 &amp; ":" &amp; H$1)</f>
        <v/>
      </c>
      <c r="I965" s="18" t="str">
        <f>RTD("ice.rtd",,$C965 &amp; $D965 &amp; ":" &amp; I$1)</f>
        <v/>
      </c>
      <c r="J965" s="14" t="str">
        <f>IFERROR(MOD(RTD("ice.rtd",,$C965 &amp; $D965 &amp; ":" &amp; J$1), 1), "")</f>
        <v/>
      </c>
      <c r="K965" s="18" t="str">
        <f>RTD("ice.rtd",,$C965 &amp; $D965 &amp; ":" &amp; K$1)</f>
        <v/>
      </c>
      <c r="L965" s="36" t="str">
        <f>RTD("ice.rtd",,$C965 &amp; $D965 &amp; ":" &amp; L$1)</f>
        <v/>
      </c>
      <c r="M965" s="14" t="str">
        <f>IFERROR(MOD(TIMEVALUE(RTD("ice.rtd",,$C965 &amp; $D965 &amp; ":" &amp; M$1)), 1), "")</f>
        <v/>
      </c>
      <c r="N965" s="36">
        <f>RTD("ice.rtd",,$C965 &amp; $D965 &amp; ":" &amp; N$1)</f>
        <v>0</v>
      </c>
      <c r="O965" s="36">
        <f>RTD("ice.rtd",,$C965 &amp; $D965 &amp; ":" &amp; O$1)</f>
        <v>0</v>
      </c>
      <c r="P9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5" s="14" t="str">
        <f>IF(ICE[[#This Row],[LastType]] = "Scrn", ICE[[#This Row],[LstDate]], IF(ICE[[#This Row],[LastType]] = "Blk", ICE[[#This Row],[LstBlkTime]], ""))</f>
        <v/>
      </c>
      <c r="R965" s="41" t="str">
        <f>IF(ICE[[#This Row],[LastType]] = "Scrn", ICE[[#This Row],[LstPrc]], IF(ICE[[#This Row],[LastType]] = "Blk", ICE[[#This Row],[LstBlkPrc]], ""))</f>
        <v/>
      </c>
      <c r="S965" s="36">
        <f>ICE[[#This Row],[Vol]]+ICE[[#This Row],[BlkVol]]</f>
        <v>0</v>
      </c>
      <c r="T965" s="36">
        <f>RTD("ice.rtd",,$C965 &amp; $D965 &amp; ":" &amp; T$1)</f>
        <v>37</v>
      </c>
      <c r="U965" s="18">
        <f>RTD("ice.rtd",,$C965 &amp; $D965 &amp; ":" &amp; U$1)</f>
        <v>9.25</v>
      </c>
      <c r="V9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5" s="18" t="str">
        <f>IFERROR(IF(LEFT(ICE[[#This Row],[Tenor]], 1) = "B", RTD("esrtd",,$B965 &amp; " " &amp; ICE[[#This Row],[Tenor]] &amp; "-IEU", W$1), RTD("esrtd",,$B965 &amp; " " &amp; VLOOKUP(MONTH(ICE[[#This Row],[Strip]]), MthRef[], 2, 0) &amp; RIGHT(YEAR(ICE[[#This Row],[Strip]]), 2) &amp; "-IEU", W$1)), "")</f>
        <v/>
      </c>
      <c r="X965" s="36"/>
    </row>
    <row r="966" spans="1:24" x14ac:dyDescent="0.25">
      <c r="A966" s="37" t="s">
        <v>436</v>
      </c>
      <c r="B966" s="3" t="str">
        <f>RTD("ice.rtd",,$C966 &amp; $D966 &amp; ":" &amp; B$1)</f>
        <v>STS</v>
      </c>
      <c r="C966" s="3">
        <v>266419</v>
      </c>
      <c r="D966" t="s">
        <v>796</v>
      </c>
      <c r="E966" s="3" t="str">
        <f>RTD("ice.rtd",,$C966 &amp; $D966 &amp; ":" &amp; E$1)</f>
        <v>Apr27</v>
      </c>
      <c r="F966" s="3" t="str">
        <f>ICE[[#This Row],[Prod]]&amp;ICE[[#This Row],[Strip]]</f>
        <v>viscoApr27</v>
      </c>
      <c r="G966" s="18" t="str">
        <f>RTD("ice.rtd",,$C966 &amp; $D966 &amp; ":" &amp; G$1)</f>
        <v/>
      </c>
      <c r="H966" s="18" t="str">
        <f>RTD("ice.rtd",,$C966 &amp; $D966 &amp; ":" &amp; H$1)</f>
        <v/>
      </c>
      <c r="I966" s="18" t="str">
        <f>RTD("ice.rtd",,$C966 &amp; $D966 &amp; ":" &amp; I$1)</f>
        <v/>
      </c>
      <c r="J966" s="14" t="str">
        <f>IFERROR(MOD(RTD("ice.rtd",,$C966 &amp; $D966 &amp; ":" &amp; J$1), 1), "")</f>
        <v/>
      </c>
      <c r="K966" s="18" t="str">
        <f>RTD("ice.rtd",,$C966 &amp; $D966 &amp; ":" &amp; K$1)</f>
        <v/>
      </c>
      <c r="L966" s="36" t="str">
        <f>RTD("ice.rtd",,$C966 &amp; $D966 &amp; ":" &amp; L$1)</f>
        <v/>
      </c>
      <c r="M966" s="14" t="str">
        <f>IFERROR(MOD(TIMEVALUE(RTD("ice.rtd",,$C966 &amp; $D966 &amp; ":" &amp; M$1)), 1), "")</f>
        <v/>
      </c>
      <c r="N966" s="36">
        <f>RTD("ice.rtd",,$C966 &amp; $D966 &amp; ":" &amp; N$1)</f>
        <v>0</v>
      </c>
      <c r="O966" s="36">
        <f>RTD("ice.rtd",,$C966 &amp; $D966 &amp; ":" &amp; O$1)</f>
        <v>0</v>
      </c>
      <c r="P9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6" s="14" t="str">
        <f>IF(ICE[[#This Row],[LastType]] = "Scrn", ICE[[#This Row],[LstDate]], IF(ICE[[#This Row],[LastType]] = "Blk", ICE[[#This Row],[LstBlkTime]], ""))</f>
        <v/>
      </c>
      <c r="R966" s="41" t="str">
        <f>IF(ICE[[#This Row],[LastType]] = "Scrn", ICE[[#This Row],[LstPrc]], IF(ICE[[#This Row],[LastType]] = "Blk", ICE[[#This Row],[LstBlkPrc]], ""))</f>
        <v/>
      </c>
      <c r="S966" s="36">
        <f>ICE[[#This Row],[Vol]]+ICE[[#This Row],[BlkVol]]</f>
        <v>0</v>
      </c>
      <c r="T966" s="36">
        <f>RTD("ice.rtd",,$C966 &amp; $D966 &amp; ":" &amp; T$1)</f>
        <v>23</v>
      </c>
      <c r="U966" s="18">
        <f>RTD("ice.rtd",,$C966 &amp; $D966 &amp; ":" &amp; U$1)</f>
        <v>11.25</v>
      </c>
      <c r="V9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6" s="18" t="str">
        <f>IFERROR(IF(LEFT(ICE[[#This Row],[Tenor]], 1) = "B", RTD("esrtd",,$B966 &amp; " " &amp; ICE[[#This Row],[Tenor]] &amp; "-IEU", W$1), RTD("esrtd",,$B966 &amp; " " &amp; VLOOKUP(MONTH(ICE[[#This Row],[Strip]]), MthRef[], 2, 0) &amp; RIGHT(YEAR(ICE[[#This Row],[Strip]]), 2) &amp; "-IEU", W$1)), "")</f>
        <v/>
      </c>
      <c r="X966" s="36"/>
    </row>
    <row r="967" spans="1:24" x14ac:dyDescent="0.25">
      <c r="A967" s="37" t="s">
        <v>436</v>
      </c>
      <c r="B967" s="3" t="str">
        <f>RTD("ice.rtd",,$C967 &amp; $D967 &amp; ":" &amp; B$1)</f>
        <v>STS</v>
      </c>
      <c r="C967" s="3">
        <v>266419</v>
      </c>
      <c r="D967" t="s">
        <v>797</v>
      </c>
      <c r="E967" s="3" t="str">
        <f>RTD("ice.rtd",,$C967 &amp; $D967 &amp; ":" &amp; E$1)</f>
        <v>May27</v>
      </c>
      <c r="F967" s="3" t="str">
        <f>ICE[[#This Row],[Prod]]&amp;ICE[[#This Row],[Strip]]</f>
        <v>viscoMay27</v>
      </c>
      <c r="G967" s="18" t="str">
        <f>RTD("ice.rtd",,$C967 &amp; $D967 &amp; ":" &amp; G$1)</f>
        <v/>
      </c>
      <c r="H967" s="18" t="str">
        <f>RTD("ice.rtd",,$C967 &amp; $D967 &amp; ":" &amp; H$1)</f>
        <v/>
      </c>
      <c r="I967" s="18" t="str">
        <f>RTD("ice.rtd",,$C967 &amp; $D967 &amp; ":" &amp; I$1)</f>
        <v/>
      </c>
      <c r="J967" s="14" t="str">
        <f>IFERROR(MOD(RTD("ice.rtd",,$C967 &amp; $D967 &amp; ":" &amp; J$1), 1), "")</f>
        <v/>
      </c>
      <c r="K967" s="18" t="str">
        <f>RTD("ice.rtd",,$C967 &amp; $D967 &amp; ":" &amp; K$1)</f>
        <v/>
      </c>
      <c r="L967" s="36" t="str">
        <f>RTD("ice.rtd",,$C967 &amp; $D967 &amp; ":" &amp; L$1)</f>
        <v/>
      </c>
      <c r="M967" s="14" t="str">
        <f>IFERROR(MOD(TIMEVALUE(RTD("ice.rtd",,$C967 &amp; $D967 &amp; ":" &amp; M$1)), 1), "")</f>
        <v/>
      </c>
      <c r="N967" s="36">
        <f>RTD("ice.rtd",,$C967 &amp; $D967 &amp; ":" &amp; N$1)</f>
        <v>0</v>
      </c>
      <c r="O967" s="36">
        <f>RTD("ice.rtd",,$C967 &amp; $D967 &amp; ":" &amp; O$1)</f>
        <v>0</v>
      </c>
      <c r="P9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7" s="14" t="str">
        <f>IF(ICE[[#This Row],[LastType]] = "Scrn", ICE[[#This Row],[LstDate]], IF(ICE[[#This Row],[LastType]] = "Blk", ICE[[#This Row],[LstBlkTime]], ""))</f>
        <v/>
      </c>
      <c r="R967" s="41" t="str">
        <f>IF(ICE[[#This Row],[LastType]] = "Scrn", ICE[[#This Row],[LstPrc]], IF(ICE[[#This Row],[LastType]] = "Blk", ICE[[#This Row],[LstBlkPrc]], ""))</f>
        <v/>
      </c>
      <c r="S967" s="36">
        <f>ICE[[#This Row],[Vol]]+ICE[[#This Row],[BlkVol]]</f>
        <v>0</v>
      </c>
      <c r="T967" s="36">
        <f>RTD("ice.rtd",,$C967 &amp; $D967 &amp; ":" &amp; T$1)</f>
        <v>23</v>
      </c>
      <c r="U967" s="18">
        <f>RTD("ice.rtd",,$C967 &amp; $D967 &amp; ":" &amp; U$1)</f>
        <v>11.25</v>
      </c>
      <c r="V9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7" s="18" t="str">
        <f>IFERROR(IF(LEFT(ICE[[#This Row],[Tenor]], 1) = "B", RTD("esrtd",,$B967 &amp; " " &amp; ICE[[#This Row],[Tenor]] &amp; "-IEU", W$1), RTD("esrtd",,$B967 &amp; " " &amp; VLOOKUP(MONTH(ICE[[#This Row],[Strip]]), MthRef[], 2, 0) &amp; RIGHT(YEAR(ICE[[#This Row],[Strip]]), 2) &amp; "-IEU", W$1)), "")</f>
        <v/>
      </c>
      <c r="X967" s="36"/>
    </row>
    <row r="968" spans="1:24" x14ac:dyDescent="0.25">
      <c r="A968" s="37" t="s">
        <v>436</v>
      </c>
      <c r="B968" s="3" t="str">
        <f>RTD("ice.rtd",,$C968 &amp; $D968 &amp; ":" &amp; B$1)</f>
        <v>STS</v>
      </c>
      <c r="C968" s="3">
        <v>266419</v>
      </c>
      <c r="D968" t="s">
        <v>798</v>
      </c>
      <c r="E968" s="3" t="str">
        <f>RTD("ice.rtd",,$C968 &amp; $D968 &amp; ":" &amp; E$1)</f>
        <v>Jun27</v>
      </c>
      <c r="F968" s="3" t="str">
        <f>ICE[[#This Row],[Prod]]&amp;ICE[[#This Row],[Strip]]</f>
        <v>viscoJun27</v>
      </c>
      <c r="G968" s="18" t="str">
        <f>RTD("ice.rtd",,$C968 &amp; $D968 &amp; ":" &amp; G$1)</f>
        <v/>
      </c>
      <c r="H968" s="18" t="str">
        <f>RTD("ice.rtd",,$C968 &amp; $D968 &amp; ":" &amp; H$1)</f>
        <v/>
      </c>
      <c r="I968" s="18" t="str">
        <f>RTD("ice.rtd",,$C968 &amp; $D968 &amp; ":" &amp; I$1)</f>
        <v/>
      </c>
      <c r="J968" s="14" t="str">
        <f>IFERROR(MOD(RTD("ice.rtd",,$C968 &amp; $D968 &amp; ":" &amp; J$1), 1), "")</f>
        <v/>
      </c>
      <c r="K968" s="18" t="str">
        <f>RTD("ice.rtd",,$C968 &amp; $D968 &amp; ":" &amp; K$1)</f>
        <v/>
      </c>
      <c r="L968" s="36" t="str">
        <f>RTD("ice.rtd",,$C968 &amp; $D968 &amp; ":" &amp; L$1)</f>
        <v/>
      </c>
      <c r="M968" s="14" t="str">
        <f>IFERROR(MOD(TIMEVALUE(RTD("ice.rtd",,$C968 &amp; $D968 &amp; ":" &amp; M$1)), 1), "")</f>
        <v/>
      </c>
      <c r="N968" s="36">
        <f>RTD("ice.rtd",,$C968 &amp; $D968 &amp; ":" &amp; N$1)</f>
        <v>0</v>
      </c>
      <c r="O968" s="36">
        <f>RTD("ice.rtd",,$C968 &amp; $D968 &amp; ":" &amp; O$1)</f>
        <v>0</v>
      </c>
      <c r="P9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8" s="14" t="str">
        <f>IF(ICE[[#This Row],[LastType]] = "Scrn", ICE[[#This Row],[LstDate]], IF(ICE[[#This Row],[LastType]] = "Blk", ICE[[#This Row],[LstBlkTime]], ""))</f>
        <v/>
      </c>
      <c r="R968" s="41" t="str">
        <f>IF(ICE[[#This Row],[LastType]] = "Scrn", ICE[[#This Row],[LstPrc]], IF(ICE[[#This Row],[LastType]] = "Blk", ICE[[#This Row],[LstBlkPrc]], ""))</f>
        <v/>
      </c>
      <c r="S968" s="36">
        <f>ICE[[#This Row],[Vol]]+ICE[[#This Row],[BlkVol]]</f>
        <v>0</v>
      </c>
      <c r="T968" s="36">
        <f>RTD("ice.rtd",,$C968 &amp; $D968 &amp; ":" &amp; T$1)</f>
        <v>23</v>
      </c>
      <c r="U968" s="18">
        <f>RTD("ice.rtd",,$C968 &amp; $D968 &amp; ":" &amp; U$1)</f>
        <v>11.25</v>
      </c>
      <c r="V9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8" s="18" t="str">
        <f>IFERROR(IF(LEFT(ICE[[#This Row],[Tenor]], 1) = "B", RTD("esrtd",,$B968 &amp; " " &amp; ICE[[#This Row],[Tenor]] &amp; "-IEU", W$1), RTD("esrtd",,$B968 &amp; " " &amp; VLOOKUP(MONTH(ICE[[#This Row],[Strip]]), MthRef[], 2, 0) &amp; RIGHT(YEAR(ICE[[#This Row],[Strip]]), 2) &amp; "-IEU", W$1)), "")</f>
        <v/>
      </c>
      <c r="X968" s="36"/>
    </row>
    <row r="969" spans="1:24" x14ac:dyDescent="0.25">
      <c r="A969" s="37" t="s">
        <v>436</v>
      </c>
      <c r="B969" s="3" t="str">
        <f>RTD("ice.rtd",,$C969 &amp; $D969 &amp; ":" &amp; B$1)</f>
        <v>STS</v>
      </c>
      <c r="C969" s="3">
        <v>266419</v>
      </c>
      <c r="D969" t="s">
        <v>799</v>
      </c>
      <c r="E969" s="3" t="str">
        <f>RTD("ice.rtd",,$C969 &amp; $D969 &amp; ":" &amp; E$1)</f>
        <v>Jul27</v>
      </c>
      <c r="F969" s="3" t="str">
        <f>ICE[[#This Row],[Prod]]&amp;ICE[[#This Row],[Strip]]</f>
        <v>viscoJul27</v>
      </c>
      <c r="G969" s="18" t="str">
        <f>RTD("ice.rtd",,$C969 &amp; $D969 &amp; ":" &amp; G$1)</f>
        <v/>
      </c>
      <c r="H969" s="18" t="str">
        <f>RTD("ice.rtd",,$C969 &amp; $D969 &amp; ":" &amp; H$1)</f>
        <v/>
      </c>
      <c r="I969" s="18" t="str">
        <f>RTD("ice.rtd",,$C969 &amp; $D969 &amp; ":" &amp; I$1)</f>
        <v/>
      </c>
      <c r="J969" s="14" t="str">
        <f>IFERROR(MOD(RTD("ice.rtd",,$C969 &amp; $D969 &amp; ":" &amp; J$1), 1), "")</f>
        <v/>
      </c>
      <c r="K969" s="18" t="str">
        <f>RTD("ice.rtd",,$C969 &amp; $D969 &amp; ":" &amp; K$1)</f>
        <v/>
      </c>
      <c r="L969" s="36" t="str">
        <f>RTD("ice.rtd",,$C969 &amp; $D969 &amp; ":" &amp; L$1)</f>
        <v/>
      </c>
      <c r="M969" s="14" t="str">
        <f>IFERROR(MOD(TIMEVALUE(RTD("ice.rtd",,$C969 &amp; $D969 &amp; ":" &amp; M$1)), 1), "")</f>
        <v/>
      </c>
      <c r="N969" s="36">
        <f>RTD("ice.rtd",,$C969 &amp; $D969 &amp; ":" &amp; N$1)</f>
        <v>0</v>
      </c>
      <c r="O969" s="36">
        <f>RTD("ice.rtd",,$C969 &amp; $D969 &amp; ":" &amp; O$1)</f>
        <v>0</v>
      </c>
      <c r="P9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69" s="14" t="str">
        <f>IF(ICE[[#This Row],[LastType]] = "Scrn", ICE[[#This Row],[LstDate]], IF(ICE[[#This Row],[LastType]] = "Blk", ICE[[#This Row],[LstBlkTime]], ""))</f>
        <v/>
      </c>
      <c r="R969" s="41" t="str">
        <f>IF(ICE[[#This Row],[LastType]] = "Scrn", ICE[[#This Row],[LstPrc]], IF(ICE[[#This Row],[LastType]] = "Blk", ICE[[#This Row],[LstBlkPrc]], ""))</f>
        <v/>
      </c>
      <c r="S969" s="36">
        <f>ICE[[#This Row],[Vol]]+ICE[[#This Row],[BlkVol]]</f>
        <v>0</v>
      </c>
      <c r="T969" s="36">
        <f>RTD("ice.rtd",,$C969 &amp; $D969 &amp; ":" &amp; T$1)</f>
        <v>16</v>
      </c>
      <c r="U969" s="18">
        <f>RTD("ice.rtd",,$C969 &amp; $D969 &amp; ":" &amp; U$1)</f>
        <v>12</v>
      </c>
      <c r="V9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69" s="18" t="str">
        <f>IFERROR(IF(LEFT(ICE[[#This Row],[Tenor]], 1) = "B", RTD("esrtd",,$B969 &amp; " " &amp; ICE[[#This Row],[Tenor]] &amp; "-IEU", W$1), RTD("esrtd",,$B969 &amp; " " &amp; VLOOKUP(MONTH(ICE[[#This Row],[Strip]]), MthRef[], 2, 0) &amp; RIGHT(YEAR(ICE[[#This Row],[Strip]]), 2) &amp; "-IEU", W$1)), "")</f>
        <v/>
      </c>
      <c r="X969" s="36"/>
    </row>
    <row r="970" spans="1:24" x14ac:dyDescent="0.25">
      <c r="A970" s="37" t="s">
        <v>436</v>
      </c>
      <c r="B970" s="3" t="str">
        <f>RTD("ice.rtd",,$C970 &amp; $D970 &amp; ":" &amp; B$1)</f>
        <v>STS</v>
      </c>
      <c r="C970" s="3">
        <v>266419</v>
      </c>
      <c r="D970" t="s">
        <v>800</v>
      </c>
      <c r="E970" s="3" t="str">
        <f>RTD("ice.rtd",,$C970 &amp; $D970 &amp; ":" &amp; E$1)</f>
        <v>Aug27</v>
      </c>
      <c r="F970" s="3" t="str">
        <f>ICE[[#This Row],[Prod]]&amp;ICE[[#This Row],[Strip]]</f>
        <v>viscoAug27</v>
      </c>
      <c r="G970" s="18" t="str">
        <f>RTD("ice.rtd",,$C970 &amp; $D970 &amp; ":" &amp; G$1)</f>
        <v/>
      </c>
      <c r="H970" s="18" t="str">
        <f>RTD("ice.rtd",,$C970 &amp; $D970 &amp; ":" &amp; H$1)</f>
        <v/>
      </c>
      <c r="I970" s="18" t="str">
        <f>RTD("ice.rtd",,$C970 &amp; $D970 &amp; ":" &amp; I$1)</f>
        <v/>
      </c>
      <c r="J970" s="14" t="str">
        <f>IFERROR(MOD(RTD("ice.rtd",,$C970 &amp; $D970 &amp; ":" &amp; J$1), 1), "")</f>
        <v/>
      </c>
      <c r="K970" s="18" t="str">
        <f>RTD("ice.rtd",,$C970 &amp; $D970 &amp; ":" &amp; K$1)</f>
        <v/>
      </c>
      <c r="L970" s="36" t="str">
        <f>RTD("ice.rtd",,$C970 &amp; $D970 &amp; ":" &amp; L$1)</f>
        <v/>
      </c>
      <c r="M970" s="14" t="str">
        <f>IFERROR(MOD(TIMEVALUE(RTD("ice.rtd",,$C970 &amp; $D970 &amp; ":" &amp; M$1)), 1), "")</f>
        <v/>
      </c>
      <c r="N970" s="36">
        <f>RTD("ice.rtd",,$C970 &amp; $D970 &amp; ":" &amp; N$1)</f>
        <v>0</v>
      </c>
      <c r="O970" s="36">
        <f>RTD("ice.rtd",,$C970 &amp; $D970 &amp; ":" &amp; O$1)</f>
        <v>0</v>
      </c>
      <c r="P9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0" s="14" t="str">
        <f>IF(ICE[[#This Row],[LastType]] = "Scrn", ICE[[#This Row],[LstDate]], IF(ICE[[#This Row],[LastType]] = "Blk", ICE[[#This Row],[LstBlkTime]], ""))</f>
        <v/>
      </c>
      <c r="R970" s="41" t="str">
        <f>IF(ICE[[#This Row],[LastType]] = "Scrn", ICE[[#This Row],[LstPrc]], IF(ICE[[#This Row],[LastType]] = "Blk", ICE[[#This Row],[LstBlkPrc]], ""))</f>
        <v/>
      </c>
      <c r="S970" s="36">
        <f>ICE[[#This Row],[Vol]]+ICE[[#This Row],[BlkVol]]</f>
        <v>0</v>
      </c>
      <c r="T970" s="36">
        <f>RTD("ice.rtd",,$C970 &amp; $D970 &amp; ":" &amp; T$1)</f>
        <v>16</v>
      </c>
      <c r="U970" s="18">
        <f>RTD("ice.rtd",,$C970 &amp; $D970 &amp; ":" &amp; U$1)</f>
        <v>12</v>
      </c>
      <c r="V9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0" s="18" t="str">
        <f>IFERROR(IF(LEFT(ICE[[#This Row],[Tenor]], 1) = "B", RTD("esrtd",,$B970 &amp; " " &amp; ICE[[#This Row],[Tenor]] &amp; "-IEU", W$1), RTD("esrtd",,$B970 &amp; " " &amp; VLOOKUP(MONTH(ICE[[#This Row],[Strip]]), MthRef[], 2, 0) &amp; RIGHT(YEAR(ICE[[#This Row],[Strip]]), 2) &amp; "-IEU", W$1)), "")</f>
        <v/>
      </c>
      <c r="X970" s="36"/>
    </row>
    <row r="971" spans="1:24" x14ac:dyDescent="0.25">
      <c r="A971" s="37" t="s">
        <v>436</v>
      </c>
      <c r="B971" s="3" t="str">
        <f>RTD("ice.rtd",,$C971 &amp; $D971 &amp; ":" &amp; B$1)</f>
        <v>STS</v>
      </c>
      <c r="C971" s="3">
        <v>266419</v>
      </c>
      <c r="D971" t="s">
        <v>801</v>
      </c>
      <c r="E971" s="3" t="str">
        <f>RTD("ice.rtd",,$C971 &amp; $D971 &amp; ":" &amp; E$1)</f>
        <v>Sep27</v>
      </c>
      <c r="F971" s="3" t="str">
        <f>ICE[[#This Row],[Prod]]&amp;ICE[[#This Row],[Strip]]</f>
        <v>viscoSep27</v>
      </c>
      <c r="G971" s="18" t="str">
        <f>RTD("ice.rtd",,$C971 &amp; $D971 &amp; ":" &amp; G$1)</f>
        <v/>
      </c>
      <c r="H971" s="18" t="str">
        <f>RTD("ice.rtd",,$C971 &amp; $D971 &amp; ":" &amp; H$1)</f>
        <v/>
      </c>
      <c r="I971" s="18" t="str">
        <f>RTD("ice.rtd",,$C971 &amp; $D971 &amp; ":" &amp; I$1)</f>
        <v/>
      </c>
      <c r="J971" s="14" t="str">
        <f>IFERROR(MOD(RTD("ice.rtd",,$C971 &amp; $D971 &amp; ":" &amp; J$1), 1), "")</f>
        <v/>
      </c>
      <c r="K971" s="18" t="str">
        <f>RTD("ice.rtd",,$C971 &amp; $D971 &amp; ":" &amp; K$1)</f>
        <v/>
      </c>
      <c r="L971" s="36" t="str">
        <f>RTD("ice.rtd",,$C971 &amp; $D971 &amp; ":" &amp; L$1)</f>
        <v/>
      </c>
      <c r="M971" s="14" t="str">
        <f>IFERROR(MOD(TIMEVALUE(RTD("ice.rtd",,$C971 &amp; $D971 &amp; ":" &amp; M$1)), 1), "")</f>
        <v/>
      </c>
      <c r="N971" s="36">
        <f>RTD("ice.rtd",,$C971 &amp; $D971 &amp; ":" &amp; N$1)</f>
        <v>0</v>
      </c>
      <c r="O971" s="36">
        <f>RTD("ice.rtd",,$C971 &amp; $D971 &amp; ":" &amp; O$1)</f>
        <v>0</v>
      </c>
      <c r="P9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1" s="14" t="str">
        <f>IF(ICE[[#This Row],[LastType]] = "Scrn", ICE[[#This Row],[LstDate]], IF(ICE[[#This Row],[LastType]] = "Blk", ICE[[#This Row],[LstBlkTime]], ""))</f>
        <v/>
      </c>
      <c r="R971" s="41" t="str">
        <f>IF(ICE[[#This Row],[LastType]] = "Scrn", ICE[[#This Row],[LstPrc]], IF(ICE[[#This Row],[LastType]] = "Blk", ICE[[#This Row],[LstBlkPrc]], ""))</f>
        <v/>
      </c>
      <c r="S971" s="36">
        <f>ICE[[#This Row],[Vol]]+ICE[[#This Row],[BlkVol]]</f>
        <v>0</v>
      </c>
      <c r="T971" s="36">
        <f>RTD("ice.rtd",,$C971 &amp; $D971 &amp; ":" &amp; T$1)</f>
        <v>16</v>
      </c>
      <c r="U971" s="18">
        <f>RTD("ice.rtd",,$C971 &amp; $D971 &amp; ":" &amp; U$1)</f>
        <v>12</v>
      </c>
      <c r="V9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1" s="18" t="str">
        <f>IFERROR(IF(LEFT(ICE[[#This Row],[Tenor]], 1) = "B", RTD("esrtd",,$B971 &amp; " " &amp; ICE[[#This Row],[Tenor]] &amp; "-IEU", W$1), RTD("esrtd",,$B971 &amp; " " &amp; VLOOKUP(MONTH(ICE[[#This Row],[Strip]]), MthRef[], 2, 0) &amp; RIGHT(YEAR(ICE[[#This Row],[Strip]]), 2) &amp; "-IEU", W$1)), "")</f>
        <v/>
      </c>
      <c r="X971" s="36"/>
    </row>
    <row r="972" spans="1:24" x14ac:dyDescent="0.25">
      <c r="A972" s="37" t="s">
        <v>436</v>
      </c>
      <c r="B972" s="3" t="str">
        <f>RTD("ice.rtd",,$C972 &amp; $D972 &amp; ":" &amp; B$1)</f>
        <v>STS</v>
      </c>
      <c r="C972" s="3">
        <v>266419</v>
      </c>
      <c r="D972" t="s">
        <v>802</v>
      </c>
      <c r="E972" s="3" t="str">
        <f>RTD("ice.rtd",,$C972 &amp; $D972 &amp; ":" &amp; E$1)</f>
        <v>Oct27</v>
      </c>
      <c r="F972" s="3" t="str">
        <f>ICE[[#This Row],[Prod]]&amp;ICE[[#This Row],[Strip]]</f>
        <v>viscoOct27</v>
      </c>
      <c r="G972" s="18" t="str">
        <f>RTD("ice.rtd",,$C972 &amp; $D972 &amp; ":" &amp; G$1)</f>
        <v/>
      </c>
      <c r="H972" s="18" t="str">
        <f>RTD("ice.rtd",,$C972 &amp; $D972 &amp; ":" &amp; H$1)</f>
        <v/>
      </c>
      <c r="I972" s="18" t="str">
        <f>RTD("ice.rtd",,$C972 &amp; $D972 &amp; ":" &amp; I$1)</f>
        <v/>
      </c>
      <c r="J972" s="14" t="str">
        <f>IFERROR(MOD(RTD("ice.rtd",,$C972 &amp; $D972 &amp; ":" &amp; J$1), 1), "")</f>
        <v/>
      </c>
      <c r="K972" s="18" t="str">
        <f>RTD("ice.rtd",,$C972 &amp; $D972 &amp; ":" &amp; K$1)</f>
        <v/>
      </c>
      <c r="L972" s="36" t="str">
        <f>RTD("ice.rtd",,$C972 &amp; $D972 &amp; ":" &amp; L$1)</f>
        <v/>
      </c>
      <c r="M972" s="14" t="str">
        <f>IFERROR(MOD(TIMEVALUE(RTD("ice.rtd",,$C972 &amp; $D972 &amp; ":" &amp; M$1)), 1), "")</f>
        <v/>
      </c>
      <c r="N972" s="36">
        <f>RTD("ice.rtd",,$C972 &amp; $D972 &amp; ":" &amp; N$1)</f>
        <v>0</v>
      </c>
      <c r="O972" s="36">
        <f>RTD("ice.rtd",,$C972 &amp; $D972 &amp; ":" &amp; O$1)</f>
        <v>0</v>
      </c>
      <c r="P9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2" s="14" t="str">
        <f>IF(ICE[[#This Row],[LastType]] = "Scrn", ICE[[#This Row],[LstDate]], IF(ICE[[#This Row],[LastType]] = "Blk", ICE[[#This Row],[LstBlkTime]], ""))</f>
        <v/>
      </c>
      <c r="R972" s="41" t="str">
        <f>IF(ICE[[#This Row],[LastType]] = "Scrn", ICE[[#This Row],[LstPrc]], IF(ICE[[#This Row],[LastType]] = "Blk", ICE[[#This Row],[LstBlkPrc]], ""))</f>
        <v/>
      </c>
      <c r="S972" s="36">
        <f>ICE[[#This Row],[Vol]]+ICE[[#This Row],[BlkVol]]</f>
        <v>0</v>
      </c>
      <c r="T972" s="36">
        <f>RTD("ice.rtd",,$C972 &amp; $D972 &amp; ":" &amp; T$1)</f>
        <v>16</v>
      </c>
      <c r="U972" s="18">
        <f>RTD("ice.rtd",,$C972 &amp; $D972 &amp; ":" &amp; U$1)</f>
        <v>12</v>
      </c>
      <c r="V9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2" s="18" t="str">
        <f>IFERROR(IF(LEFT(ICE[[#This Row],[Tenor]], 1) = "B", RTD("esrtd",,$B972 &amp; " " &amp; ICE[[#This Row],[Tenor]] &amp; "-IEU", W$1), RTD("esrtd",,$B972 &amp; " " &amp; VLOOKUP(MONTH(ICE[[#This Row],[Strip]]), MthRef[], 2, 0) &amp; RIGHT(YEAR(ICE[[#This Row],[Strip]]), 2) &amp; "-IEU", W$1)), "")</f>
        <v/>
      </c>
      <c r="X972" s="36"/>
    </row>
    <row r="973" spans="1:24" x14ac:dyDescent="0.25">
      <c r="A973" s="37" t="s">
        <v>436</v>
      </c>
      <c r="B973" s="3" t="str">
        <f>RTD("ice.rtd",,$C973 &amp; $D973 &amp; ":" &amp; B$1)</f>
        <v>STS</v>
      </c>
      <c r="C973" s="3">
        <v>266419</v>
      </c>
      <c r="D973" t="s">
        <v>803</v>
      </c>
      <c r="E973" s="3" t="str">
        <f>RTD("ice.rtd",,$C973 &amp; $D973 &amp; ":" &amp; E$1)</f>
        <v>Nov27</v>
      </c>
      <c r="F973" s="3" t="str">
        <f>ICE[[#This Row],[Prod]]&amp;ICE[[#This Row],[Strip]]</f>
        <v>viscoNov27</v>
      </c>
      <c r="G973" s="18" t="str">
        <f>RTD("ice.rtd",,$C973 &amp; $D973 &amp; ":" &amp; G$1)</f>
        <v/>
      </c>
      <c r="H973" s="18" t="str">
        <f>RTD("ice.rtd",,$C973 &amp; $D973 &amp; ":" &amp; H$1)</f>
        <v/>
      </c>
      <c r="I973" s="18" t="str">
        <f>RTD("ice.rtd",,$C973 &amp; $D973 &amp; ":" &amp; I$1)</f>
        <v/>
      </c>
      <c r="J973" s="14" t="str">
        <f>IFERROR(MOD(RTD("ice.rtd",,$C973 &amp; $D973 &amp; ":" &amp; J$1), 1), "")</f>
        <v/>
      </c>
      <c r="K973" s="18" t="str">
        <f>RTD("ice.rtd",,$C973 &amp; $D973 &amp; ":" &amp; K$1)</f>
        <v/>
      </c>
      <c r="L973" s="36" t="str">
        <f>RTD("ice.rtd",,$C973 &amp; $D973 &amp; ":" &amp; L$1)</f>
        <v/>
      </c>
      <c r="M973" s="14" t="str">
        <f>IFERROR(MOD(TIMEVALUE(RTD("ice.rtd",,$C973 &amp; $D973 &amp; ":" &amp; M$1)), 1), "")</f>
        <v/>
      </c>
      <c r="N973" s="36">
        <f>RTD("ice.rtd",,$C973 &amp; $D973 &amp; ":" &amp; N$1)</f>
        <v>0</v>
      </c>
      <c r="O973" s="36">
        <f>RTD("ice.rtd",,$C973 &amp; $D973 &amp; ":" &amp; O$1)</f>
        <v>0</v>
      </c>
      <c r="P9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3" s="14" t="str">
        <f>IF(ICE[[#This Row],[LastType]] = "Scrn", ICE[[#This Row],[LstDate]], IF(ICE[[#This Row],[LastType]] = "Blk", ICE[[#This Row],[LstBlkTime]], ""))</f>
        <v/>
      </c>
      <c r="R973" s="41" t="str">
        <f>IF(ICE[[#This Row],[LastType]] = "Scrn", ICE[[#This Row],[LstPrc]], IF(ICE[[#This Row],[LastType]] = "Blk", ICE[[#This Row],[LstBlkPrc]], ""))</f>
        <v/>
      </c>
      <c r="S973" s="36">
        <f>ICE[[#This Row],[Vol]]+ICE[[#This Row],[BlkVol]]</f>
        <v>0</v>
      </c>
      <c r="T973" s="36">
        <f>RTD("ice.rtd",,$C973 &amp; $D973 &amp; ":" &amp; T$1)</f>
        <v>16</v>
      </c>
      <c r="U973" s="18">
        <f>RTD("ice.rtd",,$C973 &amp; $D973 &amp; ":" &amp; U$1)</f>
        <v>12.25</v>
      </c>
      <c r="V9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3" s="18" t="str">
        <f>IFERROR(IF(LEFT(ICE[[#This Row],[Tenor]], 1) = "B", RTD("esrtd",,$B973 &amp; " " &amp; ICE[[#This Row],[Tenor]] &amp; "-IEU", W$1), RTD("esrtd",,$B973 &amp; " " &amp; VLOOKUP(MONTH(ICE[[#This Row],[Strip]]), MthRef[], 2, 0) &amp; RIGHT(YEAR(ICE[[#This Row],[Strip]]), 2) &amp; "-IEU", W$1)), "")</f>
        <v/>
      </c>
      <c r="X973" s="36"/>
    </row>
    <row r="974" spans="1:24" x14ac:dyDescent="0.25">
      <c r="A974" s="37" t="s">
        <v>436</v>
      </c>
      <c r="B974" s="3" t="str">
        <f>RTD("ice.rtd",,$C974 &amp; $D974 &amp; ":" &amp; B$1)</f>
        <v>STS</v>
      </c>
      <c r="C974" s="3">
        <v>266419</v>
      </c>
      <c r="D974" t="s">
        <v>804</v>
      </c>
      <c r="E974" s="3" t="str">
        <f>RTD("ice.rtd",,$C974 &amp; $D974 &amp; ":" &amp; E$1)</f>
        <v>Dec27</v>
      </c>
      <c r="F974" s="3" t="str">
        <f>ICE[[#This Row],[Prod]]&amp;ICE[[#This Row],[Strip]]</f>
        <v>viscoDec27</v>
      </c>
      <c r="G974" s="18" t="str">
        <f>RTD("ice.rtd",,$C974 &amp; $D974 &amp; ":" &amp; G$1)</f>
        <v/>
      </c>
      <c r="H974" s="18" t="str">
        <f>RTD("ice.rtd",,$C974 &amp; $D974 &amp; ":" &amp; H$1)</f>
        <v/>
      </c>
      <c r="I974" s="18" t="str">
        <f>RTD("ice.rtd",,$C974 &amp; $D974 &amp; ":" &amp; I$1)</f>
        <v/>
      </c>
      <c r="J974" s="14" t="str">
        <f>IFERROR(MOD(RTD("ice.rtd",,$C974 &amp; $D974 &amp; ":" &amp; J$1), 1), "")</f>
        <v/>
      </c>
      <c r="K974" s="18" t="str">
        <f>RTD("ice.rtd",,$C974 &amp; $D974 &amp; ":" &amp; K$1)</f>
        <v/>
      </c>
      <c r="L974" s="36" t="str">
        <f>RTD("ice.rtd",,$C974 &amp; $D974 &amp; ":" &amp; L$1)</f>
        <v/>
      </c>
      <c r="M974" s="14" t="str">
        <f>IFERROR(MOD(TIMEVALUE(RTD("ice.rtd",,$C974 &amp; $D974 &amp; ":" &amp; M$1)), 1), "")</f>
        <v/>
      </c>
      <c r="N974" s="36">
        <f>RTD("ice.rtd",,$C974 &amp; $D974 &amp; ":" &amp; N$1)</f>
        <v>0</v>
      </c>
      <c r="O974" s="36">
        <f>RTD("ice.rtd",,$C974 &amp; $D974 &amp; ":" &amp; O$1)</f>
        <v>0</v>
      </c>
      <c r="P9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4" s="14" t="str">
        <f>IF(ICE[[#This Row],[LastType]] = "Scrn", ICE[[#This Row],[LstDate]], IF(ICE[[#This Row],[LastType]] = "Blk", ICE[[#This Row],[LstBlkTime]], ""))</f>
        <v/>
      </c>
      <c r="R974" s="41" t="str">
        <f>IF(ICE[[#This Row],[LastType]] = "Scrn", ICE[[#This Row],[LstPrc]], IF(ICE[[#This Row],[LastType]] = "Blk", ICE[[#This Row],[LstBlkPrc]], ""))</f>
        <v/>
      </c>
      <c r="S974" s="36">
        <f>ICE[[#This Row],[Vol]]+ICE[[#This Row],[BlkVol]]</f>
        <v>0</v>
      </c>
      <c r="T974" s="36">
        <f>RTD("ice.rtd",,$C974 &amp; $D974 &amp; ":" &amp; T$1)</f>
        <v>16</v>
      </c>
      <c r="U974" s="18">
        <f>RTD("ice.rtd",,$C974 &amp; $D974 &amp; ":" &amp; U$1)</f>
        <v>12.5</v>
      </c>
      <c r="V9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4" s="18" t="str">
        <f>IFERROR(IF(LEFT(ICE[[#This Row],[Tenor]], 1) = "B", RTD("esrtd",,$B974 &amp; " " &amp; ICE[[#This Row],[Tenor]] &amp; "-IEU", W$1), RTD("esrtd",,$B974 &amp; " " &amp; VLOOKUP(MONTH(ICE[[#This Row],[Strip]]), MthRef[], 2, 0) &amp; RIGHT(YEAR(ICE[[#This Row],[Strip]]), 2) &amp; "-IEU", W$1)), "")</f>
        <v/>
      </c>
      <c r="X974" s="36"/>
    </row>
    <row r="975" spans="1:24" x14ac:dyDescent="0.25">
      <c r="A975" s="37" t="s">
        <v>436</v>
      </c>
      <c r="B975" s="3" t="str">
        <f>RTD("ice.rtd",,$C975 &amp; $D975 &amp; ":" &amp; B$1)</f>
        <v>STS</v>
      </c>
      <c r="C975" s="3">
        <v>266419</v>
      </c>
      <c r="D975" t="s">
        <v>805</v>
      </c>
      <c r="E975" s="3" t="str">
        <f>RTD("ice.rtd",,$C975 &amp; $D975 &amp; ":" &amp; E$1)</f>
        <v>Jan28</v>
      </c>
      <c r="F975" s="3" t="str">
        <f>ICE[[#This Row],[Prod]]&amp;ICE[[#This Row],[Strip]]</f>
        <v>viscoJan28</v>
      </c>
      <c r="G975" s="18" t="str">
        <f>RTD("ice.rtd",,$C975 &amp; $D975 &amp; ":" &amp; G$1)</f>
        <v/>
      </c>
      <c r="H975" s="18" t="str">
        <f>RTD("ice.rtd",,$C975 &amp; $D975 &amp; ":" &amp; H$1)</f>
        <v/>
      </c>
      <c r="I975" s="18" t="str">
        <f>RTD("ice.rtd",,$C975 &amp; $D975 &amp; ":" &amp; I$1)</f>
        <v/>
      </c>
      <c r="J975" s="14" t="str">
        <f>IFERROR(MOD(RTD("ice.rtd",,$C975 &amp; $D975 &amp; ":" &amp; J$1), 1), "")</f>
        <v/>
      </c>
      <c r="K975" s="18" t="str">
        <f>RTD("ice.rtd",,$C975 &amp; $D975 &amp; ":" &amp; K$1)</f>
        <v/>
      </c>
      <c r="L975" s="36" t="str">
        <f>RTD("ice.rtd",,$C975 &amp; $D975 &amp; ":" &amp; L$1)</f>
        <v/>
      </c>
      <c r="M975" s="14" t="str">
        <f>IFERROR(MOD(TIMEVALUE(RTD("ice.rtd",,$C975 &amp; $D975 &amp; ":" &amp; M$1)), 1), "")</f>
        <v/>
      </c>
      <c r="N975" s="36">
        <f>RTD("ice.rtd",,$C975 &amp; $D975 &amp; ":" &amp; N$1)</f>
        <v>0</v>
      </c>
      <c r="O975" s="36">
        <f>RTD("ice.rtd",,$C975 &amp; $D975 &amp; ":" &amp; O$1)</f>
        <v>0</v>
      </c>
      <c r="P9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5" s="14" t="str">
        <f>IF(ICE[[#This Row],[LastType]] = "Scrn", ICE[[#This Row],[LstDate]], IF(ICE[[#This Row],[LastType]] = "Blk", ICE[[#This Row],[LstBlkTime]], ""))</f>
        <v/>
      </c>
      <c r="R975" s="41" t="str">
        <f>IF(ICE[[#This Row],[LastType]] = "Scrn", ICE[[#This Row],[LstPrc]], IF(ICE[[#This Row],[LastType]] = "Blk", ICE[[#This Row],[LstBlkPrc]], ""))</f>
        <v/>
      </c>
      <c r="S975" s="36">
        <f>ICE[[#This Row],[Vol]]+ICE[[#This Row],[BlkVol]]</f>
        <v>0</v>
      </c>
      <c r="T975" s="36">
        <f>RTD("ice.rtd",,$C975 &amp; $D975 &amp; ":" &amp; T$1)</f>
        <v>0</v>
      </c>
      <c r="U975" s="18">
        <f>RTD("ice.rtd",,$C975 &amp; $D975 &amp; ":" &amp; U$1)</f>
        <v>11.75</v>
      </c>
      <c r="V9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5" s="18" t="str">
        <f>IFERROR(IF(LEFT(ICE[[#This Row],[Tenor]], 1) = "B", RTD("esrtd",,$B975 &amp; " " &amp; ICE[[#This Row],[Tenor]] &amp; "-IEU", W$1), RTD("esrtd",,$B975 &amp; " " &amp; VLOOKUP(MONTH(ICE[[#This Row],[Strip]]), MthRef[], 2, 0) &amp; RIGHT(YEAR(ICE[[#This Row],[Strip]]), 2) &amp; "-IEU", W$1)), "")</f>
        <v/>
      </c>
      <c r="X975" s="36"/>
    </row>
    <row r="976" spans="1:24" x14ac:dyDescent="0.25">
      <c r="A976" s="37" t="s">
        <v>436</v>
      </c>
      <c r="B976" s="3" t="str">
        <f>RTD("ice.rtd",,$C976 &amp; $D976 &amp; ":" &amp; B$1)</f>
        <v>STS</v>
      </c>
      <c r="C976" s="3">
        <v>266419</v>
      </c>
      <c r="D976" t="s">
        <v>806</v>
      </c>
      <c r="E976" s="3" t="str">
        <f>RTD("ice.rtd",,$C976 &amp; $D976 &amp; ":" &amp; E$1)</f>
        <v>Feb28</v>
      </c>
      <c r="F976" s="3" t="str">
        <f>ICE[[#This Row],[Prod]]&amp;ICE[[#This Row],[Strip]]</f>
        <v>viscoFeb28</v>
      </c>
      <c r="G976" s="18" t="str">
        <f>RTD("ice.rtd",,$C976 &amp; $D976 &amp; ":" &amp; G$1)</f>
        <v/>
      </c>
      <c r="H976" s="18" t="str">
        <f>RTD("ice.rtd",,$C976 &amp; $D976 &amp; ":" &amp; H$1)</f>
        <v/>
      </c>
      <c r="I976" s="18" t="str">
        <f>RTD("ice.rtd",,$C976 &amp; $D976 &amp; ":" &amp; I$1)</f>
        <v/>
      </c>
      <c r="J976" s="14" t="str">
        <f>IFERROR(MOD(RTD("ice.rtd",,$C976 &amp; $D976 &amp; ":" &amp; J$1), 1), "")</f>
        <v/>
      </c>
      <c r="K976" s="18" t="str">
        <f>RTD("ice.rtd",,$C976 &amp; $D976 &amp; ":" &amp; K$1)</f>
        <v/>
      </c>
      <c r="L976" s="36" t="str">
        <f>RTD("ice.rtd",,$C976 &amp; $D976 &amp; ":" &amp; L$1)</f>
        <v/>
      </c>
      <c r="M976" s="14" t="str">
        <f>IFERROR(MOD(TIMEVALUE(RTD("ice.rtd",,$C976 &amp; $D976 &amp; ":" &amp; M$1)), 1), "")</f>
        <v/>
      </c>
      <c r="N976" s="36">
        <f>RTD("ice.rtd",,$C976 &amp; $D976 &amp; ":" &amp; N$1)</f>
        <v>0</v>
      </c>
      <c r="O976" s="36">
        <f>RTD("ice.rtd",,$C976 &amp; $D976 &amp; ":" &amp; O$1)</f>
        <v>0</v>
      </c>
      <c r="P9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6" s="14" t="str">
        <f>IF(ICE[[#This Row],[LastType]] = "Scrn", ICE[[#This Row],[LstDate]], IF(ICE[[#This Row],[LastType]] = "Blk", ICE[[#This Row],[LstBlkTime]], ""))</f>
        <v/>
      </c>
      <c r="R976" s="41" t="str">
        <f>IF(ICE[[#This Row],[LastType]] = "Scrn", ICE[[#This Row],[LstPrc]], IF(ICE[[#This Row],[LastType]] = "Blk", ICE[[#This Row],[LstBlkPrc]], ""))</f>
        <v/>
      </c>
      <c r="S976" s="36">
        <f>ICE[[#This Row],[Vol]]+ICE[[#This Row],[BlkVol]]</f>
        <v>0</v>
      </c>
      <c r="T976" s="36">
        <f>RTD("ice.rtd",,$C976 &amp; $D976 &amp; ":" &amp; T$1)</f>
        <v>0</v>
      </c>
      <c r="U976" s="18">
        <f>RTD("ice.rtd",,$C976 &amp; $D976 &amp; ":" &amp; U$1)</f>
        <v>12.75</v>
      </c>
      <c r="V9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6" s="18" t="str">
        <f>IFERROR(IF(LEFT(ICE[[#This Row],[Tenor]], 1) = "B", RTD("esrtd",,$B976 &amp; " " &amp; ICE[[#This Row],[Tenor]] &amp; "-IEU", W$1), RTD("esrtd",,$B976 &amp; " " &amp; VLOOKUP(MONTH(ICE[[#This Row],[Strip]]), MthRef[], 2, 0) &amp; RIGHT(YEAR(ICE[[#This Row],[Strip]]), 2) &amp; "-IEU", W$1)), "")</f>
        <v/>
      </c>
      <c r="X976" s="36"/>
    </row>
    <row r="977" spans="1:24" x14ac:dyDescent="0.25">
      <c r="A977" s="37" t="s">
        <v>436</v>
      </c>
      <c r="B977" s="3" t="str">
        <f>RTD("ice.rtd",,$C977 &amp; $D977 &amp; ":" &amp; B$1)</f>
        <v>STS</v>
      </c>
      <c r="C977" s="3">
        <v>266419</v>
      </c>
      <c r="D977" t="s">
        <v>807</v>
      </c>
      <c r="E977" s="3" t="str">
        <f>RTD("ice.rtd",,$C977 &amp; $D977 &amp; ":" &amp; E$1)</f>
        <v>Mar28</v>
      </c>
      <c r="F977" s="3" t="str">
        <f>ICE[[#This Row],[Prod]]&amp;ICE[[#This Row],[Strip]]</f>
        <v>viscoMar28</v>
      </c>
      <c r="G977" s="18" t="str">
        <f>RTD("ice.rtd",,$C977 &amp; $D977 &amp; ":" &amp; G$1)</f>
        <v/>
      </c>
      <c r="H977" s="18" t="str">
        <f>RTD("ice.rtd",,$C977 &amp; $D977 &amp; ":" &amp; H$1)</f>
        <v/>
      </c>
      <c r="I977" s="18" t="str">
        <f>RTD("ice.rtd",,$C977 &amp; $D977 &amp; ":" &amp; I$1)</f>
        <v/>
      </c>
      <c r="J977" s="14" t="str">
        <f>IFERROR(MOD(RTD("ice.rtd",,$C977 &amp; $D977 &amp; ":" &amp; J$1), 1), "")</f>
        <v/>
      </c>
      <c r="K977" s="18" t="str">
        <f>RTD("ice.rtd",,$C977 &amp; $D977 &amp; ":" &amp; K$1)</f>
        <v/>
      </c>
      <c r="L977" s="36" t="str">
        <f>RTD("ice.rtd",,$C977 &amp; $D977 &amp; ":" &amp; L$1)</f>
        <v/>
      </c>
      <c r="M977" s="14" t="str">
        <f>IFERROR(MOD(TIMEVALUE(RTD("ice.rtd",,$C977 &amp; $D977 &amp; ":" &amp; M$1)), 1), "")</f>
        <v/>
      </c>
      <c r="N977" s="36">
        <f>RTD("ice.rtd",,$C977 &amp; $D977 &amp; ":" &amp; N$1)</f>
        <v>0</v>
      </c>
      <c r="O977" s="36">
        <f>RTD("ice.rtd",,$C977 &amp; $D977 &amp; ":" &amp; O$1)</f>
        <v>0</v>
      </c>
      <c r="P9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7" s="14" t="str">
        <f>IF(ICE[[#This Row],[LastType]] = "Scrn", ICE[[#This Row],[LstDate]], IF(ICE[[#This Row],[LastType]] = "Blk", ICE[[#This Row],[LstBlkTime]], ""))</f>
        <v/>
      </c>
      <c r="R977" s="41" t="str">
        <f>IF(ICE[[#This Row],[LastType]] = "Scrn", ICE[[#This Row],[LstPrc]], IF(ICE[[#This Row],[LastType]] = "Blk", ICE[[#This Row],[LstBlkPrc]], ""))</f>
        <v/>
      </c>
      <c r="S977" s="36">
        <f>ICE[[#This Row],[Vol]]+ICE[[#This Row],[BlkVol]]</f>
        <v>0</v>
      </c>
      <c r="T977" s="36">
        <f>RTD("ice.rtd",,$C977 &amp; $D977 &amp; ":" &amp; T$1)</f>
        <v>0</v>
      </c>
      <c r="U977" s="18">
        <f>RTD("ice.rtd",,$C977 &amp; $D977 &amp; ":" &amp; U$1)</f>
        <v>12.75</v>
      </c>
      <c r="V9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7" s="18" t="str">
        <f>IFERROR(IF(LEFT(ICE[[#This Row],[Tenor]], 1) = "B", RTD("esrtd",,$B977 &amp; " " &amp; ICE[[#This Row],[Tenor]] &amp; "-IEU", W$1), RTD("esrtd",,$B977 &amp; " " &amp; VLOOKUP(MONTH(ICE[[#This Row],[Strip]]), MthRef[], 2, 0) &amp; RIGHT(YEAR(ICE[[#This Row],[Strip]]), 2) &amp; "-IEU", W$1)), "")</f>
        <v/>
      </c>
      <c r="X977" s="36"/>
    </row>
    <row r="978" spans="1:24" x14ac:dyDescent="0.25">
      <c r="A978" s="37" t="s">
        <v>436</v>
      </c>
      <c r="B978" s="3" t="str">
        <f>RTD("ice.rtd",,$C978 &amp; $D978 &amp; ":" &amp; B$1)</f>
        <v>STS</v>
      </c>
      <c r="C978" s="3">
        <v>266419</v>
      </c>
      <c r="D978" t="s">
        <v>808</v>
      </c>
      <c r="E978" s="3" t="str">
        <f>RTD("ice.rtd",,$C978 &amp; $D978 &amp; ":" &amp; E$1)</f>
        <v>Apr28</v>
      </c>
      <c r="F978" s="3" t="str">
        <f>ICE[[#This Row],[Prod]]&amp;ICE[[#This Row],[Strip]]</f>
        <v>viscoApr28</v>
      </c>
      <c r="G978" s="18" t="str">
        <f>RTD("ice.rtd",,$C978 &amp; $D978 &amp; ":" &amp; G$1)</f>
        <v/>
      </c>
      <c r="H978" s="18" t="str">
        <f>RTD("ice.rtd",,$C978 &amp; $D978 &amp; ":" &amp; H$1)</f>
        <v/>
      </c>
      <c r="I978" s="18" t="str">
        <f>RTD("ice.rtd",,$C978 &amp; $D978 &amp; ":" &amp; I$1)</f>
        <v/>
      </c>
      <c r="J978" s="14" t="str">
        <f>IFERROR(MOD(RTD("ice.rtd",,$C978 &amp; $D978 &amp; ":" &amp; J$1), 1), "")</f>
        <v/>
      </c>
      <c r="K978" s="18" t="str">
        <f>RTD("ice.rtd",,$C978 &amp; $D978 &amp; ":" &amp; K$1)</f>
        <v/>
      </c>
      <c r="L978" s="36" t="str">
        <f>RTD("ice.rtd",,$C978 &amp; $D978 &amp; ":" &amp; L$1)</f>
        <v/>
      </c>
      <c r="M978" s="14" t="str">
        <f>IFERROR(MOD(TIMEVALUE(RTD("ice.rtd",,$C978 &amp; $D978 &amp; ":" &amp; M$1)), 1), "")</f>
        <v/>
      </c>
      <c r="N978" s="36">
        <f>RTD("ice.rtd",,$C978 &amp; $D978 &amp; ":" &amp; N$1)</f>
        <v>0</v>
      </c>
      <c r="O978" s="36">
        <f>RTD("ice.rtd",,$C978 &amp; $D978 &amp; ":" &amp; O$1)</f>
        <v>0</v>
      </c>
      <c r="P9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8" s="14" t="str">
        <f>IF(ICE[[#This Row],[LastType]] = "Scrn", ICE[[#This Row],[LstDate]], IF(ICE[[#This Row],[LastType]] = "Blk", ICE[[#This Row],[LstBlkTime]], ""))</f>
        <v/>
      </c>
      <c r="R978" s="41" t="str">
        <f>IF(ICE[[#This Row],[LastType]] = "Scrn", ICE[[#This Row],[LstPrc]], IF(ICE[[#This Row],[LastType]] = "Blk", ICE[[#This Row],[LstBlkPrc]], ""))</f>
        <v/>
      </c>
      <c r="S978" s="36">
        <f>ICE[[#This Row],[Vol]]+ICE[[#This Row],[BlkVol]]</f>
        <v>0</v>
      </c>
      <c r="T978" s="36">
        <f>RTD("ice.rtd",,$C978 &amp; $D978 &amp; ":" &amp; T$1)</f>
        <v>0</v>
      </c>
      <c r="U978" s="18">
        <f>RTD("ice.rtd",,$C978 &amp; $D978 &amp; ":" &amp; U$1)</f>
        <v>12.5</v>
      </c>
      <c r="V9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8" s="18" t="str">
        <f>IFERROR(IF(LEFT(ICE[[#This Row],[Tenor]], 1) = "B", RTD("esrtd",,$B978 &amp; " " &amp; ICE[[#This Row],[Tenor]] &amp; "-IEU", W$1), RTD("esrtd",,$B978 &amp; " " &amp; VLOOKUP(MONTH(ICE[[#This Row],[Strip]]), MthRef[], 2, 0) &amp; RIGHT(YEAR(ICE[[#This Row],[Strip]]), 2) &amp; "-IEU", W$1)), "")</f>
        <v/>
      </c>
      <c r="X978" s="36"/>
    </row>
    <row r="979" spans="1:24" x14ac:dyDescent="0.25">
      <c r="A979" s="37" t="s">
        <v>436</v>
      </c>
      <c r="B979" s="3" t="str">
        <f>RTD("ice.rtd",,$C979 &amp; $D979 &amp; ":" &amp; B$1)</f>
        <v>STS</v>
      </c>
      <c r="C979" s="3">
        <v>266419</v>
      </c>
      <c r="D979" t="s">
        <v>809</v>
      </c>
      <c r="E979" s="3" t="str">
        <f>RTD("ice.rtd",,$C979 &amp; $D979 &amp; ":" &amp; E$1)</f>
        <v>May28</v>
      </c>
      <c r="F979" s="3" t="str">
        <f>ICE[[#This Row],[Prod]]&amp;ICE[[#This Row],[Strip]]</f>
        <v>viscoMay28</v>
      </c>
      <c r="G979" s="18" t="str">
        <f>RTD("ice.rtd",,$C979 &amp; $D979 &amp; ":" &amp; G$1)</f>
        <v/>
      </c>
      <c r="H979" s="18" t="str">
        <f>RTD("ice.rtd",,$C979 &amp; $D979 &amp; ":" &amp; H$1)</f>
        <v/>
      </c>
      <c r="I979" s="18" t="str">
        <f>RTD("ice.rtd",,$C979 &amp; $D979 &amp; ":" &amp; I$1)</f>
        <v/>
      </c>
      <c r="J979" s="14" t="str">
        <f>IFERROR(MOD(RTD("ice.rtd",,$C979 &amp; $D979 &amp; ":" &amp; J$1), 1), "")</f>
        <v/>
      </c>
      <c r="K979" s="18" t="str">
        <f>RTD("ice.rtd",,$C979 &amp; $D979 &amp; ":" &amp; K$1)</f>
        <v/>
      </c>
      <c r="L979" s="36" t="str">
        <f>RTD("ice.rtd",,$C979 &amp; $D979 &amp; ":" &amp; L$1)</f>
        <v/>
      </c>
      <c r="M979" s="14" t="str">
        <f>IFERROR(MOD(TIMEVALUE(RTD("ice.rtd",,$C979 &amp; $D979 &amp; ":" &amp; M$1)), 1), "")</f>
        <v/>
      </c>
      <c r="N979" s="36">
        <f>RTD("ice.rtd",,$C979 &amp; $D979 &amp; ":" &amp; N$1)</f>
        <v>0</v>
      </c>
      <c r="O979" s="36">
        <f>RTD("ice.rtd",,$C979 &amp; $D979 &amp; ":" &amp; O$1)</f>
        <v>0</v>
      </c>
      <c r="P9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79" s="14" t="str">
        <f>IF(ICE[[#This Row],[LastType]] = "Scrn", ICE[[#This Row],[LstDate]], IF(ICE[[#This Row],[LastType]] = "Blk", ICE[[#This Row],[LstBlkTime]], ""))</f>
        <v/>
      </c>
      <c r="R979" s="41" t="str">
        <f>IF(ICE[[#This Row],[LastType]] = "Scrn", ICE[[#This Row],[LstPrc]], IF(ICE[[#This Row],[LastType]] = "Blk", ICE[[#This Row],[LstBlkPrc]], ""))</f>
        <v/>
      </c>
      <c r="S979" s="36">
        <f>ICE[[#This Row],[Vol]]+ICE[[#This Row],[BlkVol]]</f>
        <v>0</v>
      </c>
      <c r="T979" s="36">
        <f>RTD("ice.rtd",,$C979 &amp; $D979 &amp; ":" &amp; T$1)</f>
        <v>0</v>
      </c>
      <c r="U979" s="18">
        <f>RTD("ice.rtd",,$C979 &amp; $D979 &amp; ":" &amp; U$1)</f>
        <v>12.5</v>
      </c>
      <c r="V9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79" s="18" t="str">
        <f>IFERROR(IF(LEFT(ICE[[#This Row],[Tenor]], 1) = "B", RTD("esrtd",,$B979 &amp; " " &amp; ICE[[#This Row],[Tenor]] &amp; "-IEU", W$1), RTD("esrtd",,$B979 &amp; " " &amp; VLOOKUP(MONTH(ICE[[#This Row],[Strip]]), MthRef[], 2, 0) &amp; RIGHT(YEAR(ICE[[#This Row],[Strip]]), 2) &amp; "-IEU", W$1)), "")</f>
        <v/>
      </c>
      <c r="X979" s="36"/>
    </row>
    <row r="980" spans="1:24" x14ac:dyDescent="0.25">
      <c r="A980" s="37" t="s">
        <v>436</v>
      </c>
      <c r="B980" s="3" t="str">
        <f>RTD("ice.rtd",,$C980 &amp; $D980 &amp; ":" &amp; B$1)</f>
        <v>STS</v>
      </c>
      <c r="C980" s="3">
        <v>266419</v>
      </c>
      <c r="D980" t="s">
        <v>810</v>
      </c>
      <c r="E980" s="3" t="str">
        <f>RTD("ice.rtd",,$C980 &amp; $D980 &amp; ":" &amp; E$1)</f>
        <v>Jun28</v>
      </c>
      <c r="F980" s="3" t="str">
        <f>ICE[[#This Row],[Prod]]&amp;ICE[[#This Row],[Strip]]</f>
        <v>viscoJun28</v>
      </c>
      <c r="G980" s="18" t="str">
        <f>RTD("ice.rtd",,$C980 &amp; $D980 &amp; ":" &amp; G$1)</f>
        <v/>
      </c>
      <c r="H980" s="18" t="str">
        <f>RTD("ice.rtd",,$C980 &amp; $D980 &amp; ":" &amp; H$1)</f>
        <v/>
      </c>
      <c r="I980" s="18" t="str">
        <f>RTD("ice.rtd",,$C980 &amp; $D980 &amp; ":" &amp; I$1)</f>
        <v/>
      </c>
      <c r="J980" s="14" t="str">
        <f>IFERROR(MOD(RTD("ice.rtd",,$C980 &amp; $D980 &amp; ":" &amp; J$1), 1), "")</f>
        <v/>
      </c>
      <c r="K980" s="18" t="str">
        <f>RTD("ice.rtd",,$C980 &amp; $D980 &amp; ":" &amp; K$1)</f>
        <v/>
      </c>
      <c r="L980" s="36" t="str">
        <f>RTD("ice.rtd",,$C980 &amp; $D980 &amp; ":" &amp; L$1)</f>
        <v/>
      </c>
      <c r="M980" s="14" t="str">
        <f>IFERROR(MOD(TIMEVALUE(RTD("ice.rtd",,$C980 &amp; $D980 &amp; ":" &amp; M$1)), 1), "")</f>
        <v/>
      </c>
      <c r="N980" s="36">
        <f>RTD("ice.rtd",,$C980 &amp; $D980 &amp; ":" &amp; N$1)</f>
        <v>0</v>
      </c>
      <c r="O980" s="36">
        <f>RTD("ice.rtd",,$C980 &amp; $D980 &amp; ":" &amp; O$1)</f>
        <v>0</v>
      </c>
      <c r="P9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0" s="14" t="str">
        <f>IF(ICE[[#This Row],[LastType]] = "Scrn", ICE[[#This Row],[LstDate]], IF(ICE[[#This Row],[LastType]] = "Blk", ICE[[#This Row],[LstBlkTime]], ""))</f>
        <v/>
      </c>
      <c r="R980" s="41" t="str">
        <f>IF(ICE[[#This Row],[LastType]] = "Scrn", ICE[[#This Row],[LstPrc]], IF(ICE[[#This Row],[LastType]] = "Blk", ICE[[#This Row],[LstBlkPrc]], ""))</f>
        <v/>
      </c>
      <c r="S980" s="36">
        <f>ICE[[#This Row],[Vol]]+ICE[[#This Row],[BlkVol]]</f>
        <v>0</v>
      </c>
      <c r="T980" s="36">
        <f>RTD("ice.rtd",,$C980 &amp; $D980 &amp; ":" &amp; T$1)</f>
        <v>0</v>
      </c>
      <c r="U980" s="18">
        <f>RTD("ice.rtd",,$C980 &amp; $D980 &amp; ":" &amp; U$1)</f>
        <v>12.5</v>
      </c>
      <c r="V9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0" s="18" t="str">
        <f>IFERROR(IF(LEFT(ICE[[#This Row],[Tenor]], 1) = "B", RTD("esrtd",,$B980 &amp; " " &amp; ICE[[#This Row],[Tenor]] &amp; "-IEU", W$1), RTD("esrtd",,$B980 &amp; " " &amp; VLOOKUP(MONTH(ICE[[#This Row],[Strip]]), MthRef[], 2, 0) &amp; RIGHT(YEAR(ICE[[#This Row],[Strip]]), 2) &amp; "-IEU", W$1)), "")</f>
        <v/>
      </c>
      <c r="X980" s="36"/>
    </row>
    <row r="981" spans="1:24" x14ac:dyDescent="0.25">
      <c r="A981" s="37" t="s">
        <v>436</v>
      </c>
      <c r="B981" s="3" t="str">
        <f>RTD("ice.rtd",,$C981 &amp; $D981 &amp; ":" &amp; B$1)</f>
        <v>STS</v>
      </c>
      <c r="C981" s="3">
        <v>266419</v>
      </c>
      <c r="D981" t="s">
        <v>811</v>
      </c>
      <c r="E981" s="3" t="str">
        <f>RTD("ice.rtd",,$C981 &amp; $D981 &amp; ":" &amp; E$1)</f>
        <v>Jul28</v>
      </c>
      <c r="F981" s="3" t="str">
        <f>ICE[[#This Row],[Prod]]&amp;ICE[[#This Row],[Strip]]</f>
        <v>viscoJul28</v>
      </c>
      <c r="G981" s="18" t="str">
        <f>RTD("ice.rtd",,$C981 &amp; $D981 &amp; ":" &amp; G$1)</f>
        <v/>
      </c>
      <c r="H981" s="18" t="str">
        <f>RTD("ice.rtd",,$C981 &amp; $D981 &amp; ":" &amp; H$1)</f>
        <v/>
      </c>
      <c r="I981" s="18" t="str">
        <f>RTD("ice.rtd",,$C981 &amp; $D981 &amp; ":" &amp; I$1)</f>
        <v/>
      </c>
      <c r="J981" s="14" t="str">
        <f>IFERROR(MOD(RTD("ice.rtd",,$C981 &amp; $D981 &amp; ":" &amp; J$1), 1), "")</f>
        <v/>
      </c>
      <c r="K981" s="18" t="str">
        <f>RTD("ice.rtd",,$C981 &amp; $D981 &amp; ":" &amp; K$1)</f>
        <v/>
      </c>
      <c r="L981" s="36" t="str">
        <f>RTD("ice.rtd",,$C981 &amp; $D981 &amp; ":" &amp; L$1)</f>
        <v/>
      </c>
      <c r="M981" s="14" t="str">
        <f>IFERROR(MOD(TIMEVALUE(RTD("ice.rtd",,$C981 &amp; $D981 &amp; ":" &amp; M$1)), 1), "")</f>
        <v/>
      </c>
      <c r="N981" s="36">
        <f>RTD("ice.rtd",,$C981 &amp; $D981 &amp; ":" &amp; N$1)</f>
        <v>0</v>
      </c>
      <c r="O981" s="36">
        <f>RTD("ice.rtd",,$C981 &amp; $D981 &amp; ":" &amp; O$1)</f>
        <v>0</v>
      </c>
      <c r="P9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1" s="14" t="str">
        <f>IF(ICE[[#This Row],[LastType]] = "Scrn", ICE[[#This Row],[LstDate]], IF(ICE[[#This Row],[LastType]] = "Blk", ICE[[#This Row],[LstBlkTime]], ""))</f>
        <v/>
      </c>
      <c r="R981" s="41" t="str">
        <f>IF(ICE[[#This Row],[LastType]] = "Scrn", ICE[[#This Row],[LstPrc]], IF(ICE[[#This Row],[LastType]] = "Blk", ICE[[#This Row],[LstBlkPrc]], ""))</f>
        <v/>
      </c>
      <c r="S981" s="36">
        <f>ICE[[#This Row],[Vol]]+ICE[[#This Row],[BlkVol]]</f>
        <v>0</v>
      </c>
      <c r="T981" s="36">
        <f>RTD("ice.rtd",,$C981 &amp; $D981 &amp; ":" &amp; T$1)</f>
        <v>0</v>
      </c>
      <c r="U981" s="18">
        <f>RTD("ice.rtd",,$C981 &amp; $D981 &amp; ":" &amp; U$1)</f>
        <v>13</v>
      </c>
      <c r="V9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1" s="18" t="str">
        <f>IFERROR(IF(LEFT(ICE[[#This Row],[Tenor]], 1) = "B", RTD("esrtd",,$B981 &amp; " " &amp; ICE[[#This Row],[Tenor]] &amp; "-IEU", W$1), RTD("esrtd",,$B981 &amp; " " &amp; VLOOKUP(MONTH(ICE[[#This Row],[Strip]]), MthRef[], 2, 0) &amp; RIGHT(YEAR(ICE[[#This Row],[Strip]]), 2) &amp; "-IEU", W$1)), "")</f>
        <v/>
      </c>
      <c r="X981" s="36"/>
    </row>
    <row r="982" spans="1:24" x14ac:dyDescent="0.25">
      <c r="A982" s="37" t="s">
        <v>436</v>
      </c>
      <c r="B982" s="3" t="str">
        <f>RTD("ice.rtd",,$C982 &amp; $D982 &amp; ":" &amp; B$1)</f>
        <v>STS</v>
      </c>
      <c r="C982" s="3">
        <v>266419</v>
      </c>
      <c r="D982" t="s">
        <v>812</v>
      </c>
      <c r="E982" s="3" t="str">
        <f>RTD("ice.rtd",,$C982 &amp; $D982 &amp; ":" &amp; E$1)</f>
        <v>Aug28</v>
      </c>
      <c r="F982" s="3" t="str">
        <f>ICE[[#This Row],[Prod]]&amp;ICE[[#This Row],[Strip]]</f>
        <v>viscoAug28</v>
      </c>
      <c r="G982" s="18" t="str">
        <f>RTD("ice.rtd",,$C982 &amp; $D982 &amp; ":" &amp; G$1)</f>
        <v/>
      </c>
      <c r="H982" s="18" t="str">
        <f>RTD("ice.rtd",,$C982 &amp; $D982 &amp; ":" &amp; H$1)</f>
        <v/>
      </c>
      <c r="I982" s="18" t="str">
        <f>RTD("ice.rtd",,$C982 &amp; $D982 &amp; ":" &amp; I$1)</f>
        <v/>
      </c>
      <c r="J982" s="14" t="str">
        <f>IFERROR(MOD(RTD("ice.rtd",,$C982 &amp; $D982 &amp; ":" &amp; J$1), 1), "")</f>
        <v/>
      </c>
      <c r="K982" s="18" t="str">
        <f>RTD("ice.rtd",,$C982 &amp; $D982 &amp; ":" &amp; K$1)</f>
        <v/>
      </c>
      <c r="L982" s="36" t="str">
        <f>RTD("ice.rtd",,$C982 &amp; $D982 &amp; ":" &amp; L$1)</f>
        <v/>
      </c>
      <c r="M982" s="14" t="str">
        <f>IFERROR(MOD(TIMEVALUE(RTD("ice.rtd",,$C982 &amp; $D982 &amp; ":" &amp; M$1)), 1), "")</f>
        <v/>
      </c>
      <c r="N982" s="36">
        <f>RTD("ice.rtd",,$C982 &amp; $D982 &amp; ":" &amp; N$1)</f>
        <v>0</v>
      </c>
      <c r="O982" s="36">
        <f>RTD("ice.rtd",,$C982 &amp; $D982 &amp; ":" &amp; O$1)</f>
        <v>0</v>
      </c>
      <c r="P9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2" s="14" t="str">
        <f>IF(ICE[[#This Row],[LastType]] = "Scrn", ICE[[#This Row],[LstDate]], IF(ICE[[#This Row],[LastType]] = "Blk", ICE[[#This Row],[LstBlkTime]], ""))</f>
        <v/>
      </c>
      <c r="R982" s="41" t="str">
        <f>IF(ICE[[#This Row],[LastType]] = "Scrn", ICE[[#This Row],[LstPrc]], IF(ICE[[#This Row],[LastType]] = "Blk", ICE[[#This Row],[LstBlkPrc]], ""))</f>
        <v/>
      </c>
      <c r="S982" s="36">
        <f>ICE[[#This Row],[Vol]]+ICE[[#This Row],[BlkVol]]</f>
        <v>0</v>
      </c>
      <c r="T982" s="36">
        <f>RTD("ice.rtd",,$C982 &amp; $D982 &amp; ":" &amp; T$1)</f>
        <v>0</v>
      </c>
      <c r="U982" s="18">
        <f>RTD("ice.rtd",,$C982 &amp; $D982 &amp; ":" &amp; U$1)</f>
        <v>13</v>
      </c>
      <c r="V9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2" s="18" t="str">
        <f>IFERROR(IF(LEFT(ICE[[#This Row],[Tenor]], 1) = "B", RTD("esrtd",,$B982 &amp; " " &amp; ICE[[#This Row],[Tenor]] &amp; "-IEU", W$1), RTD("esrtd",,$B982 &amp; " " &amp; VLOOKUP(MONTH(ICE[[#This Row],[Strip]]), MthRef[], 2, 0) &amp; RIGHT(YEAR(ICE[[#This Row],[Strip]]), 2) &amp; "-IEU", W$1)), "")</f>
        <v/>
      </c>
      <c r="X982" s="36"/>
    </row>
    <row r="983" spans="1:24" x14ac:dyDescent="0.25">
      <c r="A983" s="37" t="s">
        <v>436</v>
      </c>
      <c r="B983" s="3" t="str">
        <f>RTD("ice.rtd",,$C983 &amp; $D983 &amp; ":" &amp; B$1)</f>
        <v>STS</v>
      </c>
      <c r="C983" s="3">
        <v>266419</v>
      </c>
      <c r="D983" t="s">
        <v>813</v>
      </c>
      <c r="E983" s="3" t="str">
        <f>RTD("ice.rtd",,$C983 &amp; $D983 &amp; ":" &amp; E$1)</f>
        <v>Sep28</v>
      </c>
      <c r="F983" s="3" t="str">
        <f>ICE[[#This Row],[Prod]]&amp;ICE[[#This Row],[Strip]]</f>
        <v>viscoSep28</v>
      </c>
      <c r="G983" s="18" t="str">
        <f>RTD("ice.rtd",,$C983 &amp; $D983 &amp; ":" &amp; G$1)</f>
        <v/>
      </c>
      <c r="H983" s="18" t="str">
        <f>RTD("ice.rtd",,$C983 &amp; $D983 &amp; ":" &amp; H$1)</f>
        <v/>
      </c>
      <c r="I983" s="18" t="str">
        <f>RTD("ice.rtd",,$C983 &amp; $D983 &amp; ":" &amp; I$1)</f>
        <v/>
      </c>
      <c r="J983" s="14" t="str">
        <f>IFERROR(MOD(RTD("ice.rtd",,$C983 &amp; $D983 &amp; ":" &amp; J$1), 1), "")</f>
        <v/>
      </c>
      <c r="K983" s="18" t="str">
        <f>RTD("ice.rtd",,$C983 &amp; $D983 &amp; ":" &amp; K$1)</f>
        <v/>
      </c>
      <c r="L983" s="36" t="str">
        <f>RTD("ice.rtd",,$C983 &amp; $D983 &amp; ":" &amp; L$1)</f>
        <v/>
      </c>
      <c r="M983" s="14" t="str">
        <f>IFERROR(MOD(TIMEVALUE(RTD("ice.rtd",,$C983 &amp; $D983 &amp; ":" &amp; M$1)), 1), "")</f>
        <v/>
      </c>
      <c r="N983" s="36">
        <f>RTD("ice.rtd",,$C983 &amp; $D983 &amp; ":" &amp; N$1)</f>
        <v>0</v>
      </c>
      <c r="O983" s="36">
        <f>RTD("ice.rtd",,$C983 &amp; $D983 &amp; ":" &amp; O$1)</f>
        <v>0</v>
      </c>
      <c r="P9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3" s="14" t="str">
        <f>IF(ICE[[#This Row],[LastType]] = "Scrn", ICE[[#This Row],[LstDate]], IF(ICE[[#This Row],[LastType]] = "Blk", ICE[[#This Row],[LstBlkTime]], ""))</f>
        <v/>
      </c>
      <c r="R983" s="41" t="str">
        <f>IF(ICE[[#This Row],[LastType]] = "Scrn", ICE[[#This Row],[LstPrc]], IF(ICE[[#This Row],[LastType]] = "Blk", ICE[[#This Row],[LstBlkPrc]], ""))</f>
        <v/>
      </c>
      <c r="S983" s="36">
        <f>ICE[[#This Row],[Vol]]+ICE[[#This Row],[BlkVol]]</f>
        <v>0</v>
      </c>
      <c r="T983" s="36">
        <f>RTD("ice.rtd",,$C983 &amp; $D983 &amp; ":" &amp; T$1)</f>
        <v>0</v>
      </c>
      <c r="U983" s="18">
        <f>RTD("ice.rtd",,$C983 &amp; $D983 &amp; ":" &amp; U$1)</f>
        <v>13</v>
      </c>
      <c r="V9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3" s="18" t="str">
        <f>IFERROR(IF(LEFT(ICE[[#This Row],[Tenor]], 1) = "B", RTD("esrtd",,$B983 &amp; " " &amp; ICE[[#This Row],[Tenor]] &amp; "-IEU", W$1), RTD("esrtd",,$B983 &amp; " " &amp; VLOOKUP(MONTH(ICE[[#This Row],[Strip]]), MthRef[], 2, 0) &amp; RIGHT(YEAR(ICE[[#This Row],[Strip]]), 2) &amp; "-IEU", W$1)), "")</f>
        <v/>
      </c>
      <c r="X983" s="36"/>
    </row>
    <row r="984" spans="1:24" x14ac:dyDescent="0.25">
      <c r="A984" s="37" t="s">
        <v>436</v>
      </c>
      <c r="B984" s="3" t="str">
        <f>RTD("ice.rtd",,$C984 &amp; $D984 &amp; ":" &amp; B$1)</f>
        <v>STS</v>
      </c>
      <c r="C984" s="3">
        <v>266419</v>
      </c>
      <c r="D984" t="s">
        <v>814</v>
      </c>
      <c r="E984" s="3" t="str">
        <f>RTD("ice.rtd",,$C984 &amp; $D984 &amp; ":" &amp; E$1)</f>
        <v>Q4 26</v>
      </c>
      <c r="F984" s="3" t="str">
        <f>ICE[[#This Row],[Prod]]&amp;ICE[[#This Row],[Strip]]</f>
        <v>viscoQ4 26</v>
      </c>
      <c r="G984" s="18" t="str">
        <f>RTD("ice.rtd",,$C984 &amp; $D984 &amp; ":" &amp; G$1)</f>
        <v/>
      </c>
      <c r="H984" s="18" t="str">
        <f>RTD("ice.rtd",,$C984 &amp; $D984 &amp; ":" &amp; H$1)</f>
        <v/>
      </c>
      <c r="I984" s="18" t="str">
        <f>RTD("ice.rtd",,$C984 &amp; $D984 &amp; ":" &amp; I$1)</f>
        <v/>
      </c>
      <c r="J984" s="14" t="str">
        <f>IFERROR(MOD(RTD("ice.rtd",,$C984 &amp; $D984 &amp; ":" &amp; J$1), 1), "")</f>
        <v/>
      </c>
      <c r="K984" s="18" t="str">
        <f>RTD("ice.rtd",,$C984 &amp; $D984 &amp; ":" &amp; K$1)</f>
        <v/>
      </c>
      <c r="L984" s="36" t="str">
        <f>RTD("ice.rtd",,$C984 &amp; $D984 &amp; ":" &amp; L$1)</f>
        <v/>
      </c>
      <c r="M984" s="14" t="str">
        <f>IFERROR(MOD(TIMEVALUE(RTD("ice.rtd",,$C984 &amp; $D984 &amp; ":" &amp; M$1)), 1), "")</f>
        <v/>
      </c>
      <c r="N984" s="36">
        <f>RTD("ice.rtd",,$C984 &amp; $D984 &amp; ":" &amp; N$1)</f>
        <v>0</v>
      </c>
      <c r="O984" s="36">
        <f>RTD("ice.rtd",,$C984 &amp; $D984 &amp; ":" &amp; O$1)</f>
        <v>0</v>
      </c>
      <c r="P9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4" s="14" t="str">
        <f>IF(ICE[[#This Row],[LastType]] = "Scrn", ICE[[#This Row],[LstDate]], IF(ICE[[#This Row],[LastType]] = "Blk", ICE[[#This Row],[LstBlkTime]], ""))</f>
        <v/>
      </c>
      <c r="R984" s="41" t="str">
        <f>IF(ICE[[#This Row],[LastType]] = "Scrn", ICE[[#This Row],[LstPrc]], IF(ICE[[#This Row],[LastType]] = "Blk", ICE[[#This Row],[LstBlkPrc]], ""))</f>
        <v/>
      </c>
      <c r="S984" s="36">
        <f>ICE[[#This Row],[Vol]]+ICE[[#This Row],[BlkVol]]</f>
        <v>0</v>
      </c>
      <c r="T984" s="36">
        <f>RTD("ice.rtd",,$C984 &amp; $D984 &amp; ":" &amp; T$1)</f>
        <v>0</v>
      </c>
      <c r="U984" s="18">
        <f>RTD("ice.rtd",,$C984 &amp; $D984 &amp; ":" &amp; U$1)</f>
        <v>7.5830000000000002</v>
      </c>
      <c r="V9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4" s="18" t="str">
        <f>IFERROR(IF(LEFT(ICE[[#This Row],[Tenor]], 1) = "B", RTD("esrtd",,$B984 &amp; " " &amp; ICE[[#This Row],[Tenor]] &amp; "-IEU", W$1), RTD("esrtd",,$B984 &amp; " " &amp; VLOOKUP(MONTH(ICE[[#This Row],[Strip]]), MthRef[], 2, 0) &amp; RIGHT(YEAR(ICE[[#This Row],[Strip]]), 2) &amp; "-IEU", W$1)), "")</f>
        <v/>
      </c>
      <c r="X984" s="36"/>
    </row>
    <row r="985" spans="1:24" x14ac:dyDescent="0.25">
      <c r="A985" s="37" t="s">
        <v>436</v>
      </c>
      <c r="B985" s="3" t="str">
        <f>RTD("ice.rtd",,$C985 &amp; $D985 &amp; ":" &amp; B$1)</f>
        <v>STS</v>
      </c>
      <c r="C985" s="3">
        <v>266419</v>
      </c>
      <c r="D985" t="s">
        <v>815</v>
      </c>
      <c r="E985" s="3" t="str">
        <f>RTD("ice.rtd",,$C985 &amp; $D985 &amp; ":" &amp; E$1)</f>
        <v>Q1 27</v>
      </c>
      <c r="F985" s="3" t="str">
        <f>ICE[[#This Row],[Prod]]&amp;ICE[[#This Row],[Strip]]</f>
        <v>viscoQ1 27</v>
      </c>
      <c r="G985" s="18" t="str">
        <f>RTD("ice.rtd",,$C985 &amp; $D985 &amp; ":" &amp; G$1)</f>
        <v/>
      </c>
      <c r="H985" s="18" t="str">
        <f>RTD("ice.rtd",,$C985 &amp; $D985 &amp; ":" &amp; H$1)</f>
        <v/>
      </c>
      <c r="I985" s="18" t="str">
        <f>RTD("ice.rtd",,$C985 &amp; $D985 &amp; ":" &amp; I$1)</f>
        <v/>
      </c>
      <c r="J985" s="14" t="str">
        <f>IFERROR(MOD(RTD("ice.rtd",,$C985 &amp; $D985 &amp; ":" &amp; J$1), 1), "")</f>
        <v/>
      </c>
      <c r="K985" s="18" t="str">
        <f>RTD("ice.rtd",,$C985 &amp; $D985 &amp; ":" &amp; K$1)</f>
        <v/>
      </c>
      <c r="L985" s="36" t="str">
        <f>RTD("ice.rtd",,$C985 &amp; $D985 &amp; ":" &amp; L$1)</f>
        <v/>
      </c>
      <c r="M985" s="14" t="str">
        <f>IFERROR(MOD(TIMEVALUE(RTD("ice.rtd",,$C985 &amp; $D985 &amp; ":" &amp; M$1)), 1), "")</f>
        <v/>
      </c>
      <c r="N985" s="36">
        <f>RTD("ice.rtd",,$C985 &amp; $D985 &amp; ":" &amp; N$1)</f>
        <v>0</v>
      </c>
      <c r="O985" s="36">
        <f>RTD("ice.rtd",,$C985 &amp; $D985 &amp; ":" &amp; O$1)</f>
        <v>0</v>
      </c>
      <c r="P9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5" s="14" t="str">
        <f>IF(ICE[[#This Row],[LastType]] = "Scrn", ICE[[#This Row],[LstDate]], IF(ICE[[#This Row],[LastType]] = "Blk", ICE[[#This Row],[LstBlkTime]], ""))</f>
        <v/>
      </c>
      <c r="R985" s="41" t="str">
        <f>IF(ICE[[#This Row],[LastType]] = "Scrn", ICE[[#This Row],[LstPrc]], IF(ICE[[#This Row],[LastType]] = "Blk", ICE[[#This Row],[LstBlkPrc]], ""))</f>
        <v/>
      </c>
      <c r="S985" s="36">
        <f>ICE[[#This Row],[Vol]]+ICE[[#This Row],[BlkVol]]</f>
        <v>0</v>
      </c>
      <c r="T985" s="36">
        <f>RTD("ice.rtd",,$C985 &amp; $D985 &amp; ":" &amp; T$1)</f>
        <v>0</v>
      </c>
      <c r="U985" s="18">
        <f>RTD("ice.rtd",,$C985 &amp; $D985 &amp; ":" &amp; U$1)</f>
        <v>8.9169999999999998</v>
      </c>
      <c r="V9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5" s="18" t="str">
        <f>IFERROR(IF(LEFT(ICE[[#This Row],[Tenor]], 1) = "B", RTD("esrtd",,$B985 &amp; " " &amp; ICE[[#This Row],[Tenor]] &amp; "-IEU", W$1), RTD("esrtd",,$B985 &amp; " " &amp; VLOOKUP(MONTH(ICE[[#This Row],[Strip]]), MthRef[], 2, 0) &amp; RIGHT(YEAR(ICE[[#This Row],[Strip]]), 2) &amp; "-IEU", W$1)), "")</f>
        <v/>
      </c>
      <c r="X985" s="36"/>
    </row>
    <row r="986" spans="1:24" x14ac:dyDescent="0.25">
      <c r="A986" s="37" t="s">
        <v>436</v>
      </c>
      <c r="B986" s="3" t="str">
        <f>RTD("ice.rtd",,$C986 &amp; $D986 &amp; ":" &amp; B$1)</f>
        <v>STS</v>
      </c>
      <c r="C986" s="3">
        <v>266419</v>
      </c>
      <c r="D986" t="s">
        <v>816</v>
      </c>
      <c r="E986" s="3" t="str">
        <f>RTD("ice.rtd",,$C986 &amp; $D986 &amp; ":" &amp; E$1)</f>
        <v>Q2 27</v>
      </c>
      <c r="F986" s="3" t="str">
        <f>ICE[[#This Row],[Prod]]&amp;ICE[[#This Row],[Strip]]</f>
        <v>viscoQ2 27</v>
      </c>
      <c r="G986" s="18" t="str">
        <f>RTD("ice.rtd",,$C986 &amp; $D986 &amp; ":" &amp; G$1)</f>
        <v/>
      </c>
      <c r="H986" s="18" t="str">
        <f>RTD("ice.rtd",,$C986 &amp; $D986 &amp; ":" &amp; H$1)</f>
        <v/>
      </c>
      <c r="I986" s="18" t="str">
        <f>RTD("ice.rtd",,$C986 &amp; $D986 &amp; ":" &amp; I$1)</f>
        <v/>
      </c>
      <c r="J986" s="14" t="str">
        <f>IFERROR(MOD(RTD("ice.rtd",,$C986 &amp; $D986 &amp; ":" &amp; J$1), 1), "")</f>
        <v/>
      </c>
      <c r="K986" s="18" t="str">
        <f>RTD("ice.rtd",,$C986 &amp; $D986 &amp; ":" &amp; K$1)</f>
        <v/>
      </c>
      <c r="L986" s="36" t="str">
        <f>RTD("ice.rtd",,$C986 &amp; $D986 &amp; ":" &amp; L$1)</f>
        <v/>
      </c>
      <c r="M986" s="14" t="str">
        <f>IFERROR(MOD(TIMEVALUE(RTD("ice.rtd",,$C986 &amp; $D986 &amp; ":" &amp; M$1)), 1), "")</f>
        <v/>
      </c>
      <c r="N986" s="36">
        <f>RTD("ice.rtd",,$C986 &amp; $D986 &amp; ":" &amp; N$1)</f>
        <v>0</v>
      </c>
      <c r="O986" s="36">
        <f>RTD("ice.rtd",,$C986 &amp; $D986 &amp; ":" &amp; O$1)</f>
        <v>0</v>
      </c>
      <c r="P9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6" s="14" t="str">
        <f>IF(ICE[[#This Row],[LastType]] = "Scrn", ICE[[#This Row],[LstDate]], IF(ICE[[#This Row],[LastType]] = "Blk", ICE[[#This Row],[LstBlkTime]], ""))</f>
        <v/>
      </c>
      <c r="R986" s="41" t="str">
        <f>IF(ICE[[#This Row],[LastType]] = "Scrn", ICE[[#This Row],[LstPrc]], IF(ICE[[#This Row],[LastType]] = "Blk", ICE[[#This Row],[LstBlkPrc]], ""))</f>
        <v/>
      </c>
      <c r="S986" s="36">
        <f>ICE[[#This Row],[Vol]]+ICE[[#This Row],[BlkVol]]</f>
        <v>0</v>
      </c>
      <c r="T986" s="36">
        <f>RTD("ice.rtd",,$C986 &amp; $D986 &amp; ":" &amp; T$1)</f>
        <v>0</v>
      </c>
      <c r="U986" s="18">
        <f>RTD("ice.rtd",,$C986 &amp; $D986 &amp; ":" &amp; U$1)</f>
        <v>11.25</v>
      </c>
      <c r="V9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6" s="18" t="str">
        <f>IFERROR(IF(LEFT(ICE[[#This Row],[Tenor]], 1) = "B", RTD("esrtd",,$B986 &amp; " " &amp; ICE[[#This Row],[Tenor]] &amp; "-IEU", W$1), RTD("esrtd",,$B986 &amp; " " &amp; VLOOKUP(MONTH(ICE[[#This Row],[Strip]]), MthRef[], 2, 0) &amp; RIGHT(YEAR(ICE[[#This Row],[Strip]]), 2) &amp; "-IEU", W$1)), "")</f>
        <v/>
      </c>
      <c r="X986" s="36"/>
    </row>
    <row r="987" spans="1:24" x14ac:dyDescent="0.25">
      <c r="A987" s="37" t="s">
        <v>436</v>
      </c>
      <c r="B987" s="3" t="str">
        <f>RTD("ice.rtd",,$C987 &amp; $D987 &amp; ":" &amp; B$1)</f>
        <v>STS</v>
      </c>
      <c r="C987" s="3">
        <v>266419</v>
      </c>
      <c r="D987" t="s">
        <v>817</v>
      </c>
      <c r="E987" s="3" t="str">
        <f>RTD("ice.rtd",,$C987 &amp; $D987 &amp; ":" &amp; E$1)</f>
        <v>Q3 27</v>
      </c>
      <c r="F987" s="3" t="str">
        <f>ICE[[#This Row],[Prod]]&amp;ICE[[#This Row],[Strip]]</f>
        <v>viscoQ3 27</v>
      </c>
      <c r="G987" s="18" t="str">
        <f>RTD("ice.rtd",,$C987 &amp; $D987 &amp; ":" &amp; G$1)</f>
        <v/>
      </c>
      <c r="H987" s="18" t="str">
        <f>RTD("ice.rtd",,$C987 &amp; $D987 &amp; ":" &amp; H$1)</f>
        <v/>
      </c>
      <c r="I987" s="18" t="str">
        <f>RTD("ice.rtd",,$C987 &amp; $D987 &amp; ":" &amp; I$1)</f>
        <v/>
      </c>
      <c r="J987" s="14" t="str">
        <f>IFERROR(MOD(RTD("ice.rtd",,$C987 &amp; $D987 &amp; ":" &amp; J$1), 1), "")</f>
        <v/>
      </c>
      <c r="K987" s="18" t="str">
        <f>RTD("ice.rtd",,$C987 &amp; $D987 &amp; ":" &amp; K$1)</f>
        <v/>
      </c>
      <c r="L987" s="36" t="str">
        <f>RTD("ice.rtd",,$C987 &amp; $D987 &amp; ":" &amp; L$1)</f>
        <v/>
      </c>
      <c r="M987" s="14" t="str">
        <f>IFERROR(MOD(TIMEVALUE(RTD("ice.rtd",,$C987 &amp; $D987 &amp; ":" &amp; M$1)), 1), "")</f>
        <v/>
      </c>
      <c r="N987" s="36">
        <f>RTD("ice.rtd",,$C987 &amp; $D987 &amp; ":" &amp; N$1)</f>
        <v>0</v>
      </c>
      <c r="O987" s="36">
        <f>RTD("ice.rtd",,$C987 &amp; $D987 &amp; ":" &amp; O$1)</f>
        <v>0</v>
      </c>
      <c r="P9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7" s="14" t="str">
        <f>IF(ICE[[#This Row],[LastType]] = "Scrn", ICE[[#This Row],[LstDate]], IF(ICE[[#This Row],[LastType]] = "Blk", ICE[[#This Row],[LstBlkTime]], ""))</f>
        <v/>
      </c>
      <c r="R987" s="41" t="str">
        <f>IF(ICE[[#This Row],[LastType]] = "Scrn", ICE[[#This Row],[LstPrc]], IF(ICE[[#This Row],[LastType]] = "Blk", ICE[[#This Row],[LstBlkPrc]], ""))</f>
        <v/>
      </c>
      <c r="S987" s="36">
        <f>ICE[[#This Row],[Vol]]+ICE[[#This Row],[BlkVol]]</f>
        <v>0</v>
      </c>
      <c r="T987" s="36">
        <f>RTD("ice.rtd",,$C987 &amp; $D987 &amp; ":" &amp; T$1)</f>
        <v>0</v>
      </c>
      <c r="U987" s="18">
        <f>RTD("ice.rtd",,$C987 &amp; $D987 &amp; ":" &amp; U$1)</f>
        <v>12</v>
      </c>
      <c r="V9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7" s="18" t="str">
        <f>IFERROR(IF(LEFT(ICE[[#This Row],[Tenor]], 1) = "B", RTD("esrtd",,$B987 &amp; " " &amp; ICE[[#This Row],[Tenor]] &amp; "-IEU", W$1), RTD("esrtd",,$B987 &amp; " " &amp; VLOOKUP(MONTH(ICE[[#This Row],[Strip]]), MthRef[], 2, 0) &amp; RIGHT(YEAR(ICE[[#This Row],[Strip]]), 2) &amp; "-IEU", W$1)), "")</f>
        <v/>
      </c>
      <c r="X987" s="36"/>
    </row>
    <row r="988" spans="1:24" x14ac:dyDescent="0.25">
      <c r="A988" s="37" t="s">
        <v>436</v>
      </c>
      <c r="B988" s="3" t="str">
        <f>RTD("ice.rtd",,$C988 &amp; $D988 &amp; ":" &amp; B$1)</f>
        <v>STS</v>
      </c>
      <c r="C988" s="3">
        <v>266419</v>
      </c>
      <c r="D988" t="s">
        <v>818</v>
      </c>
      <c r="E988" s="3" t="str">
        <f>RTD("ice.rtd",,$C988 &amp; $D988 &amp; ":" &amp; E$1)</f>
        <v>Q4 27</v>
      </c>
      <c r="F988" s="3" t="str">
        <f>ICE[[#This Row],[Prod]]&amp;ICE[[#This Row],[Strip]]</f>
        <v>viscoQ4 27</v>
      </c>
      <c r="G988" s="18" t="str">
        <f>RTD("ice.rtd",,$C988 &amp; $D988 &amp; ":" &amp; G$1)</f>
        <v/>
      </c>
      <c r="H988" s="18" t="str">
        <f>RTD("ice.rtd",,$C988 &amp; $D988 &amp; ":" &amp; H$1)</f>
        <v/>
      </c>
      <c r="I988" s="18" t="str">
        <f>RTD("ice.rtd",,$C988 &amp; $D988 &amp; ":" &amp; I$1)</f>
        <v/>
      </c>
      <c r="J988" s="14" t="str">
        <f>IFERROR(MOD(RTD("ice.rtd",,$C988 &amp; $D988 &amp; ":" &amp; J$1), 1), "")</f>
        <v/>
      </c>
      <c r="K988" s="18" t="str">
        <f>RTD("ice.rtd",,$C988 &amp; $D988 &amp; ":" &amp; K$1)</f>
        <v/>
      </c>
      <c r="L988" s="36" t="str">
        <f>RTD("ice.rtd",,$C988 &amp; $D988 &amp; ":" &amp; L$1)</f>
        <v/>
      </c>
      <c r="M988" s="14" t="str">
        <f>IFERROR(MOD(TIMEVALUE(RTD("ice.rtd",,$C988 &amp; $D988 &amp; ":" &amp; M$1)), 1), "")</f>
        <v/>
      </c>
      <c r="N988" s="36">
        <f>RTD("ice.rtd",,$C988 &amp; $D988 &amp; ":" &amp; N$1)</f>
        <v>0</v>
      </c>
      <c r="O988" s="36">
        <f>RTD("ice.rtd",,$C988 &amp; $D988 &amp; ":" &amp; O$1)</f>
        <v>0</v>
      </c>
      <c r="P9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8" s="14" t="str">
        <f>IF(ICE[[#This Row],[LastType]] = "Scrn", ICE[[#This Row],[LstDate]], IF(ICE[[#This Row],[LastType]] = "Blk", ICE[[#This Row],[LstBlkTime]], ""))</f>
        <v/>
      </c>
      <c r="R988" s="41" t="str">
        <f>IF(ICE[[#This Row],[LastType]] = "Scrn", ICE[[#This Row],[LstPrc]], IF(ICE[[#This Row],[LastType]] = "Blk", ICE[[#This Row],[LstBlkPrc]], ""))</f>
        <v/>
      </c>
      <c r="S988" s="36">
        <f>ICE[[#This Row],[Vol]]+ICE[[#This Row],[BlkVol]]</f>
        <v>0</v>
      </c>
      <c r="T988" s="36">
        <f>RTD("ice.rtd",,$C988 &amp; $D988 &amp; ":" &amp; T$1)</f>
        <v>0</v>
      </c>
      <c r="U988" s="18">
        <f>RTD("ice.rtd",,$C988 &amp; $D988 &amp; ":" &amp; U$1)</f>
        <v>12.25</v>
      </c>
      <c r="V9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8" s="18" t="str">
        <f>IFERROR(IF(LEFT(ICE[[#This Row],[Tenor]], 1) = "B", RTD("esrtd",,$B988 &amp; " " &amp; ICE[[#This Row],[Tenor]] &amp; "-IEU", W$1), RTD("esrtd",,$B988 &amp; " " &amp; VLOOKUP(MONTH(ICE[[#This Row],[Strip]]), MthRef[], 2, 0) &amp; RIGHT(YEAR(ICE[[#This Row],[Strip]]), 2) &amp; "-IEU", W$1)), "")</f>
        <v/>
      </c>
      <c r="X988" s="36"/>
    </row>
    <row r="989" spans="1:24" x14ac:dyDescent="0.25">
      <c r="A989" s="37" t="s">
        <v>436</v>
      </c>
      <c r="B989" s="3" t="str">
        <f>RTD("ice.rtd",,$C989 &amp; $D989 &amp; ":" &amp; B$1)</f>
        <v>STS</v>
      </c>
      <c r="C989" s="3">
        <v>266419</v>
      </c>
      <c r="D989" t="s">
        <v>819</v>
      </c>
      <c r="E989" s="3" t="str">
        <f>RTD("ice.rtd",,$C989 &amp; $D989 &amp; ":" &amp; E$1)</f>
        <v>Q1 28</v>
      </c>
      <c r="F989" s="3" t="str">
        <f>ICE[[#This Row],[Prod]]&amp;ICE[[#This Row],[Strip]]</f>
        <v>viscoQ1 28</v>
      </c>
      <c r="G989" s="18" t="str">
        <f>RTD("ice.rtd",,$C989 &amp; $D989 &amp; ":" &amp; G$1)</f>
        <v/>
      </c>
      <c r="H989" s="18" t="str">
        <f>RTD("ice.rtd",,$C989 &amp; $D989 &amp; ":" &amp; H$1)</f>
        <v/>
      </c>
      <c r="I989" s="18" t="str">
        <f>RTD("ice.rtd",,$C989 &amp; $D989 &amp; ":" &amp; I$1)</f>
        <v/>
      </c>
      <c r="J989" s="14" t="str">
        <f>IFERROR(MOD(RTD("ice.rtd",,$C989 &amp; $D989 &amp; ":" &amp; J$1), 1), "")</f>
        <v/>
      </c>
      <c r="K989" s="18" t="str">
        <f>RTD("ice.rtd",,$C989 &amp; $D989 &amp; ":" &amp; K$1)</f>
        <v/>
      </c>
      <c r="L989" s="36" t="str">
        <f>RTD("ice.rtd",,$C989 &amp; $D989 &amp; ":" &amp; L$1)</f>
        <v/>
      </c>
      <c r="M989" s="14" t="str">
        <f>IFERROR(MOD(TIMEVALUE(RTD("ice.rtd",,$C989 &amp; $D989 &amp; ":" &amp; M$1)), 1), "")</f>
        <v/>
      </c>
      <c r="N989" s="36">
        <f>RTD("ice.rtd",,$C989 &amp; $D989 &amp; ":" &amp; N$1)</f>
        <v>0</v>
      </c>
      <c r="O989" s="36">
        <f>RTD("ice.rtd",,$C989 &amp; $D989 &amp; ":" &amp; O$1)</f>
        <v>0</v>
      </c>
      <c r="P9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89" s="14" t="str">
        <f>IF(ICE[[#This Row],[LastType]] = "Scrn", ICE[[#This Row],[LstDate]], IF(ICE[[#This Row],[LastType]] = "Blk", ICE[[#This Row],[LstBlkTime]], ""))</f>
        <v/>
      </c>
      <c r="R989" s="41" t="str">
        <f>IF(ICE[[#This Row],[LastType]] = "Scrn", ICE[[#This Row],[LstPrc]], IF(ICE[[#This Row],[LastType]] = "Blk", ICE[[#This Row],[LstBlkPrc]], ""))</f>
        <v/>
      </c>
      <c r="S989" s="36">
        <f>ICE[[#This Row],[Vol]]+ICE[[#This Row],[BlkVol]]</f>
        <v>0</v>
      </c>
      <c r="T989" s="36">
        <f>RTD("ice.rtd",,$C989 &amp; $D989 &amp; ":" &amp; T$1)</f>
        <v>0</v>
      </c>
      <c r="U989" s="18">
        <f>RTD("ice.rtd",,$C989 &amp; $D989 &amp; ":" &amp; U$1)</f>
        <v>12.417</v>
      </c>
      <c r="V9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89" s="18" t="str">
        <f>IFERROR(IF(LEFT(ICE[[#This Row],[Tenor]], 1) = "B", RTD("esrtd",,$B989 &amp; " " &amp; ICE[[#This Row],[Tenor]] &amp; "-IEU", W$1), RTD("esrtd",,$B989 &amp; " " &amp; VLOOKUP(MONTH(ICE[[#This Row],[Strip]]), MthRef[], 2, 0) &amp; RIGHT(YEAR(ICE[[#This Row],[Strip]]), 2) &amp; "-IEU", W$1)), "")</f>
        <v/>
      </c>
      <c r="X989" s="36"/>
    </row>
    <row r="990" spans="1:24" x14ac:dyDescent="0.25">
      <c r="A990" s="37" t="s">
        <v>436</v>
      </c>
      <c r="B990" s="3" t="str">
        <f>RTD("ice.rtd",,$C990 &amp; $D990 &amp; ":" &amp; B$1)</f>
        <v>STS</v>
      </c>
      <c r="C990" s="3">
        <v>266419</v>
      </c>
      <c r="D990" t="s">
        <v>229</v>
      </c>
      <c r="E990" s="3" t="str">
        <f>RTD("ice.rtd",,$C990 &amp; $D990 &amp; ":" &amp; E$1)</f>
        <v>Q2 28</v>
      </c>
      <c r="F990" s="3" t="str">
        <f>ICE[[#This Row],[Prod]]&amp;ICE[[#This Row],[Strip]]</f>
        <v>viscoQ2 28</v>
      </c>
      <c r="G990" s="18" t="str">
        <f>RTD("ice.rtd",,$C990 &amp; $D990 &amp; ":" &amp; G$1)</f>
        <v/>
      </c>
      <c r="H990" s="18" t="str">
        <f>RTD("ice.rtd",,$C990 &amp; $D990 &amp; ":" &amp; H$1)</f>
        <v/>
      </c>
      <c r="I990" s="18" t="str">
        <f>RTD("ice.rtd",,$C990 &amp; $D990 &amp; ":" &amp; I$1)</f>
        <v/>
      </c>
      <c r="J990" s="14" t="str">
        <f>IFERROR(MOD(RTD("ice.rtd",,$C990 &amp; $D990 &amp; ":" &amp; J$1), 1), "")</f>
        <v/>
      </c>
      <c r="K990" s="18" t="str">
        <f>RTD("ice.rtd",,$C990 &amp; $D990 &amp; ":" &amp; K$1)</f>
        <v/>
      </c>
      <c r="L990" s="36" t="str">
        <f>RTD("ice.rtd",,$C990 &amp; $D990 &amp; ":" &amp; L$1)</f>
        <v/>
      </c>
      <c r="M990" s="14" t="str">
        <f>IFERROR(MOD(TIMEVALUE(RTD("ice.rtd",,$C990 &amp; $D990 &amp; ":" &amp; M$1)), 1), "")</f>
        <v/>
      </c>
      <c r="N990" s="36">
        <f>RTD("ice.rtd",,$C990 &amp; $D990 &amp; ":" &amp; N$1)</f>
        <v>0</v>
      </c>
      <c r="O990" s="36">
        <f>RTD("ice.rtd",,$C990 &amp; $D990 &amp; ":" &amp; O$1)</f>
        <v>0</v>
      </c>
      <c r="P9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0" s="14" t="str">
        <f>IF(ICE[[#This Row],[LastType]] = "Scrn", ICE[[#This Row],[LstDate]], IF(ICE[[#This Row],[LastType]] = "Blk", ICE[[#This Row],[LstBlkTime]], ""))</f>
        <v/>
      </c>
      <c r="R990" s="41" t="str">
        <f>IF(ICE[[#This Row],[LastType]] = "Scrn", ICE[[#This Row],[LstPrc]], IF(ICE[[#This Row],[LastType]] = "Blk", ICE[[#This Row],[LstBlkPrc]], ""))</f>
        <v/>
      </c>
      <c r="S990" s="36">
        <f>ICE[[#This Row],[Vol]]+ICE[[#This Row],[BlkVol]]</f>
        <v>0</v>
      </c>
      <c r="T990" s="36">
        <f>RTD("ice.rtd",,$C990 &amp; $D990 &amp; ":" &amp; T$1)</f>
        <v>0</v>
      </c>
      <c r="U990" s="18">
        <f>RTD("ice.rtd",,$C990 &amp; $D990 &amp; ":" &amp; U$1)</f>
        <v>12.5</v>
      </c>
      <c r="V9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0" s="18" t="str">
        <f>IFERROR(IF(LEFT(ICE[[#This Row],[Tenor]], 1) = "B", RTD("esrtd",,$B990 &amp; " " &amp; ICE[[#This Row],[Tenor]] &amp; "-IEU", W$1), RTD("esrtd",,$B990 &amp; " " &amp; VLOOKUP(MONTH(ICE[[#This Row],[Strip]]), MthRef[], 2, 0) &amp; RIGHT(YEAR(ICE[[#This Row],[Strip]]), 2) &amp; "-IEU", W$1)), "")</f>
        <v/>
      </c>
      <c r="X990" s="36"/>
    </row>
    <row r="991" spans="1:24" x14ac:dyDescent="0.25">
      <c r="A991" s="37" t="s">
        <v>436</v>
      </c>
      <c r="B991" s="3" t="str">
        <f>RTD("ice.rtd",,$C991 &amp; $D991 &amp; ":" &amp; B$1)</f>
        <v>STS</v>
      </c>
      <c r="C991" s="3">
        <v>266419</v>
      </c>
      <c r="D991" t="s">
        <v>820</v>
      </c>
      <c r="E991" s="3" t="str">
        <f>RTD("ice.rtd",,$C991 &amp; $D991 &amp; ":" &amp; E$1)</f>
        <v>Q3 28</v>
      </c>
      <c r="F991" s="3" t="str">
        <f>ICE[[#This Row],[Prod]]&amp;ICE[[#This Row],[Strip]]</f>
        <v>viscoQ3 28</v>
      </c>
      <c r="G991" s="18" t="str">
        <f>RTD("ice.rtd",,$C991 &amp; $D991 &amp; ":" &amp; G$1)</f>
        <v/>
      </c>
      <c r="H991" s="18" t="str">
        <f>RTD("ice.rtd",,$C991 &amp; $D991 &amp; ":" &amp; H$1)</f>
        <v/>
      </c>
      <c r="I991" s="18" t="str">
        <f>RTD("ice.rtd",,$C991 &amp; $D991 &amp; ":" &amp; I$1)</f>
        <v/>
      </c>
      <c r="J991" s="14" t="str">
        <f>IFERROR(MOD(RTD("ice.rtd",,$C991 &amp; $D991 &amp; ":" &amp; J$1), 1), "")</f>
        <v/>
      </c>
      <c r="K991" s="18" t="str">
        <f>RTD("ice.rtd",,$C991 &amp; $D991 &amp; ":" &amp; K$1)</f>
        <v/>
      </c>
      <c r="L991" s="36" t="str">
        <f>RTD("ice.rtd",,$C991 &amp; $D991 &amp; ":" &amp; L$1)</f>
        <v/>
      </c>
      <c r="M991" s="14" t="str">
        <f>IFERROR(MOD(TIMEVALUE(RTD("ice.rtd",,$C991 &amp; $D991 &amp; ":" &amp; M$1)), 1), "")</f>
        <v/>
      </c>
      <c r="N991" s="36">
        <f>RTD("ice.rtd",,$C991 &amp; $D991 &amp; ":" &amp; N$1)</f>
        <v>0</v>
      </c>
      <c r="O991" s="36">
        <f>RTD("ice.rtd",,$C991 &amp; $D991 &amp; ":" &amp; O$1)</f>
        <v>0</v>
      </c>
      <c r="P9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1" s="14" t="str">
        <f>IF(ICE[[#This Row],[LastType]] = "Scrn", ICE[[#This Row],[LstDate]], IF(ICE[[#This Row],[LastType]] = "Blk", ICE[[#This Row],[LstBlkTime]], ""))</f>
        <v/>
      </c>
      <c r="R991" s="41" t="str">
        <f>IF(ICE[[#This Row],[LastType]] = "Scrn", ICE[[#This Row],[LstPrc]], IF(ICE[[#This Row],[LastType]] = "Blk", ICE[[#This Row],[LstBlkPrc]], ""))</f>
        <v/>
      </c>
      <c r="S991" s="36">
        <f>ICE[[#This Row],[Vol]]+ICE[[#This Row],[BlkVol]]</f>
        <v>0</v>
      </c>
      <c r="T991" s="36">
        <f>RTD("ice.rtd",,$C991 &amp; $D991 &amp; ":" &amp; T$1)</f>
        <v>0</v>
      </c>
      <c r="U991" s="18">
        <f>RTD("ice.rtd",,$C991 &amp; $D991 &amp; ":" &amp; U$1)</f>
        <v>13</v>
      </c>
      <c r="V9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1" s="18" t="str">
        <f>IFERROR(IF(LEFT(ICE[[#This Row],[Tenor]], 1) = "B", RTD("esrtd",,$B991 &amp; " " &amp; ICE[[#This Row],[Tenor]] &amp; "-IEU", W$1), RTD("esrtd",,$B991 &amp; " " &amp; VLOOKUP(MONTH(ICE[[#This Row],[Strip]]), MthRef[], 2, 0) &amp; RIGHT(YEAR(ICE[[#This Row],[Strip]]), 2) &amp; "-IEU", W$1)), "")</f>
        <v/>
      </c>
      <c r="X991" s="36"/>
    </row>
    <row r="992" spans="1:24" x14ac:dyDescent="0.25">
      <c r="A992" s="37" t="s">
        <v>436</v>
      </c>
      <c r="B992" s="3" t="str">
        <f>RTD("ice.rtd",,$C992 &amp; $D992 &amp; ":" &amp; B$1)</f>
        <v>STS</v>
      </c>
      <c r="C992" s="3">
        <v>266419</v>
      </c>
      <c r="D992" t="s">
        <v>821</v>
      </c>
      <c r="E992" s="3" t="str">
        <f>RTD("ice.rtd",,$C992 &amp; $D992 &amp; ":" &amp; E$1)</f>
        <v>Q4 28</v>
      </c>
      <c r="F992" s="3" t="str">
        <f>ICE[[#This Row],[Prod]]&amp;ICE[[#This Row],[Strip]]</f>
        <v>viscoQ4 28</v>
      </c>
      <c r="G992" s="18" t="str">
        <f>RTD("ice.rtd",,$C992 &amp; $D992 &amp; ":" &amp; G$1)</f>
        <v/>
      </c>
      <c r="H992" s="18" t="str">
        <f>RTD("ice.rtd",,$C992 &amp; $D992 &amp; ":" &amp; H$1)</f>
        <v/>
      </c>
      <c r="I992" s="18" t="str">
        <f>RTD("ice.rtd",,$C992 &amp; $D992 &amp; ":" &amp; I$1)</f>
        <v/>
      </c>
      <c r="J992" s="14" t="str">
        <f>IFERROR(MOD(RTD("ice.rtd",,$C992 &amp; $D992 &amp; ":" &amp; J$1), 1), "")</f>
        <v/>
      </c>
      <c r="K992" s="18" t="str">
        <f>RTD("ice.rtd",,$C992 &amp; $D992 &amp; ":" &amp; K$1)</f>
        <v/>
      </c>
      <c r="L992" s="36" t="str">
        <f>RTD("ice.rtd",,$C992 &amp; $D992 &amp; ":" &amp; L$1)</f>
        <v/>
      </c>
      <c r="M992" s="14" t="str">
        <f>IFERROR(MOD(TIMEVALUE(RTD("ice.rtd",,$C992 &amp; $D992 &amp; ":" &amp; M$1)), 1), "")</f>
        <v/>
      </c>
      <c r="N992" s="36">
        <f>RTD("ice.rtd",,$C992 &amp; $D992 &amp; ":" &amp; N$1)</f>
        <v>0</v>
      </c>
      <c r="O992" s="36">
        <f>RTD("ice.rtd",,$C992 &amp; $D992 &amp; ":" &amp; O$1)</f>
        <v>0</v>
      </c>
      <c r="P9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2" s="14" t="str">
        <f>IF(ICE[[#This Row],[LastType]] = "Scrn", ICE[[#This Row],[LstDate]], IF(ICE[[#This Row],[LastType]] = "Blk", ICE[[#This Row],[LstBlkTime]], ""))</f>
        <v/>
      </c>
      <c r="R992" s="41" t="str">
        <f>IF(ICE[[#This Row],[LastType]] = "Scrn", ICE[[#This Row],[LstPrc]], IF(ICE[[#This Row],[LastType]] = "Blk", ICE[[#This Row],[LstBlkPrc]], ""))</f>
        <v/>
      </c>
      <c r="S992" s="36">
        <f>ICE[[#This Row],[Vol]]+ICE[[#This Row],[BlkVol]]</f>
        <v>0</v>
      </c>
      <c r="T992" s="36">
        <f>RTD("ice.rtd",,$C992 &amp; $D992 &amp; ":" &amp; T$1)</f>
        <v>0</v>
      </c>
      <c r="U992" s="18">
        <f>RTD("ice.rtd",,$C992 &amp; $D992 &amp; ":" &amp; U$1)</f>
        <v>12.9</v>
      </c>
      <c r="V9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2" s="18" t="str">
        <f>IFERROR(IF(LEFT(ICE[[#This Row],[Tenor]], 1) = "B", RTD("esrtd",,$B992 &amp; " " &amp; ICE[[#This Row],[Tenor]] &amp; "-IEU", W$1), RTD("esrtd",,$B992 &amp; " " &amp; VLOOKUP(MONTH(ICE[[#This Row],[Strip]]), MthRef[], 2, 0) &amp; RIGHT(YEAR(ICE[[#This Row],[Strip]]), 2) &amp; "-IEU", W$1)), "")</f>
        <v/>
      </c>
      <c r="X992" s="36"/>
    </row>
    <row r="993" spans="1:25" x14ac:dyDescent="0.25">
      <c r="A993" s="37" t="s">
        <v>436</v>
      </c>
      <c r="B993" s="3" t="str">
        <f>RTD("ice.rtd",,$C993 &amp; $D993 &amp; ":" &amp; B$1)</f>
        <v>STS</v>
      </c>
      <c r="C993" s="3">
        <v>266419</v>
      </c>
      <c r="D993" t="s">
        <v>822</v>
      </c>
      <c r="E993" s="3" t="str">
        <f>RTD("ice.rtd",,$C993 &amp; $D993 &amp; ":" &amp; E$1)</f>
        <v>Cal 27</v>
      </c>
      <c r="F993" s="3" t="str">
        <f>ICE[[#This Row],[Prod]]&amp;ICE[[#This Row],[Strip]]</f>
        <v>viscoCal 27</v>
      </c>
      <c r="G993" s="18" t="str">
        <f>RTD("ice.rtd",,$C993 &amp; $D993 &amp; ":" &amp; G$1)</f>
        <v/>
      </c>
      <c r="H993" s="18" t="str">
        <f>RTD("ice.rtd",,$C993 &amp; $D993 &amp; ":" &amp; H$1)</f>
        <v/>
      </c>
      <c r="I993" s="18" t="str">
        <f>RTD("ice.rtd",,$C993 &amp; $D993 &amp; ":" &amp; I$1)</f>
        <v/>
      </c>
      <c r="J993" s="14" t="str">
        <f>IFERROR(MOD(RTD("ice.rtd",,$C993 &amp; $D993 &amp; ":" &amp; J$1), 1), "")</f>
        <v/>
      </c>
      <c r="K993" s="18" t="str">
        <f>RTD("ice.rtd",,$C993 &amp; $D993 &amp; ":" &amp; K$1)</f>
        <v/>
      </c>
      <c r="L993" s="36" t="str">
        <f>RTD("ice.rtd",,$C993 &amp; $D993 &amp; ":" &amp; L$1)</f>
        <v/>
      </c>
      <c r="M993" s="14" t="str">
        <f>IFERROR(MOD(TIMEVALUE(RTD("ice.rtd",,$C993 &amp; $D993 &amp; ":" &amp; M$1)), 1), "")</f>
        <v/>
      </c>
      <c r="N993" s="36">
        <f>RTD("ice.rtd",,$C993 &amp; $D993 &amp; ":" &amp; N$1)</f>
        <v>0</v>
      </c>
      <c r="O993" s="36">
        <f>RTD("ice.rtd",,$C993 &amp; $D993 &amp; ":" &amp; O$1)</f>
        <v>0</v>
      </c>
      <c r="P9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3" s="14" t="str">
        <f>IF(ICE[[#This Row],[LastType]] = "Scrn", ICE[[#This Row],[LstDate]], IF(ICE[[#This Row],[LastType]] = "Blk", ICE[[#This Row],[LstBlkTime]], ""))</f>
        <v/>
      </c>
      <c r="R993" s="41" t="str">
        <f>IF(ICE[[#This Row],[LastType]] = "Scrn", ICE[[#This Row],[LstPrc]], IF(ICE[[#This Row],[LastType]] = "Blk", ICE[[#This Row],[LstBlkPrc]], ""))</f>
        <v/>
      </c>
      <c r="S993" s="36">
        <f>ICE[[#This Row],[Vol]]+ICE[[#This Row],[BlkVol]]</f>
        <v>0</v>
      </c>
      <c r="T993" s="36">
        <f>RTD("ice.rtd",,$C993 &amp; $D993 &amp; ":" &amp; T$1)</f>
        <v>0</v>
      </c>
      <c r="U993" s="18">
        <f>RTD("ice.rtd",,$C993 &amp; $D993 &amp; ":" &amp; U$1)</f>
        <v>11.104000000000001</v>
      </c>
      <c r="V9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3" s="18" t="str">
        <f>IFERROR(IF(LEFT(ICE[[#This Row],[Tenor]], 1) = "B", RTD("esrtd",,$B993 &amp; " " &amp; ICE[[#This Row],[Tenor]] &amp; "-IEU", W$1), RTD("esrtd",,$B993 &amp; " " &amp; VLOOKUP(MONTH(ICE[[#This Row],[Strip]]), MthRef[], 2, 0) &amp; RIGHT(YEAR(ICE[[#This Row],[Strip]]), 2) &amp; "-IEU", W$1)), "")</f>
        <v/>
      </c>
      <c r="X993" s="36"/>
    </row>
    <row r="994" spans="1:25" x14ac:dyDescent="0.25">
      <c r="A994" s="37" t="s">
        <v>436</v>
      </c>
      <c r="B994" s="3" t="str">
        <f>RTD("ice.rtd",,$C994 &amp; $D994 &amp; ":" &amp; B$1)</f>
        <v>STS</v>
      </c>
      <c r="C994" s="3">
        <v>266419</v>
      </c>
      <c r="D994" t="s">
        <v>823</v>
      </c>
      <c r="E994" s="3" t="str">
        <f>RTD("ice.rtd",,$C994 &amp; $D994 &amp; ":" &amp; E$1)</f>
        <v>Cal 28</v>
      </c>
      <c r="F994" s="3" t="str">
        <f>ICE[[#This Row],[Prod]]&amp;ICE[[#This Row],[Strip]]</f>
        <v>viscoCal 28</v>
      </c>
      <c r="G994" s="18" t="str">
        <f>RTD("ice.rtd",,$C994 &amp; $D994 &amp; ":" &amp; G$1)</f>
        <v/>
      </c>
      <c r="H994" s="18" t="str">
        <f>RTD("ice.rtd",,$C994 &amp; $D994 &amp; ":" &amp; H$1)</f>
        <v/>
      </c>
      <c r="I994" s="18" t="str">
        <f>RTD("ice.rtd",,$C994 &amp; $D994 &amp; ":" &amp; I$1)</f>
        <v/>
      </c>
      <c r="J994" s="14" t="str">
        <f>IFERROR(MOD(RTD("ice.rtd",,$C994 &amp; $D994 &amp; ":" &amp; J$1), 1), "")</f>
        <v/>
      </c>
      <c r="K994" s="18" t="str">
        <f>RTD("ice.rtd",,$C994 &amp; $D994 &amp; ":" &amp; K$1)</f>
        <v/>
      </c>
      <c r="L994" s="36" t="str">
        <f>RTD("ice.rtd",,$C994 &amp; $D994 &amp; ":" &amp; L$1)</f>
        <v/>
      </c>
      <c r="M994" s="14" t="str">
        <f>IFERROR(MOD(TIMEVALUE(RTD("ice.rtd",,$C994 &amp; $D994 &amp; ":" &amp; M$1)), 1), "")</f>
        <v/>
      </c>
      <c r="N994" s="36">
        <f>RTD("ice.rtd",,$C994 &amp; $D994 &amp; ":" &amp; N$1)</f>
        <v>0</v>
      </c>
      <c r="O994" s="36">
        <f>RTD("ice.rtd",,$C994 &amp; $D994 &amp; ":" &amp; O$1)</f>
        <v>0</v>
      </c>
      <c r="P9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4" s="14" t="str">
        <f>IF(ICE[[#This Row],[LastType]] = "Scrn", ICE[[#This Row],[LstDate]], IF(ICE[[#This Row],[LastType]] = "Blk", ICE[[#This Row],[LstBlkTime]], ""))</f>
        <v/>
      </c>
      <c r="R994" s="41" t="str">
        <f>IF(ICE[[#This Row],[LastType]] = "Scrn", ICE[[#This Row],[LstPrc]], IF(ICE[[#This Row],[LastType]] = "Blk", ICE[[#This Row],[LstBlkPrc]], ""))</f>
        <v/>
      </c>
      <c r="S994" s="36">
        <f>ICE[[#This Row],[Vol]]+ICE[[#This Row],[BlkVol]]</f>
        <v>0</v>
      </c>
      <c r="T994" s="36">
        <f>RTD("ice.rtd",,$C994 &amp; $D994 &amp; ":" &amp; T$1)</f>
        <v>0</v>
      </c>
      <c r="U994" s="18">
        <f>RTD("ice.rtd",,$C994 &amp; $D994 &amp; ":" &amp; U$1)</f>
        <v>12.704000000000001</v>
      </c>
      <c r="V9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4" s="18" t="str">
        <f>IFERROR(IF(LEFT(ICE[[#This Row],[Tenor]], 1) = "B", RTD("esrtd",,$B994 &amp; " " &amp; ICE[[#This Row],[Tenor]] &amp; "-IEU", W$1), RTD("esrtd",,$B994 &amp; " " &amp; VLOOKUP(MONTH(ICE[[#This Row],[Strip]]), MthRef[], 2, 0) &amp; RIGHT(YEAR(ICE[[#This Row],[Strip]]), 2) &amp; "-IEU", W$1)), "")</f>
        <v/>
      </c>
      <c r="X994" s="36"/>
    </row>
    <row r="995" spans="1:25" x14ac:dyDescent="0.25">
      <c r="A995" s="37" t="s">
        <v>436</v>
      </c>
      <c r="B995" s="3" t="str">
        <f>RTD("ice.rtd",,$C995 &amp; $D995 &amp; ":" &amp; B$1)</f>
        <v>STS</v>
      </c>
      <c r="C995" s="3">
        <v>266419</v>
      </c>
      <c r="D995" t="s">
        <v>824</v>
      </c>
      <c r="E995" s="3" t="str">
        <f>RTD("ice.rtd",,$C995 &amp; $D995 &amp; ":" &amp; E$1)</f>
        <v>Cal 29</v>
      </c>
      <c r="F995" s="3" t="str">
        <f>ICE[[#This Row],[Prod]]&amp;ICE[[#This Row],[Strip]]</f>
        <v>viscoCal 29</v>
      </c>
      <c r="G995" s="18" t="str">
        <f>RTD("ice.rtd",,$C995 &amp; $D995 &amp; ":" &amp; G$1)</f>
        <v/>
      </c>
      <c r="H995" s="18" t="str">
        <f>RTD("ice.rtd",,$C995 &amp; $D995 &amp; ":" &amp; H$1)</f>
        <v/>
      </c>
      <c r="I995" s="18" t="str">
        <f>RTD("ice.rtd",,$C995 &amp; $D995 &amp; ":" &amp; I$1)</f>
        <v/>
      </c>
      <c r="J995" s="14" t="str">
        <f>IFERROR(MOD(RTD("ice.rtd",,$C995 &amp; $D995 &amp; ":" &amp; J$1), 1), "")</f>
        <v/>
      </c>
      <c r="K995" s="18" t="str">
        <f>RTD("ice.rtd",,$C995 &amp; $D995 &amp; ":" &amp; K$1)</f>
        <v/>
      </c>
      <c r="L995" s="36" t="str">
        <f>RTD("ice.rtd",,$C995 &amp; $D995 &amp; ":" &amp; L$1)</f>
        <v/>
      </c>
      <c r="M995" s="14" t="str">
        <f>IFERROR(MOD(TIMEVALUE(RTD("ice.rtd",,$C995 &amp; $D995 &amp; ":" &amp; M$1)), 1), "")</f>
        <v/>
      </c>
      <c r="N995" s="36">
        <f>RTD("ice.rtd",,$C995 &amp; $D995 &amp; ":" &amp; N$1)</f>
        <v>0</v>
      </c>
      <c r="O995" s="36">
        <f>RTD("ice.rtd",,$C995 &amp; $D995 &amp; ":" &amp; O$1)</f>
        <v>0</v>
      </c>
      <c r="P9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5" s="14" t="str">
        <f>IF(ICE[[#This Row],[LastType]] = "Scrn", ICE[[#This Row],[LstDate]], IF(ICE[[#This Row],[LastType]] = "Blk", ICE[[#This Row],[LstBlkTime]], ""))</f>
        <v/>
      </c>
      <c r="R995" s="41" t="str">
        <f>IF(ICE[[#This Row],[LastType]] = "Scrn", ICE[[#This Row],[LstPrc]], IF(ICE[[#This Row],[LastType]] = "Blk", ICE[[#This Row],[LstBlkPrc]], ""))</f>
        <v/>
      </c>
      <c r="S995" s="36">
        <f>ICE[[#This Row],[Vol]]+ICE[[#This Row],[BlkVol]]</f>
        <v>0</v>
      </c>
      <c r="T995" s="36">
        <f>RTD("ice.rtd",,$C995 &amp; $D995 &amp; ":" &amp; T$1)</f>
        <v>0</v>
      </c>
      <c r="U995" s="18">
        <f>RTD("ice.rtd",,$C995 &amp; $D995 &amp; ":" &amp; U$1)</f>
        <v>13.4</v>
      </c>
      <c r="V9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5" s="18" t="str">
        <f>IFERROR(IF(LEFT(ICE[[#This Row],[Tenor]], 1) = "B", RTD("esrtd",,$B995 &amp; " " &amp; ICE[[#This Row],[Tenor]] &amp; "-IEU", W$1), RTD("esrtd",,$B995 &amp; " " &amp; VLOOKUP(MONTH(ICE[[#This Row],[Strip]]), MthRef[], 2, 0) &amp; RIGHT(YEAR(ICE[[#This Row],[Strip]]), 2) &amp; "-IEU", W$1)), "")</f>
        <v/>
      </c>
      <c r="X995" s="36"/>
    </row>
    <row r="996" spans="1:25" x14ac:dyDescent="0.25">
      <c r="A996" s="37" t="s">
        <v>832</v>
      </c>
      <c r="B996" s="3" t="str">
        <f>RTD("ice.rtd",,$C996 &amp; $D996 &amp; ":" &amp; B$1)</f>
        <v>MHE</v>
      </c>
      <c r="C996" s="3">
        <v>2888029697</v>
      </c>
      <c r="D996" t="s">
        <v>792</v>
      </c>
      <c r="E996" s="3" t="str">
        <f>RTD("ice.rtd",,$C996 &amp; $D996 &amp; ":" &amp; E$1)</f>
        <v>Bal Month</v>
      </c>
      <c r="F996" s="3" t="str">
        <f>ICE[[#This Row],[Prod]]&amp;ICE[[#This Row],[Strip]]</f>
        <v>fo05bfrbrxmtBal Month</v>
      </c>
      <c r="G996" s="18" t="str">
        <f>RTD("ice.rtd",,$C996 &amp; $D996 &amp; ":" &amp; G$1)</f>
        <v/>
      </c>
      <c r="H996" s="18" t="str">
        <f>RTD("ice.rtd",,$C996 &amp; $D996 &amp; ":" &amp; H$1)</f>
        <v/>
      </c>
      <c r="I996" s="18" t="str">
        <f>RTD("ice.rtd",,$C996 &amp; $D996 &amp; ":" &amp; I$1)</f>
        <v/>
      </c>
      <c r="J996" s="14" t="str">
        <f>IFERROR(MOD(RTD("ice.rtd",,$C996 &amp; $D996 &amp; ":" &amp; J$1), 1), "")</f>
        <v/>
      </c>
      <c r="K996" s="18" t="str">
        <f>RTD("ice.rtd",,$C996 &amp; $D996 &amp; ":" &amp; K$1)</f>
        <v/>
      </c>
      <c r="L996" s="36" t="str">
        <f>RTD("ice.rtd",,$C996 &amp; $D996 &amp; ":" &amp; L$1)</f>
        <v/>
      </c>
      <c r="M996" s="14" t="str">
        <f>IFERROR(MOD(TIMEVALUE(RTD("ice.rtd",,$C996 &amp; $D996 &amp; ":" &amp; M$1)), 1), "")</f>
        <v/>
      </c>
      <c r="N996" s="36">
        <f>RTD("ice.rtd",,$C996 &amp; $D996 &amp; ":" &amp; N$1)</f>
        <v>0</v>
      </c>
      <c r="O996" s="36">
        <f>RTD("ice.rtd",,$C996 &amp; $D996 &amp; ":" &amp; O$1)</f>
        <v>0</v>
      </c>
      <c r="P9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6" s="14" t="str">
        <f>IF(ICE[[#This Row],[LastType]] = "Scrn", ICE[[#This Row],[LstDate]], IF(ICE[[#This Row],[LastType]] = "Blk", ICE[[#This Row],[LstBlkTime]], ""))</f>
        <v/>
      </c>
      <c r="R996" s="41" t="str">
        <f>IF(ICE[[#This Row],[LastType]] = "Scrn", ICE[[#This Row],[LstPrc]], IF(ICE[[#This Row],[LastType]] = "Blk", ICE[[#This Row],[LstBlkPrc]], ""))</f>
        <v/>
      </c>
      <c r="S996" s="36">
        <f>ICE[[#This Row],[Vol]]+ICE[[#This Row],[BlkVol]]</f>
        <v>0</v>
      </c>
      <c r="T996" s="36">
        <f>RTD("ice.rtd",,$C996 &amp; $D996 &amp; ":" &amp; T$1)</f>
        <v>0</v>
      </c>
      <c r="U996" s="18">
        <f>RTD("ice.rtd",,$C996 &amp; $D996 &amp; ":" &amp; U$1)</f>
        <v>6.2520000000000007</v>
      </c>
      <c r="V9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6" s="18" t="str">
        <f>IFERROR(IF(LEFT(ICE[[#This Row],[Tenor]], 1) = "B", RTD("esrtd",,$B996 &amp; " " &amp; ICE[[#This Row],[Tenor]] &amp; "-IEU", W$1), RTD("esrtd",,$B996 &amp; " " &amp; VLOOKUP(MONTH(ICE[[#This Row],[Strip]]), MthRef[], 2, 0) &amp; RIGHT(YEAR(ICE[[#This Row],[Strip]]), 2) &amp; "-IEU", W$1)), "")</f>
        <v/>
      </c>
      <c r="X996" s="36"/>
    </row>
    <row r="997" spans="1:25" x14ac:dyDescent="0.25">
      <c r="A997" s="37" t="s">
        <v>832</v>
      </c>
      <c r="B997" s="3" t="str">
        <f>RTD("ice.rtd",,$C997 &amp; $D997 &amp; ":" &amp; B$1)</f>
        <v>TEO</v>
      </c>
      <c r="C997" s="3">
        <v>2755828679</v>
      </c>
      <c r="D997" t="s">
        <v>793</v>
      </c>
      <c r="E997" s="3" t="str">
        <f>RTD("ice.rtd",,$C997 &amp; $D997 &amp; ":" &amp; E$1)</f>
        <v>Sep26</v>
      </c>
      <c r="F997" s="3" t="str">
        <f>ICE[[#This Row],[Prod]]&amp;ICE[[#This Row],[Strip]]</f>
        <v>fo05bfrbrxmtSep26</v>
      </c>
      <c r="G997" s="18" t="str">
        <f>RTD("ice.rtd",,$C997 &amp; $D997 &amp; ":" &amp; G$1)</f>
        <v/>
      </c>
      <c r="H997" s="18" t="str">
        <f>RTD("ice.rtd",,$C997 &amp; $D997 &amp; ":" &amp; H$1)</f>
        <v/>
      </c>
      <c r="I997" s="18" t="str">
        <f>RTD("ice.rtd",,$C997 &amp; $D997 &amp; ":" &amp; I$1)</f>
        <v/>
      </c>
      <c r="J997" s="14" t="str">
        <f>IFERROR(MOD(RTD("ice.rtd",,$C997 &amp; $D997 &amp; ":" &amp; J$1), 1), "")</f>
        <v/>
      </c>
      <c r="K997" s="18" t="str">
        <f>RTD("ice.rtd",,$C997 &amp; $D997 &amp; ":" &amp; K$1)</f>
        <v/>
      </c>
      <c r="L997" s="36" t="str">
        <f>RTD("ice.rtd",,$C997 &amp; $D997 &amp; ":" &amp; L$1)</f>
        <v/>
      </c>
      <c r="M997" s="14" t="str">
        <f>IFERROR(MOD(TIMEVALUE(RTD("ice.rtd",,$C997 &amp; $D997 &amp; ":" &amp; M$1)), 1), "")</f>
        <v/>
      </c>
      <c r="N997" s="36">
        <f>RTD("ice.rtd",,$C997 &amp; $D997 &amp; ":" &amp; N$1)</f>
        <v>0</v>
      </c>
      <c r="O997" s="36">
        <f>RTD("ice.rtd",,$C997 &amp; $D997 &amp; ":" &amp; O$1)</f>
        <v>0</v>
      </c>
      <c r="P9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7" s="14" t="str">
        <f>IF(ICE[[#This Row],[LastType]] = "Scrn", ICE[[#This Row],[LstDate]], IF(ICE[[#This Row],[LastType]] = "Blk", ICE[[#This Row],[LstBlkTime]], ""))</f>
        <v/>
      </c>
      <c r="R997" s="41" t="str">
        <f>IF(ICE[[#This Row],[LastType]] = "Scrn", ICE[[#This Row],[LstPrc]], IF(ICE[[#This Row],[LastType]] = "Blk", ICE[[#This Row],[LstBlkPrc]], ""))</f>
        <v/>
      </c>
      <c r="S997" s="36">
        <f>ICE[[#This Row],[Vol]]+ICE[[#This Row],[BlkVol]]</f>
        <v>0</v>
      </c>
      <c r="T997" s="36">
        <f>RTD("ice.rtd",,$C997 &amp; $D997 &amp; ":" &amp; T$1)</f>
        <v>735</v>
      </c>
      <c r="U997" s="18">
        <f>RTD("ice.rtd",,$C997 &amp; $D997 &amp; ":" &amp; U$1)</f>
        <v>6.2524000000000006</v>
      </c>
      <c r="V9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7" s="18" t="str">
        <f>IFERROR(IF(LEFT(ICE[[#This Row],[Tenor]], 1) = "B", RTD("esrtd",,$B997 &amp; " " &amp; ICE[[#This Row],[Tenor]] &amp; "-IEU", W$1), RTD("esrtd",,$B997 &amp; " " &amp; VLOOKUP(MONTH(ICE[[#This Row],[Strip]]), MthRef[], 2, 0) &amp; RIGHT(YEAR(ICE[[#This Row],[Strip]]), 2) &amp; "-IEU", W$1)), "")</f>
        <v/>
      </c>
      <c r="X997" s="36"/>
    </row>
    <row r="998" spans="1:25" x14ac:dyDescent="0.25">
      <c r="A998" s="37" t="s">
        <v>832</v>
      </c>
      <c r="B998" s="3" t="str">
        <f>RTD("ice.rtd",,$C998 &amp; $D998 &amp; ":" &amp; B$1)</f>
        <v>TEO</v>
      </c>
      <c r="C998" s="3">
        <v>2755828679</v>
      </c>
      <c r="D998" t="s">
        <v>324</v>
      </c>
      <c r="E998" s="3" t="str">
        <f>RTD("ice.rtd",,$C998 &amp; $D998 &amp; ":" &amp; E$1)</f>
        <v>Oct26</v>
      </c>
      <c r="F998" s="3" t="str">
        <f>ICE[[#This Row],[Prod]]&amp;ICE[[#This Row],[Strip]]</f>
        <v>fo05bfrbrxmtOct26</v>
      </c>
      <c r="G998" s="18" t="str">
        <f>RTD("ice.rtd",,$C998 &amp; $D998 &amp; ":" &amp; G$1)</f>
        <v/>
      </c>
      <c r="H998" s="18" t="str">
        <f>RTD("ice.rtd",,$C998 &amp; $D998 &amp; ":" &amp; H$1)</f>
        <v/>
      </c>
      <c r="I998" s="18" t="str">
        <f>RTD("ice.rtd",,$C998 &amp; $D998 &amp; ":" &amp; I$1)</f>
        <v/>
      </c>
      <c r="J998" s="14" t="str">
        <f>IFERROR(MOD(RTD("ice.rtd",,$C998 &amp; $D998 &amp; ":" &amp; J$1), 1), "")</f>
        <v/>
      </c>
      <c r="K998" s="18">
        <f>RTD("ice.rtd",,$C998 &amp; $D998 &amp; ":" &amp; K$1)</f>
        <v>6</v>
      </c>
      <c r="L998" s="36">
        <f>RTD("ice.rtd",,$C998 &amp; $D998 &amp; ":" &amp; L$1)</f>
        <v>5</v>
      </c>
      <c r="M998" s="14">
        <f>IFERROR(MOD(TIMEVALUE(RTD("ice.rtd",,$C998 &amp; $D998 &amp; ":" &amp; M$1)), 1), "")</f>
        <v>0.41387731481481482</v>
      </c>
      <c r="N998" s="36">
        <f>RTD("ice.rtd",,$C998 &amp; $D998 &amp; ":" &amp; N$1)</f>
        <v>0</v>
      </c>
      <c r="O998" s="36">
        <f>RTD("ice.rtd",,$C998 &amp; $D998 &amp; ":" &amp; O$1)</f>
        <v>30</v>
      </c>
      <c r="P9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998" s="14">
        <f>IF(ICE[[#This Row],[LastType]] = "Scrn", ICE[[#This Row],[LstDate]], IF(ICE[[#This Row],[LastType]] = "Blk", ICE[[#This Row],[LstBlkTime]], ""))</f>
        <v>0.41387731481481482</v>
      </c>
      <c r="R998" s="41">
        <f>IF(ICE[[#This Row],[LastType]] = "Scrn", ICE[[#This Row],[LstPrc]], IF(ICE[[#This Row],[LastType]] = "Blk", ICE[[#This Row],[LstBlkPrc]], ""))</f>
        <v>6</v>
      </c>
      <c r="S998" s="36">
        <f>ICE[[#This Row],[Vol]]+ICE[[#This Row],[BlkVol]]</f>
        <v>30</v>
      </c>
      <c r="T998" s="36">
        <f>RTD("ice.rtd",,$C998 &amp; $D998 &amp; ":" &amp; T$1)</f>
        <v>325</v>
      </c>
      <c r="U998" s="18">
        <f>RTD("ice.rtd",,$C998 &amp; $D998 &amp; ":" &amp; U$1)</f>
        <v>6.4004000000000003</v>
      </c>
      <c r="V9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{6.00} |30x</v>
      </c>
      <c r="W998" s="18" t="str">
        <f>IFERROR(IF(LEFT(ICE[[#This Row],[Tenor]], 1) = "B", RTD("esrtd",,$B998 &amp; " " &amp; ICE[[#This Row],[Tenor]] &amp; "-IEU", W$1), RTD("esrtd",,$B998 &amp; " " &amp; VLOOKUP(MONTH(ICE[[#This Row],[Strip]]), MthRef[], 2, 0) &amp; RIGHT(YEAR(ICE[[#This Row],[Strip]]), 2) &amp; "-IEU", W$1)), "")</f>
        <v/>
      </c>
      <c r="X998" s="36"/>
    </row>
    <row r="999" spans="1:25" x14ac:dyDescent="0.25">
      <c r="A999" s="37" t="s">
        <v>832</v>
      </c>
      <c r="B999" s="3" t="str">
        <f>RTD("ice.rtd",,$C999 &amp; $D999 &amp; ":" &amp; B$1)</f>
        <v>TEO</v>
      </c>
      <c r="C999" s="3">
        <v>2755828679</v>
      </c>
      <c r="D999" t="s">
        <v>325</v>
      </c>
      <c r="E999" s="3" t="str">
        <f>RTD("ice.rtd",,$C999 &amp; $D999 &amp; ":" &amp; E$1)</f>
        <v>Nov26</v>
      </c>
      <c r="F999" s="3" t="str">
        <f>ICE[[#This Row],[Prod]]&amp;ICE[[#This Row],[Strip]]</f>
        <v>fo05bfrbrxmtNov26</v>
      </c>
      <c r="G999" s="18" t="str">
        <f>RTD("ice.rtd",,$C999 &amp; $D999 &amp; ":" &amp; G$1)</f>
        <v/>
      </c>
      <c r="H999" s="18" t="str">
        <f>RTD("ice.rtd",,$C999 &amp; $D999 &amp; ":" &amp; H$1)</f>
        <v/>
      </c>
      <c r="I999" s="18" t="str">
        <f>RTD("ice.rtd",,$C999 &amp; $D999 &amp; ":" &amp; I$1)</f>
        <v/>
      </c>
      <c r="J999" s="14" t="str">
        <f>IFERROR(MOD(RTD("ice.rtd",,$C999 &amp; $D999 &amp; ":" &amp; J$1), 1), "")</f>
        <v/>
      </c>
      <c r="K999" s="18" t="str">
        <f>RTD("ice.rtd",,$C999 &amp; $D999 &amp; ":" &amp; K$1)</f>
        <v/>
      </c>
      <c r="L999" s="36" t="str">
        <f>RTD("ice.rtd",,$C999 &amp; $D999 &amp; ":" &amp; L$1)</f>
        <v/>
      </c>
      <c r="M999" s="14" t="str">
        <f>IFERROR(MOD(TIMEVALUE(RTD("ice.rtd",,$C999 &amp; $D999 &amp; ":" &amp; M$1)), 1), "")</f>
        <v/>
      </c>
      <c r="N999" s="36">
        <f>RTD("ice.rtd",,$C999 &amp; $D999 &amp; ":" &amp; N$1)</f>
        <v>0</v>
      </c>
      <c r="O999" s="36">
        <f>RTD("ice.rtd",,$C999 &amp; $D999 &amp; ":" &amp; O$1)</f>
        <v>0</v>
      </c>
      <c r="P9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999" s="14" t="str">
        <f>IF(ICE[[#This Row],[LastType]] = "Scrn", ICE[[#This Row],[LstDate]], IF(ICE[[#This Row],[LastType]] = "Blk", ICE[[#This Row],[LstBlkTime]], ""))</f>
        <v/>
      </c>
      <c r="R999" s="41" t="str">
        <f>IF(ICE[[#This Row],[LastType]] = "Scrn", ICE[[#This Row],[LstPrc]], IF(ICE[[#This Row],[LastType]] = "Blk", ICE[[#This Row],[LstBlkPrc]], ""))</f>
        <v/>
      </c>
      <c r="S999" s="36">
        <f>ICE[[#This Row],[Vol]]+ICE[[#This Row],[BlkVol]]</f>
        <v>0</v>
      </c>
      <c r="T999" s="36">
        <f>RTD("ice.rtd",,$C999 &amp; $D999 &amp; ":" &amp; T$1)</f>
        <v>354</v>
      </c>
      <c r="U999" s="18">
        <f>RTD("ice.rtd",,$C999 &amp; $D999 &amp; ":" &amp; U$1)</f>
        <v>6.2519</v>
      </c>
      <c r="V9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999" s="18" t="str">
        <f>IFERROR(IF(LEFT(ICE[[#This Row],[Tenor]], 1) = "B", RTD("esrtd",,$B999 &amp; " " &amp; ICE[[#This Row],[Tenor]] &amp; "-IEU", W$1), RTD("esrtd",,$B999 &amp; " " &amp; VLOOKUP(MONTH(ICE[[#This Row],[Strip]]), MthRef[], 2, 0) &amp; RIGHT(YEAR(ICE[[#This Row],[Strip]]), 2) &amp; "-IEU", W$1)), "")</f>
        <v/>
      </c>
      <c r="X999" s="36"/>
    </row>
    <row r="1000" spans="1:25" x14ac:dyDescent="0.25">
      <c r="A1000" s="37" t="s">
        <v>832</v>
      </c>
      <c r="B1000" s="3" t="str">
        <f>RTD("ice.rtd",,$C1000 &amp; $D1000 &amp; ":" &amp; B$1)</f>
        <v>TEO</v>
      </c>
      <c r="C1000" s="3">
        <v>2755828679</v>
      </c>
      <c r="D1000" t="s">
        <v>326</v>
      </c>
      <c r="E1000" s="3" t="str">
        <f>RTD("ice.rtd",,$C1000 &amp; $D1000 &amp; ":" &amp; E$1)</f>
        <v>Dec26</v>
      </c>
      <c r="F1000" s="3" t="str">
        <f>ICE[[#This Row],[Prod]]&amp;ICE[[#This Row],[Strip]]</f>
        <v>fo05bfrbrxmtDec26</v>
      </c>
      <c r="G1000" s="18" t="str">
        <f>RTD("ice.rtd",,$C1000 &amp; $D1000 &amp; ":" &amp; G$1)</f>
        <v/>
      </c>
      <c r="H1000" s="18" t="str">
        <f>RTD("ice.rtd",,$C1000 &amp; $D1000 &amp; ":" &amp; H$1)</f>
        <v/>
      </c>
      <c r="I1000" s="18" t="str">
        <f>RTD("ice.rtd",,$C1000 &amp; $D1000 &amp; ":" &amp; I$1)</f>
        <v/>
      </c>
      <c r="J1000" s="14" t="str">
        <f>IFERROR(MOD(RTD("ice.rtd",,$C1000 &amp; $D1000 &amp; ":" &amp; J$1), 1), "")</f>
        <v/>
      </c>
      <c r="K1000" s="18">
        <f>RTD("ice.rtd",,$C1000 &amp; $D1000 &amp; ":" &amp; K$1)</f>
        <v>6.15</v>
      </c>
      <c r="L1000" s="36">
        <f>RTD("ice.rtd",,$C1000 &amp; $D1000 &amp; ":" &amp; L$1)</f>
        <v>5</v>
      </c>
      <c r="M1000" s="14">
        <f>IFERROR(MOD(TIMEVALUE(RTD("ice.rtd",,$C1000 &amp; $D1000 &amp; ":" &amp; M$1)), 1), "")</f>
        <v>0.45277777777777778</v>
      </c>
      <c r="N1000" s="36">
        <f>RTD("ice.rtd",,$C1000 &amp; $D1000 &amp; ":" &amp; N$1)</f>
        <v>0</v>
      </c>
      <c r="O1000" s="36">
        <f>RTD("ice.rtd",,$C1000 &amp; $D1000 &amp; ":" &amp; O$1)</f>
        <v>5</v>
      </c>
      <c r="P10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000" s="14">
        <f>IF(ICE[[#This Row],[LastType]] = "Scrn", ICE[[#This Row],[LstDate]], IF(ICE[[#This Row],[LastType]] = "Blk", ICE[[#This Row],[LstBlkTime]], ""))</f>
        <v>0.45277777777777778</v>
      </c>
      <c r="R1000" s="41">
        <f>IF(ICE[[#This Row],[LastType]] = "Scrn", ICE[[#This Row],[LstPrc]], IF(ICE[[#This Row],[LastType]] = "Blk", ICE[[#This Row],[LstBlkPrc]], ""))</f>
        <v>6.15</v>
      </c>
      <c r="S1000" s="36">
        <f>ICE[[#This Row],[Vol]]+ICE[[#This Row],[BlkVol]]</f>
        <v>5</v>
      </c>
      <c r="T1000" s="36">
        <f>RTD("ice.rtd",,$C1000 &amp; $D1000 &amp; ":" &amp; T$1)</f>
        <v>455</v>
      </c>
      <c r="U1000" s="18">
        <f>RTD("ice.rtd",,$C1000 &amp; $D1000 &amp; ":" &amp; U$1)</f>
        <v>6.1689000000000007</v>
      </c>
      <c r="V10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{6.15} |5x</v>
      </c>
      <c r="W1000" s="18" t="str">
        <f>IFERROR(IF(LEFT(ICE[[#This Row],[Tenor]], 1) = "B", RTD("esrtd",,$B1000 &amp; " " &amp; ICE[[#This Row],[Tenor]] &amp; "-IEU", W$1), RTD("esrtd",,$B1000 &amp; " " &amp; VLOOKUP(MONTH(ICE[[#This Row],[Strip]]), MthRef[], 2, 0) &amp; RIGHT(YEAR(ICE[[#This Row],[Strip]]), 2) &amp; "-IEU", W$1)), "")</f>
        <v/>
      </c>
      <c r="X1000" s="36"/>
    </row>
    <row r="1001" spans="1:25" x14ac:dyDescent="0.25">
      <c r="A1001" s="37" t="s">
        <v>832</v>
      </c>
      <c r="B1001" s="3" t="str">
        <f>RTD("ice.rtd",,$C1001 &amp; $D1001 &amp; ":" &amp; B$1)</f>
        <v>TEO</v>
      </c>
      <c r="C1001" s="3">
        <v>2755828679</v>
      </c>
      <c r="D1001" t="s">
        <v>794</v>
      </c>
      <c r="E1001" s="3" t="str">
        <f>RTD("ice.rtd",,$C1001 &amp; $D1001 &amp; ":" &amp; E$1)</f>
        <v>Jan27</v>
      </c>
      <c r="F1001" s="3" t="str">
        <f>ICE[[#This Row],[Prod]]&amp;ICE[[#This Row],[Strip]]</f>
        <v>fo05bfrbrxmtJan27</v>
      </c>
      <c r="G1001" s="18" t="str">
        <f>RTD("ice.rtd",,$C1001 &amp; $D1001 &amp; ":" &amp; G$1)</f>
        <v/>
      </c>
      <c r="H1001" s="18" t="str">
        <f>RTD("ice.rtd",,$C1001 &amp; $D1001 &amp; ":" &amp; H$1)</f>
        <v/>
      </c>
      <c r="I1001" s="18" t="str">
        <f>RTD("ice.rtd",,$C1001 &amp; $D1001 &amp; ":" &amp; I$1)</f>
        <v/>
      </c>
      <c r="J1001" s="14" t="str">
        <f>IFERROR(MOD(RTD("ice.rtd",,$C1001 &amp; $D1001 &amp; ":" &amp; J$1), 1), "")</f>
        <v/>
      </c>
      <c r="K1001" s="18" t="str">
        <f>RTD("ice.rtd",,$C1001 &amp; $D1001 &amp; ":" &amp; K$1)</f>
        <v/>
      </c>
      <c r="L1001" s="36" t="str">
        <f>RTD("ice.rtd",,$C1001 &amp; $D1001 &amp; ":" &amp; L$1)</f>
        <v/>
      </c>
      <c r="M1001" s="14" t="str">
        <f>IFERROR(MOD(TIMEVALUE(RTD("ice.rtd",,$C1001 &amp; $D1001 &amp; ":" &amp; M$1)), 1), "")</f>
        <v/>
      </c>
      <c r="N1001" s="36">
        <f>RTD("ice.rtd",,$C1001 &amp; $D1001 &amp; ":" &amp; N$1)</f>
        <v>0</v>
      </c>
      <c r="O1001" s="36">
        <f>RTD("ice.rtd",,$C1001 &amp; $D1001 &amp; ":" &amp; O$1)</f>
        <v>0</v>
      </c>
      <c r="P10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1" s="14" t="str">
        <f>IF(ICE[[#This Row],[LastType]] = "Scrn", ICE[[#This Row],[LstDate]], IF(ICE[[#This Row],[LastType]] = "Blk", ICE[[#This Row],[LstBlkTime]], ""))</f>
        <v/>
      </c>
      <c r="R1001" s="41" t="str">
        <f>IF(ICE[[#This Row],[LastType]] = "Scrn", ICE[[#This Row],[LstPrc]], IF(ICE[[#This Row],[LastType]] = "Blk", ICE[[#This Row],[LstBlkPrc]], ""))</f>
        <v/>
      </c>
      <c r="S1001" s="36">
        <f>ICE[[#This Row],[Vol]]+ICE[[#This Row],[BlkVol]]</f>
        <v>0</v>
      </c>
      <c r="T1001" s="36">
        <f>RTD("ice.rtd",,$C1001 &amp; $D1001 &amp; ":" &amp; T$1)</f>
        <v>152</v>
      </c>
      <c r="U1001" s="18">
        <f>RTD("ice.rtd",,$C1001 &amp; $D1001 &amp; ":" &amp; U$1)</f>
        <v>6.2206000000000001</v>
      </c>
      <c r="V10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1" s="18" t="str">
        <f>IFERROR(IF(LEFT(ICE[[#This Row],[Tenor]], 1) = "B", RTD("esrtd",,$B1001 &amp; " " &amp; ICE[[#This Row],[Tenor]] &amp; "-IEU", W$1), RTD("esrtd",,$B1001 &amp; " " &amp; VLOOKUP(MONTH(ICE[[#This Row],[Strip]]), MthRef[], 2, 0) &amp; RIGHT(YEAR(ICE[[#This Row],[Strip]]), 2) &amp; "-IEU", W$1)), "")</f>
        <v/>
      </c>
      <c r="X1001" s="36"/>
    </row>
    <row r="1002" spans="1:25" x14ac:dyDescent="0.25">
      <c r="A1002" s="37" t="s">
        <v>832</v>
      </c>
      <c r="B1002" s="3" t="str">
        <f>RTD("ice.rtd",,$C1002 &amp; $D1002 &amp; ":" &amp; B$1)</f>
        <v>TEO</v>
      </c>
      <c r="C1002" s="3">
        <v>2755828679</v>
      </c>
      <c r="D1002" t="s">
        <v>795</v>
      </c>
      <c r="E1002" s="3" t="str">
        <f>RTD("ice.rtd",,$C1002 &amp; $D1002 &amp; ":" &amp; E$1)</f>
        <v>Feb27</v>
      </c>
      <c r="F1002" s="3" t="str">
        <f>ICE[[#This Row],[Prod]]&amp;ICE[[#This Row],[Strip]]</f>
        <v>fo05bfrbrxmtFeb27</v>
      </c>
      <c r="G1002" s="18" t="str">
        <f>RTD("ice.rtd",,$C1002 &amp; $D1002 &amp; ":" &amp; G$1)</f>
        <v/>
      </c>
      <c r="H1002" s="18" t="str">
        <f>RTD("ice.rtd",,$C1002 &amp; $D1002 &amp; ":" &amp; H$1)</f>
        <v/>
      </c>
      <c r="I1002" s="18" t="str">
        <f>RTD("ice.rtd",,$C1002 &amp; $D1002 &amp; ":" &amp; I$1)</f>
        <v/>
      </c>
      <c r="J1002" s="14" t="str">
        <f>IFERROR(MOD(RTD("ice.rtd",,$C1002 &amp; $D1002 &amp; ":" &amp; J$1), 1), "")</f>
        <v/>
      </c>
      <c r="K1002" s="18" t="str">
        <f>RTD("ice.rtd",,$C1002 &amp; $D1002 &amp; ":" &amp; K$1)</f>
        <v/>
      </c>
      <c r="L1002" s="36" t="str">
        <f>RTD("ice.rtd",,$C1002 &amp; $D1002 &amp; ":" &amp; L$1)</f>
        <v/>
      </c>
      <c r="M1002" s="14" t="str">
        <f>IFERROR(MOD(TIMEVALUE(RTD("ice.rtd",,$C1002 &amp; $D1002 &amp; ":" &amp; M$1)), 1), "")</f>
        <v/>
      </c>
      <c r="N1002" s="36">
        <f>RTD("ice.rtd",,$C1002 &amp; $D1002 &amp; ":" &amp; N$1)</f>
        <v>0</v>
      </c>
      <c r="O1002" s="36">
        <f>RTD("ice.rtd",,$C1002 &amp; $D1002 &amp; ":" &amp; O$1)</f>
        <v>0</v>
      </c>
      <c r="P10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2" s="14" t="str">
        <f>IF(ICE[[#This Row],[LastType]] = "Scrn", ICE[[#This Row],[LstDate]], IF(ICE[[#This Row],[LastType]] = "Blk", ICE[[#This Row],[LstBlkTime]], ""))</f>
        <v/>
      </c>
      <c r="R1002" s="41" t="str">
        <f>IF(ICE[[#This Row],[LastType]] = "Scrn", ICE[[#This Row],[LstPrc]], IF(ICE[[#This Row],[LastType]] = "Blk", ICE[[#This Row],[LstBlkPrc]], ""))</f>
        <v/>
      </c>
      <c r="S1002" s="36">
        <f>ICE[[#This Row],[Vol]]+ICE[[#This Row],[BlkVol]]</f>
        <v>0</v>
      </c>
      <c r="T1002" s="36">
        <f>RTD("ice.rtd",,$C1002 &amp; $D1002 &amp; ":" &amp; T$1)</f>
        <v>147</v>
      </c>
      <c r="U1002" s="18">
        <f>RTD("ice.rtd",,$C1002 &amp; $D1002 &amp; ":" &amp; U$1)</f>
        <v>6.4064000000000005</v>
      </c>
      <c r="V10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2" s="18" t="str">
        <f>IFERROR(IF(LEFT(ICE[[#This Row],[Tenor]], 1) = "B", RTD("esrtd",,$B1002 &amp; " " &amp; ICE[[#This Row],[Tenor]] &amp; "-IEU", W$1), RTD("esrtd",,$B1002 &amp; " " &amp; VLOOKUP(MONTH(ICE[[#This Row],[Strip]]), MthRef[], 2, 0) &amp; RIGHT(YEAR(ICE[[#This Row],[Strip]]), 2) &amp; "-IEU", W$1)), "")</f>
        <v/>
      </c>
      <c r="X1002" s="36"/>
    </row>
    <row r="1003" spans="1:25" x14ac:dyDescent="0.25">
      <c r="A1003" s="37" t="s">
        <v>832</v>
      </c>
      <c r="B1003" s="3" t="str">
        <f>RTD("ice.rtd",,$C1003 &amp; $D1003 &amp; ":" &amp; B$1)</f>
        <v>TEO</v>
      </c>
      <c r="C1003" s="3">
        <v>2755828679</v>
      </c>
      <c r="D1003" t="s">
        <v>113</v>
      </c>
      <c r="E1003" s="3" t="str">
        <f>RTD("ice.rtd",,$C1003 &amp; $D1003 &amp; ":" &amp; E$1)</f>
        <v>Mar27</v>
      </c>
      <c r="F1003" s="3" t="str">
        <f>ICE[[#This Row],[Prod]]&amp;ICE[[#This Row],[Strip]]</f>
        <v>fo05bfrbrxmtMar27</v>
      </c>
      <c r="G1003" s="18" t="str">
        <f>RTD("ice.rtd",,$C1003 &amp; $D1003 &amp; ":" &amp; G$1)</f>
        <v/>
      </c>
      <c r="H1003" s="18" t="str">
        <f>RTD("ice.rtd",,$C1003 &amp; $D1003 &amp; ":" &amp; H$1)</f>
        <v/>
      </c>
      <c r="I1003" s="18" t="str">
        <f>RTD("ice.rtd",,$C1003 &amp; $D1003 &amp; ":" &amp; I$1)</f>
        <v/>
      </c>
      <c r="J1003" s="14" t="str">
        <f>IFERROR(MOD(RTD("ice.rtd",,$C1003 &amp; $D1003 &amp; ":" &amp; J$1), 1), "")</f>
        <v/>
      </c>
      <c r="K1003" s="18" t="str">
        <f>RTD("ice.rtd",,$C1003 &amp; $D1003 &amp; ":" &amp; K$1)</f>
        <v/>
      </c>
      <c r="L1003" s="36" t="str">
        <f>RTD("ice.rtd",,$C1003 &amp; $D1003 &amp; ":" &amp; L$1)</f>
        <v/>
      </c>
      <c r="M1003" s="14" t="str">
        <f>IFERROR(MOD(TIMEVALUE(RTD("ice.rtd",,$C1003 &amp; $D1003 &amp; ":" &amp; M$1)), 1), "")</f>
        <v/>
      </c>
      <c r="N1003" s="36">
        <f>RTD("ice.rtd",,$C1003 &amp; $D1003 &amp; ":" &amp; N$1)</f>
        <v>0</v>
      </c>
      <c r="O1003" s="36">
        <f>RTD("ice.rtd",,$C1003 &amp; $D1003 &amp; ":" &amp; O$1)</f>
        <v>0</v>
      </c>
      <c r="P10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3" s="14" t="str">
        <f>IF(ICE[[#This Row],[LastType]] = "Scrn", ICE[[#This Row],[LstDate]], IF(ICE[[#This Row],[LastType]] = "Blk", ICE[[#This Row],[LstBlkTime]], ""))</f>
        <v/>
      </c>
      <c r="R1003" s="41" t="str">
        <f>IF(ICE[[#This Row],[LastType]] = "Scrn", ICE[[#This Row],[LstPrc]], IF(ICE[[#This Row],[LastType]] = "Blk", ICE[[#This Row],[LstBlkPrc]], ""))</f>
        <v/>
      </c>
      <c r="S1003" s="36">
        <f>ICE[[#This Row],[Vol]]+ICE[[#This Row],[BlkVol]]</f>
        <v>0</v>
      </c>
      <c r="T1003" s="36">
        <f>RTD("ice.rtd",,$C1003 &amp; $D1003 &amp; ":" &amp; T$1)</f>
        <v>147</v>
      </c>
      <c r="U1003" s="18">
        <f>RTD("ice.rtd",,$C1003 &amp; $D1003 &amp; ":" &amp; U$1)</f>
        <v>6.4596</v>
      </c>
      <c r="V10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3" s="18" t="str">
        <f>IFERROR(IF(LEFT(ICE[[#This Row],[Tenor]], 1) = "B", RTD("esrtd",,$B1003 &amp; " " &amp; ICE[[#This Row],[Tenor]] &amp; "-IEU", W$1), RTD("esrtd",,$B1003 &amp; " " &amp; VLOOKUP(MONTH(ICE[[#This Row],[Strip]]), MthRef[], 2, 0) &amp; RIGHT(YEAR(ICE[[#This Row],[Strip]]), 2) &amp; "-IEU", W$1)), "")</f>
        <v/>
      </c>
      <c r="X1003" s="36"/>
    </row>
    <row r="1004" spans="1:25" x14ac:dyDescent="0.25">
      <c r="A1004" s="37" t="s">
        <v>832</v>
      </c>
      <c r="B1004" s="3" t="str">
        <f>RTD("ice.rtd",,$C1004 &amp; $D1004 &amp; ":" &amp; B$1)</f>
        <v>TEO</v>
      </c>
      <c r="C1004" s="3">
        <v>2755828679</v>
      </c>
      <c r="D1004" t="s">
        <v>796</v>
      </c>
      <c r="E1004" s="3" t="str">
        <f>RTD("ice.rtd",,$C1004 &amp; $D1004 &amp; ":" &amp; E$1)</f>
        <v>Apr27</v>
      </c>
      <c r="F1004" s="3" t="str">
        <f>ICE[[#This Row],[Prod]]&amp;ICE[[#This Row],[Strip]]</f>
        <v>fo05bfrbrxmtApr27</v>
      </c>
      <c r="G1004" s="18" t="str">
        <f>RTD("ice.rtd",,$C1004 &amp; $D1004 &amp; ":" &amp; G$1)</f>
        <v/>
      </c>
      <c r="H1004" s="18" t="str">
        <f>RTD("ice.rtd",,$C1004 &amp; $D1004 &amp; ":" &amp; H$1)</f>
        <v/>
      </c>
      <c r="I1004" s="18" t="str">
        <f>RTD("ice.rtd",,$C1004 &amp; $D1004 &amp; ":" &amp; I$1)</f>
        <v/>
      </c>
      <c r="J1004" s="14" t="str">
        <f>IFERROR(MOD(RTD("ice.rtd",,$C1004 &amp; $D1004 &amp; ":" &amp; J$1), 1), "")</f>
        <v/>
      </c>
      <c r="K1004" s="18" t="str">
        <f>RTD("ice.rtd",,$C1004 &amp; $D1004 &amp; ":" &amp; K$1)</f>
        <v/>
      </c>
      <c r="L1004" s="36" t="str">
        <f>RTD("ice.rtd",,$C1004 &amp; $D1004 &amp; ":" &amp; L$1)</f>
        <v/>
      </c>
      <c r="M1004" s="14" t="str">
        <f>IFERROR(MOD(TIMEVALUE(RTD("ice.rtd",,$C1004 &amp; $D1004 &amp; ":" &amp; M$1)), 1), "")</f>
        <v/>
      </c>
      <c r="N1004" s="36">
        <f>RTD("ice.rtd",,$C1004 &amp; $D1004 &amp; ":" &amp; N$1)</f>
        <v>0</v>
      </c>
      <c r="O1004" s="36">
        <f>RTD("ice.rtd",,$C1004 &amp; $D1004 &amp; ":" &amp; O$1)</f>
        <v>0</v>
      </c>
      <c r="P10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4" s="14" t="str">
        <f>IF(ICE[[#This Row],[LastType]] = "Scrn", ICE[[#This Row],[LstDate]], IF(ICE[[#This Row],[LastType]] = "Blk", ICE[[#This Row],[LstBlkTime]], ""))</f>
        <v/>
      </c>
      <c r="R1004" s="41" t="str">
        <f>IF(ICE[[#This Row],[LastType]] = "Scrn", ICE[[#This Row],[LstPrc]], IF(ICE[[#This Row],[LastType]] = "Blk", ICE[[#This Row],[LstBlkPrc]], ""))</f>
        <v/>
      </c>
      <c r="S1004" s="36">
        <f>ICE[[#This Row],[Vol]]+ICE[[#This Row],[BlkVol]]</f>
        <v>0</v>
      </c>
      <c r="T1004" s="36">
        <f>RTD("ice.rtd",,$C1004 &amp; $D1004 &amp; ":" &amp; T$1)</f>
        <v>47</v>
      </c>
      <c r="U1004" s="18">
        <f>RTD("ice.rtd",,$C1004 &amp; $D1004 &amp; ":" &amp; U$1)</f>
        <v>6.4584000000000001</v>
      </c>
      <c r="V10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4" s="18" t="str">
        <f>IFERROR(IF(LEFT(ICE[[#This Row],[Tenor]], 1) = "B", RTD("esrtd",,$B1004 &amp; " " &amp; ICE[[#This Row],[Tenor]] &amp; "-IEU", W$1), RTD("esrtd",,$B1004 &amp; " " &amp; VLOOKUP(MONTH(ICE[[#This Row],[Strip]]), MthRef[], 2, 0) &amp; RIGHT(YEAR(ICE[[#This Row],[Strip]]), 2) &amp; "-IEU", W$1)), "")</f>
        <v/>
      </c>
      <c r="X1004" s="36"/>
      <c r="Y1004" t="str">
        <f>RTD("ice.rtd",,"2755828679M1:BstLiftPrc")</f>
        <v/>
      </c>
    </row>
    <row r="1005" spans="1:25" x14ac:dyDescent="0.25">
      <c r="A1005" s="37" t="s">
        <v>832</v>
      </c>
      <c r="B1005" s="3" t="str">
        <f>RTD("ice.rtd",,$C1005 &amp; $D1005 &amp; ":" &amp; B$1)</f>
        <v>TEO</v>
      </c>
      <c r="C1005" s="3">
        <v>2755828679</v>
      </c>
      <c r="D1005" t="s">
        <v>797</v>
      </c>
      <c r="E1005" s="3" t="str">
        <f>RTD("ice.rtd",,$C1005 &amp; $D1005 &amp; ":" &amp; E$1)</f>
        <v>May27</v>
      </c>
      <c r="F1005" s="3" t="str">
        <f>ICE[[#This Row],[Prod]]&amp;ICE[[#This Row],[Strip]]</f>
        <v>fo05bfrbrxmtMay27</v>
      </c>
      <c r="G1005" s="18" t="str">
        <f>RTD("ice.rtd",,$C1005 &amp; $D1005 &amp; ":" &amp; G$1)</f>
        <v/>
      </c>
      <c r="H1005" s="18" t="str">
        <f>RTD("ice.rtd",,$C1005 &amp; $D1005 &amp; ":" &amp; H$1)</f>
        <v/>
      </c>
      <c r="I1005" s="18" t="str">
        <f>RTD("ice.rtd",,$C1005 &amp; $D1005 &amp; ":" &amp; I$1)</f>
        <v/>
      </c>
      <c r="J1005" s="14" t="str">
        <f>IFERROR(MOD(RTD("ice.rtd",,$C1005 &amp; $D1005 &amp; ":" &amp; J$1), 1), "")</f>
        <v/>
      </c>
      <c r="K1005" s="18" t="str">
        <f>RTD("ice.rtd",,$C1005 &amp; $D1005 &amp; ":" &amp; K$1)</f>
        <v/>
      </c>
      <c r="L1005" s="36" t="str">
        <f>RTD("ice.rtd",,$C1005 &amp; $D1005 &amp; ":" &amp; L$1)</f>
        <v/>
      </c>
      <c r="M1005" s="14" t="str">
        <f>IFERROR(MOD(TIMEVALUE(RTD("ice.rtd",,$C1005 &amp; $D1005 &amp; ":" &amp; M$1)), 1), "")</f>
        <v/>
      </c>
      <c r="N1005" s="36">
        <f>RTD("ice.rtd",,$C1005 &amp; $D1005 &amp; ":" &amp; N$1)</f>
        <v>0</v>
      </c>
      <c r="O1005" s="36">
        <f>RTD("ice.rtd",,$C1005 &amp; $D1005 &amp; ":" &amp; O$1)</f>
        <v>0</v>
      </c>
      <c r="P10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5" s="14" t="str">
        <f>IF(ICE[[#This Row],[LastType]] = "Scrn", ICE[[#This Row],[LstDate]], IF(ICE[[#This Row],[LastType]] = "Blk", ICE[[#This Row],[LstBlkTime]], ""))</f>
        <v/>
      </c>
      <c r="R1005" s="41" t="str">
        <f>IF(ICE[[#This Row],[LastType]] = "Scrn", ICE[[#This Row],[LstPrc]], IF(ICE[[#This Row],[LastType]] = "Blk", ICE[[#This Row],[LstBlkPrc]], ""))</f>
        <v/>
      </c>
      <c r="S1005" s="36">
        <f>ICE[[#This Row],[Vol]]+ICE[[#This Row],[BlkVol]]</f>
        <v>0</v>
      </c>
      <c r="T1005" s="36">
        <f>RTD("ice.rtd",,$C1005 &amp; $D1005 &amp; ":" &amp; T$1)</f>
        <v>47</v>
      </c>
      <c r="U1005" s="18">
        <f>RTD("ice.rtd",,$C1005 &amp; $D1005 &amp; ":" &amp; U$1)</f>
        <v>6.4916</v>
      </c>
      <c r="V10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5" s="18" t="str">
        <f>IFERROR(IF(LEFT(ICE[[#This Row],[Tenor]], 1) = "B", RTD("esrtd",,$B1005 &amp; " " &amp; ICE[[#This Row],[Tenor]] &amp; "-IEU", W$1), RTD("esrtd",,$B1005 &amp; " " &amp; VLOOKUP(MONTH(ICE[[#This Row],[Strip]]), MthRef[], 2, 0) &amp; RIGHT(YEAR(ICE[[#This Row],[Strip]]), 2) &amp; "-IEU", W$1)), "")</f>
        <v/>
      </c>
      <c r="X1005" s="36"/>
    </row>
    <row r="1006" spans="1:25" x14ac:dyDescent="0.25">
      <c r="A1006" s="37" t="s">
        <v>832</v>
      </c>
      <c r="B1006" s="3" t="str">
        <f>RTD("ice.rtd",,$C1006 &amp; $D1006 &amp; ":" &amp; B$1)</f>
        <v>TEO</v>
      </c>
      <c r="C1006" s="3">
        <v>2755828679</v>
      </c>
      <c r="D1006" t="s">
        <v>798</v>
      </c>
      <c r="E1006" s="3" t="str">
        <f>RTD("ice.rtd",,$C1006 &amp; $D1006 &amp; ":" &amp; E$1)</f>
        <v>Jun27</v>
      </c>
      <c r="F1006" s="3" t="str">
        <f>ICE[[#This Row],[Prod]]&amp;ICE[[#This Row],[Strip]]</f>
        <v>fo05bfrbrxmtJun27</v>
      </c>
      <c r="G1006" s="18" t="str">
        <f>RTD("ice.rtd",,$C1006 &amp; $D1006 &amp; ":" &amp; G$1)</f>
        <v/>
      </c>
      <c r="H1006" s="18" t="str">
        <f>RTD("ice.rtd",,$C1006 &amp; $D1006 &amp; ":" &amp; H$1)</f>
        <v/>
      </c>
      <c r="I1006" s="18" t="str">
        <f>RTD("ice.rtd",,$C1006 &amp; $D1006 &amp; ":" &amp; I$1)</f>
        <v/>
      </c>
      <c r="J1006" s="14" t="str">
        <f>IFERROR(MOD(RTD("ice.rtd",,$C1006 &amp; $D1006 &amp; ":" &amp; J$1), 1), "")</f>
        <v/>
      </c>
      <c r="K1006" s="18" t="str">
        <f>RTD("ice.rtd",,$C1006 &amp; $D1006 &amp; ":" &amp; K$1)</f>
        <v/>
      </c>
      <c r="L1006" s="36" t="str">
        <f>RTD("ice.rtd",,$C1006 &amp; $D1006 &amp; ":" &amp; L$1)</f>
        <v/>
      </c>
      <c r="M1006" s="14" t="str">
        <f>IFERROR(MOD(TIMEVALUE(RTD("ice.rtd",,$C1006 &amp; $D1006 &amp; ":" &amp; M$1)), 1), "")</f>
        <v/>
      </c>
      <c r="N1006" s="36">
        <f>RTD("ice.rtd",,$C1006 &amp; $D1006 &amp; ":" &amp; N$1)</f>
        <v>0</v>
      </c>
      <c r="O1006" s="36">
        <f>RTD("ice.rtd",,$C1006 &amp; $D1006 &amp; ":" &amp; O$1)</f>
        <v>0</v>
      </c>
      <c r="P10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6" s="14" t="str">
        <f>IF(ICE[[#This Row],[LastType]] = "Scrn", ICE[[#This Row],[LstDate]], IF(ICE[[#This Row],[LastType]] = "Blk", ICE[[#This Row],[LstBlkTime]], ""))</f>
        <v/>
      </c>
      <c r="R1006" s="41" t="str">
        <f>IF(ICE[[#This Row],[LastType]] = "Scrn", ICE[[#This Row],[LstPrc]], IF(ICE[[#This Row],[LastType]] = "Blk", ICE[[#This Row],[LstBlkPrc]], ""))</f>
        <v/>
      </c>
      <c r="S1006" s="36">
        <f>ICE[[#This Row],[Vol]]+ICE[[#This Row],[BlkVol]]</f>
        <v>0</v>
      </c>
      <c r="T1006" s="36">
        <f>RTD("ice.rtd",,$C1006 &amp; $D1006 &amp; ":" &amp; T$1)</f>
        <v>47</v>
      </c>
      <c r="U1006" s="18">
        <f>RTD("ice.rtd",,$C1006 &amp; $D1006 &amp; ":" &amp; U$1)</f>
        <v>6.3742000000000001</v>
      </c>
      <c r="V10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6" s="18" t="str">
        <f>IFERROR(IF(LEFT(ICE[[#This Row],[Tenor]], 1) = "B", RTD("esrtd",,$B1006 &amp; " " &amp; ICE[[#This Row],[Tenor]] &amp; "-IEU", W$1), RTD("esrtd",,$B1006 &amp; " " &amp; VLOOKUP(MONTH(ICE[[#This Row],[Strip]]), MthRef[], 2, 0) &amp; RIGHT(YEAR(ICE[[#This Row],[Strip]]), 2) &amp; "-IEU", W$1)), "")</f>
        <v/>
      </c>
      <c r="X1006" s="36"/>
    </row>
    <row r="1007" spans="1:25" x14ac:dyDescent="0.25">
      <c r="A1007" s="37" t="s">
        <v>832</v>
      </c>
      <c r="B1007" s="3" t="str">
        <f>RTD("ice.rtd",,$C1007 &amp; $D1007 &amp; ":" &amp; B$1)</f>
        <v>TEO</v>
      </c>
      <c r="C1007" s="3">
        <v>2755828679</v>
      </c>
      <c r="D1007" t="s">
        <v>799</v>
      </c>
      <c r="E1007" s="3" t="str">
        <f>RTD("ice.rtd",,$C1007 &amp; $D1007 &amp; ":" &amp; E$1)</f>
        <v>Jul27</v>
      </c>
      <c r="F1007" s="3" t="str">
        <f>ICE[[#This Row],[Prod]]&amp;ICE[[#This Row],[Strip]]</f>
        <v>fo05bfrbrxmtJul27</v>
      </c>
      <c r="G1007" s="18" t="str">
        <f>RTD("ice.rtd",,$C1007 &amp; $D1007 &amp; ":" &amp; G$1)</f>
        <v/>
      </c>
      <c r="H1007" s="18" t="str">
        <f>RTD("ice.rtd",,$C1007 &amp; $D1007 &amp; ":" &amp; H$1)</f>
        <v/>
      </c>
      <c r="I1007" s="18" t="str">
        <f>RTD("ice.rtd",,$C1007 &amp; $D1007 &amp; ":" &amp; I$1)</f>
        <v/>
      </c>
      <c r="J1007" s="14" t="str">
        <f>IFERROR(MOD(RTD("ice.rtd",,$C1007 &amp; $D1007 &amp; ":" &amp; J$1), 1), "")</f>
        <v/>
      </c>
      <c r="K1007" s="18" t="str">
        <f>RTD("ice.rtd",,$C1007 &amp; $D1007 &amp; ":" &amp; K$1)</f>
        <v/>
      </c>
      <c r="L1007" s="36" t="str">
        <f>RTD("ice.rtd",,$C1007 &amp; $D1007 &amp; ":" &amp; L$1)</f>
        <v/>
      </c>
      <c r="M1007" s="14" t="str">
        <f>IFERROR(MOD(TIMEVALUE(RTD("ice.rtd",,$C1007 &amp; $D1007 &amp; ":" &amp; M$1)), 1), "")</f>
        <v/>
      </c>
      <c r="N1007" s="36">
        <f>RTD("ice.rtd",,$C1007 &amp; $D1007 &amp; ":" &amp; N$1)</f>
        <v>0</v>
      </c>
      <c r="O1007" s="36">
        <f>RTD("ice.rtd",,$C1007 &amp; $D1007 &amp; ":" &amp; O$1)</f>
        <v>0</v>
      </c>
      <c r="P10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7" s="14" t="str">
        <f>IF(ICE[[#This Row],[LastType]] = "Scrn", ICE[[#This Row],[LstDate]], IF(ICE[[#This Row],[LastType]] = "Blk", ICE[[#This Row],[LstBlkTime]], ""))</f>
        <v/>
      </c>
      <c r="R1007" s="41" t="str">
        <f>IF(ICE[[#This Row],[LastType]] = "Scrn", ICE[[#This Row],[LstPrc]], IF(ICE[[#This Row],[LastType]] = "Blk", ICE[[#This Row],[LstBlkPrc]], ""))</f>
        <v/>
      </c>
      <c r="S1007" s="36">
        <f>ICE[[#This Row],[Vol]]+ICE[[#This Row],[BlkVol]]</f>
        <v>0</v>
      </c>
      <c r="T1007" s="36">
        <f>RTD("ice.rtd",,$C1007 &amp; $D1007 &amp; ":" &amp; T$1)</f>
        <v>54</v>
      </c>
      <c r="U1007" s="18">
        <f>RTD("ice.rtd",,$C1007 &amp; $D1007 &amp; ":" &amp; U$1)</f>
        <v>6.2038000000000002</v>
      </c>
      <c r="V10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7" s="18" t="str">
        <f>IFERROR(IF(LEFT(ICE[[#This Row],[Tenor]], 1) = "B", RTD("esrtd",,$B1007 &amp; " " &amp; ICE[[#This Row],[Tenor]] &amp; "-IEU", W$1), RTD("esrtd",,$B1007 &amp; " " &amp; VLOOKUP(MONTH(ICE[[#This Row],[Strip]]), MthRef[], 2, 0) &amp; RIGHT(YEAR(ICE[[#This Row],[Strip]]), 2) &amp; "-IEU", W$1)), "")</f>
        <v/>
      </c>
      <c r="X1007" s="36"/>
    </row>
    <row r="1008" spans="1:25" x14ac:dyDescent="0.25">
      <c r="A1008" s="37" t="s">
        <v>832</v>
      </c>
      <c r="B1008" s="3" t="str">
        <f>RTD("ice.rtd",,$C1008 &amp; $D1008 &amp; ":" &amp; B$1)</f>
        <v>TEO</v>
      </c>
      <c r="C1008" s="3">
        <v>2755828679</v>
      </c>
      <c r="D1008" t="s">
        <v>800</v>
      </c>
      <c r="E1008" s="3" t="str">
        <f>RTD("ice.rtd",,$C1008 &amp; $D1008 &amp; ":" &amp; E$1)</f>
        <v>Aug27</v>
      </c>
      <c r="F1008" s="3" t="str">
        <f>ICE[[#This Row],[Prod]]&amp;ICE[[#This Row],[Strip]]</f>
        <v>fo05bfrbrxmtAug27</v>
      </c>
      <c r="G1008" s="18" t="str">
        <f>RTD("ice.rtd",,$C1008 &amp; $D1008 &amp; ":" &amp; G$1)</f>
        <v/>
      </c>
      <c r="H1008" s="18" t="str">
        <f>RTD("ice.rtd",,$C1008 &amp; $D1008 &amp; ":" &amp; H$1)</f>
        <v/>
      </c>
      <c r="I1008" s="18" t="str">
        <f>RTD("ice.rtd",,$C1008 &amp; $D1008 &amp; ":" &amp; I$1)</f>
        <v/>
      </c>
      <c r="J1008" s="14" t="str">
        <f>IFERROR(MOD(RTD("ice.rtd",,$C1008 &amp; $D1008 &amp; ":" &amp; J$1), 1), "")</f>
        <v/>
      </c>
      <c r="K1008" s="18" t="str">
        <f>RTD("ice.rtd",,$C1008 &amp; $D1008 &amp; ":" &amp; K$1)</f>
        <v/>
      </c>
      <c r="L1008" s="36" t="str">
        <f>RTD("ice.rtd",,$C1008 &amp; $D1008 &amp; ":" &amp; L$1)</f>
        <v/>
      </c>
      <c r="M1008" s="14" t="str">
        <f>IFERROR(MOD(TIMEVALUE(RTD("ice.rtd",,$C1008 &amp; $D1008 &amp; ":" &amp; M$1)), 1), "")</f>
        <v/>
      </c>
      <c r="N1008" s="36">
        <f>RTD("ice.rtd",,$C1008 &amp; $D1008 &amp; ":" &amp; N$1)</f>
        <v>0</v>
      </c>
      <c r="O1008" s="36">
        <f>RTD("ice.rtd",,$C1008 &amp; $D1008 &amp; ":" &amp; O$1)</f>
        <v>0</v>
      </c>
      <c r="P10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8" s="14" t="str">
        <f>IF(ICE[[#This Row],[LastType]] = "Scrn", ICE[[#This Row],[LstDate]], IF(ICE[[#This Row],[LastType]] = "Blk", ICE[[#This Row],[LstBlkTime]], ""))</f>
        <v/>
      </c>
      <c r="R1008" s="41" t="str">
        <f>IF(ICE[[#This Row],[LastType]] = "Scrn", ICE[[#This Row],[LstPrc]], IF(ICE[[#This Row],[LastType]] = "Blk", ICE[[#This Row],[LstBlkPrc]], ""))</f>
        <v/>
      </c>
      <c r="S1008" s="36">
        <f>ICE[[#This Row],[Vol]]+ICE[[#This Row],[BlkVol]]</f>
        <v>0</v>
      </c>
      <c r="T1008" s="36">
        <f>RTD("ice.rtd",,$C1008 &amp; $D1008 &amp; ":" &amp; T$1)</f>
        <v>54</v>
      </c>
      <c r="U1008" s="18">
        <f>RTD("ice.rtd",,$C1008 &amp; $D1008 &amp; ":" &amp; U$1)</f>
        <v>5.9534000000000002</v>
      </c>
      <c r="V10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8" s="18" t="str">
        <f>IFERROR(IF(LEFT(ICE[[#This Row],[Tenor]], 1) = "B", RTD("esrtd",,$B1008 &amp; " " &amp; ICE[[#This Row],[Tenor]] &amp; "-IEU", W$1), RTD("esrtd",,$B1008 &amp; " " &amp; VLOOKUP(MONTH(ICE[[#This Row],[Strip]]), MthRef[], 2, 0) &amp; RIGHT(YEAR(ICE[[#This Row],[Strip]]), 2) &amp; "-IEU", W$1)), "")</f>
        <v/>
      </c>
      <c r="X1008" s="36"/>
    </row>
    <row r="1009" spans="1:24" x14ac:dyDescent="0.25">
      <c r="A1009" s="37" t="s">
        <v>832</v>
      </c>
      <c r="B1009" s="3" t="str">
        <f>RTD("ice.rtd",,$C1009 &amp; $D1009 &amp; ":" &amp; B$1)</f>
        <v>TEO</v>
      </c>
      <c r="C1009" s="3">
        <v>2755828679</v>
      </c>
      <c r="D1009" t="s">
        <v>801</v>
      </c>
      <c r="E1009" s="3" t="str">
        <f>RTD("ice.rtd",,$C1009 &amp; $D1009 &amp; ":" &amp; E$1)</f>
        <v>Sep27</v>
      </c>
      <c r="F1009" s="3" t="str">
        <f>ICE[[#This Row],[Prod]]&amp;ICE[[#This Row],[Strip]]</f>
        <v>fo05bfrbrxmtSep27</v>
      </c>
      <c r="G1009" s="18" t="str">
        <f>RTD("ice.rtd",,$C1009 &amp; $D1009 &amp; ":" &amp; G$1)</f>
        <v/>
      </c>
      <c r="H1009" s="18" t="str">
        <f>RTD("ice.rtd",,$C1009 &amp; $D1009 &amp; ":" &amp; H$1)</f>
        <v/>
      </c>
      <c r="I1009" s="18" t="str">
        <f>RTD("ice.rtd",,$C1009 &amp; $D1009 &amp; ":" &amp; I$1)</f>
        <v/>
      </c>
      <c r="J1009" s="14" t="str">
        <f>IFERROR(MOD(RTD("ice.rtd",,$C1009 &amp; $D1009 &amp; ":" &amp; J$1), 1), "")</f>
        <v/>
      </c>
      <c r="K1009" s="18" t="str">
        <f>RTD("ice.rtd",,$C1009 &amp; $D1009 &amp; ":" &amp; K$1)</f>
        <v/>
      </c>
      <c r="L1009" s="36" t="str">
        <f>RTD("ice.rtd",,$C1009 &amp; $D1009 &amp; ":" &amp; L$1)</f>
        <v/>
      </c>
      <c r="M1009" s="14" t="str">
        <f>IFERROR(MOD(TIMEVALUE(RTD("ice.rtd",,$C1009 &amp; $D1009 &amp; ":" &amp; M$1)), 1), "")</f>
        <v/>
      </c>
      <c r="N1009" s="36">
        <f>RTD("ice.rtd",,$C1009 &amp; $D1009 &amp; ":" &amp; N$1)</f>
        <v>0</v>
      </c>
      <c r="O1009" s="36">
        <f>RTD("ice.rtd",,$C1009 &amp; $D1009 &amp; ":" &amp; O$1)</f>
        <v>0</v>
      </c>
      <c r="P10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09" s="14" t="str">
        <f>IF(ICE[[#This Row],[LastType]] = "Scrn", ICE[[#This Row],[LstDate]], IF(ICE[[#This Row],[LastType]] = "Blk", ICE[[#This Row],[LstBlkTime]], ""))</f>
        <v/>
      </c>
      <c r="R1009" s="41" t="str">
        <f>IF(ICE[[#This Row],[LastType]] = "Scrn", ICE[[#This Row],[LstPrc]], IF(ICE[[#This Row],[LastType]] = "Blk", ICE[[#This Row],[LstBlkPrc]], ""))</f>
        <v/>
      </c>
      <c r="S1009" s="36">
        <f>ICE[[#This Row],[Vol]]+ICE[[#This Row],[BlkVol]]</f>
        <v>0</v>
      </c>
      <c r="T1009" s="36">
        <f>RTD("ice.rtd",,$C1009 &amp; $D1009 &amp; ":" &amp; T$1)</f>
        <v>54</v>
      </c>
      <c r="U1009" s="18">
        <f>RTD("ice.rtd",,$C1009 &amp; $D1009 &amp; ":" &amp; U$1)</f>
        <v>5.6834000000000007</v>
      </c>
      <c r="V10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09" s="18" t="str">
        <f>IFERROR(IF(LEFT(ICE[[#This Row],[Tenor]], 1) = "B", RTD("esrtd",,$B1009 &amp; " " &amp; ICE[[#This Row],[Tenor]] &amp; "-IEU", W$1), RTD("esrtd",,$B1009 &amp; " " &amp; VLOOKUP(MONTH(ICE[[#This Row],[Strip]]), MthRef[], 2, 0) &amp; RIGHT(YEAR(ICE[[#This Row],[Strip]]), 2) &amp; "-IEU", W$1)), "")</f>
        <v/>
      </c>
      <c r="X1009" s="36"/>
    </row>
    <row r="1010" spans="1:24" x14ac:dyDescent="0.25">
      <c r="A1010" s="37" t="s">
        <v>832</v>
      </c>
      <c r="B1010" s="3" t="str">
        <f>RTD("ice.rtd",,$C1010 &amp; $D1010 &amp; ":" &amp; B$1)</f>
        <v>TEO</v>
      </c>
      <c r="C1010" s="3">
        <v>2755828679</v>
      </c>
      <c r="D1010" t="s">
        <v>802</v>
      </c>
      <c r="E1010" s="3" t="str">
        <f>RTD("ice.rtd",,$C1010 &amp; $D1010 &amp; ":" &amp; E$1)</f>
        <v>Oct27</v>
      </c>
      <c r="F1010" s="3" t="str">
        <f>ICE[[#This Row],[Prod]]&amp;ICE[[#This Row],[Strip]]</f>
        <v>fo05bfrbrxmtOct27</v>
      </c>
      <c r="G1010" s="18" t="str">
        <f>RTD("ice.rtd",,$C1010 &amp; $D1010 &amp; ":" &amp; G$1)</f>
        <v/>
      </c>
      <c r="H1010" s="18" t="str">
        <f>RTD("ice.rtd",,$C1010 &amp; $D1010 &amp; ":" &amp; H$1)</f>
        <v/>
      </c>
      <c r="I1010" s="18" t="str">
        <f>RTD("ice.rtd",,$C1010 &amp; $D1010 &amp; ":" &amp; I$1)</f>
        <v/>
      </c>
      <c r="J1010" s="14" t="str">
        <f>IFERROR(MOD(RTD("ice.rtd",,$C1010 &amp; $D1010 &amp; ":" &amp; J$1), 1), "")</f>
        <v/>
      </c>
      <c r="K1010" s="18" t="str">
        <f>RTD("ice.rtd",,$C1010 &amp; $D1010 &amp; ":" &amp; K$1)</f>
        <v/>
      </c>
      <c r="L1010" s="36" t="str">
        <f>RTD("ice.rtd",,$C1010 &amp; $D1010 &amp; ":" &amp; L$1)</f>
        <v/>
      </c>
      <c r="M1010" s="14" t="str">
        <f>IFERROR(MOD(TIMEVALUE(RTD("ice.rtd",,$C1010 &amp; $D1010 &amp; ":" &amp; M$1)), 1), "")</f>
        <v/>
      </c>
      <c r="N1010" s="36">
        <f>RTD("ice.rtd",,$C1010 &amp; $D1010 &amp; ":" &amp; N$1)</f>
        <v>0</v>
      </c>
      <c r="O1010" s="36">
        <f>RTD("ice.rtd",,$C1010 &amp; $D1010 &amp; ":" &amp; O$1)</f>
        <v>0</v>
      </c>
      <c r="P10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0" s="14" t="str">
        <f>IF(ICE[[#This Row],[LastType]] = "Scrn", ICE[[#This Row],[LstDate]], IF(ICE[[#This Row],[LastType]] = "Blk", ICE[[#This Row],[LstBlkTime]], ""))</f>
        <v/>
      </c>
      <c r="R1010" s="41" t="str">
        <f>IF(ICE[[#This Row],[LastType]] = "Scrn", ICE[[#This Row],[LstPrc]], IF(ICE[[#This Row],[LastType]] = "Blk", ICE[[#This Row],[LstBlkPrc]], ""))</f>
        <v/>
      </c>
      <c r="S1010" s="36">
        <f>ICE[[#This Row],[Vol]]+ICE[[#This Row],[BlkVol]]</f>
        <v>0</v>
      </c>
      <c r="T1010" s="36">
        <f>RTD("ice.rtd",,$C1010 &amp; $D1010 &amp; ":" &amp; T$1)</f>
        <v>43</v>
      </c>
      <c r="U1010" s="18">
        <f>RTD("ice.rtd",,$C1010 &amp; $D1010 &amp; ":" &amp; U$1)</f>
        <v>5.3754</v>
      </c>
      <c r="V10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0" s="18" t="str">
        <f>IFERROR(IF(LEFT(ICE[[#This Row],[Tenor]], 1) = "B", RTD("esrtd",,$B1010 &amp; " " &amp; ICE[[#This Row],[Tenor]] &amp; "-IEU", W$1), RTD("esrtd",,$B1010 &amp; " " &amp; VLOOKUP(MONTH(ICE[[#This Row],[Strip]]), MthRef[], 2, 0) &amp; RIGHT(YEAR(ICE[[#This Row],[Strip]]), 2) &amp; "-IEU", W$1)), "")</f>
        <v/>
      </c>
      <c r="X1010" s="36"/>
    </row>
    <row r="1011" spans="1:24" x14ac:dyDescent="0.25">
      <c r="A1011" s="37" t="s">
        <v>832</v>
      </c>
      <c r="B1011" s="3" t="str">
        <f>RTD("ice.rtd",,$C1011 &amp; $D1011 &amp; ":" &amp; B$1)</f>
        <v>TEO</v>
      </c>
      <c r="C1011" s="3">
        <v>2755828679</v>
      </c>
      <c r="D1011" t="s">
        <v>803</v>
      </c>
      <c r="E1011" s="3" t="str">
        <f>RTD("ice.rtd",,$C1011 &amp; $D1011 &amp; ":" &amp; E$1)</f>
        <v>Nov27</v>
      </c>
      <c r="F1011" s="3" t="str">
        <f>ICE[[#This Row],[Prod]]&amp;ICE[[#This Row],[Strip]]</f>
        <v>fo05bfrbrxmtNov27</v>
      </c>
      <c r="G1011" s="18" t="str">
        <f>RTD("ice.rtd",,$C1011 &amp; $D1011 &amp; ":" &amp; G$1)</f>
        <v/>
      </c>
      <c r="H1011" s="18" t="str">
        <f>RTD("ice.rtd",,$C1011 &amp; $D1011 &amp; ":" &amp; H$1)</f>
        <v/>
      </c>
      <c r="I1011" s="18" t="str">
        <f>RTD("ice.rtd",,$C1011 &amp; $D1011 &amp; ":" &amp; I$1)</f>
        <v/>
      </c>
      <c r="J1011" s="14" t="str">
        <f>IFERROR(MOD(RTD("ice.rtd",,$C1011 &amp; $D1011 &amp; ":" &amp; J$1), 1), "")</f>
        <v/>
      </c>
      <c r="K1011" s="18" t="str">
        <f>RTD("ice.rtd",,$C1011 &amp; $D1011 &amp; ":" &amp; K$1)</f>
        <v/>
      </c>
      <c r="L1011" s="36" t="str">
        <f>RTD("ice.rtd",,$C1011 &amp; $D1011 &amp; ":" &amp; L$1)</f>
        <v/>
      </c>
      <c r="M1011" s="14" t="str">
        <f>IFERROR(MOD(TIMEVALUE(RTD("ice.rtd",,$C1011 &amp; $D1011 &amp; ":" &amp; M$1)), 1), "")</f>
        <v/>
      </c>
      <c r="N1011" s="36">
        <f>RTD("ice.rtd",,$C1011 &amp; $D1011 &amp; ":" &amp; N$1)</f>
        <v>0</v>
      </c>
      <c r="O1011" s="36">
        <f>RTD("ice.rtd",,$C1011 &amp; $D1011 &amp; ":" &amp; O$1)</f>
        <v>0</v>
      </c>
      <c r="P10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1" s="14" t="str">
        <f>IF(ICE[[#This Row],[LastType]] = "Scrn", ICE[[#This Row],[LstDate]], IF(ICE[[#This Row],[LastType]] = "Blk", ICE[[#This Row],[LstBlkTime]], ""))</f>
        <v/>
      </c>
      <c r="R1011" s="41" t="str">
        <f>IF(ICE[[#This Row],[LastType]] = "Scrn", ICE[[#This Row],[LstPrc]], IF(ICE[[#This Row],[LastType]] = "Blk", ICE[[#This Row],[LstBlkPrc]], ""))</f>
        <v/>
      </c>
      <c r="S1011" s="36">
        <f>ICE[[#This Row],[Vol]]+ICE[[#This Row],[BlkVol]]</f>
        <v>0</v>
      </c>
      <c r="T1011" s="36">
        <f>RTD("ice.rtd",,$C1011 &amp; $D1011 &amp; ":" &amp; T$1)</f>
        <v>43</v>
      </c>
      <c r="U1011" s="18">
        <f>RTD("ice.rtd",,$C1011 &amp; $D1011 &amp; ":" &amp; U$1)</f>
        <v>5.0847000000000007</v>
      </c>
      <c r="V10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1" s="18" t="str">
        <f>IFERROR(IF(LEFT(ICE[[#This Row],[Tenor]], 1) = "B", RTD("esrtd",,$B1011 &amp; " " &amp; ICE[[#This Row],[Tenor]] &amp; "-IEU", W$1), RTD("esrtd",,$B1011 &amp; " " &amp; VLOOKUP(MONTH(ICE[[#This Row],[Strip]]), MthRef[], 2, 0) &amp; RIGHT(YEAR(ICE[[#This Row],[Strip]]), 2) &amp; "-IEU", W$1)), "")</f>
        <v/>
      </c>
      <c r="X1011" s="36"/>
    </row>
    <row r="1012" spans="1:24" x14ac:dyDescent="0.25">
      <c r="A1012" s="37" t="s">
        <v>832</v>
      </c>
      <c r="B1012" s="3" t="str">
        <f>RTD("ice.rtd",,$C1012 &amp; $D1012 &amp; ":" &amp; B$1)</f>
        <v>TEO</v>
      </c>
      <c r="C1012" s="3">
        <v>2755828679</v>
      </c>
      <c r="D1012" t="s">
        <v>804</v>
      </c>
      <c r="E1012" s="3" t="str">
        <f>RTD("ice.rtd",,$C1012 &amp; $D1012 &amp; ":" &amp; E$1)</f>
        <v>Dec27</v>
      </c>
      <c r="F1012" s="3" t="str">
        <f>ICE[[#This Row],[Prod]]&amp;ICE[[#This Row],[Strip]]</f>
        <v>fo05bfrbrxmtDec27</v>
      </c>
      <c r="G1012" s="18" t="str">
        <f>RTD("ice.rtd",,$C1012 &amp; $D1012 &amp; ":" &amp; G$1)</f>
        <v/>
      </c>
      <c r="H1012" s="18" t="str">
        <f>RTD("ice.rtd",,$C1012 &amp; $D1012 &amp; ":" &amp; H$1)</f>
        <v/>
      </c>
      <c r="I1012" s="18" t="str">
        <f>RTD("ice.rtd",,$C1012 &amp; $D1012 &amp; ":" &amp; I$1)</f>
        <v/>
      </c>
      <c r="J1012" s="14" t="str">
        <f>IFERROR(MOD(RTD("ice.rtd",,$C1012 &amp; $D1012 &amp; ":" &amp; J$1), 1), "")</f>
        <v/>
      </c>
      <c r="K1012" s="18" t="str">
        <f>RTD("ice.rtd",,$C1012 &amp; $D1012 &amp; ":" &amp; K$1)</f>
        <v/>
      </c>
      <c r="L1012" s="36" t="str">
        <f>RTD("ice.rtd",,$C1012 &amp; $D1012 &amp; ":" &amp; L$1)</f>
        <v/>
      </c>
      <c r="M1012" s="14" t="str">
        <f>IFERROR(MOD(TIMEVALUE(RTD("ice.rtd",,$C1012 &amp; $D1012 &amp; ":" &amp; M$1)), 1), "")</f>
        <v/>
      </c>
      <c r="N1012" s="36">
        <f>RTD("ice.rtd",,$C1012 &amp; $D1012 &amp; ":" &amp; N$1)</f>
        <v>0</v>
      </c>
      <c r="O1012" s="36">
        <f>RTD("ice.rtd",,$C1012 &amp; $D1012 &amp; ":" &amp; O$1)</f>
        <v>0</v>
      </c>
      <c r="P10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2" s="14" t="str">
        <f>IF(ICE[[#This Row],[LastType]] = "Scrn", ICE[[#This Row],[LstDate]], IF(ICE[[#This Row],[LastType]] = "Blk", ICE[[#This Row],[LstBlkTime]], ""))</f>
        <v/>
      </c>
      <c r="R1012" s="41" t="str">
        <f>IF(ICE[[#This Row],[LastType]] = "Scrn", ICE[[#This Row],[LstPrc]], IF(ICE[[#This Row],[LastType]] = "Blk", ICE[[#This Row],[LstBlkPrc]], ""))</f>
        <v/>
      </c>
      <c r="S1012" s="36">
        <f>ICE[[#This Row],[Vol]]+ICE[[#This Row],[BlkVol]]</f>
        <v>0</v>
      </c>
      <c r="T1012" s="36">
        <f>RTD("ice.rtd",,$C1012 &amp; $D1012 &amp; ":" &amp; T$1)</f>
        <v>43</v>
      </c>
      <c r="U1012" s="18">
        <f>RTD("ice.rtd",,$C1012 &amp; $D1012 &amp; ":" &amp; U$1)</f>
        <v>4.7780000000000005</v>
      </c>
      <c r="V10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2" s="18" t="str">
        <f>IFERROR(IF(LEFT(ICE[[#This Row],[Tenor]], 1) = "B", RTD("esrtd",,$B1012 &amp; " " &amp; ICE[[#This Row],[Tenor]] &amp; "-IEU", W$1), RTD("esrtd",,$B1012 &amp; " " &amp; VLOOKUP(MONTH(ICE[[#This Row],[Strip]]), MthRef[], 2, 0) &amp; RIGHT(YEAR(ICE[[#This Row],[Strip]]), 2) &amp; "-IEU", W$1)), "")</f>
        <v/>
      </c>
      <c r="X1012" s="36"/>
    </row>
    <row r="1013" spans="1:24" x14ac:dyDescent="0.25">
      <c r="A1013" s="37" t="s">
        <v>832</v>
      </c>
      <c r="B1013" s="3" t="str">
        <f>RTD("ice.rtd",,$C1013 &amp; $D1013 &amp; ":" &amp; B$1)</f>
        <v>TEO</v>
      </c>
      <c r="C1013" s="3">
        <v>2755828679</v>
      </c>
      <c r="D1013" t="s">
        <v>805</v>
      </c>
      <c r="E1013" s="3" t="str">
        <f>RTD("ice.rtd",,$C1013 &amp; $D1013 &amp; ":" &amp; E$1)</f>
        <v>Jan28</v>
      </c>
      <c r="F1013" s="3" t="str">
        <f>ICE[[#This Row],[Prod]]&amp;ICE[[#This Row],[Strip]]</f>
        <v>fo05bfrbrxmtJan28</v>
      </c>
      <c r="G1013" s="18" t="str">
        <f>RTD("ice.rtd",,$C1013 &amp; $D1013 &amp; ":" &amp; G$1)</f>
        <v/>
      </c>
      <c r="H1013" s="18" t="str">
        <f>RTD("ice.rtd",,$C1013 &amp; $D1013 &amp; ":" &amp; H$1)</f>
        <v/>
      </c>
      <c r="I1013" s="18" t="str">
        <f>RTD("ice.rtd",,$C1013 &amp; $D1013 &amp; ":" &amp; I$1)</f>
        <v/>
      </c>
      <c r="J1013" s="14" t="str">
        <f>IFERROR(MOD(RTD("ice.rtd",,$C1013 &amp; $D1013 &amp; ":" &amp; J$1), 1), "")</f>
        <v/>
      </c>
      <c r="K1013" s="18" t="str">
        <f>RTD("ice.rtd",,$C1013 &amp; $D1013 &amp; ":" &amp; K$1)</f>
        <v/>
      </c>
      <c r="L1013" s="36" t="str">
        <f>RTD("ice.rtd",,$C1013 &amp; $D1013 &amp; ":" &amp; L$1)</f>
        <v/>
      </c>
      <c r="M1013" s="14" t="str">
        <f>IFERROR(MOD(TIMEVALUE(RTD("ice.rtd",,$C1013 &amp; $D1013 &amp; ":" &amp; M$1)), 1), "")</f>
        <v/>
      </c>
      <c r="N1013" s="36">
        <f>RTD("ice.rtd",,$C1013 &amp; $D1013 &amp; ":" &amp; N$1)</f>
        <v>0</v>
      </c>
      <c r="O1013" s="36">
        <f>RTD("ice.rtd",,$C1013 &amp; $D1013 &amp; ":" &amp; O$1)</f>
        <v>0</v>
      </c>
      <c r="P10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3" s="14" t="str">
        <f>IF(ICE[[#This Row],[LastType]] = "Scrn", ICE[[#This Row],[LstDate]], IF(ICE[[#This Row],[LastType]] = "Blk", ICE[[#This Row],[LstBlkTime]], ""))</f>
        <v/>
      </c>
      <c r="R1013" s="41" t="str">
        <f>IF(ICE[[#This Row],[LastType]] = "Scrn", ICE[[#This Row],[LstPrc]], IF(ICE[[#This Row],[LastType]] = "Blk", ICE[[#This Row],[LstBlkPrc]], ""))</f>
        <v/>
      </c>
      <c r="S1013" s="36">
        <f>ICE[[#This Row],[Vol]]+ICE[[#This Row],[BlkVol]]</f>
        <v>0</v>
      </c>
      <c r="T1013" s="36">
        <f>RTD("ice.rtd",,$C1013 &amp; $D1013 &amp; ":" &amp; T$1)</f>
        <v>0</v>
      </c>
      <c r="U1013" s="18">
        <f>RTD("ice.rtd",,$C1013 &amp; $D1013 &amp; ":" &amp; U$1)</f>
        <v>4.67</v>
      </c>
      <c r="V10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3" s="18" t="str">
        <f>IFERROR(IF(LEFT(ICE[[#This Row],[Tenor]], 1) = "B", RTD("esrtd",,$B1013 &amp; " " &amp; ICE[[#This Row],[Tenor]] &amp; "-IEU", W$1), RTD("esrtd",,$B1013 &amp; " " &amp; VLOOKUP(MONTH(ICE[[#This Row],[Strip]]), MthRef[], 2, 0) &amp; RIGHT(YEAR(ICE[[#This Row],[Strip]]), 2) &amp; "-IEU", W$1)), "")</f>
        <v/>
      </c>
      <c r="X1013" s="36"/>
    </row>
    <row r="1014" spans="1:24" x14ac:dyDescent="0.25">
      <c r="A1014" s="37" t="s">
        <v>832</v>
      </c>
      <c r="B1014" s="3" t="str">
        <f>RTD("ice.rtd",,$C1014 &amp; $D1014 &amp; ":" &amp; B$1)</f>
        <v>TEO</v>
      </c>
      <c r="C1014" s="3">
        <v>2755828679</v>
      </c>
      <c r="D1014" t="s">
        <v>806</v>
      </c>
      <c r="E1014" s="3" t="str">
        <f>RTD("ice.rtd",,$C1014 &amp; $D1014 &amp; ":" &amp; E$1)</f>
        <v>Feb28</v>
      </c>
      <c r="F1014" s="3" t="str">
        <f>ICE[[#This Row],[Prod]]&amp;ICE[[#This Row],[Strip]]</f>
        <v>fo05bfrbrxmtFeb28</v>
      </c>
      <c r="G1014" s="18" t="str">
        <f>RTD("ice.rtd",,$C1014 &amp; $D1014 &amp; ":" &amp; G$1)</f>
        <v/>
      </c>
      <c r="H1014" s="18" t="str">
        <f>RTD("ice.rtd",,$C1014 &amp; $D1014 &amp; ":" &amp; H$1)</f>
        <v/>
      </c>
      <c r="I1014" s="18" t="str">
        <f>RTD("ice.rtd",,$C1014 &amp; $D1014 &amp; ":" &amp; I$1)</f>
        <v/>
      </c>
      <c r="J1014" s="14" t="str">
        <f>IFERROR(MOD(RTD("ice.rtd",,$C1014 &amp; $D1014 &amp; ":" &amp; J$1), 1), "")</f>
        <v/>
      </c>
      <c r="K1014" s="18" t="str">
        <f>RTD("ice.rtd",,$C1014 &amp; $D1014 &amp; ":" &amp; K$1)</f>
        <v/>
      </c>
      <c r="L1014" s="36" t="str">
        <f>RTD("ice.rtd",,$C1014 &amp; $D1014 &amp; ":" &amp; L$1)</f>
        <v/>
      </c>
      <c r="M1014" s="14" t="str">
        <f>IFERROR(MOD(TIMEVALUE(RTD("ice.rtd",,$C1014 &amp; $D1014 &amp; ":" &amp; M$1)), 1), "")</f>
        <v/>
      </c>
      <c r="N1014" s="36">
        <f>RTD("ice.rtd",,$C1014 &amp; $D1014 &amp; ":" &amp; N$1)</f>
        <v>0</v>
      </c>
      <c r="O1014" s="36">
        <f>RTD("ice.rtd",,$C1014 &amp; $D1014 &amp; ":" &amp; O$1)</f>
        <v>0</v>
      </c>
      <c r="P10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4" s="14" t="str">
        <f>IF(ICE[[#This Row],[LastType]] = "Scrn", ICE[[#This Row],[LstDate]], IF(ICE[[#This Row],[LastType]] = "Blk", ICE[[#This Row],[LstBlkTime]], ""))</f>
        <v/>
      </c>
      <c r="R1014" s="41" t="str">
        <f>IF(ICE[[#This Row],[LastType]] = "Scrn", ICE[[#This Row],[LstPrc]], IF(ICE[[#This Row],[LastType]] = "Blk", ICE[[#This Row],[LstBlkPrc]], ""))</f>
        <v/>
      </c>
      <c r="S1014" s="36">
        <f>ICE[[#This Row],[Vol]]+ICE[[#This Row],[BlkVol]]</f>
        <v>0</v>
      </c>
      <c r="T1014" s="36">
        <f>RTD("ice.rtd",,$C1014 &amp; $D1014 &amp; ":" &amp; T$1)</f>
        <v>0</v>
      </c>
      <c r="U1014" s="18">
        <f>RTD("ice.rtd",,$C1014 &amp; $D1014 &amp; ":" &amp; U$1)</f>
        <v>4.6640000000000006</v>
      </c>
      <c r="V10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4" s="18" t="str">
        <f>IFERROR(IF(LEFT(ICE[[#This Row],[Tenor]], 1) = "B", RTD("esrtd",,$B1014 &amp; " " &amp; ICE[[#This Row],[Tenor]] &amp; "-IEU", W$1), RTD("esrtd",,$B1014 &amp; " " &amp; VLOOKUP(MONTH(ICE[[#This Row],[Strip]]), MthRef[], 2, 0) &amp; RIGHT(YEAR(ICE[[#This Row],[Strip]]), 2) &amp; "-IEU", W$1)), "")</f>
        <v/>
      </c>
      <c r="X1014" s="36"/>
    </row>
    <row r="1015" spans="1:24" x14ac:dyDescent="0.25">
      <c r="A1015" s="37" t="s">
        <v>832</v>
      </c>
      <c r="B1015" s="3" t="str">
        <f>RTD("ice.rtd",,$C1015 &amp; $D1015 &amp; ":" &amp; B$1)</f>
        <v>TEO</v>
      </c>
      <c r="C1015" s="3">
        <v>2755828679</v>
      </c>
      <c r="D1015" t="s">
        <v>807</v>
      </c>
      <c r="E1015" s="3" t="str">
        <f>RTD("ice.rtd",,$C1015 &amp; $D1015 &amp; ":" &amp; E$1)</f>
        <v>Mar28</v>
      </c>
      <c r="F1015" s="3" t="str">
        <f>ICE[[#This Row],[Prod]]&amp;ICE[[#This Row],[Strip]]</f>
        <v>fo05bfrbrxmtMar28</v>
      </c>
      <c r="G1015" s="18" t="str">
        <f>RTD("ice.rtd",,$C1015 &amp; $D1015 &amp; ":" &amp; G$1)</f>
        <v/>
      </c>
      <c r="H1015" s="18" t="str">
        <f>RTD("ice.rtd",,$C1015 &amp; $D1015 &amp; ":" &amp; H$1)</f>
        <v/>
      </c>
      <c r="I1015" s="18" t="str">
        <f>RTD("ice.rtd",,$C1015 &amp; $D1015 &amp; ":" &amp; I$1)</f>
        <v/>
      </c>
      <c r="J1015" s="14" t="str">
        <f>IFERROR(MOD(RTD("ice.rtd",,$C1015 &amp; $D1015 &amp; ":" &amp; J$1), 1), "")</f>
        <v/>
      </c>
      <c r="K1015" s="18" t="str">
        <f>RTD("ice.rtd",,$C1015 &amp; $D1015 &amp; ":" &amp; K$1)</f>
        <v/>
      </c>
      <c r="L1015" s="36" t="str">
        <f>RTD("ice.rtd",,$C1015 &amp; $D1015 &amp; ":" &amp; L$1)</f>
        <v/>
      </c>
      <c r="M1015" s="14" t="str">
        <f>IFERROR(MOD(TIMEVALUE(RTD("ice.rtd",,$C1015 &amp; $D1015 &amp; ":" &amp; M$1)), 1), "")</f>
        <v/>
      </c>
      <c r="N1015" s="36">
        <f>RTD("ice.rtd",,$C1015 &amp; $D1015 &amp; ":" &amp; N$1)</f>
        <v>0</v>
      </c>
      <c r="O1015" s="36">
        <f>RTD("ice.rtd",,$C1015 &amp; $D1015 &amp; ":" &amp; O$1)</f>
        <v>0</v>
      </c>
      <c r="P10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5" s="14" t="str">
        <f>IF(ICE[[#This Row],[LastType]] = "Scrn", ICE[[#This Row],[LstDate]], IF(ICE[[#This Row],[LastType]] = "Blk", ICE[[#This Row],[LstBlkTime]], ""))</f>
        <v/>
      </c>
      <c r="R1015" s="41" t="str">
        <f>IF(ICE[[#This Row],[LastType]] = "Scrn", ICE[[#This Row],[LstPrc]], IF(ICE[[#This Row],[LastType]] = "Blk", ICE[[#This Row],[LstBlkPrc]], ""))</f>
        <v/>
      </c>
      <c r="S1015" s="36">
        <f>ICE[[#This Row],[Vol]]+ICE[[#This Row],[BlkVol]]</f>
        <v>0</v>
      </c>
      <c r="T1015" s="36">
        <f>RTD("ice.rtd",,$C1015 &amp; $D1015 &amp; ":" &amp; T$1)</f>
        <v>0</v>
      </c>
      <c r="U1015" s="18">
        <f>RTD("ice.rtd",,$C1015 &amp; $D1015 &amp; ":" &amp; U$1)</f>
        <v>4.6470000000000002</v>
      </c>
      <c r="V10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5" s="18" t="str">
        <f>IFERROR(IF(LEFT(ICE[[#This Row],[Tenor]], 1) = "B", RTD("esrtd",,$B1015 &amp; " " &amp; ICE[[#This Row],[Tenor]] &amp; "-IEU", W$1), RTD("esrtd",,$B1015 &amp; " " &amp; VLOOKUP(MONTH(ICE[[#This Row],[Strip]]), MthRef[], 2, 0) &amp; RIGHT(YEAR(ICE[[#This Row],[Strip]]), 2) &amp; "-IEU", W$1)), "")</f>
        <v/>
      </c>
      <c r="X1015" s="36"/>
    </row>
    <row r="1016" spans="1:24" x14ac:dyDescent="0.25">
      <c r="A1016" s="37" t="s">
        <v>832</v>
      </c>
      <c r="B1016" s="3" t="str">
        <f>RTD("ice.rtd",,$C1016 &amp; $D1016 &amp; ":" &amp; B$1)</f>
        <v>TEO</v>
      </c>
      <c r="C1016" s="3">
        <v>2755828679</v>
      </c>
      <c r="D1016" t="s">
        <v>808</v>
      </c>
      <c r="E1016" s="3" t="str">
        <f>RTD("ice.rtd",,$C1016 &amp; $D1016 &amp; ":" &amp; E$1)</f>
        <v>Apr28</v>
      </c>
      <c r="F1016" s="3" t="str">
        <f>ICE[[#This Row],[Prod]]&amp;ICE[[#This Row],[Strip]]</f>
        <v>fo05bfrbrxmtApr28</v>
      </c>
      <c r="G1016" s="18" t="str">
        <f>RTD("ice.rtd",,$C1016 &amp; $D1016 &amp; ":" &amp; G$1)</f>
        <v/>
      </c>
      <c r="H1016" s="18" t="str">
        <f>RTD("ice.rtd",,$C1016 &amp; $D1016 &amp; ":" &amp; H$1)</f>
        <v/>
      </c>
      <c r="I1016" s="18" t="str">
        <f>RTD("ice.rtd",,$C1016 &amp; $D1016 &amp; ":" &amp; I$1)</f>
        <v/>
      </c>
      <c r="J1016" s="14" t="str">
        <f>IFERROR(MOD(RTD("ice.rtd",,$C1016 &amp; $D1016 &amp; ":" &amp; J$1), 1), "")</f>
        <v/>
      </c>
      <c r="K1016" s="18" t="str">
        <f>RTD("ice.rtd",,$C1016 &amp; $D1016 &amp; ":" &amp; K$1)</f>
        <v/>
      </c>
      <c r="L1016" s="36" t="str">
        <f>RTD("ice.rtd",,$C1016 &amp; $D1016 &amp; ":" &amp; L$1)</f>
        <v/>
      </c>
      <c r="M1016" s="14" t="str">
        <f>IFERROR(MOD(TIMEVALUE(RTD("ice.rtd",,$C1016 &amp; $D1016 &amp; ":" &amp; M$1)), 1), "")</f>
        <v/>
      </c>
      <c r="N1016" s="36">
        <f>RTD("ice.rtd",,$C1016 &amp; $D1016 &amp; ":" &amp; N$1)</f>
        <v>0</v>
      </c>
      <c r="O1016" s="36">
        <f>RTD("ice.rtd",,$C1016 &amp; $D1016 &amp; ":" &amp; O$1)</f>
        <v>0</v>
      </c>
      <c r="P10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6" s="14" t="str">
        <f>IF(ICE[[#This Row],[LastType]] = "Scrn", ICE[[#This Row],[LstDate]], IF(ICE[[#This Row],[LastType]] = "Blk", ICE[[#This Row],[LstBlkTime]], ""))</f>
        <v/>
      </c>
      <c r="R1016" s="41" t="str">
        <f>IF(ICE[[#This Row],[LastType]] = "Scrn", ICE[[#This Row],[LstPrc]], IF(ICE[[#This Row],[LastType]] = "Blk", ICE[[#This Row],[LstBlkPrc]], ""))</f>
        <v/>
      </c>
      <c r="S1016" s="36">
        <f>ICE[[#This Row],[Vol]]+ICE[[#This Row],[BlkVol]]</f>
        <v>0</v>
      </c>
      <c r="T1016" s="36">
        <f>RTD("ice.rtd",,$C1016 &amp; $D1016 &amp; ":" &amp; T$1)</f>
        <v>0</v>
      </c>
      <c r="U1016" s="18">
        <f>RTD("ice.rtd",,$C1016 &amp; $D1016 &amp; ":" &amp; U$1)</f>
        <v>4.6543999999999999</v>
      </c>
      <c r="V10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6" s="18" t="str">
        <f>IFERROR(IF(LEFT(ICE[[#This Row],[Tenor]], 1) = "B", RTD("esrtd",,$B1016 &amp; " " &amp; ICE[[#This Row],[Tenor]] &amp; "-IEU", W$1), RTD("esrtd",,$B1016 &amp; " " &amp; VLOOKUP(MONTH(ICE[[#This Row],[Strip]]), MthRef[], 2, 0) &amp; RIGHT(YEAR(ICE[[#This Row],[Strip]]), 2) &amp; "-IEU", W$1)), "")</f>
        <v/>
      </c>
      <c r="X1016" s="36"/>
    </row>
    <row r="1017" spans="1:24" x14ac:dyDescent="0.25">
      <c r="A1017" s="37" t="s">
        <v>832</v>
      </c>
      <c r="B1017" s="3" t="str">
        <f>RTD("ice.rtd",,$C1017 &amp; $D1017 &amp; ":" &amp; B$1)</f>
        <v>TEO</v>
      </c>
      <c r="C1017" s="3">
        <v>2755828679</v>
      </c>
      <c r="D1017" t="s">
        <v>809</v>
      </c>
      <c r="E1017" s="3" t="str">
        <f>RTD("ice.rtd",,$C1017 &amp; $D1017 &amp; ":" &amp; E$1)</f>
        <v>May28</v>
      </c>
      <c r="F1017" s="3" t="str">
        <f>ICE[[#This Row],[Prod]]&amp;ICE[[#This Row],[Strip]]</f>
        <v>fo05bfrbrxmtMay28</v>
      </c>
      <c r="G1017" s="18" t="str">
        <f>RTD("ice.rtd",,$C1017 &amp; $D1017 &amp; ":" &amp; G$1)</f>
        <v/>
      </c>
      <c r="H1017" s="18" t="str">
        <f>RTD("ice.rtd",,$C1017 &amp; $D1017 &amp; ":" &amp; H$1)</f>
        <v/>
      </c>
      <c r="I1017" s="18" t="str">
        <f>RTD("ice.rtd",,$C1017 &amp; $D1017 &amp; ":" &amp; I$1)</f>
        <v/>
      </c>
      <c r="J1017" s="14" t="str">
        <f>IFERROR(MOD(RTD("ice.rtd",,$C1017 &amp; $D1017 &amp; ":" &amp; J$1), 1), "")</f>
        <v/>
      </c>
      <c r="K1017" s="18" t="str">
        <f>RTD("ice.rtd",,$C1017 &amp; $D1017 &amp; ":" &amp; K$1)</f>
        <v/>
      </c>
      <c r="L1017" s="36" t="str">
        <f>RTD("ice.rtd",,$C1017 &amp; $D1017 &amp; ":" &amp; L$1)</f>
        <v/>
      </c>
      <c r="M1017" s="14" t="str">
        <f>IFERROR(MOD(TIMEVALUE(RTD("ice.rtd",,$C1017 &amp; $D1017 &amp; ":" &amp; M$1)), 1), "")</f>
        <v/>
      </c>
      <c r="N1017" s="36">
        <f>RTD("ice.rtd",,$C1017 &amp; $D1017 &amp; ":" &amp; N$1)</f>
        <v>0</v>
      </c>
      <c r="O1017" s="36">
        <f>RTD("ice.rtd",,$C1017 &amp; $D1017 &amp; ":" &amp; O$1)</f>
        <v>0</v>
      </c>
      <c r="P10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7" s="14" t="str">
        <f>IF(ICE[[#This Row],[LastType]] = "Scrn", ICE[[#This Row],[LstDate]], IF(ICE[[#This Row],[LastType]] = "Blk", ICE[[#This Row],[LstBlkTime]], ""))</f>
        <v/>
      </c>
      <c r="R1017" s="41" t="str">
        <f>IF(ICE[[#This Row],[LastType]] = "Scrn", ICE[[#This Row],[LstPrc]], IF(ICE[[#This Row],[LastType]] = "Blk", ICE[[#This Row],[LstBlkPrc]], ""))</f>
        <v/>
      </c>
      <c r="S1017" s="36">
        <f>ICE[[#This Row],[Vol]]+ICE[[#This Row],[BlkVol]]</f>
        <v>0</v>
      </c>
      <c r="T1017" s="36">
        <f>RTD("ice.rtd",,$C1017 &amp; $D1017 &amp; ":" &amp; T$1)</f>
        <v>0</v>
      </c>
      <c r="U1017" s="18">
        <f>RTD("ice.rtd",,$C1017 &amp; $D1017 &amp; ":" &amp; U$1)</f>
        <v>4.6549000000000005</v>
      </c>
      <c r="V10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7" s="18" t="str">
        <f>IFERROR(IF(LEFT(ICE[[#This Row],[Tenor]], 1) = "B", RTD("esrtd",,$B1017 &amp; " " &amp; ICE[[#This Row],[Tenor]] &amp; "-IEU", W$1), RTD("esrtd",,$B1017 &amp; " " &amp; VLOOKUP(MONTH(ICE[[#This Row],[Strip]]), MthRef[], 2, 0) &amp; RIGHT(YEAR(ICE[[#This Row],[Strip]]), 2) &amp; "-IEU", W$1)), "")</f>
        <v/>
      </c>
      <c r="X1017" s="36"/>
    </row>
    <row r="1018" spans="1:24" x14ac:dyDescent="0.25">
      <c r="A1018" s="37" t="s">
        <v>832</v>
      </c>
      <c r="B1018" s="3" t="str">
        <f>RTD("ice.rtd",,$C1018 &amp; $D1018 &amp; ":" &amp; B$1)</f>
        <v>TEO</v>
      </c>
      <c r="C1018" s="3">
        <v>2755828679</v>
      </c>
      <c r="D1018" t="s">
        <v>810</v>
      </c>
      <c r="E1018" s="3" t="str">
        <f>RTD("ice.rtd",,$C1018 &amp; $D1018 &amp; ":" &amp; E$1)</f>
        <v>Jun28</v>
      </c>
      <c r="F1018" s="3" t="str">
        <f>ICE[[#This Row],[Prod]]&amp;ICE[[#This Row],[Strip]]</f>
        <v>fo05bfrbrxmtJun28</v>
      </c>
      <c r="G1018" s="18" t="str">
        <f>RTD("ice.rtd",,$C1018 &amp; $D1018 &amp; ":" &amp; G$1)</f>
        <v/>
      </c>
      <c r="H1018" s="18" t="str">
        <f>RTD("ice.rtd",,$C1018 &amp; $D1018 &amp; ":" &amp; H$1)</f>
        <v/>
      </c>
      <c r="I1018" s="18" t="str">
        <f>RTD("ice.rtd",,$C1018 &amp; $D1018 &amp; ":" &amp; I$1)</f>
        <v/>
      </c>
      <c r="J1018" s="14" t="str">
        <f>IFERROR(MOD(RTD("ice.rtd",,$C1018 &amp; $D1018 &amp; ":" &amp; J$1), 1), "")</f>
        <v/>
      </c>
      <c r="K1018" s="18" t="str">
        <f>RTD("ice.rtd",,$C1018 &amp; $D1018 &amp; ":" &amp; K$1)</f>
        <v/>
      </c>
      <c r="L1018" s="36" t="str">
        <f>RTD("ice.rtd",,$C1018 &amp; $D1018 &amp; ":" &amp; L$1)</f>
        <v/>
      </c>
      <c r="M1018" s="14" t="str">
        <f>IFERROR(MOD(TIMEVALUE(RTD("ice.rtd",,$C1018 &amp; $D1018 &amp; ":" &amp; M$1)), 1), "")</f>
        <v/>
      </c>
      <c r="N1018" s="36">
        <f>RTD("ice.rtd",,$C1018 &amp; $D1018 &amp; ":" &amp; N$1)</f>
        <v>0</v>
      </c>
      <c r="O1018" s="36">
        <f>RTD("ice.rtd",,$C1018 &amp; $D1018 &amp; ":" &amp; O$1)</f>
        <v>0</v>
      </c>
      <c r="P10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8" s="14" t="str">
        <f>IF(ICE[[#This Row],[LastType]] = "Scrn", ICE[[#This Row],[LstDate]], IF(ICE[[#This Row],[LastType]] = "Blk", ICE[[#This Row],[LstBlkTime]], ""))</f>
        <v/>
      </c>
      <c r="R1018" s="41" t="str">
        <f>IF(ICE[[#This Row],[LastType]] = "Scrn", ICE[[#This Row],[LstPrc]], IF(ICE[[#This Row],[LastType]] = "Blk", ICE[[#This Row],[LstBlkPrc]], ""))</f>
        <v/>
      </c>
      <c r="S1018" s="36">
        <f>ICE[[#This Row],[Vol]]+ICE[[#This Row],[BlkVol]]</f>
        <v>0</v>
      </c>
      <c r="T1018" s="36">
        <f>RTD("ice.rtd",,$C1018 &amp; $D1018 &amp; ":" &amp; T$1)</f>
        <v>0</v>
      </c>
      <c r="U1018" s="18">
        <f>RTD("ice.rtd",,$C1018 &amp; $D1018 &amp; ":" &amp; U$1)</f>
        <v>4.6393000000000004</v>
      </c>
      <c r="V10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8" s="18" t="str">
        <f>IFERROR(IF(LEFT(ICE[[#This Row],[Tenor]], 1) = "B", RTD("esrtd",,$B1018 &amp; " " &amp; ICE[[#This Row],[Tenor]] &amp; "-IEU", W$1), RTD("esrtd",,$B1018 &amp; " " &amp; VLOOKUP(MONTH(ICE[[#This Row],[Strip]]), MthRef[], 2, 0) &amp; RIGHT(YEAR(ICE[[#This Row],[Strip]]), 2) &amp; "-IEU", W$1)), "")</f>
        <v/>
      </c>
      <c r="X1018" s="36"/>
    </row>
    <row r="1019" spans="1:24" x14ac:dyDescent="0.25">
      <c r="A1019" s="37" t="s">
        <v>832</v>
      </c>
      <c r="B1019" s="3" t="str">
        <f>RTD("ice.rtd",,$C1019 &amp; $D1019 &amp; ":" &amp; B$1)</f>
        <v>TEO</v>
      </c>
      <c r="C1019" s="3">
        <v>2755828679</v>
      </c>
      <c r="D1019" t="s">
        <v>811</v>
      </c>
      <c r="E1019" s="3" t="str">
        <f>RTD("ice.rtd",,$C1019 &amp; $D1019 &amp; ":" &amp; E$1)</f>
        <v>Jul28</v>
      </c>
      <c r="F1019" s="3" t="str">
        <f>ICE[[#This Row],[Prod]]&amp;ICE[[#This Row],[Strip]]</f>
        <v>fo05bfrbrxmtJul28</v>
      </c>
      <c r="G1019" s="18" t="str">
        <f>RTD("ice.rtd",,$C1019 &amp; $D1019 &amp; ":" &amp; G$1)</f>
        <v/>
      </c>
      <c r="H1019" s="18" t="str">
        <f>RTD("ice.rtd",,$C1019 &amp; $D1019 &amp; ":" &amp; H$1)</f>
        <v/>
      </c>
      <c r="I1019" s="18" t="str">
        <f>RTD("ice.rtd",,$C1019 &amp; $D1019 &amp; ":" &amp; I$1)</f>
        <v/>
      </c>
      <c r="J1019" s="14" t="str">
        <f>IFERROR(MOD(RTD("ice.rtd",,$C1019 &amp; $D1019 &amp; ":" &amp; J$1), 1), "")</f>
        <v/>
      </c>
      <c r="K1019" s="18" t="str">
        <f>RTD("ice.rtd",,$C1019 &amp; $D1019 &amp; ":" &amp; K$1)</f>
        <v/>
      </c>
      <c r="L1019" s="36" t="str">
        <f>RTD("ice.rtd",,$C1019 &amp; $D1019 &amp; ":" &amp; L$1)</f>
        <v/>
      </c>
      <c r="M1019" s="14" t="str">
        <f>IFERROR(MOD(TIMEVALUE(RTD("ice.rtd",,$C1019 &amp; $D1019 &amp; ":" &amp; M$1)), 1), "")</f>
        <v/>
      </c>
      <c r="N1019" s="36">
        <f>RTD("ice.rtd",,$C1019 &amp; $D1019 &amp; ":" &amp; N$1)</f>
        <v>0</v>
      </c>
      <c r="O1019" s="36">
        <f>RTD("ice.rtd",,$C1019 &amp; $D1019 &amp; ":" &amp; O$1)</f>
        <v>0</v>
      </c>
      <c r="P10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19" s="14" t="str">
        <f>IF(ICE[[#This Row],[LastType]] = "Scrn", ICE[[#This Row],[LstDate]], IF(ICE[[#This Row],[LastType]] = "Blk", ICE[[#This Row],[LstBlkTime]], ""))</f>
        <v/>
      </c>
      <c r="R1019" s="41" t="str">
        <f>IF(ICE[[#This Row],[LastType]] = "Scrn", ICE[[#This Row],[LstPrc]], IF(ICE[[#This Row],[LastType]] = "Blk", ICE[[#This Row],[LstBlkPrc]], ""))</f>
        <v/>
      </c>
      <c r="S1019" s="36">
        <f>ICE[[#This Row],[Vol]]+ICE[[#This Row],[BlkVol]]</f>
        <v>0</v>
      </c>
      <c r="T1019" s="36">
        <f>RTD("ice.rtd",,$C1019 &amp; $D1019 &amp; ":" &amp; T$1)</f>
        <v>0</v>
      </c>
      <c r="U1019" s="18">
        <f>RTD("ice.rtd",,$C1019 &amp; $D1019 &amp; ":" &amp; U$1)</f>
        <v>4.6137000000000006</v>
      </c>
      <c r="V10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19" s="18" t="str">
        <f>IFERROR(IF(LEFT(ICE[[#This Row],[Tenor]], 1) = "B", RTD("esrtd",,$B1019 &amp; " " &amp; ICE[[#This Row],[Tenor]] &amp; "-IEU", W$1), RTD("esrtd",,$B1019 &amp; " " &amp; VLOOKUP(MONTH(ICE[[#This Row],[Strip]]), MthRef[], 2, 0) &amp; RIGHT(YEAR(ICE[[#This Row],[Strip]]), 2) &amp; "-IEU", W$1)), "")</f>
        <v/>
      </c>
      <c r="X1019" s="36"/>
    </row>
    <row r="1020" spans="1:24" x14ac:dyDescent="0.25">
      <c r="A1020" s="37" t="s">
        <v>832</v>
      </c>
      <c r="B1020" s="3" t="str">
        <f>RTD("ice.rtd",,$C1020 &amp; $D1020 &amp; ":" &amp; B$1)</f>
        <v>TEO</v>
      </c>
      <c r="C1020" s="3">
        <v>2755828679</v>
      </c>
      <c r="D1020" t="s">
        <v>812</v>
      </c>
      <c r="E1020" s="3" t="str">
        <f>RTD("ice.rtd",,$C1020 &amp; $D1020 &amp; ":" &amp; E$1)</f>
        <v>Aug28</v>
      </c>
      <c r="F1020" s="3" t="str">
        <f>ICE[[#This Row],[Prod]]&amp;ICE[[#This Row],[Strip]]</f>
        <v>fo05bfrbrxmtAug28</v>
      </c>
      <c r="G1020" s="18" t="str">
        <f>RTD("ice.rtd",,$C1020 &amp; $D1020 &amp; ":" &amp; G$1)</f>
        <v/>
      </c>
      <c r="H1020" s="18" t="str">
        <f>RTD("ice.rtd",,$C1020 &amp; $D1020 &amp; ":" &amp; H$1)</f>
        <v/>
      </c>
      <c r="I1020" s="18" t="str">
        <f>RTD("ice.rtd",,$C1020 &amp; $D1020 &amp; ":" &amp; I$1)</f>
        <v/>
      </c>
      <c r="J1020" s="14" t="str">
        <f>IFERROR(MOD(RTD("ice.rtd",,$C1020 &amp; $D1020 &amp; ":" &amp; J$1), 1), "")</f>
        <v/>
      </c>
      <c r="K1020" s="18" t="str">
        <f>RTD("ice.rtd",,$C1020 &amp; $D1020 &amp; ":" &amp; K$1)</f>
        <v/>
      </c>
      <c r="L1020" s="36" t="str">
        <f>RTD("ice.rtd",,$C1020 &amp; $D1020 &amp; ":" &amp; L$1)</f>
        <v/>
      </c>
      <c r="M1020" s="14" t="str">
        <f>IFERROR(MOD(TIMEVALUE(RTD("ice.rtd",,$C1020 &amp; $D1020 &amp; ":" &amp; M$1)), 1), "")</f>
        <v/>
      </c>
      <c r="N1020" s="36">
        <f>RTD("ice.rtd",,$C1020 &amp; $D1020 &amp; ":" &amp; N$1)</f>
        <v>0</v>
      </c>
      <c r="O1020" s="36">
        <f>RTD("ice.rtd",,$C1020 &amp; $D1020 &amp; ":" &amp; O$1)</f>
        <v>0</v>
      </c>
      <c r="P10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0" s="14" t="str">
        <f>IF(ICE[[#This Row],[LastType]] = "Scrn", ICE[[#This Row],[LstDate]], IF(ICE[[#This Row],[LastType]] = "Blk", ICE[[#This Row],[LstBlkTime]], ""))</f>
        <v/>
      </c>
      <c r="R1020" s="41" t="str">
        <f>IF(ICE[[#This Row],[LastType]] = "Scrn", ICE[[#This Row],[LstPrc]], IF(ICE[[#This Row],[LastType]] = "Blk", ICE[[#This Row],[LstBlkPrc]], ""))</f>
        <v/>
      </c>
      <c r="S1020" s="36">
        <f>ICE[[#This Row],[Vol]]+ICE[[#This Row],[BlkVol]]</f>
        <v>0</v>
      </c>
      <c r="T1020" s="36">
        <f>RTD("ice.rtd",,$C1020 &amp; $D1020 &amp; ":" &amp; T$1)</f>
        <v>0</v>
      </c>
      <c r="U1020" s="18">
        <f>RTD("ice.rtd",,$C1020 &amp; $D1020 &amp; ":" &amp; U$1)</f>
        <v>4.5771000000000006</v>
      </c>
      <c r="V10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0" s="18" t="str">
        <f>IFERROR(IF(LEFT(ICE[[#This Row],[Tenor]], 1) = "B", RTD("esrtd",,$B1020 &amp; " " &amp; ICE[[#This Row],[Tenor]] &amp; "-IEU", W$1), RTD("esrtd",,$B1020 &amp; " " &amp; VLOOKUP(MONTH(ICE[[#This Row],[Strip]]), MthRef[], 2, 0) &amp; RIGHT(YEAR(ICE[[#This Row],[Strip]]), 2) &amp; "-IEU", W$1)), "")</f>
        <v/>
      </c>
      <c r="X1020" s="36"/>
    </row>
    <row r="1021" spans="1:24" x14ac:dyDescent="0.25">
      <c r="A1021" s="37" t="s">
        <v>832</v>
      </c>
      <c r="B1021" s="3" t="str">
        <f>RTD("ice.rtd",,$C1021 &amp; $D1021 &amp; ":" &amp; B$1)</f>
        <v>TEO</v>
      </c>
      <c r="C1021" s="3">
        <v>2755828679</v>
      </c>
      <c r="D1021" t="s">
        <v>813</v>
      </c>
      <c r="E1021" s="3" t="str">
        <f>RTD("ice.rtd",,$C1021 &amp; $D1021 &amp; ":" &amp; E$1)</f>
        <v>Sep28</v>
      </c>
      <c r="F1021" s="3" t="str">
        <f>ICE[[#This Row],[Prod]]&amp;ICE[[#This Row],[Strip]]</f>
        <v>fo05bfrbrxmtSep28</v>
      </c>
      <c r="G1021" s="18" t="str">
        <f>RTD("ice.rtd",,$C1021 &amp; $D1021 &amp; ":" &amp; G$1)</f>
        <v/>
      </c>
      <c r="H1021" s="18" t="str">
        <f>RTD("ice.rtd",,$C1021 &amp; $D1021 &amp; ":" &amp; H$1)</f>
        <v/>
      </c>
      <c r="I1021" s="18" t="str">
        <f>RTD("ice.rtd",,$C1021 &amp; $D1021 &amp; ":" &amp; I$1)</f>
        <v/>
      </c>
      <c r="J1021" s="14" t="str">
        <f>IFERROR(MOD(RTD("ice.rtd",,$C1021 &amp; $D1021 &amp; ":" &amp; J$1), 1), "")</f>
        <v/>
      </c>
      <c r="K1021" s="18" t="str">
        <f>RTD("ice.rtd",,$C1021 &amp; $D1021 &amp; ":" &amp; K$1)</f>
        <v/>
      </c>
      <c r="L1021" s="36" t="str">
        <f>RTD("ice.rtd",,$C1021 &amp; $D1021 &amp; ":" &amp; L$1)</f>
        <v/>
      </c>
      <c r="M1021" s="14" t="str">
        <f>IFERROR(MOD(TIMEVALUE(RTD("ice.rtd",,$C1021 &amp; $D1021 &amp; ":" &amp; M$1)), 1), "")</f>
        <v/>
      </c>
      <c r="N1021" s="36">
        <f>RTD("ice.rtd",,$C1021 &amp; $D1021 &amp; ":" &amp; N$1)</f>
        <v>0</v>
      </c>
      <c r="O1021" s="36">
        <f>RTD("ice.rtd",,$C1021 &amp; $D1021 &amp; ":" &amp; O$1)</f>
        <v>0</v>
      </c>
      <c r="P10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1" s="14" t="str">
        <f>IF(ICE[[#This Row],[LastType]] = "Scrn", ICE[[#This Row],[LstDate]], IF(ICE[[#This Row],[LastType]] = "Blk", ICE[[#This Row],[LstBlkTime]], ""))</f>
        <v/>
      </c>
      <c r="R1021" s="41" t="str">
        <f>IF(ICE[[#This Row],[LastType]] = "Scrn", ICE[[#This Row],[LstPrc]], IF(ICE[[#This Row],[LastType]] = "Blk", ICE[[#This Row],[LstBlkPrc]], ""))</f>
        <v/>
      </c>
      <c r="S1021" s="36">
        <f>ICE[[#This Row],[Vol]]+ICE[[#This Row],[BlkVol]]</f>
        <v>0</v>
      </c>
      <c r="T1021" s="36">
        <f>RTD("ice.rtd",,$C1021 &amp; $D1021 &amp; ":" &amp; T$1)</f>
        <v>0</v>
      </c>
      <c r="U1021" s="18">
        <f>RTD("ice.rtd",,$C1021 &amp; $D1021 &amp; ":" &amp; U$1)</f>
        <v>4.5425000000000004</v>
      </c>
      <c r="V10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1" s="18" t="str">
        <f>IFERROR(IF(LEFT(ICE[[#This Row],[Tenor]], 1) = "B", RTD("esrtd",,$B1021 &amp; " " &amp; ICE[[#This Row],[Tenor]] &amp; "-IEU", W$1), RTD("esrtd",,$B1021 &amp; " " &amp; VLOOKUP(MONTH(ICE[[#This Row],[Strip]]), MthRef[], 2, 0) &amp; RIGHT(YEAR(ICE[[#This Row],[Strip]]), 2) &amp; "-IEU", W$1)), "")</f>
        <v/>
      </c>
      <c r="X1021" s="36"/>
    </row>
    <row r="1022" spans="1:24" x14ac:dyDescent="0.25">
      <c r="A1022" s="37" t="s">
        <v>832</v>
      </c>
      <c r="B1022" s="3" t="str">
        <f>RTD("ice.rtd",,$C1022 &amp; $D1022 &amp; ":" &amp; B$1)</f>
        <v>TEO</v>
      </c>
      <c r="C1022" s="3">
        <v>2755828679</v>
      </c>
      <c r="D1022" t="s">
        <v>814</v>
      </c>
      <c r="E1022" s="3" t="str">
        <f>RTD("ice.rtd",,$C1022 &amp; $D1022 &amp; ":" &amp; E$1)</f>
        <v>Q4 26</v>
      </c>
      <c r="F1022" s="3" t="str">
        <f>ICE[[#This Row],[Prod]]&amp;ICE[[#This Row],[Strip]]</f>
        <v>fo05bfrbrxmtQ4 26</v>
      </c>
      <c r="G1022" s="18" t="str">
        <f>RTD("ice.rtd",,$C1022 &amp; $D1022 &amp; ":" &amp; G$1)</f>
        <v/>
      </c>
      <c r="H1022" s="18" t="str">
        <f>RTD("ice.rtd",,$C1022 &amp; $D1022 &amp; ":" &amp; H$1)</f>
        <v/>
      </c>
      <c r="I1022" s="18" t="str">
        <f>RTD("ice.rtd",,$C1022 &amp; $D1022 &amp; ":" &amp; I$1)</f>
        <v/>
      </c>
      <c r="J1022" s="14" t="str">
        <f>IFERROR(MOD(RTD("ice.rtd",,$C1022 &amp; $D1022 &amp; ":" &amp; J$1), 1), "")</f>
        <v/>
      </c>
      <c r="K1022" s="18" t="str">
        <f>RTD("ice.rtd",,$C1022 &amp; $D1022 &amp; ":" &amp; K$1)</f>
        <v/>
      </c>
      <c r="L1022" s="36" t="str">
        <f>RTD("ice.rtd",,$C1022 &amp; $D1022 &amp; ":" &amp; L$1)</f>
        <v/>
      </c>
      <c r="M1022" s="14" t="str">
        <f>IFERROR(MOD(TIMEVALUE(RTD("ice.rtd",,$C1022 &amp; $D1022 &amp; ":" &amp; M$1)), 1), "")</f>
        <v/>
      </c>
      <c r="N1022" s="36">
        <f>RTD("ice.rtd",,$C1022 &amp; $D1022 &amp; ":" &amp; N$1)</f>
        <v>0</v>
      </c>
      <c r="O1022" s="36">
        <f>RTD("ice.rtd",,$C1022 &amp; $D1022 &amp; ":" &amp; O$1)</f>
        <v>0</v>
      </c>
      <c r="P10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2" s="14" t="str">
        <f>IF(ICE[[#This Row],[LastType]] = "Scrn", ICE[[#This Row],[LstDate]], IF(ICE[[#This Row],[LastType]] = "Blk", ICE[[#This Row],[LstBlkTime]], ""))</f>
        <v/>
      </c>
      <c r="R1022" s="41" t="str">
        <f>IF(ICE[[#This Row],[LastType]] = "Scrn", ICE[[#This Row],[LstPrc]], IF(ICE[[#This Row],[LastType]] = "Blk", ICE[[#This Row],[LstBlkPrc]], ""))</f>
        <v/>
      </c>
      <c r="S1022" s="36">
        <f>ICE[[#This Row],[Vol]]+ICE[[#This Row],[BlkVol]]</f>
        <v>0</v>
      </c>
      <c r="T1022" s="36">
        <f>RTD("ice.rtd",,$C1022 &amp; $D1022 &amp; ":" &amp; T$1)</f>
        <v>0</v>
      </c>
      <c r="U1022" s="18">
        <f>RTD("ice.rtd",,$C1022 &amp; $D1022 &amp; ":" &amp; U$1)</f>
        <v>6.2737000000000007</v>
      </c>
      <c r="V10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2" s="18" t="str">
        <f>IFERROR(IF(LEFT(ICE[[#This Row],[Tenor]], 1) = "B", RTD("esrtd",,$B1022 &amp; " " &amp; ICE[[#This Row],[Tenor]] &amp; "-IEU", W$1), RTD("esrtd",,$B1022 &amp; " " &amp; VLOOKUP(MONTH(ICE[[#This Row],[Strip]]), MthRef[], 2, 0) &amp; RIGHT(YEAR(ICE[[#This Row],[Strip]]), 2) &amp; "-IEU", W$1)), "")</f>
        <v/>
      </c>
      <c r="X1022" s="36"/>
    </row>
    <row r="1023" spans="1:24" x14ac:dyDescent="0.25">
      <c r="A1023" s="37" t="s">
        <v>832</v>
      </c>
      <c r="B1023" s="3" t="str">
        <f>RTD("ice.rtd",,$C1023 &amp; $D1023 &amp; ":" &amp; B$1)</f>
        <v>TEO</v>
      </c>
      <c r="C1023" s="3">
        <v>2755828679</v>
      </c>
      <c r="D1023" t="s">
        <v>815</v>
      </c>
      <c r="E1023" s="3" t="str">
        <f>RTD("ice.rtd",,$C1023 &amp; $D1023 &amp; ":" &amp; E$1)</f>
        <v>Q1 27</v>
      </c>
      <c r="F1023" s="3" t="str">
        <f>ICE[[#This Row],[Prod]]&amp;ICE[[#This Row],[Strip]]</f>
        <v>fo05bfrbrxmtQ1 27</v>
      </c>
      <c r="G1023" s="18" t="str">
        <f>RTD("ice.rtd",,$C1023 &amp; $D1023 &amp; ":" &amp; G$1)</f>
        <v/>
      </c>
      <c r="H1023" s="18" t="str">
        <f>RTD("ice.rtd",,$C1023 &amp; $D1023 &amp; ":" &amp; H$1)</f>
        <v/>
      </c>
      <c r="I1023" s="18" t="str">
        <f>RTD("ice.rtd",,$C1023 &amp; $D1023 &amp; ":" &amp; I$1)</f>
        <v/>
      </c>
      <c r="J1023" s="14" t="str">
        <f>IFERROR(MOD(RTD("ice.rtd",,$C1023 &amp; $D1023 &amp; ":" &amp; J$1), 1), "")</f>
        <v/>
      </c>
      <c r="K1023" s="18" t="str">
        <f>RTD("ice.rtd",,$C1023 &amp; $D1023 &amp; ":" &amp; K$1)</f>
        <v/>
      </c>
      <c r="L1023" s="36" t="str">
        <f>RTD("ice.rtd",,$C1023 &amp; $D1023 &amp; ":" &amp; L$1)</f>
        <v/>
      </c>
      <c r="M1023" s="14" t="str">
        <f>IFERROR(MOD(TIMEVALUE(RTD("ice.rtd",,$C1023 &amp; $D1023 &amp; ":" &amp; M$1)), 1), "")</f>
        <v/>
      </c>
      <c r="N1023" s="36">
        <f>RTD("ice.rtd",,$C1023 &amp; $D1023 &amp; ":" &amp; N$1)</f>
        <v>0</v>
      </c>
      <c r="O1023" s="36">
        <f>RTD("ice.rtd",,$C1023 &amp; $D1023 &amp; ":" &amp; O$1)</f>
        <v>0</v>
      </c>
      <c r="P10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3" s="14" t="str">
        <f>IF(ICE[[#This Row],[LastType]] = "Scrn", ICE[[#This Row],[LstDate]], IF(ICE[[#This Row],[LastType]] = "Blk", ICE[[#This Row],[LstBlkTime]], ""))</f>
        <v/>
      </c>
      <c r="R1023" s="41" t="str">
        <f>IF(ICE[[#This Row],[LastType]] = "Scrn", ICE[[#This Row],[LstPrc]], IF(ICE[[#This Row],[LastType]] = "Blk", ICE[[#This Row],[LstBlkPrc]], ""))</f>
        <v/>
      </c>
      <c r="S1023" s="36">
        <f>ICE[[#This Row],[Vol]]+ICE[[#This Row],[BlkVol]]</f>
        <v>0</v>
      </c>
      <c r="T1023" s="36">
        <f>RTD("ice.rtd",,$C1023 &amp; $D1023 &amp; ":" &amp; T$1)</f>
        <v>0</v>
      </c>
      <c r="U1023" s="18">
        <f>RTD("ice.rtd",,$C1023 &amp; $D1023 &amp; ":" &amp; U$1)</f>
        <v>6.3622000000000005</v>
      </c>
      <c r="V10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3" s="18" t="str">
        <f>IFERROR(IF(LEFT(ICE[[#This Row],[Tenor]], 1) = "B", RTD("esrtd",,$B1023 &amp; " " &amp; ICE[[#This Row],[Tenor]] &amp; "-IEU", W$1), RTD("esrtd",,$B1023 &amp; " " &amp; VLOOKUP(MONTH(ICE[[#This Row],[Strip]]), MthRef[], 2, 0) &amp; RIGHT(YEAR(ICE[[#This Row],[Strip]]), 2) &amp; "-IEU", W$1)), "")</f>
        <v/>
      </c>
      <c r="X1023" s="36"/>
    </row>
    <row r="1024" spans="1:24" x14ac:dyDescent="0.25">
      <c r="A1024" s="37" t="s">
        <v>832</v>
      </c>
      <c r="B1024" s="3" t="str">
        <f>RTD("ice.rtd",,$C1024 &amp; $D1024 &amp; ":" &amp; B$1)</f>
        <v>TEO</v>
      </c>
      <c r="C1024" s="3">
        <v>2755828679</v>
      </c>
      <c r="D1024" t="s">
        <v>816</v>
      </c>
      <c r="E1024" s="3" t="str">
        <f>RTD("ice.rtd",,$C1024 &amp; $D1024 &amp; ":" &amp; E$1)</f>
        <v>Q2 27</v>
      </c>
      <c r="F1024" s="3" t="str">
        <f>ICE[[#This Row],[Prod]]&amp;ICE[[#This Row],[Strip]]</f>
        <v>fo05bfrbrxmtQ2 27</v>
      </c>
      <c r="G1024" s="18" t="str">
        <f>RTD("ice.rtd",,$C1024 &amp; $D1024 &amp; ":" &amp; G$1)</f>
        <v/>
      </c>
      <c r="H1024" s="18" t="str">
        <f>RTD("ice.rtd",,$C1024 &amp; $D1024 &amp; ":" &amp; H$1)</f>
        <v/>
      </c>
      <c r="I1024" s="18" t="str">
        <f>RTD("ice.rtd",,$C1024 &amp; $D1024 &amp; ":" &amp; I$1)</f>
        <v/>
      </c>
      <c r="J1024" s="14" t="str">
        <f>IFERROR(MOD(RTD("ice.rtd",,$C1024 &amp; $D1024 &amp; ":" &amp; J$1), 1), "")</f>
        <v/>
      </c>
      <c r="K1024" s="18" t="str">
        <f>RTD("ice.rtd",,$C1024 &amp; $D1024 &amp; ":" &amp; K$1)</f>
        <v/>
      </c>
      <c r="L1024" s="36" t="str">
        <f>RTD("ice.rtd",,$C1024 &amp; $D1024 &amp; ":" &amp; L$1)</f>
        <v/>
      </c>
      <c r="M1024" s="14" t="str">
        <f>IFERROR(MOD(TIMEVALUE(RTD("ice.rtd",,$C1024 &amp; $D1024 &amp; ":" &amp; M$1)), 1), "")</f>
        <v/>
      </c>
      <c r="N1024" s="36">
        <f>RTD("ice.rtd",,$C1024 &amp; $D1024 &amp; ":" &amp; N$1)</f>
        <v>0</v>
      </c>
      <c r="O1024" s="36">
        <f>RTD("ice.rtd",,$C1024 &amp; $D1024 &amp; ":" &amp; O$1)</f>
        <v>0</v>
      </c>
      <c r="P10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4" s="14" t="str">
        <f>IF(ICE[[#This Row],[LastType]] = "Scrn", ICE[[#This Row],[LstDate]], IF(ICE[[#This Row],[LastType]] = "Blk", ICE[[#This Row],[LstBlkTime]], ""))</f>
        <v/>
      </c>
      <c r="R1024" s="41" t="str">
        <f>IF(ICE[[#This Row],[LastType]] = "Scrn", ICE[[#This Row],[LstPrc]], IF(ICE[[#This Row],[LastType]] = "Blk", ICE[[#This Row],[LstBlkPrc]], ""))</f>
        <v/>
      </c>
      <c r="S1024" s="36">
        <f>ICE[[#This Row],[Vol]]+ICE[[#This Row],[BlkVol]]</f>
        <v>0</v>
      </c>
      <c r="T1024" s="36">
        <f>RTD("ice.rtd",,$C1024 &amp; $D1024 &amp; ":" &amp; T$1)</f>
        <v>0</v>
      </c>
      <c r="U1024" s="18">
        <f>RTD("ice.rtd",,$C1024 &amp; $D1024 &amp; ":" &amp; U$1)</f>
        <v>6.4414000000000007</v>
      </c>
      <c r="V10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4" s="18" t="str">
        <f>IFERROR(IF(LEFT(ICE[[#This Row],[Tenor]], 1) = "B", RTD("esrtd",,$B1024 &amp; " " &amp; ICE[[#This Row],[Tenor]] &amp; "-IEU", W$1), RTD("esrtd",,$B1024 &amp; " " &amp; VLOOKUP(MONTH(ICE[[#This Row],[Strip]]), MthRef[], 2, 0) &amp; RIGHT(YEAR(ICE[[#This Row],[Strip]]), 2) &amp; "-IEU", W$1)), "")</f>
        <v/>
      </c>
      <c r="X1024" s="36"/>
    </row>
    <row r="1025" spans="1:24" x14ac:dyDescent="0.25">
      <c r="A1025" s="37" t="s">
        <v>832</v>
      </c>
      <c r="B1025" s="3" t="str">
        <f>RTD("ice.rtd",,$C1025 &amp; $D1025 &amp; ":" &amp; B$1)</f>
        <v>TEO</v>
      </c>
      <c r="C1025" s="3">
        <v>2755828679</v>
      </c>
      <c r="D1025" t="s">
        <v>817</v>
      </c>
      <c r="E1025" s="3" t="str">
        <f>RTD("ice.rtd",,$C1025 &amp; $D1025 &amp; ":" &amp; E$1)</f>
        <v>Q3 27</v>
      </c>
      <c r="F1025" s="3" t="str">
        <f>ICE[[#This Row],[Prod]]&amp;ICE[[#This Row],[Strip]]</f>
        <v>fo05bfrbrxmtQ3 27</v>
      </c>
      <c r="G1025" s="18" t="str">
        <f>RTD("ice.rtd",,$C1025 &amp; $D1025 &amp; ":" &amp; G$1)</f>
        <v/>
      </c>
      <c r="H1025" s="18" t="str">
        <f>RTD("ice.rtd",,$C1025 &amp; $D1025 &amp; ":" &amp; H$1)</f>
        <v/>
      </c>
      <c r="I1025" s="18" t="str">
        <f>RTD("ice.rtd",,$C1025 &amp; $D1025 &amp; ":" &amp; I$1)</f>
        <v/>
      </c>
      <c r="J1025" s="14" t="str">
        <f>IFERROR(MOD(RTD("ice.rtd",,$C1025 &amp; $D1025 &amp; ":" &amp; J$1), 1), "")</f>
        <v/>
      </c>
      <c r="K1025" s="18" t="str">
        <f>RTD("ice.rtd",,$C1025 &amp; $D1025 &amp; ":" &amp; K$1)</f>
        <v/>
      </c>
      <c r="L1025" s="36" t="str">
        <f>RTD("ice.rtd",,$C1025 &amp; $D1025 &amp; ":" &amp; L$1)</f>
        <v/>
      </c>
      <c r="M1025" s="14" t="str">
        <f>IFERROR(MOD(TIMEVALUE(RTD("ice.rtd",,$C1025 &amp; $D1025 &amp; ":" &amp; M$1)), 1), "")</f>
        <v/>
      </c>
      <c r="N1025" s="36">
        <f>RTD("ice.rtd",,$C1025 &amp; $D1025 &amp; ":" &amp; N$1)</f>
        <v>0</v>
      </c>
      <c r="O1025" s="36">
        <f>RTD("ice.rtd",,$C1025 &amp; $D1025 &amp; ":" &amp; O$1)</f>
        <v>0</v>
      </c>
      <c r="P10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5" s="14" t="str">
        <f>IF(ICE[[#This Row],[LastType]] = "Scrn", ICE[[#This Row],[LstDate]], IF(ICE[[#This Row],[LastType]] = "Blk", ICE[[#This Row],[LstBlkTime]], ""))</f>
        <v/>
      </c>
      <c r="R1025" s="41" t="str">
        <f>IF(ICE[[#This Row],[LastType]] = "Scrn", ICE[[#This Row],[LstPrc]], IF(ICE[[#This Row],[LastType]] = "Blk", ICE[[#This Row],[LstBlkPrc]], ""))</f>
        <v/>
      </c>
      <c r="S1025" s="36">
        <f>ICE[[#This Row],[Vol]]+ICE[[#This Row],[BlkVol]]</f>
        <v>0</v>
      </c>
      <c r="T1025" s="36">
        <f>RTD("ice.rtd",,$C1025 &amp; $D1025 &amp; ":" &amp; T$1)</f>
        <v>0</v>
      </c>
      <c r="U1025" s="18">
        <f>RTD("ice.rtd",,$C1025 &amp; $D1025 &amp; ":" &amp; U$1)</f>
        <v>5.9469000000000003</v>
      </c>
      <c r="V10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5" s="18" t="str">
        <f>IFERROR(IF(LEFT(ICE[[#This Row],[Tenor]], 1) = "B", RTD("esrtd",,$B1025 &amp; " " &amp; ICE[[#This Row],[Tenor]] &amp; "-IEU", W$1), RTD("esrtd",,$B1025 &amp; " " &amp; VLOOKUP(MONTH(ICE[[#This Row],[Strip]]), MthRef[], 2, 0) &amp; RIGHT(YEAR(ICE[[#This Row],[Strip]]), 2) &amp; "-IEU", W$1)), "")</f>
        <v/>
      </c>
      <c r="X1025" s="36"/>
    </row>
    <row r="1026" spans="1:24" x14ac:dyDescent="0.25">
      <c r="A1026" s="37" t="s">
        <v>832</v>
      </c>
      <c r="B1026" s="3" t="str">
        <f>RTD("ice.rtd",,$C1026 &amp; $D1026 &amp; ":" &amp; B$1)</f>
        <v>TEO</v>
      </c>
      <c r="C1026" s="3">
        <v>2755828679</v>
      </c>
      <c r="D1026" t="s">
        <v>818</v>
      </c>
      <c r="E1026" s="3" t="str">
        <f>RTD("ice.rtd",,$C1026 &amp; $D1026 &amp; ":" &amp; E$1)</f>
        <v>Q4 27</v>
      </c>
      <c r="F1026" s="3" t="str">
        <f>ICE[[#This Row],[Prod]]&amp;ICE[[#This Row],[Strip]]</f>
        <v>fo05bfrbrxmtQ4 27</v>
      </c>
      <c r="G1026" s="18" t="str">
        <f>RTD("ice.rtd",,$C1026 &amp; $D1026 &amp; ":" &amp; G$1)</f>
        <v/>
      </c>
      <c r="H1026" s="18" t="str">
        <f>RTD("ice.rtd",,$C1026 &amp; $D1026 &amp; ":" &amp; H$1)</f>
        <v/>
      </c>
      <c r="I1026" s="18" t="str">
        <f>RTD("ice.rtd",,$C1026 &amp; $D1026 &amp; ":" &amp; I$1)</f>
        <v/>
      </c>
      <c r="J1026" s="14" t="str">
        <f>IFERROR(MOD(RTD("ice.rtd",,$C1026 &amp; $D1026 &amp; ":" &amp; J$1), 1), "")</f>
        <v/>
      </c>
      <c r="K1026" s="18" t="str">
        <f>RTD("ice.rtd",,$C1026 &amp; $D1026 &amp; ":" &amp; K$1)</f>
        <v/>
      </c>
      <c r="L1026" s="36" t="str">
        <f>RTD("ice.rtd",,$C1026 &amp; $D1026 &amp; ":" &amp; L$1)</f>
        <v/>
      </c>
      <c r="M1026" s="14" t="str">
        <f>IFERROR(MOD(TIMEVALUE(RTD("ice.rtd",,$C1026 &amp; $D1026 &amp; ":" &amp; M$1)), 1), "")</f>
        <v/>
      </c>
      <c r="N1026" s="36">
        <f>RTD("ice.rtd",,$C1026 &amp; $D1026 &amp; ":" &amp; N$1)</f>
        <v>0</v>
      </c>
      <c r="O1026" s="36">
        <f>RTD("ice.rtd",,$C1026 &amp; $D1026 &amp; ":" &amp; O$1)</f>
        <v>0</v>
      </c>
      <c r="P10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6" s="14" t="str">
        <f>IF(ICE[[#This Row],[LastType]] = "Scrn", ICE[[#This Row],[LstDate]], IF(ICE[[#This Row],[LastType]] = "Blk", ICE[[#This Row],[LstBlkTime]], ""))</f>
        <v/>
      </c>
      <c r="R1026" s="41" t="str">
        <f>IF(ICE[[#This Row],[LastType]] = "Scrn", ICE[[#This Row],[LstPrc]], IF(ICE[[#This Row],[LastType]] = "Blk", ICE[[#This Row],[LstBlkPrc]], ""))</f>
        <v/>
      </c>
      <c r="S1026" s="36">
        <f>ICE[[#This Row],[Vol]]+ICE[[#This Row],[BlkVol]]</f>
        <v>0</v>
      </c>
      <c r="T1026" s="36">
        <f>RTD("ice.rtd",,$C1026 &amp; $D1026 &amp; ":" &amp; T$1)</f>
        <v>0</v>
      </c>
      <c r="U1026" s="18">
        <f>RTD("ice.rtd",,$C1026 &amp; $D1026 &amp; ":" &amp; U$1)</f>
        <v>5.0794000000000006</v>
      </c>
      <c r="V10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6" s="18" t="str">
        <f>IFERROR(IF(LEFT(ICE[[#This Row],[Tenor]], 1) = "B", RTD("esrtd",,$B1026 &amp; " " &amp; ICE[[#This Row],[Tenor]] &amp; "-IEU", W$1), RTD("esrtd",,$B1026 &amp; " " &amp; VLOOKUP(MONTH(ICE[[#This Row],[Strip]]), MthRef[], 2, 0) &amp; RIGHT(YEAR(ICE[[#This Row],[Strip]]), 2) &amp; "-IEU", W$1)), "")</f>
        <v/>
      </c>
      <c r="X1026" s="36"/>
    </row>
    <row r="1027" spans="1:24" x14ac:dyDescent="0.25">
      <c r="A1027" s="37" t="s">
        <v>832</v>
      </c>
      <c r="B1027" s="3" t="str">
        <f>RTD("ice.rtd",,$C1027 &amp; $D1027 &amp; ":" &amp; B$1)</f>
        <v>TEO</v>
      </c>
      <c r="C1027" s="3">
        <v>2755828679</v>
      </c>
      <c r="D1027" t="s">
        <v>819</v>
      </c>
      <c r="E1027" s="3" t="str">
        <f>RTD("ice.rtd",,$C1027 &amp; $D1027 &amp; ":" &amp; E$1)</f>
        <v>Q1 28</v>
      </c>
      <c r="F1027" s="3" t="str">
        <f>ICE[[#This Row],[Prod]]&amp;ICE[[#This Row],[Strip]]</f>
        <v>fo05bfrbrxmtQ1 28</v>
      </c>
      <c r="G1027" s="18" t="str">
        <f>RTD("ice.rtd",,$C1027 &amp; $D1027 &amp; ":" &amp; G$1)</f>
        <v/>
      </c>
      <c r="H1027" s="18" t="str">
        <f>RTD("ice.rtd",,$C1027 &amp; $D1027 &amp; ":" &amp; H$1)</f>
        <v/>
      </c>
      <c r="I1027" s="18" t="str">
        <f>RTD("ice.rtd",,$C1027 &amp; $D1027 &amp; ":" &amp; I$1)</f>
        <v/>
      </c>
      <c r="J1027" s="14" t="str">
        <f>IFERROR(MOD(RTD("ice.rtd",,$C1027 &amp; $D1027 &amp; ":" &amp; J$1), 1), "")</f>
        <v/>
      </c>
      <c r="K1027" s="18" t="str">
        <f>RTD("ice.rtd",,$C1027 &amp; $D1027 &amp; ":" &amp; K$1)</f>
        <v/>
      </c>
      <c r="L1027" s="36" t="str">
        <f>RTD("ice.rtd",,$C1027 &amp; $D1027 &amp; ":" &amp; L$1)</f>
        <v/>
      </c>
      <c r="M1027" s="14" t="str">
        <f>IFERROR(MOD(TIMEVALUE(RTD("ice.rtd",,$C1027 &amp; $D1027 &amp; ":" &amp; M$1)), 1), "")</f>
        <v/>
      </c>
      <c r="N1027" s="36">
        <f>RTD("ice.rtd",,$C1027 &amp; $D1027 &amp; ":" &amp; N$1)</f>
        <v>0</v>
      </c>
      <c r="O1027" s="36">
        <f>RTD("ice.rtd",,$C1027 &amp; $D1027 &amp; ":" &amp; O$1)</f>
        <v>0</v>
      </c>
      <c r="P10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7" s="14" t="str">
        <f>IF(ICE[[#This Row],[LastType]] = "Scrn", ICE[[#This Row],[LstDate]], IF(ICE[[#This Row],[LastType]] = "Blk", ICE[[#This Row],[LstBlkTime]], ""))</f>
        <v/>
      </c>
      <c r="R1027" s="41" t="str">
        <f>IF(ICE[[#This Row],[LastType]] = "Scrn", ICE[[#This Row],[LstPrc]], IF(ICE[[#This Row],[LastType]] = "Blk", ICE[[#This Row],[LstBlkPrc]], ""))</f>
        <v/>
      </c>
      <c r="S1027" s="36">
        <f>ICE[[#This Row],[Vol]]+ICE[[#This Row],[BlkVol]]</f>
        <v>0</v>
      </c>
      <c r="T1027" s="36">
        <f>RTD("ice.rtd",,$C1027 &amp; $D1027 &amp; ":" &amp; T$1)</f>
        <v>0</v>
      </c>
      <c r="U1027" s="18">
        <f>RTD("ice.rtd",,$C1027 &amp; $D1027 &amp; ":" &amp; U$1)</f>
        <v>4.6603000000000003</v>
      </c>
      <c r="V10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7" s="18" t="str">
        <f>IFERROR(IF(LEFT(ICE[[#This Row],[Tenor]], 1) = "B", RTD("esrtd",,$B1027 &amp; " " &amp; ICE[[#This Row],[Tenor]] &amp; "-IEU", W$1), RTD("esrtd",,$B1027 &amp; " " &amp; VLOOKUP(MONTH(ICE[[#This Row],[Strip]]), MthRef[], 2, 0) &amp; RIGHT(YEAR(ICE[[#This Row],[Strip]]), 2) &amp; "-IEU", W$1)), "")</f>
        <v/>
      </c>
      <c r="X1027" s="36"/>
    </row>
    <row r="1028" spans="1:24" x14ac:dyDescent="0.25">
      <c r="A1028" s="37" t="s">
        <v>832</v>
      </c>
      <c r="B1028" s="3" t="str">
        <f>RTD("ice.rtd",,$C1028 &amp; $D1028 &amp; ":" &amp; B$1)</f>
        <v>TEO</v>
      </c>
      <c r="C1028" s="3">
        <v>2755828679</v>
      </c>
      <c r="D1028" t="s">
        <v>229</v>
      </c>
      <c r="E1028" s="3" t="str">
        <f>RTD("ice.rtd",,$C1028 &amp; $D1028 &amp; ":" &amp; E$1)</f>
        <v>Q2 28</v>
      </c>
      <c r="F1028" s="3" t="str">
        <f>ICE[[#This Row],[Prod]]&amp;ICE[[#This Row],[Strip]]</f>
        <v>fo05bfrbrxmtQ2 28</v>
      </c>
      <c r="G1028" s="18" t="str">
        <f>RTD("ice.rtd",,$C1028 &amp; $D1028 &amp; ":" &amp; G$1)</f>
        <v/>
      </c>
      <c r="H1028" s="18" t="str">
        <f>RTD("ice.rtd",,$C1028 &amp; $D1028 &amp; ":" &amp; H$1)</f>
        <v/>
      </c>
      <c r="I1028" s="18" t="str">
        <f>RTD("ice.rtd",,$C1028 &amp; $D1028 &amp; ":" &amp; I$1)</f>
        <v/>
      </c>
      <c r="J1028" s="14" t="str">
        <f>IFERROR(MOD(RTD("ice.rtd",,$C1028 &amp; $D1028 &amp; ":" &amp; J$1), 1), "")</f>
        <v/>
      </c>
      <c r="K1028" s="18" t="str">
        <f>RTD("ice.rtd",,$C1028 &amp; $D1028 &amp; ":" &amp; K$1)</f>
        <v/>
      </c>
      <c r="L1028" s="36" t="str">
        <f>RTD("ice.rtd",,$C1028 &amp; $D1028 &amp; ":" &amp; L$1)</f>
        <v/>
      </c>
      <c r="M1028" s="14" t="str">
        <f>IFERROR(MOD(TIMEVALUE(RTD("ice.rtd",,$C1028 &amp; $D1028 &amp; ":" &amp; M$1)), 1), "")</f>
        <v/>
      </c>
      <c r="N1028" s="36">
        <f>RTD("ice.rtd",,$C1028 &amp; $D1028 &amp; ":" &amp; N$1)</f>
        <v>0</v>
      </c>
      <c r="O1028" s="36">
        <f>RTD("ice.rtd",,$C1028 &amp; $D1028 &amp; ":" &amp; O$1)</f>
        <v>0</v>
      </c>
      <c r="P10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8" s="14" t="str">
        <f>IF(ICE[[#This Row],[LastType]] = "Scrn", ICE[[#This Row],[LstDate]], IF(ICE[[#This Row],[LastType]] = "Blk", ICE[[#This Row],[LstBlkTime]], ""))</f>
        <v/>
      </c>
      <c r="R1028" s="41" t="str">
        <f>IF(ICE[[#This Row],[LastType]] = "Scrn", ICE[[#This Row],[LstPrc]], IF(ICE[[#This Row],[LastType]] = "Blk", ICE[[#This Row],[LstBlkPrc]], ""))</f>
        <v/>
      </c>
      <c r="S1028" s="36">
        <f>ICE[[#This Row],[Vol]]+ICE[[#This Row],[BlkVol]]</f>
        <v>0</v>
      </c>
      <c r="T1028" s="36">
        <f>RTD("ice.rtd",,$C1028 &amp; $D1028 &amp; ":" &amp; T$1)</f>
        <v>0</v>
      </c>
      <c r="U1028" s="18">
        <f>RTD("ice.rtd",,$C1028 &amp; $D1028 &amp; ":" &amp; U$1)</f>
        <v>4.6495000000000006</v>
      </c>
      <c r="V10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8" s="18" t="str">
        <f>IFERROR(IF(LEFT(ICE[[#This Row],[Tenor]], 1) = "B", RTD("esrtd",,$B1028 &amp; " " &amp; ICE[[#This Row],[Tenor]] &amp; "-IEU", W$1), RTD("esrtd",,$B1028 &amp; " " &amp; VLOOKUP(MONTH(ICE[[#This Row],[Strip]]), MthRef[], 2, 0) &amp; RIGHT(YEAR(ICE[[#This Row],[Strip]]), 2) &amp; "-IEU", W$1)), "")</f>
        <v/>
      </c>
      <c r="X1028" s="36"/>
    </row>
    <row r="1029" spans="1:24" x14ac:dyDescent="0.25">
      <c r="A1029" s="37" t="s">
        <v>832</v>
      </c>
      <c r="B1029" s="3" t="str">
        <f>RTD("ice.rtd",,$C1029 &amp; $D1029 &amp; ":" &amp; B$1)</f>
        <v>TEO</v>
      </c>
      <c r="C1029" s="3">
        <v>2755828679</v>
      </c>
      <c r="D1029" t="s">
        <v>820</v>
      </c>
      <c r="E1029" s="3" t="str">
        <f>RTD("ice.rtd",,$C1029 &amp; $D1029 &amp; ":" &amp; E$1)</f>
        <v>Q3 28</v>
      </c>
      <c r="F1029" s="3" t="str">
        <f>ICE[[#This Row],[Prod]]&amp;ICE[[#This Row],[Strip]]</f>
        <v>fo05bfrbrxmtQ3 28</v>
      </c>
      <c r="G1029" s="18" t="str">
        <f>RTD("ice.rtd",,$C1029 &amp; $D1029 &amp; ":" &amp; G$1)</f>
        <v/>
      </c>
      <c r="H1029" s="18" t="str">
        <f>RTD("ice.rtd",,$C1029 &amp; $D1029 &amp; ":" &amp; H$1)</f>
        <v/>
      </c>
      <c r="I1029" s="18" t="str">
        <f>RTD("ice.rtd",,$C1029 &amp; $D1029 &amp; ":" &amp; I$1)</f>
        <v/>
      </c>
      <c r="J1029" s="14" t="str">
        <f>IFERROR(MOD(RTD("ice.rtd",,$C1029 &amp; $D1029 &amp; ":" &amp; J$1), 1), "")</f>
        <v/>
      </c>
      <c r="K1029" s="18" t="str">
        <f>RTD("ice.rtd",,$C1029 &amp; $D1029 &amp; ":" &amp; K$1)</f>
        <v/>
      </c>
      <c r="L1029" s="36" t="str">
        <f>RTD("ice.rtd",,$C1029 &amp; $D1029 &amp; ":" &amp; L$1)</f>
        <v/>
      </c>
      <c r="M1029" s="14" t="str">
        <f>IFERROR(MOD(TIMEVALUE(RTD("ice.rtd",,$C1029 &amp; $D1029 &amp; ":" &amp; M$1)), 1), "")</f>
        <v/>
      </c>
      <c r="N1029" s="36">
        <f>RTD("ice.rtd",,$C1029 &amp; $D1029 &amp; ":" &amp; N$1)</f>
        <v>0</v>
      </c>
      <c r="O1029" s="36">
        <f>RTD("ice.rtd",,$C1029 &amp; $D1029 &amp; ":" &amp; O$1)</f>
        <v>0</v>
      </c>
      <c r="P10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29" s="14" t="str">
        <f>IF(ICE[[#This Row],[LastType]] = "Scrn", ICE[[#This Row],[LstDate]], IF(ICE[[#This Row],[LastType]] = "Blk", ICE[[#This Row],[LstBlkTime]], ""))</f>
        <v/>
      </c>
      <c r="R1029" s="41" t="str">
        <f>IF(ICE[[#This Row],[LastType]] = "Scrn", ICE[[#This Row],[LstPrc]], IF(ICE[[#This Row],[LastType]] = "Blk", ICE[[#This Row],[LstBlkPrc]], ""))</f>
        <v/>
      </c>
      <c r="S1029" s="36">
        <f>ICE[[#This Row],[Vol]]+ICE[[#This Row],[BlkVol]]</f>
        <v>0</v>
      </c>
      <c r="T1029" s="36">
        <f>RTD("ice.rtd",,$C1029 &amp; $D1029 &amp; ":" &amp; T$1)</f>
        <v>0</v>
      </c>
      <c r="U1029" s="18">
        <f>RTD("ice.rtd",,$C1029 &amp; $D1029 &amp; ":" &amp; U$1)</f>
        <v>4.5777999999999999</v>
      </c>
      <c r="V10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29" s="18" t="str">
        <f>IFERROR(IF(LEFT(ICE[[#This Row],[Tenor]], 1) = "B", RTD("esrtd",,$B1029 &amp; " " &amp; ICE[[#This Row],[Tenor]] &amp; "-IEU", W$1), RTD("esrtd",,$B1029 &amp; " " &amp; VLOOKUP(MONTH(ICE[[#This Row],[Strip]]), MthRef[], 2, 0) &amp; RIGHT(YEAR(ICE[[#This Row],[Strip]]), 2) &amp; "-IEU", W$1)), "")</f>
        <v/>
      </c>
      <c r="X1029" s="36"/>
    </row>
    <row r="1030" spans="1:24" x14ac:dyDescent="0.25">
      <c r="A1030" s="37" t="s">
        <v>832</v>
      </c>
      <c r="B1030" s="3" t="str">
        <f>RTD("ice.rtd",,$C1030 &amp; $D1030 &amp; ":" &amp; B$1)</f>
        <v>TEO</v>
      </c>
      <c r="C1030" s="3">
        <v>2755828679</v>
      </c>
      <c r="D1030" t="s">
        <v>821</v>
      </c>
      <c r="E1030" s="3" t="str">
        <f>RTD("ice.rtd",,$C1030 &amp; $D1030 &amp; ":" &amp; E$1)</f>
        <v>Q4 28</v>
      </c>
      <c r="F1030" s="3" t="str">
        <f>ICE[[#This Row],[Prod]]&amp;ICE[[#This Row],[Strip]]</f>
        <v>fo05bfrbrxmtQ4 28</v>
      </c>
      <c r="G1030" s="18" t="str">
        <f>RTD("ice.rtd",,$C1030 &amp; $D1030 &amp; ":" &amp; G$1)</f>
        <v/>
      </c>
      <c r="H1030" s="18" t="str">
        <f>RTD("ice.rtd",,$C1030 &amp; $D1030 &amp; ":" &amp; H$1)</f>
        <v/>
      </c>
      <c r="I1030" s="18" t="str">
        <f>RTD("ice.rtd",,$C1030 &amp; $D1030 &amp; ":" &amp; I$1)</f>
        <v/>
      </c>
      <c r="J1030" s="14" t="str">
        <f>IFERROR(MOD(RTD("ice.rtd",,$C1030 &amp; $D1030 &amp; ":" &amp; J$1), 1), "")</f>
        <v/>
      </c>
      <c r="K1030" s="18" t="str">
        <f>RTD("ice.rtd",,$C1030 &amp; $D1030 &amp; ":" &amp; K$1)</f>
        <v/>
      </c>
      <c r="L1030" s="36" t="str">
        <f>RTD("ice.rtd",,$C1030 &amp; $D1030 &amp; ":" &amp; L$1)</f>
        <v/>
      </c>
      <c r="M1030" s="14" t="str">
        <f>IFERROR(MOD(TIMEVALUE(RTD("ice.rtd",,$C1030 &amp; $D1030 &amp; ":" &amp; M$1)), 1), "")</f>
        <v/>
      </c>
      <c r="N1030" s="36">
        <f>RTD("ice.rtd",,$C1030 &amp; $D1030 &amp; ":" &amp; N$1)</f>
        <v>0</v>
      </c>
      <c r="O1030" s="36">
        <f>RTD("ice.rtd",,$C1030 &amp; $D1030 &amp; ":" &amp; O$1)</f>
        <v>0</v>
      </c>
      <c r="P10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0" s="14" t="str">
        <f>IF(ICE[[#This Row],[LastType]] = "Scrn", ICE[[#This Row],[LstDate]], IF(ICE[[#This Row],[LastType]] = "Blk", ICE[[#This Row],[LstBlkTime]], ""))</f>
        <v/>
      </c>
      <c r="R1030" s="41" t="str">
        <f>IF(ICE[[#This Row],[LastType]] = "Scrn", ICE[[#This Row],[LstPrc]], IF(ICE[[#This Row],[LastType]] = "Blk", ICE[[#This Row],[LstBlkPrc]], ""))</f>
        <v/>
      </c>
      <c r="S1030" s="36">
        <f>ICE[[#This Row],[Vol]]+ICE[[#This Row],[BlkVol]]</f>
        <v>0</v>
      </c>
      <c r="T1030" s="36">
        <f>RTD("ice.rtd",,$C1030 &amp; $D1030 &amp; ":" &amp; T$1)</f>
        <v>0</v>
      </c>
      <c r="U1030" s="18">
        <f>RTD("ice.rtd",,$C1030 &amp; $D1030 &amp; ":" &amp; U$1)</f>
        <v>4.4485999999999999</v>
      </c>
      <c r="V10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30" s="18" t="str">
        <f>IFERROR(IF(LEFT(ICE[[#This Row],[Tenor]], 1) = "B", RTD("esrtd",,$B1030 &amp; " " &amp; ICE[[#This Row],[Tenor]] &amp; "-IEU", W$1), RTD("esrtd",,$B1030 &amp; " " &amp; VLOOKUP(MONTH(ICE[[#This Row],[Strip]]), MthRef[], 2, 0) &amp; RIGHT(YEAR(ICE[[#This Row],[Strip]]), 2) &amp; "-IEU", W$1)), "")</f>
        <v/>
      </c>
      <c r="X1030" s="36"/>
    </row>
    <row r="1031" spans="1:24" x14ac:dyDescent="0.25">
      <c r="A1031" s="37" t="s">
        <v>832</v>
      </c>
      <c r="B1031" s="3" t="str">
        <f>RTD("ice.rtd",,$C1031 &amp; $D1031 &amp; ":" &amp; B$1)</f>
        <v>TEO</v>
      </c>
      <c r="C1031" s="3">
        <v>2755828679</v>
      </c>
      <c r="D1031" t="s">
        <v>822</v>
      </c>
      <c r="E1031" s="3" t="str">
        <f>RTD("ice.rtd",,$C1031 &amp; $D1031 &amp; ":" &amp; E$1)</f>
        <v>Cal 27</v>
      </c>
      <c r="F1031" s="3" t="str">
        <f>ICE[[#This Row],[Prod]]&amp;ICE[[#This Row],[Strip]]</f>
        <v>fo05bfrbrxmtCal 27</v>
      </c>
      <c r="G1031" s="18" t="str">
        <f>RTD("ice.rtd",,$C1031 &amp; $D1031 &amp; ":" &amp; G$1)</f>
        <v/>
      </c>
      <c r="H1031" s="18" t="str">
        <f>RTD("ice.rtd",,$C1031 &amp; $D1031 &amp; ":" &amp; H$1)</f>
        <v/>
      </c>
      <c r="I1031" s="18" t="str">
        <f>RTD("ice.rtd",,$C1031 &amp; $D1031 &amp; ":" &amp; I$1)</f>
        <v/>
      </c>
      <c r="J1031" s="14" t="str">
        <f>IFERROR(MOD(RTD("ice.rtd",,$C1031 &amp; $D1031 &amp; ":" &amp; J$1), 1), "")</f>
        <v/>
      </c>
      <c r="K1031" s="18" t="str">
        <f>RTD("ice.rtd",,$C1031 &amp; $D1031 &amp; ":" &amp; K$1)</f>
        <v/>
      </c>
      <c r="L1031" s="36" t="str">
        <f>RTD("ice.rtd",,$C1031 &amp; $D1031 &amp; ":" &amp; L$1)</f>
        <v/>
      </c>
      <c r="M1031" s="14" t="str">
        <f>IFERROR(MOD(TIMEVALUE(RTD("ice.rtd",,$C1031 &amp; $D1031 &amp; ":" &amp; M$1)), 1), "")</f>
        <v/>
      </c>
      <c r="N1031" s="36">
        <f>RTD("ice.rtd",,$C1031 &amp; $D1031 &amp; ":" &amp; N$1)</f>
        <v>0</v>
      </c>
      <c r="O1031" s="36">
        <f>RTD("ice.rtd",,$C1031 &amp; $D1031 &amp; ":" &amp; O$1)</f>
        <v>0</v>
      </c>
      <c r="P10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1" s="14" t="str">
        <f>IF(ICE[[#This Row],[LastType]] = "Scrn", ICE[[#This Row],[LstDate]], IF(ICE[[#This Row],[LastType]] = "Blk", ICE[[#This Row],[LstBlkTime]], ""))</f>
        <v/>
      </c>
      <c r="R1031" s="41" t="str">
        <f>IF(ICE[[#This Row],[LastType]] = "Scrn", ICE[[#This Row],[LstPrc]], IF(ICE[[#This Row],[LastType]] = "Blk", ICE[[#This Row],[LstBlkPrc]], ""))</f>
        <v/>
      </c>
      <c r="S1031" s="36">
        <f>ICE[[#This Row],[Vol]]+ICE[[#This Row],[BlkVol]]</f>
        <v>0</v>
      </c>
      <c r="T1031" s="36">
        <f>RTD("ice.rtd",,$C1031 &amp; $D1031 &amp; ":" &amp; T$1)</f>
        <v>0</v>
      </c>
      <c r="U1031" s="18">
        <f>RTD("ice.rtd",,$C1031 &amp; $D1031 &amp; ":" &amp; U$1)</f>
        <v>5.9575000000000005</v>
      </c>
      <c r="V10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31" s="18" t="str">
        <f>IFERROR(IF(LEFT(ICE[[#This Row],[Tenor]], 1) = "B", RTD("esrtd",,$B1031 &amp; " " &amp; ICE[[#This Row],[Tenor]] &amp; "-IEU", W$1), RTD("esrtd",,$B1031 &amp; " " &amp; VLOOKUP(MONTH(ICE[[#This Row],[Strip]]), MthRef[], 2, 0) &amp; RIGHT(YEAR(ICE[[#This Row],[Strip]]), 2) &amp; "-IEU", W$1)), "")</f>
        <v/>
      </c>
      <c r="X1031" s="36"/>
    </row>
    <row r="1032" spans="1:24" x14ac:dyDescent="0.25">
      <c r="A1032" s="37" t="s">
        <v>832</v>
      </c>
      <c r="B1032" s="3" t="str">
        <f>RTD("ice.rtd",,$C1032 &amp; $D1032 &amp; ":" &amp; B$1)</f>
        <v>TEO</v>
      </c>
      <c r="C1032" s="3">
        <v>2755828679</v>
      </c>
      <c r="D1032" t="s">
        <v>823</v>
      </c>
      <c r="E1032" s="3" t="str">
        <f>RTD("ice.rtd",,$C1032 &amp; $D1032 &amp; ":" &amp; E$1)</f>
        <v>Cal 28</v>
      </c>
      <c r="F1032" s="3" t="str">
        <f>ICE[[#This Row],[Prod]]&amp;ICE[[#This Row],[Strip]]</f>
        <v>fo05bfrbrxmtCal 28</v>
      </c>
      <c r="G1032" s="18" t="str">
        <f>RTD("ice.rtd",,$C1032 &amp; $D1032 &amp; ":" &amp; G$1)</f>
        <v/>
      </c>
      <c r="H1032" s="18" t="str">
        <f>RTD("ice.rtd",,$C1032 &amp; $D1032 &amp; ":" &amp; H$1)</f>
        <v/>
      </c>
      <c r="I1032" s="18" t="str">
        <f>RTD("ice.rtd",,$C1032 &amp; $D1032 &amp; ":" &amp; I$1)</f>
        <v/>
      </c>
      <c r="J1032" s="14" t="str">
        <f>IFERROR(MOD(RTD("ice.rtd",,$C1032 &amp; $D1032 &amp; ":" &amp; J$1), 1), "")</f>
        <v/>
      </c>
      <c r="K1032" s="18" t="str">
        <f>RTD("ice.rtd",,$C1032 &amp; $D1032 &amp; ":" &amp; K$1)</f>
        <v/>
      </c>
      <c r="L1032" s="36" t="str">
        <f>RTD("ice.rtd",,$C1032 &amp; $D1032 &amp; ":" &amp; L$1)</f>
        <v/>
      </c>
      <c r="M1032" s="14" t="str">
        <f>IFERROR(MOD(TIMEVALUE(RTD("ice.rtd",,$C1032 &amp; $D1032 &amp; ":" &amp; M$1)), 1), "")</f>
        <v/>
      </c>
      <c r="N1032" s="36">
        <f>RTD("ice.rtd",,$C1032 &amp; $D1032 &amp; ":" &amp; N$1)</f>
        <v>0</v>
      </c>
      <c r="O1032" s="36">
        <f>RTD("ice.rtd",,$C1032 &amp; $D1032 &amp; ":" &amp; O$1)</f>
        <v>0</v>
      </c>
      <c r="P10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2" s="14" t="str">
        <f>IF(ICE[[#This Row],[LastType]] = "Scrn", ICE[[#This Row],[LstDate]], IF(ICE[[#This Row],[LastType]] = "Blk", ICE[[#This Row],[LstBlkTime]], ""))</f>
        <v/>
      </c>
      <c r="R1032" s="41" t="str">
        <f>IF(ICE[[#This Row],[LastType]] = "Scrn", ICE[[#This Row],[LstPrc]], IF(ICE[[#This Row],[LastType]] = "Blk", ICE[[#This Row],[LstBlkPrc]], ""))</f>
        <v/>
      </c>
      <c r="S1032" s="36">
        <f>ICE[[#This Row],[Vol]]+ICE[[#This Row],[BlkVol]]</f>
        <v>0</v>
      </c>
      <c r="T1032" s="36">
        <f>RTD("ice.rtd",,$C1032 &amp; $D1032 &amp; ":" &amp; T$1)</f>
        <v>0</v>
      </c>
      <c r="U1032" s="18">
        <f>RTD("ice.rtd",,$C1032 &amp; $D1032 &amp; ":" &amp; U$1)</f>
        <v>4.5841000000000003</v>
      </c>
      <c r="V10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32" s="18" t="str">
        <f>IFERROR(IF(LEFT(ICE[[#This Row],[Tenor]], 1) = "B", RTD("esrtd",,$B1032 &amp; " " &amp; ICE[[#This Row],[Tenor]] &amp; "-IEU", W$1), RTD("esrtd",,$B1032 &amp; " " &amp; VLOOKUP(MONTH(ICE[[#This Row],[Strip]]), MthRef[], 2, 0) &amp; RIGHT(YEAR(ICE[[#This Row],[Strip]]), 2) &amp; "-IEU", W$1)), "")</f>
        <v/>
      </c>
      <c r="X1032" s="36"/>
    </row>
    <row r="1033" spans="1:24" x14ac:dyDescent="0.25">
      <c r="A1033" s="37" t="s">
        <v>832</v>
      </c>
      <c r="B1033" s="3" t="str">
        <f>RTD("ice.rtd",,$C1033 &amp; $D1033 &amp; ":" &amp; B$1)</f>
        <v>TEO</v>
      </c>
      <c r="C1033" s="3">
        <v>2755828679</v>
      </c>
      <c r="D1033" t="s">
        <v>824</v>
      </c>
      <c r="E1033" s="3" t="str">
        <f>RTD("ice.rtd",,$C1033 &amp; $D1033 &amp; ":" &amp; E$1)</f>
        <v>Cal 29</v>
      </c>
      <c r="F1033" s="3" t="str">
        <f>ICE[[#This Row],[Prod]]&amp;ICE[[#This Row],[Strip]]</f>
        <v>fo05bfrbrxmtCal 29</v>
      </c>
      <c r="G1033" s="18" t="str">
        <f>RTD("ice.rtd",,$C1033 &amp; $D1033 &amp; ":" &amp; G$1)</f>
        <v/>
      </c>
      <c r="H1033" s="18" t="str">
        <f>RTD("ice.rtd",,$C1033 &amp; $D1033 &amp; ":" &amp; H$1)</f>
        <v/>
      </c>
      <c r="I1033" s="18" t="str">
        <f>RTD("ice.rtd",,$C1033 &amp; $D1033 &amp; ":" &amp; I$1)</f>
        <v/>
      </c>
      <c r="J1033" s="14" t="str">
        <f>IFERROR(MOD(RTD("ice.rtd",,$C1033 &amp; $D1033 &amp; ":" &amp; J$1), 1), "")</f>
        <v/>
      </c>
      <c r="K1033" s="18" t="str">
        <f>RTD("ice.rtd",,$C1033 &amp; $D1033 &amp; ":" &amp; K$1)</f>
        <v/>
      </c>
      <c r="L1033" s="36" t="str">
        <f>RTD("ice.rtd",,$C1033 &amp; $D1033 &amp; ":" &amp; L$1)</f>
        <v/>
      </c>
      <c r="M1033" s="14" t="str">
        <f>IFERROR(MOD(TIMEVALUE(RTD("ice.rtd",,$C1033 &amp; $D1033 &amp; ":" &amp; M$1)), 1), "")</f>
        <v/>
      </c>
      <c r="N1033" s="36">
        <f>RTD("ice.rtd",,$C1033 &amp; $D1033 &amp; ":" &amp; N$1)</f>
        <v>0</v>
      </c>
      <c r="O1033" s="36">
        <f>RTD("ice.rtd",,$C1033 &amp; $D1033 &amp; ":" &amp; O$1)</f>
        <v>0</v>
      </c>
      <c r="P10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3" s="14" t="str">
        <f>IF(ICE[[#This Row],[LastType]] = "Scrn", ICE[[#This Row],[LstDate]], IF(ICE[[#This Row],[LastType]] = "Blk", ICE[[#This Row],[LstBlkTime]], ""))</f>
        <v/>
      </c>
      <c r="R1033" s="41" t="str">
        <f>IF(ICE[[#This Row],[LastType]] = "Scrn", ICE[[#This Row],[LstPrc]], IF(ICE[[#This Row],[LastType]] = "Blk", ICE[[#This Row],[LstBlkPrc]], ""))</f>
        <v/>
      </c>
      <c r="S1033" s="36">
        <f>ICE[[#This Row],[Vol]]+ICE[[#This Row],[BlkVol]]</f>
        <v>0</v>
      </c>
      <c r="T1033" s="36">
        <f>RTD("ice.rtd",,$C1033 &amp; $D1033 &amp; ":" &amp; T$1)</f>
        <v>0</v>
      </c>
      <c r="U1033" s="18">
        <f>RTD("ice.rtd",,$C1033 &amp; $D1033 &amp; ":" &amp; U$1)</f>
        <v>5.3715999999999999</v>
      </c>
      <c r="V10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33" s="18" t="str">
        <f>IFERROR(IF(LEFT(ICE[[#This Row],[Tenor]], 1) = "B", RTD("esrtd",,$B1033 &amp; " " &amp; ICE[[#This Row],[Tenor]] &amp; "-IEU", W$1), RTD("esrtd",,$B1033 &amp; " " &amp; VLOOKUP(MONTH(ICE[[#This Row],[Strip]]), MthRef[], 2, 0) &amp; RIGHT(YEAR(ICE[[#This Row],[Strip]]), 2) &amp; "-IEU", W$1)), "")</f>
        <v/>
      </c>
      <c r="X1033" s="36"/>
    </row>
    <row r="1034" spans="1:24" x14ac:dyDescent="0.25">
      <c r="A1034" s="37" t="s">
        <v>833</v>
      </c>
      <c r="B1034" s="3" t="str">
        <f>RTD("ice.rtd",,$C1034 &amp; $D1034 &amp; ":" &amp; B$1)</f>
        <v>Invalid Market: B0</v>
      </c>
      <c r="D1034" t="s">
        <v>792</v>
      </c>
      <c r="E1034" s="3" t="str">
        <f>RTD("ice.rtd",,$C1034 &amp; $D1034 &amp; ":" &amp; E$1)</f>
        <v>Invalid Market: B0</v>
      </c>
      <c r="F1034" s="3" t="str">
        <f>ICE[[#This Row],[Prod]]&amp;ICE[[#This Row],[Strip]]</f>
        <v>fo05bfrbrxbblInvalid Market: B0</v>
      </c>
      <c r="G1034" s="18" t="str">
        <f>RTD("ice.rtd",,$C1034 &amp; $D1034 &amp; ":" &amp; G$1)</f>
        <v>Invalid Market: B0</v>
      </c>
      <c r="H1034" s="18" t="str">
        <f>RTD("ice.rtd",,$C1034 &amp; $D1034 &amp; ":" &amp; H$1)</f>
        <v>Invalid Market: B0</v>
      </c>
      <c r="I1034" s="18" t="str">
        <f>RTD("ice.rtd",,$C1034 &amp; $D1034 &amp; ":" &amp; I$1)</f>
        <v>Invalid Market: B0</v>
      </c>
      <c r="J1034" s="14" t="str">
        <f>IFERROR(MOD(RTD("ice.rtd",,$C1034 &amp; $D1034 &amp; ":" &amp; J$1), 1), "")</f>
        <v/>
      </c>
      <c r="K1034" s="18" t="str">
        <f>RTD("ice.rtd",,$C1034 &amp; $D1034 &amp; ":" &amp; K$1)</f>
        <v>Invalid Market: B0</v>
      </c>
      <c r="L1034" s="36" t="str">
        <f>RTD("ice.rtd",,$C1034 &amp; $D1034 &amp; ":" &amp; L$1)</f>
        <v>Invalid Market: B0</v>
      </c>
      <c r="M1034" s="14" t="str">
        <f>IFERROR(MOD(TIMEVALUE(RTD("ice.rtd",,$C1034 &amp; $D1034 &amp; ":" &amp; M$1)), 1), "")</f>
        <v/>
      </c>
      <c r="N1034" s="36" t="str">
        <f>RTD("ice.rtd",,$C1034 &amp; $D1034 &amp; ":" &amp; N$1)</f>
        <v>Invalid Market: B0</v>
      </c>
      <c r="O1034" s="36" t="str">
        <f>RTD("ice.rtd",,$C1034 &amp; $D1034 &amp; ":" &amp; O$1)</f>
        <v>Invalid Market: B0</v>
      </c>
      <c r="P10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4" s="14" t="str">
        <f>IF(ICE[[#This Row],[LastType]] = "Scrn", ICE[[#This Row],[LstDate]], IF(ICE[[#This Row],[LastType]] = "Blk", ICE[[#This Row],[LstBlkTime]], ""))</f>
        <v/>
      </c>
      <c r="R1034" s="41" t="str">
        <f>IF(ICE[[#This Row],[LastType]] = "Scrn", ICE[[#This Row],[LstPrc]], IF(ICE[[#This Row],[LastType]] = "Blk", ICE[[#This Row],[LstBlkPrc]], ""))</f>
        <v/>
      </c>
      <c r="S1034" s="36" t="e">
        <f>ICE[[#This Row],[Vol]]+ICE[[#This Row],[BlkVol]]</f>
        <v>#VALUE!</v>
      </c>
      <c r="T1034" s="36" t="str">
        <f>RTD("ice.rtd",,$C1034 &amp; $D1034 &amp; ":" &amp; T$1)</f>
        <v>Invalid Market: B0</v>
      </c>
      <c r="U1034" s="18" t="str">
        <f>RTD("ice.rtd",,$C1034 &amp; $D1034 &amp; ":" &amp; U$1)</f>
        <v>Invalid Market: B0</v>
      </c>
      <c r="V10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034" s="18" t="str">
        <f>IFERROR(IF(LEFT(ICE[[#This Row],[Tenor]], 1) = "B", RTD("esrtd",,$B1034 &amp; " " &amp; ICE[[#This Row],[Tenor]] &amp; "-IEU", W$1), RTD("esrtd",,$B1034 &amp; " " &amp; VLOOKUP(MONTH(ICE[[#This Row],[Strip]]), MthRef[], 2, 0) &amp; RIGHT(YEAR(ICE[[#This Row],[Strip]]), 2) &amp; "-IEU", W$1)), "")</f>
        <v/>
      </c>
      <c r="X1034" s="36"/>
    </row>
    <row r="1035" spans="1:24" x14ac:dyDescent="0.25">
      <c r="A1035" s="37" t="s">
        <v>833</v>
      </c>
      <c r="B1035" s="3" t="str">
        <f>RTD("ice.rtd",,$C1035 &amp; $D1035 &amp; ":" &amp; B$1)</f>
        <v>MFR</v>
      </c>
      <c r="C1035" s="3">
        <v>2427126288</v>
      </c>
      <c r="D1035" t="s">
        <v>793</v>
      </c>
      <c r="E1035" s="3" t="str">
        <f>RTD("ice.rtd",,$C1035 &amp; $D1035 &amp; ":" &amp; E$1)</f>
        <v>Sep26</v>
      </c>
      <c r="F1035" s="3" t="str">
        <f>ICE[[#This Row],[Prod]]&amp;ICE[[#This Row],[Strip]]</f>
        <v>fo05bfrbrxbblSep26</v>
      </c>
      <c r="G1035" s="18" t="str">
        <f>RTD("ice.rtd",,$C1035 &amp; $D1035 &amp; ":" &amp; G$1)</f>
        <v/>
      </c>
      <c r="H1035" s="18" t="str">
        <f>RTD("ice.rtd",,$C1035 &amp; $D1035 &amp; ":" &amp; H$1)</f>
        <v/>
      </c>
      <c r="I1035" s="18" t="str">
        <f>RTD("ice.rtd",,$C1035 &amp; $D1035 &amp; ":" &amp; I$1)</f>
        <v/>
      </c>
      <c r="J1035" s="14" t="str">
        <f>IFERROR(MOD(RTD("ice.rtd",,$C1035 &amp; $D1035 &amp; ":" &amp; J$1), 1), "")</f>
        <v/>
      </c>
      <c r="K1035" s="18" t="str">
        <f>RTD("ice.rtd",,$C1035 &amp; $D1035 &amp; ":" &amp; K$1)</f>
        <v/>
      </c>
      <c r="L1035" s="36" t="str">
        <f>RTD("ice.rtd",,$C1035 &amp; $D1035 &amp; ":" &amp; L$1)</f>
        <v/>
      </c>
      <c r="M1035" s="14" t="str">
        <f>IFERROR(MOD(TIMEVALUE(RTD("ice.rtd",,$C1035 &amp; $D1035 &amp; ":" &amp; M$1)), 1), "")</f>
        <v/>
      </c>
      <c r="N1035" s="36">
        <f>RTD("ice.rtd",,$C1035 &amp; $D1035 &amp; ":" &amp; N$1)</f>
        <v>0</v>
      </c>
      <c r="O1035" s="36">
        <f>RTD("ice.rtd",,$C1035 &amp; $D1035 &amp; ":" &amp; O$1)</f>
        <v>0</v>
      </c>
      <c r="P10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5" s="14" t="str">
        <f>IF(ICE[[#This Row],[LastType]] = "Scrn", ICE[[#This Row],[LstDate]], IF(ICE[[#This Row],[LastType]] = "Blk", ICE[[#This Row],[LstBlkTime]], ""))</f>
        <v/>
      </c>
      <c r="R1035" s="41" t="str">
        <f>IF(ICE[[#This Row],[LastType]] = "Scrn", ICE[[#This Row],[LstPrc]], IF(ICE[[#This Row],[LastType]] = "Blk", ICE[[#This Row],[LstBlkPrc]], ""))</f>
        <v/>
      </c>
      <c r="S1035" s="36">
        <f>ICE[[#This Row],[Vol]]+ICE[[#This Row],[BlkVol]]</f>
        <v>0</v>
      </c>
      <c r="T1035" s="36">
        <f>RTD("ice.rtd",,$C1035 &amp; $D1035 &amp; ":" &amp; T$1)</f>
        <v>6212</v>
      </c>
      <c r="U1035" s="18">
        <f>RTD("ice.rtd",,$C1035 &amp; $D1035 &amp; ":" &amp; U$1)</f>
        <v>6.2524000000000006</v>
      </c>
      <c r="V10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35" s="18" t="str">
        <f>IFERROR(IF(LEFT(ICE[[#This Row],[Tenor]], 1) = "B", RTD("esrtd",,$B1035 &amp; " " &amp; ICE[[#This Row],[Tenor]] &amp; "-IEU", W$1), RTD("esrtd",,$B1035 &amp; " " &amp; VLOOKUP(MONTH(ICE[[#This Row],[Strip]]), MthRef[], 2, 0) &amp; RIGHT(YEAR(ICE[[#This Row],[Strip]]), 2) &amp; "-IEU", W$1)), "")</f>
        <v/>
      </c>
      <c r="X1035" s="36"/>
    </row>
    <row r="1036" spans="1:24" x14ac:dyDescent="0.25">
      <c r="A1036" s="37" t="s">
        <v>833</v>
      </c>
      <c r="B1036" s="3" t="str">
        <f>RTD("ice.rtd",,$C1036 &amp; $D1036 &amp; ":" &amp; B$1)</f>
        <v>MFR</v>
      </c>
      <c r="C1036" s="3">
        <v>2427126288</v>
      </c>
      <c r="D1036" t="s">
        <v>324</v>
      </c>
      <c r="E1036" s="3" t="str">
        <f>RTD("ice.rtd",,$C1036 &amp; $D1036 &amp; ":" &amp; E$1)</f>
        <v>Oct26</v>
      </c>
      <c r="F1036" s="3" t="str">
        <f>ICE[[#This Row],[Prod]]&amp;ICE[[#This Row],[Strip]]</f>
        <v>fo05bfrbrxbblOct26</v>
      </c>
      <c r="G1036" s="18">
        <f>RTD("ice.rtd",,$C1036 &amp; $D1036 &amp; ":" &amp; G$1)</f>
        <v>5.5</v>
      </c>
      <c r="H1036" s="18">
        <f>RTD("ice.rtd",,$C1036 &amp; $D1036 &amp; ":" &amp; H$1)</f>
        <v>5.8</v>
      </c>
      <c r="I1036" s="18">
        <f>RTD("ice.rtd",,$C1036 &amp; $D1036 &amp; ":" &amp; I$1)</f>
        <v>5.8</v>
      </c>
      <c r="J1036" s="14">
        <f>IFERROR(MOD(RTD("ice.rtd",,$C1036 &amp; $D1036 &amp; ":" &amp; J$1), 1), "")</f>
        <v>0.43996846064692363</v>
      </c>
      <c r="K1036" s="18" t="str">
        <f>RTD("ice.rtd",,$C1036 &amp; $D1036 &amp; ":" &amp; K$1)</f>
        <v/>
      </c>
      <c r="L1036" s="36" t="str">
        <f>RTD("ice.rtd",,$C1036 &amp; $D1036 &amp; ":" &amp; L$1)</f>
        <v/>
      </c>
      <c r="M1036" s="14" t="str">
        <f>IFERROR(MOD(TIMEVALUE(RTD("ice.rtd",,$C1036 &amp; $D1036 &amp; ":" &amp; M$1)), 1), "")</f>
        <v/>
      </c>
      <c r="N1036" s="36">
        <f>RTD("ice.rtd",,$C1036 &amp; $D1036 &amp; ":" &amp; N$1)</f>
        <v>120</v>
      </c>
      <c r="O1036" s="36">
        <f>RTD("ice.rtd",,$C1036 &amp; $D1036 &amp; ":" &amp; O$1)</f>
        <v>0</v>
      </c>
      <c r="P10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036" s="14">
        <f>IF(ICE[[#This Row],[LastType]] = "Scrn", ICE[[#This Row],[LstDate]], IF(ICE[[#This Row],[LastType]] = "Blk", ICE[[#This Row],[LstBlkTime]], ""))</f>
        <v>0.43996846064692363</v>
      </c>
      <c r="R1036" s="41">
        <f>IF(ICE[[#This Row],[LastType]] = "Scrn", ICE[[#This Row],[LstPrc]], IF(ICE[[#This Row],[LastType]] = "Blk", ICE[[#This Row],[LstBlkPrc]], ""))</f>
        <v>5.8</v>
      </c>
      <c r="S1036" s="36">
        <f>ICE[[#This Row],[Vol]]+ICE[[#This Row],[BlkVol]]</f>
        <v>120</v>
      </c>
      <c r="T1036" s="36">
        <f>RTD("ice.rtd",,$C1036 &amp; $D1036 &amp; ":" &amp; T$1)</f>
        <v>2756</v>
      </c>
      <c r="U1036" s="18">
        <f>RTD("ice.rtd",,$C1036 &amp; $D1036 &amp; ":" &amp; U$1)</f>
        <v>6.4004000000000003</v>
      </c>
      <c r="V10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5.50 / 5.80 {5.80} |120x</v>
      </c>
      <c r="W1036" s="18" t="str">
        <f>IFERROR(IF(LEFT(ICE[[#This Row],[Tenor]], 1) = "B", RTD("esrtd",,$B1036 &amp; " " &amp; ICE[[#This Row],[Tenor]] &amp; "-IEU", W$1), RTD("esrtd",,$B1036 &amp; " " &amp; VLOOKUP(MONTH(ICE[[#This Row],[Strip]]), MthRef[], 2, 0) &amp; RIGHT(YEAR(ICE[[#This Row],[Strip]]), 2) &amp; "-IEU", W$1)), "")</f>
        <v/>
      </c>
      <c r="X1036" s="36"/>
    </row>
    <row r="1037" spans="1:24" x14ac:dyDescent="0.25">
      <c r="A1037" s="37" t="s">
        <v>833</v>
      </c>
      <c r="B1037" s="3" t="str">
        <f>RTD("ice.rtd",,$C1037 &amp; $D1037 &amp; ":" &amp; B$1)</f>
        <v>MFR</v>
      </c>
      <c r="C1037" s="3">
        <v>2427126288</v>
      </c>
      <c r="D1037" t="s">
        <v>325</v>
      </c>
      <c r="E1037" s="3" t="str">
        <f>RTD("ice.rtd",,$C1037 &amp; $D1037 &amp; ":" &amp; E$1)</f>
        <v>Nov26</v>
      </c>
      <c r="F1037" s="3" t="str">
        <f>ICE[[#This Row],[Prod]]&amp;ICE[[#This Row],[Strip]]</f>
        <v>fo05bfrbrxbblNov26</v>
      </c>
      <c r="G1037" s="18" t="str">
        <f>RTD("ice.rtd",,$C1037 &amp; $D1037 &amp; ":" &amp; G$1)</f>
        <v/>
      </c>
      <c r="H1037" s="18" t="str">
        <f>RTD("ice.rtd",,$C1037 &amp; $D1037 &amp; ":" &amp; H$1)</f>
        <v/>
      </c>
      <c r="I1037" s="18" t="str">
        <f>RTD("ice.rtd",,$C1037 &amp; $D1037 &amp; ":" &amp; I$1)</f>
        <v/>
      </c>
      <c r="J1037" s="14" t="str">
        <f>IFERROR(MOD(RTD("ice.rtd",,$C1037 &amp; $D1037 &amp; ":" &amp; J$1), 1), "")</f>
        <v/>
      </c>
      <c r="K1037" s="18" t="str">
        <f>RTD("ice.rtd",,$C1037 &amp; $D1037 &amp; ":" &amp; K$1)</f>
        <v/>
      </c>
      <c r="L1037" s="36" t="str">
        <f>RTD("ice.rtd",,$C1037 &amp; $D1037 &amp; ":" &amp; L$1)</f>
        <v/>
      </c>
      <c r="M1037" s="14" t="str">
        <f>IFERROR(MOD(TIMEVALUE(RTD("ice.rtd",,$C1037 &amp; $D1037 &amp; ":" &amp; M$1)), 1), "")</f>
        <v/>
      </c>
      <c r="N1037" s="36">
        <f>RTD("ice.rtd",,$C1037 &amp; $D1037 &amp; ":" &amp; N$1)</f>
        <v>0</v>
      </c>
      <c r="O1037" s="36">
        <f>RTD("ice.rtd",,$C1037 &amp; $D1037 &amp; ":" &amp; O$1)</f>
        <v>0</v>
      </c>
      <c r="P10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7" s="14" t="str">
        <f>IF(ICE[[#This Row],[LastType]] = "Scrn", ICE[[#This Row],[LstDate]], IF(ICE[[#This Row],[LastType]] = "Blk", ICE[[#This Row],[LstBlkTime]], ""))</f>
        <v/>
      </c>
      <c r="R1037" s="41" t="str">
        <f>IF(ICE[[#This Row],[LastType]] = "Scrn", ICE[[#This Row],[LstPrc]], IF(ICE[[#This Row],[LastType]] = "Blk", ICE[[#This Row],[LstBlkPrc]], ""))</f>
        <v/>
      </c>
      <c r="S1037" s="36">
        <f>ICE[[#This Row],[Vol]]+ICE[[#This Row],[BlkVol]]</f>
        <v>0</v>
      </c>
      <c r="T1037" s="36">
        <f>RTD("ice.rtd",,$C1037 &amp; $D1037 &amp; ":" &amp; T$1)</f>
        <v>1848</v>
      </c>
      <c r="U1037" s="18">
        <f>RTD("ice.rtd",,$C1037 &amp; $D1037 &amp; ":" &amp; U$1)</f>
        <v>6.2519</v>
      </c>
      <c r="V10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37" s="18" t="str">
        <f>IFERROR(IF(LEFT(ICE[[#This Row],[Tenor]], 1) = "B", RTD("esrtd",,$B1037 &amp; " " &amp; ICE[[#This Row],[Tenor]] &amp; "-IEU", W$1), RTD("esrtd",,$B1037 &amp; " " &amp; VLOOKUP(MONTH(ICE[[#This Row],[Strip]]), MthRef[], 2, 0) &amp; RIGHT(YEAR(ICE[[#This Row],[Strip]]), 2) &amp; "-IEU", W$1)), "")</f>
        <v/>
      </c>
      <c r="X1037" s="36"/>
    </row>
    <row r="1038" spans="1:24" x14ac:dyDescent="0.25">
      <c r="A1038" s="37" t="s">
        <v>833</v>
      </c>
      <c r="B1038" s="3" t="str">
        <f>RTD("ice.rtd",,$C1038 &amp; $D1038 &amp; ":" &amp; B$1)</f>
        <v>MFR</v>
      </c>
      <c r="C1038" s="3">
        <v>2427126288</v>
      </c>
      <c r="D1038" t="s">
        <v>326</v>
      </c>
      <c r="E1038" s="3" t="str">
        <f>RTD("ice.rtd",,$C1038 &amp; $D1038 &amp; ":" &amp; E$1)</f>
        <v>Dec26</v>
      </c>
      <c r="F1038" s="3" t="str">
        <f>ICE[[#This Row],[Prod]]&amp;ICE[[#This Row],[Strip]]</f>
        <v>fo05bfrbrxbblDec26</v>
      </c>
      <c r="G1038" s="18" t="str">
        <f>RTD("ice.rtd",,$C1038 &amp; $D1038 &amp; ":" &amp; G$1)</f>
        <v/>
      </c>
      <c r="H1038" s="18" t="str">
        <f>RTD("ice.rtd",,$C1038 &amp; $D1038 &amp; ":" &amp; H$1)</f>
        <v/>
      </c>
      <c r="I1038" s="18" t="str">
        <f>RTD("ice.rtd",,$C1038 &amp; $D1038 &amp; ":" &amp; I$1)</f>
        <v/>
      </c>
      <c r="J1038" s="14" t="str">
        <f>IFERROR(MOD(RTD("ice.rtd",,$C1038 &amp; $D1038 &amp; ":" &amp; J$1), 1), "")</f>
        <v/>
      </c>
      <c r="K1038" s="18">
        <f>RTD("ice.rtd",,$C1038 &amp; $D1038 &amp; ":" &amp; K$1)</f>
        <v>6.15</v>
      </c>
      <c r="L1038" s="36">
        <f>RTD("ice.rtd",,$C1038 &amp; $D1038 &amp; ":" &amp; L$1)</f>
        <v>18</v>
      </c>
      <c r="M1038" s="14">
        <f>IFERROR(MOD(TIMEVALUE(RTD("ice.rtd",,$C1038 &amp; $D1038 &amp; ":" &amp; M$1)), 1), "")</f>
        <v>0.39078703703703704</v>
      </c>
      <c r="N1038" s="36">
        <f>RTD("ice.rtd",,$C1038 &amp; $D1038 &amp; ":" &amp; N$1)</f>
        <v>0</v>
      </c>
      <c r="O1038" s="36">
        <f>RTD("ice.rtd",,$C1038 &amp; $D1038 &amp; ":" &amp; O$1)</f>
        <v>50</v>
      </c>
      <c r="P10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038" s="14">
        <f>IF(ICE[[#This Row],[LastType]] = "Scrn", ICE[[#This Row],[LstDate]], IF(ICE[[#This Row],[LastType]] = "Blk", ICE[[#This Row],[LstBlkTime]], ""))</f>
        <v>0.39078703703703704</v>
      </c>
      <c r="R1038" s="41">
        <f>IF(ICE[[#This Row],[LastType]] = "Scrn", ICE[[#This Row],[LstPrc]], IF(ICE[[#This Row],[LastType]] = "Blk", ICE[[#This Row],[LstBlkPrc]], ""))</f>
        <v>6.15</v>
      </c>
      <c r="S1038" s="36">
        <f>ICE[[#This Row],[Vol]]+ICE[[#This Row],[BlkVol]]</f>
        <v>50</v>
      </c>
      <c r="T1038" s="36">
        <f>RTD("ice.rtd",,$C1038 &amp; $D1038 &amp; ":" &amp; T$1)</f>
        <v>2447</v>
      </c>
      <c r="U1038" s="18">
        <f>RTD("ice.rtd",,$C1038 &amp; $D1038 &amp; ":" &amp; U$1)</f>
        <v>6.1689000000000007</v>
      </c>
      <c r="V10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{6.15} |50x</v>
      </c>
      <c r="W1038" s="18" t="str">
        <f>IFERROR(IF(LEFT(ICE[[#This Row],[Tenor]], 1) = "B", RTD("esrtd",,$B1038 &amp; " " &amp; ICE[[#This Row],[Tenor]] &amp; "-IEU", W$1), RTD("esrtd",,$B1038 &amp; " " &amp; VLOOKUP(MONTH(ICE[[#This Row],[Strip]]), MthRef[], 2, 0) &amp; RIGHT(YEAR(ICE[[#This Row],[Strip]]), 2) &amp; "-IEU", W$1)), "")</f>
        <v/>
      </c>
      <c r="X1038" s="36"/>
    </row>
    <row r="1039" spans="1:24" x14ac:dyDescent="0.25">
      <c r="A1039" s="37" t="s">
        <v>833</v>
      </c>
      <c r="B1039" s="3" t="str">
        <f>RTD("ice.rtd",,$C1039 &amp; $D1039 &amp; ":" &amp; B$1)</f>
        <v>MFR</v>
      </c>
      <c r="C1039" s="3">
        <v>2427126288</v>
      </c>
      <c r="D1039" t="s">
        <v>794</v>
      </c>
      <c r="E1039" s="3" t="str">
        <f>RTD("ice.rtd",,$C1039 &amp; $D1039 &amp; ":" &amp; E$1)</f>
        <v>Jan27</v>
      </c>
      <c r="F1039" s="3" t="str">
        <f>ICE[[#This Row],[Prod]]&amp;ICE[[#This Row],[Strip]]</f>
        <v>fo05bfrbrxbblJan27</v>
      </c>
      <c r="G1039" s="18" t="str">
        <f>RTD("ice.rtd",,$C1039 &amp; $D1039 &amp; ":" &amp; G$1)</f>
        <v/>
      </c>
      <c r="H1039" s="18" t="str">
        <f>RTD("ice.rtd",,$C1039 &amp; $D1039 &amp; ":" &amp; H$1)</f>
        <v/>
      </c>
      <c r="I1039" s="18" t="str">
        <f>RTD("ice.rtd",,$C1039 &amp; $D1039 &amp; ":" &amp; I$1)</f>
        <v/>
      </c>
      <c r="J1039" s="14" t="str">
        <f>IFERROR(MOD(RTD("ice.rtd",,$C1039 &amp; $D1039 &amp; ":" &amp; J$1), 1), "")</f>
        <v/>
      </c>
      <c r="K1039" s="18" t="str">
        <f>RTD("ice.rtd",,$C1039 &amp; $D1039 &amp; ":" &amp; K$1)</f>
        <v/>
      </c>
      <c r="L1039" s="36" t="str">
        <f>RTD("ice.rtd",,$C1039 &amp; $D1039 &amp; ":" &amp; L$1)</f>
        <v/>
      </c>
      <c r="M1039" s="14" t="str">
        <f>IFERROR(MOD(TIMEVALUE(RTD("ice.rtd",,$C1039 &amp; $D1039 &amp; ":" &amp; M$1)), 1), "")</f>
        <v/>
      </c>
      <c r="N1039" s="36">
        <f>RTD("ice.rtd",,$C1039 &amp; $D1039 &amp; ":" &amp; N$1)</f>
        <v>0</v>
      </c>
      <c r="O1039" s="36">
        <f>RTD("ice.rtd",,$C1039 &amp; $D1039 &amp; ":" &amp; O$1)</f>
        <v>100</v>
      </c>
      <c r="P10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39" s="14" t="str">
        <f>IF(ICE[[#This Row],[LastType]] = "Scrn", ICE[[#This Row],[LstDate]], IF(ICE[[#This Row],[LastType]] = "Blk", ICE[[#This Row],[LstBlkTime]], ""))</f>
        <v/>
      </c>
      <c r="R1039" s="41" t="str">
        <f>IF(ICE[[#This Row],[LastType]] = "Scrn", ICE[[#This Row],[LstPrc]], IF(ICE[[#This Row],[LastType]] = "Blk", ICE[[#This Row],[LstBlkPrc]], ""))</f>
        <v/>
      </c>
      <c r="S1039" s="36">
        <f>ICE[[#This Row],[Vol]]+ICE[[#This Row],[BlkVol]]</f>
        <v>100</v>
      </c>
      <c r="T1039" s="36">
        <f>RTD("ice.rtd",,$C1039 &amp; $D1039 &amp; ":" &amp; T$1)</f>
        <v>488</v>
      </c>
      <c r="U1039" s="18">
        <f>RTD("ice.rtd",,$C1039 &amp; $D1039 &amp; ":" &amp; U$1)</f>
        <v>6.2206000000000001</v>
      </c>
      <c r="V10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39" s="18" t="str">
        <f>IFERROR(IF(LEFT(ICE[[#This Row],[Tenor]], 1) = "B", RTD("esrtd",,$B1039 &amp; " " &amp; ICE[[#This Row],[Tenor]] &amp; "-IEU", W$1), RTD("esrtd",,$B1039 &amp; " " &amp; VLOOKUP(MONTH(ICE[[#This Row],[Strip]]), MthRef[], 2, 0) &amp; RIGHT(YEAR(ICE[[#This Row],[Strip]]), 2) &amp; "-IEU", W$1)), "")</f>
        <v/>
      </c>
      <c r="X1039" s="36"/>
    </row>
    <row r="1040" spans="1:24" x14ac:dyDescent="0.25">
      <c r="A1040" s="37" t="s">
        <v>833</v>
      </c>
      <c r="B1040" s="3" t="str">
        <f>RTD("ice.rtd",,$C1040 &amp; $D1040 &amp; ":" &amp; B$1)</f>
        <v>MFR</v>
      </c>
      <c r="C1040" s="3">
        <v>2427126288</v>
      </c>
      <c r="D1040" t="s">
        <v>795</v>
      </c>
      <c r="E1040" s="3" t="str">
        <f>RTD("ice.rtd",,$C1040 &amp; $D1040 &amp; ":" &amp; E$1)</f>
        <v>Feb27</v>
      </c>
      <c r="F1040" s="3" t="str">
        <f>ICE[[#This Row],[Prod]]&amp;ICE[[#This Row],[Strip]]</f>
        <v>fo05bfrbrxbblFeb27</v>
      </c>
      <c r="G1040" s="18" t="str">
        <f>RTD("ice.rtd",,$C1040 &amp; $D1040 &amp; ":" &amp; G$1)</f>
        <v/>
      </c>
      <c r="H1040" s="18" t="str">
        <f>RTD("ice.rtd",,$C1040 &amp; $D1040 &amp; ":" &amp; H$1)</f>
        <v/>
      </c>
      <c r="I1040" s="18" t="str">
        <f>RTD("ice.rtd",,$C1040 &amp; $D1040 &amp; ":" &amp; I$1)</f>
        <v/>
      </c>
      <c r="J1040" s="14" t="str">
        <f>IFERROR(MOD(RTD("ice.rtd",,$C1040 &amp; $D1040 &amp; ":" &amp; J$1), 1), "")</f>
        <v/>
      </c>
      <c r="K1040" s="18" t="str">
        <f>RTD("ice.rtd",,$C1040 &amp; $D1040 &amp; ":" &amp; K$1)</f>
        <v/>
      </c>
      <c r="L1040" s="36" t="str">
        <f>RTD("ice.rtd",,$C1040 &amp; $D1040 &amp; ":" &amp; L$1)</f>
        <v/>
      </c>
      <c r="M1040" s="14" t="str">
        <f>IFERROR(MOD(TIMEVALUE(RTD("ice.rtd",,$C1040 &amp; $D1040 &amp; ":" &amp; M$1)), 1), "")</f>
        <v/>
      </c>
      <c r="N1040" s="36">
        <f>RTD("ice.rtd",,$C1040 &amp; $D1040 &amp; ":" &amp; N$1)</f>
        <v>0</v>
      </c>
      <c r="O1040" s="36">
        <f>RTD("ice.rtd",,$C1040 &amp; $D1040 &amp; ":" &amp; O$1)</f>
        <v>100</v>
      </c>
      <c r="P10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0" s="14" t="str">
        <f>IF(ICE[[#This Row],[LastType]] = "Scrn", ICE[[#This Row],[LstDate]], IF(ICE[[#This Row],[LastType]] = "Blk", ICE[[#This Row],[LstBlkTime]], ""))</f>
        <v/>
      </c>
      <c r="R1040" s="41" t="str">
        <f>IF(ICE[[#This Row],[LastType]] = "Scrn", ICE[[#This Row],[LstPrc]], IF(ICE[[#This Row],[LastType]] = "Blk", ICE[[#This Row],[LstBlkPrc]], ""))</f>
        <v/>
      </c>
      <c r="S1040" s="36">
        <f>ICE[[#This Row],[Vol]]+ICE[[#This Row],[BlkVol]]</f>
        <v>100</v>
      </c>
      <c r="T1040" s="36">
        <f>RTD("ice.rtd",,$C1040 &amp; $D1040 &amp; ":" &amp; T$1)</f>
        <v>473</v>
      </c>
      <c r="U1040" s="18">
        <f>RTD("ice.rtd",,$C1040 &amp; $D1040 &amp; ":" &amp; U$1)</f>
        <v>6.4064000000000005</v>
      </c>
      <c r="V10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40" s="18" t="str">
        <f>IFERROR(IF(LEFT(ICE[[#This Row],[Tenor]], 1) = "B", RTD("esrtd",,$B1040 &amp; " " &amp; ICE[[#This Row],[Tenor]] &amp; "-IEU", W$1), RTD("esrtd",,$B1040 &amp; " " &amp; VLOOKUP(MONTH(ICE[[#This Row],[Strip]]), MthRef[], 2, 0) &amp; RIGHT(YEAR(ICE[[#This Row],[Strip]]), 2) &amp; "-IEU", W$1)), "")</f>
        <v/>
      </c>
      <c r="X1040" s="36"/>
    </row>
    <row r="1041" spans="1:24" x14ac:dyDescent="0.25">
      <c r="A1041" s="37" t="s">
        <v>833</v>
      </c>
      <c r="B1041" s="3" t="str">
        <f>RTD("ice.rtd",,$C1041 &amp; $D1041 &amp; ":" &amp; B$1)</f>
        <v>MFR</v>
      </c>
      <c r="C1041" s="3">
        <v>2427126288</v>
      </c>
      <c r="D1041" t="s">
        <v>113</v>
      </c>
      <c r="E1041" s="3" t="str">
        <f>RTD("ice.rtd",,$C1041 &amp; $D1041 &amp; ":" &amp; E$1)</f>
        <v>Mar27</v>
      </c>
      <c r="F1041" s="3" t="str">
        <f>ICE[[#This Row],[Prod]]&amp;ICE[[#This Row],[Strip]]</f>
        <v>fo05bfrbrxbblMar27</v>
      </c>
      <c r="G1041" s="18" t="str">
        <f>RTD("ice.rtd",,$C1041 &amp; $D1041 &amp; ":" &amp; G$1)</f>
        <v/>
      </c>
      <c r="H1041" s="18" t="str">
        <f>RTD("ice.rtd",,$C1041 &amp; $D1041 &amp; ":" &amp; H$1)</f>
        <v/>
      </c>
      <c r="I1041" s="18" t="str">
        <f>RTD("ice.rtd",,$C1041 &amp; $D1041 &amp; ":" &amp; I$1)</f>
        <v/>
      </c>
      <c r="J1041" s="14" t="str">
        <f>IFERROR(MOD(RTD("ice.rtd",,$C1041 &amp; $D1041 &amp; ":" &amp; J$1), 1), "")</f>
        <v/>
      </c>
      <c r="K1041" s="18" t="str">
        <f>RTD("ice.rtd",,$C1041 &amp; $D1041 &amp; ":" &amp; K$1)</f>
        <v/>
      </c>
      <c r="L1041" s="36" t="str">
        <f>RTD("ice.rtd",,$C1041 &amp; $D1041 &amp; ":" &amp; L$1)</f>
        <v/>
      </c>
      <c r="M1041" s="14" t="str">
        <f>IFERROR(MOD(TIMEVALUE(RTD("ice.rtd",,$C1041 &amp; $D1041 &amp; ":" &amp; M$1)), 1), "")</f>
        <v/>
      </c>
      <c r="N1041" s="36">
        <f>RTD("ice.rtd",,$C1041 &amp; $D1041 &amp; ":" &amp; N$1)</f>
        <v>0</v>
      </c>
      <c r="O1041" s="36">
        <f>RTD("ice.rtd",,$C1041 &amp; $D1041 &amp; ":" &amp; O$1)</f>
        <v>100</v>
      </c>
      <c r="P10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1" s="14" t="str">
        <f>IF(ICE[[#This Row],[LastType]] = "Scrn", ICE[[#This Row],[LstDate]], IF(ICE[[#This Row],[LastType]] = "Blk", ICE[[#This Row],[LstBlkTime]], ""))</f>
        <v/>
      </c>
      <c r="R1041" s="41" t="str">
        <f>IF(ICE[[#This Row],[LastType]] = "Scrn", ICE[[#This Row],[LstPrc]], IF(ICE[[#This Row],[LastType]] = "Blk", ICE[[#This Row],[LstBlkPrc]], ""))</f>
        <v/>
      </c>
      <c r="S1041" s="36">
        <f>ICE[[#This Row],[Vol]]+ICE[[#This Row],[BlkVol]]</f>
        <v>100</v>
      </c>
      <c r="T1041" s="36">
        <f>RTD("ice.rtd",,$C1041 &amp; $D1041 &amp; ":" &amp; T$1)</f>
        <v>475</v>
      </c>
      <c r="U1041" s="18">
        <f>RTD("ice.rtd",,$C1041 &amp; $D1041 &amp; ":" &amp; U$1)</f>
        <v>6.4596</v>
      </c>
      <c r="V10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41" s="18" t="str">
        <f>IFERROR(IF(LEFT(ICE[[#This Row],[Tenor]], 1) = "B", RTD("esrtd",,$B1041 &amp; " " &amp; ICE[[#This Row],[Tenor]] &amp; "-IEU", W$1), RTD("esrtd",,$B1041 &amp; " " &amp; VLOOKUP(MONTH(ICE[[#This Row],[Strip]]), MthRef[], 2, 0) &amp; RIGHT(YEAR(ICE[[#This Row],[Strip]]), 2) &amp; "-IEU", W$1)), "")</f>
        <v/>
      </c>
      <c r="X1041" s="36"/>
    </row>
    <row r="1042" spans="1:24" x14ac:dyDescent="0.25">
      <c r="A1042" s="37" t="s">
        <v>833</v>
      </c>
      <c r="B1042" s="3" t="str">
        <f>RTD("ice.rtd",,$C1042 &amp; $D1042 &amp; ":" &amp; B$1)</f>
        <v>MFR</v>
      </c>
      <c r="C1042" s="3">
        <v>2427126288</v>
      </c>
      <c r="D1042" t="s">
        <v>796</v>
      </c>
      <c r="E1042" s="3" t="str">
        <f>RTD("ice.rtd",,$C1042 &amp; $D1042 &amp; ":" &amp; E$1)</f>
        <v>Apr27</v>
      </c>
      <c r="F1042" s="3" t="str">
        <f>ICE[[#This Row],[Prod]]&amp;ICE[[#This Row],[Strip]]</f>
        <v>fo05bfrbrxbblApr27</v>
      </c>
      <c r="G1042" s="18" t="str">
        <f>RTD("ice.rtd",,$C1042 &amp; $D1042 &amp; ":" &amp; G$1)</f>
        <v/>
      </c>
      <c r="H1042" s="18" t="str">
        <f>RTD("ice.rtd",,$C1042 &amp; $D1042 &amp; ":" &amp; H$1)</f>
        <v/>
      </c>
      <c r="I1042" s="18" t="str">
        <f>RTD("ice.rtd",,$C1042 &amp; $D1042 &amp; ":" &amp; I$1)</f>
        <v/>
      </c>
      <c r="J1042" s="14" t="str">
        <f>IFERROR(MOD(RTD("ice.rtd",,$C1042 &amp; $D1042 &amp; ":" &amp; J$1), 1), "")</f>
        <v/>
      </c>
      <c r="K1042" s="18" t="str">
        <f>RTD("ice.rtd",,$C1042 &amp; $D1042 &amp; ":" &amp; K$1)</f>
        <v/>
      </c>
      <c r="L1042" s="36" t="str">
        <f>RTD("ice.rtd",,$C1042 &amp; $D1042 &amp; ":" &amp; L$1)</f>
        <v/>
      </c>
      <c r="M1042" s="14" t="str">
        <f>IFERROR(MOD(TIMEVALUE(RTD("ice.rtd",,$C1042 &amp; $D1042 &amp; ":" &amp; M$1)), 1), "")</f>
        <v/>
      </c>
      <c r="N1042" s="36">
        <f>RTD("ice.rtd",,$C1042 &amp; $D1042 &amp; ":" &amp; N$1)</f>
        <v>0</v>
      </c>
      <c r="O1042" s="36">
        <f>RTD("ice.rtd",,$C1042 &amp; $D1042 &amp; ":" &amp; O$1)</f>
        <v>100</v>
      </c>
      <c r="P10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2" s="14" t="str">
        <f>IF(ICE[[#This Row],[LastType]] = "Scrn", ICE[[#This Row],[LstDate]], IF(ICE[[#This Row],[LastType]] = "Blk", ICE[[#This Row],[LstBlkTime]], ""))</f>
        <v/>
      </c>
      <c r="R1042" s="41" t="str">
        <f>IF(ICE[[#This Row],[LastType]] = "Scrn", ICE[[#This Row],[LstPrc]], IF(ICE[[#This Row],[LastType]] = "Blk", ICE[[#This Row],[LstBlkPrc]], ""))</f>
        <v/>
      </c>
      <c r="S1042" s="36">
        <f>ICE[[#This Row],[Vol]]+ICE[[#This Row],[BlkVol]]</f>
        <v>100</v>
      </c>
      <c r="T1042" s="36">
        <f>RTD("ice.rtd",,$C1042 &amp; $D1042 &amp; ":" &amp; T$1)</f>
        <v>418</v>
      </c>
      <c r="U1042" s="18">
        <f>RTD("ice.rtd",,$C1042 &amp; $D1042 &amp; ":" &amp; U$1)</f>
        <v>6.4584000000000001</v>
      </c>
      <c r="V10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42" s="18" t="str">
        <f>IFERROR(IF(LEFT(ICE[[#This Row],[Tenor]], 1) = "B", RTD("esrtd",,$B1042 &amp; " " &amp; ICE[[#This Row],[Tenor]] &amp; "-IEU", W$1), RTD("esrtd",,$B1042 &amp; " " &amp; VLOOKUP(MONTH(ICE[[#This Row],[Strip]]), MthRef[], 2, 0) &amp; RIGHT(YEAR(ICE[[#This Row],[Strip]]), 2) &amp; "-IEU", W$1)), "")</f>
        <v/>
      </c>
      <c r="X1042" s="36"/>
    </row>
    <row r="1043" spans="1:24" x14ac:dyDescent="0.25">
      <c r="A1043" s="37" t="s">
        <v>833</v>
      </c>
      <c r="B1043" s="3" t="str">
        <f>RTD("ice.rtd",,$C1043 &amp; $D1043 &amp; ":" &amp; B$1)</f>
        <v>MFR</v>
      </c>
      <c r="C1043" s="3">
        <v>2427126288</v>
      </c>
      <c r="D1043" t="s">
        <v>797</v>
      </c>
      <c r="E1043" s="3" t="str">
        <f>RTD("ice.rtd",,$C1043 &amp; $D1043 &amp; ":" &amp; E$1)</f>
        <v>May27</v>
      </c>
      <c r="F1043" s="3" t="str">
        <f>ICE[[#This Row],[Prod]]&amp;ICE[[#This Row],[Strip]]</f>
        <v>fo05bfrbrxbblMay27</v>
      </c>
      <c r="G1043" s="18" t="str">
        <f>RTD("ice.rtd",,$C1043 &amp; $D1043 &amp; ":" &amp; G$1)</f>
        <v/>
      </c>
      <c r="H1043" s="18" t="str">
        <f>RTD("ice.rtd",,$C1043 &amp; $D1043 &amp; ":" &amp; H$1)</f>
        <v/>
      </c>
      <c r="I1043" s="18" t="str">
        <f>RTD("ice.rtd",,$C1043 &amp; $D1043 &amp; ":" &amp; I$1)</f>
        <v/>
      </c>
      <c r="J1043" s="14" t="str">
        <f>IFERROR(MOD(RTD("ice.rtd",,$C1043 &amp; $D1043 &amp; ":" &amp; J$1), 1), "")</f>
        <v/>
      </c>
      <c r="K1043" s="18" t="str">
        <f>RTD("ice.rtd",,$C1043 &amp; $D1043 &amp; ":" &amp; K$1)</f>
        <v/>
      </c>
      <c r="L1043" s="36" t="str">
        <f>RTD("ice.rtd",,$C1043 &amp; $D1043 &amp; ":" &amp; L$1)</f>
        <v/>
      </c>
      <c r="M1043" s="14" t="str">
        <f>IFERROR(MOD(TIMEVALUE(RTD("ice.rtd",,$C1043 &amp; $D1043 &amp; ":" &amp; M$1)), 1), "")</f>
        <v/>
      </c>
      <c r="N1043" s="36">
        <f>RTD("ice.rtd",,$C1043 &amp; $D1043 &amp; ":" &amp; N$1)</f>
        <v>0</v>
      </c>
      <c r="O1043" s="36">
        <f>RTD("ice.rtd",,$C1043 &amp; $D1043 &amp; ":" &amp; O$1)</f>
        <v>100</v>
      </c>
      <c r="P10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3" s="14" t="str">
        <f>IF(ICE[[#This Row],[LastType]] = "Scrn", ICE[[#This Row],[LstDate]], IF(ICE[[#This Row],[LastType]] = "Blk", ICE[[#This Row],[LstBlkTime]], ""))</f>
        <v/>
      </c>
      <c r="R1043" s="41" t="str">
        <f>IF(ICE[[#This Row],[LastType]] = "Scrn", ICE[[#This Row],[LstPrc]], IF(ICE[[#This Row],[LastType]] = "Blk", ICE[[#This Row],[LstBlkPrc]], ""))</f>
        <v/>
      </c>
      <c r="S1043" s="36">
        <f>ICE[[#This Row],[Vol]]+ICE[[#This Row],[BlkVol]]</f>
        <v>100</v>
      </c>
      <c r="T1043" s="36">
        <f>RTD("ice.rtd",,$C1043 &amp; $D1043 &amp; ":" &amp; T$1)</f>
        <v>418</v>
      </c>
      <c r="U1043" s="18">
        <f>RTD("ice.rtd",,$C1043 &amp; $D1043 &amp; ":" &amp; U$1)</f>
        <v>6.4916</v>
      </c>
      <c r="V10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43" s="18" t="str">
        <f>IFERROR(IF(LEFT(ICE[[#This Row],[Tenor]], 1) = "B", RTD("esrtd",,$B1043 &amp; " " &amp; ICE[[#This Row],[Tenor]] &amp; "-IEU", W$1), RTD("esrtd",,$B1043 &amp; " " &amp; VLOOKUP(MONTH(ICE[[#This Row],[Strip]]), MthRef[], 2, 0) &amp; RIGHT(YEAR(ICE[[#This Row],[Strip]]), 2) &amp; "-IEU", W$1)), "")</f>
        <v/>
      </c>
      <c r="X1043" s="36"/>
    </row>
    <row r="1044" spans="1:24" x14ac:dyDescent="0.25">
      <c r="A1044" s="37" t="s">
        <v>833</v>
      </c>
      <c r="B1044" s="3" t="str">
        <f>RTD("ice.rtd",,$C1044 &amp; $D1044 &amp; ":" &amp; B$1)</f>
        <v>MFR</v>
      </c>
      <c r="C1044" s="3">
        <v>2427126288</v>
      </c>
      <c r="D1044" t="s">
        <v>798</v>
      </c>
      <c r="E1044" s="3" t="str">
        <f>RTD("ice.rtd",,$C1044 &amp; $D1044 &amp; ":" &amp; E$1)</f>
        <v>Jun27</v>
      </c>
      <c r="F1044" s="3" t="str">
        <f>ICE[[#This Row],[Prod]]&amp;ICE[[#This Row],[Strip]]</f>
        <v>fo05bfrbrxbblJun27</v>
      </c>
      <c r="G1044" s="18" t="str">
        <f>RTD("ice.rtd",,$C1044 &amp; $D1044 &amp; ":" &amp; G$1)</f>
        <v/>
      </c>
      <c r="H1044" s="18" t="str">
        <f>RTD("ice.rtd",,$C1044 &amp; $D1044 &amp; ":" &amp; H$1)</f>
        <v/>
      </c>
      <c r="I1044" s="18" t="str">
        <f>RTD("ice.rtd",,$C1044 &amp; $D1044 &amp; ":" &amp; I$1)</f>
        <v/>
      </c>
      <c r="J1044" s="14" t="str">
        <f>IFERROR(MOD(RTD("ice.rtd",,$C1044 &amp; $D1044 &amp; ":" &amp; J$1), 1), "")</f>
        <v/>
      </c>
      <c r="K1044" s="18" t="str">
        <f>RTD("ice.rtd",,$C1044 &amp; $D1044 &amp; ":" &amp; K$1)</f>
        <v/>
      </c>
      <c r="L1044" s="36" t="str">
        <f>RTD("ice.rtd",,$C1044 &amp; $D1044 &amp; ":" &amp; L$1)</f>
        <v/>
      </c>
      <c r="M1044" s="14" t="str">
        <f>IFERROR(MOD(TIMEVALUE(RTD("ice.rtd",,$C1044 &amp; $D1044 &amp; ":" &amp; M$1)), 1), "")</f>
        <v/>
      </c>
      <c r="N1044" s="36">
        <f>RTD("ice.rtd",,$C1044 &amp; $D1044 &amp; ":" &amp; N$1)</f>
        <v>0</v>
      </c>
      <c r="O1044" s="36">
        <f>RTD("ice.rtd",,$C1044 &amp; $D1044 &amp; ":" &amp; O$1)</f>
        <v>100</v>
      </c>
      <c r="P10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4" s="14" t="str">
        <f>IF(ICE[[#This Row],[LastType]] = "Scrn", ICE[[#This Row],[LstDate]], IF(ICE[[#This Row],[LastType]] = "Blk", ICE[[#This Row],[LstBlkTime]], ""))</f>
        <v/>
      </c>
      <c r="R1044" s="41" t="str">
        <f>IF(ICE[[#This Row],[LastType]] = "Scrn", ICE[[#This Row],[LstPrc]], IF(ICE[[#This Row],[LastType]] = "Blk", ICE[[#This Row],[LstBlkPrc]], ""))</f>
        <v/>
      </c>
      <c r="S1044" s="36">
        <f>ICE[[#This Row],[Vol]]+ICE[[#This Row],[BlkVol]]</f>
        <v>100</v>
      </c>
      <c r="T1044" s="36">
        <f>RTD("ice.rtd",,$C1044 &amp; $D1044 &amp; ":" &amp; T$1)</f>
        <v>418</v>
      </c>
      <c r="U1044" s="18">
        <f>RTD("ice.rtd",,$C1044 &amp; $D1044 &amp; ":" &amp; U$1)</f>
        <v>6.3742000000000001</v>
      </c>
      <c r="V10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44" s="18" t="str">
        <f>IFERROR(IF(LEFT(ICE[[#This Row],[Tenor]], 1) = "B", RTD("esrtd",,$B1044 &amp; " " &amp; ICE[[#This Row],[Tenor]] &amp; "-IEU", W$1), RTD("esrtd",,$B1044 &amp; " " &amp; VLOOKUP(MONTH(ICE[[#This Row],[Strip]]), MthRef[], 2, 0) &amp; RIGHT(YEAR(ICE[[#This Row],[Strip]]), 2) &amp; "-IEU", W$1)), "")</f>
        <v/>
      </c>
      <c r="X1044" s="36"/>
    </row>
    <row r="1045" spans="1:24" x14ac:dyDescent="0.25">
      <c r="A1045" s="37" t="s">
        <v>833</v>
      </c>
      <c r="B1045" s="3" t="str">
        <f>RTD("ice.rtd",,$C1045 &amp; $D1045 &amp; ":" &amp; B$1)</f>
        <v>MFR</v>
      </c>
      <c r="C1045" s="3">
        <v>2427126288</v>
      </c>
      <c r="D1045" t="s">
        <v>799</v>
      </c>
      <c r="E1045" s="3" t="str">
        <f>RTD("ice.rtd",,$C1045 &amp; $D1045 &amp; ":" &amp; E$1)</f>
        <v>Jul27</v>
      </c>
      <c r="F1045" s="3" t="str">
        <f>ICE[[#This Row],[Prod]]&amp;ICE[[#This Row],[Strip]]</f>
        <v>fo05bfrbrxbblJul27</v>
      </c>
      <c r="G1045" s="18" t="str">
        <f>RTD("ice.rtd",,$C1045 &amp; $D1045 &amp; ":" &amp; G$1)</f>
        <v/>
      </c>
      <c r="H1045" s="18" t="str">
        <f>RTD("ice.rtd",,$C1045 &amp; $D1045 &amp; ":" &amp; H$1)</f>
        <v/>
      </c>
      <c r="I1045" s="18" t="str">
        <f>RTD("ice.rtd",,$C1045 &amp; $D1045 &amp; ":" &amp; I$1)</f>
        <v/>
      </c>
      <c r="J1045" s="14" t="str">
        <f>IFERROR(MOD(RTD("ice.rtd",,$C1045 &amp; $D1045 &amp; ":" &amp; J$1), 1), "")</f>
        <v/>
      </c>
      <c r="K1045" s="18" t="str">
        <f>RTD("ice.rtd",,$C1045 &amp; $D1045 &amp; ":" &amp; K$1)</f>
        <v/>
      </c>
      <c r="L1045" s="36" t="str">
        <f>RTD("ice.rtd",,$C1045 &amp; $D1045 &amp; ":" &amp; L$1)</f>
        <v/>
      </c>
      <c r="M1045" s="14" t="str">
        <f>IFERROR(MOD(TIMEVALUE(RTD("ice.rtd",,$C1045 &amp; $D1045 &amp; ":" &amp; M$1)), 1), "")</f>
        <v/>
      </c>
      <c r="N1045" s="36">
        <f>RTD("ice.rtd",,$C1045 &amp; $D1045 &amp; ":" &amp; N$1)</f>
        <v>0</v>
      </c>
      <c r="O1045" s="36">
        <f>RTD("ice.rtd",,$C1045 &amp; $D1045 &amp; ":" &amp; O$1)</f>
        <v>0</v>
      </c>
      <c r="P10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5" s="14" t="str">
        <f>IF(ICE[[#This Row],[LastType]] = "Scrn", ICE[[#This Row],[LstDate]], IF(ICE[[#This Row],[LastType]] = "Blk", ICE[[#This Row],[LstBlkTime]], ""))</f>
        <v/>
      </c>
      <c r="R1045" s="41" t="str">
        <f>IF(ICE[[#This Row],[LastType]] = "Scrn", ICE[[#This Row],[LstPrc]], IF(ICE[[#This Row],[LastType]] = "Blk", ICE[[#This Row],[LstBlkPrc]], ""))</f>
        <v/>
      </c>
      <c r="S1045" s="36">
        <f>ICE[[#This Row],[Vol]]+ICE[[#This Row],[BlkVol]]</f>
        <v>0</v>
      </c>
      <c r="T1045" s="36">
        <f>RTD("ice.rtd",,$C1045 &amp; $D1045 &amp; ":" &amp; T$1)</f>
        <v>423</v>
      </c>
      <c r="U1045" s="18">
        <f>RTD("ice.rtd",,$C1045 &amp; $D1045 &amp; ":" &amp; U$1)</f>
        <v>6.2038000000000002</v>
      </c>
      <c r="V10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45" s="18" t="str">
        <f>IFERROR(IF(LEFT(ICE[[#This Row],[Tenor]], 1) = "B", RTD("esrtd",,$B1045 &amp; " " &amp; ICE[[#This Row],[Tenor]] &amp; "-IEU", W$1), RTD("esrtd",,$B1045 &amp; " " &amp; VLOOKUP(MONTH(ICE[[#This Row],[Strip]]), MthRef[], 2, 0) &amp; RIGHT(YEAR(ICE[[#This Row],[Strip]]), 2) &amp; "-IEU", W$1)), "")</f>
        <v/>
      </c>
      <c r="X1045" s="36"/>
    </row>
    <row r="1046" spans="1:24" x14ac:dyDescent="0.25">
      <c r="A1046" s="37" t="s">
        <v>833</v>
      </c>
      <c r="B1046" s="3" t="str">
        <f>RTD("ice.rtd",,$C1046 &amp; $D1046 &amp; ":" &amp; B$1)</f>
        <v>MFR</v>
      </c>
      <c r="C1046" s="3">
        <v>2427126288</v>
      </c>
      <c r="D1046" t="s">
        <v>800</v>
      </c>
      <c r="E1046" s="3" t="str">
        <f>RTD("ice.rtd",,$C1046 &amp; $D1046 &amp; ":" &amp; E$1)</f>
        <v>Aug27</v>
      </c>
      <c r="F1046" s="3" t="str">
        <f>ICE[[#This Row],[Prod]]&amp;ICE[[#This Row],[Strip]]</f>
        <v>fo05bfrbrxbblAug27</v>
      </c>
      <c r="G1046" s="18" t="str">
        <f>RTD("ice.rtd",,$C1046 &amp; $D1046 &amp; ":" &amp; G$1)</f>
        <v/>
      </c>
      <c r="H1046" s="18" t="str">
        <f>RTD("ice.rtd",,$C1046 &amp; $D1046 &amp; ":" &amp; H$1)</f>
        <v/>
      </c>
      <c r="I1046" s="18" t="str">
        <f>RTD("ice.rtd",,$C1046 &amp; $D1046 &amp; ":" &amp; I$1)</f>
        <v/>
      </c>
      <c r="J1046" s="14" t="str">
        <f>IFERROR(MOD(RTD("ice.rtd",,$C1046 &amp; $D1046 &amp; ":" &amp; J$1), 1), "")</f>
        <v/>
      </c>
      <c r="K1046" s="18" t="str">
        <f>RTD("ice.rtd",,$C1046 &amp; $D1046 &amp; ":" &amp; K$1)</f>
        <v/>
      </c>
      <c r="L1046" s="36" t="str">
        <f>RTD("ice.rtd",,$C1046 &amp; $D1046 &amp; ":" &amp; L$1)</f>
        <v/>
      </c>
      <c r="M1046" s="14" t="str">
        <f>IFERROR(MOD(TIMEVALUE(RTD("ice.rtd",,$C1046 &amp; $D1046 &amp; ":" &amp; M$1)), 1), "")</f>
        <v/>
      </c>
      <c r="N1046" s="36">
        <f>RTD("ice.rtd",,$C1046 &amp; $D1046 &amp; ":" &amp; N$1)</f>
        <v>0</v>
      </c>
      <c r="O1046" s="36">
        <f>RTD("ice.rtd",,$C1046 &amp; $D1046 &amp; ":" &amp; O$1)</f>
        <v>0</v>
      </c>
      <c r="P10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6" s="14" t="str">
        <f>IF(ICE[[#This Row],[LastType]] = "Scrn", ICE[[#This Row],[LstDate]], IF(ICE[[#This Row],[LastType]] = "Blk", ICE[[#This Row],[LstBlkTime]], ""))</f>
        <v/>
      </c>
      <c r="R1046" s="41" t="str">
        <f>IF(ICE[[#This Row],[LastType]] = "Scrn", ICE[[#This Row],[LstPrc]], IF(ICE[[#This Row],[LastType]] = "Blk", ICE[[#This Row],[LstBlkPrc]], ""))</f>
        <v/>
      </c>
      <c r="S1046" s="36">
        <f>ICE[[#This Row],[Vol]]+ICE[[#This Row],[BlkVol]]</f>
        <v>0</v>
      </c>
      <c r="T1046" s="36">
        <f>RTD("ice.rtd",,$C1046 &amp; $D1046 &amp; ":" &amp; T$1)</f>
        <v>423</v>
      </c>
      <c r="U1046" s="18">
        <f>RTD("ice.rtd",,$C1046 &amp; $D1046 &amp; ":" &amp; U$1)</f>
        <v>5.9534000000000002</v>
      </c>
      <c r="V10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46" s="18" t="str">
        <f>IFERROR(IF(LEFT(ICE[[#This Row],[Tenor]], 1) = "B", RTD("esrtd",,$B1046 &amp; " " &amp; ICE[[#This Row],[Tenor]] &amp; "-IEU", W$1), RTD("esrtd",,$B1046 &amp; " " &amp; VLOOKUP(MONTH(ICE[[#This Row],[Strip]]), MthRef[], 2, 0) &amp; RIGHT(YEAR(ICE[[#This Row],[Strip]]), 2) &amp; "-IEU", W$1)), "")</f>
        <v/>
      </c>
      <c r="X1046" s="36"/>
    </row>
    <row r="1047" spans="1:24" x14ac:dyDescent="0.25">
      <c r="A1047" s="37" t="s">
        <v>833</v>
      </c>
      <c r="B1047" s="3" t="str">
        <f>RTD("ice.rtd",,$C1047 &amp; $D1047 &amp; ":" &amp; B$1)</f>
        <v>MFR</v>
      </c>
      <c r="C1047" s="3">
        <v>2427126288</v>
      </c>
      <c r="D1047" t="s">
        <v>801</v>
      </c>
      <c r="E1047" s="3" t="str">
        <f>RTD("ice.rtd",,$C1047 &amp; $D1047 &amp; ":" &amp; E$1)</f>
        <v>Sep27</v>
      </c>
      <c r="F1047" s="3" t="str">
        <f>ICE[[#This Row],[Prod]]&amp;ICE[[#This Row],[Strip]]</f>
        <v>fo05bfrbrxbblSep27</v>
      </c>
      <c r="G1047" s="18" t="str">
        <f>RTD("ice.rtd",,$C1047 &amp; $D1047 &amp; ":" &amp; G$1)</f>
        <v/>
      </c>
      <c r="H1047" s="18" t="str">
        <f>RTD("ice.rtd",,$C1047 &amp; $D1047 &amp; ":" &amp; H$1)</f>
        <v/>
      </c>
      <c r="I1047" s="18" t="str">
        <f>RTD("ice.rtd",,$C1047 &amp; $D1047 &amp; ":" &amp; I$1)</f>
        <v/>
      </c>
      <c r="J1047" s="14" t="str">
        <f>IFERROR(MOD(RTD("ice.rtd",,$C1047 &amp; $D1047 &amp; ":" &amp; J$1), 1), "")</f>
        <v/>
      </c>
      <c r="K1047" s="18" t="str">
        <f>RTD("ice.rtd",,$C1047 &amp; $D1047 &amp; ":" &amp; K$1)</f>
        <v/>
      </c>
      <c r="L1047" s="36" t="str">
        <f>RTD("ice.rtd",,$C1047 &amp; $D1047 &amp; ":" &amp; L$1)</f>
        <v/>
      </c>
      <c r="M1047" s="14" t="str">
        <f>IFERROR(MOD(TIMEVALUE(RTD("ice.rtd",,$C1047 &amp; $D1047 &amp; ":" &amp; M$1)), 1), "")</f>
        <v/>
      </c>
      <c r="N1047" s="36">
        <f>RTD("ice.rtd",,$C1047 &amp; $D1047 &amp; ":" &amp; N$1)</f>
        <v>0</v>
      </c>
      <c r="O1047" s="36">
        <f>RTD("ice.rtd",,$C1047 &amp; $D1047 &amp; ":" &amp; O$1)</f>
        <v>0</v>
      </c>
      <c r="P10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7" s="14" t="str">
        <f>IF(ICE[[#This Row],[LastType]] = "Scrn", ICE[[#This Row],[LstDate]], IF(ICE[[#This Row],[LastType]] = "Blk", ICE[[#This Row],[LstBlkTime]], ""))</f>
        <v/>
      </c>
      <c r="R1047" s="41" t="str">
        <f>IF(ICE[[#This Row],[LastType]] = "Scrn", ICE[[#This Row],[LstPrc]], IF(ICE[[#This Row],[LastType]] = "Blk", ICE[[#This Row],[LstBlkPrc]], ""))</f>
        <v/>
      </c>
      <c r="S1047" s="36">
        <f>ICE[[#This Row],[Vol]]+ICE[[#This Row],[BlkVol]]</f>
        <v>0</v>
      </c>
      <c r="T1047" s="36">
        <f>RTD("ice.rtd",,$C1047 &amp; $D1047 &amp; ":" &amp; T$1)</f>
        <v>423</v>
      </c>
      <c r="U1047" s="18">
        <f>RTD("ice.rtd",,$C1047 &amp; $D1047 &amp; ":" &amp; U$1)</f>
        <v>5.6834000000000007</v>
      </c>
      <c r="V10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47" s="18" t="str">
        <f>IFERROR(IF(LEFT(ICE[[#This Row],[Tenor]], 1) = "B", RTD("esrtd",,$B1047 &amp; " " &amp; ICE[[#This Row],[Tenor]] &amp; "-IEU", W$1), RTD("esrtd",,$B1047 &amp; " " &amp; VLOOKUP(MONTH(ICE[[#This Row],[Strip]]), MthRef[], 2, 0) &amp; RIGHT(YEAR(ICE[[#This Row],[Strip]]), 2) &amp; "-IEU", W$1)), "")</f>
        <v/>
      </c>
      <c r="X1047" s="36"/>
    </row>
    <row r="1048" spans="1:24" x14ac:dyDescent="0.25">
      <c r="A1048" s="37" t="s">
        <v>833</v>
      </c>
      <c r="B1048" s="3" t="str">
        <f>RTD("ice.rtd",,$C1048 &amp; $D1048 &amp; ":" &amp; B$1)</f>
        <v>MFR</v>
      </c>
      <c r="C1048" s="3">
        <v>2427126288</v>
      </c>
      <c r="D1048" t="s">
        <v>802</v>
      </c>
      <c r="E1048" s="3" t="str">
        <f>RTD("ice.rtd",,$C1048 &amp; $D1048 &amp; ":" &amp; E$1)</f>
        <v>Oct27</v>
      </c>
      <c r="F1048" s="3" t="str">
        <f>ICE[[#This Row],[Prod]]&amp;ICE[[#This Row],[Strip]]</f>
        <v>fo05bfrbrxbblOct27</v>
      </c>
      <c r="G1048" s="18" t="str">
        <f>RTD("ice.rtd",,$C1048 &amp; $D1048 &amp; ":" &amp; G$1)</f>
        <v/>
      </c>
      <c r="H1048" s="18" t="str">
        <f>RTD("ice.rtd",,$C1048 &amp; $D1048 &amp; ":" &amp; H$1)</f>
        <v/>
      </c>
      <c r="I1048" s="18" t="str">
        <f>RTD("ice.rtd",,$C1048 &amp; $D1048 &amp; ":" &amp; I$1)</f>
        <v/>
      </c>
      <c r="J1048" s="14" t="str">
        <f>IFERROR(MOD(RTD("ice.rtd",,$C1048 &amp; $D1048 &amp; ":" &amp; J$1), 1), "")</f>
        <v/>
      </c>
      <c r="K1048" s="18" t="str">
        <f>RTD("ice.rtd",,$C1048 &amp; $D1048 &amp; ":" &amp; K$1)</f>
        <v/>
      </c>
      <c r="L1048" s="36" t="str">
        <f>RTD("ice.rtd",,$C1048 &amp; $D1048 &amp; ":" &amp; L$1)</f>
        <v/>
      </c>
      <c r="M1048" s="14" t="str">
        <f>IFERROR(MOD(TIMEVALUE(RTD("ice.rtd",,$C1048 &amp; $D1048 &amp; ":" &amp; M$1)), 1), "")</f>
        <v/>
      </c>
      <c r="N1048" s="36">
        <f>RTD("ice.rtd",,$C1048 &amp; $D1048 &amp; ":" &amp; N$1)</f>
        <v>0</v>
      </c>
      <c r="O1048" s="36">
        <f>RTD("ice.rtd",,$C1048 &amp; $D1048 &amp; ":" &amp; O$1)</f>
        <v>0</v>
      </c>
      <c r="P10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8" s="14" t="str">
        <f>IF(ICE[[#This Row],[LastType]] = "Scrn", ICE[[#This Row],[LstDate]], IF(ICE[[#This Row],[LastType]] = "Blk", ICE[[#This Row],[LstBlkTime]], ""))</f>
        <v/>
      </c>
      <c r="R1048" s="41" t="str">
        <f>IF(ICE[[#This Row],[LastType]] = "Scrn", ICE[[#This Row],[LstPrc]], IF(ICE[[#This Row],[LastType]] = "Blk", ICE[[#This Row],[LstBlkPrc]], ""))</f>
        <v/>
      </c>
      <c r="S1048" s="36">
        <f>ICE[[#This Row],[Vol]]+ICE[[#This Row],[BlkVol]]</f>
        <v>0</v>
      </c>
      <c r="T1048" s="36">
        <f>RTD("ice.rtd",,$C1048 &amp; $D1048 &amp; ":" &amp; T$1)</f>
        <v>398</v>
      </c>
      <c r="U1048" s="18">
        <f>RTD("ice.rtd",,$C1048 &amp; $D1048 &amp; ":" &amp; U$1)</f>
        <v>5.3754</v>
      </c>
      <c r="V10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48" s="18" t="str">
        <f>IFERROR(IF(LEFT(ICE[[#This Row],[Tenor]], 1) = "B", RTD("esrtd",,$B1048 &amp; " " &amp; ICE[[#This Row],[Tenor]] &amp; "-IEU", W$1), RTD("esrtd",,$B1048 &amp; " " &amp; VLOOKUP(MONTH(ICE[[#This Row],[Strip]]), MthRef[], 2, 0) &amp; RIGHT(YEAR(ICE[[#This Row],[Strip]]), 2) &amp; "-IEU", W$1)), "")</f>
        <v/>
      </c>
      <c r="X1048" s="36"/>
    </row>
    <row r="1049" spans="1:24" x14ac:dyDescent="0.25">
      <c r="A1049" s="37" t="s">
        <v>833</v>
      </c>
      <c r="B1049" s="3" t="str">
        <f>RTD("ice.rtd",,$C1049 &amp; $D1049 &amp; ":" &amp; B$1)</f>
        <v>MFR</v>
      </c>
      <c r="C1049" s="3">
        <v>2427126288</v>
      </c>
      <c r="D1049" t="s">
        <v>803</v>
      </c>
      <c r="E1049" s="3" t="str">
        <f>RTD("ice.rtd",,$C1049 &amp; $D1049 &amp; ":" &amp; E$1)</f>
        <v>Nov27</v>
      </c>
      <c r="F1049" s="3" t="str">
        <f>ICE[[#This Row],[Prod]]&amp;ICE[[#This Row],[Strip]]</f>
        <v>fo05bfrbrxbblNov27</v>
      </c>
      <c r="G1049" s="18" t="str">
        <f>RTD("ice.rtd",,$C1049 &amp; $D1049 &amp; ":" &amp; G$1)</f>
        <v/>
      </c>
      <c r="H1049" s="18" t="str">
        <f>RTD("ice.rtd",,$C1049 &amp; $D1049 &amp; ":" &amp; H$1)</f>
        <v/>
      </c>
      <c r="I1049" s="18" t="str">
        <f>RTD("ice.rtd",,$C1049 &amp; $D1049 &amp; ":" &amp; I$1)</f>
        <v/>
      </c>
      <c r="J1049" s="14" t="str">
        <f>IFERROR(MOD(RTD("ice.rtd",,$C1049 &amp; $D1049 &amp; ":" &amp; J$1), 1), "")</f>
        <v/>
      </c>
      <c r="K1049" s="18" t="str">
        <f>RTD("ice.rtd",,$C1049 &amp; $D1049 &amp; ":" &amp; K$1)</f>
        <v/>
      </c>
      <c r="L1049" s="36" t="str">
        <f>RTD("ice.rtd",,$C1049 &amp; $D1049 &amp; ":" &amp; L$1)</f>
        <v/>
      </c>
      <c r="M1049" s="14" t="str">
        <f>IFERROR(MOD(TIMEVALUE(RTD("ice.rtd",,$C1049 &amp; $D1049 &amp; ":" &amp; M$1)), 1), "")</f>
        <v/>
      </c>
      <c r="N1049" s="36">
        <f>RTD("ice.rtd",,$C1049 &amp; $D1049 &amp; ":" &amp; N$1)</f>
        <v>0</v>
      </c>
      <c r="O1049" s="36">
        <f>RTD("ice.rtd",,$C1049 &amp; $D1049 &amp; ":" &amp; O$1)</f>
        <v>0</v>
      </c>
      <c r="P10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49" s="14" t="str">
        <f>IF(ICE[[#This Row],[LastType]] = "Scrn", ICE[[#This Row],[LstDate]], IF(ICE[[#This Row],[LastType]] = "Blk", ICE[[#This Row],[LstBlkTime]], ""))</f>
        <v/>
      </c>
      <c r="R1049" s="41" t="str">
        <f>IF(ICE[[#This Row],[LastType]] = "Scrn", ICE[[#This Row],[LstPrc]], IF(ICE[[#This Row],[LastType]] = "Blk", ICE[[#This Row],[LstBlkPrc]], ""))</f>
        <v/>
      </c>
      <c r="S1049" s="36">
        <f>ICE[[#This Row],[Vol]]+ICE[[#This Row],[BlkVol]]</f>
        <v>0</v>
      </c>
      <c r="T1049" s="36">
        <f>RTD("ice.rtd",,$C1049 &amp; $D1049 &amp; ":" &amp; T$1)</f>
        <v>398</v>
      </c>
      <c r="U1049" s="18">
        <f>RTD("ice.rtd",,$C1049 &amp; $D1049 &amp; ":" &amp; U$1)</f>
        <v>5.0847000000000007</v>
      </c>
      <c r="V10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49" s="18" t="str">
        <f>IFERROR(IF(LEFT(ICE[[#This Row],[Tenor]], 1) = "B", RTD("esrtd",,$B1049 &amp; " " &amp; ICE[[#This Row],[Tenor]] &amp; "-IEU", W$1), RTD("esrtd",,$B1049 &amp; " " &amp; VLOOKUP(MONTH(ICE[[#This Row],[Strip]]), MthRef[], 2, 0) &amp; RIGHT(YEAR(ICE[[#This Row],[Strip]]), 2) &amp; "-IEU", W$1)), "")</f>
        <v/>
      </c>
      <c r="X1049" s="36"/>
    </row>
    <row r="1050" spans="1:24" x14ac:dyDescent="0.25">
      <c r="A1050" s="37" t="s">
        <v>833</v>
      </c>
      <c r="B1050" s="3" t="str">
        <f>RTD("ice.rtd",,$C1050 &amp; $D1050 &amp; ":" &amp; B$1)</f>
        <v>MFR</v>
      </c>
      <c r="C1050" s="3">
        <v>2427126288</v>
      </c>
      <c r="D1050" t="s">
        <v>804</v>
      </c>
      <c r="E1050" s="3" t="str">
        <f>RTD("ice.rtd",,$C1050 &amp; $D1050 &amp; ":" &amp; E$1)</f>
        <v>Dec27</v>
      </c>
      <c r="F1050" s="3" t="str">
        <f>ICE[[#This Row],[Prod]]&amp;ICE[[#This Row],[Strip]]</f>
        <v>fo05bfrbrxbblDec27</v>
      </c>
      <c r="G1050" s="18" t="str">
        <f>RTD("ice.rtd",,$C1050 &amp; $D1050 &amp; ":" &amp; G$1)</f>
        <v/>
      </c>
      <c r="H1050" s="18" t="str">
        <f>RTD("ice.rtd",,$C1050 &amp; $D1050 &amp; ":" &amp; H$1)</f>
        <v/>
      </c>
      <c r="I1050" s="18" t="str">
        <f>RTD("ice.rtd",,$C1050 &amp; $D1050 &amp; ":" &amp; I$1)</f>
        <v/>
      </c>
      <c r="J1050" s="14" t="str">
        <f>IFERROR(MOD(RTD("ice.rtd",,$C1050 &amp; $D1050 &amp; ":" &amp; J$1), 1), "")</f>
        <v/>
      </c>
      <c r="K1050" s="18" t="str">
        <f>RTD("ice.rtd",,$C1050 &amp; $D1050 &amp; ":" &amp; K$1)</f>
        <v/>
      </c>
      <c r="L1050" s="36" t="str">
        <f>RTD("ice.rtd",,$C1050 &amp; $D1050 &amp; ":" &amp; L$1)</f>
        <v/>
      </c>
      <c r="M1050" s="14" t="str">
        <f>IFERROR(MOD(TIMEVALUE(RTD("ice.rtd",,$C1050 &amp; $D1050 &amp; ":" &amp; M$1)), 1), "")</f>
        <v/>
      </c>
      <c r="N1050" s="36">
        <f>RTD("ice.rtd",,$C1050 &amp; $D1050 &amp; ":" &amp; N$1)</f>
        <v>0</v>
      </c>
      <c r="O1050" s="36">
        <f>RTD("ice.rtd",,$C1050 &amp; $D1050 &amp; ":" &amp; O$1)</f>
        <v>0</v>
      </c>
      <c r="P10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0" s="14" t="str">
        <f>IF(ICE[[#This Row],[LastType]] = "Scrn", ICE[[#This Row],[LstDate]], IF(ICE[[#This Row],[LastType]] = "Blk", ICE[[#This Row],[LstBlkTime]], ""))</f>
        <v/>
      </c>
      <c r="R1050" s="41" t="str">
        <f>IF(ICE[[#This Row],[LastType]] = "Scrn", ICE[[#This Row],[LstPrc]], IF(ICE[[#This Row],[LastType]] = "Blk", ICE[[#This Row],[LstBlkPrc]], ""))</f>
        <v/>
      </c>
      <c r="S1050" s="36">
        <f>ICE[[#This Row],[Vol]]+ICE[[#This Row],[BlkVol]]</f>
        <v>0</v>
      </c>
      <c r="T1050" s="36">
        <f>RTD("ice.rtd",,$C1050 &amp; $D1050 &amp; ":" &amp; T$1)</f>
        <v>398</v>
      </c>
      <c r="U1050" s="18">
        <f>RTD("ice.rtd",,$C1050 &amp; $D1050 &amp; ":" &amp; U$1)</f>
        <v>4.7780000000000005</v>
      </c>
      <c r="V10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0" s="18" t="str">
        <f>IFERROR(IF(LEFT(ICE[[#This Row],[Tenor]], 1) = "B", RTD("esrtd",,$B1050 &amp; " " &amp; ICE[[#This Row],[Tenor]] &amp; "-IEU", W$1), RTD("esrtd",,$B1050 &amp; " " &amp; VLOOKUP(MONTH(ICE[[#This Row],[Strip]]), MthRef[], 2, 0) &amp; RIGHT(YEAR(ICE[[#This Row],[Strip]]), 2) &amp; "-IEU", W$1)), "")</f>
        <v/>
      </c>
      <c r="X1050" s="36"/>
    </row>
    <row r="1051" spans="1:24" x14ac:dyDescent="0.25">
      <c r="A1051" s="37" t="s">
        <v>833</v>
      </c>
      <c r="B1051" s="3" t="str">
        <f>RTD("ice.rtd",,$C1051 &amp; $D1051 &amp; ":" &amp; B$1)</f>
        <v>MFR</v>
      </c>
      <c r="C1051" s="3">
        <v>2427126288</v>
      </c>
      <c r="D1051" t="s">
        <v>805</v>
      </c>
      <c r="E1051" s="3" t="str">
        <f>RTD("ice.rtd",,$C1051 &amp; $D1051 &amp; ":" &amp; E$1)</f>
        <v>Jan28</v>
      </c>
      <c r="F1051" s="3" t="str">
        <f>ICE[[#This Row],[Prod]]&amp;ICE[[#This Row],[Strip]]</f>
        <v>fo05bfrbrxbblJan28</v>
      </c>
      <c r="G1051" s="18" t="str">
        <f>RTD("ice.rtd",,$C1051 &amp; $D1051 &amp; ":" &amp; G$1)</f>
        <v/>
      </c>
      <c r="H1051" s="18" t="str">
        <f>RTD("ice.rtd",,$C1051 &amp; $D1051 &amp; ":" &amp; H$1)</f>
        <v/>
      </c>
      <c r="I1051" s="18" t="str">
        <f>RTD("ice.rtd",,$C1051 &amp; $D1051 &amp; ":" &amp; I$1)</f>
        <v/>
      </c>
      <c r="J1051" s="14" t="str">
        <f>IFERROR(MOD(RTD("ice.rtd",,$C1051 &amp; $D1051 &amp; ":" &amp; J$1), 1), "")</f>
        <v/>
      </c>
      <c r="K1051" s="18" t="str">
        <f>RTD("ice.rtd",,$C1051 &amp; $D1051 &amp; ":" &amp; K$1)</f>
        <v/>
      </c>
      <c r="L1051" s="36" t="str">
        <f>RTD("ice.rtd",,$C1051 &amp; $D1051 &amp; ":" &amp; L$1)</f>
        <v/>
      </c>
      <c r="M1051" s="14" t="str">
        <f>IFERROR(MOD(TIMEVALUE(RTD("ice.rtd",,$C1051 &amp; $D1051 &amp; ":" &amp; M$1)), 1), "")</f>
        <v/>
      </c>
      <c r="N1051" s="36">
        <f>RTD("ice.rtd",,$C1051 &amp; $D1051 &amp; ":" &amp; N$1)</f>
        <v>0</v>
      </c>
      <c r="O1051" s="36">
        <f>RTD("ice.rtd",,$C1051 &amp; $D1051 &amp; ":" &amp; O$1)</f>
        <v>0</v>
      </c>
      <c r="P10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1" s="14" t="str">
        <f>IF(ICE[[#This Row],[LastType]] = "Scrn", ICE[[#This Row],[LstDate]], IF(ICE[[#This Row],[LastType]] = "Blk", ICE[[#This Row],[LstBlkTime]], ""))</f>
        <v/>
      </c>
      <c r="R1051" s="41" t="str">
        <f>IF(ICE[[#This Row],[LastType]] = "Scrn", ICE[[#This Row],[LstPrc]], IF(ICE[[#This Row],[LastType]] = "Blk", ICE[[#This Row],[LstBlkPrc]], ""))</f>
        <v/>
      </c>
      <c r="S1051" s="36">
        <f>ICE[[#This Row],[Vol]]+ICE[[#This Row],[BlkVol]]</f>
        <v>0</v>
      </c>
      <c r="T1051" s="36">
        <f>RTD("ice.rtd",,$C1051 &amp; $D1051 &amp; ":" &amp; T$1)</f>
        <v>58</v>
      </c>
      <c r="U1051" s="18">
        <f>RTD("ice.rtd",,$C1051 &amp; $D1051 &amp; ":" &amp; U$1)</f>
        <v>4.67</v>
      </c>
      <c r="V10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1" s="18" t="str">
        <f>IFERROR(IF(LEFT(ICE[[#This Row],[Tenor]], 1) = "B", RTD("esrtd",,$B1051 &amp; " " &amp; ICE[[#This Row],[Tenor]] &amp; "-IEU", W$1), RTD("esrtd",,$B1051 &amp; " " &amp; VLOOKUP(MONTH(ICE[[#This Row],[Strip]]), MthRef[], 2, 0) &amp; RIGHT(YEAR(ICE[[#This Row],[Strip]]), 2) &amp; "-IEU", W$1)), "")</f>
        <v/>
      </c>
      <c r="X1051" s="36"/>
    </row>
    <row r="1052" spans="1:24" x14ac:dyDescent="0.25">
      <c r="A1052" s="37" t="s">
        <v>833</v>
      </c>
      <c r="B1052" s="3" t="str">
        <f>RTD("ice.rtd",,$C1052 &amp; $D1052 &amp; ":" &amp; B$1)</f>
        <v>MFR</v>
      </c>
      <c r="C1052" s="3">
        <v>2427126288</v>
      </c>
      <c r="D1052" t="s">
        <v>806</v>
      </c>
      <c r="E1052" s="3" t="str">
        <f>RTD("ice.rtd",,$C1052 &amp; $D1052 &amp; ":" &amp; E$1)</f>
        <v>Feb28</v>
      </c>
      <c r="F1052" s="3" t="str">
        <f>ICE[[#This Row],[Prod]]&amp;ICE[[#This Row],[Strip]]</f>
        <v>fo05bfrbrxbblFeb28</v>
      </c>
      <c r="G1052" s="18" t="str">
        <f>RTD("ice.rtd",,$C1052 &amp; $D1052 &amp; ":" &amp; G$1)</f>
        <v/>
      </c>
      <c r="H1052" s="18" t="str">
        <f>RTD("ice.rtd",,$C1052 &amp; $D1052 &amp; ":" &amp; H$1)</f>
        <v/>
      </c>
      <c r="I1052" s="18" t="str">
        <f>RTD("ice.rtd",,$C1052 &amp; $D1052 &amp; ":" &amp; I$1)</f>
        <v/>
      </c>
      <c r="J1052" s="14" t="str">
        <f>IFERROR(MOD(RTD("ice.rtd",,$C1052 &amp; $D1052 &amp; ":" &amp; J$1), 1), "")</f>
        <v/>
      </c>
      <c r="K1052" s="18" t="str">
        <f>RTD("ice.rtd",,$C1052 &amp; $D1052 &amp; ":" &amp; K$1)</f>
        <v/>
      </c>
      <c r="L1052" s="36" t="str">
        <f>RTD("ice.rtd",,$C1052 &amp; $D1052 &amp; ":" &amp; L$1)</f>
        <v/>
      </c>
      <c r="M1052" s="14" t="str">
        <f>IFERROR(MOD(TIMEVALUE(RTD("ice.rtd",,$C1052 &amp; $D1052 &amp; ":" &amp; M$1)), 1), "")</f>
        <v/>
      </c>
      <c r="N1052" s="36">
        <f>RTD("ice.rtd",,$C1052 &amp; $D1052 &amp; ":" &amp; N$1)</f>
        <v>0</v>
      </c>
      <c r="O1052" s="36">
        <f>RTD("ice.rtd",,$C1052 &amp; $D1052 &amp; ":" &amp; O$1)</f>
        <v>0</v>
      </c>
      <c r="P10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2" s="14" t="str">
        <f>IF(ICE[[#This Row],[LastType]] = "Scrn", ICE[[#This Row],[LstDate]], IF(ICE[[#This Row],[LastType]] = "Blk", ICE[[#This Row],[LstBlkTime]], ""))</f>
        <v/>
      </c>
      <c r="R1052" s="41" t="str">
        <f>IF(ICE[[#This Row],[LastType]] = "Scrn", ICE[[#This Row],[LstPrc]], IF(ICE[[#This Row],[LastType]] = "Blk", ICE[[#This Row],[LstBlkPrc]], ""))</f>
        <v/>
      </c>
      <c r="S1052" s="36">
        <f>ICE[[#This Row],[Vol]]+ICE[[#This Row],[BlkVol]]</f>
        <v>0</v>
      </c>
      <c r="T1052" s="36">
        <f>RTD("ice.rtd",,$C1052 &amp; $D1052 &amp; ":" &amp; T$1)</f>
        <v>58</v>
      </c>
      <c r="U1052" s="18">
        <f>RTD("ice.rtd",,$C1052 &amp; $D1052 &amp; ":" &amp; U$1)</f>
        <v>4.6640000000000006</v>
      </c>
      <c r="V10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2" s="18" t="str">
        <f>IFERROR(IF(LEFT(ICE[[#This Row],[Tenor]], 1) = "B", RTD("esrtd",,$B1052 &amp; " " &amp; ICE[[#This Row],[Tenor]] &amp; "-IEU", W$1), RTD("esrtd",,$B1052 &amp; " " &amp; VLOOKUP(MONTH(ICE[[#This Row],[Strip]]), MthRef[], 2, 0) &amp; RIGHT(YEAR(ICE[[#This Row],[Strip]]), 2) &amp; "-IEU", W$1)), "")</f>
        <v/>
      </c>
      <c r="X1052" s="36"/>
    </row>
    <row r="1053" spans="1:24" x14ac:dyDescent="0.25">
      <c r="A1053" s="37" t="s">
        <v>833</v>
      </c>
      <c r="B1053" s="3" t="str">
        <f>RTD("ice.rtd",,$C1053 &amp; $D1053 &amp; ":" &amp; B$1)</f>
        <v>MFR</v>
      </c>
      <c r="C1053" s="3">
        <v>2427126288</v>
      </c>
      <c r="D1053" t="s">
        <v>807</v>
      </c>
      <c r="E1053" s="3" t="str">
        <f>RTD("ice.rtd",,$C1053 &amp; $D1053 &amp; ":" &amp; E$1)</f>
        <v>Mar28</v>
      </c>
      <c r="F1053" s="3" t="str">
        <f>ICE[[#This Row],[Prod]]&amp;ICE[[#This Row],[Strip]]</f>
        <v>fo05bfrbrxbblMar28</v>
      </c>
      <c r="G1053" s="18" t="str">
        <f>RTD("ice.rtd",,$C1053 &amp; $D1053 &amp; ":" &amp; G$1)</f>
        <v/>
      </c>
      <c r="H1053" s="18" t="str">
        <f>RTD("ice.rtd",,$C1053 &amp; $D1053 &amp; ":" &amp; H$1)</f>
        <v/>
      </c>
      <c r="I1053" s="18" t="str">
        <f>RTD("ice.rtd",,$C1053 &amp; $D1053 &amp; ":" &amp; I$1)</f>
        <v/>
      </c>
      <c r="J1053" s="14" t="str">
        <f>IFERROR(MOD(RTD("ice.rtd",,$C1053 &amp; $D1053 &amp; ":" &amp; J$1), 1), "")</f>
        <v/>
      </c>
      <c r="K1053" s="18" t="str">
        <f>RTD("ice.rtd",,$C1053 &amp; $D1053 &amp; ":" &amp; K$1)</f>
        <v/>
      </c>
      <c r="L1053" s="36" t="str">
        <f>RTD("ice.rtd",,$C1053 &amp; $D1053 &amp; ":" &amp; L$1)</f>
        <v/>
      </c>
      <c r="M1053" s="14" t="str">
        <f>IFERROR(MOD(TIMEVALUE(RTD("ice.rtd",,$C1053 &amp; $D1053 &amp; ":" &amp; M$1)), 1), "")</f>
        <v/>
      </c>
      <c r="N1053" s="36">
        <f>RTD("ice.rtd",,$C1053 &amp; $D1053 &amp; ":" &amp; N$1)</f>
        <v>0</v>
      </c>
      <c r="O1053" s="36">
        <f>RTD("ice.rtd",,$C1053 &amp; $D1053 &amp; ":" &amp; O$1)</f>
        <v>0</v>
      </c>
      <c r="P10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3" s="14" t="str">
        <f>IF(ICE[[#This Row],[LastType]] = "Scrn", ICE[[#This Row],[LstDate]], IF(ICE[[#This Row],[LastType]] = "Blk", ICE[[#This Row],[LstBlkTime]], ""))</f>
        <v/>
      </c>
      <c r="R1053" s="41" t="str">
        <f>IF(ICE[[#This Row],[LastType]] = "Scrn", ICE[[#This Row],[LstPrc]], IF(ICE[[#This Row],[LastType]] = "Blk", ICE[[#This Row],[LstBlkPrc]], ""))</f>
        <v/>
      </c>
      <c r="S1053" s="36">
        <f>ICE[[#This Row],[Vol]]+ICE[[#This Row],[BlkVol]]</f>
        <v>0</v>
      </c>
      <c r="T1053" s="36">
        <f>RTD("ice.rtd",,$C1053 &amp; $D1053 &amp; ":" &amp; T$1)</f>
        <v>58</v>
      </c>
      <c r="U1053" s="18">
        <f>RTD("ice.rtd",,$C1053 &amp; $D1053 &amp; ":" &amp; U$1)</f>
        <v>4.6470000000000002</v>
      </c>
      <c r="V10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3" s="18" t="str">
        <f>IFERROR(IF(LEFT(ICE[[#This Row],[Tenor]], 1) = "B", RTD("esrtd",,$B1053 &amp; " " &amp; ICE[[#This Row],[Tenor]] &amp; "-IEU", W$1), RTD("esrtd",,$B1053 &amp; " " &amp; VLOOKUP(MONTH(ICE[[#This Row],[Strip]]), MthRef[], 2, 0) &amp; RIGHT(YEAR(ICE[[#This Row],[Strip]]), 2) &amp; "-IEU", W$1)), "")</f>
        <v/>
      </c>
      <c r="X1053" s="36"/>
    </row>
    <row r="1054" spans="1:24" x14ac:dyDescent="0.25">
      <c r="A1054" s="37" t="s">
        <v>833</v>
      </c>
      <c r="B1054" s="3" t="str">
        <f>RTD("ice.rtd",,$C1054 &amp; $D1054 &amp; ":" &amp; B$1)</f>
        <v>MFR</v>
      </c>
      <c r="C1054" s="3">
        <v>2427126288</v>
      </c>
      <c r="D1054" t="s">
        <v>808</v>
      </c>
      <c r="E1054" s="3" t="str">
        <f>RTD("ice.rtd",,$C1054 &amp; $D1054 &amp; ":" &amp; E$1)</f>
        <v>Apr28</v>
      </c>
      <c r="F1054" s="3" t="str">
        <f>ICE[[#This Row],[Prod]]&amp;ICE[[#This Row],[Strip]]</f>
        <v>fo05bfrbrxbblApr28</v>
      </c>
      <c r="G1054" s="18" t="str">
        <f>RTD("ice.rtd",,$C1054 &amp; $D1054 &amp; ":" &amp; G$1)</f>
        <v/>
      </c>
      <c r="H1054" s="18" t="str">
        <f>RTD("ice.rtd",,$C1054 &amp; $D1054 &amp; ":" &amp; H$1)</f>
        <v/>
      </c>
      <c r="I1054" s="18" t="str">
        <f>RTD("ice.rtd",,$C1054 &amp; $D1054 &amp; ":" &amp; I$1)</f>
        <v/>
      </c>
      <c r="J1054" s="14" t="str">
        <f>IFERROR(MOD(RTD("ice.rtd",,$C1054 &amp; $D1054 &amp; ":" &amp; J$1), 1), "")</f>
        <v/>
      </c>
      <c r="K1054" s="18" t="str">
        <f>RTD("ice.rtd",,$C1054 &amp; $D1054 &amp; ":" &amp; K$1)</f>
        <v/>
      </c>
      <c r="L1054" s="36" t="str">
        <f>RTD("ice.rtd",,$C1054 &amp; $D1054 &amp; ":" &amp; L$1)</f>
        <v/>
      </c>
      <c r="M1054" s="14" t="str">
        <f>IFERROR(MOD(TIMEVALUE(RTD("ice.rtd",,$C1054 &amp; $D1054 &amp; ":" &amp; M$1)), 1), "")</f>
        <v/>
      </c>
      <c r="N1054" s="36">
        <f>RTD("ice.rtd",,$C1054 &amp; $D1054 &amp; ":" &amp; N$1)</f>
        <v>0</v>
      </c>
      <c r="O1054" s="36">
        <f>RTD("ice.rtd",,$C1054 &amp; $D1054 &amp; ":" &amp; O$1)</f>
        <v>0</v>
      </c>
      <c r="P10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4" s="14" t="str">
        <f>IF(ICE[[#This Row],[LastType]] = "Scrn", ICE[[#This Row],[LstDate]], IF(ICE[[#This Row],[LastType]] = "Blk", ICE[[#This Row],[LstBlkTime]], ""))</f>
        <v/>
      </c>
      <c r="R1054" s="41" t="str">
        <f>IF(ICE[[#This Row],[LastType]] = "Scrn", ICE[[#This Row],[LstPrc]], IF(ICE[[#This Row],[LastType]] = "Blk", ICE[[#This Row],[LstBlkPrc]], ""))</f>
        <v/>
      </c>
      <c r="S1054" s="36">
        <f>ICE[[#This Row],[Vol]]+ICE[[#This Row],[BlkVol]]</f>
        <v>0</v>
      </c>
      <c r="T1054" s="36">
        <f>RTD("ice.rtd",,$C1054 &amp; $D1054 &amp; ":" &amp; T$1)</f>
        <v>58</v>
      </c>
      <c r="U1054" s="18">
        <f>RTD("ice.rtd",,$C1054 &amp; $D1054 &amp; ":" &amp; U$1)</f>
        <v>4.6543999999999999</v>
      </c>
      <c r="V10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4" s="18" t="str">
        <f>IFERROR(IF(LEFT(ICE[[#This Row],[Tenor]], 1) = "B", RTD("esrtd",,$B1054 &amp; " " &amp; ICE[[#This Row],[Tenor]] &amp; "-IEU", W$1), RTD("esrtd",,$B1054 &amp; " " &amp; VLOOKUP(MONTH(ICE[[#This Row],[Strip]]), MthRef[], 2, 0) &amp; RIGHT(YEAR(ICE[[#This Row],[Strip]]), 2) &amp; "-IEU", W$1)), "")</f>
        <v/>
      </c>
      <c r="X1054" s="36"/>
    </row>
    <row r="1055" spans="1:24" x14ac:dyDescent="0.25">
      <c r="A1055" s="37" t="s">
        <v>833</v>
      </c>
      <c r="B1055" s="3" t="str">
        <f>RTD("ice.rtd",,$C1055 &amp; $D1055 &amp; ":" &amp; B$1)</f>
        <v>MFR</v>
      </c>
      <c r="C1055" s="3">
        <v>2427126288</v>
      </c>
      <c r="D1055" t="s">
        <v>809</v>
      </c>
      <c r="E1055" s="3" t="str">
        <f>RTD("ice.rtd",,$C1055 &amp; $D1055 &amp; ":" &amp; E$1)</f>
        <v>May28</v>
      </c>
      <c r="F1055" s="3" t="str">
        <f>ICE[[#This Row],[Prod]]&amp;ICE[[#This Row],[Strip]]</f>
        <v>fo05bfrbrxbblMay28</v>
      </c>
      <c r="G1055" s="18" t="str">
        <f>RTD("ice.rtd",,$C1055 &amp; $D1055 &amp; ":" &amp; G$1)</f>
        <v/>
      </c>
      <c r="H1055" s="18" t="str">
        <f>RTD("ice.rtd",,$C1055 &amp; $D1055 &amp; ":" &amp; H$1)</f>
        <v/>
      </c>
      <c r="I1055" s="18" t="str">
        <f>RTD("ice.rtd",,$C1055 &amp; $D1055 &amp; ":" &amp; I$1)</f>
        <v/>
      </c>
      <c r="J1055" s="14" t="str">
        <f>IFERROR(MOD(RTD("ice.rtd",,$C1055 &amp; $D1055 &amp; ":" &amp; J$1), 1), "")</f>
        <v/>
      </c>
      <c r="K1055" s="18" t="str">
        <f>RTD("ice.rtd",,$C1055 &amp; $D1055 &amp; ":" &amp; K$1)</f>
        <v/>
      </c>
      <c r="L1055" s="36" t="str">
        <f>RTD("ice.rtd",,$C1055 &amp; $D1055 &amp; ":" &amp; L$1)</f>
        <v/>
      </c>
      <c r="M1055" s="14" t="str">
        <f>IFERROR(MOD(TIMEVALUE(RTD("ice.rtd",,$C1055 &amp; $D1055 &amp; ":" &amp; M$1)), 1), "")</f>
        <v/>
      </c>
      <c r="N1055" s="36">
        <f>RTD("ice.rtd",,$C1055 &amp; $D1055 &amp; ":" &amp; N$1)</f>
        <v>0</v>
      </c>
      <c r="O1055" s="36">
        <f>RTD("ice.rtd",,$C1055 &amp; $D1055 &amp; ":" &amp; O$1)</f>
        <v>0</v>
      </c>
      <c r="P10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5" s="14" t="str">
        <f>IF(ICE[[#This Row],[LastType]] = "Scrn", ICE[[#This Row],[LstDate]], IF(ICE[[#This Row],[LastType]] = "Blk", ICE[[#This Row],[LstBlkTime]], ""))</f>
        <v/>
      </c>
      <c r="R1055" s="41" t="str">
        <f>IF(ICE[[#This Row],[LastType]] = "Scrn", ICE[[#This Row],[LstPrc]], IF(ICE[[#This Row],[LastType]] = "Blk", ICE[[#This Row],[LstBlkPrc]], ""))</f>
        <v/>
      </c>
      <c r="S1055" s="36">
        <f>ICE[[#This Row],[Vol]]+ICE[[#This Row],[BlkVol]]</f>
        <v>0</v>
      </c>
      <c r="T1055" s="36">
        <f>RTD("ice.rtd",,$C1055 &amp; $D1055 &amp; ":" &amp; T$1)</f>
        <v>58</v>
      </c>
      <c r="U1055" s="18">
        <f>RTD("ice.rtd",,$C1055 &amp; $D1055 &amp; ":" &amp; U$1)</f>
        <v>4.6549000000000005</v>
      </c>
      <c r="V10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5" s="18" t="str">
        <f>IFERROR(IF(LEFT(ICE[[#This Row],[Tenor]], 1) = "B", RTD("esrtd",,$B1055 &amp; " " &amp; ICE[[#This Row],[Tenor]] &amp; "-IEU", W$1), RTD("esrtd",,$B1055 &amp; " " &amp; VLOOKUP(MONTH(ICE[[#This Row],[Strip]]), MthRef[], 2, 0) &amp; RIGHT(YEAR(ICE[[#This Row],[Strip]]), 2) &amp; "-IEU", W$1)), "")</f>
        <v/>
      </c>
      <c r="X1055" s="36"/>
    </row>
    <row r="1056" spans="1:24" x14ac:dyDescent="0.25">
      <c r="A1056" s="37" t="s">
        <v>833</v>
      </c>
      <c r="B1056" s="3" t="str">
        <f>RTD("ice.rtd",,$C1056 &amp; $D1056 &amp; ":" &amp; B$1)</f>
        <v>MFR</v>
      </c>
      <c r="C1056" s="3">
        <v>2427126288</v>
      </c>
      <c r="D1056" t="s">
        <v>810</v>
      </c>
      <c r="E1056" s="3" t="str">
        <f>RTD("ice.rtd",,$C1056 &amp; $D1056 &amp; ":" &amp; E$1)</f>
        <v>Jun28</v>
      </c>
      <c r="F1056" s="3" t="str">
        <f>ICE[[#This Row],[Prod]]&amp;ICE[[#This Row],[Strip]]</f>
        <v>fo05bfrbrxbblJun28</v>
      </c>
      <c r="G1056" s="18" t="str">
        <f>RTD("ice.rtd",,$C1056 &amp; $D1056 &amp; ":" &amp; G$1)</f>
        <v/>
      </c>
      <c r="H1056" s="18" t="str">
        <f>RTD("ice.rtd",,$C1056 &amp; $D1056 &amp; ":" &amp; H$1)</f>
        <v/>
      </c>
      <c r="I1056" s="18" t="str">
        <f>RTD("ice.rtd",,$C1056 &amp; $D1056 &amp; ":" &amp; I$1)</f>
        <v/>
      </c>
      <c r="J1056" s="14" t="str">
        <f>IFERROR(MOD(RTD("ice.rtd",,$C1056 &amp; $D1056 &amp; ":" &amp; J$1), 1), "")</f>
        <v/>
      </c>
      <c r="K1056" s="18" t="str">
        <f>RTD("ice.rtd",,$C1056 &amp; $D1056 &amp; ":" &amp; K$1)</f>
        <v/>
      </c>
      <c r="L1056" s="36" t="str">
        <f>RTD("ice.rtd",,$C1056 &amp; $D1056 &amp; ":" &amp; L$1)</f>
        <v/>
      </c>
      <c r="M1056" s="14" t="str">
        <f>IFERROR(MOD(TIMEVALUE(RTD("ice.rtd",,$C1056 &amp; $D1056 &amp; ":" &amp; M$1)), 1), "")</f>
        <v/>
      </c>
      <c r="N1056" s="36">
        <f>RTD("ice.rtd",,$C1056 &amp; $D1056 &amp; ":" &amp; N$1)</f>
        <v>0</v>
      </c>
      <c r="O1056" s="36">
        <f>RTD("ice.rtd",,$C1056 &amp; $D1056 &amp; ":" &amp; O$1)</f>
        <v>0</v>
      </c>
      <c r="P10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6" s="14" t="str">
        <f>IF(ICE[[#This Row],[LastType]] = "Scrn", ICE[[#This Row],[LstDate]], IF(ICE[[#This Row],[LastType]] = "Blk", ICE[[#This Row],[LstBlkTime]], ""))</f>
        <v/>
      </c>
      <c r="R1056" s="41" t="str">
        <f>IF(ICE[[#This Row],[LastType]] = "Scrn", ICE[[#This Row],[LstPrc]], IF(ICE[[#This Row],[LastType]] = "Blk", ICE[[#This Row],[LstBlkPrc]], ""))</f>
        <v/>
      </c>
      <c r="S1056" s="36">
        <f>ICE[[#This Row],[Vol]]+ICE[[#This Row],[BlkVol]]</f>
        <v>0</v>
      </c>
      <c r="T1056" s="36">
        <f>RTD("ice.rtd",,$C1056 &amp; $D1056 &amp; ":" &amp; T$1)</f>
        <v>58</v>
      </c>
      <c r="U1056" s="18">
        <f>RTD("ice.rtd",,$C1056 &amp; $D1056 &amp; ":" &amp; U$1)</f>
        <v>4.6393000000000004</v>
      </c>
      <c r="V10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6" s="18" t="str">
        <f>IFERROR(IF(LEFT(ICE[[#This Row],[Tenor]], 1) = "B", RTD("esrtd",,$B1056 &amp; " " &amp; ICE[[#This Row],[Tenor]] &amp; "-IEU", W$1), RTD("esrtd",,$B1056 &amp; " " &amp; VLOOKUP(MONTH(ICE[[#This Row],[Strip]]), MthRef[], 2, 0) &amp; RIGHT(YEAR(ICE[[#This Row],[Strip]]), 2) &amp; "-IEU", W$1)), "")</f>
        <v/>
      </c>
      <c r="X1056" s="36"/>
    </row>
    <row r="1057" spans="1:24" x14ac:dyDescent="0.25">
      <c r="A1057" s="37" t="s">
        <v>833</v>
      </c>
      <c r="B1057" s="3" t="str">
        <f>RTD("ice.rtd",,$C1057 &amp; $D1057 &amp; ":" &amp; B$1)</f>
        <v>MFR</v>
      </c>
      <c r="C1057" s="3">
        <v>2427126288</v>
      </c>
      <c r="D1057" t="s">
        <v>811</v>
      </c>
      <c r="E1057" s="3" t="str">
        <f>RTD("ice.rtd",,$C1057 &amp; $D1057 &amp; ":" &amp; E$1)</f>
        <v>Jul28</v>
      </c>
      <c r="F1057" s="3" t="str">
        <f>ICE[[#This Row],[Prod]]&amp;ICE[[#This Row],[Strip]]</f>
        <v>fo05bfrbrxbblJul28</v>
      </c>
      <c r="G1057" s="18" t="str">
        <f>RTD("ice.rtd",,$C1057 &amp; $D1057 &amp; ":" &amp; G$1)</f>
        <v/>
      </c>
      <c r="H1057" s="18" t="str">
        <f>RTD("ice.rtd",,$C1057 &amp; $D1057 &amp; ":" &amp; H$1)</f>
        <v/>
      </c>
      <c r="I1057" s="18" t="str">
        <f>RTD("ice.rtd",,$C1057 &amp; $D1057 &amp; ":" &amp; I$1)</f>
        <v/>
      </c>
      <c r="J1057" s="14" t="str">
        <f>IFERROR(MOD(RTD("ice.rtd",,$C1057 &amp; $D1057 &amp; ":" &amp; J$1), 1), "")</f>
        <v/>
      </c>
      <c r="K1057" s="18" t="str">
        <f>RTD("ice.rtd",,$C1057 &amp; $D1057 &amp; ":" &amp; K$1)</f>
        <v/>
      </c>
      <c r="L1057" s="36" t="str">
        <f>RTD("ice.rtd",,$C1057 &amp; $D1057 &amp; ":" &amp; L$1)</f>
        <v/>
      </c>
      <c r="M1057" s="14" t="str">
        <f>IFERROR(MOD(TIMEVALUE(RTD("ice.rtd",,$C1057 &amp; $D1057 &amp; ":" &amp; M$1)), 1), "")</f>
        <v/>
      </c>
      <c r="N1057" s="36">
        <f>RTD("ice.rtd",,$C1057 &amp; $D1057 &amp; ":" &amp; N$1)</f>
        <v>0</v>
      </c>
      <c r="O1057" s="36">
        <f>RTD("ice.rtd",,$C1057 &amp; $D1057 &amp; ":" &amp; O$1)</f>
        <v>0</v>
      </c>
      <c r="P10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7" s="14" t="str">
        <f>IF(ICE[[#This Row],[LastType]] = "Scrn", ICE[[#This Row],[LstDate]], IF(ICE[[#This Row],[LastType]] = "Blk", ICE[[#This Row],[LstBlkTime]], ""))</f>
        <v/>
      </c>
      <c r="R1057" s="41" t="str">
        <f>IF(ICE[[#This Row],[LastType]] = "Scrn", ICE[[#This Row],[LstPrc]], IF(ICE[[#This Row],[LastType]] = "Blk", ICE[[#This Row],[LstBlkPrc]], ""))</f>
        <v/>
      </c>
      <c r="S1057" s="36">
        <f>ICE[[#This Row],[Vol]]+ICE[[#This Row],[BlkVol]]</f>
        <v>0</v>
      </c>
      <c r="T1057" s="36">
        <f>RTD("ice.rtd",,$C1057 &amp; $D1057 &amp; ":" &amp; T$1)</f>
        <v>58</v>
      </c>
      <c r="U1057" s="18">
        <f>RTD("ice.rtd",,$C1057 &amp; $D1057 &amp; ":" &amp; U$1)</f>
        <v>4.6137000000000006</v>
      </c>
      <c r="V10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7" s="18" t="str">
        <f>IFERROR(IF(LEFT(ICE[[#This Row],[Tenor]], 1) = "B", RTD("esrtd",,$B1057 &amp; " " &amp; ICE[[#This Row],[Tenor]] &amp; "-IEU", W$1), RTD("esrtd",,$B1057 &amp; " " &amp; VLOOKUP(MONTH(ICE[[#This Row],[Strip]]), MthRef[], 2, 0) &amp; RIGHT(YEAR(ICE[[#This Row],[Strip]]), 2) &amp; "-IEU", W$1)), "")</f>
        <v/>
      </c>
      <c r="X1057" s="36"/>
    </row>
    <row r="1058" spans="1:24" x14ac:dyDescent="0.25">
      <c r="A1058" s="37" t="s">
        <v>833</v>
      </c>
      <c r="B1058" s="3" t="str">
        <f>RTD("ice.rtd",,$C1058 &amp; $D1058 &amp; ":" &amp; B$1)</f>
        <v>MFR</v>
      </c>
      <c r="C1058" s="3">
        <v>2427126288</v>
      </c>
      <c r="D1058" t="s">
        <v>812</v>
      </c>
      <c r="E1058" s="3" t="str">
        <f>RTD("ice.rtd",,$C1058 &amp; $D1058 &amp; ":" &amp; E$1)</f>
        <v>Aug28</v>
      </c>
      <c r="F1058" s="3" t="str">
        <f>ICE[[#This Row],[Prod]]&amp;ICE[[#This Row],[Strip]]</f>
        <v>fo05bfrbrxbblAug28</v>
      </c>
      <c r="G1058" s="18" t="str">
        <f>RTD("ice.rtd",,$C1058 &amp; $D1058 &amp; ":" &amp; G$1)</f>
        <v/>
      </c>
      <c r="H1058" s="18" t="str">
        <f>RTD("ice.rtd",,$C1058 &amp; $D1058 &amp; ":" &amp; H$1)</f>
        <v/>
      </c>
      <c r="I1058" s="18" t="str">
        <f>RTD("ice.rtd",,$C1058 &amp; $D1058 &amp; ":" &amp; I$1)</f>
        <v/>
      </c>
      <c r="J1058" s="14" t="str">
        <f>IFERROR(MOD(RTD("ice.rtd",,$C1058 &amp; $D1058 &amp; ":" &amp; J$1), 1), "")</f>
        <v/>
      </c>
      <c r="K1058" s="18" t="str">
        <f>RTD("ice.rtd",,$C1058 &amp; $D1058 &amp; ":" &amp; K$1)</f>
        <v/>
      </c>
      <c r="L1058" s="36" t="str">
        <f>RTD("ice.rtd",,$C1058 &amp; $D1058 &amp; ":" &amp; L$1)</f>
        <v/>
      </c>
      <c r="M1058" s="14" t="str">
        <f>IFERROR(MOD(TIMEVALUE(RTD("ice.rtd",,$C1058 &amp; $D1058 &amp; ":" &amp; M$1)), 1), "")</f>
        <v/>
      </c>
      <c r="N1058" s="36">
        <f>RTD("ice.rtd",,$C1058 &amp; $D1058 &amp; ":" &amp; N$1)</f>
        <v>0</v>
      </c>
      <c r="O1058" s="36">
        <f>RTD("ice.rtd",,$C1058 &amp; $D1058 &amp; ":" &amp; O$1)</f>
        <v>0</v>
      </c>
      <c r="P10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8" s="14" t="str">
        <f>IF(ICE[[#This Row],[LastType]] = "Scrn", ICE[[#This Row],[LstDate]], IF(ICE[[#This Row],[LastType]] = "Blk", ICE[[#This Row],[LstBlkTime]], ""))</f>
        <v/>
      </c>
      <c r="R1058" s="41" t="str">
        <f>IF(ICE[[#This Row],[LastType]] = "Scrn", ICE[[#This Row],[LstPrc]], IF(ICE[[#This Row],[LastType]] = "Blk", ICE[[#This Row],[LstBlkPrc]], ""))</f>
        <v/>
      </c>
      <c r="S1058" s="36">
        <f>ICE[[#This Row],[Vol]]+ICE[[#This Row],[BlkVol]]</f>
        <v>0</v>
      </c>
      <c r="T1058" s="36">
        <f>RTD("ice.rtd",,$C1058 &amp; $D1058 &amp; ":" &amp; T$1)</f>
        <v>58</v>
      </c>
      <c r="U1058" s="18">
        <f>RTD("ice.rtd",,$C1058 &amp; $D1058 &amp; ":" &amp; U$1)</f>
        <v>4.5771000000000006</v>
      </c>
      <c r="V10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8" s="18" t="str">
        <f>IFERROR(IF(LEFT(ICE[[#This Row],[Tenor]], 1) = "B", RTD("esrtd",,$B1058 &amp; " " &amp; ICE[[#This Row],[Tenor]] &amp; "-IEU", W$1), RTD("esrtd",,$B1058 &amp; " " &amp; VLOOKUP(MONTH(ICE[[#This Row],[Strip]]), MthRef[], 2, 0) &amp; RIGHT(YEAR(ICE[[#This Row],[Strip]]), 2) &amp; "-IEU", W$1)), "")</f>
        <v/>
      </c>
      <c r="X1058" s="36"/>
    </row>
    <row r="1059" spans="1:24" x14ac:dyDescent="0.25">
      <c r="A1059" s="37" t="s">
        <v>833</v>
      </c>
      <c r="B1059" s="3" t="str">
        <f>RTD("ice.rtd",,$C1059 &amp; $D1059 &amp; ":" &amp; B$1)</f>
        <v>MFR</v>
      </c>
      <c r="C1059" s="3">
        <v>2427126288</v>
      </c>
      <c r="D1059" t="s">
        <v>813</v>
      </c>
      <c r="E1059" s="3" t="str">
        <f>RTD("ice.rtd",,$C1059 &amp; $D1059 &amp; ":" &amp; E$1)</f>
        <v>Sep28</v>
      </c>
      <c r="F1059" s="3" t="str">
        <f>ICE[[#This Row],[Prod]]&amp;ICE[[#This Row],[Strip]]</f>
        <v>fo05bfrbrxbblSep28</v>
      </c>
      <c r="G1059" s="18" t="str">
        <f>RTD("ice.rtd",,$C1059 &amp; $D1059 &amp; ":" &amp; G$1)</f>
        <v/>
      </c>
      <c r="H1059" s="18" t="str">
        <f>RTD("ice.rtd",,$C1059 &amp; $D1059 &amp; ":" &amp; H$1)</f>
        <v/>
      </c>
      <c r="I1059" s="18" t="str">
        <f>RTD("ice.rtd",,$C1059 &amp; $D1059 &amp; ":" &amp; I$1)</f>
        <v/>
      </c>
      <c r="J1059" s="14" t="str">
        <f>IFERROR(MOD(RTD("ice.rtd",,$C1059 &amp; $D1059 &amp; ":" &amp; J$1), 1), "")</f>
        <v/>
      </c>
      <c r="K1059" s="18" t="str">
        <f>RTD("ice.rtd",,$C1059 &amp; $D1059 &amp; ":" &amp; K$1)</f>
        <v/>
      </c>
      <c r="L1059" s="36" t="str">
        <f>RTD("ice.rtd",,$C1059 &amp; $D1059 &amp; ":" &amp; L$1)</f>
        <v/>
      </c>
      <c r="M1059" s="14" t="str">
        <f>IFERROR(MOD(TIMEVALUE(RTD("ice.rtd",,$C1059 &amp; $D1059 &amp; ":" &amp; M$1)), 1), "")</f>
        <v/>
      </c>
      <c r="N1059" s="36">
        <f>RTD("ice.rtd",,$C1059 &amp; $D1059 &amp; ":" &amp; N$1)</f>
        <v>0</v>
      </c>
      <c r="O1059" s="36">
        <f>RTD("ice.rtd",,$C1059 &amp; $D1059 &amp; ":" &amp; O$1)</f>
        <v>0</v>
      </c>
      <c r="P10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59" s="14" t="str">
        <f>IF(ICE[[#This Row],[LastType]] = "Scrn", ICE[[#This Row],[LstDate]], IF(ICE[[#This Row],[LastType]] = "Blk", ICE[[#This Row],[LstBlkTime]], ""))</f>
        <v/>
      </c>
      <c r="R1059" s="41" t="str">
        <f>IF(ICE[[#This Row],[LastType]] = "Scrn", ICE[[#This Row],[LstPrc]], IF(ICE[[#This Row],[LastType]] = "Blk", ICE[[#This Row],[LstBlkPrc]], ""))</f>
        <v/>
      </c>
      <c r="S1059" s="36">
        <f>ICE[[#This Row],[Vol]]+ICE[[#This Row],[BlkVol]]</f>
        <v>0</v>
      </c>
      <c r="T1059" s="36">
        <f>RTD("ice.rtd",,$C1059 &amp; $D1059 &amp; ":" &amp; T$1)</f>
        <v>58</v>
      </c>
      <c r="U1059" s="18">
        <f>RTD("ice.rtd",,$C1059 &amp; $D1059 &amp; ":" &amp; U$1)</f>
        <v>4.5425000000000004</v>
      </c>
      <c r="V10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59" s="18" t="str">
        <f>IFERROR(IF(LEFT(ICE[[#This Row],[Tenor]], 1) = "B", RTD("esrtd",,$B1059 &amp; " " &amp; ICE[[#This Row],[Tenor]] &amp; "-IEU", W$1), RTD("esrtd",,$B1059 &amp; " " &amp; VLOOKUP(MONTH(ICE[[#This Row],[Strip]]), MthRef[], 2, 0) &amp; RIGHT(YEAR(ICE[[#This Row],[Strip]]), 2) &amp; "-IEU", W$1)), "")</f>
        <v/>
      </c>
      <c r="X1059" s="36"/>
    </row>
    <row r="1060" spans="1:24" x14ac:dyDescent="0.25">
      <c r="A1060" s="37" t="s">
        <v>833</v>
      </c>
      <c r="B1060" s="3" t="str">
        <f>RTD("ice.rtd",,$C1060 &amp; $D1060 &amp; ":" &amp; B$1)</f>
        <v>MFR</v>
      </c>
      <c r="C1060" s="3">
        <v>2427126288</v>
      </c>
      <c r="D1060" t="s">
        <v>814</v>
      </c>
      <c r="E1060" s="3" t="str">
        <f>RTD("ice.rtd",,$C1060 &amp; $D1060 &amp; ":" &amp; E$1)</f>
        <v>Q4 26</v>
      </c>
      <c r="F1060" s="3" t="str">
        <f>ICE[[#This Row],[Prod]]&amp;ICE[[#This Row],[Strip]]</f>
        <v>fo05bfrbrxbblQ4 26</v>
      </c>
      <c r="G1060" s="18" t="str">
        <f>RTD("ice.rtd",,$C1060 &amp; $D1060 &amp; ":" &amp; G$1)</f>
        <v/>
      </c>
      <c r="H1060" s="18" t="str">
        <f>RTD("ice.rtd",,$C1060 &amp; $D1060 &amp; ":" &amp; H$1)</f>
        <v/>
      </c>
      <c r="I1060" s="18" t="str">
        <f>RTD("ice.rtd",,$C1060 &amp; $D1060 &amp; ":" &amp; I$1)</f>
        <v/>
      </c>
      <c r="J1060" s="14" t="str">
        <f>IFERROR(MOD(RTD("ice.rtd",,$C1060 &amp; $D1060 &amp; ":" &amp; J$1), 1), "")</f>
        <v/>
      </c>
      <c r="K1060" s="18" t="str">
        <f>RTD("ice.rtd",,$C1060 &amp; $D1060 &amp; ":" &amp; K$1)</f>
        <v/>
      </c>
      <c r="L1060" s="36" t="str">
        <f>RTD("ice.rtd",,$C1060 &amp; $D1060 &amp; ":" &amp; L$1)</f>
        <v/>
      </c>
      <c r="M1060" s="14" t="str">
        <f>IFERROR(MOD(TIMEVALUE(RTD("ice.rtd",,$C1060 &amp; $D1060 &amp; ":" &amp; M$1)), 1), "")</f>
        <v/>
      </c>
      <c r="N1060" s="36">
        <f>RTD("ice.rtd",,$C1060 &amp; $D1060 &amp; ":" &amp; N$1)</f>
        <v>0</v>
      </c>
      <c r="O1060" s="36">
        <f>RTD("ice.rtd",,$C1060 &amp; $D1060 &amp; ":" &amp; O$1)</f>
        <v>0</v>
      </c>
      <c r="P10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0" s="14" t="str">
        <f>IF(ICE[[#This Row],[LastType]] = "Scrn", ICE[[#This Row],[LstDate]], IF(ICE[[#This Row],[LastType]] = "Blk", ICE[[#This Row],[LstBlkTime]], ""))</f>
        <v/>
      </c>
      <c r="R1060" s="41" t="str">
        <f>IF(ICE[[#This Row],[LastType]] = "Scrn", ICE[[#This Row],[LstPrc]], IF(ICE[[#This Row],[LastType]] = "Blk", ICE[[#This Row],[LstBlkPrc]], ""))</f>
        <v/>
      </c>
      <c r="S1060" s="36">
        <f>ICE[[#This Row],[Vol]]+ICE[[#This Row],[BlkVol]]</f>
        <v>0</v>
      </c>
      <c r="T1060" s="36">
        <f>RTD("ice.rtd",,$C1060 &amp; $D1060 &amp; ":" &amp; T$1)</f>
        <v>0</v>
      </c>
      <c r="U1060" s="18">
        <f>RTD("ice.rtd",,$C1060 &amp; $D1060 &amp; ":" &amp; U$1)</f>
        <v>6.2737000000000007</v>
      </c>
      <c r="V10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0" s="18" t="str">
        <f>IFERROR(IF(LEFT(ICE[[#This Row],[Tenor]], 1) = "B", RTD("esrtd",,$B1060 &amp; " " &amp; ICE[[#This Row],[Tenor]] &amp; "-IEU", W$1), RTD("esrtd",,$B1060 &amp; " " &amp; VLOOKUP(MONTH(ICE[[#This Row],[Strip]]), MthRef[], 2, 0) &amp; RIGHT(YEAR(ICE[[#This Row],[Strip]]), 2) &amp; "-IEU", W$1)), "")</f>
        <v/>
      </c>
      <c r="X1060" s="36"/>
    </row>
    <row r="1061" spans="1:24" x14ac:dyDescent="0.25">
      <c r="A1061" s="37" t="s">
        <v>833</v>
      </c>
      <c r="B1061" s="3" t="str">
        <f>RTD("ice.rtd",,$C1061 &amp; $D1061 &amp; ":" &amp; B$1)</f>
        <v>MFR</v>
      </c>
      <c r="C1061" s="3">
        <v>2427126288</v>
      </c>
      <c r="D1061" t="s">
        <v>815</v>
      </c>
      <c r="E1061" s="3" t="str">
        <f>RTD("ice.rtd",,$C1061 &amp; $D1061 &amp; ":" &amp; E$1)</f>
        <v>Q1 27</v>
      </c>
      <c r="F1061" s="3" t="str">
        <f>ICE[[#This Row],[Prod]]&amp;ICE[[#This Row],[Strip]]</f>
        <v>fo05bfrbrxbblQ1 27</v>
      </c>
      <c r="G1061" s="18" t="str">
        <f>RTD("ice.rtd",,$C1061 &amp; $D1061 &amp; ":" &amp; G$1)</f>
        <v/>
      </c>
      <c r="H1061" s="18" t="str">
        <f>RTD("ice.rtd",,$C1061 &amp; $D1061 &amp; ":" &amp; H$1)</f>
        <v/>
      </c>
      <c r="I1061" s="18" t="str">
        <f>RTD("ice.rtd",,$C1061 &amp; $D1061 &amp; ":" &amp; I$1)</f>
        <v/>
      </c>
      <c r="J1061" s="14" t="str">
        <f>IFERROR(MOD(RTD("ice.rtd",,$C1061 &amp; $D1061 &amp; ":" &amp; J$1), 1), "")</f>
        <v/>
      </c>
      <c r="K1061" s="18" t="str">
        <f>RTD("ice.rtd",,$C1061 &amp; $D1061 &amp; ":" &amp; K$1)</f>
        <v/>
      </c>
      <c r="L1061" s="36" t="str">
        <f>RTD("ice.rtd",,$C1061 &amp; $D1061 &amp; ":" &amp; L$1)</f>
        <v/>
      </c>
      <c r="M1061" s="14" t="str">
        <f>IFERROR(MOD(TIMEVALUE(RTD("ice.rtd",,$C1061 &amp; $D1061 &amp; ":" &amp; M$1)), 1), "")</f>
        <v/>
      </c>
      <c r="N1061" s="36">
        <f>RTD("ice.rtd",,$C1061 &amp; $D1061 &amp; ":" &amp; N$1)</f>
        <v>0</v>
      </c>
      <c r="O1061" s="36">
        <f>RTD("ice.rtd",,$C1061 &amp; $D1061 &amp; ":" &amp; O$1)</f>
        <v>0</v>
      </c>
      <c r="P10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1" s="14" t="str">
        <f>IF(ICE[[#This Row],[LastType]] = "Scrn", ICE[[#This Row],[LstDate]], IF(ICE[[#This Row],[LastType]] = "Blk", ICE[[#This Row],[LstBlkTime]], ""))</f>
        <v/>
      </c>
      <c r="R1061" s="41" t="str">
        <f>IF(ICE[[#This Row],[LastType]] = "Scrn", ICE[[#This Row],[LstPrc]], IF(ICE[[#This Row],[LastType]] = "Blk", ICE[[#This Row],[LstBlkPrc]], ""))</f>
        <v/>
      </c>
      <c r="S1061" s="36">
        <f>ICE[[#This Row],[Vol]]+ICE[[#This Row],[BlkVol]]</f>
        <v>0</v>
      </c>
      <c r="T1061" s="36">
        <f>RTD("ice.rtd",,$C1061 &amp; $D1061 &amp; ":" &amp; T$1)</f>
        <v>0</v>
      </c>
      <c r="U1061" s="18">
        <f>RTD("ice.rtd",,$C1061 &amp; $D1061 &amp; ":" &amp; U$1)</f>
        <v>6.3622000000000005</v>
      </c>
      <c r="V10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1" s="18" t="str">
        <f>IFERROR(IF(LEFT(ICE[[#This Row],[Tenor]], 1) = "B", RTD("esrtd",,$B1061 &amp; " " &amp; ICE[[#This Row],[Tenor]] &amp; "-IEU", W$1), RTD("esrtd",,$B1061 &amp; " " &amp; VLOOKUP(MONTH(ICE[[#This Row],[Strip]]), MthRef[], 2, 0) &amp; RIGHT(YEAR(ICE[[#This Row],[Strip]]), 2) &amp; "-IEU", W$1)), "")</f>
        <v/>
      </c>
      <c r="X1061" s="36"/>
    </row>
    <row r="1062" spans="1:24" x14ac:dyDescent="0.25">
      <c r="A1062" s="37" t="s">
        <v>833</v>
      </c>
      <c r="B1062" s="3" t="str">
        <f>RTD("ice.rtd",,$C1062 &amp; $D1062 &amp; ":" &amp; B$1)</f>
        <v>MFR</v>
      </c>
      <c r="C1062" s="3">
        <v>2427126288</v>
      </c>
      <c r="D1062" t="s">
        <v>816</v>
      </c>
      <c r="E1062" s="3" t="str">
        <f>RTD("ice.rtd",,$C1062 &amp; $D1062 &amp; ":" &amp; E$1)</f>
        <v>Q2 27</v>
      </c>
      <c r="F1062" s="3" t="str">
        <f>ICE[[#This Row],[Prod]]&amp;ICE[[#This Row],[Strip]]</f>
        <v>fo05bfrbrxbblQ2 27</v>
      </c>
      <c r="G1062" s="18" t="str">
        <f>RTD("ice.rtd",,$C1062 &amp; $D1062 &amp; ":" &amp; G$1)</f>
        <v/>
      </c>
      <c r="H1062" s="18" t="str">
        <f>RTD("ice.rtd",,$C1062 &amp; $D1062 &amp; ":" &amp; H$1)</f>
        <v/>
      </c>
      <c r="I1062" s="18" t="str">
        <f>RTD("ice.rtd",,$C1062 &amp; $D1062 &amp; ":" &amp; I$1)</f>
        <v/>
      </c>
      <c r="J1062" s="14" t="str">
        <f>IFERROR(MOD(RTD("ice.rtd",,$C1062 &amp; $D1062 &amp; ":" &amp; J$1), 1), "")</f>
        <v/>
      </c>
      <c r="K1062" s="18" t="str">
        <f>RTD("ice.rtd",,$C1062 &amp; $D1062 &amp; ":" &amp; K$1)</f>
        <v/>
      </c>
      <c r="L1062" s="36" t="str">
        <f>RTD("ice.rtd",,$C1062 &amp; $D1062 &amp; ":" &amp; L$1)</f>
        <v/>
      </c>
      <c r="M1062" s="14" t="str">
        <f>IFERROR(MOD(TIMEVALUE(RTD("ice.rtd",,$C1062 &amp; $D1062 &amp; ":" &amp; M$1)), 1), "")</f>
        <v/>
      </c>
      <c r="N1062" s="36">
        <f>RTD("ice.rtd",,$C1062 &amp; $D1062 &amp; ":" &amp; N$1)</f>
        <v>0</v>
      </c>
      <c r="O1062" s="36">
        <f>RTD("ice.rtd",,$C1062 &amp; $D1062 &amp; ":" &amp; O$1)</f>
        <v>0</v>
      </c>
      <c r="P10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2" s="14" t="str">
        <f>IF(ICE[[#This Row],[LastType]] = "Scrn", ICE[[#This Row],[LstDate]], IF(ICE[[#This Row],[LastType]] = "Blk", ICE[[#This Row],[LstBlkTime]], ""))</f>
        <v/>
      </c>
      <c r="R1062" s="41" t="str">
        <f>IF(ICE[[#This Row],[LastType]] = "Scrn", ICE[[#This Row],[LstPrc]], IF(ICE[[#This Row],[LastType]] = "Blk", ICE[[#This Row],[LstBlkPrc]], ""))</f>
        <v/>
      </c>
      <c r="S1062" s="36">
        <f>ICE[[#This Row],[Vol]]+ICE[[#This Row],[BlkVol]]</f>
        <v>0</v>
      </c>
      <c r="T1062" s="36">
        <f>RTD("ice.rtd",,$C1062 &amp; $D1062 &amp; ":" &amp; T$1)</f>
        <v>0</v>
      </c>
      <c r="U1062" s="18">
        <f>RTD("ice.rtd",,$C1062 &amp; $D1062 &amp; ":" &amp; U$1)</f>
        <v>6.4414000000000007</v>
      </c>
      <c r="V10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2" s="18" t="str">
        <f>IFERROR(IF(LEFT(ICE[[#This Row],[Tenor]], 1) = "B", RTD("esrtd",,$B1062 &amp; " " &amp; ICE[[#This Row],[Tenor]] &amp; "-IEU", W$1), RTD("esrtd",,$B1062 &amp; " " &amp; VLOOKUP(MONTH(ICE[[#This Row],[Strip]]), MthRef[], 2, 0) &amp; RIGHT(YEAR(ICE[[#This Row],[Strip]]), 2) &amp; "-IEU", W$1)), "")</f>
        <v/>
      </c>
      <c r="X1062" s="36"/>
    </row>
    <row r="1063" spans="1:24" x14ac:dyDescent="0.25">
      <c r="A1063" s="37" t="s">
        <v>833</v>
      </c>
      <c r="B1063" s="3" t="str">
        <f>RTD("ice.rtd",,$C1063 &amp; $D1063 &amp; ":" &amp; B$1)</f>
        <v>MFR</v>
      </c>
      <c r="C1063" s="3">
        <v>2427126288</v>
      </c>
      <c r="D1063" t="s">
        <v>817</v>
      </c>
      <c r="E1063" s="3" t="str">
        <f>RTD("ice.rtd",,$C1063 &amp; $D1063 &amp; ":" &amp; E$1)</f>
        <v>Q3 27</v>
      </c>
      <c r="F1063" s="3" t="str">
        <f>ICE[[#This Row],[Prod]]&amp;ICE[[#This Row],[Strip]]</f>
        <v>fo05bfrbrxbblQ3 27</v>
      </c>
      <c r="G1063" s="18" t="str">
        <f>RTD("ice.rtd",,$C1063 &amp; $D1063 &amp; ":" &amp; G$1)</f>
        <v/>
      </c>
      <c r="H1063" s="18" t="str">
        <f>RTD("ice.rtd",,$C1063 &amp; $D1063 &amp; ":" &amp; H$1)</f>
        <v/>
      </c>
      <c r="I1063" s="18" t="str">
        <f>RTD("ice.rtd",,$C1063 &amp; $D1063 &amp; ":" &amp; I$1)</f>
        <v/>
      </c>
      <c r="J1063" s="14" t="str">
        <f>IFERROR(MOD(RTD("ice.rtd",,$C1063 &amp; $D1063 &amp; ":" &amp; J$1), 1), "")</f>
        <v/>
      </c>
      <c r="K1063" s="18" t="str">
        <f>RTD("ice.rtd",,$C1063 &amp; $D1063 &amp; ":" &amp; K$1)</f>
        <v/>
      </c>
      <c r="L1063" s="36" t="str">
        <f>RTD("ice.rtd",,$C1063 &amp; $D1063 &amp; ":" &amp; L$1)</f>
        <v/>
      </c>
      <c r="M1063" s="14" t="str">
        <f>IFERROR(MOD(TIMEVALUE(RTD("ice.rtd",,$C1063 &amp; $D1063 &amp; ":" &amp; M$1)), 1), "")</f>
        <v/>
      </c>
      <c r="N1063" s="36">
        <f>RTD("ice.rtd",,$C1063 &amp; $D1063 &amp; ":" &amp; N$1)</f>
        <v>0</v>
      </c>
      <c r="O1063" s="36">
        <f>RTD("ice.rtd",,$C1063 &amp; $D1063 &amp; ":" &amp; O$1)</f>
        <v>0</v>
      </c>
      <c r="P10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3" s="14" t="str">
        <f>IF(ICE[[#This Row],[LastType]] = "Scrn", ICE[[#This Row],[LstDate]], IF(ICE[[#This Row],[LastType]] = "Blk", ICE[[#This Row],[LstBlkTime]], ""))</f>
        <v/>
      </c>
      <c r="R1063" s="41" t="str">
        <f>IF(ICE[[#This Row],[LastType]] = "Scrn", ICE[[#This Row],[LstPrc]], IF(ICE[[#This Row],[LastType]] = "Blk", ICE[[#This Row],[LstBlkPrc]], ""))</f>
        <v/>
      </c>
      <c r="S1063" s="36">
        <f>ICE[[#This Row],[Vol]]+ICE[[#This Row],[BlkVol]]</f>
        <v>0</v>
      </c>
      <c r="T1063" s="36">
        <f>RTD("ice.rtd",,$C1063 &amp; $D1063 &amp; ":" &amp; T$1)</f>
        <v>0</v>
      </c>
      <c r="U1063" s="18">
        <f>RTD("ice.rtd",,$C1063 &amp; $D1063 &amp; ":" &amp; U$1)</f>
        <v>5.9469000000000003</v>
      </c>
      <c r="V10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3" s="18" t="str">
        <f>IFERROR(IF(LEFT(ICE[[#This Row],[Tenor]], 1) = "B", RTD("esrtd",,$B1063 &amp; " " &amp; ICE[[#This Row],[Tenor]] &amp; "-IEU", W$1), RTD("esrtd",,$B1063 &amp; " " &amp; VLOOKUP(MONTH(ICE[[#This Row],[Strip]]), MthRef[], 2, 0) &amp; RIGHT(YEAR(ICE[[#This Row],[Strip]]), 2) &amp; "-IEU", W$1)), "")</f>
        <v/>
      </c>
      <c r="X1063" s="36"/>
    </row>
    <row r="1064" spans="1:24" x14ac:dyDescent="0.25">
      <c r="A1064" s="37" t="s">
        <v>833</v>
      </c>
      <c r="B1064" s="3" t="str">
        <f>RTD("ice.rtd",,$C1064 &amp; $D1064 &amp; ":" &amp; B$1)</f>
        <v>MFR</v>
      </c>
      <c r="C1064" s="3">
        <v>2427126288</v>
      </c>
      <c r="D1064" t="s">
        <v>818</v>
      </c>
      <c r="E1064" s="3" t="str">
        <f>RTD("ice.rtd",,$C1064 &amp; $D1064 &amp; ":" &amp; E$1)</f>
        <v>Q4 27</v>
      </c>
      <c r="F1064" s="3" t="str">
        <f>ICE[[#This Row],[Prod]]&amp;ICE[[#This Row],[Strip]]</f>
        <v>fo05bfrbrxbblQ4 27</v>
      </c>
      <c r="G1064" s="18" t="str">
        <f>RTD("ice.rtd",,$C1064 &amp; $D1064 &amp; ":" &amp; G$1)</f>
        <v/>
      </c>
      <c r="H1064" s="18" t="str">
        <f>RTD("ice.rtd",,$C1064 &amp; $D1064 &amp; ":" &amp; H$1)</f>
        <v/>
      </c>
      <c r="I1064" s="18" t="str">
        <f>RTD("ice.rtd",,$C1064 &amp; $D1064 &amp; ":" &amp; I$1)</f>
        <v/>
      </c>
      <c r="J1064" s="14" t="str">
        <f>IFERROR(MOD(RTD("ice.rtd",,$C1064 &amp; $D1064 &amp; ":" &amp; J$1), 1), "")</f>
        <v/>
      </c>
      <c r="K1064" s="18" t="str">
        <f>RTD("ice.rtd",,$C1064 &amp; $D1064 &amp; ":" &amp; K$1)</f>
        <v/>
      </c>
      <c r="L1064" s="36" t="str">
        <f>RTD("ice.rtd",,$C1064 &amp; $D1064 &amp; ":" &amp; L$1)</f>
        <v/>
      </c>
      <c r="M1064" s="14" t="str">
        <f>IFERROR(MOD(TIMEVALUE(RTD("ice.rtd",,$C1064 &amp; $D1064 &amp; ":" &amp; M$1)), 1), "")</f>
        <v/>
      </c>
      <c r="N1064" s="36">
        <f>RTD("ice.rtd",,$C1064 &amp; $D1064 &amp; ":" &amp; N$1)</f>
        <v>0</v>
      </c>
      <c r="O1064" s="36">
        <f>RTD("ice.rtd",,$C1064 &amp; $D1064 &amp; ":" &amp; O$1)</f>
        <v>0</v>
      </c>
      <c r="P10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4" s="14" t="str">
        <f>IF(ICE[[#This Row],[LastType]] = "Scrn", ICE[[#This Row],[LstDate]], IF(ICE[[#This Row],[LastType]] = "Blk", ICE[[#This Row],[LstBlkTime]], ""))</f>
        <v/>
      </c>
      <c r="R1064" s="41" t="str">
        <f>IF(ICE[[#This Row],[LastType]] = "Scrn", ICE[[#This Row],[LstPrc]], IF(ICE[[#This Row],[LastType]] = "Blk", ICE[[#This Row],[LstBlkPrc]], ""))</f>
        <v/>
      </c>
      <c r="S1064" s="36">
        <f>ICE[[#This Row],[Vol]]+ICE[[#This Row],[BlkVol]]</f>
        <v>0</v>
      </c>
      <c r="T1064" s="36">
        <f>RTD("ice.rtd",,$C1064 &amp; $D1064 &amp; ":" &amp; T$1)</f>
        <v>0</v>
      </c>
      <c r="U1064" s="18">
        <f>RTD("ice.rtd",,$C1064 &amp; $D1064 &amp; ":" &amp; U$1)</f>
        <v>5.0794000000000006</v>
      </c>
      <c r="V10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4" s="18" t="str">
        <f>IFERROR(IF(LEFT(ICE[[#This Row],[Tenor]], 1) = "B", RTD("esrtd",,$B1064 &amp; " " &amp; ICE[[#This Row],[Tenor]] &amp; "-IEU", W$1), RTD("esrtd",,$B1064 &amp; " " &amp; VLOOKUP(MONTH(ICE[[#This Row],[Strip]]), MthRef[], 2, 0) &amp; RIGHT(YEAR(ICE[[#This Row],[Strip]]), 2) &amp; "-IEU", W$1)), "")</f>
        <v/>
      </c>
      <c r="X1064" s="36"/>
    </row>
    <row r="1065" spans="1:24" x14ac:dyDescent="0.25">
      <c r="A1065" s="37" t="s">
        <v>833</v>
      </c>
      <c r="B1065" s="3" t="str">
        <f>RTD("ice.rtd",,$C1065 &amp; $D1065 &amp; ":" &amp; B$1)</f>
        <v>MFR</v>
      </c>
      <c r="C1065" s="3">
        <v>2427126288</v>
      </c>
      <c r="D1065" t="s">
        <v>819</v>
      </c>
      <c r="E1065" s="3" t="str">
        <f>RTD("ice.rtd",,$C1065 &amp; $D1065 &amp; ":" &amp; E$1)</f>
        <v>Q1 28</v>
      </c>
      <c r="F1065" s="3" t="str">
        <f>ICE[[#This Row],[Prod]]&amp;ICE[[#This Row],[Strip]]</f>
        <v>fo05bfrbrxbblQ1 28</v>
      </c>
      <c r="G1065" s="18" t="str">
        <f>RTD("ice.rtd",,$C1065 &amp; $D1065 &amp; ":" &amp; G$1)</f>
        <v/>
      </c>
      <c r="H1065" s="18" t="str">
        <f>RTD("ice.rtd",,$C1065 &amp; $D1065 &amp; ":" &amp; H$1)</f>
        <v/>
      </c>
      <c r="I1065" s="18" t="str">
        <f>RTD("ice.rtd",,$C1065 &amp; $D1065 &amp; ":" &amp; I$1)</f>
        <v/>
      </c>
      <c r="J1065" s="14" t="str">
        <f>IFERROR(MOD(RTD("ice.rtd",,$C1065 &amp; $D1065 &amp; ":" &amp; J$1), 1), "")</f>
        <v/>
      </c>
      <c r="K1065" s="18" t="str">
        <f>RTD("ice.rtd",,$C1065 &amp; $D1065 &amp; ":" &amp; K$1)</f>
        <v/>
      </c>
      <c r="L1065" s="36" t="str">
        <f>RTD("ice.rtd",,$C1065 &amp; $D1065 &amp; ":" &amp; L$1)</f>
        <v/>
      </c>
      <c r="M1065" s="14" t="str">
        <f>IFERROR(MOD(TIMEVALUE(RTD("ice.rtd",,$C1065 &amp; $D1065 &amp; ":" &amp; M$1)), 1), "")</f>
        <v/>
      </c>
      <c r="N1065" s="36">
        <f>RTD("ice.rtd",,$C1065 &amp; $D1065 &amp; ":" &amp; N$1)</f>
        <v>0</v>
      </c>
      <c r="O1065" s="36">
        <f>RTD("ice.rtd",,$C1065 &amp; $D1065 &amp; ":" &amp; O$1)</f>
        <v>0</v>
      </c>
      <c r="P10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5" s="14" t="str">
        <f>IF(ICE[[#This Row],[LastType]] = "Scrn", ICE[[#This Row],[LstDate]], IF(ICE[[#This Row],[LastType]] = "Blk", ICE[[#This Row],[LstBlkTime]], ""))</f>
        <v/>
      </c>
      <c r="R1065" s="41" t="str">
        <f>IF(ICE[[#This Row],[LastType]] = "Scrn", ICE[[#This Row],[LstPrc]], IF(ICE[[#This Row],[LastType]] = "Blk", ICE[[#This Row],[LstBlkPrc]], ""))</f>
        <v/>
      </c>
      <c r="S1065" s="36">
        <f>ICE[[#This Row],[Vol]]+ICE[[#This Row],[BlkVol]]</f>
        <v>0</v>
      </c>
      <c r="T1065" s="36">
        <f>RTD("ice.rtd",,$C1065 &amp; $D1065 &amp; ":" &amp; T$1)</f>
        <v>0</v>
      </c>
      <c r="U1065" s="18">
        <f>RTD("ice.rtd",,$C1065 &amp; $D1065 &amp; ":" &amp; U$1)</f>
        <v>4.6603000000000003</v>
      </c>
      <c r="V10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5" s="18" t="str">
        <f>IFERROR(IF(LEFT(ICE[[#This Row],[Tenor]], 1) = "B", RTD("esrtd",,$B1065 &amp; " " &amp; ICE[[#This Row],[Tenor]] &amp; "-IEU", W$1), RTD("esrtd",,$B1065 &amp; " " &amp; VLOOKUP(MONTH(ICE[[#This Row],[Strip]]), MthRef[], 2, 0) &amp; RIGHT(YEAR(ICE[[#This Row],[Strip]]), 2) &amp; "-IEU", W$1)), "")</f>
        <v/>
      </c>
      <c r="X1065" s="36"/>
    </row>
    <row r="1066" spans="1:24" x14ac:dyDescent="0.25">
      <c r="A1066" s="37" t="s">
        <v>833</v>
      </c>
      <c r="B1066" s="3" t="str">
        <f>RTD("ice.rtd",,$C1066 &amp; $D1066 &amp; ":" &amp; B$1)</f>
        <v>MFR</v>
      </c>
      <c r="C1066" s="3">
        <v>2427126288</v>
      </c>
      <c r="D1066" t="s">
        <v>229</v>
      </c>
      <c r="E1066" s="3" t="str">
        <f>RTD("ice.rtd",,$C1066 &amp; $D1066 &amp; ":" &amp; E$1)</f>
        <v>Q2 28</v>
      </c>
      <c r="F1066" s="3" t="str">
        <f>ICE[[#This Row],[Prod]]&amp;ICE[[#This Row],[Strip]]</f>
        <v>fo05bfrbrxbblQ2 28</v>
      </c>
      <c r="G1066" s="18" t="str">
        <f>RTD("ice.rtd",,$C1066 &amp; $D1066 &amp; ":" &amp; G$1)</f>
        <v/>
      </c>
      <c r="H1066" s="18" t="str">
        <f>RTD("ice.rtd",,$C1066 &amp; $D1066 &amp; ":" &amp; H$1)</f>
        <v/>
      </c>
      <c r="I1066" s="18" t="str">
        <f>RTD("ice.rtd",,$C1066 &amp; $D1066 &amp; ":" &amp; I$1)</f>
        <v/>
      </c>
      <c r="J1066" s="14" t="str">
        <f>IFERROR(MOD(RTD("ice.rtd",,$C1066 &amp; $D1066 &amp; ":" &amp; J$1), 1), "")</f>
        <v/>
      </c>
      <c r="K1066" s="18" t="str">
        <f>RTD("ice.rtd",,$C1066 &amp; $D1066 &amp; ":" &amp; K$1)</f>
        <v/>
      </c>
      <c r="L1066" s="36" t="str">
        <f>RTD("ice.rtd",,$C1066 &amp; $D1066 &amp; ":" &amp; L$1)</f>
        <v/>
      </c>
      <c r="M1066" s="14" t="str">
        <f>IFERROR(MOD(TIMEVALUE(RTD("ice.rtd",,$C1066 &amp; $D1066 &amp; ":" &amp; M$1)), 1), "")</f>
        <v/>
      </c>
      <c r="N1066" s="36">
        <f>RTD("ice.rtd",,$C1066 &amp; $D1066 &amp; ":" &amp; N$1)</f>
        <v>0</v>
      </c>
      <c r="O1066" s="36">
        <f>RTD("ice.rtd",,$C1066 &amp; $D1066 &amp; ":" &amp; O$1)</f>
        <v>0</v>
      </c>
      <c r="P10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6" s="14" t="str">
        <f>IF(ICE[[#This Row],[LastType]] = "Scrn", ICE[[#This Row],[LstDate]], IF(ICE[[#This Row],[LastType]] = "Blk", ICE[[#This Row],[LstBlkTime]], ""))</f>
        <v/>
      </c>
      <c r="R1066" s="41" t="str">
        <f>IF(ICE[[#This Row],[LastType]] = "Scrn", ICE[[#This Row],[LstPrc]], IF(ICE[[#This Row],[LastType]] = "Blk", ICE[[#This Row],[LstBlkPrc]], ""))</f>
        <v/>
      </c>
      <c r="S1066" s="36">
        <f>ICE[[#This Row],[Vol]]+ICE[[#This Row],[BlkVol]]</f>
        <v>0</v>
      </c>
      <c r="T1066" s="36">
        <f>RTD("ice.rtd",,$C1066 &amp; $D1066 &amp; ":" &amp; T$1)</f>
        <v>0</v>
      </c>
      <c r="U1066" s="18">
        <f>RTD("ice.rtd",,$C1066 &amp; $D1066 &amp; ":" &amp; U$1)</f>
        <v>4.6495000000000006</v>
      </c>
      <c r="V10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6" s="18" t="str">
        <f>IFERROR(IF(LEFT(ICE[[#This Row],[Tenor]], 1) = "B", RTD("esrtd",,$B1066 &amp; " " &amp; ICE[[#This Row],[Tenor]] &amp; "-IEU", W$1), RTD("esrtd",,$B1066 &amp; " " &amp; VLOOKUP(MONTH(ICE[[#This Row],[Strip]]), MthRef[], 2, 0) &amp; RIGHT(YEAR(ICE[[#This Row],[Strip]]), 2) &amp; "-IEU", W$1)), "")</f>
        <v/>
      </c>
      <c r="X1066" s="36"/>
    </row>
    <row r="1067" spans="1:24" x14ac:dyDescent="0.25">
      <c r="A1067" s="37" t="s">
        <v>833</v>
      </c>
      <c r="B1067" s="3" t="str">
        <f>RTD("ice.rtd",,$C1067 &amp; $D1067 &amp; ":" &amp; B$1)</f>
        <v>MFR</v>
      </c>
      <c r="C1067" s="3">
        <v>2427126288</v>
      </c>
      <c r="D1067" t="s">
        <v>820</v>
      </c>
      <c r="E1067" s="3" t="str">
        <f>RTD("ice.rtd",,$C1067 &amp; $D1067 &amp; ":" &amp; E$1)</f>
        <v>Q3 28</v>
      </c>
      <c r="F1067" s="3" t="str">
        <f>ICE[[#This Row],[Prod]]&amp;ICE[[#This Row],[Strip]]</f>
        <v>fo05bfrbrxbblQ3 28</v>
      </c>
      <c r="G1067" s="18" t="str">
        <f>RTD("ice.rtd",,$C1067 &amp; $D1067 &amp; ":" &amp; G$1)</f>
        <v/>
      </c>
      <c r="H1067" s="18" t="str">
        <f>RTD("ice.rtd",,$C1067 &amp; $D1067 &amp; ":" &amp; H$1)</f>
        <v/>
      </c>
      <c r="I1067" s="18" t="str">
        <f>RTD("ice.rtd",,$C1067 &amp; $D1067 &amp; ":" &amp; I$1)</f>
        <v/>
      </c>
      <c r="J1067" s="14" t="str">
        <f>IFERROR(MOD(RTD("ice.rtd",,$C1067 &amp; $D1067 &amp; ":" &amp; J$1), 1), "")</f>
        <v/>
      </c>
      <c r="K1067" s="18" t="str">
        <f>RTD("ice.rtd",,$C1067 &amp; $D1067 &amp; ":" &amp; K$1)</f>
        <v/>
      </c>
      <c r="L1067" s="36" t="str">
        <f>RTD("ice.rtd",,$C1067 &amp; $D1067 &amp; ":" &amp; L$1)</f>
        <v/>
      </c>
      <c r="M1067" s="14" t="str">
        <f>IFERROR(MOD(TIMEVALUE(RTD("ice.rtd",,$C1067 &amp; $D1067 &amp; ":" &amp; M$1)), 1), "")</f>
        <v/>
      </c>
      <c r="N1067" s="36">
        <f>RTD("ice.rtd",,$C1067 &amp; $D1067 &amp; ":" &amp; N$1)</f>
        <v>0</v>
      </c>
      <c r="O1067" s="36">
        <f>RTD("ice.rtd",,$C1067 &amp; $D1067 &amp; ":" &amp; O$1)</f>
        <v>0</v>
      </c>
      <c r="P10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7" s="14" t="str">
        <f>IF(ICE[[#This Row],[LastType]] = "Scrn", ICE[[#This Row],[LstDate]], IF(ICE[[#This Row],[LastType]] = "Blk", ICE[[#This Row],[LstBlkTime]], ""))</f>
        <v/>
      </c>
      <c r="R1067" s="41" t="str">
        <f>IF(ICE[[#This Row],[LastType]] = "Scrn", ICE[[#This Row],[LstPrc]], IF(ICE[[#This Row],[LastType]] = "Blk", ICE[[#This Row],[LstBlkPrc]], ""))</f>
        <v/>
      </c>
      <c r="S1067" s="36">
        <f>ICE[[#This Row],[Vol]]+ICE[[#This Row],[BlkVol]]</f>
        <v>0</v>
      </c>
      <c r="T1067" s="36">
        <f>RTD("ice.rtd",,$C1067 &amp; $D1067 &amp; ":" &amp; T$1)</f>
        <v>0</v>
      </c>
      <c r="U1067" s="18">
        <f>RTD("ice.rtd",,$C1067 &amp; $D1067 &amp; ":" &amp; U$1)</f>
        <v>4.5777999999999999</v>
      </c>
      <c r="V10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7" s="18" t="str">
        <f>IFERROR(IF(LEFT(ICE[[#This Row],[Tenor]], 1) = "B", RTD("esrtd",,$B1067 &amp; " " &amp; ICE[[#This Row],[Tenor]] &amp; "-IEU", W$1), RTD("esrtd",,$B1067 &amp; " " &amp; VLOOKUP(MONTH(ICE[[#This Row],[Strip]]), MthRef[], 2, 0) &amp; RIGHT(YEAR(ICE[[#This Row],[Strip]]), 2) &amp; "-IEU", W$1)), "")</f>
        <v/>
      </c>
      <c r="X1067" s="36"/>
    </row>
    <row r="1068" spans="1:24" x14ac:dyDescent="0.25">
      <c r="A1068" s="37" t="s">
        <v>833</v>
      </c>
      <c r="B1068" s="3" t="str">
        <f>RTD("ice.rtd",,$C1068 &amp; $D1068 &amp; ":" &amp; B$1)</f>
        <v>MFR</v>
      </c>
      <c r="C1068" s="3">
        <v>2427126288</v>
      </c>
      <c r="D1068" t="s">
        <v>821</v>
      </c>
      <c r="E1068" s="3" t="str">
        <f>RTD("ice.rtd",,$C1068 &amp; $D1068 &amp; ":" &amp; E$1)</f>
        <v>Q4 28</v>
      </c>
      <c r="F1068" s="3" t="str">
        <f>ICE[[#This Row],[Prod]]&amp;ICE[[#This Row],[Strip]]</f>
        <v>fo05bfrbrxbblQ4 28</v>
      </c>
      <c r="G1068" s="18" t="str">
        <f>RTD("ice.rtd",,$C1068 &amp; $D1068 &amp; ":" &amp; G$1)</f>
        <v/>
      </c>
      <c r="H1068" s="18" t="str">
        <f>RTD("ice.rtd",,$C1068 &amp; $D1068 &amp; ":" &amp; H$1)</f>
        <v/>
      </c>
      <c r="I1068" s="18" t="str">
        <f>RTD("ice.rtd",,$C1068 &amp; $D1068 &amp; ":" &amp; I$1)</f>
        <v/>
      </c>
      <c r="J1068" s="14" t="str">
        <f>IFERROR(MOD(RTD("ice.rtd",,$C1068 &amp; $D1068 &amp; ":" &amp; J$1), 1), "")</f>
        <v/>
      </c>
      <c r="K1068" s="18" t="str">
        <f>RTD("ice.rtd",,$C1068 &amp; $D1068 &amp; ":" &amp; K$1)</f>
        <v/>
      </c>
      <c r="L1068" s="36" t="str">
        <f>RTD("ice.rtd",,$C1068 &amp; $D1068 &amp; ":" &amp; L$1)</f>
        <v/>
      </c>
      <c r="M1068" s="14" t="str">
        <f>IFERROR(MOD(TIMEVALUE(RTD("ice.rtd",,$C1068 &amp; $D1068 &amp; ":" &amp; M$1)), 1), "")</f>
        <v/>
      </c>
      <c r="N1068" s="36">
        <f>RTD("ice.rtd",,$C1068 &amp; $D1068 &amp; ":" &amp; N$1)</f>
        <v>0</v>
      </c>
      <c r="O1068" s="36">
        <f>RTD("ice.rtd",,$C1068 &amp; $D1068 &amp; ":" &amp; O$1)</f>
        <v>0</v>
      </c>
      <c r="P10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8" s="14" t="str">
        <f>IF(ICE[[#This Row],[LastType]] = "Scrn", ICE[[#This Row],[LstDate]], IF(ICE[[#This Row],[LastType]] = "Blk", ICE[[#This Row],[LstBlkTime]], ""))</f>
        <v/>
      </c>
      <c r="R1068" s="41" t="str">
        <f>IF(ICE[[#This Row],[LastType]] = "Scrn", ICE[[#This Row],[LstPrc]], IF(ICE[[#This Row],[LastType]] = "Blk", ICE[[#This Row],[LstBlkPrc]], ""))</f>
        <v/>
      </c>
      <c r="S1068" s="36">
        <f>ICE[[#This Row],[Vol]]+ICE[[#This Row],[BlkVol]]</f>
        <v>0</v>
      </c>
      <c r="T1068" s="36">
        <f>RTD("ice.rtd",,$C1068 &amp; $D1068 &amp; ":" &amp; T$1)</f>
        <v>0</v>
      </c>
      <c r="U1068" s="18">
        <f>RTD("ice.rtd",,$C1068 &amp; $D1068 &amp; ":" &amp; U$1)</f>
        <v>4.4485999999999999</v>
      </c>
      <c r="V10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8" s="18" t="str">
        <f>IFERROR(IF(LEFT(ICE[[#This Row],[Tenor]], 1) = "B", RTD("esrtd",,$B1068 &amp; " " &amp; ICE[[#This Row],[Tenor]] &amp; "-IEU", W$1), RTD("esrtd",,$B1068 &amp; " " &amp; VLOOKUP(MONTH(ICE[[#This Row],[Strip]]), MthRef[], 2, 0) &amp; RIGHT(YEAR(ICE[[#This Row],[Strip]]), 2) &amp; "-IEU", W$1)), "")</f>
        <v/>
      </c>
      <c r="X1068" s="36"/>
    </row>
    <row r="1069" spans="1:24" x14ac:dyDescent="0.25">
      <c r="A1069" s="37" t="s">
        <v>833</v>
      </c>
      <c r="B1069" s="3" t="str">
        <f>RTD("ice.rtd",,$C1069 &amp; $D1069 &amp; ":" &amp; B$1)</f>
        <v>MFR</v>
      </c>
      <c r="C1069" s="3">
        <v>2427126288</v>
      </c>
      <c r="D1069" t="s">
        <v>822</v>
      </c>
      <c r="E1069" s="3" t="str">
        <f>RTD("ice.rtd",,$C1069 &amp; $D1069 &amp; ":" &amp; E$1)</f>
        <v>Cal 27</v>
      </c>
      <c r="F1069" s="3" t="str">
        <f>ICE[[#This Row],[Prod]]&amp;ICE[[#This Row],[Strip]]</f>
        <v>fo05bfrbrxbblCal 27</v>
      </c>
      <c r="G1069" s="18" t="str">
        <f>RTD("ice.rtd",,$C1069 &amp; $D1069 &amp; ":" &amp; G$1)</f>
        <v/>
      </c>
      <c r="H1069" s="18" t="str">
        <f>RTD("ice.rtd",,$C1069 &amp; $D1069 &amp; ":" &amp; H$1)</f>
        <v/>
      </c>
      <c r="I1069" s="18" t="str">
        <f>RTD("ice.rtd",,$C1069 &amp; $D1069 &amp; ":" &amp; I$1)</f>
        <v/>
      </c>
      <c r="J1069" s="14" t="str">
        <f>IFERROR(MOD(RTD("ice.rtd",,$C1069 &amp; $D1069 &amp; ":" &amp; J$1), 1), "")</f>
        <v/>
      </c>
      <c r="K1069" s="18" t="str">
        <f>RTD("ice.rtd",,$C1069 &amp; $D1069 &amp; ":" &amp; K$1)</f>
        <v/>
      </c>
      <c r="L1069" s="36" t="str">
        <f>RTD("ice.rtd",,$C1069 &amp; $D1069 &amp; ":" &amp; L$1)</f>
        <v/>
      </c>
      <c r="M1069" s="14" t="str">
        <f>IFERROR(MOD(TIMEVALUE(RTD("ice.rtd",,$C1069 &amp; $D1069 &amp; ":" &amp; M$1)), 1), "")</f>
        <v/>
      </c>
      <c r="N1069" s="36">
        <f>RTD("ice.rtd",,$C1069 &amp; $D1069 &amp; ":" &amp; N$1)</f>
        <v>0</v>
      </c>
      <c r="O1069" s="36">
        <f>RTD("ice.rtd",,$C1069 &amp; $D1069 &amp; ":" &amp; O$1)</f>
        <v>0</v>
      </c>
      <c r="P10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69" s="14" t="str">
        <f>IF(ICE[[#This Row],[LastType]] = "Scrn", ICE[[#This Row],[LstDate]], IF(ICE[[#This Row],[LastType]] = "Blk", ICE[[#This Row],[LstBlkTime]], ""))</f>
        <v/>
      </c>
      <c r="R1069" s="41" t="str">
        <f>IF(ICE[[#This Row],[LastType]] = "Scrn", ICE[[#This Row],[LstPrc]], IF(ICE[[#This Row],[LastType]] = "Blk", ICE[[#This Row],[LstBlkPrc]], ""))</f>
        <v/>
      </c>
      <c r="S1069" s="36">
        <f>ICE[[#This Row],[Vol]]+ICE[[#This Row],[BlkVol]]</f>
        <v>0</v>
      </c>
      <c r="T1069" s="36">
        <f>RTD("ice.rtd",,$C1069 &amp; $D1069 &amp; ":" &amp; T$1)</f>
        <v>0</v>
      </c>
      <c r="U1069" s="18">
        <f>RTD("ice.rtd",,$C1069 &amp; $D1069 &amp; ":" &amp; U$1)</f>
        <v>5.9575000000000005</v>
      </c>
      <c r="V10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69" s="18" t="str">
        <f>IFERROR(IF(LEFT(ICE[[#This Row],[Tenor]], 1) = "B", RTD("esrtd",,$B1069 &amp; " " &amp; ICE[[#This Row],[Tenor]] &amp; "-IEU", W$1), RTD("esrtd",,$B1069 &amp; " " &amp; VLOOKUP(MONTH(ICE[[#This Row],[Strip]]), MthRef[], 2, 0) &amp; RIGHT(YEAR(ICE[[#This Row],[Strip]]), 2) &amp; "-IEU", W$1)), "")</f>
        <v/>
      </c>
      <c r="X1069" s="36"/>
    </row>
    <row r="1070" spans="1:24" x14ac:dyDescent="0.25">
      <c r="A1070" s="37" t="s">
        <v>833</v>
      </c>
      <c r="B1070" s="3" t="str">
        <f>RTD("ice.rtd",,$C1070 &amp; $D1070 &amp; ":" &amp; B$1)</f>
        <v>MFR</v>
      </c>
      <c r="C1070" s="3">
        <v>2427126288</v>
      </c>
      <c r="D1070" t="s">
        <v>823</v>
      </c>
      <c r="E1070" s="3" t="str">
        <f>RTD("ice.rtd",,$C1070 &amp; $D1070 &amp; ":" &amp; E$1)</f>
        <v>Cal 28</v>
      </c>
      <c r="F1070" s="3" t="str">
        <f>ICE[[#This Row],[Prod]]&amp;ICE[[#This Row],[Strip]]</f>
        <v>fo05bfrbrxbblCal 28</v>
      </c>
      <c r="G1070" s="18">
        <f>RTD("ice.rtd",,$C1070 &amp; $D1070 &amp; ":" &amp; G$1)</f>
        <v>1.3</v>
      </c>
      <c r="H1070" s="18" t="str">
        <f>RTD("ice.rtd",,$C1070 &amp; $D1070 &amp; ":" &amp; H$1)</f>
        <v/>
      </c>
      <c r="I1070" s="18" t="str">
        <f>RTD("ice.rtd",,$C1070 &amp; $D1070 &amp; ":" &amp; I$1)</f>
        <v/>
      </c>
      <c r="J1070" s="14" t="str">
        <f>IFERROR(MOD(RTD("ice.rtd",,$C1070 &amp; $D1070 &amp; ":" &amp; J$1), 1), "")</f>
        <v/>
      </c>
      <c r="K1070" s="18" t="str">
        <f>RTD("ice.rtd",,$C1070 &amp; $D1070 &amp; ":" &amp; K$1)</f>
        <v/>
      </c>
      <c r="L1070" s="36" t="str">
        <f>RTD("ice.rtd",,$C1070 &amp; $D1070 &amp; ":" &amp; L$1)</f>
        <v/>
      </c>
      <c r="M1070" s="14" t="str">
        <f>IFERROR(MOD(TIMEVALUE(RTD("ice.rtd",,$C1070 &amp; $D1070 &amp; ":" &amp; M$1)), 1), "")</f>
        <v/>
      </c>
      <c r="N1070" s="36">
        <f>RTD("ice.rtd",,$C1070 &amp; $D1070 &amp; ":" &amp; N$1)</f>
        <v>0</v>
      </c>
      <c r="O1070" s="36">
        <f>RTD("ice.rtd",,$C1070 &amp; $D1070 &amp; ":" &amp; O$1)</f>
        <v>0</v>
      </c>
      <c r="P10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70" s="14" t="str">
        <f>IF(ICE[[#This Row],[LastType]] = "Scrn", ICE[[#This Row],[LstDate]], IF(ICE[[#This Row],[LastType]] = "Blk", ICE[[#This Row],[LstBlkTime]], ""))</f>
        <v/>
      </c>
      <c r="R1070" s="41" t="str">
        <f>IF(ICE[[#This Row],[LastType]] = "Scrn", ICE[[#This Row],[LstPrc]], IF(ICE[[#This Row],[LastType]] = "Blk", ICE[[#This Row],[LstBlkPrc]], ""))</f>
        <v/>
      </c>
      <c r="S1070" s="36">
        <f>ICE[[#This Row],[Vol]]+ICE[[#This Row],[BlkVol]]</f>
        <v>0</v>
      </c>
      <c r="T1070" s="36">
        <f>RTD("ice.rtd",,$C1070 &amp; $D1070 &amp; ":" &amp; T$1)</f>
        <v>0</v>
      </c>
      <c r="U1070" s="18">
        <f>RTD("ice.rtd",,$C1070 &amp; $D1070 &amp; ":" &amp; U$1)</f>
        <v>4.5841000000000003</v>
      </c>
      <c r="V10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1.30 /  </v>
      </c>
      <c r="W1070" s="18" t="str">
        <f>IFERROR(IF(LEFT(ICE[[#This Row],[Tenor]], 1) = "B", RTD("esrtd",,$B1070 &amp; " " &amp; ICE[[#This Row],[Tenor]] &amp; "-IEU", W$1), RTD("esrtd",,$B1070 &amp; " " &amp; VLOOKUP(MONTH(ICE[[#This Row],[Strip]]), MthRef[], 2, 0) &amp; RIGHT(YEAR(ICE[[#This Row],[Strip]]), 2) &amp; "-IEU", W$1)), "")</f>
        <v/>
      </c>
      <c r="X1070" s="36"/>
    </row>
    <row r="1071" spans="1:24" x14ac:dyDescent="0.25">
      <c r="A1071" s="37" t="s">
        <v>833</v>
      </c>
      <c r="B1071" s="3" t="str">
        <f>RTD("ice.rtd",,$C1071 &amp; $D1071 &amp; ":" &amp; B$1)</f>
        <v>MFR</v>
      </c>
      <c r="C1071" s="3">
        <v>2427126288</v>
      </c>
      <c r="D1071" t="s">
        <v>824</v>
      </c>
      <c r="E1071" s="3" t="str">
        <f>RTD("ice.rtd",,$C1071 &amp; $D1071 &amp; ":" &amp; E$1)</f>
        <v>Cal 29</v>
      </c>
      <c r="F1071" s="3" t="str">
        <f>ICE[[#This Row],[Prod]]&amp;ICE[[#This Row],[Strip]]</f>
        <v>fo05bfrbrxbblCal 29</v>
      </c>
      <c r="G1071" s="18" t="str">
        <f>RTD("ice.rtd",,$C1071 &amp; $D1071 &amp; ":" &amp; G$1)</f>
        <v/>
      </c>
      <c r="H1071" s="18" t="str">
        <f>RTD("ice.rtd",,$C1071 &amp; $D1071 &amp; ":" &amp; H$1)</f>
        <v/>
      </c>
      <c r="I1071" s="18" t="str">
        <f>RTD("ice.rtd",,$C1071 &amp; $D1071 &amp; ":" &amp; I$1)</f>
        <v/>
      </c>
      <c r="J1071" s="14" t="str">
        <f>IFERROR(MOD(RTD("ice.rtd",,$C1071 &amp; $D1071 &amp; ":" &amp; J$1), 1), "")</f>
        <v/>
      </c>
      <c r="K1071" s="18" t="str">
        <f>RTD("ice.rtd",,$C1071 &amp; $D1071 &amp; ":" &amp; K$1)</f>
        <v/>
      </c>
      <c r="L1071" s="36" t="str">
        <f>RTD("ice.rtd",,$C1071 &amp; $D1071 &amp; ":" &amp; L$1)</f>
        <v/>
      </c>
      <c r="M1071" s="14" t="str">
        <f>IFERROR(MOD(TIMEVALUE(RTD("ice.rtd",,$C1071 &amp; $D1071 &amp; ":" &amp; M$1)), 1), "")</f>
        <v/>
      </c>
      <c r="N1071" s="36">
        <f>RTD("ice.rtd",,$C1071 &amp; $D1071 &amp; ":" &amp; N$1)</f>
        <v>0</v>
      </c>
      <c r="O1071" s="36">
        <f>RTD("ice.rtd",,$C1071 &amp; $D1071 &amp; ":" &amp; O$1)</f>
        <v>0</v>
      </c>
      <c r="P10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071" s="14" t="str">
        <f>IF(ICE[[#This Row],[LastType]] = "Scrn", ICE[[#This Row],[LstDate]], IF(ICE[[#This Row],[LastType]] = "Blk", ICE[[#This Row],[LstBlkTime]], ""))</f>
        <v/>
      </c>
      <c r="R1071" s="41" t="str">
        <f>IF(ICE[[#This Row],[LastType]] = "Scrn", ICE[[#This Row],[LstPrc]], IF(ICE[[#This Row],[LastType]] = "Blk", ICE[[#This Row],[LstBlkPrc]], ""))</f>
        <v/>
      </c>
      <c r="S1071" s="36">
        <f>ICE[[#This Row],[Vol]]+ICE[[#This Row],[BlkVol]]</f>
        <v>0</v>
      </c>
      <c r="T1071" s="36">
        <f>RTD("ice.rtd",,$C1071 &amp; $D1071 &amp; ":" &amp; T$1)</f>
        <v>0</v>
      </c>
      <c r="U1071" s="18">
        <f>RTD("ice.rtd",,$C1071 &amp; $D1071 &amp; ":" &amp; U$1)</f>
        <v>5.3715999999999999</v>
      </c>
      <c r="V10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71" s="18" t="str">
        <f>IFERROR(IF(LEFT(ICE[[#This Row],[Tenor]], 1) = "B", RTD("esrtd",,$B1071 &amp; " " &amp; ICE[[#This Row],[Tenor]] &amp; "-IEU", W$1), RTD("esrtd",,$B1071 &amp; " " &amp; VLOOKUP(MONTH(ICE[[#This Row],[Strip]]), MthRef[], 2, 0) &amp; RIGHT(YEAR(ICE[[#This Row],[Strip]]), 2) &amp; "-IEU", W$1)), "")</f>
        <v/>
      </c>
      <c r="X1071" s="36"/>
    </row>
    <row r="1072" spans="1:24" x14ac:dyDescent="0.25">
      <c r="A1072" s="71" t="s">
        <v>437</v>
      </c>
      <c r="B1072" s="3" t="str">
        <f>RTD("ice.rtd",,$C1072 &amp; $D1072 &amp; ":" &amp; B$1)</f>
        <v>Invalid Market: CALCB0</v>
      </c>
      <c r="C1072" s="72" t="s">
        <v>827</v>
      </c>
      <c r="D1072" s="73" t="s">
        <v>792</v>
      </c>
      <c r="E1072" s="81" t="s">
        <v>834</v>
      </c>
      <c r="F1072" s="72" t="str">
        <f>ICE[[#This Row],[Prod]]&amp;ICE[[#This Row],[Strip]]</f>
        <v>fo05bfrbrxBal Month</v>
      </c>
      <c r="G1072" s="75"/>
      <c r="H1072" s="75" t="str">
        <f>IF(ISNUMBER(H996), IF(ISNUMBER(H1034), MAX(H996, H1034), H996), IF(ISNUMBER(H1034), H1034, ""))</f>
        <v/>
      </c>
      <c r="I1072" s="75"/>
      <c r="J1072" s="76"/>
      <c r="K1072" s="75"/>
      <c r="L1072" s="74"/>
      <c r="M1072" s="76"/>
      <c r="N1072" s="74"/>
      <c r="O1072" s="74"/>
      <c r="P1072" s="74"/>
      <c r="Q1072" s="76"/>
      <c r="R1072" s="75" t="str">
        <f>IF(ISNUMBER(R996), IF(ISNUMBER(R1034), IF(Q996&gt;Q1034, R996, R1034), R996), IF(ISNUMBER(R1034), R1034, ""))</f>
        <v/>
      </c>
      <c r="S1072" s="79">
        <f>S996*6.35</f>
        <v>0</v>
      </c>
      <c r="T1072" s="79">
        <f>T996*6.35</f>
        <v>0</v>
      </c>
      <c r="U1072" s="80">
        <f>U996</f>
        <v>6.2520000000000007</v>
      </c>
      <c r="V10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72" s="18" t="str">
        <f>IFERROR(IF(LEFT(ICE[[#This Row],[Tenor]], 1) = "B", RTD("esrtd",,$B1072 &amp; " " &amp; ICE[[#This Row],[Tenor]] &amp; "-IEU", W$1), RTD("esrtd",,$B1072 &amp; " " &amp; VLOOKUP(MONTH(ICE[[#This Row],[Strip]]), MthRef[], 2, 0) &amp; RIGHT(YEAR(ICE[[#This Row],[Strip]]), 2) &amp; "-IEU", W$1)), "")</f>
        <v/>
      </c>
      <c r="X1072" s="36"/>
    </row>
    <row r="1073" spans="1:24" x14ac:dyDescent="0.25">
      <c r="A1073" s="71" t="s">
        <v>437</v>
      </c>
      <c r="B1073" s="3" t="str">
        <f>RTD("ice.rtd",,$C1073 &amp; $D1073 &amp; ":" &amp; B$1)</f>
        <v>Invalid Market: CALCM0</v>
      </c>
      <c r="C1073" s="72" t="s">
        <v>827</v>
      </c>
      <c r="D1073" s="73" t="s">
        <v>793</v>
      </c>
      <c r="E1073" s="72" t="str">
        <f t="shared" ref="E1073:E1109" si="17">E1035</f>
        <v>Sep26</v>
      </c>
      <c r="F1073" s="72" t="str">
        <f>ICE[[#This Row],[Prod]]&amp;ICE[[#This Row],[Strip]]</f>
        <v>fo05bfrbrxSep26</v>
      </c>
      <c r="G1073" s="75"/>
      <c r="H1073" s="75" t="str">
        <f t="shared" ref="H1073:H1109" si="18">IF(ISNUMBER(H997), IF(ISNUMBER(H1035), MAX(H997, H1035), H997), IF(ISNUMBER(H1035), H1035, ""))</f>
        <v/>
      </c>
      <c r="I1073" s="75"/>
      <c r="J1073" s="76"/>
      <c r="K1073" s="75"/>
      <c r="L1073" s="74"/>
      <c r="M1073" s="76"/>
      <c r="N1073" s="74"/>
      <c r="O1073" s="74"/>
      <c r="P1073" s="74"/>
      <c r="Q1073" s="76"/>
      <c r="R1073" s="75" t="str">
        <f t="shared" ref="R1073:R1109" si="19">IF(ISNUMBER(R997), IF(ISNUMBER(R1035), IF(Q997&gt;Q1035, R997, R1035), R997), IF(ISNUMBER(R1035), R1035, ""))</f>
        <v/>
      </c>
      <c r="S1073" s="74">
        <f t="shared" ref="S1073:T1073" si="20">S997*6.35 + S1035</f>
        <v>0</v>
      </c>
      <c r="T1073" s="74">
        <f t="shared" si="20"/>
        <v>10879.25</v>
      </c>
      <c r="U1073" s="75">
        <f t="shared" ref="U1073:U1109" si="21">U1035</f>
        <v>6.2524000000000006</v>
      </c>
      <c r="V10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73" s="18" t="str">
        <f>IFERROR(IF(LEFT(ICE[[#This Row],[Tenor]], 1) = "B", RTD("esrtd",,$B1073 &amp; " " &amp; ICE[[#This Row],[Tenor]] &amp; "-IEU", W$1), RTD("esrtd",,$B1073 &amp; " " &amp; VLOOKUP(MONTH(ICE[[#This Row],[Strip]]), MthRef[], 2, 0) &amp; RIGHT(YEAR(ICE[[#This Row],[Strip]]), 2) &amp; "-IEU", W$1)), "")</f>
        <v/>
      </c>
      <c r="X1073" s="36"/>
    </row>
    <row r="1074" spans="1:24" x14ac:dyDescent="0.25">
      <c r="A1074" s="71" t="s">
        <v>437</v>
      </c>
      <c r="B1074" s="3" t="str">
        <f>RTD("ice.rtd",,$C1074 &amp; $D1074 &amp; ":" &amp; B$1)</f>
        <v>Invalid Market: CALCM1</v>
      </c>
      <c r="C1074" s="72" t="s">
        <v>827</v>
      </c>
      <c r="D1074" s="73" t="s">
        <v>324</v>
      </c>
      <c r="E1074" s="72" t="str">
        <f t="shared" si="17"/>
        <v>Oct26</v>
      </c>
      <c r="F1074" s="72" t="str">
        <f>ICE[[#This Row],[Prod]]&amp;ICE[[#This Row],[Strip]]</f>
        <v>fo05bfrbrxOct26</v>
      </c>
      <c r="G1074" s="75"/>
      <c r="H1074" s="75">
        <f t="shared" si="18"/>
        <v>5.8</v>
      </c>
      <c r="I1074" s="75"/>
      <c r="J1074" s="76"/>
      <c r="K1074" s="75"/>
      <c r="L1074" s="74"/>
      <c r="M1074" s="76"/>
      <c r="N1074" s="74"/>
      <c r="O1074" s="74"/>
      <c r="P1074" s="74"/>
      <c r="Q1074" s="76"/>
      <c r="R1074" s="75">
        <f t="shared" si="19"/>
        <v>5.8</v>
      </c>
      <c r="S1074" s="74">
        <f t="shared" ref="S1074:T1074" si="22">S998*6.35 + S1036</f>
        <v>310.5</v>
      </c>
      <c r="T1074" s="74">
        <f t="shared" si="22"/>
        <v>4819.75</v>
      </c>
      <c r="U1074" s="75">
        <f t="shared" si="21"/>
        <v>6.4004000000000003</v>
      </c>
      <c r="V10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5.80 {5.80} |311x</v>
      </c>
      <c r="W1074" s="18" t="str">
        <f>IFERROR(IF(LEFT(ICE[[#This Row],[Tenor]], 1) = "B", RTD("esrtd",,$B1074 &amp; " " &amp; ICE[[#This Row],[Tenor]] &amp; "-IEU", W$1), RTD("esrtd",,$B1074 &amp; " " &amp; VLOOKUP(MONTH(ICE[[#This Row],[Strip]]), MthRef[], 2, 0) &amp; RIGHT(YEAR(ICE[[#This Row],[Strip]]), 2) &amp; "-IEU", W$1)), "")</f>
        <v/>
      </c>
      <c r="X1074" s="36"/>
    </row>
    <row r="1075" spans="1:24" x14ac:dyDescent="0.25">
      <c r="A1075" s="71" t="s">
        <v>437</v>
      </c>
      <c r="B1075" s="3" t="str">
        <f>RTD("ice.rtd",,$C1075 &amp; $D1075 &amp; ":" &amp; B$1)</f>
        <v>Invalid Market: CALCM2</v>
      </c>
      <c r="C1075" s="72" t="s">
        <v>827</v>
      </c>
      <c r="D1075" s="73" t="s">
        <v>325</v>
      </c>
      <c r="E1075" s="72" t="str">
        <f t="shared" si="17"/>
        <v>Nov26</v>
      </c>
      <c r="F1075" s="72" t="str">
        <f>ICE[[#This Row],[Prod]]&amp;ICE[[#This Row],[Strip]]</f>
        <v>fo05bfrbrxNov26</v>
      </c>
      <c r="G1075" s="75"/>
      <c r="H1075" s="75" t="str">
        <f t="shared" si="18"/>
        <v/>
      </c>
      <c r="I1075" s="75"/>
      <c r="J1075" s="76"/>
      <c r="K1075" s="75"/>
      <c r="L1075" s="74"/>
      <c r="M1075" s="76"/>
      <c r="N1075" s="74"/>
      <c r="O1075" s="74"/>
      <c r="P1075" s="74"/>
      <c r="Q1075" s="76"/>
      <c r="R1075" s="75" t="str">
        <f t="shared" si="19"/>
        <v/>
      </c>
      <c r="S1075" s="74">
        <f t="shared" ref="S1075:T1075" si="23">S999*6.35 + S1037</f>
        <v>0</v>
      </c>
      <c r="T1075" s="74">
        <f t="shared" si="23"/>
        <v>4095.9</v>
      </c>
      <c r="U1075" s="75">
        <f t="shared" si="21"/>
        <v>6.2519</v>
      </c>
      <c r="V10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75" s="18" t="str">
        <f>IFERROR(IF(LEFT(ICE[[#This Row],[Tenor]], 1) = "B", RTD("esrtd",,$B1075 &amp; " " &amp; ICE[[#This Row],[Tenor]] &amp; "-IEU", W$1), RTD("esrtd",,$B1075 &amp; " " &amp; VLOOKUP(MONTH(ICE[[#This Row],[Strip]]), MthRef[], 2, 0) &amp; RIGHT(YEAR(ICE[[#This Row],[Strip]]), 2) &amp; "-IEU", W$1)), "")</f>
        <v/>
      </c>
      <c r="X1075" s="36"/>
    </row>
    <row r="1076" spans="1:24" x14ac:dyDescent="0.25">
      <c r="A1076" s="71" t="s">
        <v>437</v>
      </c>
      <c r="B1076" s="3" t="str">
        <f>RTD("ice.rtd",,$C1076 &amp; $D1076 &amp; ":" &amp; B$1)</f>
        <v>Invalid Market: CALCM3</v>
      </c>
      <c r="C1076" s="72" t="s">
        <v>827</v>
      </c>
      <c r="D1076" s="73" t="s">
        <v>326</v>
      </c>
      <c r="E1076" s="72" t="str">
        <f t="shared" si="17"/>
        <v>Dec26</v>
      </c>
      <c r="F1076" s="72" t="str">
        <f>ICE[[#This Row],[Prod]]&amp;ICE[[#This Row],[Strip]]</f>
        <v>fo05bfrbrxDec26</v>
      </c>
      <c r="G1076" s="75"/>
      <c r="H1076" s="75" t="str">
        <f t="shared" si="18"/>
        <v/>
      </c>
      <c r="I1076" s="75"/>
      <c r="J1076" s="76"/>
      <c r="K1076" s="75"/>
      <c r="L1076" s="74"/>
      <c r="M1076" s="76"/>
      <c r="N1076" s="74"/>
      <c r="O1076" s="74"/>
      <c r="P1076" s="74"/>
      <c r="Q1076" s="76"/>
      <c r="R1076" s="75">
        <f t="shared" si="19"/>
        <v>6.15</v>
      </c>
      <c r="S1076" s="74">
        <f t="shared" ref="S1076:T1076" si="24">S1000*6.35 + S1038</f>
        <v>81.75</v>
      </c>
      <c r="T1076" s="74">
        <f t="shared" si="24"/>
        <v>5336.25</v>
      </c>
      <c r="U1076" s="75">
        <f t="shared" si="21"/>
        <v>6.1689000000000007</v>
      </c>
      <c r="V10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{6.15} |82x</v>
      </c>
      <c r="W1076" s="18" t="str">
        <f>IFERROR(IF(LEFT(ICE[[#This Row],[Tenor]], 1) = "B", RTD("esrtd",,$B1076 &amp; " " &amp; ICE[[#This Row],[Tenor]] &amp; "-IEU", W$1), RTD("esrtd",,$B1076 &amp; " " &amp; VLOOKUP(MONTH(ICE[[#This Row],[Strip]]), MthRef[], 2, 0) &amp; RIGHT(YEAR(ICE[[#This Row],[Strip]]), 2) &amp; "-IEU", W$1)), "")</f>
        <v/>
      </c>
      <c r="X1076" s="36"/>
    </row>
    <row r="1077" spans="1:24" x14ac:dyDescent="0.25">
      <c r="A1077" s="71" t="s">
        <v>437</v>
      </c>
      <c r="B1077" s="3" t="str">
        <f>RTD("ice.rtd",,$C1077 &amp; $D1077 &amp; ":" &amp; B$1)</f>
        <v>Invalid Market: CALCM4</v>
      </c>
      <c r="C1077" s="72" t="s">
        <v>827</v>
      </c>
      <c r="D1077" s="73" t="s">
        <v>794</v>
      </c>
      <c r="E1077" s="72" t="str">
        <f t="shared" si="17"/>
        <v>Jan27</v>
      </c>
      <c r="F1077" s="72" t="str">
        <f>ICE[[#This Row],[Prod]]&amp;ICE[[#This Row],[Strip]]</f>
        <v>fo05bfrbrxJan27</v>
      </c>
      <c r="G1077" s="75"/>
      <c r="H1077" s="75" t="str">
        <f t="shared" si="18"/>
        <v/>
      </c>
      <c r="I1077" s="75"/>
      <c r="J1077" s="76"/>
      <c r="K1077" s="75"/>
      <c r="L1077" s="74"/>
      <c r="M1077" s="76"/>
      <c r="N1077" s="74"/>
      <c r="O1077" s="74"/>
      <c r="P1077" s="74"/>
      <c r="Q1077" s="76"/>
      <c r="R1077" s="75" t="str">
        <f t="shared" si="19"/>
        <v/>
      </c>
      <c r="S1077" s="74">
        <f t="shared" ref="S1077:T1077" si="25">S1001*6.35 + S1039</f>
        <v>100</v>
      </c>
      <c r="T1077" s="74">
        <f t="shared" si="25"/>
        <v>1453.1999999999998</v>
      </c>
      <c r="U1077" s="75">
        <f t="shared" si="21"/>
        <v>6.2206000000000001</v>
      </c>
      <c r="V10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77" s="18" t="str">
        <f>IFERROR(IF(LEFT(ICE[[#This Row],[Tenor]], 1) = "B", RTD("esrtd",,$B1077 &amp; " " &amp; ICE[[#This Row],[Tenor]] &amp; "-IEU", W$1), RTD("esrtd",,$B1077 &amp; " " &amp; VLOOKUP(MONTH(ICE[[#This Row],[Strip]]), MthRef[], 2, 0) &amp; RIGHT(YEAR(ICE[[#This Row],[Strip]]), 2) &amp; "-IEU", W$1)), "")</f>
        <v/>
      </c>
      <c r="X1077" s="36"/>
    </row>
    <row r="1078" spans="1:24" x14ac:dyDescent="0.25">
      <c r="A1078" s="71" t="s">
        <v>437</v>
      </c>
      <c r="B1078" s="3" t="str">
        <f>RTD("ice.rtd",,$C1078 &amp; $D1078 &amp; ":" &amp; B$1)</f>
        <v>Invalid Market: CALCM5</v>
      </c>
      <c r="C1078" s="72" t="s">
        <v>827</v>
      </c>
      <c r="D1078" s="73" t="s">
        <v>795</v>
      </c>
      <c r="E1078" s="72" t="str">
        <f t="shared" si="17"/>
        <v>Feb27</v>
      </c>
      <c r="F1078" s="72" t="str">
        <f>ICE[[#This Row],[Prod]]&amp;ICE[[#This Row],[Strip]]</f>
        <v>fo05bfrbrxFeb27</v>
      </c>
      <c r="G1078" s="75"/>
      <c r="H1078" s="75" t="str">
        <f t="shared" si="18"/>
        <v/>
      </c>
      <c r="I1078" s="75"/>
      <c r="J1078" s="76"/>
      <c r="K1078" s="75"/>
      <c r="L1078" s="74"/>
      <c r="M1078" s="76"/>
      <c r="N1078" s="74"/>
      <c r="O1078" s="74"/>
      <c r="P1078" s="74"/>
      <c r="Q1078" s="76"/>
      <c r="R1078" s="75" t="str">
        <f t="shared" si="19"/>
        <v/>
      </c>
      <c r="S1078" s="74">
        <f t="shared" ref="S1078:T1078" si="26">S1002*6.35 + S1040</f>
        <v>100</v>
      </c>
      <c r="T1078" s="74">
        <f t="shared" si="26"/>
        <v>1406.4499999999998</v>
      </c>
      <c r="U1078" s="75">
        <f t="shared" si="21"/>
        <v>6.4064000000000005</v>
      </c>
      <c r="V10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78" s="18" t="str">
        <f>IFERROR(IF(LEFT(ICE[[#This Row],[Tenor]], 1) = "B", RTD("esrtd",,$B1078 &amp; " " &amp; ICE[[#This Row],[Tenor]] &amp; "-IEU", W$1), RTD("esrtd",,$B1078 &amp; " " &amp; VLOOKUP(MONTH(ICE[[#This Row],[Strip]]), MthRef[], 2, 0) &amp; RIGHT(YEAR(ICE[[#This Row],[Strip]]), 2) &amp; "-IEU", W$1)), "")</f>
        <v/>
      </c>
      <c r="X1078" s="36"/>
    </row>
    <row r="1079" spans="1:24" x14ac:dyDescent="0.25">
      <c r="A1079" s="71" t="s">
        <v>437</v>
      </c>
      <c r="B1079" s="3" t="str">
        <f>RTD("ice.rtd",,$C1079 &amp; $D1079 &amp; ":" &amp; B$1)</f>
        <v>Invalid Market: CALCM6</v>
      </c>
      <c r="C1079" s="72" t="s">
        <v>827</v>
      </c>
      <c r="D1079" s="73" t="s">
        <v>113</v>
      </c>
      <c r="E1079" s="72" t="str">
        <f t="shared" si="17"/>
        <v>Mar27</v>
      </c>
      <c r="F1079" s="72" t="str">
        <f>ICE[[#This Row],[Prod]]&amp;ICE[[#This Row],[Strip]]</f>
        <v>fo05bfrbrxMar27</v>
      </c>
      <c r="G1079" s="75"/>
      <c r="H1079" s="75" t="str">
        <f t="shared" si="18"/>
        <v/>
      </c>
      <c r="I1079" s="75"/>
      <c r="J1079" s="76"/>
      <c r="K1079" s="75"/>
      <c r="L1079" s="74"/>
      <c r="M1079" s="76"/>
      <c r="N1079" s="74"/>
      <c r="O1079" s="74"/>
      <c r="P1079" s="74"/>
      <c r="Q1079" s="76"/>
      <c r="R1079" s="75" t="str">
        <f t="shared" si="19"/>
        <v/>
      </c>
      <c r="S1079" s="74">
        <f t="shared" ref="S1079:T1079" si="27">S1003*6.35 + S1041</f>
        <v>100</v>
      </c>
      <c r="T1079" s="74">
        <f t="shared" si="27"/>
        <v>1408.4499999999998</v>
      </c>
      <c r="U1079" s="75">
        <f t="shared" si="21"/>
        <v>6.4596</v>
      </c>
      <c r="V10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79" s="18" t="str">
        <f>IFERROR(IF(LEFT(ICE[[#This Row],[Tenor]], 1) = "B", RTD("esrtd",,$B1079 &amp; " " &amp; ICE[[#This Row],[Tenor]] &amp; "-IEU", W$1), RTD("esrtd",,$B1079 &amp; " " &amp; VLOOKUP(MONTH(ICE[[#This Row],[Strip]]), MthRef[], 2, 0) &amp; RIGHT(YEAR(ICE[[#This Row],[Strip]]), 2) &amp; "-IEU", W$1)), "")</f>
        <v/>
      </c>
      <c r="X1079" s="36"/>
    </row>
    <row r="1080" spans="1:24" x14ac:dyDescent="0.25">
      <c r="A1080" s="71" t="s">
        <v>437</v>
      </c>
      <c r="B1080" s="3" t="str">
        <f>RTD("ice.rtd",,$C1080 &amp; $D1080 &amp; ":" &amp; B$1)</f>
        <v>Invalid Market: CALCM7</v>
      </c>
      <c r="C1080" s="72" t="s">
        <v>827</v>
      </c>
      <c r="D1080" s="73" t="s">
        <v>796</v>
      </c>
      <c r="E1080" s="72" t="str">
        <f t="shared" si="17"/>
        <v>Apr27</v>
      </c>
      <c r="F1080" s="72" t="str">
        <f>ICE[[#This Row],[Prod]]&amp;ICE[[#This Row],[Strip]]</f>
        <v>fo05bfrbrxApr27</v>
      </c>
      <c r="G1080" s="75"/>
      <c r="H1080" s="75" t="str">
        <f t="shared" si="18"/>
        <v/>
      </c>
      <c r="I1080" s="75"/>
      <c r="J1080" s="76"/>
      <c r="K1080" s="75"/>
      <c r="L1080" s="74"/>
      <c r="M1080" s="76"/>
      <c r="N1080" s="74"/>
      <c r="O1080" s="74"/>
      <c r="P1080" s="74"/>
      <c r="Q1080" s="76"/>
      <c r="R1080" s="75" t="str">
        <f t="shared" si="19"/>
        <v/>
      </c>
      <c r="S1080" s="74">
        <f t="shared" ref="S1080:T1080" si="28">S1004*6.35 + S1042</f>
        <v>100</v>
      </c>
      <c r="T1080" s="74">
        <f t="shared" si="28"/>
        <v>716.45</v>
      </c>
      <c r="U1080" s="75">
        <f t="shared" si="21"/>
        <v>6.4584000000000001</v>
      </c>
      <c r="V10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80" s="18" t="str">
        <f>IFERROR(IF(LEFT(ICE[[#This Row],[Tenor]], 1) = "B", RTD("esrtd",,$B1080 &amp; " " &amp; ICE[[#This Row],[Tenor]] &amp; "-IEU", W$1), RTD("esrtd",,$B1080 &amp; " " &amp; VLOOKUP(MONTH(ICE[[#This Row],[Strip]]), MthRef[], 2, 0) &amp; RIGHT(YEAR(ICE[[#This Row],[Strip]]), 2) &amp; "-IEU", W$1)), "")</f>
        <v/>
      </c>
      <c r="X1080" s="36"/>
    </row>
    <row r="1081" spans="1:24" x14ac:dyDescent="0.25">
      <c r="A1081" s="71" t="s">
        <v>437</v>
      </c>
      <c r="B1081" s="3" t="str">
        <f>RTD("ice.rtd",,$C1081 &amp; $D1081 &amp; ":" &amp; B$1)</f>
        <v>Invalid Market: CALCM8</v>
      </c>
      <c r="C1081" s="72" t="s">
        <v>827</v>
      </c>
      <c r="D1081" s="73" t="s">
        <v>797</v>
      </c>
      <c r="E1081" s="72" t="str">
        <f t="shared" si="17"/>
        <v>May27</v>
      </c>
      <c r="F1081" s="72" t="str">
        <f>ICE[[#This Row],[Prod]]&amp;ICE[[#This Row],[Strip]]</f>
        <v>fo05bfrbrxMay27</v>
      </c>
      <c r="G1081" s="75"/>
      <c r="H1081" s="75" t="str">
        <f t="shared" si="18"/>
        <v/>
      </c>
      <c r="I1081" s="75"/>
      <c r="J1081" s="76"/>
      <c r="K1081" s="75"/>
      <c r="L1081" s="74"/>
      <c r="M1081" s="76"/>
      <c r="N1081" s="74"/>
      <c r="O1081" s="74"/>
      <c r="P1081" s="74"/>
      <c r="Q1081" s="76"/>
      <c r="R1081" s="75" t="str">
        <f t="shared" si="19"/>
        <v/>
      </c>
      <c r="S1081" s="74">
        <f t="shared" ref="S1081:T1081" si="29">S1005*6.35 + S1043</f>
        <v>100</v>
      </c>
      <c r="T1081" s="74">
        <f t="shared" si="29"/>
        <v>716.45</v>
      </c>
      <c r="U1081" s="75">
        <f t="shared" si="21"/>
        <v>6.4916</v>
      </c>
      <c r="V10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81" s="18" t="str">
        <f>IFERROR(IF(LEFT(ICE[[#This Row],[Tenor]], 1) = "B", RTD("esrtd",,$B1081 &amp; " " &amp; ICE[[#This Row],[Tenor]] &amp; "-IEU", W$1), RTD("esrtd",,$B1081 &amp; " " &amp; VLOOKUP(MONTH(ICE[[#This Row],[Strip]]), MthRef[], 2, 0) &amp; RIGHT(YEAR(ICE[[#This Row],[Strip]]), 2) &amp; "-IEU", W$1)), "")</f>
        <v/>
      </c>
      <c r="X1081" s="36"/>
    </row>
    <row r="1082" spans="1:24" x14ac:dyDescent="0.25">
      <c r="A1082" s="71" t="s">
        <v>437</v>
      </c>
      <c r="B1082" s="3" t="str">
        <f>RTD("ice.rtd",,$C1082 &amp; $D1082 &amp; ":" &amp; B$1)</f>
        <v>Invalid Market: CALCM9</v>
      </c>
      <c r="C1082" s="72" t="s">
        <v>827</v>
      </c>
      <c r="D1082" s="73" t="s">
        <v>798</v>
      </c>
      <c r="E1082" s="72" t="str">
        <f t="shared" si="17"/>
        <v>Jun27</v>
      </c>
      <c r="F1082" s="72" t="str">
        <f>ICE[[#This Row],[Prod]]&amp;ICE[[#This Row],[Strip]]</f>
        <v>fo05bfrbrxJun27</v>
      </c>
      <c r="G1082" s="75"/>
      <c r="H1082" s="75" t="str">
        <f t="shared" si="18"/>
        <v/>
      </c>
      <c r="I1082" s="75"/>
      <c r="J1082" s="76"/>
      <c r="K1082" s="75"/>
      <c r="L1082" s="74"/>
      <c r="M1082" s="76"/>
      <c r="N1082" s="74"/>
      <c r="O1082" s="74"/>
      <c r="P1082" s="74"/>
      <c r="Q1082" s="76"/>
      <c r="R1082" s="75" t="str">
        <f t="shared" si="19"/>
        <v/>
      </c>
      <c r="S1082" s="74">
        <f t="shared" ref="S1082:T1082" si="30">S1006*6.35 + S1044</f>
        <v>100</v>
      </c>
      <c r="T1082" s="74">
        <f t="shared" si="30"/>
        <v>716.45</v>
      </c>
      <c r="U1082" s="75">
        <f t="shared" si="21"/>
        <v>6.3742000000000001</v>
      </c>
      <c r="V10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|100x</v>
      </c>
      <c r="W1082" s="18" t="str">
        <f>IFERROR(IF(LEFT(ICE[[#This Row],[Tenor]], 1) = "B", RTD("esrtd",,$B1082 &amp; " " &amp; ICE[[#This Row],[Tenor]] &amp; "-IEU", W$1), RTD("esrtd",,$B1082 &amp; " " &amp; VLOOKUP(MONTH(ICE[[#This Row],[Strip]]), MthRef[], 2, 0) &amp; RIGHT(YEAR(ICE[[#This Row],[Strip]]), 2) &amp; "-IEU", W$1)), "")</f>
        <v/>
      </c>
      <c r="X1082" s="36"/>
    </row>
    <row r="1083" spans="1:24" x14ac:dyDescent="0.25">
      <c r="A1083" s="71" t="s">
        <v>437</v>
      </c>
      <c r="B1083" s="3" t="str">
        <f>RTD("ice.rtd",,$C1083 &amp; $D1083 &amp; ":" &amp; B$1)</f>
        <v>Invalid Market: CALCM10</v>
      </c>
      <c r="C1083" s="72" t="s">
        <v>827</v>
      </c>
      <c r="D1083" s="73" t="s">
        <v>799</v>
      </c>
      <c r="E1083" s="72" t="str">
        <f t="shared" si="17"/>
        <v>Jul27</v>
      </c>
      <c r="F1083" s="72" t="str">
        <f>ICE[[#This Row],[Prod]]&amp;ICE[[#This Row],[Strip]]</f>
        <v>fo05bfrbrxJul27</v>
      </c>
      <c r="G1083" s="75"/>
      <c r="H1083" s="75" t="str">
        <f t="shared" si="18"/>
        <v/>
      </c>
      <c r="I1083" s="75"/>
      <c r="J1083" s="76"/>
      <c r="K1083" s="75"/>
      <c r="L1083" s="74"/>
      <c r="M1083" s="76"/>
      <c r="N1083" s="74"/>
      <c r="O1083" s="74"/>
      <c r="P1083" s="74"/>
      <c r="Q1083" s="76"/>
      <c r="R1083" s="75" t="str">
        <f t="shared" si="19"/>
        <v/>
      </c>
      <c r="S1083" s="74">
        <f t="shared" ref="S1083:T1083" si="31">S1007*6.35 + S1045</f>
        <v>0</v>
      </c>
      <c r="T1083" s="74">
        <f t="shared" si="31"/>
        <v>765.9</v>
      </c>
      <c r="U1083" s="75">
        <f t="shared" si="21"/>
        <v>6.2038000000000002</v>
      </c>
      <c r="V10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83" s="18" t="str">
        <f>IFERROR(IF(LEFT(ICE[[#This Row],[Tenor]], 1) = "B", RTD("esrtd",,$B1083 &amp; " " &amp; ICE[[#This Row],[Tenor]] &amp; "-IEU", W$1), RTD("esrtd",,$B1083 &amp; " " &amp; VLOOKUP(MONTH(ICE[[#This Row],[Strip]]), MthRef[], 2, 0) &amp; RIGHT(YEAR(ICE[[#This Row],[Strip]]), 2) &amp; "-IEU", W$1)), "")</f>
        <v/>
      </c>
      <c r="X1083" s="36"/>
    </row>
    <row r="1084" spans="1:24" x14ac:dyDescent="0.25">
      <c r="A1084" s="71" t="s">
        <v>437</v>
      </c>
      <c r="B1084" s="3" t="str">
        <f>RTD("ice.rtd",,$C1084 &amp; $D1084 &amp; ":" &amp; B$1)</f>
        <v>Invalid Market: CALCM11</v>
      </c>
      <c r="C1084" s="72" t="s">
        <v>827</v>
      </c>
      <c r="D1084" s="73" t="s">
        <v>800</v>
      </c>
      <c r="E1084" s="72" t="str">
        <f t="shared" si="17"/>
        <v>Aug27</v>
      </c>
      <c r="F1084" s="72" t="str">
        <f>ICE[[#This Row],[Prod]]&amp;ICE[[#This Row],[Strip]]</f>
        <v>fo05bfrbrxAug27</v>
      </c>
      <c r="G1084" s="75"/>
      <c r="H1084" s="75" t="str">
        <f t="shared" si="18"/>
        <v/>
      </c>
      <c r="I1084" s="75"/>
      <c r="J1084" s="76"/>
      <c r="K1084" s="75"/>
      <c r="L1084" s="74"/>
      <c r="M1084" s="76"/>
      <c r="N1084" s="74"/>
      <c r="O1084" s="74"/>
      <c r="P1084" s="74"/>
      <c r="Q1084" s="76"/>
      <c r="R1084" s="75" t="str">
        <f t="shared" si="19"/>
        <v/>
      </c>
      <c r="S1084" s="74">
        <f t="shared" ref="S1084:T1084" si="32">S1008*6.35 + S1046</f>
        <v>0</v>
      </c>
      <c r="T1084" s="74">
        <f t="shared" si="32"/>
        <v>765.9</v>
      </c>
      <c r="U1084" s="75">
        <f t="shared" si="21"/>
        <v>5.9534000000000002</v>
      </c>
      <c r="V10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84" s="18" t="str">
        <f>IFERROR(IF(LEFT(ICE[[#This Row],[Tenor]], 1) = "B", RTD("esrtd",,$B1084 &amp; " " &amp; ICE[[#This Row],[Tenor]] &amp; "-IEU", W$1), RTD("esrtd",,$B1084 &amp; " " &amp; VLOOKUP(MONTH(ICE[[#This Row],[Strip]]), MthRef[], 2, 0) &amp; RIGHT(YEAR(ICE[[#This Row],[Strip]]), 2) &amp; "-IEU", W$1)), "")</f>
        <v/>
      </c>
      <c r="X1084" s="36"/>
    </row>
    <row r="1085" spans="1:24" x14ac:dyDescent="0.25">
      <c r="A1085" s="71" t="s">
        <v>437</v>
      </c>
      <c r="B1085" s="3" t="str">
        <f>RTD("ice.rtd",,$C1085 &amp; $D1085 &amp; ":" &amp; B$1)</f>
        <v>Invalid Market: CALCM12</v>
      </c>
      <c r="C1085" s="72" t="s">
        <v>827</v>
      </c>
      <c r="D1085" s="73" t="s">
        <v>801</v>
      </c>
      <c r="E1085" s="72" t="str">
        <f t="shared" si="17"/>
        <v>Sep27</v>
      </c>
      <c r="F1085" s="72" t="str">
        <f>ICE[[#This Row],[Prod]]&amp;ICE[[#This Row],[Strip]]</f>
        <v>fo05bfrbrxSep27</v>
      </c>
      <c r="G1085" s="75"/>
      <c r="H1085" s="75" t="str">
        <f t="shared" si="18"/>
        <v/>
      </c>
      <c r="I1085" s="75"/>
      <c r="J1085" s="76"/>
      <c r="K1085" s="75"/>
      <c r="L1085" s="74"/>
      <c r="M1085" s="76"/>
      <c r="N1085" s="74"/>
      <c r="O1085" s="74"/>
      <c r="P1085" s="74"/>
      <c r="Q1085" s="76"/>
      <c r="R1085" s="75" t="str">
        <f t="shared" si="19"/>
        <v/>
      </c>
      <c r="S1085" s="74">
        <f t="shared" ref="S1085:T1085" si="33">S1009*6.35 + S1047</f>
        <v>0</v>
      </c>
      <c r="T1085" s="74">
        <f t="shared" si="33"/>
        <v>765.9</v>
      </c>
      <c r="U1085" s="75">
        <f t="shared" si="21"/>
        <v>5.6834000000000007</v>
      </c>
      <c r="V10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85" s="18" t="str">
        <f>IFERROR(IF(LEFT(ICE[[#This Row],[Tenor]], 1) = "B", RTD("esrtd",,$B1085 &amp; " " &amp; ICE[[#This Row],[Tenor]] &amp; "-IEU", W$1), RTD("esrtd",,$B1085 &amp; " " &amp; VLOOKUP(MONTH(ICE[[#This Row],[Strip]]), MthRef[], 2, 0) &amp; RIGHT(YEAR(ICE[[#This Row],[Strip]]), 2) &amp; "-IEU", W$1)), "")</f>
        <v/>
      </c>
      <c r="X1085" s="36"/>
    </row>
    <row r="1086" spans="1:24" x14ac:dyDescent="0.25">
      <c r="A1086" s="71" t="s">
        <v>437</v>
      </c>
      <c r="B1086" s="3" t="str">
        <f>RTD("ice.rtd",,$C1086 &amp; $D1086 &amp; ":" &amp; B$1)</f>
        <v>Invalid Market: CALCM13</v>
      </c>
      <c r="C1086" s="72" t="s">
        <v>827</v>
      </c>
      <c r="D1086" s="73" t="s">
        <v>802</v>
      </c>
      <c r="E1086" s="72" t="str">
        <f t="shared" si="17"/>
        <v>Oct27</v>
      </c>
      <c r="F1086" s="72" t="str">
        <f>ICE[[#This Row],[Prod]]&amp;ICE[[#This Row],[Strip]]</f>
        <v>fo05bfrbrxOct27</v>
      </c>
      <c r="G1086" s="75"/>
      <c r="H1086" s="75" t="str">
        <f t="shared" si="18"/>
        <v/>
      </c>
      <c r="I1086" s="75"/>
      <c r="J1086" s="76"/>
      <c r="K1086" s="75"/>
      <c r="L1086" s="74"/>
      <c r="M1086" s="76"/>
      <c r="N1086" s="74"/>
      <c r="O1086" s="74"/>
      <c r="P1086" s="74"/>
      <c r="Q1086" s="76"/>
      <c r="R1086" s="75" t="str">
        <f t="shared" si="19"/>
        <v/>
      </c>
      <c r="S1086" s="74">
        <f t="shared" ref="S1086:T1086" si="34">S1010*6.35 + S1048</f>
        <v>0</v>
      </c>
      <c r="T1086" s="74">
        <f t="shared" si="34"/>
        <v>671.05</v>
      </c>
      <c r="U1086" s="75">
        <f t="shared" si="21"/>
        <v>5.3754</v>
      </c>
      <c r="V10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86" s="18" t="str">
        <f>IFERROR(IF(LEFT(ICE[[#This Row],[Tenor]], 1) = "B", RTD("esrtd",,$B1086 &amp; " " &amp; ICE[[#This Row],[Tenor]] &amp; "-IEU", W$1), RTD("esrtd",,$B1086 &amp; " " &amp; VLOOKUP(MONTH(ICE[[#This Row],[Strip]]), MthRef[], 2, 0) &amp; RIGHT(YEAR(ICE[[#This Row],[Strip]]), 2) &amp; "-IEU", W$1)), "")</f>
        <v/>
      </c>
      <c r="X1086" s="36"/>
    </row>
    <row r="1087" spans="1:24" x14ac:dyDescent="0.25">
      <c r="A1087" s="71" t="s">
        <v>437</v>
      </c>
      <c r="B1087" s="3" t="str">
        <f>RTD("ice.rtd",,$C1087 &amp; $D1087 &amp; ":" &amp; B$1)</f>
        <v>Invalid Market: CALCM14</v>
      </c>
      <c r="C1087" s="72" t="s">
        <v>827</v>
      </c>
      <c r="D1087" s="73" t="s">
        <v>803</v>
      </c>
      <c r="E1087" s="72" t="str">
        <f t="shared" si="17"/>
        <v>Nov27</v>
      </c>
      <c r="F1087" s="72" t="str">
        <f>ICE[[#This Row],[Prod]]&amp;ICE[[#This Row],[Strip]]</f>
        <v>fo05bfrbrxNov27</v>
      </c>
      <c r="G1087" s="75"/>
      <c r="H1087" s="75" t="str">
        <f t="shared" si="18"/>
        <v/>
      </c>
      <c r="I1087" s="75"/>
      <c r="J1087" s="76"/>
      <c r="K1087" s="75"/>
      <c r="L1087" s="74"/>
      <c r="M1087" s="76"/>
      <c r="N1087" s="74"/>
      <c r="O1087" s="74"/>
      <c r="P1087" s="74"/>
      <c r="Q1087" s="76"/>
      <c r="R1087" s="75" t="str">
        <f t="shared" si="19"/>
        <v/>
      </c>
      <c r="S1087" s="74">
        <f t="shared" ref="S1087:T1087" si="35">S1011*6.35 + S1049</f>
        <v>0</v>
      </c>
      <c r="T1087" s="74">
        <f t="shared" si="35"/>
        <v>671.05</v>
      </c>
      <c r="U1087" s="75">
        <f t="shared" si="21"/>
        <v>5.0847000000000007</v>
      </c>
      <c r="V10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87" s="18" t="str">
        <f>IFERROR(IF(LEFT(ICE[[#This Row],[Tenor]], 1) = "B", RTD("esrtd",,$B1087 &amp; " " &amp; ICE[[#This Row],[Tenor]] &amp; "-IEU", W$1), RTD("esrtd",,$B1087 &amp; " " &amp; VLOOKUP(MONTH(ICE[[#This Row],[Strip]]), MthRef[], 2, 0) &amp; RIGHT(YEAR(ICE[[#This Row],[Strip]]), 2) &amp; "-IEU", W$1)), "")</f>
        <v/>
      </c>
      <c r="X1087" s="36"/>
    </row>
    <row r="1088" spans="1:24" x14ac:dyDescent="0.25">
      <c r="A1088" s="71" t="s">
        <v>437</v>
      </c>
      <c r="B1088" s="3" t="str">
        <f>RTD("ice.rtd",,$C1088 &amp; $D1088 &amp; ":" &amp; B$1)</f>
        <v>Invalid Market: CALCM15</v>
      </c>
      <c r="C1088" s="72" t="s">
        <v>827</v>
      </c>
      <c r="D1088" s="73" t="s">
        <v>804</v>
      </c>
      <c r="E1088" s="72" t="str">
        <f t="shared" si="17"/>
        <v>Dec27</v>
      </c>
      <c r="F1088" s="72" t="str">
        <f>ICE[[#This Row],[Prod]]&amp;ICE[[#This Row],[Strip]]</f>
        <v>fo05bfrbrxDec27</v>
      </c>
      <c r="G1088" s="75"/>
      <c r="H1088" s="75" t="str">
        <f t="shared" si="18"/>
        <v/>
      </c>
      <c r="I1088" s="75"/>
      <c r="J1088" s="76"/>
      <c r="K1088" s="75"/>
      <c r="L1088" s="74"/>
      <c r="M1088" s="76"/>
      <c r="N1088" s="74"/>
      <c r="O1088" s="74"/>
      <c r="P1088" s="74"/>
      <c r="Q1088" s="76"/>
      <c r="R1088" s="75" t="str">
        <f t="shared" si="19"/>
        <v/>
      </c>
      <c r="S1088" s="74">
        <f t="shared" ref="S1088:T1088" si="36">S1012*6.35 + S1050</f>
        <v>0</v>
      </c>
      <c r="T1088" s="74">
        <f t="shared" si="36"/>
        <v>671.05</v>
      </c>
      <c r="U1088" s="75">
        <f t="shared" si="21"/>
        <v>4.7780000000000005</v>
      </c>
      <c r="V10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88" s="18" t="str">
        <f>IFERROR(IF(LEFT(ICE[[#This Row],[Tenor]], 1) = "B", RTD("esrtd",,$B1088 &amp; " " &amp; ICE[[#This Row],[Tenor]] &amp; "-IEU", W$1), RTD("esrtd",,$B1088 &amp; " " &amp; VLOOKUP(MONTH(ICE[[#This Row],[Strip]]), MthRef[], 2, 0) &amp; RIGHT(YEAR(ICE[[#This Row],[Strip]]), 2) &amp; "-IEU", W$1)), "")</f>
        <v/>
      </c>
      <c r="X1088" s="36"/>
    </row>
    <row r="1089" spans="1:24" x14ac:dyDescent="0.25">
      <c r="A1089" s="71" t="s">
        <v>437</v>
      </c>
      <c r="B1089" s="3" t="str">
        <f>RTD("ice.rtd",,$C1089 &amp; $D1089 &amp; ":" &amp; B$1)</f>
        <v>Invalid Market: CALCM16</v>
      </c>
      <c r="C1089" s="72" t="s">
        <v>827</v>
      </c>
      <c r="D1089" s="73" t="s">
        <v>805</v>
      </c>
      <c r="E1089" s="72" t="str">
        <f t="shared" si="17"/>
        <v>Jan28</v>
      </c>
      <c r="F1089" s="72" t="str">
        <f>ICE[[#This Row],[Prod]]&amp;ICE[[#This Row],[Strip]]</f>
        <v>fo05bfrbrxJan28</v>
      </c>
      <c r="G1089" s="75"/>
      <c r="H1089" s="75" t="str">
        <f t="shared" si="18"/>
        <v/>
      </c>
      <c r="I1089" s="75"/>
      <c r="J1089" s="76"/>
      <c r="K1089" s="75"/>
      <c r="L1089" s="74"/>
      <c r="M1089" s="76"/>
      <c r="N1089" s="74"/>
      <c r="O1089" s="74"/>
      <c r="P1089" s="74"/>
      <c r="Q1089" s="76"/>
      <c r="R1089" s="75" t="str">
        <f t="shared" si="19"/>
        <v/>
      </c>
      <c r="S1089" s="74">
        <f t="shared" ref="S1089:T1089" si="37">S1013*6.35 + S1051</f>
        <v>0</v>
      </c>
      <c r="T1089" s="74">
        <f t="shared" si="37"/>
        <v>58</v>
      </c>
      <c r="U1089" s="75">
        <f t="shared" si="21"/>
        <v>4.67</v>
      </c>
      <c r="V10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89" s="18" t="str">
        <f>IFERROR(IF(LEFT(ICE[[#This Row],[Tenor]], 1) = "B", RTD("esrtd",,$B1089 &amp; " " &amp; ICE[[#This Row],[Tenor]] &amp; "-IEU", W$1), RTD("esrtd",,$B1089 &amp; " " &amp; VLOOKUP(MONTH(ICE[[#This Row],[Strip]]), MthRef[], 2, 0) &amp; RIGHT(YEAR(ICE[[#This Row],[Strip]]), 2) &amp; "-IEU", W$1)), "")</f>
        <v/>
      </c>
      <c r="X1089" s="36"/>
    </row>
    <row r="1090" spans="1:24" x14ac:dyDescent="0.25">
      <c r="A1090" s="71" t="s">
        <v>437</v>
      </c>
      <c r="B1090" s="3" t="str">
        <f>RTD("ice.rtd",,$C1090 &amp; $D1090 &amp; ":" &amp; B$1)</f>
        <v>Invalid Market: CALCM17</v>
      </c>
      <c r="C1090" s="72" t="s">
        <v>827</v>
      </c>
      <c r="D1090" s="73" t="s">
        <v>806</v>
      </c>
      <c r="E1090" s="72" t="str">
        <f t="shared" si="17"/>
        <v>Feb28</v>
      </c>
      <c r="F1090" s="72" t="str">
        <f>ICE[[#This Row],[Prod]]&amp;ICE[[#This Row],[Strip]]</f>
        <v>fo05bfrbrxFeb28</v>
      </c>
      <c r="G1090" s="75"/>
      <c r="H1090" s="75" t="str">
        <f t="shared" si="18"/>
        <v/>
      </c>
      <c r="I1090" s="75"/>
      <c r="J1090" s="76"/>
      <c r="K1090" s="75"/>
      <c r="L1090" s="74"/>
      <c r="M1090" s="76"/>
      <c r="N1090" s="74"/>
      <c r="O1090" s="74"/>
      <c r="P1090" s="74"/>
      <c r="Q1090" s="76"/>
      <c r="R1090" s="75" t="str">
        <f t="shared" si="19"/>
        <v/>
      </c>
      <c r="S1090" s="74">
        <f t="shared" ref="S1090:T1090" si="38">S1014*6.35 + S1052</f>
        <v>0</v>
      </c>
      <c r="T1090" s="74">
        <f t="shared" si="38"/>
        <v>58</v>
      </c>
      <c r="U1090" s="75">
        <f t="shared" si="21"/>
        <v>4.6640000000000006</v>
      </c>
      <c r="V10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0" s="18" t="str">
        <f>IFERROR(IF(LEFT(ICE[[#This Row],[Tenor]], 1) = "B", RTD("esrtd",,$B1090 &amp; " " &amp; ICE[[#This Row],[Tenor]] &amp; "-IEU", W$1), RTD("esrtd",,$B1090 &amp; " " &amp; VLOOKUP(MONTH(ICE[[#This Row],[Strip]]), MthRef[], 2, 0) &amp; RIGHT(YEAR(ICE[[#This Row],[Strip]]), 2) &amp; "-IEU", W$1)), "")</f>
        <v/>
      </c>
      <c r="X1090" s="36"/>
    </row>
    <row r="1091" spans="1:24" x14ac:dyDescent="0.25">
      <c r="A1091" s="71" t="s">
        <v>437</v>
      </c>
      <c r="B1091" s="3" t="str">
        <f>RTD("ice.rtd",,$C1091 &amp; $D1091 &amp; ":" &amp; B$1)</f>
        <v>Invalid Market: CALCM18</v>
      </c>
      <c r="C1091" s="72" t="s">
        <v>827</v>
      </c>
      <c r="D1091" s="73" t="s">
        <v>807</v>
      </c>
      <c r="E1091" s="72" t="str">
        <f t="shared" si="17"/>
        <v>Mar28</v>
      </c>
      <c r="F1091" s="72" t="str">
        <f>ICE[[#This Row],[Prod]]&amp;ICE[[#This Row],[Strip]]</f>
        <v>fo05bfrbrxMar28</v>
      </c>
      <c r="G1091" s="75"/>
      <c r="H1091" s="75" t="str">
        <f t="shared" si="18"/>
        <v/>
      </c>
      <c r="I1091" s="75"/>
      <c r="J1091" s="76"/>
      <c r="K1091" s="75"/>
      <c r="L1091" s="74"/>
      <c r="M1091" s="76"/>
      <c r="N1091" s="74"/>
      <c r="O1091" s="74"/>
      <c r="P1091" s="74"/>
      <c r="Q1091" s="76"/>
      <c r="R1091" s="75" t="str">
        <f t="shared" si="19"/>
        <v/>
      </c>
      <c r="S1091" s="74">
        <f t="shared" ref="S1091:T1091" si="39">S1015*6.35 + S1053</f>
        <v>0</v>
      </c>
      <c r="T1091" s="74">
        <f t="shared" si="39"/>
        <v>58</v>
      </c>
      <c r="U1091" s="75">
        <f t="shared" si="21"/>
        <v>4.6470000000000002</v>
      </c>
      <c r="V10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1" s="18" t="str">
        <f>IFERROR(IF(LEFT(ICE[[#This Row],[Tenor]], 1) = "B", RTD("esrtd",,$B1091 &amp; " " &amp; ICE[[#This Row],[Tenor]] &amp; "-IEU", W$1), RTD("esrtd",,$B1091 &amp; " " &amp; VLOOKUP(MONTH(ICE[[#This Row],[Strip]]), MthRef[], 2, 0) &amp; RIGHT(YEAR(ICE[[#This Row],[Strip]]), 2) &amp; "-IEU", W$1)), "")</f>
        <v/>
      </c>
      <c r="X1091" s="36"/>
    </row>
    <row r="1092" spans="1:24" x14ac:dyDescent="0.25">
      <c r="A1092" s="71" t="s">
        <v>437</v>
      </c>
      <c r="B1092" s="3" t="str">
        <f>RTD("ice.rtd",,$C1092 &amp; $D1092 &amp; ":" &amp; B$1)</f>
        <v>Invalid Market: CALCM19</v>
      </c>
      <c r="C1092" s="72" t="s">
        <v>827</v>
      </c>
      <c r="D1092" s="73" t="s">
        <v>808</v>
      </c>
      <c r="E1092" s="72" t="str">
        <f t="shared" si="17"/>
        <v>Apr28</v>
      </c>
      <c r="F1092" s="72" t="str">
        <f>ICE[[#This Row],[Prod]]&amp;ICE[[#This Row],[Strip]]</f>
        <v>fo05bfrbrxApr28</v>
      </c>
      <c r="G1092" s="75"/>
      <c r="H1092" s="75" t="str">
        <f t="shared" si="18"/>
        <v/>
      </c>
      <c r="I1092" s="75"/>
      <c r="J1092" s="76"/>
      <c r="K1092" s="75"/>
      <c r="L1092" s="74"/>
      <c r="M1092" s="76"/>
      <c r="N1092" s="74"/>
      <c r="O1092" s="74"/>
      <c r="P1092" s="74"/>
      <c r="Q1092" s="76"/>
      <c r="R1092" s="75" t="str">
        <f t="shared" si="19"/>
        <v/>
      </c>
      <c r="S1092" s="74">
        <f t="shared" ref="S1092:T1092" si="40">S1016*6.35 + S1054</f>
        <v>0</v>
      </c>
      <c r="T1092" s="74">
        <f t="shared" si="40"/>
        <v>58</v>
      </c>
      <c r="U1092" s="75">
        <f t="shared" si="21"/>
        <v>4.6543999999999999</v>
      </c>
      <c r="V10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2" s="18" t="str">
        <f>IFERROR(IF(LEFT(ICE[[#This Row],[Tenor]], 1) = "B", RTD("esrtd",,$B1092 &amp; " " &amp; ICE[[#This Row],[Tenor]] &amp; "-IEU", W$1), RTD("esrtd",,$B1092 &amp; " " &amp; VLOOKUP(MONTH(ICE[[#This Row],[Strip]]), MthRef[], 2, 0) &amp; RIGHT(YEAR(ICE[[#This Row],[Strip]]), 2) &amp; "-IEU", W$1)), "")</f>
        <v/>
      </c>
      <c r="X1092" s="36"/>
    </row>
    <row r="1093" spans="1:24" x14ac:dyDescent="0.25">
      <c r="A1093" s="71" t="s">
        <v>437</v>
      </c>
      <c r="B1093" s="3" t="str">
        <f>RTD("ice.rtd",,$C1093 &amp; $D1093 &amp; ":" &amp; B$1)</f>
        <v>Invalid Market: CALCM20</v>
      </c>
      <c r="C1093" s="72" t="s">
        <v>827</v>
      </c>
      <c r="D1093" s="73" t="s">
        <v>809</v>
      </c>
      <c r="E1093" s="72" t="str">
        <f t="shared" si="17"/>
        <v>May28</v>
      </c>
      <c r="F1093" s="72" t="str">
        <f>ICE[[#This Row],[Prod]]&amp;ICE[[#This Row],[Strip]]</f>
        <v>fo05bfrbrxMay28</v>
      </c>
      <c r="G1093" s="75"/>
      <c r="H1093" s="75" t="str">
        <f t="shared" si="18"/>
        <v/>
      </c>
      <c r="I1093" s="75"/>
      <c r="J1093" s="76"/>
      <c r="K1093" s="75"/>
      <c r="L1093" s="74"/>
      <c r="M1093" s="76"/>
      <c r="N1093" s="74"/>
      <c r="O1093" s="74"/>
      <c r="P1093" s="74"/>
      <c r="Q1093" s="76"/>
      <c r="R1093" s="75" t="str">
        <f t="shared" si="19"/>
        <v/>
      </c>
      <c r="S1093" s="74">
        <f t="shared" ref="S1093:T1093" si="41">S1017*6.35 + S1055</f>
        <v>0</v>
      </c>
      <c r="T1093" s="74">
        <f t="shared" si="41"/>
        <v>58</v>
      </c>
      <c r="U1093" s="75">
        <f t="shared" si="21"/>
        <v>4.6549000000000005</v>
      </c>
      <c r="V10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3" s="18" t="str">
        <f>IFERROR(IF(LEFT(ICE[[#This Row],[Tenor]], 1) = "B", RTD("esrtd",,$B1093 &amp; " " &amp; ICE[[#This Row],[Tenor]] &amp; "-IEU", W$1), RTD("esrtd",,$B1093 &amp; " " &amp; VLOOKUP(MONTH(ICE[[#This Row],[Strip]]), MthRef[], 2, 0) &amp; RIGHT(YEAR(ICE[[#This Row],[Strip]]), 2) &amp; "-IEU", W$1)), "")</f>
        <v/>
      </c>
      <c r="X1093" s="36"/>
    </row>
    <row r="1094" spans="1:24" x14ac:dyDescent="0.25">
      <c r="A1094" s="71" t="s">
        <v>437</v>
      </c>
      <c r="B1094" s="3" t="str">
        <f>RTD("ice.rtd",,$C1094 &amp; $D1094 &amp; ":" &amp; B$1)</f>
        <v>Invalid Market: CALCM21</v>
      </c>
      <c r="C1094" s="72" t="s">
        <v>827</v>
      </c>
      <c r="D1094" s="73" t="s">
        <v>810</v>
      </c>
      <c r="E1094" s="72" t="str">
        <f t="shared" si="17"/>
        <v>Jun28</v>
      </c>
      <c r="F1094" s="72" t="str">
        <f>ICE[[#This Row],[Prod]]&amp;ICE[[#This Row],[Strip]]</f>
        <v>fo05bfrbrxJun28</v>
      </c>
      <c r="G1094" s="75"/>
      <c r="H1094" s="75" t="str">
        <f t="shared" si="18"/>
        <v/>
      </c>
      <c r="I1094" s="75"/>
      <c r="J1094" s="76"/>
      <c r="K1094" s="75"/>
      <c r="L1094" s="74"/>
      <c r="M1094" s="76"/>
      <c r="N1094" s="74"/>
      <c r="O1094" s="74"/>
      <c r="P1094" s="74"/>
      <c r="Q1094" s="76"/>
      <c r="R1094" s="75" t="str">
        <f t="shared" si="19"/>
        <v/>
      </c>
      <c r="S1094" s="74">
        <f t="shared" ref="S1094:T1094" si="42">S1018*6.35 + S1056</f>
        <v>0</v>
      </c>
      <c r="T1094" s="74">
        <f t="shared" si="42"/>
        <v>58</v>
      </c>
      <c r="U1094" s="75">
        <f t="shared" si="21"/>
        <v>4.6393000000000004</v>
      </c>
      <c r="V10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4" s="18" t="str">
        <f>IFERROR(IF(LEFT(ICE[[#This Row],[Tenor]], 1) = "B", RTD("esrtd",,$B1094 &amp; " " &amp; ICE[[#This Row],[Tenor]] &amp; "-IEU", W$1), RTD("esrtd",,$B1094 &amp; " " &amp; VLOOKUP(MONTH(ICE[[#This Row],[Strip]]), MthRef[], 2, 0) &amp; RIGHT(YEAR(ICE[[#This Row],[Strip]]), 2) &amp; "-IEU", W$1)), "")</f>
        <v/>
      </c>
      <c r="X1094" s="36"/>
    </row>
    <row r="1095" spans="1:24" x14ac:dyDescent="0.25">
      <c r="A1095" s="71" t="s">
        <v>437</v>
      </c>
      <c r="B1095" s="3" t="str">
        <f>RTD("ice.rtd",,$C1095 &amp; $D1095 &amp; ":" &amp; B$1)</f>
        <v>Invalid Market: CALCM22</v>
      </c>
      <c r="C1095" s="72" t="s">
        <v>827</v>
      </c>
      <c r="D1095" s="73" t="s">
        <v>811</v>
      </c>
      <c r="E1095" s="72" t="str">
        <f t="shared" si="17"/>
        <v>Jul28</v>
      </c>
      <c r="F1095" s="72" t="str">
        <f>ICE[[#This Row],[Prod]]&amp;ICE[[#This Row],[Strip]]</f>
        <v>fo05bfrbrxJul28</v>
      </c>
      <c r="G1095" s="75"/>
      <c r="H1095" s="75" t="str">
        <f t="shared" si="18"/>
        <v/>
      </c>
      <c r="I1095" s="75"/>
      <c r="J1095" s="76"/>
      <c r="K1095" s="75"/>
      <c r="L1095" s="74"/>
      <c r="M1095" s="76"/>
      <c r="N1095" s="74"/>
      <c r="O1095" s="74"/>
      <c r="P1095" s="74"/>
      <c r="Q1095" s="76"/>
      <c r="R1095" s="75" t="str">
        <f t="shared" si="19"/>
        <v/>
      </c>
      <c r="S1095" s="74">
        <f t="shared" ref="S1095:T1095" si="43">S1019*6.35 + S1057</f>
        <v>0</v>
      </c>
      <c r="T1095" s="74">
        <f t="shared" si="43"/>
        <v>58</v>
      </c>
      <c r="U1095" s="75">
        <f t="shared" si="21"/>
        <v>4.6137000000000006</v>
      </c>
      <c r="V10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5" s="18" t="str">
        <f>IFERROR(IF(LEFT(ICE[[#This Row],[Tenor]], 1) = "B", RTD("esrtd",,$B1095 &amp; " " &amp; ICE[[#This Row],[Tenor]] &amp; "-IEU", W$1), RTD("esrtd",,$B1095 &amp; " " &amp; VLOOKUP(MONTH(ICE[[#This Row],[Strip]]), MthRef[], 2, 0) &amp; RIGHT(YEAR(ICE[[#This Row],[Strip]]), 2) &amp; "-IEU", W$1)), "")</f>
        <v/>
      </c>
      <c r="X1095" s="36"/>
    </row>
    <row r="1096" spans="1:24" x14ac:dyDescent="0.25">
      <c r="A1096" s="71" t="s">
        <v>437</v>
      </c>
      <c r="B1096" s="3" t="str">
        <f>RTD("ice.rtd",,$C1096 &amp; $D1096 &amp; ":" &amp; B$1)</f>
        <v>Invalid Market: CALCM23</v>
      </c>
      <c r="C1096" s="72" t="s">
        <v>827</v>
      </c>
      <c r="D1096" s="73" t="s">
        <v>812</v>
      </c>
      <c r="E1096" s="72" t="str">
        <f t="shared" si="17"/>
        <v>Aug28</v>
      </c>
      <c r="F1096" s="72" t="str">
        <f>ICE[[#This Row],[Prod]]&amp;ICE[[#This Row],[Strip]]</f>
        <v>fo05bfrbrxAug28</v>
      </c>
      <c r="G1096" s="75"/>
      <c r="H1096" s="75" t="str">
        <f t="shared" si="18"/>
        <v/>
      </c>
      <c r="I1096" s="75"/>
      <c r="J1096" s="76"/>
      <c r="K1096" s="75"/>
      <c r="L1096" s="74"/>
      <c r="M1096" s="76"/>
      <c r="N1096" s="74"/>
      <c r="O1096" s="74"/>
      <c r="P1096" s="74"/>
      <c r="Q1096" s="76"/>
      <c r="R1096" s="75" t="str">
        <f t="shared" si="19"/>
        <v/>
      </c>
      <c r="S1096" s="74">
        <f t="shared" ref="S1096:T1096" si="44">S1020*6.35 + S1058</f>
        <v>0</v>
      </c>
      <c r="T1096" s="74">
        <f t="shared" si="44"/>
        <v>58</v>
      </c>
      <c r="U1096" s="75">
        <f t="shared" si="21"/>
        <v>4.5771000000000006</v>
      </c>
      <c r="V10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6" s="18" t="str">
        <f>IFERROR(IF(LEFT(ICE[[#This Row],[Tenor]], 1) = "B", RTD("esrtd",,$B1096 &amp; " " &amp; ICE[[#This Row],[Tenor]] &amp; "-IEU", W$1), RTD("esrtd",,$B1096 &amp; " " &amp; VLOOKUP(MONTH(ICE[[#This Row],[Strip]]), MthRef[], 2, 0) &amp; RIGHT(YEAR(ICE[[#This Row],[Strip]]), 2) &amp; "-IEU", W$1)), "")</f>
        <v/>
      </c>
      <c r="X1096" s="36"/>
    </row>
    <row r="1097" spans="1:24" x14ac:dyDescent="0.25">
      <c r="A1097" s="71" t="s">
        <v>437</v>
      </c>
      <c r="B1097" s="3" t="str">
        <f>RTD("ice.rtd",,$C1097 &amp; $D1097 &amp; ":" &amp; B$1)</f>
        <v>Invalid Market: CALCM24</v>
      </c>
      <c r="C1097" s="72" t="s">
        <v>827</v>
      </c>
      <c r="D1097" s="73" t="s">
        <v>813</v>
      </c>
      <c r="E1097" s="72" t="str">
        <f t="shared" si="17"/>
        <v>Sep28</v>
      </c>
      <c r="F1097" s="72" t="str">
        <f>ICE[[#This Row],[Prod]]&amp;ICE[[#This Row],[Strip]]</f>
        <v>fo05bfrbrxSep28</v>
      </c>
      <c r="G1097" s="75"/>
      <c r="H1097" s="75" t="str">
        <f t="shared" si="18"/>
        <v/>
      </c>
      <c r="I1097" s="75"/>
      <c r="J1097" s="76"/>
      <c r="K1097" s="75"/>
      <c r="L1097" s="74"/>
      <c r="M1097" s="76"/>
      <c r="N1097" s="74"/>
      <c r="O1097" s="74"/>
      <c r="P1097" s="74"/>
      <c r="Q1097" s="76"/>
      <c r="R1097" s="75" t="str">
        <f t="shared" si="19"/>
        <v/>
      </c>
      <c r="S1097" s="74">
        <f t="shared" ref="S1097:T1097" si="45">S1021*6.35 + S1059</f>
        <v>0</v>
      </c>
      <c r="T1097" s="74">
        <f t="shared" si="45"/>
        <v>58</v>
      </c>
      <c r="U1097" s="75">
        <f t="shared" si="21"/>
        <v>4.5425000000000004</v>
      </c>
      <c r="V10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7" s="18" t="str">
        <f>IFERROR(IF(LEFT(ICE[[#This Row],[Tenor]], 1) = "B", RTD("esrtd",,$B1097 &amp; " " &amp; ICE[[#This Row],[Tenor]] &amp; "-IEU", W$1), RTD("esrtd",,$B1097 &amp; " " &amp; VLOOKUP(MONTH(ICE[[#This Row],[Strip]]), MthRef[], 2, 0) &amp; RIGHT(YEAR(ICE[[#This Row],[Strip]]), 2) &amp; "-IEU", W$1)), "")</f>
        <v/>
      </c>
      <c r="X1097" s="36"/>
    </row>
    <row r="1098" spans="1:24" x14ac:dyDescent="0.25">
      <c r="A1098" s="71" t="s">
        <v>437</v>
      </c>
      <c r="B1098" s="3" t="str">
        <f>RTD("ice.rtd",,$C1098 &amp; $D1098 &amp; ":" &amp; B$1)</f>
        <v>Invalid Market: CALCQ0</v>
      </c>
      <c r="C1098" s="72" t="s">
        <v>827</v>
      </c>
      <c r="D1098" s="73" t="s">
        <v>814</v>
      </c>
      <c r="E1098" s="72" t="str">
        <f t="shared" si="17"/>
        <v>Q4 26</v>
      </c>
      <c r="F1098" s="72" t="str">
        <f>ICE[[#This Row],[Prod]]&amp;ICE[[#This Row],[Strip]]</f>
        <v>fo05bfrbrxQ4 26</v>
      </c>
      <c r="G1098" s="75"/>
      <c r="H1098" s="75" t="str">
        <f t="shared" si="18"/>
        <v/>
      </c>
      <c r="I1098" s="75"/>
      <c r="J1098" s="76"/>
      <c r="K1098" s="75"/>
      <c r="L1098" s="74"/>
      <c r="M1098" s="76"/>
      <c r="N1098" s="74"/>
      <c r="O1098" s="74"/>
      <c r="P1098" s="74"/>
      <c r="Q1098" s="76"/>
      <c r="R1098" s="75" t="str">
        <f t="shared" si="19"/>
        <v/>
      </c>
      <c r="S1098" s="74">
        <f t="shared" ref="S1098:T1098" si="46">S1022*6.35 + S1060</f>
        <v>0</v>
      </c>
      <c r="T1098" s="74">
        <f t="shared" si="46"/>
        <v>0</v>
      </c>
      <c r="U1098" s="75">
        <f t="shared" si="21"/>
        <v>6.2737000000000007</v>
      </c>
      <c r="V10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8" s="18" t="str">
        <f>IFERROR(IF(LEFT(ICE[[#This Row],[Tenor]], 1) = "B", RTD("esrtd",,$B1098 &amp; " " &amp; ICE[[#This Row],[Tenor]] &amp; "-IEU", W$1), RTD("esrtd",,$B1098 &amp; " " &amp; VLOOKUP(MONTH(ICE[[#This Row],[Strip]]), MthRef[], 2, 0) &amp; RIGHT(YEAR(ICE[[#This Row],[Strip]]), 2) &amp; "-IEU", W$1)), "")</f>
        <v/>
      </c>
      <c r="X1098" s="36"/>
    </row>
    <row r="1099" spans="1:24" x14ac:dyDescent="0.25">
      <c r="A1099" s="71" t="s">
        <v>437</v>
      </c>
      <c r="B1099" s="3" t="str">
        <f>RTD("ice.rtd",,$C1099 &amp; $D1099 &amp; ":" &amp; B$1)</f>
        <v>Invalid Market: CALCQ1</v>
      </c>
      <c r="C1099" s="72" t="s">
        <v>827</v>
      </c>
      <c r="D1099" s="73" t="s">
        <v>815</v>
      </c>
      <c r="E1099" s="72" t="str">
        <f t="shared" si="17"/>
        <v>Q1 27</v>
      </c>
      <c r="F1099" s="72" t="str">
        <f>ICE[[#This Row],[Prod]]&amp;ICE[[#This Row],[Strip]]</f>
        <v>fo05bfrbrxQ1 27</v>
      </c>
      <c r="G1099" s="75"/>
      <c r="H1099" s="75" t="str">
        <f t="shared" si="18"/>
        <v/>
      </c>
      <c r="I1099" s="75"/>
      <c r="J1099" s="76"/>
      <c r="K1099" s="75"/>
      <c r="L1099" s="74"/>
      <c r="M1099" s="76"/>
      <c r="N1099" s="74"/>
      <c r="O1099" s="74"/>
      <c r="P1099" s="74"/>
      <c r="Q1099" s="76"/>
      <c r="R1099" s="75" t="str">
        <f t="shared" si="19"/>
        <v/>
      </c>
      <c r="S1099" s="74">
        <f t="shared" ref="S1099:T1099" si="47">S1023*6.35 + S1061</f>
        <v>0</v>
      </c>
      <c r="T1099" s="74">
        <f t="shared" si="47"/>
        <v>0</v>
      </c>
      <c r="U1099" s="75">
        <f t="shared" si="21"/>
        <v>6.3622000000000005</v>
      </c>
      <c r="V10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099" s="18" t="str">
        <f>IFERROR(IF(LEFT(ICE[[#This Row],[Tenor]], 1) = "B", RTD("esrtd",,$B1099 &amp; " " &amp; ICE[[#This Row],[Tenor]] &amp; "-IEU", W$1), RTD("esrtd",,$B1099 &amp; " " &amp; VLOOKUP(MONTH(ICE[[#This Row],[Strip]]), MthRef[], 2, 0) &amp; RIGHT(YEAR(ICE[[#This Row],[Strip]]), 2) &amp; "-IEU", W$1)), "")</f>
        <v/>
      </c>
      <c r="X1099" s="36"/>
    </row>
    <row r="1100" spans="1:24" x14ac:dyDescent="0.25">
      <c r="A1100" s="71" t="s">
        <v>437</v>
      </c>
      <c r="B1100" s="3" t="str">
        <f>RTD("ice.rtd",,$C1100 &amp; $D1100 &amp; ":" &amp; B$1)</f>
        <v>Invalid Market: CALCQ2</v>
      </c>
      <c r="C1100" s="72" t="s">
        <v>827</v>
      </c>
      <c r="D1100" s="73" t="s">
        <v>816</v>
      </c>
      <c r="E1100" s="72" t="str">
        <f t="shared" si="17"/>
        <v>Q2 27</v>
      </c>
      <c r="F1100" s="72" t="str">
        <f>ICE[[#This Row],[Prod]]&amp;ICE[[#This Row],[Strip]]</f>
        <v>fo05bfrbrxQ2 27</v>
      </c>
      <c r="G1100" s="75"/>
      <c r="H1100" s="75" t="str">
        <f t="shared" si="18"/>
        <v/>
      </c>
      <c r="I1100" s="75"/>
      <c r="J1100" s="76"/>
      <c r="K1100" s="75"/>
      <c r="L1100" s="74"/>
      <c r="M1100" s="76"/>
      <c r="N1100" s="74"/>
      <c r="O1100" s="74"/>
      <c r="P1100" s="74"/>
      <c r="Q1100" s="76"/>
      <c r="R1100" s="75" t="str">
        <f t="shared" si="19"/>
        <v/>
      </c>
      <c r="S1100" s="74">
        <f t="shared" ref="S1100:T1100" si="48">S1024*6.35 + S1062</f>
        <v>0</v>
      </c>
      <c r="T1100" s="74">
        <f t="shared" si="48"/>
        <v>0</v>
      </c>
      <c r="U1100" s="75">
        <f t="shared" si="21"/>
        <v>6.4414000000000007</v>
      </c>
      <c r="V11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0" s="18" t="str">
        <f>IFERROR(IF(LEFT(ICE[[#This Row],[Tenor]], 1) = "B", RTD("esrtd",,$B1100 &amp; " " &amp; ICE[[#This Row],[Tenor]] &amp; "-IEU", W$1), RTD("esrtd",,$B1100 &amp; " " &amp; VLOOKUP(MONTH(ICE[[#This Row],[Strip]]), MthRef[], 2, 0) &amp; RIGHT(YEAR(ICE[[#This Row],[Strip]]), 2) &amp; "-IEU", W$1)), "")</f>
        <v/>
      </c>
      <c r="X1100" s="36"/>
    </row>
    <row r="1101" spans="1:24" x14ac:dyDescent="0.25">
      <c r="A1101" s="71" t="s">
        <v>437</v>
      </c>
      <c r="B1101" s="3" t="str">
        <f>RTD("ice.rtd",,$C1101 &amp; $D1101 &amp; ":" &amp; B$1)</f>
        <v>Invalid Market: CALCQ3</v>
      </c>
      <c r="C1101" s="72" t="s">
        <v>827</v>
      </c>
      <c r="D1101" s="73" t="s">
        <v>817</v>
      </c>
      <c r="E1101" s="72" t="str">
        <f t="shared" si="17"/>
        <v>Q3 27</v>
      </c>
      <c r="F1101" s="72" t="str">
        <f>ICE[[#This Row],[Prod]]&amp;ICE[[#This Row],[Strip]]</f>
        <v>fo05bfrbrxQ3 27</v>
      </c>
      <c r="G1101" s="75"/>
      <c r="H1101" s="75" t="str">
        <f t="shared" si="18"/>
        <v/>
      </c>
      <c r="I1101" s="75"/>
      <c r="J1101" s="76"/>
      <c r="K1101" s="75"/>
      <c r="L1101" s="74"/>
      <c r="M1101" s="76"/>
      <c r="N1101" s="74"/>
      <c r="O1101" s="74"/>
      <c r="P1101" s="74"/>
      <c r="Q1101" s="76"/>
      <c r="R1101" s="75" t="str">
        <f t="shared" si="19"/>
        <v/>
      </c>
      <c r="S1101" s="74">
        <f t="shared" ref="S1101:T1101" si="49">S1025*6.35 + S1063</f>
        <v>0</v>
      </c>
      <c r="T1101" s="74">
        <f t="shared" si="49"/>
        <v>0</v>
      </c>
      <c r="U1101" s="75">
        <f t="shared" si="21"/>
        <v>5.9469000000000003</v>
      </c>
      <c r="V11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1" s="18" t="str">
        <f>IFERROR(IF(LEFT(ICE[[#This Row],[Tenor]], 1) = "B", RTD("esrtd",,$B1101 &amp; " " &amp; ICE[[#This Row],[Tenor]] &amp; "-IEU", W$1), RTD("esrtd",,$B1101 &amp; " " &amp; VLOOKUP(MONTH(ICE[[#This Row],[Strip]]), MthRef[], 2, 0) &amp; RIGHT(YEAR(ICE[[#This Row],[Strip]]), 2) &amp; "-IEU", W$1)), "")</f>
        <v/>
      </c>
      <c r="X1101" s="36"/>
    </row>
    <row r="1102" spans="1:24" x14ac:dyDescent="0.25">
      <c r="A1102" s="71" t="s">
        <v>437</v>
      </c>
      <c r="B1102" s="3" t="str">
        <f>RTD("ice.rtd",,$C1102 &amp; $D1102 &amp; ":" &amp; B$1)</f>
        <v>Invalid Market: CALCQ4</v>
      </c>
      <c r="C1102" s="72" t="s">
        <v>827</v>
      </c>
      <c r="D1102" s="73" t="s">
        <v>818</v>
      </c>
      <c r="E1102" s="72" t="str">
        <f t="shared" si="17"/>
        <v>Q4 27</v>
      </c>
      <c r="F1102" s="72" t="str">
        <f>ICE[[#This Row],[Prod]]&amp;ICE[[#This Row],[Strip]]</f>
        <v>fo05bfrbrxQ4 27</v>
      </c>
      <c r="G1102" s="75"/>
      <c r="H1102" s="75" t="str">
        <f t="shared" si="18"/>
        <v/>
      </c>
      <c r="I1102" s="75"/>
      <c r="J1102" s="76"/>
      <c r="K1102" s="75"/>
      <c r="L1102" s="74"/>
      <c r="M1102" s="76"/>
      <c r="N1102" s="74"/>
      <c r="O1102" s="74"/>
      <c r="P1102" s="74"/>
      <c r="Q1102" s="76"/>
      <c r="R1102" s="75" t="str">
        <f t="shared" si="19"/>
        <v/>
      </c>
      <c r="S1102" s="74">
        <f t="shared" ref="S1102:T1102" si="50">S1026*6.35 + S1064</f>
        <v>0</v>
      </c>
      <c r="T1102" s="74">
        <f t="shared" si="50"/>
        <v>0</v>
      </c>
      <c r="U1102" s="75">
        <f t="shared" si="21"/>
        <v>5.0794000000000006</v>
      </c>
      <c r="V11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2" s="18" t="str">
        <f>IFERROR(IF(LEFT(ICE[[#This Row],[Tenor]], 1) = "B", RTD("esrtd",,$B1102 &amp; " " &amp; ICE[[#This Row],[Tenor]] &amp; "-IEU", W$1), RTD("esrtd",,$B1102 &amp; " " &amp; VLOOKUP(MONTH(ICE[[#This Row],[Strip]]), MthRef[], 2, 0) &amp; RIGHT(YEAR(ICE[[#This Row],[Strip]]), 2) &amp; "-IEU", W$1)), "")</f>
        <v/>
      </c>
      <c r="X1102" s="36"/>
    </row>
    <row r="1103" spans="1:24" x14ac:dyDescent="0.25">
      <c r="A1103" s="71" t="s">
        <v>437</v>
      </c>
      <c r="B1103" s="3" t="str">
        <f>RTD("ice.rtd",,$C1103 &amp; $D1103 &amp; ":" &amp; B$1)</f>
        <v>Invalid Market: CALCQ5</v>
      </c>
      <c r="C1103" s="72" t="s">
        <v>827</v>
      </c>
      <c r="D1103" s="73" t="s">
        <v>819</v>
      </c>
      <c r="E1103" s="72" t="str">
        <f t="shared" si="17"/>
        <v>Q1 28</v>
      </c>
      <c r="F1103" s="72" t="str">
        <f>ICE[[#This Row],[Prod]]&amp;ICE[[#This Row],[Strip]]</f>
        <v>fo05bfrbrxQ1 28</v>
      </c>
      <c r="G1103" s="75"/>
      <c r="H1103" s="75" t="str">
        <f t="shared" si="18"/>
        <v/>
      </c>
      <c r="I1103" s="75"/>
      <c r="J1103" s="76"/>
      <c r="K1103" s="75"/>
      <c r="L1103" s="74"/>
      <c r="M1103" s="76"/>
      <c r="N1103" s="74"/>
      <c r="O1103" s="74"/>
      <c r="P1103" s="74"/>
      <c r="Q1103" s="76"/>
      <c r="R1103" s="75" t="str">
        <f t="shared" si="19"/>
        <v/>
      </c>
      <c r="S1103" s="74">
        <f t="shared" ref="S1103:T1103" si="51">S1027*6.35 + S1065</f>
        <v>0</v>
      </c>
      <c r="T1103" s="74">
        <f t="shared" si="51"/>
        <v>0</v>
      </c>
      <c r="U1103" s="75">
        <f t="shared" si="21"/>
        <v>4.6603000000000003</v>
      </c>
      <c r="V11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3" s="18" t="str">
        <f>IFERROR(IF(LEFT(ICE[[#This Row],[Tenor]], 1) = "B", RTD("esrtd",,$B1103 &amp; " " &amp; ICE[[#This Row],[Tenor]] &amp; "-IEU", W$1), RTD("esrtd",,$B1103 &amp; " " &amp; VLOOKUP(MONTH(ICE[[#This Row],[Strip]]), MthRef[], 2, 0) &amp; RIGHT(YEAR(ICE[[#This Row],[Strip]]), 2) &amp; "-IEU", W$1)), "")</f>
        <v/>
      </c>
      <c r="X1103" s="36"/>
    </row>
    <row r="1104" spans="1:24" x14ac:dyDescent="0.25">
      <c r="A1104" s="71" t="s">
        <v>437</v>
      </c>
      <c r="B1104" s="3" t="str">
        <f>RTD("ice.rtd",,$C1104 &amp; $D1104 &amp; ":" &amp; B$1)</f>
        <v>Invalid Market: CALCQ6</v>
      </c>
      <c r="C1104" s="72" t="s">
        <v>827</v>
      </c>
      <c r="D1104" s="73" t="s">
        <v>229</v>
      </c>
      <c r="E1104" s="72" t="str">
        <f t="shared" si="17"/>
        <v>Q2 28</v>
      </c>
      <c r="F1104" s="72" t="str">
        <f>ICE[[#This Row],[Prod]]&amp;ICE[[#This Row],[Strip]]</f>
        <v>fo05bfrbrxQ2 28</v>
      </c>
      <c r="G1104" s="75"/>
      <c r="H1104" s="75" t="str">
        <f t="shared" si="18"/>
        <v/>
      </c>
      <c r="I1104" s="75"/>
      <c r="J1104" s="76"/>
      <c r="K1104" s="75"/>
      <c r="L1104" s="74"/>
      <c r="M1104" s="76"/>
      <c r="N1104" s="74"/>
      <c r="O1104" s="74"/>
      <c r="P1104" s="74"/>
      <c r="Q1104" s="76"/>
      <c r="R1104" s="75" t="str">
        <f t="shared" si="19"/>
        <v/>
      </c>
      <c r="S1104" s="74">
        <f t="shared" ref="S1104:T1104" si="52">S1028*6.35 + S1066</f>
        <v>0</v>
      </c>
      <c r="T1104" s="74">
        <f t="shared" si="52"/>
        <v>0</v>
      </c>
      <c r="U1104" s="75">
        <f t="shared" si="21"/>
        <v>4.6495000000000006</v>
      </c>
      <c r="V11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4" s="18" t="str">
        <f>IFERROR(IF(LEFT(ICE[[#This Row],[Tenor]], 1) = "B", RTD("esrtd",,$B1104 &amp; " " &amp; ICE[[#This Row],[Tenor]] &amp; "-IEU", W$1), RTD("esrtd",,$B1104 &amp; " " &amp; VLOOKUP(MONTH(ICE[[#This Row],[Strip]]), MthRef[], 2, 0) &amp; RIGHT(YEAR(ICE[[#This Row],[Strip]]), 2) &amp; "-IEU", W$1)), "")</f>
        <v/>
      </c>
      <c r="X1104" s="36"/>
    </row>
    <row r="1105" spans="1:24" x14ac:dyDescent="0.25">
      <c r="A1105" s="71" t="s">
        <v>437</v>
      </c>
      <c r="B1105" s="3" t="str">
        <f>RTD("ice.rtd",,$C1105 &amp; $D1105 &amp; ":" &amp; B$1)</f>
        <v>Invalid Market: CALCQ7</v>
      </c>
      <c r="C1105" s="72" t="s">
        <v>827</v>
      </c>
      <c r="D1105" s="73" t="s">
        <v>820</v>
      </c>
      <c r="E1105" s="72" t="str">
        <f t="shared" si="17"/>
        <v>Q3 28</v>
      </c>
      <c r="F1105" s="72" t="str">
        <f>ICE[[#This Row],[Prod]]&amp;ICE[[#This Row],[Strip]]</f>
        <v>fo05bfrbrxQ3 28</v>
      </c>
      <c r="G1105" s="75"/>
      <c r="H1105" s="75" t="str">
        <f t="shared" si="18"/>
        <v/>
      </c>
      <c r="I1105" s="75"/>
      <c r="J1105" s="76"/>
      <c r="K1105" s="75"/>
      <c r="L1105" s="74"/>
      <c r="M1105" s="76"/>
      <c r="N1105" s="74"/>
      <c r="O1105" s="74"/>
      <c r="P1105" s="74"/>
      <c r="Q1105" s="76"/>
      <c r="R1105" s="75" t="str">
        <f t="shared" si="19"/>
        <v/>
      </c>
      <c r="S1105" s="74">
        <f t="shared" ref="S1105:T1105" si="53">S1029*6.35 + S1067</f>
        <v>0</v>
      </c>
      <c r="T1105" s="74">
        <f t="shared" si="53"/>
        <v>0</v>
      </c>
      <c r="U1105" s="75">
        <f t="shared" si="21"/>
        <v>4.5777999999999999</v>
      </c>
      <c r="V11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5" s="18" t="str">
        <f>IFERROR(IF(LEFT(ICE[[#This Row],[Tenor]], 1) = "B", RTD("esrtd",,$B1105 &amp; " " &amp; ICE[[#This Row],[Tenor]] &amp; "-IEU", W$1), RTD("esrtd",,$B1105 &amp; " " &amp; VLOOKUP(MONTH(ICE[[#This Row],[Strip]]), MthRef[], 2, 0) &amp; RIGHT(YEAR(ICE[[#This Row],[Strip]]), 2) &amp; "-IEU", W$1)), "")</f>
        <v/>
      </c>
      <c r="X1105" s="36"/>
    </row>
    <row r="1106" spans="1:24" x14ac:dyDescent="0.25">
      <c r="A1106" s="71" t="s">
        <v>437</v>
      </c>
      <c r="B1106" s="3" t="str">
        <f>RTD("ice.rtd",,$C1106 &amp; $D1106 &amp; ":" &amp; B$1)</f>
        <v>Invalid Market: CALCQ8</v>
      </c>
      <c r="C1106" s="72" t="s">
        <v>827</v>
      </c>
      <c r="D1106" s="73" t="s">
        <v>821</v>
      </c>
      <c r="E1106" s="72" t="str">
        <f t="shared" si="17"/>
        <v>Q4 28</v>
      </c>
      <c r="F1106" s="72" t="str">
        <f>ICE[[#This Row],[Prod]]&amp;ICE[[#This Row],[Strip]]</f>
        <v>fo05bfrbrxQ4 28</v>
      </c>
      <c r="G1106" s="75"/>
      <c r="H1106" s="75" t="str">
        <f t="shared" si="18"/>
        <v/>
      </c>
      <c r="I1106" s="75"/>
      <c r="J1106" s="76"/>
      <c r="K1106" s="75"/>
      <c r="L1106" s="74"/>
      <c r="M1106" s="76"/>
      <c r="N1106" s="74"/>
      <c r="O1106" s="74"/>
      <c r="P1106" s="74"/>
      <c r="Q1106" s="76"/>
      <c r="R1106" s="75" t="str">
        <f t="shared" si="19"/>
        <v/>
      </c>
      <c r="S1106" s="74">
        <f t="shared" ref="S1106:T1106" si="54">S1030*6.35 + S1068</f>
        <v>0</v>
      </c>
      <c r="T1106" s="74">
        <f t="shared" si="54"/>
        <v>0</v>
      </c>
      <c r="U1106" s="75">
        <f t="shared" si="21"/>
        <v>4.4485999999999999</v>
      </c>
      <c r="V11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6" s="18" t="str">
        <f>IFERROR(IF(LEFT(ICE[[#This Row],[Tenor]], 1) = "B", RTD("esrtd",,$B1106 &amp; " " &amp; ICE[[#This Row],[Tenor]] &amp; "-IEU", W$1), RTD("esrtd",,$B1106 &amp; " " &amp; VLOOKUP(MONTH(ICE[[#This Row],[Strip]]), MthRef[], 2, 0) &amp; RIGHT(YEAR(ICE[[#This Row],[Strip]]), 2) &amp; "-IEU", W$1)), "")</f>
        <v/>
      </c>
      <c r="X1106" s="36"/>
    </row>
    <row r="1107" spans="1:24" x14ac:dyDescent="0.25">
      <c r="A1107" s="71" t="s">
        <v>437</v>
      </c>
      <c r="B1107" s="3" t="str">
        <f>RTD("ice.rtd",,$C1107 &amp; $D1107 &amp; ":" &amp; B$1)</f>
        <v>Invalid Market: CALCY0</v>
      </c>
      <c r="C1107" s="72" t="s">
        <v>827</v>
      </c>
      <c r="D1107" s="73" t="s">
        <v>822</v>
      </c>
      <c r="E1107" s="72" t="str">
        <f t="shared" si="17"/>
        <v>Cal 27</v>
      </c>
      <c r="F1107" s="72" t="str">
        <f>ICE[[#This Row],[Prod]]&amp;ICE[[#This Row],[Strip]]</f>
        <v>fo05bfrbrxCal 27</v>
      </c>
      <c r="G1107" s="75"/>
      <c r="H1107" s="75" t="str">
        <f t="shared" si="18"/>
        <v/>
      </c>
      <c r="I1107" s="75"/>
      <c r="J1107" s="76"/>
      <c r="K1107" s="75"/>
      <c r="L1107" s="74"/>
      <c r="M1107" s="76"/>
      <c r="N1107" s="74"/>
      <c r="O1107" s="74"/>
      <c r="P1107" s="74"/>
      <c r="Q1107" s="76"/>
      <c r="R1107" s="75" t="str">
        <f t="shared" si="19"/>
        <v/>
      </c>
      <c r="S1107" s="74">
        <f t="shared" ref="S1107:T1107" si="55">S1031*6.35 + S1069</f>
        <v>0</v>
      </c>
      <c r="T1107" s="74">
        <f t="shared" si="55"/>
        <v>0</v>
      </c>
      <c r="U1107" s="75">
        <f t="shared" si="21"/>
        <v>5.9575000000000005</v>
      </c>
      <c r="V11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7" s="18" t="str">
        <f>IFERROR(IF(LEFT(ICE[[#This Row],[Tenor]], 1) = "B", RTD("esrtd",,$B1107 &amp; " " &amp; ICE[[#This Row],[Tenor]] &amp; "-IEU", W$1), RTD("esrtd",,$B1107 &amp; " " &amp; VLOOKUP(MONTH(ICE[[#This Row],[Strip]]), MthRef[], 2, 0) &amp; RIGHT(YEAR(ICE[[#This Row],[Strip]]), 2) &amp; "-IEU", W$1)), "")</f>
        <v/>
      </c>
      <c r="X1107" s="36"/>
    </row>
    <row r="1108" spans="1:24" x14ac:dyDescent="0.25">
      <c r="A1108" s="71" t="s">
        <v>437</v>
      </c>
      <c r="B1108" s="3" t="str">
        <f>RTD("ice.rtd",,$C1108 &amp; $D1108 &amp; ":" &amp; B$1)</f>
        <v>Invalid Market: CALCY1</v>
      </c>
      <c r="C1108" s="72" t="s">
        <v>827</v>
      </c>
      <c r="D1108" s="73" t="s">
        <v>823</v>
      </c>
      <c r="E1108" s="72" t="str">
        <f t="shared" si="17"/>
        <v>Cal 28</v>
      </c>
      <c r="F1108" s="72" t="str">
        <f>ICE[[#This Row],[Prod]]&amp;ICE[[#This Row],[Strip]]</f>
        <v>fo05bfrbrxCal 28</v>
      </c>
      <c r="G1108" s="75"/>
      <c r="H1108" s="75" t="str">
        <f t="shared" si="18"/>
        <v/>
      </c>
      <c r="I1108" s="75"/>
      <c r="J1108" s="76"/>
      <c r="K1108" s="75"/>
      <c r="L1108" s="74"/>
      <c r="M1108" s="76"/>
      <c r="N1108" s="74"/>
      <c r="O1108" s="74"/>
      <c r="P1108" s="74"/>
      <c r="Q1108" s="76"/>
      <c r="R1108" s="75" t="str">
        <f t="shared" si="19"/>
        <v/>
      </c>
      <c r="S1108" s="74">
        <f t="shared" ref="S1108:T1108" si="56">S1032*6.35 + S1070</f>
        <v>0</v>
      </c>
      <c r="T1108" s="74">
        <f t="shared" si="56"/>
        <v>0</v>
      </c>
      <c r="U1108" s="75">
        <f t="shared" si="21"/>
        <v>4.5841000000000003</v>
      </c>
      <c r="V11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8" s="18" t="str">
        <f>IFERROR(IF(LEFT(ICE[[#This Row],[Tenor]], 1) = "B", RTD("esrtd",,$B1108 &amp; " " &amp; ICE[[#This Row],[Tenor]] &amp; "-IEU", W$1), RTD("esrtd",,$B1108 &amp; " " &amp; VLOOKUP(MONTH(ICE[[#This Row],[Strip]]), MthRef[], 2, 0) &amp; RIGHT(YEAR(ICE[[#This Row],[Strip]]), 2) &amp; "-IEU", W$1)), "")</f>
        <v/>
      </c>
      <c r="X1108" s="36"/>
    </row>
    <row r="1109" spans="1:24" x14ac:dyDescent="0.25">
      <c r="A1109" s="71" t="s">
        <v>437</v>
      </c>
      <c r="B1109" s="3" t="str">
        <f>RTD("ice.rtd",,$C1109 &amp; $D1109 &amp; ":" &amp; B$1)</f>
        <v>Invalid Market: CALCY2</v>
      </c>
      <c r="C1109" s="72" t="s">
        <v>827</v>
      </c>
      <c r="D1109" s="73" t="s">
        <v>824</v>
      </c>
      <c r="E1109" s="72" t="str">
        <f t="shared" si="17"/>
        <v>Cal 29</v>
      </c>
      <c r="F1109" s="72" t="str">
        <f>ICE[[#This Row],[Prod]]&amp;ICE[[#This Row],[Strip]]</f>
        <v>fo05bfrbrxCal 29</v>
      </c>
      <c r="G1109" s="75"/>
      <c r="H1109" s="75" t="str">
        <f t="shared" si="18"/>
        <v/>
      </c>
      <c r="I1109" s="75"/>
      <c r="J1109" s="76"/>
      <c r="K1109" s="75"/>
      <c r="L1109" s="74"/>
      <c r="M1109" s="76"/>
      <c r="N1109" s="74"/>
      <c r="O1109" s="74"/>
      <c r="P1109" s="74"/>
      <c r="Q1109" s="76"/>
      <c r="R1109" s="75" t="str">
        <f t="shared" si="19"/>
        <v/>
      </c>
      <c r="S1109" s="74">
        <f t="shared" ref="S1109:T1109" si="57">S1033*6.35 + S1071</f>
        <v>0</v>
      </c>
      <c r="T1109" s="74">
        <f t="shared" si="57"/>
        <v>0</v>
      </c>
      <c r="U1109" s="75">
        <f t="shared" si="21"/>
        <v>5.3715999999999999</v>
      </c>
      <c r="V11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09" s="18" t="str">
        <f>IFERROR(IF(LEFT(ICE[[#This Row],[Tenor]], 1) = "B", RTD("esrtd",,$B1109 &amp; " " &amp; ICE[[#This Row],[Tenor]] &amp; "-IEU", W$1), RTD("esrtd",,$B1109 &amp; " " &amp; VLOOKUP(MONTH(ICE[[#This Row],[Strip]]), MthRef[], 2, 0) &amp; RIGHT(YEAR(ICE[[#This Row],[Strip]]), 2) &amp; "-IEU", W$1)), "")</f>
        <v/>
      </c>
      <c r="X1109" s="36"/>
    </row>
    <row r="1110" spans="1:24" x14ac:dyDescent="0.25">
      <c r="A1110" s="37" t="s">
        <v>835</v>
      </c>
      <c r="B1110" s="3" t="str">
        <f>RTD("ice.rtd",,$C1110 &amp; $D1110 &amp; ":" &amp; B$1)</f>
        <v>MHF</v>
      </c>
      <c r="C1110" s="3">
        <v>2888129698</v>
      </c>
      <c r="D1110" t="s">
        <v>792</v>
      </c>
      <c r="E1110" s="3" t="str">
        <f>RTD("ice.rtd",,$C1110 &amp; $D1110 &amp; ":" &amp; E$1)</f>
        <v>Bal Month</v>
      </c>
      <c r="F1110" s="3" t="str">
        <f>ICE[[#This Row],[Prod]]&amp;ICE[[#This Row],[Strip]]</f>
        <v>fo05singbrxmtBal Month</v>
      </c>
      <c r="G1110" s="18" t="str">
        <f>RTD("ice.rtd",,$C1110 &amp; $D1110 &amp; ":" &amp; G$1)</f>
        <v/>
      </c>
      <c r="H1110" s="18" t="str">
        <f>RTD("ice.rtd",,$C1110 &amp; $D1110 &amp; ":" &amp; H$1)</f>
        <v/>
      </c>
      <c r="I1110" s="18" t="str">
        <f>RTD("ice.rtd",,$C1110 &amp; $D1110 &amp; ":" &amp; I$1)</f>
        <v/>
      </c>
      <c r="J1110" s="14" t="str">
        <f>IFERROR(MOD(RTD("ice.rtd",,$C1110 &amp; $D1110 &amp; ":" &amp; J$1), 1), "")</f>
        <v/>
      </c>
      <c r="K1110" s="18" t="str">
        <f>RTD("ice.rtd",,$C1110 &amp; $D1110 &amp; ":" &amp; K$1)</f>
        <v/>
      </c>
      <c r="L1110" s="36" t="str">
        <f>RTD("ice.rtd",,$C1110 &amp; $D1110 &amp; ":" &amp; L$1)</f>
        <v/>
      </c>
      <c r="M1110" s="14" t="str">
        <f>IFERROR(MOD(TIMEVALUE(RTD("ice.rtd",,$C1110 &amp; $D1110 &amp; ":" &amp; M$1)), 1), "")</f>
        <v/>
      </c>
      <c r="N1110" s="36">
        <f>RTD("ice.rtd",,$C1110 &amp; $D1110 &amp; ":" &amp; N$1)</f>
        <v>0</v>
      </c>
      <c r="O1110" s="36">
        <f>RTD("ice.rtd",,$C1110 &amp; $D1110 &amp; ":" &amp; O$1)</f>
        <v>0</v>
      </c>
      <c r="P11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0" s="14" t="str">
        <f>IF(ICE[[#This Row],[LastType]] = "Scrn", ICE[[#This Row],[LstDate]], IF(ICE[[#This Row],[LastType]] = "Blk", ICE[[#This Row],[LstBlkTime]], ""))</f>
        <v/>
      </c>
      <c r="R1110" s="41" t="str">
        <f>IF(ICE[[#This Row],[LastType]] = "Scrn", ICE[[#This Row],[LstPrc]], IF(ICE[[#This Row],[LastType]] = "Blk", ICE[[#This Row],[LstBlkPrc]], ""))</f>
        <v/>
      </c>
      <c r="S1110" s="36">
        <f>ICE[[#This Row],[Vol]]+ICE[[#This Row],[BlkVol]]</f>
        <v>0</v>
      </c>
      <c r="T1110" s="36">
        <f>RTD("ice.rtd",,$C1110 &amp; $D1110 &amp; ":" &amp; T$1)</f>
        <v>0</v>
      </c>
      <c r="U1110" s="18">
        <f>RTD("ice.rtd",,$C1110 &amp; $D1110 &amp; ":" &amp; U$1)</f>
        <v>24.464000000000002</v>
      </c>
      <c r="V11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0" s="18" t="str">
        <f>IFERROR(IF(LEFT(ICE[[#This Row],[Tenor]], 1) = "B", RTD("esrtd",,$B1110 &amp; " " &amp; ICE[[#This Row],[Tenor]] &amp; "-IEU", W$1), RTD("esrtd",,$B1110 &amp; " " &amp; VLOOKUP(MONTH(ICE[[#This Row],[Strip]]), MthRef[], 2, 0) &amp; RIGHT(YEAR(ICE[[#This Row],[Strip]]), 2) &amp; "-IEU", W$1)), "")</f>
        <v/>
      </c>
      <c r="X1110" s="36"/>
    </row>
    <row r="1111" spans="1:24" x14ac:dyDescent="0.25">
      <c r="A1111" s="37" t="s">
        <v>835</v>
      </c>
      <c r="B1111" s="3" t="str">
        <f>RTD("ice.rtd",,$C1111 &amp; $D1111 &amp; ":" &amp; B$1)</f>
        <v>TEN</v>
      </c>
      <c r="C1111" s="3">
        <v>2755728678</v>
      </c>
      <c r="D1111" t="s">
        <v>793</v>
      </c>
      <c r="E1111" s="3" t="str">
        <f>RTD("ice.rtd",,$C1111 &amp; $D1111 &amp; ":" &amp; E$1)</f>
        <v>Sep26</v>
      </c>
      <c r="F1111" s="3" t="str">
        <f>ICE[[#This Row],[Prod]]&amp;ICE[[#This Row],[Strip]]</f>
        <v>fo05singbrxmtSep26</v>
      </c>
      <c r="G1111" s="18" t="str">
        <f>RTD("ice.rtd",,$C1111 &amp; $D1111 &amp; ":" &amp; G$1)</f>
        <v/>
      </c>
      <c r="H1111" s="18" t="str">
        <f>RTD("ice.rtd",,$C1111 &amp; $D1111 &amp; ":" &amp; H$1)</f>
        <v/>
      </c>
      <c r="I1111" s="18" t="str">
        <f>RTD("ice.rtd",,$C1111 &amp; $D1111 &amp; ":" &amp; I$1)</f>
        <v/>
      </c>
      <c r="J1111" s="14" t="str">
        <f>IFERROR(MOD(RTD("ice.rtd",,$C1111 &amp; $D1111 &amp; ":" &amp; J$1), 1), "")</f>
        <v/>
      </c>
      <c r="K1111" s="18" t="str">
        <f>RTD("ice.rtd",,$C1111 &amp; $D1111 &amp; ":" &amp; K$1)</f>
        <v/>
      </c>
      <c r="L1111" s="36" t="str">
        <f>RTD("ice.rtd",,$C1111 &amp; $D1111 &amp; ":" &amp; L$1)</f>
        <v/>
      </c>
      <c r="M1111" s="14" t="str">
        <f>IFERROR(MOD(TIMEVALUE(RTD("ice.rtd",,$C1111 &amp; $D1111 &amp; ":" &amp; M$1)), 1), "")</f>
        <v/>
      </c>
      <c r="N1111" s="36">
        <f>RTD("ice.rtd",,$C1111 &amp; $D1111 &amp; ":" &amp; N$1)</f>
        <v>0</v>
      </c>
      <c r="O1111" s="36">
        <f>RTD("ice.rtd",,$C1111 &amp; $D1111 &amp; ":" &amp; O$1)</f>
        <v>0</v>
      </c>
      <c r="P11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1" s="14" t="str">
        <f>IF(ICE[[#This Row],[LastType]] = "Scrn", ICE[[#This Row],[LstDate]], IF(ICE[[#This Row],[LastType]] = "Blk", ICE[[#This Row],[LstBlkTime]], ""))</f>
        <v/>
      </c>
      <c r="R1111" s="41" t="str">
        <f>IF(ICE[[#This Row],[LastType]] = "Scrn", ICE[[#This Row],[LstPrc]], IF(ICE[[#This Row],[LastType]] = "Blk", ICE[[#This Row],[LstBlkPrc]], ""))</f>
        <v/>
      </c>
      <c r="S1111" s="36">
        <f>ICE[[#This Row],[Vol]]+ICE[[#This Row],[BlkVol]]</f>
        <v>0</v>
      </c>
      <c r="T1111" s="36">
        <f>RTD("ice.rtd",,$C1111 &amp; $D1111 &amp; ":" &amp; T$1)</f>
        <v>992</v>
      </c>
      <c r="U1111" s="18">
        <f>RTD("ice.rtd",,$C1111 &amp; $D1111 &amp; ":" &amp; U$1)</f>
        <v>24.464300000000001</v>
      </c>
      <c r="V11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1" s="18" t="str">
        <f>IFERROR(IF(LEFT(ICE[[#This Row],[Tenor]], 1) = "B", RTD("esrtd",,$B1111 &amp; " " &amp; ICE[[#This Row],[Tenor]] &amp; "-IEU", W$1), RTD("esrtd",,$B1111 &amp; " " &amp; VLOOKUP(MONTH(ICE[[#This Row],[Strip]]), MthRef[], 2, 0) &amp; RIGHT(YEAR(ICE[[#This Row],[Strip]]), 2) &amp; "-IEU", W$1)), "")</f>
        <v/>
      </c>
      <c r="X1111" s="36"/>
    </row>
    <row r="1112" spans="1:24" x14ac:dyDescent="0.25">
      <c r="A1112" s="37" t="s">
        <v>835</v>
      </c>
      <c r="B1112" s="3" t="str">
        <f>RTD("ice.rtd",,$C1112 &amp; $D1112 &amp; ":" &amp; B$1)</f>
        <v>TEN</v>
      </c>
      <c r="C1112" s="3">
        <v>2755728678</v>
      </c>
      <c r="D1112" t="s">
        <v>324</v>
      </c>
      <c r="E1112" s="3" t="str">
        <f>RTD("ice.rtd",,$C1112 &amp; $D1112 &amp; ":" &amp; E$1)</f>
        <v>Oct26</v>
      </c>
      <c r="F1112" s="3" t="str">
        <f>ICE[[#This Row],[Prod]]&amp;ICE[[#This Row],[Strip]]</f>
        <v>fo05singbrxmtOct26</v>
      </c>
      <c r="G1112" s="18" t="str">
        <f>RTD("ice.rtd",,$C1112 &amp; $D1112 &amp; ":" &amp; G$1)</f>
        <v/>
      </c>
      <c r="H1112" s="18" t="str">
        <f>RTD("ice.rtd",,$C1112 &amp; $D1112 &amp; ":" &amp; H$1)</f>
        <v/>
      </c>
      <c r="I1112" s="18" t="str">
        <f>RTD("ice.rtd",,$C1112 &amp; $D1112 &amp; ":" &amp; I$1)</f>
        <v/>
      </c>
      <c r="J1112" s="14" t="str">
        <f>IFERROR(MOD(RTD("ice.rtd",,$C1112 &amp; $D1112 &amp; ":" &amp; J$1), 1), "")</f>
        <v/>
      </c>
      <c r="K1112" s="18">
        <f>RTD("ice.rtd",,$C1112 &amp; $D1112 &amp; ":" &amp; K$1)</f>
        <v>19.100000000000001</v>
      </c>
      <c r="L1112" s="36">
        <f>RTD("ice.rtd",,$C1112 &amp; $D1112 &amp; ":" &amp; L$1)</f>
        <v>6</v>
      </c>
      <c r="M1112" s="14">
        <f>IFERROR(MOD(TIMEVALUE(RTD("ice.rtd",,$C1112 &amp; $D1112 &amp; ":" &amp; M$1)), 1), "")</f>
        <v>0.45925925925925926</v>
      </c>
      <c r="N1112" s="36">
        <f>RTD("ice.rtd",,$C1112 &amp; $D1112 &amp; ":" &amp; N$1)</f>
        <v>0</v>
      </c>
      <c r="O1112" s="36">
        <f>RTD("ice.rtd",,$C1112 &amp; $D1112 &amp; ":" &amp; O$1)</f>
        <v>23</v>
      </c>
      <c r="P11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112" s="14">
        <f>IF(ICE[[#This Row],[LastType]] = "Scrn", ICE[[#This Row],[LstDate]], IF(ICE[[#This Row],[LastType]] = "Blk", ICE[[#This Row],[LstBlkTime]], ""))</f>
        <v>0.45925925925925926</v>
      </c>
      <c r="R1112" s="41">
        <f>IF(ICE[[#This Row],[LastType]] = "Scrn", ICE[[#This Row],[LstPrc]], IF(ICE[[#This Row],[LastType]] = "Blk", ICE[[#This Row],[LstBlkPrc]], ""))</f>
        <v>19.100000000000001</v>
      </c>
      <c r="S1112" s="36">
        <f>ICE[[#This Row],[Vol]]+ICE[[#This Row],[BlkVol]]</f>
        <v>23</v>
      </c>
      <c r="T1112" s="36">
        <f>RTD("ice.rtd",,$C1112 &amp; $D1112 &amp; ":" &amp; T$1)</f>
        <v>671</v>
      </c>
      <c r="U1112" s="18">
        <f>RTD("ice.rtd",,$C1112 &amp; $D1112 &amp; ":" &amp; U$1)</f>
        <v>19.395700000000001</v>
      </c>
      <c r="V11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{19.10} |23x</v>
      </c>
      <c r="W1112" s="18" t="str">
        <f>IFERROR(IF(LEFT(ICE[[#This Row],[Tenor]], 1) = "B", RTD("esrtd",,$B1112 &amp; " " &amp; ICE[[#This Row],[Tenor]] &amp; "-IEU", W$1), RTD("esrtd",,$B1112 &amp; " " &amp; VLOOKUP(MONTH(ICE[[#This Row],[Strip]]), MthRef[], 2, 0) &amp; RIGHT(YEAR(ICE[[#This Row],[Strip]]), 2) &amp; "-IEU", W$1)), "")</f>
        <v/>
      </c>
      <c r="X1112" s="36"/>
    </row>
    <row r="1113" spans="1:24" x14ac:dyDescent="0.25">
      <c r="A1113" s="37" t="s">
        <v>835</v>
      </c>
      <c r="B1113" s="3" t="str">
        <f>RTD("ice.rtd",,$C1113 &amp; $D1113 &amp; ":" &amp; B$1)</f>
        <v>TEN</v>
      </c>
      <c r="C1113" s="3">
        <v>2755728678</v>
      </c>
      <c r="D1113" t="s">
        <v>325</v>
      </c>
      <c r="E1113" s="3" t="str">
        <f>RTD("ice.rtd",,$C1113 &amp; $D1113 &amp; ":" &amp; E$1)</f>
        <v>Nov26</v>
      </c>
      <c r="F1113" s="3" t="str">
        <f>ICE[[#This Row],[Prod]]&amp;ICE[[#This Row],[Strip]]</f>
        <v>fo05singbrxmtNov26</v>
      </c>
      <c r="G1113" s="18" t="str">
        <f>RTD("ice.rtd",,$C1113 &amp; $D1113 &amp; ":" &amp; G$1)</f>
        <v/>
      </c>
      <c r="H1113" s="18" t="str">
        <f>RTD("ice.rtd",,$C1113 &amp; $D1113 &amp; ":" &amp; H$1)</f>
        <v/>
      </c>
      <c r="I1113" s="18" t="str">
        <f>RTD("ice.rtd",,$C1113 &amp; $D1113 &amp; ":" &amp; I$1)</f>
        <v/>
      </c>
      <c r="J1113" s="14" t="str">
        <f>IFERROR(MOD(RTD("ice.rtd",,$C1113 &amp; $D1113 &amp; ":" &amp; J$1), 1), "")</f>
        <v/>
      </c>
      <c r="K1113" s="18" t="str">
        <f>RTD("ice.rtd",,$C1113 &amp; $D1113 &amp; ":" &amp; K$1)</f>
        <v/>
      </c>
      <c r="L1113" s="36" t="str">
        <f>RTD("ice.rtd",,$C1113 &amp; $D1113 &amp; ":" &amp; L$1)</f>
        <v/>
      </c>
      <c r="M1113" s="14" t="str">
        <f>IFERROR(MOD(TIMEVALUE(RTD("ice.rtd",,$C1113 &amp; $D1113 &amp; ":" &amp; M$1)), 1), "")</f>
        <v/>
      </c>
      <c r="N1113" s="36">
        <f>RTD("ice.rtd",,$C1113 &amp; $D1113 &amp; ":" &amp; N$1)</f>
        <v>0</v>
      </c>
      <c r="O1113" s="36">
        <f>RTD("ice.rtd",,$C1113 &amp; $D1113 &amp; ":" &amp; O$1)</f>
        <v>0</v>
      </c>
      <c r="P11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3" s="14" t="str">
        <f>IF(ICE[[#This Row],[LastType]] = "Scrn", ICE[[#This Row],[LstDate]], IF(ICE[[#This Row],[LastType]] = "Blk", ICE[[#This Row],[LstBlkTime]], ""))</f>
        <v/>
      </c>
      <c r="R1113" s="41" t="str">
        <f>IF(ICE[[#This Row],[LastType]] = "Scrn", ICE[[#This Row],[LstPrc]], IF(ICE[[#This Row],[LastType]] = "Blk", ICE[[#This Row],[LstBlkPrc]], ""))</f>
        <v/>
      </c>
      <c r="S1113" s="36">
        <f>ICE[[#This Row],[Vol]]+ICE[[#This Row],[BlkVol]]</f>
        <v>0</v>
      </c>
      <c r="T1113" s="36">
        <f>RTD("ice.rtd",,$C1113 &amp; $D1113 &amp; ":" &amp; T$1)</f>
        <v>609</v>
      </c>
      <c r="U1113" s="18">
        <f>RTD("ice.rtd",,$C1113 &amp; $D1113 &amp; ":" &amp; U$1)</f>
        <v>16.885000000000002</v>
      </c>
      <c r="V11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3" s="18" t="str">
        <f>IFERROR(IF(LEFT(ICE[[#This Row],[Tenor]], 1) = "B", RTD("esrtd",,$B1113 &amp; " " &amp; ICE[[#This Row],[Tenor]] &amp; "-IEU", W$1), RTD("esrtd",,$B1113 &amp; " " &amp; VLOOKUP(MONTH(ICE[[#This Row],[Strip]]), MthRef[], 2, 0) &amp; RIGHT(YEAR(ICE[[#This Row],[Strip]]), 2) &amp; "-IEU", W$1)), "")</f>
        <v/>
      </c>
      <c r="X1113" s="36"/>
    </row>
    <row r="1114" spans="1:24" x14ac:dyDescent="0.25">
      <c r="A1114" s="37" t="s">
        <v>835</v>
      </c>
      <c r="B1114" s="3" t="str">
        <f>RTD("ice.rtd",,$C1114 &amp; $D1114 &amp; ":" &amp; B$1)</f>
        <v>TEN</v>
      </c>
      <c r="C1114" s="3">
        <v>2755728678</v>
      </c>
      <c r="D1114" t="s">
        <v>326</v>
      </c>
      <c r="E1114" s="3" t="str">
        <f>RTD("ice.rtd",,$C1114 &amp; $D1114 &amp; ":" &amp; E$1)</f>
        <v>Dec26</v>
      </c>
      <c r="F1114" s="3" t="str">
        <f>ICE[[#This Row],[Prod]]&amp;ICE[[#This Row],[Strip]]</f>
        <v>fo05singbrxmtDec26</v>
      </c>
      <c r="G1114" s="18" t="str">
        <f>RTD("ice.rtd",,$C1114 &amp; $D1114 &amp; ":" &amp; G$1)</f>
        <v/>
      </c>
      <c r="H1114" s="18" t="str">
        <f>RTD("ice.rtd",,$C1114 &amp; $D1114 &amp; ":" &amp; H$1)</f>
        <v/>
      </c>
      <c r="I1114" s="18" t="str">
        <f>RTD("ice.rtd",,$C1114 &amp; $D1114 &amp; ":" &amp; I$1)</f>
        <v/>
      </c>
      <c r="J1114" s="14" t="str">
        <f>IFERROR(MOD(RTD("ice.rtd",,$C1114 &amp; $D1114 &amp; ":" &amp; J$1), 1), "")</f>
        <v/>
      </c>
      <c r="K1114" s="18" t="str">
        <f>RTD("ice.rtd",,$C1114 &amp; $D1114 &amp; ":" &amp; K$1)</f>
        <v/>
      </c>
      <c r="L1114" s="36" t="str">
        <f>RTD("ice.rtd",,$C1114 &amp; $D1114 &amp; ":" &amp; L$1)</f>
        <v/>
      </c>
      <c r="M1114" s="14" t="str">
        <f>IFERROR(MOD(TIMEVALUE(RTD("ice.rtd",,$C1114 &amp; $D1114 &amp; ":" &amp; M$1)), 1), "")</f>
        <v/>
      </c>
      <c r="N1114" s="36">
        <f>RTD("ice.rtd",,$C1114 &amp; $D1114 &amp; ":" &amp; N$1)</f>
        <v>0</v>
      </c>
      <c r="O1114" s="36">
        <f>RTD("ice.rtd",,$C1114 &amp; $D1114 &amp; ":" &amp; O$1)</f>
        <v>0</v>
      </c>
      <c r="P11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4" s="14" t="str">
        <f>IF(ICE[[#This Row],[LastType]] = "Scrn", ICE[[#This Row],[LstDate]], IF(ICE[[#This Row],[LastType]] = "Blk", ICE[[#This Row],[LstBlkTime]], ""))</f>
        <v/>
      </c>
      <c r="R1114" s="41" t="str">
        <f>IF(ICE[[#This Row],[LastType]] = "Scrn", ICE[[#This Row],[LstPrc]], IF(ICE[[#This Row],[LastType]] = "Blk", ICE[[#This Row],[LstBlkPrc]], ""))</f>
        <v/>
      </c>
      <c r="S1114" s="36">
        <f>ICE[[#This Row],[Vol]]+ICE[[#This Row],[BlkVol]]</f>
        <v>0</v>
      </c>
      <c r="T1114" s="36">
        <f>RTD("ice.rtd",,$C1114 &amp; $D1114 &amp; ":" &amp; T$1)</f>
        <v>567</v>
      </c>
      <c r="U1114" s="18">
        <f>RTD("ice.rtd",,$C1114 &amp; $D1114 &amp; ":" &amp; U$1)</f>
        <v>16.053900000000002</v>
      </c>
      <c r="V11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4" s="18" t="str">
        <f>IFERROR(IF(LEFT(ICE[[#This Row],[Tenor]], 1) = "B", RTD("esrtd",,$B1114 &amp; " " &amp; ICE[[#This Row],[Tenor]] &amp; "-IEU", W$1), RTD("esrtd",,$B1114 &amp; " " &amp; VLOOKUP(MONTH(ICE[[#This Row],[Strip]]), MthRef[], 2, 0) &amp; RIGHT(YEAR(ICE[[#This Row],[Strip]]), 2) &amp; "-IEU", W$1)), "")</f>
        <v/>
      </c>
      <c r="X1114" s="36"/>
    </row>
    <row r="1115" spans="1:24" x14ac:dyDescent="0.25">
      <c r="A1115" s="37" t="s">
        <v>835</v>
      </c>
      <c r="B1115" s="3" t="str">
        <f>RTD("ice.rtd",,$C1115 &amp; $D1115 &amp; ":" &amp; B$1)</f>
        <v>TEN</v>
      </c>
      <c r="C1115" s="3">
        <v>2755728678</v>
      </c>
      <c r="D1115" t="s">
        <v>794</v>
      </c>
      <c r="E1115" s="3" t="str">
        <f>RTD("ice.rtd",,$C1115 &amp; $D1115 &amp; ":" &amp; E$1)</f>
        <v>Jan27</v>
      </c>
      <c r="F1115" s="3" t="str">
        <f>ICE[[#This Row],[Prod]]&amp;ICE[[#This Row],[Strip]]</f>
        <v>fo05singbrxmtJan27</v>
      </c>
      <c r="G1115" s="18" t="str">
        <f>RTD("ice.rtd",,$C1115 &amp; $D1115 &amp; ":" &amp; G$1)</f>
        <v/>
      </c>
      <c r="H1115" s="18" t="str">
        <f>RTD("ice.rtd",,$C1115 &amp; $D1115 &amp; ":" &amp; H$1)</f>
        <v/>
      </c>
      <c r="I1115" s="18" t="str">
        <f>RTD("ice.rtd",,$C1115 &amp; $D1115 &amp; ":" &amp; I$1)</f>
        <v/>
      </c>
      <c r="J1115" s="14" t="str">
        <f>IFERROR(MOD(RTD("ice.rtd",,$C1115 &amp; $D1115 &amp; ":" &amp; J$1), 1), "")</f>
        <v/>
      </c>
      <c r="K1115" s="18" t="str">
        <f>RTD("ice.rtd",,$C1115 &amp; $D1115 &amp; ":" &amp; K$1)</f>
        <v/>
      </c>
      <c r="L1115" s="36" t="str">
        <f>RTD("ice.rtd",,$C1115 &amp; $D1115 &amp; ":" &amp; L$1)</f>
        <v/>
      </c>
      <c r="M1115" s="14" t="str">
        <f>IFERROR(MOD(TIMEVALUE(RTD("ice.rtd",,$C1115 &amp; $D1115 &amp; ":" &amp; M$1)), 1), "")</f>
        <v/>
      </c>
      <c r="N1115" s="36">
        <f>RTD("ice.rtd",,$C1115 &amp; $D1115 &amp; ":" &amp; N$1)</f>
        <v>0</v>
      </c>
      <c r="O1115" s="36">
        <f>RTD("ice.rtd",,$C1115 &amp; $D1115 &amp; ":" &amp; O$1)</f>
        <v>0</v>
      </c>
      <c r="P11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5" s="14" t="str">
        <f>IF(ICE[[#This Row],[LastType]] = "Scrn", ICE[[#This Row],[LstDate]], IF(ICE[[#This Row],[LastType]] = "Blk", ICE[[#This Row],[LstBlkTime]], ""))</f>
        <v/>
      </c>
      <c r="R1115" s="41" t="str">
        <f>IF(ICE[[#This Row],[LastType]] = "Scrn", ICE[[#This Row],[LstPrc]], IF(ICE[[#This Row],[LastType]] = "Blk", ICE[[#This Row],[LstBlkPrc]], ""))</f>
        <v/>
      </c>
      <c r="S1115" s="36">
        <f>ICE[[#This Row],[Vol]]+ICE[[#This Row],[BlkVol]]</f>
        <v>0</v>
      </c>
      <c r="T1115" s="36">
        <f>RTD("ice.rtd",,$C1115 &amp; $D1115 &amp; ":" &amp; T$1)</f>
        <v>78</v>
      </c>
      <c r="U1115" s="18">
        <f>RTD("ice.rtd",,$C1115 &amp; $D1115 &amp; ":" &amp; U$1)</f>
        <v>15.5938</v>
      </c>
      <c r="V11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5" s="18" t="str">
        <f>IFERROR(IF(LEFT(ICE[[#This Row],[Tenor]], 1) = "B", RTD("esrtd",,$B1115 &amp; " " &amp; ICE[[#This Row],[Tenor]] &amp; "-IEU", W$1), RTD("esrtd",,$B1115 &amp; " " &amp; VLOOKUP(MONTH(ICE[[#This Row],[Strip]]), MthRef[], 2, 0) &amp; RIGHT(YEAR(ICE[[#This Row],[Strip]]), 2) &amp; "-IEU", W$1)), "")</f>
        <v/>
      </c>
      <c r="X1115" s="36"/>
    </row>
    <row r="1116" spans="1:24" x14ac:dyDescent="0.25">
      <c r="A1116" s="37" t="s">
        <v>835</v>
      </c>
      <c r="B1116" s="3" t="str">
        <f>RTD("ice.rtd",,$C1116 &amp; $D1116 &amp; ":" &amp; B$1)</f>
        <v>TEN</v>
      </c>
      <c r="C1116" s="3">
        <v>2755728678</v>
      </c>
      <c r="D1116" t="s">
        <v>795</v>
      </c>
      <c r="E1116" s="3" t="str">
        <f>RTD("ice.rtd",,$C1116 &amp; $D1116 &amp; ":" &amp; E$1)</f>
        <v>Feb27</v>
      </c>
      <c r="F1116" s="3" t="str">
        <f>ICE[[#This Row],[Prod]]&amp;ICE[[#This Row],[Strip]]</f>
        <v>fo05singbrxmtFeb27</v>
      </c>
      <c r="G1116" s="18" t="str">
        <f>RTD("ice.rtd",,$C1116 &amp; $D1116 &amp; ":" &amp; G$1)</f>
        <v/>
      </c>
      <c r="H1116" s="18" t="str">
        <f>RTD("ice.rtd",,$C1116 &amp; $D1116 &amp; ":" &amp; H$1)</f>
        <v/>
      </c>
      <c r="I1116" s="18" t="str">
        <f>RTD("ice.rtd",,$C1116 &amp; $D1116 &amp; ":" &amp; I$1)</f>
        <v/>
      </c>
      <c r="J1116" s="14" t="str">
        <f>IFERROR(MOD(RTD("ice.rtd",,$C1116 &amp; $D1116 &amp; ":" &amp; J$1), 1), "")</f>
        <v/>
      </c>
      <c r="K1116" s="18" t="str">
        <f>RTD("ice.rtd",,$C1116 &amp; $D1116 &amp; ":" &amp; K$1)</f>
        <v/>
      </c>
      <c r="L1116" s="36" t="str">
        <f>RTD("ice.rtd",,$C1116 &amp; $D1116 &amp; ":" &amp; L$1)</f>
        <v/>
      </c>
      <c r="M1116" s="14" t="str">
        <f>IFERROR(MOD(TIMEVALUE(RTD("ice.rtd",,$C1116 &amp; $D1116 &amp; ":" &amp; M$1)), 1), "")</f>
        <v/>
      </c>
      <c r="N1116" s="36">
        <f>RTD("ice.rtd",,$C1116 &amp; $D1116 &amp; ":" &amp; N$1)</f>
        <v>0</v>
      </c>
      <c r="O1116" s="36">
        <f>RTD("ice.rtd",,$C1116 &amp; $D1116 &amp; ":" &amp; O$1)</f>
        <v>0</v>
      </c>
      <c r="P11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6" s="14" t="str">
        <f>IF(ICE[[#This Row],[LastType]] = "Scrn", ICE[[#This Row],[LstDate]], IF(ICE[[#This Row],[LastType]] = "Blk", ICE[[#This Row],[LstBlkTime]], ""))</f>
        <v/>
      </c>
      <c r="R1116" s="41" t="str">
        <f>IF(ICE[[#This Row],[LastType]] = "Scrn", ICE[[#This Row],[LstPrc]], IF(ICE[[#This Row],[LastType]] = "Blk", ICE[[#This Row],[LstBlkPrc]], ""))</f>
        <v/>
      </c>
      <c r="S1116" s="36">
        <f>ICE[[#This Row],[Vol]]+ICE[[#This Row],[BlkVol]]</f>
        <v>0</v>
      </c>
      <c r="T1116" s="36">
        <f>RTD("ice.rtd",,$C1116 &amp; $D1116 &amp; ":" &amp; T$1)</f>
        <v>78</v>
      </c>
      <c r="U1116" s="18">
        <f>RTD("ice.rtd",,$C1116 &amp; $D1116 &amp; ":" &amp; U$1)</f>
        <v>15.504000000000001</v>
      </c>
      <c r="V11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6" s="18" t="str">
        <f>IFERROR(IF(LEFT(ICE[[#This Row],[Tenor]], 1) = "B", RTD("esrtd",,$B1116 &amp; " " &amp; ICE[[#This Row],[Tenor]] &amp; "-IEU", W$1), RTD("esrtd",,$B1116 &amp; " " &amp; VLOOKUP(MONTH(ICE[[#This Row],[Strip]]), MthRef[], 2, 0) &amp; RIGHT(YEAR(ICE[[#This Row],[Strip]]), 2) &amp; "-IEU", W$1)), "")</f>
        <v/>
      </c>
      <c r="X1116" s="36"/>
    </row>
    <row r="1117" spans="1:24" x14ac:dyDescent="0.25">
      <c r="A1117" s="37" t="s">
        <v>835</v>
      </c>
      <c r="B1117" s="3" t="str">
        <f>RTD("ice.rtd",,$C1117 &amp; $D1117 &amp; ":" &amp; B$1)</f>
        <v>TEN</v>
      </c>
      <c r="C1117" s="3">
        <v>2755728678</v>
      </c>
      <c r="D1117" t="s">
        <v>113</v>
      </c>
      <c r="E1117" s="3" t="str">
        <f>RTD("ice.rtd",,$C1117 &amp; $D1117 &amp; ":" &amp; E$1)</f>
        <v>Mar27</v>
      </c>
      <c r="F1117" s="3" t="str">
        <f>ICE[[#This Row],[Prod]]&amp;ICE[[#This Row],[Strip]]</f>
        <v>fo05singbrxmtMar27</v>
      </c>
      <c r="G1117" s="18" t="str">
        <f>RTD("ice.rtd",,$C1117 &amp; $D1117 &amp; ":" &amp; G$1)</f>
        <v/>
      </c>
      <c r="H1117" s="18" t="str">
        <f>RTD("ice.rtd",,$C1117 &amp; $D1117 &amp; ":" &amp; H$1)</f>
        <v/>
      </c>
      <c r="I1117" s="18" t="str">
        <f>RTD("ice.rtd",,$C1117 &amp; $D1117 &amp; ":" &amp; I$1)</f>
        <v/>
      </c>
      <c r="J1117" s="14" t="str">
        <f>IFERROR(MOD(RTD("ice.rtd",,$C1117 &amp; $D1117 &amp; ":" &amp; J$1), 1), "")</f>
        <v/>
      </c>
      <c r="K1117" s="18" t="str">
        <f>RTD("ice.rtd",,$C1117 &amp; $D1117 &amp; ":" &amp; K$1)</f>
        <v/>
      </c>
      <c r="L1117" s="36" t="str">
        <f>RTD("ice.rtd",,$C1117 &amp; $D1117 &amp; ":" &amp; L$1)</f>
        <v/>
      </c>
      <c r="M1117" s="14" t="str">
        <f>IFERROR(MOD(TIMEVALUE(RTD("ice.rtd",,$C1117 &amp; $D1117 &amp; ":" &amp; M$1)), 1), "")</f>
        <v/>
      </c>
      <c r="N1117" s="36">
        <f>RTD("ice.rtd",,$C1117 &amp; $D1117 &amp; ":" &amp; N$1)</f>
        <v>0</v>
      </c>
      <c r="O1117" s="36">
        <f>RTD("ice.rtd",,$C1117 &amp; $D1117 &amp; ":" &amp; O$1)</f>
        <v>0</v>
      </c>
      <c r="P11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7" s="14" t="str">
        <f>IF(ICE[[#This Row],[LastType]] = "Scrn", ICE[[#This Row],[LstDate]], IF(ICE[[#This Row],[LastType]] = "Blk", ICE[[#This Row],[LstBlkTime]], ""))</f>
        <v/>
      </c>
      <c r="R1117" s="41" t="str">
        <f>IF(ICE[[#This Row],[LastType]] = "Scrn", ICE[[#This Row],[LstPrc]], IF(ICE[[#This Row],[LastType]] = "Blk", ICE[[#This Row],[LstBlkPrc]], ""))</f>
        <v/>
      </c>
      <c r="S1117" s="36">
        <f>ICE[[#This Row],[Vol]]+ICE[[#This Row],[BlkVol]]</f>
        <v>0</v>
      </c>
      <c r="T1117" s="36">
        <f>RTD("ice.rtd",,$C1117 &amp; $D1117 &amp; ":" &amp; T$1)</f>
        <v>78</v>
      </c>
      <c r="U1117" s="18">
        <f>RTD("ice.rtd",,$C1117 &amp; $D1117 &amp; ":" &amp; U$1)</f>
        <v>15.281700000000001</v>
      </c>
      <c r="V11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7" s="18" t="str">
        <f>IFERROR(IF(LEFT(ICE[[#This Row],[Tenor]], 1) = "B", RTD("esrtd",,$B1117 &amp; " " &amp; ICE[[#This Row],[Tenor]] &amp; "-IEU", W$1), RTD("esrtd",,$B1117 &amp; " " &amp; VLOOKUP(MONTH(ICE[[#This Row],[Strip]]), MthRef[], 2, 0) &amp; RIGHT(YEAR(ICE[[#This Row],[Strip]]), 2) &amp; "-IEU", W$1)), "")</f>
        <v/>
      </c>
      <c r="X1117" s="36"/>
    </row>
    <row r="1118" spans="1:24" x14ac:dyDescent="0.25">
      <c r="A1118" s="37" t="s">
        <v>835</v>
      </c>
      <c r="B1118" s="3" t="str">
        <f>RTD("ice.rtd",,$C1118 &amp; $D1118 &amp; ":" &amp; B$1)</f>
        <v>TEN</v>
      </c>
      <c r="C1118" s="3">
        <v>2755728678</v>
      </c>
      <c r="D1118" t="s">
        <v>796</v>
      </c>
      <c r="E1118" s="3" t="str">
        <f>RTD("ice.rtd",,$C1118 &amp; $D1118 &amp; ":" &amp; E$1)</f>
        <v>Apr27</v>
      </c>
      <c r="F1118" s="3" t="str">
        <f>ICE[[#This Row],[Prod]]&amp;ICE[[#This Row],[Strip]]</f>
        <v>fo05singbrxmtApr27</v>
      </c>
      <c r="G1118" s="18" t="str">
        <f>RTD("ice.rtd",,$C1118 &amp; $D1118 &amp; ":" &amp; G$1)</f>
        <v/>
      </c>
      <c r="H1118" s="18" t="str">
        <f>RTD("ice.rtd",,$C1118 &amp; $D1118 &amp; ":" &amp; H$1)</f>
        <v/>
      </c>
      <c r="I1118" s="18" t="str">
        <f>RTD("ice.rtd",,$C1118 &amp; $D1118 &amp; ":" &amp; I$1)</f>
        <v/>
      </c>
      <c r="J1118" s="14" t="str">
        <f>IFERROR(MOD(RTD("ice.rtd",,$C1118 &amp; $D1118 &amp; ":" &amp; J$1), 1), "")</f>
        <v/>
      </c>
      <c r="K1118" s="18" t="str">
        <f>RTD("ice.rtd",,$C1118 &amp; $D1118 &amp; ":" &amp; K$1)</f>
        <v/>
      </c>
      <c r="L1118" s="36" t="str">
        <f>RTD("ice.rtd",,$C1118 &amp; $D1118 &amp; ":" &amp; L$1)</f>
        <v/>
      </c>
      <c r="M1118" s="14" t="str">
        <f>IFERROR(MOD(TIMEVALUE(RTD("ice.rtd",,$C1118 &amp; $D1118 &amp; ":" &amp; M$1)), 1), "")</f>
        <v/>
      </c>
      <c r="N1118" s="36">
        <f>RTD("ice.rtd",,$C1118 &amp; $D1118 &amp; ":" &amp; N$1)</f>
        <v>0</v>
      </c>
      <c r="O1118" s="36">
        <f>RTD("ice.rtd",,$C1118 &amp; $D1118 &amp; ":" &amp; O$1)</f>
        <v>0</v>
      </c>
      <c r="P11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8" s="14" t="str">
        <f>IF(ICE[[#This Row],[LastType]] = "Scrn", ICE[[#This Row],[LstDate]], IF(ICE[[#This Row],[LastType]] = "Blk", ICE[[#This Row],[LstBlkTime]], ""))</f>
        <v/>
      </c>
      <c r="R1118" s="41" t="str">
        <f>IF(ICE[[#This Row],[LastType]] = "Scrn", ICE[[#This Row],[LstPrc]], IF(ICE[[#This Row],[LastType]] = "Blk", ICE[[#This Row],[LstBlkPrc]], ""))</f>
        <v/>
      </c>
      <c r="S1118" s="36">
        <f>ICE[[#This Row],[Vol]]+ICE[[#This Row],[BlkVol]]</f>
        <v>0</v>
      </c>
      <c r="T1118" s="36">
        <f>RTD("ice.rtd",,$C1118 &amp; $D1118 &amp; ":" &amp; T$1)</f>
        <v>74</v>
      </c>
      <c r="U1118" s="18">
        <f>RTD("ice.rtd",,$C1118 &amp; $D1118 &amp; ":" &amp; U$1)</f>
        <v>15.083600000000001</v>
      </c>
      <c r="V11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8" s="18" t="str">
        <f>IFERROR(IF(LEFT(ICE[[#This Row],[Tenor]], 1) = "B", RTD("esrtd",,$B1118 &amp; " " &amp; ICE[[#This Row],[Tenor]] &amp; "-IEU", W$1), RTD("esrtd",,$B1118 &amp; " " &amp; VLOOKUP(MONTH(ICE[[#This Row],[Strip]]), MthRef[], 2, 0) &amp; RIGHT(YEAR(ICE[[#This Row],[Strip]]), 2) &amp; "-IEU", W$1)), "")</f>
        <v/>
      </c>
      <c r="X1118" s="36"/>
    </row>
    <row r="1119" spans="1:24" x14ac:dyDescent="0.25">
      <c r="A1119" s="37" t="s">
        <v>835</v>
      </c>
      <c r="B1119" s="3" t="str">
        <f>RTD("ice.rtd",,$C1119 &amp; $D1119 &amp; ":" &amp; B$1)</f>
        <v>TEN</v>
      </c>
      <c r="C1119" s="3">
        <v>2755728678</v>
      </c>
      <c r="D1119" t="s">
        <v>797</v>
      </c>
      <c r="E1119" s="3" t="str">
        <f>RTD("ice.rtd",,$C1119 &amp; $D1119 &amp; ":" &amp; E$1)</f>
        <v>May27</v>
      </c>
      <c r="F1119" s="3" t="str">
        <f>ICE[[#This Row],[Prod]]&amp;ICE[[#This Row],[Strip]]</f>
        <v>fo05singbrxmtMay27</v>
      </c>
      <c r="G1119" s="18" t="str">
        <f>RTD("ice.rtd",,$C1119 &amp; $D1119 &amp; ":" &amp; G$1)</f>
        <v/>
      </c>
      <c r="H1119" s="18" t="str">
        <f>RTD("ice.rtd",,$C1119 &amp; $D1119 &amp; ":" &amp; H$1)</f>
        <v/>
      </c>
      <c r="I1119" s="18" t="str">
        <f>RTD("ice.rtd",,$C1119 &amp; $D1119 &amp; ":" &amp; I$1)</f>
        <v/>
      </c>
      <c r="J1119" s="14" t="str">
        <f>IFERROR(MOD(RTD("ice.rtd",,$C1119 &amp; $D1119 &amp; ":" &amp; J$1), 1), "")</f>
        <v/>
      </c>
      <c r="K1119" s="18" t="str">
        <f>RTD("ice.rtd",,$C1119 &amp; $D1119 &amp; ":" &amp; K$1)</f>
        <v/>
      </c>
      <c r="L1119" s="36" t="str">
        <f>RTD("ice.rtd",,$C1119 &amp; $D1119 &amp; ":" &amp; L$1)</f>
        <v/>
      </c>
      <c r="M1119" s="14" t="str">
        <f>IFERROR(MOD(TIMEVALUE(RTD("ice.rtd",,$C1119 &amp; $D1119 &amp; ":" &amp; M$1)), 1), "")</f>
        <v/>
      </c>
      <c r="N1119" s="36">
        <f>RTD("ice.rtd",,$C1119 &amp; $D1119 &amp; ":" &amp; N$1)</f>
        <v>0</v>
      </c>
      <c r="O1119" s="36">
        <f>RTD("ice.rtd",,$C1119 &amp; $D1119 &amp; ":" &amp; O$1)</f>
        <v>0</v>
      </c>
      <c r="P11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19" s="14" t="str">
        <f>IF(ICE[[#This Row],[LastType]] = "Scrn", ICE[[#This Row],[LstDate]], IF(ICE[[#This Row],[LastType]] = "Blk", ICE[[#This Row],[LstBlkTime]], ""))</f>
        <v/>
      </c>
      <c r="R1119" s="41" t="str">
        <f>IF(ICE[[#This Row],[LastType]] = "Scrn", ICE[[#This Row],[LstPrc]], IF(ICE[[#This Row],[LastType]] = "Blk", ICE[[#This Row],[LstBlkPrc]], ""))</f>
        <v/>
      </c>
      <c r="S1119" s="36">
        <f>ICE[[#This Row],[Vol]]+ICE[[#This Row],[BlkVol]]</f>
        <v>0</v>
      </c>
      <c r="T1119" s="36">
        <f>RTD("ice.rtd",,$C1119 &amp; $D1119 &amp; ":" &amp; T$1)</f>
        <v>74</v>
      </c>
      <c r="U1119" s="18">
        <f>RTD("ice.rtd",,$C1119 &amp; $D1119 &amp; ":" &amp; U$1)</f>
        <v>14.880600000000001</v>
      </c>
      <c r="V11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19" s="18" t="str">
        <f>IFERROR(IF(LEFT(ICE[[#This Row],[Tenor]], 1) = "B", RTD("esrtd",,$B1119 &amp; " " &amp; ICE[[#This Row],[Tenor]] &amp; "-IEU", W$1), RTD("esrtd",,$B1119 &amp; " " &amp; VLOOKUP(MONTH(ICE[[#This Row],[Strip]]), MthRef[], 2, 0) &amp; RIGHT(YEAR(ICE[[#This Row],[Strip]]), 2) &amp; "-IEU", W$1)), "")</f>
        <v/>
      </c>
      <c r="X1119" s="36"/>
    </row>
    <row r="1120" spans="1:24" x14ac:dyDescent="0.25">
      <c r="A1120" s="37" t="s">
        <v>835</v>
      </c>
      <c r="B1120" s="3" t="str">
        <f>RTD("ice.rtd",,$C1120 &amp; $D1120 &amp; ":" &amp; B$1)</f>
        <v>TEN</v>
      </c>
      <c r="C1120" s="3">
        <v>2755728678</v>
      </c>
      <c r="D1120" t="s">
        <v>798</v>
      </c>
      <c r="E1120" s="3" t="str">
        <f>RTD("ice.rtd",,$C1120 &amp; $D1120 &amp; ":" &amp; E$1)</f>
        <v>Jun27</v>
      </c>
      <c r="F1120" s="3" t="str">
        <f>ICE[[#This Row],[Prod]]&amp;ICE[[#This Row],[Strip]]</f>
        <v>fo05singbrxmtJun27</v>
      </c>
      <c r="G1120" s="18" t="str">
        <f>RTD("ice.rtd",,$C1120 &amp; $D1120 &amp; ":" &amp; G$1)</f>
        <v/>
      </c>
      <c r="H1120" s="18" t="str">
        <f>RTD("ice.rtd",,$C1120 &amp; $D1120 &amp; ":" &amp; H$1)</f>
        <v/>
      </c>
      <c r="I1120" s="18" t="str">
        <f>RTD("ice.rtd",,$C1120 &amp; $D1120 &amp; ":" &amp; I$1)</f>
        <v/>
      </c>
      <c r="J1120" s="14" t="str">
        <f>IFERROR(MOD(RTD("ice.rtd",,$C1120 &amp; $D1120 &amp; ":" &amp; J$1), 1), "")</f>
        <v/>
      </c>
      <c r="K1120" s="18" t="str">
        <f>RTD("ice.rtd",,$C1120 &amp; $D1120 &amp; ":" &amp; K$1)</f>
        <v/>
      </c>
      <c r="L1120" s="36" t="str">
        <f>RTD("ice.rtd",,$C1120 &amp; $D1120 &amp; ":" &amp; L$1)</f>
        <v/>
      </c>
      <c r="M1120" s="14" t="str">
        <f>IFERROR(MOD(TIMEVALUE(RTD("ice.rtd",,$C1120 &amp; $D1120 &amp; ":" &amp; M$1)), 1), "")</f>
        <v/>
      </c>
      <c r="N1120" s="36">
        <f>RTD("ice.rtd",,$C1120 &amp; $D1120 &amp; ":" &amp; N$1)</f>
        <v>0</v>
      </c>
      <c r="O1120" s="36">
        <f>RTD("ice.rtd",,$C1120 &amp; $D1120 &amp; ":" &amp; O$1)</f>
        <v>0</v>
      </c>
      <c r="P11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0" s="14" t="str">
        <f>IF(ICE[[#This Row],[LastType]] = "Scrn", ICE[[#This Row],[LstDate]], IF(ICE[[#This Row],[LastType]] = "Blk", ICE[[#This Row],[LstBlkTime]], ""))</f>
        <v/>
      </c>
      <c r="R1120" s="41" t="str">
        <f>IF(ICE[[#This Row],[LastType]] = "Scrn", ICE[[#This Row],[LstPrc]], IF(ICE[[#This Row],[LastType]] = "Blk", ICE[[#This Row],[LstBlkPrc]], ""))</f>
        <v/>
      </c>
      <c r="S1120" s="36">
        <f>ICE[[#This Row],[Vol]]+ICE[[#This Row],[BlkVol]]</f>
        <v>0</v>
      </c>
      <c r="T1120" s="36">
        <f>RTD("ice.rtd",,$C1120 &amp; $D1120 &amp; ":" &amp; T$1)</f>
        <v>74</v>
      </c>
      <c r="U1120" s="18">
        <f>RTD("ice.rtd",,$C1120 &amp; $D1120 &amp; ":" &amp; U$1)</f>
        <v>14.605700000000001</v>
      </c>
      <c r="V11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0" s="18" t="str">
        <f>IFERROR(IF(LEFT(ICE[[#This Row],[Tenor]], 1) = "B", RTD("esrtd",,$B1120 &amp; " " &amp; ICE[[#This Row],[Tenor]] &amp; "-IEU", W$1), RTD("esrtd",,$B1120 &amp; " " &amp; VLOOKUP(MONTH(ICE[[#This Row],[Strip]]), MthRef[], 2, 0) &amp; RIGHT(YEAR(ICE[[#This Row],[Strip]]), 2) &amp; "-IEU", W$1)), "")</f>
        <v/>
      </c>
      <c r="X1120" s="36"/>
    </row>
    <row r="1121" spans="1:24" x14ac:dyDescent="0.25">
      <c r="A1121" s="37" t="s">
        <v>835</v>
      </c>
      <c r="B1121" s="3" t="str">
        <f>RTD("ice.rtd",,$C1121 &amp; $D1121 &amp; ":" &amp; B$1)</f>
        <v>TEN</v>
      </c>
      <c r="C1121" s="3">
        <v>2755728678</v>
      </c>
      <c r="D1121" t="s">
        <v>799</v>
      </c>
      <c r="E1121" s="3" t="str">
        <f>RTD("ice.rtd",,$C1121 &amp; $D1121 &amp; ":" &amp; E$1)</f>
        <v>Jul27</v>
      </c>
      <c r="F1121" s="3" t="str">
        <f>ICE[[#This Row],[Prod]]&amp;ICE[[#This Row],[Strip]]</f>
        <v>fo05singbrxmtJul27</v>
      </c>
      <c r="G1121" s="18" t="str">
        <f>RTD("ice.rtd",,$C1121 &amp; $D1121 &amp; ":" &amp; G$1)</f>
        <v/>
      </c>
      <c r="H1121" s="18" t="str">
        <f>RTD("ice.rtd",,$C1121 &amp; $D1121 &amp; ":" &amp; H$1)</f>
        <v/>
      </c>
      <c r="I1121" s="18" t="str">
        <f>RTD("ice.rtd",,$C1121 &amp; $D1121 &amp; ":" &amp; I$1)</f>
        <v/>
      </c>
      <c r="J1121" s="14" t="str">
        <f>IFERROR(MOD(RTD("ice.rtd",,$C1121 &amp; $D1121 &amp; ":" &amp; J$1), 1), "")</f>
        <v/>
      </c>
      <c r="K1121" s="18" t="str">
        <f>RTD("ice.rtd",,$C1121 &amp; $D1121 &amp; ":" &amp; K$1)</f>
        <v/>
      </c>
      <c r="L1121" s="36" t="str">
        <f>RTD("ice.rtd",,$C1121 &amp; $D1121 &amp; ":" &amp; L$1)</f>
        <v/>
      </c>
      <c r="M1121" s="14" t="str">
        <f>IFERROR(MOD(TIMEVALUE(RTD("ice.rtd",,$C1121 &amp; $D1121 &amp; ":" &amp; M$1)), 1), "")</f>
        <v/>
      </c>
      <c r="N1121" s="36">
        <f>RTD("ice.rtd",,$C1121 &amp; $D1121 &amp; ":" &amp; N$1)</f>
        <v>0</v>
      </c>
      <c r="O1121" s="36">
        <f>RTD("ice.rtd",,$C1121 &amp; $D1121 &amp; ":" &amp; O$1)</f>
        <v>0</v>
      </c>
      <c r="P11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1" s="14" t="str">
        <f>IF(ICE[[#This Row],[LastType]] = "Scrn", ICE[[#This Row],[LstDate]], IF(ICE[[#This Row],[LastType]] = "Blk", ICE[[#This Row],[LstBlkTime]], ""))</f>
        <v/>
      </c>
      <c r="R1121" s="41" t="str">
        <f>IF(ICE[[#This Row],[LastType]] = "Scrn", ICE[[#This Row],[LstPrc]], IF(ICE[[#This Row],[LastType]] = "Blk", ICE[[#This Row],[LstBlkPrc]], ""))</f>
        <v/>
      </c>
      <c r="S1121" s="36">
        <f>ICE[[#This Row],[Vol]]+ICE[[#This Row],[BlkVol]]</f>
        <v>0</v>
      </c>
      <c r="T1121" s="36">
        <f>RTD("ice.rtd",,$C1121 &amp; $D1121 &amp; ":" &amp; T$1)</f>
        <v>54</v>
      </c>
      <c r="U1121" s="18">
        <f>RTD("ice.rtd",,$C1121 &amp; $D1121 &amp; ":" &amp; U$1)</f>
        <v>14.395900000000001</v>
      </c>
      <c r="V11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1" s="18" t="str">
        <f>IFERROR(IF(LEFT(ICE[[#This Row],[Tenor]], 1) = "B", RTD("esrtd",,$B1121 &amp; " " &amp; ICE[[#This Row],[Tenor]] &amp; "-IEU", W$1), RTD("esrtd",,$B1121 &amp; " " &amp; VLOOKUP(MONTH(ICE[[#This Row],[Strip]]), MthRef[], 2, 0) &amp; RIGHT(YEAR(ICE[[#This Row],[Strip]]), 2) &amp; "-IEU", W$1)), "")</f>
        <v/>
      </c>
      <c r="X1121" s="36"/>
    </row>
    <row r="1122" spans="1:24" x14ac:dyDescent="0.25">
      <c r="A1122" s="37" t="s">
        <v>835</v>
      </c>
      <c r="B1122" s="3" t="str">
        <f>RTD("ice.rtd",,$C1122 &amp; $D1122 &amp; ":" &amp; B$1)</f>
        <v>TEN</v>
      </c>
      <c r="C1122" s="3">
        <v>2755728678</v>
      </c>
      <c r="D1122" t="s">
        <v>800</v>
      </c>
      <c r="E1122" s="3" t="str">
        <f>RTD("ice.rtd",,$C1122 &amp; $D1122 &amp; ":" &amp; E$1)</f>
        <v>Aug27</v>
      </c>
      <c r="F1122" s="3" t="str">
        <f>ICE[[#This Row],[Prod]]&amp;ICE[[#This Row],[Strip]]</f>
        <v>fo05singbrxmtAug27</v>
      </c>
      <c r="G1122" s="18" t="str">
        <f>RTD("ice.rtd",,$C1122 &amp; $D1122 &amp; ":" &amp; G$1)</f>
        <v/>
      </c>
      <c r="H1122" s="18" t="str">
        <f>RTD("ice.rtd",,$C1122 &amp; $D1122 &amp; ":" &amp; H$1)</f>
        <v/>
      </c>
      <c r="I1122" s="18" t="str">
        <f>RTD("ice.rtd",,$C1122 &amp; $D1122 &amp; ":" &amp; I$1)</f>
        <v/>
      </c>
      <c r="J1122" s="14" t="str">
        <f>IFERROR(MOD(RTD("ice.rtd",,$C1122 &amp; $D1122 &amp; ":" &amp; J$1), 1), "")</f>
        <v/>
      </c>
      <c r="K1122" s="18" t="str">
        <f>RTD("ice.rtd",,$C1122 &amp; $D1122 &amp; ":" &amp; K$1)</f>
        <v/>
      </c>
      <c r="L1122" s="36" t="str">
        <f>RTD("ice.rtd",,$C1122 &amp; $D1122 &amp; ":" &amp; L$1)</f>
        <v/>
      </c>
      <c r="M1122" s="14" t="str">
        <f>IFERROR(MOD(TIMEVALUE(RTD("ice.rtd",,$C1122 &amp; $D1122 &amp; ":" &amp; M$1)), 1), "")</f>
        <v/>
      </c>
      <c r="N1122" s="36">
        <f>RTD("ice.rtd",,$C1122 &amp; $D1122 &amp; ":" &amp; N$1)</f>
        <v>0</v>
      </c>
      <c r="O1122" s="36">
        <f>RTD("ice.rtd",,$C1122 &amp; $D1122 &amp; ":" &amp; O$1)</f>
        <v>0</v>
      </c>
      <c r="P11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2" s="14" t="str">
        <f>IF(ICE[[#This Row],[LastType]] = "Scrn", ICE[[#This Row],[LstDate]], IF(ICE[[#This Row],[LastType]] = "Blk", ICE[[#This Row],[LstBlkTime]], ""))</f>
        <v/>
      </c>
      <c r="R1122" s="41" t="str">
        <f>IF(ICE[[#This Row],[LastType]] = "Scrn", ICE[[#This Row],[LstPrc]], IF(ICE[[#This Row],[LastType]] = "Blk", ICE[[#This Row],[LstBlkPrc]], ""))</f>
        <v/>
      </c>
      <c r="S1122" s="36">
        <f>ICE[[#This Row],[Vol]]+ICE[[#This Row],[BlkVol]]</f>
        <v>0</v>
      </c>
      <c r="T1122" s="36">
        <f>RTD("ice.rtd",,$C1122 &amp; $D1122 &amp; ":" &amp; T$1)</f>
        <v>54</v>
      </c>
      <c r="U1122" s="18">
        <f>RTD("ice.rtd",,$C1122 &amp; $D1122 &amp; ":" &amp; U$1)</f>
        <v>14.1455</v>
      </c>
      <c r="V11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2" s="18" t="str">
        <f>IFERROR(IF(LEFT(ICE[[#This Row],[Tenor]], 1) = "B", RTD("esrtd",,$B1122 &amp; " " &amp; ICE[[#This Row],[Tenor]] &amp; "-IEU", W$1), RTD("esrtd",,$B1122 &amp; " " &amp; VLOOKUP(MONTH(ICE[[#This Row],[Strip]]), MthRef[], 2, 0) &amp; RIGHT(YEAR(ICE[[#This Row],[Strip]]), 2) &amp; "-IEU", W$1)), "")</f>
        <v/>
      </c>
      <c r="X1122" s="36"/>
    </row>
    <row r="1123" spans="1:24" x14ac:dyDescent="0.25">
      <c r="A1123" s="37" t="s">
        <v>835</v>
      </c>
      <c r="B1123" s="3" t="str">
        <f>RTD("ice.rtd",,$C1123 &amp; $D1123 &amp; ":" &amp; B$1)</f>
        <v>TEN</v>
      </c>
      <c r="C1123" s="3">
        <v>2755728678</v>
      </c>
      <c r="D1123" t="s">
        <v>801</v>
      </c>
      <c r="E1123" s="3" t="str">
        <f>RTD("ice.rtd",,$C1123 &amp; $D1123 &amp; ":" &amp; E$1)</f>
        <v>Sep27</v>
      </c>
      <c r="F1123" s="3" t="str">
        <f>ICE[[#This Row],[Prod]]&amp;ICE[[#This Row],[Strip]]</f>
        <v>fo05singbrxmtSep27</v>
      </c>
      <c r="G1123" s="18" t="str">
        <f>RTD("ice.rtd",,$C1123 &amp; $D1123 &amp; ":" &amp; G$1)</f>
        <v/>
      </c>
      <c r="H1123" s="18" t="str">
        <f>RTD("ice.rtd",,$C1123 &amp; $D1123 &amp; ":" &amp; H$1)</f>
        <v/>
      </c>
      <c r="I1123" s="18" t="str">
        <f>RTD("ice.rtd",,$C1123 &amp; $D1123 &amp; ":" &amp; I$1)</f>
        <v/>
      </c>
      <c r="J1123" s="14" t="str">
        <f>IFERROR(MOD(RTD("ice.rtd",,$C1123 &amp; $D1123 &amp; ":" &amp; J$1), 1), "")</f>
        <v/>
      </c>
      <c r="K1123" s="18" t="str">
        <f>RTD("ice.rtd",,$C1123 &amp; $D1123 &amp; ":" &amp; K$1)</f>
        <v/>
      </c>
      <c r="L1123" s="36" t="str">
        <f>RTD("ice.rtd",,$C1123 &amp; $D1123 &amp; ":" &amp; L$1)</f>
        <v/>
      </c>
      <c r="M1123" s="14" t="str">
        <f>IFERROR(MOD(TIMEVALUE(RTD("ice.rtd",,$C1123 &amp; $D1123 &amp; ":" &amp; M$1)), 1), "")</f>
        <v/>
      </c>
      <c r="N1123" s="36">
        <f>RTD("ice.rtd",,$C1123 &amp; $D1123 &amp; ":" &amp; N$1)</f>
        <v>0</v>
      </c>
      <c r="O1123" s="36">
        <f>RTD("ice.rtd",,$C1123 &amp; $D1123 &amp; ":" &amp; O$1)</f>
        <v>0</v>
      </c>
      <c r="P11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3" s="14" t="str">
        <f>IF(ICE[[#This Row],[LastType]] = "Scrn", ICE[[#This Row],[LstDate]], IF(ICE[[#This Row],[LastType]] = "Blk", ICE[[#This Row],[LstBlkTime]], ""))</f>
        <v/>
      </c>
      <c r="R1123" s="41" t="str">
        <f>IF(ICE[[#This Row],[LastType]] = "Scrn", ICE[[#This Row],[LstPrc]], IF(ICE[[#This Row],[LastType]] = "Blk", ICE[[#This Row],[LstBlkPrc]], ""))</f>
        <v/>
      </c>
      <c r="S1123" s="36">
        <f>ICE[[#This Row],[Vol]]+ICE[[#This Row],[BlkVol]]</f>
        <v>0</v>
      </c>
      <c r="T1123" s="36">
        <f>RTD("ice.rtd",,$C1123 &amp; $D1123 &amp; ":" &amp; T$1)</f>
        <v>54</v>
      </c>
      <c r="U1123" s="18">
        <f>RTD("ice.rtd",,$C1123 &amp; $D1123 &amp; ":" &amp; U$1)</f>
        <v>13.875500000000001</v>
      </c>
      <c r="V11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3" s="18" t="str">
        <f>IFERROR(IF(LEFT(ICE[[#This Row],[Tenor]], 1) = "B", RTD("esrtd",,$B1123 &amp; " " &amp; ICE[[#This Row],[Tenor]] &amp; "-IEU", W$1), RTD("esrtd",,$B1123 &amp; " " &amp; VLOOKUP(MONTH(ICE[[#This Row],[Strip]]), MthRef[], 2, 0) &amp; RIGHT(YEAR(ICE[[#This Row],[Strip]]), 2) &amp; "-IEU", W$1)), "")</f>
        <v/>
      </c>
      <c r="X1123" s="36"/>
    </row>
    <row r="1124" spans="1:24" x14ac:dyDescent="0.25">
      <c r="A1124" s="37" t="s">
        <v>835</v>
      </c>
      <c r="B1124" s="3" t="str">
        <f>RTD("ice.rtd",,$C1124 &amp; $D1124 &amp; ":" &amp; B$1)</f>
        <v>TEN</v>
      </c>
      <c r="C1124" s="3">
        <v>2755728678</v>
      </c>
      <c r="D1124" t="s">
        <v>802</v>
      </c>
      <c r="E1124" s="3" t="str">
        <f>RTD("ice.rtd",,$C1124 &amp; $D1124 &amp; ":" &amp; E$1)</f>
        <v>Oct27</v>
      </c>
      <c r="F1124" s="3" t="str">
        <f>ICE[[#This Row],[Prod]]&amp;ICE[[#This Row],[Strip]]</f>
        <v>fo05singbrxmtOct27</v>
      </c>
      <c r="G1124" s="18" t="str">
        <f>RTD("ice.rtd",,$C1124 &amp; $D1124 &amp; ":" &amp; G$1)</f>
        <v/>
      </c>
      <c r="H1124" s="18" t="str">
        <f>RTD("ice.rtd",,$C1124 &amp; $D1124 &amp; ":" &amp; H$1)</f>
        <v/>
      </c>
      <c r="I1124" s="18" t="str">
        <f>RTD("ice.rtd",,$C1124 &amp; $D1124 &amp; ":" &amp; I$1)</f>
        <v/>
      </c>
      <c r="J1124" s="14" t="str">
        <f>IFERROR(MOD(RTD("ice.rtd",,$C1124 &amp; $D1124 &amp; ":" &amp; J$1), 1), "")</f>
        <v/>
      </c>
      <c r="K1124" s="18" t="str">
        <f>RTD("ice.rtd",,$C1124 &amp; $D1124 &amp; ":" &amp; K$1)</f>
        <v/>
      </c>
      <c r="L1124" s="36" t="str">
        <f>RTD("ice.rtd",,$C1124 &amp; $D1124 &amp; ":" &amp; L$1)</f>
        <v/>
      </c>
      <c r="M1124" s="14" t="str">
        <f>IFERROR(MOD(TIMEVALUE(RTD("ice.rtd",,$C1124 &amp; $D1124 &amp; ":" &amp; M$1)), 1), "")</f>
        <v/>
      </c>
      <c r="N1124" s="36">
        <f>RTD("ice.rtd",,$C1124 &amp; $D1124 &amp; ":" &amp; N$1)</f>
        <v>0</v>
      </c>
      <c r="O1124" s="36">
        <f>RTD("ice.rtd",,$C1124 &amp; $D1124 &amp; ":" &amp; O$1)</f>
        <v>0</v>
      </c>
      <c r="P11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4" s="14" t="str">
        <f>IF(ICE[[#This Row],[LastType]] = "Scrn", ICE[[#This Row],[LstDate]], IF(ICE[[#This Row],[LastType]] = "Blk", ICE[[#This Row],[LstBlkTime]], ""))</f>
        <v/>
      </c>
      <c r="R1124" s="41" t="str">
        <f>IF(ICE[[#This Row],[LastType]] = "Scrn", ICE[[#This Row],[LstPrc]], IF(ICE[[#This Row],[LastType]] = "Blk", ICE[[#This Row],[LstBlkPrc]], ""))</f>
        <v/>
      </c>
      <c r="S1124" s="36">
        <f>ICE[[#This Row],[Vol]]+ICE[[#This Row],[BlkVol]]</f>
        <v>0</v>
      </c>
      <c r="T1124" s="36">
        <f>RTD("ice.rtd",,$C1124 &amp; $D1124 &amp; ":" &amp; T$1)</f>
        <v>54</v>
      </c>
      <c r="U1124" s="18">
        <f>RTD("ice.rtd",,$C1124 &amp; $D1124 &amp; ":" &amp; U$1)</f>
        <v>13.606900000000001</v>
      </c>
      <c r="V11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4" s="18" t="str">
        <f>IFERROR(IF(LEFT(ICE[[#This Row],[Tenor]], 1) = "B", RTD("esrtd",,$B1124 &amp; " " &amp; ICE[[#This Row],[Tenor]] &amp; "-IEU", W$1), RTD("esrtd",,$B1124 &amp; " " &amp; VLOOKUP(MONTH(ICE[[#This Row],[Strip]]), MthRef[], 2, 0) &amp; RIGHT(YEAR(ICE[[#This Row],[Strip]]), 2) &amp; "-IEU", W$1)), "")</f>
        <v/>
      </c>
      <c r="X1124" s="36"/>
    </row>
    <row r="1125" spans="1:24" x14ac:dyDescent="0.25">
      <c r="A1125" s="37" t="s">
        <v>835</v>
      </c>
      <c r="B1125" s="3" t="str">
        <f>RTD("ice.rtd",,$C1125 &amp; $D1125 &amp; ":" &amp; B$1)</f>
        <v>TEN</v>
      </c>
      <c r="C1125" s="3">
        <v>2755728678</v>
      </c>
      <c r="D1125" t="s">
        <v>803</v>
      </c>
      <c r="E1125" s="3" t="str">
        <f>RTD("ice.rtd",,$C1125 &amp; $D1125 &amp; ":" &amp; E$1)</f>
        <v>Nov27</v>
      </c>
      <c r="F1125" s="3" t="str">
        <f>ICE[[#This Row],[Prod]]&amp;ICE[[#This Row],[Strip]]</f>
        <v>fo05singbrxmtNov27</v>
      </c>
      <c r="G1125" s="18" t="str">
        <f>RTD("ice.rtd",,$C1125 &amp; $D1125 &amp; ":" &amp; G$1)</f>
        <v/>
      </c>
      <c r="H1125" s="18" t="str">
        <f>RTD("ice.rtd",,$C1125 &amp; $D1125 &amp; ":" &amp; H$1)</f>
        <v/>
      </c>
      <c r="I1125" s="18" t="str">
        <f>RTD("ice.rtd",,$C1125 &amp; $D1125 &amp; ":" &amp; I$1)</f>
        <v/>
      </c>
      <c r="J1125" s="14" t="str">
        <f>IFERROR(MOD(RTD("ice.rtd",,$C1125 &amp; $D1125 &amp; ":" &amp; J$1), 1), "")</f>
        <v/>
      </c>
      <c r="K1125" s="18" t="str">
        <f>RTD("ice.rtd",,$C1125 &amp; $D1125 &amp; ":" &amp; K$1)</f>
        <v/>
      </c>
      <c r="L1125" s="36" t="str">
        <f>RTD("ice.rtd",,$C1125 &amp; $D1125 &amp; ":" &amp; L$1)</f>
        <v/>
      </c>
      <c r="M1125" s="14" t="str">
        <f>IFERROR(MOD(TIMEVALUE(RTD("ice.rtd",,$C1125 &amp; $D1125 &amp; ":" &amp; M$1)), 1), "")</f>
        <v/>
      </c>
      <c r="N1125" s="36">
        <f>RTD("ice.rtd",,$C1125 &amp; $D1125 &amp; ":" &amp; N$1)</f>
        <v>0</v>
      </c>
      <c r="O1125" s="36">
        <f>RTD("ice.rtd",,$C1125 &amp; $D1125 &amp; ":" &amp; O$1)</f>
        <v>0</v>
      </c>
      <c r="P11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5" s="14" t="str">
        <f>IF(ICE[[#This Row],[LastType]] = "Scrn", ICE[[#This Row],[LstDate]], IF(ICE[[#This Row],[LastType]] = "Blk", ICE[[#This Row],[LstBlkTime]], ""))</f>
        <v/>
      </c>
      <c r="R1125" s="41" t="str">
        <f>IF(ICE[[#This Row],[LastType]] = "Scrn", ICE[[#This Row],[LstPrc]], IF(ICE[[#This Row],[LastType]] = "Blk", ICE[[#This Row],[LstBlkPrc]], ""))</f>
        <v/>
      </c>
      <c r="S1125" s="36">
        <f>ICE[[#This Row],[Vol]]+ICE[[#This Row],[BlkVol]]</f>
        <v>0</v>
      </c>
      <c r="T1125" s="36">
        <f>RTD("ice.rtd",,$C1125 &amp; $D1125 &amp; ":" &amp; T$1)</f>
        <v>54</v>
      </c>
      <c r="U1125" s="18">
        <f>RTD("ice.rtd",,$C1125 &amp; $D1125 &amp; ":" &amp; U$1)</f>
        <v>13.3162</v>
      </c>
      <c r="V11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5" s="18" t="str">
        <f>IFERROR(IF(LEFT(ICE[[#This Row],[Tenor]], 1) = "B", RTD("esrtd",,$B1125 &amp; " " &amp; ICE[[#This Row],[Tenor]] &amp; "-IEU", W$1), RTD("esrtd",,$B1125 &amp; " " &amp; VLOOKUP(MONTH(ICE[[#This Row],[Strip]]), MthRef[], 2, 0) &amp; RIGHT(YEAR(ICE[[#This Row],[Strip]]), 2) &amp; "-IEU", W$1)), "")</f>
        <v/>
      </c>
      <c r="X1125" s="36"/>
    </row>
    <row r="1126" spans="1:24" x14ac:dyDescent="0.25">
      <c r="A1126" s="37" t="s">
        <v>835</v>
      </c>
      <c r="B1126" s="3" t="str">
        <f>RTD("ice.rtd",,$C1126 &amp; $D1126 &amp; ":" &amp; B$1)</f>
        <v>TEN</v>
      </c>
      <c r="C1126" s="3">
        <v>2755728678</v>
      </c>
      <c r="D1126" t="s">
        <v>804</v>
      </c>
      <c r="E1126" s="3" t="str">
        <f>RTD("ice.rtd",,$C1126 &amp; $D1126 &amp; ":" &amp; E$1)</f>
        <v>Dec27</v>
      </c>
      <c r="F1126" s="3" t="str">
        <f>ICE[[#This Row],[Prod]]&amp;ICE[[#This Row],[Strip]]</f>
        <v>fo05singbrxmtDec27</v>
      </c>
      <c r="G1126" s="18" t="str">
        <f>RTD("ice.rtd",,$C1126 &amp; $D1126 &amp; ":" &amp; G$1)</f>
        <v/>
      </c>
      <c r="H1126" s="18" t="str">
        <f>RTD("ice.rtd",,$C1126 &amp; $D1126 &amp; ":" &amp; H$1)</f>
        <v/>
      </c>
      <c r="I1126" s="18" t="str">
        <f>RTD("ice.rtd",,$C1126 &amp; $D1126 &amp; ":" &amp; I$1)</f>
        <v/>
      </c>
      <c r="J1126" s="14" t="str">
        <f>IFERROR(MOD(RTD("ice.rtd",,$C1126 &amp; $D1126 &amp; ":" &amp; J$1), 1), "")</f>
        <v/>
      </c>
      <c r="K1126" s="18" t="str">
        <f>RTD("ice.rtd",,$C1126 &amp; $D1126 &amp; ":" &amp; K$1)</f>
        <v/>
      </c>
      <c r="L1126" s="36" t="str">
        <f>RTD("ice.rtd",,$C1126 &amp; $D1126 &amp; ":" &amp; L$1)</f>
        <v/>
      </c>
      <c r="M1126" s="14" t="str">
        <f>IFERROR(MOD(TIMEVALUE(RTD("ice.rtd",,$C1126 &amp; $D1126 &amp; ":" &amp; M$1)), 1), "")</f>
        <v/>
      </c>
      <c r="N1126" s="36">
        <f>RTD("ice.rtd",,$C1126 &amp; $D1126 &amp; ":" &amp; N$1)</f>
        <v>0</v>
      </c>
      <c r="O1126" s="36">
        <f>RTD("ice.rtd",,$C1126 &amp; $D1126 &amp; ":" &amp; O$1)</f>
        <v>0</v>
      </c>
      <c r="P11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6" s="14" t="str">
        <f>IF(ICE[[#This Row],[LastType]] = "Scrn", ICE[[#This Row],[LstDate]], IF(ICE[[#This Row],[LastType]] = "Blk", ICE[[#This Row],[LstBlkTime]], ""))</f>
        <v/>
      </c>
      <c r="R1126" s="41" t="str">
        <f>IF(ICE[[#This Row],[LastType]] = "Scrn", ICE[[#This Row],[LstPrc]], IF(ICE[[#This Row],[LastType]] = "Blk", ICE[[#This Row],[LstBlkPrc]], ""))</f>
        <v/>
      </c>
      <c r="S1126" s="36">
        <f>ICE[[#This Row],[Vol]]+ICE[[#This Row],[BlkVol]]</f>
        <v>0</v>
      </c>
      <c r="T1126" s="36">
        <f>RTD("ice.rtd",,$C1126 &amp; $D1126 &amp; ":" &amp; T$1)</f>
        <v>55</v>
      </c>
      <c r="U1126" s="18">
        <f>RTD("ice.rtd",,$C1126 &amp; $D1126 &amp; ":" &amp; U$1)</f>
        <v>13.009500000000001</v>
      </c>
      <c r="V11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6" s="18" t="str">
        <f>IFERROR(IF(LEFT(ICE[[#This Row],[Tenor]], 1) = "B", RTD("esrtd",,$B1126 &amp; " " &amp; ICE[[#This Row],[Tenor]] &amp; "-IEU", W$1), RTD("esrtd",,$B1126 &amp; " " &amp; VLOOKUP(MONTH(ICE[[#This Row],[Strip]]), MthRef[], 2, 0) &amp; RIGHT(YEAR(ICE[[#This Row],[Strip]]), 2) &amp; "-IEU", W$1)), "")</f>
        <v/>
      </c>
      <c r="X1126" s="36"/>
    </row>
    <row r="1127" spans="1:24" x14ac:dyDescent="0.25">
      <c r="A1127" s="37" t="s">
        <v>835</v>
      </c>
      <c r="B1127" s="3" t="str">
        <f>RTD("ice.rtd",,$C1127 &amp; $D1127 &amp; ":" &amp; B$1)</f>
        <v>TEN</v>
      </c>
      <c r="C1127" s="3">
        <v>2755728678</v>
      </c>
      <c r="D1127" t="s">
        <v>805</v>
      </c>
      <c r="E1127" s="3" t="str">
        <f>RTD("ice.rtd",,$C1127 &amp; $D1127 &amp; ":" &amp; E$1)</f>
        <v>Jan28</v>
      </c>
      <c r="F1127" s="3" t="str">
        <f>ICE[[#This Row],[Prod]]&amp;ICE[[#This Row],[Strip]]</f>
        <v>fo05singbrxmtJan28</v>
      </c>
      <c r="G1127" s="18" t="str">
        <f>RTD("ice.rtd",,$C1127 &amp; $D1127 &amp; ":" &amp; G$1)</f>
        <v/>
      </c>
      <c r="H1127" s="18" t="str">
        <f>RTD("ice.rtd",,$C1127 &amp; $D1127 &amp; ":" &amp; H$1)</f>
        <v/>
      </c>
      <c r="I1127" s="18" t="str">
        <f>RTD("ice.rtd",,$C1127 &amp; $D1127 &amp; ":" &amp; I$1)</f>
        <v/>
      </c>
      <c r="J1127" s="14" t="str">
        <f>IFERROR(MOD(RTD("ice.rtd",,$C1127 &amp; $D1127 &amp; ":" &amp; J$1), 1), "")</f>
        <v/>
      </c>
      <c r="K1127" s="18" t="str">
        <f>RTD("ice.rtd",,$C1127 &amp; $D1127 &amp; ":" &amp; K$1)</f>
        <v/>
      </c>
      <c r="L1127" s="36" t="str">
        <f>RTD("ice.rtd",,$C1127 &amp; $D1127 &amp; ":" &amp; L$1)</f>
        <v/>
      </c>
      <c r="M1127" s="14" t="str">
        <f>IFERROR(MOD(TIMEVALUE(RTD("ice.rtd",,$C1127 &amp; $D1127 &amp; ":" &amp; M$1)), 1), "")</f>
        <v/>
      </c>
      <c r="N1127" s="36">
        <f>RTD("ice.rtd",,$C1127 &amp; $D1127 &amp; ":" &amp; N$1)</f>
        <v>0</v>
      </c>
      <c r="O1127" s="36">
        <f>RTD("ice.rtd",,$C1127 &amp; $D1127 &amp; ":" &amp; O$1)</f>
        <v>0</v>
      </c>
      <c r="P11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7" s="14" t="str">
        <f>IF(ICE[[#This Row],[LastType]] = "Scrn", ICE[[#This Row],[LstDate]], IF(ICE[[#This Row],[LastType]] = "Blk", ICE[[#This Row],[LstBlkTime]], ""))</f>
        <v/>
      </c>
      <c r="R1127" s="41" t="str">
        <f>IF(ICE[[#This Row],[LastType]] = "Scrn", ICE[[#This Row],[LstPrc]], IF(ICE[[#This Row],[LastType]] = "Blk", ICE[[#This Row],[LstBlkPrc]], ""))</f>
        <v/>
      </c>
      <c r="S1127" s="36">
        <f>ICE[[#This Row],[Vol]]+ICE[[#This Row],[BlkVol]]</f>
        <v>0</v>
      </c>
      <c r="T1127" s="36">
        <f>RTD("ice.rtd",,$C1127 &amp; $D1127 &amp; ":" &amp; T$1)</f>
        <v>0</v>
      </c>
      <c r="U1127" s="18">
        <f>RTD("ice.rtd",,$C1127 &amp; $D1127 &amp; ":" &amp; U$1)</f>
        <v>12.9015</v>
      </c>
      <c r="V11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7" s="18" t="str">
        <f>IFERROR(IF(LEFT(ICE[[#This Row],[Tenor]], 1) = "B", RTD("esrtd",,$B1127 &amp; " " &amp; ICE[[#This Row],[Tenor]] &amp; "-IEU", W$1), RTD("esrtd",,$B1127 &amp; " " &amp; VLOOKUP(MONTH(ICE[[#This Row],[Strip]]), MthRef[], 2, 0) &amp; RIGHT(YEAR(ICE[[#This Row],[Strip]]), 2) &amp; "-IEU", W$1)), "")</f>
        <v/>
      </c>
      <c r="X1127" s="36"/>
    </row>
    <row r="1128" spans="1:24" x14ac:dyDescent="0.25">
      <c r="A1128" s="37" t="s">
        <v>835</v>
      </c>
      <c r="B1128" s="3" t="str">
        <f>RTD("ice.rtd",,$C1128 &amp; $D1128 &amp; ":" &amp; B$1)</f>
        <v>TEN</v>
      </c>
      <c r="C1128" s="3">
        <v>2755728678</v>
      </c>
      <c r="D1128" t="s">
        <v>806</v>
      </c>
      <c r="E1128" s="3" t="str">
        <f>RTD("ice.rtd",,$C1128 &amp; $D1128 &amp; ":" &amp; E$1)</f>
        <v>Feb28</v>
      </c>
      <c r="F1128" s="3" t="str">
        <f>ICE[[#This Row],[Prod]]&amp;ICE[[#This Row],[Strip]]</f>
        <v>fo05singbrxmtFeb28</v>
      </c>
      <c r="G1128" s="18" t="str">
        <f>RTD("ice.rtd",,$C1128 &amp; $D1128 &amp; ":" &amp; G$1)</f>
        <v/>
      </c>
      <c r="H1128" s="18" t="str">
        <f>RTD("ice.rtd",,$C1128 &amp; $D1128 &amp; ":" &amp; H$1)</f>
        <v/>
      </c>
      <c r="I1128" s="18" t="str">
        <f>RTD("ice.rtd",,$C1128 &amp; $D1128 &amp; ":" &amp; I$1)</f>
        <v/>
      </c>
      <c r="J1128" s="14" t="str">
        <f>IFERROR(MOD(RTD("ice.rtd",,$C1128 &amp; $D1128 &amp; ":" &amp; J$1), 1), "")</f>
        <v/>
      </c>
      <c r="K1128" s="18" t="str">
        <f>RTD("ice.rtd",,$C1128 &amp; $D1128 &amp; ":" &amp; K$1)</f>
        <v/>
      </c>
      <c r="L1128" s="36" t="str">
        <f>RTD("ice.rtd",,$C1128 &amp; $D1128 &amp; ":" &amp; L$1)</f>
        <v/>
      </c>
      <c r="M1128" s="14" t="str">
        <f>IFERROR(MOD(TIMEVALUE(RTD("ice.rtd",,$C1128 &amp; $D1128 &amp; ":" &amp; M$1)), 1), "")</f>
        <v/>
      </c>
      <c r="N1128" s="36">
        <f>RTD("ice.rtd",,$C1128 &amp; $D1128 &amp; ":" &amp; N$1)</f>
        <v>0</v>
      </c>
      <c r="O1128" s="36">
        <f>RTD("ice.rtd",,$C1128 &amp; $D1128 &amp; ":" &amp; O$1)</f>
        <v>0</v>
      </c>
      <c r="P11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8" s="14" t="str">
        <f>IF(ICE[[#This Row],[LastType]] = "Scrn", ICE[[#This Row],[LstDate]], IF(ICE[[#This Row],[LastType]] = "Blk", ICE[[#This Row],[LstBlkTime]], ""))</f>
        <v/>
      </c>
      <c r="R1128" s="41" t="str">
        <f>IF(ICE[[#This Row],[LastType]] = "Scrn", ICE[[#This Row],[LstPrc]], IF(ICE[[#This Row],[LastType]] = "Blk", ICE[[#This Row],[LstBlkPrc]], ""))</f>
        <v/>
      </c>
      <c r="S1128" s="36">
        <f>ICE[[#This Row],[Vol]]+ICE[[#This Row],[BlkVol]]</f>
        <v>0</v>
      </c>
      <c r="T1128" s="36">
        <f>RTD("ice.rtd",,$C1128 &amp; $D1128 &amp; ":" &amp; T$1)</f>
        <v>0</v>
      </c>
      <c r="U1128" s="18">
        <f>RTD("ice.rtd",,$C1128 &amp; $D1128 &amp; ":" &amp; U$1)</f>
        <v>12.856100000000001</v>
      </c>
      <c r="V11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8" s="18" t="str">
        <f>IFERROR(IF(LEFT(ICE[[#This Row],[Tenor]], 1) = "B", RTD("esrtd",,$B1128 &amp; " " &amp; ICE[[#This Row],[Tenor]] &amp; "-IEU", W$1), RTD("esrtd",,$B1128 &amp; " " &amp; VLOOKUP(MONTH(ICE[[#This Row],[Strip]]), MthRef[], 2, 0) &amp; RIGHT(YEAR(ICE[[#This Row],[Strip]]), 2) &amp; "-IEU", W$1)), "")</f>
        <v/>
      </c>
      <c r="X1128" s="36"/>
    </row>
    <row r="1129" spans="1:24" x14ac:dyDescent="0.25">
      <c r="A1129" s="37" t="s">
        <v>835</v>
      </c>
      <c r="B1129" s="3" t="str">
        <f>RTD("ice.rtd",,$C1129 &amp; $D1129 &amp; ":" &amp; B$1)</f>
        <v>TEN</v>
      </c>
      <c r="C1129" s="3">
        <v>2755728678</v>
      </c>
      <c r="D1129" t="s">
        <v>807</v>
      </c>
      <c r="E1129" s="3" t="str">
        <f>RTD("ice.rtd",,$C1129 &amp; $D1129 &amp; ":" &amp; E$1)</f>
        <v>Mar28</v>
      </c>
      <c r="F1129" s="3" t="str">
        <f>ICE[[#This Row],[Prod]]&amp;ICE[[#This Row],[Strip]]</f>
        <v>fo05singbrxmtMar28</v>
      </c>
      <c r="G1129" s="18" t="str">
        <f>RTD("ice.rtd",,$C1129 &amp; $D1129 &amp; ":" &amp; G$1)</f>
        <v/>
      </c>
      <c r="H1129" s="18" t="str">
        <f>RTD("ice.rtd",,$C1129 &amp; $D1129 &amp; ":" &amp; H$1)</f>
        <v/>
      </c>
      <c r="I1129" s="18" t="str">
        <f>RTD("ice.rtd",,$C1129 &amp; $D1129 &amp; ":" &amp; I$1)</f>
        <v/>
      </c>
      <c r="J1129" s="14" t="str">
        <f>IFERROR(MOD(RTD("ice.rtd",,$C1129 &amp; $D1129 &amp; ":" &amp; J$1), 1), "")</f>
        <v/>
      </c>
      <c r="K1129" s="18" t="str">
        <f>RTD("ice.rtd",,$C1129 &amp; $D1129 &amp; ":" &amp; K$1)</f>
        <v/>
      </c>
      <c r="L1129" s="36" t="str">
        <f>RTD("ice.rtd",,$C1129 &amp; $D1129 &amp; ":" &amp; L$1)</f>
        <v/>
      </c>
      <c r="M1129" s="14" t="str">
        <f>IFERROR(MOD(TIMEVALUE(RTD("ice.rtd",,$C1129 &amp; $D1129 &amp; ":" &amp; M$1)), 1), "")</f>
        <v/>
      </c>
      <c r="N1129" s="36">
        <f>RTD("ice.rtd",,$C1129 &amp; $D1129 &amp; ":" &amp; N$1)</f>
        <v>0</v>
      </c>
      <c r="O1129" s="36">
        <f>RTD("ice.rtd",,$C1129 &amp; $D1129 &amp; ":" &amp; O$1)</f>
        <v>0</v>
      </c>
      <c r="P11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29" s="14" t="str">
        <f>IF(ICE[[#This Row],[LastType]] = "Scrn", ICE[[#This Row],[LstDate]], IF(ICE[[#This Row],[LastType]] = "Blk", ICE[[#This Row],[LstBlkTime]], ""))</f>
        <v/>
      </c>
      <c r="R1129" s="41" t="str">
        <f>IF(ICE[[#This Row],[LastType]] = "Scrn", ICE[[#This Row],[LstPrc]], IF(ICE[[#This Row],[LastType]] = "Blk", ICE[[#This Row],[LstBlkPrc]], ""))</f>
        <v/>
      </c>
      <c r="S1129" s="36">
        <f>ICE[[#This Row],[Vol]]+ICE[[#This Row],[BlkVol]]</f>
        <v>0</v>
      </c>
      <c r="T1129" s="36">
        <f>RTD("ice.rtd",,$C1129 &amp; $D1129 &amp; ":" &amp; T$1)</f>
        <v>0</v>
      </c>
      <c r="U1129" s="18">
        <f>RTD("ice.rtd",,$C1129 &amp; $D1129 &amp; ":" &amp; U$1)</f>
        <v>12.799800000000001</v>
      </c>
      <c r="V11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29" s="18" t="str">
        <f>IFERROR(IF(LEFT(ICE[[#This Row],[Tenor]], 1) = "B", RTD("esrtd",,$B1129 &amp; " " &amp; ICE[[#This Row],[Tenor]] &amp; "-IEU", W$1), RTD("esrtd",,$B1129 &amp; " " &amp; VLOOKUP(MONTH(ICE[[#This Row],[Strip]]), MthRef[], 2, 0) &amp; RIGHT(YEAR(ICE[[#This Row],[Strip]]), 2) &amp; "-IEU", W$1)), "")</f>
        <v/>
      </c>
      <c r="X1129" s="36"/>
    </row>
    <row r="1130" spans="1:24" x14ac:dyDescent="0.25">
      <c r="A1130" s="37" t="s">
        <v>835</v>
      </c>
      <c r="B1130" s="3" t="str">
        <f>RTD("ice.rtd",,$C1130 &amp; $D1130 &amp; ":" &amp; B$1)</f>
        <v>TEN</v>
      </c>
      <c r="C1130" s="3">
        <v>2755728678</v>
      </c>
      <c r="D1130" t="s">
        <v>808</v>
      </c>
      <c r="E1130" s="3" t="str">
        <f>RTD("ice.rtd",,$C1130 &amp; $D1130 &amp; ":" &amp; E$1)</f>
        <v>Apr28</v>
      </c>
      <c r="F1130" s="3" t="str">
        <f>ICE[[#This Row],[Prod]]&amp;ICE[[#This Row],[Strip]]</f>
        <v>fo05singbrxmtApr28</v>
      </c>
      <c r="G1130" s="18" t="str">
        <f>RTD("ice.rtd",,$C1130 &amp; $D1130 &amp; ":" &amp; G$1)</f>
        <v/>
      </c>
      <c r="H1130" s="18" t="str">
        <f>RTD("ice.rtd",,$C1130 &amp; $D1130 &amp; ":" &amp; H$1)</f>
        <v/>
      </c>
      <c r="I1130" s="18" t="str">
        <f>RTD("ice.rtd",,$C1130 &amp; $D1130 &amp; ":" &amp; I$1)</f>
        <v/>
      </c>
      <c r="J1130" s="14" t="str">
        <f>IFERROR(MOD(RTD("ice.rtd",,$C1130 &amp; $D1130 &amp; ":" &amp; J$1), 1), "")</f>
        <v/>
      </c>
      <c r="K1130" s="18" t="str">
        <f>RTD("ice.rtd",,$C1130 &amp; $D1130 &amp; ":" &amp; K$1)</f>
        <v/>
      </c>
      <c r="L1130" s="36" t="str">
        <f>RTD("ice.rtd",,$C1130 &amp; $D1130 &amp; ":" &amp; L$1)</f>
        <v/>
      </c>
      <c r="M1130" s="14" t="str">
        <f>IFERROR(MOD(TIMEVALUE(RTD("ice.rtd",,$C1130 &amp; $D1130 &amp; ":" &amp; M$1)), 1), "")</f>
        <v/>
      </c>
      <c r="N1130" s="36">
        <f>RTD("ice.rtd",,$C1130 &amp; $D1130 &amp; ":" &amp; N$1)</f>
        <v>0</v>
      </c>
      <c r="O1130" s="36">
        <f>RTD("ice.rtd",,$C1130 &amp; $D1130 &amp; ":" &amp; O$1)</f>
        <v>0</v>
      </c>
      <c r="P11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0" s="14" t="str">
        <f>IF(ICE[[#This Row],[LastType]] = "Scrn", ICE[[#This Row],[LstDate]], IF(ICE[[#This Row],[LastType]] = "Blk", ICE[[#This Row],[LstBlkTime]], ""))</f>
        <v/>
      </c>
      <c r="R1130" s="41" t="str">
        <f>IF(ICE[[#This Row],[LastType]] = "Scrn", ICE[[#This Row],[LstPrc]], IF(ICE[[#This Row],[LastType]] = "Blk", ICE[[#This Row],[LstBlkPrc]], ""))</f>
        <v/>
      </c>
      <c r="S1130" s="36">
        <f>ICE[[#This Row],[Vol]]+ICE[[#This Row],[BlkVol]]</f>
        <v>0</v>
      </c>
      <c r="T1130" s="36">
        <f>RTD("ice.rtd",,$C1130 &amp; $D1130 &amp; ":" &amp; T$1)</f>
        <v>0</v>
      </c>
      <c r="U1130" s="18">
        <f>RTD("ice.rtd",,$C1130 &amp; $D1130 &amp; ":" &amp; U$1)</f>
        <v>12.7285</v>
      </c>
      <c r="V11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0" s="18" t="str">
        <f>IFERROR(IF(LEFT(ICE[[#This Row],[Tenor]], 1) = "B", RTD("esrtd",,$B1130 &amp; " " &amp; ICE[[#This Row],[Tenor]] &amp; "-IEU", W$1), RTD("esrtd",,$B1130 &amp; " " &amp; VLOOKUP(MONTH(ICE[[#This Row],[Strip]]), MthRef[], 2, 0) &amp; RIGHT(YEAR(ICE[[#This Row],[Strip]]), 2) &amp; "-IEU", W$1)), "")</f>
        <v/>
      </c>
      <c r="X1130" s="36"/>
    </row>
    <row r="1131" spans="1:24" x14ac:dyDescent="0.25">
      <c r="A1131" s="37" t="s">
        <v>835</v>
      </c>
      <c r="B1131" s="3" t="str">
        <f>RTD("ice.rtd",,$C1131 &amp; $D1131 &amp; ":" &amp; B$1)</f>
        <v>TEN</v>
      </c>
      <c r="C1131" s="3">
        <v>2755728678</v>
      </c>
      <c r="D1131" t="s">
        <v>809</v>
      </c>
      <c r="E1131" s="3" t="str">
        <f>RTD("ice.rtd",,$C1131 &amp; $D1131 &amp; ":" &amp; E$1)</f>
        <v>May28</v>
      </c>
      <c r="F1131" s="3" t="str">
        <f>ICE[[#This Row],[Prod]]&amp;ICE[[#This Row],[Strip]]</f>
        <v>fo05singbrxmtMay28</v>
      </c>
      <c r="G1131" s="18" t="str">
        <f>RTD("ice.rtd",,$C1131 &amp; $D1131 &amp; ":" &amp; G$1)</f>
        <v/>
      </c>
      <c r="H1131" s="18" t="str">
        <f>RTD("ice.rtd",,$C1131 &amp; $D1131 &amp; ":" &amp; H$1)</f>
        <v/>
      </c>
      <c r="I1131" s="18" t="str">
        <f>RTD("ice.rtd",,$C1131 &amp; $D1131 &amp; ":" &amp; I$1)</f>
        <v/>
      </c>
      <c r="J1131" s="14" t="str">
        <f>IFERROR(MOD(RTD("ice.rtd",,$C1131 &amp; $D1131 &amp; ":" &amp; J$1), 1), "")</f>
        <v/>
      </c>
      <c r="K1131" s="18" t="str">
        <f>RTD("ice.rtd",,$C1131 &amp; $D1131 &amp; ":" &amp; K$1)</f>
        <v/>
      </c>
      <c r="L1131" s="36" t="str">
        <f>RTD("ice.rtd",,$C1131 &amp; $D1131 &amp; ":" &amp; L$1)</f>
        <v/>
      </c>
      <c r="M1131" s="14" t="str">
        <f>IFERROR(MOD(TIMEVALUE(RTD("ice.rtd",,$C1131 &amp; $D1131 &amp; ":" &amp; M$1)), 1), "")</f>
        <v/>
      </c>
      <c r="N1131" s="36">
        <f>RTD("ice.rtd",,$C1131 &amp; $D1131 &amp; ":" &amp; N$1)</f>
        <v>0</v>
      </c>
      <c r="O1131" s="36">
        <f>RTD("ice.rtd",,$C1131 &amp; $D1131 &amp; ":" &amp; O$1)</f>
        <v>0</v>
      </c>
      <c r="P11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1" s="14" t="str">
        <f>IF(ICE[[#This Row],[LastType]] = "Scrn", ICE[[#This Row],[LstDate]], IF(ICE[[#This Row],[LastType]] = "Blk", ICE[[#This Row],[LstBlkTime]], ""))</f>
        <v/>
      </c>
      <c r="R1131" s="41" t="str">
        <f>IF(ICE[[#This Row],[LastType]] = "Scrn", ICE[[#This Row],[LstPrc]], IF(ICE[[#This Row],[LastType]] = "Blk", ICE[[#This Row],[LstBlkPrc]], ""))</f>
        <v/>
      </c>
      <c r="S1131" s="36">
        <f>ICE[[#This Row],[Vol]]+ICE[[#This Row],[BlkVol]]</f>
        <v>0</v>
      </c>
      <c r="T1131" s="36">
        <f>RTD("ice.rtd",,$C1131 &amp; $D1131 &amp; ":" &amp; T$1)</f>
        <v>0</v>
      </c>
      <c r="U1131" s="18">
        <f>RTD("ice.rtd",,$C1131 &amp; $D1131 &amp; ":" &amp; U$1)</f>
        <v>12.6501</v>
      </c>
      <c r="V11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1" s="18" t="str">
        <f>IFERROR(IF(LEFT(ICE[[#This Row],[Tenor]], 1) = "B", RTD("esrtd",,$B1131 &amp; " " &amp; ICE[[#This Row],[Tenor]] &amp; "-IEU", W$1), RTD("esrtd",,$B1131 &amp; " " &amp; VLOOKUP(MONTH(ICE[[#This Row],[Strip]]), MthRef[], 2, 0) &amp; RIGHT(YEAR(ICE[[#This Row],[Strip]]), 2) &amp; "-IEU", W$1)), "")</f>
        <v/>
      </c>
      <c r="X1131" s="36"/>
    </row>
    <row r="1132" spans="1:24" x14ac:dyDescent="0.25">
      <c r="A1132" s="37" t="s">
        <v>835</v>
      </c>
      <c r="B1132" s="3" t="str">
        <f>RTD("ice.rtd",,$C1132 &amp; $D1132 &amp; ":" &amp; B$1)</f>
        <v>TEN</v>
      </c>
      <c r="C1132" s="3">
        <v>2755728678</v>
      </c>
      <c r="D1132" t="s">
        <v>810</v>
      </c>
      <c r="E1132" s="3" t="str">
        <f>RTD("ice.rtd",,$C1132 &amp; $D1132 &amp; ":" &amp; E$1)</f>
        <v>Jun28</v>
      </c>
      <c r="F1132" s="3" t="str">
        <f>ICE[[#This Row],[Prod]]&amp;ICE[[#This Row],[Strip]]</f>
        <v>fo05singbrxmtJun28</v>
      </c>
      <c r="G1132" s="18" t="str">
        <f>RTD("ice.rtd",,$C1132 &amp; $D1132 &amp; ":" &amp; G$1)</f>
        <v/>
      </c>
      <c r="H1132" s="18" t="str">
        <f>RTD("ice.rtd",,$C1132 &amp; $D1132 &amp; ":" &amp; H$1)</f>
        <v/>
      </c>
      <c r="I1132" s="18" t="str">
        <f>RTD("ice.rtd",,$C1132 &amp; $D1132 &amp; ":" &amp; I$1)</f>
        <v/>
      </c>
      <c r="J1132" s="14" t="str">
        <f>IFERROR(MOD(RTD("ice.rtd",,$C1132 &amp; $D1132 &amp; ":" &amp; J$1), 1), "")</f>
        <v/>
      </c>
      <c r="K1132" s="18" t="str">
        <f>RTD("ice.rtd",,$C1132 &amp; $D1132 &amp; ":" &amp; K$1)</f>
        <v/>
      </c>
      <c r="L1132" s="36" t="str">
        <f>RTD("ice.rtd",,$C1132 &amp; $D1132 &amp; ":" &amp; L$1)</f>
        <v/>
      </c>
      <c r="M1132" s="14" t="str">
        <f>IFERROR(MOD(TIMEVALUE(RTD("ice.rtd",,$C1132 &amp; $D1132 &amp; ":" &amp; M$1)), 1), "")</f>
        <v/>
      </c>
      <c r="N1132" s="36">
        <f>RTD("ice.rtd",,$C1132 &amp; $D1132 &amp; ":" &amp; N$1)</f>
        <v>0</v>
      </c>
      <c r="O1132" s="36">
        <f>RTD("ice.rtd",,$C1132 &amp; $D1132 &amp; ":" &amp; O$1)</f>
        <v>0</v>
      </c>
      <c r="P11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2" s="14" t="str">
        <f>IF(ICE[[#This Row],[LastType]] = "Scrn", ICE[[#This Row],[LstDate]], IF(ICE[[#This Row],[LastType]] = "Blk", ICE[[#This Row],[LstBlkTime]], ""))</f>
        <v/>
      </c>
      <c r="R1132" s="41" t="str">
        <f>IF(ICE[[#This Row],[LastType]] = "Scrn", ICE[[#This Row],[LstPrc]], IF(ICE[[#This Row],[LastType]] = "Blk", ICE[[#This Row],[LstBlkPrc]], ""))</f>
        <v/>
      </c>
      <c r="S1132" s="36">
        <f>ICE[[#This Row],[Vol]]+ICE[[#This Row],[BlkVol]]</f>
        <v>0</v>
      </c>
      <c r="T1132" s="36">
        <f>RTD("ice.rtd",,$C1132 &amp; $D1132 &amp; ":" &amp; T$1)</f>
        <v>0</v>
      </c>
      <c r="U1132" s="18">
        <f>RTD("ice.rtd",,$C1132 &amp; $D1132 &amp; ":" &amp; U$1)</f>
        <v>12.555800000000001</v>
      </c>
      <c r="V11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2" s="18" t="str">
        <f>IFERROR(IF(LEFT(ICE[[#This Row],[Tenor]], 1) = "B", RTD("esrtd",,$B1132 &amp; " " &amp; ICE[[#This Row],[Tenor]] &amp; "-IEU", W$1), RTD("esrtd",,$B1132 &amp; " " &amp; VLOOKUP(MONTH(ICE[[#This Row],[Strip]]), MthRef[], 2, 0) &amp; RIGHT(YEAR(ICE[[#This Row],[Strip]]), 2) &amp; "-IEU", W$1)), "")</f>
        <v/>
      </c>
      <c r="X1132" s="36"/>
    </row>
    <row r="1133" spans="1:24" x14ac:dyDescent="0.25">
      <c r="A1133" s="37" t="s">
        <v>835</v>
      </c>
      <c r="B1133" s="3" t="str">
        <f>RTD("ice.rtd",,$C1133 &amp; $D1133 &amp; ":" &amp; B$1)</f>
        <v>TEN</v>
      </c>
      <c r="C1133" s="3">
        <v>2755728678</v>
      </c>
      <c r="D1133" t="s">
        <v>811</v>
      </c>
      <c r="E1133" s="3" t="str">
        <f>RTD("ice.rtd",,$C1133 &amp; $D1133 &amp; ":" &amp; E$1)</f>
        <v>Jul28</v>
      </c>
      <c r="F1133" s="3" t="str">
        <f>ICE[[#This Row],[Prod]]&amp;ICE[[#This Row],[Strip]]</f>
        <v>fo05singbrxmtJul28</v>
      </c>
      <c r="G1133" s="18" t="str">
        <f>RTD("ice.rtd",,$C1133 &amp; $D1133 &amp; ":" &amp; G$1)</f>
        <v/>
      </c>
      <c r="H1133" s="18" t="str">
        <f>RTD("ice.rtd",,$C1133 &amp; $D1133 &amp; ":" &amp; H$1)</f>
        <v/>
      </c>
      <c r="I1133" s="18" t="str">
        <f>RTD("ice.rtd",,$C1133 &amp; $D1133 &amp; ":" &amp; I$1)</f>
        <v/>
      </c>
      <c r="J1133" s="14" t="str">
        <f>IFERROR(MOD(RTD("ice.rtd",,$C1133 &amp; $D1133 &amp; ":" &amp; J$1), 1), "")</f>
        <v/>
      </c>
      <c r="K1133" s="18" t="str">
        <f>RTD("ice.rtd",,$C1133 &amp; $D1133 &amp; ":" &amp; K$1)</f>
        <v/>
      </c>
      <c r="L1133" s="36" t="str">
        <f>RTD("ice.rtd",,$C1133 &amp; $D1133 &amp; ":" &amp; L$1)</f>
        <v/>
      </c>
      <c r="M1133" s="14" t="str">
        <f>IFERROR(MOD(TIMEVALUE(RTD("ice.rtd",,$C1133 &amp; $D1133 &amp; ":" &amp; M$1)), 1), "")</f>
        <v/>
      </c>
      <c r="N1133" s="36">
        <f>RTD("ice.rtd",,$C1133 &amp; $D1133 &amp; ":" &amp; N$1)</f>
        <v>0</v>
      </c>
      <c r="O1133" s="36">
        <f>RTD("ice.rtd",,$C1133 &amp; $D1133 &amp; ":" &amp; O$1)</f>
        <v>0</v>
      </c>
      <c r="P11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3" s="14" t="str">
        <f>IF(ICE[[#This Row],[LastType]] = "Scrn", ICE[[#This Row],[LstDate]], IF(ICE[[#This Row],[LastType]] = "Blk", ICE[[#This Row],[LstBlkTime]], ""))</f>
        <v/>
      </c>
      <c r="R1133" s="41" t="str">
        <f>IF(ICE[[#This Row],[LastType]] = "Scrn", ICE[[#This Row],[LstPrc]], IF(ICE[[#This Row],[LastType]] = "Blk", ICE[[#This Row],[LstBlkPrc]], ""))</f>
        <v/>
      </c>
      <c r="S1133" s="36">
        <f>ICE[[#This Row],[Vol]]+ICE[[#This Row],[BlkVol]]</f>
        <v>0</v>
      </c>
      <c r="T1133" s="36">
        <f>RTD("ice.rtd",,$C1133 &amp; $D1133 &amp; ":" &amp; T$1)</f>
        <v>0</v>
      </c>
      <c r="U1133" s="18">
        <f>RTD("ice.rtd",,$C1133 &amp; $D1133 &amp; ":" &amp; U$1)</f>
        <v>12.530200000000001</v>
      </c>
      <c r="V11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3" s="18" t="str">
        <f>IFERROR(IF(LEFT(ICE[[#This Row],[Tenor]], 1) = "B", RTD("esrtd",,$B1133 &amp; " " &amp; ICE[[#This Row],[Tenor]] &amp; "-IEU", W$1), RTD("esrtd",,$B1133 &amp; " " &amp; VLOOKUP(MONTH(ICE[[#This Row],[Strip]]), MthRef[], 2, 0) &amp; RIGHT(YEAR(ICE[[#This Row],[Strip]]), 2) &amp; "-IEU", W$1)), "")</f>
        <v/>
      </c>
      <c r="X1133" s="36"/>
    </row>
    <row r="1134" spans="1:24" x14ac:dyDescent="0.25">
      <c r="A1134" s="37" t="s">
        <v>835</v>
      </c>
      <c r="B1134" s="3" t="str">
        <f>RTD("ice.rtd",,$C1134 &amp; $D1134 &amp; ":" &amp; B$1)</f>
        <v>TEN</v>
      </c>
      <c r="C1134" s="3">
        <v>2755728678</v>
      </c>
      <c r="D1134" t="s">
        <v>812</v>
      </c>
      <c r="E1134" s="3" t="str">
        <f>RTD("ice.rtd",,$C1134 &amp; $D1134 &amp; ":" &amp; E$1)</f>
        <v>Aug28</v>
      </c>
      <c r="F1134" s="3" t="str">
        <f>ICE[[#This Row],[Prod]]&amp;ICE[[#This Row],[Strip]]</f>
        <v>fo05singbrxmtAug28</v>
      </c>
      <c r="G1134" s="18" t="str">
        <f>RTD("ice.rtd",,$C1134 &amp; $D1134 &amp; ":" &amp; G$1)</f>
        <v/>
      </c>
      <c r="H1134" s="18" t="str">
        <f>RTD("ice.rtd",,$C1134 &amp; $D1134 &amp; ":" &amp; H$1)</f>
        <v/>
      </c>
      <c r="I1134" s="18" t="str">
        <f>RTD("ice.rtd",,$C1134 &amp; $D1134 &amp; ":" &amp; I$1)</f>
        <v/>
      </c>
      <c r="J1134" s="14" t="str">
        <f>IFERROR(MOD(RTD("ice.rtd",,$C1134 &amp; $D1134 &amp; ":" &amp; J$1), 1), "")</f>
        <v/>
      </c>
      <c r="K1134" s="18" t="str">
        <f>RTD("ice.rtd",,$C1134 &amp; $D1134 &amp; ":" &amp; K$1)</f>
        <v/>
      </c>
      <c r="L1134" s="36" t="str">
        <f>RTD("ice.rtd",,$C1134 &amp; $D1134 &amp; ":" &amp; L$1)</f>
        <v/>
      </c>
      <c r="M1134" s="14" t="str">
        <f>IFERROR(MOD(TIMEVALUE(RTD("ice.rtd",,$C1134 &amp; $D1134 &amp; ":" &amp; M$1)), 1), "")</f>
        <v/>
      </c>
      <c r="N1134" s="36">
        <f>RTD("ice.rtd",,$C1134 &amp; $D1134 &amp; ":" &amp; N$1)</f>
        <v>0</v>
      </c>
      <c r="O1134" s="36">
        <f>RTD("ice.rtd",,$C1134 &amp; $D1134 &amp; ":" &amp; O$1)</f>
        <v>0</v>
      </c>
      <c r="P11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4" s="14" t="str">
        <f>IF(ICE[[#This Row],[LastType]] = "Scrn", ICE[[#This Row],[LstDate]], IF(ICE[[#This Row],[LastType]] = "Blk", ICE[[#This Row],[LstBlkTime]], ""))</f>
        <v/>
      </c>
      <c r="R1134" s="41" t="str">
        <f>IF(ICE[[#This Row],[LastType]] = "Scrn", ICE[[#This Row],[LstPrc]], IF(ICE[[#This Row],[LastType]] = "Blk", ICE[[#This Row],[LstBlkPrc]], ""))</f>
        <v/>
      </c>
      <c r="S1134" s="36">
        <f>ICE[[#This Row],[Vol]]+ICE[[#This Row],[BlkVol]]</f>
        <v>0</v>
      </c>
      <c r="T1134" s="36">
        <f>RTD("ice.rtd",,$C1134 &amp; $D1134 &amp; ":" &amp; T$1)</f>
        <v>0</v>
      </c>
      <c r="U1134" s="18">
        <f>RTD("ice.rtd",,$C1134 &amp; $D1134 &amp; ":" &amp; U$1)</f>
        <v>12.493600000000001</v>
      </c>
      <c r="V11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4" s="18" t="str">
        <f>IFERROR(IF(LEFT(ICE[[#This Row],[Tenor]], 1) = "B", RTD("esrtd",,$B1134 &amp; " " &amp; ICE[[#This Row],[Tenor]] &amp; "-IEU", W$1), RTD("esrtd",,$B1134 &amp; " " &amp; VLOOKUP(MONTH(ICE[[#This Row],[Strip]]), MthRef[], 2, 0) &amp; RIGHT(YEAR(ICE[[#This Row],[Strip]]), 2) &amp; "-IEU", W$1)), "")</f>
        <v/>
      </c>
      <c r="X1134" s="36"/>
    </row>
    <row r="1135" spans="1:24" x14ac:dyDescent="0.25">
      <c r="A1135" s="37" t="s">
        <v>835</v>
      </c>
      <c r="B1135" s="3" t="str">
        <f>RTD("ice.rtd",,$C1135 &amp; $D1135 &amp; ":" &amp; B$1)</f>
        <v>TEN</v>
      </c>
      <c r="C1135" s="3">
        <v>2755728678</v>
      </c>
      <c r="D1135" t="s">
        <v>813</v>
      </c>
      <c r="E1135" s="3" t="str">
        <f>RTD("ice.rtd",,$C1135 &amp; $D1135 &amp; ":" &amp; E$1)</f>
        <v>Sep28</v>
      </c>
      <c r="F1135" s="3" t="str">
        <f>ICE[[#This Row],[Prod]]&amp;ICE[[#This Row],[Strip]]</f>
        <v>fo05singbrxmtSep28</v>
      </c>
      <c r="G1135" s="18" t="str">
        <f>RTD("ice.rtd",,$C1135 &amp; $D1135 &amp; ":" &amp; G$1)</f>
        <v/>
      </c>
      <c r="H1135" s="18" t="str">
        <f>RTD("ice.rtd",,$C1135 &amp; $D1135 &amp; ":" &amp; H$1)</f>
        <v/>
      </c>
      <c r="I1135" s="18" t="str">
        <f>RTD("ice.rtd",,$C1135 &amp; $D1135 &amp; ":" &amp; I$1)</f>
        <v/>
      </c>
      <c r="J1135" s="14" t="str">
        <f>IFERROR(MOD(RTD("ice.rtd",,$C1135 &amp; $D1135 &amp; ":" &amp; J$1), 1), "")</f>
        <v/>
      </c>
      <c r="K1135" s="18" t="str">
        <f>RTD("ice.rtd",,$C1135 &amp; $D1135 &amp; ":" &amp; K$1)</f>
        <v/>
      </c>
      <c r="L1135" s="36" t="str">
        <f>RTD("ice.rtd",,$C1135 &amp; $D1135 &amp; ":" &amp; L$1)</f>
        <v/>
      </c>
      <c r="M1135" s="14" t="str">
        <f>IFERROR(MOD(TIMEVALUE(RTD("ice.rtd",,$C1135 &amp; $D1135 &amp; ":" &amp; M$1)), 1), "")</f>
        <v/>
      </c>
      <c r="N1135" s="36">
        <f>RTD("ice.rtd",,$C1135 &amp; $D1135 &amp; ":" &amp; N$1)</f>
        <v>0</v>
      </c>
      <c r="O1135" s="36">
        <f>RTD("ice.rtd",,$C1135 &amp; $D1135 &amp; ":" &amp; O$1)</f>
        <v>0</v>
      </c>
      <c r="P11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5" s="14" t="str">
        <f>IF(ICE[[#This Row],[LastType]] = "Scrn", ICE[[#This Row],[LstDate]], IF(ICE[[#This Row],[LastType]] = "Blk", ICE[[#This Row],[LstBlkTime]], ""))</f>
        <v/>
      </c>
      <c r="R1135" s="41" t="str">
        <f>IF(ICE[[#This Row],[LastType]] = "Scrn", ICE[[#This Row],[LstPrc]], IF(ICE[[#This Row],[LastType]] = "Blk", ICE[[#This Row],[LstBlkPrc]], ""))</f>
        <v/>
      </c>
      <c r="S1135" s="36">
        <f>ICE[[#This Row],[Vol]]+ICE[[#This Row],[BlkVol]]</f>
        <v>0</v>
      </c>
      <c r="T1135" s="36">
        <f>RTD("ice.rtd",,$C1135 &amp; $D1135 &amp; ":" &amp; T$1)</f>
        <v>0</v>
      </c>
      <c r="U1135" s="18">
        <f>RTD("ice.rtd",,$C1135 &amp; $D1135 &amp; ":" &amp; U$1)</f>
        <v>12.419700000000001</v>
      </c>
      <c r="V11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5" s="18" t="str">
        <f>IFERROR(IF(LEFT(ICE[[#This Row],[Tenor]], 1) = "B", RTD("esrtd",,$B1135 &amp; " " &amp; ICE[[#This Row],[Tenor]] &amp; "-IEU", W$1), RTD("esrtd",,$B1135 &amp; " " &amp; VLOOKUP(MONTH(ICE[[#This Row],[Strip]]), MthRef[], 2, 0) &amp; RIGHT(YEAR(ICE[[#This Row],[Strip]]), 2) &amp; "-IEU", W$1)), "")</f>
        <v/>
      </c>
      <c r="X1135" s="36"/>
    </row>
    <row r="1136" spans="1:24" x14ac:dyDescent="0.25">
      <c r="A1136" s="37" t="s">
        <v>835</v>
      </c>
      <c r="B1136" s="3" t="str">
        <f>RTD("ice.rtd",,$C1136 &amp; $D1136 &amp; ":" &amp; B$1)</f>
        <v>TEN</v>
      </c>
      <c r="C1136" s="3">
        <v>2755728678</v>
      </c>
      <c r="D1136" t="s">
        <v>814</v>
      </c>
      <c r="E1136" s="3" t="str">
        <f>RTD("ice.rtd",,$C1136 &amp; $D1136 &amp; ":" &amp; E$1)</f>
        <v>Q4 26</v>
      </c>
      <c r="F1136" s="3" t="str">
        <f>ICE[[#This Row],[Prod]]&amp;ICE[[#This Row],[Strip]]</f>
        <v>fo05singbrxmtQ4 26</v>
      </c>
      <c r="G1136" s="18" t="str">
        <f>RTD("ice.rtd",,$C1136 &amp; $D1136 &amp; ":" &amp; G$1)</f>
        <v/>
      </c>
      <c r="H1136" s="18" t="str">
        <f>RTD("ice.rtd",,$C1136 &amp; $D1136 &amp; ":" &amp; H$1)</f>
        <v/>
      </c>
      <c r="I1136" s="18" t="str">
        <f>RTD("ice.rtd",,$C1136 &amp; $D1136 &amp; ":" &amp; I$1)</f>
        <v/>
      </c>
      <c r="J1136" s="14" t="str">
        <f>IFERROR(MOD(RTD("ice.rtd",,$C1136 &amp; $D1136 &amp; ":" &amp; J$1), 1), "")</f>
        <v/>
      </c>
      <c r="K1136" s="18" t="str">
        <f>RTD("ice.rtd",,$C1136 &amp; $D1136 &amp; ":" &amp; K$1)</f>
        <v/>
      </c>
      <c r="L1136" s="36" t="str">
        <f>RTD("ice.rtd",,$C1136 &amp; $D1136 &amp; ":" &amp; L$1)</f>
        <v/>
      </c>
      <c r="M1136" s="14" t="str">
        <f>IFERROR(MOD(TIMEVALUE(RTD("ice.rtd",,$C1136 &amp; $D1136 &amp; ":" &amp; M$1)), 1), "")</f>
        <v/>
      </c>
      <c r="N1136" s="36">
        <f>RTD("ice.rtd",,$C1136 &amp; $D1136 &amp; ":" &amp; N$1)</f>
        <v>0</v>
      </c>
      <c r="O1136" s="36">
        <f>RTD("ice.rtd",,$C1136 &amp; $D1136 &amp; ":" &amp; O$1)</f>
        <v>0</v>
      </c>
      <c r="P11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6" s="14" t="str">
        <f>IF(ICE[[#This Row],[LastType]] = "Scrn", ICE[[#This Row],[LstDate]], IF(ICE[[#This Row],[LastType]] = "Blk", ICE[[#This Row],[LstBlkTime]], ""))</f>
        <v/>
      </c>
      <c r="R1136" s="41" t="str">
        <f>IF(ICE[[#This Row],[LastType]] = "Scrn", ICE[[#This Row],[LstPrc]], IF(ICE[[#This Row],[LastType]] = "Blk", ICE[[#This Row],[LstBlkPrc]], ""))</f>
        <v/>
      </c>
      <c r="S1136" s="36">
        <f>ICE[[#This Row],[Vol]]+ICE[[#This Row],[BlkVol]]</f>
        <v>0</v>
      </c>
      <c r="T1136" s="36">
        <f>RTD("ice.rtd",,$C1136 &amp; $D1136 &amp; ":" &amp; T$1)</f>
        <v>0</v>
      </c>
      <c r="U1136" s="18">
        <f>RTD("ice.rtd",,$C1136 &amp; $D1136 &amp; ":" &amp; U$1)</f>
        <v>17.444900000000001</v>
      </c>
      <c r="V11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6" s="18" t="str">
        <f>IFERROR(IF(LEFT(ICE[[#This Row],[Tenor]], 1) = "B", RTD("esrtd",,$B1136 &amp; " " &amp; ICE[[#This Row],[Tenor]] &amp; "-IEU", W$1), RTD("esrtd",,$B1136 &amp; " " &amp; VLOOKUP(MONTH(ICE[[#This Row],[Strip]]), MthRef[], 2, 0) &amp; RIGHT(YEAR(ICE[[#This Row],[Strip]]), 2) &amp; "-IEU", W$1)), "")</f>
        <v/>
      </c>
      <c r="X1136" s="36"/>
    </row>
    <row r="1137" spans="1:24" x14ac:dyDescent="0.25">
      <c r="A1137" s="37" t="s">
        <v>835</v>
      </c>
      <c r="B1137" s="3" t="str">
        <f>RTD("ice.rtd",,$C1137 &amp; $D1137 &amp; ":" &amp; B$1)</f>
        <v>TEN</v>
      </c>
      <c r="C1137" s="3">
        <v>2755728678</v>
      </c>
      <c r="D1137" t="s">
        <v>815</v>
      </c>
      <c r="E1137" s="3" t="str">
        <f>RTD("ice.rtd",,$C1137 &amp; $D1137 &amp; ":" &amp; E$1)</f>
        <v>Q1 27</v>
      </c>
      <c r="F1137" s="3" t="str">
        <f>ICE[[#This Row],[Prod]]&amp;ICE[[#This Row],[Strip]]</f>
        <v>fo05singbrxmtQ1 27</v>
      </c>
      <c r="G1137" s="18" t="str">
        <f>RTD("ice.rtd",,$C1137 &amp; $D1137 &amp; ":" &amp; G$1)</f>
        <v/>
      </c>
      <c r="H1137" s="18" t="str">
        <f>RTD("ice.rtd",,$C1137 &amp; $D1137 &amp; ":" &amp; H$1)</f>
        <v/>
      </c>
      <c r="I1137" s="18" t="str">
        <f>RTD("ice.rtd",,$C1137 &amp; $D1137 &amp; ":" &amp; I$1)</f>
        <v/>
      </c>
      <c r="J1137" s="14" t="str">
        <f>IFERROR(MOD(RTD("ice.rtd",,$C1137 &amp; $D1137 &amp; ":" &amp; J$1), 1), "")</f>
        <v/>
      </c>
      <c r="K1137" s="18" t="str">
        <f>RTD("ice.rtd",,$C1137 &amp; $D1137 &amp; ":" &amp; K$1)</f>
        <v/>
      </c>
      <c r="L1137" s="36" t="str">
        <f>RTD("ice.rtd",,$C1137 &amp; $D1137 &amp; ":" &amp; L$1)</f>
        <v/>
      </c>
      <c r="M1137" s="14" t="str">
        <f>IFERROR(MOD(TIMEVALUE(RTD("ice.rtd",,$C1137 &amp; $D1137 &amp; ":" &amp; M$1)), 1), "")</f>
        <v/>
      </c>
      <c r="N1137" s="36">
        <f>RTD("ice.rtd",,$C1137 &amp; $D1137 &amp; ":" &amp; N$1)</f>
        <v>0</v>
      </c>
      <c r="O1137" s="36">
        <f>RTD("ice.rtd",,$C1137 &amp; $D1137 &amp; ":" &amp; O$1)</f>
        <v>0</v>
      </c>
      <c r="P11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7" s="14" t="str">
        <f>IF(ICE[[#This Row],[LastType]] = "Scrn", ICE[[#This Row],[LstDate]], IF(ICE[[#This Row],[LastType]] = "Blk", ICE[[#This Row],[LstBlkTime]], ""))</f>
        <v/>
      </c>
      <c r="R1137" s="41" t="str">
        <f>IF(ICE[[#This Row],[LastType]] = "Scrn", ICE[[#This Row],[LstPrc]], IF(ICE[[#This Row],[LastType]] = "Blk", ICE[[#This Row],[LstBlkPrc]], ""))</f>
        <v/>
      </c>
      <c r="S1137" s="36">
        <f>ICE[[#This Row],[Vol]]+ICE[[#This Row],[BlkVol]]</f>
        <v>0</v>
      </c>
      <c r="T1137" s="36">
        <f>RTD("ice.rtd",,$C1137 &amp; $D1137 &amp; ":" &amp; T$1)</f>
        <v>0</v>
      </c>
      <c r="U1137" s="18">
        <f>RTD("ice.rtd",,$C1137 &amp; $D1137 &amp; ":" &amp; U$1)</f>
        <v>15.459800000000001</v>
      </c>
      <c r="V11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7" s="18" t="str">
        <f>IFERROR(IF(LEFT(ICE[[#This Row],[Tenor]], 1) = "B", RTD("esrtd",,$B1137 &amp; " " &amp; ICE[[#This Row],[Tenor]] &amp; "-IEU", W$1), RTD("esrtd",,$B1137 &amp; " " &amp; VLOOKUP(MONTH(ICE[[#This Row],[Strip]]), MthRef[], 2, 0) &amp; RIGHT(YEAR(ICE[[#This Row],[Strip]]), 2) &amp; "-IEU", W$1)), "")</f>
        <v/>
      </c>
      <c r="X1137" s="36"/>
    </row>
    <row r="1138" spans="1:24" x14ac:dyDescent="0.25">
      <c r="A1138" s="37" t="s">
        <v>835</v>
      </c>
      <c r="B1138" s="3" t="str">
        <f>RTD("ice.rtd",,$C1138 &amp; $D1138 &amp; ":" &amp; B$1)</f>
        <v>TEN</v>
      </c>
      <c r="C1138" s="3">
        <v>2755728678</v>
      </c>
      <c r="D1138" t="s">
        <v>816</v>
      </c>
      <c r="E1138" s="3" t="str">
        <f>RTD("ice.rtd",,$C1138 &amp; $D1138 &amp; ":" &amp; E$1)</f>
        <v>Q2 27</v>
      </c>
      <c r="F1138" s="3" t="str">
        <f>ICE[[#This Row],[Prod]]&amp;ICE[[#This Row],[Strip]]</f>
        <v>fo05singbrxmtQ2 27</v>
      </c>
      <c r="G1138" s="18" t="str">
        <f>RTD("ice.rtd",,$C1138 &amp; $D1138 &amp; ":" &amp; G$1)</f>
        <v/>
      </c>
      <c r="H1138" s="18" t="str">
        <f>RTD("ice.rtd",,$C1138 &amp; $D1138 &amp; ":" &amp; H$1)</f>
        <v/>
      </c>
      <c r="I1138" s="18" t="str">
        <f>RTD("ice.rtd",,$C1138 &amp; $D1138 &amp; ":" &amp; I$1)</f>
        <v/>
      </c>
      <c r="J1138" s="14" t="str">
        <f>IFERROR(MOD(RTD("ice.rtd",,$C1138 &amp; $D1138 &amp; ":" &amp; J$1), 1), "")</f>
        <v/>
      </c>
      <c r="K1138" s="18" t="str">
        <f>RTD("ice.rtd",,$C1138 &amp; $D1138 &amp; ":" &amp; K$1)</f>
        <v/>
      </c>
      <c r="L1138" s="36" t="str">
        <f>RTD("ice.rtd",,$C1138 &amp; $D1138 &amp; ":" &amp; L$1)</f>
        <v/>
      </c>
      <c r="M1138" s="14" t="str">
        <f>IFERROR(MOD(TIMEVALUE(RTD("ice.rtd",,$C1138 &amp; $D1138 &amp; ":" &amp; M$1)), 1), "")</f>
        <v/>
      </c>
      <c r="N1138" s="36">
        <f>RTD("ice.rtd",,$C1138 &amp; $D1138 &amp; ":" &amp; N$1)</f>
        <v>0</v>
      </c>
      <c r="O1138" s="36">
        <f>RTD("ice.rtd",,$C1138 &amp; $D1138 &amp; ":" &amp; O$1)</f>
        <v>0</v>
      </c>
      <c r="P11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8" s="14" t="str">
        <f>IF(ICE[[#This Row],[LastType]] = "Scrn", ICE[[#This Row],[LstDate]], IF(ICE[[#This Row],[LastType]] = "Blk", ICE[[#This Row],[LstBlkTime]], ""))</f>
        <v/>
      </c>
      <c r="R1138" s="41" t="str">
        <f>IF(ICE[[#This Row],[LastType]] = "Scrn", ICE[[#This Row],[LstPrc]], IF(ICE[[#This Row],[LastType]] = "Blk", ICE[[#This Row],[LstBlkPrc]], ""))</f>
        <v/>
      </c>
      <c r="S1138" s="36">
        <f>ICE[[#This Row],[Vol]]+ICE[[#This Row],[BlkVol]]</f>
        <v>0</v>
      </c>
      <c r="T1138" s="36">
        <f>RTD("ice.rtd",,$C1138 &amp; $D1138 &amp; ":" &amp; T$1)</f>
        <v>0</v>
      </c>
      <c r="U1138" s="18">
        <f>RTD("ice.rtd",,$C1138 &amp; $D1138 &amp; ":" &amp; U$1)</f>
        <v>14.8566</v>
      </c>
      <c r="V11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8" s="18" t="str">
        <f>IFERROR(IF(LEFT(ICE[[#This Row],[Tenor]], 1) = "B", RTD("esrtd",,$B1138 &amp; " " &amp; ICE[[#This Row],[Tenor]] &amp; "-IEU", W$1), RTD("esrtd",,$B1138 &amp; " " &amp; VLOOKUP(MONTH(ICE[[#This Row],[Strip]]), MthRef[], 2, 0) &amp; RIGHT(YEAR(ICE[[#This Row],[Strip]]), 2) &amp; "-IEU", W$1)), "")</f>
        <v/>
      </c>
      <c r="X1138" s="36"/>
    </row>
    <row r="1139" spans="1:24" x14ac:dyDescent="0.25">
      <c r="A1139" s="37" t="s">
        <v>835</v>
      </c>
      <c r="B1139" s="3" t="str">
        <f>RTD("ice.rtd",,$C1139 &amp; $D1139 &amp; ":" &amp; B$1)</f>
        <v>TEN</v>
      </c>
      <c r="C1139" s="3">
        <v>2755728678</v>
      </c>
      <c r="D1139" t="s">
        <v>817</v>
      </c>
      <c r="E1139" s="3" t="str">
        <f>RTD("ice.rtd",,$C1139 &amp; $D1139 &amp; ":" &amp; E$1)</f>
        <v>Q3 27</v>
      </c>
      <c r="F1139" s="3" t="str">
        <f>ICE[[#This Row],[Prod]]&amp;ICE[[#This Row],[Strip]]</f>
        <v>fo05singbrxmtQ3 27</v>
      </c>
      <c r="G1139" s="18" t="str">
        <f>RTD("ice.rtd",,$C1139 &amp; $D1139 &amp; ":" &amp; G$1)</f>
        <v/>
      </c>
      <c r="H1139" s="18" t="str">
        <f>RTD("ice.rtd",,$C1139 &amp; $D1139 &amp; ":" &amp; H$1)</f>
        <v/>
      </c>
      <c r="I1139" s="18" t="str">
        <f>RTD("ice.rtd",,$C1139 &amp; $D1139 &amp; ":" &amp; I$1)</f>
        <v/>
      </c>
      <c r="J1139" s="14" t="str">
        <f>IFERROR(MOD(RTD("ice.rtd",,$C1139 &amp; $D1139 &amp; ":" &amp; J$1), 1), "")</f>
        <v/>
      </c>
      <c r="K1139" s="18" t="str">
        <f>RTD("ice.rtd",,$C1139 &amp; $D1139 &amp; ":" &amp; K$1)</f>
        <v/>
      </c>
      <c r="L1139" s="36" t="str">
        <f>RTD("ice.rtd",,$C1139 &amp; $D1139 &amp; ":" &amp; L$1)</f>
        <v/>
      </c>
      <c r="M1139" s="14" t="str">
        <f>IFERROR(MOD(TIMEVALUE(RTD("ice.rtd",,$C1139 &amp; $D1139 &amp; ":" &amp; M$1)), 1), "")</f>
        <v/>
      </c>
      <c r="N1139" s="36">
        <f>RTD("ice.rtd",,$C1139 &amp; $D1139 &amp; ":" &amp; N$1)</f>
        <v>0</v>
      </c>
      <c r="O1139" s="36">
        <f>RTD("ice.rtd",,$C1139 &amp; $D1139 &amp; ":" &amp; O$1)</f>
        <v>0</v>
      </c>
      <c r="P11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39" s="14" t="str">
        <f>IF(ICE[[#This Row],[LastType]] = "Scrn", ICE[[#This Row],[LstDate]], IF(ICE[[#This Row],[LastType]] = "Blk", ICE[[#This Row],[LstBlkTime]], ""))</f>
        <v/>
      </c>
      <c r="R1139" s="41" t="str">
        <f>IF(ICE[[#This Row],[LastType]] = "Scrn", ICE[[#This Row],[LstPrc]], IF(ICE[[#This Row],[LastType]] = "Blk", ICE[[#This Row],[LstBlkPrc]], ""))</f>
        <v/>
      </c>
      <c r="S1139" s="36">
        <f>ICE[[#This Row],[Vol]]+ICE[[#This Row],[BlkVol]]</f>
        <v>0</v>
      </c>
      <c r="T1139" s="36">
        <f>RTD("ice.rtd",,$C1139 &amp; $D1139 &amp; ":" &amp; T$1)</f>
        <v>0</v>
      </c>
      <c r="U1139" s="18">
        <f>RTD("ice.rtd",,$C1139 &amp; $D1139 &amp; ":" &amp; U$1)</f>
        <v>14.139000000000001</v>
      </c>
      <c r="V11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39" s="18" t="str">
        <f>IFERROR(IF(LEFT(ICE[[#This Row],[Tenor]], 1) = "B", RTD("esrtd",,$B1139 &amp; " " &amp; ICE[[#This Row],[Tenor]] &amp; "-IEU", W$1), RTD("esrtd",,$B1139 &amp; " " &amp; VLOOKUP(MONTH(ICE[[#This Row],[Strip]]), MthRef[], 2, 0) &amp; RIGHT(YEAR(ICE[[#This Row],[Strip]]), 2) &amp; "-IEU", W$1)), "")</f>
        <v/>
      </c>
      <c r="X1139" s="36"/>
    </row>
    <row r="1140" spans="1:24" x14ac:dyDescent="0.25">
      <c r="A1140" s="37" t="s">
        <v>835</v>
      </c>
      <c r="B1140" s="3" t="str">
        <f>RTD("ice.rtd",,$C1140 &amp; $D1140 &amp; ":" &amp; B$1)</f>
        <v>TEN</v>
      </c>
      <c r="C1140" s="3">
        <v>2755728678</v>
      </c>
      <c r="D1140" t="s">
        <v>818</v>
      </c>
      <c r="E1140" s="3" t="str">
        <f>RTD("ice.rtd",,$C1140 &amp; $D1140 &amp; ":" &amp; E$1)</f>
        <v>Q4 27</v>
      </c>
      <c r="F1140" s="3" t="str">
        <f>ICE[[#This Row],[Prod]]&amp;ICE[[#This Row],[Strip]]</f>
        <v>fo05singbrxmtQ4 27</v>
      </c>
      <c r="G1140" s="18" t="str">
        <f>RTD("ice.rtd",,$C1140 &amp; $D1140 &amp; ":" &amp; G$1)</f>
        <v/>
      </c>
      <c r="H1140" s="18" t="str">
        <f>RTD("ice.rtd",,$C1140 &amp; $D1140 &amp; ":" &amp; H$1)</f>
        <v/>
      </c>
      <c r="I1140" s="18" t="str">
        <f>RTD("ice.rtd",,$C1140 &amp; $D1140 &amp; ":" &amp; I$1)</f>
        <v/>
      </c>
      <c r="J1140" s="14" t="str">
        <f>IFERROR(MOD(RTD("ice.rtd",,$C1140 &amp; $D1140 &amp; ":" &amp; J$1), 1), "")</f>
        <v/>
      </c>
      <c r="K1140" s="18" t="str">
        <f>RTD("ice.rtd",,$C1140 &amp; $D1140 &amp; ":" &amp; K$1)</f>
        <v/>
      </c>
      <c r="L1140" s="36" t="str">
        <f>RTD("ice.rtd",,$C1140 &amp; $D1140 &amp; ":" &amp; L$1)</f>
        <v/>
      </c>
      <c r="M1140" s="14" t="str">
        <f>IFERROR(MOD(TIMEVALUE(RTD("ice.rtd",,$C1140 &amp; $D1140 &amp; ":" &amp; M$1)), 1), "")</f>
        <v/>
      </c>
      <c r="N1140" s="36">
        <f>RTD("ice.rtd",,$C1140 &amp; $D1140 &amp; ":" &amp; N$1)</f>
        <v>0</v>
      </c>
      <c r="O1140" s="36">
        <f>RTD("ice.rtd",,$C1140 &amp; $D1140 &amp; ":" &amp; O$1)</f>
        <v>0</v>
      </c>
      <c r="P11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0" s="14" t="str">
        <f>IF(ICE[[#This Row],[LastType]] = "Scrn", ICE[[#This Row],[LstDate]], IF(ICE[[#This Row],[LastType]] = "Blk", ICE[[#This Row],[LstBlkTime]], ""))</f>
        <v/>
      </c>
      <c r="R1140" s="41" t="str">
        <f>IF(ICE[[#This Row],[LastType]] = "Scrn", ICE[[#This Row],[LstPrc]], IF(ICE[[#This Row],[LastType]] = "Blk", ICE[[#This Row],[LstBlkPrc]], ""))</f>
        <v/>
      </c>
      <c r="S1140" s="36">
        <f>ICE[[#This Row],[Vol]]+ICE[[#This Row],[BlkVol]]</f>
        <v>0</v>
      </c>
      <c r="T1140" s="36">
        <f>RTD("ice.rtd",,$C1140 &amp; $D1140 &amp; ":" &amp; T$1)</f>
        <v>0</v>
      </c>
      <c r="U1140" s="18">
        <f>RTD("ice.rtd",,$C1140 &amp; $D1140 &amp; ":" &amp; U$1)</f>
        <v>13.3109</v>
      </c>
      <c r="V11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40" s="18" t="str">
        <f>IFERROR(IF(LEFT(ICE[[#This Row],[Tenor]], 1) = "B", RTD("esrtd",,$B1140 &amp; " " &amp; ICE[[#This Row],[Tenor]] &amp; "-IEU", W$1), RTD("esrtd",,$B1140 &amp; " " &amp; VLOOKUP(MONTH(ICE[[#This Row],[Strip]]), MthRef[], 2, 0) &amp; RIGHT(YEAR(ICE[[#This Row],[Strip]]), 2) &amp; "-IEU", W$1)), "")</f>
        <v/>
      </c>
      <c r="X1140" s="36"/>
    </row>
    <row r="1141" spans="1:24" x14ac:dyDescent="0.25">
      <c r="A1141" s="37" t="s">
        <v>835</v>
      </c>
      <c r="B1141" s="3" t="str">
        <f>RTD("ice.rtd",,$C1141 &amp; $D1141 &amp; ":" &amp; B$1)</f>
        <v>TEN</v>
      </c>
      <c r="C1141" s="3">
        <v>2755728678</v>
      </c>
      <c r="D1141" t="s">
        <v>819</v>
      </c>
      <c r="E1141" s="3" t="str">
        <f>RTD("ice.rtd",,$C1141 &amp; $D1141 &amp; ":" &amp; E$1)</f>
        <v>Q1 28</v>
      </c>
      <c r="F1141" s="3" t="str">
        <f>ICE[[#This Row],[Prod]]&amp;ICE[[#This Row],[Strip]]</f>
        <v>fo05singbrxmtQ1 28</v>
      </c>
      <c r="G1141" s="18" t="str">
        <f>RTD("ice.rtd",,$C1141 &amp; $D1141 &amp; ":" &amp; G$1)</f>
        <v/>
      </c>
      <c r="H1141" s="18" t="str">
        <f>RTD("ice.rtd",,$C1141 &amp; $D1141 &amp; ":" &amp; H$1)</f>
        <v/>
      </c>
      <c r="I1141" s="18" t="str">
        <f>RTD("ice.rtd",,$C1141 &amp; $D1141 &amp; ":" &amp; I$1)</f>
        <v/>
      </c>
      <c r="J1141" s="14" t="str">
        <f>IFERROR(MOD(RTD("ice.rtd",,$C1141 &amp; $D1141 &amp; ":" &amp; J$1), 1), "")</f>
        <v/>
      </c>
      <c r="K1141" s="18" t="str">
        <f>RTD("ice.rtd",,$C1141 &amp; $D1141 &amp; ":" &amp; K$1)</f>
        <v/>
      </c>
      <c r="L1141" s="36" t="str">
        <f>RTD("ice.rtd",,$C1141 &amp; $D1141 &amp; ":" &amp; L$1)</f>
        <v/>
      </c>
      <c r="M1141" s="14" t="str">
        <f>IFERROR(MOD(TIMEVALUE(RTD("ice.rtd",,$C1141 &amp; $D1141 &amp; ":" &amp; M$1)), 1), "")</f>
        <v/>
      </c>
      <c r="N1141" s="36">
        <f>RTD("ice.rtd",,$C1141 &amp; $D1141 &amp; ":" &amp; N$1)</f>
        <v>0</v>
      </c>
      <c r="O1141" s="36">
        <f>RTD("ice.rtd",,$C1141 &amp; $D1141 &amp; ":" &amp; O$1)</f>
        <v>0</v>
      </c>
      <c r="P11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1" s="14" t="str">
        <f>IF(ICE[[#This Row],[LastType]] = "Scrn", ICE[[#This Row],[LstDate]], IF(ICE[[#This Row],[LastType]] = "Blk", ICE[[#This Row],[LstBlkTime]], ""))</f>
        <v/>
      </c>
      <c r="R1141" s="41" t="str">
        <f>IF(ICE[[#This Row],[LastType]] = "Scrn", ICE[[#This Row],[LstPrc]], IF(ICE[[#This Row],[LastType]] = "Blk", ICE[[#This Row],[LstBlkPrc]], ""))</f>
        <v/>
      </c>
      <c r="S1141" s="36">
        <f>ICE[[#This Row],[Vol]]+ICE[[#This Row],[BlkVol]]</f>
        <v>0</v>
      </c>
      <c r="T1141" s="36">
        <f>RTD("ice.rtd",,$C1141 &amp; $D1141 &amp; ":" &amp; T$1)</f>
        <v>0</v>
      </c>
      <c r="U1141" s="18">
        <f>RTD("ice.rtd",,$C1141 &amp; $D1141 &amp; ":" &amp; U$1)</f>
        <v>12.852500000000001</v>
      </c>
      <c r="V11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41" s="18" t="str">
        <f>IFERROR(IF(LEFT(ICE[[#This Row],[Tenor]], 1) = "B", RTD("esrtd",,$B1141 &amp; " " &amp; ICE[[#This Row],[Tenor]] &amp; "-IEU", W$1), RTD("esrtd",,$B1141 &amp; " " &amp; VLOOKUP(MONTH(ICE[[#This Row],[Strip]]), MthRef[], 2, 0) &amp; RIGHT(YEAR(ICE[[#This Row],[Strip]]), 2) &amp; "-IEU", W$1)), "")</f>
        <v/>
      </c>
      <c r="X1141" s="36"/>
    </row>
    <row r="1142" spans="1:24" x14ac:dyDescent="0.25">
      <c r="A1142" s="37" t="s">
        <v>835</v>
      </c>
      <c r="B1142" s="3" t="str">
        <f>RTD("ice.rtd",,$C1142 &amp; $D1142 &amp; ":" &amp; B$1)</f>
        <v>TEN</v>
      </c>
      <c r="C1142" s="3">
        <v>2755728678</v>
      </c>
      <c r="D1142" t="s">
        <v>229</v>
      </c>
      <c r="E1142" s="3" t="str">
        <f>RTD("ice.rtd",,$C1142 &amp; $D1142 &amp; ":" &amp; E$1)</f>
        <v>Q2 28</v>
      </c>
      <c r="F1142" s="3" t="str">
        <f>ICE[[#This Row],[Prod]]&amp;ICE[[#This Row],[Strip]]</f>
        <v>fo05singbrxmtQ2 28</v>
      </c>
      <c r="G1142" s="18" t="str">
        <f>RTD("ice.rtd",,$C1142 &amp; $D1142 &amp; ":" &amp; G$1)</f>
        <v/>
      </c>
      <c r="H1142" s="18" t="str">
        <f>RTD("ice.rtd",,$C1142 &amp; $D1142 &amp; ":" &amp; H$1)</f>
        <v/>
      </c>
      <c r="I1142" s="18" t="str">
        <f>RTD("ice.rtd",,$C1142 &amp; $D1142 &amp; ":" &amp; I$1)</f>
        <v/>
      </c>
      <c r="J1142" s="14" t="str">
        <f>IFERROR(MOD(RTD("ice.rtd",,$C1142 &amp; $D1142 &amp; ":" &amp; J$1), 1), "")</f>
        <v/>
      </c>
      <c r="K1142" s="18" t="str">
        <f>RTD("ice.rtd",,$C1142 &amp; $D1142 &amp; ":" &amp; K$1)</f>
        <v/>
      </c>
      <c r="L1142" s="36" t="str">
        <f>RTD("ice.rtd",,$C1142 &amp; $D1142 &amp; ":" &amp; L$1)</f>
        <v/>
      </c>
      <c r="M1142" s="14" t="str">
        <f>IFERROR(MOD(TIMEVALUE(RTD("ice.rtd",,$C1142 &amp; $D1142 &amp; ":" &amp; M$1)), 1), "")</f>
        <v/>
      </c>
      <c r="N1142" s="36">
        <f>RTD("ice.rtd",,$C1142 &amp; $D1142 &amp; ":" &amp; N$1)</f>
        <v>0</v>
      </c>
      <c r="O1142" s="36">
        <f>RTD("ice.rtd",,$C1142 &amp; $D1142 &amp; ":" &amp; O$1)</f>
        <v>0</v>
      </c>
      <c r="P11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2" s="14" t="str">
        <f>IF(ICE[[#This Row],[LastType]] = "Scrn", ICE[[#This Row],[LstDate]], IF(ICE[[#This Row],[LastType]] = "Blk", ICE[[#This Row],[LstBlkTime]], ""))</f>
        <v/>
      </c>
      <c r="R1142" s="41" t="str">
        <f>IF(ICE[[#This Row],[LastType]] = "Scrn", ICE[[#This Row],[LstPrc]], IF(ICE[[#This Row],[LastType]] = "Blk", ICE[[#This Row],[LstBlkPrc]], ""))</f>
        <v/>
      </c>
      <c r="S1142" s="36">
        <f>ICE[[#This Row],[Vol]]+ICE[[#This Row],[BlkVol]]</f>
        <v>0</v>
      </c>
      <c r="T1142" s="36">
        <f>RTD("ice.rtd",,$C1142 &amp; $D1142 &amp; ":" &amp; T$1)</f>
        <v>0</v>
      </c>
      <c r="U1142" s="18">
        <f>RTD("ice.rtd",,$C1142 &amp; $D1142 &amp; ":" &amp; U$1)</f>
        <v>12.6448</v>
      </c>
      <c r="V11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42" s="18" t="str">
        <f>IFERROR(IF(LEFT(ICE[[#This Row],[Tenor]], 1) = "B", RTD("esrtd",,$B1142 &amp; " " &amp; ICE[[#This Row],[Tenor]] &amp; "-IEU", W$1), RTD("esrtd",,$B1142 &amp; " " &amp; VLOOKUP(MONTH(ICE[[#This Row],[Strip]]), MthRef[], 2, 0) &amp; RIGHT(YEAR(ICE[[#This Row],[Strip]]), 2) &amp; "-IEU", W$1)), "")</f>
        <v/>
      </c>
      <c r="X1142" s="36"/>
    </row>
    <row r="1143" spans="1:24" x14ac:dyDescent="0.25">
      <c r="A1143" s="37" t="s">
        <v>835</v>
      </c>
      <c r="B1143" s="3" t="str">
        <f>RTD("ice.rtd",,$C1143 &amp; $D1143 &amp; ":" &amp; B$1)</f>
        <v>TEN</v>
      </c>
      <c r="C1143" s="3">
        <v>2755728678</v>
      </c>
      <c r="D1143" t="s">
        <v>820</v>
      </c>
      <c r="E1143" s="3" t="str">
        <f>RTD("ice.rtd",,$C1143 &amp; $D1143 &amp; ":" &amp; E$1)</f>
        <v>Q3 28</v>
      </c>
      <c r="F1143" s="3" t="str">
        <f>ICE[[#This Row],[Prod]]&amp;ICE[[#This Row],[Strip]]</f>
        <v>fo05singbrxmtQ3 28</v>
      </c>
      <c r="G1143" s="18" t="str">
        <f>RTD("ice.rtd",,$C1143 &amp; $D1143 &amp; ":" &amp; G$1)</f>
        <v/>
      </c>
      <c r="H1143" s="18" t="str">
        <f>RTD("ice.rtd",,$C1143 &amp; $D1143 &amp; ":" &amp; H$1)</f>
        <v/>
      </c>
      <c r="I1143" s="18" t="str">
        <f>RTD("ice.rtd",,$C1143 &amp; $D1143 &amp; ":" &amp; I$1)</f>
        <v/>
      </c>
      <c r="J1143" s="14" t="str">
        <f>IFERROR(MOD(RTD("ice.rtd",,$C1143 &amp; $D1143 &amp; ":" &amp; J$1), 1), "")</f>
        <v/>
      </c>
      <c r="K1143" s="18" t="str">
        <f>RTD("ice.rtd",,$C1143 &amp; $D1143 &amp; ":" &amp; K$1)</f>
        <v/>
      </c>
      <c r="L1143" s="36" t="str">
        <f>RTD("ice.rtd",,$C1143 &amp; $D1143 &amp; ":" &amp; L$1)</f>
        <v/>
      </c>
      <c r="M1143" s="14" t="str">
        <f>IFERROR(MOD(TIMEVALUE(RTD("ice.rtd",,$C1143 &amp; $D1143 &amp; ":" &amp; M$1)), 1), "")</f>
        <v/>
      </c>
      <c r="N1143" s="36">
        <f>RTD("ice.rtd",,$C1143 &amp; $D1143 &amp; ":" &amp; N$1)</f>
        <v>0</v>
      </c>
      <c r="O1143" s="36">
        <f>RTD("ice.rtd",,$C1143 &amp; $D1143 &amp; ":" &amp; O$1)</f>
        <v>0</v>
      </c>
      <c r="P11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3" s="14" t="str">
        <f>IF(ICE[[#This Row],[LastType]] = "Scrn", ICE[[#This Row],[LstDate]], IF(ICE[[#This Row],[LastType]] = "Blk", ICE[[#This Row],[LstBlkTime]], ""))</f>
        <v/>
      </c>
      <c r="R1143" s="41" t="str">
        <f>IF(ICE[[#This Row],[LastType]] = "Scrn", ICE[[#This Row],[LstPrc]], IF(ICE[[#This Row],[LastType]] = "Blk", ICE[[#This Row],[LstBlkPrc]], ""))</f>
        <v/>
      </c>
      <c r="S1143" s="36">
        <f>ICE[[#This Row],[Vol]]+ICE[[#This Row],[BlkVol]]</f>
        <v>0</v>
      </c>
      <c r="T1143" s="36">
        <f>RTD("ice.rtd",,$C1143 &amp; $D1143 &amp; ":" &amp; T$1)</f>
        <v>0</v>
      </c>
      <c r="U1143" s="18">
        <f>RTD("ice.rtd",,$C1143 &amp; $D1143 &amp; ":" &amp; U$1)</f>
        <v>12.481200000000001</v>
      </c>
      <c r="V11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43" s="18" t="str">
        <f>IFERROR(IF(LEFT(ICE[[#This Row],[Tenor]], 1) = "B", RTD("esrtd",,$B1143 &amp; " " &amp; ICE[[#This Row],[Tenor]] &amp; "-IEU", W$1), RTD("esrtd",,$B1143 &amp; " " &amp; VLOOKUP(MONTH(ICE[[#This Row],[Strip]]), MthRef[], 2, 0) &amp; RIGHT(YEAR(ICE[[#This Row],[Strip]]), 2) &amp; "-IEU", W$1)), "")</f>
        <v/>
      </c>
      <c r="X1143" s="36"/>
    </row>
    <row r="1144" spans="1:24" x14ac:dyDescent="0.25">
      <c r="A1144" s="37" t="s">
        <v>835</v>
      </c>
      <c r="B1144" s="3" t="str">
        <f>RTD("ice.rtd",,$C1144 &amp; $D1144 &amp; ":" &amp; B$1)</f>
        <v>TEN</v>
      </c>
      <c r="C1144" s="3">
        <v>2755728678</v>
      </c>
      <c r="D1144" t="s">
        <v>821</v>
      </c>
      <c r="E1144" s="3" t="str">
        <f>RTD("ice.rtd",,$C1144 &amp; $D1144 &amp; ":" &amp; E$1)</f>
        <v>Q4 28</v>
      </c>
      <c r="F1144" s="3" t="str">
        <f>ICE[[#This Row],[Prod]]&amp;ICE[[#This Row],[Strip]]</f>
        <v>fo05singbrxmtQ4 28</v>
      </c>
      <c r="G1144" s="18" t="str">
        <f>RTD("ice.rtd",,$C1144 &amp; $D1144 &amp; ":" &amp; G$1)</f>
        <v/>
      </c>
      <c r="H1144" s="18" t="str">
        <f>RTD("ice.rtd",,$C1144 &amp; $D1144 &amp; ":" &amp; H$1)</f>
        <v/>
      </c>
      <c r="I1144" s="18" t="str">
        <f>RTD("ice.rtd",,$C1144 &amp; $D1144 &amp; ":" &amp; I$1)</f>
        <v/>
      </c>
      <c r="J1144" s="14" t="str">
        <f>IFERROR(MOD(RTD("ice.rtd",,$C1144 &amp; $D1144 &amp; ":" &amp; J$1), 1), "")</f>
        <v/>
      </c>
      <c r="K1144" s="18" t="str">
        <f>RTD("ice.rtd",,$C1144 &amp; $D1144 &amp; ":" &amp; K$1)</f>
        <v/>
      </c>
      <c r="L1144" s="36" t="str">
        <f>RTD("ice.rtd",,$C1144 &amp; $D1144 &amp; ":" &amp; L$1)</f>
        <v/>
      </c>
      <c r="M1144" s="14" t="str">
        <f>IFERROR(MOD(TIMEVALUE(RTD("ice.rtd",,$C1144 &amp; $D1144 &amp; ":" &amp; M$1)), 1), "")</f>
        <v/>
      </c>
      <c r="N1144" s="36">
        <f>RTD("ice.rtd",,$C1144 &amp; $D1144 &amp; ":" &amp; N$1)</f>
        <v>0</v>
      </c>
      <c r="O1144" s="36">
        <f>RTD("ice.rtd",,$C1144 &amp; $D1144 &amp; ":" &amp; O$1)</f>
        <v>0</v>
      </c>
      <c r="P11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4" s="14" t="str">
        <f>IF(ICE[[#This Row],[LastType]] = "Scrn", ICE[[#This Row],[LstDate]], IF(ICE[[#This Row],[LastType]] = "Blk", ICE[[#This Row],[LstBlkTime]], ""))</f>
        <v/>
      </c>
      <c r="R1144" s="41" t="str">
        <f>IF(ICE[[#This Row],[LastType]] = "Scrn", ICE[[#This Row],[LstPrc]], IF(ICE[[#This Row],[LastType]] = "Blk", ICE[[#This Row],[LstBlkPrc]], ""))</f>
        <v/>
      </c>
      <c r="S1144" s="36">
        <f>ICE[[#This Row],[Vol]]+ICE[[#This Row],[BlkVol]]</f>
        <v>0</v>
      </c>
      <c r="T1144" s="36">
        <f>RTD("ice.rtd",,$C1144 &amp; $D1144 &amp; ":" &amp; T$1)</f>
        <v>0</v>
      </c>
      <c r="U1144" s="18">
        <f>RTD("ice.rtd",,$C1144 &amp; $D1144 &amp; ":" &amp; U$1)</f>
        <v>12.247100000000001</v>
      </c>
      <c r="V11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44" s="18" t="str">
        <f>IFERROR(IF(LEFT(ICE[[#This Row],[Tenor]], 1) = "B", RTD("esrtd",,$B1144 &amp; " " &amp; ICE[[#This Row],[Tenor]] &amp; "-IEU", W$1), RTD("esrtd",,$B1144 &amp; " " &amp; VLOOKUP(MONTH(ICE[[#This Row],[Strip]]), MthRef[], 2, 0) &amp; RIGHT(YEAR(ICE[[#This Row],[Strip]]), 2) &amp; "-IEU", W$1)), "")</f>
        <v/>
      </c>
      <c r="X1144" s="36"/>
    </row>
    <row r="1145" spans="1:24" x14ac:dyDescent="0.25">
      <c r="A1145" s="37" t="s">
        <v>835</v>
      </c>
      <c r="B1145" s="3" t="str">
        <f>RTD("ice.rtd",,$C1145 &amp; $D1145 &amp; ":" &amp; B$1)</f>
        <v>TEN</v>
      </c>
      <c r="C1145" s="3">
        <v>2755728678</v>
      </c>
      <c r="D1145" t="s">
        <v>822</v>
      </c>
      <c r="E1145" s="3" t="str">
        <f>RTD("ice.rtd",,$C1145 &amp; $D1145 &amp; ":" &amp; E$1)</f>
        <v>Cal 27</v>
      </c>
      <c r="F1145" s="3" t="str">
        <f>ICE[[#This Row],[Prod]]&amp;ICE[[#This Row],[Strip]]</f>
        <v>fo05singbrxmtCal 27</v>
      </c>
      <c r="G1145" s="18">
        <f>RTD("ice.rtd",,$C1145 &amp; $D1145 &amp; ":" &amp; G$1)</f>
        <v>8.5500000000000007</v>
      </c>
      <c r="H1145" s="18">
        <f>RTD("ice.rtd",,$C1145 &amp; $D1145 &amp; ":" &amp; H$1)</f>
        <v>14.75</v>
      </c>
      <c r="I1145" s="18" t="str">
        <f>RTD("ice.rtd",,$C1145 &amp; $D1145 &amp; ":" &amp; I$1)</f>
        <v/>
      </c>
      <c r="J1145" s="14" t="str">
        <f>IFERROR(MOD(RTD("ice.rtd",,$C1145 &amp; $D1145 &amp; ":" &amp; J$1), 1), "")</f>
        <v/>
      </c>
      <c r="K1145" s="18" t="str">
        <f>RTD("ice.rtd",,$C1145 &amp; $D1145 &amp; ":" &amp; K$1)</f>
        <v/>
      </c>
      <c r="L1145" s="36" t="str">
        <f>RTD("ice.rtd",,$C1145 &amp; $D1145 &amp; ":" &amp; L$1)</f>
        <v/>
      </c>
      <c r="M1145" s="14" t="str">
        <f>IFERROR(MOD(TIMEVALUE(RTD("ice.rtd",,$C1145 &amp; $D1145 &amp; ":" &amp; M$1)), 1), "")</f>
        <v/>
      </c>
      <c r="N1145" s="36">
        <f>RTD("ice.rtd",,$C1145 &amp; $D1145 &amp; ":" &amp; N$1)</f>
        <v>0</v>
      </c>
      <c r="O1145" s="36">
        <f>RTD("ice.rtd",,$C1145 &amp; $D1145 &amp; ":" &amp; O$1)</f>
        <v>0</v>
      </c>
      <c r="P11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5" s="14" t="str">
        <f>IF(ICE[[#This Row],[LastType]] = "Scrn", ICE[[#This Row],[LstDate]], IF(ICE[[#This Row],[LastType]] = "Blk", ICE[[#This Row],[LstBlkTime]], ""))</f>
        <v/>
      </c>
      <c r="R1145" s="41" t="str">
        <f>IF(ICE[[#This Row],[LastType]] = "Scrn", ICE[[#This Row],[LstPrc]], IF(ICE[[#This Row],[LastType]] = "Blk", ICE[[#This Row],[LstBlkPrc]], ""))</f>
        <v/>
      </c>
      <c r="S1145" s="36">
        <f>ICE[[#This Row],[Vol]]+ICE[[#This Row],[BlkVol]]</f>
        <v>0</v>
      </c>
      <c r="T1145" s="36">
        <f>RTD("ice.rtd",,$C1145 &amp; $D1145 &amp; ":" &amp; T$1)</f>
        <v>0</v>
      </c>
      <c r="U1145" s="18">
        <f>RTD("ice.rtd",,$C1145 &amp; $D1145 &amp; ":" &amp; U$1)</f>
        <v>14.441600000000001</v>
      </c>
      <c r="V11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8.55 / 14.75 </v>
      </c>
      <c r="W1145" s="18" t="str">
        <f>IFERROR(IF(LEFT(ICE[[#This Row],[Tenor]], 1) = "B", RTD("esrtd",,$B1145 &amp; " " &amp; ICE[[#This Row],[Tenor]] &amp; "-IEU", W$1), RTD("esrtd",,$B1145 &amp; " " &amp; VLOOKUP(MONTH(ICE[[#This Row],[Strip]]), MthRef[], 2, 0) &amp; RIGHT(YEAR(ICE[[#This Row],[Strip]]), 2) &amp; "-IEU", W$1)), "")</f>
        <v/>
      </c>
      <c r="X1145" s="36"/>
    </row>
    <row r="1146" spans="1:24" x14ac:dyDescent="0.25">
      <c r="A1146" s="37" t="s">
        <v>835</v>
      </c>
      <c r="B1146" s="3" t="str">
        <f>RTD("ice.rtd",,$C1146 &amp; $D1146 &amp; ":" &amp; B$1)</f>
        <v>TEN</v>
      </c>
      <c r="C1146" s="3">
        <v>2755728678</v>
      </c>
      <c r="D1146" t="s">
        <v>823</v>
      </c>
      <c r="E1146" s="3" t="str">
        <f>RTD("ice.rtd",,$C1146 &amp; $D1146 &amp; ":" &amp; E$1)</f>
        <v>Cal 28</v>
      </c>
      <c r="F1146" s="3" t="str">
        <f>ICE[[#This Row],[Prod]]&amp;ICE[[#This Row],[Strip]]</f>
        <v>fo05singbrxmtCal 28</v>
      </c>
      <c r="G1146" s="18">
        <f>RTD("ice.rtd",,$C1146 &amp; $D1146 &amp; ":" &amp; G$1)</f>
        <v>5</v>
      </c>
      <c r="H1146" s="18" t="str">
        <f>RTD("ice.rtd",,$C1146 &amp; $D1146 &amp; ":" &amp; H$1)</f>
        <v/>
      </c>
      <c r="I1146" s="18" t="str">
        <f>RTD("ice.rtd",,$C1146 &amp; $D1146 &amp; ":" &amp; I$1)</f>
        <v/>
      </c>
      <c r="J1146" s="14" t="str">
        <f>IFERROR(MOD(RTD("ice.rtd",,$C1146 &amp; $D1146 &amp; ":" &amp; J$1), 1), "")</f>
        <v/>
      </c>
      <c r="K1146" s="18" t="str">
        <f>RTD("ice.rtd",,$C1146 &amp; $D1146 &amp; ":" &amp; K$1)</f>
        <v/>
      </c>
      <c r="L1146" s="36" t="str">
        <f>RTD("ice.rtd",,$C1146 &amp; $D1146 &amp; ":" &amp; L$1)</f>
        <v/>
      </c>
      <c r="M1146" s="14" t="str">
        <f>IFERROR(MOD(TIMEVALUE(RTD("ice.rtd",,$C1146 &amp; $D1146 &amp; ":" &amp; M$1)), 1), "")</f>
        <v/>
      </c>
      <c r="N1146" s="36">
        <f>RTD("ice.rtd",,$C1146 &amp; $D1146 &amp; ":" &amp; N$1)</f>
        <v>0</v>
      </c>
      <c r="O1146" s="36">
        <f>RTD("ice.rtd",,$C1146 &amp; $D1146 &amp; ":" &amp; O$1)</f>
        <v>0</v>
      </c>
      <c r="P11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6" s="14" t="str">
        <f>IF(ICE[[#This Row],[LastType]] = "Scrn", ICE[[#This Row],[LstDate]], IF(ICE[[#This Row],[LastType]] = "Blk", ICE[[#This Row],[LstBlkTime]], ""))</f>
        <v/>
      </c>
      <c r="R1146" s="41" t="str">
        <f>IF(ICE[[#This Row],[LastType]] = "Scrn", ICE[[#This Row],[LstPrc]], IF(ICE[[#This Row],[LastType]] = "Blk", ICE[[#This Row],[LstBlkPrc]], ""))</f>
        <v/>
      </c>
      <c r="S1146" s="36">
        <f>ICE[[#This Row],[Vol]]+ICE[[#This Row],[BlkVol]]</f>
        <v>0</v>
      </c>
      <c r="T1146" s="36">
        <f>RTD("ice.rtd",,$C1146 &amp; $D1146 &amp; ":" &amp; T$1)</f>
        <v>0</v>
      </c>
      <c r="U1146" s="18">
        <f>RTD("ice.rtd",,$C1146 &amp; $D1146 &amp; ":" &amp; U$1)</f>
        <v>12.5564</v>
      </c>
      <c r="V11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5.00 /  </v>
      </c>
      <c r="W1146" s="18" t="str">
        <f>IFERROR(IF(LEFT(ICE[[#This Row],[Tenor]], 1) = "B", RTD("esrtd",,$B1146 &amp; " " &amp; ICE[[#This Row],[Tenor]] &amp; "-IEU", W$1), RTD("esrtd",,$B1146 &amp; " " &amp; VLOOKUP(MONTH(ICE[[#This Row],[Strip]]), MthRef[], 2, 0) &amp; RIGHT(YEAR(ICE[[#This Row],[Strip]]), 2) &amp; "-IEU", W$1)), "")</f>
        <v/>
      </c>
      <c r="X1146" s="36"/>
    </row>
    <row r="1147" spans="1:24" x14ac:dyDescent="0.25">
      <c r="A1147" s="37" t="s">
        <v>835</v>
      </c>
      <c r="B1147" s="3" t="str">
        <f>RTD("ice.rtd",,$C1147 &amp; $D1147 &amp; ":" &amp; B$1)</f>
        <v>TEN</v>
      </c>
      <c r="C1147" s="3">
        <v>2755728678</v>
      </c>
      <c r="D1147" t="s">
        <v>824</v>
      </c>
      <c r="E1147" s="3" t="str">
        <f>RTD("ice.rtd",,$C1147 &amp; $D1147 &amp; ":" &amp; E$1)</f>
        <v>Cal 29</v>
      </c>
      <c r="F1147" s="3" t="str">
        <f>ICE[[#This Row],[Prod]]&amp;ICE[[#This Row],[Strip]]</f>
        <v>fo05singbrxmtCal 29</v>
      </c>
      <c r="G1147" s="18" t="str">
        <f>RTD("ice.rtd",,$C1147 &amp; $D1147 &amp; ":" &amp; G$1)</f>
        <v/>
      </c>
      <c r="H1147" s="18" t="str">
        <f>RTD("ice.rtd",,$C1147 &amp; $D1147 &amp; ":" &amp; H$1)</f>
        <v/>
      </c>
      <c r="I1147" s="18" t="str">
        <f>RTD("ice.rtd",,$C1147 &amp; $D1147 &amp; ":" &amp; I$1)</f>
        <v/>
      </c>
      <c r="J1147" s="14" t="str">
        <f>IFERROR(MOD(RTD("ice.rtd",,$C1147 &amp; $D1147 &amp; ":" &amp; J$1), 1), "")</f>
        <v/>
      </c>
      <c r="K1147" s="18" t="str">
        <f>RTD("ice.rtd",,$C1147 &amp; $D1147 &amp; ":" &amp; K$1)</f>
        <v/>
      </c>
      <c r="L1147" s="36" t="str">
        <f>RTD("ice.rtd",,$C1147 &amp; $D1147 &amp; ":" &amp; L$1)</f>
        <v/>
      </c>
      <c r="M1147" s="14" t="str">
        <f>IFERROR(MOD(TIMEVALUE(RTD("ice.rtd",,$C1147 &amp; $D1147 &amp; ":" &amp; M$1)), 1), "")</f>
        <v/>
      </c>
      <c r="N1147" s="36">
        <f>RTD("ice.rtd",,$C1147 &amp; $D1147 &amp; ":" &amp; N$1)</f>
        <v>0</v>
      </c>
      <c r="O1147" s="36">
        <f>RTD("ice.rtd",,$C1147 &amp; $D1147 &amp; ":" &amp; O$1)</f>
        <v>0</v>
      </c>
      <c r="P11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7" s="14" t="str">
        <f>IF(ICE[[#This Row],[LastType]] = "Scrn", ICE[[#This Row],[LstDate]], IF(ICE[[#This Row],[LastType]] = "Blk", ICE[[#This Row],[LstBlkTime]], ""))</f>
        <v/>
      </c>
      <c r="R1147" s="41" t="str">
        <f>IF(ICE[[#This Row],[LastType]] = "Scrn", ICE[[#This Row],[LstPrc]], IF(ICE[[#This Row],[LastType]] = "Blk", ICE[[#This Row],[LstBlkPrc]], ""))</f>
        <v/>
      </c>
      <c r="S1147" s="36">
        <f>ICE[[#This Row],[Vol]]+ICE[[#This Row],[BlkVol]]</f>
        <v>0</v>
      </c>
      <c r="T1147" s="36">
        <f>RTD("ice.rtd",,$C1147 &amp; $D1147 &amp; ":" &amp; T$1)</f>
        <v>0</v>
      </c>
      <c r="U1147" s="18">
        <f>RTD("ice.rtd",,$C1147 &amp; $D1147 &amp; ":" &amp; U$1)</f>
        <v>13.130700000000001</v>
      </c>
      <c r="V11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47" s="18" t="str">
        <f>IFERROR(IF(LEFT(ICE[[#This Row],[Tenor]], 1) = "B", RTD("esrtd",,$B1147 &amp; " " &amp; ICE[[#This Row],[Tenor]] &amp; "-IEU", W$1), RTD("esrtd",,$B1147 &amp; " " &amp; VLOOKUP(MONTH(ICE[[#This Row],[Strip]]), MthRef[], 2, 0) &amp; RIGHT(YEAR(ICE[[#This Row],[Strip]]), 2) &amp; "-IEU", W$1)), "")</f>
        <v/>
      </c>
      <c r="X1147" s="36"/>
    </row>
    <row r="1148" spans="1:24" x14ac:dyDescent="0.25">
      <c r="A1148" s="37" t="s">
        <v>836</v>
      </c>
      <c r="B1148" s="3" t="str">
        <f>RTD("ice.rtd",,$C1148 &amp; $D1148 &amp; ":" &amp; B$1)</f>
        <v>Invalid Market: B0</v>
      </c>
      <c r="D1148" t="s">
        <v>792</v>
      </c>
      <c r="E1148" s="3" t="str">
        <f>RTD("ice.rtd",,$C1148 &amp; $D1148 &amp; ":" &amp; E$1)</f>
        <v>Invalid Market: B0</v>
      </c>
      <c r="F1148" s="3" t="str">
        <f>ICE[[#This Row],[Prod]]&amp;ICE[[#This Row],[Strip]]</f>
        <v>fo05singbrxbblInvalid Market: B0</v>
      </c>
      <c r="G1148" s="18" t="str">
        <f>RTD("ice.rtd",,$C1148 &amp; $D1148 &amp; ":" &amp; G$1)</f>
        <v>Invalid Market: B0</v>
      </c>
      <c r="H1148" s="18" t="str">
        <f>RTD("ice.rtd",,$C1148 &amp; $D1148 &amp; ":" &amp; H$1)</f>
        <v>Invalid Market: B0</v>
      </c>
      <c r="I1148" s="18" t="str">
        <f>RTD("ice.rtd",,$C1148 &amp; $D1148 &amp; ":" &amp; I$1)</f>
        <v>Invalid Market: B0</v>
      </c>
      <c r="J1148" s="14" t="str">
        <f>IFERROR(MOD(RTD("ice.rtd",,$C1148 &amp; $D1148 &amp; ":" &amp; J$1), 1), "")</f>
        <v/>
      </c>
      <c r="K1148" s="18" t="str">
        <f>RTD("ice.rtd",,$C1148 &amp; $D1148 &amp; ":" &amp; K$1)</f>
        <v>Invalid Market: B0</v>
      </c>
      <c r="L1148" s="36" t="str">
        <f>RTD("ice.rtd",,$C1148 &amp; $D1148 &amp; ":" &amp; L$1)</f>
        <v>Invalid Market: B0</v>
      </c>
      <c r="M1148" s="14" t="str">
        <f>IFERROR(MOD(TIMEVALUE(RTD("ice.rtd",,$C1148 &amp; $D1148 &amp; ":" &amp; M$1)), 1), "")</f>
        <v/>
      </c>
      <c r="N1148" s="36" t="str">
        <f>RTD("ice.rtd",,$C1148 &amp; $D1148 &amp; ":" &amp; N$1)</f>
        <v>Invalid Market: B0</v>
      </c>
      <c r="O1148" s="36" t="str">
        <f>RTD("ice.rtd",,$C1148 &amp; $D1148 &amp; ":" &amp; O$1)</f>
        <v>Invalid Market: B0</v>
      </c>
      <c r="P11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8" s="14" t="str">
        <f>IF(ICE[[#This Row],[LastType]] = "Scrn", ICE[[#This Row],[LstDate]], IF(ICE[[#This Row],[LastType]] = "Blk", ICE[[#This Row],[LstBlkTime]], ""))</f>
        <v/>
      </c>
      <c r="R1148" s="41" t="str">
        <f>IF(ICE[[#This Row],[LastType]] = "Scrn", ICE[[#This Row],[LstPrc]], IF(ICE[[#This Row],[LastType]] = "Blk", ICE[[#This Row],[LstBlkPrc]], ""))</f>
        <v/>
      </c>
      <c r="S1148" s="36" t="e">
        <f>ICE[[#This Row],[Vol]]+ICE[[#This Row],[BlkVol]]</f>
        <v>#VALUE!</v>
      </c>
      <c r="T1148" s="36" t="str">
        <f>RTD("ice.rtd",,$C1148 &amp; $D1148 &amp; ":" &amp; T$1)</f>
        <v>Invalid Market: B0</v>
      </c>
      <c r="U1148" s="18" t="str">
        <f>RTD("ice.rtd",,$C1148 &amp; $D1148 &amp; ":" &amp; U$1)</f>
        <v>Invalid Market: B0</v>
      </c>
      <c r="V11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148" s="18" t="str">
        <f>IFERROR(IF(LEFT(ICE[[#This Row],[Tenor]], 1) = "B", RTD("esrtd",,$B1148 &amp; " " &amp; ICE[[#This Row],[Tenor]] &amp; "-IEU", W$1), RTD("esrtd",,$B1148 &amp; " " &amp; VLOOKUP(MONTH(ICE[[#This Row],[Strip]]), MthRef[], 2, 0) &amp; RIGHT(YEAR(ICE[[#This Row],[Strip]]), 2) &amp; "-IEU", W$1)), "")</f>
        <v/>
      </c>
      <c r="X1148" s="36"/>
    </row>
    <row r="1149" spans="1:24" x14ac:dyDescent="0.25">
      <c r="A1149" s="37" t="s">
        <v>836</v>
      </c>
      <c r="B1149" s="3" t="str">
        <f>RTD("ice.rtd",,$C1149 &amp; $D1149 &amp; ":" &amp; B$1)</f>
        <v>MFT</v>
      </c>
      <c r="C1149" s="3">
        <v>2427026287</v>
      </c>
      <c r="D1149" t="s">
        <v>793</v>
      </c>
      <c r="E1149" s="3" t="str">
        <f>RTD("ice.rtd",,$C1149 &amp; $D1149 &amp; ":" &amp; E$1)</f>
        <v>Sep26</v>
      </c>
      <c r="F1149" s="3" t="str">
        <f>ICE[[#This Row],[Prod]]&amp;ICE[[#This Row],[Strip]]</f>
        <v>fo05singbrxbblSep26</v>
      </c>
      <c r="G1149" s="18" t="str">
        <f>RTD("ice.rtd",,$C1149 &amp; $D1149 &amp; ":" &amp; G$1)</f>
        <v/>
      </c>
      <c r="H1149" s="18" t="str">
        <f>RTD("ice.rtd",,$C1149 &amp; $D1149 &amp; ":" &amp; H$1)</f>
        <v/>
      </c>
      <c r="I1149" s="18" t="str">
        <f>RTD("ice.rtd",,$C1149 &amp; $D1149 &amp; ":" &amp; I$1)</f>
        <v/>
      </c>
      <c r="J1149" s="14" t="str">
        <f>IFERROR(MOD(RTD("ice.rtd",,$C1149 &amp; $D1149 &amp; ":" &amp; J$1), 1), "")</f>
        <v/>
      </c>
      <c r="K1149" s="18" t="str">
        <f>RTD("ice.rtd",,$C1149 &amp; $D1149 &amp; ":" &amp; K$1)</f>
        <v/>
      </c>
      <c r="L1149" s="36" t="str">
        <f>RTD("ice.rtd",,$C1149 &amp; $D1149 &amp; ":" &amp; L$1)</f>
        <v/>
      </c>
      <c r="M1149" s="14" t="str">
        <f>IFERROR(MOD(TIMEVALUE(RTD("ice.rtd",,$C1149 &amp; $D1149 &amp; ":" &amp; M$1)), 1), "")</f>
        <v/>
      </c>
      <c r="N1149" s="36">
        <f>RTD("ice.rtd",,$C1149 &amp; $D1149 &amp; ":" &amp; N$1)</f>
        <v>0</v>
      </c>
      <c r="O1149" s="36">
        <f>RTD("ice.rtd",,$C1149 &amp; $D1149 &amp; ":" &amp; O$1)</f>
        <v>0</v>
      </c>
      <c r="P11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49" s="14" t="str">
        <f>IF(ICE[[#This Row],[LastType]] = "Scrn", ICE[[#This Row],[LstDate]], IF(ICE[[#This Row],[LastType]] = "Blk", ICE[[#This Row],[LstBlkTime]], ""))</f>
        <v/>
      </c>
      <c r="R1149" s="41" t="str">
        <f>IF(ICE[[#This Row],[LastType]] = "Scrn", ICE[[#This Row],[LstPrc]], IF(ICE[[#This Row],[LastType]] = "Blk", ICE[[#This Row],[LstBlkPrc]], ""))</f>
        <v/>
      </c>
      <c r="S1149" s="36">
        <f>ICE[[#This Row],[Vol]]+ICE[[#This Row],[BlkVol]]</f>
        <v>0</v>
      </c>
      <c r="T1149" s="36">
        <f>RTD("ice.rtd",,$C1149 &amp; $D1149 &amp; ":" &amp; T$1)</f>
        <v>9093</v>
      </c>
      <c r="U1149" s="18">
        <f>RTD("ice.rtd",,$C1149 &amp; $D1149 &amp; ":" &amp; U$1)</f>
        <v>24.464300000000001</v>
      </c>
      <c r="V11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49" s="18" t="str">
        <f>IFERROR(IF(LEFT(ICE[[#This Row],[Tenor]], 1) = "B", RTD("esrtd",,$B1149 &amp; " " &amp; ICE[[#This Row],[Tenor]] &amp; "-IEU", W$1), RTD("esrtd",,$B1149 &amp; " " &amp; VLOOKUP(MONTH(ICE[[#This Row],[Strip]]), MthRef[], 2, 0) &amp; RIGHT(YEAR(ICE[[#This Row],[Strip]]), 2) &amp; "-IEU", W$1)), "")</f>
        <v/>
      </c>
      <c r="X1149" s="36"/>
    </row>
    <row r="1150" spans="1:24" x14ac:dyDescent="0.25">
      <c r="A1150" s="37" t="s">
        <v>836</v>
      </c>
      <c r="B1150" s="3" t="str">
        <f>RTD("ice.rtd",,$C1150 &amp; $D1150 &amp; ":" &amp; B$1)</f>
        <v>MFT</v>
      </c>
      <c r="C1150" s="3">
        <v>2427026287</v>
      </c>
      <c r="D1150" t="s">
        <v>324</v>
      </c>
      <c r="E1150" s="3" t="str">
        <f>RTD("ice.rtd",,$C1150 &amp; $D1150 &amp; ":" &amp; E$1)</f>
        <v>Oct26</v>
      </c>
      <c r="F1150" s="3" t="str">
        <f>ICE[[#This Row],[Prod]]&amp;ICE[[#This Row],[Strip]]</f>
        <v>fo05singbrxbblOct26</v>
      </c>
      <c r="G1150" s="18">
        <f>RTD("ice.rtd",,$C1150 &amp; $D1150 &amp; ":" &amp; G$1)</f>
        <v>19.2</v>
      </c>
      <c r="H1150" s="18">
        <f>RTD("ice.rtd",,$C1150 &amp; $D1150 &amp; ":" &amp; H$1)</f>
        <v>19.399999999999999</v>
      </c>
      <c r="I1150" s="18">
        <f>RTD("ice.rtd",,$C1150 &amp; $D1150 &amp; ":" &amp; I$1)</f>
        <v>19.399999999999999</v>
      </c>
      <c r="J1150" s="14">
        <f>IFERROR(MOD(RTD("ice.rtd",,$C1150 &amp; $D1150 &amp; ":" &amp; J$1), 1), "")</f>
        <v>0.4650183680569171</v>
      </c>
      <c r="K1150" s="18" t="str">
        <f>RTD("ice.rtd",,$C1150 &amp; $D1150 &amp; ":" &amp; K$1)</f>
        <v/>
      </c>
      <c r="L1150" s="36" t="str">
        <f>RTD("ice.rtd",,$C1150 &amp; $D1150 &amp; ":" &amp; L$1)</f>
        <v/>
      </c>
      <c r="M1150" s="14" t="str">
        <f>IFERROR(MOD(TIMEVALUE(RTD("ice.rtd",,$C1150 &amp; $D1150 &amp; ":" &amp; M$1)), 1), "")</f>
        <v/>
      </c>
      <c r="N1150" s="36">
        <f>RTD("ice.rtd",,$C1150 &amp; $D1150 &amp; ":" &amp; N$1)</f>
        <v>792</v>
      </c>
      <c r="O1150" s="36">
        <f>RTD("ice.rtd",,$C1150 &amp; $D1150 &amp; ":" &amp; O$1)</f>
        <v>224</v>
      </c>
      <c r="P11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150" s="14">
        <f>IF(ICE[[#This Row],[LastType]] = "Scrn", ICE[[#This Row],[LstDate]], IF(ICE[[#This Row],[LastType]] = "Blk", ICE[[#This Row],[LstBlkTime]], ""))</f>
        <v>0.4650183680569171</v>
      </c>
      <c r="R1150" s="41">
        <f>IF(ICE[[#This Row],[LastType]] = "Scrn", ICE[[#This Row],[LstPrc]], IF(ICE[[#This Row],[LastType]] = "Blk", ICE[[#This Row],[LstBlkPrc]], ""))</f>
        <v>19.399999999999999</v>
      </c>
      <c r="S1150" s="36">
        <f>ICE[[#This Row],[Vol]]+ICE[[#This Row],[BlkVol]]</f>
        <v>1016</v>
      </c>
      <c r="T1150" s="36">
        <f>RTD("ice.rtd",,$C1150 &amp; $D1150 &amp; ":" &amp; T$1)</f>
        <v>9695</v>
      </c>
      <c r="U1150" s="18">
        <f>RTD("ice.rtd",,$C1150 &amp; $D1150 &amp; ":" &amp; U$1)</f>
        <v>19.395700000000001</v>
      </c>
      <c r="V11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19.20 / 19.40 {19.40} |1,016x</v>
      </c>
      <c r="W1150" s="18" t="str">
        <f>IFERROR(IF(LEFT(ICE[[#This Row],[Tenor]], 1) = "B", RTD("esrtd",,$B1150 &amp; " " &amp; ICE[[#This Row],[Tenor]] &amp; "-IEU", W$1), RTD("esrtd",,$B1150 &amp; " " &amp; VLOOKUP(MONTH(ICE[[#This Row],[Strip]]), MthRef[], 2, 0) &amp; RIGHT(YEAR(ICE[[#This Row],[Strip]]), 2) &amp; "-IEU", W$1)), "")</f>
        <v/>
      </c>
      <c r="X1150" s="36"/>
    </row>
    <row r="1151" spans="1:24" x14ac:dyDescent="0.25">
      <c r="A1151" s="37" t="s">
        <v>836</v>
      </c>
      <c r="B1151" s="3" t="str">
        <f>RTD("ice.rtd",,$C1151 &amp; $D1151 &amp; ":" &amp; B$1)</f>
        <v>MFT</v>
      </c>
      <c r="C1151" s="3">
        <v>2427026287</v>
      </c>
      <c r="D1151" t="s">
        <v>325</v>
      </c>
      <c r="E1151" s="3" t="str">
        <f>RTD("ice.rtd",,$C1151 &amp; $D1151 &amp; ":" &amp; E$1)</f>
        <v>Nov26</v>
      </c>
      <c r="F1151" s="3" t="str">
        <f>ICE[[#This Row],[Prod]]&amp;ICE[[#This Row],[Strip]]</f>
        <v>fo05singbrxbblNov26</v>
      </c>
      <c r="G1151" s="18">
        <f>RTD("ice.rtd",,$C1151 &amp; $D1151 &amp; ":" &amp; G$1)</f>
        <v>16.399999999999999</v>
      </c>
      <c r="H1151" s="18">
        <f>RTD("ice.rtd",,$C1151 &amp; $D1151 &amp; ":" &amp; H$1)</f>
        <v>17.2</v>
      </c>
      <c r="I1151" s="18">
        <f>RTD("ice.rtd",,$C1151 &amp; $D1151 &amp; ":" &amp; I$1)</f>
        <v>16.600000000000001</v>
      </c>
      <c r="J1151" s="14">
        <f>IFERROR(MOD(RTD("ice.rtd",,$C1151 &amp; $D1151 &amp; ":" &amp; J$1), 1), "")</f>
        <v>0.44856013888784219</v>
      </c>
      <c r="K1151" s="18" t="str">
        <f>RTD("ice.rtd",,$C1151 &amp; $D1151 &amp; ":" &amp; K$1)</f>
        <v/>
      </c>
      <c r="L1151" s="36" t="str">
        <f>RTD("ice.rtd",,$C1151 &amp; $D1151 &amp; ":" &amp; L$1)</f>
        <v/>
      </c>
      <c r="M1151" s="14" t="str">
        <f>IFERROR(MOD(TIMEVALUE(RTD("ice.rtd",,$C1151 &amp; $D1151 &amp; ":" &amp; M$1)), 1), "")</f>
        <v/>
      </c>
      <c r="N1151" s="36">
        <f>RTD("ice.rtd",,$C1151 &amp; $D1151 &amp; ":" &amp; N$1)</f>
        <v>45</v>
      </c>
      <c r="O1151" s="36">
        <f>RTD("ice.rtd",,$C1151 &amp; $D1151 &amp; ":" &amp; O$1)</f>
        <v>0</v>
      </c>
      <c r="P11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151" s="14">
        <f>IF(ICE[[#This Row],[LastType]] = "Scrn", ICE[[#This Row],[LstDate]], IF(ICE[[#This Row],[LastType]] = "Blk", ICE[[#This Row],[LstBlkTime]], ""))</f>
        <v>0.44856013888784219</v>
      </c>
      <c r="R1151" s="41">
        <f>IF(ICE[[#This Row],[LastType]] = "Scrn", ICE[[#This Row],[LstPrc]], IF(ICE[[#This Row],[LastType]] = "Blk", ICE[[#This Row],[LstBlkPrc]], ""))</f>
        <v>16.600000000000001</v>
      </c>
      <c r="S1151" s="36">
        <f>ICE[[#This Row],[Vol]]+ICE[[#This Row],[BlkVol]]</f>
        <v>45</v>
      </c>
      <c r="T1151" s="36">
        <f>RTD("ice.rtd",,$C1151 &amp; $D1151 &amp; ":" &amp; T$1)</f>
        <v>4319</v>
      </c>
      <c r="U1151" s="18">
        <f>RTD("ice.rtd",,$C1151 &amp; $D1151 &amp; ":" &amp; U$1)</f>
        <v>16.885000000000002</v>
      </c>
      <c r="V11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16.40 / 17.20 {16.60} |45x</v>
      </c>
      <c r="W1151" s="18" t="str">
        <f>IFERROR(IF(LEFT(ICE[[#This Row],[Tenor]], 1) = "B", RTD("esrtd",,$B1151 &amp; " " &amp; ICE[[#This Row],[Tenor]] &amp; "-IEU", W$1), RTD("esrtd",,$B1151 &amp; " " &amp; VLOOKUP(MONTH(ICE[[#This Row],[Strip]]), MthRef[], 2, 0) &amp; RIGHT(YEAR(ICE[[#This Row],[Strip]]), 2) &amp; "-IEU", W$1)), "")</f>
        <v/>
      </c>
      <c r="X1151" s="36"/>
    </row>
    <row r="1152" spans="1:24" x14ac:dyDescent="0.25">
      <c r="A1152" s="37" t="s">
        <v>836</v>
      </c>
      <c r="B1152" s="3" t="str">
        <f>RTD("ice.rtd",,$C1152 &amp; $D1152 &amp; ":" &amp; B$1)</f>
        <v>MFT</v>
      </c>
      <c r="C1152" s="3">
        <v>2427026287</v>
      </c>
      <c r="D1152" t="s">
        <v>326</v>
      </c>
      <c r="E1152" s="3" t="str">
        <f>RTD("ice.rtd",,$C1152 &amp; $D1152 &amp; ":" &amp; E$1)</f>
        <v>Dec26</v>
      </c>
      <c r="F1152" s="3" t="str">
        <f>ICE[[#This Row],[Prod]]&amp;ICE[[#This Row],[Strip]]</f>
        <v>fo05singbrxbblDec26</v>
      </c>
      <c r="G1152" s="18" t="str">
        <f>RTD("ice.rtd",,$C1152 &amp; $D1152 &amp; ":" &amp; G$1)</f>
        <v/>
      </c>
      <c r="H1152" s="18" t="str">
        <f>RTD("ice.rtd",,$C1152 &amp; $D1152 &amp; ":" &amp; H$1)</f>
        <v/>
      </c>
      <c r="I1152" s="18" t="str">
        <f>RTD("ice.rtd",,$C1152 &amp; $D1152 &amp; ":" &amp; I$1)</f>
        <v/>
      </c>
      <c r="J1152" s="14" t="str">
        <f>IFERROR(MOD(RTD("ice.rtd",,$C1152 &amp; $D1152 &amp; ":" &amp; J$1), 1), "")</f>
        <v/>
      </c>
      <c r="K1152" s="18" t="str">
        <f>RTD("ice.rtd",,$C1152 &amp; $D1152 &amp; ":" &amp; K$1)</f>
        <v/>
      </c>
      <c r="L1152" s="36" t="str">
        <f>RTD("ice.rtd",,$C1152 &amp; $D1152 &amp; ":" &amp; L$1)</f>
        <v/>
      </c>
      <c r="M1152" s="14" t="str">
        <f>IFERROR(MOD(TIMEVALUE(RTD("ice.rtd",,$C1152 &amp; $D1152 &amp; ":" &amp; M$1)), 1), "")</f>
        <v/>
      </c>
      <c r="N1152" s="36">
        <f>RTD("ice.rtd",,$C1152 &amp; $D1152 &amp; ":" &amp; N$1)</f>
        <v>0</v>
      </c>
      <c r="O1152" s="36">
        <f>RTD("ice.rtd",,$C1152 &amp; $D1152 &amp; ":" &amp; O$1)</f>
        <v>0</v>
      </c>
      <c r="P11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2" s="14" t="str">
        <f>IF(ICE[[#This Row],[LastType]] = "Scrn", ICE[[#This Row],[LstDate]], IF(ICE[[#This Row],[LastType]] = "Blk", ICE[[#This Row],[LstBlkTime]], ""))</f>
        <v/>
      </c>
      <c r="R1152" s="41" t="str">
        <f>IF(ICE[[#This Row],[LastType]] = "Scrn", ICE[[#This Row],[LstPrc]], IF(ICE[[#This Row],[LastType]] = "Blk", ICE[[#This Row],[LstBlkPrc]], ""))</f>
        <v/>
      </c>
      <c r="S1152" s="36">
        <f>ICE[[#This Row],[Vol]]+ICE[[#This Row],[BlkVol]]</f>
        <v>0</v>
      </c>
      <c r="T1152" s="36">
        <f>RTD("ice.rtd",,$C1152 &amp; $D1152 &amp; ":" &amp; T$1)</f>
        <v>3691</v>
      </c>
      <c r="U1152" s="18">
        <f>RTD("ice.rtd",,$C1152 &amp; $D1152 &amp; ":" &amp; U$1)</f>
        <v>16.053900000000002</v>
      </c>
      <c r="V11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2" s="18" t="str">
        <f>IFERROR(IF(LEFT(ICE[[#This Row],[Tenor]], 1) = "B", RTD("esrtd",,$B1152 &amp; " " &amp; ICE[[#This Row],[Tenor]] &amp; "-IEU", W$1), RTD("esrtd",,$B1152 &amp; " " &amp; VLOOKUP(MONTH(ICE[[#This Row],[Strip]]), MthRef[], 2, 0) &amp; RIGHT(YEAR(ICE[[#This Row],[Strip]]), 2) &amp; "-IEU", W$1)), "")</f>
        <v/>
      </c>
      <c r="X1152" s="36"/>
    </row>
    <row r="1153" spans="1:24" x14ac:dyDescent="0.25">
      <c r="A1153" s="37" t="s">
        <v>836</v>
      </c>
      <c r="B1153" s="3" t="str">
        <f>RTD("ice.rtd",,$C1153 &amp; $D1153 &amp; ":" &amp; B$1)</f>
        <v>MFT</v>
      </c>
      <c r="C1153" s="3">
        <v>2427026287</v>
      </c>
      <c r="D1153" t="s">
        <v>794</v>
      </c>
      <c r="E1153" s="3" t="str">
        <f>RTD("ice.rtd",,$C1153 &amp; $D1153 &amp; ":" &amp; E$1)</f>
        <v>Jan27</v>
      </c>
      <c r="F1153" s="3" t="str">
        <f>ICE[[#This Row],[Prod]]&amp;ICE[[#This Row],[Strip]]</f>
        <v>fo05singbrxbblJan27</v>
      </c>
      <c r="G1153" s="18" t="str">
        <f>RTD("ice.rtd",,$C1153 &amp; $D1153 &amp; ":" &amp; G$1)</f>
        <v/>
      </c>
      <c r="H1153" s="18" t="str">
        <f>RTD("ice.rtd",,$C1153 &amp; $D1153 &amp; ":" &amp; H$1)</f>
        <v/>
      </c>
      <c r="I1153" s="18" t="str">
        <f>RTD("ice.rtd",,$C1153 &amp; $D1153 &amp; ":" &amp; I$1)</f>
        <v/>
      </c>
      <c r="J1153" s="14" t="str">
        <f>IFERROR(MOD(RTD("ice.rtd",,$C1153 &amp; $D1153 &amp; ":" &amp; J$1), 1), "")</f>
        <v/>
      </c>
      <c r="K1153" s="18" t="str">
        <f>RTD("ice.rtd",,$C1153 &amp; $D1153 &amp; ":" &amp; K$1)</f>
        <v/>
      </c>
      <c r="L1153" s="36" t="str">
        <f>RTD("ice.rtd",,$C1153 &amp; $D1153 &amp; ":" &amp; L$1)</f>
        <v/>
      </c>
      <c r="M1153" s="14" t="str">
        <f>IFERROR(MOD(TIMEVALUE(RTD("ice.rtd",,$C1153 &amp; $D1153 &amp; ":" &amp; M$1)), 1), "")</f>
        <v/>
      </c>
      <c r="N1153" s="36">
        <f>RTD("ice.rtd",,$C1153 &amp; $D1153 &amp; ":" &amp; N$1)</f>
        <v>0</v>
      </c>
      <c r="O1153" s="36">
        <f>RTD("ice.rtd",,$C1153 &amp; $D1153 &amp; ":" &amp; O$1)</f>
        <v>0</v>
      </c>
      <c r="P11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3" s="14" t="str">
        <f>IF(ICE[[#This Row],[LastType]] = "Scrn", ICE[[#This Row],[LstDate]], IF(ICE[[#This Row],[LastType]] = "Blk", ICE[[#This Row],[LstBlkTime]], ""))</f>
        <v/>
      </c>
      <c r="R1153" s="41" t="str">
        <f>IF(ICE[[#This Row],[LastType]] = "Scrn", ICE[[#This Row],[LstPrc]], IF(ICE[[#This Row],[LastType]] = "Blk", ICE[[#This Row],[LstBlkPrc]], ""))</f>
        <v/>
      </c>
      <c r="S1153" s="36">
        <f>ICE[[#This Row],[Vol]]+ICE[[#This Row],[BlkVol]]</f>
        <v>0</v>
      </c>
      <c r="T1153" s="36">
        <f>RTD("ice.rtd",,$C1153 &amp; $D1153 &amp; ":" &amp; T$1)</f>
        <v>776</v>
      </c>
      <c r="U1153" s="18">
        <f>RTD("ice.rtd",,$C1153 &amp; $D1153 &amp; ":" &amp; U$1)</f>
        <v>15.5938</v>
      </c>
      <c r="V11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3" s="18" t="str">
        <f>IFERROR(IF(LEFT(ICE[[#This Row],[Tenor]], 1) = "B", RTD("esrtd",,$B1153 &amp; " " &amp; ICE[[#This Row],[Tenor]] &amp; "-IEU", W$1), RTD("esrtd",,$B1153 &amp; " " &amp; VLOOKUP(MONTH(ICE[[#This Row],[Strip]]), MthRef[], 2, 0) &amp; RIGHT(YEAR(ICE[[#This Row],[Strip]]), 2) &amp; "-IEU", W$1)), "")</f>
        <v/>
      </c>
      <c r="X1153" s="36"/>
    </row>
    <row r="1154" spans="1:24" x14ac:dyDescent="0.25">
      <c r="A1154" s="37" t="s">
        <v>836</v>
      </c>
      <c r="B1154" s="3" t="str">
        <f>RTD("ice.rtd",,$C1154 &amp; $D1154 &amp; ":" &amp; B$1)</f>
        <v>MFT</v>
      </c>
      <c r="C1154" s="3">
        <v>2427026287</v>
      </c>
      <c r="D1154" t="s">
        <v>795</v>
      </c>
      <c r="E1154" s="3" t="str">
        <f>RTD("ice.rtd",,$C1154 &amp; $D1154 &amp; ":" &amp; E$1)</f>
        <v>Feb27</v>
      </c>
      <c r="F1154" s="3" t="str">
        <f>ICE[[#This Row],[Prod]]&amp;ICE[[#This Row],[Strip]]</f>
        <v>fo05singbrxbblFeb27</v>
      </c>
      <c r="G1154" s="18" t="str">
        <f>RTD("ice.rtd",,$C1154 &amp; $D1154 &amp; ":" &amp; G$1)</f>
        <v/>
      </c>
      <c r="H1154" s="18" t="str">
        <f>RTD("ice.rtd",,$C1154 &amp; $D1154 &amp; ":" &amp; H$1)</f>
        <v/>
      </c>
      <c r="I1154" s="18" t="str">
        <f>RTD("ice.rtd",,$C1154 &amp; $D1154 &amp; ":" &amp; I$1)</f>
        <v/>
      </c>
      <c r="J1154" s="14" t="str">
        <f>IFERROR(MOD(RTD("ice.rtd",,$C1154 &amp; $D1154 &amp; ":" &amp; J$1), 1), "")</f>
        <v/>
      </c>
      <c r="K1154" s="18" t="str">
        <f>RTD("ice.rtd",,$C1154 &amp; $D1154 &amp; ":" &amp; K$1)</f>
        <v/>
      </c>
      <c r="L1154" s="36" t="str">
        <f>RTD("ice.rtd",,$C1154 &amp; $D1154 &amp; ":" &amp; L$1)</f>
        <v/>
      </c>
      <c r="M1154" s="14" t="str">
        <f>IFERROR(MOD(TIMEVALUE(RTD("ice.rtd",,$C1154 &amp; $D1154 &amp; ":" &amp; M$1)), 1), "")</f>
        <v/>
      </c>
      <c r="N1154" s="36">
        <f>RTD("ice.rtd",,$C1154 &amp; $D1154 &amp; ":" &amp; N$1)</f>
        <v>0</v>
      </c>
      <c r="O1154" s="36">
        <f>RTD("ice.rtd",,$C1154 &amp; $D1154 &amp; ":" &amp; O$1)</f>
        <v>0</v>
      </c>
      <c r="P11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4" s="14" t="str">
        <f>IF(ICE[[#This Row],[LastType]] = "Scrn", ICE[[#This Row],[LstDate]], IF(ICE[[#This Row],[LastType]] = "Blk", ICE[[#This Row],[LstBlkTime]], ""))</f>
        <v/>
      </c>
      <c r="R1154" s="41" t="str">
        <f>IF(ICE[[#This Row],[LastType]] = "Scrn", ICE[[#This Row],[LstPrc]], IF(ICE[[#This Row],[LastType]] = "Blk", ICE[[#This Row],[LstBlkPrc]], ""))</f>
        <v/>
      </c>
      <c r="S1154" s="36">
        <f>ICE[[#This Row],[Vol]]+ICE[[#This Row],[BlkVol]]</f>
        <v>0</v>
      </c>
      <c r="T1154" s="36">
        <f>RTD("ice.rtd",,$C1154 &amp; $D1154 &amp; ":" &amp; T$1)</f>
        <v>746</v>
      </c>
      <c r="U1154" s="18">
        <f>RTD("ice.rtd",,$C1154 &amp; $D1154 &amp; ":" &amp; U$1)</f>
        <v>15.504000000000001</v>
      </c>
      <c r="V11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4" s="18" t="str">
        <f>IFERROR(IF(LEFT(ICE[[#This Row],[Tenor]], 1) = "B", RTD("esrtd",,$B1154 &amp; " " &amp; ICE[[#This Row],[Tenor]] &amp; "-IEU", W$1), RTD("esrtd",,$B1154 &amp; " " &amp; VLOOKUP(MONTH(ICE[[#This Row],[Strip]]), MthRef[], 2, 0) &amp; RIGHT(YEAR(ICE[[#This Row],[Strip]]), 2) &amp; "-IEU", W$1)), "")</f>
        <v/>
      </c>
      <c r="X1154" s="36"/>
    </row>
    <row r="1155" spans="1:24" x14ac:dyDescent="0.25">
      <c r="A1155" s="37" t="s">
        <v>836</v>
      </c>
      <c r="B1155" s="3" t="str">
        <f>RTD("ice.rtd",,$C1155 &amp; $D1155 &amp; ":" &amp; B$1)</f>
        <v>MFT</v>
      </c>
      <c r="C1155" s="3">
        <v>2427026287</v>
      </c>
      <c r="D1155" t="s">
        <v>113</v>
      </c>
      <c r="E1155" s="3" t="str">
        <f>RTD("ice.rtd",,$C1155 &amp; $D1155 &amp; ":" &amp; E$1)</f>
        <v>Mar27</v>
      </c>
      <c r="F1155" s="3" t="str">
        <f>ICE[[#This Row],[Prod]]&amp;ICE[[#This Row],[Strip]]</f>
        <v>fo05singbrxbblMar27</v>
      </c>
      <c r="G1155" s="18" t="str">
        <f>RTD("ice.rtd",,$C1155 &amp; $D1155 &amp; ":" &amp; G$1)</f>
        <v/>
      </c>
      <c r="H1155" s="18" t="str">
        <f>RTD("ice.rtd",,$C1155 &amp; $D1155 &amp; ":" &amp; H$1)</f>
        <v/>
      </c>
      <c r="I1155" s="18" t="str">
        <f>RTD("ice.rtd",,$C1155 &amp; $D1155 &amp; ":" &amp; I$1)</f>
        <v/>
      </c>
      <c r="J1155" s="14" t="str">
        <f>IFERROR(MOD(RTD("ice.rtd",,$C1155 &amp; $D1155 &amp; ":" &amp; J$1), 1), "")</f>
        <v/>
      </c>
      <c r="K1155" s="18" t="str">
        <f>RTD("ice.rtd",,$C1155 &amp; $D1155 &amp; ":" &amp; K$1)</f>
        <v/>
      </c>
      <c r="L1155" s="36" t="str">
        <f>RTD("ice.rtd",,$C1155 &amp; $D1155 &amp; ":" &amp; L$1)</f>
        <v/>
      </c>
      <c r="M1155" s="14" t="str">
        <f>IFERROR(MOD(TIMEVALUE(RTD("ice.rtd",,$C1155 &amp; $D1155 &amp; ":" &amp; M$1)), 1), "")</f>
        <v/>
      </c>
      <c r="N1155" s="36">
        <f>RTD("ice.rtd",,$C1155 &amp; $D1155 &amp; ":" &amp; N$1)</f>
        <v>0</v>
      </c>
      <c r="O1155" s="36">
        <f>RTD("ice.rtd",,$C1155 &amp; $D1155 &amp; ":" &amp; O$1)</f>
        <v>0</v>
      </c>
      <c r="P11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5" s="14" t="str">
        <f>IF(ICE[[#This Row],[LastType]] = "Scrn", ICE[[#This Row],[LstDate]], IF(ICE[[#This Row],[LastType]] = "Blk", ICE[[#This Row],[LstBlkTime]], ""))</f>
        <v/>
      </c>
      <c r="R1155" s="41" t="str">
        <f>IF(ICE[[#This Row],[LastType]] = "Scrn", ICE[[#This Row],[LstPrc]], IF(ICE[[#This Row],[LastType]] = "Blk", ICE[[#This Row],[LstBlkPrc]], ""))</f>
        <v/>
      </c>
      <c r="S1155" s="36">
        <f>ICE[[#This Row],[Vol]]+ICE[[#This Row],[BlkVol]]</f>
        <v>0</v>
      </c>
      <c r="T1155" s="36">
        <f>RTD("ice.rtd",,$C1155 &amp; $D1155 &amp; ":" &amp; T$1)</f>
        <v>741</v>
      </c>
      <c r="U1155" s="18">
        <f>RTD("ice.rtd",,$C1155 &amp; $D1155 &amp; ":" &amp; U$1)</f>
        <v>15.281700000000001</v>
      </c>
      <c r="V11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5" s="18" t="str">
        <f>IFERROR(IF(LEFT(ICE[[#This Row],[Tenor]], 1) = "B", RTD("esrtd",,$B1155 &amp; " " &amp; ICE[[#This Row],[Tenor]] &amp; "-IEU", W$1), RTD("esrtd",,$B1155 &amp; " " &amp; VLOOKUP(MONTH(ICE[[#This Row],[Strip]]), MthRef[], 2, 0) &amp; RIGHT(YEAR(ICE[[#This Row],[Strip]]), 2) &amp; "-IEU", W$1)), "")</f>
        <v/>
      </c>
      <c r="X1155" s="36"/>
    </row>
    <row r="1156" spans="1:24" x14ac:dyDescent="0.25">
      <c r="A1156" s="37" t="s">
        <v>836</v>
      </c>
      <c r="B1156" s="3" t="str">
        <f>RTD("ice.rtd",,$C1156 &amp; $D1156 &amp; ":" &amp; B$1)</f>
        <v>MFT</v>
      </c>
      <c r="C1156" s="3">
        <v>2427026287</v>
      </c>
      <c r="D1156" t="s">
        <v>796</v>
      </c>
      <c r="E1156" s="3" t="str">
        <f>RTD("ice.rtd",,$C1156 &amp; $D1156 &amp; ":" &amp; E$1)</f>
        <v>Apr27</v>
      </c>
      <c r="F1156" s="3" t="str">
        <f>ICE[[#This Row],[Prod]]&amp;ICE[[#This Row],[Strip]]</f>
        <v>fo05singbrxbblApr27</v>
      </c>
      <c r="G1156" s="18" t="str">
        <f>RTD("ice.rtd",,$C1156 &amp; $D1156 &amp; ":" &amp; G$1)</f>
        <v/>
      </c>
      <c r="H1156" s="18" t="str">
        <f>RTD("ice.rtd",,$C1156 &amp; $D1156 &amp; ":" &amp; H$1)</f>
        <v/>
      </c>
      <c r="I1156" s="18" t="str">
        <f>RTD("ice.rtd",,$C1156 &amp; $D1156 &amp; ":" &amp; I$1)</f>
        <v/>
      </c>
      <c r="J1156" s="14" t="str">
        <f>IFERROR(MOD(RTD("ice.rtd",,$C1156 &amp; $D1156 &amp; ":" &amp; J$1), 1), "")</f>
        <v/>
      </c>
      <c r="K1156" s="18" t="str">
        <f>RTD("ice.rtd",,$C1156 &amp; $D1156 &amp; ":" &amp; K$1)</f>
        <v/>
      </c>
      <c r="L1156" s="36" t="str">
        <f>RTD("ice.rtd",,$C1156 &amp; $D1156 &amp; ":" &amp; L$1)</f>
        <v/>
      </c>
      <c r="M1156" s="14" t="str">
        <f>IFERROR(MOD(TIMEVALUE(RTD("ice.rtd",,$C1156 &amp; $D1156 &amp; ":" &amp; M$1)), 1), "")</f>
        <v/>
      </c>
      <c r="N1156" s="36">
        <f>RTD("ice.rtd",,$C1156 &amp; $D1156 &amp; ":" &amp; N$1)</f>
        <v>0</v>
      </c>
      <c r="O1156" s="36">
        <f>RTD("ice.rtd",,$C1156 &amp; $D1156 &amp; ":" &amp; O$1)</f>
        <v>0</v>
      </c>
      <c r="P11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6" s="14" t="str">
        <f>IF(ICE[[#This Row],[LastType]] = "Scrn", ICE[[#This Row],[LstDate]], IF(ICE[[#This Row],[LastType]] = "Blk", ICE[[#This Row],[LstBlkTime]], ""))</f>
        <v/>
      </c>
      <c r="R1156" s="41" t="str">
        <f>IF(ICE[[#This Row],[LastType]] = "Scrn", ICE[[#This Row],[LstPrc]], IF(ICE[[#This Row],[LastType]] = "Blk", ICE[[#This Row],[LstBlkPrc]], ""))</f>
        <v/>
      </c>
      <c r="S1156" s="36">
        <f>ICE[[#This Row],[Vol]]+ICE[[#This Row],[BlkVol]]</f>
        <v>0</v>
      </c>
      <c r="T1156" s="36">
        <f>RTD("ice.rtd",,$C1156 &amp; $D1156 &amp; ":" &amp; T$1)</f>
        <v>608</v>
      </c>
      <c r="U1156" s="18">
        <f>RTD("ice.rtd",,$C1156 &amp; $D1156 &amp; ":" &amp; U$1)</f>
        <v>15.083600000000001</v>
      </c>
      <c r="V11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6" s="18" t="str">
        <f>IFERROR(IF(LEFT(ICE[[#This Row],[Tenor]], 1) = "B", RTD("esrtd",,$B1156 &amp; " " &amp; ICE[[#This Row],[Tenor]] &amp; "-IEU", W$1), RTD("esrtd",,$B1156 &amp; " " &amp; VLOOKUP(MONTH(ICE[[#This Row],[Strip]]), MthRef[], 2, 0) &amp; RIGHT(YEAR(ICE[[#This Row],[Strip]]), 2) &amp; "-IEU", W$1)), "")</f>
        <v/>
      </c>
      <c r="X1156" s="36"/>
    </row>
    <row r="1157" spans="1:24" x14ac:dyDescent="0.25">
      <c r="A1157" s="37" t="s">
        <v>836</v>
      </c>
      <c r="B1157" s="3" t="str">
        <f>RTD("ice.rtd",,$C1157 &amp; $D1157 &amp; ":" &amp; B$1)</f>
        <v>MFT</v>
      </c>
      <c r="C1157" s="3">
        <v>2427026287</v>
      </c>
      <c r="D1157" t="s">
        <v>797</v>
      </c>
      <c r="E1157" s="3" t="str">
        <f>RTD("ice.rtd",,$C1157 &amp; $D1157 &amp; ":" &amp; E$1)</f>
        <v>May27</v>
      </c>
      <c r="F1157" s="3" t="str">
        <f>ICE[[#This Row],[Prod]]&amp;ICE[[#This Row],[Strip]]</f>
        <v>fo05singbrxbblMay27</v>
      </c>
      <c r="G1157" s="18" t="str">
        <f>RTD("ice.rtd",,$C1157 &amp; $D1157 &amp; ":" &amp; G$1)</f>
        <v/>
      </c>
      <c r="H1157" s="18" t="str">
        <f>RTD("ice.rtd",,$C1157 &amp; $D1157 &amp; ":" &amp; H$1)</f>
        <v/>
      </c>
      <c r="I1157" s="18" t="str">
        <f>RTD("ice.rtd",,$C1157 &amp; $D1157 &amp; ":" &amp; I$1)</f>
        <v/>
      </c>
      <c r="J1157" s="14" t="str">
        <f>IFERROR(MOD(RTD("ice.rtd",,$C1157 &amp; $D1157 &amp; ":" &amp; J$1), 1), "")</f>
        <v/>
      </c>
      <c r="K1157" s="18" t="str">
        <f>RTD("ice.rtd",,$C1157 &amp; $D1157 &amp; ":" &amp; K$1)</f>
        <v/>
      </c>
      <c r="L1157" s="36" t="str">
        <f>RTD("ice.rtd",,$C1157 &amp; $D1157 &amp; ":" &amp; L$1)</f>
        <v/>
      </c>
      <c r="M1157" s="14" t="str">
        <f>IFERROR(MOD(TIMEVALUE(RTD("ice.rtd",,$C1157 &amp; $D1157 &amp; ":" &amp; M$1)), 1), "")</f>
        <v/>
      </c>
      <c r="N1157" s="36">
        <f>RTD("ice.rtd",,$C1157 &amp; $D1157 &amp; ":" &amp; N$1)</f>
        <v>0</v>
      </c>
      <c r="O1157" s="36">
        <f>RTD("ice.rtd",,$C1157 &amp; $D1157 &amp; ":" &amp; O$1)</f>
        <v>0</v>
      </c>
      <c r="P11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7" s="14" t="str">
        <f>IF(ICE[[#This Row],[LastType]] = "Scrn", ICE[[#This Row],[LstDate]], IF(ICE[[#This Row],[LastType]] = "Blk", ICE[[#This Row],[LstBlkTime]], ""))</f>
        <v/>
      </c>
      <c r="R1157" s="41" t="str">
        <f>IF(ICE[[#This Row],[LastType]] = "Scrn", ICE[[#This Row],[LstPrc]], IF(ICE[[#This Row],[LastType]] = "Blk", ICE[[#This Row],[LstBlkPrc]], ""))</f>
        <v/>
      </c>
      <c r="S1157" s="36">
        <f>ICE[[#This Row],[Vol]]+ICE[[#This Row],[BlkVol]]</f>
        <v>0</v>
      </c>
      <c r="T1157" s="36">
        <f>RTD("ice.rtd",,$C1157 &amp; $D1157 &amp; ":" &amp; T$1)</f>
        <v>606</v>
      </c>
      <c r="U1157" s="18">
        <f>RTD("ice.rtd",,$C1157 &amp; $D1157 &amp; ":" &amp; U$1)</f>
        <v>14.880600000000001</v>
      </c>
      <c r="V11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7" s="18" t="str">
        <f>IFERROR(IF(LEFT(ICE[[#This Row],[Tenor]], 1) = "B", RTD("esrtd",,$B1157 &amp; " " &amp; ICE[[#This Row],[Tenor]] &amp; "-IEU", W$1), RTD("esrtd",,$B1157 &amp; " " &amp; VLOOKUP(MONTH(ICE[[#This Row],[Strip]]), MthRef[], 2, 0) &amp; RIGHT(YEAR(ICE[[#This Row],[Strip]]), 2) &amp; "-IEU", W$1)), "")</f>
        <v/>
      </c>
      <c r="X1157" s="36"/>
    </row>
    <row r="1158" spans="1:24" x14ac:dyDescent="0.25">
      <c r="A1158" s="37" t="s">
        <v>836</v>
      </c>
      <c r="B1158" s="3" t="str">
        <f>RTD("ice.rtd",,$C1158 &amp; $D1158 &amp; ":" &amp; B$1)</f>
        <v>MFT</v>
      </c>
      <c r="C1158" s="3">
        <v>2427026287</v>
      </c>
      <c r="D1158" t="s">
        <v>798</v>
      </c>
      <c r="E1158" s="3" t="str">
        <f>RTD("ice.rtd",,$C1158 &amp; $D1158 &amp; ":" &amp; E$1)</f>
        <v>Jun27</v>
      </c>
      <c r="F1158" s="3" t="str">
        <f>ICE[[#This Row],[Prod]]&amp;ICE[[#This Row],[Strip]]</f>
        <v>fo05singbrxbblJun27</v>
      </c>
      <c r="G1158" s="18" t="str">
        <f>RTD("ice.rtd",,$C1158 &amp; $D1158 &amp; ":" &amp; G$1)</f>
        <v/>
      </c>
      <c r="H1158" s="18" t="str">
        <f>RTD("ice.rtd",,$C1158 &amp; $D1158 &amp; ":" &amp; H$1)</f>
        <v/>
      </c>
      <c r="I1158" s="18" t="str">
        <f>RTD("ice.rtd",,$C1158 &amp; $D1158 &amp; ":" &amp; I$1)</f>
        <v/>
      </c>
      <c r="J1158" s="14" t="str">
        <f>IFERROR(MOD(RTD("ice.rtd",,$C1158 &amp; $D1158 &amp; ":" &amp; J$1), 1), "")</f>
        <v/>
      </c>
      <c r="K1158" s="18" t="str">
        <f>RTD("ice.rtd",,$C1158 &amp; $D1158 &amp; ":" &amp; K$1)</f>
        <v/>
      </c>
      <c r="L1158" s="36" t="str">
        <f>RTD("ice.rtd",,$C1158 &amp; $D1158 &amp; ":" &amp; L$1)</f>
        <v/>
      </c>
      <c r="M1158" s="14" t="str">
        <f>IFERROR(MOD(TIMEVALUE(RTD("ice.rtd",,$C1158 &amp; $D1158 &amp; ":" &amp; M$1)), 1), "")</f>
        <v/>
      </c>
      <c r="N1158" s="36">
        <f>RTD("ice.rtd",,$C1158 &amp; $D1158 &amp; ":" &amp; N$1)</f>
        <v>0</v>
      </c>
      <c r="O1158" s="36">
        <f>RTD("ice.rtd",,$C1158 &amp; $D1158 &amp; ":" &amp; O$1)</f>
        <v>0</v>
      </c>
      <c r="P11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8" s="14" t="str">
        <f>IF(ICE[[#This Row],[LastType]] = "Scrn", ICE[[#This Row],[LstDate]], IF(ICE[[#This Row],[LastType]] = "Blk", ICE[[#This Row],[LstBlkTime]], ""))</f>
        <v/>
      </c>
      <c r="R1158" s="41" t="str">
        <f>IF(ICE[[#This Row],[LastType]] = "Scrn", ICE[[#This Row],[LstPrc]], IF(ICE[[#This Row],[LastType]] = "Blk", ICE[[#This Row],[LstBlkPrc]], ""))</f>
        <v/>
      </c>
      <c r="S1158" s="36">
        <f>ICE[[#This Row],[Vol]]+ICE[[#This Row],[BlkVol]]</f>
        <v>0</v>
      </c>
      <c r="T1158" s="36">
        <f>RTD("ice.rtd",,$C1158 &amp; $D1158 &amp; ":" &amp; T$1)</f>
        <v>610</v>
      </c>
      <c r="U1158" s="18">
        <f>RTD("ice.rtd",,$C1158 &amp; $D1158 &amp; ":" &amp; U$1)</f>
        <v>14.605700000000001</v>
      </c>
      <c r="V11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8" s="18" t="str">
        <f>IFERROR(IF(LEFT(ICE[[#This Row],[Tenor]], 1) = "B", RTD("esrtd",,$B1158 &amp; " " &amp; ICE[[#This Row],[Tenor]] &amp; "-IEU", W$1), RTD("esrtd",,$B1158 &amp; " " &amp; VLOOKUP(MONTH(ICE[[#This Row],[Strip]]), MthRef[], 2, 0) &amp; RIGHT(YEAR(ICE[[#This Row],[Strip]]), 2) &amp; "-IEU", W$1)), "")</f>
        <v/>
      </c>
      <c r="X1158" s="36"/>
    </row>
    <row r="1159" spans="1:24" x14ac:dyDescent="0.25">
      <c r="A1159" s="37" t="s">
        <v>836</v>
      </c>
      <c r="B1159" s="3" t="str">
        <f>RTD("ice.rtd",,$C1159 &amp; $D1159 &amp; ":" &amp; B$1)</f>
        <v>MFT</v>
      </c>
      <c r="C1159" s="3">
        <v>2427026287</v>
      </c>
      <c r="D1159" t="s">
        <v>799</v>
      </c>
      <c r="E1159" s="3" t="str">
        <f>RTD("ice.rtd",,$C1159 &amp; $D1159 &amp; ":" &amp; E$1)</f>
        <v>Jul27</v>
      </c>
      <c r="F1159" s="3" t="str">
        <f>ICE[[#This Row],[Prod]]&amp;ICE[[#This Row],[Strip]]</f>
        <v>fo05singbrxbblJul27</v>
      </c>
      <c r="G1159" s="18" t="str">
        <f>RTD("ice.rtd",,$C1159 &amp; $D1159 &amp; ":" &amp; G$1)</f>
        <v/>
      </c>
      <c r="H1159" s="18" t="str">
        <f>RTD("ice.rtd",,$C1159 &amp; $D1159 &amp; ":" &amp; H$1)</f>
        <v/>
      </c>
      <c r="I1159" s="18" t="str">
        <f>RTD("ice.rtd",,$C1159 &amp; $D1159 &amp; ":" &amp; I$1)</f>
        <v/>
      </c>
      <c r="J1159" s="14" t="str">
        <f>IFERROR(MOD(RTD("ice.rtd",,$C1159 &amp; $D1159 &amp; ":" &amp; J$1), 1), "")</f>
        <v/>
      </c>
      <c r="K1159" s="18" t="str">
        <f>RTD("ice.rtd",,$C1159 &amp; $D1159 &amp; ":" &amp; K$1)</f>
        <v/>
      </c>
      <c r="L1159" s="36" t="str">
        <f>RTD("ice.rtd",,$C1159 &amp; $D1159 &amp; ":" &amp; L$1)</f>
        <v/>
      </c>
      <c r="M1159" s="14" t="str">
        <f>IFERROR(MOD(TIMEVALUE(RTD("ice.rtd",,$C1159 &amp; $D1159 &amp; ":" &amp; M$1)), 1), "")</f>
        <v/>
      </c>
      <c r="N1159" s="36">
        <f>RTD("ice.rtd",,$C1159 &amp; $D1159 &amp; ":" &amp; N$1)</f>
        <v>0</v>
      </c>
      <c r="O1159" s="36">
        <f>RTD("ice.rtd",,$C1159 &amp; $D1159 &amp; ":" &amp; O$1)</f>
        <v>0</v>
      </c>
      <c r="P11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59" s="14" t="str">
        <f>IF(ICE[[#This Row],[LastType]] = "Scrn", ICE[[#This Row],[LstDate]], IF(ICE[[#This Row],[LastType]] = "Blk", ICE[[#This Row],[LstBlkTime]], ""))</f>
        <v/>
      </c>
      <c r="R1159" s="41" t="str">
        <f>IF(ICE[[#This Row],[LastType]] = "Scrn", ICE[[#This Row],[LstPrc]], IF(ICE[[#This Row],[LastType]] = "Blk", ICE[[#This Row],[LstBlkPrc]], ""))</f>
        <v/>
      </c>
      <c r="S1159" s="36">
        <f>ICE[[#This Row],[Vol]]+ICE[[#This Row],[BlkVol]]</f>
        <v>0</v>
      </c>
      <c r="T1159" s="36">
        <f>RTD("ice.rtd",,$C1159 &amp; $D1159 &amp; ":" &amp; T$1)</f>
        <v>312</v>
      </c>
      <c r="U1159" s="18">
        <f>RTD("ice.rtd",,$C1159 &amp; $D1159 &amp; ":" &amp; U$1)</f>
        <v>14.395900000000001</v>
      </c>
      <c r="V11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59" s="18" t="str">
        <f>IFERROR(IF(LEFT(ICE[[#This Row],[Tenor]], 1) = "B", RTD("esrtd",,$B1159 &amp; " " &amp; ICE[[#This Row],[Tenor]] &amp; "-IEU", W$1), RTD("esrtd",,$B1159 &amp; " " &amp; VLOOKUP(MONTH(ICE[[#This Row],[Strip]]), MthRef[], 2, 0) &amp; RIGHT(YEAR(ICE[[#This Row],[Strip]]), 2) &amp; "-IEU", W$1)), "")</f>
        <v/>
      </c>
      <c r="X1159" s="36"/>
    </row>
    <row r="1160" spans="1:24" x14ac:dyDescent="0.25">
      <c r="A1160" s="37" t="s">
        <v>836</v>
      </c>
      <c r="B1160" s="3" t="str">
        <f>RTD("ice.rtd",,$C1160 &amp; $D1160 &amp; ":" &amp; B$1)</f>
        <v>MFT</v>
      </c>
      <c r="C1160" s="3">
        <v>2427026287</v>
      </c>
      <c r="D1160" t="s">
        <v>800</v>
      </c>
      <c r="E1160" s="3" t="str">
        <f>RTD("ice.rtd",,$C1160 &amp; $D1160 &amp; ":" &amp; E$1)</f>
        <v>Aug27</v>
      </c>
      <c r="F1160" s="3" t="str">
        <f>ICE[[#This Row],[Prod]]&amp;ICE[[#This Row],[Strip]]</f>
        <v>fo05singbrxbblAug27</v>
      </c>
      <c r="G1160" s="18" t="str">
        <f>RTD("ice.rtd",,$C1160 &amp; $D1160 &amp; ":" &amp; G$1)</f>
        <v/>
      </c>
      <c r="H1160" s="18" t="str">
        <f>RTD("ice.rtd",,$C1160 &amp; $D1160 &amp; ":" &amp; H$1)</f>
        <v/>
      </c>
      <c r="I1160" s="18" t="str">
        <f>RTD("ice.rtd",,$C1160 &amp; $D1160 &amp; ":" &amp; I$1)</f>
        <v/>
      </c>
      <c r="J1160" s="14" t="str">
        <f>IFERROR(MOD(RTD("ice.rtd",,$C1160 &amp; $D1160 &amp; ":" &amp; J$1), 1), "")</f>
        <v/>
      </c>
      <c r="K1160" s="18" t="str">
        <f>RTD("ice.rtd",,$C1160 &amp; $D1160 &amp; ":" &amp; K$1)</f>
        <v/>
      </c>
      <c r="L1160" s="36" t="str">
        <f>RTD("ice.rtd",,$C1160 &amp; $D1160 &amp; ":" &amp; L$1)</f>
        <v/>
      </c>
      <c r="M1160" s="14" t="str">
        <f>IFERROR(MOD(TIMEVALUE(RTD("ice.rtd",,$C1160 &amp; $D1160 &amp; ":" &amp; M$1)), 1), "")</f>
        <v/>
      </c>
      <c r="N1160" s="36">
        <f>RTD("ice.rtd",,$C1160 &amp; $D1160 &amp; ":" &amp; N$1)</f>
        <v>0</v>
      </c>
      <c r="O1160" s="36">
        <f>RTD("ice.rtd",,$C1160 &amp; $D1160 &amp; ":" &amp; O$1)</f>
        <v>0</v>
      </c>
      <c r="P11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0" s="14" t="str">
        <f>IF(ICE[[#This Row],[LastType]] = "Scrn", ICE[[#This Row],[LstDate]], IF(ICE[[#This Row],[LastType]] = "Blk", ICE[[#This Row],[LstBlkTime]], ""))</f>
        <v/>
      </c>
      <c r="R1160" s="41" t="str">
        <f>IF(ICE[[#This Row],[LastType]] = "Scrn", ICE[[#This Row],[LstPrc]], IF(ICE[[#This Row],[LastType]] = "Blk", ICE[[#This Row],[LstBlkPrc]], ""))</f>
        <v/>
      </c>
      <c r="S1160" s="36">
        <f>ICE[[#This Row],[Vol]]+ICE[[#This Row],[BlkVol]]</f>
        <v>0</v>
      </c>
      <c r="T1160" s="36">
        <f>RTD("ice.rtd",,$C1160 &amp; $D1160 &amp; ":" &amp; T$1)</f>
        <v>312</v>
      </c>
      <c r="U1160" s="18">
        <f>RTD("ice.rtd",,$C1160 &amp; $D1160 &amp; ":" &amp; U$1)</f>
        <v>14.1455</v>
      </c>
      <c r="V11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0" s="18" t="str">
        <f>IFERROR(IF(LEFT(ICE[[#This Row],[Tenor]], 1) = "B", RTD("esrtd",,$B1160 &amp; " " &amp; ICE[[#This Row],[Tenor]] &amp; "-IEU", W$1), RTD("esrtd",,$B1160 &amp; " " &amp; VLOOKUP(MONTH(ICE[[#This Row],[Strip]]), MthRef[], 2, 0) &amp; RIGHT(YEAR(ICE[[#This Row],[Strip]]), 2) &amp; "-IEU", W$1)), "")</f>
        <v/>
      </c>
      <c r="X1160" s="36"/>
    </row>
    <row r="1161" spans="1:24" x14ac:dyDescent="0.25">
      <c r="A1161" s="37" t="s">
        <v>836</v>
      </c>
      <c r="B1161" s="3" t="str">
        <f>RTD("ice.rtd",,$C1161 &amp; $D1161 &amp; ":" &amp; B$1)</f>
        <v>MFT</v>
      </c>
      <c r="C1161" s="3">
        <v>2427026287</v>
      </c>
      <c r="D1161" t="s">
        <v>801</v>
      </c>
      <c r="E1161" s="3" t="str">
        <f>RTD("ice.rtd",,$C1161 &amp; $D1161 &amp; ":" &amp; E$1)</f>
        <v>Sep27</v>
      </c>
      <c r="F1161" s="3" t="str">
        <f>ICE[[#This Row],[Prod]]&amp;ICE[[#This Row],[Strip]]</f>
        <v>fo05singbrxbblSep27</v>
      </c>
      <c r="G1161" s="18" t="str">
        <f>RTD("ice.rtd",,$C1161 &amp; $D1161 &amp; ":" &amp; G$1)</f>
        <v/>
      </c>
      <c r="H1161" s="18" t="str">
        <f>RTD("ice.rtd",,$C1161 &amp; $D1161 &amp; ":" &amp; H$1)</f>
        <v/>
      </c>
      <c r="I1161" s="18" t="str">
        <f>RTD("ice.rtd",,$C1161 &amp; $D1161 &amp; ":" &amp; I$1)</f>
        <v/>
      </c>
      <c r="J1161" s="14" t="str">
        <f>IFERROR(MOD(RTD("ice.rtd",,$C1161 &amp; $D1161 &amp; ":" &amp; J$1), 1), "")</f>
        <v/>
      </c>
      <c r="K1161" s="18" t="str">
        <f>RTD("ice.rtd",,$C1161 &amp; $D1161 &amp; ":" &amp; K$1)</f>
        <v/>
      </c>
      <c r="L1161" s="36" t="str">
        <f>RTD("ice.rtd",,$C1161 &amp; $D1161 &amp; ":" &amp; L$1)</f>
        <v/>
      </c>
      <c r="M1161" s="14" t="str">
        <f>IFERROR(MOD(TIMEVALUE(RTD("ice.rtd",,$C1161 &amp; $D1161 &amp; ":" &amp; M$1)), 1), "")</f>
        <v/>
      </c>
      <c r="N1161" s="36">
        <f>RTD("ice.rtd",,$C1161 &amp; $D1161 &amp; ":" &amp; N$1)</f>
        <v>0</v>
      </c>
      <c r="O1161" s="36">
        <f>RTD("ice.rtd",,$C1161 &amp; $D1161 &amp; ":" &amp; O$1)</f>
        <v>0</v>
      </c>
      <c r="P11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1" s="14" t="str">
        <f>IF(ICE[[#This Row],[LastType]] = "Scrn", ICE[[#This Row],[LstDate]], IF(ICE[[#This Row],[LastType]] = "Blk", ICE[[#This Row],[LstBlkTime]], ""))</f>
        <v/>
      </c>
      <c r="R1161" s="41" t="str">
        <f>IF(ICE[[#This Row],[LastType]] = "Scrn", ICE[[#This Row],[LstPrc]], IF(ICE[[#This Row],[LastType]] = "Blk", ICE[[#This Row],[LstBlkPrc]], ""))</f>
        <v/>
      </c>
      <c r="S1161" s="36">
        <f>ICE[[#This Row],[Vol]]+ICE[[#This Row],[BlkVol]]</f>
        <v>0</v>
      </c>
      <c r="T1161" s="36">
        <f>RTD("ice.rtd",,$C1161 &amp; $D1161 &amp; ":" &amp; T$1)</f>
        <v>312</v>
      </c>
      <c r="U1161" s="18">
        <f>RTD("ice.rtd",,$C1161 &amp; $D1161 &amp; ":" &amp; U$1)</f>
        <v>13.875500000000001</v>
      </c>
      <c r="V11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1" s="18" t="str">
        <f>IFERROR(IF(LEFT(ICE[[#This Row],[Tenor]], 1) = "B", RTD("esrtd",,$B1161 &amp; " " &amp; ICE[[#This Row],[Tenor]] &amp; "-IEU", W$1), RTD("esrtd",,$B1161 &amp; " " &amp; VLOOKUP(MONTH(ICE[[#This Row],[Strip]]), MthRef[], 2, 0) &amp; RIGHT(YEAR(ICE[[#This Row],[Strip]]), 2) &amp; "-IEU", W$1)), "")</f>
        <v/>
      </c>
      <c r="X1161" s="36"/>
    </row>
    <row r="1162" spans="1:24" x14ac:dyDescent="0.25">
      <c r="A1162" s="37" t="s">
        <v>836</v>
      </c>
      <c r="B1162" s="3" t="str">
        <f>RTD("ice.rtd",,$C1162 &amp; $D1162 &amp; ":" &amp; B$1)</f>
        <v>MFT</v>
      </c>
      <c r="C1162" s="3">
        <v>2427026287</v>
      </c>
      <c r="D1162" t="s">
        <v>802</v>
      </c>
      <c r="E1162" s="3" t="str">
        <f>RTD("ice.rtd",,$C1162 &amp; $D1162 &amp; ":" &amp; E$1)</f>
        <v>Oct27</v>
      </c>
      <c r="F1162" s="3" t="str">
        <f>ICE[[#This Row],[Prod]]&amp;ICE[[#This Row],[Strip]]</f>
        <v>fo05singbrxbblOct27</v>
      </c>
      <c r="G1162" s="18" t="str">
        <f>RTD("ice.rtd",,$C1162 &amp; $D1162 &amp; ":" &amp; G$1)</f>
        <v/>
      </c>
      <c r="H1162" s="18" t="str">
        <f>RTD("ice.rtd",,$C1162 &amp; $D1162 &amp; ":" &amp; H$1)</f>
        <v/>
      </c>
      <c r="I1162" s="18" t="str">
        <f>RTD("ice.rtd",,$C1162 &amp; $D1162 &amp; ":" &amp; I$1)</f>
        <v/>
      </c>
      <c r="J1162" s="14" t="str">
        <f>IFERROR(MOD(RTD("ice.rtd",,$C1162 &amp; $D1162 &amp; ":" &amp; J$1), 1), "")</f>
        <v/>
      </c>
      <c r="K1162" s="18" t="str">
        <f>RTD("ice.rtd",,$C1162 &amp; $D1162 &amp; ":" &amp; K$1)</f>
        <v/>
      </c>
      <c r="L1162" s="36" t="str">
        <f>RTD("ice.rtd",,$C1162 &amp; $D1162 &amp; ":" &amp; L$1)</f>
        <v/>
      </c>
      <c r="M1162" s="14" t="str">
        <f>IFERROR(MOD(TIMEVALUE(RTD("ice.rtd",,$C1162 &amp; $D1162 &amp; ":" &amp; M$1)), 1), "")</f>
        <v/>
      </c>
      <c r="N1162" s="36">
        <f>RTD("ice.rtd",,$C1162 &amp; $D1162 &amp; ":" &amp; N$1)</f>
        <v>0</v>
      </c>
      <c r="O1162" s="36">
        <f>RTD("ice.rtd",,$C1162 &amp; $D1162 &amp; ":" &amp; O$1)</f>
        <v>0</v>
      </c>
      <c r="P11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2" s="14" t="str">
        <f>IF(ICE[[#This Row],[LastType]] = "Scrn", ICE[[#This Row],[LstDate]], IF(ICE[[#This Row],[LastType]] = "Blk", ICE[[#This Row],[LstBlkTime]], ""))</f>
        <v/>
      </c>
      <c r="R1162" s="41" t="str">
        <f>IF(ICE[[#This Row],[LastType]] = "Scrn", ICE[[#This Row],[LstPrc]], IF(ICE[[#This Row],[LastType]] = "Blk", ICE[[#This Row],[LstBlkPrc]], ""))</f>
        <v/>
      </c>
      <c r="S1162" s="36">
        <f>ICE[[#This Row],[Vol]]+ICE[[#This Row],[BlkVol]]</f>
        <v>0</v>
      </c>
      <c r="T1162" s="36">
        <f>RTD("ice.rtd",,$C1162 &amp; $D1162 &amp; ":" &amp; T$1)</f>
        <v>311</v>
      </c>
      <c r="U1162" s="18">
        <f>RTD("ice.rtd",,$C1162 &amp; $D1162 &amp; ":" &amp; U$1)</f>
        <v>13.606900000000001</v>
      </c>
      <c r="V11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2" s="18" t="str">
        <f>IFERROR(IF(LEFT(ICE[[#This Row],[Tenor]], 1) = "B", RTD("esrtd",,$B1162 &amp; " " &amp; ICE[[#This Row],[Tenor]] &amp; "-IEU", W$1), RTD("esrtd",,$B1162 &amp; " " &amp; VLOOKUP(MONTH(ICE[[#This Row],[Strip]]), MthRef[], 2, 0) &amp; RIGHT(YEAR(ICE[[#This Row],[Strip]]), 2) &amp; "-IEU", W$1)), "")</f>
        <v/>
      </c>
      <c r="X1162" s="36"/>
    </row>
    <row r="1163" spans="1:24" x14ac:dyDescent="0.25">
      <c r="A1163" s="37" t="s">
        <v>836</v>
      </c>
      <c r="B1163" s="3" t="str">
        <f>RTD("ice.rtd",,$C1163 &amp; $D1163 &amp; ":" &amp; B$1)</f>
        <v>MFT</v>
      </c>
      <c r="C1163" s="3">
        <v>2427026287</v>
      </c>
      <c r="D1163" t="s">
        <v>803</v>
      </c>
      <c r="E1163" s="3" t="str">
        <f>RTD("ice.rtd",,$C1163 &amp; $D1163 &amp; ":" &amp; E$1)</f>
        <v>Nov27</v>
      </c>
      <c r="F1163" s="3" t="str">
        <f>ICE[[#This Row],[Prod]]&amp;ICE[[#This Row],[Strip]]</f>
        <v>fo05singbrxbblNov27</v>
      </c>
      <c r="G1163" s="18" t="str">
        <f>RTD("ice.rtd",,$C1163 &amp; $D1163 &amp; ":" &amp; G$1)</f>
        <v/>
      </c>
      <c r="H1163" s="18" t="str">
        <f>RTD("ice.rtd",,$C1163 &amp; $D1163 &amp; ":" &amp; H$1)</f>
        <v/>
      </c>
      <c r="I1163" s="18" t="str">
        <f>RTD("ice.rtd",,$C1163 &amp; $D1163 &amp; ":" &amp; I$1)</f>
        <v/>
      </c>
      <c r="J1163" s="14" t="str">
        <f>IFERROR(MOD(RTD("ice.rtd",,$C1163 &amp; $D1163 &amp; ":" &amp; J$1), 1), "")</f>
        <v/>
      </c>
      <c r="K1163" s="18" t="str">
        <f>RTD("ice.rtd",,$C1163 &amp; $D1163 &amp; ":" &amp; K$1)</f>
        <v/>
      </c>
      <c r="L1163" s="36" t="str">
        <f>RTD("ice.rtd",,$C1163 &amp; $D1163 &amp; ":" &amp; L$1)</f>
        <v/>
      </c>
      <c r="M1163" s="14" t="str">
        <f>IFERROR(MOD(TIMEVALUE(RTD("ice.rtd",,$C1163 &amp; $D1163 &amp; ":" &amp; M$1)), 1), "")</f>
        <v/>
      </c>
      <c r="N1163" s="36">
        <f>RTD("ice.rtd",,$C1163 &amp; $D1163 &amp; ":" &amp; N$1)</f>
        <v>0</v>
      </c>
      <c r="O1163" s="36">
        <f>RTD("ice.rtd",,$C1163 &amp; $D1163 &amp; ":" &amp; O$1)</f>
        <v>0</v>
      </c>
      <c r="P11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3" s="14" t="str">
        <f>IF(ICE[[#This Row],[LastType]] = "Scrn", ICE[[#This Row],[LstDate]], IF(ICE[[#This Row],[LastType]] = "Blk", ICE[[#This Row],[LstBlkTime]], ""))</f>
        <v/>
      </c>
      <c r="R1163" s="41" t="str">
        <f>IF(ICE[[#This Row],[LastType]] = "Scrn", ICE[[#This Row],[LstPrc]], IF(ICE[[#This Row],[LastType]] = "Blk", ICE[[#This Row],[LstBlkPrc]], ""))</f>
        <v/>
      </c>
      <c r="S1163" s="36">
        <f>ICE[[#This Row],[Vol]]+ICE[[#This Row],[BlkVol]]</f>
        <v>0</v>
      </c>
      <c r="T1163" s="36">
        <f>RTD("ice.rtd",,$C1163 &amp; $D1163 &amp; ":" &amp; T$1)</f>
        <v>311</v>
      </c>
      <c r="U1163" s="18">
        <f>RTD("ice.rtd",,$C1163 &amp; $D1163 &amp; ":" &amp; U$1)</f>
        <v>13.3162</v>
      </c>
      <c r="V11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3" s="18" t="str">
        <f>IFERROR(IF(LEFT(ICE[[#This Row],[Tenor]], 1) = "B", RTD("esrtd",,$B1163 &amp; " " &amp; ICE[[#This Row],[Tenor]] &amp; "-IEU", W$1), RTD("esrtd",,$B1163 &amp; " " &amp; VLOOKUP(MONTH(ICE[[#This Row],[Strip]]), MthRef[], 2, 0) &amp; RIGHT(YEAR(ICE[[#This Row],[Strip]]), 2) &amp; "-IEU", W$1)), "")</f>
        <v/>
      </c>
      <c r="X1163" s="36"/>
    </row>
    <row r="1164" spans="1:24" x14ac:dyDescent="0.25">
      <c r="A1164" s="37" t="s">
        <v>836</v>
      </c>
      <c r="B1164" s="3" t="str">
        <f>RTD("ice.rtd",,$C1164 &amp; $D1164 &amp; ":" &amp; B$1)</f>
        <v>MFT</v>
      </c>
      <c r="C1164" s="3">
        <v>2427026287</v>
      </c>
      <c r="D1164" t="s">
        <v>804</v>
      </c>
      <c r="E1164" s="3" t="str">
        <f>RTD("ice.rtd",,$C1164 &amp; $D1164 &amp; ":" &amp; E$1)</f>
        <v>Dec27</v>
      </c>
      <c r="F1164" s="3" t="str">
        <f>ICE[[#This Row],[Prod]]&amp;ICE[[#This Row],[Strip]]</f>
        <v>fo05singbrxbblDec27</v>
      </c>
      <c r="G1164" s="18" t="str">
        <f>RTD("ice.rtd",,$C1164 &amp; $D1164 &amp; ":" &amp; G$1)</f>
        <v/>
      </c>
      <c r="H1164" s="18" t="str">
        <f>RTD("ice.rtd",,$C1164 &amp; $D1164 &amp; ":" &amp; H$1)</f>
        <v/>
      </c>
      <c r="I1164" s="18" t="str">
        <f>RTD("ice.rtd",,$C1164 &amp; $D1164 &amp; ":" &amp; I$1)</f>
        <v/>
      </c>
      <c r="J1164" s="14" t="str">
        <f>IFERROR(MOD(RTD("ice.rtd",,$C1164 &amp; $D1164 &amp; ":" &amp; J$1), 1), "")</f>
        <v/>
      </c>
      <c r="K1164" s="18" t="str">
        <f>RTD("ice.rtd",,$C1164 &amp; $D1164 &amp; ":" &amp; K$1)</f>
        <v/>
      </c>
      <c r="L1164" s="36" t="str">
        <f>RTD("ice.rtd",,$C1164 &amp; $D1164 &amp; ":" &amp; L$1)</f>
        <v/>
      </c>
      <c r="M1164" s="14" t="str">
        <f>IFERROR(MOD(TIMEVALUE(RTD("ice.rtd",,$C1164 &amp; $D1164 &amp; ":" &amp; M$1)), 1), "")</f>
        <v/>
      </c>
      <c r="N1164" s="36">
        <f>RTD("ice.rtd",,$C1164 &amp; $D1164 &amp; ":" &amp; N$1)</f>
        <v>0</v>
      </c>
      <c r="O1164" s="36">
        <f>RTD("ice.rtd",,$C1164 &amp; $D1164 &amp; ":" &amp; O$1)</f>
        <v>0</v>
      </c>
      <c r="P11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4" s="14" t="str">
        <f>IF(ICE[[#This Row],[LastType]] = "Scrn", ICE[[#This Row],[LstDate]], IF(ICE[[#This Row],[LastType]] = "Blk", ICE[[#This Row],[LstBlkTime]], ""))</f>
        <v/>
      </c>
      <c r="R1164" s="41" t="str">
        <f>IF(ICE[[#This Row],[LastType]] = "Scrn", ICE[[#This Row],[LstPrc]], IF(ICE[[#This Row],[LastType]] = "Blk", ICE[[#This Row],[LstBlkPrc]], ""))</f>
        <v/>
      </c>
      <c r="S1164" s="36">
        <f>ICE[[#This Row],[Vol]]+ICE[[#This Row],[BlkVol]]</f>
        <v>0</v>
      </c>
      <c r="T1164" s="36">
        <f>RTD("ice.rtd",,$C1164 &amp; $D1164 &amp; ":" &amp; T$1)</f>
        <v>311</v>
      </c>
      <c r="U1164" s="18">
        <f>RTD("ice.rtd",,$C1164 &amp; $D1164 &amp; ":" &amp; U$1)</f>
        <v>13.009500000000001</v>
      </c>
      <c r="V11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4" s="18" t="str">
        <f>IFERROR(IF(LEFT(ICE[[#This Row],[Tenor]], 1) = "B", RTD("esrtd",,$B1164 &amp; " " &amp; ICE[[#This Row],[Tenor]] &amp; "-IEU", W$1), RTD("esrtd",,$B1164 &amp; " " &amp; VLOOKUP(MONTH(ICE[[#This Row],[Strip]]), MthRef[], 2, 0) &amp; RIGHT(YEAR(ICE[[#This Row],[Strip]]), 2) &amp; "-IEU", W$1)), "")</f>
        <v/>
      </c>
      <c r="X1164" s="36"/>
    </row>
    <row r="1165" spans="1:24" x14ac:dyDescent="0.25">
      <c r="A1165" s="37" t="s">
        <v>836</v>
      </c>
      <c r="B1165" s="3" t="str">
        <f>RTD("ice.rtd",,$C1165 &amp; $D1165 &amp; ":" &amp; B$1)</f>
        <v>MFT</v>
      </c>
      <c r="C1165" s="3">
        <v>2427026287</v>
      </c>
      <c r="D1165" t="s">
        <v>805</v>
      </c>
      <c r="E1165" s="3" t="str">
        <f>RTD("ice.rtd",,$C1165 &amp; $D1165 &amp; ":" &amp; E$1)</f>
        <v>Jan28</v>
      </c>
      <c r="F1165" s="3" t="str">
        <f>ICE[[#This Row],[Prod]]&amp;ICE[[#This Row],[Strip]]</f>
        <v>fo05singbrxbblJan28</v>
      </c>
      <c r="G1165" s="18" t="str">
        <f>RTD("ice.rtd",,$C1165 &amp; $D1165 &amp; ":" &amp; G$1)</f>
        <v/>
      </c>
      <c r="H1165" s="18" t="str">
        <f>RTD("ice.rtd",,$C1165 &amp; $D1165 &amp; ":" &amp; H$1)</f>
        <v/>
      </c>
      <c r="I1165" s="18" t="str">
        <f>RTD("ice.rtd",,$C1165 &amp; $D1165 &amp; ":" &amp; I$1)</f>
        <v/>
      </c>
      <c r="J1165" s="14" t="str">
        <f>IFERROR(MOD(RTD("ice.rtd",,$C1165 &amp; $D1165 &amp; ":" &amp; J$1), 1), "")</f>
        <v/>
      </c>
      <c r="K1165" s="18" t="str">
        <f>RTD("ice.rtd",,$C1165 &amp; $D1165 &amp; ":" &amp; K$1)</f>
        <v/>
      </c>
      <c r="L1165" s="36" t="str">
        <f>RTD("ice.rtd",,$C1165 &amp; $D1165 &amp; ":" &amp; L$1)</f>
        <v/>
      </c>
      <c r="M1165" s="14" t="str">
        <f>IFERROR(MOD(TIMEVALUE(RTD("ice.rtd",,$C1165 &amp; $D1165 &amp; ":" &amp; M$1)), 1), "")</f>
        <v/>
      </c>
      <c r="N1165" s="36">
        <f>RTD("ice.rtd",,$C1165 &amp; $D1165 &amp; ":" &amp; N$1)</f>
        <v>0</v>
      </c>
      <c r="O1165" s="36">
        <f>RTD("ice.rtd",,$C1165 &amp; $D1165 &amp; ":" &amp; O$1)</f>
        <v>0</v>
      </c>
      <c r="P11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5" s="14" t="str">
        <f>IF(ICE[[#This Row],[LastType]] = "Scrn", ICE[[#This Row],[LstDate]], IF(ICE[[#This Row],[LastType]] = "Blk", ICE[[#This Row],[LstBlkTime]], ""))</f>
        <v/>
      </c>
      <c r="R1165" s="41" t="str">
        <f>IF(ICE[[#This Row],[LastType]] = "Scrn", ICE[[#This Row],[LstPrc]], IF(ICE[[#This Row],[LastType]] = "Blk", ICE[[#This Row],[LstBlkPrc]], ""))</f>
        <v/>
      </c>
      <c r="S1165" s="36">
        <f>ICE[[#This Row],[Vol]]+ICE[[#This Row],[BlkVol]]</f>
        <v>0</v>
      </c>
      <c r="T1165" s="36">
        <f>RTD("ice.rtd",,$C1165 &amp; $D1165 &amp; ":" &amp; T$1)</f>
        <v>20</v>
      </c>
      <c r="U1165" s="18">
        <f>RTD("ice.rtd",,$C1165 &amp; $D1165 &amp; ":" &amp; U$1)</f>
        <v>12.9015</v>
      </c>
      <c r="V11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5" s="18" t="str">
        <f>IFERROR(IF(LEFT(ICE[[#This Row],[Tenor]], 1) = "B", RTD("esrtd",,$B1165 &amp; " " &amp; ICE[[#This Row],[Tenor]] &amp; "-IEU", W$1), RTD("esrtd",,$B1165 &amp; " " &amp; VLOOKUP(MONTH(ICE[[#This Row],[Strip]]), MthRef[], 2, 0) &amp; RIGHT(YEAR(ICE[[#This Row],[Strip]]), 2) &amp; "-IEU", W$1)), "")</f>
        <v/>
      </c>
      <c r="X1165" s="36"/>
    </row>
    <row r="1166" spans="1:24" x14ac:dyDescent="0.25">
      <c r="A1166" s="37" t="s">
        <v>836</v>
      </c>
      <c r="B1166" s="3" t="str">
        <f>RTD("ice.rtd",,$C1166 &amp; $D1166 &amp; ":" &amp; B$1)</f>
        <v>MFT</v>
      </c>
      <c r="C1166" s="3">
        <v>2427026287</v>
      </c>
      <c r="D1166" t="s">
        <v>806</v>
      </c>
      <c r="E1166" s="3" t="str">
        <f>RTD("ice.rtd",,$C1166 &amp; $D1166 &amp; ":" &amp; E$1)</f>
        <v>Feb28</v>
      </c>
      <c r="F1166" s="3" t="str">
        <f>ICE[[#This Row],[Prod]]&amp;ICE[[#This Row],[Strip]]</f>
        <v>fo05singbrxbblFeb28</v>
      </c>
      <c r="G1166" s="18" t="str">
        <f>RTD("ice.rtd",,$C1166 &amp; $D1166 &amp; ":" &amp; G$1)</f>
        <v/>
      </c>
      <c r="H1166" s="18" t="str">
        <f>RTD("ice.rtd",,$C1166 &amp; $D1166 &amp; ":" &amp; H$1)</f>
        <v/>
      </c>
      <c r="I1166" s="18" t="str">
        <f>RTD("ice.rtd",,$C1166 &amp; $D1166 &amp; ":" &amp; I$1)</f>
        <v/>
      </c>
      <c r="J1166" s="14" t="str">
        <f>IFERROR(MOD(RTD("ice.rtd",,$C1166 &amp; $D1166 &amp; ":" &amp; J$1), 1), "")</f>
        <v/>
      </c>
      <c r="K1166" s="18" t="str">
        <f>RTD("ice.rtd",,$C1166 &amp; $D1166 &amp; ":" &amp; K$1)</f>
        <v/>
      </c>
      <c r="L1166" s="36" t="str">
        <f>RTD("ice.rtd",,$C1166 &amp; $D1166 &amp; ":" &amp; L$1)</f>
        <v/>
      </c>
      <c r="M1166" s="14" t="str">
        <f>IFERROR(MOD(TIMEVALUE(RTD("ice.rtd",,$C1166 &amp; $D1166 &amp; ":" &amp; M$1)), 1), "")</f>
        <v/>
      </c>
      <c r="N1166" s="36">
        <f>RTD("ice.rtd",,$C1166 &amp; $D1166 &amp; ":" &amp; N$1)</f>
        <v>0</v>
      </c>
      <c r="O1166" s="36">
        <f>RTD("ice.rtd",,$C1166 &amp; $D1166 &amp; ":" &amp; O$1)</f>
        <v>0</v>
      </c>
      <c r="P11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6" s="14" t="str">
        <f>IF(ICE[[#This Row],[LastType]] = "Scrn", ICE[[#This Row],[LstDate]], IF(ICE[[#This Row],[LastType]] = "Blk", ICE[[#This Row],[LstBlkTime]], ""))</f>
        <v/>
      </c>
      <c r="R1166" s="41" t="str">
        <f>IF(ICE[[#This Row],[LastType]] = "Scrn", ICE[[#This Row],[LstPrc]], IF(ICE[[#This Row],[LastType]] = "Blk", ICE[[#This Row],[LstBlkPrc]], ""))</f>
        <v/>
      </c>
      <c r="S1166" s="36">
        <f>ICE[[#This Row],[Vol]]+ICE[[#This Row],[BlkVol]]</f>
        <v>0</v>
      </c>
      <c r="T1166" s="36">
        <f>RTD("ice.rtd",,$C1166 &amp; $D1166 &amp; ":" &amp; T$1)</f>
        <v>20</v>
      </c>
      <c r="U1166" s="18">
        <f>RTD("ice.rtd",,$C1166 &amp; $D1166 &amp; ":" &amp; U$1)</f>
        <v>12.856100000000001</v>
      </c>
      <c r="V11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6" s="18" t="str">
        <f>IFERROR(IF(LEFT(ICE[[#This Row],[Tenor]], 1) = "B", RTD("esrtd",,$B1166 &amp; " " &amp; ICE[[#This Row],[Tenor]] &amp; "-IEU", W$1), RTD("esrtd",,$B1166 &amp; " " &amp; VLOOKUP(MONTH(ICE[[#This Row],[Strip]]), MthRef[], 2, 0) &amp; RIGHT(YEAR(ICE[[#This Row],[Strip]]), 2) &amp; "-IEU", W$1)), "")</f>
        <v/>
      </c>
      <c r="X1166" s="36"/>
    </row>
    <row r="1167" spans="1:24" x14ac:dyDescent="0.25">
      <c r="A1167" s="37" t="s">
        <v>836</v>
      </c>
      <c r="B1167" s="3" t="str">
        <f>RTD("ice.rtd",,$C1167 &amp; $D1167 &amp; ":" &amp; B$1)</f>
        <v>MFT</v>
      </c>
      <c r="C1167" s="3">
        <v>2427026287</v>
      </c>
      <c r="D1167" t="s">
        <v>807</v>
      </c>
      <c r="E1167" s="3" t="str">
        <f>RTD("ice.rtd",,$C1167 &amp; $D1167 &amp; ":" &amp; E$1)</f>
        <v>Mar28</v>
      </c>
      <c r="F1167" s="3" t="str">
        <f>ICE[[#This Row],[Prod]]&amp;ICE[[#This Row],[Strip]]</f>
        <v>fo05singbrxbblMar28</v>
      </c>
      <c r="G1167" s="18" t="str">
        <f>RTD("ice.rtd",,$C1167 &amp; $D1167 &amp; ":" &amp; G$1)</f>
        <v/>
      </c>
      <c r="H1167" s="18" t="str">
        <f>RTD("ice.rtd",,$C1167 &amp; $D1167 &amp; ":" &amp; H$1)</f>
        <v/>
      </c>
      <c r="I1167" s="18" t="str">
        <f>RTD("ice.rtd",,$C1167 &amp; $D1167 &amp; ":" &amp; I$1)</f>
        <v/>
      </c>
      <c r="J1167" s="14" t="str">
        <f>IFERROR(MOD(RTD("ice.rtd",,$C1167 &amp; $D1167 &amp; ":" &amp; J$1), 1), "")</f>
        <v/>
      </c>
      <c r="K1167" s="18" t="str">
        <f>RTD("ice.rtd",,$C1167 &amp; $D1167 &amp; ":" &amp; K$1)</f>
        <v/>
      </c>
      <c r="L1167" s="36" t="str">
        <f>RTD("ice.rtd",,$C1167 &amp; $D1167 &amp; ":" &amp; L$1)</f>
        <v/>
      </c>
      <c r="M1167" s="14" t="str">
        <f>IFERROR(MOD(TIMEVALUE(RTD("ice.rtd",,$C1167 &amp; $D1167 &amp; ":" &amp; M$1)), 1), "")</f>
        <v/>
      </c>
      <c r="N1167" s="36">
        <f>RTD("ice.rtd",,$C1167 &amp; $D1167 &amp; ":" &amp; N$1)</f>
        <v>0</v>
      </c>
      <c r="O1167" s="36">
        <f>RTD("ice.rtd",,$C1167 &amp; $D1167 &amp; ":" &amp; O$1)</f>
        <v>0</v>
      </c>
      <c r="P11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7" s="14" t="str">
        <f>IF(ICE[[#This Row],[LastType]] = "Scrn", ICE[[#This Row],[LstDate]], IF(ICE[[#This Row],[LastType]] = "Blk", ICE[[#This Row],[LstBlkTime]], ""))</f>
        <v/>
      </c>
      <c r="R1167" s="41" t="str">
        <f>IF(ICE[[#This Row],[LastType]] = "Scrn", ICE[[#This Row],[LstPrc]], IF(ICE[[#This Row],[LastType]] = "Blk", ICE[[#This Row],[LstBlkPrc]], ""))</f>
        <v/>
      </c>
      <c r="S1167" s="36">
        <f>ICE[[#This Row],[Vol]]+ICE[[#This Row],[BlkVol]]</f>
        <v>0</v>
      </c>
      <c r="T1167" s="36">
        <f>RTD("ice.rtd",,$C1167 &amp; $D1167 &amp; ":" &amp; T$1)</f>
        <v>20</v>
      </c>
      <c r="U1167" s="18">
        <f>RTD("ice.rtd",,$C1167 &amp; $D1167 &amp; ":" &amp; U$1)</f>
        <v>12.799800000000001</v>
      </c>
      <c r="V11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7" s="18" t="str">
        <f>IFERROR(IF(LEFT(ICE[[#This Row],[Tenor]], 1) = "B", RTD("esrtd",,$B1167 &amp; " " &amp; ICE[[#This Row],[Tenor]] &amp; "-IEU", W$1), RTD("esrtd",,$B1167 &amp; " " &amp; VLOOKUP(MONTH(ICE[[#This Row],[Strip]]), MthRef[], 2, 0) &amp; RIGHT(YEAR(ICE[[#This Row],[Strip]]), 2) &amp; "-IEU", W$1)), "")</f>
        <v/>
      </c>
      <c r="X1167" s="36"/>
    </row>
    <row r="1168" spans="1:24" x14ac:dyDescent="0.25">
      <c r="A1168" s="37" t="s">
        <v>836</v>
      </c>
      <c r="B1168" s="3" t="str">
        <f>RTD("ice.rtd",,$C1168 &amp; $D1168 &amp; ":" &amp; B$1)</f>
        <v>MFT</v>
      </c>
      <c r="C1168" s="3">
        <v>2427026287</v>
      </c>
      <c r="D1168" t="s">
        <v>808</v>
      </c>
      <c r="E1168" s="3" t="str">
        <f>RTD("ice.rtd",,$C1168 &amp; $D1168 &amp; ":" &amp; E$1)</f>
        <v>Apr28</v>
      </c>
      <c r="F1168" s="3" t="str">
        <f>ICE[[#This Row],[Prod]]&amp;ICE[[#This Row],[Strip]]</f>
        <v>fo05singbrxbblApr28</v>
      </c>
      <c r="G1168" s="18" t="str">
        <f>RTD("ice.rtd",,$C1168 &amp; $D1168 &amp; ":" &amp; G$1)</f>
        <v/>
      </c>
      <c r="H1168" s="18" t="str">
        <f>RTD("ice.rtd",,$C1168 &amp; $D1168 &amp; ":" &amp; H$1)</f>
        <v/>
      </c>
      <c r="I1168" s="18" t="str">
        <f>RTD("ice.rtd",,$C1168 &amp; $D1168 &amp; ":" &amp; I$1)</f>
        <v/>
      </c>
      <c r="J1168" s="14" t="str">
        <f>IFERROR(MOD(RTD("ice.rtd",,$C1168 &amp; $D1168 &amp; ":" &amp; J$1), 1), "")</f>
        <v/>
      </c>
      <c r="K1168" s="18" t="str">
        <f>RTD("ice.rtd",,$C1168 &amp; $D1168 &amp; ":" &amp; K$1)</f>
        <v/>
      </c>
      <c r="L1168" s="36" t="str">
        <f>RTD("ice.rtd",,$C1168 &amp; $D1168 &amp; ":" &amp; L$1)</f>
        <v/>
      </c>
      <c r="M1168" s="14" t="str">
        <f>IFERROR(MOD(TIMEVALUE(RTD("ice.rtd",,$C1168 &amp; $D1168 &amp; ":" &amp; M$1)), 1), "")</f>
        <v/>
      </c>
      <c r="N1168" s="36">
        <f>RTD("ice.rtd",,$C1168 &amp; $D1168 &amp; ":" &amp; N$1)</f>
        <v>0</v>
      </c>
      <c r="O1168" s="36">
        <f>RTD("ice.rtd",,$C1168 &amp; $D1168 &amp; ":" &amp; O$1)</f>
        <v>0</v>
      </c>
      <c r="P11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8" s="14" t="str">
        <f>IF(ICE[[#This Row],[LastType]] = "Scrn", ICE[[#This Row],[LstDate]], IF(ICE[[#This Row],[LastType]] = "Blk", ICE[[#This Row],[LstBlkTime]], ""))</f>
        <v/>
      </c>
      <c r="R1168" s="41" t="str">
        <f>IF(ICE[[#This Row],[LastType]] = "Scrn", ICE[[#This Row],[LstPrc]], IF(ICE[[#This Row],[LastType]] = "Blk", ICE[[#This Row],[LstBlkPrc]], ""))</f>
        <v/>
      </c>
      <c r="S1168" s="36">
        <f>ICE[[#This Row],[Vol]]+ICE[[#This Row],[BlkVol]]</f>
        <v>0</v>
      </c>
      <c r="T1168" s="36">
        <f>RTD("ice.rtd",,$C1168 &amp; $D1168 &amp; ":" &amp; T$1)</f>
        <v>20</v>
      </c>
      <c r="U1168" s="18">
        <f>RTD("ice.rtd",,$C1168 &amp; $D1168 &amp; ":" &amp; U$1)</f>
        <v>12.7285</v>
      </c>
      <c r="V11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8" s="18" t="str">
        <f>IFERROR(IF(LEFT(ICE[[#This Row],[Tenor]], 1) = "B", RTD("esrtd",,$B1168 &amp; " " &amp; ICE[[#This Row],[Tenor]] &amp; "-IEU", W$1), RTD("esrtd",,$B1168 &amp; " " &amp; VLOOKUP(MONTH(ICE[[#This Row],[Strip]]), MthRef[], 2, 0) &amp; RIGHT(YEAR(ICE[[#This Row],[Strip]]), 2) &amp; "-IEU", W$1)), "")</f>
        <v/>
      </c>
      <c r="X1168" s="36"/>
    </row>
    <row r="1169" spans="1:24" x14ac:dyDescent="0.25">
      <c r="A1169" s="37" t="s">
        <v>836</v>
      </c>
      <c r="B1169" s="3" t="str">
        <f>RTD("ice.rtd",,$C1169 &amp; $D1169 &amp; ":" &amp; B$1)</f>
        <v>MFT</v>
      </c>
      <c r="C1169" s="3">
        <v>2427026287</v>
      </c>
      <c r="D1169" t="s">
        <v>809</v>
      </c>
      <c r="E1169" s="3" t="str">
        <f>RTD("ice.rtd",,$C1169 &amp; $D1169 &amp; ":" &amp; E$1)</f>
        <v>May28</v>
      </c>
      <c r="F1169" s="3" t="str">
        <f>ICE[[#This Row],[Prod]]&amp;ICE[[#This Row],[Strip]]</f>
        <v>fo05singbrxbblMay28</v>
      </c>
      <c r="G1169" s="18" t="str">
        <f>RTD("ice.rtd",,$C1169 &amp; $D1169 &amp; ":" &amp; G$1)</f>
        <v/>
      </c>
      <c r="H1169" s="18" t="str">
        <f>RTD("ice.rtd",,$C1169 &amp; $D1169 &amp; ":" &amp; H$1)</f>
        <v/>
      </c>
      <c r="I1169" s="18" t="str">
        <f>RTD("ice.rtd",,$C1169 &amp; $D1169 &amp; ":" &amp; I$1)</f>
        <v/>
      </c>
      <c r="J1169" s="14" t="str">
        <f>IFERROR(MOD(RTD("ice.rtd",,$C1169 &amp; $D1169 &amp; ":" &amp; J$1), 1), "")</f>
        <v/>
      </c>
      <c r="K1169" s="18" t="str">
        <f>RTD("ice.rtd",,$C1169 &amp; $D1169 &amp; ":" &amp; K$1)</f>
        <v/>
      </c>
      <c r="L1169" s="36" t="str">
        <f>RTD("ice.rtd",,$C1169 &amp; $D1169 &amp; ":" &amp; L$1)</f>
        <v/>
      </c>
      <c r="M1169" s="14" t="str">
        <f>IFERROR(MOD(TIMEVALUE(RTD("ice.rtd",,$C1169 &amp; $D1169 &amp; ":" &amp; M$1)), 1), "")</f>
        <v/>
      </c>
      <c r="N1169" s="36">
        <f>RTD("ice.rtd",,$C1169 &amp; $D1169 &amp; ":" &amp; N$1)</f>
        <v>0</v>
      </c>
      <c r="O1169" s="36">
        <f>RTD("ice.rtd",,$C1169 &amp; $D1169 &amp; ":" &amp; O$1)</f>
        <v>0</v>
      </c>
      <c r="P11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69" s="14" t="str">
        <f>IF(ICE[[#This Row],[LastType]] = "Scrn", ICE[[#This Row],[LstDate]], IF(ICE[[#This Row],[LastType]] = "Blk", ICE[[#This Row],[LstBlkTime]], ""))</f>
        <v/>
      </c>
      <c r="R1169" s="41" t="str">
        <f>IF(ICE[[#This Row],[LastType]] = "Scrn", ICE[[#This Row],[LstPrc]], IF(ICE[[#This Row],[LastType]] = "Blk", ICE[[#This Row],[LstBlkPrc]], ""))</f>
        <v/>
      </c>
      <c r="S1169" s="36">
        <f>ICE[[#This Row],[Vol]]+ICE[[#This Row],[BlkVol]]</f>
        <v>0</v>
      </c>
      <c r="T1169" s="36">
        <f>RTD("ice.rtd",,$C1169 &amp; $D1169 &amp; ":" &amp; T$1)</f>
        <v>20</v>
      </c>
      <c r="U1169" s="18">
        <f>RTD("ice.rtd",,$C1169 &amp; $D1169 &amp; ":" &amp; U$1)</f>
        <v>12.6501</v>
      </c>
      <c r="V11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69" s="18" t="str">
        <f>IFERROR(IF(LEFT(ICE[[#This Row],[Tenor]], 1) = "B", RTD("esrtd",,$B1169 &amp; " " &amp; ICE[[#This Row],[Tenor]] &amp; "-IEU", W$1), RTD("esrtd",,$B1169 &amp; " " &amp; VLOOKUP(MONTH(ICE[[#This Row],[Strip]]), MthRef[], 2, 0) &amp; RIGHT(YEAR(ICE[[#This Row],[Strip]]), 2) &amp; "-IEU", W$1)), "")</f>
        <v/>
      </c>
      <c r="X1169" s="36"/>
    </row>
    <row r="1170" spans="1:24" x14ac:dyDescent="0.25">
      <c r="A1170" s="37" t="s">
        <v>836</v>
      </c>
      <c r="B1170" s="3" t="str">
        <f>RTD("ice.rtd",,$C1170 &amp; $D1170 &amp; ":" &amp; B$1)</f>
        <v>MFT</v>
      </c>
      <c r="C1170" s="3">
        <v>2427026287</v>
      </c>
      <c r="D1170" t="s">
        <v>810</v>
      </c>
      <c r="E1170" s="3" t="str">
        <f>RTD("ice.rtd",,$C1170 &amp; $D1170 &amp; ":" &amp; E$1)</f>
        <v>Jun28</v>
      </c>
      <c r="F1170" s="3" t="str">
        <f>ICE[[#This Row],[Prod]]&amp;ICE[[#This Row],[Strip]]</f>
        <v>fo05singbrxbblJun28</v>
      </c>
      <c r="G1170" s="18" t="str">
        <f>RTD("ice.rtd",,$C1170 &amp; $D1170 &amp; ":" &amp; G$1)</f>
        <v/>
      </c>
      <c r="H1170" s="18" t="str">
        <f>RTD("ice.rtd",,$C1170 &amp; $D1170 &amp; ":" &amp; H$1)</f>
        <v/>
      </c>
      <c r="I1170" s="18" t="str">
        <f>RTD("ice.rtd",,$C1170 &amp; $D1170 &amp; ":" &amp; I$1)</f>
        <v/>
      </c>
      <c r="J1170" s="14" t="str">
        <f>IFERROR(MOD(RTD("ice.rtd",,$C1170 &amp; $D1170 &amp; ":" &amp; J$1), 1), "")</f>
        <v/>
      </c>
      <c r="K1170" s="18" t="str">
        <f>RTD("ice.rtd",,$C1170 &amp; $D1170 &amp; ":" &amp; K$1)</f>
        <v/>
      </c>
      <c r="L1170" s="36" t="str">
        <f>RTD("ice.rtd",,$C1170 &amp; $D1170 &amp; ":" &amp; L$1)</f>
        <v/>
      </c>
      <c r="M1170" s="14" t="str">
        <f>IFERROR(MOD(TIMEVALUE(RTD("ice.rtd",,$C1170 &amp; $D1170 &amp; ":" &amp; M$1)), 1), "")</f>
        <v/>
      </c>
      <c r="N1170" s="36">
        <f>RTD("ice.rtd",,$C1170 &amp; $D1170 &amp; ":" &amp; N$1)</f>
        <v>0</v>
      </c>
      <c r="O1170" s="36">
        <f>RTD("ice.rtd",,$C1170 &amp; $D1170 &amp; ":" &amp; O$1)</f>
        <v>0</v>
      </c>
      <c r="P11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0" s="14" t="str">
        <f>IF(ICE[[#This Row],[LastType]] = "Scrn", ICE[[#This Row],[LstDate]], IF(ICE[[#This Row],[LastType]] = "Blk", ICE[[#This Row],[LstBlkTime]], ""))</f>
        <v/>
      </c>
      <c r="R1170" s="41" t="str">
        <f>IF(ICE[[#This Row],[LastType]] = "Scrn", ICE[[#This Row],[LstPrc]], IF(ICE[[#This Row],[LastType]] = "Blk", ICE[[#This Row],[LstBlkPrc]], ""))</f>
        <v/>
      </c>
      <c r="S1170" s="36">
        <f>ICE[[#This Row],[Vol]]+ICE[[#This Row],[BlkVol]]</f>
        <v>0</v>
      </c>
      <c r="T1170" s="36">
        <f>RTD("ice.rtd",,$C1170 &amp; $D1170 &amp; ":" &amp; T$1)</f>
        <v>20</v>
      </c>
      <c r="U1170" s="18">
        <f>RTD("ice.rtd",,$C1170 &amp; $D1170 &amp; ":" &amp; U$1)</f>
        <v>12.555800000000001</v>
      </c>
      <c r="V11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0" s="18" t="str">
        <f>IFERROR(IF(LEFT(ICE[[#This Row],[Tenor]], 1) = "B", RTD("esrtd",,$B1170 &amp; " " &amp; ICE[[#This Row],[Tenor]] &amp; "-IEU", W$1), RTD("esrtd",,$B1170 &amp; " " &amp; VLOOKUP(MONTH(ICE[[#This Row],[Strip]]), MthRef[], 2, 0) &amp; RIGHT(YEAR(ICE[[#This Row],[Strip]]), 2) &amp; "-IEU", W$1)), "")</f>
        <v/>
      </c>
      <c r="X1170" s="36"/>
    </row>
    <row r="1171" spans="1:24" x14ac:dyDescent="0.25">
      <c r="A1171" s="37" t="s">
        <v>836</v>
      </c>
      <c r="B1171" s="3" t="str">
        <f>RTD("ice.rtd",,$C1171 &amp; $D1171 &amp; ":" &amp; B$1)</f>
        <v>MFT</v>
      </c>
      <c r="C1171" s="3">
        <v>2427026287</v>
      </c>
      <c r="D1171" t="s">
        <v>811</v>
      </c>
      <c r="E1171" s="3" t="str">
        <f>RTD("ice.rtd",,$C1171 &amp; $D1171 &amp; ":" &amp; E$1)</f>
        <v>Jul28</v>
      </c>
      <c r="F1171" s="3" t="str">
        <f>ICE[[#This Row],[Prod]]&amp;ICE[[#This Row],[Strip]]</f>
        <v>fo05singbrxbblJul28</v>
      </c>
      <c r="G1171" s="18" t="str">
        <f>RTD("ice.rtd",,$C1171 &amp; $D1171 &amp; ":" &amp; G$1)</f>
        <v/>
      </c>
      <c r="H1171" s="18" t="str">
        <f>RTD("ice.rtd",,$C1171 &amp; $D1171 &amp; ":" &amp; H$1)</f>
        <v/>
      </c>
      <c r="I1171" s="18" t="str">
        <f>RTD("ice.rtd",,$C1171 &amp; $D1171 &amp; ":" &amp; I$1)</f>
        <v/>
      </c>
      <c r="J1171" s="14" t="str">
        <f>IFERROR(MOD(RTD("ice.rtd",,$C1171 &amp; $D1171 &amp; ":" &amp; J$1), 1), "")</f>
        <v/>
      </c>
      <c r="K1171" s="18" t="str">
        <f>RTD("ice.rtd",,$C1171 &amp; $D1171 &amp; ":" &amp; K$1)</f>
        <v/>
      </c>
      <c r="L1171" s="36" t="str">
        <f>RTD("ice.rtd",,$C1171 &amp; $D1171 &amp; ":" &amp; L$1)</f>
        <v/>
      </c>
      <c r="M1171" s="14" t="str">
        <f>IFERROR(MOD(TIMEVALUE(RTD("ice.rtd",,$C1171 &amp; $D1171 &amp; ":" &amp; M$1)), 1), "")</f>
        <v/>
      </c>
      <c r="N1171" s="36">
        <f>RTD("ice.rtd",,$C1171 &amp; $D1171 &amp; ":" &amp; N$1)</f>
        <v>0</v>
      </c>
      <c r="O1171" s="36">
        <f>RTD("ice.rtd",,$C1171 &amp; $D1171 &amp; ":" &amp; O$1)</f>
        <v>0</v>
      </c>
      <c r="P11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1" s="14" t="str">
        <f>IF(ICE[[#This Row],[LastType]] = "Scrn", ICE[[#This Row],[LstDate]], IF(ICE[[#This Row],[LastType]] = "Blk", ICE[[#This Row],[LstBlkTime]], ""))</f>
        <v/>
      </c>
      <c r="R1171" s="41" t="str">
        <f>IF(ICE[[#This Row],[LastType]] = "Scrn", ICE[[#This Row],[LstPrc]], IF(ICE[[#This Row],[LastType]] = "Blk", ICE[[#This Row],[LstBlkPrc]], ""))</f>
        <v/>
      </c>
      <c r="S1171" s="36">
        <f>ICE[[#This Row],[Vol]]+ICE[[#This Row],[BlkVol]]</f>
        <v>0</v>
      </c>
      <c r="T1171" s="36">
        <f>RTD("ice.rtd",,$C1171 &amp; $D1171 &amp; ":" &amp; T$1)</f>
        <v>20</v>
      </c>
      <c r="U1171" s="18">
        <f>RTD("ice.rtd",,$C1171 &amp; $D1171 &amp; ":" &amp; U$1)</f>
        <v>12.530200000000001</v>
      </c>
      <c r="V11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1" s="18" t="str">
        <f>IFERROR(IF(LEFT(ICE[[#This Row],[Tenor]], 1) = "B", RTD("esrtd",,$B1171 &amp; " " &amp; ICE[[#This Row],[Tenor]] &amp; "-IEU", W$1), RTD("esrtd",,$B1171 &amp; " " &amp; VLOOKUP(MONTH(ICE[[#This Row],[Strip]]), MthRef[], 2, 0) &amp; RIGHT(YEAR(ICE[[#This Row],[Strip]]), 2) &amp; "-IEU", W$1)), "")</f>
        <v/>
      </c>
      <c r="X1171" s="36"/>
    </row>
    <row r="1172" spans="1:24" x14ac:dyDescent="0.25">
      <c r="A1172" s="37" t="s">
        <v>836</v>
      </c>
      <c r="B1172" s="3" t="str">
        <f>RTD("ice.rtd",,$C1172 &amp; $D1172 &amp; ":" &amp; B$1)</f>
        <v>MFT</v>
      </c>
      <c r="C1172" s="3">
        <v>2427026287</v>
      </c>
      <c r="D1172" t="s">
        <v>812</v>
      </c>
      <c r="E1172" s="3" t="str">
        <f>RTD("ice.rtd",,$C1172 &amp; $D1172 &amp; ":" &amp; E$1)</f>
        <v>Aug28</v>
      </c>
      <c r="F1172" s="3" t="str">
        <f>ICE[[#This Row],[Prod]]&amp;ICE[[#This Row],[Strip]]</f>
        <v>fo05singbrxbblAug28</v>
      </c>
      <c r="G1172" s="18" t="str">
        <f>RTD("ice.rtd",,$C1172 &amp; $D1172 &amp; ":" &amp; G$1)</f>
        <v/>
      </c>
      <c r="H1172" s="18" t="str">
        <f>RTD("ice.rtd",,$C1172 &amp; $D1172 &amp; ":" &amp; H$1)</f>
        <v/>
      </c>
      <c r="I1172" s="18" t="str">
        <f>RTD("ice.rtd",,$C1172 &amp; $D1172 &amp; ":" &amp; I$1)</f>
        <v/>
      </c>
      <c r="J1172" s="14" t="str">
        <f>IFERROR(MOD(RTD("ice.rtd",,$C1172 &amp; $D1172 &amp; ":" &amp; J$1), 1), "")</f>
        <v/>
      </c>
      <c r="K1172" s="18" t="str">
        <f>RTD("ice.rtd",,$C1172 &amp; $D1172 &amp; ":" &amp; K$1)</f>
        <v/>
      </c>
      <c r="L1172" s="36" t="str">
        <f>RTD("ice.rtd",,$C1172 &amp; $D1172 &amp; ":" &amp; L$1)</f>
        <v/>
      </c>
      <c r="M1172" s="14" t="str">
        <f>IFERROR(MOD(TIMEVALUE(RTD("ice.rtd",,$C1172 &amp; $D1172 &amp; ":" &amp; M$1)), 1), "")</f>
        <v/>
      </c>
      <c r="N1172" s="36">
        <f>RTD("ice.rtd",,$C1172 &amp; $D1172 &amp; ":" &amp; N$1)</f>
        <v>0</v>
      </c>
      <c r="O1172" s="36">
        <f>RTD("ice.rtd",,$C1172 &amp; $D1172 &amp; ":" &amp; O$1)</f>
        <v>0</v>
      </c>
      <c r="P11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2" s="14" t="str">
        <f>IF(ICE[[#This Row],[LastType]] = "Scrn", ICE[[#This Row],[LstDate]], IF(ICE[[#This Row],[LastType]] = "Blk", ICE[[#This Row],[LstBlkTime]], ""))</f>
        <v/>
      </c>
      <c r="R1172" s="41" t="str">
        <f>IF(ICE[[#This Row],[LastType]] = "Scrn", ICE[[#This Row],[LstPrc]], IF(ICE[[#This Row],[LastType]] = "Blk", ICE[[#This Row],[LstBlkPrc]], ""))</f>
        <v/>
      </c>
      <c r="S1172" s="36">
        <f>ICE[[#This Row],[Vol]]+ICE[[#This Row],[BlkVol]]</f>
        <v>0</v>
      </c>
      <c r="T1172" s="36">
        <f>RTD("ice.rtd",,$C1172 &amp; $D1172 &amp; ":" &amp; T$1)</f>
        <v>20</v>
      </c>
      <c r="U1172" s="18">
        <f>RTD("ice.rtd",,$C1172 &amp; $D1172 &amp; ":" &amp; U$1)</f>
        <v>12.493600000000001</v>
      </c>
      <c r="V11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2" s="18" t="str">
        <f>IFERROR(IF(LEFT(ICE[[#This Row],[Tenor]], 1) = "B", RTD("esrtd",,$B1172 &amp; " " &amp; ICE[[#This Row],[Tenor]] &amp; "-IEU", W$1), RTD("esrtd",,$B1172 &amp; " " &amp; VLOOKUP(MONTH(ICE[[#This Row],[Strip]]), MthRef[], 2, 0) &amp; RIGHT(YEAR(ICE[[#This Row],[Strip]]), 2) &amp; "-IEU", W$1)), "")</f>
        <v/>
      </c>
      <c r="X1172" s="36"/>
    </row>
    <row r="1173" spans="1:24" x14ac:dyDescent="0.25">
      <c r="A1173" s="37" t="s">
        <v>836</v>
      </c>
      <c r="B1173" s="3" t="str">
        <f>RTD("ice.rtd",,$C1173 &amp; $D1173 &amp; ":" &amp; B$1)</f>
        <v>MFT</v>
      </c>
      <c r="C1173" s="3">
        <v>2427026287</v>
      </c>
      <c r="D1173" t="s">
        <v>813</v>
      </c>
      <c r="E1173" s="3" t="str">
        <f>RTD("ice.rtd",,$C1173 &amp; $D1173 &amp; ":" &amp; E$1)</f>
        <v>Sep28</v>
      </c>
      <c r="F1173" s="3" t="str">
        <f>ICE[[#This Row],[Prod]]&amp;ICE[[#This Row],[Strip]]</f>
        <v>fo05singbrxbblSep28</v>
      </c>
      <c r="G1173" s="18" t="str">
        <f>RTD("ice.rtd",,$C1173 &amp; $D1173 &amp; ":" &amp; G$1)</f>
        <v/>
      </c>
      <c r="H1173" s="18" t="str">
        <f>RTD("ice.rtd",,$C1173 &amp; $D1173 &amp; ":" &amp; H$1)</f>
        <v/>
      </c>
      <c r="I1173" s="18" t="str">
        <f>RTD("ice.rtd",,$C1173 &amp; $D1173 &amp; ":" &amp; I$1)</f>
        <v/>
      </c>
      <c r="J1173" s="14" t="str">
        <f>IFERROR(MOD(RTD("ice.rtd",,$C1173 &amp; $D1173 &amp; ":" &amp; J$1), 1), "")</f>
        <v/>
      </c>
      <c r="K1173" s="18" t="str">
        <f>RTD("ice.rtd",,$C1173 &amp; $D1173 &amp; ":" &amp; K$1)</f>
        <v/>
      </c>
      <c r="L1173" s="36" t="str">
        <f>RTD("ice.rtd",,$C1173 &amp; $D1173 &amp; ":" &amp; L$1)</f>
        <v/>
      </c>
      <c r="M1173" s="14" t="str">
        <f>IFERROR(MOD(TIMEVALUE(RTD("ice.rtd",,$C1173 &amp; $D1173 &amp; ":" &amp; M$1)), 1), "")</f>
        <v/>
      </c>
      <c r="N1173" s="36">
        <f>RTD("ice.rtd",,$C1173 &amp; $D1173 &amp; ":" &amp; N$1)</f>
        <v>0</v>
      </c>
      <c r="O1173" s="36">
        <f>RTD("ice.rtd",,$C1173 &amp; $D1173 &amp; ":" &amp; O$1)</f>
        <v>0</v>
      </c>
      <c r="P11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3" s="14" t="str">
        <f>IF(ICE[[#This Row],[LastType]] = "Scrn", ICE[[#This Row],[LstDate]], IF(ICE[[#This Row],[LastType]] = "Blk", ICE[[#This Row],[LstBlkTime]], ""))</f>
        <v/>
      </c>
      <c r="R1173" s="41" t="str">
        <f>IF(ICE[[#This Row],[LastType]] = "Scrn", ICE[[#This Row],[LstPrc]], IF(ICE[[#This Row],[LastType]] = "Blk", ICE[[#This Row],[LstBlkPrc]], ""))</f>
        <v/>
      </c>
      <c r="S1173" s="36">
        <f>ICE[[#This Row],[Vol]]+ICE[[#This Row],[BlkVol]]</f>
        <v>0</v>
      </c>
      <c r="T1173" s="36">
        <f>RTD("ice.rtd",,$C1173 &amp; $D1173 &amp; ":" &amp; T$1)</f>
        <v>20</v>
      </c>
      <c r="U1173" s="18">
        <f>RTD("ice.rtd",,$C1173 &amp; $D1173 &amp; ":" &amp; U$1)</f>
        <v>12.419700000000001</v>
      </c>
      <c r="V11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3" s="18" t="str">
        <f>IFERROR(IF(LEFT(ICE[[#This Row],[Tenor]], 1) = "B", RTD("esrtd",,$B1173 &amp; " " &amp; ICE[[#This Row],[Tenor]] &amp; "-IEU", W$1), RTD("esrtd",,$B1173 &amp; " " &amp; VLOOKUP(MONTH(ICE[[#This Row],[Strip]]), MthRef[], 2, 0) &amp; RIGHT(YEAR(ICE[[#This Row],[Strip]]), 2) &amp; "-IEU", W$1)), "")</f>
        <v/>
      </c>
      <c r="X1173" s="36"/>
    </row>
    <row r="1174" spans="1:24" x14ac:dyDescent="0.25">
      <c r="A1174" s="37" t="s">
        <v>836</v>
      </c>
      <c r="B1174" s="3" t="str">
        <f>RTD("ice.rtd",,$C1174 &amp; $D1174 &amp; ":" &amp; B$1)</f>
        <v>MFT</v>
      </c>
      <c r="C1174" s="3">
        <v>2427026287</v>
      </c>
      <c r="D1174" t="s">
        <v>814</v>
      </c>
      <c r="E1174" s="3" t="str">
        <f>RTD("ice.rtd",,$C1174 &amp; $D1174 &amp; ":" &amp; E$1)</f>
        <v>Q4 26</v>
      </c>
      <c r="F1174" s="3" t="str">
        <f>ICE[[#This Row],[Prod]]&amp;ICE[[#This Row],[Strip]]</f>
        <v>fo05singbrxbblQ4 26</v>
      </c>
      <c r="G1174" s="18" t="str">
        <f>RTD("ice.rtd",,$C1174 &amp; $D1174 &amp; ":" &amp; G$1)</f>
        <v/>
      </c>
      <c r="H1174" s="18" t="str">
        <f>RTD("ice.rtd",,$C1174 &amp; $D1174 &amp; ":" &amp; H$1)</f>
        <v/>
      </c>
      <c r="I1174" s="18" t="str">
        <f>RTD("ice.rtd",,$C1174 &amp; $D1174 &amp; ":" &amp; I$1)</f>
        <v/>
      </c>
      <c r="J1174" s="14" t="str">
        <f>IFERROR(MOD(RTD("ice.rtd",,$C1174 &amp; $D1174 &amp; ":" &amp; J$1), 1), "")</f>
        <v/>
      </c>
      <c r="K1174" s="18" t="str">
        <f>RTD("ice.rtd",,$C1174 &amp; $D1174 &amp; ":" &amp; K$1)</f>
        <v/>
      </c>
      <c r="L1174" s="36" t="str">
        <f>RTD("ice.rtd",,$C1174 &amp; $D1174 &amp; ":" &amp; L$1)</f>
        <v/>
      </c>
      <c r="M1174" s="14" t="str">
        <f>IFERROR(MOD(TIMEVALUE(RTD("ice.rtd",,$C1174 &amp; $D1174 &amp; ":" &amp; M$1)), 1), "")</f>
        <v/>
      </c>
      <c r="N1174" s="36">
        <f>RTD("ice.rtd",,$C1174 &amp; $D1174 &amp; ":" &amp; N$1)</f>
        <v>0</v>
      </c>
      <c r="O1174" s="36">
        <f>RTD("ice.rtd",,$C1174 &amp; $D1174 &amp; ":" &amp; O$1)</f>
        <v>0</v>
      </c>
      <c r="P11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4" s="14" t="str">
        <f>IF(ICE[[#This Row],[LastType]] = "Scrn", ICE[[#This Row],[LstDate]], IF(ICE[[#This Row],[LastType]] = "Blk", ICE[[#This Row],[LstBlkTime]], ""))</f>
        <v/>
      </c>
      <c r="R1174" s="41" t="str">
        <f>IF(ICE[[#This Row],[LastType]] = "Scrn", ICE[[#This Row],[LstPrc]], IF(ICE[[#This Row],[LastType]] = "Blk", ICE[[#This Row],[LstBlkPrc]], ""))</f>
        <v/>
      </c>
      <c r="S1174" s="36">
        <f>ICE[[#This Row],[Vol]]+ICE[[#This Row],[BlkVol]]</f>
        <v>0</v>
      </c>
      <c r="T1174" s="36">
        <f>RTD("ice.rtd",,$C1174 &amp; $D1174 &amp; ":" &amp; T$1)</f>
        <v>0</v>
      </c>
      <c r="U1174" s="18">
        <f>RTD("ice.rtd",,$C1174 &amp; $D1174 &amp; ":" &amp; U$1)</f>
        <v>17.444900000000001</v>
      </c>
      <c r="V11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4" s="18" t="str">
        <f>IFERROR(IF(LEFT(ICE[[#This Row],[Tenor]], 1) = "B", RTD("esrtd",,$B1174 &amp; " " &amp; ICE[[#This Row],[Tenor]] &amp; "-IEU", W$1), RTD("esrtd",,$B1174 &amp; " " &amp; VLOOKUP(MONTH(ICE[[#This Row],[Strip]]), MthRef[], 2, 0) &amp; RIGHT(YEAR(ICE[[#This Row],[Strip]]), 2) &amp; "-IEU", W$1)), "")</f>
        <v/>
      </c>
      <c r="X1174" s="36"/>
    </row>
    <row r="1175" spans="1:24" x14ac:dyDescent="0.25">
      <c r="A1175" s="37" t="s">
        <v>836</v>
      </c>
      <c r="B1175" s="3" t="str">
        <f>RTD("ice.rtd",,$C1175 &amp; $D1175 &amp; ":" &amp; B$1)</f>
        <v>MFT</v>
      </c>
      <c r="C1175" s="3">
        <v>2427026287</v>
      </c>
      <c r="D1175" t="s">
        <v>815</v>
      </c>
      <c r="E1175" s="3" t="str">
        <f>RTD("ice.rtd",,$C1175 &amp; $D1175 &amp; ":" &amp; E$1)</f>
        <v>Q1 27</v>
      </c>
      <c r="F1175" s="3" t="str">
        <f>ICE[[#This Row],[Prod]]&amp;ICE[[#This Row],[Strip]]</f>
        <v>fo05singbrxbblQ1 27</v>
      </c>
      <c r="G1175" s="18">
        <f>RTD("ice.rtd",,$C1175 &amp; $D1175 &amp; ":" &amp; G$1)</f>
        <v>11.05</v>
      </c>
      <c r="H1175" s="18" t="str">
        <f>RTD("ice.rtd",,$C1175 &amp; $D1175 &amp; ":" &amp; H$1)</f>
        <v/>
      </c>
      <c r="I1175" s="18" t="str">
        <f>RTD("ice.rtd",,$C1175 &amp; $D1175 &amp; ":" &amp; I$1)</f>
        <v/>
      </c>
      <c r="J1175" s="14" t="str">
        <f>IFERROR(MOD(RTD("ice.rtd",,$C1175 &amp; $D1175 &amp; ":" &amp; J$1), 1), "")</f>
        <v/>
      </c>
      <c r="K1175" s="18" t="str">
        <f>RTD("ice.rtd",,$C1175 &amp; $D1175 &amp; ":" &amp; K$1)</f>
        <v/>
      </c>
      <c r="L1175" s="36" t="str">
        <f>RTD("ice.rtd",,$C1175 &amp; $D1175 &amp; ":" &amp; L$1)</f>
        <v/>
      </c>
      <c r="M1175" s="14" t="str">
        <f>IFERROR(MOD(TIMEVALUE(RTD("ice.rtd",,$C1175 &amp; $D1175 &amp; ":" &amp; M$1)), 1), "")</f>
        <v/>
      </c>
      <c r="N1175" s="36">
        <f>RTD("ice.rtd",,$C1175 &amp; $D1175 &amp; ":" &amp; N$1)</f>
        <v>0</v>
      </c>
      <c r="O1175" s="36">
        <f>RTD("ice.rtd",,$C1175 &amp; $D1175 &amp; ":" &amp; O$1)</f>
        <v>0</v>
      </c>
      <c r="P11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5" s="14" t="str">
        <f>IF(ICE[[#This Row],[LastType]] = "Scrn", ICE[[#This Row],[LstDate]], IF(ICE[[#This Row],[LastType]] = "Blk", ICE[[#This Row],[LstBlkTime]], ""))</f>
        <v/>
      </c>
      <c r="R1175" s="41" t="str">
        <f>IF(ICE[[#This Row],[LastType]] = "Scrn", ICE[[#This Row],[LstPrc]], IF(ICE[[#This Row],[LastType]] = "Blk", ICE[[#This Row],[LstBlkPrc]], ""))</f>
        <v/>
      </c>
      <c r="S1175" s="36">
        <f>ICE[[#This Row],[Vol]]+ICE[[#This Row],[BlkVol]]</f>
        <v>0</v>
      </c>
      <c r="T1175" s="36">
        <f>RTD("ice.rtd",,$C1175 &amp; $D1175 &amp; ":" &amp; T$1)</f>
        <v>0</v>
      </c>
      <c r="U1175" s="18">
        <f>RTD("ice.rtd",,$C1175 &amp; $D1175 &amp; ":" &amp; U$1)</f>
        <v>15.459800000000001</v>
      </c>
      <c r="V11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11.05 /  </v>
      </c>
      <c r="W1175" s="18" t="str">
        <f>IFERROR(IF(LEFT(ICE[[#This Row],[Tenor]], 1) = "B", RTD("esrtd",,$B1175 &amp; " " &amp; ICE[[#This Row],[Tenor]] &amp; "-IEU", W$1), RTD("esrtd",,$B1175 &amp; " " &amp; VLOOKUP(MONTH(ICE[[#This Row],[Strip]]), MthRef[], 2, 0) &amp; RIGHT(YEAR(ICE[[#This Row],[Strip]]), 2) &amp; "-IEU", W$1)), "")</f>
        <v/>
      </c>
      <c r="X1175" s="36"/>
    </row>
    <row r="1176" spans="1:24" x14ac:dyDescent="0.25">
      <c r="A1176" s="37" t="s">
        <v>836</v>
      </c>
      <c r="B1176" s="3" t="str">
        <f>RTD("ice.rtd",,$C1176 &amp; $D1176 &amp; ":" &amp; B$1)</f>
        <v>MFT</v>
      </c>
      <c r="C1176" s="3">
        <v>2427026287</v>
      </c>
      <c r="D1176" t="s">
        <v>816</v>
      </c>
      <c r="E1176" s="3" t="str">
        <f>RTD("ice.rtd",,$C1176 &amp; $D1176 &amp; ":" &amp; E$1)</f>
        <v>Q2 27</v>
      </c>
      <c r="F1176" s="3" t="str">
        <f>ICE[[#This Row],[Prod]]&amp;ICE[[#This Row],[Strip]]</f>
        <v>fo05singbrxbblQ2 27</v>
      </c>
      <c r="G1176" s="18" t="str">
        <f>RTD("ice.rtd",,$C1176 &amp; $D1176 &amp; ":" &amp; G$1)</f>
        <v/>
      </c>
      <c r="H1176" s="18" t="str">
        <f>RTD("ice.rtd",,$C1176 &amp; $D1176 &amp; ":" &amp; H$1)</f>
        <v/>
      </c>
      <c r="I1176" s="18" t="str">
        <f>RTD("ice.rtd",,$C1176 &amp; $D1176 &amp; ":" &amp; I$1)</f>
        <v/>
      </c>
      <c r="J1176" s="14" t="str">
        <f>IFERROR(MOD(RTD("ice.rtd",,$C1176 &amp; $D1176 &amp; ":" &amp; J$1), 1), "")</f>
        <v/>
      </c>
      <c r="K1176" s="18" t="str">
        <f>RTD("ice.rtd",,$C1176 &amp; $D1176 &amp; ":" &amp; K$1)</f>
        <v/>
      </c>
      <c r="L1176" s="36" t="str">
        <f>RTD("ice.rtd",,$C1176 &amp; $D1176 &amp; ":" &amp; L$1)</f>
        <v/>
      </c>
      <c r="M1176" s="14" t="str">
        <f>IFERROR(MOD(TIMEVALUE(RTD("ice.rtd",,$C1176 &amp; $D1176 &amp; ":" &amp; M$1)), 1), "")</f>
        <v/>
      </c>
      <c r="N1176" s="36">
        <f>RTD("ice.rtd",,$C1176 &amp; $D1176 &amp; ":" &amp; N$1)</f>
        <v>0</v>
      </c>
      <c r="O1176" s="36">
        <f>RTD("ice.rtd",,$C1176 &amp; $D1176 &amp; ":" &amp; O$1)</f>
        <v>0</v>
      </c>
      <c r="P11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6" s="14" t="str">
        <f>IF(ICE[[#This Row],[LastType]] = "Scrn", ICE[[#This Row],[LstDate]], IF(ICE[[#This Row],[LastType]] = "Blk", ICE[[#This Row],[LstBlkTime]], ""))</f>
        <v/>
      </c>
      <c r="R1176" s="41" t="str">
        <f>IF(ICE[[#This Row],[LastType]] = "Scrn", ICE[[#This Row],[LstPrc]], IF(ICE[[#This Row],[LastType]] = "Blk", ICE[[#This Row],[LstBlkPrc]], ""))</f>
        <v/>
      </c>
      <c r="S1176" s="36">
        <f>ICE[[#This Row],[Vol]]+ICE[[#This Row],[BlkVol]]</f>
        <v>0</v>
      </c>
      <c r="T1176" s="36">
        <f>RTD("ice.rtd",,$C1176 &amp; $D1176 &amp; ":" &amp; T$1)</f>
        <v>0</v>
      </c>
      <c r="U1176" s="18">
        <f>RTD("ice.rtd",,$C1176 &amp; $D1176 &amp; ":" &amp; U$1)</f>
        <v>14.8566</v>
      </c>
      <c r="V11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6" s="18" t="str">
        <f>IFERROR(IF(LEFT(ICE[[#This Row],[Tenor]], 1) = "B", RTD("esrtd",,$B1176 &amp; " " &amp; ICE[[#This Row],[Tenor]] &amp; "-IEU", W$1), RTD("esrtd",,$B1176 &amp; " " &amp; VLOOKUP(MONTH(ICE[[#This Row],[Strip]]), MthRef[], 2, 0) &amp; RIGHT(YEAR(ICE[[#This Row],[Strip]]), 2) &amp; "-IEU", W$1)), "")</f>
        <v/>
      </c>
      <c r="X1176" s="36"/>
    </row>
    <row r="1177" spans="1:24" x14ac:dyDescent="0.25">
      <c r="A1177" s="37" t="s">
        <v>836</v>
      </c>
      <c r="B1177" s="3" t="str">
        <f>RTD("ice.rtd",,$C1177 &amp; $D1177 &amp; ":" &amp; B$1)</f>
        <v>MFT</v>
      </c>
      <c r="C1177" s="3">
        <v>2427026287</v>
      </c>
      <c r="D1177" t="s">
        <v>817</v>
      </c>
      <c r="E1177" s="3" t="str">
        <f>RTD("ice.rtd",,$C1177 &amp; $D1177 &amp; ":" &amp; E$1)</f>
        <v>Q3 27</v>
      </c>
      <c r="F1177" s="3" t="str">
        <f>ICE[[#This Row],[Prod]]&amp;ICE[[#This Row],[Strip]]</f>
        <v>fo05singbrxbblQ3 27</v>
      </c>
      <c r="G1177" s="18" t="str">
        <f>RTD("ice.rtd",,$C1177 &amp; $D1177 &amp; ":" &amp; G$1)</f>
        <v/>
      </c>
      <c r="H1177" s="18" t="str">
        <f>RTD("ice.rtd",,$C1177 &amp; $D1177 &amp; ":" &amp; H$1)</f>
        <v/>
      </c>
      <c r="I1177" s="18" t="str">
        <f>RTD("ice.rtd",,$C1177 &amp; $D1177 &amp; ":" &amp; I$1)</f>
        <v/>
      </c>
      <c r="J1177" s="14" t="str">
        <f>IFERROR(MOD(RTD("ice.rtd",,$C1177 &amp; $D1177 &amp; ":" &amp; J$1), 1), "")</f>
        <v/>
      </c>
      <c r="K1177" s="18" t="str">
        <f>RTD("ice.rtd",,$C1177 &amp; $D1177 &amp; ":" &amp; K$1)</f>
        <v/>
      </c>
      <c r="L1177" s="36" t="str">
        <f>RTD("ice.rtd",,$C1177 &amp; $D1177 &amp; ":" &amp; L$1)</f>
        <v/>
      </c>
      <c r="M1177" s="14" t="str">
        <f>IFERROR(MOD(TIMEVALUE(RTD("ice.rtd",,$C1177 &amp; $D1177 &amp; ":" &amp; M$1)), 1), "")</f>
        <v/>
      </c>
      <c r="N1177" s="36">
        <f>RTD("ice.rtd",,$C1177 &amp; $D1177 &amp; ":" &amp; N$1)</f>
        <v>0</v>
      </c>
      <c r="O1177" s="36">
        <f>RTD("ice.rtd",,$C1177 &amp; $D1177 &amp; ":" &amp; O$1)</f>
        <v>0</v>
      </c>
      <c r="P11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7" s="14" t="str">
        <f>IF(ICE[[#This Row],[LastType]] = "Scrn", ICE[[#This Row],[LstDate]], IF(ICE[[#This Row],[LastType]] = "Blk", ICE[[#This Row],[LstBlkTime]], ""))</f>
        <v/>
      </c>
      <c r="R1177" s="41" t="str">
        <f>IF(ICE[[#This Row],[LastType]] = "Scrn", ICE[[#This Row],[LstPrc]], IF(ICE[[#This Row],[LastType]] = "Blk", ICE[[#This Row],[LstBlkPrc]], ""))</f>
        <v/>
      </c>
      <c r="S1177" s="36">
        <f>ICE[[#This Row],[Vol]]+ICE[[#This Row],[BlkVol]]</f>
        <v>0</v>
      </c>
      <c r="T1177" s="36">
        <f>RTD("ice.rtd",,$C1177 &amp; $D1177 &amp; ":" &amp; T$1)</f>
        <v>0</v>
      </c>
      <c r="U1177" s="18">
        <f>RTD("ice.rtd",,$C1177 &amp; $D1177 &amp; ":" &amp; U$1)</f>
        <v>14.139000000000001</v>
      </c>
      <c r="V11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7" s="18" t="str">
        <f>IFERROR(IF(LEFT(ICE[[#This Row],[Tenor]], 1) = "B", RTD("esrtd",,$B1177 &amp; " " &amp; ICE[[#This Row],[Tenor]] &amp; "-IEU", W$1), RTD("esrtd",,$B1177 &amp; " " &amp; VLOOKUP(MONTH(ICE[[#This Row],[Strip]]), MthRef[], 2, 0) &amp; RIGHT(YEAR(ICE[[#This Row],[Strip]]), 2) &amp; "-IEU", W$1)), "")</f>
        <v/>
      </c>
      <c r="X1177" s="36"/>
    </row>
    <row r="1178" spans="1:24" x14ac:dyDescent="0.25">
      <c r="A1178" s="37" t="s">
        <v>836</v>
      </c>
      <c r="B1178" s="3" t="str">
        <f>RTD("ice.rtd",,$C1178 &amp; $D1178 &amp; ":" &amp; B$1)</f>
        <v>MFT</v>
      </c>
      <c r="C1178" s="3">
        <v>2427026287</v>
      </c>
      <c r="D1178" t="s">
        <v>818</v>
      </c>
      <c r="E1178" s="3" t="str">
        <f>RTD("ice.rtd",,$C1178 &amp; $D1178 &amp; ":" &amp; E$1)</f>
        <v>Q4 27</v>
      </c>
      <c r="F1178" s="3" t="str">
        <f>ICE[[#This Row],[Prod]]&amp;ICE[[#This Row],[Strip]]</f>
        <v>fo05singbrxbblQ4 27</v>
      </c>
      <c r="G1178" s="18" t="str">
        <f>RTD("ice.rtd",,$C1178 &amp; $D1178 &amp; ":" &amp; G$1)</f>
        <v/>
      </c>
      <c r="H1178" s="18" t="str">
        <f>RTD("ice.rtd",,$C1178 &amp; $D1178 &amp; ":" &amp; H$1)</f>
        <v/>
      </c>
      <c r="I1178" s="18" t="str">
        <f>RTD("ice.rtd",,$C1178 &amp; $D1178 &amp; ":" &amp; I$1)</f>
        <v/>
      </c>
      <c r="J1178" s="14" t="str">
        <f>IFERROR(MOD(RTD("ice.rtd",,$C1178 &amp; $D1178 &amp; ":" &amp; J$1), 1), "")</f>
        <v/>
      </c>
      <c r="K1178" s="18" t="str">
        <f>RTD("ice.rtd",,$C1178 &amp; $D1178 &amp; ":" &amp; K$1)</f>
        <v/>
      </c>
      <c r="L1178" s="36" t="str">
        <f>RTD("ice.rtd",,$C1178 &amp; $D1178 &amp; ":" &amp; L$1)</f>
        <v/>
      </c>
      <c r="M1178" s="14" t="str">
        <f>IFERROR(MOD(TIMEVALUE(RTD("ice.rtd",,$C1178 &amp; $D1178 &amp; ":" &amp; M$1)), 1), "")</f>
        <v/>
      </c>
      <c r="N1178" s="36">
        <f>RTD("ice.rtd",,$C1178 &amp; $D1178 &amp; ":" &amp; N$1)</f>
        <v>0</v>
      </c>
      <c r="O1178" s="36">
        <f>RTD("ice.rtd",,$C1178 &amp; $D1178 &amp; ":" &amp; O$1)</f>
        <v>0</v>
      </c>
      <c r="P11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8" s="14" t="str">
        <f>IF(ICE[[#This Row],[LastType]] = "Scrn", ICE[[#This Row],[LstDate]], IF(ICE[[#This Row],[LastType]] = "Blk", ICE[[#This Row],[LstBlkTime]], ""))</f>
        <v/>
      </c>
      <c r="R1178" s="41" t="str">
        <f>IF(ICE[[#This Row],[LastType]] = "Scrn", ICE[[#This Row],[LstPrc]], IF(ICE[[#This Row],[LastType]] = "Blk", ICE[[#This Row],[LstBlkPrc]], ""))</f>
        <v/>
      </c>
      <c r="S1178" s="36">
        <f>ICE[[#This Row],[Vol]]+ICE[[#This Row],[BlkVol]]</f>
        <v>0</v>
      </c>
      <c r="T1178" s="36">
        <f>RTD("ice.rtd",,$C1178 &amp; $D1178 &amp; ":" &amp; T$1)</f>
        <v>0</v>
      </c>
      <c r="U1178" s="18">
        <f>RTD("ice.rtd",,$C1178 &amp; $D1178 &amp; ":" &amp; U$1)</f>
        <v>13.3109</v>
      </c>
      <c r="V11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8" s="18" t="str">
        <f>IFERROR(IF(LEFT(ICE[[#This Row],[Tenor]], 1) = "B", RTD("esrtd",,$B1178 &amp; " " &amp; ICE[[#This Row],[Tenor]] &amp; "-IEU", W$1), RTD("esrtd",,$B1178 &amp; " " &amp; VLOOKUP(MONTH(ICE[[#This Row],[Strip]]), MthRef[], 2, 0) &amp; RIGHT(YEAR(ICE[[#This Row],[Strip]]), 2) &amp; "-IEU", W$1)), "")</f>
        <v/>
      </c>
      <c r="X1178" s="36"/>
    </row>
    <row r="1179" spans="1:24" x14ac:dyDescent="0.25">
      <c r="A1179" s="37" t="s">
        <v>836</v>
      </c>
      <c r="B1179" s="3" t="str">
        <f>RTD("ice.rtd",,$C1179 &amp; $D1179 &amp; ":" &amp; B$1)</f>
        <v>MFT</v>
      </c>
      <c r="C1179" s="3">
        <v>2427026287</v>
      </c>
      <c r="D1179" t="s">
        <v>819</v>
      </c>
      <c r="E1179" s="3" t="str">
        <f>RTD("ice.rtd",,$C1179 &amp; $D1179 &amp; ":" &amp; E$1)</f>
        <v>Q1 28</v>
      </c>
      <c r="F1179" s="3" t="str">
        <f>ICE[[#This Row],[Prod]]&amp;ICE[[#This Row],[Strip]]</f>
        <v>fo05singbrxbblQ1 28</v>
      </c>
      <c r="G1179" s="18" t="str">
        <f>RTD("ice.rtd",,$C1179 &amp; $D1179 &amp; ":" &amp; G$1)</f>
        <v/>
      </c>
      <c r="H1179" s="18" t="str">
        <f>RTD("ice.rtd",,$C1179 &amp; $D1179 &amp; ":" &amp; H$1)</f>
        <v/>
      </c>
      <c r="I1179" s="18" t="str">
        <f>RTD("ice.rtd",,$C1179 &amp; $D1179 &amp; ":" &amp; I$1)</f>
        <v/>
      </c>
      <c r="J1179" s="14" t="str">
        <f>IFERROR(MOD(RTD("ice.rtd",,$C1179 &amp; $D1179 &amp; ":" &amp; J$1), 1), "")</f>
        <v/>
      </c>
      <c r="K1179" s="18" t="str">
        <f>RTD("ice.rtd",,$C1179 &amp; $D1179 &amp; ":" &amp; K$1)</f>
        <v/>
      </c>
      <c r="L1179" s="36" t="str">
        <f>RTD("ice.rtd",,$C1179 &amp; $D1179 &amp; ":" &amp; L$1)</f>
        <v/>
      </c>
      <c r="M1179" s="14" t="str">
        <f>IFERROR(MOD(TIMEVALUE(RTD("ice.rtd",,$C1179 &amp; $D1179 &amp; ":" &amp; M$1)), 1), "")</f>
        <v/>
      </c>
      <c r="N1179" s="36">
        <f>RTD("ice.rtd",,$C1179 &amp; $D1179 &amp; ":" &amp; N$1)</f>
        <v>0</v>
      </c>
      <c r="O1179" s="36">
        <f>RTD("ice.rtd",,$C1179 &amp; $D1179 &amp; ":" &amp; O$1)</f>
        <v>0</v>
      </c>
      <c r="P11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79" s="14" t="str">
        <f>IF(ICE[[#This Row],[LastType]] = "Scrn", ICE[[#This Row],[LstDate]], IF(ICE[[#This Row],[LastType]] = "Blk", ICE[[#This Row],[LstBlkTime]], ""))</f>
        <v/>
      </c>
      <c r="R1179" s="41" t="str">
        <f>IF(ICE[[#This Row],[LastType]] = "Scrn", ICE[[#This Row],[LstPrc]], IF(ICE[[#This Row],[LastType]] = "Blk", ICE[[#This Row],[LstBlkPrc]], ""))</f>
        <v/>
      </c>
      <c r="S1179" s="36">
        <f>ICE[[#This Row],[Vol]]+ICE[[#This Row],[BlkVol]]</f>
        <v>0</v>
      </c>
      <c r="T1179" s="36">
        <f>RTD("ice.rtd",,$C1179 &amp; $D1179 &amp; ":" &amp; T$1)</f>
        <v>0</v>
      </c>
      <c r="U1179" s="18">
        <f>RTD("ice.rtd",,$C1179 &amp; $D1179 &amp; ":" &amp; U$1)</f>
        <v>12.852500000000001</v>
      </c>
      <c r="V11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79" s="18" t="str">
        <f>IFERROR(IF(LEFT(ICE[[#This Row],[Tenor]], 1) = "B", RTD("esrtd",,$B1179 &amp; " " &amp; ICE[[#This Row],[Tenor]] &amp; "-IEU", W$1), RTD("esrtd",,$B1179 &amp; " " &amp; VLOOKUP(MONTH(ICE[[#This Row],[Strip]]), MthRef[], 2, 0) &amp; RIGHT(YEAR(ICE[[#This Row],[Strip]]), 2) &amp; "-IEU", W$1)), "")</f>
        <v/>
      </c>
      <c r="X1179" s="36"/>
    </row>
    <row r="1180" spans="1:24" x14ac:dyDescent="0.25">
      <c r="A1180" s="37" t="s">
        <v>836</v>
      </c>
      <c r="B1180" s="3" t="str">
        <f>RTD("ice.rtd",,$C1180 &amp; $D1180 &amp; ":" &amp; B$1)</f>
        <v>MFT</v>
      </c>
      <c r="C1180" s="3">
        <v>2427026287</v>
      </c>
      <c r="D1180" t="s">
        <v>229</v>
      </c>
      <c r="E1180" s="3" t="str">
        <f>RTD("ice.rtd",,$C1180 &amp; $D1180 &amp; ":" &amp; E$1)</f>
        <v>Q2 28</v>
      </c>
      <c r="F1180" s="3" t="str">
        <f>ICE[[#This Row],[Prod]]&amp;ICE[[#This Row],[Strip]]</f>
        <v>fo05singbrxbblQ2 28</v>
      </c>
      <c r="G1180" s="18" t="str">
        <f>RTD("ice.rtd",,$C1180 &amp; $D1180 &amp; ":" &amp; G$1)</f>
        <v/>
      </c>
      <c r="H1180" s="18" t="str">
        <f>RTD("ice.rtd",,$C1180 &amp; $D1180 &amp; ":" &amp; H$1)</f>
        <v/>
      </c>
      <c r="I1180" s="18" t="str">
        <f>RTD("ice.rtd",,$C1180 &amp; $D1180 &amp; ":" &amp; I$1)</f>
        <v/>
      </c>
      <c r="J1180" s="14" t="str">
        <f>IFERROR(MOD(RTD("ice.rtd",,$C1180 &amp; $D1180 &amp; ":" &amp; J$1), 1), "")</f>
        <v/>
      </c>
      <c r="K1180" s="18" t="str">
        <f>RTD("ice.rtd",,$C1180 &amp; $D1180 &amp; ":" &amp; K$1)</f>
        <v/>
      </c>
      <c r="L1180" s="36" t="str">
        <f>RTD("ice.rtd",,$C1180 &amp; $D1180 &amp; ":" &amp; L$1)</f>
        <v/>
      </c>
      <c r="M1180" s="14" t="str">
        <f>IFERROR(MOD(TIMEVALUE(RTD("ice.rtd",,$C1180 &amp; $D1180 &amp; ":" &amp; M$1)), 1), "")</f>
        <v/>
      </c>
      <c r="N1180" s="36">
        <f>RTD("ice.rtd",,$C1180 &amp; $D1180 &amp; ":" &amp; N$1)</f>
        <v>0</v>
      </c>
      <c r="O1180" s="36">
        <f>RTD("ice.rtd",,$C1180 &amp; $D1180 &amp; ":" &amp; O$1)</f>
        <v>0</v>
      </c>
      <c r="P11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0" s="14" t="str">
        <f>IF(ICE[[#This Row],[LastType]] = "Scrn", ICE[[#This Row],[LstDate]], IF(ICE[[#This Row],[LastType]] = "Blk", ICE[[#This Row],[LstBlkTime]], ""))</f>
        <v/>
      </c>
      <c r="R1180" s="41" t="str">
        <f>IF(ICE[[#This Row],[LastType]] = "Scrn", ICE[[#This Row],[LstPrc]], IF(ICE[[#This Row],[LastType]] = "Blk", ICE[[#This Row],[LstBlkPrc]], ""))</f>
        <v/>
      </c>
      <c r="S1180" s="36">
        <f>ICE[[#This Row],[Vol]]+ICE[[#This Row],[BlkVol]]</f>
        <v>0</v>
      </c>
      <c r="T1180" s="36">
        <f>RTD("ice.rtd",,$C1180 &amp; $D1180 &amp; ":" &amp; T$1)</f>
        <v>0</v>
      </c>
      <c r="U1180" s="18">
        <f>RTD("ice.rtd",,$C1180 &amp; $D1180 &amp; ":" &amp; U$1)</f>
        <v>12.6448</v>
      </c>
      <c r="V11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80" s="18" t="str">
        <f>IFERROR(IF(LEFT(ICE[[#This Row],[Tenor]], 1) = "B", RTD("esrtd",,$B1180 &amp; " " &amp; ICE[[#This Row],[Tenor]] &amp; "-IEU", W$1), RTD("esrtd",,$B1180 &amp; " " &amp; VLOOKUP(MONTH(ICE[[#This Row],[Strip]]), MthRef[], 2, 0) &amp; RIGHT(YEAR(ICE[[#This Row],[Strip]]), 2) &amp; "-IEU", W$1)), "")</f>
        <v/>
      </c>
      <c r="X1180" s="36"/>
    </row>
    <row r="1181" spans="1:24" x14ac:dyDescent="0.25">
      <c r="A1181" s="37" t="s">
        <v>836</v>
      </c>
      <c r="B1181" s="3" t="str">
        <f>RTD("ice.rtd",,$C1181 &amp; $D1181 &amp; ":" &amp; B$1)</f>
        <v>MFT</v>
      </c>
      <c r="C1181" s="3">
        <v>2427026287</v>
      </c>
      <c r="D1181" t="s">
        <v>820</v>
      </c>
      <c r="E1181" s="3" t="str">
        <f>RTD("ice.rtd",,$C1181 &amp; $D1181 &amp; ":" &amp; E$1)</f>
        <v>Q3 28</v>
      </c>
      <c r="F1181" s="3" t="str">
        <f>ICE[[#This Row],[Prod]]&amp;ICE[[#This Row],[Strip]]</f>
        <v>fo05singbrxbblQ3 28</v>
      </c>
      <c r="G1181" s="18" t="str">
        <f>RTD("ice.rtd",,$C1181 &amp; $D1181 &amp; ":" &amp; G$1)</f>
        <v/>
      </c>
      <c r="H1181" s="18" t="str">
        <f>RTD("ice.rtd",,$C1181 &amp; $D1181 &amp; ":" &amp; H$1)</f>
        <v/>
      </c>
      <c r="I1181" s="18" t="str">
        <f>RTD("ice.rtd",,$C1181 &amp; $D1181 &amp; ":" &amp; I$1)</f>
        <v/>
      </c>
      <c r="J1181" s="14" t="str">
        <f>IFERROR(MOD(RTD("ice.rtd",,$C1181 &amp; $D1181 &amp; ":" &amp; J$1), 1), "")</f>
        <v/>
      </c>
      <c r="K1181" s="18" t="str">
        <f>RTD("ice.rtd",,$C1181 &amp; $D1181 &amp; ":" &amp; K$1)</f>
        <v/>
      </c>
      <c r="L1181" s="36" t="str">
        <f>RTD("ice.rtd",,$C1181 &amp; $D1181 &amp; ":" &amp; L$1)</f>
        <v/>
      </c>
      <c r="M1181" s="14" t="str">
        <f>IFERROR(MOD(TIMEVALUE(RTD("ice.rtd",,$C1181 &amp; $D1181 &amp; ":" &amp; M$1)), 1), "")</f>
        <v/>
      </c>
      <c r="N1181" s="36">
        <f>RTD("ice.rtd",,$C1181 &amp; $D1181 &amp; ":" &amp; N$1)</f>
        <v>0</v>
      </c>
      <c r="O1181" s="36">
        <f>RTD("ice.rtd",,$C1181 &amp; $D1181 &amp; ":" &amp; O$1)</f>
        <v>0</v>
      </c>
      <c r="P11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1" s="14" t="str">
        <f>IF(ICE[[#This Row],[LastType]] = "Scrn", ICE[[#This Row],[LstDate]], IF(ICE[[#This Row],[LastType]] = "Blk", ICE[[#This Row],[LstBlkTime]], ""))</f>
        <v/>
      </c>
      <c r="R1181" s="41" t="str">
        <f>IF(ICE[[#This Row],[LastType]] = "Scrn", ICE[[#This Row],[LstPrc]], IF(ICE[[#This Row],[LastType]] = "Blk", ICE[[#This Row],[LstBlkPrc]], ""))</f>
        <v/>
      </c>
      <c r="S1181" s="36">
        <f>ICE[[#This Row],[Vol]]+ICE[[#This Row],[BlkVol]]</f>
        <v>0</v>
      </c>
      <c r="T1181" s="36">
        <f>RTD("ice.rtd",,$C1181 &amp; $D1181 &amp; ":" &amp; T$1)</f>
        <v>0</v>
      </c>
      <c r="U1181" s="18">
        <f>RTD("ice.rtd",,$C1181 &amp; $D1181 &amp; ":" &amp; U$1)</f>
        <v>12.481200000000001</v>
      </c>
      <c r="V11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81" s="18" t="str">
        <f>IFERROR(IF(LEFT(ICE[[#This Row],[Tenor]], 1) = "B", RTD("esrtd",,$B1181 &amp; " " &amp; ICE[[#This Row],[Tenor]] &amp; "-IEU", W$1), RTD("esrtd",,$B1181 &amp; " " &amp; VLOOKUP(MONTH(ICE[[#This Row],[Strip]]), MthRef[], 2, 0) &amp; RIGHT(YEAR(ICE[[#This Row],[Strip]]), 2) &amp; "-IEU", W$1)), "")</f>
        <v/>
      </c>
      <c r="X1181" s="36"/>
    </row>
    <row r="1182" spans="1:24" x14ac:dyDescent="0.25">
      <c r="A1182" s="37" t="s">
        <v>836</v>
      </c>
      <c r="B1182" s="3" t="str">
        <f>RTD("ice.rtd",,$C1182 &amp; $D1182 &amp; ":" &amp; B$1)</f>
        <v>MFT</v>
      </c>
      <c r="C1182" s="3">
        <v>2427026287</v>
      </c>
      <c r="D1182" t="s">
        <v>821</v>
      </c>
      <c r="E1182" s="3" t="str">
        <f>RTD("ice.rtd",,$C1182 &amp; $D1182 &amp; ":" &amp; E$1)</f>
        <v>Q4 28</v>
      </c>
      <c r="F1182" s="3" t="str">
        <f>ICE[[#This Row],[Prod]]&amp;ICE[[#This Row],[Strip]]</f>
        <v>fo05singbrxbblQ4 28</v>
      </c>
      <c r="G1182" s="18" t="str">
        <f>RTD("ice.rtd",,$C1182 &amp; $D1182 &amp; ":" &amp; G$1)</f>
        <v/>
      </c>
      <c r="H1182" s="18" t="str">
        <f>RTD("ice.rtd",,$C1182 &amp; $D1182 &amp; ":" &amp; H$1)</f>
        <v/>
      </c>
      <c r="I1182" s="18" t="str">
        <f>RTD("ice.rtd",,$C1182 &amp; $D1182 &amp; ":" &amp; I$1)</f>
        <v/>
      </c>
      <c r="J1182" s="14" t="str">
        <f>IFERROR(MOD(RTD("ice.rtd",,$C1182 &amp; $D1182 &amp; ":" &amp; J$1), 1), "")</f>
        <v/>
      </c>
      <c r="K1182" s="18" t="str">
        <f>RTD("ice.rtd",,$C1182 &amp; $D1182 &amp; ":" &amp; K$1)</f>
        <v/>
      </c>
      <c r="L1182" s="36" t="str">
        <f>RTD("ice.rtd",,$C1182 &amp; $D1182 &amp; ":" &amp; L$1)</f>
        <v/>
      </c>
      <c r="M1182" s="14" t="str">
        <f>IFERROR(MOD(TIMEVALUE(RTD("ice.rtd",,$C1182 &amp; $D1182 &amp; ":" &amp; M$1)), 1), "")</f>
        <v/>
      </c>
      <c r="N1182" s="36">
        <f>RTD("ice.rtd",,$C1182 &amp; $D1182 &amp; ":" &amp; N$1)</f>
        <v>0</v>
      </c>
      <c r="O1182" s="36">
        <f>RTD("ice.rtd",,$C1182 &amp; $D1182 &amp; ":" &amp; O$1)</f>
        <v>0</v>
      </c>
      <c r="P11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2" s="14" t="str">
        <f>IF(ICE[[#This Row],[LastType]] = "Scrn", ICE[[#This Row],[LstDate]], IF(ICE[[#This Row],[LastType]] = "Blk", ICE[[#This Row],[LstBlkTime]], ""))</f>
        <v/>
      </c>
      <c r="R1182" s="41" t="str">
        <f>IF(ICE[[#This Row],[LastType]] = "Scrn", ICE[[#This Row],[LstPrc]], IF(ICE[[#This Row],[LastType]] = "Blk", ICE[[#This Row],[LstBlkPrc]], ""))</f>
        <v/>
      </c>
      <c r="S1182" s="36">
        <f>ICE[[#This Row],[Vol]]+ICE[[#This Row],[BlkVol]]</f>
        <v>0</v>
      </c>
      <c r="T1182" s="36">
        <f>RTD("ice.rtd",,$C1182 &amp; $D1182 &amp; ":" &amp; T$1)</f>
        <v>0</v>
      </c>
      <c r="U1182" s="18">
        <f>RTD("ice.rtd",,$C1182 &amp; $D1182 &amp; ":" &amp; U$1)</f>
        <v>12.247100000000001</v>
      </c>
      <c r="V11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82" s="18" t="str">
        <f>IFERROR(IF(LEFT(ICE[[#This Row],[Tenor]], 1) = "B", RTD("esrtd",,$B1182 &amp; " " &amp; ICE[[#This Row],[Tenor]] &amp; "-IEU", W$1), RTD("esrtd",,$B1182 &amp; " " &amp; VLOOKUP(MONTH(ICE[[#This Row],[Strip]]), MthRef[], 2, 0) &amp; RIGHT(YEAR(ICE[[#This Row],[Strip]]), 2) &amp; "-IEU", W$1)), "")</f>
        <v/>
      </c>
      <c r="X1182" s="36"/>
    </row>
    <row r="1183" spans="1:24" x14ac:dyDescent="0.25">
      <c r="A1183" s="37" t="s">
        <v>836</v>
      </c>
      <c r="B1183" s="3" t="str">
        <f>RTD("ice.rtd",,$C1183 &amp; $D1183 &amp; ":" &amp; B$1)</f>
        <v>MFT</v>
      </c>
      <c r="C1183" s="3">
        <v>2427026287</v>
      </c>
      <c r="D1183" t="s">
        <v>822</v>
      </c>
      <c r="E1183" s="3" t="str">
        <f>RTD("ice.rtd",,$C1183 &amp; $D1183 &amp; ":" &amp; E$1)</f>
        <v>Cal 27</v>
      </c>
      <c r="F1183" s="3" t="str">
        <f>ICE[[#This Row],[Prod]]&amp;ICE[[#This Row],[Strip]]</f>
        <v>fo05singbrxbblCal 27</v>
      </c>
      <c r="G1183" s="18" t="str">
        <f>RTD("ice.rtd",,$C1183 &amp; $D1183 &amp; ":" &amp; G$1)</f>
        <v/>
      </c>
      <c r="H1183" s="18" t="str">
        <f>RTD("ice.rtd",,$C1183 &amp; $D1183 &amp; ":" &amp; H$1)</f>
        <v/>
      </c>
      <c r="I1183" s="18" t="str">
        <f>RTD("ice.rtd",,$C1183 &amp; $D1183 &amp; ":" &amp; I$1)</f>
        <v/>
      </c>
      <c r="J1183" s="14" t="str">
        <f>IFERROR(MOD(RTD("ice.rtd",,$C1183 &amp; $D1183 &amp; ":" &amp; J$1), 1), "")</f>
        <v/>
      </c>
      <c r="K1183" s="18" t="str">
        <f>RTD("ice.rtd",,$C1183 &amp; $D1183 &amp; ":" &amp; K$1)</f>
        <v/>
      </c>
      <c r="L1183" s="36" t="str">
        <f>RTD("ice.rtd",,$C1183 &amp; $D1183 &amp; ":" &amp; L$1)</f>
        <v/>
      </c>
      <c r="M1183" s="14" t="str">
        <f>IFERROR(MOD(TIMEVALUE(RTD("ice.rtd",,$C1183 &amp; $D1183 &amp; ":" &amp; M$1)), 1), "")</f>
        <v/>
      </c>
      <c r="N1183" s="36">
        <f>RTD("ice.rtd",,$C1183 &amp; $D1183 &amp; ":" &amp; N$1)</f>
        <v>0</v>
      </c>
      <c r="O1183" s="36">
        <f>RTD("ice.rtd",,$C1183 &amp; $D1183 &amp; ":" &amp; O$1)</f>
        <v>0</v>
      </c>
      <c r="P11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3" s="14" t="str">
        <f>IF(ICE[[#This Row],[LastType]] = "Scrn", ICE[[#This Row],[LstDate]], IF(ICE[[#This Row],[LastType]] = "Blk", ICE[[#This Row],[LstBlkTime]], ""))</f>
        <v/>
      </c>
      <c r="R1183" s="41" t="str">
        <f>IF(ICE[[#This Row],[LastType]] = "Scrn", ICE[[#This Row],[LstPrc]], IF(ICE[[#This Row],[LastType]] = "Blk", ICE[[#This Row],[LstBlkPrc]], ""))</f>
        <v/>
      </c>
      <c r="S1183" s="36">
        <f>ICE[[#This Row],[Vol]]+ICE[[#This Row],[BlkVol]]</f>
        <v>0</v>
      </c>
      <c r="T1183" s="36">
        <f>RTD("ice.rtd",,$C1183 &amp; $D1183 &amp; ":" &amp; T$1)</f>
        <v>0</v>
      </c>
      <c r="U1183" s="18">
        <f>RTD("ice.rtd",,$C1183 &amp; $D1183 &amp; ":" &amp; U$1)</f>
        <v>14.441600000000001</v>
      </c>
      <c r="V11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83" s="18" t="str">
        <f>IFERROR(IF(LEFT(ICE[[#This Row],[Tenor]], 1) = "B", RTD("esrtd",,$B1183 &amp; " " &amp; ICE[[#This Row],[Tenor]] &amp; "-IEU", W$1), RTD("esrtd",,$B1183 &amp; " " &amp; VLOOKUP(MONTH(ICE[[#This Row],[Strip]]), MthRef[], 2, 0) &amp; RIGHT(YEAR(ICE[[#This Row],[Strip]]), 2) &amp; "-IEU", W$1)), "")</f>
        <v/>
      </c>
      <c r="X1183" s="36"/>
    </row>
    <row r="1184" spans="1:24" x14ac:dyDescent="0.25">
      <c r="A1184" s="37" t="s">
        <v>836</v>
      </c>
      <c r="B1184" s="3" t="str">
        <f>RTD("ice.rtd",,$C1184 &amp; $D1184 &amp; ":" &amp; B$1)</f>
        <v>MFT</v>
      </c>
      <c r="C1184" s="3">
        <v>2427026287</v>
      </c>
      <c r="D1184" t="s">
        <v>823</v>
      </c>
      <c r="E1184" s="3" t="str">
        <f>RTD("ice.rtd",,$C1184 &amp; $D1184 &amp; ":" &amp; E$1)</f>
        <v>Cal 28</v>
      </c>
      <c r="F1184" s="3" t="str">
        <f>ICE[[#This Row],[Prod]]&amp;ICE[[#This Row],[Strip]]</f>
        <v>fo05singbrxbblCal 28</v>
      </c>
      <c r="G1184" s="18" t="str">
        <f>RTD("ice.rtd",,$C1184 &amp; $D1184 &amp; ":" &amp; G$1)</f>
        <v/>
      </c>
      <c r="H1184" s="18" t="str">
        <f>RTD("ice.rtd",,$C1184 &amp; $D1184 &amp; ":" &amp; H$1)</f>
        <v/>
      </c>
      <c r="I1184" s="18" t="str">
        <f>RTD("ice.rtd",,$C1184 &amp; $D1184 &amp; ":" &amp; I$1)</f>
        <v/>
      </c>
      <c r="J1184" s="14" t="str">
        <f>IFERROR(MOD(RTD("ice.rtd",,$C1184 &amp; $D1184 &amp; ":" &amp; J$1), 1), "")</f>
        <v/>
      </c>
      <c r="K1184" s="18" t="str">
        <f>RTD("ice.rtd",,$C1184 &amp; $D1184 &amp; ":" &amp; K$1)</f>
        <v/>
      </c>
      <c r="L1184" s="36" t="str">
        <f>RTD("ice.rtd",,$C1184 &amp; $D1184 &amp; ":" &amp; L$1)</f>
        <v/>
      </c>
      <c r="M1184" s="14" t="str">
        <f>IFERROR(MOD(TIMEVALUE(RTD("ice.rtd",,$C1184 &amp; $D1184 &amp; ":" &amp; M$1)), 1), "")</f>
        <v/>
      </c>
      <c r="N1184" s="36">
        <f>RTD("ice.rtd",,$C1184 &amp; $D1184 &amp; ":" &amp; N$1)</f>
        <v>0</v>
      </c>
      <c r="O1184" s="36">
        <f>RTD("ice.rtd",,$C1184 &amp; $D1184 &amp; ":" &amp; O$1)</f>
        <v>0</v>
      </c>
      <c r="P11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4" s="14" t="str">
        <f>IF(ICE[[#This Row],[LastType]] = "Scrn", ICE[[#This Row],[LstDate]], IF(ICE[[#This Row],[LastType]] = "Blk", ICE[[#This Row],[LstBlkTime]], ""))</f>
        <v/>
      </c>
      <c r="R1184" s="41" t="str">
        <f>IF(ICE[[#This Row],[LastType]] = "Scrn", ICE[[#This Row],[LstPrc]], IF(ICE[[#This Row],[LastType]] = "Blk", ICE[[#This Row],[LstBlkPrc]], ""))</f>
        <v/>
      </c>
      <c r="S1184" s="36">
        <f>ICE[[#This Row],[Vol]]+ICE[[#This Row],[BlkVol]]</f>
        <v>0</v>
      </c>
      <c r="T1184" s="36">
        <f>RTD("ice.rtd",,$C1184 &amp; $D1184 &amp; ":" &amp; T$1)</f>
        <v>0</v>
      </c>
      <c r="U1184" s="18">
        <f>RTD("ice.rtd",,$C1184 &amp; $D1184 &amp; ":" &amp; U$1)</f>
        <v>12.5564</v>
      </c>
      <c r="V11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84" s="18" t="str">
        <f>IFERROR(IF(LEFT(ICE[[#This Row],[Tenor]], 1) = "B", RTD("esrtd",,$B1184 &amp; " " &amp; ICE[[#This Row],[Tenor]] &amp; "-IEU", W$1), RTD("esrtd",,$B1184 &amp; " " &amp; VLOOKUP(MONTH(ICE[[#This Row],[Strip]]), MthRef[], 2, 0) &amp; RIGHT(YEAR(ICE[[#This Row],[Strip]]), 2) &amp; "-IEU", W$1)), "")</f>
        <v/>
      </c>
      <c r="X1184" s="36"/>
    </row>
    <row r="1185" spans="1:24" x14ac:dyDescent="0.25">
      <c r="A1185" s="37" t="s">
        <v>836</v>
      </c>
      <c r="B1185" s="3" t="str">
        <f>RTD("ice.rtd",,$C1185 &amp; $D1185 &amp; ":" &amp; B$1)</f>
        <v>MFT</v>
      </c>
      <c r="C1185" s="3">
        <v>2427026287</v>
      </c>
      <c r="D1185" t="s">
        <v>824</v>
      </c>
      <c r="E1185" s="3" t="str">
        <f>RTD("ice.rtd",,$C1185 &amp; $D1185 &amp; ":" &amp; E$1)</f>
        <v>Cal 29</v>
      </c>
      <c r="F1185" s="3" t="str">
        <f>ICE[[#This Row],[Prod]]&amp;ICE[[#This Row],[Strip]]</f>
        <v>fo05singbrxbblCal 29</v>
      </c>
      <c r="G1185" s="18" t="str">
        <f>RTD("ice.rtd",,$C1185 &amp; $D1185 &amp; ":" &amp; G$1)</f>
        <v/>
      </c>
      <c r="H1185" s="18" t="str">
        <f>RTD("ice.rtd",,$C1185 &amp; $D1185 &amp; ":" &amp; H$1)</f>
        <v/>
      </c>
      <c r="I1185" s="18" t="str">
        <f>RTD("ice.rtd",,$C1185 &amp; $D1185 &amp; ":" &amp; I$1)</f>
        <v/>
      </c>
      <c r="J1185" s="14" t="str">
        <f>IFERROR(MOD(RTD("ice.rtd",,$C1185 &amp; $D1185 &amp; ":" &amp; J$1), 1), "")</f>
        <v/>
      </c>
      <c r="K1185" s="18" t="str">
        <f>RTD("ice.rtd",,$C1185 &amp; $D1185 &amp; ":" &amp; K$1)</f>
        <v/>
      </c>
      <c r="L1185" s="36" t="str">
        <f>RTD("ice.rtd",,$C1185 &amp; $D1185 &amp; ":" &amp; L$1)</f>
        <v/>
      </c>
      <c r="M1185" s="14" t="str">
        <f>IFERROR(MOD(TIMEVALUE(RTD("ice.rtd",,$C1185 &amp; $D1185 &amp; ":" &amp; M$1)), 1), "")</f>
        <v/>
      </c>
      <c r="N1185" s="36">
        <f>RTD("ice.rtd",,$C1185 &amp; $D1185 &amp; ":" &amp; N$1)</f>
        <v>0</v>
      </c>
      <c r="O1185" s="36">
        <f>RTD("ice.rtd",,$C1185 &amp; $D1185 &amp; ":" &amp; O$1)</f>
        <v>0</v>
      </c>
      <c r="P11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5" s="14" t="str">
        <f>IF(ICE[[#This Row],[LastType]] = "Scrn", ICE[[#This Row],[LstDate]], IF(ICE[[#This Row],[LastType]] = "Blk", ICE[[#This Row],[LstBlkTime]], ""))</f>
        <v/>
      </c>
      <c r="R1185" s="41" t="str">
        <f>IF(ICE[[#This Row],[LastType]] = "Scrn", ICE[[#This Row],[LstPrc]], IF(ICE[[#This Row],[LastType]] = "Blk", ICE[[#This Row],[LstBlkPrc]], ""))</f>
        <v/>
      </c>
      <c r="S1185" s="36">
        <f>ICE[[#This Row],[Vol]]+ICE[[#This Row],[BlkVol]]</f>
        <v>0</v>
      </c>
      <c r="T1185" s="36">
        <f>RTD("ice.rtd",,$C1185 &amp; $D1185 &amp; ":" &amp; T$1)</f>
        <v>0</v>
      </c>
      <c r="U1185" s="18">
        <f>RTD("ice.rtd",,$C1185 &amp; $D1185 &amp; ":" &amp; U$1)</f>
        <v>13.130700000000001</v>
      </c>
      <c r="V11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85" s="18" t="str">
        <f>IFERROR(IF(LEFT(ICE[[#This Row],[Tenor]], 1) = "B", RTD("esrtd",,$B1185 &amp; " " &amp; ICE[[#This Row],[Tenor]] &amp; "-IEU", W$1), RTD("esrtd",,$B1185 &amp; " " &amp; VLOOKUP(MONTH(ICE[[#This Row],[Strip]]), MthRef[], 2, 0) &amp; RIGHT(YEAR(ICE[[#This Row],[Strip]]), 2) &amp; "-IEU", W$1)), "")</f>
        <v/>
      </c>
      <c r="X1185" s="36"/>
    </row>
    <row r="1186" spans="1:24" x14ac:dyDescent="0.25">
      <c r="A1186" s="71" t="s">
        <v>438</v>
      </c>
      <c r="B1186" s="87" t="str">
        <f>RTD("ice.rtd",,$C1186 &amp; $D1186 &amp; ":" &amp; B$1)</f>
        <v>Invalid Market: CALCB0</v>
      </c>
      <c r="C1186" s="72" t="s">
        <v>827</v>
      </c>
      <c r="D1186" s="73" t="s">
        <v>792</v>
      </c>
      <c r="E1186" s="81" t="s">
        <v>834</v>
      </c>
      <c r="F1186" s="72" t="str">
        <f>ICE[[#This Row],[Prod]]&amp;ICE[[#This Row],[Strip]]</f>
        <v>fo05singbrxBal Month</v>
      </c>
      <c r="G1186" s="75" t="str">
        <f>RTD("ice.rtd",,$C1186 &amp; $D1186 &amp; ":" &amp; G$1)</f>
        <v>Invalid Market: CALCB0</v>
      </c>
      <c r="H1186" s="75" t="str">
        <f>IF(ISNUMBER(H1110), IF(ISNUMBER(H1148), MAX(H1110, H1148), H1110), IF(ISNUMBER(H1148), H1148, ""))</f>
        <v/>
      </c>
      <c r="I1186" s="75" t="str">
        <f>RTD("ice.rtd",,$C1186 &amp; $D1186 &amp; ":" &amp; I$1)</f>
        <v>Invalid Market: CALCB0</v>
      </c>
      <c r="J1186" s="76" t="str">
        <f>IFERROR(MOD(RTD("ice.rtd",,$C1186 &amp; $D1186 &amp; ":" &amp; J$1), 1), "")</f>
        <v/>
      </c>
      <c r="K1186" s="75" t="str">
        <f>RTD("ice.rtd",,$C1186 &amp; $D1186 &amp; ":" &amp; K$1)</f>
        <v>Invalid Market: CALCB0</v>
      </c>
      <c r="L1186" s="74" t="str">
        <f>RTD("ice.rtd",,$C1186 &amp; $D1186 &amp; ":" &amp; L$1)</f>
        <v>Invalid Market: CALCB0</v>
      </c>
      <c r="M1186" s="76" t="str">
        <f>IFERROR(MOD(TIMEVALUE(RTD("ice.rtd",,$C1186 &amp; $D1186 &amp; ":" &amp; M$1)), 1), "")</f>
        <v/>
      </c>
      <c r="N1186" s="74" t="str">
        <f>RTD("ice.rtd",,$C1186 &amp; $D1186 &amp; ":" &amp; N$1)</f>
        <v>Invalid Market: CALCB0</v>
      </c>
      <c r="O1186" s="74" t="str">
        <f>RTD("ice.rtd",,$C1186 &amp; $D1186 &amp; ":" &amp; O$1)</f>
        <v>Invalid Market: CALCB0</v>
      </c>
      <c r="P1186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6" s="76" t="str">
        <f>IF(ICE[[#This Row],[LastType]] = "Scrn", ICE[[#This Row],[LstDate]], IF(ICE[[#This Row],[LastType]] = "Blk", ICE[[#This Row],[LstBlkTime]], ""))</f>
        <v/>
      </c>
      <c r="R1186" s="82" t="str">
        <f>IF(ISNUMBER(R1110), IF(ISNUMBER(R1148), IF(Q1110&gt;Q1148, R1110, R1148), R1110), IF(ISNUMBER(R1148), R1148, ""))</f>
        <v/>
      </c>
      <c r="S1186" s="79">
        <f>S1110*6.35</f>
        <v>0</v>
      </c>
      <c r="T1186" s="79">
        <f>T1110*6.35</f>
        <v>0</v>
      </c>
      <c r="U1186" s="80">
        <f>U1110</f>
        <v>24.464000000000002</v>
      </c>
      <c r="V11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86" s="18" t="str">
        <f>IFERROR(IF(LEFT(ICE[[#This Row],[Tenor]], 1) = "B", RTD("esrtd",,$B1186 &amp; " " &amp; ICE[[#This Row],[Tenor]] &amp; "-IEU", W$1), RTD("esrtd",,$B1186 &amp; " " &amp; VLOOKUP(MONTH(ICE[[#This Row],[Strip]]), MthRef[], 2, 0) &amp; RIGHT(YEAR(ICE[[#This Row],[Strip]]), 2) &amp; "-IEU", W$1)), "")</f>
        <v/>
      </c>
      <c r="X1186" s="36"/>
    </row>
    <row r="1187" spans="1:24" x14ac:dyDescent="0.25">
      <c r="A1187" s="71" t="s">
        <v>438</v>
      </c>
      <c r="B1187" s="87" t="str">
        <f>RTD("ice.rtd",,$C1187 &amp; $D1187 &amp; ":" &amp; B$1)</f>
        <v>Invalid Market: CALCM0</v>
      </c>
      <c r="C1187" s="72" t="s">
        <v>827</v>
      </c>
      <c r="D1187" s="73" t="s">
        <v>793</v>
      </c>
      <c r="E1187" s="72" t="str">
        <f t="shared" ref="E1187:E1223" si="58">E1149</f>
        <v>Sep26</v>
      </c>
      <c r="F1187" s="72" t="str">
        <f>ICE[[#This Row],[Prod]]&amp;ICE[[#This Row],[Strip]]</f>
        <v>fo05singbrxSep26</v>
      </c>
      <c r="G1187" s="75" t="str">
        <f>RTD("ice.rtd",,$C1187 &amp; $D1187 &amp; ":" &amp; G$1)</f>
        <v>Invalid Market: CALCM0</v>
      </c>
      <c r="H1187" s="75" t="str">
        <f t="shared" ref="H1187:H1223" si="59">IF(ISNUMBER(H1111), IF(ISNUMBER(H1149), MAX(H1111, H1149), H1111), IF(ISNUMBER(H1149), H1149, ""))</f>
        <v/>
      </c>
      <c r="I1187" s="75" t="str">
        <f>RTD("ice.rtd",,$C1187 &amp; $D1187 &amp; ":" &amp; I$1)</f>
        <v>Invalid Market: CALCM0</v>
      </c>
      <c r="J1187" s="76" t="str">
        <f>IFERROR(MOD(RTD("ice.rtd",,$C1187 &amp; $D1187 &amp; ":" &amp; J$1), 1), "")</f>
        <v/>
      </c>
      <c r="K1187" s="75" t="str">
        <f>RTD("ice.rtd",,$C1187 &amp; $D1187 &amp; ":" &amp; K$1)</f>
        <v>Invalid Market: CALCM0</v>
      </c>
      <c r="L1187" s="74" t="str">
        <f>RTD("ice.rtd",,$C1187 &amp; $D1187 &amp; ":" &amp; L$1)</f>
        <v>Invalid Market: CALCM0</v>
      </c>
      <c r="M1187" s="76" t="str">
        <f>IFERROR(MOD(TIMEVALUE(RTD("ice.rtd",,$C1187 &amp; $D1187 &amp; ":" &amp; M$1)), 1), "")</f>
        <v/>
      </c>
      <c r="N1187" s="74" t="str">
        <f>RTD("ice.rtd",,$C1187 &amp; $D1187 &amp; ":" &amp; N$1)</f>
        <v>Invalid Market: CALCM0</v>
      </c>
      <c r="O1187" s="74" t="str">
        <f>RTD("ice.rtd",,$C1187 &amp; $D1187 &amp; ":" &amp; O$1)</f>
        <v>Invalid Market: CALCM0</v>
      </c>
      <c r="P1187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7" s="76" t="str">
        <f>IF(ICE[[#This Row],[LastType]] = "Scrn", ICE[[#This Row],[LstDate]], IF(ICE[[#This Row],[LastType]] = "Blk", ICE[[#This Row],[LstBlkTime]], ""))</f>
        <v/>
      </c>
      <c r="R1187" s="82" t="str">
        <f t="shared" ref="R1187:R1223" si="60">IF(ISNUMBER(R1111), IF(ISNUMBER(R1149), IF(Q1111&gt;Q1149, R1111, R1149), R1111), IF(ISNUMBER(R1149), R1149, ""))</f>
        <v/>
      </c>
      <c r="S1187" s="74">
        <f t="shared" ref="S1187:T1187" si="61">S1111*6.35 + S1149</f>
        <v>0</v>
      </c>
      <c r="T1187" s="74">
        <f t="shared" si="61"/>
        <v>15392.2</v>
      </c>
      <c r="U1187" s="75">
        <f t="shared" ref="U1187:U1223" si="62">U1149</f>
        <v>24.464300000000001</v>
      </c>
      <c r="V11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87" s="18" t="str">
        <f>IFERROR(IF(LEFT(ICE[[#This Row],[Tenor]], 1) = "B", RTD("esrtd",,$B1187 &amp; " " &amp; ICE[[#This Row],[Tenor]] &amp; "-IEU", W$1), RTD("esrtd",,$B1187 &amp; " " &amp; VLOOKUP(MONTH(ICE[[#This Row],[Strip]]), MthRef[], 2, 0) &amp; RIGHT(YEAR(ICE[[#This Row],[Strip]]), 2) &amp; "-IEU", W$1)), "")</f>
        <v/>
      </c>
      <c r="X1187" s="36"/>
    </row>
    <row r="1188" spans="1:24" x14ac:dyDescent="0.25">
      <c r="A1188" s="71" t="s">
        <v>438</v>
      </c>
      <c r="B1188" s="87" t="str">
        <f>RTD("ice.rtd",,$C1188 &amp; $D1188 &amp; ":" &amp; B$1)</f>
        <v>Invalid Market: CALCM1</v>
      </c>
      <c r="C1188" s="72" t="s">
        <v>827</v>
      </c>
      <c r="D1188" s="73" t="s">
        <v>324</v>
      </c>
      <c r="E1188" s="72" t="str">
        <f t="shared" si="58"/>
        <v>Oct26</v>
      </c>
      <c r="F1188" s="72" t="str">
        <f>ICE[[#This Row],[Prod]]&amp;ICE[[#This Row],[Strip]]</f>
        <v>fo05singbrxOct26</v>
      </c>
      <c r="G1188" s="75" t="str">
        <f>RTD("ice.rtd",,$C1188 &amp; $D1188 &amp; ":" &amp; G$1)</f>
        <v>Invalid Market: CALCM1</v>
      </c>
      <c r="H1188" s="75">
        <f t="shared" si="59"/>
        <v>19.399999999999999</v>
      </c>
      <c r="I1188" s="75" t="str">
        <f>RTD("ice.rtd",,$C1188 &amp; $D1188 &amp; ":" &amp; I$1)</f>
        <v>Invalid Market: CALCM1</v>
      </c>
      <c r="J1188" s="76" t="str">
        <f>IFERROR(MOD(RTD("ice.rtd",,$C1188 &amp; $D1188 &amp; ":" &amp; J$1), 1), "")</f>
        <v/>
      </c>
      <c r="K1188" s="75" t="str">
        <f>RTD("ice.rtd",,$C1188 &amp; $D1188 &amp; ":" &amp; K$1)</f>
        <v>Invalid Market: CALCM1</v>
      </c>
      <c r="L1188" s="74" t="str">
        <f>RTD("ice.rtd",,$C1188 &amp; $D1188 &amp; ":" &amp; L$1)</f>
        <v>Invalid Market: CALCM1</v>
      </c>
      <c r="M1188" s="76" t="str">
        <f>IFERROR(MOD(TIMEVALUE(RTD("ice.rtd",,$C1188 &amp; $D1188 &amp; ":" &amp; M$1)), 1), "")</f>
        <v/>
      </c>
      <c r="N1188" s="74" t="str">
        <f>RTD("ice.rtd",,$C1188 &amp; $D1188 &amp; ":" &amp; N$1)</f>
        <v>Invalid Market: CALCM1</v>
      </c>
      <c r="O1188" s="74" t="str">
        <f>RTD("ice.rtd",,$C1188 &amp; $D1188 &amp; ":" &amp; O$1)</f>
        <v>Invalid Market: CALCM1</v>
      </c>
      <c r="P1188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8" s="76" t="str">
        <f>IF(ICE[[#This Row],[LastType]] = "Scrn", ICE[[#This Row],[LstDate]], IF(ICE[[#This Row],[LastType]] = "Blk", ICE[[#This Row],[LstBlkTime]], ""))</f>
        <v/>
      </c>
      <c r="R1188" s="82">
        <f t="shared" si="60"/>
        <v>19.399999999999999</v>
      </c>
      <c r="S1188" s="74">
        <f t="shared" ref="S1188:T1188" si="63">S1112*6.35 + S1150</f>
        <v>1162.05</v>
      </c>
      <c r="T1188" s="74">
        <f t="shared" si="63"/>
        <v>13955.849999999999</v>
      </c>
      <c r="U1188" s="75">
        <f t="shared" si="62"/>
        <v>19.395700000000001</v>
      </c>
      <c r="V11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19.40 {19.40} |1,162x</v>
      </c>
      <c r="W1188" s="18" t="str">
        <f>IFERROR(IF(LEFT(ICE[[#This Row],[Tenor]], 1) = "B", RTD("esrtd",,$B1188 &amp; " " &amp; ICE[[#This Row],[Tenor]] &amp; "-IEU", W$1), RTD("esrtd",,$B1188 &amp; " " &amp; VLOOKUP(MONTH(ICE[[#This Row],[Strip]]), MthRef[], 2, 0) &amp; RIGHT(YEAR(ICE[[#This Row],[Strip]]), 2) &amp; "-IEU", W$1)), "")</f>
        <v/>
      </c>
      <c r="X1188" s="36"/>
    </row>
    <row r="1189" spans="1:24" x14ac:dyDescent="0.25">
      <c r="A1189" s="71" t="s">
        <v>438</v>
      </c>
      <c r="B1189" s="87" t="str">
        <f>RTD("ice.rtd",,$C1189 &amp; $D1189 &amp; ":" &amp; B$1)</f>
        <v>Invalid Market: CALCM2</v>
      </c>
      <c r="C1189" s="72" t="s">
        <v>827</v>
      </c>
      <c r="D1189" s="73" t="s">
        <v>325</v>
      </c>
      <c r="E1189" s="72" t="str">
        <f t="shared" si="58"/>
        <v>Nov26</v>
      </c>
      <c r="F1189" s="72" t="str">
        <f>ICE[[#This Row],[Prod]]&amp;ICE[[#This Row],[Strip]]</f>
        <v>fo05singbrxNov26</v>
      </c>
      <c r="G1189" s="75" t="str">
        <f>RTD("ice.rtd",,$C1189 &amp; $D1189 &amp; ":" &amp; G$1)</f>
        <v>Invalid Market: CALCM2</v>
      </c>
      <c r="H1189" s="75">
        <f t="shared" si="59"/>
        <v>17.2</v>
      </c>
      <c r="I1189" s="75" t="str">
        <f>RTD("ice.rtd",,$C1189 &amp; $D1189 &amp; ":" &amp; I$1)</f>
        <v>Invalid Market: CALCM2</v>
      </c>
      <c r="J1189" s="76" t="str">
        <f>IFERROR(MOD(RTD("ice.rtd",,$C1189 &amp; $D1189 &amp; ":" &amp; J$1), 1), "")</f>
        <v/>
      </c>
      <c r="K1189" s="75" t="str">
        <f>RTD("ice.rtd",,$C1189 &amp; $D1189 &amp; ":" &amp; K$1)</f>
        <v>Invalid Market: CALCM2</v>
      </c>
      <c r="L1189" s="74" t="str">
        <f>RTD("ice.rtd",,$C1189 &amp; $D1189 &amp; ":" &amp; L$1)</f>
        <v>Invalid Market: CALCM2</v>
      </c>
      <c r="M1189" s="76" t="str">
        <f>IFERROR(MOD(TIMEVALUE(RTD("ice.rtd",,$C1189 &amp; $D1189 &amp; ":" &amp; M$1)), 1), "")</f>
        <v/>
      </c>
      <c r="N1189" s="74" t="str">
        <f>RTD("ice.rtd",,$C1189 &amp; $D1189 &amp; ":" &amp; N$1)</f>
        <v>Invalid Market: CALCM2</v>
      </c>
      <c r="O1189" s="74" t="str">
        <f>RTD("ice.rtd",,$C1189 &amp; $D1189 &amp; ":" &amp; O$1)</f>
        <v>Invalid Market: CALCM2</v>
      </c>
      <c r="P1189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89" s="76" t="str">
        <f>IF(ICE[[#This Row],[LastType]] = "Scrn", ICE[[#This Row],[LstDate]], IF(ICE[[#This Row],[LastType]] = "Blk", ICE[[#This Row],[LstBlkTime]], ""))</f>
        <v/>
      </c>
      <c r="R1189" s="82">
        <f t="shared" si="60"/>
        <v>16.600000000000001</v>
      </c>
      <c r="S1189" s="74">
        <f t="shared" ref="S1189:T1189" si="64">S1113*6.35 + S1151</f>
        <v>45</v>
      </c>
      <c r="T1189" s="74">
        <f t="shared" si="64"/>
        <v>8186.15</v>
      </c>
      <c r="U1189" s="75">
        <f t="shared" si="62"/>
        <v>16.885000000000002</v>
      </c>
      <c r="V11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17.20 {16.60} |45x</v>
      </c>
      <c r="W1189" s="18" t="str">
        <f>IFERROR(IF(LEFT(ICE[[#This Row],[Tenor]], 1) = "B", RTD("esrtd",,$B1189 &amp; " " &amp; ICE[[#This Row],[Tenor]] &amp; "-IEU", W$1), RTD("esrtd",,$B1189 &amp; " " &amp; VLOOKUP(MONTH(ICE[[#This Row],[Strip]]), MthRef[], 2, 0) &amp; RIGHT(YEAR(ICE[[#This Row],[Strip]]), 2) &amp; "-IEU", W$1)), "")</f>
        <v/>
      </c>
      <c r="X1189" s="36"/>
    </row>
    <row r="1190" spans="1:24" x14ac:dyDescent="0.25">
      <c r="A1190" s="71" t="s">
        <v>438</v>
      </c>
      <c r="B1190" s="87" t="str">
        <f>RTD("ice.rtd",,$C1190 &amp; $D1190 &amp; ":" &amp; B$1)</f>
        <v>Invalid Market: CALCM3</v>
      </c>
      <c r="C1190" s="72" t="s">
        <v>827</v>
      </c>
      <c r="D1190" s="73" t="s">
        <v>326</v>
      </c>
      <c r="E1190" s="72" t="str">
        <f t="shared" si="58"/>
        <v>Dec26</v>
      </c>
      <c r="F1190" s="72" t="str">
        <f>ICE[[#This Row],[Prod]]&amp;ICE[[#This Row],[Strip]]</f>
        <v>fo05singbrxDec26</v>
      </c>
      <c r="G1190" s="75" t="str">
        <f>RTD("ice.rtd",,$C1190 &amp; $D1190 &amp; ":" &amp; G$1)</f>
        <v>Invalid Market: CALCM3</v>
      </c>
      <c r="H1190" s="75" t="str">
        <f t="shared" si="59"/>
        <v/>
      </c>
      <c r="I1190" s="75" t="str">
        <f>RTD("ice.rtd",,$C1190 &amp; $D1190 &amp; ":" &amp; I$1)</f>
        <v>Invalid Market: CALCM3</v>
      </c>
      <c r="J1190" s="76" t="str">
        <f>IFERROR(MOD(RTD("ice.rtd",,$C1190 &amp; $D1190 &amp; ":" &amp; J$1), 1), "")</f>
        <v/>
      </c>
      <c r="K1190" s="75" t="str">
        <f>RTD("ice.rtd",,$C1190 &amp; $D1190 &amp; ":" &amp; K$1)</f>
        <v>Invalid Market: CALCM3</v>
      </c>
      <c r="L1190" s="74" t="str">
        <f>RTD("ice.rtd",,$C1190 &amp; $D1190 &amp; ":" &amp; L$1)</f>
        <v>Invalid Market: CALCM3</v>
      </c>
      <c r="M1190" s="76" t="str">
        <f>IFERROR(MOD(TIMEVALUE(RTD("ice.rtd",,$C1190 &amp; $D1190 &amp; ":" &amp; M$1)), 1), "")</f>
        <v/>
      </c>
      <c r="N1190" s="74" t="str">
        <f>RTD("ice.rtd",,$C1190 &amp; $D1190 &amp; ":" &amp; N$1)</f>
        <v>Invalid Market: CALCM3</v>
      </c>
      <c r="O1190" s="74" t="str">
        <f>RTD("ice.rtd",,$C1190 &amp; $D1190 &amp; ":" &amp; O$1)</f>
        <v>Invalid Market: CALCM3</v>
      </c>
      <c r="P1190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0" s="76" t="str">
        <f>IF(ICE[[#This Row],[LastType]] = "Scrn", ICE[[#This Row],[LstDate]], IF(ICE[[#This Row],[LastType]] = "Blk", ICE[[#This Row],[LstBlkTime]], ""))</f>
        <v/>
      </c>
      <c r="R1190" s="82" t="str">
        <f t="shared" si="60"/>
        <v/>
      </c>
      <c r="S1190" s="74">
        <f t="shared" ref="S1190:T1190" si="65">S1114*6.35 + S1152</f>
        <v>0</v>
      </c>
      <c r="T1190" s="74">
        <f t="shared" si="65"/>
        <v>7291.45</v>
      </c>
      <c r="U1190" s="75">
        <f t="shared" si="62"/>
        <v>16.053900000000002</v>
      </c>
      <c r="V11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0" s="18" t="str">
        <f>IFERROR(IF(LEFT(ICE[[#This Row],[Tenor]], 1) = "B", RTD("esrtd",,$B1190 &amp; " " &amp; ICE[[#This Row],[Tenor]] &amp; "-IEU", W$1), RTD("esrtd",,$B1190 &amp; " " &amp; VLOOKUP(MONTH(ICE[[#This Row],[Strip]]), MthRef[], 2, 0) &amp; RIGHT(YEAR(ICE[[#This Row],[Strip]]), 2) &amp; "-IEU", W$1)), "")</f>
        <v/>
      </c>
      <c r="X1190" s="36"/>
    </row>
    <row r="1191" spans="1:24" x14ac:dyDescent="0.25">
      <c r="A1191" s="71" t="s">
        <v>438</v>
      </c>
      <c r="B1191" s="87" t="str">
        <f>RTD("ice.rtd",,$C1191 &amp; $D1191 &amp; ":" &amp; B$1)</f>
        <v>Invalid Market: CALCM4</v>
      </c>
      <c r="C1191" s="72" t="s">
        <v>827</v>
      </c>
      <c r="D1191" s="73" t="s">
        <v>794</v>
      </c>
      <c r="E1191" s="72" t="str">
        <f t="shared" si="58"/>
        <v>Jan27</v>
      </c>
      <c r="F1191" s="72" t="str">
        <f>ICE[[#This Row],[Prod]]&amp;ICE[[#This Row],[Strip]]</f>
        <v>fo05singbrxJan27</v>
      </c>
      <c r="G1191" s="75" t="str">
        <f>RTD("ice.rtd",,$C1191 &amp; $D1191 &amp; ":" &amp; G$1)</f>
        <v>Invalid Market: CALCM4</v>
      </c>
      <c r="H1191" s="75" t="str">
        <f t="shared" si="59"/>
        <v/>
      </c>
      <c r="I1191" s="75" t="str">
        <f>RTD("ice.rtd",,$C1191 &amp; $D1191 &amp; ":" &amp; I$1)</f>
        <v>Invalid Market: CALCM4</v>
      </c>
      <c r="J1191" s="76" t="str">
        <f>IFERROR(MOD(RTD("ice.rtd",,$C1191 &amp; $D1191 &amp; ":" &amp; J$1), 1), "")</f>
        <v/>
      </c>
      <c r="K1191" s="75" t="str">
        <f>RTD("ice.rtd",,$C1191 &amp; $D1191 &amp; ":" &amp; K$1)</f>
        <v>Invalid Market: CALCM4</v>
      </c>
      <c r="L1191" s="74" t="str">
        <f>RTD("ice.rtd",,$C1191 &amp; $D1191 &amp; ":" &amp; L$1)</f>
        <v>Invalid Market: CALCM4</v>
      </c>
      <c r="M1191" s="76" t="str">
        <f>IFERROR(MOD(TIMEVALUE(RTD("ice.rtd",,$C1191 &amp; $D1191 &amp; ":" &amp; M$1)), 1), "")</f>
        <v/>
      </c>
      <c r="N1191" s="74" t="str">
        <f>RTD("ice.rtd",,$C1191 &amp; $D1191 &amp; ":" &amp; N$1)</f>
        <v>Invalid Market: CALCM4</v>
      </c>
      <c r="O1191" s="74" t="str">
        <f>RTD("ice.rtd",,$C1191 &amp; $D1191 &amp; ":" &amp; O$1)</f>
        <v>Invalid Market: CALCM4</v>
      </c>
      <c r="P1191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1" s="76" t="str">
        <f>IF(ICE[[#This Row],[LastType]] = "Scrn", ICE[[#This Row],[LstDate]], IF(ICE[[#This Row],[LastType]] = "Blk", ICE[[#This Row],[LstBlkTime]], ""))</f>
        <v/>
      </c>
      <c r="R1191" s="82" t="str">
        <f t="shared" si="60"/>
        <v/>
      </c>
      <c r="S1191" s="74">
        <f t="shared" ref="S1191:T1191" si="66">S1115*6.35 + S1153</f>
        <v>0</v>
      </c>
      <c r="T1191" s="74">
        <f t="shared" si="66"/>
        <v>1271.3</v>
      </c>
      <c r="U1191" s="75">
        <f t="shared" si="62"/>
        <v>15.5938</v>
      </c>
      <c r="V11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1" s="18" t="str">
        <f>IFERROR(IF(LEFT(ICE[[#This Row],[Tenor]], 1) = "B", RTD("esrtd",,$B1191 &amp; " " &amp; ICE[[#This Row],[Tenor]] &amp; "-IEU", W$1), RTD("esrtd",,$B1191 &amp; " " &amp; VLOOKUP(MONTH(ICE[[#This Row],[Strip]]), MthRef[], 2, 0) &amp; RIGHT(YEAR(ICE[[#This Row],[Strip]]), 2) &amp; "-IEU", W$1)), "")</f>
        <v/>
      </c>
      <c r="X1191" s="36"/>
    </row>
    <row r="1192" spans="1:24" x14ac:dyDescent="0.25">
      <c r="A1192" s="71" t="s">
        <v>438</v>
      </c>
      <c r="B1192" s="87" t="str">
        <f>RTD("ice.rtd",,$C1192 &amp; $D1192 &amp; ":" &amp; B$1)</f>
        <v>Invalid Market: CALCM5</v>
      </c>
      <c r="C1192" s="72" t="s">
        <v>827</v>
      </c>
      <c r="D1192" s="73" t="s">
        <v>795</v>
      </c>
      <c r="E1192" s="72" t="str">
        <f t="shared" si="58"/>
        <v>Feb27</v>
      </c>
      <c r="F1192" s="72" t="str">
        <f>ICE[[#This Row],[Prod]]&amp;ICE[[#This Row],[Strip]]</f>
        <v>fo05singbrxFeb27</v>
      </c>
      <c r="G1192" s="75" t="str">
        <f>RTD("ice.rtd",,$C1192 &amp; $D1192 &amp; ":" &amp; G$1)</f>
        <v>Invalid Market: CALCM5</v>
      </c>
      <c r="H1192" s="75" t="str">
        <f t="shared" si="59"/>
        <v/>
      </c>
      <c r="I1192" s="75" t="str">
        <f>RTD("ice.rtd",,$C1192 &amp; $D1192 &amp; ":" &amp; I$1)</f>
        <v>Invalid Market: CALCM5</v>
      </c>
      <c r="J1192" s="76" t="str">
        <f>IFERROR(MOD(RTD("ice.rtd",,$C1192 &amp; $D1192 &amp; ":" &amp; J$1), 1), "")</f>
        <v/>
      </c>
      <c r="K1192" s="75" t="str">
        <f>RTD("ice.rtd",,$C1192 &amp; $D1192 &amp; ":" &amp; K$1)</f>
        <v>Invalid Market: CALCM5</v>
      </c>
      <c r="L1192" s="74" t="str">
        <f>RTD("ice.rtd",,$C1192 &amp; $D1192 &amp; ":" &amp; L$1)</f>
        <v>Invalid Market: CALCM5</v>
      </c>
      <c r="M1192" s="76" t="str">
        <f>IFERROR(MOD(TIMEVALUE(RTD("ice.rtd",,$C1192 &amp; $D1192 &amp; ":" &amp; M$1)), 1), "")</f>
        <v/>
      </c>
      <c r="N1192" s="74" t="str">
        <f>RTD("ice.rtd",,$C1192 &amp; $D1192 &amp; ":" &amp; N$1)</f>
        <v>Invalid Market: CALCM5</v>
      </c>
      <c r="O1192" s="74" t="str">
        <f>RTD("ice.rtd",,$C1192 &amp; $D1192 &amp; ":" &amp; O$1)</f>
        <v>Invalid Market: CALCM5</v>
      </c>
      <c r="P1192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2" s="76" t="str">
        <f>IF(ICE[[#This Row],[LastType]] = "Scrn", ICE[[#This Row],[LstDate]], IF(ICE[[#This Row],[LastType]] = "Blk", ICE[[#This Row],[LstBlkTime]], ""))</f>
        <v/>
      </c>
      <c r="R1192" s="82" t="str">
        <f t="shared" si="60"/>
        <v/>
      </c>
      <c r="S1192" s="74">
        <f t="shared" ref="S1192:T1192" si="67">S1116*6.35 + S1154</f>
        <v>0</v>
      </c>
      <c r="T1192" s="74">
        <f t="shared" si="67"/>
        <v>1241.3</v>
      </c>
      <c r="U1192" s="75">
        <f t="shared" si="62"/>
        <v>15.504000000000001</v>
      </c>
      <c r="V11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2" s="18" t="str">
        <f>IFERROR(IF(LEFT(ICE[[#This Row],[Tenor]], 1) = "B", RTD("esrtd",,$B1192 &amp; " " &amp; ICE[[#This Row],[Tenor]] &amp; "-IEU", W$1), RTD("esrtd",,$B1192 &amp; " " &amp; VLOOKUP(MONTH(ICE[[#This Row],[Strip]]), MthRef[], 2, 0) &amp; RIGHT(YEAR(ICE[[#This Row],[Strip]]), 2) &amp; "-IEU", W$1)), "")</f>
        <v/>
      </c>
      <c r="X1192" s="36"/>
    </row>
    <row r="1193" spans="1:24" x14ac:dyDescent="0.25">
      <c r="A1193" s="71" t="s">
        <v>438</v>
      </c>
      <c r="B1193" s="87" t="str">
        <f>RTD("ice.rtd",,$C1193 &amp; $D1193 &amp; ":" &amp; B$1)</f>
        <v>Invalid Market: CALCM6</v>
      </c>
      <c r="C1193" s="72" t="s">
        <v>827</v>
      </c>
      <c r="D1193" s="73" t="s">
        <v>113</v>
      </c>
      <c r="E1193" s="72" t="str">
        <f t="shared" si="58"/>
        <v>Mar27</v>
      </c>
      <c r="F1193" s="72" t="str">
        <f>ICE[[#This Row],[Prod]]&amp;ICE[[#This Row],[Strip]]</f>
        <v>fo05singbrxMar27</v>
      </c>
      <c r="G1193" s="75" t="str">
        <f>RTD("ice.rtd",,$C1193 &amp; $D1193 &amp; ":" &amp; G$1)</f>
        <v>Invalid Market: CALCM6</v>
      </c>
      <c r="H1193" s="75" t="str">
        <f t="shared" si="59"/>
        <v/>
      </c>
      <c r="I1193" s="75" t="str">
        <f>RTD("ice.rtd",,$C1193 &amp; $D1193 &amp; ":" &amp; I$1)</f>
        <v>Invalid Market: CALCM6</v>
      </c>
      <c r="J1193" s="76" t="str">
        <f>IFERROR(MOD(RTD("ice.rtd",,$C1193 &amp; $D1193 &amp; ":" &amp; J$1), 1), "")</f>
        <v/>
      </c>
      <c r="K1193" s="75" t="str">
        <f>RTD("ice.rtd",,$C1193 &amp; $D1193 &amp; ":" &amp; K$1)</f>
        <v>Invalid Market: CALCM6</v>
      </c>
      <c r="L1193" s="74" t="str">
        <f>RTD("ice.rtd",,$C1193 &amp; $D1193 &amp; ":" &amp; L$1)</f>
        <v>Invalid Market: CALCM6</v>
      </c>
      <c r="M1193" s="76" t="str">
        <f>IFERROR(MOD(TIMEVALUE(RTD("ice.rtd",,$C1193 &amp; $D1193 &amp; ":" &amp; M$1)), 1), "")</f>
        <v/>
      </c>
      <c r="N1193" s="74" t="str">
        <f>RTD("ice.rtd",,$C1193 &amp; $D1193 &amp; ":" &amp; N$1)</f>
        <v>Invalid Market: CALCM6</v>
      </c>
      <c r="O1193" s="74" t="str">
        <f>RTD("ice.rtd",,$C1193 &amp; $D1193 &amp; ":" &amp; O$1)</f>
        <v>Invalid Market: CALCM6</v>
      </c>
      <c r="P1193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3" s="76" t="str">
        <f>IF(ICE[[#This Row],[LastType]] = "Scrn", ICE[[#This Row],[LstDate]], IF(ICE[[#This Row],[LastType]] = "Blk", ICE[[#This Row],[LstBlkTime]], ""))</f>
        <v/>
      </c>
      <c r="R1193" s="82" t="str">
        <f t="shared" si="60"/>
        <v/>
      </c>
      <c r="S1193" s="74">
        <f t="shared" ref="S1193:T1193" si="68">S1117*6.35 + S1155</f>
        <v>0</v>
      </c>
      <c r="T1193" s="74">
        <f t="shared" si="68"/>
        <v>1236.3</v>
      </c>
      <c r="U1193" s="75">
        <f t="shared" si="62"/>
        <v>15.281700000000001</v>
      </c>
      <c r="V11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3" s="18" t="str">
        <f>IFERROR(IF(LEFT(ICE[[#This Row],[Tenor]], 1) = "B", RTD("esrtd",,$B1193 &amp; " " &amp; ICE[[#This Row],[Tenor]] &amp; "-IEU", W$1), RTD("esrtd",,$B1193 &amp; " " &amp; VLOOKUP(MONTH(ICE[[#This Row],[Strip]]), MthRef[], 2, 0) &amp; RIGHT(YEAR(ICE[[#This Row],[Strip]]), 2) &amp; "-IEU", W$1)), "")</f>
        <v/>
      </c>
      <c r="X1193" s="36"/>
    </row>
    <row r="1194" spans="1:24" x14ac:dyDescent="0.25">
      <c r="A1194" s="71" t="s">
        <v>438</v>
      </c>
      <c r="B1194" s="87" t="str">
        <f>RTD("ice.rtd",,$C1194 &amp; $D1194 &amp; ":" &amp; B$1)</f>
        <v>Invalid Market: CALCM7</v>
      </c>
      <c r="C1194" s="72" t="s">
        <v>827</v>
      </c>
      <c r="D1194" s="73" t="s">
        <v>796</v>
      </c>
      <c r="E1194" s="72" t="str">
        <f t="shared" si="58"/>
        <v>Apr27</v>
      </c>
      <c r="F1194" s="72" t="str">
        <f>ICE[[#This Row],[Prod]]&amp;ICE[[#This Row],[Strip]]</f>
        <v>fo05singbrxApr27</v>
      </c>
      <c r="G1194" s="75" t="str">
        <f>RTD("ice.rtd",,$C1194 &amp; $D1194 &amp; ":" &amp; G$1)</f>
        <v>Invalid Market: CALCM7</v>
      </c>
      <c r="H1194" s="75" t="str">
        <f t="shared" si="59"/>
        <v/>
      </c>
      <c r="I1194" s="75" t="str">
        <f>RTD("ice.rtd",,$C1194 &amp; $D1194 &amp; ":" &amp; I$1)</f>
        <v>Invalid Market: CALCM7</v>
      </c>
      <c r="J1194" s="76" t="str">
        <f>IFERROR(MOD(RTD("ice.rtd",,$C1194 &amp; $D1194 &amp; ":" &amp; J$1), 1), "")</f>
        <v/>
      </c>
      <c r="K1194" s="75" t="str">
        <f>RTD("ice.rtd",,$C1194 &amp; $D1194 &amp; ":" &amp; K$1)</f>
        <v>Invalid Market: CALCM7</v>
      </c>
      <c r="L1194" s="74" t="str">
        <f>RTD("ice.rtd",,$C1194 &amp; $D1194 &amp; ":" &amp; L$1)</f>
        <v>Invalid Market: CALCM7</v>
      </c>
      <c r="M1194" s="76" t="str">
        <f>IFERROR(MOD(TIMEVALUE(RTD("ice.rtd",,$C1194 &amp; $D1194 &amp; ":" &amp; M$1)), 1), "")</f>
        <v/>
      </c>
      <c r="N1194" s="74" t="str">
        <f>RTD("ice.rtd",,$C1194 &amp; $D1194 &amp; ":" &amp; N$1)</f>
        <v>Invalid Market: CALCM7</v>
      </c>
      <c r="O1194" s="74" t="str">
        <f>RTD("ice.rtd",,$C1194 &amp; $D1194 &amp; ":" &amp; O$1)</f>
        <v>Invalid Market: CALCM7</v>
      </c>
      <c r="P1194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4" s="76" t="str">
        <f>IF(ICE[[#This Row],[LastType]] = "Scrn", ICE[[#This Row],[LstDate]], IF(ICE[[#This Row],[LastType]] = "Blk", ICE[[#This Row],[LstBlkTime]], ""))</f>
        <v/>
      </c>
      <c r="R1194" s="82" t="str">
        <f t="shared" si="60"/>
        <v/>
      </c>
      <c r="S1194" s="74">
        <f t="shared" ref="S1194:T1194" si="69">S1118*6.35 + S1156</f>
        <v>0</v>
      </c>
      <c r="T1194" s="74">
        <f t="shared" si="69"/>
        <v>1077.9000000000001</v>
      </c>
      <c r="U1194" s="75">
        <f t="shared" si="62"/>
        <v>15.083600000000001</v>
      </c>
      <c r="V11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4" s="18" t="str">
        <f>IFERROR(IF(LEFT(ICE[[#This Row],[Tenor]], 1) = "B", RTD("esrtd",,$B1194 &amp; " " &amp; ICE[[#This Row],[Tenor]] &amp; "-IEU", W$1), RTD("esrtd",,$B1194 &amp; " " &amp; VLOOKUP(MONTH(ICE[[#This Row],[Strip]]), MthRef[], 2, 0) &amp; RIGHT(YEAR(ICE[[#This Row],[Strip]]), 2) &amp; "-IEU", W$1)), "")</f>
        <v/>
      </c>
      <c r="X1194" s="36"/>
    </row>
    <row r="1195" spans="1:24" x14ac:dyDescent="0.25">
      <c r="A1195" s="71" t="s">
        <v>438</v>
      </c>
      <c r="B1195" s="87" t="str">
        <f>RTD("ice.rtd",,$C1195 &amp; $D1195 &amp; ":" &amp; B$1)</f>
        <v>Invalid Market: CALCM8</v>
      </c>
      <c r="C1195" s="72" t="s">
        <v>827</v>
      </c>
      <c r="D1195" s="73" t="s">
        <v>797</v>
      </c>
      <c r="E1195" s="72" t="str">
        <f t="shared" si="58"/>
        <v>May27</v>
      </c>
      <c r="F1195" s="72" t="str">
        <f>ICE[[#This Row],[Prod]]&amp;ICE[[#This Row],[Strip]]</f>
        <v>fo05singbrxMay27</v>
      </c>
      <c r="G1195" s="75" t="str">
        <f>RTD("ice.rtd",,$C1195 &amp; $D1195 &amp; ":" &amp; G$1)</f>
        <v>Invalid Market: CALCM8</v>
      </c>
      <c r="H1195" s="75" t="str">
        <f t="shared" si="59"/>
        <v/>
      </c>
      <c r="I1195" s="75" t="str">
        <f>RTD("ice.rtd",,$C1195 &amp; $D1195 &amp; ":" &amp; I$1)</f>
        <v>Invalid Market: CALCM8</v>
      </c>
      <c r="J1195" s="76" t="str">
        <f>IFERROR(MOD(RTD("ice.rtd",,$C1195 &amp; $D1195 &amp; ":" &amp; J$1), 1), "")</f>
        <v/>
      </c>
      <c r="K1195" s="75" t="str">
        <f>RTD("ice.rtd",,$C1195 &amp; $D1195 &amp; ":" &amp; K$1)</f>
        <v>Invalid Market: CALCM8</v>
      </c>
      <c r="L1195" s="74" t="str">
        <f>RTD("ice.rtd",,$C1195 &amp; $D1195 &amp; ":" &amp; L$1)</f>
        <v>Invalid Market: CALCM8</v>
      </c>
      <c r="M1195" s="76" t="str">
        <f>IFERROR(MOD(TIMEVALUE(RTD("ice.rtd",,$C1195 &amp; $D1195 &amp; ":" &amp; M$1)), 1), "")</f>
        <v/>
      </c>
      <c r="N1195" s="74" t="str">
        <f>RTD("ice.rtd",,$C1195 &amp; $D1195 &amp; ":" &amp; N$1)</f>
        <v>Invalid Market: CALCM8</v>
      </c>
      <c r="O1195" s="74" t="str">
        <f>RTD("ice.rtd",,$C1195 &amp; $D1195 &amp; ":" &amp; O$1)</f>
        <v>Invalid Market: CALCM8</v>
      </c>
      <c r="P1195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5" s="76" t="str">
        <f>IF(ICE[[#This Row],[LastType]] = "Scrn", ICE[[#This Row],[LstDate]], IF(ICE[[#This Row],[LastType]] = "Blk", ICE[[#This Row],[LstBlkTime]], ""))</f>
        <v/>
      </c>
      <c r="R1195" s="82" t="str">
        <f t="shared" si="60"/>
        <v/>
      </c>
      <c r="S1195" s="74">
        <f t="shared" ref="S1195:T1195" si="70">S1119*6.35 + S1157</f>
        <v>0</v>
      </c>
      <c r="T1195" s="74">
        <f t="shared" si="70"/>
        <v>1075.9000000000001</v>
      </c>
      <c r="U1195" s="75">
        <f t="shared" si="62"/>
        <v>14.880600000000001</v>
      </c>
      <c r="V11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5" s="18" t="str">
        <f>IFERROR(IF(LEFT(ICE[[#This Row],[Tenor]], 1) = "B", RTD("esrtd",,$B1195 &amp; " " &amp; ICE[[#This Row],[Tenor]] &amp; "-IEU", W$1), RTD("esrtd",,$B1195 &amp; " " &amp; VLOOKUP(MONTH(ICE[[#This Row],[Strip]]), MthRef[], 2, 0) &amp; RIGHT(YEAR(ICE[[#This Row],[Strip]]), 2) &amp; "-IEU", W$1)), "")</f>
        <v/>
      </c>
      <c r="X1195" s="36"/>
    </row>
    <row r="1196" spans="1:24" x14ac:dyDescent="0.25">
      <c r="A1196" s="71" t="s">
        <v>438</v>
      </c>
      <c r="B1196" s="87" t="str">
        <f>RTD("ice.rtd",,$C1196 &amp; $D1196 &amp; ":" &amp; B$1)</f>
        <v>Invalid Market: CALCM9</v>
      </c>
      <c r="C1196" s="72" t="s">
        <v>827</v>
      </c>
      <c r="D1196" s="73" t="s">
        <v>798</v>
      </c>
      <c r="E1196" s="72" t="str">
        <f t="shared" si="58"/>
        <v>Jun27</v>
      </c>
      <c r="F1196" s="72" t="str">
        <f>ICE[[#This Row],[Prod]]&amp;ICE[[#This Row],[Strip]]</f>
        <v>fo05singbrxJun27</v>
      </c>
      <c r="G1196" s="75" t="str">
        <f>RTD("ice.rtd",,$C1196 &amp; $D1196 &amp; ":" &amp; G$1)</f>
        <v>Invalid Market: CALCM9</v>
      </c>
      <c r="H1196" s="75" t="str">
        <f t="shared" si="59"/>
        <v/>
      </c>
      <c r="I1196" s="75" t="str">
        <f>RTD("ice.rtd",,$C1196 &amp; $D1196 &amp; ":" &amp; I$1)</f>
        <v>Invalid Market: CALCM9</v>
      </c>
      <c r="J1196" s="76" t="str">
        <f>IFERROR(MOD(RTD("ice.rtd",,$C1196 &amp; $D1196 &amp; ":" &amp; J$1), 1), "")</f>
        <v/>
      </c>
      <c r="K1196" s="75" t="str">
        <f>RTD("ice.rtd",,$C1196 &amp; $D1196 &amp; ":" &amp; K$1)</f>
        <v>Invalid Market: CALCM9</v>
      </c>
      <c r="L1196" s="74" t="str">
        <f>RTD("ice.rtd",,$C1196 &amp; $D1196 &amp; ":" &amp; L$1)</f>
        <v>Invalid Market: CALCM9</v>
      </c>
      <c r="M1196" s="76" t="str">
        <f>IFERROR(MOD(TIMEVALUE(RTD("ice.rtd",,$C1196 &amp; $D1196 &amp; ":" &amp; M$1)), 1), "")</f>
        <v/>
      </c>
      <c r="N1196" s="74" t="str">
        <f>RTD("ice.rtd",,$C1196 &amp; $D1196 &amp; ":" &amp; N$1)</f>
        <v>Invalid Market: CALCM9</v>
      </c>
      <c r="O1196" s="74" t="str">
        <f>RTD("ice.rtd",,$C1196 &amp; $D1196 &amp; ":" &amp; O$1)</f>
        <v>Invalid Market: CALCM9</v>
      </c>
      <c r="P1196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6" s="76" t="str">
        <f>IF(ICE[[#This Row],[LastType]] = "Scrn", ICE[[#This Row],[LstDate]], IF(ICE[[#This Row],[LastType]] = "Blk", ICE[[#This Row],[LstBlkTime]], ""))</f>
        <v/>
      </c>
      <c r="R1196" s="82" t="str">
        <f t="shared" si="60"/>
        <v/>
      </c>
      <c r="S1196" s="74">
        <f t="shared" ref="S1196:T1196" si="71">S1120*6.35 + S1158</f>
        <v>0</v>
      </c>
      <c r="T1196" s="74">
        <f t="shared" si="71"/>
        <v>1079.9000000000001</v>
      </c>
      <c r="U1196" s="75">
        <f t="shared" si="62"/>
        <v>14.605700000000001</v>
      </c>
      <c r="V11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6" s="18" t="str">
        <f>IFERROR(IF(LEFT(ICE[[#This Row],[Tenor]], 1) = "B", RTD("esrtd",,$B1196 &amp; " " &amp; ICE[[#This Row],[Tenor]] &amp; "-IEU", W$1), RTD("esrtd",,$B1196 &amp; " " &amp; VLOOKUP(MONTH(ICE[[#This Row],[Strip]]), MthRef[], 2, 0) &amp; RIGHT(YEAR(ICE[[#This Row],[Strip]]), 2) &amp; "-IEU", W$1)), "")</f>
        <v/>
      </c>
      <c r="X1196" s="36"/>
    </row>
    <row r="1197" spans="1:24" x14ac:dyDescent="0.25">
      <c r="A1197" s="71" t="s">
        <v>438</v>
      </c>
      <c r="B1197" s="87" t="str">
        <f>RTD("ice.rtd",,$C1197 &amp; $D1197 &amp; ":" &amp; B$1)</f>
        <v>Invalid Market: CALCM10</v>
      </c>
      <c r="C1197" s="72" t="s">
        <v>827</v>
      </c>
      <c r="D1197" s="73" t="s">
        <v>799</v>
      </c>
      <c r="E1197" s="72" t="str">
        <f t="shared" si="58"/>
        <v>Jul27</v>
      </c>
      <c r="F1197" s="72" t="str">
        <f>ICE[[#This Row],[Prod]]&amp;ICE[[#This Row],[Strip]]</f>
        <v>fo05singbrxJul27</v>
      </c>
      <c r="G1197" s="75" t="str">
        <f>RTD("ice.rtd",,$C1197 &amp; $D1197 &amp; ":" &amp; G$1)</f>
        <v>Invalid Market: CALCM10</v>
      </c>
      <c r="H1197" s="75" t="str">
        <f t="shared" si="59"/>
        <v/>
      </c>
      <c r="I1197" s="75" t="str">
        <f>RTD("ice.rtd",,$C1197 &amp; $D1197 &amp; ":" &amp; I$1)</f>
        <v>Invalid Market: CALCM10</v>
      </c>
      <c r="J1197" s="76" t="str">
        <f>IFERROR(MOD(RTD("ice.rtd",,$C1197 &amp; $D1197 &amp; ":" &amp; J$1), 1), "")</f>
        <v/>
      </c>
      <c r="K1197" s="75" t="str">
        <f>RTD("ice.rtd",,$C1197 &amp; $D1197 &amp; ":" &amp; K$1)</f>
        <v>Invalid Market: CALCM10</v>
      </c>
      <c r="L1197" s="74" t="str">
        <f>RTD("ice.rtd",,$C1197 &amp; $D1197 &amp; ":" &amp; L$1)</f>
        <v>Invalid Market: CALCM10</v>
      </c>
      <c r="M1197" s="76" t="str">
        <f>IFERROR(MOD(TIMEVALUE(RTD("ice.rtd",,$C1197 &amp; $D1197 &amp; ":" &amp; M$1)), 1), "")</f>
        <v/>
      </c>
      <c r="N1197" s="74" t="str">
        <f>RTD("ice.rtd",,$C1197 &amp; $D1197 &amp; ":" &amp; N$1)</f>
        <v>Invalid Market: CALCM10</v>
      </c>
      <c r="O1197" s="74" t="str">
        <f>RTD("ice.rtd",,$C1197 &amp; $D1197 &amp; ":" &amp; O$1)</f>
        <v>Invalid Market: CALCM10</v>
      </c>
      <c r="P1197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7" s="76" t="str">
        <f>IF(ICE[[#This Row],[LastType]] = "Scrn", ICE[[#This Row],[LstDate]], IF(ICE[[#This Row],[LastType]] = "Blk", ICE[[#This Row],[LstBlkTime]], ""))</f>
        <v/>
      </c>
      <c r="R1197" s="82" t="str">
        <f t="shared" si="60"/>
        <v/>
      </c>
      <c r="S1197" s="74">
        <f t="shared" ref="S1197:T1197" si="72">S1121*6.35 + S1159</f>
        <v>0</v>
      </c>
      <c r="T1197" s="74">
        <f t="shared" si="72"/>
        <v>654.9</v>
      </c>
      <c r="U1197" s="75">
        <f t="shared" si="62"/>
        <v>14.395900000000001</v>
      </c>
      <c r="V11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7" s="18" t="str">
        <f>IFERROR(IF(LEFT(ICE[[#This Row],[Tenor]], 1) = "B", RTD("esrtd",,$B1197 &amp; " " &amp; ICE[[#This Row],[Tenor]] &amp; "-IEU", W$1), RTD("esrtd",,$B1197 &amp; " " &amp; VLOOKUP(MONTH(ICE[[#This Row],[Strip]]), MthRef[], 2, 0) &amp; RIGHT(YEAR(ICE[[#This Row],[Strip]]), 2) &amp; "-IEU", W$1)), "")</f>
        <v/>
      </c>
      <c r="X1197" s="36"/>
    </row>
    <row r="1198" spans="1:24" x14ac:dyDescent="0.25">
      <c r="A1198" s="71" t="s">
        <v>438</v>
      </c>
      <c r="B1198" s="87" t="str">
        <f>RTD("ice.rtd",,$C1198 &amp; $D1198 &amp; ":" &amp; B$1)</f>
        <v>Invalid Market: CALCM11</v>
      </c>
      <c r="C1198" s="72" t="s">
        <v>827</v>
      </c>
      <c r="D1198" s="73" t="s">
        <v>800</v>
      </c>
      <c r="E1198" s="72" t="str">
        <f t="shared" si="58"/>
        <v>Aug27</v>
      </c>
      <c r="F1198" s="72" t="str">
        <f>ICE[[#This Row],[Prod]]&amp;ICE[[#This Row],[Strip]]</f>
        <v>fo05singbrxAug27</v>
      </c>
      <c r="G1198" s="75" t="str">
        <f>RTD("ice.rtd",,$C1198 &amp; $D1198 &amp; ":" &amp; G$1)</f>
        <v>Invalid Market: CALCM11</v>
      </c>
      <c r="H1198" s="75" t="str">
        <f t="shared" si="59"/>
        <v/>
      </c>
      <c r="I1198" s="75" t="str">
        <f>RTD("ice.rtd",,$C1198 &amp; $D1198 &amp; ":" &amp; I$1)</f>
        <v>Invalid Market: CALCM11</v>
      </c>
      <c r="J1198" s="76" t="str">
        <f>IFERROR(MOD(RTD("ice.rtd",,$C1198 &amp; $D1198 &amp; ":" &amp; J$1), 1), "")</f>
        <v/>
      </c>
      <c r="K1198" s="75" t="str">
        <f>RTD("ice.rtd",,$C1198 &amp; $D1198 &amp; ":" &amp; K$1)</f>
        <v>Invalid Market: CALCM11</v>
      </c>
      <c r="L1198" s="74" t="str">
        <f>RTD("ice.rtd",,$C1198 &amp; $D1198 &amp; ":" &amp; L$1)</f>
        <v>Invalid Market: CALCM11</v>
      </c>
      <c r="M1198" s="76" t="str">
        <f>IFERROR(MOD(TIMEVALUE(RTD("ice.rtd",,$C1198 &amp; $D1198 &amp; ":" &amp; M$1)), 1), "")</f>
        <v/>
      </c>
      <c r="N1198" s="74" t="str">
        <f>RTD("ice.rtd",,$C1198 &amp; $D1198 &amp; ":" &amp; N$1)</f>
        <v>Invalid Market: CALCM11</v>
      </c>
      <c r="O1198" s="74" t="str">
        <f>RTD("ice.rtd",,$C1198 &amp; $D1198 &amp; ":" &amp; O$1)</f>
        <v>Invalid Market: CALCM11</v>
      </c>
      <c r="P1198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8" s="76" t="str">
        <f>IF(ICE[[#This Row],[LastType]] = "Scrn", ICE[[#This Row],[LstDate]], IF(ICE[[#This Row],[LastType]] = "Blk", ICE[[#This Row],[LstBlkTime]], ""))</f>
        <v/>
      </c>
      <c r="R1198" s="82" t="str">
        <f t="shared" si="60"/>
        <v/>
      </c>
      <c r="S1198" s="74">
        <f t="shared" ref="S1198:T1198" si="73">S1122*6.35 + S1160</f>
        <v>0</v>
      </c>
      <c r="T1198" s="74">
        <f t="shared" si="73"/>
        <v>654.9</v>
      </c>
      <c r="U1198" s="75">
        <f t="shared" si="62"/>
        <v>14.1455</v>
      </c>
      <c r="V11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8" s="18" t="str">
        <f>IFERROR(IF(LEFT(ICE[[#This Row],[Tenor]], 1) = "B", RTD("esrtd",,$B1198 &amp; " " &amp; ICE[[#This Row],[Tenor]] &amp; "-IEU", W$1), RTD("esrtd",,$B1198 &amp; " " &amp; VLOOKUP(MONTH(ICE[[#This Row],[Strip]]), MthRef[], 2, 0) &amp; RIGHT(YEAR(ICE[[#This Row],[Strip]]), 2) &amp; "-IEU", W$1)), "")</f>
        <v/>
      </c>
      <c r="X1198" s="36"/>
    </row>
    <row r="1199" spans="1:24" x14ac:dyDescent="0.25">
      <c r="A1199" s="71" t="s">
        <v>438</v>
      </c>
      <c r="B1199" s="87" t="str">
        <f>RTD("ice.rtd",,$C1199 &amp; $D1199 &amp; ":" &amp; B$1)</f>
        <v>Invalid Market: CALCM12</v>
      </c>
      <c r="C1199" s="72" t="s">
        <v>827</v>
      </c>
      <c r="D1199" s="73" t="s">
        <v>801</v>
      </c>
      <c r="E1199" s="72" t="str">
        <f t="shared" si="58"/>
        <v>Sep27</v>
      </c>
      <c r="F1199" s="72" t="str">
        <f>ICE[[#This Row],[Prod]]&amp;ICE[[#This Row],[Strip]]</f>
        <v>fo05singbrxSep27</v>
      </c>
      <c r="G1199" s="75" t="str">
        <f>RTD("ice.rtd",,$C1199 &amp; $D1199 &amp; ":" &amp; G$1)</f>
        <v>Invalid Market: CALCM12</v>
      </c>
      <c r="H1199" s="75" t="str">
        <f t="shared" si="59"/>
        <v/>
      </c>
      <c r="I1199" s="75" t="str">
        <f>RTD("ice.rtd",,$C1199 &amp; $D1199 &amp; ":" &amp; I$1)</f>
        <v>Invalid Market: CALCM12</v>
      </c>
      <c r="J1199" s="76" t="str">
        <f>IFERROR(MOD(RTD("ice.rtd",,$C1199 &amp; $D1199 &amp; ":" &amp; J$1), 1), "")</f>
        <v/>
      </c>
      <c r="K1199" s="75" t="str">
        <f>RTD("ice.rtd",,$C1199 &amp; $D1199 &amp; ":" &amp; K$1)</f>
        <v>Invalid Market: CALCM12</v>
      </c>
      <c r="L1199" s="74" t="str">
        <f>RTD("ice.rtd",,$C1199 &amp; $D1199 &amp; ":" &amp; L$1)</f>
        <v>Invalid Market: CALCM12</v>
      </c>
      <c r="M1199" s="76" t="str">
        <f>IFERROR(MOD(TIMEVALUE(RTD("ice.rtd",,$C1199 &amp; $D1199 &amp; ":" &amp; M$1)), 1), "")</f>
        <v/>
      </c>
      <c r="N1199" s="74" t="str">
        <f>RTD("ice.rtd",,$C1199 &amp; $D1199 &amp; ":" &amp; N$1)</f>
        <v>Invalid Market: CALCM12</v>
      </c>
      <c r="O1199" s="74" t="str">
        <f>RTD("ice.rtd",,$C1199 &amp; $D1199 &amp; ":" &amp; O$1)</f>
        <v>Invalid Market: CALCM12</v>
      </c>
      <c r="P1199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199" s="76" t="str">
        <f>IF(ICE[[#This Row],[LastType]] = "Scrn", ICE[[#This Row],[LstDate]], IF(ICE[[#This Row],[LastType]] = "Blk", ICE[[#This Row],[LstBlkTime]], ""))</f>
        <v/>
      </c>
      <c r="R1199" s="82" t="str">
        <f t="shared" si="60"/>
        <v/>
      </c>
      <c r="S1199" s="74">
        <f t="shared" ref="S1199:T1199" si="74">S1123*6.35 + S1161</f>
        <v>0</v>
      </c>
      <c r="T1199" s="74">
        <f t="shared" si="74"/>
        <v>654.9</v>
      </c>
      <c r="U1199" s="75">
        <f t="shared" si="62"/>
        <v>13.875500000000001</v>
      </c>
      <c r="V11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199" s="18" t="str">
        <f>IFERROR(IF(LEFT(ICE[[#This Row],[Tenor]], 1) = "B", RTD("esrtd",,$B1199 &amp; " " &amp; ICE[[#This Row],[Tenor]] &amp; "-IEU", W$1), RTD("esrtd",,$B1199 &amp; " " &amp; VLOOKUP(MONTH(ICE[[#This Row],[Strip]]), MthRef[], 2, 0) &amp; RIGHT(YEAR(ICE[[#This Row],[Strip]]), 2) &amp; "-IEU", W$1)), "")</f>
        <v/>
      </c>
      <c r="X1199" s="36"/>
    </row>
    <row r="1200" spans="1:24" x14ac:dyDescent="0.25">
      <c r="A1200" s="71" t="s">
        <v>438</v>
      </c>
      <c r="B1200" s="87" t="str">
        <f>RTD("ice.rtd",,$C1200 &amp; $D1200 &amp; ":" &amp; B$1)</f>
        <v>Invalid Market: CALCM13</v>
      </c>
      <c r="C1200" s="72" t="s">
        <v>827</v>
      </c>
      <c r="D1200" s="73" t="s">
        <v>802</v>
      </c>
      <c r="E1200" s="72" t="str">
        <f t="shared" si="58"/>
        <v>Oct27</v>
      </c>
      <c r="F1200" s="72" t="str">
        <f>ICE[[#This Row],[Prod]]&amp;ICE[[#This Row],[Strip]]</f>
        <v>fo05singbrxOct27</v>
      </c>
      <c r="G1200" s="75" t="str">
        <f>RTD("ice.rtd",,$C1200 &amp; $D1200 &amp; ":" &amp; G$1)</f>
        <v>Invalid Market: CALCM13</v>
      </c>
      <c r="H1200" s="75" t="str">
        <f t="shared" si="59"/>
        <v/>
      </c>
      <c r="I1200" s="75" t="str">
        <f>RTD("ice.rtd",,$C1200 &amp; $D1200 &amp; ":" &amp; I$1)</f>
        <v>Invalid Market: CALCM13</v>
      </c>
      <c r="J1200" s="76" t="str">
        <f>IFERROR(MOD(RTD("ice.rtd",,$C1200 &amp; $D1200 &amp; ":" &amp; J$1), 1), "")</f>
        <v/>
      </c>
      <c r="K1200" s="75" t="str">
        <f>RTD("ice.rtd",,$C1200 &amp; $D1200 &amp; ":" &amp; K$1)</f>
        <v>Invalid Market: CALCM13</v>
      </c>
      <c r="L1200" s="74" t="str">
        <f>RTD("ice.rtd",,$C1200 &amp; $D1200 &amp; ":" &amp; L$1)</f>
        <v>Invalid Market: CALCM13</v>
      </c>
      <c r="M1200" s="76" t="str">
        <f>IFERROR(MOD(TIMEVALUE(RTD("ice.rtd",,$C1200 &amp; $D1200 &amp; ":" &amp; M$1)), 1), "")</f>
        <v/>
      </c>
      <c r="N1200" s="74" t="str">
        <f>RTD("ice.rtd",,$C1200 &amp; $D1200 &amp; ":" &amp; N$1)</f>
        <v>Invalid Market: CALCM13</v>
      </c>
      <c r="O1200" s="74" t="str">
        <f>RTD("ice.rtd",,$C1200 &amp; $D1200 &amp; ":" &amp; O$1)</f>
        <v>Invalid Market: CALCM13</v>
      </c>
      <c r="P1200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0" s="76" t="str">
        <f>IF(ICE[[#This Row],[LastType]] = "Scrn", ICE[[#This Row],[LstDate]], IF(ICE[[#This Row],[LastType]] = "Blk", ICE[[#This Row],[LstBlkTime]], ""))</f>
        <v/>
      </c>
      <c r="R1200" s="82" t="str">
        <f t="shared" si="60"/>
        <v/>
      </c>
      <c r="S1200" s="74">
        <f t="shared" ref="S1200:T1200" si="75">S1124*6.35 + S1162</f>
        <v>0</v>
      </c>
      <c r="T1200" s="74">
        <f t="shared" si="75"/>
        <v>653.9</v>
      </c>
      <c r="U1200" s="75">
        <f t="shared" si="62"/>
        <v>13.606900000000001</v>
      </c>
      <c r="V12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0" s="18" t="str">
        <f>IFERROR(IF(LEFT(ICE[[#This Row],[Tenor]], 1) = "B", RTD("esrtd",,$B1200 &amp; " " &amp; ICE[[#This Row],[Tenor]] &amp; "-IEU", W$1), RTD("esrtd",,$B1200 &amp; " " &amp; VLOOKUP(MONTH(ICE[[#This Row],[Strip]]), MthRef[], 2, 0) &amp; RIGHT(YEAR(ICE[[#This Row],[Strip]]), 2) &amp; "-IEU", W$1)), "")</f>
        <v/>
      </c>
      <c r="X1200" s="36"/>
    </row>
    <row r="1201" spans="1:24" x14ac:dyDescent="0.25">
      <c r="A1201" s="71" t="s">
        <v>438</v>
      </c>
      <c r="B1201" s="87" t="str">
        <f>RTD("ice.rtd",,$C1201 &amp; $D1201 &amp; ":" &amp; B$1)</f>
        <v>Invalid Market: CALCM14</v>
      </c>
      <c r="C1201" s="72" t="s">
        <v>827</v>
      </c>
      <c r="D1201" s="73" t="s">
        <v>803</v>
      </c>
      <c r="E1201" s="72" t="str">
        <f t="shared" si="58"/>
        <v>Nov27</v>
      </c>
      <c r="F1201" s="72" t="str">
        <f>ICE[[#This Row],[Prod]]&amp;ICE[[#This Row],[Strip]]</f>
        <v>fo05singbrxNov27</v>
      </c>
      <c r="G1201" s="75" t="str">
        <f>RTD("ice.rtd",,$C1201 &amp; $D1201 &amp; ":" &amp; G$1)</f>
        <v>Invalid Market: CALCM14</v>
      </c>
      <c r="H1201" s="75" t="str">
        <f t="shared" si="59"/>
        <v/>
      </c>
      <c r="I1201" s="75" t="str">
        <f>RTD("ice.rtd",,$C1201 &amp; $D1201 &amp; ":" &amp; I$1)</f>
        <v>Invalid Market: CALCM14</v>
      </c>
      <c r="J1201" s="76" t="str">
        <f>IFERROR(MOD(RTD("ice.rtd",,$C1201 &amp; $D1201 &amp; ":" &amp; J$1), 1), "")</f>
        <v/>
      </c>
      <c r="K1201" s="75" t="str">
        <f>RTD("ice.rtd",,$C1201 &amp; $D1201 &amp; ":" &amp; K$1)</f>
        <v>Invalid Market: CALCM14</v>
      </c>
      <c r="L1201" s="74" t="str">
        <f>RTD("ice.rtd",,$C1201 &amp; $D1201 &amp; ":" &amp; L$1)</f>
        <v>Invalid Market: CALCM14</v>
      </c>
      <c r="M1201" s="76" t="str">
        <f>IFERROR(MOD(TIMEVALUE(RTD("ice.rtd",,$C1201 &amp; $D1201 &amp; ":" &amp; M$1)), 1), "")</f>
        <v/>
      </c>
      <c r="N1201" s="74" t="str">
        <f>RTD("ice.rtd",,$C1201 &amp; $D1201 &amp; ":" &amp; N$1)</f>
        <v>Invalid Market: CALCM14</v>
      </c>
      <c r="O1201" s="74" t="str">
        <f>RTD("ice.rtd",,$C1201 &amp; $D1201 &amp; ":" &amp; O$1)</f>
        <v>Invalid Market: CALCM14</v>
      </c>
      <c r="P1201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1" s="76" t="str">
        <f>IF(ICE[[#This Row],[LastType]] = "Scrn", ICE[[#This Row],[LstDate]], IF(ICE[[#This Row],[LastType]] = "Blk", ICE[[#This Row],[LstBlkTime]], ""))</f>
        <v/>
      </c>
      <c r="R1201" s="82" t="str">
        <f t="shared" si="60"/>
        <v/>
      </c>
      <c r="S1201" s="74">
        <f t="shared" ref="S1201:T1201" si="76">S1125*6.35 + S1163</f>
        <v>0</v>
      </c>
      <c r="T1201" s="74">
        <f t="shared" si="76"/>
        <v>653.9</v>
      </c>
      <c r="U1201" s="75">
        <f t="shared" si="62"/>
        <v>13.3162</v>
      </c>
      <c r="V12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1" s="18" t="str">
        <f>IFERROR(IF(LEFT(ICE[[#This Row],[Tenor]], 1) = "B", RTD("esrtd",,$B1201 &amp; " " &amp; ICE[[#This Row],[Tenor]] &amp; "-IEU", W$1), RTD("esrtd",,$B1201 &amp; " " &amp; VLOOKUP(MONTH(ICE[[#This Row],[Strip]]), MthRef[], 2, 0) &amp; RIGHT(YEAR(ICE[[#This Row],[Strip]]), 2) &amp; "-IEU", W$1)), "")</f>
        <v/>
      </c>
      <c r="X1201" s="36"/>
    </row>
    <row r="1202" spans="1:24" x14ac:dyDescent="0.25">
      <c r="A1202" s="71" t="s">
        <v>438</v>
      </c>
      <c r="B1202" s="87" t="str">
        <f>RTD("ice.rtd",,$C1202 &amp; $D1202 &amp; ":" &amp; B$1)</f>
        <v>Invalid Market: CALCM15</v>
      </c>
      <c r="C1202" s="72" t="s">
        <v>827</v>
      </c>
      <c r="D1202" s="73" t="s">
        <v>804</v>
      </c>
      <c r="E1202" s="72" t="str">
        <f t="shared" si="58"/>
        <v>Dec27</v>
      </c>
      <c r="F1202" s="72" t="str">
        <f>ICE[[#This Row],[Prod]]&amp;ICE[[#This Row],[Strip]]</f>
        <v>fo05singbrxDec27</v>
      </c>
      <c r="G1202" s="75" t="str">
        <f>RTD("ice.rtd",,$C1202 &amp; $D1202 &amp; ":" &amp; G$1)</f>
        <v>Invalid Market: CALCM15</v>
      </c>
      <c r="H1202" s="75" t="str">
        <f t="shared" si="59"/>
        <v/>
      </c>
      <c r="I1202" s="75" t="str">
        <f>RTD("ice.rtd",,$C1202 &amp; $D1202 &amp; ":" &amp; I$1)</f>
        <v>Invalid Market: CALCM15</v>
      </c>
      <c r="J1202" s="76" t="str">
        <f>IFERROR(MOD(RTD("ice.rtd",,$C1202 &amp; $D1202 &amp; ":" &amp; J$1), 1), "")</f>
        <v/>
      </c>
      <c r="K1202" s="75" t="str">
        <f>RTD("ice.rtd",,$C1202 &amp; $D1202 &amp; ":" &amp; K$1)</f>
        <v>Invalid Market: CALCM15</v>
      </c>
      <c r="L1202" s="74" t="str">
        <f>RTD("ice.rtd",,$C1202 &amp; $D1202 &amp; ":" &amp; L$1)</f>
        <v>Invalid Market: CALCM15</v>
      </c>
      <c r="M1202" s="76" t="str">
        <f>IFERROR(MOD(TIMEVALUE(RTD("ice.rtd",,$C1202 &amp; $D1202 &amp; ":" &amp; M$1)), 1), "")</f>
        <v/>
      </c>
      <c r="N1202" s="74" t="str">
        <f>RTD("ice.rtd",,$C1202 &amp; $D1202 &amp; ":" &amp; N$1)</f>
        <v>Invalid Market: CALCM15</v>
      </c>
      <c r="O1202" s="74" t="str">
        <f>RTD("ice.rtd",,$C1202 &amp; $D1202 &amp; ":" &amp; O$1)</f>
        <v>Invalid Market: CALCM15</v>
      </c>
      <c r="P1202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2" s="76" t="str">
        <f>IF(ICE[[#This Row],[LastType]] = "Scrn", ICE[[#This Row],[LstDate]], IF(ICE[[#This Row],[LastType]] = "Blk", ICE[[#This Row],[LstBlkTime]], ""))</f>
        <v/>
      </c>
      <c r="R1202" s="82" t="str">
        <f t="shared" si="60"/>
        <v/>
      </c>
      <c r="S1202" s="74">
        <f t="shared" ref="S1202:T1202" si="77">S1126*6.35 + S1164</f>
        <v>0</v>
      </c>
      <c r="T1202" s="74">
        <f t="shared" si="77"/>
        <v>660.25</v>
      </c>
      <c r="U1202" s="75">
        <f t="shared" si="62"/>
        <v>13.009500000000001</v>
      </c>
      <c r="V12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2" s="18" t="str">
        <f>IFERROR(IF(LEFT(ICE[[#This Row],[Tenor]], 1) = "B", RTD("esrtd",,$B1202 &amp; " " &amp; ICE[[#This Row],[Tenor]] &amp; "-IEU", W$1), RTD("esrtd",,$B1202 &amp; " " &amp; VLOOKUP(MONTH(ICE[[#This Row],[Strip]]), MthRef[], 2, 0) &amp; RIGHT(YEAR(ICE[[#This Row],[Strip]]), 2) &amp; "-IEU", W$1)), "")</f>
        <v/>
      </c>
      <c r="X1202" s="36"/>
    </row>
    <row r="1203" spans="1:24" x14ac:dyDescent="0.25">
      <c r="A1203" s="71" t="s">
        <v>438</v>
      </c>
      <c r="B1203" s="87" t="str">
        <f>RTD("ice.rtd",,$C1203 &amp; $D1203 &amp; ":" &amp; B$1)</f>
        <v>Invalid Market: CALCM16</v>
      </c>
      <c r="C1203" s="72" t="s">
        <v>827</v>
      </c>
      <c r="D1203" s="73" t="s">
        <v>805</v>
      </c>
      <c r="E1203" s="72" t="str">
        <f t="shared" si="58"/>
        <v>Jan28</v>
      </c>
      <c r="F1203" s="72" t="str">
        <f>ICE[[#This Row],[Prod]]&amp;ICE[[#This Row],[Strip]]</f>
        <v>fo05singbrxJan28</v>
      </c>
      <c r="G1203" s="75" t="str">
        <f>RTD("ice.rtd",,$C1203 &amp; $D1203 &amp; ":" &amp; G$1)</f>
        <v>Invalid Market: CALCM16</v>
      </c>
      <c r="H1203" s="75" t="str">
        <f t="shared" si="59"/>
        <v/>
      </c>
      <c r="I1203" s="75" t="str">
        <f>RTD("ice.rtd",,$C1203 &amp; $D1203 &amp; ":" &amp; I$1)</f>
        <v>Invalid Market: CALCM16</v>
      </c>
      <c r="J1203" s="76" t="str">
        <f>IFERROR(MOD(RTD("ice.rtd",,$C1203 &amp; $D1203 &amp; ":" &amp; J$1), 1), "")</f>
        <v/>
      </c>
      <c r="K1203" s="75" t="str">
        <f>RTD("ice.rtd",,$C1203 &amp; $D1203 &amp; ":" &amp; K$1)</f>
        <v>Invalid Market: CALCM16</v>
      </c>
      <c r="L1203" s="74" t="str">
        <f>RTD("ice.rtd",,$C1203 &amp; $D1203 &amp; ":" &amp; L$1)</f>
        <v>Invalid Market: CALCM16</v>
      </c>
      <c r="M1203" s="76" t="str">
        <f>IFERROR(MOD(TIMEVALUE(RTD("ice.rtd",,$C1203 &amp; $D1203 &amp; ":" &amp; M$1)), 1), "")</f>
        <v/>
      </c>
      <c r="N1203" s="74" t="str">
        <f>RTD("ice.rtd",,$C1203 &amp; $D1203 &amp; ":" &amp; N$1)</f>
        <v>Invalid Market: CALCM16</v>
      </c>
      <c r="O1203" s="74" t="str">
        <f>RTD("ice.rtd",,$C1203 &amp; $D1203 &amp; ":" &amp; O$1)</f>
        <v>Invalid Market: CALCM16</v>
      </c>
      <c r="P1203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3" s="76" t="str">
        <f>IF(ICE[[#This Row],[LastType]] = "Scrn", ICE[[#This Row],[LstDate]], IF(ICE[[#This Row],[LastType]] = "Blk", ICE[[#This Row],[LstBlkTime]], ""))</f>
        <v/>
      </c>
      <c r="R1203" s="82" t="str">
        <f t="shared" si="60"/>
        <v/>
      </c>
      <c r="S1203" s="74">
        <f t="shared" ref="S1203:T1203" si="78">S1127*6.35 + S1165</f>
        <v>0</v>
      </c>
      <c r="T1203" s="74">
        <f t="shared" si="78"/>
        <v>20</v>
      </c>
      <c r="U1203" s="75">
        <f t="shared" si="62"/>
        <v>12.9015</v>
      </c>
      <c r="V12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3" s="18" t="str">
        <f>IFERROR(IF(LEFT(ICE[[#This Row],[Tenor]], 1) = "B", RTD("esrtd",,$B1203 &amp; " " &amp; ICE[[#This Row],[Tenor]] &amp; "-IEU", W$1), RTD("esrtd",,$B1203 &amp; " " &amp; VLOOKUP(MONTH(ICE[[#This Row],[Strip]]), MthRef[], 2, 0) &amp; RIGHT(YEAR(ICE[[#This Row],[Strip]]), 2) &amp; "-IEU", W$1)), "")</f>
        <v/>
      </c>
      <c r="X1203" s="36"/>
    </row>
    <row r="1204" spans="1:24" x14ac:dyDescent="0.25">
      <c r="A1204" s="71" t="s">
        <v>438</v>
      </c>
      <c r="B1204" s="87" t="str">
        <f>RTD("ice.rtd",,$C1204 &amp; $D1204 &amp; ":" &amp; B$1)</f>
        <v>Invalid Market: CALCM17</v>
      </c>
      <c r="C1204" s="72" t="s">
        <v>827</v>
      </c>
      <c r="D1204" s="73" t="s">
        <v>806</v>
      </c>
      <c r="E1204" s="72" t="str">
        <f t="shared" si="58"/>
        <v>Feb28</v>
      </c>
      <c r="F1204" s="72" t="str">
        <f>ICE[[#This Row],[Prod]]&amp;ICE[[#This Row],[Strip]]</f>
        <v>fo05singbrxFeb28</v>
      </c>
      <c r="G1204" s="75" t="str">
        <f>RTD("ice.rtd",,$C1204 &amp; $D1204 &amp; ":" &amp; G$1)</f>
        <v>Invalid Market: CALCM17</v>
      </c>
      <c r="H1204" s="75" t="str">
        <f t="shared" si="59"/>
        <v/>
      </c>
      <c r="I1204" s="75" t="str">
        <f>RTD("ice.rtd",,$C1204 &amp; $D1204 &amp; ":" &amp; I$1)</f>
        <v>Invalid Market: CALCM17</v>
      </c>
      <c r="J1204" s="76" t="str">
        <f>IFERROR(MOD(RTD("ice.rtd",,$C1204 &amp; $D1204 &amp; ":" &amp; J$1), 1), "")</f>
        <v/>
      </c>
      <c r="K1204" s="75" t="str">
        <f>RTD("ice.rtd",,$C1204 &amp; $D1204 &amp; ":" &amp; K$1)</f>
        <v>Invalid Market: CALCM17</v>
      </c>
      <c r="L1204" s="74" t="str">
        <f>RTD("ice.rtd",,$C1204 &amp; $D1204 &amp; ":" &amp; L$1)</f>
        <v>Invalid Market: CALCM17</v>
      </c>
      <c r="M1204" s="76" t="str">
        <f>IFERROR(MOD(TIMEVALUE(RTD("ice.rtd",,$C1204 &amp; $D1204 &amp; ":" &amp; M$1)), 1), "")</f>
        <v/>
      </c>
      <c r="N1204" s="74" t="str">
        <f>RTD("ice.rtd",,$C1204 &amp; $D1204 &amp; ":" &amp; N$1)</f>
        <v>Invalid Market: CALCM17</v>
      </c>
      <c r="O1204" s="74" t="str">
        <f>RTD("ice.rtd",,$C1204 &amp; $D1204 &amp; ":" &amp; O$1)</f>
        <v>Invalid Market: CALCM17</v>
      </c>
      <c r="P1204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4" s="76" t="str">
        <f>IF(ICE[[#This Row],[LastType]] = "Scrn", ICE[[#This Row],[LstDate]], IF(ICE[[#This Row],[LastType]] = "Blk", ICE[[#This Row],[LstBlkTime]], ""))</f>
        <v/>
      </c>
      <c r="R1204" s="82" t="str">
        <f t="shared" si="60"/>
        <v/>
      </c>
      <c r="S1204" s="74">
        <f t="shared" ref="S1204:T1204" si="79">S1128*6.35 + S1166</f>
        <v>0</v>
      </c>
      <c r="T1204" s="74">
        <f t="shared" si="79"/>
        <v>20</v>
      </c>
      <c r="U1204" s="75">
        <f t="shared" si="62"/>
        <v>12.856100000000001</v>
      </c>
      <c r="V12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4" s="18" t="str">
        <f>IFERROR(IF(LEFT(ICE[[#This Row],[Tenor]], 1) = "B", RTD("esrtd",,$B1204 &amp; " " &amp; ICE[[#This Row],[Tenor]] &amp; "-IEU", W$1), RTD("esrtd",,$B1204 &amp; " " &amp; VLOOKUP(MONTH(ICE[[#This Row],[Strip]]), MthRef[], 2, 0) &amp; RIGHT(YEAR(ICE[[#This Row],[Strip]]), 2) &amp; "-IEU", W$1)), "")</f>
        <v/>
      </c>
      <c r="X1204" s="36"/>
    </row>
    <row r="1205" spans="1:24" x14ac:dyDescent="0.25">
      <c r="A1205" s="71" t="s">
        <v>438</v>
      </c>
      <c r="B1205" s="87" t="str">
        <f>RTD("ice.rtd",,$C1205 &amp; $D1205 &amp; ":" &amp; B$1)</f>
        <v>Invalid Market: CALCM18</v>
      </c>
      <c r="C1205" s="72" t="s">
        <v>827</v>
      </c>
      <c r="D1205" s="73" t="s">
        <v>807</v>
      </c>
      <c r="E1205" s="72" t="str">
        <f t="shared" si="58"/>
        <v>Mar28</v>
      </c>
      <c r="F1205" s="72" t="str">
        <f>ICE[[#This Row],[Prod]]&amp;ICE[[#This Row],[Strip]]</f>
        <v>fo05singbrxMar28</v>
      </c>
      <c r="G1205" s="75" t="str">
        <f>RTD("ice.rtd",,$C1205 &amp; $D1205 &amp; ":" &amp; G$1)</f>
        <v>Invalid Market: CALCM18</v>
      </c>
      <c r="H1205" s="75" t="str">
        <f t="shared" si="59"/>
        <v/>
      </c>
      <c r="I1205" s="75" t="str">
        <f>RTD("ice.rtd",,$C1205 &amp; $D1205 &amp; ":" &amp; I$1)</f>
        <v>Invalid Market: CALCM18</v>
      </c>
      <c r="J1205" s="76" t="str">
        <f>IFERROR(MOD(RTD("ice.rtd",,$C1205 &amp; $D1205 &amp; ":" &amp; J$1), 1), "")</f>
        <v/>
      </c>
      <c r="K1205" s="75" t="str">
        <f>RTD("ice.rtd",,$C1205 &amp; $D1205 &amp; ":" &amp; K$1)</f>
        <v>Invalid Market: CALCM18</v>
      </c>
      <c r="L1205" s="74" t="str">
        <f>RTD("ice.rtd",,$C1205 &amp; $D1205 &amp; ":" &amp; L$1)</f>
        <v>Invalid Market: CALCM18</v>
      </c>
      <c r="M1205" s="76" t="str">
        <f>IFERROR(MOD(TIMEVALUE(RTD("ice.rtd",,$C1205 &amp; $D1205 &amp; ":" &amp; M$1)), 1), "")</f>
        <v/>
      </c>
      <c r="N1205" s="74" t="str">
        <f>RTD("ice.rtd",,$C1205 &amp; $D1205 &amp; ":" &amp; N$1)</f>
        <v>Invalid Market: CALCM18</v>
      </c>
      <c r="O1205" s="74" t="str">
        <f>RTD("ice.rtd",,$C1205 &amp; $D1205 &amp; ":" &amp; O$1)</f>
        <v>Invalid Market: CALCM18</v>
      </c>
      <c r="P1205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5" s="76" t="str">
        <f>IF(ICE[[#This Row],[LastType]] = "Scrn", ICE[[#This Row],[LstDate]], IF(ICE[[#This Row],[LastType]] = "Blk", ICE[[#This Row],[LstBlkTime]], ""))</f>
        <v/>
      </c>
      <c r="R1205" s="82" t="str">
        <f t="shared" si="60"/>
        <v/>
      </c>
      <c r="S1205" s="74">
        <f t="shared" ref="S1205:T1205" si="80">S1129*6.35 + S1167</f>
        <v>0</v>
      </c>
      <c r="T1205" s="74">
        <f t="shared" si="80"/>
        <v>20</v>
      </c>
      <c r="U1205" s="75">
        <f t="shared" si="62"/>
        <v>12.799800000000001</v>
      </c>
      <c r="V12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5" s="18" t="str">
        <f>IFERROR(IF(LEFT(ICE[[#This Row],[Tenor]], 1) = "B", RTD("esrtd",,$B1205 &amp; " " &amp; ICE[[#This Row],[Tenor]] &amp; "-IEU", W$1), RTD("esrtd",,$B1205 &amp; " " &amp; VLOOKUP(MONTH(ICE[[#This Row],[Strip]]), MthRef[], 2, 0) &amp; RIGHT(YEAR(ICE[[#This Row],[Strip]]), 2) &amp; "-IEU", W$1)), "")</f>
        <v/>
      </c>
      <c r="X1205" s="36"/>
    </row>
    <row r="1206" spans="1:24" x14ac:dyDescent="0.25">
      <c r="A1206" s="71" t="s">
        <v>438</v>
      </c>
      <c r="B1206" s="87" t="str">
        <f>RTD("ice.rtd",,$C1206 &amp; $D1206 &amp; ":" &amp; B$1)</f>
        <v>Invalid Market: CALCM19</v>
      </c>
      <c r="C1206" s="72" t="s">
        <v>827</v>
      </c>
      <c r="D1206" s="73" t="s">
        <v>808</v>
      </c>
      <c r="E1206" s="72" t="str">
        <f t="shared" si="58"/>
        <v>Apr28</v>
      </c>
      <c r="F1206" s="72" t="str">
        <f>ICE[[#This Row],[Prod]]&amp;ICE[[#This Row],[Strip]]</f>
        <v>fo05singbrxApr28</v>
      </c>
      <c r="G1206" s="75" t="str">
        <f>RTD("ice.rtd",,$C1206 &amp; $D1206 &amp; ":" &amp; G$1)</f>
        <v>Invalid Market: CALCM19</v>
      </c>
      <c r="H1206" s="75" t="str">
        <f t="shared" si="59"/>
        <v/>
      </c>
      <c r="I1206" s="75" t="str">
        <f>RTD("ice.rtd",,$C1206 &amp; $D1206 &amp; ":" &amp; I$1)</f>
        <v>Invalid Market: CALCM19</v>
      </c>
      <c r="J1206" s="76" t="str">
        <f>IFERROR(MOD(RTD("ice.rtd",,$C1206 &amp; $D1206 &amp; ":" &amp; J$1), 1), "")</f>
        <v/>
      </c>
      <c r="K1206" s="75" t="str">
        <f>RTD("ice.rtd",,$C1206 &amp; $D1206 &amp; ":" &amp; K$1)</f>
        <v>Invalid Market: CALCM19</v>
      </c>
      <c r="L1206" s="74" t="str">
        <f>RTD("ice.rtd",,$C1206 &amp; $D1206 &amp; ":" &amp; L$1)</f>
        <v>Invalid Market: CALCM19</v>
      </c>
      <c r="M1206" s="76" t="str">
        <f>IFERROR(MOD(TIMEVALUE(RTD("ice.rtd",,$C1206 &amp; $D1206 &amp; ":" &amp; M$1)), 1), "")</f>
        <v/>
      </c>
      <c r="N1206" s="74" t="str">
        <f>RTD("ice.rtd",,$C1206 &amp; $D1206 &amp; ":" &amp; N$1)</f>
        <v>Invalid Market: CALCM19</v>
      </c>
      <c r="O1206" s="74" t="str">
        <f>RTD("ice.rtd",,$C1206 &amp; $D1206 &amp; ":" &amp; O$1)</f>
        <v>Invalid Market: CALCM19</v>
      </c>
      <c r="P1206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6" s="76" t="str">
        <f>IF(ICE[[#This Row],[LastType]] = "Scrn", ICE[[#This Row],[LstDate]], IF(ICE[[#This Row],[LastType]] = "Blk", ICE[[#This Row],[LstBlkTime]], ""))</f>
        <v/>
      </c>
      <c r="R1206" s="82" t="str">
        <f t="shared" si="60"/>
        <v/>
      </c>
      <c r="S1206" s="74">
        <f t="shared" ref="S1206:T1206" si="81">S1130*6.35 + S1168</f>
        <v>0</v>
      </c>
      <c r="T1206" s="74">
        <f t="shared" si="81"/>
        <v>20</v>
      </c>
      <c r="U1206" s="75">
        <f t="shared" si="62"/>
        <v>12.7285</v>
      </c>
      <c r="V12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6" s="18" t="str">
        <f>IFERROR(IF(LEFT(ICE[[#This Row],[Tenor]], 1) = "B", RTD("esrtd",,$B1206 &amp; " " &amp; ICE[[#This Row],[Tenor]] &amp; "-IEU", W$1), RTD("esrtd",,$B1206 &amp; " " &amp; VLOOKUP(MONTH(ICE[[#This Row],[Strip]]), MthRef[], 2, 0) &amp; RIGHT(YEAR(ICE[[#This Row],[Strip]]), 2) &amp; "-IEU", W$1)), "")</f>
        <v/>
      </c>
      <c r="X1206" s="36"/>
    </row>
    <row r="1207" spans="1:24" x14ac:dyDescent="0.25">
      <c r="A1207" s="71" t="s">
        <v>438</v>
      </c>
      <c r="B1207" s="87" t="str">
        <f>RTD("ice.rtd",,$C1207 &amp; $D1207 &amp; ":" &amp; B$1)</f>
        <v>Invalid Market: CALCM20</v>
      </c>
      <c r="C1207" s="72" t="s">
        <v>827</v>
      </c>
      <c r="D1207" s="73" t="s">
        <v>809</v>
      </c>
      <c r="E1207" s="72" t="str">
        <f t="shared" si="58"/>
        <v>May28</v>
      </c>
      <c r="F1207" s="72" t="str">
        <f>ICE[[#This Row],[Prod]]&amp;ICE[[#This Row],[Strip]]</f>
        <v>fo05singbrxMay28</v>
      </c>
      <c r="G1207" s="75" t="str">
        <f>RTD("ice.rtd",,$C1207 &amp; $D1207 &amp; ":" &amp; G$1)</f>
        <v>Invalid Market: CALCM20</v>
      </c>
      <c r="H1207" s="75" t="str">
        <f t="shared" si="59"/>
        <v/>
      </c>
      <c r="I1207" s="75" t="str">
        <f>RTD("ice.rtd",,$C1207 &amp; $D1207 &amp; ":" &amp; I$1)</f>
        <v>Invalid Market: CALCM20</v>
      </c>
      <c r="J1207" s="76" t="str">
        <f>IFERROR(MOD(RTD("ice.rtd",,$C1207 &amp; $D1207 &amp; ":" &amp; J$1), 1), "")</f>
        <v/>
      </c>
      <c r="K1207" s="75" t="str">
        <f>RTD("ice.rtd",,$C1207 &amp; $D1207 &amp; ":" &amp; K$1)</f>
        <v>Invalid Market: CALCM20</v>
      </c>
      <c r="L1207" s="74" t="str">
        <f>RTD("ice.rtd",,$C1207 &amp; $D1207 &amp; ":" &amp; L$1)</f>
        <v>Invalid Market: CALCM20</v>
      </c>
      <c r="M1207" s="76" t="str">
        <f>IFERROR(MOD(TIMEVALUE(RTD("ice.rtd",,$C1207 &amp; $D1207 &amp; ":" &amp; M$1)), 1), "")</f>
        <v/>
      </c>
      <c r="N1207" s="74" t="str">
        <f>RTD("ice.rtd",,$C1207 &amp; $D1207 &amp; ":" &amp; N$1)</f>
        <v>Invalid Market: CALCM20</v>
      </c>
      <c r="O1207" s="74" t="str">
        <f>RTD("ice.rtd",,$C1207 &amp; $D1207 &amp; ":" &amp; O$1)</f>
        <v>Invalid Market: CALCM20</v>
      </c>
      <c r="P1207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7" s="76" t="str">
        <f>IF(ICE[[#This Row],[LastType]] = "Scrn", ICE[[#This Row],[LstDate]], IF(ICE[[#This Row],[LastType]] = "Blk", ICE[[#This Row],[LstBlkTime]], ""))</f>
        <v/>
      </c>
      <c r="R1207" s="82" t="str">
        <f t="shared" si="60"/>
        <v/>
      </c>
      <c r="S1207" s="74">
        <f t="shared" ref="S1207:T1207" si="82">S1131*6.35 + S1169</f>
        <v>0</v>
      </c>
      <c r="T1207" s="74">
        <f t="shared" si="82"/>
        <v>20</v>
      </c>
      <c r="U1207" s="75">
        <f t="shared" si="62"/>
        <v>12.6501</v>
      </c>
      <c r="V12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7" s="18" t="str">
        <f>IFERROR(IF(LEFT(ICE[[#This Row],[Tenor]], 1) = "B", RTD("esrtd",,$B1207 &amp; " " &amp; ICE[[#This Row],[Tenor]] &amp; "-IEU", W$1), RTD("esrtd",,$B1207 &amp; " " &amp; VLOOKUP(MONTH(ICE[[#This Row],[Strip]]), MthRef[], 2, 0) &amp; RIGHT(YEAR(ICE[[#This Row],[Strip]]), 2) &amp; "-IEU", W$1)), "")</f>
        <v/>
      </c>
      <c r="X1207" s="36"/>
    </row>
    <row r="1208" spans="1:24" x14ac:dyDescent="0.25">
      <c r="A1208" s="71" t="s">
        <v>438</v>
      </c>
      <c r="B1208" s="87" t="str">
        <f>RTD("ice.rtd",,$C1208 &amp; $D1208 &amp; ":" &amp; B$1)</f>
        <v>Invalid Market: CALCM21</v>
      </c>
      <c r="C1208" s="72" t="s">
        <v>827</v>
      </c>
      <c r="D1208" s="73" t="s">
        <v>810</v>
      </c>
      <c r="E1208" s="72" t="str">
        <f t="shared" si="58"/>
        <v>Jun28</v>
      </c>
      <c r="F1208" s="72" t="str">
        <f>ICE[[#This Row],[Prod]]&amp;ICE[[#This Row],[Strip]]</f>
        <v>fo05singbrxJun28</v>
      </c>
      <c r="G1208" s="75" t="str">
        <f>RTD("ice.rtd",,$C1208 &amp; $D1208 &amp; ":" &amp; G$1)</f>
        <v>Invalid Market: CALCM21</v>
      </c>
      <c r="H1208" s="75" t="str">
        <f t="shared" si="59"/>
        <v/>
      </c>
      <c r="I1208" s="75" t="str">
        <f>RTD("ice.rtd",,$C1208 &amp; $D1208 &amp; ":" &amp; I$1)</f>
        <v>Invalid Market: CALCM21</v>
      </c>
      <c r="J1208" s="76" t="str">
        <f>IFERROR(MOD(RTD("ice.rtd",,$C1208 &amp; $D1208 &amp; ":" &amp; J$1), 1), "")</f>
        <v/>
      </c>
      <c r="K1208" s="75" t="str">
        <f>RTD("ice.rtd",,$C1208 &amp; $D1208 &amp; ":" &amp; K$1)</f>
        <v>Invalid Market: CALCM21</v>
      </c>
      <c r="L1208" s="74" t="str">
        <f>RTD("ice.rtd",,$C1208 &amp; $D1208 &amp; ":" &amp; L$1)</f>
        <v>Invalid Market: CALCM21</v>
      </c>
      <c r="M1208" s="76" t="str">
        <f>IFERROR(MOD(TIMEVALUE(RTD("ice.rtd",,$C1208 &amp; $D1208 &amp; ":" &amp; M$1)), 1), "")</f>
        <v/>
      </c>
      <c r="N1208" s="74" t="str">
        <f>RTD("ice.rtd",,$C1208 &amp; $D1208 &amp; ":" &amp; N$1)</f>
        <v>Invalid Market: CALCM21</v>
      </c>
      <c r="O1208" s="74" t="str">
        <f>RTD("ice.rtd",,$C1208 &amp; $D1208 &amp; ":" &amp; O$1)</f>
        <v>Invalid Market: CALCM21</v>
      </c>
      <c r="P1208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8" s="76" t="str">
        <f>IF(ICE[[#This Row],[LastType]] = "Scrn", ICE[[#This Row],[LstDate]], IF(ICE[[#This Row],[LastType]] = "Blk", ICE[[#This Row],[LstBlkTime]], ""))</f>
        <v/>
      </c>
      <c r="R1208" s="82" t="str">
        <f t="shared" si="60"/>
        <v/>
      </c>
      <c r="S1208" s="74">
        <f t="shared" ref="S1208:T1208" si="83">S1132*6.35 + S1170</f>
        <v>0</v>
      </c>
      <c r="T1208" s="74">
        <f t="shared" si="83"/>
        <v>20</v>
      </c>
      <c r="U1208" s="75">
        <f t="shared" si="62"/>
        <v>12.555800000000001</v>
      </c>
      <c r="V12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8" s="18" t="str">
        <f>IFERROR(IF(LEFT(ICE[[#This Row],[Tenor]], 1) = "B", RTD("esrtd",,$B1208 &amp; " " &amp; ICE[[#This Row],[Tenor]] &amp; "-IEU", W$1), RTD("esrtd",,$B1208 &amp; " " &amp; VLOOKUP(MONTH(ICE[[#This Row],[Strip]]), MthRef[], 2, 0) &amp; RIGHT(YEAR(ICE[[#This Row],[Strip]]), 2) &amp; "-IEU", W$1)), "")</f>
        <v/>
      </c>
      <c r="X1208" s="36"/>
    </row>
    <row r="1209" spans="1:24" x14ac:dyDescent="0.25">
      <c r="A1209" s="71" t="s">
        <v>438</v>
      </c>
      <c r="B1209" s="87" t="str">
        <f>RTD("ice.rtd",,$C1209 &amp; $D1209 &amp; ":" &amp; B$1)</f>
        <v>Invalid Market: CALCM22</v>
      </c>
      <c r="C1209" s="72" t="s">
        <v>827</v>
      </c>
      <c r="D1209" s="73" t="s">
        <v>811</v>
      </c>
      <c r="E1209" s="72" t="str">
        <f t="shared" si="58"/>
        <v>Jul28</v>
      </c>
      <c r="F1209" s="72" t="str">
        <f>ICE[[#This Row],[Prod]]&amp;ICE[[#This Row],[Strip]]</f>
        <v>fo05singbrxJul28</v>
      </c>
      <c r="G1209" s="75" t="str">
        <f>RTD("ice.rtd",,$C1209 &amp; $D1209 &amp; ":" &amp; G$1)</f>
        <v>Invalid Market: CALCM22</v>
      </c>
      <c r="H1209" s="75" t="str">
        <f t="shared" si="59"/>
        <v/>
      </c>
      <c r="I1209" s="75" t="str">
        <f>RTD("ice.rtd",,$C1209 &amp; $D1209 &amp; ":" &amp; I$1)</f>
        <v>Invalid Market: CALCM22</v>
      </c>
      <c r="J1209" s="76" t="str">
        <f>IFERROR(MOD(RTD("ice.rtd",,$C1209 &amp; $D1209 &amp; ":" &amp; J$1), 1), "")</f>
        <v/>
      </c>
      <c r="K1209" s="75" t="str">
        <f>RTD("ice.rtd",,$C1209 &amp; $D1209 &amp; ":" &amp; K$1)</f>
        <v>Invalid Market: CALCM22</v>
      </c>
      <c r="L1209" s="74" t="str">
        <f>RTD("ice.rtd",,$C1209 &amp; $D1209 &amp; ":" &amp; L$1)</f>
        <v>Invalid Market: CALCM22</v>
      </c>
      <c r="M1209" s="76" t="str">
        <f>IFERROR(MOD(TIMEVALUE(RTD("ice.rtd",,$C1209 &amp; $D1209 &amp; ":" &amp; M$1)), 1), "")</f>
        <v/>
      </c>
      <c r="N1209" s="74" t="str">
        <f>RTD("ice.rtd",,$C1209 &amp; $D1209 &amp; ":" &amp; N$1)</f>
        <v>Invalid Market: CALCM22</v>
      </c>
      <c r="O1209" s="74" t="str">
        <f>RTD("ice.rtd",,$C1209 &amp; $D1209 &amp; ":" &amp; O$1)</f>
        <v>Invalid Market: CALCM22</v>
      </c>
      <c r="P1209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09" s="76" t="str">
        <f>IF(ICE[[#This Row],[LastType]] = "Scrn", ICE[[#This Row],[LstDate]], IF(ICE[[#This Row],[LastType]] = "Blk", ICE[[#This Row],[LstBlkTime]], ""))</f>
        <v/>
      </c>
      <c r="R1209" s="82" t="str">
        <f t="shared" si="60"/>
        <v/>
      </c>
      <c r="S1209" s="74">
        <f t="shared" ref="S1209:T1209" si="84">S1133*6.35 + S1171</f>
        <v>0</v>
      </c>
      <c r="T1209" s="74">
        <f t="shared" si="84"/>
        <v>20</v>
      </c>
      <c r="U1209" s="75">
        <f t="shared" si="62"/>
        <v>12.530200000000001</v>
      </c>
      <c r="V12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09" s="18" t="str">
        <f>IFERROR(IF(LEFT(ICE[[#This Row],[Tenor]], 1) = "B", RTD("esrtd",,$B1209 &amp; " " &amp; ICE[[#This Row],[Tenor]] &amp; "-IEU", W$1), RTD("esrtd",,$B1209 &amp; " " &amp; VLOOKUP(MONTH(ICE[[#This Row],[Strip]]), MthRef[], 2, 0) &amp; RIGHT(YEAR(ICE[[#This Row],[Strip]]), 2) &amp; "-IEU", W$1)), "")</f>
        <v/>
      </c>
      <c r="X1209" s="36"/>
    </row>
    <row r="1210" spans="1:24" x14ac:dyDescent="0.25">
      <c r="A1210" s="71" t="s">
        <v>438</v>
      </c>
      <c r="B1210" s="87" t="str">
        <f>RTD("ice.rtd",,$C1210 &amp; $D1210 &amp; ":" &amp; B$1)</f>
        <v>Invalid Market: CALCM23</v>
      </c>
      <c r="C1210" s="72" t="s">
        <v>827</v>
      </c>
      <c r="D1210" s="73" t="s">
        <v>812</v>
      </c>
      <c r="E1210" s="72" t="str">
        <f t="shared" si="58"/>
        <v>Aug28</v>
      </c>
      <c r="F1210" s="72" t="str">
        <f>ICE[[#This Row],[Prod]]&amp;ICE[[#This Row],[Strip]]</f>
        <v>fo05singbrxAug28</v>
      </c>
      <c r="G1210" s="75" t="str">
        <f>RTD("ice.rtd",,$C1210 &amp; $D1210 &amp; ":" &amp; G$1)</f>
        <v>Invalid Market: CALCM23</v>
      </c>
      <c r="H1210" s="75" t="str">
        <f t="shared" si="59"/>
        <v/>
      </c>
      <c r="I1210" s="75" t="str">
        <f>RTD("ice.rtd",,$C1210 &amp; $D1210 &amp; ":" &amp; I$1)</f>
        <v>Invalid Market: CALCM23</v>
      </c>
      <c r="J1210" s="76" t="str">
        <f>IFERROR(MOD(RTD("ice.rtd",,$C1210 &amp; $D1210 &amp; ":" &amp; J$1), 1), "")</f>
        <v/>
      </c>
      <c r="K1210" s="75" t="str">
        <f>RTD("ice.rtd",,$C1210 &amp; $D1210 &amp; ":" &amp; K$1)</f>
        <v>Invalid Market: CALCM23</v>
      </c>
      <c r="L1210" s="74" t="str">
        <f>RTD("ice.rtd",,$C1210 &amp; $D1210 &amp; ":" &amp; L$1)</f>
        <v>Invalid Market: CALCM23</v>
      </c>
      <c r="M1210" s="76" t="str">
        <f>IFERROR(MOD(TIMEVALUE(RTD("ice.rtd",,$C1210 &amp; $D1210 &amp; ":" &amp; M$1)), 1), "")</f>
        <v/>
      </c>
      <c r="N1210" s="74" t="str">
        <f>RTD("ice.rtd",,$C1210 &amp; $D1210 &amp; ":" &amp; N$1)</f>
        <v>Invalid Market: CALCM23</v>
      </c>
      <c r="O1210" s="74" t="str">
        <f>RTD("ice.rtd",,$C1210 &amp; $D1210 &amp; ":" &amp; O$1)</f>
        <v>Invalid Market: CALCM23</v>
      </c>
      <c r="P1210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0" s="76" t="str">
        <f>IF(ICE[[#This Row],[LastType]] = "Scrn", ICE[[#This Row],[LstDate]], IF(ICE[[#This Row],[LastType]] = "Blk", ICE[[#This Row],[LstBlkTime]], ""))</f>
        <v/>
      </c>
      <c r="R1210" s="82" t="str">
        <f t="shared" si="60"/>
        <v/>
      </c>
      <c r="S1210" s="74">
        <f t="shared" ref="S1210:T1210" si="85">S1134*6.35 + S1172</f>
        <v>0</v>
      </c>
      <c r="T1210" s="74">
        <f t="shared" si="85"/>
        <v>20</v>
      </c>
      <c r="U1210" s="75">
        <f t="shared" si="62"/>
        <v>12.493600000000001</v>
      </c>
      <c r="V12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0" s="18" t="str">
        <f>IFERROR(IF(LEFT(ICE[[#This Row],[Tenor]], 1) = "B", RTD("esrtd",,$B1210 &amp; " " &amp; ICE[[#This Row],[Tenor]] &amp; "-IEU", W$1), RTD("esrtd",,$B1210 &amp; " " &amp; VLOOKUP(MONTH(ICE[[#This Row],[Strip]]), MthRef[], 2, 0) &amp; RIGHT(YEAR(ICE[[#This Row],[Strip]]), 2) &amp; "-IEU", W$1)), "")</f>
        <v/>
      </c>
      <c r="X1210" s="36"/>
    </row>
    <row r="1211" spans="1:24" x14ac:dyDescent="0.25">
      <c r="A1211" s="71" t="s">
        <v>438</v>
      </c>
      <c r="B1211" s="87" t="str">
        <f>RTD("ice.rtd",,$C1211 &amp; $D1211 &amp; ":" &amp; B$1)</f>
        <v>Invalid Market: CALCM24</v>
      </c>
      <c r="C1211" s="72" t="s">
        <v>827</v>
      </c>
      <c r="D1211" s="73" t="s">
        <v>813</v>
      </c>
      <c r="E1211" s="72" t="str">
        <f t="shared" si="58"/>
        <v>Sep28</v>
      </c>
      <c r="F1211" s="72" t="str">
        <f>ICE[[#This Row],[Prod]]&amp;ICE[[#This Row],[Strip]]</f>
        <v>fo05singbrxSep28</v>
      </c>
      <c r="G1211" s="75" t="str">
        <f>RTD("ice.rtd",,$C1211 &amp; $D1211 &amp; ":" &amp; G$1)</f>
        <v>Invalid Market: CALCM24</v>
      </c>
      <c r="H1211" s="75" t="str">
        <f t="shared" si="59"/>
        <v/>
      </c>
      <c r="I1211" s="75" t="str">
        <f>RTD("ice.rtd",,$C1211 &amp; $D1211 &amp; ":" &amp; I$1)</f>
        <v>Invalid Market: CALCM24</v>
      </c>
      <c r="J1211" s="76" t="str">
        <f>IFERROR(MOD(RTD("ice.rtd",,$C1211 &amp; $D1211 &amp; ":" &amp; J$1), 1), "")</f>
        <v/>
      </c>
      <c r="K1211" s="75" t="str">
        <f>RTD("ice.rtd",,$C1211 &amp; $D1211 &amp; ":" &amp; K$1)</f>
        <v>Invalid Market: CALCM24</v>
      </c>
      <c r="L1211" s="74" t="str">
        <f>RTD("ice.rtd",,$C1211 &amp; $D1211 &amp; ":" &amp; L$1)</f>
        <v>Invalid Market: CALCM24</v>
      </c>
      <c r="M1211" s="76" t="str">
        <f>IFERROR(MOD(TIMEVALUE(RTD("ice.rtd",,$C1211 &amp; $D1211 &amp; ":" &amp; M$1)), 1), "")</f>
        <v/>
      </c>
      <c r="N1211" s="74" t="str">
        <f>RTD("ice.rtd",,$C1211 &amp; $D1211 &amp; ":" &amp; N$1)</f>
        <v>Invalid Market: CALCM24</v>
      </c>
      <c r="O1211" s="74" t="str">
        <f>RTD("ice.rtd",,$C1211 &amp; $D1211 &amp; ":" &amp; O$1)</f>
        <v>Invalid Market: CALCM24</v>
      </c>
      <c r="P1211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1" s="76" t="str">
        <f>IF(ICE[[#This Row],[LastType]] = "Scrn", ICE[[#This Row],[LstDate]], IF(ICE[[#This Row],[LastType]] = "Blk", ICE[[#This Row],[LstBlkTime]], ""))</f>
        <v/>
      </c>
      <c r="R1211" s="82" t="str">
        <f t="shared" si="60"/>
        <v/>
      </c>
      <c r="S1211" s="74">
        <f t="shared" ref="S1211:T1211" si="86">S1135*6.35 + S1173</f>
        <v>0</v>
      </c>
      <c r="T1211" s="74">
        <f t="shared" si="86"/>
        <v>20</v>
      </c>
      <c r="U1211" s="75">
        <f t="shared" si="62"/>
        <v>12.419700000000001</v>
      </c>
      <c r="V12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1" s="18" t="str">
        <f>IFERROR(IF(LEFT(ICE[[#This Row],[Tenor]], 1) = "B", RTD("esrtd",,$B1211 &amp; " " &amp; ICE[[#This Row],[Tenor]] &amp; "-IEU", W$1), RTD("esrtd",,$B1211 &amp; " " &amp; VLOOKUP(MONTH(ICE[[#This Row],[Strip]]), MthRef[], 2, 0) &amp; RIGHT(YEAR(ICE[[#This Row],[Strip]]), 2) &amp; "-IEU", W$1)), "")</f>
        <v/>
      </c>
      <c r="X1211" s="36"/>
    </row>
    <row r="1212" spans="1:24" x14ac:dyDescent="0.25">
      <c r="A1212" s="71" t="s">
        <v>438</v>
      </c>
      <c r="B1212" s="87" t="str">
        <f>RTD("ice.rtd",,$C1212 &amp; $D1212 &amp; ":" &amp; B$1)</f>
        <v>Invalid Market: CALCQ0</v>
      </c>
      <c r="C1212" s="72" t="s">
        <v>827</v>
      </c>
      <c r="D1212" s="73" t="s">
        <v>814</v>
      </c>
      <c r="E1212" s="72" t="str">
        <f t="shared" si="58"/>
        <v>Q4 26</v>
      </c>
      <c r="F1212" s="72" t="str">
        <f>ICE[[#This Row],[Prod]]&amp;ICE[[#This Row],[Strip]]</f>
        <v>fo05singbrxQ4 26</v>
      </c>
      <c r="G1212" s="75" t="str">
        <f>RTD("ice.rtd",,$C1212 &amp; $D1212 &amp; ":" &amp; G$1)</f>
        <v>Invalid Market: CALCQ0</v>
      </c>
      <c r="H1212" s="75" t="str">
        <f t="shared" si="59"/>
        <v/>
      </c>
      <c r="I1212" s="75" t="str">
        <f>RTD("ice.rtd",,$C1212 &amp; $D1212 &amp; ":" &amp; I$1)</f>
        <v>Invalid Market: CALCQ0</v>
      </c>
      <c r="J1212" s="76" t="str">
        <f>IFERROR(MOD(RTD("ice.rtd",,$C1212 &amp; $D1212 &amp; ":" &amp; J$1), 1), "")</f>
        <v/>
      </c>
      <c r="K1212" s="75" t="str">
        <f>RTD("ice.rtd",,$C1212 &amp; $D1212 &amp; ":" &amp; K$1)</f>
        <v>Invalid Market: CALCQ0</v>
      </c>
      <c r="L1212" s="74" t="str">
        <f>RTD("ice.rtd",,$C1212 &amp; $D1212 &amp; ":" &amp; L$1)</f>
        <v>Invalid Market: CALCQ0</v>
      </c>
      <c r="M1212" s="76" t="str">
        <f>IFERROR(MOD(TIMEVALUE(RTD("ice.rtd",,$C1212 &amp; $D1212 &amp; ":" &amp; M$1)), 1), "")</f>
        <v/>
      </c>
      <c r="N1212" s="74" t="str">
        <f>RTD("ice.rtd",,$C1212 &amp; $D1212 &amp; ":" &amp; N$1)</f>
        <v>Invalid Market: CALCQ0</v>
      </c>
      <c r="O1212" s="74" t="str">
        <f>RTD("ice.rtd",,$C1212 &amp; $D1212 &amp; ":" &amp; O$1)</f>
        <v>Invalid Market: CALCQ0</v>
      </c>
      <c r="P1212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2" s="76" t="str">
        <f>IF(ICE[[#This Row],[LastType]] = "Scrn", ICE[[#This Row],[LstDate]], IF(ICE[[#This Row],[LastType]] = "Blk", ICE[[#This Row],[LstBlkTime]], ""))</f>
        <v/>
      </c>
      <c r="R1212" s="82" t="str">
        <f t="shared" si="60"/>
        <v/>
      </c>
      <c r="S1212" s="74">
        <f t="shared" ref="S1212:T1212" si="87">S1136*6.35 + S1174</f>
        <v>0</v>
      </c>
      <c r="T1212" s="74">
        <f t="shared" si="87"/>
        <v>0</v>
      </c>
      <c r="U1212" s="75">
        <f t="shared" si="62"/>
        <v>17.444900000000001</v>
      </c>
      <c r="V12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2" s="18" t="str">
        <f>IFERROR(IF(LEFT(ICE[[#This Row],[Tenor]], 1) = "B", RTD("esrtd",,$B1212 &amp; " " &amp; ICE[[#This Row],[Tenor]] &amp; "-IEU", W$1), RTD("esrtd",,$B1212 &amp; " " &amp; VLOOKUP(MONTH(ICE[[#This Row],[Strip]]), MthRef[], 2, 0) &amp; RIGHT(YEAR(ICE[[#This Row],[Strip]]), 2) &amp; "-IEU", W$1)), "")</f>
        <v/>
      </c>
      <c r="X1212" s="36"/>
    </row>
    <row r="1213" spans="1:24" x14ac:dyDescent="0.25">
      <c r="A1213" s="71" t="s">
        <v>438</v>
      </c>
      <c r="B1213" s="87" t="str">
        <f>RTD("ice.rtd",,$C1213 &amp; $D1213 &amp; ":" &amp; B$1)</f>
        <v>Invalid Market: CALCQ1</v>
      </c>
      <c r="C1213" s="72" t="s">
        <v>827</v>
      </c>
      <c r="D1213" s="73" t="s">
        <v>815</v>
      </c>
      <c r="E1213" s="72" t="str">
        <f t="shared" si="58"/>
        <v>Q1 27</v>
      </c>
      <c r="F1213" s="72" t="str">
        <f>ICE[[#This Row],[Prod]]&amp;ICE[[#This Row],[Strip]]</f>
        <v>fo05singbrxQ1 27</v>
      </c>
      <c r="G1213" s="75" t="str">
        <f>RTD("ice.rtd",,$C1213 &amp; $D1213 &amp; ":" &amp; G$1)</f>
        <v>Invalid Market: CALCQ1</v>
      </c>
      <c r="H1213" s="75" t="str">
        <f t="shared" si="59"/>
        <v/>
      </c>
      <c r="I1213" s="75" t="str">
        <f>RTD("ice.rtd",,$C1213 &amp; $D1213 &amp; ":" &amp; I$1)</f>
        <v>Invalid Market: CALCQ1</v>
      </c>
      <c r="J1213" s="76" t="str">
        <f>IFERROR(MOD(RTD("ice.rtd",,$C1213 &amp; $D1213 &amp; ":" &amp; J$1), 1), "")</f>
        <v/>
      </c>
      <c r="K1213" s="75" t="str">
        <f>RTD("ice.rtd",,$C1213 &amp; $D1213 &amp; ":" &amp; K$1)</f>
        <v>Invalid Market: CALCQ1</v>
      </c>
      <c r="L1213" s="74" t="str">
        <f>RTD("ice.rtd",,$C1213 &amp; $D1213 &amp; ":" &amp; L$1)</f>
        <v>Invalid Market: CALCQ1</v>
      </c>
      <c r="M1213" s="76" t="str">
        <f>IFERROR(MOD(TIMEVALUE(RTD("ice.rtd",,$C1213 &amp; $D1213 &amp; ":" &amp; M$1)), 1), "")</f>
        <v/>
      </c>
      <c r="N1213" s="74" t="str">
        <f>RTD("ice.rtd",,$C1213 &amp; $D1213 &amp; ":" &amp; N$1)</f>
        <v>Invalid Market: CALCQ1</v>
      </c>
      <c r="O1213" s="74" t="str">
        <f>RTD("ice.rtd",,$C1213 &amp; $D1213 &amp; ":" &amp; O$1)</f>
        <v>Invalid Market: CALCQ1</v>
      </c>
      <c r="P1213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3" s="76" t="str">
        <f>IF(ICE[[#This Row],[LastType]] = "Scrn", ICE[[#This Row],[LstDate]], IF(ICE[[#This Row],[LastType]] = "Blk", ICE[[#This Row],[LstBlkTime]], ""))</f>
        <v/>
      </c>
      <c r="R1213" s="82" t="str">
        <f t="shared" si="60"/>
        <v/>
      </c>
      <c r="S1213" s="74">
        <f t="shared" ref="S1213:T1213" si="88">S1137*6.35 + S1175</f>
        <v>0</v>
      </c>
      <c r="T1213" s="74">
        <f t="shared" si="88"/>
        <v>0</v>
      </c>
      <c r="U1213" s="75">
        <f t="shared" si="62"/>
        <v>15.459800000000001</v>
      </c>
      <c r="V12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3" s="18" t="str">
        <f>IFERROR(IF(LEFT(ICE[[#This Row],[Tenor]], 1) = "B", RTD("esrtd",,$B1213 &amp; " " &amp; ICE[[#This Row],[Tenor]] &amp; "-IEU", W$1), RTD("esrtd",,$B1213 &amp; " " &amp; VLOOKUP(MONTH(ICE[[#This Row],[Strip]]), MthRef[], 2, 0) &amp; RIGHT(YEAR(ICE[[#This Row],[Strip]]), 2) &amp; "-IEU", W$1)), "")</f>
        <v/>
      </c>
      <c r="X1213" s="36"/>
    </row>
    <row r="1214" spans="1:24" x14ac:dyDescent="0.25">
      <c r="A1214" s="71" t="s">
        <v>438</v>
      </c>
      <c r="B1214" s="87" t="str">
        <f>RTD("ice.rtd",,$C1214 &amp; $D1214 &amp; ":" &amp; B$1)</f>
        <v>Invalid Market: CALCQ2</v>
      </c>
      <c r="C1214" s="72" t="s">
        <v>827</v>
      </c>
      <c r="D1214" s="73" t="s">
        <v>816</v>
      </c>
      <c r="E1214" s="72" t="str">
        <f t="shared" si="58"/>
        <v>Q2 27</v>
      </c>
      <c r="F1214" s="72" t="str">
        <f>ICE[[#This Row],[Prod]]&amp;ICE[[#This Row],[Strip]]</f>
        <v>fo05singbrxQ2 27</v>
      </c>
      <c r="G1214" s="75" t="str">
        <f>RTD("ice.rtd",,$C1214 &amp; $D1214 &amp; ":" &amp; G$1)</f>
        <v>Invalid Market: CALCQ2</v>
      </c>
      <c r="H1214" s="75" t="str">
        <f t="shared" si="59"/>
        <v/>
      </c>
      <c r="I1214" s="75" t="str">
        <f>RTD("ice.rtd",,$C1214 &amp; $D1214 &amp; ":" &amp; I$1)</f>
        <v>Invalid Market: CALCQ2</v>
      </c>
      <c r="J1214" s="76" t="str">
        <f>IFERROR(MOD(RTD("ice.rtd",,$C1214 &amp; $D1214 &amp; ":" &amp; J$1), 1), "")</f>
        <v/>
      </c>
      <c r="K1214" s="75" t="str">
        <f>RTD("ice.rtd",,$C1214 &amp; $D1214 &amp; ":" &amp; K$1)</f>
        <v>Invalid Market: CALCQ2</v>
      </c>
      <c r="L1214" s="74" t="str">
        <f>RTD("ice.rtd",,$C1214 &amp; $D1214 &amp; ":" &amp; L$1)</f>
        <v>Invalid Market: CALCQ2</v>
      </c>
      <c r="M1214" s="76" t="str">
        <f>IFERROR(MOD(TIMEVALUE(RTD("ice.rtd",,$C1214 &amp; $D1214 &amp; ":" &amp; M$1)), 1), "")</f>
        <v/>
      </c>
      <c r="N1214" s="74" t="str">
        <f>RTD("ice.rtd",,$C1214 &amp; $D1214 &amp; ":" &amp; N$1)</f>
        <v>Invalid Market: CALCQ2</v>
      </c>
      <c r="O1214" s="74" t="str">
        <f>RTD("ice.rtd",,$C1214 &amp; $D1214 &amp; ":" &amp; O$1)</f>
        <v>Invalid Market: CALCQ2</v>
      </c>
      <c r="P1214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4" s="76" t="str">
        <f>IF(ICE[[#This Row],[LastType]] = "Scrn", ICE[[#This Row],[LstDate]], IF(ICE[[#This Row],[LastType]] = "Blk", ICE[[#This Row],[LstBlkTime]], ""))</f>
        <v/>
      </c>
      <c r="R1214" s="82" t="str">
        <f t="shared" si="60"/>
        <v/>
      </c>
      <c r="S1214" s="74">
        <f t="shared" ref="S1214:T1214" si="89">S1138*6.35 + S1176</f>
        <v>0</v>
      </c>
      <c r="T1214" s="74">
        <f t="shared" si="89"/>
        <v>0</v>
      </c>
      <c r="U1214" s="75">
        <f t="shared" si="62"/>
        <v>14.8566</v>
      </c>
      <c r="V12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4" s="18" t="str">
        <f>IFERROR(IF(LEFT(ICE[[#This Row],[Tenor]], 1) = "B", RTD("esrtd",,$B1214 &amp; " " &amp; ICE[[#This Row],[Tenor]] &amp; "-IEU", W$1), RTD("esrtd",,$B1214 &amp; " " &amp; VLOOKUP(MONTH(ICE[[#This Row],[Strip]]), MthRef[], 2, 0) &amp; RIGHT(YEAR(ICE[[#This Row],[Strip]]), 2) &amp; "-IEU", W$1)), "")</f>
        <v/>
      </c>
      <c r="X1214" s="36"/>
    </row>
    <row r="1215" spans="1:24" x14ac:dyDescent="0.25">
      <c r="A1215" s="71" t="s">
        <v>438</v>
      </c>
      <c r="B1215" s="87" t="str">
        <f>RTD("ice.rtd",,$C1215 &amp; $D1215 &amp; ":" &amp; B$1)</f>
        <v>Invalid Market: CALCQ3</v>
      </c>
      <c r="C1215" s="72" t="s">
        <v>827</v>
      </c>
      <c r="D1215" s="73" t="s">
        <v>817</v>
      </c>
      <c r="E1215" s="72" t="str">
        <f t="shared" si="58"/>
        <v>Q3 27</v>
      </c>
      <c r="F1215" s="72" t="str">
        <f>ICE[[#This Row],[Prod]]&amp;ICE[[#This Row],[Strip]]</f>
        <v>fo05singbrxQ3 27</v>
      </c>
      <c r="G1215" s="75" t="str">
        <f>RTD("ice.rtd",,$C1215 &amp; $D1215 &amp; ":" &amp; G$1)</f>
        <v>Invalid Market: CALCQ3</v>
      </c>
      <c r="H1215" s="75" t="str">
        <f t="shared" si="59"/>
        <v/>
      </c>
      <c r="I1215" s="75" t="str">
        <f>RTD("ice.rtd",,$C1215 &amp; $D1215 &amp; ":" &amp; I$1)</f>
        <v>Invalid Market: CALCQ3</v>
      </c>
      <c r="J1215" s="76" t="str">
        <f>IFERROR(MOD(RTD("ice.rtd",,$C1215 &amp; $D1215 &amp; ":" &amp; J$1), 1), "")</f>
        <v/>
      </c>
      <c r="K1215" s="75" t="str">
        <f>RTD("ice.rtd",,$C1215 &amp; $D1215 &amp; ":" &amp; K$1)</f>
        <v>Invalid Market: CALCQ3</v>
      </c>
      <c r="L1215" s="74" t="str">
        <f>RTD("ice.rtd",,$C1215 &amp; $D1215 &amp; ":" &amp; L$1)</f>
        <v>Invalid Market: CALCQ3</v>
      </c>
      <c r="M1215" s="76" t="str">
        <f>IFERROR(MOD(TIMEVALUE(RTD("ice.rtd",,$C1215 &amp; $D1215 &amp; ":" &amp; M$1)), 1), "")</f>
        <v/>
      </c>
      <c r="N1215" s="74" t="str">
        <f>RTD("ice.rtd",,$C1215 &amp; $D1215 &amp; ":" &amp; N$1)</f>
        <v>Invalid Market: CALCQ3</v>
      </c>
      <c r="O1215" s="74" t="str">
        <f>RTD("ice.rtd",,$C1215 &amp; $D1215 &amp; ":" &amp; O$1)</f>
        <v>Invalid Market: CALCQ3</v>
      </c>
      <c r="P1215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5" s="76" t="str">
        <f>IF(ICE[[#This Row],[LastType]] = "Scrn", ICE[[#This Row],[LstDate]], IF(ICE[[#This Row],[LastType]] = "Blk", ICE[[#This Row],[LstBlkTime]], ""))</f>
        <v/>
      </c>
      <c r="R1215" s="82" t="str">
        <f t="shared" si="60"/>
        <v/>
      </c>
      <c r="S1215" s="74">
        <f t="shared" ref="S1215:T1215" si="90">S1139*6.35 + S1177</f>
        <v>0</v>
      </c>
      <c r="T1215" s="74">
        <f t="shared" si="90"/>
        <v>0</v>
      </c>
      <c r="U1215" s="75">
        <f t="shared" si="62"/>
        <v>14.139000000000001</v>
      </c>
      <c r="V12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5" s="18" t="str">
        <f>IFERROR(IF(LEFT(ICE[[#This Row],[Tenor]], 1) = "B", RTD("esrtd",,$B1215 &amp; " " &amp; ICE[[#This Row],[Tenor]] &amp; "-IEU", W$1), RTD("esrtd",,$B1215 &amp; " " &amp; VLOOKUP(MONTH(ICE[[#This Row],[Strip]]), MthRef[], 2, 0) &amp; RIGHT(YEAR(ICE[[#This Row],[Strip]]), 2) &amp; "-IEU", W$1)), "")</f>
        <v/>
      </c>
      <c r="X1215" s="36"/>
    </row>
    <row r="1216" spans="1:24" x14ac:dyDescent="0.25">
      <c r="A1216" s="71" t="s">
        <v>438</v>
      </c>
      <c r="B1216" s="87" t="str">
        <f>RTD("ice.rtd",,$C1216 &amp; $D1216 &amp; ":" &amp; B$1)</f>
        <v>Invalid Market: CALCQ4</v>
      </c>
      <c r="C1216" s="72" t="s">
        <v>827</v>
      </c>
      <c r="D1216" s="73" t="s">
        <v>818</v>
      </c>
      <c r="E1216" s="72" t="str">
        <f t="shared" si="58"/>
        <v>Q4 27</v>
      </c>
      <c r="F1216" s="72" t="str">
        <f>ICE[[#This Row],[Prod]]&amp;ICE[[#This Row],[Strip]]</f>
        <v>fo05singbrxQ4 27</v>
      </c>
      <c r="G1216" s="75" t="str">
        <f>RTD("ice.rtd",,$C1216 &amp; $D1216 &amp; ":" &amp; G$1)</f>
        <v>Invalid Market: CALCQ4</v>
      </c>
      <c r="H1216" s="75" t="str">
        <f t="shared" si="59"/>
        <v/>
      </c>
      <c r="I1216" s="75" t="str">
        <f>RTD("ice.rtd",,$C1216 &amp; $D1216 &amp; ":" &amp; I$1)</f>
        <v>Invalid Market: CALCQ4</v>
      </c>
      <c r="J1216" s="76" t="str">
        <f>IFERROR(MOD(RTD("ice.rtd",,$C1216 &amp; $D1216 &amp; ":" &amp; J$1), 1), "")</f>
        <v/>
      </c>
      <c r="K1216" s="75" t="str">
        <f>RTD("ice.rtd",,$C1216 &amp; $D1216 &amp; ":" &amp; K$1)</f>
        <v>Invalid Market: CALCQ4</v>
      </c>
      <c r="L1216" s="74" t="str">
        <f>RTD("ice.rtd",,$C1216 &amp; $D1216 &amp; ":" &amp; L$1)</f>
        <v>Invalid Market: CALCQ4</v>
      </c>
      <c r="M1216" s="76" t="str">
        <f>IFERROR(MOD(TIMEVALUE(RTD("ice.rtd",,$C1216 &amp; $D1216 &amp; ":" &amp; M$1)), 1), "")</f>
        <v/>
      </c>
      <c r="N1216" s="74" t="str">
        <f>RTD("ice.rtd",,$C1216 &amp; $D1216 &amp; ":" &amp; N$1)</f>
        <v>Invalid Market: CALCQ4</v>
      </c>
      <c r="O1216" s="74" t="str">
        <f>RTD("ice.rtd",,$C1216 &amp; $D1216 &amp; ":" &amp; O$1)</f>
        <v>Invalid Market: CALCQ4</v>
      </c>
      <c r="P1216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6" s="76" t="str">
        <f>IF(ICE[[#This Row],[LastType]] = "Scrn", ICE[[#This Row],[LstDate]], IF(ICE[[#This Row],[LastType]] = "Blk", ICE[[#This Row],[LstBlkTime]], ""))</f>
        <v/>
      </c>
      <c r="R1216" s="82" t="str">
        <f t="shared" si="60"/>
        <v/>
      </c>
      <c r="S1216" s="74">
        <f t="shared" ref="S1216:T1216" si="91">S1140*6.35 + S1178</f>
        <v>0</v>
      </c>
      <c r="T1216" s="74">
        <f t="shared" si="91"/>
        <v>0</v>
      </c>
      <c r="U1216" s="75">
        <f t="shared" si="62"/>
        <v>13.3109</v>
      </c>
      <c r="V12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6" s="18" t="str">
        <f>IFERROR(IF(LEFT(ICE[[#This Row],[Tenor]], 1) = "B", RTD("esrtd",,$B1216 &amp; " " &amp; ICE[[#This Row],[Tenor]] &amp; "-IEU", W$1), RTD("esrtd",,$B1216 &amp; " " &amp; VLOOKUP(MONTH(ICE[[#This Row],[Strip]]), MthRef[], 2, 0) &amp; RIGHT(YEAR(ICE[[#This Row],[Strip]]), 2) &amp; "-IEU", W$1)), "")</f>
        <v/>
      </c>
      <c r="X1216" s="36"/>
    </row>
    <row r="1217" spans="1:24" x14ac:dyDescent="0.25">
      <c r="A1217" s="71" t="s">
        <v>438</v>
      </c>
      <c r="B1217" s="87" t="str">
        <f>RTD("ice.rtd",,$C1217 &amp; $D1217 &amp; ":" &amp; B$1)</f>
        <v>Invalid Market: CALCQ5</v>
      </c>
      <c r="C1217" s="72" t="s">
        <v>827</v>
      </c>
      <c r="D1217" s="73" t="s">
        <v>819</v>
      </c>
      <c r="E1217" s="72" t="str">
        <f t="shared" si="58"/>
        <v>Q1 28</v>
      </c>
      <c r="F1217" s="72" t="str">
        <f>ICE[[#This Row],[Prod]]&amp;ICE[[#This Row],[Strip]]</f>
        <v>fo05singbrxQ1 28</v>
      </c>
      <c r="G1217" s="75" t="str">
        <f>RTD("ice.rtd",,$C1217 &amp; $D1217 &amp; ":" &amp; G$1)</f>
        <v>Invalid Market: CALCQ5</v>
      </c>
      <c r="H1217" s="75" t="str">
        <f t="shared" si="59"/>
        <v/>
      </c>
      <c r="I1217" s="75" t="str">
        <f>RTD("ice.rtd",,$C1217 &amp; $D1217 &amp; ":" &amp; I$1)</f>
        <v>Invalid Market: CALCQ5</v>
      </c>
      <c r="J1217" s="76" t="str">
        <f>IFERROR(MOD(RTD("ice.rtd",,$C1217 &amp; $D1217 &amp; ":" &amp; J$1), 1), "")</f>
        <v/>
      </c>
      <c r="K1217" s="75" t="str">
        <f>RTD("ice.rtd",,$C1217 &amp; $D1217 &amp; ":" &amp; K$1)</f>
        <v>Invalid Market: CALCQ5</v>
      </c>
      <c r="L1217" s="74" t="str">
        <f>RTD("ice.rtd",,$C1217 &amp; $D1217 &amp; ":" &amp; L$1)</f>
        <v>Invalid Market: CALCQ5</v>
      </c>
      <c r="M1217" s="76" t="str">
        <f>IFERROR(MOD(TIMEVALUE(RTD("ice.rtd",,$C1217 &amp; $D1217 &amp; ":" &amp; M$1)), 1), "")</f>
        <v/>
      </c>
      <c r="N1217" s="74" t="str">
        <f>RTD("ice.rtd",,$C1217 &amp; $D1217 &amp; ":" &amp; N$1)</f>
        <v>Invalid Market: CALCQ5</v>
      </c>
      <c r="O1217" s="74" t="str">
        <f>RTD("ice.rtd",,$C1217 &amp; $D1217 &amp; ":" &amp; O$1)</f>
        <v>Invalid Market: CALCQ5</v>
      </c>
      <c r="P1217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7" s="76" t="str">
        <f>IF(ICE[[#This Row],[LastType]] = "Scrn", ICE[[#This Row],[LstDate]], IF(ICE[[#This Row],[LastType]] = "Blk", ICE[[#This Row],[LstBlkTime]], ""))</f>
        <v/>
      </c>
      <c r="R1217" s="82" t="str">
        <f t="shared" si="60"/>
        <v/>
      </c>
      <c r="S1217" s="74">
        <f t="shared" ref="S1217:T1217" si="92">S1141*6.35 + S1179</f>
        <v>0</v>
      </c>
      <c r="T1217" s="74">
        <f t="shared" si="92"/>
        <v>0</v>
      </c>
      <c r="U1217" s="75">
        <f t="shared" si="62"/>
        <v>12.852500000000001</v>
      </c>
      <c r="V12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7" s="18" t="str">
        <f>IFERROR(IF(LEFT(ICE[[#This Row],[Tenor]], 1) = "B", RTD("esrtd",,$B1217 &amp; " " &amp; ICE[[#This Row],[Tenor]] &amp; "-IEU", W$1), RTD("esrtd",,$B1217 &amp; " " &amp; VLOOKUP(MONTH(ICE[[#This Row],[Strip]]), MthRef[], 2, 0) &amp; RIGHT(YEAR(ICE[[#This Row],[Strip]]), 2) &amp; "-IEU", W$1)), "")</f>
        <v/>
      </c>
      <c r="X1217" s="36"/>
    </row>
    <row r="1218" spans="1:24" x14ac:dyDescent="0.25">
      <c r="A1218" s="71" t="s">
        <v>438</v>
      </c>
      <c r="B1218" s="87" t="str">
        <f>RTD("ice.rtd",,$C1218 &amp; $D1218 &amp; ":" &amp; B$1)</f>
        <v>Invalid Market: CALCQ6</v>
      </c>
      <c r="C1218" s="72" t="s">
        <v>827</v>
      </c>
      <c r="D1218" s="73" t="s">
        <v>229</v>
      </c>
      <c r="E1218" s="72" t="str">
        <f t="shared" si="58"/>
        <v>Q2 28</v>
      </c>
      <c r="F1218" s="72" t="str">
        <f>ICE[[#This Row],[Prod]]&amp;ICE[[#This Row],[Strip]]</f>
        <v>fo05singbrxQ2 28</v>
      </c>
      <c r="G1218" s="75" t="str">
        <f>RTD("ice.rtd",,$C1218 &amp; $D1218 &amp; ":" &amp; G$1)</f>
        <v>Invalid Market: CALCQ6</v>
      </c>
      <c r="H1218" s="75" t="str">
        <f t="shared" si="59"/>
        <v/>
      </c>
      <c r="I1218" s="75" t="str">
        <f>RTD("ice.rtd",,$C1218 &amp; $D1218 &amp; ":" &amp; I$1)</f>
        <v>Invalid Market: CALCQ6</v>
      </c>
      <c r="J1218" s="76" t="str">
        <f>IFERROR(MOD(RTD("ice.rtd",,$C1218 &amp; $D1218 &amp; ":" &amp; J$1), 1), "")</f>
        <v/>
      </c>
      <c r="K1218" s="75" t="str">
        <f>RTD("ice.rtd",,$C1218 &amp; $D1218 &amp; ":" &amp; K$1)</f>
        <v>Invalid Market: CALCQ6</v>
      </c>
      <c r="L1218" s="74" t="str">
        <f>RTD("ice.rtd",,$C1218 &amp; $D1218 &amp; ":" &amp; L$1)</f>
        <v>Invalid Market: CALCQ6</v>
      </c>
      <c r="M1218" s="76" t="str">
        <f>IFERROR(MOD(TIMEVALUE(RTD("ice.rtd",,$C1218 &amp; $D1218 &amp; ":" &amp; M$1)), 1), "")</f>
        <v/>
      </c>
      <c r="N1218" s="74" t="str">
        <f>RTD("ice.rtd",,$C1218 &amp; $D1218 &amp; ":" &amp; N$1)</f>
        <v>Invalid Market: CALCQ6</v>
      </c>
      <c r="O1218" s="74" t="str">
        <f>RTD("ice.rtd",,$C1218 &amp; $D1218 &amp; ":" &amp; O$1)</f>
        <v>Invalid Market: CALCQ6</v>
      </c>
      <c r="P1218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8" s="76" t="str">
        <f>IF(ICE[[#This Row],[LastType]] = "Scrn", ICE[[#This Row],[LstDate]], IF(ICE[[#This Row],[LastType]] = "Blk", ICE[[#This Row],[LstBlkTime]], ""))</f>
        <v/>
      </c>
      <c r="R1218" s="82" t="str">
        <f t="shared" si="60"/>
        <v/>
      </c>
      <c r="S1218" s="74">
        <f t="shared" ref="S1218:T1218" si="93">S1142*6.35 + S1180</f>
        <v>0</v>
      </c>
      <c r="T1218" s="74">
        <f t="shared" si="93"/>
        <v>0</v>
      </c>
      <c r="U1218" s="75">
        <f t="shared" si="62"/>
        <v>12.6448</v>
      </c>
      <c r="V12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8" s="18" t="str">
        <f>IFERROR(IF(LEFT(ICE[[#This Row],[Tenor]], 1) = "B", RTD("esrtd",,$B1218 &amp; " " &amp; ICE[[#This Row],[Tenor]] &amp; "-IEU", W$1), RTD("esrtd",,$B1218 &amp; " " &amp; VLOOKUP(MONTH(ICE[[#This Row],[Strip]]), MthRef[], 2, 0) &amp; RIGHT(YEAR(ICE[[#This Row],[Strip]]), 2) &amp; "-IEU", W$1)), "")</f>
        <v/>
      </c>
      <c r="X1218" s="36"/>
    </row>
    <row r="1219" spans="1:24" x14ac:dyDescent="0.25">
      <c r="A1219" s="71" t="s">
        <v>438</v>
      </c>
      <c r="B1219" s="87" t="str">
        <f>RTD("ice.rtd",,$C1219 &amp; $D1219 &amp; ":" &amp; B$1)</f>
        <v>Invalid Market: CALCQ7</v>
      </c>
      <c r="C1219" s="72" t="s">
        <v>827</v>
      </c>
      <c r="D1219" s="73" t="s">
        <v>820</v>
      </c>
      <c r="E1219" s="72" t="str">
        <f t="shared" si="58"/>
        <v>Q3 28</v>
      </c>
      <c r="F1219" s="72" t="str">
        <f>ICE[[#This Row],[Prod]]&amp;ICE[[#This Row],[Strip]]</f>
        <v>fo05singbrxQ3 28</v>
      </c>
      <c r="G1219" s="75" t="str">
        <f>RTD("ice.rtd",,$C1219 &amp; $D1219 &amp; ":" &amp; G$1)</f>
        <v>Invalid Market: CALCQ7</v>
      </c>
      <c r="H1219" s="75" t="str">
        <f t="shared" si="59"/>
        <v/>
      </c>
      <c r="I1219" s="75" t="str">
        <f>RTD("ice.rtd",,$C1219 &amp; $D1219 &amp; ":" &amp; I$1)</f>
        <v>Invalid Market: CALCQ7</v>
      </c>
      <c r="J1219" s="76" t="str">
        <f>IFERROR(MOD(RTD("ice.rtd",,$C1219 &amp; $D1219 &amp; ":" &amp; J$1), 1), "")</f>
        <v/>
      </c>
      <c r="K1219" s="75" t="str">
        <f>RTD("ice.rtd",,$C1219 &amp; $D1219 &amp; ":" &amp; K$1)</f>
        <v>Invalid Market: CALCQ7</v>
      </c>
      <c r="L1219" s="74" t="str">
        <f>RTD("ice.rtd",,$C1219 &amp; $D1219 &amp; ":" &amp; L$1)</f>
        <v>Invalid Market: CALCQ7</v>
      </c>
      <c r="M1219" s="76" t="str">
        <f>IFERROR(MOD(TIMEVALUE(RTD("ice.rtd",,$C1219 &amp; $D1219 &amp; ":" &amp; M$1)), 1), "")</f>
        <v/>
      </c>
      <c r="N1219" s="74" t="str">
        <f>RTD("ice.rtd",,$C1219 &amp; $D1219 &amp; ":" &amp; N$1)</f>
        <v>Invalid Market: CALCQ7</v>
      </c>
      <c r="O1219" s="74" t="str">
        <f>RTD("ice.rtd",,$C1219 &amp; $D1219 &amp; ":" &amp; O$1)</f>
        <v>Invalid Market: CALCQ7</v>
      </c>
      <c r="P1219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19" s="76" t="str">
        <f>IF(ICE[[#This Row],[LastType]] = "Scrn", ICE[[#This Row],[LstDate]], IF(ICE[[#This Row],[LastType]] = "Blk", ICE[[#This Row],[LstBlkTime]], ""))</f>
        <v/>
      </c>
      <c r="R1219" s="82" t="str">
        <f t="shared" si="60"/>
        <v/>
      </c>
      <c r="S1219" s="74">
        <f t="shared" ref="S1219:T1219" si="94">S1143*6.35 + S1181</f>
        <v>0</v>
      </c>
      <c r="T1219" s="74">
        <f t="shared" si="94"/>
        <v>0</v>
      </c>
      <c r="U1219" s="75">
        <f t="shared" si="62"/>
        <v>12.481200000000001</v>
      </c>
      <c r="V12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19" s="18" t="str">
        <f>IFERROR(IF(LEFT(ICE[[#This Row],[Tenor]], 1) = "B", RTD("esrtd",,$B1219 &amp; " " &amp; ICE[[#This Row],[Tenor]] &amp; "-IEU", W$1), RTD("esrtd",,$B1219 &amp; " " &amp; VLOOKUP(MONTH(ICE[[#This Row],[Strip]]), MthRef[], 2, 0) &amp; RIGHT(YEAR(ICE[[#This Row],[Strip]]), 2) &amp; "-IEU", W$1)), "")</f>
        <v/>
      </c>
      <c r="X1219" s="36"/>
    </row>
    <row r="1220" spans="1:24" x14ac:dyDescent="0.25">
      <c r="A1220" s="71" t="s">
        <v>438</v>
      </c>
      <c r="B1220" s="87" t="str">
        <f>RTD("ice.rtd",,$C1220 &amp; $D1220 &amp; ":" &amp; B$1)</f>
        <v>Invalid Market: CALCQ8</v>
      </c>
      <c r="C1220" s="72" t="s">
        <v>827</v>
      </c>
      <c r="D1220" s="73" t="s">
        <v>821</v>
      </c>
      <c r="E1220" s="72" t="str">
        <f t="shared" si="58"/>
        <v>Q4 28</v>
      </c>
      <c r="F1220" s="72" t="str">
        <f>ICE[[#This Row],[Prod]]&amp;ICE[[#This Row],[Strip]]</f>
        <v>fo05singbrxQ4 28</v>
      </c>
      <c r="G1220" s="75" t="str">
        <f>RTD("ice.rtd",,$C1220 &amp; $D1220 &amp; ":" &amp; G$1)</f>
        <v>Invalid Market: CALCQ8</v>
      </c>
      <c r="H1220" s="75" t="str">
        <f t="shared" si="59"/>
        <v/>
      </c>
      <c r="I1220" s="75" t="str">
        <f>RTD("ice.rtd",,$C1220 &amp; $D1220 &amp; ":" &amp; I$1)</f>
        <v>Invalid Market: CALCQ8</v>
      </c>
      <c r="J1220" s="76" t="str">
        <f>IFERROR(MOD(RTD("ice.rtd",,$C1220 &amp; $D1220 &amp; ":" &amp; J$1), 1), "")</f>
        <v/>
      </c>
      <c r="K1220" s="75" t="str">
        <f>RTD("ice.rtd",,$C1220 &amp; $D1220 &amp; ":" &amp; K$1)</f>
        <v>Invalid Market: CALCQ8</v>
      </c>
      <c r="L1220" s="74" t="str">
        <f>RTD("ice.rtd",,$C1220 &amp; $D1220 &amp; ":" &amp; L$1)</f>
        <v>Invalid Market: CALCQ8</v>
      </c>
      <c r="M1220" s="76" t="str">
        <f>IFERROR(MOD(TIMEVALUE(RTD("ice.rtd",,$C1220 &amp; $D1220 &amp; ":" &amp; M$1)), 1), "")</f>
        <v/>
      </c>
      <c r="N1220" s="74" t="str">
        <f>RTD("ice.rtd",,$C1220 &amp; $D1220 &amp; ":" &amp; N$1)</f>
        <v>Invalid Market: CALCQ8</v>
      </c>
      <c r="O1220" s="74" t="str">
        <f>RTD("ice.rtd",,$C1220 &amp; $D1220 &amp; ":" &amp; O$1)</f>
        <v>Invalid Market: CALCQ8</v>
      </c>
      <c r="P1220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0" s="76" t="str">
        <f>IF(ICE[[#This Row],[LastType]] = "Scrn", ICE[[#This Row],[LstDate]], IF(ICE[[#This Row],[LastType]] = "Blk", ICE[[#This Row],[LstBlkTime]], ""))</f>
        <v/>
      </c>
      <c r="R1220" s="82" t="str">
        <f t="shared" si="60"/>
        <v/>
      </c>
      <c r="S1220" s="74">
        <f t="shared" ref="S1220:T1220" si="95">S1144*6.35 + S1182</f>
        <v>0</v>
      </c>
      <c r="T1220" s="74">
        <f t="shared" si="95"/>
        <v>0</v>
      </c>
      <c r="U1220" s="75">
        <f t="shared" si="62"/>
        <v>12.247100000000001</v>
      </c>
      <c r="V12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0" s="18" t="str">
        <f>IFERROR(IF(LEFT(ICE[[#This Row],[Tenor]], 1) = "B", RTD("esrtd",,$B1220 &amp; " " &amp; ICE[[#This Row],[Tenor]] &amp; "-IEU", W$1), RTD("esrtd",,$B1220 &amp; " " &amp; VLOOKUP(MONTH(ICE[[#This Row],[Strip]]), MthRef[], 2, 0) &amp; RIGHT(YEAR(ICE[[#This Row],[Strip]]), 2) &amp; "-IEU", W$1)), "")</f>
        <v/>
      </c>
      <c r="X1220" s="36"/>
    </row>
    <row r="1221" spans="1:24" x14ac:dyDescent="0.25">
      <c r="A1221" s="71" t="s">
        <v>438</v>
      </c>
      <c r="B1221" s="87" t="str">
        <f>RTD("ice.rtd",,$C1221 &amp; $D1221 &amp; ":" &amp; B$1)</f>
        <v>Invalid Market: CALCY0</v>
      </c>
      <c r="C1221" s="72" t="s">
        <v>827</v>
      </c>
      <c r="D1221" s="73" t="s">
        <v>822</v>
      </c>
      <c r="E1221" s="72" t="str">
        <f t="shared" si="58"/>
        <v>Cal 27</v>
      </c>
      <c r="F1221" s="72" t="str">
        <f>ICE[[#This Row],[Prod]]&amp;ICE[[#This Row],[Strip]]</f>
        <v>fo05singbrxCal 27</v>
      </c>
      <c r="G1221" s="75" t="str">
        <f>RTD("ice.rtd",,$C1221 &amp; $D1221 &amp; ":" &amp; G$1)</f>
        <v>Invalid Market: CALCY0</v>
      </c>
      <c r="H1221" s="75">
        <f t="shared" si="59"/>
        <v>14.75</v>
      </c>
      <c r="I1221" s="75" t="str">
        <f>RTD("ice.rtd",,$C1221 &amp; $D1221 &amp; ":" &amp; I$1)</f>
        <v>Invalid Market: CALCY0</v>
      </c>
      <c r="J1221" s="76" t="str">
        <f>IFERROR(MOD(RTD("ice.rtd",,$C1221 &amp; $D1221 &amp; ":" &amp; J$1), 1), "")</f>
        <v/>
      </c>
      <c r="K1221" s="75" t="str">
        <f>RTD("ice.rtd",,$C1221 &amp; $D1221 &amp; ":" &amp; K$1)</f>
        <v>Invalid Market: CALCY0</v>
      </c>
      <c r="L1221" s="74" t="str">
        <f>RTD("ice.rtd",,$C1221 &amp; $D1221 &amp; ":" &amp; L$1)</f>
        <v>Invalid Market: CALCY0</v>
      </c>
      <c r="M1221" s="76" t="str">
        <f>IFERROR(MOD(TIMEVALUE(RTD("ice.rtd",,$C1221 &amp; $D1221 &amp; ":" &amp; M$1)), 1), "")</f>
        <v/>
      </c>
      <c r="N1221" s="74" t="str">
        <f>RTD("ice.rtd",,$C1221 &amp; $D1221 &amp; ":" &amp; N$1)</f>
        <v>Invalid Market: CALCY0</v>
      </c>
      <c r="O1221" s="74" t="str">
        <f>RTD("ice.rtd",,$C1221 &amp; $D1221 &amp; ":" &amp; O$1)</f>
        <v>Invalid Market: CALCY0</v>
      </c>
      <c r="P1221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1" s="76" t="str">
        <f>IF(ICE[[#This Row],[LastType]] = "Scrn", ICE[[#This Row],[LstDate]], IF(ICE[[#This Row],[LastType]] = "Blk", ICE[[#This Row],[LstBlkTime]], ""))</f>
        <v/>
      </c>
      <c r="R1221" s="82" t="str">
        <f t="shared" si="60"/>
        <v/>
      </c>
      <c r="S1221" s="74">
        <f t="shared" ref="S1221:T1221" si="96">S1145*6.35 + S1183</f>
        <v>0</v>
      </c>
      <c r="T1221" s="74">
        <f t="shared" si="96"/>
        <v>0</v>
      </c>
      <c r="U1221" s="75">
        <f t="shared" si="62"/>
        <v>14.441600000000001</v>
      </c>
      <c r="V12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14.75 </v>
      </c>
      <c r="W1221" s="18" t="str">
        <f>IFERROR(IF(LEFT(ICE[[#This Row],[Tenor]], 1) = "B", RTD("esrtd",,$B1221 &amp; " " &amp; ICE[[#This Row],[Tenor]] &amp; "-IEU", W$1), RTD("esrtd",,$B1221 &amp; " " &amp; VLOOKUP(MONTH(ICE[[#This Row],[Strip]]), MthRef[], 2, 0) &amp; RIGHT(YEAR(ICE[[#This Row],[Strip]]), 2) &amp; "-IEU", W$1)), "")</f>
        <v/>
      </c>
      <c r="X1221" s="36"/>
    </row>
    <row r="1222" spans="1:24" x14ac:dyDescent="0.25">
      <c r="A1222" s="71" t="s">
        <v>438</v>
      </c>
      <c r="B1222" s="87" t="str">
        <f>RTD("ice.rtd",,$C1222 &amp; $D1222 &amp; ":" &amp; B$1)</f>
        <v>Invalid Market: CALCY1</v>
      </c>
      <c r="C1222" s="72" t="s">
        <v>827</v>
      </c>
      <c r="D1222" s="73" t="s">
        <v>823</v>
      </c>
      <c r="E1222" s="72" t="str">
        <f t="shared" si="58"/>
        <v>Cal 28</v>
      </c>
      <c r="F1222" s="72" t="str">
        <f>ICE[[#This Row],[Prod]]&amp;ICE[[#This Row],[Strip]]</f>
        <v>fo05singbrxCal 28</v>
      </c>
      <c r="G1222" s="75" t="str">
        <f>RTD("ice.rtd",,$C1222 &amp; $D1222 &amp; ":" &amp; G$1)</f>
        <v>Invalid Market: CALCY1</v>
      </c>
      <c r="H1222" s="75" t="str">
        <f t="shared" si="59"/>
        <v/>
      </c>
      <c r="I1222" s="75" t="str">
        <f>RTD("ice.rtd",,$C1222 &amp; $D1222 &amp; ":" &amp; I$1)</f>
        <v>Invalid Market: CALCY1</v>
      </c>
      <c r="J1222" s="76" t="str">
        <f>IFERROR(MOD(RTD("ice.rtd",,$C1222 &amp; $D1222 &amp; ":" &amp; J$1), 1), "")</f>
        <v/>
      </c>
      <c r="K1222" s="75" t="str">
        <f>RTD("ice.rtd",,$C1222 &amp; $D1222 &amp; ":" &amp; K$1)</f>
        <v>Invalid Market: CALCY1</v>
      </c>
      <c r="L1222" s="74" t="str">
        <f>RTD("ice.rtd",,$C1222 &amp; $D1222 &amp; ":" &amp; L$1)</f>
        <v>Invalid Market: CALCY1</v>
      </c>
      <c r="M1222" s="76" t="str">
        <f>IFERROR(MOD(TIMEVALUE(RTD("ice.rtd",,$C1222 &amp; $D1222 &amp; ":" &amp; M$1)), 1), "")</f>
        <v/>
      </c>
      <c r="N1222" s="74" t="str">
        <f>RTD("ice.rtd",,$C1222 &amp; $D1222 &amp; ":" &amp; N$1)</f>
        <v>Invalid Market: CALCY1</v>
      </c>
      <c r="O1222" s="74" t="str">
        <f>RTD("ice.rtd",,$C1222 &amp; $D1222 &amp; ":" &amp; O$1)</f>
        <v>Invalid Market: CALCY1</v>
      </c>
      <c r="P1222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2" s="76" t="str">
        <f>IF(ICE[[#This Row],[LastType]] = "Scrn", ICE[[#This Row],[LstDate]], IF(ICE[[#This Row],[LastType]] = "Blk", ICE[[#This Row],[LstBlkTime]], ""))</f>
        <v/>
      </c>
      <c r="R1222" s="82" t="str">
        <f t="shared" si="60"/>
        <v/>
      </c>
      <c r="S1222" s="74">
        <f t="shared" ref="S1222:T1222" si="97">S1146*6.35 + S1184</f>
        <v>0</v>
      </c>
      <c r="T1222" s="74">
        <f t="shared" si="97"/>
        <v>0</v>
      </c>
      <c r="U1222" s="75">
        <f t="shared" si="62"/>
        <v>12.5564</v>
      </c>
      <c r="V12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2" s="18" t="str">
        <f>IFERROR(IF(LEFT(ICE[[#This Row],[Tenor]], 1) = "B", RTD("esrtd",,$B1222 &amp; " " &amp; ICE[[#This Row],[Tenor]] &amp; "-IEU", W$1), RTD("esrtd",,$B1222 &amp; " " &amp; VLOOKUP(MONTH(ICE[[#This Row],[Strip]]), MthRef[], 2, 0) &amp; RIGHT(YEAR(ICE[[#This Row],[Strip]]), 2) &amp; "-IEU", W$1)), "")</f>
        <v/>
      </c>
      <c r="X1222" s="36"/>
    </row>
    <row r="1223" spans="1:24" x14ac:dyDescent="0.25">
      <c r="A1223" s="71" t="s">
        <v>438</v>
      </c>
      <c r="B1223" s="87" t="str">
        <f>RTD("ice.rtd",,$C1223 &amp; $D1223 &amp; ":" &amp; B$1)</f>
        <v>Invalid Market: CALCY2</v>
      </c>
      <c r="C1223" s="72" t="s">
        <v>827</v>
      </c>
      <c r="D1223" s="73" t="s">
        <v>824</v>
      </c>
      <c r="E1223" s="72" t="str">
        <f t="shared" si="58"/>
        <v>Cal 29</v>
      </c>
      <c r="F1223" s="72" t="str">
        <f>ICE[[#This Row],[Prod]]&amp;ICE[[#This Row],[Strip]]</f>
        <v>fo05singbrxCal 29</v>
      </c>
      <c r="G1223" s="75" t="str">
        <f>RTD("ice.rtd",,$C1223 &amp; $D1223 &amp; ":" &amp; G$1)</f>
        <v>Invalid Market: CALCY2</v>
      </c>
      <c r="H1223" s="75" t="str">
        <f t="shared" si="59"/>
        <v/>
      </c>
      <c r="I1223" s="75" t="str">
        <f>RTD("ice.rtd",,$C1223 &amp; $D1223 &amp; ":" &amp; I$1)</f>
        <v>Invalid Market: CALCY2</v>
      </c>
      <c r="J1223" s="76" t="str">
        <f>IFERROR(MOD(RTD("ice.rtd",,$C1223 &amp; $D1223 &amp; ":" &amp; J$1), 1), "")</f>
        <v/>
      </c>
      <c r="K1223" s="75" t="str">
        <f>RTD("ice.rtd",,$C1223 &amp; $D1223 &amp; ":" &amp; K$1)</f>
        <v>Invalid Market: CALCY2</v>
      </c>
      <c r="L1223" s="74" t="str">
        <f>RTD("ice.rtd",,$C1223 &amp; $D1223 &amp; ":" &amp; L$1)</f>
        <v>Invalid Market: CALCY2</v>
      </c>
      <c r="M1223" s="76" t="str">
        <f>IFERROR(MOD(TIMEVALUE(RTD("ice.rtd",,$C1223 &amp; $D1223 &amp; ":" &amp; M$1)), 1), "")</f>
        <v/>
      </c>
      <c r="N1223" s="74" t="str">
        <f>RTD("ice.rtd",,$C1223 &amp; $D1223 &amp; ":" &amp; N$1)</f>
        <v>Invalid Market: CALCY2</v>
      </c>
      <c r="O1223" s="74" t="str">
        <f>RTD("ice.rtd",,$C1223 &amp; $D1223 &amp; ":" &amp; O$1)</f>
        <v>Invalid Market: CALCY2</v>
      </c>
      <c r="P1223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3" s="76" t="str">
        <f>IF(ICE[[#This Row],[LastType]] = "Scrn", ICE[[#This Row],[LstDate]], IF(ICE[[#This Row],[LastType]] = "Blk", ICE[[#This Row],[LstBlkTime]], ""))</f>
        <v/>
      </c>
      <c r="R1223" s="82" t="str">
        <f t="shared" si="60"/>
        <v/>
      </c>
      <c r="S1223" s="74">
        <f t="shared" ref="S1223:T1223" si="98">S1147*6.35 + S1185</f>
        <v>0</v>
      </c>
      <c r="T1223" s="74">
        <f t="shared" si="98"/>
        <v>0</v>
      </c>
      <c r="U1223" s="75">
        <f t="shared" si="62"/>
        <v>13.130700000000001</v>
      </c>
      <c r="V12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3" s="18" t="str">
        <f>IFERROR(IF(LEFT(ICE[[#This Row],[Tenor]], 1) = "B", RTD("esrtd",,$B1223 &amp; " " &amp; ICE[[#This Row],[Tenor]] &amp; "-IEU", W$1), RTD("esrtd",,$B1223 &amp; " " &amp; VLOOKUP(MONTH(ICE[[#This Row],[Strip]]), MthRef[], 2, 0) &amp; RIGHT(YEAR(ICE[[#This Row],[Strip]]), 2) &amp; "-IEU", W$1)), "")</f>
        <v/>
      </c>
      <c r="X1223" s="36"/>
    </row>
    <row r="1224" spans="1:24" x14ac:dyDescent="0.25">
      <c r="A1224" s="37" t="s">
        <v>374</v>
      </c>
      <c r="B1224" s="88" t="str">
        <f>RTD("ice.rtd",,$C1224 &amp; $D1224 &amp; ":" &amp; B$1)</f>
        <v>ABG</v>
      </c>
      <c r="C1224" s="3">
        <v>2180224575</v>
      </c>
      <c r="D1224" t="s">
        <v>792</v>
      </c>
      <c r="E1224" s="3" t="str">
        <f>RTD("ice.rtd",,$C1224 &amp; $D1224 &amp; ":" &amp; E$1)</f>
        <v>Bal Month</v>
      </c>
      <c r="F1224" s="3" t="str">
        <f>ICE[[#This Row],[Prod]]&amp;ICE[[#This Row],[Strip]]</f>
        <v>propnapBal Month</v>
      </c>
      <c r="G1224" s="18" t="str">
        <f>RTD("ice.rtd",,$C1224 &amp; $D1224 &amp; ":" &amp; G$1)</f>
        <v/>
      </c>
      <c r="H1224" s="18" t="str">
        <f>RTD("ice.rtd",,$C1224 &amp; $D1224 &amp; ":" &amp; H$1)</f>
        <v/>
      </c>
      <c r="I1224" s="18" t="str">
        <f>RTD("ice.rtd",,$C1224 &amp; $D1224 &amp; ":" &amp; I$1)</f>
        <v/>
      </c>
      <c r="J1224" s="14" t="str">
        <f>IFERROR(MOD(RTD("ice.rtd",,$C1224 &amp; $D1224 &amp; ":" &amp; J$1), 1), "")</f>
        <v/>
      </c>
      <c r="K1224" s="18" t="str">
        <f>RTD("ice.rtd",,$C1224 &amp; $D1224 &amp; ":" &amp; K$1)</f>
        <v/>
      </c>
      <c r="L1224" s="36" t="str">
        <f>RTD("ice.rtd",,$C1224 &amp; $D1224 &amp; ":" &amp; L$1)</f>
        <v/>
      </c>
      <c r="M1224" s="14" t="str">
        <f>IFERROR(MOD(TIMEVALUE(RTD("ice.rtd",,$C1224 &amp; $D1224 &amp; ":" &amp; M$1)), 1), "")</f>
        <v/>
      </c>
      <c r="N1224" s="36">
        <f>RTD("ice.rtd",,$C1224 &amp; $D1224 &amp; ":" &amp; N$1)</f>
        <v>0</v>
      </c>
      <c r="O1224" s="36">
        <f>RTD("ice.rtd",,$C1224 &amp; $D1224 &amp; ":" &amp; O$1)</f>
        <v>0</v>
      </c>
      <c r="P12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4" s="14" t="str">
        <f>IF(ICE[[#This Row],[LastType]] = "Scrn", ICE[[#This Row],[LstDate]], IF(ICE[[#This Row],[LastType]] = "Blk", ICE[[#This Row],[LstBlkTime]], ""))</f>
        <v/>
      </c>
      <c r="R1224" s="41" t="str">
        <f>IF(ICE[[#This Row],[LastType]] = "Scrn", ICE[[#This Row],[LstPrc]], IF(ICE[[#This Row],[LastType]] = "Blk", ICE[[#This Row],[LstBlkPrc]], ""))</f>
        <v/>
      </c>
      <c r="S1224" s="36">
        <f>ICE[[#This Row],[Vol]]+ICE[[#This Row],[BlkVol]]</f>
        <v>0</v>
      </c>
      <c r="T1224" s="36">
        <f>RTD("ice.rtd",,$C1224 &amp; $D1224 &amp; ":" &amp; T$1)</f>
        <v>0</v>
      </c>
      <c r="U1224" s="18">
        <f>RTD("ice.rtd",,$C1224 &amp; $D1224 &amp; ":" &amp; U$1)</f>
        <v>-199.64700000000002</v>
      </c>
      <c r="V12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4" s="18" t="str">
        <f>IFERROR(IF(LEFT(ICE[[#This Row],[Tenor]], 1) = "B", RTD("esrtd",,$B1224 &amp; " " &amp; ICE[[#This Row],[Tenor]] &amp; "-IEU", W$1), RTD("esrtd",,$B1224 &amp; " " &amp; VLOOKUP(MONTH(ICE[[#This Row],[Strip]]), MthRef[], 2, 0) &amp; RIGHT(YEAR(ICE[[#This Row],[Strip]]), 2) &amp; "-IEU", W$1)), "")</f>
        <v/>
      </c>
      <c r="X1224" s="36"/>
    </row>
    <row r="1225" spans="1:24" x14ac:dyDescent="0.25">
      <c r="A1225" s="37" t="s">
        <v>374</v>
      </c>
      <c r="B1225" s="88" t="str">
        <f>RTD("ice.rtd",,$C1225 &amp; $D1225 &amp; ":" &amp; B$1)</f>
        <v>APN</v>
      </c>
      <c r="C1225" s="3">
        <v>32613992</v>
      </c>
      <c r="D1225" t="s">
        <v>793</v>
      </c>
      <c r="E1225" s="3" t="str">
        <f>RTD("ice.rtd",,$C1225 &amp; $D1225 &amp; ":" &amp; E$1)</f>
        <v>Sep26</v>
      </c>
      <c r="F1225" s="3" t="str">
        <f>ICE[[#This Row],[Prod]]&amp;ICE[[#This Row],[Strip]]</f>
        <v>propnapSep26</v>
      </c>
      <c r="G1225" s="18" t="str">
        <f>RTD("ice.rtd",,$C1225 &amp; $D1225 &amp; ":" &amp; G$1)</f>
        <v/>
      </c>
      <c r="H1225" s="18" t="str">
        <f>RTD("ice.rtd",,$C1225 &amp; $D1225 &amp; ":" &amp; H$1)</f>
        <v/>
      </c>
      <c r="I1225" s="18" t="str">
        <f>RTD("ice.rtd",,$C1225 &amp; $D1225 &amp; ":" &amp; I$1)</f>
        <v/>
      </c>
      <c r="J1225" s="14" t="str">
        <f>IFERROR(MOD(RTD("ice.rtd",,$C1225 &amp; $D1225 &amp; ":" &amp; J$1), 1), "")</f>
        <v/>
      </c>
      <c r="K1225" s="18" t="str">
        <f>RTD("ice.rtd",,$C1225 &amp; $D1225 &amp; ":" &amp; K$1)</f>
        <v/>
      </c>
      <c r="L1225" s="36" t="str">
        <f>RTD("ice.rtd",,$C1225 &amp; $D1225 &amp; ":" &amp; L$1)</f>
        <v/>
      </c>
      <c r="M1225" s="14" t="str">
        <f>IFERROR(MOD(TIMEVALUE(RTD("ice.rtd",,$C1225 &amp; $D1225 &amp; ":" &amp; M$1)), 1), "")</f>
        <v/>
      </c>
      <c r="N1225" s="36">
        <f>RTD("ice.rtd",,$C1225 &amp; $D1225 &amp; ":" &amp; N$1)</f>
        <v>0</v>
      </c>
      <c r="O1225" s="36">
        <f>RTD("ice.rtd",,$C1225 &amp; $D1225 &amp; ":" &amp; O$1)</f>
        <v>0</v>
      </c>
      <c r="P12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5" s="14" t="str">
        <f>IF(ICE[[#This Row],[LastType]] = "Scrn", ICE[[#This Row],[LstDate]], IF(ICE[[#This Row],[LastType]] = "Blk", ICE[[#This Row],[LstBlkTime]], ""))</f>
        <v/>
      </c>
      <c r="R1225" s="41" t="str">
        <f>IF(ICE[[#This Row],[LastType]] = "Scrn", ICE[[#This Row],[LstPrc]], IF(ICE[[#This Row],[LastType]] = "Blk", ICE[[#This Row],[LstBlkPrc]], ""))</f>
        <v/>
      </c>
      <c r="S1225" s="36">
        <f>ICE[[#This Row],[Vol]]+ICE[[#This Row],[BlkVol]]</f>
        <v>0</v>
      </c>
      <c r="T1225" s="36">
        <f>RTD("ice.rtd",,$C1225 &amp; $D1225 &amp; ":" &amp; T$1)</f>
        <v>257</v>
      </c>
      <c r="U1225" s="18">
        <f>RTD("ice.rtd",,$C1225 &amp; $D1225 &amp; ":" &amp; U$1)</f>
        <v>-199.64700000000002</v>
      </c>
      <c r="V12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5" s="18" t="str">
        <f>IFERROR(IF(LEFT(ICE[[#This Row],[Tenor]], 1) = "B", RTD("esrtd",,$B1225 &amp; " " &amp; ICE[[#This Row],[Tenor]] &amp; "-IEU", W$1), RTD("esrtd",,$B1225 &amp; " " &amp; VLOOKUP(MONTH(ICE[[#This Row],[Strip]]), MthRef[], 2, 0) &amp; RIGHT(YEAR(ICE[[#This Row],[Strip]]), 2) &amp; "-IEU", W$1)), "")</f>
        <v/>
      </c>
      <c r="X1225" s="36"/>
    </row>
    <row r="1226" spans="1:24" x14ac:dyDescent="0.25">
      <c r="A1226" s="37" t="s">
        <v>374</v>
      </c>
      <c r="B1226" s="88" t="str">
        <f>RTD("ice.rtd",,$C1226 &amp; $D1226 &amp; ":" &amp; B$1)</f>
        <v>APN</v>
      </c>
      <c r="C1226" s="3">
        <v>32613992</v>
      </c>
      <c r="D1226" t="s">
        <v>324</v>
      </c>
      <c r="E1226" s="3" t="str">
        <f>RTD("ice.rtd",,$C1226 &amp; $D1226 &amp; ":" &amp; E$1)</f>
        <v>Oct26</v>
      </c>
      <c r="F1226" s="3" t="str">
        <f>ICE[[#This Row],[Prod]]&amp;ICE[[#This Row],[Strip]]</f>
        <v>propnapOct26</v>
      </c>
      <c r="G1226" s="18" t="str">
        <f>RTD("ice.rtd",,$C1226 &amp; $D1226 &amp; ":" &amp; G$1)</f>
        <v/>
      </c>
      <c r="H1226" s="18" t="str">
        <f>RTD("ice.rtd",,$C1226 &amp; $D1226 &amp; ":" &amp; H$1)</f>
        <v/>
      </c>
      <c r="I1226" s="18" t="str">
        <f>RTD("ice.rtd",,$C1226 &amp; $D1226 &amp; ":" &amp; I$1)</f>
        <v/>
      </c>
      <c r="J1226" s="14" t="str">
        <f>IFERROR(MOD(RTD("ice.rtd",,$C1226 &amp; $D1226 &amp; ":" &amp; J$1), 1), "")</f>
        <v/>
      </c>
      <c r="K1226" s="18" t="str">
        <f>RTD("ice.rtd",,$C1226 &amp; $D1226 &amp; ":" &amp; K$1)</f>
        <v/>
      </c>
      <c r="L1226" s="36" t="str">
        <f>RTD("ice.rtd",,$C1226 &amp; $D1226 &amp; ":" &amp; L$1)</f>
        <v/>
      </c>
      <c r="M1226" s="14" t="str">
        <f>IFERROR(MOD(TIMEVALUE(RTD("ice.rtd",,$C1226 &amp; $D1226 &amp; ":" &amp; M$1)), 1), "")</f>
        <v/>
      </c>
      <c r="N1226" s="36">
        <f>RTD("ice.rtd",,$C1226 &amp; $D1226 &amp; ":" &amp; N$1)</f>
        <v>0</v>
      </c>
      <c r="O1226" s="36">
        <f>RTD("ice.rtd",,$C1226 &amp; $D1226 &amp; ":" &amp; O$1)</f>
        <v>0</v>
      </c>
      <c r="P12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6" s="14" t="str">
        <f>IF(ICE[[#This Row],[LastType]] = "Scrn", ICE[[#This Row],[LstDate]], IF(ICE[[#This Row],[LastType]] = "Blk", ICE[[#This Row],[LstBlkTime]], ""))</f>
        <v/>
      </c>
      <c r="R1226" s="41" t="str">
        <f>IF(ICE[[#This Row],[LastType]] = "Scrn", ICE[[#This Row],[LstPrc]], IF(ICE[[#This Row],[LastType]] = "Blk", ICE[[#This Row],[LstBlkPrc]], ""))</f>
        <v/>
      </c>
      <c r="S1226" s="36">
        <f>ICE[[#This Row],[Vol]]+ICE[[#This Row],[BlkVol]]</f>
        <v>0</v>
      </c>
      <c r="T1226" s="36">
        <f>RTD("ice.rtd",,$C1226 &amp; $D1226 &amp; ":" &amp; T$1)</f>
        <v>245</v>
      </c>
      <c r="U1226" s="18">
        <f>RTD("ice.rtd",,$C1226 &amp; $D1226 &amp; ":" &amp; U$1)</f>
        <v>-193.923</v>
      </c>
      <c r="V12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6" s="18" t="str">
        <f>IFERROR(IF(LEFT(ICE[[#This Row],[Tenor]], 1) = "B", RTD("esrtd",,$B1226 &amp; " " &amp; ICE[[#This Row],[Tenor]] &amp; "-IEU", W$1), RTD("esrtd",,$B1226 &amp; " " &amp; VLOOKUP(MONTH(ICE[[#This Row],[Strip]]), MthRef[], 2, 0) &amp; RIGHT(YEAR(ICE[[#This Row],[Strip]]), 2) &amp; "-IEU", W$1)), "")</f>
        <v/>
      </c>
      <c r="X1226" s="36"/>
    </row>
    <row r="1227" spans="1:24" x14ac:dyDescent="0.25">
      <c r="A1227" s="37" t="s">
        <v>374</v>
      </c>
      <c r="B1227" s="88" t="str">
        <f>RTD("ice.rtd",,$C1227 &amp; $D1227 &amp; ":" &amp; B$1)</f>
        <v>APN</v>
      </c>
      <c r="C1227" s="3">
        <v>32613992</v>
      </c>
      <c r="D1227" t="s">
        <v>325</v>
      </c>
      <c r="E1227" s="3" t="str">
        <f>RTD("ice.rtd",,$C1227 &amp; $D1227 &amp; ":" &amp; E$1)</f>
        <v>Nov26</v>
      </c>
      <c r="F1227" s="3" t="str">
        <f>ICE[[#This Row],[Prod]]&amp;ICE[[#This Row],[Strip]]</f>
        <v>propnapNov26</v>
      </c>
      <c r="G1227" s="18" t="str">
        <f>RTD("ice.rtd",,$C1227 &amp; $D1227 &amp; ":" &amp; G$1)</f>
        <v/>
      </c>
      <c r="H1227" s="18" t="str">
        <f>RTD("ice.rtd",,$C1227 &amp; $D1227 &amp; ":" &amp; H$1)</f>
        <v/>
      </c>
      <c r="I1227" s="18" t="str">
        <f>RTD("ice.rtd",,$C1227 &amp; $D1227 &amp; ":" &amp; I$1)</f>
        <v/>
      </c>
      <c r="J1227" s="14" t="str">
        <f>IFERROR(MOD(RTD("ice.rtd",,$C1227 &amp; $D1227 &amp; ":" &amp; J$1), 1), "")</f>
        <v/>
      </c>
      <c r="K1227" s="18" t="str">
        <f>RTD("ice.rtd",,$C1227 &amp; $D1227 &amp; ":" &amp; K$1)</f>
        <v/>
      </c>
      <c r="L1227" s="36" t="str">
        <f>RTD("ice.rtd",,$C1227 &amp; $D1227 &amp; ":" &amp; L$1)</f>
        <v/>
      </c>
      <c r="M1227" s="14" t="str">
        <f>IFERROR(MOD(TIMEVALUE(RTD("ice.rtd",,$C1227 &amp; $D1227 &amp; ":" &amp; M$1)), 1), "")</f>
        <v/>
      </c>
      <c r="N1227" s="36">
        <f>RTD("ice.rtd",,$C1227 &amp; $D1227 &amp; ":" &amp; N$1)</f>
        <v>0</v>
      </c>
      <c r="O1227" s="36">
        <f>RTD("ice.rtd",,$C1227 &amp; $D1227 &amp; ":" &amp; O$1)</f>
        <v>0</v>
      </c>
      <c r="P12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7" s="14" t="str">
        <f>IF(ICE[[#This Row],[LastType]] = "Scrn", ICE[[#This Row],[LstDate]], IF(ICE[[#This Row],[LastType]] = "Blk", ICE[[#This Row],[LstBlkTime]], ""))</f>
        <v/>
      </c>
      <c r="R1227" s="41" t="str">
        <f>IF(ICE[[#This Row],[LastType]] = "Scrn", ICE[[#This Row],[LstPrc]], IF(ICE[[#This Row],[LastType]] = "Blk", ICE[[#This Row],[LstBlkPrc]], ""))</f>
        <v/>
      </c>
      <c r="S1227" s="36">
        <f>ICE[[#This Row],[Vol]]+ICE[[#This Row],[BlkVol]]</f>
        <v>0</v>
      </c>
      <c r="T1227" s="36">
        <f>RTD("ice.rtd",,$C1227 &amp; $D1227 &amp; ":" &amp; T$1)</f>
        <v>236</v>
      </c>
      <c r="U1227" s="18">
        <f>RTD("ice.rtd",,$C1227 &amp; $D1227 &amp; ":" &amp; U$1)</f>
        <v>-175.476</v>
      </c>
      <c r="V12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7" s="18" t="str">
        <f>IFERROR(IF(LEFT(ICE[[#This Row],[Tenor]], 1) = "B", RTD("esrtd",,$B1227 &amp; " " &amp; ICE[[#This Row],[Tenor]] &amp; "-IEU", W$1), RTD("esrtd",,$B1227 &amp; " " &amp; VLOOKUP(MONTH(ICE[[#This Row],[Strip]]), MthRef[], 2, 0) &amp; RIGHT(YEAR(ICE[[#This Row],[Strip]]), 2) &amp; "-IEU", W$1)), "")</f>
        <v/>
      </c>
      <c r="X1227" s="36"/>
    </row>
    <row r="1228" spans="1:24" x14ac:dyDescent="0.25">
      <c r="A1228" s="37" t="s">
        <v>374</v>
      </c>
      <c r="B1228" s="88" t="str">
        <f>RTD("ice.rtd",,$C1228 &amp; $D1228 &amp; ":" &amp; B$1)</f>
        <v>APN</v>
      </c>
      <c r="C1228" s="3">
        <v>32613992</v>
      </c>
      <c r="D1228" t="s">
        <v>326</v>
      </c>
      <c r="E1228" s="3" t="str">
        <f>RTD("ice.rtd",,$C1228 &amp; $D1228 &amp; ":" &amp; E$1)</f>
        <v>Dec26</v>
      </c>
      <c r="F1228" s="3" t="str">
        <f>ICE[[#This Row],[Prod]]&amp;ICE[[#This Row],[Strip]]</f>
        <v>propnapDec26</v>
      </c>
      <c r="G1228" s="18" t="str">
        <f>RTD("ice.rtd",,$C1228 &amp; $D1228 &amp; ":" &amp; G$1)</f>
        <v/>
      </c>
      <c r="H1228" s="18" t="str">
        <f>RTD("ice.rtd",,$C1228 &amp; $D1228 &amp; ":" &amp; H$1)</f>
        <v/>
      </c>
      <c r="I1228" s="18" t="str">
        <f>RTD("ice.rtd",,$C1228 &amp; $D1228 &amp; ":" &amp; I$1)</f>
        <v/>
      </c>
      <c r="J1228" s="14" t="str">
        <f>IFERROR(MOD(RTD("ice.rtd",,$C1228 &amp; $D1228 &amp; ":" &amp; J$1), 1), "")</f>
        <v/>
      </c>
      <c r="K1228" s="18" t="str">
        <f>RTD("ice.rtd",,$C1228 &amp; $D1228 &amp; ":" &amp; K$1)</f>
        <v/>
      </c>
      <c r="L1228" s="36" t="str">
        <f>RTD("ice.rtd",,$C1228 &amp; $D1228 &amp; ":" &amp; L$1)</f>
        <v/>
      </c>
      <c r="M1228" s="14" t="str">
        <f>IFERROR(MOD(TIMEVALUE(RTD("ice.rtd",,$C1228 &amp; $D1228 &amp; ":" &amp; M$1)), 1), "")</f>
        <v/>
      </c>
      <c r="N1228" s="36">
        <f>RTD("ice.rtd",,$C1228 &amp; $D1228 &amp; ":" &amp; N$1)</f>
        <v>0</v>
      </c>
      <c r="O1228" s="36">
        <f>RTD("ice.rtd",,$C1228 &amp; $D1228 &amp; ":" &amp; O$1)</f>
        <v>0</v>
      </c>
      <c r="P12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8" s="14" t="str">
        <f>IF(ICE[[#This Row],[LastType]] = "Scrn", ICE[[#This Row],[LstDate]], IF(ICE[[#This Row],[LastType]] = "Blk", ICE[[#This Row],[LstBlkTime]], ""))</f>
        <v/>
      </c>
      <c r="R1228" s="41" t="str">
        <f>IF(ICE[[#This Row],[LastType]] = "Scrn", ICE[[#This Row],[LstPrc]], IF(ICE[[#This Row],[LastType]] = "Blk", ICE[[#This Row],[LstBlkPrc]], ""))</f>
        <v/>
      </c>
      <c r="S1228" s="36">
        <f>ICE[[#This Row],[Vol]]+ICE[[#This Row],[BlkVol]]</f>
        <v>0</v>
      </c>
      <c r="T1228" s="36">
        <f>RTD("ice.rtd",,$C1228 &amp; $D1228 &amp; ":" &amp; T$1)</f>
        <v>213</v>
      </c>
      <c r="U1228" s="18">
        <f>RTD("ice.rtd",,$C1228 &amp; $D1228 &amp; ":" &amp; U$1)</f>
        <v>-158.523</v>
      </c>
      <c r="V12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8" s="18" t="str">
        <f>IFERROR(IF(LEFT(ICE[[#This Row],[Tenor]], 1) = "B", RTD("esrtd",,$B1228 &amp; " " &amp; ICE[[#This Row],[Tenor]] &amp; "-IEU", W$1), RTD("esrtd",,$B1228 &amp; " " &amp; VLOOKUP(MONTH(ICE[[#This Row],[Strip]]), MthRef[], 2, 0) &amp; RIGHT(YEAR(ICE[[#This Row],[Strip]]), 2) &amp; "-IEU", W$1)), "")</f>
        <v/>
      </c>
      <c r="X1228" s="36"/>
    </row>
    <row r="1229" spans="1:24" x14ac:dyDescent="0.25">
      <c r="A1229" s="37" t="s">
        <v>374</v>
      </c>
      <c r="B1229" s="88" t="str">
        <f>RTD("ice.rtd",,$C1229 &amp; $D1229 &amp; ":" &amp; B$1)</f>
        <v>APN</v>
      </c>
      <c r="C1229" s="3">
        <v>32613992</v>
      </c>
      <c r="D1229" t="s">
        <v>794</v>
      </c>
      <c r="E1229" s="3" t="str">
        <f>RTD("ice.rtd",,$C1229 &amp; $D1229 &amp; ":" &amp; E$1)</f>
        <v>Jan27</v>
      </c>
      <c r="F1229" s="3" t="str">
        <f>ICE[[#This Row],[Prod]]&amp;ICE[[#This Row],[Strip]]</f>
        <v>propnapJan27</v>
      </c>
      <c r="G1229" s="18" t="str">
        <f>RTD("ice.rtd",,$C1229 &amp; $D1229 &amp; ":" &amp; G$1)</f>
        <v/>
      </c>
      <c r="H1229" s="18" t="str">
        <f>RTD("ice.rtd",,$C1229 &amp; $D1229 &amp; ":" &amp; H$1)</f>
        <v/>
      </c>
      <c r="I1229" s="18" t="str">
        <f>RTD("ice.rtd",,$C1229 &amp; $D1229 &amp; ":" &amp; I$1)</f>
        <v/>
      </c>
      <c r="J1229" s="14" t="str">
        <f>IFERROR(MOD(RTD("ice.rtd",,$C1229 &amp; $D1229 &amp; ":" &amp; J$1), 1), "")</f>
        <v/>
      </c>
      <c r="K1229" s="18" t="str">
        <f>RTD("ice.rtd",,$C1229 &amp; $D1229 &amp; ":" &amp; K$1)</f>
        <v/>
      </c>
      <c r="L1229" s="36" t="str">
        <f>RTD("ice.rtd",,$C1229 &amp; $D1229 &amp; ":" &amp; L$1)</f>
        <v/>
      </c>
      <c r="M1229" s="14" t="str">
        <f>IFERROR(MOD(TIMEVALUE(RTD("ice.rtd",,$C1229 &amp; $D1229 &amp; ":" &amp; M$1)), 1), "")</f>
        <v/>
      </c>
      <c r="N1229" s="36">
        <f>RTD("ice.rtd",,$C1229 &amp; $D1229 &amp; ":" &amp; N$1)</f>
        <v>0</v>
      </c>
      <c r="O1229" s="36">
        <f>RTD("ice.rtd",,$C1229 &amp; $D1229 &amp; ":" &amp; O$1)</f>
        <v>0</v>
      </c>
      <c r="P12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29" s="14" t="str">
        <f>IF(ICE[[#This Row],[LastType]] = "Scrn", ICE[[#This Row],[LstDate]], IF(ICE[[#This Row],[LastType]] = "Blk", ICE[[#This Row],[LstBlkTime]], ""))</f>
        <v/>
      </c>
      <c r="R1229" s="41" t="str">
        <f>IF(ICE[[#This Row],[LastType]] = "Scrn", ICE[[#This Row],[LstPrc]], IF(ICE[[#This Row],[LastType]] = "Blk", ICE[[#This Row],[LstBlkPrc]], ""))</f>
        <v/>
      </c>
      <c r="S1229" s="36">
        <f>ICE[[#This Row],[Vol]]+ICE[[#This Row],[BlkVol]]</f>
        <v>0</v>
      </c>
      <c r="T1229" s="36">
        <f>RTD("ice.rtd",,$C1229 &amp; $D1229 &amp; ":" &amp; T$1)</f>
        <v>159</v>
      </c>
      <c r="U1229" s="18">
        <f>RTD("ice.rtd",,$C1229 &amp; $D1229 &amp; ":" &amp; U$1)</f>
        <v>-150.12100000000001</v>
      </c>
      <c r="V12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29" s="18" t="str">
        <f>IFERROR(IF(LEFT(ICE[[#This Row],[Tenor]], 1) = "B", RTD("esrtd",,$B1229 &amp; " " &amp; ICE[[#This Row],[Tenor]] &amp; "-IEU", W$1), RTD("esrtd",,$B1229 &amp; " " &amp; VLOOKUP(MONTH(ICE[[#This Row],[Strip]]), MthRef[], 2, 0) &amp; RIGHT(YEAR(ICE[[#This Row],[Strip]]), 2) &amp; "-IEU", W$1)), "")</f>
        <v/>
      </c>
      <c r="X1229" s="36"/>
    </row>
    <row r="1230" spans="1:24" x14ac:dyDescent="0.25">
      <c r="A1230" s="37" t="s">
        <v>374</v>
      </c>
      <c r="B1230" s="88" t="str">
        <f>RTD("ice.rtd",,$C1230 &amp; $D1230 &amp; ":" &amp; B$1)</f>
        <v>APN</v>
      </c>
      <c r="C1230" s="3">
        <v>32613992</v>
      </c>
      <c r="D1230" t="s">
        <v>795</v>
      </c>
      <c r="E1230" s="3" t="str">
        <f>RTD("ice.rtd",,$C1230 &amp; $D1230 &amp; ":" &amp; E$1)</f>
        <v>Feb27</v>
      </c>
      <c r="F1230" s="3" t="str">
        <f>ICE[[#This Row],[Prod]]&amp;ICE[[#This Row],[Strip]]</f>
        <v>propnapFeb27</v>
      </c>
      <c r="G1230" s="18" t="str">
        <f>RTD("ice.rtd",,$C1230 &amp; $D1230 &amp; ":" &amp; G$1)</f>
        <v/>
      </c>
      <c r="H1230" s="18" t="str">
        <f>RTD("ice.rtd",,$C1230 &amp; $D1230 &amp; ":" &amp; H$1)</f>
        <v/>
      </c>
      <c r="I1230" s="18" t="str">
        <f>RTD("ice.rtd",,$C1230 &amp; $D1230 &amp; ":" &amp; I$1)</f>
        <v/>
      </c>
      <c r="J1230" s="14" t="str">
        <f>IFERROR(MOD(RTD("ice.rtd",,$C1230 &amp; $D1230 &amp; ":" &amp; J$1), 1), "")</f>
        <v/>
      </c>
      <c r="K1230" s="18" t="str">
        <f>RTD("ice.rtd",,$C1230 &amp; $D1230 &amp; ":" &amp; K$1)</f>
        <v/>
      </c>
      <c r="L1230" s="36" t="str">
        <f>RTD("ice.rtd",,$C1230 &amp; $D1230 &amp; ":" &amp; L$1)</f>
        <v/>
      </c>
      <c r="M1230" s="14" t="str">
        <f>IFERROR(MOD(TIMEVALUE(RTD("ice.rtd",,$C1230 &amp; $D1230 &amp; ":" &amp; M$1)), 1), "")</f>
        <v/>
      </c>
      <c r="N1230" s="36">
        <f>RTD("ice.rtd",,$C1230 &amp; $D1230 &amp; ":" &amp; N$1)</f>
        <v>0</v>
      </c>
      <c r="O1230" s="36">
        <f>RTD("ice.rtd",,$C1230 &amp; $D1230 &amp; ":" &amp; O$1)</f>
        <v>0</v>
      </c>
      <c r="P12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0" s="14" t="str">
        <f>IF(ICE[[#This Row],[LastType]] = "Scrn", ICE[[#This Row],[LstDate]], IF(ICE[[#This Row],[LastType]] = "Blk", ICE[[#This Row],[LstBlkTime]], ""))</f>
        <v/>
      </c>
      <c r="R1230" s="41" t="str">
        <f>IF(ICE[[#This Row],[LastType]] = "Scrn", ICE[[#This Row],[LstPrc]], IF(ICE[[#This Row],[LastType]] = "Blk", ICE[[#This Row],[LstBlkPrc]], ""))</f>
        <v/>
      </c>
      <c r="S1230" s="36">
        <f>ICE[[#This Row],[Vol]]+ICE[[#This Row],[BlkVol]]</f>
        <v>0</v>
      </c>
      <c r="T1230" s="36">
        <f>RTD("ice.rtd",,$C1230 &amp; $D1230 &amp; ":" &amp; T$1)</f>
        <v>149</v>
      </c>
      <c r="U1230" s="18">
        <f>RTD("ice.rtd",,$C1230 &amp; $D1230 &amp; ":" &amp; U$1)</f>
        <v>-146.071</v>
      </c>
      <c r="V12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0" s="18" t="str">
        <f>IFERROR(IF(LEFT(ICE[[#This Row],[Tenor]], 1) = "B", RTD("esrtd",,$B1230 &amp; " " &amp; ICE[[#This Row],[Tenor]] &amp; "-IEU", W$1), RTD("esrtd",,$B1230 &amp; " " &amp; VLOOKUP(MONTH(ICE[[#This Row],[Strip]]), MthRef[], 2, 0) &amp; RIGHT(YEAR(ICE[[#This Row],[Strip]]), 2) &amp; "-IEU", W$1)), "")</f>
        <v/>
      </c>
      <c r="X1230" s="36"/>
    </row>
    <row r="1231" spans="1:24" x14ac:dyDescent="0.25">
      <c r="A1231" s="37" t="s">
        <v>374</v>
      </c>
      <c r="B1231" s="88" t="str">
        <f>RTD("ice.rtd",,$C1231 &amp; $D1231 &amp; ":" &amp; B$1)</f>
        <v>APN</v>
      </c>
      <c r="C1231" s="3">
        <v>32613992</v>
      </c>
      <c r="D1231" t="s">
        <v>113</v>
      </c>
      <c r="E1231" s="3" t="str">
        <f>RTD("ice.rtd",,$C1231 &amp; $D1231 &amp; ":" &amp; E$1)</f>
        <v>Mar27</v>
      </c>
      <c r="F1231" s="3" t="str">
        <f>ICE[[#This Row],[Prod]]&amp;ICE[[#This Row],[Strip]]</f>
        <v>propnapMar27</v>
      </c>
      <c r="G1231" s="18" t="str">
        <f>RTD("ice.rtd",,$C1231 &amp; $D1231 &amp; ":" &amp; G$1)</f>
        <v/>
      </c>
      <c r="H1231" s="18" t="str">
        <f>RTD("ice.rtd",,$C1231 &amp; $D1231 &amp; ":" &amp; H$1)</f>
        <v/>
      </c>
      <c r="I1231" s="18" t="str">
        <f>RTD("ice.rtd",,$C1231 &amp; $D1231 &amp; ":" &amp; I$1)</f>
        <v/>
      </c>
      <c r="J1231" s="14" t="str">
        <f>IFERROR(MOD(RTD("ice.rtd",,$C1231 &amp; $D1231 &amp; ":" &amp; J$1), 1), "")</f>
        <v/>
      </c>
      <c r="K1231" s="18" t="str">
        <f>RTD("ice.rtd",,$C1231 &amp; $D1231 &amp; ":" &amp; K$1)</f>
        <v/>
      </c>
      <c r="L1231" s="36" t="str">
        <f>RTD("ice.rtd",,$C1231 &amp; $D1231 &amp; ":" &amp; L$1)</f>
        <v/>
      </c>
      <c r="M1231" s="14" t="str">
        <f>IFERROR(MOD(TIMEVALUE(RTD("ice.rtd",,$C1231 &amp; $D1231 &amp; ":" &amp; M$1)), 1), "")</f>
        <v/>
      </c>
      <c r="N1231" s="36">
        <f>RTD("ice.rtd",,$C1231 &amp; $D1231 &amp; ":" &amp; N$1)</f>
        <v>0</v>
      </c>
      <c r="O1231" s="36">
        <f>RTD("ice.rtd",,$C1231 &amp; $D1231 &amp; ":" &amp; O$1)</f>
        <v>0</v>
      </c>
      <c r="P12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1" s="14" t="str">
        <f>IF(ICE[[#This Row],[LastType]] = "Scrn", ICE[[#This Row],[LstDate]], IF(ICE[[#This Row],[LastType]] = "Blk", ICE[[#This Row],[LstBlkTime]], ""))</f>
        <v/>
      </c>
      <c r="R1231" s="41" t="str">
        <f>IF(ICE[[#This Row],[LastType]] = "Scrn", ICE[[#This Row],[LstPrc]], IF(ICE[[#This Row],[LastType]] = "Blk", ICE[[#This Row],[LstBlkPrc]], ""))</f>
        <v/>
      </c>
      <c r="S1231" s="36">
        <f>ICE[[#This Row],[Vol]]+ICE[[#This Row],[BlkVol]]</f>
        <v>0</v>
      </c>
      <c r="T1231" s="36">
        <f>RTD("ice.rtd",,$C1231 &amp; $D1231 &amp; ":" &amp; T$1)</f>
        <v>141</v>
      </c>
      <c r="U1231" s="18">
        <f>RTD("ice.rtd",,$C1231 &amp; $D1231 &amp; ":" &amp; U$1)</f>
        <v>-150.923</v>
      </c>
      <c r="V12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1" s="18" t="str">
        <f>IFERROR(IF(LEFT(ICE[[#This Row],[Tenor]], 1) = "B", RTD("esrtd",,$B1231 &amp; " " &amp; ICE[[#This Row],[Tenor]] &amp; "-IEU", W$1), RTD("esrtd",,$B1231 &amp; " " &amp; VLOOKUP(MONTH(ICE[[#This Row],[Strip]]), MthRef[], 2, 0) &amp; RIGHT(YEAR(ICE[[#This Row],[Strip]]), 2) &amp; "-IEU", W$1)), "")</f>
        <v/>
      </c>
      <c r="X1231" s="36"/>
    </row>
    <row r="1232" spans="1:24" x14ac:dyDescent="0.25">
      <c r="A1232" s="37" t="s">
        <v>374</v>
      </c>
      <c r="B1232" s="88" t="str">
        <f>RTD("ice.rtd",,$C1232 &amp; $D1232 &amp; ":" &amp; B$1)</f>
        <v>APN</v>
      </c>
      <c r="C1232" s="3">
        <v>32613992</v>
      </c>
      <c r="D1232" t="s">
        <v>796</v>
      </c>
      <c r="E1232" s="3" t="str">
        <f>RTD("ice.rtd",,$C1232 &amp; $D1232 &amp; ":" &amp; E$1)</f>
        <v>Apr27</v>
      </c>
      <c r="F1232" s="3" t="str">
        <f>ICE[[#This Row],[Prod]]&amp;ICE[[#This Row],[Strip]]</f>
        <v>propnapApr27</v>
      </c>
      <c r="G1232" s="18" t="str">
        <f>RTD("ice.rtd",,$C1232 &amp; $D1232 &amp; ":" &amp; G$1)</f>
        <v/>
      </c>
      <c r="H1232" s="18" t="str">
        <f>RTD("ice.rtd",,$C1232 &amp; $D1232 &amp; ":" &amp; H$1)</f>
        <v/>
      </c>
      <c r="I1232" s="18" t="str">
        <f>RTD("ice.rtd",,$C1232 &amp; $D1232 &amp; ":" &amp; I$1)</f>
        <v/>
      </c>
      <c r="J1232" s="14" t="str">
        <f>IFERROR(MOD(RTD("ice.rtd",,$C1232 &amp; $D1232 &amp; ":" &amp; J$1), 1), "")</f>
        <v/>
      </c>
      <c r="K1232" s="18" t="str">
        <f>RTD("ice.rtd",,$C1232 &amp; $D1232 &amp; ":" &amp; K$1)</f>
        <v/>
      </c>
      <c r="L1232" s="36" t="str">
        <f>RTD("ice.rtd",,$C1232 &amp; $D1232 &amp; ":" &amp; L$1)</f>
        <v/>
      </c>
      <c r="M1232" s="14" t="str">
        <f>IFERROR(MOD(TIMEVALUE(RTD("ice.rtd",,$C1232 &amp; $D1232 &amp; ":" &amp; M$1)), 1), "")</f>
        <v/>
      </c>
      <c r="N1232" s="36">
        <f>RTD("ice.rtd",,$C1232 &amp; $D1232 &amp; ":" &amp; N$1)</f>
        <v>0</v>
      </c>
      <c r="O1232" s="36">
        <f>RTD("ice.rtd",,$C1232 &amp; $D1232 &amp; ":" &amp; O$1)</f>
        <v>0</v>
      </c>
      <c r="P12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2" s="14" t="str">
        <f>IF(ICE[[#This Row],[LastType]] = "Scrn", ICE[[#This Row],[LstDate]], IF(ICE[[#This Row],[LastType]] = "Blk", ICE[[#This Row],[LstBlkTime]], ""))</f>
        <v/>
      </c>
      <c r="R1232" s="41" t="str">
        <f>IF(ICE[[#This Row],[LastType]] = "Scrn", ICE[[#This Row],[LstPrc]], IF(ICE[[#This Row],[LastType]] = "Blk", ICE[[#This Row],[LstBlkPrc]], ""))</f>
        <v/>
      </c>
      <c r="S1232" s="36">
        <f>ICE[[#This Row],[Vol]]+ICE[[#This Row],[BlkVol]]</f>
        <v>0</v>
      </c>
      <c r="T1232" s="36">
        <f>RTD("ice.rtd",,$C1232 &amp; $D1232 &amp; ":" &amp; T$1)</f>
        <v>40</v>
      </c>
      <c r="U1232" s="18">
        <f>RTD("ice.rtd",,$C1232 &amp; $D1232 &amp; ":" &amp; U$1)</f>
        <v>-157.47200000000001</v>
      </c>
      <c r="V12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2" s="18" t="str">
        <f>IFERROR(IF(LEFT(ICE[[#This Row],[Tenor]], 1) = "B", RTD("esrtd",,$B1232 &amp; " " &amp; ICE[[#This Row],[Tenor]] &amp; "-IEU", W$1), RTD("esrtd",,$B1232 &amp; " " &amp; VLOOKUP(MONTH(ICE[[#This Row],[Strip]]), MthRef[], 2, 0) &amp; RIGHT(YEAR(ICE[[#This Row],[Strip]]), 2) &amp; "-IEU", W$1)), "")</f>
        <v/>
      </c>
      <c r="X1232" s="36"/>
    </row>
    <row r="1233" spans="1:24" x14ac:dyDescent="0.25">
      <c r="A1233" s="37" t="s">
        <v>374</v>
      </c>
      <c r="B1233" s="88" t="str">
        <f>RTD("ice.rtd",,$C1233 &amp; $D1233 &amp; ":" &amp; B$1)</f>
        <v>APN</v>
      </c>
      <c r="C1233" s="3">
        <v>32613992</v>
      </c>
      <c r="D1233" t="s">
        <v>797</v>
      </c>
      <c r="E1233" s="3" t="str">
        <f>RTD("ice.rtd",,$C1233 &amp; $D1233 &amp; ":" &amp; E$1)</f>
        <v>May27</v>
      </c>
      <c r="F1233" s="3" t="str">
        <f>ICE[[#This Row],[Prod]]&amp;ICE[[#This Row],[Strip]]</f>
        <v>propnapMay27</v>
      </c>
      <c r="G1233" s="18" t="str">
        <f>RTD("ice.rtd",,$C1233 &amp; $D1233 &amp; ":" &amp; G$1)</f>
        <v/>
      </c>
      <c r="H1233" s="18" t="str">
        <f>RTD("ice.rtd",,$C1233 &amp; $D1233 &amp; ":" &amp; H$1)</f>
        <v/>
      </c>
      <c r="I1233" s="18" t="str">
        <f>RTD("ice.rtd",,$C1233 &amp; $D1233 &amp; ":" &amp; I$1)</f>
        <v/>
      </c>
      <c r="J1233" s="14" t="str">
        <f>IFERROR(MOD(RTD("ice.rtd",,$C1233 &amp; $D1233 &amp; ":" &amp; J$1), 1), "")</f>
        <v/>
      </c>
      <c r="K1233" s="18" t="str">
        <f>RTD("ice.rtd",,$C1233 &amp; $D1233 &amp; ":" &amp; K$1)</f>
        <v/>
      </c>
      <c r="L1233" s="36" t="str">
        <f>RTD("ice.rtd",,$C1233 &amp; $D1233 &amp; ":" &amp; L$1)</f>
        <v/>
      </c>
      <c r="M1233" s="14" t="str">
        <f>IFERROR(MOD(TIMEVALUE(RTD("ice.rtd",,$C1233 &amp; $D1233 &amp; ":" &amp; M$1)), 1), "")</f>
        <v/>
      </c>
      <c r="N1233" s="36">
        <f>RTD("ice.rtd",,$C1233 &amp; $D1233 &amp; ":" &amp; N$1)</f>
        <v>0</v>
      </c>
      <c r="O1233" s="36">
        <f>RTD("ice.rtd",,$C1233 &amp; $D1233 &amp; ":" &amp; O$1)</f>
        <v>0</v>
      </c>
      <c r="P12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3" s="14" t="str">
        <f>IF(ICE[[#This Row],[LastType]] = "Scrn", ICE[[#This Row],[LstDate]], IF(ICE[[#This Row],[LastType]] = "Blk", ICE[[#This Row],[LstBlkTime]], ""))</f>
        <v/>
      </c>
      <c r="R1233" s="41" t="str">
        <f>IF(ICE[[#This Row],[LastType]] = "Scrn", ICE[[#This Row],[LstPrc]], IF(ICE[[#This Row],[LastType]] = "Blk", ICE[[#This Row],[LstBlkPrc]], ""))</f>
        <v/>
      </c>
      <c r="S1233" s="36">
        <f>ICE[[#This Row],[Vol]]+ICE[[#This Row],[BlkVol]]</f>
        <v>0</v>
      </c>
      <c r="T1233" s="36">
        <f>RTD("ice.rtd",,$C1233 &amp; $D1233 &amp; ":" &amp; T$1)</f>
        <v>41</v>
      </c>
      <c r="U1233" s="18">
        <f>RTD("ice.rtd",,$C1233 &amp; $D1233 &amp; ":" &amp; U$1)</f>
        <v>-159.87300000000002</v>
      </c>
      <c r="V12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3" s="18" t="str">
        <f>IFERROR(IF(LEFT(ICE[[#This Row],[Tenor]], 1) = "B", RTD("esrtd",,$B1233 &amp; " " &amp; ICE[[#This Row],[Tenor]] &amp; "-IEU", W$1), RTD("esrtd",,$B1233 &amp; " " &amp; VLOOKUP(MONTH(ICE[[#This Row],[Strip]]), MthRef[], 2, 0) &amp; RIGHT(YEAR(ICE[[#This Row],[Strip]]), 2) &amp; "-IEU", W$1)), "")</f>
        <v/>
      </c>
      <c r="X1233" s="36"/>
    </row>
    <row r="1234" spans="1:24" x14ac:dyDescent="0.25">
      <c r="A1234" s="37" t="s">
        <v>374</v>
      </c>
      <c r="B1234" s="88" t="str">
        <f>RTD("ice.rtd",,$C1234 &amp; $D1234 &amp; ":" &amp; B$1)</f>
        <v>APN</v>
      </c>
      <c r="C1234" s="3">
        <v>32613992</v>
      </c>
      <c r="D1234" t="s">
        <v>798</v>
      </c>
      <c r="E1234" s="3" t="str">
        <f>RTD("ice.rtd",,$C1234 &amp; $D1234 &amp; ":" &amp; E$1)</f>
        <v>Jun27</v>
      </c>
      <c r="F1234" s="3" t="str">
        <f>ICE[[#This Row],[Prod]]&amp;ICE[[#This Row],[Strip]]</f>
        <v>propnapJun27</v>
      </c>
      <c r="G1234" s="18" t="str">
        <f>RTD("ice.rtd",,$C1234 &amp; $D1234 &amp; ":" &amp; G$1)</f>
        <v/>
      </c>
      <c r="H1234" s="18" t="str">
        <f>RTD("ice.rtd",,$C1234 &amp; $D1234 &amp; ":" &amp; H$1)</f>
        <v/>
      </c>
      <c r="I1234" s="18" t="str">
        <f>RTD("ice.rtd",,$C1234 &amp; $D1234 &amp; ":" &amp; I$1)</f>
        <v/>
      </c>
      <c r="J1234" s="14" t="str">
        <f>IFERROR(MOD(RTD("ice.rtd",,$C1234 &amp; $D1234 &amp; ":" &amp; J$1), 1), "")</f>
        <v/>
      </c>
      <c r="K1234" s="18" t="str">
        <f>RTD("ice.rtd",,$C1234 &amp; $D1234 &amp; ":" &amp; K$1)</f>
        <v/>
      </c>
      <c r="L1234" s="36" t="str">
        <f>RTD("ice.rtd",,$C1234 &amp; $D1234 &amp; ":" &amp; L$1)</f>
        <v/>
      </c>
      <c r="M1234" s="14" t="str">
        <f>IFERROR(MOD(TIMEVALUE(RTD("ice.rtd",,$C1234 &amp; $D1234 &amp; ":" &amp; M$1)), 1), "")</f>
        <v/>
      </c>
      <c r="N1234" s="36">
        <f>RTD("ice.rtd",,$C1234 &amp; $D1234 &amp; ":" &amp; N$1)</f>
        <v>0</v>
      </c>
      <c r="O1234" s="36">
        <f>RTD("ice.rtd",,$C1234 &amp; $D1234 &amp; ":" &amp; O$1)</f>
        <v>0</v>
      </c>
      <c r="P12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4" s="14" t="str">
        <f>IF(ICE[[#This Row],[LastType]] = "Scrn", ICE[[#This Row],[LstDate]], IF(ICE[[#This Row],[LastType]] = "Blk", ICE[[#This Row],[LstBlkTime]], ""))</f>
        <v/>
      </c>
      <c r="R1234" s="41" t="str">
        <f>IF(ICE[[#This Row],[LastType]] = "Scrn", ICE[[#This Row],[LstPrc]], IF(ICE[[#This Row],[LastType]] = "Blk", ICE[[#This Row],[LstBlkPrc]], ""))</f>
        <v/>
      </c>
      <c r="S1234" s="36">
        <f>ICE[[#This Row],[Vol]]+ICE[[#This Row],[BlkVol]]</f>
        <v>0</v>
      </c>
      <c r="T1234" s="36">
        <f>RTD("ice.rtd",,$C1234 &amp; $D1234 &amp; ":" &amp; T$1)</f>
        <v>41</v>
      </c>
      <c r="U1234" s="18">
        <f>RTD("ice.rtd",,$C1234 &amp; $D1234 &amp; ":" &amp; U$1)</f>
        <v>-158.477</v>
      </c>
      <c r="V12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4" s="18" t="str">
        <f>IFERROR(IF(LEFT(ICE[[#This Row],[Tenor]], 1) = "B", RTD("esrtd",,$B1234 &amp; " " &amp; ICE[[#This Row],[Tenor]] &amp; "-IEU", W$1), RTD("esrtd",,$B1234 &amp; " " &amp; VLOOKUP(MONTH(ICE[[#This Row],[Strip]]), MthRef[], 2, 0) &amp; RIGHT(YEAR(ICE[[#This Row],[Strip]]), 2) &amp; "-IEU", W$1)), "")</f>
        <v/>
      </c>
      <c r="X1234" s="36"/>
    </row>
    <row r="1235" spans="1:24" x14ac:dyDescent="0.25">
      <c r="A1235" s="37" t="s">
        <v>374</v>
      </c>
      <c r="B1235" s="88" t="str">
        <f>RTD("ice.rtd",,$C1235 &amp; $D1235 &amp; ":" &amp; B$1)</f>
        <v>APN</v>
      </c>
      <c r="C1235" s="3">
        <v>32613992</v>
      </c>
      <c r="D1235" t="s">
        <v>799</v>
      </c>
      <c r="E1235" s="3" t="str">
        <f>RTD("ice.rtd",,$C1235 &amp; $D1235 &amp; ":" &amp; E$1)</f>
        <v>Jul27</v>
      </c>
      <c r="F1235" s="3" t="str">
        <f>ICE[[#This Row],[Prod]]&amp;ICE[[#This Row],[Strip]]</f>
        <v>propnapJul27</v>
      </c>
      <c r="G1235" s="18" t="str">
        <f>RTD("ice.rtd",,$C1235 &amp; $D1235 &amp; ":" &amp; G$1)</f>
        <v/>
      </c>
      <c r="H1235" s="18" t="str">
        <f>RTD("ice.rtd",,$C1235 &amp; $D1235 &amp; ":" &amp; H$1)</f>
        <v/>
      </c>
      <c r="I1235" s="18" t="str">
        <f>RTD("ice.rtd",,$C1235 &amp; $D1235 &amp; ":" &amp; I$1)</f>
        <v/>
      </c>
      <c r="J1235" s="14" t="str">
        <f>IFERROR(MOD(RTD("ice.rtd",,$C1235 &amp; $D1235 &amp; ":" &amp; J$1), 1), "")</f>
        <v/>
      </c>
      <c r="K1235" s="18" t="str">
        <f>RTD("ice.rtd",,$C1235 &amp; $D1235 &amp; ":" &amp; K$1)</f>
        <v/>
      </c>
      <c r="L1235" s="36" t="str">
        <f>RTD("ice.rtd",,$C1235 &amp; $D1235 &amp; ":" &amp; L$1)</f>
        <v/>
      </c>
      <c r="M1235" s="14" t="str">
        <f>IFERROR(MOD(TIMEVALUE(RTD("ice.rtd",,$C1235 &amp; $D1235 &amp; ":" &amp; M$1)), 1), "")</f>
        <v/>
      </c>
      <c r="N1235" s="36">
        <f>RTD("ice.rtd",,$C1235 &amp; $D1235 &amp; ":" &amp; N$1)</f>
        <v>0</v>
      </c>
      <c r="O1235" s="36">
        <f>RTD("ice.rtd",,$C1235 &amp; $D1235 &amp; ":" &amp; O$1)</f>
        <v>0</v>
      </c>
      <c r="P12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5" s="14" t="str">
        <f>IF(ICE[[#This Row],[LastType]] = "Scrn", ICE[[#This Row],[LstDate]], IF(ICE[[#This Row],[LastType]] = "Blk", ICE[[#This Row],[LstBlkTime]], ""))</f>
        <v/>
      </c>
      <c r="R1235" s="41" t="str">
        <f>IF(ICE[[#This Row],[LastType]] = "Scrn", ICE[[#This Row],[LstPrc]], IF(ICE[[#This Row],[LastType]] = "Blk", ICE[[#This Row],[LstBlkPrc]], ""))</f>
        <v/>
      </c>
      <c r="S1235" s="36">
        <f>ICE[[#This Row],[Vol]]+ICE[[#This Row],[BlkVol]]</f>
        <v>0</v>
      </c>
      <c r="T1235" s="36">
        <f>RTD("ice.rtd",,$C1235 &amp; $D1235 &amp; ":" &amp; T$1)</f>
        <v>15</v>
      </c>
      <c r="U1235" s="18">
        <f>RTD("ice.rtd",,$C1235 &amp; $D1235 &amp; ":" &amp; U$1)</f>
        <v>-151.976</v>
      </c>
      <c r="V12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5" s="18" t="str">
        <f>IFERROR(IF(LEFT(ICE[[#This Row],[Tenor]], 1) = "B", RTD("esrtd",,$B1235 &amp; " " &amp; ICE[[#This Row],[Tenor]] &amp; "-IEU", W$1), RTD("esrtd",,$B1235 &amp; " " &amp; VLOOKUP(MONTH(ICE[[#This Row],[Strip]]), MthRef[], 2, 0) &amp; RIGHT(YEAR(ICE[[#This Row],[Strip]]), 2) &amp; "-IEU", W$1)), "")</f>
        <v/>
      </c>
      <c r="X1235" s="36"/>
    </row>
    <row r="1236" spans="1:24" x14ac:dyDescent="0.25">
      <c r="A1236" s="37" t="s">
        <v>374</v>
      </c>
      <c r="B1236" s="88" t="str">
        <f>RTD("ice.rtd",,$C1236 &amp; $D1236 &amp; ":" &amp; B$1)</f>
        <v>APN</v>
      </c>
      <c r="C1236" s="3">
        <v>32613992</v>
      </c>
      <c r="D1236" t="s">
        <v>800</v>
      </c>
      <c r="E1236" s="3" t="str">
        <f>RTD("ice.rtd",,$C1236 &amp; $D1236 &amp; ":" &amp; E$1)</f>
        <v>Aug27</v>
      </c>
      <c r="F1236" s="3" t="str">
        <f>ICE[[#This Row],[Prod]]&amp;ICE[[#This Row],[Strip]]</f>
        <v>propnapAug27</v>
      </c>
      <c r="G1236" s="18" t="str">
        <f>RTD("ice.rtd",,$C1236 &amp; $D1236 &amp; ":" &amp; G$1)</f>
        <v/>
      </c>
      <c r="H1236" s="18" t="str">
        <f>RTD("ice.rtd",,$C1236 &amp; $D1236 &amp; ":" &amp; H$1)</f>
        <v/>
      </c>
      <c r="I1236" s="18" t="str">
        <f>RTD("ice.rtd",,$C1236 &amp; $D1236 &amp; ":" &amp; I$1)</f>
        <v/>
      </c>
      <c r="J1236" s="14" t="str">
        <f>IFERROR(MOD(RTD("ice.rtd",,$C1236 &amp; $D1236 &amp; ":" &amp; J$1), 1), "")</f>
        <v/>
      </c>
      <c r="K1236" s="18" t="str">
        <f>RTD("ice.rtd",,$C1236 &amp; $D1236 &amp; ":" &amp; K$1)</f>
        <v/>
      </c>
      <c r="L1236" s="36" t="str">
        <f>RTD("ice.rtd",,$C1236 &amp; $D1236 &amp; ":" &amp; L$1)</f>
        <v/>
      </c>
      <c r="M1236" s="14" t="str">
        <f>IFERROR(MOD(TIMEVALUE(RTD("ice.rtd",,$C1236 &amp; $D1236 &amp; ":" &amp; M$1)), 1), "")</f>
        <v/>
      </c>
      <c r="N1236" s="36">
        <f>RTD("ice.rtd",,$C1236 &amp; $D1236 &amp; ":" &amp; N$1)</f>
        <v>0</v>
      </c>
      <c r="O1236" s="36">
        <f>RTD("ice.rtd",,$C1236 &amp; $D1236 &amp; ":" &amp; O$1)</f>
        <v>0</v>
      </c>
      <c r="P12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6" s="14" t="str">
        <f>IF(ICE[[#This Row],[LastType]] = "Scrn", ICE[[#This Row],[LstDate]], IF(ICE[[#This Row],[LastType]] = "Blk", ICE[[#This Row],[LstBlkTime]], ""))</f>
        <v/>
      </c>
      <c r="R1236" s="41" t="str">
        <f>IF(ICE[[#This Row],[LastType]] = "Scrn", ICE[[#This Row],[LstPrc]], IF(ICE[[#This Row],[LastType]] = "Blk", ICE[[#This Row],[LstBlkPrc]], ""))</f>
        <v/>
      </c>
      <c r="S1236" s="36">
        <f>ICE[[#This Row],[Vol]]+ICE[[#This Row],[BlkVol]]</f>
        <v>0</v>
      </c>
      <c r="T1236" s="36">
        <f>RTD("ice.rtd",,$C1236 &amp; $D1236 &amp; ":" &amp; T$1)</f>
        <v>8</v>
      </c>
      <c r="U1236" s="18">
        <f>RTD("ice.rtd",,$C1236 &amp; $D1236 &amp; ":" &amp; U$1)</f>
        <v>-141.97</v>
      </c>
      <c r="V12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6" s="18" t="str">
        <f>IFERROR(IF(LEFT(ICE[[#This Row],[Tenor]], 1) = "B", RTD("esrtd",,$B1236 &amp; " " &amp; ICE[[#This Row],[Tenor]] &amp; "-IEU", W$1), RTD("esrtd",,$B1236 &amp; " " &amp; VLOOKUP(MONTH(ICE[[#This Row],[Strip]]), MthRef[], 2, 0) &amp; RIGHT(YEAR(ICE[[#This Row],[Strip]]), 2) &amp; "-IEU", W$1)), "")</f>
        <v/>
      </c>
      <c r="X1236" s="36"/>
    </row>
    <row r="1237" spans="1:24" x14ac:dyDescent="0.25">
      <c r="A1237" s="37" t="s">
        <v>374</v>
      </c>
      <c r="B1237" s="88" t="str">
        <f>RTD("ice.rtd",,$C1237 &amp; $D1237 &amp; ":" &amp; B$1)</f>
        <v>APN</v>
      </c>
      <c r="C1237" s="3">
        <v>32613992</v>
      </c>
      <c r="D1237" t="s">
        <v>801</v>
      </c>
      <c r="E1237" s="3" t="str">
        <f>RTD("ice.rtd",,$C1237 &amp; $D1237 &amp; ":" &amp; E$1)</f>
        <v>Sep27</v>
      </c>
      <c r="F1237" s="3" t="str">
        <f>ICE[[#This Row],[Prod]]&amp;ICE[[#This Row],[Strip]]</f>
        <v>propnapSep27</v>
      </c>
      <c r="G1237" s="18" t="str">
        <f>RTD("ice.rtd",,$C1237 &amp; $D1237 &amp; ":" &amp; G$1)</f>
        <v/>
      </c>
      <c r="H1237" s="18" t="str">
        <f>RTD("ice.rtd",,$C1237 &amp; $D1237 &amp; ":" &amp; H$1)</f>
        <v/>
      </c>
      <c r="I1237" s="18" t="str">
        <f>RTD("ice.rtd",,$C1237 &amp; $D1237 &amp; ":" &amp; I$1)</f>
        <v/>
      </c>
      <c r="J1237" s="14" t="str">
        <f>IFERROR(MOD(RTD("ice.rtd",,$C1237 &amp; $D1237 &amp; ":" &amp; J$1), 1), "")</f>
        <v/>
      </c>
      <c r="K1237" s="18" t="str">
        <f>RTD("ice.rtd",,$C1237 &amp; $D1237 &amp; ":" &amp; K$1)</f>
        <v/>
      </c>
      <c r="L1237" s="36" t="str">
        <f>RTD("ice.rtd",,$C1237 &amp; $D1237 &amp; ":" &amp; L$1)</f>
        <v/>
      </c>
      <c r="M1237" s="14" t="str">
        <f>IFERROR(MOD(TIMEVALUE(RTD("ice.rtd",,$C1237 &amp; $D1237 &amp; ":" &amp; M$1)), 1), "")</f>
        <v/>
      </c>
      <c r="N1237" s="36">
        <f>RTD("ice.rtd",,$C1237 &amp; $D1237 &amp; ":" &amp; N$1)</f>
        <v>0</v>
      </c>
      <c r="O1237" s="36">
        <f>RTD("ice.rtd",,$C1237 &amp; $D1237 &amp; ":" &amp; O$1)</f>
        <v>0</v>
      </c>
      <c r="P12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7" s="14" t="str">
        <f>IF(ICE[[#This Row],[LastType]] = "Scrn", ICE[[#This Row],[LstDate]], IF(ICE[[#This Row],[LastType]] = "Blk", ICE[[#This Row],[LstBlkTime]], ""))</f>
        <v/>
      </c>
      <c r="R1237" s="41" t="str">
        <f>IF(ICE[[#This Row],[LastType]] = "Scrn", ICE[[#This Row],[LstPrc]], IF(ICE[[#This Row],[LastType]] = "Blk", ICE[[#This Row],[LstBlkPrc]], ""))</f>
        <v/>
      </c>
      <c r="S1237" s="36">
        <f>ICE[[#This Row],[Vol]]+ICE[[#This Row],[BlkVol]]</f>
        <v>0</v>
      </c>
      <c r="T1237" s="36">
        <f>RTD("ice.rtd",,$C1237 &amp; $D1237 &amp; ":" &amp; T$1)</f>
        <v>8</v>
      </c>
      <c r="U1237" s="18">
        <f>RTD("ice.rtd",,$C1237 &amp; $D1237 &amp; ":" &amp; U$1)</f>
        <v>-132.42699999999999</v>
      </c>
      <c r="V12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7" s="18" t="str">
        <f>IFERROR(IF(LEFT(ICE[[#This Row],[Tenor]], 1) = "B", RTD("esrtd",,$B1237 &amp; " " &amp; ICE[[#This Row],[Tenor]] &amp; "-IEU", W$1), RTD("esrtd",,$B1237 &amp; " " &amp; VLOOKUP(MONTH(ICE[[#This Row],[Strip]]), MthRef[], 2, 0) &amp; RIGHT(YEAR(ICE[[#This Row],[Strip]]), 2) &amp; "-IEU", W$1)), "")</f>
        <v/>
      </c>
      <c r="X1237" s="36"/>
    </row>
    <row r="1238" spans="1:24" x14ac:dyDescent="0.25">
      <c r="A1238" s="37" t="s">
        <v>374</v>
      </c>
      <c r="B1238" s="88" t="str">
        <f>RTD("ice.rtd",,$C1238 &amp; $D1238 &amp; ":" &amp; B$1)</f>
        <v>APN</v>
      </c>
      <c r="C1238" s="3">
        <v>32613992</v>
      </c>
      <c r="D1238" t="s">
        <v>802</v>
      </c>
      <c r="E1238" s="3" t="str">
        <f>RTD("ice.rtd",,$C1238 &amp; $D1238 &amp; ":" &amp; E$1)</f>
        <v>Oct27</v>
      </c>
      <c r="F1238" s="3" t="str">
        <f>ICE[[#This Row],[Prod]]&amp;ICE[[#This Row],[Strip]]</f>
        <v>propnapOct27</v>
      </c>
      <c r="G1238" s="18" t="str">
        <f>RTD("ice.rtd",,$C1238 &amp; $D1238 &amp; ":" &amp; G$1)</f>
        <v/>
      </c>
      <c r="H1238" s="18" t="str">
        <f>RTD("ice.rtd",,$C1238 &amp; $D1238 &amp; ":" &amp; H$1)</f>
        <v/>
      </c>
      <c r="I1238" s="18" t="str">
        <f>RTD("ice.rtd",,$C1238 &amp; $D1238 &amp; ":" &amp; I$1)</f>
        <v/>
      </c>
      <c r="J1238" s="14" t="str">
        <f>IFERROR(MOD(RTD("ice.rtd",,$C1238 &amp; $D1238 &amp; ":" &amp; J$1), 1), "")</f>
        <v/>
      </c>
      <c r="K1238" s="18" t="str">
        <f>RTD("ice.rtd",,$C1238 &amp; $D1238 &amp; ":" &amp; K$1)</f>
        <v/>
      </c>
      <c r="L1238" s="36" t="str">
        <f>RTD("ice.rtd",,$C1238 &amp; $D1238 &amp; ":" &amp; L$1)</f>
        <v/>
      </c>
      <c r="M1238" s="14" t="str">
        <f>IFERROR(MOD(TIMEVALUE(RTD("ice.rtd",,$C1238 &amp; $D1238 &amp; ":" &amp; M$1)), 1), "")</f>
        <v/>
      </c>
      <c r="N1238" s="36">
        <f>RTD("ice.rtd",,$C1238 &amp; $D1238 &amp; ":" &amp; N$1)</f>
        <v>0</v>
      </c>
      <c r="O1238" s="36">
        <f>RTD("ice.rtd",,$C1238 &amp; $D1238 &amp; ":" &amp; O$1)</f>
        <v>0</v>
      </c>
      <c r="P12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8" s="14" t="str">
        <f>IF(ICE[[#This Row],[LastType]] = "Scrn", ICE[[#This Row],[LstDate]], IF(ICE[[#This Row],[LastType]] = "Blk", ICE[[#This Row],[LstBlkTime]], ""))</f>
        <v/>
      </c>
      <c r="R1238" s="41" t="str">
        <f>IF(ICE[[#This Row],[LastType]] = "Scrn", ICE[[#This Row],[LstPrc]], IF(ICE[[#This Row],[LastType]] = "Blk", ICE[[#This Row],[LstBlkPrc]], ""))</f>
        <v/>
      </c>
      <c r="S1238" s="36">
        <f>ICE[[#This Row],[Vol]]+ICE[[#This Row],[BlkVol]]</f>
        <v>0</v>
      </c>
      <c r="T1238" s="36">
        <f>RTD("ice.rtd",,$C1238 &amp; $D1238 &amp; ":" &amp; T$1)</f>
        <v>11</v>
      </c>
      <c r="U1238" s="18">
        <f>RTD("ice.rtd",,$C1238 &amp; $D1238 &amp; ":" &amp; U$1)</f>
        <v>-122.42100000000001</v>
      </c>
      <c r="V12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8" s="18" t="str">
        <f>IFERROR(IF(LEFT(ICE[[#This Row],[Tenor]], 1) = "B", RTD("esrtd",,$B1238 &amp; " " &amp; ICE[[#This Row],[Tenor]] &amp; "-IEU", W$1), RTD("esrtd",,$B1238 &amp; " " &amp; VLOOKUP(MONTH(ICE[[#This Row],[Strip]]), MthRef[], 2, 0) &amp; RIGHT(YEAR(ICE[[#This Row],[Strip]]), 2) &amp; "-IEU", W$1)), "")</f>
        <v/>
      </c>
      <c r="X1238" s="36"/>
    </row>
    <row r="1239" spans="1:24" x14ac:dyDescent="0.25">
      <c r="A1239" s="37" t="s">
        <v>374</v>
      </c>
      <c r="B1239" s="88" t="str">
        <f>RTD("ice.rtd",,$C1239 &amp; $D1239 &amp; ":" &amp; B$1)</f>
        <v>APN</v>
      </c>
      <c r="C1239" s="3">
        <v>32613992</v>
      </c>
      <c r="D1239" t="s">
        <v>803</v>
      </c>
      <c r="E1239" s="3" t="str">
        <f>RTD("ice.rtd",,$C1239 &amp; $D1239 &amp; ":" &amp; E$1)</f>
        <v>Nov27</v>
      </c>
      <c r="F1239" s="3" t="str">
        <f>ICE[[#This Row],[Prod]]&amp;ICE[[#This Row],[Strip]]</f>
        <v>propnapNov27</v>
      </c>
      <c r="G1239" s="18" t="str">
        <f>RTD("ice.rtd",,$C1239 &amp; $D1239 &amp; ":" &amp; G$1)</f>
        <v/>
      </c>
      <c r="H1239" s="18" t="str">
        <f>RTD("ice.rtd",,$C1239 &amp; $D1239 &amp; ":" &amp; H$1)</f>
        <v/>
      </c>
      <c r="I1239" s="18" t="str">
        <f>RTD("ice.rtd",,$C1239 &amp; $D1239 &amp; ":" &amp; I$1)</f>
        <v/>
      </c>
      <c r="J1239" s="14" t="str">
        <f>IFERROR(MOD(RTD("ice.rtd",,$C1239 &amp; $D1239 &amp; ":" &amp; J$1), 1), "")</f>
        <v/>
      </c>
      <c r="K1239" s="18" t="str">
        <f>RTD("ice.rtd",,$C1239 &amp; $D1239 &amp; ":" &amp; K$1)</f>
        <v/>
      </c>
      <c r="L1239" s="36" t="str">
        <f>RTD("ice.rtd",,$C1239 &amp; $D1239 &amp; ":" &amp; L$1)</f>
        <v/>
      </c>
      <c r="M1239" s="14" t="str">
        <f>IFERROR(MOD(TIMEVALUE(RTD("ice.rtd",,$C1239 &amp; $D1239 &amp; ":" &amp; M$1)), 1), "")</f>
        <v/>
      </c>
      <c r="N1239" s="36">
        <f>RTD("ice.rtd",,$C1239 &amp; $D1239 &amp; ":" &amp; N$1)</f>
        <v>0</v>
      </c>
      <c r="O1239" s="36">
        <f>RTD("ice.rtd",,$C1239 &amp; $D1239 &amp; ":" &amp; O$1)</f>
        <v>0</v>
      </c>
      <c r="P12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39" s="14" t="str">
        <f>IF(ICE[[#This Row],[LastType]] = "Scrn", ICE[[#This Row],[LstDate]], IF(ICE[[#This Row],[LastType]] = "Blk", ICE[[#This Row],[LstBlkTime]], ""))</f>
        <v/>
      </c>
      <c r="R1239" s="41" t="str">
        <f>IF(ICE[[#This Row],[LastType]] = "Scrn", ICE[[#This Row],[LstPrc]], IF(ICE[[#This Row],[LastType]] = "Blk", ICE[[#This Row],[LstBlkPrc]], ""))</f>
        <v/>
      </c>
      <c r="S1239" s="36">
        <f>ICE[[#This Row],[Vol]]+ICE[[#This Row],[BlkVol]]</f>
        <v>0</v>
      </c>
      <c r="T1239" s="36">
        <f>RTD("ice.rtd",,$C1239 &amp; $D1239 &amp; ":" &amp; T$1)</f>
        <v>11</v>
      </c>
      <c r="U1239" s="18">
        <f>RTD("ice.rtd",,$C1239 &amp; $D1239 &amp; ":" &amp; U$1)</f>
        <v>-112.92700000000001</v>
      </c>
      <c r="V12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39" s="18" t="str">
        <f>IFERROR(IF(LEFT(ICE[[#This Row],[Tenor]], 1) = "B", RTD("esrtd",,$B1239 &amp; " " &amp; ICE[[#This Row],[Tenor]] &amp; "-IEU", W$1), RTD("esrtd",,$B1239 &amp; " " &amp; VLOOKUP(MONTH(ICE[[#This Row],[Strip]]), MthRef[], 2, 0) &amp; RIGHT(YEAR(ICE[[#This Row],[Strip]]), 2) &amp; "-IEU", W$1)), "")</f>
        <v/>
      </c>
      <c r="X1239" s="36"/>
    </row>
    <row r="1240" spans="1:24" x14ac:dyDescent="0.25">
      <c r="A1240" s="37" t="s">
        <v>374</v>
      </c>
      <c r="B1240" s="88" t="str">
        <f>RTD("ice.rtd",,$C1240 &amp; $D1240 &amp; ":" &amp; B$1)</f>
        <v>APN</v>
      </c>
      <c r="C1240" s="3">
        <v>32613992</v>
      </c>
      <c r="D1240" t="s">
        <v>804</v>
      </c>
      <c r="E1240" s="3" t="str">
        <f>RTD("ice.rtd",,$C1240 &amp; $D1240 &amp; ":" &amp; E$1)</f>
        <v>Dec27</v>
      </c>
      <c r="F1240" s="3" t="str">
        <f>ICE[[#This Row],[Prod]]&amp;ICE[[#This Row],[Strip]]</f>
        <v>propnapDec27</v>
      </c>
      <c r="G1240" s="18" t="str">
        <f>RTD("ice.rtd",,$C1240 &amp; $D1240 &amp; ":" &amp; G$1)</f>
        <v/>
      </c>
      <c r="H1240" s="18" t="str">
        <f>RTD("ice.rtd",,$C1240 &amp; $D1240 &amp; ":" &amp; H$1)</f>
        <v/>
      </c>
      <c r="I1240" s="18" t="str">
        <f>RTD("ice.rtd",,$C1240 &amp; $D1240 &amp; ":" &amp; I$1)</f>
        <v/>
      </c>
      <c r="J1240" s="14" t="str">
        <f>IFERROR(MOD(RTD("ice.rtd",,$C1240 &amp; $D1240 &amp; ":" &amp; J$1), 1), "")</f>
        <v/>
      </c>
      <c r="K1240" s="18" t="str">
        <f>RTD("ice.rtd",,$C1240 &amp; $D1240 &amp; ":" &amp; K$1)</f>
        <v/>
      </c>
      <c r="L1240" s="36" t="str">
        <f>RTD("ice.rtd",,$C1240 &amp; $D1240 &amp; ":" &amp; L$1)</f>
        <v/>
      </c>
      <c r="M1240" s="14" t="str">
        <f>IFERROR(MOD(TIMEVALUE(RTD("ice.rtd",,$C1240 &amp; $D1240 &amp; ":" &amp; M$1)), 1), "")</f>
        <v/>
      </c>
      <c r="N1240" s="36">
        <f>RTD("ice.rtd",,$C1240 &amp; $D1240 &amp; ":" &amp; N$1)</f>
        <v>0</v>
      </c>
      <c r="O1240" s="36">
        <f>RTD("ice.rtd",,$C1240 &amp; $D1240 &amp; ":" &amp; O$1)</f>
        <v>0</v>
      </c>
      <c r="P12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0" s="14" t="str">
        <f>IF(ICE[[#This Row],[LastType]] = "Scrn", ICE[[#This Row],[LstDate]], IF(ICE[[#This Row],[LastType]] = "Blk", ICE[[#This Row],[LstBlkTime]], ""))</f>
        <v/>
      </c>
      <c r="R1240" s="41" t="str">
        <f>IF(ICE[[#This Row],[LastType]] = "Scrn", ICE[[#This Row],[LstPrc]], IF(ICE[[#This Row],[LastType]] = "Blk", ICE[[#This Row],[LstBlkPrc]], ""))</f>
        <v/>
      </c>
      <c r="S1240" s="36">
        <f>ICE[[#This Row],[Vol]]+ICE[[#This Row],[BlkVol]]</f>
        <v>0</v>
      </c>
      <c r="T1240" s="36">
        <f>RTD("ice.rtd",,$C1240 &amp; $D1240 &amp; ":" &amp; T$1)</f>
        <v>20</v>
      </c>
      <c r="U1240" s="18">
        <f>RTD("ice.rtd",,$C1240 &amp; $D1240 &amp; ":" &amp; U$1)</f>
        <v>-105.274</v>
      </c>
      <c r="V12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0" s="18" t="str">
        <f>IFERROR(IF(LEFT(ICE[[#This Row],[Tenor]], 1) = "B", RTD("esrtd",,$B1240 &amp; " " &amp; ICE[[#This Row],[Tenor]] &amp; "-IEU", W$1), RTD("esrtd",,$B1240 &amp; " " &amp; VLOOKUP(MONTH(ICE[[#This Row],[Strip]]), MthRef[], 2, 0) &amp; RIGHT(YEAR(ICE[[#This Row],[Strip]]), 2) &amp; "-IEU", W$1)), "")</f>
        <v/>
      </c>
      <c r="X1240" s="36"/>
    </row>
    <row r="1241" spans="1:24" x14ac:dyDescent="0.25">
      <c r="A1241" s="37" t="s">
        <v>374</v>
      </c>
      <c r="B1241" s="88" t="str">
        <f>RTD("ice.rtd",,$C1241 &amp; $D1241 &amp; ":" &amp; B$1)</f>
        <v>APN</v>
      </c>
      <c r="C1241" s="3">
        <v>32613992</v>
      </c>
      <c r="D1241" t="s">
        <v>805</v>
      </c>
      <c r="E1241" s="3" t="str">
        <f>RTD("ice.rtd",,$C1241 &amp; $D1241 &amp; ":" &amp; E$1)</f>
        <v>Jan28</v>
      </c>
      <c r="F1241" s="3" t="str">
        <f>ICE[[#This Row],[Prod]]&amp;ICE[[#This Row],[Strip]]</f>
        <v>propnapJan28</v>
      </c>
      <c r="G1241" s="18" t="str">
        <f>RTD("ice.rtd",,$C1241 &amp; $D1241 &amp; ":" &amp; G$1)</f>
        <v/>
      </c>
      <c r="H1241" s="18" t="str">
        <f>RTD("ice.rtd",,$C1241 &amp; $D1241 &amp; ":" &amp; H$1)</f>
        <v/>
      </c>
      <c r="I1241" s="18" t="str">
        <f>RTD("ice.rtd",,$C1241 &amp; $D1241 &amp; ":" &amp; I$1)</f>
        <v/>
      </c>
      <c r="J1241" s="14" t="str">
        <f>IFERROR(MOD(RTD("ice.rtd",,$C1241 &amp; $D1241 &amp; ":" &amp; J$1), 1), "")</f>
        <v/>
      </c>
      <c r="K1241" s="18" t="str">
        <f>RTD("ice.rtd",,$C1241 &amp; $D1241 &amp; ":" &amp; K$1)</f>
        <v/>
      </c>
      <c r="L1241" s="36" t="str">
        <f>RTD("ice.rtd",,$C1241 &amp; $D1241 &amp; ":" &amp; L$1)</f>
        <v/>
      </c>
      <c r="M1241" s="14" t="str">
        <f>IFERROR(MOD(TIMEVALUE(RTD("ice.rtd",,$C1241 &amp; $D1241 &amp; ":" &amp; M$1)), 1), "")</f>
        <v/>
      </c>
      <c r="N1241" s="36">
        <f>RTD("ice.rtd",,$C1241 &amp; $D1241 &amp; ":" &amp; N$1)</f>
        <v>0</v>
      </c>
      <c r="O1241" s="36">
        <f>RTD("ice.rtd",,$C1241 &amp; $D1241 &amp; ":" &amp; O$1)</f>
        <v>0</v>
      </c>
      <c r="P12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1" s="14" t="str">
        <f>IF(ICE[[#This Row],[LastType]] = "Scrn", ICE[[#This Row],[LstDate]], IF(ICE[[#This Row],[LastType]] = "Blk", ICE[[#This Row],[LstBlkTime]], ""))</f>
        <v/>
      </c>
      <c r="R1241" s="41" t="str">
        <f>IF(ICE[[#This Row],[LastType]] = "Scrn", ICE[[#This Row],[LstPrc]], IF(ICE[[#This Row],[LastType]] = "Blk", ICE[[#This Row],[LstBlkPrc]], ""))</f>
        <v/>
      </c>
      <c r="S1241" s="36">
        <f>ICE[[#This Row],[Vol]]+ICE[[#This Row],[BlkVol]]</f>
        <v>0</v>
      </c>
      <c r="T1241" s="36">
        <f>RTD("ice.rtd",,$C1241 &amp; $D1241 &amp; ":" &amp; T$1)</f>
        <v>0</v>
      </c>
      <c r="U1241" s="18">
        <f>RTD("ice.rtd",,$C1241 &amp; $D1241 &amp; ":" &amp; U$1)</f>
        <v>-105.521</v>
      </c>
      <c r="V12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1" s="18" t="str">
        <f>IFERROR(IF(LEFT(ICE[[#This Row],[Tenor]], 1) = "B", RTD("esrtd",,$B1241 &amp; " " &amp; ICE[[#This Row],[Tenor]] &amp; "-IEU", W$1), RTD("esrtd",,$B1241 &amp; " " &amp; VLOOKUP(MONTH(ICE[[#This Row],[Strip]]), MthRef[], 2, 0) &amp; RIGHT(YEAR(ICE[[#This Row],[Strip]]), 2) &amp; "-IEU", W$1)), "")</f>
        <v/>
      </c>
      <c r="X1241" s="36"/>
    </row>
    <row r="1242" spans="1:24" x14ac:dyDescent="0.25">
      <c r="A1242" s="37" t="s">
        <v>374</v>
      </c>
      <c r="B1242" s="88" t="str">
        <f>RTD("ice.rtd",,$C1242 &amp; $D1242 &amp; ":" &amp; B$1)</f>
        <v>APN</v>
      </c>
      <c r="C1242" s="3">
        <v>32613992</v>
      </c>
      <c r="D1242" t="s">
        <v>806</v>
      </c>
      <c r="E1242" s="3" t="str">
        <f>RTD("ice.rtd",,$C1242 &amp; $D1242 &amp; ":" &amp; E$1)</f>
        <v>Feb28</v>
      </c>
      <c r="F1242" s="3" t="str">
        <f>ICE[[#This Row],[Prod]]&amp;ICE[[#This Row],[Strip]]</f>
        <v>propnapFeb28</v>
      </c>
      <c r="G1242" s="18" t="str">
        <f>RTD("ice.rtd",,$C1242 &amp; $D1242 &amp; ":" &amp; G$1)</f>
        <v/>
      </c>
      <c r="H1242" s="18" t="str">
        <f>RTD("ice.rtd",,$C1242 &amp; $D1242 &amp; ":" &amp; H$1)</f>
        <v/>
      </c>
      <c r="I1242" s="18" t="str">
        <f>RTD("ice.rtd",,$C1242 &amp; $D1242 &amp; ":" &amp; I$1)</f>
        <v/>
      </c>
      <c r="J1242" s="14" t="str">
        <f>IFERROR(MOD(RTD("ice.rtd",,$C1242 &amp; $D1242 &amp; ":" &amp; J$1), 1), "")</f>
        <v/>
      </c>
      <c r="K1242" s="18" t="str">
        <f>RTD("ice.rtd",,$C1242 &amp; $D1242 &amp; ":" &amp; K$1)</f>
        <v/>
      </c>
      <c r="L1242" s="36" t="str">
        <f>RTD("ice.rtd",,$C1242 &amp; $D1242 &amp; ":" &amp; L$1)</f>
        <v/>
      </c>
      <c r="M1242" s="14" t="str">
        <f>IFERROR(MOD(TIMEVALUE(RTD("ice.rtd",,$C1242 &amp; $D1242 &amp; ":" &amp; M$1)), 1), "")</f>
        <v/>
      </c>
      <c r="N1242" s="36">
        <f>RTD("ice.rtd",,$C1242 &amp; $D1242 &amp; ":" &amp; N$1)</f>
        <v>0</v>
      </c>
      <c r="O1242" s="36">
        <f>RTD("ice.rtd",,$C1242 &amp; $D1242 &amp; ":" &amp; O$1)</f>
        <v>0</v>
      </c>
      <c r="P12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2" s="14" t="str">
        <f>IF(ICE[[#This Row],[LastType]] = "Scrn", ICE[[#This Row],[LstDate]], IF(ICE[[#This Row],[LastType]] = "Blk", ICE[[#This Row],[LstBlkTime]], ""))</f>
        <v/>
      </c>
      <c r="R1242" s="41" t="str">
        <f>IF(ICE[[#This Row],[LastType]] = "Scrn", ICE[[#This Row],[LstPrc]], IF(ICE[[#This Row],[LastType]] = "Blk", ICE[[#This Row],[LstBlkPrc]], ""))</f>
        <v/>
      </c>
      <c r="S1242" s="36">
        <f>ICE[[#This Row],[Vol]]+ICE[[#This Row],[BlkVol]]</f>
        <v>0</v>
      </c>
      <c r="T1242" s="36">
        <f>RTD("ice.rtd",,$C1242 &amp; $D1242 &amp; ":" &amp; T$1)</f>
        <v>0</v>
      </c>
      <c r="U1242" s="18">
        <f>RTD("ice.rtd",,$C1242 &amp; $D1242 &amp; ":" &amp; U$1)</f>
        <v>-106.274</v>
      </c>
      <c r="V12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2" s="18" t="str">
        <f>IFERROR(IF(LEFT(ICE[[#This Row],[Tenor]], 1) = "B", RTD("esrtd",,$B1242 &amp; " " &amp; ICE[[#This Row],[Tenor]] &amp; "-IEU", W$1), RTD("esrtd",,$B1242 &amp; " " &amp; VLOOKUP(MONTH(ICE[[#This Row],[Strip]]), MthRef[], 2, 0) &amp; RIGHT(YEAR(ICE[[#This Row],[Strip]]), 2) &amp; "-IEU", W$1)), "")</f>
        <v/>
      </c>
      <c r="X1242" s="36"/>
    </row>
    <row r="1243" spans="1:24" x14ac:dyDescent="0.25">
      <c r="A1243" s="37" t="s">
        <v>374</v>
      </c>
      <c r="B1243" s="88" t="str">
        <f>RTD("ice.rtd",,$C1243 &amp; $D1243 &amp; ":" &amp; B$1)</f>
        <v>APN</v>
      </c>
      <c r="C1243" s="3">
        <v>32613992</v>
      </c>
      <c r="D1243" t="s">
        <v>807</v>
      </c>
      <c r="E1243" s="3" t="str">
        <f>RTD("ice.rtd",,$C1243 &amp; $D1243 &amp; ":" &amp; E$1)</f>
        <v>Mar28</v>
      </c>
      <c r="F1243" s="3" t="str">
        <f>ICE[[#This Row],[Prod]]&amp;ICE[[#This Row],[Strip]]</f>
        <v>propnapMar28</v>
      </c>
      <c r="G1243" s="18" t="str">
        <f>RTD("ice.rtd",,$C1243 &amp; $D1243 &amp; ":" &amp; G$1)</f>
        <v/>
      </c>
      <c r="H1243" s="18" t="str">
        <f>RTD("ice.rtd",,$C1243 &amp; $D1243 &amp; ":" &amp; H$1)</f>
        <v/>
      </c>
      <c r="I1243" s="18" t="str">
        <f>RTD("ice.rtd",,$C1243 &amp; $D1243 &amp; ":" &amp; I$1)</f>
        <v/>
      </c>
      <c r="J1243" s="14" t="str">
        <f>IFERROR(MOD(RTD("ice.rtd",,$C1243 &amp; $D1243 &amp; ":" &amp; J$1), 1), "")</f>
        <v/>
      </c>
      <c r="K1243" s="18" t="str">
        <f>RTD("ice.rtd",,$C1243 &amp; $D1243 &amp; ":" &amp; K$1)</f>
        <v/>
      </c>
      <c r="L1243" s="36" t="str">
        <f>RTD("ice.rtd",,$C1243 &amp; $D1243 &amp; ":" &amp; L$1)</f>
        <v/>
      </c>
      <c r="M1243" s="14" t="str">
        <f>IFERROR(MOD(TIMEVALUE(RTD("ice.rtd",,$C1243 &amp; $D1243 &amp; ":" &amp; M$1)), 1), "")</f>
        <v/>
      </c>
      <c r="N1243" s="36">
        <f>RTD("ice.rtd",,$C1243 &amp; $D1243 &amp; ":" &amp; N$1)</f>
        <v>0</v>
      </c>
      <c r="O1243" s="36">
        <f>RTD("ice.rtd",,$C1243 &amp; $D1243 &amp; ":" &amp; O$1)</f>
        <v>0</v>
      </c>
      <c r="P12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3" s="14" t="str">
        <f>IF(ICE[[#This Row],[LastType]] = "Scrn", ICE[[#This Row],[LstDate]], IF(ICE[[#This Row],[LastType]] = "Blk", ICE[[#This Row],[LstBlkTime]], ""))</f>
        <v/>
      </c>
      <c r="R1243" s="41" t="str">
        <f>IF(ICE[[#This Row],[LastType]] = "Scrn", ICE[[#This Row],[LstPrc]], IF(ICE[[#This Row],[LastType]] = "Blk", ICE[[#This Row],[LstBlkPrc]], ""))</f>
        <v/>
      </c>
      <c r="S1243" s="36">
        <f>ICE[[#This Row],[Vol]]+ICE[[#This Row],[BlkVol]]</f>
        <v>0</v>
      </c>
      <c r="T1243" s="36">
        <f>RTD("ice.rtd",,$C1243 &amp; $D1243 &amp; ":" &amp; T$1)</f>
        <v>0</v>
      </c>
      <c r="U1243" s="18">
        <f>RTD("ice.rtd",,$C1243 &amp; $D1243 &amp; ":" &amp; U$1)</f>
        <v>-112.77200000000001</v>
      </c>
      <c r="V12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3" s="18" t="str">
        <f>IFERROR(IF(LEFT(ICE[[#This Row],[Tenor]], 1) = "B", RTD("esrtd",,$B1243 &amp; " " &amp; ICE[[#This Row],[Tenor]] &amp; "-IEU", W$1), RTD("esrtd",,$B1243 &amp; " " &amp; VLOOKUP(MONTH(ICE[[#This Row],[Strip]]), MthRef[], 2, 0) &amp; RIGHT(YEAR(ICE[[#This Row],[Strip]]), 2) &amp; "-IEU", W$1)), "")</f>
        <v/>
      </c>
      <c r="X1243" s="36"/>
    </row>
    <row r="1244" spans="1:24" x14ac:dyDescent="0.25">
      <c r="A1244" s="37" t="s">
        <v>374</v>
      </c>
      <c r="B1244" s="88" t="str">
        <f>RTD("ice.rtd",,$C1244 &amp; $D1244 &amp; ":" &amp; B$1)</f>
        <v>APN</v>
      </c>
      <c r="C1244" s="3">
        <v>32613992</v>
      </c>
      <c r="D1244" t="s">
        <v>808</v>
      </c>
      <c r="E1244" s="3" t="str">
        <f>RTD("ice.rtd",,$C1244 &amp; $D1244 &amp; ":" &amp; E$1)</f>
        <v>Apr28</v>
      </c>
      <c r="F1244" s="3" t="str">
        <f>ICE[[#This Row],[Prod]]&amp;ICE[[#This Row],[Strip]]</f>
        <v>propnapApr28</v>
      </c>
      <c r="G1244" s="18" t="str">
        <f>RTD("ice.rtd",,$C1244 &amp; $D1244 &amp; ":" &amp; G$1)</f>
        <v/>
      </c>
      <c r="H1244" s="18" t="str">
        <f>RTD("ice.rtd",,$C1244 &amp; $D1244 &amp; ":" &amp; H$1)</f>
        <v/>
      </c>
      <c r="I1244" s="18" t="str">
        <f>RTD("ice.rtd",,$C1244 &amp; $D1244 &amp; ":" &amp; I$1)</f>
        <v/>
      </c>
      <c r="J1244" s="14" t="str">
        <f>IFERROR(MOD(RTD("ice.rtd",,$C1244 &amp; $D1244 &amp; ":" &amp; J$1), 1), "")</f>
        <v/>
      </c>
      <c r="K1244" s="18" t="str">
        <f>RTD("ice.rtd",,$C1244 &amp; $D1244 &amp; ":" &amp; K$1)</f>
        <v/>
      </c>
      <c r="L1244" s="36" t="str">
        <f>RTD("ice.rtd",,$C1244 &amp; $D1244 &amp; ":" &amp; L$1)</f>
        <v/>
      </c>
      <c r="M1244" s="14" t="str">
        <f>IFERROR(MOD(TIMEVALUE(RTD("ice.rtd",,$C1244 &amp; $D1244 &amp; ":" &amp; M$1)), 1), "")</f>
        <v/>
      </c>
      <c r="N1244" s="36">
        <f>RTD("ice.rtd",,$C1244 &amp; $D1244 &amp; ":" &amp; N$1)</f>
        <v>0</v>
      </c>
      <c r="O1244" s="36">
        <f>RTD("ice.rtd",,$C1244 &amp; $D1244 &amp; ":" &amp; O$1)</f>
        <v>0</v>
      </c>
      <c r="P12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4" s="14" t="str">
        <f>IF(ICE[[#This Row],[LastType]] = "Scrn", ICE[[#This Row],[LstDate]], IF(ICE[[#This Row],[LastType]] = "Blk", ICE[[#This Row],[LstBlkTime]], ""))</f>
        <v/>
      </c>
      <c r="R1244" s="41" t="str">
        <f>IF(ICE[[#This Row],[LastType]] = "Scrn", ICE[[#This Row],[LstPrc]], IF(ICE[[#This Row],[LastType]] = "Blk", ICE[[#This Row],[LstBlkPrc]], ""))</f>
        <v/>
      </c>
      <c r="S1244" s="36">
        <f>ICE[[#This Row],[Vol]]+ICE[[#This Row],[BlkVol]]</f>
        <v>0</v>
      </c>
      <c r="T1244" s="36">
        <f>RTD("ice.rtd",,$C1244 &amp; $D1244 &amp; ":" &amp; T$1)</f>
        <v>0</v>
      </c>
      <c r="U1244" s="18">
        <f>RTD("ice.rtd",,$C1244 &amp; $D1244 &amp; ":" &amp; U$1)</f>
        <v>-118.024</v>
      </c>
      <c r="V12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4" s="18" t="str">
        <f>IFERROR(IF(LEFT(ICE[[#This Row],[Tenor]], 1) = "B", RTD("esrtd",,$B1244 &amp; " " &amp; ICE[[#This Row],[Tenor]] &amp; "-IEU", W$1), RTD("esrtd",,$B1244 &amp; " " &amp; VLOOKUP(MONTH(ICE[[#This Row],[Strip]]), MthRef[], 2, 0) &amp; RIGHT(YEAR(ICE[[#This Row],[Strip]]), 2) &amp; "-IEU", W$1)), "")</f>
        <v/>
      </c>
      <c r="X1244" s="36"/>
    </row>
    <row r="1245" spans="1:24" x14ac:dyDescent="0.25">
      <c r="A1245" s="37" t="s">
        <v>374</v>
      </c>
      <c r="B1245" s="88" t="str">
        <f>RTD("ice.rtd",,$C1245 &amp; $D1245 &amp; ":" &amp; B$1)</f>
        <v>APN</v>
      </c>
      <c r="C1245" s="3">
        <v>32613992</v>
      </c>
      <c r="D1245" t="s">
        <v>809</v>
      </c>
      <c r="E1245" s="3" t="str">
        <f>RTD("ice.rtd",,$C1245 &amp; $D1245 &amp; ":" &amp; E$1)</f>
        <v>May28</v>
      </c>
      <c r="F1245" s="3" t="str">
        <f>ICE[[#This Row],[Prod]]&amp;ICE[[#This Row],[Strip]]</f>
        <v>propnapMay28</v>
      </c>
      <c r="G1245" s="18" t="str">
        <f>RTD("ice.rtd",,$C1245 &amp; $D1245 &amp; ":" &amp; G$1)</f>
        <v/>
      </c>
      <c r="H1245" s="18" t="str">
        <f>RTD("ice.rtd",,$C1245 &amp; $D1245 &amp; ":" &amp; H$1)</f>
        <v/>
      </c>
      <c r="I1245" s="18" t="str">
        <f>RTD("ice.rtd",,$C1245 &amp; $D1245 &amp; ":" &amp; I$1)</f>
        <v/>
      </c>
      <c r="J1245" s="14" t="str">
        <f>IFERROR(MOD(RTD("ice.rtd",,$C1245 &amp; $D1245 &amp; ":" &amp; J$1), 1), "")</f>
        <v/>
      </c>
      <c r="K1245" s="18" t="str">
        <f>RTD("ice.rtd",,$C1245 &amp; $D1245 &amp; ":" &amp; K$1)</f>
        <v/>
      </c>
      <c r="L1245" s="36" t="str">
        <f>RTD("ice.rtd",,$C1245 &amp; $D1245 &amp; ":" &amp; L$1)</f>
        <v/>
      </c>
      <c r="M1245" s="14" t="str">
        <f>IFERROR(MOD(TIMEVALUE(RTD("ice.rtd",,$C1245 &amp; $D1245 &amp; ":" &amp; M$1)), 1), "")</f>
        <v/>
      </c>
      <c r="N1245" s="36">
        <f>RTD("ice.rtd",,$C1245 &amp; $D1245 &amp; ":" &amp; N$1)</f>
        <v>0</v>
      </c>
      <c r="O1245" s="36">
        <f>RTD("ice.rtd",,$C1245 &amp; $D1245 &amp; ":" &amp; O$1)</f>
        <v>0</v>
      </c>
      <c r="P12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5" s="14" t="str">
        <f>IF(ICE[[#This Row],[LastType]] = "Scrn", ICE[[#This Row],[LstDate]], IF(ICE[[#This Row],[LastType]] = "Blk", ICE[[#This Row],[LstBlkTime]], ""))</f>
        <v/>
      </c>
      <c r="R1245" s="41" t="str">
        <f>IF(ICE[[#This Row],[LastType]] = "Scrn", ICE[[#This Row],[LstPrc]], IF(ICE[[#This Row],[LastType]] = "Blk", ICE[[#This Row],[LstBlkPrc]], ""))</f>
        <v/>
      </c>
      <c r="S1245" s="36">
        <f>ICE[[#This Row],[Vol]]+ICE[[#This Row],[BlkVol]]</f>
        <v>0</v>
      </c>
      <c r="T1245" s="36">
        <f>RTD("ice.rtd",,$C1245 &amp; $D1245 &amp; ":" &amp; T$1)</f>
        <v>0</v>
      </c>
      <c r="U1245" s="18">
        <f>RTD("ice.rtd",,$C1245 &amp; $D1245 &amp; ":" &amp; U$1)</f>
        <v>-120.02200000000001</v>
      </c>
      <c r="V12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5" s="18" t="str">
        <f>IFERROR(IF(LEFT(ICE[[#This Row],[Tenor]], 1) = "B", RTD("esrtd",,$B1245 &amp; " " &amp; ICE[[#This Row],[Tenor]] &amp; "-IEU", W$1), RTD("esrtd",,$B1245 &amp; " " &amp; VLOOKUP(MONTH(ICE[[#This Row],[Strip]]), MthRef[], 2, 0) &amp; RIGHT(YEAR(ICE[[#This Row],[Strip]]), 2) &amp; "-IEU", W$1)), "")</f>
        <v/>
      </c>
      <c r="X1245" s="36"/>
    </row>
    <row r="1246" spans="1:24" x14ac:dyDescent="0.25">
      <c r="A1246" s="37" t="s">
        <v>374</v>
      </c>
      <c r="B1246" s="88" t="str">
        <f>RTD("ice.rtd",,$C1246 &amp; $D1246 &amp; ":" &amp; B$1)</f>
        <v>APN</v>
      </c>
      <c r="C1246" s="3">
        <v>32613992</v>
      </c>
      <c r="D1246" t="s">
        <v>810</v>
      </c>
      <c r="E1246" s="3" t="str">
        <f>RTD("ice.rtd",,$C1246 &amp; $D1246 &amp; ":" &amp; E$1)</f>
        <v>Jun28</v>
      </c>
      <c r="F1246" s="3" t="str">
        <f>ICE[[#This Row],[Prod]]&amp;ICE[[#This Row],[Strip]]</f>
        <v>propnapJun28</v>
      </c>
      <c r="G1246" s="18" t="str">
        <f>RTD("ice.rtd",,$C1246 &amp; $D1246 &amp; ":" &amp; G$1)</f>
        <v/>
      </c>
      <c r="H1246" s="18" t="str">
        <f>RTD("ice.rtd",,$C1246 &amp; $D1246 &amp; ":" &amp; H$1)</f>
        <v/>
      </c>
      <c r="I1246" s="18" t="str">
        <f>RTD("ice.rtd",,$C1246 &amp; $D1246 &amp; ":" &amp; I$1)</f>
        <v/>
      </c>
      <c r="J1246" s="14" t="str">
        <f>IFERROR(MOD(RTD("ice.rtd",,$C1246 &amp; $D1246 &amp; ":" &amp; J$1), 1), "")</f>
        <v/>
      </c>
      <c r="K1246" s="18" t="str">
        <f>RTD("ice.rtd",,$C1246 &amp; $D1246 &amp; ":" &amp; K$1)</f>
        <v/>
      </c>
      <c r="L1246" s="36" t="str">
        <f>RTD("ice.rtd",,$C1246 &amp; $D1246 &amp; ":" &amp; L$1)</f>
        <v/>
      </c>
      <c r="M1246" s="14" t="str">
        <f>IFERROR(MOD(TIMEVALUE(RTD("ice.rtd",,$C1246 &amp; $D1246 &amp; ":" &amp; M$1)), 1), "")</f>
        <v/>
      </c>
      <c r="N1246" s="36">
        <f>RTD("ice.rtd",,$C1246 &amp; $D1246 &amp; ":" &amp; N$1)</f>
        <v>0</v>
      </c>
      <c r="O1246" s="36">
        <f>RTD("ice.rtd",,$C1246 &amp; $D1246 &amp; ":" &amp; O$1)</f>
        <v>0</v>
      </c>
      <c r="P12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6" s="14" t="str">
        <f>IF(ICE[[#This Row],[LastType]] = "Scrn", ICE[[#This Row],[LstDate]], IF(ICE[[#This Row],[LastType]] = "Blk", ICE[[#This Row],[LstBlkTime]], ""))</f>
        <v/>
      </c>
      <c r="R1246" s="41" t="str">
        <f>IF(ICE[[#This Row],[LastType]] = "Scrn", ICE[[#This Row],[LstPrc]], IF(ICE[[#This Row],[LastType]] = "Blk", ICE[[#This Row],[LstBlkPrc]], ""))</f>
        <v/>
      </c>
      <c r="S1246" s="36">
        <f>ICE[[#This Row],[Vol]]+ICE[[#This Row],[BlkVol]]</f>
        <v>0</v>
      </c>
      <c r="T1246" s="36">
        <f>RTD("ice.rtd",,$C1246 &amp; $D1246 &amp; ":" &amp; T$1)</f>
        <v>0</v>
      </c>
      <c r="U1246" s="18">
        <f>RTD("ice.rtd",,$C1246 &amp; $D1246 &amp; ":" &amp; U$1)</f>
        <v>-119.524</v>
      </c>
      <c r="V12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6" s="18" t="str">
        <f>IFERROR(IF(LEFT(ICE[[#This Row],[Tenor]], 1) = "B", RTD("esrtd",,$B1246 &amp; " " &amp; ICE[[#This Row],[Tenor]] &amp; "-IEU", W$1), RTD("esrtd",,$B1246 &amp; " " &amp; VLOOKUP(MONTH(ICE[[#This Row],[Strip]]), MthRef[], 2, 0) &amp; RIGHT(YEAR(ICE[[#This Row],[Strip]]), 2) &amp; "-IEU", W$1)), "")</f>
        <v/>
      </c>
      <c r="X1246" s="36"/>
    </row>
    <row r="1247" spans="1:24" x14ac:dyDescent="0.25">
      <c r="A1247" s="37" t="s">
        <v>374</v>
      </c>
      <c r="B1247" s="88" t="str">
        <f>RTD("ice.rtd",,$C1247 &amp; $D1247 &amp; ":" &amp; B$1)</f>
        <v>APN</v>
      </c>
      <c r="C1247" s="3">
        <v>32613992</v>
      </c>
      <c r="D1247" t="s">
        <v>811</v>
      </c>
      <c r="E1247" s="3" t="str">
        <f>RTD("ice.rtd",,$C1247 &amp; $D1247 &amp; ":" &amp; E$1)</f>
        <v>Jul28</v>
      </c>
      <c r="F1247" s="3" t="str">
        <f>ICE[[#This Row],[Prod]]&amp;ICE[[#This Row],[Strip]]</f>
        <v>propnapJul28</v>
      </c>
      <c r="G1247" s="18" t="str">
        <f>RTD("ice.rtd",,$C1247 &amp; $D1247 &amp; ":" &amp; G$1)</f>
        <v/>
      </c>
      <c r="H1247" s="18" t="str">
        <f>RTD("ice.rtd",,$C1247 &amp; $D1247 &amp; ":" &amp; H$1)</f>
        <v/>
      </c>
      <c r="I1247" s="18" t="str">
        <f>RTD("ice.rtd",,$C1247 &amp; $D1247 &amp; ":" &amp; I$1)</f>
        <v/>
      </c>
      <c r="J1247" s="14" t="str">
        <f>IFERROR(MOD(RTD("ice.rtd",,$C1247 &amp; $D1247 &amp; ":" &amp; J$1), 1), "")</f>
        <v/>
      </c>
      <c r="K1247" s="18" t="str">
        <f>RTD("ice.rtd",,$C1247 &amp; $D1247 &amp; ":" &amp; K$1)</f>
        <v/>
      </c>
      <c r="L1247" s="36" t="str">
        <f>RTD("ice.rtd",,$C1247 &amp; $D1247 &amp; ":" &amp; L$1)</f>
        <v/>
      </c>
      <c r="M1247" s="14" t="str">
        <f>IFERROR(MOD(TIMEVALUE(RTD("ice.rtd",,$C1247 &amp; $D1247 &amp; ":" &amp; M$1)), 1), "")</f>
        <v/>
      </c>
      <c r="N1247" s="36">
        <f>RTD("ice.rtd",,$C1247 &amp; $D1247 &amp; ":" &amp; N$1)</f>
        <v>0</v>
      </c>
      <c r="O1247" s="36">
        <f>RTD("ice.rtd",,$C1247 &amp; $D1247 &amp; ":" &amp; O$1)</f>
        <v>0</v>
      </c>
      <c r="P12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7" s="14" t="str">
        <f>IF(ICE[[#This Row],[LastType]] = "Scrn", ICE[[#This Row],[LstDate]], IF(ICE[[#This Row],[LastType]] = "Blk", ICE[[#This Row],[LstBlkTime]], ""))</f>
        <v/>
      </c>
      <c r="R1247" s="41" t="str">
        <f>IF(ICE[[#This Row],[LastType]] = "Scrn", ICE[[#This Row],[LstPrc]], IF(ICE[[#This Row],[LastType]] = "Blk", ICE[[#This Row],[LstBlkPrc]], ""))</f>
        <v/>
      </c>
      <c r="S1247" s="36">
        <f>ICE[[#This Row],[Vol]]+ICE[[#This Row],[BlkVol]]</f>
        <v>0</v>
      </c>
      <c r="T1247" s="36">
        <f>RTD("ice.rtd",,$C1247 &amp; $D1247 &amp; ":" &amp; T$1)</f>
        <v>0</v>
      </c>
      <c r="U1247" s="18">
        <f>RTD("ice.rtd",,$C1247 &amp; $D1247 &amp; ":" &amp; U$1)</f>
        <v>-115.27200000000001</v>
      </c>
      <c r="V12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7" s="18" t="str">
        <f>IFERROR(IF(LEFT(ICE[[#This Row],[Tenor]], 1) = "B", RTD("esrtd",,$B1247 &amp; " " &amp; ICE[[#This Row],[Tenor]] &amp; "-IEU", W$1), RTD("esrtd",,$B1247 &amp; " " &amp; VLOOKUP(MONTH(ICE[[#This Row],[Strip]]), MthRef[], 2, 0) &amp; RIGHT(YEAR(ICE[[#This Row],[Strip]]), 2) &amp; "-IEU", W$1)), "")</f>
        <v/>
      </c>
      <c r="X1247" s="36"/>
    </row>
    <row r="1248" spans="1:24" x14ac:dyDescent="0.25">
      <c r="A1248" s="37" t="s">
        <v>374</v>
      </c>
      <c r="B1248" s="88" t="str">
        <f>RTD("ice.rtd",,$C1248 &amp; $D1248 &amp; ":" &amp; B$1)</f>
        <v>APN</v>
      </c>
      <c r="C1248" s="3">
        <v>32613992</v>
      </c>
      <c r="D1248" t="s">
        <v>812</v>
      </c>
      <c r="E1248" s="3" t="str">
        <f>RTD("ice.rtd",,$C1248 &amp; $D1248 &amp; ":" &amp; E$1)</f>
        <v>Aug28</v>
      </c>
      <c r="F1248" s="3" t="str">
        <f>ICE[[#This Row],[Prod]]&amp;ICE[[#This Row],[Strip]]</f>
        <v>propnapAug28</v>
      </c>
      <c r="G1248" s="18" t="str">
        <f>RTD("ice.rtd",,$C1248 &amp; $D1248 &amp; ":" &amp; G$1)</f>
        <v/>
      </c>
      <c r="H1248" s="18" t="str">
        <f>RTD("ice.rtd",,$C1248 &amp; $D1248 &amp; ":" &amp; H$1)</f>
        <v/>
      </c>
      <c r="I1248" s="18" t="str">
        <f>RTD("ice.rtd",,$C1248 &amp; $D1248 &amp; ":" &amp; I$1)</f>
        <v/>
      </c>
      <c r="J1248" s="14" t="str">
        <f>IFERROR(MOD(RTD("ice.rtd",,$C1248 &amp; $D1248 &amp; ":" &amp; J$1), 1), "")</f>
        <v/>
      </c>
      <c r="K1248" s="18" t="str">
        <f>RTD("ice.rtd",,$C1248 &amp; $D1248 &amp; ":" &amp; K$1)</f>
        <v/>
      </c>
      <c r="L1248" s="36" t="str">
        <f>RTD("ice.rtd",,$C1248 &amp; $D1248 &amp; ":" &amp; L$1)</f>
        <v/>
      </c>
      <c r="M1248" s="14" t="str">
        <f>IFERROR(MOD(TIMEVALUE(RTD("ice.rtd",,$C1248 &amp; $D1248 &amp; ":" &amp; M$1)), 1), "")</f>
        <v/>
      </c>
      <c r="N1248" s="36">
        <f>RTD("ice.rtd",,$C1248 &amp; $D1248 &amp; ":" &amp; N$1)</f>
        <v>0</v>
      </c>
      <c r="O1248" s="36">
        <f>RTD("ice.rtd",,$C1248 &amp; $D1248 &amp; ":" &amp; O$1)</f>
        <v>0</v>
      </c>
      <c r="P12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8" s="14" t="str">
        <f>IF(ICE[[#This Row],[LastType]] = "Scrn", ICE[[#This Row],[LstDate]], IF(ICE[[#This Row],[LastType]] = "Blk", ICE[[#This Row],[LstBlkTime]], ""))</f>
        <v/>
      </c>
      <c r="R1248" s="41" t="str">
        <f>IF(ICE[[#This Row],[LastType]] = "Scrn", ICE[[#This Row],[LstPrc]], IF(ICE[[#This Row],[LastType]] = "Blk", ICE[[#This Row],[LstBlkPrc]], ""))</f>
        <v/>
      </c>
      <c r="S1248" s="36">
        <f>ICE[[#This Row],[Vol]]+ICE[[#This Row],[BlkVol]]</f>
        <v>0</v>
      </c>
      <c r="T1248" s="36">
        <f>RTD("ice.rtd",,$C1248 &amp; $D1248 &amp; ":" &amp; T$1)</f>
        <v>0</v>
      </c>
      <c r="U1248" s="18">
        <f>RTD("ice.rtd",,$C1248 &amp; $D1248 &amp; ":" &amp; U$1)</f>
        <v>-109.777</v>
      </c>
      <c r="V12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8" s="18" t="str">
        <f>IFERROR(IF(LEFT(ICE[[#This Row],[Tenor]], 1) = "B", RTD("esrtd",,$B1248 &amp; " " &amp; ICE[[#This Row],[Tenor]] &amp; "-IEU", W$1), RTD("esrtd",,$B1248 &amp; " " &amp; VLOOKUP(MONTH(ICE[[#This Row],[Strip]]), MthRef[], 2, 0) &amp; RIGHT(YEAR(ICE[[#This Row],[Strip]]), 2) &amp; "-IEU", W$1)), "")</f>
        <v/>
      </c>
      <c r="X1248" s="36"/>
    </row>
    <row r="1249" spans="1:24" x14ac:dyDescent="0.25">
      <c r="A1249" s="37" t="s">
        <v>374</v>
      </c>
      <c r="B1249" s="88" t="str">
        <f>RTD("ice.rtd",,$C1249 &amp; $D1249 &amp; ":" &amp; B$1)</f>
        <v>APN</v>
      </c>
      <c r="C1249" s="3">
        <v>32613992</v>
      </c>
      <c r="D1249" t="s">
        <v>813</v>
      </c>
      <c r="E1249" s="3" t="str">
        <f>RTD("ice.rtd",,$C1249 &amp; $D1249 &amp; ":" &amp; E$1)</f>
        <v>Sep28</v>
      </c>
      <c r="F1249" s="3" t="str">
        <f>ICE[[#This Row],[Prod]]&amp;ICE[[#This Row],[Strip]]</f>
        <v>propnapSep28</v>
      </c>
      <c r="G1249" s="18" t="str">
        <f>RTD("ice.rtd",,$C1249 &amp; $D1249 &amp; ":" &amp; G$1)</f>
        <v/>
      </c>
      <c r="H1249" s="18" t="str">
        <f>RTD("ice.rtd",,$C1249 &amp; $D1249 &amp; ":" &amp; H$1)</f>
        <v/>
      </c>
      <c r="I1249" s="18" t="str">
        <f>RTD("ice.rtd",,$C1249 &amp; $D1249 &amp; ":" &amp; I$1)</f>
        <v/>
      </c>
      <c r="J1249" s="14" t="str">
        <f>IFERROR(MOD(RTD("ice.rtd",,$C1249 &amp; $D1249 &amp; ":" &amp; J$1), 1), "")</f>
        <v/>
      </c>
      <c r="K1249" s="18" t="str">
        <f>RTD("ice.rtd",,$C1249 &amp; $D1249 &amp; ":" &amp; K$1)</f>
        <v/>
      </c>
      <c r="L1249" s="36" t="str">
        <f>RTD("ice.rtd",,$C1249 &amp; $D1249 &amp; ":" &amp; L$1)</f>
        <v/>
      </c>
      <c r="M1249" s="14" t="str">
        <f>IFERROR(MOD(TIMEVALUE(RTD("ice.rtd",,$C1249 &amp; $D1249 &amp; ":" &amp; M$1)), 1), "")</f>
        <v/>
      </c>
      <c r="N1249" s="36">
        <f>RTD("ice.rtd",,$C1249 &amp; $D1249 &amp; ":" &amp; N$1)</f>
        <v>0</v>
      </c>
      <c r="O1249" s="36">
        <f>RTD("ice.rtd",,$C1249 &amp; $D1249 &amp; ":" &amp; O$1)</f>
        <v>0</v>
      </c>
      <c r="P12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49" s="14" t="str">
        <f>IF(ICE[[#This Row],[LastType]] = "Scrn", ICE[[#This Row],[LstDate]], IF(ICE[[#This Row],[LastType]] = "Blk", ICE[[#This Row],[LstBlkTime]], ""))</f>
        <v/>
      </c>
      <c r="R1249" s="41" t="str">
        <f>IF(ICE[[#This Row],[LastType]] = "Scrn", ICE[[#This Row],[LstPrc]], IF(ICE[[#This Row],[LastType]] = "Blk", ICE[[#This Row],[LstBlkPrc]], ""))</f>
        <v/>
      </c>
      <c r="S1249" s="36">
        <f>ICE[[#This Row],[Vol]]+ICE[[#This Row],[BlkVol]]</f>
        <v>0</v>
      </c>
      <c r="T1249" s="36">
        <f>RTD("ice.rtd",,$C1249 &amp; $D1249 &amp; ":" &amp; T$1)</f>
        <v>0</v>
      </c>
      <c r="U1249" s="18">
        <f>RTD("ice.rtd",,$C1249 &amp; $D1249 &amp; ":" &amp; U$1)</f>
        <v>-104.771</v>
      </c>
      <c r="V12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49" s="18" t="str">
        <f>IFERROR(IF(LEFT(ICE[[#This Row],[Tenor]], 1) = "B", RTD("esrtd",,$B1249 &amp; " " &amp; ICE[[#This Row],[Tenor]] &amp; "-IEU", W$1), RTD("esrtd",,$B1249 &amp; " " &amp; VLOOKUP(MONTH(ICE[[#This Row],[Strip]]), MthRef[], 2, 0) &amp; RIGHT(YEAR(ICE[[#This Row],[Strip]]), 2) &amp; "-IEU", W$1)), "")</f>
        <v/>
      </c>
      <c r="X1249" s="36"/>
    </row>
    <row r="1250" spans="1:24" x14ac:dyDescent="0.25">
      <c r="A1250" s="37" t="s">
        <v>374</v>
      </c>
      <c r="B1250" s="88" t="str">
        <f>RTD("ice.rtd",,$C1250 &amp; $D1250 &amp; ":" &amp; B$1)</f>
        <v>APN</v>
      </c>
      <c r="C1250" s="3">
        <v>32613992</v>
      </c>
      <c r="D1250" t="s">
        <v>814</v>
      </c>
      <c r="E1250" s="3" t="str">
        <f>RTD("ice.rtd",,$C1250 &amp; $D1250 &amp; ":" &amp; E$1)</f>
        <v>Q4 26</v>
      </c>
      <c r="F1250" s="3" t="str">
        <f>ICE[[#This Row],[Prod]]&amp;ICE[[#This Row],[Strip]]</f>
        <v>propnapQ4 26</v>
      </c>
      <c r="G1250" s="18" t="str">
        <f>RTD("ice.rtd",,$C1250 &amp; $D1250 &amp; ":" &amp; G$1)</f>
        <v/>
      </c>
      <c r="H1250" s="18" t="str">
        <f>RTD("ice.rtd",,$C1250 &amp; $D1250 &amp; ":" &amp; H$1)</f>
        <v/>
      </c>
      <c r="I1250" s="18" t="str">
        <f>RTD("ice.rtd",,$C1250 &amp; $D1250 &amp; ":" &amp; I$1)</f>
        <v/>
      </c>
      <c r="J1250" s="14" t="str">
        <f>IFERROR(MOD(RTD("ice.rtd",,$C1250 &amp; $D1250 &amp; ":" &amp; J$1), 1), "")</f>
        <v/>
      </c>
      <c r="K1250" s="18" t="str">
        <f>RTD("ice.rtd",,$C1250 &amp; $D1250 &amp; ":" &amp; K$1)</f>
        <v/>
      </c>
      <c r="L1250" s="36" t="str">
        <f>RTD("ice.rtd",,$C1250 &amp; $D1250 &amp; ":" &amp; L$1)</f>
        <v/>
      </c>
      <c r="M1250" s="14" t="str">
        <f>IFERROR(MOD(TIMEVALUE(RTD("ice.rtd",,$C1250 &amp; $D1250 &amp; ":" &amp; M$1)), 1), "")</f>
        <v/>
      </c>
      <c r="N1250" s="36">
        <f>RTD("ice.rtd",,$C1250 &amp; $D1250 &amp; ":" &amp; N$1)</f>
        <v>0</v>
      </c>
      <c r="O1250" s="36">
        <f>RTD("ice.rtd",,$C1250 &amp; $D1250 &amp; ":" &amp; O$1)</f>
        <v>0</v>
      </c>
      <c r="P12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0" s="14" t="str">
        <f>IF(ICE[[#This Row],[LastType]] = "Scrn", ICE[[#This Row],[LstDate]], IF(ICE[[#This Row],[LastType]] = "Blk", ICE[[#This Row],[LstBlkTime]], ""))</f>
        <v/>
      </c>
      <c r="R1250" s="41" t="str">
        <f>IF(ICE[[#This Row],[LastType]] = "Scrn", ICE[[#This Row],[LstPrc]], IF(ICE[[#This Row],[LastType]] = "Blk", ICE[[#This Row],[LstBlkPrc]], ""))</f>
        <v/>
      </c>
      <c r="S1250" s="36">
        <f>ICE[[#This Row],[Vol]]+ICE[[#This Row],[BlkVol]]</f>
        <v>0</v>
      </c>
      <c r="T1250" s="36">
        <f>RTD("ice.rtd",,$C1250 &amp; $D1250 &amp; ":" &amp; T$1)</f>
        <v>0</v>
      </c>
      <c r="U1250" s="18">
        <f>RTD("ice.rtd",,$C1250 &amp; $D1250 &amp; ":" &amp; U$1)</f>
        <v>-175.97400000000002</v>
      </c>
      <c r="V12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0" s="18" t="str">
        <f>IFERROR(IF(LEFT(ICE[[#This Row],[Tenor]], 1) = "B", RTD("esrtd",,$B1250 &amp; " " &amp; ICE[[#This Row],[Tenor]] &amp; "-IEU", W$1), RTD("esrtd",,$B1250 &amp; " " &amp; VLOOKUP(MONTH(ICE[[#This Row],[Strip]]), MthRef[], 2, 0) &amp; RIGHT(YEAR(ICE[[#This Row],[Strip]]), 2) &amp; "-IEU", W$1)), "")</f>
        <v/>
      </c>
      <c r="X1250" s="36"/>
    </row>
    <row r="1251" spans="1:24" x14ac:dyDescent="0.25">
      <c r="A1251" s="37" t="s">
        <v>374</v>
      </c>
      <c r="B1251" s="88" t="str">
        <f>RTD("ice.rtd",,$C1251 &amp; $D1251 &amp; ":" &amp; B$1)</f>
        <v>APN</v>
      </c>
      <c r="C1251" s="3">
        <v>32613992</v>
      </c>
      <c r="D1251" t="s">
        <v>815</v>
      </c>
      <c r="E1251" s="3" t="str">
        <f>RTD("ice.rtd",,$C1251 &amp; $D1251 &amp; ":" &amp; E$1)</f>
        <v>Q1 27</v>
      </c>
      <c r="F1251" s="3" t="str">
        <f>ICE[[#This Row],[Prod]]&amp;ICE[[#This Row],[Strip]]</f>
        <v>propnapQ1 27</v>
      </c>
      <c r="G1251" s="18" t="str">
        <f>RTD("ice.rtd",,$C1251 &amp; $D1251 &amp; ":" &amp; G$1)</f>
        <v/>
      </c>
      <c r="H1251" s="18" t="str">
        <f>RTD("ice.rtd",,$C1251 &amp; $D1251 &amp; ":" &amp; H$1)</f>
        <v/>
      </c>
      <c r="I1251" s="18" t="str">
        <f>RTD("ice.rtd",,$C1251 &amp; $D1251 &amp; ":" &amp; I$1)</f>
        <v/>
      </c>
      <c r="J1251" s="14" t="str">
        <f>IFERROR(MOD(RTD("ice.rtd",,$C1251 &amp; $D1251 &amp; ":" &amp; J$1), 1), "")</f>
        <v/>
      </c>
      <c r="K1251" s="18" t="str">
        <f>RTD("ice.rtd",,$C1251 &amp; $D1251 &amp; ":" &amp; K$1)</f>
        <v/>
      </c>
      <c r="L1251" s="36" t="str">
        <f>RTD("ice.rtd",,$C1251 &amp; $D1251 &amp; ":" &amp; L$1)</f>
        <v/>
      </c>
      <c r="M1251" s="14" t="str">
        <f>IFERROR(MOD(TIMEVALUE(RTD("ice.rtd",,$C1251 &amp; $D1251 &amp; ":" &amp; M$1)), 1), "")</f>
        <v/>
      </c>
      <c r="N1251" s="36">
        <f>RTD("ice.rtd",,$C1251 &amp; $D1251 &amp; ":" &amp; N$1)</f>
        <v>0</v>
      </c>
      <c r="O1251" s="36">
        <f>RTD("ice.rtd",,$C1251 &amp; $D1251 &amp; ":" &amp; O$1)</f>
        <v>0</v>
      </c>
      <c r="P12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1" s="14" t="str">
        <f>IF(ICE[[#This Row],[LastType]] = "Scrn", ICE[[#This Row],[LstDate]], IF(ICE[[#This Row],[LastType]] = "Blk", ICE[[#This Row],[LstBlkTime]], ""))</f>
        <v/>
      </c>
      <c r="R1251" s="41" t="str">
        <f>IF(ICE[[#This Row],[LastType]] = "Scrn", ICE[[#This Row],[LstPrc]], IF(ICE[[#This Row],[LastType]] = "Blk", ICE[[#This Row],[LstBlkPrc]], ""))</f>
        <v/>
      </c>
      <c r="S1251" s="36">
        <f>ICE[[#This Row],[Vol]]+ICE[[#This Row],[BlkVol]]</f>
        <v>0</v>
      </c>
      <c r="T1251" s="36">
        <f>RTD("ice.rtd",,$C1251 &amp; $D1251 &amp; ":" &amp; T$1)</f>
        <v>0</v>
      </c>
      <c r="U1251" s="18">
        <f>RTD("ice.rtd",,$C1251 &amp; $D1251 &amp; ":" &amp; U$1)</f>
        <v>-149.03800000000001</v>
      </c>
      <c r="V12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1" s="18" t="str">
        <f>IFERROR(IF(LEFT(ICE[[#This Row],[Tenor]], 1) = "B", RTD("esrtd",,$B1251 &amp; " " &amp; ICE[[#This Row],[Tenor]] &amp; "-IEU", W$1), RTD("esrtd",,$B1251 &amp; " " &amp; VLOOKUP(MONTH(ICE[[#This Row],[Strip]]), MthRef[], 2, 0) &amp; RIGHT(YEAR(ICE[[#This Row],[Strip]]), 2) &amp; "-IEU", W$1)), "")</f>
        <v/>
      </c>
      <c r="X1251" s="36"/>
    </row>
    <row r="1252" spans="1:24" x14ac:dyDescent="0.25">
      <c r="A1252" s="37" t="s">
        <v>374</v>
      </c>
      <c r="B1252" s="88" t="str">
        <f>RTD("ice.rtd",,$C1252 &amp; $D1252 &amp; ":" &amp; B$1)</f>
        <v>APN</v>
      </c>
      <c r="C1252" s="3">
        <v>32613992</v>
      </c>
      <c r="D1252" t="s">
        <v>816</v>
      </c>
      <c r="E1252" s="3" t="str">
        <f>RTD("ice.rtd",,$C1252 &amp; $D1252 &amp; ":" &amp; E$1)</f>
        <v>Q2 27</v>
      </c>
      <c r="F1252" s="3" t="str">
        <f>ICE[[#This Row],[Prod]]&amp;ICE[[#This Row],[Strip]]</f>
        <v>propnapQ2 27</v>
      </c>
      <c r="G1252" s="18" t="str">
        <f>RTD("ice.rtd",,$C1252 &amp; $D1252 &amp; ":" &amp; G$1)</f>
        <v/>
      </c>
      <c r="H1252" s="18" t="str">
        <f>RTD("ice.rtd",,$C1252 &amp; $D1252 &amp; ":" &amp; H$1)</f>
        <v/>
      </c>
      <c r="I1252" s="18" t="str">
        <f>RTD("ice.rtd",,$C1252 &amp; $D1252 &amp; ":" &amp; I$1)</f>
        <v/>
      </c>
      <c r="J1252" s="14" t="str">
        <f>IFERROR(MOD(RTD("ice.rtd",,$C1252 &amp; $D1252 &amp; ":" &amp; J$1), 1), "")</f>
        <v/>
      </c>
      <c r="K1252" s="18" t="str">
        <f>RTD("ice.rtd",,$C1252 &amp; $D1252 &amp; ":" &amp; K$1)</f>
        <v/>
      </c>
      <c r="L1252" s="36" t="str">
        <f>RTD("ice.rtd",,$C1252 &amp; $D1252 &amp; ":" &amp; L$1)</f>
        <v/>
      </c>
      <c r="M1252" s="14" t="str">
        <f>IFERROR(MOD(TIMEVALUE(RTD("ice.rtd",,$C1252 &amp; $D1252 &amp; ":" &amp; M$1)), 1), "")</f>
        <v/>
      </c>
      <c r="N1252" s="36">
        <f>RTD("ice.rtd",,$C1252 &amp; $D1252 &amp; ":" &amp; N$1)</f>
        <v>0</v>
      </c>
      <c r="O1252" s="36">
        <f>RTD("ice.rtd",,$C1252 &amp; $D1252 &amp; ":" &amp; O$1)</f>
        <v>0</v>
      </c>
      <c r="P12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2" s="14" t="str">
        <f>IF(ICE[[#This Row],[LastType]] = "Scrn", ICE[[#This Row],[LstDate]], IF(ICE[[#This Row],[LastType]] = "Blk", ICE[[#This Row],[LstBlkTime]], ""))</f>
        <v/>
      </c>
      <c r="R1252" s="41" t="str">
        <f>IF(ICE[[#This Row],[LastType]] = "Scrn", ICE[[#This Row],[LstPrc]], IF(ICE[[#This Row],[LastType]] = "Blk", ICE[[#This Row],[LstBlkPrc]], ""))</f>
        <v/>
      </c>
      <c r="S1252" s="36">
        <f>ICE[[#This Row],[Vol]]+ICE[[#This Row],[BlkVol]]</f>
        <v>0</v>
      </c>
      <c r="T1252" s="36">
        <f>RTD("ice.rtd",,$C1252 &amp; $D1252 &amp; ":" &amp; T$1)</f>
        <v>0</v>
      </c>
      <c r="U1252" s="18">
        <f>RTD("ice.rtd",,$C1252 &amp; $D1252 &amp; ":" &amp; U$1)</f>
        <v>-158.607</v>
      </c>
      <c r="V12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2" s="18" t="str">
        <f>IFERROR(IF(LEFT(ICE[[#This Row],[Tenor]], 1) = "B", RTD("esrtd",,$B1252 &amp; " " &amp; ICE[[#This Row],[Tenor]] &amp; "-IEU", W$1), RTD("esrtd",,$B1252 &amp; " " &amp; VLOOKUP(MONTH(ICE[[#This Row],[Strip]]), MthRef[], 2, 0) &amp; RIGHT(YEAR(ICE[[#This Row],[Strip]]), 2) &amp; "-IEU", W$1)), "")</f>
        <v/>
      </c>
      <c r="X1252" s="36"/>
    </row>
    <row r="1253" spans="1:24" x14ac:dyDescent="0.25">
      <c r="A1253" s="37" t="s">
        <v>374</v>
      </c>
      <c r="B1253" s="88" t="str">
        <f>RTD("ice.rtd",,$C1253 &amp; $D1253 &amp; ":" &amp; B$1)</f>
        <v>APN</v>
      </c>
      <c r="C1253" s="3">
        <v>32613992</v>
      </c>
      <c r="D1253" t="s">
        <v>817</v>
      </c>
      <c r="E1253" s="3" t="str">
        <f>RTD("ice.rtd",,$C1253 &amp; $D1253 &amp; ":" &amp; E$1)</f>
        <v>Q3 27</v>
      </c>
      <c r="F1253" s="3" t="str">
        <f>ICE[[#This Row],[Prod]]&amp;ICE[[#This Row],[Strip]]</f>
        <v>propnapQ3 27</v>
      </c>
      <c r="G1253" s="18" t="str">
        <f>RTD("ice.rtd",,$C1253 &amp; $D1253 &amp; ":" &amp; G$1)</f>
        <v/>
      </c>
      <c r="H1253" s="18" t="str">
        <f>RTD("ice.rtd",,$C1253 &amp; $D1253 &amp; ":" &amp; H$1)</f>
        <v/>
      </c>
      <c r="I1253" s="18" t="str">
        <f>RTD("ice.rtd",,$C1253 &amp; $D1253 &amp; ":" &amp; I$1)</f>
        <v/>
      </c>
      <c r="J1253" s="14" t="str">
        <f>IFERROR(MOD(RTD("ice.rtd",,$C1253 &amp; $D1253 &amp; ":" &amp; J$1), 1), "")</f>
        <v/>
      </c>
      <c r="K1253" s="18" t="str">
        <f>RTD("ice.rtd",,$C1253 &amp; $D1253 &amp; ":" &amp; K$1)</f>
        <v/>
      </c>
      <c r="L1253" s="36" t="str">
        <f>RTD("ice.rtd",,$C1253 &amp; $D1253 &amp; ":" &amp; L$1)</f>
        <v/>
      </c>
      <c r="M1253" s="14" t="str">
        <f>IFERROR(MOD(TIMEVALUE(RTD("ice.rtd",,$C1253 &amp; $D1253 &amp; ":" &amp; M$1)), 1), "")</f>
        <v/>
      </c>
      <c r="N1253" s="36">
        <f>RTD("ice.rtd",,$C1253 &amp; $D1253 &amp; ":" &amp; N$1)</f>
        <v>0</v>
      </c>
      <c r="O1253" s="36">
        <f>RTD("ice.rtd",,$C1253 &amp; $D1253 &amp; ":" &amp; O$1)</f>
        <v>0</v>
      </c>
      <c r="P12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3" s="14" t="str">
        <f>IF(ICE[[#This Row],[LastType]] = "Scrn", ICE[[#This Row],[LstDate]], IF(ICE[[#This Row],[LastType]] = "Blk", ICE[[#This Row],[LstBlkTime]], ""))</f>
        <v/>
      </c>
      <c r="R1253" s="41" t="str">
        <f>IF(ICE[[#This Row],[LastType]] = "Scrn", ICE[[#This Row],[LstPrc]], IF(ICE[[#This Row],[LastType]] = "Blk", ICE[[#This Row],[LstBlkPrc]], ""))</f>
        <v/>
      </c>
      <c r="S1253" s="36">
        <f>ICE[[#This Row],[Vol]]+ICE[[#This Row],[BlkVol]]</f>
        <v>0</v>
      </c>
      <c r="T1253" s="36">
        <f>RTD("ice.rtd",,$C1253 &amp; $D1253 &amp; ":" &amp; T$1)</f>
        <v>0</v>
      </c>
      <c r="U1253" s="18">
        <f>RTD("ice.rtd",,$C1253 &amp; $D1253 &amp; ":" &amp; U$1)</f>
        <v>-142.124</v>
      </c>
      <c r="V12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3" s="18" t="str">
        <f>IFERROR(IF(LEFT(ICE[[#This Row],[Tenor]], 1) = "B", RTD("esrtd",,$B1253 &amp; " " &amp; ICE[[#This Row],[Tenor]] &amp; "-IEU", W$1), RTD("esrtd",,$B1253 &amp; " " &amp; VLOOKUP(MONTH(ICE[[#This Row],[Strip]]), MthRef[], 2, 0) &amp; RIGHT(YEAR(ICE[[#This Row],[Strip]]), 2) &amp; "-IEU", W$1)), "")</f>
        <v/>
      </c>
      <c r="X1253" s="36"/>
    </row>
    <row r="1254" spans="1:24" x14ac:dyDescent="0.25">
      <c r="A1254" s="37" t="s">
        <v>374</v>
      </c>
      <c r="B1254" s="88" t="str">
        <f>RTD("ice.rtd",,$C1254 &amp; $D1254 &amp; ":" &amp; B$1)</f>
        <v>APN</v>
      </c>
      <c r="C1254" s="3">
        <v>32613992</v>
      </c>
      <c r="D1254" t="s">
        <v>818</v>
      </c>
      <c r="E1254" s="3" t="str">
        <f>RTD("ice.rtd",,$C1254 &amp; $D1254 &amp; ":" &amp; E$1)</f>
        <v>Q4 27</v>
      </c>
      <c r="F1254" s="3" t="str">
        <f>ICE[[#This Row],[Prod]]&amp;ICE[[#This Row],[Strip]]</f>
        <v>propnapQ4 27</v>
      </c>
      <c r="G1254" s="18" t="str">
        <f>RTD("ice.rtd",,$C1254 &amp; $D1254 &amp; ":" &amp; G$1)</f>
        <v/>
      </c>
      <c r="H1254" s="18" t="str">
        <f>RTD("ice.rtd",,$C1254 &amp; $D1254 &amp; ":" &amp; H$1)</f>
        <v/>
      </c>
      <c r="I1254" s="18" t="str">
        <f>RTD("ice.rtd",,$C1254 &amp; $D1254 &amp; ":" &amp; I$1)</f>
        <v/>
      </c>
      <c r="J1254" s="14" t="str">
        <f>IFERROR(MOD(RTD("ice.rtd",,$C1254 &amp; $D1254 &amp; ":" &amp; J$1), 1), "")</f>
        <v/>
      </c>
      <c r="K1254" s="18" t="str">
        <f>RTD("ice.rtd",,$C1254 &amp; $D1254 &amp; ":" &amp; K$1)</f>
        <v/>
      </c>
      <c r="L1254" s="36" t="str">
        <f>RTD("ice.rtd",,$C1254 &amp; $D1254 &amp; ":" &amp; L$1)</f>
        <v/>
      </c>
      <c r="M1254" s="14" t="str">
        <f>IFERROR(MOD(TIMEVALUE(RTD("ice.rtd",,$C1254 &amp; $D1254 &amp; ":" &amp; M$1)), 1), "")</f>
        <v/>
      </c>
      <c r="N1254" s="36">
        <f>RTD("ice.rtd",,$C1254 &amp; $D1254 &amp; ":" &amp; N$1)</f>
        <v>0</v>
      </c>
      <c r="O1254" s="36">
        <f>RTD("ice.rtd",,$C1254 &amp; $D1254 &amp; ":" &amp; O$1)</f>
        <v>0</v>
      </c>
      <c r="P12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4" s="14" t="str">
        <f>IF(ICE[[#This Row],[LastType]] = "Scrn", ICE[[#This Row],[LstDate]], IF(ICE[[#This Row],[LastType]] = "Blk", ICE[[#This Row],[LstBlkTime]], ""))</f>
        <v/>
      </c>
      <c r="R1254" s="41" t="str">
        <f>IF(ICE[[#This Row],[LastType]] = "Scrn", ICE[[#This Row],[LstPrc]], IF(ICE[[#This Row],[LastType]] = "Blk", ICE[[#This Row],[LstBlkPrc]], ""))</f>
        <v/>
      </c>
      <c r="S1254" s="36">
        <f>ICE[[#This Row],[Vol]]+ICE[[#This Row],[BlkVol]]</f>
        <v>0</v>
      </c>
      <c r="T1254" s="36">
        <f>RTD("ice.rtd",,$C1254 &amp; $D1254 &amp; ":" &amp; T$1)</f>
        <v>0</v>
      </c>
      <c r="U1254" s="18">
        <f>RTD("ice.rtd",,$C1254 &amp; $D1254 &amp; ":" &amp; U$1)</f>
        <v>-113.54100000000001</v>
      </c>
      <c r="V12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4" s="18" t="str">
        <f>IFERROR(IF(LEFT(ICE[[#This Row],[Tenor]], 1) = "B", RTD("esrtd",,$B1254 &amp; " " &amp; ICE[[#This Row],[Tenor]] &amp; "-IEU", W$1), RTD("esrtd",,$B1254 &amp; " " &amp; VLOOKUP(MONTH(ICE[[#This Row],[Strip]]), MthRef[], 2, 0) &amp; RIGHT(YEAR(ICE[[#This Row],[Strip]]), 2) &amp; "-IEU", W$1)), "")</f>
        <v/>
      </c>
      <c r="X1254" s="36"/>
    </row>
    <row r="1255" spans="1:24" x14ac:dyDescent="0.25">
      <c r="A1255" s="37" t="s">
        <v>374</v>
      </c>
      <c r="B1255" s="88" t="str">
        <f>RTD("ice.rtd",,$C1255 &amp; $D1255 &amp; ":" &amp; B$1)</f>
        <v>APN</v>
      </c>
      <c r="C1255" s="3">
        <v>32613992</v>
      </c>
      <c r="D1255" t="s">
        <v>819</v>
      </c>
      <c r="E1255" s="3" t="str">
        <f>RTD("ice.rtd",,$C1255 &amp; $D1255 &amp; ":" &amp; E$1)</f>
        <v>Q1 28</v>
      </c>
      <c r="F1255" s="3" t="str">
        <f>ICE[[#This Row],[Prod]]&amp;ICE[[#This Row],[Strip]]</f>
        <v>propnapQ1 28</v>
      </c>
      <c r="G1255" s="18" t="str">
        <f>RTD("ice.rtd",,$C1255 &amp; $D1255 &amp; ":" &amp; G$1)</f>
        <v/>
      </c>
      <c r="H1255" s="18" t="str">
        <f>RTD("ice.rtd",,$C1255 &amp; $D1255 &amp; ":" &amp; H$1)</f>
        <v/>
      </c>
      <c r="I1255" s="18" t="str">
        <f>RTD("ice.rtd",,$C1255 &amp; $D1255 &amp; ":" &amp; I$1)</f>
        <v/>
      </c>
      <c r="J1255" s="14" t="str">
        <f>IFERROR(MOD(RTD("ice.rtd",,$C1255 &amp; $D1255 &amp; ":" &amp; J$1), 1), "")</f>
        <v/>
      </c>
      <c r="K1255" s="18" t="str">
        <f>RTD("ice.rtd",,$C1255 &amp; $D1255 &amp; ":" &amp; K$1)</f>
        <v/>
      </c>
      <c r="L1255" s="36" t="str">
        <f>RTD("ice.rtd",,$C1255 &amp; $D1255 &amp; ":" &amp; L$1)</f>
        <v/>
      </c>
      <c r="M1255" s="14" t="str">
        <f>IFERROR(MOD(TIMEVALUE(RTD("ice.rtd",,$C1255 &amp; $D1255 &amp; ":" &amp; M$1)), 1), "")</f>
        <v/>
      </c>
      <c r="N1255" s="36">
        <f>RTD("ice.rtd",,$C1255 &amp; $D1255 &amp; ":" &amp; N$1)</f>
        <v>0</v>
      </c>
      <c r="O1255" s="36">
        <f>RTD("ice.rtd",,$C1255 &amp; $D1255 &amp; ":" &amp; O$1)</f>
        <v>0</v>
      </c>
      <c r="P12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5" s="14" t="str">
        <f>IF(ICE[[#This Row],[LastType]] = "Scrn", ICE[[#This Row],[LstDate]], IF(ICE[[#This Row],[LastType]] = "Blk", ICE[[#This Row],[LstBlkTime]], ""))</f>
        <v/>
      </c>
      <c r="R1255" s="41" t="str">
        <f>IF(ICE[[#This Row],[LastType]] = "Scrn", ICE[[#This Row],[LstPrc]], IF(ICE[[#This Row],[LastType]] = "Blk", ICE[[#This Row],[LstBlkPrc]], ""))</f>
        <v/>
      </c>
      <c r="S1255" s="36">
        <f>ICE[[#This Row],[Vol]]+ICE[[#This Row],[BlkVol]]</f>
        <v>0</v>
      </c>
      <c r="T1255" s="36">
        <f>RTD("ice.rtd",,$C1255 &amp; $D1255 &amp; ":" &amp; T$1)</f>
        <v>0</v>
      </c>
      <c r="U1255" s="18">
        <f>RTD("ice.rtd",,$C1255 &amp; $D1255 &amp; ":" &amp; U$1)</f>
        <v>-108.18900000000001</v>
      </c>
      <c r="V12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5" s="18" t="str">
        <f>IFERROR(IF(LEFT(ICE[[#This Row],[Tenor]], 1) = "B", RTD("esrtd",,$B1255 &amp; " " &amp; ICE[[#This Row],[Tenor]] &amp; "-IEU", W$1), RTD("esrtd",,$B1255 &amp; " " &amp; VLOOKUP(MONTH(ICE[[#This Row],[Strip]]), MthRef[], 2, 0) &amp; RIGHT(YEAR(ICE[[#This Row],[Strip]]), 2) &amp; "-IEU", W$1)), "")</f>
        <v/>
      </c>
      <c r="X1255" s="36"/>
    </row>
    <row r="1256" spans="1:24" x14ac:dyDescent="0.25">
      <c r="A1256" s="37" t="s">
        <v>374</v>
      </c>
      <c r="B1256" s="88" t="str">
        <f>RTD("ice.rtd",,$C1256 &amp; $D1256 &amp; ":" &amp; B$1)</f>
        <v>APN</v>
      </c>
      <c r="C1256" s="3">
        <v>32613992</v>
      </c>
      <c r="D1256" t="s">
        <v>229</v>
      </c>
      <c r="E1256" s="3" t="str">
        <f>RTD("ice.rtd",,$C1256 &amp; $D1256 &amp; ":" &amp; E$1)</f>
        <v>Q2 28</v>
      </c>
      <c r="F1256" s="3" t="str">
        <f>ICE[[#This Row],[Prod]]&amp;ICE[[#This Row],[Strip]]</f>
        <v>propnapQ2 28</v>
      </c>
      <c r="G1256" s="18" t="str">
        <f>RTD("ice.rtd",,$C1256 &amp; $D1256 &amp; ":" &amp; G$1)</f>
        <v/>
      </c>
      <c r="H1256" s="18" t="str">
        <f>RTD("ice.rtd",,$C1256 &amp; $D1256 &amp; ":" &amp; H$1)</f>
        <v/>
      </c>
      <c r="I1256" s="18" t="str">
        <f>RTD("ice.rtd",,$C1256 &amp; $D1256 &amp; ":" &amp; I$1)</f>
        <v/>
      </c>
      <c r="J1256" s="14" t="str">
        <f>IFERROR(MOD(RTD("ice.rtd",,$C1256 &amp; $D1256 &amp; ":" &amp; J$1), 1), "")</f>
        <v/>
      </c>
      <c r="K1256" s="18" t="str">
        <f>RTD("ice.rtd",,$C1256 &amp; $D1256 &amp; ":" &amp; K$1)</f>
        <v/>
      </c>
      <c r="L1256" s="36" t="str">
        <f>RTD("ice.rtd",,$C1256 &amp; $D1256 &amp; ":" &amp; L$1)</f>
        <v/>
      </c>
      <c r="M1256" s="14" t="str">
        <f>IFERROR(MOD(TIMEVALUE(RTD("ice.rtd",,$C1256 &amp; $D1256 &amp; ":" &amp; M$1)), 1), "")</f>
        <v/>
      </c>
      <c r="N1256" s="36">
        <f>RTD("ice.rtd",,$C1256 &amp; $D1256 &amp; ":" &amp; N$1)</f>
        <v>0</v>
      </c>
      <c r="O1256" s="36">
        <f>RTD("ice.rtd",,$C1256 &amp; $D1256 &amp; ":" &amp; O$1)</f>
        <v>0</v>
      </c>
      <c r="P12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6" s="14" t="str">
        <f>IF(ICE[[#This Row],[LastType]] = "Scrn", ICE[[#This Row],[LstDate]], IF(ICE[[#This Row],[LastType]] = "Blk", ICE[[#This Row],[LstBlkTime]], ""))</f>
        <v/>
      </c>
      <c r="R1256" s="41" t="str">
        <f>IF(ICE[[#This Row],[LastType]] = "Scrn", ICE[[#This Row],[LstPrc]], IF(ICE[[#This Row],[LastType]] = "Blk", ICE[[#This Row],[LstBlkPrc]], ""))</f>
        <v/>
      </c>
      <c r="S1256" s="36">
        <f>ICE[[#This Row],[Vol]]+ICE[[#This Row],[BlkVol]]</f>
        <v>0</v>
      </c>
      <c r="T1256" s="36">
        <f>RTD("ice.rtd",,$C1256 &amp; $D1256 &amp; ":" &amp; T$1)</f>
        <v>0</v>
      </c>
      <c r="U1256" s="18">
        <f>RTD("ice.rtd",,$C1256 &amp; $D1256 &amp; ":" &amp; U$1)</f>
        <v>-119.19</v>
      </c>
      <c r="V12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6" s="18" t="str">
        <f>IFERROR(IF(LEFT(ICE[[#This Row],[Tenor]], 1) = "B", RTD("esrtd",,$B1256 &amp; " " &amp; ICE[[#This Row],[Tenor]] &amp; "-IEU", W$1), RTD("esrtd",,$B1256 &amp; " " &amp; VLOOKUP(MONTH(ICE[[#This Row],[Strip]]), MthRef[], 2, 0) &amp; RIGHT(YEAR(ICE[[#This Row],[Strip]]), 2) &amp; "-IEU", W$1)), "")</f>
        <v/>
      </c>
      <c r="X1256" s="36"/>
    </row>
    <row r="1257" spans="1:24" x14ac:dyDescent="0.25">
      <c r="A1257" s="37" t="s">
        <v>374</v>
      </c>
      <c r="B1257" s="88" t="str">
        <f>RTD("ice.rtd",,$C1257 &amp; $D1257 &amp; ":" &amp; B$1)</f>
        <v>APN</v>
      </c>
      <c r="C1257" s="3">
        <v>32613992</v>
      </c>
      <c r="D1257" t="s">
        <v>820</v>
      </c>
      <c r="E1257" s="3" t="str">
        <f>RTD("ice.rtd",,$C1257 &amp; $D1257 &amp; ":" &amp; E$1)</f>
        <v>Q3 28</v>
      </c>
      <c r="F1257" s="3" t="str">
        <f>ICE[[#This Row],[Prod]]&amp;ICE[[#This Row],[Strip]]</f>
        <v>propnapQ3 28</v>
      </c>
      <c r="G1257" s="18" t="str">
        <f>RTD("ice.rtd",,$C1257 &amp; $D1257 &amp; ":" &amp; G$1)</f>
        <v/>
      </c>
      <c r="H1257" s="18" t="str">
        <f>RTD("ice.rtd",,$C1257 &amp; $D1257 &amp; ":" &amp; H$1)</f>
        <v/>
      </c>
      <c r="I1257" s="18" t="str">
        <f>RTD("ice.rtd",,$C1257 &amp; $D1257 &amp; ":" &amp; I$1)</f>
        <v/>
      </c>
      <c r="J1257" s="14" t="str">
        <f>IFERROR(MOD(RTD("ice.rtd",,$C1257 &amp; $D1257 &amp; ":" &amp; J$1), 1), "")</f>
        <v/>
      </c>
      <c r="K1257" s="18" t="str">
        <f>RTD("ice.rtd",,$C1257 &amp; $D1257 &amp; ":" &amp; K$1)</f>
        <v/>
      </c>
      <c r="L1257" s="36" t="str">
        <f>RTD("ice.rtd",,$C1257 &amp; $D1257 &amp; ":" &amp; L$1)</f>
        <v/>
      </c>
      <c r="M1257" s="14" t="str">
        <f>IFERROR(MOD(TIMEVALUE(RTD("ice.rtd",,$C1257 &amp; $D1257 &amp; ":" &amp; M$1)), 1), "")</f>
        <v/>
      </c>
      <c r="N1257" s="36">
        <f>RTD("ice.rtd",,$C1257 &amp; $D1257 &amp; ":" &amp; N$1)</f>
        <v>0</v>
      </c>
      <c r="O1257" s="36">
        <f>RTD("ice.rtd",,$C1257 &amp; $D1257 &amp; ":" &amp; O$1)</f>
        <v>0</v>
      </c>
      <c r="P12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7" s="14" t="str">
        <f>IF(ICE[[#This Row],[LastType]] = "Scrn", ICE[[#This Row],[LstDate]], IF(ICE[[#This Row],[LastType]] = "Blk", ICE[[#This Row],[LstBlkTime]], ""))</f>
        <v/>
      </c>
      <c r="R1257" s="41" t="str">
        <f>IF(ICE[[#This Row],[LastType]] = "Scrn", ICE[[#This Row],[LstPrc]], IF(ICE[[#This Row],[LastType]] = "Blk", ICE[[#This Row],[LstBlkPrc]], ""))</f>
        <v/>
      </c>
      <c r="S1257" s="36">
        <f>ICE[[#This Row],[Vol]]+ICE[[#This Row],[BlkVol]]</f>
        <v>0</v>
      </c>
      <c r="T1257" s="36">
        <f>RTD("ice.rtd",,$C1257 &amp; $D1257 &amp; ":" &amp; T$1)</f>
        <v>0</v>
      </c>
      <c r="U1257" s="18">
        <f>RTD("ice.rtd",,$C1257 &amp; $D1257 &amp; ":" &amp; U$1)</f>
        <v>-109.94</v>
      </c>
      <c r="V12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7" s="18" t="str">
        <f>IFERROR(IF(LEFT(ICE[[#This Row],[Tenor]], 1) = "B", RTD("esrtd",,$B1257 &amp; " " &amp; ICE[[#This Row],[Tenor]] &amp; "-IEU", W$1), RTD("esrtd",,$B1257 &amp; " " &amp; VLOOKUP(MONTH(ICE[[#This Row],[Strip]]), MthRef[], 2, 0) &amp; RIGHT(YEAR(ICE[[#This Row],[Strip]]), 2) &amp; "-IEU", W$1)), "")</f>
        <v/>
      </c>
      <c r="X1257" s="36"/>
    </row>
    <row r="1258" spans="1:24" x14ac:dyDescent="0.25">
      <c r="A1258" s="37" t="s">
        <v>374</v>
      </c>
      <c r="B1258" s="88" t="str">
        <f>RTD("ice.rtd",,$C1258 &amp; $D1258 &amp; ":" &amp; B$1)</f>
        <v>APN</v>
      </c>
      <c r="C1258" s="3">
        <v>32613992</v>
      </c>
      <c r="D1258" t="s">
        <v>821</v>
      </c>
      <c r="E1258" s="3" t="str">
        <f>RTD("ice.rtd",,$C1258 &amp; $D1258 &amp; ":" &amp; E$1)</f>
        <v>Q4 28</v>
      </c>
      <c r="F1258" s="3" t="str">
        <f>ICE[[#This Row],[Prod]]&amp;ICE[[#This Row],[Strip]]</f>
        <v>propnapQ4 28</v>
      </c>
      <c r="G1258" s="18" t="str">
        <f>RTD("ice.rtd",,$C1258 &amp; $D1258 &amp; ":" &amp; G$1)</f>
        <v/>
      </c>
      <c r="H1258" s="18" t="str">
        <f>RTD("ice.rtd",,$C1258 &amp; $D1258 &amp; ":" &amp; H$1)</f>
        <v/>
      </c>
      <c r="I1258" s="18" t="str">
        <f>RTD("ice.rtd",,$C1258 &amp; $D1258 &amp; ":" &amp; I$1)</f>
        <v/>
      </c>
      <c r="J1258" s="14" t="str">
        <f>IFERROR(MOD(RTD("ice.rtd",,$C1258 &amp; $D1258 &amp; ":" &amp; J$1), 1), "")</f>
        <v/>
      </c>
      <c r="K1258" s="18" t="str">
        <f>RTD("ice.rtd",,$C1258 &amp; $D1258 &amp; ":" &amp; K$1)</f>
        <v/>
      </c>
      <c r="L1258" s="36" t="str">
        <f>RTD("ice.rtd",,$C1258 &amp; $D1258 &amp; ":" &amp; L$1)</f>
        <v/>
      </c>
      <c r="M1258" s="14" t="str">
        <f>IFERROR(MOD(TIMEVALUE(RTD("ice.rtd",,$C1258 &amp; $D1258 &amp; ":" &amp; M$1)), 1), "")</f>
        <v/>
      </c>
      <c r="N1258" s="36">
        <f>RTD("ice.rtd",,$C1258 &amp; $D1258 &amp; ":" &amp; N$1)</f>
        <v>0</v>
      </c>
      <c r="O1258" s="36">
        <f>RTD("ice.rtd",,$C1258 &amp; $D1258 &amp; ":" &amp; O$1)</f>
        <v>0</v>
      </c>
      <c r="P12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8" s="14" t="str">
        <f>IF(ICE[[#This Row],[LastType]] = "Scrn", ICE[[#This Row],[LstDate]], IF(ICE[[#This Row],[LastType]] = "Blk", ICE[[#This Row],[LstBlkTime]], ""))</f>
        <v/>
      </c>
      <c r="R1258" s="41" t="str">
        <f>IF(ICE[[#This Row],[LastType]] = "Scrn", ICE[[#This Row],[LstPrc]], IF(ICE[[#This Row],[LastType]] = "Blk", ICE[[#This Row],[LstBlkPrc]], ""))</f>
        <v/>
      </c>
      <c r="S1258" s="36">
        <f>ICE[[#This Row],[Vol]]+ICE[[#This Row],[BlkVol]]</f>
        <v>0</v>
      </c>
      <c r="T1258" s="36">
        <f>RTD("ice.rtd",,$C1258 &amp; $D1258 &amp; ":" &amp; T$1)</f>
        <v>0</v>
      </c>
      <c r="U1258" s="18">
        <f>RTD("ice.rtd",,$C1258 &amp; $D1258 &amp; ":" &amp; U$1)</f>
        <v>-93.103999999999999</v>
      </c>
      <c r="V12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8" s="18" t="str">
        <f>IFERROR(IF(LEFT(ICE[[#This Row],[Tenor]], 1) = "B", RTD("esrtd",,$B1258 &amp; " " &amp; ICE[[#This Row],[Tenor]] &amp; "-IEU", W$1), RTD("esrtd",,$B1258 &amp; " " &amp; VLOOKUP(MONTH(ICE[[#This Row],[Strip]]), MthRef[], 2, 0) &amp; RIGHT(YEAR(ICE[[#This Row],[Strip]]), 2) &amp; "-IEU", W$1)), "")</f>
        <v/>
      </c>
      <c r="X1258" s="36"/>
    </row>
    <row r="1259" spans="1:24" x14ac:dyDescent="0.25">
      <c r="A1259" s="37" t="s">
        <v>374</v>
      </c>
      <c r="B1259" s="88" t="str">
        <f>RTD("ice.rtd",,$C1259 &amp; $D1259 &amp; ":" &amp; B$1)</f>
        <v>APN</v>
      </c>
      <c r="C1259" s="3">
        <v>32613992</v>
      </c>
      <c r="D1259" t="s">
        <v>822</v>
      </c>
      <c r="E1259" s="3" t="str">
        <f>RTD("ice.rtd",,$C1259 &amp; $D1259 &amp; ":" &amp; E$1)</f>
        <v>Cal 27</v>
      </c>
      <c r="F1259" s="3" t="str">
        <f>ICE[[#This Row],[Prod]]&amp;ICE[[#This Row],[Strip]]</f>
        <v>propnapCal 27</v>
      </c>
      <c r="G1259" s="18" t="str">
        <f>RTD("ice.rtd",,$C1259 &amp; $D1259 &amp; ":" &amp; G$1)</f>
        <v/>
      </c>
      <c r="H1259" s="18" t="str">
        <f>RTD("ice.rtd",,$C1259 &amp; $D1259 &amp; ":" &amp; H$1)</f>
        <v/>
      </c>
      <c r="I1259" s="18" t="str">
        <f>RTD("ice.rtd",,$C1259 &amp; $D1259 &amp; ":" &amp; I$1)</f>
        <v/>
      </c>
      <c r="J1259" s="14" t="str">
        <f>IFERROR(MOD(RTD("ice.rtd",,$C1259 &amp; $D1259 &amp; ":" &amp; J$1), 1), "")</f>
        <v/>
      </c>
      <c r="K1259" s="18" t="str">
        <f>RTD("ice.rtd",,$C1259 &amp; $D1259 &amp; ":" &amp; K$1)</f>
        <v/>
      </c>
      <c r="L1259" s="36" t="str">
        <f>RTD("ice.rtd",,$C1259 &amp; $D1259 &amp; ":" &amp; L$1)</f>
        <v/>
      </c>
      <c r="M1259" s="14" t="str">
        <f>IFERROR(MOD(TIMEVALUE(RTD("ice.rtd",,$C1259 &amp; $D1259 &amp; ":" &amp; M$1)), 1), "")</f>
        <v/>
      </c>
      <c r="N1259" s="36">
        <f>RTD("ice.rtd",,$C1259 &amp; $D1259 &amp; ":" &amp; N$1)</f>
        <v>0</v>
      </c>
      <c r="O1259" s="36">
        <f>RTD("ice.rtd",,$C1259 &amp; $D1259 &amp; ":" &amp; O$1)</f>
        <v>0</v>
      </c>
      <c r="P12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59" s="14" t="str">
        <f>IF(ICE[[#This Row],[LastType]] = "Scrn", ICE[[#This Row],[LstDate]], IF(ICE[[#This Row],[LastType]] = "Blk", ICE[[#This Row],[LstBlkTime]], ""))</f>
        <v/>
      </c>
      <c r="R1259" s="41" t="str">
        <f>IF(ICE[[#This Row],[LastType]] = "Scrn", ICE[[#This Row],[LstPrc]], IF(ICE[[#This Row],[LastType]] = "Blk", ICE[[#This Row],[LstBlkPrc]], ""))</f>
        <v/>
      </c>
      <c r="S1259" s="36">
        <f>ICE[[#This Row],[Vol]]+ICE[[#This Row],[BlkVol]]</f>
        <v>0</v>
      </c>
      <c r="T1259" s="36">
        <f>RTD("ice.rtd",,$C1259 &amp; $D1259 &amp; ":" &amp; T$1)</f>
        <v>0</v>
      </c>
      <c r="U1259" s="18">
        <f>RTD("ice.rtd",,$C1259 &amp; $D1259 &amp; ":" &amp; U$1)</f>
        <v>-140.828</v>
      </c>
      <c r="V12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59" s="18" t="str">
        <f>IFERROR(IF(LEFT(ICE[[#This Row],[Tenor]], 1) = "B", RTD("esrtd",,$B1259 &amp; " " &amp; ICE[[#This Row],[Tenor]] &amp; "-IEU", W$1), RTD("esrtd",,$B1259 &amp; " " &amp; VLOOKUP(MONTH(ICE[[#This Row],[Strip]]), MthRef[], 2, 0) &amp; RIGHT(YEAR(ICE[[#This Row],[Strip]]), 2) &amp; "-IEU", W$1)), "")</f>
        <v/>
      </c>
      <c r="X1259" s="36"/>
    </row>
    <row r="1260" spans="1:24" x14ac:dyDescent="0.25">
      <c r="A1260" s="37" t="s">
        <v>374</v>
      </c>
      <c r="B1260" s="88" t="str">
        <f>RTD("ice.rtd",,$C1260 &amp; $D1260 &amp; ":" &amp; B$1)</f>
        <v>APN</v>
      </c>
      <c r="C1260" s="3">
        <v>32613992</v>
      </c>
      <c r="D1260" t="s">
        <v>823</v>
      </c>
      <c r="E1260" s="3" t="str">
        <f>RTD("ice.rtd",,$C1260 &amp; $D1260 &amp; ":" &amp; E$1)</f>
        <v>Cal 28</v>
      </c>
      <c r="F1260" s="3" t="str">
        <f>ICE[[#This Row],[Prod]]&amp;ICE[[#This Row],[Strip]]</f>
        <v>propnapCal 28</v>
      </c>
      <c r="G1260" s="18" t="str">
        <f>RTD("ice.rtd",,$C1260 &amp; $D1260 &amp; ":" &amp; G$1)</f>
        <v/>
      </c>
      <c r="H1260" s="18" t="str">
        <f>RTD("ice.rtd",,$C1260 &amp; $D1260 &amp; ":" &amp; H$1)</f>
        <v/>
      </c>
      <c r="I1260" s="18" t="str">
        <f>RTD("ice.rtd",,$C1260 &amp; $D1260 &amp; ":" &amp; I$1)</f>
        <v/>
      </c>
      <c r="J1260" s="14" t="str">
        <f>IFERROR(MOD(RTD("ice.rtd",,$C1260 &amp; $D1260 &amp; ":" &amp; J$1), 1), "")</f>
        <v/>
      </c>
      <c r="K1260" s="18" t="str">
        <f>RTD("ice.rtd",,$C1260 &amp; $D1260 &amp; ":" &amp; K$1)</f>
        <v/>
      </c>
      <c r="L1260" s="36" t="str">
        <f>RTD("ice.rtd",,$C1260 &amp; $D1260 &amp; ":" &amp; L$1)</f>
        <v/>
      </c>
      <c r="M1260" s="14" t="str">
        <f>IFERROR(MOD(TIMEVALUE(RTD("ice.rtd",,$C1260 &amp; $D1260 &amp; ":" &amp; M$1)), 1), "")</f>
        <v/>
      </c>
      <c r="N1260" s="36">
        <f>RTD("ice.rtd",,$C1260 &amp; $D1260 &amp; ":" &amp; N$1)</f>
        <v>0</v>
      </c>
      <c r="O1260" s="36">
        <f>RTD("ice.rtd",,$C1260 &amp; $D1260 &amp; ":" &amp; O$1)</f>
        <v>0</v>
      </c>
      <c r="P12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0" s="14" t="str">
        <f>IF(ICE[[#This Row],[LastType]] = "Scrn", ICE[[#This Row],[LstDate]], IF(ICE[[#This Row],[LastType]] = "Blk", ICE[[#This Row],[LstBlkTime]], ""))</f>
        <v/>
      </c>
      <c r="R1260" s="41" t="str">
        <f>IF(ICE[[#This Row],[LastType]] = "Scrn", ICE[[#This Row],[LstPrc]], IF(ICE[[#This Row],[LastType]] = "Blk", ICE[[#This Row],[LstBlkPrc]], ""))</f>
        <v/>
      </c>
      <c r="S1260" s="36">
        <f>ICE[[#This Row],[Vol]]+ICE[[#This Row],[BlkVol]]</f>
        <v>0</v>
      </c>
      <c r="T1260" s="36">
        <f>RTD("ice.rtd",,$C1260 &amp; $D1260 &amp; ":" &amp; T$1)</f>
        <v>0</v>
      </c>
      <c r="U1260" s="18">
        <f>RTD("ice.rtd",,$C1260 &amp; $D1260 &amp; ":" &amp; U$1)</f>
        <v>-107.60600000000001</v>
      </c>
      <c r="V12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0" s="18" t="str">
        <f>IFERROR(IF(LEFT(ICE[[#This Row],[Tenor]], 1) = "B", RTD("esrtd",,$B1260 &amp; " " &amp; ICE[[#This Row],[Tenor]] &amp; "-IEU", W$1), RTD("esrtd",,$B1260 &amp; " " &amp; VLOOKUP(MONTH(ICE[[#This Row],[Strip]]), MthRef[], 2, 0) &amp; RIGHT(YEAR(ICE[[#This Row],[Strip]]), 2) &amp; "-IEU", W$1)), "")</f>
        <v/>
      </c>
      <c r="X1260" s="36"/>
    </row>
    <row r="1261" spans="1:24" x14ac:dyDescent="0.25">
      <c r="A1261" s="37" t="s">
        <v>374</v>
      </c>
      <c r="B1261" s="88" t="str">
        <f>RTD("ice.rtd",,$C1261 &amp; $D1261 &amp; ":" &amp; B$1)</f>
        <v>APN</v>
      </c>
      <c r="C1261" s="3">
        <v>32613992</v>
      </c>
      <c r="D1261" t="s">
        <v>824</v>
      </c>
      <c r="E1261" s="3" t="str">
        <f>RTD("ice.rtd",,$C1261 &amp; $D1261 &amp; ":" &amp; E$1)</f>
        <v>Cal 29</v>
      </c>
      <c r="F1261" s="3" t="str">
        <f>ICE[[#This Row],[Prod]]&amp;ICE[[#This Row],[Strip]]</f>
        <v>propnapCal 29</v>
      </c>
      <c r="G1261" s="18" t="str">
        <f>RTD("ice.rtd",,$C1261 &amp; $D1261 &amp; ":" &amp; G$1)</f>
        <v/>
      </c>
      <c r="H1261" s="18" t="str">
        <f>RTD("ice.rtd",,$C1261 &amp; $D1261 &amp; ":" &amp; H$1)</f>
        <v/>
      </c>
      <c r="I1261" s="18" t="str">
        <f>RTD("ice.rtd",,$C1261 &amp; $D1261 &amp; ":" &amp; I$1)</f>
        <v/>
      </c>
      <c r="J1261" s="14" t="str">
        <f>IFERROR(MOD(RTD("ice.rtd",,$C1261 &amp; $D1261 &amp; ":" &amp; J$1), 1), "")</f>
        <v/>
      </c>
      <c r="K1261" s="18" t="str">
        <f>RTD("ice.rtd",,$C1261 &amp; $D1261 &amp; ":" &amp; K$1)</f>
        <v/>
      </c>
      <c r="L1261" s="36" t="str">
        <f>RTD("ice.rtd",,$C1261 &amp; $D1261 &amp; ":" &amp; L$1)</f>
        <v/>
      </c>
      <c r="M1261" s="14" t="str">
        <f>IFERROR(MOD(TIMEVALUE(RTD("ice.rtd",,$C1261 &amp; $D1261 &amp; ":" &amp; M$1)), 1), "")</f>
        <v/>
      </c>
      <c r="N1261" s="36">
        <f>RTD("ice.rtd",,$C1261 &amp; $D1261 &amp; ":" &amp; N$1)</f>
        <v>0</v>
      </c>
      <c r="O1261" s="36">
        <f>RTD("ice.rtd",,$C1261 &amp; $D1261 &amp; ":" &amp; O$1)</f>
        <v>0</v>
      </c>
      <c r="P12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1" s="14" t="str">
        <f>IF(ICE[[#This Row],[LastType]] = "Scrn", ICE[[#This Row],[LstDate]], IF(ICE[[#This Row],[LastType]] = "Blk", ICE[[#This Row],[LstBlkTime]], ""))</f>
        <v/>
      </c>
      <c r="R1261" s="41" t="str">
        <f>IF(ICE[[#This Row],[LastType]] = "Scrn", ICE[[#This Row],[LstPrc]], IF(ICE[[#This Row],[LastType]] = "Blk", ICE[[#This Row],[LstBlkPrc]], ""))</f>
        <v/>
      </c>
      <c r="S1261" s="36">
        <f>ICE[[#This Row],[Vol]]+ICE[[#This Row],[BlkVol]]</f>
        <v>0</v>
      </c>
      <c r="T1261" s="36">
        <f>RTD("ice.rtd",,$C1261 &amp; $D1261 &amp; ":" &amp; T$1)</f>
        <v>0</v>
      </c>
      <c r="U1261" s="18">
        <f>RTD("ice.rtd",,$C1261 &amp; $D1261 &amp; ":" &amp; U$1)</f>
        <v>-91.353000000000009</v>
      </c>
      <c r="V12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1" s="18" t="str">
        <f>IFERROR(IF(LEFT(ICE[[#This Row],[Tenor]], 1) = "B", RTD("esrtd",,$B1261 &amp; " " &amp; ICE[[#This Row],[Tenor]] &amp; "-IEU", W$1), RTD("esrtd",,$B1261 &amp; " " &amp; VLOOKUP(MONTH(ICE[[#This Row],[Strip]]), MthRef[], 2, 0) &amp; RIGHT(YEAR(ICE[[#This Row],[Strip]]), 2) &amp; "-IEU", W$1)), "")</f>
        <v/>
      </c>
      <c r="X1261" s="36"/>
    </row>
    <row r="1262" spans="1:24" x14ac:dyDescent="0.25">
      <c r="A1262" s="37" t="s">
        <v>837</v>
      </c>
      <c r="B1262" s="88" t="str">
        <f>RTD("ice.rtd",,$C1262 &amp; $D1262 &amp; ":" &amp; B$1)</f>
        <v>UL8</v>
      </c>
      <c r="C1262" s="3">
        <v>2326425625</v>
      </c>
      <c r="D1262" t="s">
        <v>792</v>
      </c>
      <c r="E1262" s="3" t="str">
        <f>RTD("ice.rtd",,$C1262 &amp; $D1262 &amp; ":" &amp; E$1)</f>
        <v>Bal Month</v>
      </c>
      <c r="F1262" s="3" t="str">
        <f>ICE[[#This Row],[Prod]]&amp;ICE[[#This Row],[Strip]]</f>
        <v>gobrxmtBal Month</v>
      </c>
      <c r="G1262" s="18" t="str">
        <f>RTD("ice.rtd",,$C1262 &amp; $D1262 &amp; ":" &amp; G$1)</f>
        <v/>
      </c>
      <c r="H1262" s="18" t="str">
        <f>RTD("ice.rtd",,$C1262 &amp; $D1262 &amp; ":" &amp; H$1)</f>
        <v/>
      </c>
      <c r="I1262" s="18" t="str">
        <f>RTD("ice.rtd",,$C1262 &amp; $D1262 &amp; ":" &amp; I$1)</f>
        <v/>
      </c>
      <c r="J1262" s="14" t="str">
        <f>IFERROR(MOD(RTD("ice.rtd",,$C1262 &amp; $D1262 &amp; ":" &amp; J$1), 1), "")</f>
        <v/>
      </c>
      <c r="K1262" s="18" t="str">
        <f>RTD("ice.rtd",,$C1262 &amp; $D1262 &amp; ":" &amp; K$1)</f>
        <v/>
      </c>
      <c r="L1262" s="36" t="str">
        <f>RTD("ice.rtd",,$C1262 &amp; $D1262 &amp; ":" &amp; L$1)</f>
        <v/>
      </c>
      <c r="M1262" s="14" t="str">
        <f>IFERROR(MOD(TIMEVALUE(RTD("ice.rtd",,$C1262 &amp; $D1262 &amp; ":" &amp; M$1)), 1), "")</f>
        <v/>
      </c>
      <c r="N1262" s="36">
        <f>RTD("ice.rtd",,$C1262 &amp; $D1262 &amp; ":" &amp; N$1)</f>
        <v>0</v>
      </c>
      <c r="O1262" s="36">
        <f>RTD("ice.rtd",,$C1262 &amp; $D1262 &amp; ":" &amp; O$1)</f>
        <v>0</v>
      </c>
      <c r="P12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2" s="14" t="str">
        <f>IF(ICE[[#This Row],[LastType]] = "Scrn", ICE[[#This Row],[LstDate]], IF(ICE[[#This Row],[LastType]] = "Blk", ICE[[#This Row],[LstBlkTime]], ""))</f>
        <v/>
      </c>
      <c r="R1262" s="41" t="str">
        <f>IF(ICE[[#This Row],[LastType]] = "Scrn", ICE[[#This Row],[LstPrc]], IF(ICE[[#This Row],[LastType]] = "Blk", ICE[[#This Row],[LstBlkPrc]], ""))</f>
        <v/>
      </c>
      <c r="S1262" s="36">
        <f>ICE[[#This Row],[Vol]]+ICE[[#This Row],[BlkVol]]</f>
        <v>0</v>
      </c>
      <c r="T1262" s="36">
        <f>RTD("ice.rtd",,$C1262 &amp; $D1262 &amp; ":" &amp; T$1)</f>
        <v>0</v>
      </c>
      <c r="U1262" s="18">
        <f>RTD("ice.rtd",,$C1262 &amp; $D1262 &amp; ":" &amp; U$1)</f>
        <v>89.2423</v>
      </c>
      <c r="V12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2" s="18" t="str">
        <f>IFERROR(IF(LEFT(ICE[[#This Row],[Tenor]], 1) = "B", RTD("esrtd",,$B1262 &amp; " " &amp; ICE[[#This Row],[Tenor]] &amp; "-IEU", W$1), RTD("esrtd",,$B1262 &amp; " " &amp; VLOOKUP(MONTH(ICE[[#This Row],[Strip]]), MthRef[], 2, 0) &amp; RIGHT(YEAR(ICE[[#This Row],[Strip]]), 2) &amp; "-IEU", W$1)), "")</f>
        <v/>
      </c>
      <c r="X1262" s="36"/>
    </row>
    <row r="1263" spans="1:24" x14ac:dyDescent="0.25">
      <c r="A1263" s="37" t="s">
        <v>837</v>
      </c>
      <c r="B1263" s="88" t="str">
        <f>RTD("ice.rtd",,$C1263 &amp; $D1263 &amp; ":" &amp; B$1)</f>
        <v>ULC</v>
      </c>
      <c r="C1263" s="3">
        <v>34344092</v>
      </c>
      <c r="D1263" t="s">
        <v>793</v>
      </c>
      <c r="E1263" s="3" t="str">
        <f>RTD("ice.rtd",,$C1263 &amp; $D1263 &amp; ":" &amp; E$1)</f>
        <v>Sep26</v>
      </c>
      <c r="F1263" s="3" t="str">
        <f>ICE[[#This Row],[Prod]]&amp;ICE[[#This Row],[Strip]]</f>
        <v>gobrxmtSep26</v>
      </c>
      <c r="G1263" s="18" t="str">
        <f>RTD("ice.rtd",,$C1263 &amp; $D1263 &amp; ":" &amp; G$1)</f>
        <v/>
      </c>
      <c r="H1263" s="18" t="str">
        <f>RTD("ice.rtd",,$C1263 &amp; $D1263 &amp; ":" &amp; H$1)</f>
        <v/>
      </c>
      <c r="I1263" s="18" t="str">
        <f>RTD("ice.rtd",,$C1263 &amp; $D1263 &amp; ":" &amp; I$1)</f>
        <v/>
      </c>
      <c r="J1263" s="14" t="str">
        <f>IFERROR(MOD(RTD("ice.rtd",,$C1263 &amp; $D1263 &amp; ":" &amp; J$1), 1), "")</f>
        <v/>
      </c>
      <c r="K1263" s="18" t="str">
        <f>RTD("ice.rtd",,$C1263 &amp; $D1263 &amp; ":" &amp; K$1)</f>
        <v/>
      </c>
      <c r="L1263" s="36" t="str">
        <f>RTD("ice.rtd",,$C1263 &amp; $D1263 &amp; ":" &amp; L$1)</f>
        <v/>
      </c>
      <c r="M1263" s="14" t="str">
        <f>IFERROR(MOD(TIMEVALUE(RTD("ice.rtd",,$C1263 &amp; $D1263 &amp; ":" &amp; M$1)), 1), "")</f>
        <v/>
      </c>
      <c r="N1263" s="36">
        <f>RTD("ice.rtd",,$C1263 &amp; $D1263 &amp; ":" &amp; N$1)</f>
        <v>0</v>
      </c>
      <c r="O1263" s="36">
        <f>RTD("ice.rtd",,$C1263 &amp; $D1263 &amp; ":" &amp; O$1)</f>
        <v>0</v>
      </c>
      <c r="P12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3" s="14" t="str">
        <f>IF(ICE[[#This Row],[LastType]] = "Scrn", ICE[[#This Row],[LstDate]], IF(ICE[[#This Row],[LastType]] = "Blk", ICE[[#This Row],[LstBlkTime]], ""))</f>
        <v/>
      </c>
      <c r="R1263" s="41" t="str">
        <f>IF(ICE[[#This Row],[LastType]] = "Scrn", ICE[[#This Row],[LstPrc]], IF(ICE[[#This Row],[LastType]] = "Blk", ICE[[#This Row],[LstBlkPrc]], ""))</f>
        <v/>
      </c>
      <c r="S1263" s="36">
        <f>ICE[[#This Row],[Vol]]+ICE[[#This Row],[BlkVol]]</f>
        <v>0</v>
      </c>
      <c r="T1263" s="36">
        <f>RTD("ice.rtd",,$C1263 &amp; $D1263 &amp; ":" &amp; T$1)</f>
        <v>153</v>
      </c>
      <c r="U1263" s="18">
        <f>RTD("ice.rtd",,$C1263 &amp; $D1263 &amp; ":" &amp; U$1)</f>
        <v>89.2423</v>
      </c>
      <c r="V12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3" s="18" t="str">
        <f>IFERROR(IF(LEFT(ICE[[#This Row],[Tenor]], 1) = "B", RTD("esrtd",,$B1263 &amp; " " &amp; ICE[[#This Row],[Tenor]] &amp; "-IEU", W$1), RTD("esrtd",,$B1263 &amp; " " &amp; VLOOKUP(MONTH(ICE[[#This Row],[Strip]]), MthRef[], 2, 0) &amp; RIGHT(YEAR(ICE[[#This Row],[Strip]]), 2) &amp; "-IEU", W$1)), "")</f>
        <v/>
      </c>
      <c r="X1263" s="36"/>
    </row>
    <row r="1264" spans="1:24" x14ac:dyDescent="0.25">
      <c r="A1264" s="37" t="s">
        <v>837</v>
      </c>
      <c r="B1264" s="88" t="str">
        <f>RTD("ice.rtd",,$C1264 &amp; $D1264 &amp; ":" &amp; B$1)</f>
        <v>ULC</v>
      </c>
      <c r="C1264" s="3">
        <v>34344092</v>
      </c>
      <c r="D1264" t="s">
        <v>324</v>
      </c>
      <c r="E1264" s="3" t="str">
        <f>RTD("ice.rtd",,$C1264 &amp; $D1264 &amp; ":" &amp; E$1)</f>
        <v>Oct26</v>
      </c>
      <c r="F1264" s="3" t="str">
        <f>ICE[[#This Row],[Prod]]&amp;ICE[[#This Row],[Strip]]</f>
        <v>gobrxmtOct26</v>
      </c>
      <c r="G1264" s="18" t="str">
        <f>RTD("ice.rtd",,$C1264 &amp; $D1264 &amp; ":" &amp; G$1)</f>
        <v/>
      </c>
      <c r="H1264" s="18" t="str">
        <f>RTD("ice.rtd",,$C1264 &amp; $D1264 &amp; ":" &amp; H$1)</f>
        <v/>
      </c>
      <c r="I1264" s="18" t="str">
        <f>RTD("ice.rtd",,$C1264 &amp; $D1264 &amp; ":" &amp; I$1)</f>
        <v/>
      </c>
      <c r="J1264" s="14" t="str">
        <f>IFERROR(MOD(RTD("ice.rtd",,$C1264 &amp; $D1264 &amp; ":" &amp; J$1), 1), "")</f>
        <v/>
      </c>
      <c r="K1264" s="18" t="str">
        <f>RTD("ice.rtd",,$C1264 &amp; $D1264 &amp; ":" &amp; K$1)</f>
        <v/>
      </c>
      <c r="L1264" s="36" t="str">
        <f>RTD("ice.rtd",,$C1264 &amp; $D1264 &amp; ":" &amp; L$1)</f>
        <v/>
      </c>
      <c r="M1264" s="14" t="str">
        <f>IFERROR(MOD(TIMEVALUE(RTD("ice.rtd",,$C1264 &amp; $D1264 &amp; ":" &amp; M$1)), 1), "")</f>
        <v/>
      </c>
      <c r="N1264" s="36">
        <f>RTD("ice.rtd",,$C1264 &amp; $D1264 &amp; ":" &amp; N$1)</f>
        <v>0</v>
      </c>
      <c r="O1264" s="36">
        <f>RTD("ice.rtd",,$C1264 &amp; $D1264 &amp; ":" &amp; O$1)</f>
        <v>0</v>
      </c>
      <c r="P12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4" s="14" t="str">
        <f>IF(ICE[[#This Row],[LastType]] = "Scrn", ICE[[#This Row],[LstDate]], IF(ICE[[#This Row],[LastType]] = "Blk", ICE[[#This Row],[LstBlkTime]], ""))</f>
        <v/>
      </c>
      <c r="R1264" s="41" t="str">
        <f>IF(ICE[[#This Row],[LastType]] = "Scrn", ICE[[#This Row],[LstPrc]], IF(ICE[[#This Row],[LastType]] = "Blk", ICE[[#This Row],[LstBlkPrc]], ""))</f>
        <v/>
      </c>
      <c r="S1264" s="36">
        <f>ICE[[#This Row],[Vol]]+ICE[[#This Row],[BlkVol]]</f>
        <v>0</v>
      </c>
      <c r="T1264" s="36">
        <f>RTD("ice.rtd",,$C1264 &amp; $D1264 &amp; ":" &amp; T$1)</f>
        <v>81</v>
      </c>
      <c r="U1264" s="18">
        <f>RTD("ice.rtd",,$C1264 &amp; $D1264 &amp; ":" &amp; U$1)</f>
        <v>82.474500000000006</v>
      </c>
      <c r="V12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4" s="18" t="str">
        <f>IFERROR(IF(LEFT(ICE[[#This Row],[Tenor]], 1) = "B", RTD("esrtd",,$B1264 &amp; " " &amp; ICE[[#This Row],[Tenor]] &amp; "-IEU", W$1), RTD("esrtd",,$B1264 &amp; " " &amp; VLOOKUP(MONTH(ICE[[#This Row],[Strip]]), MthRef[], 2, 0) &amp; RIGHT(YEAR(ICE[[#This Row],[Strip]]), 2) &amp; "-IEU", W$1)), "")</f>
        <v/>
      </c>
      <c r="X1264" s="36"/>
    </row>
    <row r="1265" spans="1:24" x14ac:dyDescent="0.25">
      <c r="A1265" s="37" t="s">
        <v>837</v>
      </c>
      <c r="B1265" s="88" t="str">
        <f>RTD("ice.rtd",,$C1265 &amp; $D1265 &amp; ":" &amp; B$1)</f>
        <v>ULC</v>
      </c>
      <c r="C1265" s="3">
        <v>34344092</v>
      </c>
      <c r="D1265" t="s">
        <v>325</v>
      </c>
      <c r="E1265" s="3" t="str">
        <f>RTD("ice.rtd",,$C1265 &amp; $D1265 &amp; ":" &amp; E$1)</f>
        <v>Nov26</v>
      </c>
      <c r="F1265" s="3" t="str">
        <f>ICE[[#This Row],[Prod]]&amp;ICE[[#This Row],[Strip]]</f>
        <v>gobrxmtNov26</v>
      </c>
      <c r="G1265" s="18" t="str">
        <f>RTD("ice.rtd",,$C1265 &amp; $D1265 &amp; ":" &amp; G$1)</f>
        <v/>
      </c>
      <c r="H1265" s="18" t="str">
        <f>RTD("ice.rtd",,$C1265 &amp; $D1265 &amp; ":" &amp; H$1)</f>
        <v/>
      </c>
      <c r="I1265" s="18" t="str">
        <f>RTD("ice.rtd",,$C1265 &amp; $D1265 &amp; ":" &amp; I$1)</f>
        <v/>
      </c>
      <c r="J1265" s="14" t="str">
        <f>IFERROR(MOD(RTD("ice.rtd",,$C1265 &amp; $D1265 &amp; ":" &amp; J$1), 1), "")</f>
        <v/>
      </c>
      <c r="K1265" s="18" t="str">
        <f>RTD("ice.rtd",,$C1265 &amp; $D1265 &amp; ":" &amp; K$1)</f>
        <v/>
      </c>
      <c r="L1265" s="36" t="str">
        <f>RTD("ice.rtd",,$C1265 &amp; $D1265 &amp; ":" &amp; L$1)</f>
        <v/>
      </c>
      <c r="M1265" s="14" t="str">
        <f>IFERROR(MOD(TIMEVALUE(RTD("ice.rtd",,$C1265 &amp; $D1265 &amp; ":" &amp; M$1)), 1), "")</f>
        <v/>
      </c>
      <c r="N1265" s="36">
        <f>RTD("ice.rtd",,$C1265 &amp; $D1265 &amp; ":" &amp; N$1)</f>
        <v>0</v>
      </c>
      <c r="O1265" s="36">
        <f>RTD("ice.rtd",,$C1265 &amp; $D1265 &amp; ":" &amp; O$1)</f>
        <v>0</v>
      </c>
      <c r="P12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5" s="14" t="str">
        <f>IF(ICE[[#This Row],[LastType]] = "Scrn", ICE[[#This Row],[LstDate]], IF(ICE[[#This Row],[LastType]] = "Blk", ICE[[#This Row],[LstBlkTime]], ""))</f>
        <v/>
      </c>
      <c r="R1265" s="41" t="str">
        <f>IF(ICE[[#This Row],[LastType]] = "Scrn", ICE[[#This Row],[LstPrc]], IF(ICE[[#This Row],[LastType]] = "Blk", ICE[[#This Row],[LstBlkPrc]], ""))</f>
        <v/>
      </c>
      <c r="S1265" s="36">
        <f>ICE[[#This Row],[Vol]]+ICE[[#This Row],[BlkVol]]</f>
        <v>0</v>
      </c>
      <c r="T1265" s="36">
        <f>RTD("ice.rtd",,$C1265 &amp; $D1265 &amp; ":" &amp; T$1)</f>
        <v>85</v>
      </c>
      <c r="U1265" s="18">
        <f>RTD("ice.rtd",,$C1265 &amp; $D1265 &amp; ":" &amp; U$1)</f>
        <v>76.870100000000008</v>
      </c>
      <c r="V12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5" s="18" t="str">
        <f>IFERROR(IF(LEFT(ICE[[#This Row],[Tenor]], 1) = "B", RTD("esrtd",,$B1265 &amp; " " &amp; ICE[[#This Row],[Tenor]] &amp; "-IEU", W$1), RTD("esrtd",,$B1265 &amp; " " &amp; VLOOKUP(MONTH(ICE[[#This Row],[Strip]]), MthRef[], 2, 0) &amp; RIGHT(YEAR(ICE[[#This Row],[Strip]]), 2) &amp; "-IEU", W$1)), "")</f>
        <v/>
      </c>
      <c r="X1265" s="36"/>
    </row>
    <row r="1266" spans="1:24" x14ac:dyDescent="0.25">
      <c r="A1266" s="37" t="s">
        <v>837</v>
      </c>
      <c r="B1266" s="88" t="str">
        <f>RTD("ice.rtd",,$C1266 &amp; $D1266 &amp; ":" &amp; B$1)</f>
        <v>ULC</v>
      </c>
      <c r="C1266" s="3">
        <v>34344092</v>
      </c>
      <c r="D1266" t="s">
        <v>326</v>
      </c>
      <c r="E1266" s="3" t="str">
        <f>RTD("ice.rtd",,$C1266 &amp; $D1266 &amp; ":" &amp; E$1)</f>
        <v>Dec26</v>
      </c>
      <c r="F1266" s="3" t="str">
        <f>ICE[[#This Row],[Prod]]&amp;ICE[[#This Row],[Strip]]</f>
        <v>gobrxmtDec26</v>
      </c>
      <c r="G1266" s="18" t="str">
        <f>RTD("ice.rtd",,$C1266 &amp; $D1266 &amp; ":" &amp; G$1)</f>
        <v/>
      </c>
      <c r="H1266" s="18" t="str">
        <f>RTD("ice.rtd",,$C1266 &amp; $D1266 &amp; ":" &amp; H$1)</f>
        <v/>
      </c>
      <c r="I1266" s="18" t="str">
        <f>RTD("ice.rtd",,$C1266 &amp; $D1266 &amp; ":" &amp; I$1)</f>
        <v/>
      </c>
      <c r="J1266" s="14" t="str">
        <f>IFERROR(MOD(RTD("ice.rtd",,$C1266 &amp; $D1266 &amp; ":" &amp; J$1), 1), "")</f>
        <v/>
      </c>
      <c r="K1266" s="18" t="str">
        <f>RTD("ice.rtd",,$C1266 &amp; $D1266 &amp; ":" &amp; K$1)</f>
        <v/>
      </c>
      <c r="L1266" s="36" t="str">
        <f>RTD("ice.rtd",,$C1266 &amp; $D1266 &amp; ":" &amp; L$1)</f>
        <v/>
      </c>
      <c r="M1266" s="14" t="str">
        <f>IFERROR(MOD(TIMEVALUE(RTD("ice.rtd",,$C1266 &amp; $D1266 &amp; ":" &amp; M$1)), 1), "")</f>
        <v/>
      </c>
      <c r="N1266" s="36">
        <f>RTD("ice.rtd",,$C1266 &amp; $D1266 &amp; ":" &amp; N$1)</f>
        <v>0</v>
      </c>
      <c r="O1266" s="36">
        <f>RTD("ice.rtd",,$C1266 &amp; $D1266 &amp; ":" &amp; O$1)</f>
        <v>0</v>
      </c>
      <c r="P12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6" s="14" t="str">
        <f>IF(ICE[[#This Row],[LastType]] = "Scrn", ICE[[#This Row],[LstDate]], IF(ICE[[#This Row],[LastType]] = "Blk", ICE[[#This Row],[LstBlkTime]], ""))</f>
        <v/>
      </c>
      <c r="R1266" s="41" t="str">
        <f>IF(ICE[[#This Row],[LastType]] = "Scrn", ICE[[#This Row],[LstPrc]], IF(ICE[[#This Row],[LastType]] = "Blk", ICE[[#This Row],[LstBlkPrc]], ""))</f>
        <v/>
      </c>
      <c r="S1266" s="36">
        <f>ICE[[#This Row],[Vol]]+ICE[[#This Row],[BlkVol]]</f>
        <v>0</v>
      </c>
      <c r="T1266" s="36">
        <f>RTD("ice.rtd",,$C1266 &amp; $D1266 &amp; ":" &amp; T$1)</f>
        <v>90</v>
      </c>
      <c r="U1266" s="18">
        <f>RTD("ice.rtd",,$C1266 &amp; $D1266 &amp; ":" &amp; U$1)</f>
        <v>71.802300000000002</v>
      </c>
      <c r="V12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6" s="18" t="str">
        <f>IFERROR(IF(LEFT(ICE[[#This Row],[Tenor]], 1) = "B", RTD("esrtd",,$B1266 &amp; " " &amp; ICE[[#This Row],[Tenor]] &amp; "-IEU", W$1), RTD("esrtd",,$B1266 &amp; " " &amp; VLOOKUP(MONTH(ICE[[#This Row],[Strip]]), MthRef[], 2, 0) &amp; RIGHT(YEAR(ICE[[#This Row],[Strip]]), 2) &amp; "-IEU", W$1)), "")</f>
        <v/>
      </c>
      <c r="X1266" s="36"/>
    </row>
    <row r="1267" spans="1:24" x14ac:dyDescent="0.25">
      <c r="A1267" s="37" t="s">
        <v>837</v>
      </c>
      <c r="B1267" s="88" t="str">
        <f>RTD("ice.rtd",,$C1267 &amp; $D1267 &amp; ":" &amp; B$1)</f>
        <v>ULC</v>
      </c>
      <c r="C1267" s="3">
        <v>34344092</v>
      </c>
      <c r="D1267" t="s">
        <v>794</v>
      </c>
      <c r="E1267" s="3" t="str">
        <f>RTD("ice.rtd",,$C1267 &amp; $D1267 &amp; ":" &amp; E$1)</f>
        <v>Jan27</v>
      </c>
      <c r="F1267" s="3" t="str">
        <f>ICE[[#This Row],[Prod]]&amp;ICE[[#This Row],[Strip]]</f>
        <v>gobrxmtJan27</v>
      </c>
      <c r="G1267" s="18" t="str">
        <f>RTD("ice.rtd",,$C1267 &amp; $D1267 &amp; ":" &amp; G$1)</f>
        <v/>
      </c>
      <c r="H1267" s="18" t="str">
        <f>RTD("ice.rtd",,$C1267 &amp; $D1267 &amp; ":" &amp; H$1)</f>
        <v/>
      </c>
      <c r="I1267" s="18" t="str">
        <f>RTD("ice.rtd",,$C1267 &amp; $D1267 &amp; ":" &amp; I$1)</f>
        <v/>
      </c>
      <c r="J1267" s="14" t="str">
        <f>IFERROR(MOD(RTD("ice.rtd",,$C1267 &amp; $D1267 &amp; ":" &amp; J$1), 1), "")</f>
        <v/>
      </c>
      <c r="K1267" s="18" t="str">
        <f>RTD("ice.rtd",,$C1267 &amp; $D1267 &amp; ":" &amp; K$1)</f>
        <v/>
      </c>
      <c r="L1267" s="36" t="str">
        <f>RTD("ice.rtd",,$C1267 &amp; $D1267 &amp; ":" &amp; L$1)</f>
        <v/>
      </c>
      <c r="M1267" s="14" t="str">
        <f>IFERROR(MOD(TIMEVALUE(RTD("ice.rtd",,$C1267 &amp; $D1267 &amp; ":" &amp; M$1)), 1), "")</f>
        <v/>
      </c>
      <c r="N1267" s="36">
        <f>RTD("ice.rtd",,$C1267 &amp; $D1267 &amp; ":" &amp; N$1)</f>
        <v>0</v>
      </c>
      <c r="O1267" s="36">
        <f>RTD("ice.rtd",,$C1267 &amp; $D1267 &amp; ":" &amp; O$1)</f>
        <v>0</v>
      </c>
      <c r="P12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7" s="14" t="str">
        <f>IF(ICE[[#This Row],[LastType]] = "Scrn", ICE[[#This Row],[LstDate]], IF(ICE[[#This Row],[LastType]] = "Blk", ICE[[#This Row],[LstBlkTime]], ""))</f>
        <v/>
      </c>
      <c r="R1267" s="41" t="str">
        <f>IF(ICE[[#This Row],[LastType]] = "Scrn", ICE[[#This Row],[LstPrc]], IF(ICE[[#This Row],[LastType]] = "Blk", ICE[[#This Row],[LstBlkPrc]], ""))</f>
        <v/>
      </c>
      <c r="S1267" s="36">
        <f>ICE[[#This Row],[Vol]]+ICE[[#This Row],[BlkVol]]</f>
        <v>0</v>
      </c>
      <c r="T1267" s="36">
        <f>RTD("ice.rtd",,$C1267 &amp; $D1267 &amp; ":" &amp; T$1)</f>
        <v>40</v>
      </c>
      <c r="U1267" s="18">
        <f>RTD("ice.rtd",,$C1267 &amp; $D1267 &amp; ":" &amp; U$1)</f>
        <v>68.228499999999997</v>
      </c>
      <c r="V12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7" s="18" t="str">
        <f>IFERROR(IF(LEFT(ICE[[#This Row],[Tenor]], 1) = "B", RTD("esrtd",,$B1267 &amp; " " &amp; ICE[[#This Row],[Tenor]] &amp; "-IEU", W$1), RTD("esrtd",,$B1267 &amp; " " &amp; VLOOKUP(MONTH(ICE[[#This Row],[Strip]]), MthRef[], 2, 0) &amp; RIGHT(YEAR(ICE[[#This Row],[Strip]]), 2) &amp; "-IEU", W$1)), "")</f>
        <v/>
      </c>
      <c r="X1267" s="36"/>
    </row>
    <row r="1268" spans="1:24" x14ac:dyDescent="0.25">
      <c r="A1268" s="37" t="s">
        <v>837</v>
      </c>
      <c r="B1268" s="88" t="str">
        <f>RTD("ice.rtd",,$C1268 &amp; $D1268 &amp; ":" &amp; B$1)</f>
        <v>ULC</v>
      </c>
      <c r="C1268" s="3">
        <v>34344092</v>
      </c>
      <c r="D1268" t="s">
        <v>795</v>
      </c>
      <c r="E1268" s="3" t="str">
        <f>RTD("ice.rtd",,$C1268 &amp; $D1268 &amp; ":" &amp; E$1)</f>
        <v>Feb27</v>
      </c>
      <c r="F1268" s="3" t="str">
        <f>ICE[[#This Row],[Prod]]&amp;ICE[[#This Row],[Strip]]</f>
        <v>gobrxmtFeb27</v>
      </c>
      <c r="G1268" s="18" t="str">
        <f>RTD("ice.rtd",,$C1268 &amp; $D1268 &amp; ":" &amp; G$1)</f>
        <v/>
      </c>
      <c r="H1268" s="18" t="str">
        <f>RTD("ice.rtd",,$C1268 &amp; $D1268 &amp; ":" &amp; H$1)</f>
        <v/>
      </c>
      <c r="I1268" s="18" t="str">
        <f>RTD("ice.rtd",,$C1268 &amp; $D1268 &amp; ":" &amp; I$1)</f>
        <v/>
      </c>
      <c r="J1268" s="14" t="str">
        <f>IFERROR(MOD(RTD("ice.rtd",,$C1268 &amp; $D1268 &amp; ":" &amp; J$1), 1), "")</f>
        <v/>
      </c>
      <c r="K1268" s="18" t="str">
        <f>RTD("ice.rtd",,$C1268 &amp; $D1268 &amp; ":" &amp; K$1)</f>
        <v/>
      </c>
      <c r="L1268" s="36" t="str">
        <f>RTD("ice.rtd",,$C1268 &amp; $D1268 &amp; ":" &amp; L$1)</f>
        <v/>
      </c>
      <c r="M1268" s="14" t="str">
        <f>IFERROR(MOD(TIMEVALUE(RTD("ice.rtd",,$C1268 &amp; $D1268 &amp; ":" &amp; M$1)), 1), "")</f>
        <v/>
      </c>
      <c r="N1268" s="36">
        <f>RTD("ice.rtd",,$C1268 &amp; $D1268 &amp; ":" &amp; N$1)</f>
        <v>0</v>
      </c>
      <c r="O1268" s="36">
        <f>RTD("ice.rtd",,$C1268 &amp; $D1268 &amp; ":" &amp; O$1)</f>
        <v>0</v>
      </c>
      <c r="P12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8" s="14" t="str">
        <f>IF(ICE[[#This Row],[LastType]] = "Scrn", ICE[[#This Row],[LstDate]], IF(ICE[[#This Row],[LastType]] = "Blk", ICE[[#This Row],[LstBlkTime]], ""))</f>
        <v/>
      </c>
      <c r="R1268" s="41" t="str">
        <f>IF(ICE[[#This Row],[LastType]] = "Scrn", ICE[[#This Row],[LstPrc]], IF(ICE[[#This Row],[LastType]] = "Blk", ICE[[#This Row],[LstBlkPrc]], ""))</f>
        <v/>
      </c>
      <c r="S1268" s="36">
        <f>ICE[[#This Row],[Vol]]+ICE[[#This Row],[BlkVol]]</f>
        <v>0</v>
      </c>
      <c r="T1268" s="36">
        <f>RTD("ice.rtd",,$C1268 &amp; $D1268 &amp; ":" &amp; T$1)</f>
        <v>40</v>
      </c>
      <c r="U1268" s="18">
        <f>RTD("ice.rtd",,$C1268 &amp; $D1268 &amp; ":" &amp; U$1)</f>
        <v>65.424900000000008</v>
      </c>
      <c r="V12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8" s="18" t="str">
        <f>IFERROR(IF(LEFT(ICE[[#This Row],[Tenor]], 1) = "B", RTD("esrtd",,$B1268 &amp; " " &amp; ICE[[#This Row],[Tenor]] &amp; "-IEU", W$1), RTD("esrtd",,$B1268 &amp; " " &amp; VLOOKUP(MONTH(ICE[[#This Row],[Strip]]), MthRef[], 2, 0) &amp; RIGHT(YEAR(ICE[[#This Row],[Strip]]), 2) &amp; "-IEU", W$1)), "")</f>
        <v/>
      </c>
      <c r="X1268" s="36"/>
    </row>
    <row r="1269" spans="1:24" x14ac:dyDescent="0.25">
      <c r="A1269" s="37" t="s">
        <v>837</v>
      </c>
      <c r="B1269" s="88" t="str">
        <f>RTD("ice.rtd",,$C1269 &amp; $D1269 &amp; ":" &amp; B$1)</f>
        <v>ULC</v>
      </c>
      <c r="C1269" s="3">
        <v>34344092</v>
      </c>
      <c r="D1269" t="s">
        <v>113</v>
      </c>
      <c r="E1269" s="3" t="str">
        <f>RTD("ice.rtd",,$C1269 &amp; $D1269 &amp; ":" &amp; E$1)</f>
        <v>Mar27</v>
      </c>
      <c r="F1269" s="3" t="str">
        <f>ICE[[#This Row],[Prod]]&amp;ICE[[#This Row],[Strip]]</f>
        <v>gobrxmtMar27</v>
      </c>
      <c r="G1269" s="18" t="str">
        <f>RTD("ice.rtd",,$C1269 &amp; $D1269 &amp; ":" &amp; G$1)</f>
        <v/>
      </c>
      <c r="H1269" s="18" t="str">
        <f>RTD("ice.rtd",,$C1269 &amp; $D1269 &amp; ":" &amp; H$1)</f>
        <v/>
      </c>
      <c r="I1269" s="18" t="str">
        <f>RTD("ice.rtd",,$C1269 &amp; $D1269 &amp; ":" &amp; I$1)</f>
        <v/>
      </c>
      <c r="J1269" s="14" t="str">
        <f>IFERROR(MOD(RTD("ice.rtd",,$C1269 &amp; $D1269 &amp; ":" &amp; J$1), 1), "")</f>
        <v/>
      </c>
      <c r="K1269" s="18" t="str">
        <f>RTD("ice.rtd",,$C1269 &amp; $D1269 &amp; ":" &amp; K$1)</f>
        <v/>
      </c>
      <c r="L1269" s="36" t="str">
        <f>RTD("ice.rtd",,$C1269 &amp; $D1269 &amp; ":" &amp; L$1)</f>
        <v/>
      </c>
      <c r="M1269" s="14" t="str">
        <f>IFERROR(MOD(TIMEVALUE(RTD("ice.rtd",,$C1269 &amp; $D1269 &amp; ":" &amp; M$1)), 1), "")</f>
        <v/>
      </c>
      <c r="N1269" s="36">
        <f>RTD("ice.rtd",,$C1269 &amp; $D1269 &amp; ":" &amp; N$1)</f>
        <v>0</v>
      </c>
      <c r="O1269" s="36">
        <f>RTD("ice.rtd",,$C1269 &amp; $D1269 &amp; ":" &amp; O$1)</f>
        <v>0</v>
      </c>
      <c r="P12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69" s="14" t="str">
        <f>IF(ICE[[#This Row],[LastType]] = "Scrn", ICE[[#This Row],[LstDate]], IF(ICE[[#This Row],[LastType]] = "Blk", ICE[[#This Row],[LstBlkTime]], ""))</f>
        <v/>
      </c>
      <c r="R1269" s="41" t="str">
        <f>IF(ICE[[#This Row],[LastType]] = "Scrn", ICE[[#This Row],[LstPrc]], IF(ICE[[#This Row],[LastType]] = "Blk", ICE[[#This Row],[LstBlkPrc]], ""))</f>
        <v/>
      </c>
      <c r="S1269" s="36">
        <f>ICE[[#This Row],[Vol]]+ICE[[#This Row],[BlkVol]]</f>
        <v>0</v>
      </c>
      <c r="T1269" s="36">
        <f>RTD("ice.rtd",,$C1269 &amp; $D1269 &amp; ":" &amp; T$1)</f>
        <v>40</v>
      </c>
      <c r="U1269" s="18">
        <f>RTD("ice.rtd",,$C1269 &amp; $D1269 &amp; ":" &amp; U$1)</f>
        <v>61.630900000000004</v>
      </c>
      <c r="V12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69" s="18" t="str">
        <f>IFERROR(IF(LEFT(ICE[[#This Row],[Tenor]], 1) = "B", RTD("esrtd",,$B1269 &amp; " " &amp; ICE[[#This Row],[Tenor]] &amp; "-IEU", W$1), RTD("esrtd",,$B1269 &amp; " " &amp; VLOOKUP(MONTH(ICE[[#This Row],[Strip]]), MthRef[], 2, 0) &amp; RIGHT(YEAR(ICE[[#This Row],[Strip]]), 2) &amp; "-IEU", W$1)), "")</f>
        <v/>
      </c>
      <c r="X1269" s="36"/>
    </row>
    <row r="1270" spans="1:24" x14ac:dyDescent="0.25">
      <c r="A1270" s="37" t="s">
        <v>837</v>
      </c>
      <c r="B1270" s="88" t="str">
        <f>RTD("ice.rtd",,$C1270 &amp; $D1270 &amp; ":" &amp; B$1)</f>
        <v>ULC</v>
      </c>
      <c r="C1270" s="3">
        <v>34344092</v>
      </c>
      <c r="D1270" t="s">
        <v>796</v>
      </c>
      <c r="E1270" s="3" t="str">
        <f>RTD("ice.rtd",,$C1270 &amp; $D1270 &amp; ":" &amp; E$1)</f>
        <v>Apr27</v>
      </c>
      <c r="F1270" s="3" t="str">
        <f>ICE[[#This Row],[Prod]]&amp;ICE[[#This Row],[Strip]]</f>
        <v>gobrxmtApr27</v>
      </c>
      <c r="G1270" s="18" t="str">
        <f>RTD("ice.rtd",,$C1270 &amp; $D1270 &amp; ":" &amp; G$1)</f>
        <v/>
      </c>
      <c r="H1270" s="18" t="str">
        <f>RTD("ice.rtd",,$C1270 &amp; $D1270 &amp; ":" &amp; H$1)</f>
        <v/>
      </c>
      <c r="I1270" s="18" t="str">
        <f>RTD("ice.rtd",,$C1270 &amp; $D1270 &amp; ":" &amp; I$1)</f>
        <v/>
      </c>
      <c r="J1270" s="14" t="str">
        <f>IFERROR(MOD(RTD("ice.rtd",,$C1270 &amp; $D1270 &amp; ":" &amp; J$1), 1), "")</f>
        <v/>
      </c>
      <c r="K1270" s="18" t="str">
        <f>RTD("ice.rtd",,$C1270 &amp; $D1270 &amp; ":" &amp; K$1)</f>
        <v/>
      </c>
      <c r="L1270" s="36" t="str">
        <f>RTD("ice.rtd",,$C1270 &amp; $D1270 &amp; ":" &amp; L$1)</f>
        <v/>
      </c>
      <c r="M1270" s="14" t="str">
        <f>IFERROR(MOD(TIMEVALUE(RTD("ice.rtd",,$C1270 &amp; $D1270 &amp; ":" &amp; M$1)), 1), "")</f>
        <v/>
      </c>
      <c r="N1270" s="36">
        <f>RTD("ice.rtd",,$C1270 &amp; $D1270 &amp; ":" &amp; N$1)</f>
        <v>0</v>
      </c>
      <c r="O1270" s="36">
        <f>RTD("ice.rtd",,$C1270 &amp; $D1270 &amp; ":" &amp; O$1)</f>
        <v>0</v>
      </c>
      <c r="P12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0" s="14" t="str">
        <f>IF(ICE[[#This Row],[LastType]] = "Scrn", ICE[[#This Row],[LstDate]], IF(ICE[[#This Row],[LastType]] = "Blk", ICE[[#This Row],[LstBlkTime]], ""))</f>
        <v/>
      </c>
      <c r="R1270" s="41" t="str">
        <f>IF(ICE[[#This Row],[LastType]] = "Scrn", ICE[[#This Row],[LstPrc]], IF(ICE[[#This Row],[LastType]] = "Blk", ICE[[#This Row],[LstBlkPrc]], ""))</f>
        <v/>
      </c>
      <c r="S1270" s="36">
        <f>ICE[[#This Row],[Vol]]+ICE[[#This Row],[BlkVol]]</f>
        <v>0</v>
      </c>
      <c r="T1270" s="36">
        <f>RTD("ice.rtd",,$C1270 &amp; $D1270 &amp; ":" &amp; T$1)</f>
        <v>8</v>
      </c>
      <c r="U1270" s="18">
        <f>RTD("ice.rtd",,$C1270 &amp; $D1270 &amp; ":" &amp; U$1)</f>
        <v>58.1676</v>
      </c>
      <c r="V12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0" s="18" t="str">
        <f>IFERROR(IF(LEFT(ICE[[#This Row],[Tenor]], 1) = "B", RTD("esrtd",,$B1270 &amp; " " &amp; ICE[[#This Row],[Tenor]] &amp; "-IEU", W$1), RTD("esrtd",,$B1270 &amp; " " &amp; VLOOKUP(MONTH(ICE[[#This Row],[Strip]]), MthRef[], 2, 0) &amp; RIGHT(YEAR(ICE[[#This Row],[Strip]]), 2) &amp; "-IEU", W$1)), "")</f>
        <v/>
      </c>
      <c r="X1270" s="36"/>
    </row>
    <row r="1271" spans="1:24" x14ac:dyDescent="0.25">
      <c r="A1271" s="37" t="s">
        <v>837</v>
      </c>
      <c r="B1271" s="88" t="str">
        <f>RTD("ice.rtd",,$C1271 &amp; $D1271 &amp; ":" &amp; B$1)</f>
        <v>ULC</v>
      </c>
      <c r="C1271" s="3">
        <v>34344092</v>
      </c>
      <c r="D1271" t="s">
        <v>797</v>
      </c>
      <c r="E1271" s="3" t="str">
        <f>RTD("ice.rtd",,$C1271 &amp; $D1271 &amp; ":" &amp; E$1)</f>
        <v>May27</v>
      </c>
      <c r="F1271" s="3" t="str">
        <f>ICE[[#This Row],[Prod]]&amp;ICE[[#This Row],[Strip]]</f>
        <v>gobrxmtMay27</v>
      </c>
      <c r="G1271" s="18" t="str">
        <f>RTD("ice.rtd",,$C1271 &amp; $D1271 &amp; ":" &amp; G$1)</f>
        <v/>
      </c>
      <c r="H1271" s="18" t="str">
        <f>RTD("ice.rtd",,$C1271 &amp; $D1271 &amp; ":" &amp; H$1)</f>
        <v/>
      </c>
      <c r="I1271" s="18" t="str">
        <f>RTD("ice.rtd",,$C1271 &amp; $D1271 &amp; ":" &amp; I$1)</f>
        <v/>
      </c>
      <c r="J1271" s="14" t="str">
        <f>IFERROR(MOD(RTD("ice.rtd",,$C1271 &amp; $D1271 &amp; ":" &amp; J$1), 1), "")</f>
        <v/>
      </c>
      <c r="K1271" s="18" t="str">
        <f>RTD("ice.rtd",,$C1271 &amp; $D1271 &amp; ":" &amp; K$1)</f>
        <v/>
      </c>
      <c r="L1271" s="36" t="str">
        <f>RTD("ice.rtd",,$C1271 &amp; $D1271 &amp; ":" &amp; L$1)</f>
        <v/>
      </c>
      <c r="M1271" s="14" t="str">
        <f>IFERROR(MOD(TIMEVALUE(RTD("ice.rtd",,$C1271 &amp; $D1271 &amp; ":" &amp; M$1)), 1), "")</f>
        <v/>
      </c>
      <c r="N1271" s="36">
        <f>RTD("ice.rtd",,$C1271 &amp; $D1271 &amp; ":" &amp; N$1)</f>
        <v>0</v>
      </c>
      <c r="O1271" s="36">
        <f>RTD("ice.rtd",,$C1271 &amp; $D1271 &amp; ":" &amp; O$1)</f>
        <v>0</v>
      </c>
      <c r="P12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1" s="14" t="str">
        <f>IF(ICE[[#This Row],[LastType]] = "Scrn", ICE[[#This Row],[LstDate]], IF(ICE[[#This Row],[LastType]] = "Blk", ICE[[#This Row],[LstBlkTime]], ""))</f>
        <v/>
      </c>
      <c r="R1271" s="41" t="str">
        <f>IF(ICE[[#This Row],[LastType]] = "Scrn", ICE[[#This Row],[LstPrc]], IF(ICE[[#This Row],[LastType]] = "Blk", ICE[[#This Row],[LstBlkPrc]], ""))</f>
        <v/>
      </c>
      <c r="S1271" s="36">
        <f>ICE[[#This Row],[Vol]]+ICE[[#This Row],[BlkVol]]</f>
        <v>0</v>
      </c>
      <c r="T1271" s="36">
        <f>RTD("ice.rtd",,$C1271 &amp; $D1271 &amp; ":" &amp; T$1)</f>
        <v>8</v>
      </c>
      <c r="U1271" s="18">
        <f>RTD("ice.rtd",,$C1271 &amp; $D1271 &amp; ":" &amp; U$1)</f>
        <v>55.6083</v>
      </c>
      <c r="V12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1" s="18" t="str">
        <f>IFERROR(IF(LEFT(ICE[[#This Row],[Tenor]], 1) = "B", RTD("esrtd",,$B1271 &amp; " " &amp; ICE[[#This Row],[Tenor]] &amp; "-IEU", W$1), RTD("esrtd",,$B1271 &amp; " " &amp; VLOOKUP(MONTH(ICE[[#This Row],[Strip]]), MthRef[], 2, 0) &amp; RIGHT(YEAR(ICE[[#This Row],[Strip]]), 2) &amp; "-IEU", W$1)), "")</f>
        <v/>
      </c>
      <c r="X1271" s="36"/>
    </row>
    <row r="1272" spans="1:24" x14ac:dyDescent="0.25">
      <c r="A1272" s="37" t="s">
        <v>837</v>
      </c>
      <c r="B1272" s="88" t="str">
        <f>RTD("ice.rtd",,$C1272 &amp; $D1272 &amp; ":" &amp; B$1)</f>
        <v>ULC</v>
      </c>
      <c r="C1272" s="3">
        <v>34344092</v>
      </c>
      <c r="D1272" t="s">
        <v>798</v>
      </c>
      <c r="E1272" s="3" t="str">
        <f>RTD("ice.rtd",,$C1272 &amp; $D1272 &amp; ":" &amp; E$1)</f>
        <v>Jun27</v>
      </c>
      <c r="F1272" s="3" t="str">
        <f>ICE[[#This Row],[Prod]]&amp;ICE[[#This Row],[Strip]]</f>
        <v>gobrxmtJun27</v>
      </c>
      <c r="G1272" s="18" t="str">
        <f>RTD("ice.rtd",,$C1272 &amp; $D1272 &amp; ":" &amp; G$1)</f>
        <v/>
      </c>
      <c r="H1272" s="18" t="str">
        <f>RTD("ice.rtd",,$C1272 &amp; $D1272 &amp; ":" &amp; H$1)</f>
        <v/>
      </c>
      <c r="I1272" s="18" t="str">
        <f>RTD("ice.rtd",,$C1272 &amp; $D1272 &amp; ":" &amp; I$1)</f>
        <v/>
      </c>
      <c r="J1272" s="14" t="str">
        <f>IFERROR(MOD(RTD("ice.rtd",,$C1272 &amp; $D1272 &amp; ":" &amp; J$1), 1), "")</f>
        <v/>
      </c>
      <c r="K1272" s="18" t="str">
        <f>RTD("ice.rtd",,$C1272 &amp; $D1272 &amp; ":" &amp; K$1)</f>
        <v/>
      </c>
      <c r="L1272" s="36" t="str">
        <f>RTD("ice.rtd",,$C1272 &amp; $D1272 &amp; ":" &amp; L$1)</f>
        <v/>
      </c>
      <c r="M1272" s="14" t="str">
        <f>IFERROR(MOD(TIMEVALUE(RTD("ice.rtd",,$C1272 &amp; $D1272 &amp; ":" &amp; M$1)), 1), "")</f>
        <v/>
      </c>
      <c r="N1272" s="36">
        <f>RTD("ice.rtd",,$C1272 &amp; $D1272 &amp; ":" &amp; N$1)</f>
        <v>0</v>
      </c>
      <c r="O1272" s="36">
        <f>RTD("ice.rtd",,$C1272 &amp; $D1272 &amp; ":" &amp; O$1)</f>
        <v>0</v>
      </c>
      <c r="P12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2" s="14" t="str">
        <f>IF(ICE[[#This Row],[LastType]] = "Scrn", ICE[[#This Row],[LstDate]], IF(ICE[[#This Row],[LastType]] = "Blk", ICE[[#This Row],[LstBlkTime]], ""))</f>
        <v/>
      </c>
      <c r="R1272" s="41" t="str">
        <f>IF(ICE[[#This Row],[LastType]] = "Scrn", ICE[[#This Row],[LstPrc]], IF(ICE[[#This Row],[LastType]] = "Blk", ICE[[#This Row],[LstBlkPrc]], ""))</f>
        <v/>
      </c>
      <c r="S1272" s="36">
        <f>ICE[[#This Row],[Vol]]+ICE[[#This Row],[BlkVol]]</f>
        <v>0</v>
      </c>
      <c r="T1272" s="36">
        <f>RTD("ice.rtd",,$C1272 &amp; $D1272 &amp; ":" &amp; T$1)</f>
        <v>8</v>
      </c>
      <c r="U1272" s="18">
        <f>RTD("ice.rtd",,$C1272 &amp; $D1272 &amp; ":" &amp; U$1)</f>
        <v>53.523099999999999</v>
      </c>
      <c r="V12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2" s="18" t="str">
        <f>IFERROR(IF(LEFT(ICE[[#This Row],[Tenor]], 1) = "B", RTD("esrtd",,$B1272 &amp; " " &amp; ICE[[#This Row],[Tenor]] &amp; "-IEU", W$1), RTD("esrtd",,$B1272 &amp; " " &amp; VLOOKUP(MONTH(ICE[[#This Row],[Strip]]), MthRef[], 2, 0) &amp; RIGHT(YEAR(ICE[[#This Row],[Strip]]), 2) &amp; "-IEU", W$1)), "")</f>
        <v/>
      </c>
      <c r="X1272" s="36"/>
    </row>
    <row r="1273" spans="1:24" x14ac:dyDescent="0.25">
      <c r="A1273" s="37" t="s">
        <v>837</v>
      </c>
      <c r="B1273" s="88" t="str">
        <f>RTD("ice.rtd",,$C1273 &amp; $D1273 &amp; ":" &amp; B$1)</f>
        <v>ULC</v>
      </c>
      <c r="C1273" s="3">
        <v>34344092</v>
      </c>
      <c r="D1273" t="s">
        <v>799</v>
      </c>
      <c r="E1273" s="3" t="str">
        <f>RTD("ice.rtd",,$C1273 &amp; $D1273 &amp; ":" &amp; E$1)</f>
        <v>Jul27</v>
      </c>
      <c r="F1273" s="3" t="str">
        <f>ICE[[#This Row],[Prod]]&amp;ICE[[#This Row],[Strip]]</f>
        <v>gobrxmtJul27</v>
      </c>
      <c r="G1273" s="18" t="str">
        <f>RTD("ice.rtd",,$C1273 &amp; $D1273 &amp; ":" &amp; G$1)</f>
        <v/>
      </c>
      <c r="H1273" s="18" t="str">
        <f>RTD("ice.rtd",,$C1273 &amp; $D1273 &amp; ":" &amp; H$1)</f>
        <v/>
      </c>
      <c r="I1273" s="18" t="str">
        <f>RTD("ice.rtd",,$C1273 &amp; $D1273 &amp; ":" &amp; I$1)</f>
        <v/>
      </c>
      <c r="J1273" s="14" t="str">
        <f>IFERROR(MOD(RTD("ice.rtd",,$C1273 &amp; $D1273 &amp; ":" &amp; J$1), 1), "")</f>
        <v/>
      </c>
      <c r="K1273" s="18" t="str">
        <f>RTD("ice.rtd",,$C1273 &amp; $D1273 &amp; ":" &amp; K$1)</f>
        <v/>
      </c>
      <c r="L1273" s="36" t="str">
        <f>RTD("ice.rtd",,$C1273 &amp; $D1273 &amp; ":" &amp; L$1)</f>
        <v/>
      </c>
      <c r="M1273" s="14" t="str">
        <f>IFERROR(MOD(TIMEVALUE(RTD("ice.rtd",,$C1273 &amp; $D1273 &amp; ":" &amp; M$1)), 1), "")</f>
        <v/>
      </c>
      <c r="N1273" s="36">
        <f>RTD("ice.rtd",,$C1273 &amp; $D1273 &amp; ":" &amp; N$1)</f>
        <v>0</v>
      </c>
      <c r="O1273" s="36">
        <f>RTD("ice.rtd",,$C1273 &amp; $D1273 &amp; ":" &amp; O$1)</f>
        <v>0</v>
      </c>
      <c r="P12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3" s="14" t="str">
        <f>IF(ICE[[#This Row],[LastType]] = "Scrn", ICE[[#This Row],[LstDate]], IF(ICE[[#This Row],[LastType]] = "Blk", ICE[[#This Row],[LstBlkTime]], ""))</f>
        <v/>
      </c>
      <c r="R1273" s="41" t="str">
        <f>IF(ICE[[#This Row],[LastType]] = "Scrn", ICE[[#This Row],[LstPrc]], IF(ICE[[#This Row],[LastType]] = "Blk", ICE[[#This Row],[LstBlkPrc]], ""))</f>
        <v/>
      </c>
      <c r="S1273" s="36">
        <f>ICE[[#This Row],[Vol]]+ICE[[#This Row],[BlkVol]]</f>
        <v>0</v>
      </c>
      <c r="T1273" s="36">
        <f>RTD("ice.rtd",,$C1273 &amp; $D1273 &amp; ":" &amp; T$1)</f>
        <v>24</v>
      </c>
      <c r="U1273" s="18">
        <f>RTD("ice.rtd",,$C1273 &amp; $D1273 &amp; ":" &amp; U$1)</f>
        <v>51.9649</v>
      </c>
      <c r="V12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3" s="18" t="str">
        <f>IFERROR(IF(LEFT(ICE[[#This Row],[Tenor]], 1) = "B", RTD("esrtd",,$B1273 &amp; " " &amp; ICE[[#This Row],[Tenor]] &amp; "-IEU", W$1), RTD("esrtd",,$B1273 &amp; " " &amp; VLOOKUP(MONTH(ICE[[#This Row],[Strip]]), MthRef[], 2, 0) &amp; RIGHT(YEAR(ICE[[#This Row],[Strip]]), 2) &amp; "-IEU", W$1)), "")</f>
        <v/>
      </c>
      <c r="X1273" s="36"/>
    </row>
    <row r="1274" spans="1:24" x14ac:dyDescent="0.25">
      <c r="A1274" s="37" t="s">
        <v>837</v>
      </c>
      <c r="B1274" s="88" t="str">
        <f>RTD("ice.rtd",,$C1274 &amp; $D1274 &amp; ":" &amp; B$1)</f>
        <v>ULC</v>
      </c>
      <c r="C1274" s="3">
        <v>34344092</v>
      </c>
      <c r="D1274" t="s">
        <v>800</v>
      </c>
      <c r="E1274" s="3" t="str">
        <f>RTD("ice.rtd",,$C1274 &amp; $D1274 &amp; ":" &amp; E$1)</f>
        <v>Aug27</v>
      </c>
      <c r="F1274" s="3" t="str">
        <f>ICE[[#This Row],[Prod]]&amp;ICE[[#This Row],[Strip]]</f>
        <v>gobrxmtAug27</v>
      </c>
      <c r="G1274" s="18" t="str">
        <f>RTD("ice.rtd",,$C1274 &amp; $D1274 &amp; ":" &amp; G$1)</f>
        <v/>
      </c>
      <c r="H1274" s="18" t="str">
        <f>RTD("ice.rtd",,$C1274 &amp; $D1274 &amp; ":" &amp; H$1)</f>
        <v/>
      </c>
      <c r="I1274" s="18" t="str">
        <f>RTD("ice.rtd",,$C1274 &amp; $D1274 &amp; ":" &amp; I$1)</f>
        <v/>
      </c>
      <c r="J1274" s="14" t="str">
        <f>IFERROR(MOD(RTD("ice.rtd",,$C1274 &amp; $D1274 &amp; ":" &amp; J$1), 1), "")</f>
        <v/>
      </c>
      <c r="K1274" s="18" t="str">
        <f>RTD("ice.rtd",,$C1274 &amp; $D1274 &amp; ":" &amp; K$1)</f>
        <v/>
      </c>
      <c r="L1274" s="36" t="str">
        <f>RTD("ice.rtd",,$C1274 &amp; $D1274 &amp; ":" &amp; L$1)</f>
        <v/>
      </c>
      <c r="M1274" s="14" t="str">
        <f>IFERROR(MOD(TIMEVALUE(RTD("ice.rtd",,$C1274 &amp; $D1274 &amp; ":" &amp; M$1)), 1), "")</f>
        <v/>
      </c>
      <c r="N1274" s="36">
        <f>RTD("ice.rtd",,$C1274 &amp; $D1274 &amp; ":" &amp; N$1)</f>
        <v>0</v>
      </c>
      <c r="O1274" s="36">
        <f>RTD("ice.rtd",,$C1274 &amp; $D1274 &amp; ":" &amp; O$1)</f>
        <v>0</v>
      </c>
      <c r="P12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4" s="14" t="str">
        <f>IF(ICE[[#This Row],[LastType]] = "Scrn", ICE[[#This Row],[LstDate]], IF(ICE[[#This Row],[LastType]] = "Blk", ICE[[#This Row],[LstBlkTime]], ""))</f>
        <v/>
      </c>
      <c r="R1274" s="41" t="str">
        <f>IF(ICE[[#This Row],[LastType]] = "Scrn", ICE[[#This Row],[LstPrc]], IF(ICE[[#This Row],[LastType]] = "Blk", ICE[[#This Row],[LstBlkPrc]], ""))</f>
        <v/>
      </c>
      <c r="S1274" s="36">
        <f>ICE[[#This Row],[Vol]]+ICE[[#This Row],[BlkVol]]</f>
        <v>0</v>
      </c>
      <c r="T1274" s="36">
        <f>RTD("ice.rtd",,$C1274 &amp; $D1274 &amp; ":" &amp; T$1)</f>
        <v>24</v>
      </c>
      <c r="U1274" s="18">
        <f>RTD("ice.rtd",,$C1274 &amp; $D1274 &amp; ":" &amp; U$1)</f>
        <v>50.697500000000005</v>
      </c>
      <c r="V12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4" s="18" t="str">
        <f>IFERROR(IF(LEFT(ICE[[#This Row],[Tenor]], 1) = "B", RTD("esrtd",,$B1274 &amp; " " &amp; ICE[[#This Row],[Tenor]] &amp; "-IEU", W$1), RTD("esrtd",,$B1274 &amp; " " &amp; VLOOKUP(MONTH(ICE[[#This Row],[Strip]]), MthRef[], 2, 0) &amp; RIGHT(YEAR(ICE[[#This Row],[Strip]]), 2) &amp; "-IEU", W$1)), "")</f>
        <v/>
      </c>
      <c r="X1274" s="36"/>
    </row>
    <row r="1275" spans="1:24" x14ac:dyDescent="0.25">
      <c r="A1275" s="37" t="s">
        <v>837</v>
      </c>
      <c r="B1275" s="88" t="str">
        <f>RTD("ice.rtd",,$C1275 &amp; $D1275 &amp; ":" &amp; B$1)</f>
        <v>ULC</v>
      </c>
      <c r="C1275" s="3">
        <v>34344092</v>
      </c>
      <c r="D1275" t="s">
        <v>801</v>
      </c>
      <c r="E1275" s="3" t="str">
        <f>RTD("ice.rtd",,$C1275 &amp; $D1275 &amp; ":" &amp; E$1)</f>
        <v>Sep27</v>
      </c>
      <c r="F1275" s="3" t="str">
        <f>ICE[[#This Row],[Prod]]&amp;ICE[[#This Row],[Strip]]</f>
        <v>gobrxmtSep27</v>
      </c>
      <c r="G1275" s="18" t="str">
        <f>RTD("ice.rtd",,$C1275 &amp; $D1275 &amp; ":" &amp; G$1)</f>
        <v/>
      </c>
      <c r="H1275" s="18" t="str">
        <f>RTD("ice.rtd",,$C1275 &amp; $D1275 &amp; ":" &amp; H$1)</f>
        <v/>
      </c>
      <c r="I1275" s="18" t="str">
        <f>RTD("ice.rtd",,$C1275 &amp; $D1275 &amp; ":" &amp; I$1)</f>
        <v/>
      </c>
      <c r="J1275" s="14" t="str">
        <f>IFERROR(MOD(RTD("ice.rtd",,$C1275 &amp; $D1275 &amp; ":" &amp; J$1), 1), "")</f>
        <v/>
      </c>
      <c r="K1275" s="18" t="str">
        <f>RTD("ice.rtd",,$C1275 &amp; $D1275 &amp; ":" &amp; K$1)</f>
        <v/>
      </c>
      <c r="L1275" s="36" t="str">
        <f>RTD("ice.rtd",,$C1275 &amp; $D1275 &amp; ":" &amp; L$1)</f>
        <v/>
      </c>
      <c r="M1275" s="14" t="str">
        <f>IFERROR(MOD(TIMEVALUE(RTD("ice.rtd",,$C1275 &amp; $D1275 &amp; ":" &amp; M$1)), 1), "")</f>
        <v/>
      </c>
      <c r="N1275" s="36">
        <f>RTD("ice.rtd",,$C1275 &amp; $D1275 &amp; ":" &amp; N$1)</f>
        <v>0</v>
      </c>
      <c r="O1275" s="36">
        <f>RTD("ice.rtd",,$C1275 &amp; $D1275 &amp; ":" &amp; O$1)</f>
        <v>0</v>
      </c>
      <c r="P12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5" s="14" t="str">
        <f>IF(ICE[[#This Row],[LastType]] = "Scrn", ICE[[#This Row],[LstDate]], IF(ICE[[#This Row],[LastType]] = "Blk", ICE[[#This Row],[LstBlkTime]], ""))</f>
        <v/>
      </c>
      <c r="R1275" s="41" t="str">
        <f>IF(ICE[[#This Row],[LastType]] = "Scrn", ICE[[#This Row],[LstPrc]], IF(ICE[[#This Row],[LastType]] = "Blk", ICE[[#This Row],[LstBlkPrc]], ""))</f>
        <v/>
      </c>
      <c r="S1275" s="36">
        <f>ICE[[#This Row],[Vol]]+ICE[[#This Row],[BlkVol]]</f>
        <v>0</v>
      </c>
      <c r="T1275" s="36">
        <f>RTD("ice.rtd",,$C1275 &amp; $D1275 &amp; ":" &amp; T$1)</f>
        <v>23</v>
      </c>
      <c r="U1275" s="18">
        <f>RTD("ice.rtd",,$C1275 &amp; $D1275 &amp; ":" &amp; U$1)</f>
        <v>49.441300000000005</v>
      </c>
      <c r="V12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5" s="18" t="str">
        <f>IFERROR(IF(LEFT(ICE[[#This Row],[Tenor]], 1) = "B", RTD("esrtd",,$B1275 &amp; " " &amp; ICE[[#This Row],[Tenor]] &amp; "-IEU", W$1), RTD("esrtd",,$B1275 &amp; " " &amp; VLOOKUP(MONTH(ICE[[#This Row],[Strip]]), MthRef[], 2, 0) &amp; RIGHT(YEAR(ICE[[#This Row],[Strip]]), 2) &amp; "-IEU", W$1)), "")</f>
        <v/>
      </c>
      <c r="X1275" s="36"/>
    </row>
    <row r="1276" spans="1:24" x14ac:dyDescent="0.25">
      <c r="A1276" s="37" t="s">
        <v>837</v>
      </c>
      <c r="B1276" s="88" t="str">
        <f>RTD("ice.rtd",,$C1276 &amp; $D1276 &amp; ":" &amp; B$1)</f>
        <v>ULC</v>
      </c>
      <c r="C1276" s="3">
        <v>34344092</v>
      </c>
      <c r="D1276" t="s">
        <v>802</v>
      </c>
      <c r="E1276" s="3" t="str">
        <f>RTD("ice.rtd",,$C1276 &amp; $D1276 &amp; ":" &amp; E$1)</f>
        <v>Oct27</v>
      </c>
      <c r="F1276" s="3" t="str">
        <f>ICE[[#This Row],[Prod]]&amp;ICE[[#This Row],[Strip]]</f>
        <v>gobrxmtOct27</v>
      </c>
      <c r="G1276" s="18" t="str">
        <f>RTD("ice.rtd",,$C1276 &amp; $D1276 &amp; ":" &amp; G$1)</f>
        <v/>
      </c>
      <c r="H1276" s="18" t="str">
        <f>RTD("ice.rtd",,$C1276 &amp; $D1276 &amp; ":" &amp; H$1)</f>
        <v/>
      </c>
      <c r="I1276" s="18" t="str">
        <f>RTD("ice.rtd",,$C1276 &amp; $D1276 &amp; ":" &amp; I$1)</f>
        <v/>
      </c>
      <c r="J1276" s="14" t="str">
        <f>IFERROR(MOD(RTD("ice.rtd",,$C1276 &amp; $D1276 &amp; ":" &amp; J$1), 1), "")</f>
        <v/>
      </c>
      <c r="K1276" s="18" t="str">
        <f>RTD("ice.rtd",,$C1276 &amp; $D1276 &amp; ":" &amp; K$1)</f>
        <v/>
      </c>
      <c r="L1276" s="36" t="str">
        <f>RTD("ice.rtd",,$C1276 &amp; $D1276 &amp; ":" &amp; L$1)</f>
        <v/>
      </c>
      <c r="M1276" s="14" t="str">
        <f>IFERROR(MOD(TIMEVALUE(RTD("ice.rtd",,$C1276 &amp; $D1276 &amp; ":" &amp; M$1)), 1), "")</f>
        <v/>
      </c>
      <c r="N1276" s="36">
        <f>RTD("ice.rtd",,$C1276 &amp; $D1276 &amp; ":" &amp; N$1)</f>
        <v>0</v>
      </c>
      <c r="O1276" s="36">
        <f>RTD("ice.rtd",,$C1276 &amp; $D1276 &amp; ":" &amp; O$1)</f>
        <v>0</v>
      </c>
      <c r="P12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6" s="14" t="str">
        <f>IF(ICE[[#This Row],[LastType]] = "Scrn", ICE[[#This Row],[LstDate]], IF(ICE[[#This Row],[LastType]] = "Blk", ICE[[#This Row],[LstBlkTime]], ""))</f>
        <v/>
      </c>
      <c r="R1276" s="41" t="str">
        <f>IF(ICE[[#This Row],[LastType]] = "Scrn", ICE[[#This Row],[LstPrc]], IF(ICE[[#This Row],[LastType]] = "Blk", ICE[[#This Row],[LstBlkPrc]], ""))</f>
        <v/>
      </c>
      <c r="S1276" s="36">
        <f>ICE[[#This Row],[Vol]]+ICE[[#This Row],[BlkVol]]</f>
        <v>0</v>
      </c>
      <c r="T1276" s="36">
        <f>RTD("ice.rtd",,$C1276 &amp; $D1276 &amp; ":" &amp; T$1)</f>
        <v>6</v>
      </c>
      <c r="U1276" s="18">
        <f>RTD("ice.rtd",,$C1276 &amp; $D1276 &amp; ":" &amp; U$1)</f>
        <v>48.037100000000002</v>
      </c>
      <c r="V12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6" s="18" t="str">
        <f>IFERROR(IF(LEFT(ICE[[#This Row],[Tenor]], 1) = "B", RTD("esrtd",,$B1276 &amp; " " &amp; ICE[[#This Row],[Tenor]] &amp; "-IEU", W$1), RTD("esrtd",,$B1276 &amp; " " &amp; VLOOKUP(MONTH(ICE[[#This Row],[Strip]]), MthRef[], 2, 0) &amp; RIGHT(YEAR(ICE[[#This Row],[Strip]]), 2) &amp; "-IEU", W$1)), "")</f>
        <v/>
      </c>
      <c r="X1276" s="36"/>
    </row>
    <row r="1277" spans="1:24" x14ac:dyDescent="0.25">
      <c r="A1277" s="37" t="s">
        <v>837</v>
      </c>
      <c r="B1277" s="88" t="str">
        <f>RTD("ice.rtd",,$C1277 &amp; $D1277 &amp; ":" &amp; B$1)</f>
        <v>ULC</v>
      </c>
      <c r="C1277" s="3">
        <v>34344092</v>
      </c>
      <c r="D1277" t="s">
        <v>803</v>
      </c>
      <c r="E1277" s="3" t="str">
        <f>RTD("ice.rtd",,$C1277 &amp; $D1277 &amp; ":" &amp; E$1)</f>
        <v>Nov27</v>
      </c>
      <c r="F1277" s="3" t="str">
        <f>ICE[[#This Row],[Prod]]&amp;ICE[[#This Row],[Strip]]</f>
        <v>gobrxmtNov27</v>
      </c>
      <c r="G1277" s="18" t="str">
        <f>RTD("ice.rtd",,$C1277 &amp; $D1277 &amp; ":" &amp; G$1)</f>
        <v/>
      </c>
      <c r="H1277" s="18" t="str">
        <f>RTD("ice.rtd",,$C1277 &amp; $D1277 &amp; ":" &amp; H$1)</f>
        <v/>
      </c>
      <c r="I1277" s="18" t="str">
        <f>RTD("ice.rtd",,$C1277 &amp; $D1277 &amp; ":" &amp; I$1)</f>
        <v/>
      </c>
      <c r="J1277" s="14" t="str">
        <f>IFERROR(MOD(RTD("ice.rtd",,$C1277 &amp; $D1277 &amp; ":" &amp; J$1), 1), "")</f>
        <v/>
      </c>
      <c r="K1277" s="18" t="str">
        <f>RTD("ice.rtd",,$C1277 &amp; $D1277 &amp; ":" &amp; K$1)</f>
        <v/>
      </c>
      <c r="L1277" s="36" t="str">
        <f>RTD("ice.rtd",,$C1277 &amp; $D1277 &amp; ":" &amp; L$1)</f>
        <v/>
      </c>
      <c r="M1277" s="14" t="str">
        <f>IFERROR(MOD(TIMEVALUE(RTD("ice.rtd",,$C1277 &amp; $D1277 &amp; ":" &amp; M$1)), 1), "")</f>
        <v/>
      </c>
      <c r="N1277" s="36">
        <f>RTD("ice.rtd",,$C1277 &amp; $D1277 &amp; ":" &amp; N$1)</f>
        <v>0</v>
      </c>
      <c r="O1277" s="36">
        <f>RTD("ice.rtd",,$C1277 &amp; $D1277 &amp; ":" &amp; O$1)</f>
        <v>0</v>
      </c>
      <c r="P12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7" s="14" t="str">
        <f>IF(ICE[[#This Row],[LastType]] = "Scrn", ICE[[#This Row],[LstDate]], IF(ICE[[#This Row],[LastType]] = "Blk", ICE[[#This Row],[LstBlkTime]], ""))</f>
        <v/>
      </c>
      <c r="R1277" s="41" t="str">
        <f>IF(ICE[[#This Row],[LastType]] = "Scrn", ICE[[#This Row],[LstPrc]], IF(ICE[[#This Row],[LastType]] = "Blk", ICE[[#This Row],[LstBlkPrc]], ""))</f>
        <v/>
      </c>
      <c r="S1277" s="36">
        <f>ICE[[#This Row],[Vol]]+ICE[[#This Row],[BlkVol]]</f>
        <v>0</v>
      </c>
      <c r="T1277" s="36">
        <f>RTD("ice.rtd",,$C1277 &amp; $D1277 &amp; ":" &amp; T$1)</f>
        <v>6</v>
      </c>
      <c r="U1277" s="18">
        <f>RTD("ice.rtd",,$C1277 &amp; $D1277 &amp; ":" &amp; U$1)</f>
        <v>46.417300000000004</v>
      </c>
      <c r="V12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7" s="18" t="str">
        <f>IFERROR(IF(LEFT(ICE[[#This Row],[Tenor]], 1) = "B", RTD("esrtd",,$B1277 &amp; " " &amp; ICE[[#This Row],[Tenor]] &amp; "-IEU", W$1), RTD("esrtd",,$B1277 &amp; " " &amp; VLOOKUP(MONTH(ICE[[#This Row],[Strip]]), MthRef[], 2, 0) &amp; RIGHT(YEAR(ICE[[#This Row],[Strip]]), 2) &amp; "-IEU", W$1)), "")</f>
        <v/>
      </c>
      <c r="X1277" s="36"/>
    </row>
    <row r="1278" spans="1:24" x14ac:dyDescent="0.25">
      <c r="A1278" s="37" t="s">
        <v>837</v>
      </c>
      <c r="B1278" s="88" t="str">
        <f>RTD("ice.rtd",,$C1278 &amp; $D1278 &amp; ":" &amp; B$1)</f>
        <v>ULC</v>
      </c>
      <c r="C1278" s="3">
        <v>34344092</v>
      </c>
      <c r="D1278" t="s">
        <v>804</v>
      </c>
      <c r="E1278" s="3" t="str">
        <f>RTD("ice.rtd",,$C1278 &amp; $D1278 &amp; ":" &amp; E$1)</f>
        <v>Dec27</v>
      </c>
      <c r="F1278" s="3" t="str">
        <f>ICE[[#This Row],[Prod]]&amp;ICE[[#This Row],[Strip]]</f>
        <v>gobrxmtDec27</v>
      </c>
      <c r="G1278" s="18" t="str">
        <f>RTD("ice.rtd",,$C1278 &amp; $D1278 &amp; ":" &amp; G$1)</f>
        <v/>
      </c>
      <c r="H1278" s="18" t="str">
        <f>RTD("ice.rtd",,$C1278 &amp; $D1278 &amp; ":" &amp; H$1)</f>
        <v/>
      </c>
      <c r="I1278" s="18" t="str">
        <f>RTD("ice.rtd",,$C1278 &amp; $D1278 &amp; ":" &amp; I$1)</f>
        <v/>
      </c>
      <c r="J1278" s="14" t="str">
        <f>IFERROR(MOD(RTD("ice.rtd",,$C1278 &amp; $D1278 &amp; ":" &amp; J$1), 1), "")</f>
        <v/>
      </c>
      <c r="K1278" s="18" t="str">
        <f>RTD("ice.rtd",,$C1278 &amp; $D1278 &amp; ":" &amp; K$1)</f>
        <v/>
      </c>
      <c r="L1278" s="36" t="str">
        <f>RTD("ice.rtd",,$C1278 &amp; $D1278 &amp; ":" &amp; L$1)</f>
        <v/>
      </c>
      <c r="M1278" s="14" t="str">
        <f>IFERROR(MOD(TIMEVALUE(RTD("ice.rtd",,$C1278 &amp; $D1278 &amp; ":" &amp; M$1)), 1), "")</f>
        <v/>
      </c>
      <c r="N1278" s="36">
        <f>RTD("ice.rtd",,$C1278 &amp; $D1278 &amp; ":" &amp; N$1)</f>
        <v>0</v>
      </c>
      <c r="O1278" s="36">
        <f>RTD("ice.rtd",,$C1278 &amp; $D1278 &amp; ":" &amp; O$1)</f>
        <v>0</v>
      </c>
      <c r="P12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8" s="14" t="str">
        <f>IF(ICE[[#This Row],[LastType]] = "Scrn", ICE[[#This Row],[LstDate]], IF(ICE[[#This Row],[LastType]] = "Blk", ICE[[#This Row],[LstBlkTime]], ""))</f>
        <v/>
      </c>
      <c r="R1278" s="41" t="str">
        <f>IF(ICE[[#This Row],[LastType]] = "Scrn", ICE[[#This Row],[LstPrc]], IF(ICE[[#This Row],[LastType]] = "Blk", ICE[[#This Row],[LstBlkPrc]], ""))</f>
        <v/>
      </c>
      <c r="S1278" s="36">
        <f>ICE[[#This Row],[Vol]]+ICE[[#This Row],[BlkVol]]</f>
        <v>0</v>
      </c>
      <c r="T1278" s="36">
        <f>RTD("ice.rtd",,$C1278 &amp; $D1278 &amp; ":" &amp; T$1)</f>
        <v>6</v>
      </c>
      <c r="U1278" s="18">
        <f>RTD("ice.rtd",,$C1278 &amp; $D1278 &amp; ":" &amp; U$1)</f>
        <v>44.964500000000001</v>
      </c>
      <c r="V12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8" s="18" t="str">
        <f>IFERROR(IF(LEFT(ICE[[#This Row],[Tenor]], 1) = "B", RTD("esrtd",,$B1278 &amp; " " &amp; ICE[[#This Row],[Tenor]] &amp; "-IEU", W$1), RTD("esrtd",,$B1278 &amp; " " &amp; VLOOKUP(MONTH(ICE[[#This Row],[Strip]]), MthRef[], 2, 0) &amp; RIGHT(YEAR(ICE[[#This Row],[Strip]]), 2) &amp; "-IEU", W$1)), "")</f>
        <v/>
      </c>
      <c r="X1278" s="36"/>
    </row>
    <row r="1279" spans="1:24" x14ac:dyDescent="0.25">
      <c r="A1279" s="37" t="s">
        <v>837</v>
      </c>
      <c r="B1279" s="88" t="str">
        <f>RTD("ice.rtd",,$C1279 &amp; $D1279 &amp; ":" &amp; B$1)</f>
        <v>ULC</v>
      </c>
      <c r="C1279" s="3">
        <v>34344092</v>
      </c>
      <c r="D1279" t="s">
        <v>805</v>
      </c>
      <c r="E1279" s="3" t="str">
        <f>RTD("ice.rtd",,$C1279 &amp; $D1279 &amp; ":" &amp; E$1)</f>
        <v>Jan28</v>
      </c>
      <c r="F1279" s="3" t="str">
        <f>ICE[[#This Row],[Prod]]&amp;ICE[[#This Row],[Strip]]</f>
        <v>gobrxmtJan28</v>
      </c>
      <c r="G1279" s="18" t="str">
        <f>RTD("ice.rtd",,$C1279 &amp; $D1279 &amp; ":" &amp; G$1)</f>
        <v/>
      </c>
      <c r="H1279" s="18" t="str">
        <f>RTD("ice.rtd",,$C1279 &amp; $D1279 &amp; ":" &amp; H$1)</f>
        <v/>
      </c>
      <c r="I1279" s="18" t="str">
        <f>RTD("ice.rtd",,$C1279 &amp; $D1279 &amp; ":" &amp; I$1)</f>
        <v/>
      </c>
      <c r="J1279" s="14" t="str">
        <f>IFERROR(MOD(RTD("ice.rtd",,$C1279 &amp; $D1279 &amp; ":" &amp; J$1), 1), "")</f>
        <v/>
      </c>
      <c r="K1279" s="18" t="str">
        <f>RTD("ice.rtd",,$C1279 &amp; $D1279 &amp; ":" &amp; K$1)</f>
        <v/>
      </c>
      <c r="L1279" s="36" t="str">
        <f>RTD("ice.rtd",,$C1279 &amp; $D1279 &amp; ":" &amp; L$1)</f>
        <v/>
      </c>
      <c r="M1279" s="14" t="str">
        <f>IFERROR(MOD(TIMEVALUE(RTD("ice.rtd",,$C1279 &amp; $D1279 &amp; ":" &amp; M$1)), 1), "")</f>
        <v/>
      </c>
      <c r="N1279" s="36">
        <f>RTD("ice.rtd",,$C1279 &amp; $D1279 &amp; ":" &amp; N$1)</f>
        <v>0</v>
      </c>
      <c r="O1279" s="36">
        <f>RTD("ice.rtd",,$C1279 &amp; $D1279 &amp; ":" &amp; O$1)</f>
        <v>0</v>
      </c>
      <c r="P12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79" s="14" t="str">
        <f>IF(ICE[[#This Row],[LastType]] = "Scrn", ICE[[#This Row],[LstDate]], IF(ICE[[#This Row],[LastType]] = "Blk", ICE[[#This Row],[LstBlkTime]], ""))</f>
        <v/>
      </c>
      <c r="R1279" s="41" t="str">
        <f>IF(ICE[[#This Row],[LastType]] = "Scrn", ICE[[#This Row],[LstPrc]], IF(ICE[[#This Row],[LastType]] = "Blk", ICE[[#This Row],[LstBlkPrc]], ""))</f>
        <v/>
      </c>
      <c r="S1279" s="36">
        <f>ICE[[#This Row],[Vol]]+ICE[[#This Row],[BlkVol]]</f>
        <v>0</v>
      </c>
      <c r="T1279" s="36">
        <f>RTD("ice.rtd",,$C1279 &amp; $D1279 &amp; ":" &amp; T$1)</f>
        <v>0</v>
      </c>
      <c r="U1279" s="18">
        <f>RTD("ice.rtd",,$C1279 &amp; $D1279 &amp; ":" &amp; U$1)</f>
        <v>43.9696</v>
      </c>
      <c r="V12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79" s="18" t="str">
        <f>IFERROR(IF(LEFT(ICE[[#This Row],[Tenor]], 1) = "B", RTD("esrtd",,$B1279 &amp; " " &amp; ICE[[#This Row],[Tenor]] &amp; "-IEU", W$1), RTD("esrtd",,$B1279 &amp; " " &amp; VLOOKUP(MONTH(ICE[[#This Row],[Strip]]), MthRef[], 2, 0) &amp; RIGHT(YEAR(ICE[[#This Row],[Strip]]), 2) &amp; "-IEU", W$1)), "")</f>
        <v/>
      </c>
      <c r="X1279" s="36"/>
    </row>
    <row r="1280" spans="1:24" x14ac:dyDescent="0.25">
      <c r="A1280" s="37" t="s">
        <v>837</v>
      </c>
      <c r="B1280" s="88" t="str">
        <f>RTD("ice.rtd",,$C1280 &amp; $D1280 &amp; ":" &amp; B$1)</f>
        <v>ULC</v>
      </c>
      <c r="C1280" s="3">
        <v>34344092</v>
      </c>
      <c r="D1280" t="s">
        <v>806</v>
      </c>
      <c r="E1280" s="3" t="str">
        <f>RTD("ice.rtd",,$C1280 &amp; $D1280 &amp; ":" &amp; E$1)</f>
        <v>Feb28</v>
      </c>
      <c r="F1280" s="3" t="str">
        <f>ICE[[#This Row],[Prod]]&amp;ICE[[#This Row],[Strip]]</f>
        <v>gobrxmtFeb28</v>
      </c>
      <c r="G1280" s="18" t="str">
        <f>RTD("ice.rtd",,$C1280 &amp; $D1280 &amp; ":" &amp; G$1)</f>
        <v/>
      </c>
      <c r="H1280" s="18" t="str">
        <f>RTD("ice.rtd",,$C1280 &amp; $D1280 &amp; ":" &amp; H$1)</f>
        <v/>
      </c>
      <c r="I1280" s="18" t="str">
        <f>RTD("ice.rtd",,$C1280 &amp; $D1280 &amp; ":" &amp; I$1)</f>
        <v/>
      </c>
      <c r="J1280" s="14" t="str">
        <f>IFERROR(MOD(RTD("ice.rtd",,$C1280 &amp; $D1280 &amp; ":" &amp; J$1), 1), "")</f>
        <v/>
      </c>
      <c r="K1280" s="18" t="str">
        <f>RTD("ice.rtd",,$C1280 &amp; $D1280 &amp; ":" &amp; K$1)</f>
        <v/>
      </c>
      <c r="L1280" s="36" t="str">
        <f>RTD("ice.rtd",,$C1280 &amp; $D1280 &amp; ":" &amp; L$1)</f>
        <v/>
      </c>
      <c r="M1280" s="14" t="str">
        <f>IFERROR(MOD(TIMEVALUE(RTD("ice.rtd",,$C1280 &amp; $D1280 &amp; ":" &amp; M$1)), 1), "")</f>
        <v/>
      </c>
      <c r="N1280" s="36">
        <f>RTD("ice.rtd",,$C1280 &amp; $D1280 &amp; ":" &amp; N$1)</f>
        <v>0</v>
      </c>
      <c r="O1280" s="36">
        <f>RTD("ice.rtd",,$C1280 &amp; $D1280 &amp; ":" &amp; O$1)</f>
        <v>0</v>
      </c>
      <c r="P12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0" s="14" t="str">
        <f>IF(ICE[[#This Row],[LastType]] = "Scrn", ICE[[#This Row],[LstDate]], IF(ICE[[#This Row],[LastType]] = "Blk", ICE[[#This Row],[LstBlkTime]], ""))</f>
        <v/>
      </c>
      <c r="R1280" s="41" t="str">
        <f>IF(ICE[[#This Row],[LastType]] = "Scrn", ICE[[#This Row],[LstPrc]], IF(ICE[[#This Row],[LastType]] = "Blk", ICE[[#This Row],[LstBlkPrc]], ""))</f>
        <v/>
      </c>
      <c r="S1280" s="36">
        <f>ICE[[#This Row],[Vol]]+ICE[[#This Row],[BlkVol]]</f>
        <v>0</v>
      </c>
      <c r="T1280" s="36">
        <f>RTD("ice.rtd",,$C1280 &amp; $D1280 &amp; ":" &amp; T$1)</f>
        <v>0</v>
      </c>
      <c r="U1280" s="18">
        <f>RTD("ice.rtd",,$C1280 &amp; $D1280 &amp; ":" &amp; U$1)</f>
        <v>42.936300000000003</v>
      </c>
      <c r="V12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0" s="18" t="str">
        <f>IFERROR(IF(LEFT(ICE[[#This Row],[Tenor]], 1) = "B", RTD("esrtd",,$B1280 &amp; " " &amp; ICE[[#This Row],[Tenor]] &amp; "-IEU", W$1), RTD("esrtd",,$B1280 &amp; " " &amp; VLOOKUP(MONTH(ICE[[#This Row],[Strip]]), MthRef[], 2, 0) &amp; RIGHT(YEAR(ICE[[#This Row],[Strip]]), 2) &amp; "-IEU", W$1)), "")</f>
        <v/>
      </c>
      <c r="X1280" s="36"/>
    </row>
    <row r="1281" spans="1:24" x14ac:dyDescent="0.25">
      <c r="A1281" s="37" t="s">
        <v>837</v>
      </c>
      <c r="B1281" s="88" t="str">
        <f>RTD("ice.rtd",,$C1281 &amp; $D1281 &amp; ":" &amp; B$1)</f>
        <v>ULC</v>
      </c>
      <c r="C1281" s="3">
        <v>34344092</v>
      </c>
      <c r="D1281" t="s">
        <v>807</v>
      </c>
      <c r="E1281" s="3" t="str">
        <f>RTD("ice.rtd",,$C1281 &amp; $D1281 &amp; ":" &amp; E$1)</f>
        <v>Mar28</v>
      </c>
      <c r="F1281" s="3" t="str">
        <f>ICE[[#This Row],[Prod]]&amp;ICE[[#This Row],[Strip]]</f>
        <v>gobrxmtMar28</v>
      </c>
      <c r="G1281" s="18" t="str">
        <f>RTD("ice.rtd",,$C1281 &amp; $D1281 &amp; ":" &amp; G$1)</f>
        <v/>
      </c>
      <c r="H1281" s="18" t="str">
        <f>RTD("ice.rtd",,$C1281 &amp; $D1281 &amp; ":" &amp; H$1)</f>
        <v/>
      </c>
      <c r="I1281" s="18" t="str">
        <f>RTD("ice.rtd",,$C1281 &amp; $D1281 &amp; ":" &amp; I$1)</f>
        <v/>
      </c>
      <c r="J1281" s="14" t="str">
        <f>IFERROR(MOD(RTD("ice.rtd",,$C1281 &amp; $D1281 &amp; ":" &amp; J$1), 1), "")</f>
        <v/>
      </c>
      <c r="K1281" s="18" t="str">
        <f>RTD("ice.rtd",,$C1281 &amp; $D1281 &amp; ":" &amp; K$1)</f>
        <v/>
      </c>
      <c r="L1281" s="36" t="str">
        <f>RTD("ice.rtd",,$C1281 &amp; $D1281 &amp; ":" &amp; L$1)</f>
        <v/>
      </c>
      <c r="M1281" s="14" t="str">
        <f>IFERROR(MOD(TIMEVALUE(RTD("ice.rtd",,$C1281 &amp; $D1281 &amp; ":" &amp; M$1)), 1), "")</f>
        <v/>
      </c>
      <c r="N1281" s="36">
        <f>RTD("ice.rtd",,$C1281 &amp; $D1281 &amp; ":" &amp; N$1)</f>
        <v>0</v>
      </c>
      <c r="O1281" s="36">
        <f>RTD("ice.rtd",,$C1281 &amp; $D1281 &amp; ":" &amp; O$1)</f>
        <v>0</v>
      </c>
      <c r="P12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1" s="14" t="str">
        <f>IF(ICE[[#This Row],[LastType]] = "Scrn", ICE[[#This Row],[LstDate]], IF(ICE[[#This Row],[LastType]] = "Blk", ICE[[#This Row],[LstBlkTime]], ""))</f>
        <v/>
      </c>
      <c r="R1281" s="41" t="str">
        <f>IF(ICE[[#This Row],[LastType]] = "Scrn", ICE[[#This Row],[LstPrc]], IF(ICE[[#This Row],[LastType]] = "Blk", ICE[[#This Row],[LstBlkPrc]], ""))</f>
        <v/>
      </c>
      <c r="S1281" s="36">
        <f>ICE[[#This Row],[Vol]]+ICE[[#This Row],[BlkVol]]</f>
        <v>0</v>
      </c>
      <c r="T1281" s="36">
        <f>RTD("ice.rtd",,$C1281 &amp; $D1281 &amp; ":" &amp; T$1)</f>
        <v>0</v>
      </c>
      <c r="U1281" s="18">
        <f>RTD("ice.rtd",,$C1281 &amp; $D1281 &amp; ":" &amp; U$1)</f>
        <v>41.655200000000001</v>
      </c>
      <c r="V12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1" s="18" t="str">
        <f>IFERROR(IF(LEFT(ICE[[#This Row],[Tenor]], 1) = "B", RTD("esrtd",,$B1281 &amp; " " &amp; ICE[[#This Row],[Tenor]] &amp; "-IEU", W$1), RTD("esrtd",,$B1281 &amp; " " &amp; VLOOKUP(MONTH(ICE[[#This Row],[Strip]]), MthRef[], 2, 0) &amp; RIGHT(YEAR(ICE[[#This Row],[Strip]]), 2) &amp; "-IEU", W$1)), "")</f>
        <v/>
      </c>
      <c r="X1281" s="36"/>
    </row>
    <row r="1282" spans="1:24" x14ac:dyDescent="0.25">
      <c r="A1282" s="37" t="s">
        <v>837</v>
      </c>
      <c r="B1282" s="88" t="str">
        <f>RTD("ice.rtd",,$C1282 &amp; $D1282 &amp; ":" &amp; B$1)</f>
        <v>ULC</v>
      </c>
      <c r="C1282" s="3">
        <v>34344092</v>
      </c>
      <c r="D1282" t="s">
        <v>808</v>
      </c>
      <c r="E1282" s="3" t="str">
        <f>RTD("ice.rtd",,$C1282 &amp; $D1282 &amp; ":" &amp; E$1)</f>
        <v>Apr28</v>
      </c>
      <c r="F1282" s="3" t="str">
        <f>ICE[[#This Row],[Prod]]&amp;ICE[[#This Row],[Strip]]</f>
        <v>gobrxmtApr28</v>
      </c>
      <c r="G1282" s="18" t="str">
        <f>RTD("ice.rtd",,$C1282 &amp; $D1282 &amp; ":" &amp; G$1)</f>
        <v/>
      </c>
      <c r="H1282" s="18" t="str">
        <f>RTD("ice.rtd",,$C1282 &amp; $D1282 &amp; ":" &amp; H$1)</f>
        <v/>
      </c>
      <c r="I1282" s="18" t="str">
        <f>RTD("ice.rtd",,$C1282 &amp; $D1282 &amp; ":" &amp; I$1)</f>
        <v/>
      </c>
      <c r="J1282" s="14" t="str">
        <f>IFERROR(MOD(RTD("ice.rtd",,$C1282 &amp; $D1282 &amp; ":" &amp; J$1), 1), "")</f>
        <v/>
      </c>
      <c r="K1282" s="18" t="str">
        <f>RTD("ice.rtd",,$C1282 &amp; $D1282 &amp; ":" &amp; K$1)</f>
        <v/>
      </c>
      <c r="L1282" s="36" t="str">
        <f>RTD("ice.rtd",,$C1282 &amp; $D1282 &amp; ":" &amp; L$1)</f>
        <v/>
      </c>
      <c r="M1282" s="14" t="str">
        <f>IFERROR(MOD(TIMEVALUE(RTD("ice.rtd",,$C1282 &amp; $D1282 &amp; ":" &amp; M$1)), 1), "")</f>
        <v/>
      </c>
      <c r="N1282" s="36">
        <f>RTD("ice.rtd",,$C1282 &amp; $D1282 &amp; ":" &amp; N$1)</f>
        <v>0</v>
      </c>
      <c r="O1282" s="36">
        <f>RTD("ice.rtd",,$C1282 &amp; $D1282 &amp; ":" &amp; O$1)</f>
        <v>0</v>
      </c>
      <c r="P12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2" s="14" t="str">
        <f>IF(ICE[[#This Row],[LastType]] = "Scrn", ICE[[#This Row],[LstDate]], IF(ICE[[#This Row],[LastType]] = "Blk", ICE[[#This Row],[LstBlkTime]], ""))</f>
        <v/>
      </c>
      <c r="R1282" s="41" t="str">
        <f>IF(ICE[[#This Row],[LastType]] = "Scrn", ICE[[#This Row],[LstPrc]], IF(ICE[[#This Row],[LastType]] = "Blk", ICE[[#This Row],[LstBlkPrc]], ""))</f>
        <v/>
      </c>
      <c r="S1282" s="36">
        <f>ICE[[#This Row],[Vol]]+ICE[[#This Row],[BlkVol]]</f>
        <v>0</v>
      </c>
      <c r="T1282" s="36">
        <f>RTD("ice.rtd",,$C1282 &amp; $D1282 &amp; ":" &amp; T$1)</f>
        <v>0</v>
      </c>
      <c r="U1282" s="18">
        <f>RTD("ice.rtd",,$C1282 &amp; $D1282 &amp; ":" &amp; U$1)</f>
        <v>40.600200000000001</v>
      </c>
      <c r="V12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2" s="18" t="str">
        <f>IFERROR(IF(LEFT(ICE[[#This Row],[Tenor]], 1) = "B", RTD("esrtd",,$B1282 &amp; " " &amp; ICE[[#This Row],[Tenor]] &amp; "-IEU", W$1), RTD("esrtd",,$B1282 &amp; " " &amp; VLOOKUP(MONTH(ICE[[#This Row],[Strip]]), MthRef[], 2, 0) &amp; RIGHT(YEAR(ICE[[#This Row],[Strip]]), 2) &amp; "-IEU", W$1)), "")</f>
        <v/>
      </c>
      <c r="X1282" s="36"/>
    </row>
    <row r="1283" spans="1:24" x14ac:dyDescent="0.25">
      <c r="A1283" s="37" t="s">
        <v>837</v>
      </c>
      <c r="B1283" s="88" t="str">
        <f>RTD("ice.rtd",,$C1283 &amp; $D1283 &amp; ":" &amp; B$1)</f>
        <v>ULC</v>
      </c>
      <c r="C1283" s="3">
        <v>34344092</v>
      </c>
      <c r="D1283" t="s">
        <v>809</v>
      </c>
      <c r="E1283" s="3" t="str">
        <f>RTD("ice.rtd",,$C1283 &amp; $D1283 &amp; ":" &amp; E$1)</f>
        <v>May28</v>
      </c>
      <c r="F1283" s="3" t="str">
        <f>ICE[[#This Row],[Prod]]&amp;ICE[[#This Row],[Strip]]</f>
        <v>gobrxmtMay28</v>
      </c>
      <c r="G1283" s="18" t="str">
        <f>RTD("ice.rtd",,$C1283 &amp; $D1283 &amp; ":" &amp; G$1)</f>
        <v/>
      </c>
      <c r="H1283" s="18" t="str">
        <f>RTD("ice.rtd",,$C1283 &amp; $D1283 &amp; ":" &amp; H$1)</f>
        <v/>
      </c>
      <c r="I1283" s="18" t="str">
        <f>RTD("ice.rtd",,$C1283 &amp; $D1283 &amp; ":" &amp; I$1)</f>
        <v/>
      </c>
      <c r="J1283" s="14" t="str">
        <f>IFERROR(MOD(RTD("ice.rtd",,$C1283 &amp; $D1283 &amp; ":" &amp; J$1), 1), "")</f>
        <v/>
      </c>
      <c r="K1283" s="18" t="str">
        <f>RTD("ice.rtd",,$C1283 &amp; $D1283 &amp; ":" &amp; K$1)</f>
        <v/>
      </c>
      <c r="L1283" s="36" t="str">
        <f>RTD("ice.rtd",,$C1283 &amp; $D1283 &amp; ":" &amp; L$1)</f>
        <v/>
      </c>
      <c r="M1283" s="14" t="str">
        <f>IFERROR(MOD(TIMEVALUE(RTD("ice.rtd",,$C1283 &amp; $D1283 &amp; ":" &amp; M$1)), 1), "")</f>
        <v/>
      </c>
      <c r="N1283" s="36">
        <f>RTD("ice.rtd",,$C1283 &amp; $D1283 &amp; ":" &amp; N$1)</f>
        <v>0</v>
      </c>
      <c r="O1283" s="36">
        <f>RTD("ice.rtd",,$C1283 &amp; $D1283 &amp; ":" &amp; O$1)</f>
        <v>0</v>
      </c>
      <c r="P12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3" s="14" t="str">
        <f>IF(ICE[[#This Row],[LastType]] = "Scrn", ICE[[#This Row],[LstDate]], IF(ICE[[#This Row],[LastType]] = "Blk", ICE[[#This Row],[LstBlkTime]], ""))</f>
        <v/>
      </c>
      <c r="R1283" s="41" t="str">
        <f>IF(ICE[[#This Row],[LastType]] = "Scrn", ICE[[#This Row],[LstPrc]], IF(ICE[[#This Row],[LastType]] = "Blk", ICE[[#This Row],[LstBlkPrc]], ""))</f>
        <v/>
      </c>
      <c r="S1283" s="36">
        <f>ICE[[#This Row],[Vol]]+ICE[[#This Row],[BlkVol]]</f>
        <v>0</v>
      </c>
      <c r="T1283" s="36">
        <f>RTD("ice.rtd",,$C1283 &amp; $D1283 &amp; ":" &amp; T$1)</f>
        <v>0</v>
      </c>
      <c r="U1283" s="18">
        <f>RTD("ice.rtd",,$C1283 &amp; $D1283 &amp; ":" &amp; U$1)</f>
        <v>39.550000000000004</v>
      </c>
      <c r="V12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3" s="18" t="str">
        <f>IFERROR(IF(LEFT(ICE[[#This Row],[Tenor]], 1) = "B", RTD("esrtd",,$B1283 &amp; " " &amp; ICE[[#This Row],[Tenor]] &amp; "-IEU", W$1), RTD("esrtd",,$B1283 &amp; " " &amp; VLOOKUP(MONTH(ICE[[#This Row],[Strip]]), MthRef[], 2, 0) &amp; RIGHT(YEAR(ICE[[#This Row],[Strip]]), 2) &amp; "-IEU", W$1)), "")</f>
        <v/>
      </c>
      <c r="X1283" s="36"/>
    </row>
    <row r="1284" spans="1:24" x14ac:dyDescent="0.25">
      <c r="A1284" s="37" t="s">
        <v>837</v>
      </c>
      <c r="B1284" s="88" t="str">
        <f>RTD("ice.rtd",,$C1284 &amp; $D1284 &amp; ":" &amp; B$1)</f>
        <v>ULC</v>
      </c>
      <c r="C1284" s="3">
        <v>34344092</v>
      </c>
      <c r="D1284" t="s">
        <v>810</v>
      </c>
      <c r="E1284" s="3" t="str">
        <f>RTD("ice.rtd",,$C1284 &amp; $D1284 &amp; ":" &amp; E$1)</f>
        <v>Jun28</v>
      </c>
      <c r="F1284" s="3" t="str">
        <f>ICE[[#This Row],[Prod]]&amp;ICE[[#This Row],[Strip]]</f>
        <v>gobrxmtJun28</v>
      </c>
      <c r="G1284" s="18" t="str">
        <f>RTD("ice.rtd",,$C1284 &amp; $D1284 &amp; ":" &amp; G$1)</f>
        <v/>
      </c>
      <c r="H1284" s="18" t="str">
        <f>RTD("ice.rtd",,$C1284 &amp; $D1284 &amp; ":" &amp; H$1)</f>
        <v/>
      </c>
      <c r="I1284" s="18" t="str">
        <f>RTD("ice.rtd",,$C1284 &amp; $D1284 &amp; ":" &amp; I$1)</f>
        <v/>
      </c>
      <c r="J1284" s="14" t="str">
        <f>IFERROR(MOD(RTD("ice.rtd",,$C1284 &amp; $D1284 &amp; ":" &amp; J$1), 1), "")</f>
        <v/>
      </c>
      <c r="K1284" s="18" t="str">
        <f>RTD("ice.rtd",,$C1284 &amp; $D1284 &amp; ":" &amp; K$1)</f>
        <v/>
      </c>
      <c r="L1284" s="36" t="str">
        <f>RTD("ice.rtd",,$C1284 &amp; $D1284 &amp; ":" &amp; L$1)</f>
        <v/>
      </c>
      <c r="M1284" s="14" t="str">
        <f>IFERROR(MOD(TIMEVALUE(RTD("ice.rtd",,$C1284 &amp; $D1284 &amp; ":" &amp; M$1)), 1), "")</f>
        <v/>
      </c>
      <c r="N1284" s="36">
        <f>RTD("ice.rtd",,$C1284 &amp; $D1284 &amp; ":" &amp; N$1)</f>
        <v>0</v>
      </c>
      <c r="O1284" s="36">
        <f>RTD("ice.rtd",,$C1284 &amp; $D1284 &amp; ":" &amp; O$1)</f>
        <v>0</v>
      </c>
      <c r="P12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4" s="14" t="str">
        <f>IF(ICE[[#This Row],[LastType]] = "Scrn", ICE[[#This Row],[LstDate]], IF(ICE[[#This Row],[LastType]] = "Blk", ICE[[#This Row],[LstBlkTime]], ""))</f>
        <v/>
      </c>
      <c r="R1284" s="41" t="str">
        <f>IF(ICE[[#This Row],[LastType]] = "Scrn", ICE[[#This Row],[LstPrc]], IF(ICE[[#This Row],[LastType]] = "Blk", ICE[[#This Row],[LstBlkPrc]], ""))</f>
        <v/>
      </c>
      <c r="S1284" s="36">
        <f>ICE[[#This Row],[Vol]]+ICE[[#This Row],[BlkVol]]</f>
        <v>0</v>
      </c>
      <c r="T1284" s="36">
        <f>RTD("ice.rtd",,$C1284 &amp; $D1284 &amp; ":" &amp; T$1)</f>
        <v>0</v>
      </c>
      <c r="U1284" s="18">
        <f>RTD("ice.rtd",,$C1284 &amp; $D1284 &amp; ":" &amp; U$1)</f>
        <v>38.7258</v>
      </c>
      <c r="V12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4" s="18" t="str">
        <f>IFERROR(IF(LEFT(ICE[[#This Row],[Tenor]], 1) = "B", RTD("esrtd",,$B1284 &amp; " " &amp; ICE[[#This Row],[Tenor]] &amp; "-IEU", W$1), RTD("esrtd",,$B1284 &amp; " " &amp; VLOOKUP(MONTH(ICE[[#This Row],[Strip]]), MthRef[], 2, 0) &amp; RIGHT(YEAR(ICE[[#This Row],[Strip]]), 2) &amp; "-IEU", W$1)), "")</f>
        <v/>
      </c>
      <c r="X1284" s="36"/>
    </row>
    <row r="1285" spans="1:24" x14ac:dyDescent="0.25">
      <c r="A1285" s="37" t="s">
        <v>837</v>
      </c>
      <c r="B1285" s="88" t="str">
        <f>RTD("ice.rtd",,$C1285 &amp; $D1285 &amp; ":" &amp; B$1)</f>
        <v>ULC</v>
      </c>
      <c r="C1285" s="3">
        <v>34344092</v>
      </c>
      <c r="D1285" t="s">
        <v>811</v>
      </c>
      <c r="E1285" s="3" t="str">
        <f>RTD("ice.rtd",,$C1285 &amp; $D1285 &amp; ":" &amp; E$1)</f>
        <v>Jul28</v>
      </c>
      <c r="F1285" s="3" t="str">
        <f>ICE[[#This Row],[Prod]]&amp;ICE[[#This Row],[Strip]]</f>
        <v>gobrxmtJul28</v>
      </c>
      <c r="G1285" s="18" t="str">
        <f>RTD("ice.rtd",,$C1285 &amp; $D1285 &amp; ":" &amp; G$1)</f>
        <v/>
      </c>
      <c r="H1285" s="18" t="str">
        <f>RTD("ice.rtd",,$C1285 &amp; $D1285 &amp; ":" &amp; H$1)</f>
        <v/>
      </c>
      <c r="I1285" s="18" t="str">
        <f>RTD("ice.rtd",,$C1285 &amp; $D1285 &amp; ":" &amp; I$1)</f>
        <v/>
      </c>
      <c r="J1285" s="14" t="str">
        <f>IFERROR(MOD(RTD("ice.rtd",,$C1285 &amp; $D1285 &amp; ":" &amp; J$1), 1), "")</f>
        <v/>
      </c>
      <c r="K1285" s="18" t="str">
        <f>RTD("ice.rtd",,$C1285 &amp; $D1285 &amp; ":" &amp; K$1)</f>
        <v/>
      </c>
      <c r="L1285" s="36" t="str">
        <f>RTD("ice.rtd",,$C1285 &amp; $D1285 &amp; ":" &amp; L$1)</f>
        <v/>
      </c>
      <c r="M1285" s="14" t="str">
        <f>IFERROR(MOD(TIMEVALUE(RTD("ice.rtd",,$C1285 &amp; $D1285 &amp; ":" &amp; M$1)), 1), "")</f>
        <v/>
      </c>
      <c r="N1285" s="36">
        <f>RTD("ice.rtd",,$C1285 &amp; $D1285 &amp; ":" &amp; N$1)</f>
        <v>0</v>
      </c>
      <c r="O1285" s="36">
        <f>RTD("ice.rtd",,$C1285 &amp; $D1285 &amp; ":" &amp; O$1)</f>
        <v>0</v>
      </c>
      <c r="P12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5" s="14" t="str">
        <f>IF(ICE[[#This Row],[LastType]] = "Scrn", ICE[[#This Row],[LstDate]], IF(ICE[[#This Row],[LastType]] = "Blk", ICE[[#This Row],[LstBlkTime]], ""))</f>
        <v/>
      </c>
      <c r="R1285" s="41" t="str">
        <f>IF(ICE[[#This Row],[LastType]] = "Scrn", ICE[[#This Row],[LstPrc]], IF(ICE[[#This Row],[LastType]] = "Blk", ICE[[#This Row],[LstBlkPrc]], ""))</f>
        <v/>
      </c>
      <c r="S1285" s="36">
        <f>ICE[[#This Row],[Vol]]+ICE[[#This Row],[BlkVol]]</f>
        <v>0</v>
      </c>
      <c r="T1285" s="36">
        <f>RTD("ice.rtd",,$C1285 &amp; $D1285 &amp; ":" &amp; T$1)</f>
        <v>0</v>
      </c>
      <c r="U1285" s="18">
        <f>RTD("ice.rtd",,$C1285 &amp; $D1285 &amp; ":" &amp; U$1)</f>
        <v>38.117600000000003</v>
      </c>
      <c r="V12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5" s="18" t="str">
        <f>IFERROR(IF(LEFT(ICE[[#This Row],[Tenor]], 1) = "B", RTD("esrtd",,$B1285 &amp; " " &amp; ICE[[#This Row],[Tenor]] &amp; "-IEU", W$1), RTD("esrtd",,$B1285 &amp; " " &amp; VLOOKUP(MONTH(ICE[[#This Row],[Strip]]), MthRef[], 2, 0) &amp; RIGHT(YEAR(ICE[[#This Row],[Strip]]), 2) &amp; "-IEU", W$1)), "")</f>
        <v/>
      </c>
      <c r="X1285" s="36"/>
    </row>
    <row r="1286" spans="1:24" x14ac:dyDescent="0.25">
      <c r="A1286" s="37" t="s">
        <v>837</v>
      </c>
      <c r="B1286" s="88" t="str">
        <f>RTD("ice.rtd",,$C1286 &amp; $D1286 &amp; ":" &amp; B$1)</f>
        <v>ULC</v>
      </c>
      <c r="C1286" s="3">
        <v>34344092</v>
      </c>
      <c r="D1286" t="s">
        <v>812</v>
      </c>
      <c r="E1286" s="3" t="str">
        <f>RTD("ice.rtd",,$C1286 &amp; $D1286 &amp; ":" &amp; E$1)</f>
        <v>Aug28</v>
      </c>
      <c r="F1286" s="3" t="str">
        <f>ICE[[#This Row],[Prod]]&amp;ICE[[#This Row],[Strip]]</f>
        <v>gobrxmtAug28</v>
      </c>
      <c r="G1286" s="18" t="str">
        <f>RTD("ice.rtd",,$C1286 &amp; $D1286 &amp; ":" &amp; G$1)</f>
        <v/>
      </c>
      <c r="H1286" s="18" t="str">
        <f>RTD("ice.rtd",,$C1286 &amp; $D1286 &amp; ":" &amp; H$1)</f>
        <v/>
      </c>
      <c r="I1286" s="18" t="str">
        <f>RTD("ice.rtd",,$C1286 &amp; $D1286 &amp; ":" &amp; I$1)</f>
        <v/>
      </c>
      <c r="J1286" s="14" t="str">
        <f>IFERROR(MOD(RTD("ice.rtd",,$C1286 &amp; $D1286 &amp; ":" &amp; J$1), 1), "")</f>
        <v/>
      </c>
      <c r="K1286" s="18" t="str">
        <f>RTD("ice.rtd",,$C1286 &amp; $D1286 &amp; ":" &amp; K$1)</f>
        <v/>
      </c>
      <c r="L1286" s="36" t="str">
        <f>RTD("ice.rtd",,$C1286 &amp; $D1286 &amp; ":" &amp; L$1)</f>
        <v/>
      </c>
      <c r="M1286" s="14" t="str">
        <f>IFERROR(MOD(TIMEVALUE(RTD("ice.rtd",,$C1286 &amp; $D1286 &amp; ":" &amp; M$1)), 1), "")</f>
        <v/>
      </c>
      <c r="N1286" s="36">
        <f>RTD("ice.rtd",,$C1286 &amp; $D1286 &amp; ":" &amp; N$1)</f>
        <v>0</v>
      </c>
      <c r="O1286" s="36">
        <f>RTD("ice.rtd",,$C1286 &amp; $D1286 &amp; ":" &amp; O$1)</f>
        <v>0</v>
      </c>
      <c r="P12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6" s="14" t="str">
        <f>IF(ICE[[#This Row],[LastType]] = "Scrn", ICE[[#This Row],[LstDate]], IF(ICE[[#This Row],[LastType]] = "Blk", ICE[[#This Row],[LstBlkTime]], ""))</f>
        <v/>
      </c>
      <c r="R1286" s="41" t="str">
        <f>IF(ICE[[#This Row],[LastType]] = "Scrn", ICE[[#This Row],[LstPrc]], IF(ICE[[#This Row],[LastType]] = "Blk", ICE[[#This Row],[LstBlkPrc]], ""))</f>
        <v/>
      </c>
      <c r="S1286" s="36">
        <f>ICE[[#This Row],[Vol]]+ICE[[#This Row],[BlkVol]]</f>
        <v>0</v>
      </c>
      <c r="T1286" s="36">
        <f>RTD("ice.rtd",,$C1286 &amp; $D1286 &amp; ":" &amp; T$1)</f>
        <v>0</v>
      </c>
      <c r="U1286" s="18">
        <f>RTD("ice.rtd",,$C1286 &amp; $D1286 &amp; ":" &amp; U$1)</f>
        <v>37.586800000000004</v>
      </c>
      <c r="V12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6" s="18" t="str">
        <f>IFERROR(IF(LEFT(ICE[[#This Row],[Tenor]], 1) = "B", RTD("esrtd",,$B1286 &amp; " " &amp; ICE[[#This Row],[Tenor]] &amp; "-IEU", W$1), RTD("esrtd",,$B1286 &amp; " " &amp; VLOOKUP(MONTH(ICE[[#This Row],[Strip]]), MthRef[], 2, 0) &amp; RIGHT(YEAR(ICE[[#This Row],[Strip]]), 2) &amp; "-IEU", W$1)), "")</f>
        <v/>
      </c>
      <c r="X1286" s="36"/>
    </row>
    <row r="1287" spans="1:24" x14ac:dyDescent="0.25">
      <c r="A1287" s="37" t="s">
        <v>837</v>
      </c>
      <c r="B1287" s="88" t="str">
        <f>RTD("ice.rtd",,$C1287 &amp; $D1287 &amp; ":" &amp; B$1)</f>
        <v>ULC</v>
      </c>
      <c r="C1287" s="3">
        <v>34344092</v>
      </c>
      <c r="D1287" t="s">
        <v>813</v>
      </c>
      <c r="E1287" s="3" t="str">
        <f>RTD("ice.rtd",,$C1287 &amp; $D1287 &amp; ":" &amp; E$1)</f>
        <v>Sep28</v>
      </c>
      <c r="F1287" s="3" t="str">
        <f>ICE[[#This Row],[Prod]]&amp;ICE[[#This Row],[Strip]]</f>
        <v>gobrxmtSep28</v>
      </c>
      <c r="G1287" s="18" t="str">
        <f>RTD("ice.rtd",,$C1287 &amp; $D1287 &amp; ":" &amp; G$1)</f>
        <v/>
      </c>
      <c r="H1287" s="18" t="str">
        <f>RTD("ice.rtd",,$C1287 &amp; $D1287 &amp; ":" &amp; H$1)</f>
        <v/>
      </c>
      <c r="I1287" s="18" t="str">
        <f>RTD("ice.rtd",,$C1287 &amp; $D1287 &amp; ":" &amp; I$1)</f>
        <v/>
      </c>
      <c r="J1287" s="14" t="str">
        <f>IFERROR(MOD(RTD("ice.rtd",,$C1287 &amp; $D1287 &amp; ":" &amp; J$1), 1), "")</f>
        <v/>
      </c>
      <c r="K1287" s="18" t="str">
        <f>RTD("ice.rtd",,$C1287 &amp; $D1287 &amp; ":" &amp; K$1)</f>
        <v/>
      </c>
      <c r="L1287" s="36" t="str">
        <f>RTD("ice.rtd",,$C1287 &amp; $D1287 &amp; ":" &amp; L$1)</f>
        <v/>
      </c>
      <c r="M1287" s="14" t="str">
        <f>IFERROR(MOD(TIMEVALUE(RTD("ice.rtd",,$C1287 &amp; $D1287 &amp; ":" &amp; M$1)), 1), "")</f>
        <v/>
      </c>
      <c r="N1287" s="36">
        <f>RTD("ice.rtd",,$C1287 &amp; $D1287 &amp; ":" &amp; N$1)</f>
        <v>0</v>
      </c>
      <c r="O1287" s="36">
        <f>RTD("ice.rtd",,$C1287 &amp; $D1287 &amp; ":" &amp; O$1)</f>
        <v>0</v>
      </c>
      <c r="P12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7" s="14" t="str">
        <f>IF(ICE[[#This Row],[LastType]] = "Scrn", ICE[[#This Row],[LstDate]], IF(ICE[[#This Row],[LastType]] = "Blk", ICE[[#This Row],[LstBlkTime]], ""))</f>
        <v/>
      </c>
      <c r="R1287" s="41" t="str">
        <f>IF(ICE[[#This Row],[LastType]] = "Scrn", ICE[[#This Row],[LstPrc]], IF(ICE[[#This Row],[LastType]] = "Blk", ICE[[#This Row],[LstBlkPrc]], ""))</f>
        <v/>
      </c>
      <c r="S1287" s="36">
        <f>ICE[[#This Row],[Vol]]+ICE[[#This Row],[BlkVol]]</f>
        <v>0</v>
      </c>
      <c r="T1287" s="36">
        <f>RTD("ice.rtd",,$C1287 &amp; $D1287 &amp; ":" &amp; T$1)</f>
        <v>0</v>
      </c>
      <c r="U1287" s="18">
        <f>RTD("ice.rtd",,$C1287 &amp; $D1287 &amp; ":" &amp; U$1)</f>
        <v>37.255299999999998</v>
      </c>
      <c r="V12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7" s="18" t="str">
        <f>IFERROR(IF(LEFT(ICE[[#This Row],[Tenor]], 1) = "B", RTD("esrtd",,$B1287 &amp; " " &amp; ICE[[#This Row],[Tenor]] &amp; "-IEU", W$1), RTD("esrtd",,$B1287 &amp; " " &amp; VLOOKUP(MONTH(ICE[[#This Row],[Strip]]), MthRef[], 2, 0) &amp; RIGHT(YEAR(ICE[[#This Row],[Strip]]), 2) &amp; "-IEU", W$1)), "")</f>
        <v/>
      </c>
      <c r="X1287" s="36"/>
    </row>
    <row r="1288" spans="1:24" x14ac:dyDescent="0.25">
      <c r="A1288" s="37" t="s">
        <v>837</v>
      </c>
      <c r="B1288" s="88" t="str">
        <f>RTD("ice.rtd",,$C1288 &amp; $D1288 &amp; ":" &amp; B$1)</f>
        <v>ULC</v>
      </c>
      <c r="C1288" s="3">
        <v>34344092</v>
      </c>
      <c r="D1288" t="s">
        <v>814</v>
      </c>
      <c r="E1288" s="3" t="str">
        <f>RTD("ice.rtd",,$C1288 &amp; $D1288 &amp; ":" &amp; E$1)</f>
        <v>Q4 26</v>
      </c>
      <c r="F1288" s="3" t="str">
        <f>ICE[[#This Row],[Prod]]&amp;ICE[[#This Row],[Strip]]</f>
        <v>gobrxmtQ4 26</v>
      </c>
      <c r="G1288" s="18" t="str">
        <f>RTD("ice.rtd",,$C1288 &amp; $D1288 &amp; ":" &amp; G$1)</f>
        <v/>
      </c>
      <c r="H1288" s="18" t="str">
        <f>RTD("ice.rtd",,$C1288 &amp; $D1288 &amp; ":" &amp; H$1)</f>
        <v/>
      </c>
      <c r="I1288" s="18" t="str">
        <f>RTD("ice.rtd",,$C1288 &amp; $D1288 &amp; ":" &amp; I$1)</f>
        <v/>
      </c>
      <c r="J1288" s="14" t="str">
        <f>IFERROR(MOD(RTD("ice.rtd",,$C1288 &amp; $D1288 &amp; ":" &amp; J$1), 1), "")</f>
        <v/>
      </c>
      <c r="K1288" s="18" t="str">
        <f>RTD("ice.rtd",,$C1288 &amp; $D1288 &amp; ":" &amp; K$1)</f>
        <v/>
      </c>
      <c r="L1288" s="36" t="str">
        <f>RTD("ice.rtd",,$C1288 &amp; $D1288 &amp; ":" &amp; L$1)</f>
        <v/>
      </c>
      <c r="M1288" s="14" t="str">
        <f>IFERROR(MOD(TIMEVALUE(RTD("ice.rtd",,$C1288 &amp; $D1288 &amp; ":" &amp; M$1)), 1), "")</f>
        <v/>
      </c>
      <c r="N1288" s="36">
        <f>RTD("ice.rtd",,$C1288 &amp; $D1288 &amp; ":" &amp; N$1)</f>
        <v>0</v>
      </c>
      <c r="O1288" s="36">
        <f>RTD("ice.rtd",,$C1288 &amp; $D1288 &amp; ":" &amp; O$1)</f>
        <v>0</v>
      </c>
      <c r="P12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8" s="14" t="str">
        <f>IF(ICE[[#This Row],[LastType]] = "Scrn", ICE[[#This Row],[LstDate]], IF(ICE[[#This Row],[LastType]] = "Blk", ICE[[#This Row],[LstBlkTime]], ""))</f>
        <v/>
      </c>
      <c r="R1288" s="41" t="str">
        <f>IF(ICE[[#This Row],[LastType]] = "Scrn", ICE[[#This Row],[LstPrc]], IF(ICE[[#This Row],[LastType]] = "Blk", ICE[[#This Row],[LstBlkPrc]], ""))</f>
        <v/>
      </c>
      <c r="S1288" s="36">
        <f>ICE[[#This Row],[Vol]]+ICE[[#This Row],[BlkVol]]</f>
        <v>0</v>
      </c>
      <c r="T1288" s="36">
        <f>RTD("ice.rtd",,$C1288 &amp; $D1288 &amp; ":" &amp; T$1)</f>
        <v>0</v>
      </c>
      <c r="U1288" s="18">
        <f>RTD("ice.rtd",,$C1288 &amp; $D1288 &amp; ":" &amp; U$1)</f>
        <v>77.049000000000007</v>
      </c>
      <c r="V12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8" s="18" t="str">
        <f>IFERROR(IF(LEFT(ICE[[#This Row],[Tenor]], 1) = "B", RTD("esrtd",,$B1288 &amp; " " &amp; ICE[[#This Row],[Tenor]] &amp; "-IEU", W$1), RTD("esrtd",,$B1288 &amp; " " &amp; VLOOKUP(MONTH(ICE[[#This Row],[Strip]]), MthRef[], 2, 0) &amp; RIGHT(YEAR(ICE[[#This Row],[Strip]]), 2) &amp; "-IEU", W$1)), "")</f>
        <v/>
      </c>
      <c r="X1288" s="36"/>
    </row>
    <row r="1289" spans="1:24" x14ac:dyDescent="0.25">
      <c r="A1289" s="37" t="s">
        <v>837</v>
      </c>
      <c r="B1289" s="88" t="str">
        <f>RTD("ice.rtd",,$C1289 &amp; $D1289 &amp; ":" &amp; B$1)</f>
        <v>ULC</v>
      </c>
      <c r="C1289" s="3">
        <v>34344092</v>
      </c>
      <c r="D1289" t="s">
        <v>815</v>
      </c>
      <c r="E1289" s="3" t="str">
        <f>RTD("ice.rtd",,$C1289 &amp; $D1289 &amp; ":" &amp; E$1)</f>
        <v>Q1 27</v>
      </c>
      <c r="F1289" s="3" t="str">
        <f>ICE[[#This Row],[Prod]]&amp;ICE[[#This Row],[Strip]]</f>
        <v>gobrxmtQ1 27</v>
      </c>
      <c r="G1289" s="18" t="str">
        <f>RTD("ice.rtd",,$C1289 &amp; $D1289 &amp; ":" &amp; G$1)</f>
        <v/>
      </c>
      <c r="H1289" s="18" t="str">
        <f>RTD("ice.rtd",,$C1289 &amp; $D1289 &amp; ":" &amp; H$1)</f>
        <v/>
      </c>
      <c r="I1289" s="18" t="str">
        <f>RTD("ice.rtd",,$C1289 &amp; $D1289 &amp; ":" &amp; I$1)</f>
        <v/>
      </c>
      <c r="J1289" s="14" t="str">
        <f>IFERROR(MOD(RTD("ice.rtd",,$C1289 &amp; $D1289 &amp; ":" &amp; J$1), 1), "")</f>
        <v/>
      </c>
      <c r="K1289" s="18" t="str">
        <f>RTD("ice.rtd",,$C1289 &amp; $D1289 &amp; ":" &amp; K$1)</f>
        <v/>
      </c>
      <c r="L1289" s="36" t="str">
        <f>RTD("ice.rtd",,$C1289 &amp; $D1289 &amp; ":" &amp; L$1)</f>
        <v/>
      </c>
      <c r="M1289" s="14" t="str">
        <f>IFERROR(MOD(TIMEVALUE(RTD("ice.rtd",,$C1289 &amp; $D1289 &amp; ":" &amp; M$1)), 1), "")</f>
        <v/>
      </c>
      <c r="N1289" s="36">
        <f>RTD("ice.rtd",,$C1289 &amp; $D1289 &amp; ":" &amp; N$1)</f>
        <v>0</v>
      </c>
      <c r="O1289" s="36">
        <f>RTD("ice.rtd",,$C1289 &amp; $D1289 &amp; ":" &amp; O$1)</f>
        <v>0</v>
      </c>
      <c r="P12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89" s="14" t="str">
        <f>IF(ICE[[#This Row],[LastType]] = "Scrn", ICE[[#This Row],[LstDate]], IF(ICE[[#This Row],[LastType]] = "Blk", ICE[[#This Row],[LstBlkTime]], ""))</f>
        <v/>
      </c>
      <c r="R1289" s="41" t="str">
        <f>IF(ICE[[#This Row],[LastType]] = "Scrn", ICE[[#This Row],[LstPrc]], IF(ICE[[#This Row],[LastType]] = "Blk", ICE[[#This Row],[LstBlkPrc]], ""))</f>
        <v/>
      </c>
      <c r="S1289" s="36">
        <f>ICE[[#This Row],[Vol]]+ICE[[#This Row],[BlkVol]]</f>
        <v>0</v>
      </c>
      <c r="T1289" s="36">
        <f>RTD("ice.rtd",,$C1289 &amp; $D1289 &amp; ":" &amp; T$1)</f>
        <v>0</v>
      </c>
      <c r="U1289" s="18">
        <f>RTD("ice.rtd",,$C1289 &amp; $D1289 &amp; ":" &amp; U$1)</f>
        <v>65.094800000000006</v>
      </c>
      <c r="V12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89" s="18" t="str">
        <f>IFERROR(IF(LEFT(ICE[[#This Row],[Tenor]], 1) = "B", RTD("esrtd",,$B1289 &amp; " " &amp; ICE[[#This Row],[Tenor]] &amp; "-IEU", W$1), RTD("esrtd",,$B1289 &amp; " " &amp; VLOOKUP(MONTH(ICE[[#This Row],[Strip]]), MthRef[], 2, 0) &amp; RIGHT(YEAR(ICE[[#This Row],[Strip]]), 2) &amp; "-IEU", W$1)), "")</f>
        <v/>
      </c>
      <c r="X1289" s="36"/>
    </row>
    <row r="1290" spans="1:24" x14ac:dyDescent="0.25">
      <c r="A1290" s="37" t="s">
        <v>837</v>
      </c>
      <c r="B1290" s="88" t="str">
        <f>RTD("ice.rtd",,$C1290 &amp; $D1290 &amp; ":" &amp; B$1)</f>
        <v>ULC</v>
      </c>
      <c r="C1290" s="3">
        <v>34344092</v>
      </c>
      <c r="D1290" t="s">
        <v>816</v>
      </c>
      <c r="E1290" s="3" t="str">
        <f>RTD("ice.rtd",,$C1290 &amp; $D1290 &amp; ":" &amp; E$1)</f>
        <v>Q2 27</v>
      </c>
      <c r="F1290" s="3" t="str">
        <f>ICE[[#This Row],[Prod]]&amp;ICE[[#This Row],[Strip]]</f>
        <v>gobrxmtQ2 27</v>
      </c>
      <c r="G1290" s="18" t="str">
        <f>RTD("ice.rtd",,$C1290 &amp; $D1290 &amp; ":" &amp; G$1)</f>
        <v/>
      </c>
      <c r="H1290" s="18" t="str">
        <f>RTD("ice.rtd",,$C1290 &amp; $D1290 &amp; ":" &amp; H$1)</f>
        <v/>
      </c>
      <c r="I1290" s="18" t="str">
        <f>RTD("ice.rtd",,$C1290 &amp; $D1290 &amp; ":" &amp; I$1)</f>
        <v/>
      </c>
      <c r="J1290" s="14" t="str">
        <f>IFERROR(MOD(RTD("ice.rtd",,$C1290 &amp; $D1290 &amp; ":" &amp; J$1), 1), "")</f>
        <v/>
      </c>
      <c r="K1290" s="18" t="str">
        <f>RTD("ice.rtd",,$C1290 &amp; $D1290 &amp; ":" &amp; K$1)</f>
        <v/>
      </c>
      <c r="L1290" s="36" t="str">
        <f>RTD("ice.rtd",,$C1290 &amp; $D1290 &amp; ":" &amp; L$1)</f>
        <v/>
      </c>
      <c r="M1290" s="14" t="str">
        <f>IFERROR(MOD(TIMEVALUE(RTD("ice.rtd",,$C1290 &amp; $D1290 &amp; ":" &amp; M$1)), 1), "")</f>
        <v/>
      </c>
      <c r="N1290" s="36">
        <f>RTD("ice.rtd",,$C1290 &amp; $D1290 &amp; ":" &amp; N$1)</f>
        <v>0</v>
      </c>
      <c r="O1290" s="36">
        <f>RTD("ice.rtd",,$C1290 &amp; $D1290 &amp; ":" &amp; O$1)</f>
        <v>0</v>
      </c>
      <c r="P12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0" s="14" t="str">
        <f>IF(ICE[[#This Row],[LastType]] = "Scrn", ICE[[#This Row],[LstDate]], IF(ICE[[#This Row],[LastType]] = "Blk", ICE[[#This Row],[LstBlkTime]], ""))</f>
        <v/>
      </c>
      <c r="R1290" s="41" t="str">
        <f>IF(ICE[[#This Row],[LastType]] = "Scrn", ICE[[#This Row],[LstPrc]], IF(ICE[[#This Row],[LastType]] = "Blk", ICE[[#This Row],[LstBlkPrc]], ""))</f>
        <v/>
      </c>
      <c r="S1290" s="36">
        <f>ICE[[#This Row],[Vol]]+ICE[[#This Row],[BlkVol]]</f>
        <v>0</v>
      </c>
      <c r="T1290" s="36">
        <f>RTD("ice.rtd",,$C1290 &amp; $D1290 &amp; ":" &amp; T$1)</f>
        <v>0</v>
      </c>
      <c r="U1290" s="18">
        <f>RTD("ice.rtd",,$C1290 &amp; $D1290 &amp; ":" &amp; U$1)</f>
        <v>55.766300000000001</v>
      </c>
      <c r="V12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0" s="18" t="str">
        <f>IFERROR(IF(LEFT(ICE[[#This Row],[Tenor]], 1) = "B", RTD("esrtd",,$B1290 &amp; " " &amp; ICE[[#This Row],[Tenor]] &amp; "-IEU", W$1), RTD("esrtd",,$B1290 &amp; " " &amp; VLOOKUP(MONTH(ICE[[#This Row],[Strip]]), MthRef[], 2, 0) &amp; RIGHT(YEAR(ICE[[#This Row],[Strip]]), 2) &amp; "-IEU", W$1)), "")</f>
        <v/>
      </c>
      <c r="X1290" s="36"/>
    </row>
    <row r="1291" spans="1:24" x14ac:dyDescent="0.25">
      <c r="A1291" s="37" t="s">
        <v>837</v>
      </c>
      <c r="B1291" s="88" t="str">
        <f>RTD("ice.rtd",,$C1291 &amp; $D1291 &amp; ":" &amp; B$1)</f>
        <v>ULC</v>
      </c>
      <c r="C1291" s="3">
        <v>34344092</v>
      </c>
      <c r="D1291" t="s">
        <v>817</v>
      </c>
      <c r="E1291" s="3" t="str">
        <f>RTD("ice.rtd",,$C1291 &amp; $D1291 &amp; ":" &amp; E$1)</f>
        <v>Q3 27</v>
      </c>
      <c r="F1291" s="3" t="str">
        <f>ICE[[#This Row],[Prod]]&amp;ICE[[#This Row],[Strip]]</f>
        <v>gobrxmtQ3 27</v>
      </c>
      <c r="G1291" s="18" t="str">
        <f>RTD("ice.rtd",,$C1291 &amp; $D1291 &amp; ":" &amp; G$1)</f>
        <v/>
      </c>
      <c r="H1291" s="18" t="str">
        <f>RTD("ice.rtd",,$C1291 &amp; $D1291 &amp; ":" &amp; H$1)</f>
        <v/>
      </c>
      <c r="I1291" s="18" t="str">
        <f>RTD("ice.rtd",,$C1291 &amp; $D1291 &amp; ":" &amp; I$1)</f>
        <v/>
      </c>
      <c r="J1291" s="14" t="str">
        <f>IFERROR(MOD(RTD("ice.rtd",,$C1291 &amp; $D1291 &amp; ":" &amp; J$1), 1), "")</f>
        <v/>
      </c>
      <c r="K1291" s="18" t="str">
        <f>RTD("ice.rtd",,$C1291 &amp; $D1291 &amp; ":" &amp; K$1)</f>
        <v/>
      </c>
      <c r="L1291" s="36" t="str">
        <f>RTD("ice.rtd",,$C1291 &amp; $D1291 &amp; ":" &amp; L$1)</f>
        <v/>
      </c>
      <c r="M1291" s="14" t="str">
        <f>IFERROR(MOD(TIMEVALUE(RTD("ice.rtd",,$C1291 &amp; $D1291 &amp; ":" &amp; M$1)), 1), "")</f>
        <v/>
      </c>
      <c r="N1291" s="36">
        <f>RTD("ice.rtd",,$C1291 &amp; $D1291 &amp; ":" &amp; N$1)</f>
        <v>0</v>
      </c>
      <c r="O1291" s="36">
        <f>RTD("ice.rtd",,$C1291 &amp; $D1291 &amp; ":" &amp; O$1)</f>
        <v>0</v>
      </c>
      <c r="P12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1" s="14" t="str">
        <f>IF(ICE[[#This Row],[LastType]] = "Scrn", ICE[[#This Row],[LstDate]], IF(ICE[[#This Row],[LastType]] = "Blk", ICE[[#This Row],[LstBlkTime]], ""))</f>
        <v/>
      </c>
      <c r="R1291" s="41" t="str">
        <f>IF(ICE[[#This Row],[LastType]] = "Scrn", ICE[[#This Row],[LstPrc]], IF(ICE[[#This Row],[LastType]] = "Blk", ICE[[#This Row],[LstBlkPrc]], ""))</f>
        <v/>
      </c>
      <c r="S1291" s="36">
        <f>ICE[[#This Row],[Vol]]+ICE[[#This Row],[BlkVol]]</f>
        <v>0</v>
      </c>
      <c r="T1291" s="36">
        <f>RTD("ice.rtd",,$C1291 &amp; $D1291 &amp; ":" &amp; T$1)</f>
        <v>0</v>
      </c>
      <c r="U1291" s="18">
        <f>RTD("ice.rtd",,$C1291 &amp; $D1291 &amp; ":" &amp; U$1)</f>
        <v>50.7012</v>
      </c>
      <c r="V12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1" s="18" t="str">
        <f>IFERROR(IF(LEFT(ICE[[#This Row],[Tenor]], 1) = "B", RTD("esrtd",,$B1291 &amp; " " &amp; ICE[[#This Row],[Tenor]] &amp; "-IEU", W$1), RTD("esrtd",,$B1291 &amp; " " &amp; VLOOKUP(MONTH(ICE[[#This Row],[Strip]]), MthRef[], 2, 0) &amp; RIGHT(YEAR(ICE[[#This Row],[Strip]]), 2) &amp; "-IEU", W$1)), "")</f>
        <v/>
      </c>
      <c r="X1291" s="36"/>
    </row>
    <row r="1292" spans="1:24" x14ac:dyDescent="0.25">
      <c r="A1292" s="37" t="s">
        <v>837</v>
      </c>
      <c r="B1292" s="88" t="str">
        <f>RTD("ice.rtd",,$C1292 &amp; $D1292 &amp; ":" &amp; B$1)</f>
        <v>ULC</v>
      </c>
      <c r="C1292" s="3">
        <v>34344092</v>
      </c>
      <c r="D1292" t="s">
        <v>818</v>
      </c>
      <c r="E1292" s="3" t="str">
        <f>RTD("ice.rtd",,$C1292 &amp; $D1292 &amp; ":" &amp; E$1)</f>
        <v>Q4 27</v>
      </c>
      <c r="F1292" s="3" t="str">
        <f>ICE[[#This Row],[Prod]]&amp;ICE[[#This Row],[Strip]]</f>
        <v>gobrxmtQ4 27</v>
      </c>
      <c r="G1292" s="18" t="str">
        <f>RTD("ice.rtd",,$C1292 &amp; $D1292 &amp; ":" &amp; G$1)</f>
        <v/>
      </c>
      <c r="H1292" s="18" t="str">
        <f>RTD("ice.rtd",,$C1292 &amp; $D1292 &amp; ":" &amp; H$1)</f>
        <v/>
      </c>
      <c r="I1292" s="18" t="str">
        <f>RTD("ice.rtd",,$C1292 &amp; $D1292 &amp; ":" &amp; I$1)</f>
        <v/>
      </c>
      <c r="J1292" s="14" t="str">
        <f>IFERROR(MOD(RTD("ice.rtd",,$C1292 &amp; $D1292 &amp; ":" &amp; J$1), 1), "")</f>
        <v/>
      </c>
      <c r="K1292" s="18" t="str">
        <f>RTD("ice.rtd",,$C1292 &amp; $D1292 &amp; ":" &amp; K$1)</f>
        <v/>
      </c>
      <c r="L1292" s="36" t="str">
        <f>RTD("ice.rtd",,$C1292 &amp; $D1292 &amp; ":" &amp; L$1)</f>
        <v/>
      </c>
      <c r="M1292" s="14" t="str">
        <f>IFERROR(MOD(TIMEVALUE(RTD("ice.rtd",,$C1292 &amp; $D1292 &amp; ":" &amp; M$1)), 1), "")</f>
        <v/>
      </c>
      <c r="N1292" s="36">
        <f>RTD("ice.rtd",,$C1292 &amp; $D1292 &amp; ":" &amp; N$1)</f>
        <v>0</v>
      </c>
      <c r="O1292" s="36">
        <f>RTD("ice.rtd",,$C1292 &amp; $D1292 &amp; ":" &amp; O$1)</f>
        <v>0</v>
      </c>
      <c r="P12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2" s="14" t="str">
        <f>IF(ICE[[#This Row],[LastType]] = "Scrn", ICE[[#This Row],[LstDate]], IF(ICE[[#This Row],[LastType]] = "Blk", ICE[[#This Row],[LstBlkTime]], ""))</f>
        <v/>
      </c>
      <c r="R1292" s="41" t="str">
        <f>IF(ICE[[#This Row],[LastType]] = "Scrn", ICE[[#This Row],[LstPrc]], IF(ICE[[#This Row],[LastType]] = "Blk", ICE[[#This Row],[LstBlkPrc]], ""))</f>
        <v/>
      </c>
      <c r="S1292" s="36">
        <f>ICE[[#This Row],[Vol]]+ICE[[#This Row],[BlkVol]]</f>
        <v>0</v>
      </c>
      <c r="T1292" s="36">
        <f>RTD("ice.rtd",,$C1292 &amp; $D1292 &amp; ":" &amp; T$1)</f>
        <v>0</v>
      </c>
      <c r="U1292" s="18">
        <f>RTD("ice.rtd",,$C1292 &amp; $D1292 &amp; ":" &amp; U$1)</f>
        <v>46.472999999999999</v>
      </c>
      <c r="V12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2" s="18" t="str">
        <f>IFERROR(IF(LEFT(ICE[[#This Row],[Tenor]], 1) = "B", RTD("esrtd",,$B1292 &amp; " " &amp; ICE[[#This Row],[Tenor]] &amp; "-IEU", W$1), RTD("esrtd",,$B1292 &amp; " " &amp; VLOOKUP(MONTH(ICE[[#This Row],[Strip]]), MthRef[], 2, 0) &amp; RIGHT(YEAR(ICE[[#This Row],[Strip]]), 2) &amp; "-IEU", W$1)), "")</f>
        <v/>
      </c>
      <c r="X1292" s="36"/>
    </row>
    <row r="1293" spans="1:24" x14ac:dyDescent="0.25">
      <c r="A1293" s="37" t="s">
        <v>837</v>
      </c>
      <c r="B1293" s="88" t="str">
        <f>RTD("ice.rtd",,$C1293 &amp; $D1293 &amp; ":" &amp; B$1)</f>
        <v>ULC</v>
      </c>
      <c r="C1293" s="3">
        <v>34344092</v>
      </c>
      <c r="D1293" t="s">
        <v>819</v>
      </c>
      <c r="E1293" s="3" t="str">
        <f>RTD("ice.rtd",,$C1293 &amp; $D1293 &amp; ":" &amp; E$1)</f>
        <v>Q1 28</v>
      </c>
      <c r="F1293" s="3" t="str">
        <f>ICE[[#This Row],[Prod]]&amp;ICE[[#This Row],[Strip]]</f>
        <v>gobrxmtQ1 28</v>
      </c>
      <c r="G1293" s="18" t="str">
        <f>RTD("ice.rtd",,$C1293 &amp; $D1293 &amp; ":" &amp; G$1)</f>
        <v/>
      </c>
      <c r="H1293" s="18" t="str">
        <f>RTD("ice.rtd",,$C1293 &amp; $D1293 &amp; ":" &amp; H$1)</f>
        <v/>
      </c>
      <c r="I1293" s="18" t="str">
        <f>RTD("ice.rtd",,$C1293 &amp; $D1293 &amp; ":" &amp; I$1)</f>
        <v/>
      </c>
      <c r="J1293" s="14" t="str">
        <f>IFERROR(MOD(RTD("ice.rtd",,$C1293 &amp; $D1293 &amp; ":" &amp; J$1), 1), "")</f>
        <v/>
      </c>
      <c r="K1293" s="18" t="str">
        <f>RTD("ice.rtd",,$C1293 &amp; $D1293 &amp; ":" &amp; K$1)</f>
        <v/>
      </c>
      <c r="L1293" s="36" t="str">
        <f>RTD("ice.rtd",,$C1293 &amp; $D1293 &amp; ":" &amp; L$1)</f>
        <v/>
      </c>
      <c r="M1293" s="14" t="str">
        <f>IFERROR(MOD(TIMEVALUE(RTD("ice.rtd",,$C1293 &amp; $D1293 &amp; ":" &amp; M$1)), 1), "")</f>
        <v/>
      </c>
      <c r="N1293" s="36">
        <f>RTD("ice.rtd",,$C1293 &amp; $D1293 &amp; ":" &amp; N$1)</f>
        <v>0</v>
      </c>
      <c r="O1293" s="36">
        <f>RTD("ice.rtd",,$C1293 &amp; $D1293 &amp; ":" &amp; O$1)</f>
        <v>0</v>
      </c>
      <c r="P12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3" s="14" t="str">
        <f>IF(ICE[[#This Row],[LastType]] = "Scrn", ICE[[#This Row],[LstDate]], IF(ICE[[#This Row],[LastType]] = "Blk", ICE[[#This Row],[LstBlkTime]], ""))</f>
        <v/>
      </c>
      <c r="R1293" s="41" t="str">
        <f>IF(ICE[[#This Row],[LastType]] = "Scrn", ICE[[#This Row],[LstPrc]], IF(ICE[[#This Row],[LastType]] = "Blk", ICE[[#This Row],[LstBlkPrc]], ""))</f>
        <v/>
      </c>
      <c r="S1293" s="36">
        <f>ICE[[#This Row],[Vol]]+ICE[[#This Row],[BlkVol]]</f>
        <v>0</v>
      </c>
      <c r="T1293" s="36">
        <f>RTD("ice.rtd",,$C1293 &amp; $D1293 &amp; ":" &amp; T$1)</f>
        <v>0</v>
      </c>
      <c r="U1293" s="18">
        <f>RTD("ice.rtd",,$C1293 &amp; $D1293 &amp; ":" &amp; U$1)</f>
        <v>42.853700000000003</v>
      </c>
      <c r="V12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3" s="18" t="str">
        <f>IFERROR(IF(LEFT(ICE[[#This Row],[Tenor]], 1) = "B", RTD("esrtd",,$B1293 &amp; " " &amp; ICE[[#This Row],[Tenor]] &amp; "-IEU", W$1), RTD("esrtd",,$B1293 &amp; " " &amp; VLOOKUP(MONTH(ICE[[#This Row],[Strip]]), MthRef[], 2, 0) &amp; RIGHT(YEAR(ICE[[#This Row],[Strip]]), 2) &amp; "-IEU", W$1)), "")</f>
        <v/>
      </c>
      <c r="X1293" s="36"/>
    </row>
    <row r="1294" spans="1:24" x14ac:dyDescent="0.25">
      <c r="A1294" s="37" t="s">
        <v>837</v>
      </c>
      <c r="B1294" s="88" t="str">
        <f>RTD("ice.rtd",,$C1294 &amp; $D1294 &amp; ":" &amp; B$1)</f>
        <v>ULC</v>
      </c>
      <c r="C1294" s="3">
        <v>34344092</v>
      </c>
      <c r="D1294" t="s">
        <v>229</v>
      </c>
      <c r="E1294" s="3" t="str">
        <f>RTD("ice.rtd",,$C1294 &amp; $D1294 &amp; ":" &amp; E$1)</f>
        <v>Q2 28</v>
      </c>
      <c r="F1294" s="3" t="str">
        <f>ICE[[#This Row],[Prod]]&amp;ICE[[#This Row],[Strip]]</f>
        <v>gobrxmtQ2 28</v>
      </c>
      <c r="G1294" s="18" t="str">
        <f>RTD("ice.rtd",,$C1294 &amp; $D1294 &amp; ":" &amp; G$1)</f>
        <v/>
      </c>
      <c r="H1294" s="18" t="str">
        <f>RTD("ice.rtd",,$C1294 &amp; $D1294 &amp; ":" &amp; H$1)</f>
        <v/>
      </c>
      <c r="I1294" s="18" t="str">
        <f>RTD("ice.rtd",,$C1294 &amp; $D1294 &amp; ":" &amp; I$1)</f>
        <v/>
      </c>
      <c r="J1294" s="14" t="str">
        <f>IFERROR(MOD(RTD("ice.rtd",,$C1294 &amp; $D1294 &amp; ":" &amp; J$1), 1), "")</f>
        <v/>
      </c>
      <c r="K1294" s="18" t="str">
        <f>RTD("ice.rtd",,$C1294 &amp; $D1294 &amp; ":" &amp; K$1)</f>
        <v/>
      </c>
      <c r="L1294" s="36" t="str">
        <f>RTD("ice.rtd",,$C1294 &amp; $D1294 &amp; ":" &amp; L$1)</f>
        <v/>
      </c>
      <c r="M1294" s="14" t="str">
        <f>IFERROR(MOD(TIMEVALUE(RTD("ice.rtd",,$C1294 &amp; $D1294 &amp; ":" &amp; M$1)), 1), "")</f>
        <v/>
      </c>
      <c r="N1294" s="36">
        <f>RTD("ice.rtd",,$C1294 &amp; $D1294 &amp; ":" &amp; N$1)</f>
        <v>0</v>
      </c>
      <c r="O1294" s="36">
        <f>RTD("ice.rtd",,$C1294 &amp; $D1294 &amp; ":" &amp; O$1)</f>
        <v>0</v>
      </c>
      <c r="P12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4" s="14" t="str">
        <f>IF(ICE[[#This Row],[LastType]] = "Scrn", ICE[[#This Row],[LstDate]], IF(ICE[[#This Row],[LastType]] = "Blk", ICE[[#This Row],[LstBlkTime]], ""))</f>
        <v/>
      </c>
      <c r="R1294" s="41" t="str">
        <f>IF(ICE[[#This Row],[LastType]] = "Scrn", ICE[[#This Row],[LstPrc]], IF(ICE[[#This Row],[LastType]] = "Blk", ICE[[#This Row],[LstBlkPrc]], ""))</f>
        <v/>
      </c>
      <c r="S1294" s="36">
        <f>ICE[[#This Row],[Vol]]+ICE[[#This Row],[BlkVol]]</f>
        <v>0</v>
      </c>
      <c r="T1294" s="36">
        <f>RTD("ice.rtd",,$C1294 &amp; $D1294 &amp; ":" &amp; T$1)</f>
        <v>0</v>
      </c>
      <c r="U1294" s="18">
        <f>RTD("ice.rtd",,$C1294 &amp; $D1294 &amp; ":" &amp; U$1)</f>
        <v>39.625300000000003</v>
      </c>
      <c r="V12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4" s="18" t="str">
        <f>IFERROR(IF(LEFT(ICE[[#This Row],[Tenor]], 1) = "B", RTD("esrtd",,$B1294 &amp; " " &amp; ICE[[#This Row],[Tenor]] &amp; "-IEU", W$1), RTD("esrtd",,$B1294 &amp; " " &amp; VLOOKUP(MONTH(ICE[[#This Row],[Strip]]), MthRef[], 2, 0) &amp; RIGHT(YEAR(ICE[[#This Row],[Strip]]), 2) &amp; "-IEU", W$1)), "")</f>
        <v/>
      </c>
      <c r="X1294" s="36"/>
    </row>
    <row r="1295" spans="1:24" x14ac:dyDescent="0.25">
      <c r="A1295" s="37" t="s">
        <v>837</v>
      </c>
      <c r="B1295" s="88" t="str">
        <f>RTD("ice.rtd",,$C1295 &amp; $D1295 &amp; ":" &amp; B$1)</f>
        <v>ULC</v>
      </c>
      <c r="C1295" s="3">
        <v>34344092</v>
      </c>
      <c r="D1295" t="s">
        <v>820</v>
      </c>
      <c r="E1295" s="3" t="str">
        <f>RTD("ice.rtd",,$C1295 &amp; $D1295 &amp; ":" &amp; E$1)</f>
        <v>Q3 28</v>
      </c>
      <c r="F1295" s="3" t="str">
        <f>ICE[[#This Row],[Prod]]&amp;ICE[[#This Row],[Strip]]</f>
        <v>gobrxmtQ3 28</v>
      </c>
      <c r="G1295" s="18" t="str">
        <f>RTD("ice.rtd",,$C1295 &amp; $D1295 &amp; ":" &amp; G$1)</f>
        <v/>
      </c>
      <c r="H1295" s="18" t="str">
        <f>RTD("ice.rtd",,$C1295 &amp; $D1295 &amp; ":" &amp; H$1)</f>
        <v/>
      </c>
      <c r="I1295" s="18" t="str">
        <f>RTD("ice.rtd",,$C1295 &amp; $D1295 &amp; ":" &amp; I$1)</f>
        <v/>
      </c>
      <c r="J1295" s="14" t="str">
        <f>IFERROR(MOD(RTD("ice.rtd",,$C1295 &amp; $D1295 &amp; ":" &amp; J$1), 1), "")</f>
        <v/>
      </c>
      <c r="K1295" s="18" t="str">
        <f>RTD("ice.rtd",,$C1295 &amp; $D1295 &amp; ":" &amp; K$1)</f>
        <v/>
      </c>
      <c r="L1295" s="36" t="str">
        <f>RTD("ice.rtd",,$C1295 &amp; $D1295 &amp; ":" &amp; L$1)</f>
        <v/>
      </c>
      <c r="M1295" s="14" t="str">
        <f>IFERROR(MOD(TIMEVALUE(RTD("ice.rtd",,$C1295 &amp; $D1295 &amp; ":" &amp; M$1)), 1), "")</f>
        <v/>
      </c>
      <c r="N1295" s="36">
        <f>RTD("ice.rtd",,$C1295 &amp; $D1295 &amp; ":" &amp; N$1)</f>
        <v>0</v>
      </c>
      <c r="O1295" s="36">
        <f>RTD("ice.rtd",,$C1295 &amp; $D1295 &amp; ":" &amp; O$1)</f>
        <v>0</v>
      </c>
      <c r="P12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5" s="14" t="str">
        <f>IF(ICE[[#This Row],[LastType]] = "Scrn", ICE[[#This Row],[LstDate]], IF(ICE[[#This Row],[LastType]] = "Blk", ICE[[#This Row],[LstBlkTime]], ""))</f>
        <v/>
      </c>
      <c r="R1295" s="41" t="str">
        <f>IF(ICE[[#This Row],[LastType]] = "Scrn", ICE[[#This Row],[LstPrc]], IF(ICE[[#This Row],[LastType]] = "Blk", ICE[[#This Row],[LstBlkPrc]], ""))</f>
        <v/>
      </c>
      <c r="S1295" s="36">
        <f>ICE[[#This Row],[Vol]]+ICE[[#This Row],[BlkVol]]</f>
        <v>0</v>
      </c>
      <c r="T1295" s="36">
        <f>RTD("ice.rtd",,$C1295 &amp; $D1295 &amp; ":" &amp; T$1)</f>
        <v>0</v>
      </c>
      <c r="U1295" s="18">
        <f>RTD("ice.rtd",,$C1295 &amp; $D1295 &amp; ":" &amp; U$1)</f>
        <v>37.653200000000005</v>
      </c>
      <c r="V12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5" s="18" t="str">
        <f>IFERROR(IF(LEFT(ICE[[#This Row],[Tenor]], 1) = "B", RTD("esrtd",,$B1295 &amp; " " &amp; ICE[[#This Row],[Tenor]] &amp; "-IEU", W$1), RTD("esrtd",,$B1295 &amp; " " &amp; VLOOKUP(MONTH(ICE[[#This Row],[Strip]]), MthRef[], 2, 0) &amp; RIGHT(YEAR(ICE[[#This Row],[Strip]]), 2) &amp; "-IEU", W$1)), "")</f>
        <v/>
      </c>
      <c r="X1295" s="36"/>
    </row>
    <row r="1296" spans="1:24" x14ac:dyDescent="0.25">
      <c r="A1296" s="37" t="s">
        <v>837</v>
      </c>
      <c r="B1296" s="88" t="str">
        <f>RTD("ice.rtd",,$C1296 &amp; $D1296 &amp; ":" &amp; B$1)</f>
        <v>ULC</v>
      </c>
      <c r="C1296" s="3">
        <v>34344092</v>
      </c>
      <c r="D1296" t="s">
        <v>821</v>
      </c>
      <c r="E1296" s="3" t="str">
        <f>RTD("ice.rtd",,$C1296 &amp; $D1296 &amp; ":" &amp; E$1)</f>
        <v>Q4 28</v>
      </c>
      <c r="F1296" s="3" t="str">
        <f>ICE[[#This Row],[Prod]]&amp;ICE[[#This Row],[Strip]]</f>
        <v>gobrxmtQ4 28</v>
      </c>
      <c r="G1296" s="18" t="str">
        <f>RTD("ice.rtd",,$C1296 &amp; $D1296 &amp; ":" &amp; G$1)</f>
        <v/>
      </c>
      <c r="H1296" s="18" t="str">
        <f>RTD("ice.rtd",,$C1296 &amp; $D1296 &amp; ":" &amp; H$1)</f>
        <v/>
      </c>
      <c r="I1296" s="18" t="str">
        <f>RTD("ice.rtd",,$C1296 &amp; $D1296 &amp; ":" &amp; I$1)</f>
        <v/>
      </c>
      <c r="J1296" s="14" t="str">
        <f>IFERROR(MOD(RTD("ice.rtd",,$C1296 &amp; $D1296 &amp; ":" &amp; J$1), 1), "")</f>
        <v/>
      </c>
      <c r="K1296" s="18" t="str">
        <f>RTD("ice.rtd",,$C1296 &amp; $D1296 &amp; ":" &amp; K$1)</f>
        <v/>
      </c>
      <c r="L1296" s="36" t="str">
        <f>RTD("ice.rtd",,$C1296 &amp; $D1296 &amp; ":" &amp; L$1)</f>
        <v/>
      </c>
      <c r="M1296" s="14" t="str">
        <f>IFERROR(MOD(TIMEVALUE(RTD("ice.rtd",,$C1296 &amp; $D1296 &amp; ":" &amp; M$1)), 1), "")</f>
        <v/>
      </c>
      <c r="N1296" s="36">
        <f>RTD("ice.rtd",,$C1296 &amp; $D1296 &amp; ":" &amp; N$1)</f>
        <v>0</v>
      </c>
      <c r="O1296" s="36">
        <f>RTD("ice.rtd",,$C1296 &amp; $D1296 &amp; ":" &amp; O$1)</f>
        <v>0</v>
      </c>
      <c r="P12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6" s="14" t="str">
        <f>IF(ICE[[#This Row],[LastType]] = "Scrn", ICE[[#This Row],[LstDate]], IF(ICE[[#This Row],[LastType]] = "Blk", ICE[[#This Row],[LstBlkTime]], ""))</f>
        <v/>
      </c>
      <c r="R1296" s="41" t="str">
        <f>IF(ICE[[#This Row],[LastType]] = "Scrn", ICE[[#This Row],[LstPrc]], IF(ICE[[#This Row],[LastType]] = "Blk", ICE[[#This Row],[LstBlkPrc]], ""))</f>
        <v/>
      </c>
      <c r="S1296" s="36">
        <f>ICE[[#This Row],[Vol]]+ICE[[#This Row],[BlkVol]]</f>
        <v>0</v>
      </c>
      <c r="T1296" s="36">
        <f>RTD("ice.rtd",,$C1296 &amp; $D1296 &amp; ":" &amp; T$1)</f>
        <v>0</v>
      </c>
      <c r="U1296" s="18">
        <f>RTD("ice.rtd",,$C1296 &amp; $D1296 &amp; ":" &amp; U$1)</f>
        <v>36.067900000000002</v>
      </c>
      <c r="V12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6" s="18" t="str">
        <f>IFERROR(IF(LEFT(ICE[[#This Row],[Tenor]], 1) = "B", RTD("esrtd",,$B1296 &amp; " " &amp; ICE[[#This Row],[Tenor]] &amp; "-IEU", W$1), RTD("esrtd",,$B1296 &amp; " " &amp; VLOOKUP(MONTH(ICE[[#This Row],[Strip]]), MthRef[], 2, 0) &amp; RIGHT(YEAR(ICE[[#This Row],[Strip]]), 2) &amp; "-IEU", W$1)), "")</f>
        <v/>
      </c>
      <c r="X1296" s="36"/>
    </row>
    <row r="1297" spans="1:24" x14ac:dyDescent="0.25">
      <c r="A1297" s="37" t="s">
        <v>837</v>
      </c>
      <c r="B1297" s="88" t="str">
        <f>RTD("ice.rtd",,$C1297 &amp; $D1297 &amp; ":" &amp; B$1)</f>
        <v>ULC</v>
      </c>
      <c r="C1297" s="3">
        <v>34344092</v>
      </c>
      <c r="D1297" t="s">
        <v>822</v>
      </c>
      <c r="E1297" s="3" t="str">
        <f>RTD("ice.rtd",,$C1297 &amp; $D1297 &amp; ":" &amp; E$1)</f>
        <v>Cal 27</v>
      </c>
      <c r="F1297" s="3" t="str">
        <f>ICE[[#This Row],[Prod]]&amp;ICE[[#This Row],[Strip]]</f>
        <v>gobrxmtCal 27</v>
      </c>
      <c r="G1297" s="18" t="str">
        <f>RTD("ice.rtd",,$C1297 &amp; $D1297 &amp; ":" &amp; G$1)</f>
        <v/>
      </c>
      <c r="H1297" s="18" t="str">
        <f>RTD("ice.rtd",,$C1297 &amp; $D1297 &amp; ":" &amp; H$1)</f>
        <v/>
      </c>
      <c r="I1297" s="18" t="str">
        <f>RTD("ice.rtd",,$C1297 &amp; $D1297 &amp; ":" &amp; I$1)</f>
        <v/>
      </c>
      <c r="J1297" s="14" t="str">
        <f>IFERROR(MOD(RTD("ice.rtd",,$C1297 &amp; $D1297 &amp; ":" &amp; J$1), 1), "")</f>
        <v/>
      </c>
      <c r="K1297" s="18" t="str">
        <f>RTD("ice.rtd",,$C1297 &amp; $D1297 &amp; ":" &amp; K$1)</f>
        <v/>
      </c>
      <c r="L1297" s="36" t="str">
        <f>RTD("ice.rtd",,$C1297 &amp; $D1297 &amp; ":" &amp; L$1)</f>
        <v/>
      </c>
      <c r="M1297" s="14" t="str">
        <f>IFERROR(MOD(TIMEVALUE(RTD("ice.rtd",,$C1297 &amp; $D1297 &amp; ":" &amp; M$1)), 1), "")</f>
        <v/>
      </c>
      <c r="N1297" s="36">
        <f>RTD("ice.rtd",,$C1297 &amp; $D1297 &amp; ":" &amp; N$1)</f>
        <v>0</v>
      </c>
      <c r="O1297" s="36">
        <f>RTD("ice.rtd",,$C1297 &amp; $D1297 &amp; ":" &amp; O$1)</f>
        <v>0</v>
      </c>
      <c r="P12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7" s="14" t="str">
        <f>IF(ICE[[#This Row],[LastType]] = "Scrn", ICE[[#This Row],[LstDate]], IF(ICE[[#This Row],[LastType]] = "Blk", ICE[[#This Row],[LstBlkTime]], ""))</f>
        <v/>
      </c>
      <c r="R1297" s="41" t="str">
        <f>IF(ICE[[#This Row],[LastType]] = "Scrn", ICE[[#This Row],[LstPrc]], IF(ICE[[#This Row],[LastType]] = "Blk", ICE[[#This Row],[LstBlkPrc]], ""))</f>
        <v/>
      </c>
      <c r="S1297" s="36">
        <f>ICE[[#This Row],[Vol]]+ICE[[#This Row],[BlkVol]]</f>
        <v>0</v>
      </c>
      <c r="T1297" s="36">
        <f>RTD("ice.rtd",,$C1297 &amp; $D1297 &amp; ":" &amp; T$1)</f>
        <v>0</v>
      </c>
      <c r="U1297" s="18">
        <f>RTD("ice.rtd",,$C1297 &amp; $D1297 &amp; ":" &amp; U$1)</f>
        <v>54.508800000000001</v>
      </c>
      <c r="V12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7" s="18" t="str">
        <f>IFERROR(IF(LEFT(ICE[[#This Row],[Tenor]], 1) = "B", RTD("esrtd",,$B1297 &amp; " " &amp; ICE[[#This Row],[Tenor]] &amp; "-IEU", W$1), RTD("esrtd",,$B1297 &amp; " " &amp; VLOOKUP(MONTH(ICE[[#This Row],[Strip]]), MthRef[], 2, 0) &amp; RIGHT(YEAR(ICE[[#This Row],[Strip]]), 2) &amp; "-IEU", W$1)), "")</f>
        <v/>
      </c>
      <c r="X1297" s="36"/>
    </row>
    <row r="1298" spans="1:24" x14ac:dyDescent="0.25">
      <c r="A1298" s="37" t="s">
        <v>837</v>
      </c>
      <c r="B1298" s="88" t="str">
        <f>RTD("ice.rtd",,$C1298 &amp; $D1298 &amp; ":" &amp; B$1)</f>
        <v>ULC</v>
      </c>
      <c r="C1298" s="3">
        <v>34344092</v>
      </c>
      <c r="D1298" t="s">
        <v>823</v>
      </c>
      <c r="E1298" s="3" t="str">
        <f>RTD("ice.rtd",,$C1298 &amp; $D1298 &amp; ":" &amp; E$1)</f>
        <v>Cal 28</v>
      </c>
      <c r="F1298" s="3" t="str">
        <f>ICE[[#This Row],[Prod]]&amp;ICE[[#This Row],[Strip]]</f>
        <v>gobrxmtCal 28</v>
      </c>
      <c r="G1298" s="18" t="str">
        <f>RTD("ice.rtd",,$C1298 &amp; $D1298 &amp; ":" &amp; G$1)</f>
        <v/>
      </c>
      <c r="H1298" s="18" t="str">
        <f>RTD("ice.rtd",,$C1298 &amp; $D1298 &amp; ":" &amp; H$1)</f>
        <v/>
      </c>
      <c r="I1298" s="18" t="str">
        <f>RTD("ice.rtd",,$C1298 &amp; $D1298 &amp; ":" &amp; I$1)</f>
        <v/>
      </c>
      <c r="J1298" s="14" t="str">
        <f>IFERROR(MOD(RTD("ice.rtd",,$C1298 &amp; $D1298 &amp; ":" &amp; J$1), 1), "")</f>
        <v/>
      </c>
      <c r="K1298" s="18" t="str">
        <f>RTD("ice.rtd",,$C1298 &amp; $D1298 &amp; ":" &amp; K$1)</f>
        <v/>
      </c>
      <c r="L1298" s="36" t="str">
        <f>RTD("ice.rtd",,$C1298 &amp; $D1298 &amp; ":" &amp; L$1)</f>
        <v/>
      </c>
      <c r="M1298" s="14" t="str">
        <f>IFERROR(MOD(TIMEVALUE(RTD("ice.rtd",,$C1298 &amp; $D1298 &amp; ":" &amp; M$1)), 1), "")</f>
        <v/>
      </c>
      <c r="N1298" s="36">
        <f>RTD("ice.rtd",,$C1298 &amp; $D1298 &amp; ":" &amp; N$1)</f>
        <v>0</v>
      </c>
      <c r="O1298" s="36">
        <f>RTD("ice.rtd",,$C1298 &amp; $D1298 &amp; ":" &amp; O$1)</f>
        <v>0</v>
      </c>
      <c r="P12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8" s="14" t="str">
        <f>IF(ICE[[#This Row],[LastType]] = "Scrn", ICE[[#This Row],[LstDate]], IF(ICE[[#This Row],[LastType]] = "Blk", ICE[[#This Row],[LstBlkTime]], ""))</f>
        <v/>
      </c>
      <c r="R1298" s="41" t="str">
        <f>IF(ICE[[#This Row],[LastType]] = "Scrn", ICE[[#This Row],[LstPrc]], IF(ICE[[#This Row],[LastType]] = "Blk", ICE[[#This Row],[LstBlkPrc]], ""))</f>
        <v/>
      </c>
      <c r="S1298" s="36">
        <f>ICE[[#This Row],[Vol]]+ICE[[#This Row],[BlkVol]]</f>
        <v>0</v>
      </c>
      <c r="T1298" s="36">
        <f>RTD("ice.rtd",,$C1298 &amp; $D1298 &amp; ":" &amp; T$1)</f>
        <v>0</v>
      </c>
      <c r="U1298" s="18">
        <f>RTD("ice.rtd",,$C1298 &amp; $D1298 &amp; ":" &amp; U$1)</f>
        <v>39.0501</v>
      </c>
      <c r="V12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8" s="18" t="str">
        <f>IFERROR(IF(LEFT(ICE[[#This Row],[Tenor]], 1) = "B", RTD("esrtd",,$B1298 &amp; " " &amp; ICE[[#This Row],[Tenor]] &amp; "-IEU", W$1), RTD("esrtd",,$B1298 &amp; " " &amp; VLOOKUP(MONTH(ICE[[#This Row],[Strip]]), MthRef[], 2, 0) &amp; RIGHT(YEAR(ICE[[#This Row],[Strip]]), 2) &amp; "-IEU", W$1)), "")</f>
        <v/>
      </c>
      <c r="X1298" s="36"/>
    </row>
    <row r="1299" spans="1:24" x14ac:dyDescent="0.25">
      <c r="A1299" s="37" t="s">
        <v>837</v>
      </c>
      <c r="B1299" s="88" t="str">
        <f>RTD("ice.rtd",,$C1299 &amp; $D1299 &amp; ":" &amp; B$1)</f>
        <v>ULC</v>
      </c>
      <c r="C1299" s="3">
        <v>34344092</v>
      </c>
      <c r="D1299" t="s">
        <v>824</v>
      </c>
      <c r="E1299" s="3" t="str">
        <f>RTD("ice.rtd",,$C1299 &amp; $D1299 &amp; ":" &amp; E$1)</f>
        <v>Cal 29</v>
      </c>
      <c r="F1299" s="3" t="str">
        <f>ICE[[#This Row],[Prod]]&amp;ICE[[#This Row],[Strip]]</f>
        <v>gobrxmtCal 29</v>
      </c>
      <c r="G1299" s="18" t="str">
        <f>RTD("ice.rtd",,$C1299 &amp; $D1299 &amp; ":" &amp; G$1)</f>
        <v/>
      </c>
      <c r="H1299" s="18" t="str">
        <f>RTD("ice.rtd",,$C1299 &amp; $D1299 &amp; ":" &amp; H$1)</f>
        <v/>
      </c>
      <c r="I1299" s="18" t="str">
        <f>RTD("ice.rtd",,$C1299 &amp; $D1299 &amp; ":" &amp; I$1)</f>
        <v/>
      </c>
      <c r="J1299" s="14" t="str">
        <f>IFERROR(MOD(RTD("ice.rtd",,$C1299 &amp; $D1299 &amp; ":" &amp; J$1), 1), "")</f>
        <v/>
      </c>
      <c r="K1299" s="18" t="str">
        <f>RTD("ice.rtd",,$C1299 &amp; $D1299 &amp; ":" &amp; K$1)</f>
        <v/>
      </c>
      <c r="L1299" s="36" t="str">
        <f>RTD("ice.rtd",,$C1299 &amp; $D1299 &amp; ":" &amp; L$1)</f>
        <v/>
      </c>
      <c r="M1299" s="14" t="str">
        <f>IFERROR(MOD(TIMEVALUE(RTD("ice.rtd",,$C1299 &amp; $D1299 &amp; ":" &amp; M$1)), 1), "")</f>
        <v/>
      </c>
      <c r="N1299" s="36">
        <f>RTD("ice.rtd",,$C1299 &amp; $D1299 &amp; ":" &amp; N$1)</f>
        <v>0</v>
      </c>
      <c r="O1299" s="36">
        <f>RTD("ice.rtd",,$C1299 &amp; $D1299 &amp; ":" &amp; O$1)</f>
        <v>0</v>
      </c>
      <c r="P12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299" s="14" t="str">
        <f>IF(ICE[[#This Row],[LastType]] = "Scrn", ICE[[#This Row],[LstDate]], IF(ICE[[#This Row],[LastType]] = "Blk", ICE[[#This Row],[LstBlkTime]], ""))</f>
        <v/>
      </c>
      <c r="R1299" s="41" t="str">
        <f>IF(ICE[[#This Row],[LastType]] = "Scrn", ICE[[#This Row],[LstPrc]], IF(ICE[[#This Row],[LastType]] = "Blk", ICE[[#This Row],[LstBlkPrc]], ""))</f>
        <v/>
      </c>
      <c r="S1299" s="36">
        <f>ICE[[#This Row],[Vol]]+ICE[[#This Row],[BlkVol]]</f>
        <v>0</v>
      </c>
      <c r="T1299" s="36">
        <f>RTD("ice.rtd",,$C1299 &amp; $D1299 &amp; ":" &amp; T$1)</f>
        <v>0</v>
      </c>
      <c r="U1299" s="18">
        <f>RTD("ice.rtd",,$C1299 &amp; $D1299 &amp; ":" &amp; U$1)</f>
        <v>33.639900000000004</v>
      </c>
      <c r="V12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299" s="18" t="str">
        <f>IFERROR(IF(LEFT(ICE[[#This Row],[Tenor]], 1) = "B", RTD("esrtd",,$B1299 &amp; " " &amp; ICE[[#This Row],[Tenor]] &amp; "-IEU", W$1), RTD("esrtd",,$B1299 &amp; " " &amp; VLOOKUP(MONTH(ICE[[#This Row],[Strip]]), MthRef[], 2, 0) &amp; RIGHT(YEAR(ICE[[#This Row],[Strip]]), 2) &amp; "-IEU", W$1)), "")</f>
        <v/>
      </c>
      <c r="X1299" s="36"/>
    </row>
    <row r="1300" spans="1:24" x14ac:dyDescent="0.25">
      <c r="A1300" s="37" t="s">
        <v>838</v>
      </c>
      <c r="B1300" s="88" t="str">
        <f>RTD("ice.rtd",,$C1300 &amp; $D1300 &amp; ":" &amp; B$1)</f>
        <v>LVA</v>
      </c>
      <c r="C1300" s="3">
        <v>2326225623</v>
      </c>
      <c r="D1300" t="s">
        <v>792</v>
      </c>
      <c r="E1300" s="3" t="str">
        <f>RTD("ice.rtd",,$C1300 &amp; $D1300 &amp; ":" &amp; E$1)</f>
        <v>Bal Month</v>
      </c>
      <c r="F1300" s="3" t="str">
        <f>ICE[[#This Row],[Prod]]&amp;ICE[[#This Row],[Strip]]</f>
        <v>gobrxbblBal Month</v>
      </c>
      <c r="G1300" s="18" t="str">
        <f>RTD("ice.rtd",,$C1300 &amp; $D1300 &amp; ":" &amp; G$1)</f>
        <v/>
      </c>
      <c r="H1300" s="18" t="str">
        <f>RTD("ice.rtd",,$C1300 &amp; $D1300 &amp; ":" &amp; H$1)</f>
        <v/>
      </c>
      <c r="I1300" s="18" t="str">
        <f>RTD("ice.rtd",,$C1300 &amp; $D1300 &amp; ":" &amp; I$1)</f>
        <v/>
      </c>
      <c r="J1300" s="14" t="str">
        <f>IFERROR(MOD(RTD("ice.rtd",,$C1300 &amp; $D1300 &amp; ":" &amp; J$1), 1), "")</f>
        <v/>
      </c>
      <c r="K1300" s="18">
        <f>RTD("ice.rtd",,$C1300 &amp; $D1300 &amp; ":" &amp; K$1)</f>
        <v>88.75</v>
      </c>
      <c r="L1300" s="36">
        <f>RTD("ice.rtd",,$C1300 &amp; $D1300 &amp; ":" &amp; L$1)</f>
        <v>40</v>
      </c>
      <c r="M1300" s="14">
        <f>IFERROR(MOD(TIMEVALUE(RTD("ice.rtd",,$C1300 &amp; $D1300 &amp; ":" &amp; M$1)), 1), "")</f>
        <v>0.45837962962962964</v>
      </c>
      <c r="N1300" s="36">
        <f>RTD("ice.rtd",,$C1300 &amp; $D1300 &amp; ":" &amp; N$1)</f>
        <v>0</v>
      </c>
      <c r="O1300" s="36">
        <f>RTD("ice.rtd",,$C1300 &amp; $D1300 &amp; ":" &amp; O$1)</f>
        <v>306</v>
      </c>
      <c r="P13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300" s="14">
        <f>IF(ICE[[#This Row],[LastType]] = "Scrn", ICE[[#This Row],[LstDate]], IF(ICE[[#This Row],[LastType]] = "Blk", ICE[[#This Row],[LstBlkTime]], ""))</f>
        <v>0.45837962962962964</v>
      </c>
      <c r="R1300" s="41">
        <f>IF(ICE[[#This Row],[LastType]] = "Scrn", ICE[[#This Row],[LstPrc]], IF(ICE[[#This Row],[LastType]] = "Blk", ICE[[#This Row],[LstBlkPrc]], ""))</f>
        <v>88.75</v>
      </c>
      <c r="S1300" s="36">
        <f>ICE[[#This Row],[Vol]]+ICE[[#This Row],[BlkVol]]</f>
        <v>306</v>
      </c>
      <c r="T1300" s="36">
        <f>RTD("ice.rtd",,$C1300 &amp; $D1300 &amp; ":" &amp; T$1)</f>
        <v>0</v>
      </c>
      <c r="U1300" s="18">
        <f>RTD("ice.rtd",,$C1300 &amp; $D1300 &amp; ":" &amp; U$1)</f>
        <v>89.2423</v>
      </c>
      <c r="V13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{88.75} |306x</v>
      </c>
      <c r="W1300" s="18" t="str">
        <f>IFERROR(IF(LEFT(ICE[[#This Row],[Tenor]], 1) = "B", RTD("esrtd",,$B1300 &amp; " " &amp; ICE[[#This Row],[Tenor]] &amp; "-IEU", W$1), RTD("esrtd",,$B1300 &amp; " " &amp; VLOOKUP(MONTH(ICE[[#This Row],[Strip]]), MthRef[], 2, 0) &amp; RIGHT(YEAR(ICE[[#This Row],[Strip]]), 2) &amp; "-IEU", W$1)), "")</f>
        <v/>
      </c>
      <c r="X1300" s="36"/>
    </row>
    <row r="1301" spans="1:24" x14ac:dyDescent="0.25">
      <c r="A1301" s="37" t="s">
        <v>838</v>
      </c>
      <c r="B1301" s="88" t="str">
        <f>RTD("ice.rtd",,$C1301 &amp; $D1301 &amp; ":" &amp; B$1)</f>
        <v>ULD</v>
      </c>
      <c r="C1301" s="3">
        <v>34354093</v>
      </c>
      <c r="D1301" t="s">
        <v>793</v>
      </c>
      <c r="E1301" s="3" t="str">
        <f>RTD("ice.rtd",,$C1301 &amp; $D1301 &amp; ":" &amp; E$1)</f>
        <v>Sep26</v>
      </c>
      <c r="F1301" s="3" t="str">
        <f>ICE[[#This Row],[Prod]]&amp;ICE[[#This Row],[Strip]]</f>
        <v>gobrxbblSep26</v>
      </c>
      <c r="G1301" s="18">
        <f>RTD("ice.rtd",,$C1301 &amp; $D1301 &amp; ":" &amp; G$1)</f>
        <v>84.5</v>
      </c>
      <c r="H1301" s="18" t="str">
        <f>RTD("ice.rtd",,$C1301 &amp; $D1301 &amp; ":" &amp; H$1)</f>
        <v/>
      </c>
      <c r="I1301" s="18" t="str">
        <f>RTD("ice.rtd",,$C1301 &amp; $D1301 &amp; ":" &amp; I$1)</f>
        <v/>
      </c>
      <c r="J1301" s="14" t="str">
        <f>IFERROR(MOD(RTD("ice.rtd",,$C1301 &amp; $D1301 &amp; ":" &amp; J$1), 1), "")</f>
        <v/>
      </c>
      <c r="K1301" s="18" t="str">
        <f>RTD("ice.rtd",,$C1301 &amp; $D1301 &amp; ":" &amp; K$1)</f>
        <v/>
      </c>
      <c r="L1301" s="36" t="str">
        <f>RTD("ice.rtd",,$C1301 &amp; $D1301 &amp; ":" &amp; L$1)</f>
        <v/>
      </c>
      <c r="M1301" s="14" t="str">
        <f>IFERROR(MOD(TIMEVALUE(RTD("ice.rtd",,$C1301 &amp; $D1301 &amp; ":" &amp; M$1)), 1), "")</f>
        <v/>
      </c>
      <c r="N1301" s="36">
        <f>RTD("ice.rtd",,$C1301 &amp; $D1301 &amp; ":" &amp; N$1)</f>
        <v>0</v>
      </c>
      <c r="O1301" s="36">
        <f>RTD("ice.rtd",,$C1301 &amp; $D1301 &amp; ":" &amp; O$1)</f>
        <v>0</v>
      </c>
      <c r="P13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01" s="14" t="str">
        <f>IF(ICE[[#This Row],[LastType]] = "Scrn", ICE[[#This Row],[LstDate]], IF(ICE[[#This Row],[LastType]] = "Blk", ICE[[#This Row],[LstBlkTime]], ""))</f>
        <v/>
      </c>
      <c r="R1301" s="41" t="str">
        <f>IF(ICE[[#This Row],[LastType]] = "Scrn", ICE[[#This Row],[LstPrc]], IF(ICE[[#This Row],[LastType]] = "Blk", ICE[[#This Row],[LstBlkPrc]], ""))</f>
        <v/>
      </c>
      <c r="S1301" s="36">
        <f>ICE[[#This Row],[Vol]]+ICE[[#This Row],[BlkVol]]</f>
        <v>0</v>
      </c>
      <c r="T1301" s="36">
        <f>RTD("ice.rtd",,$C1301 &amp; $D1301 &amp; ":" &amp; T$1)</f>
        <v>47044</v>
      </c>
      <c r="U1301" s="18">
        <f>RTD("ice.rtd",,$C1301 &amp; $D1301 &amp; ":" &amp; U$1)</f>
        <v>89.2423</v>
      </c>
      <c r="V13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84.50 /  </v>
      </c>
      <c r="W1301" s="18" t="str">
        <f>IFERROR(IF(LEFT(ICE[[#This Row],[Tenor]], 1) = "B", RTD("esrtd",,$B1301 &amp; " " &amp; ICE[[#This Row],[Tenor]] &amp; "-IEU", W$1), RTD("esrtd",,$B1301 &amp; " " &amp; VLOOKUP(MONTH(ICE[[#This Row],[Strip]]), MthRef[], 2, 0) &amp; RIGHT(YEAR(ICE[[#This Row],[Strip]]), 2) &amp; "-IEU", W$1)), "")</f>
        <v/>
      </c>
      <c r="X1301" s="36"/>
    </row>
    <row r="1302" spans="1:24" x14ac:dyDescent="0.25">
      <c r="A1302" s="37" t="s">
        <v>838</v>
      </c>
      <c r="B1302" s="88" t="str">
        <f>RTD("ice.rtd",,$C1302 &amp; $D1302 &amp; ":" &amp; B$1)</f>
        <v>ULD</v>
      </c>
      <c r="C1302" s="3">
        <v>34354093</v>
      </c>
      <c r="D1302" t="s">
        <v>324</v>
      </c>
      <c r="E1302" s="3" t="str">
        <f>RTD("ice.rtd",,$C1302 &amp; $D1302 &amp; ":" &amp; E$1)</f>
        <v>Oct26</v>
      </c>
      <c r="F1302" s="3" t="str">
        <f>ICE[[#This Row],[Prod]]&amp;ICE[[#This Row],[Strip]]</f>
        <v>gobrxbblOct26</v>
      </c>
      <c r="G1302" s="18">
        <f>RTD("ice.rtd",,$C1302 &amp; $D1302 &amp; ":" &amp; G$1)</f>
        <v>82.94</v>
      </c>
      <c r="H1302" s="18">
        <f>RTD("ice.rtd",,$C1302 &amp; $D1302 &amp; ":" &amp; H$1)</f>
        <v>83.19</v>
      </c>
      <c r="I1302" s="18">
        <f>RTD("ice.rtd",,$C1302 &amp; $D1302 &amp; ":" &amp; I$1)</f>
        <v>83.4</v>
      </c>
      <c r="J1302" s="14">
        <f>IFERROR(MOD(RTD("ice.rtd",,$C1302 &amp; $D1302 &amp; ":" &amp; J$1), 1), "")</f>
        <v>0.43589207175682532</v>
      </c>
      <c r="K1302" s="18">
        <f>RTD("ice.rtd",,$C1302 &amp; $D1302 &amp; ":" &amp; K$1)</f>
        <v>83</v>
      </c>
      <c r="L1302" s="36">
        <f>RTD("ice.rtd",,$C1302 &amp; $D1302 &amp; ":" &amp; L$1)</f>
        <v>40</v>
      </c>
      <c r="M1302" s="14">
        <f>IFERROR(MOD(TIMEVALUE(RTD("ice.rtd",,$C1302 &amp; $D1302 &amp; ":" &amp; M$1)), 1), "")</f>
        <v>0.45837962962962964</v>
      </c>
      <c r="N1302" s="36">
        <f>RTD("ice.rtd",,$C1302 &amp; $D1302 &amp; ":" &amp; N$1)</f>
        <v>444</v>
      </c>
      <c r="O1302" s="36">
        <f>RTD("ice.rtd",,$C1302 &amp; $D1302 &amp; ":" &amp; O$1)</f>
        <v>310</v>
      </c>
      <c r="P13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302" s="14">
        <f>IF(ICE[[#This Row],[LastType]] = "Scrn", ICE[[#This Row],[LstDate]], IF(ICE[[#This Row],[LastType]] = "Blk", ICE[[#This Row],[LstBlkTime]], ""))</f>
        <v>0.45837962962962964</v>
      </c>
      <c r="R1302" s="41">
        <f>IF(ICE[[#This Row],[LastType]] = "Scrn", ICE[[#This Row],[LstPrc]], IF(ICE[[#This Row],[LastType]] = "Blk", ICE[[#This Row],[LstBlkPrc]], ""))</f>
        <v>83</v>
      </c>
      <c r="S1302" s="36">
        <f>ICE[[#This Row],[Vol]]+ICE[[#This Row],[BlkVol]]</f>
        <v>754</v>
      </c>
      <c r="T1302" s="36">
        <f>RTD("ice.rtd",,$C1302 &amp; $D1302 &amp; ":" &amp; T$1)</f>
        <v>28439</v>
      </c>
      <c r="U1302" s="18">
        <f>RTD("ice.rtd",,$C1302 &amp; $D1302 &amp; ":" &amp; U$1)</f>
        <v>82.474500000000006</v>
      </c>
      <c r="V13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82.94 / 83.19 {83.00} |754x</v>
      </c>
      <c r="W1302" s="18" t="str">
        <f>IFERROR(IF(LEFT(ICE[[#This Row],[Tenor]], 1) = "B", RTD("esrtd",,$B1302 &amp; " " &amp; ICE[[#This Row],[Tenor]] &amp; "-IEU", W$1), RTD("esrtd",,$B1302 &amp; " " &amp; VLOOKUP(MONTH(ICE[[#This Row],[Strip]]), MthRef[], 2, 0) &amp; RIGHT(YEAR(ICE[[#This Row],[Strip]]), 2) &amp; "-IEU", W$1)), "")</f>
        <v/>
      </c>
      <c r="X1302" s="36"/>
    </row>
    <row r="1303" spans="1:24" x14ac:dyDescent="0.25">
      <c r="A1303" s="37" t="s">
        <v>838</v>
      </c>
      <c r="B1303" s="88" t="str">
        <f>RTD("ice.rtd",,$C1303 &amp; $D1303 &amp; ":" &amp; B$1)</f>
        <v>ULD</v>
      </c>
      <c r="C1303" s="3">
        <v>34354093</v>
      </c>
      <c r="D1303" t="s">
        <v>325</v>
      </c>
      <c r="E1303" s="3" t="str">
        <f>RTD("ice.rtd",,$C1303 &amp; $D1303 &amp; ":" &amp; E$1)</f>
        <v>Nov26</v>
      </c>
      <c r="F1303" s="3" t="str">
        <f>ICE[[#This Row],[Prod]]&amp;ICE[[#This Row],[Strip]]</f>
        <v>gobrxbblNov26</v>
      </c>
      <c r="G1303" s="18">
        <f>RTD("ice.rtd",,$C1303 &amp; $D1303 &amp; ":" &amp; G$1)</f>
        <v>77.8</v>
      </c>
      <c r="H1303" s="18">
        <f>RTD("ice.rtd",,$C1303 &amp; $D1303 &amp; ":" &amp; H$1)</f>
        <v>78.05</v>
      </c>
      <c r="I1303" s="18">
        <f>RTD("ice.rtd",,$C1303 &amp; $D1303 &amp; ":" &amp; I$1)</f>
        <v>78.67</v>
      </c>
      <c r="J1303" s="14">
        <f>IFERROR(MOD(RTD("ice.rtd",,$C1303 &amp; $D1303 &amp; ":" &amp; J$1), 1), "")</f>
        <v>0.3650009722186951</v>
      </c>
      <c r="K1303" s="18" t="str">
        <f>RTD("ice.rtd",,$C1303 &amp; $D1303 &amp; ":" &amp; K$1)</f>
        <v/>
      </c>
      <c r="L1303" s="36" t="str">
        <f>RTD("ice.rtd",,$C1303 &amp; $D1303 &amp; ":" &amp; L$1)</f>
        <v/>
      </c>
      <c r="M1303" s="14" t="str">
        <f>IFERROR(MOD(TIMEVALUE(RTD("ice.rtd",,$C1303 &amp; $D1303 &amp; ":" &amp; M$1)), 1), "")</f>
        <v/>
      </c>
      <c r="N1303" s="36">
        <f>RTD("ice.rtd",,$C1303 &amp; $D1303 &amp; ":" &amp; N$1)</f>
        <v>107</v>
      </c>
      <c r="O1303" s="36">
        <f>RTD("ice.rtd",,$C1303 &amp; $D1303 &amp; ":" &amp; O$1)</f>
        <v>235</v>
      </c>
      <c r="P13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303" s="14">
        <f>IF(ICE[[#This Row],[LastType]] = "Scrn", ICE[[#This Row],[LstDate]], IF(ICE[[#This Row],[LastType]] = "Blk", ICE[[#This Row],[LstBlkTime]], ""))</f>
        <v>0.3650009722186951</v>
      </c>
      <c r="R1303" s="41">
        <f>IF(ICE[[#This Row],[LastType]] = "Scrn", ICE[[#This Row],[LstPrc]], IF(ICE[[#This Row],[LastType]] = "Blk", ICE[[#This Row],[LstBlkPrc]], ""))</f>
        <v>78.67</v>
      </c>
      <c r="S1303" s="36">
        <f>ICE[[#This Row],[Vol]]+ICE[[#This Row],[BlkVol]]</f>
        <v>342</v>
      </c>
      <c r="T1303" s="36">
        <f>RTD("ice.rtd",,$C1303 &amp; $D1303 &amp; ":" &amp; T$1)</f>
        <v>28076</v>
      </c>
      <c r="U1303" s="18">
        <f>RTD("ice.rtd",,$C1303 &amp; $D1303 &amp; ":" &amp; U$1)</f>
        <v>76.870100000000008</v>
      </c>
      <c r="V13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77.80 / 78.05 {78.67} |342x</v>
      </c>
      <c r="W1303" s="18" t="str">
        <f>IFERROR(IF(LEFT(ICE[[#This Row],[Tenor]], 1) = "B", RTD("esrtd",,$B1303 &amp; " " &amp; ICE[[#This Row],[Tenor]] &amp; "-IEU", W$1), RTD("esrtd",,$B1303 &amp; " " &amp; VLOOKUP(MONTH(ICE[[#This Row],[Strip]]), MthRef[], 2, 0) &amp; RIGHT(YEAR(ICE[[#This Row],[Strip]]), 2) &amp; "-IEU", W$1)), "")</f>
        <v/>
      </c>
      <c r="X1303" s="36"/>
    </row>
    <row r="1304" spans="1:24" x14ac:dyDescent="0.25">
      <c r="A1304" s="37" t="s">
        <v>838</v>
      </c>
      <c r="B1304" s="88" t="str">
        <f>RTD("ice.rtd",,$C1304 &amp; $D1304 &amp; ":" &amp; B$1)</f>
        <v>ULD</v>
      </c>
      <c r="C1304" s="3">
        <v>34354093</v>
      </c>
      <c r="D1304" t="s">
        <v>326</v>
      </c>
      <c r="E1304" s="3" t="str">
        <f>RTD("ice.rtd",,$C1304 &amp; $D1304 &amp; ":" &amp; E$1)</f>
        <v>Dec26</v>
      </c>
      <c r="F1304" s="3" t="str">
        <f>ICE[[#This Row],[Prod]]&amp;ICE[[#This Row],[Strip]]</f>
        <v>gobrxbblDec26</v>
      </c>
      <c r="G1304" s="18">
        <f>RTD("ice.rtd",,$C1304 &amp; $D1304 &amp; ":" &amp; G$1)</f>
        <v>72.94</v>
      </c>
      <c r="H1304" s="18">
        <f>RTD("ice.rtd",,$C1304 &amp; $D1304 &amp; ":" &amp; H$1)</f>
        <v>73.23</v>
      </c>
      <c r="I1304" s="18">
        <f>RTD("ice.rtd",,$C1304 &amp; $D1304 &amp; ":" &amp; I$1)</f>
        <v>73.5</v>
      </c>
      <c r="J1304" s="14">
        <f>IFERROR(MOD(RTD("ice.rtd",,$C1304 &amp; $D1304 &amp; ":" &amp; J$1), 1), "")</f>
        <v>0.36399247685039882</v>
      </c>
      <c r="K1304" s="18" t="str">
        <f>RTD("ice.rtd",,$C1304 &amp; $D1304 &amp; ":" &amp; K$1)</f>
        <v/>
      </c>
      <c r="L1304" s="36" t="str">
        <f>RTD("ice.rtd",,$C1304 &amp; $D1304 &amp; ":" &amp; L$1)</f>
        <v/>
      </c>
      <c r="M1304" s="14" t="str">
        <f>IFERROR(MOD(TIMEVALUE(RTD("ice.rtd",,$C1304 &amp; $D1304 &amp; ":" &amp; M$1)), 1), "")</f>
        <v/>
      </c>
      <c r="N1304" s="36">
        <f>RTD("ice.rtd",,$C1304 &amp; $D1304 &amp; ":" &amp; N$1)</f>
        <v>105</v>
      </c>
      <c r="O1304" s="36">
        <f>RTD("ice.rtd",,$C1304 &amp; $D1304 &amp; ":" &amp; O$1)</f>
        <v>245</v>
      </c>
      <c r="P13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304" s="14">
        <f>IF(ICE[[#This Row],[LastType]] = "Scrn", ICE[[#This Row],[LstDate]], IF(ICE[[#This Row],[LastType]] = "Blk", ICE[[#This Row],[LstBlkTime]], ""))</f>
        <v>0.36399247685039882</v>
      </c>
      <c r="R1304" s="41">
        <f>IF(ICE[[#This Row],[LastType]] = "Scrn", ICE[[#This Row],[LstPrc]], IF(ICE[[#This Row],[LastType]] = "Blk", ICE[[#This Row],[LstBlkPrc]], ""))</f>
        <v>73.5</v>
      </c>
      <c r="S1304" s="36">
        <f>ICE[[#This Row],[Vol]]+ICE[[#This Row],[BlkVol]]</f>
        <v>350</v>
      </c>
      <c r="T1304" s="36">
        <f>RTD("ice.rtd",,$C1304 &amp; $D1304 &amp; ":" &amp; T$1)</f>
        <v>26737</v>
      </c>
      <c r="U1304" s="18">
        <f>RTD("ice.rtd",,$C1304 &amp; $D1304 &amp; ":" &amp; U$1)</f>
        <v>71.802300000000002</v>
      </c>
      <c r="V13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72.94 / 73.23 {73.50} |350x</v>
      </c>
      <c r="W1304" s="18" t="str">
        <f>IFERROR(IF(LEFT(ICE[[#This Row],[Tenor]], 1) = "B", RTD("esrtd",,$B1304 &amp; " " &amp; ICE[[#This Row],[Tenor]] &amp; "-IEU", W$1), RTD("esrtd",,$B1304 &amp; " " &amp; VLOOKUP(MONTH(ICE[[#This Row],[Strip]]), MthRef[], 2, 0) &amp; RIGHT(YEAR(ICE[[#This Row],[Strip]]), 2) &amp; "-IEU", W$1)), "")</f>
        <v/>
      </c>
      <c r="X1304" s="36"/>
    </row>
    <row r="1305" spans="1:24" x14ac:dyDescent="0.25">
      <c r="A1305" s="37" t="s">
        <v>838</v>
      </c>
      <c r="B1305" s="88" t="str">
        <f>RTD("ice.rtd",,$C1305 &amp; $D1305 &amp; ":" &amp; B$1)</f>
        <v>ULD</v>
      </c>
      <c r="C1305" s="3">
        <v>34354093</v>
      </c>
      <c r="D1305" t="s">
        <v>794</v>
      </c>
      <c r="E1305" s="3" t="str">
        <f>RTD("ice.rtd",,$C1305 &amp; $D1305 &amp; ":" &amp; E$1)</f>
        <v>Jan27</v>
      </c>
      <c r="F1305" s="3" t="str">
        <f>ICE[[#This Row],[Prod]]&amp;ICE[[#This Row],[Strip]]</f>
        <v>gobrxbblJan27</v>
      </c>
      <c r="G1305" s="18" t="str">
        <f>RTD("ice.rtd",,$C1305 &amp; $D1305 &amp; ":" &amp; G$1)</f>
        <v/>
      </c>
      <c r="H1305" s="18" t="str">
        <f>RTD("ice.rtd",,$C1305 &amp; $D1305 &amp; ":" &amp; H$1)</f>
        <v/>
      </c>
      <c r="I1305" s="18" t="str">
        <f>RTD("ice.rtd",,$C1305 &amp; $D1305 &amp; ":" &amp; I$1)</f>
        <v/>
      </c>
      <c r="J1305" s="14" t="str">
        <f>IFERROR(MOD(RTD("ice.rtd",,$C1305 &amp; $D1305 &amp; ":" &amp; J$1), 1), "")</f>
        <v/>
      </c>
      <c r="K1305" s="18" t="str">
        <f>RTD("ice.rtd",,$C1305 &amp; $D1305 &amp; ":" &amp; K$1)</f>
        <v/>
      </c>
      <c r="L1305" s="36" t="str">
        <f>RTD("ice.rtd",,$C1305 &amp; $D1305 &amp; ":" &amp; L$1)</f>
        <v/>
      </c>
      <c r="M1305" s="14" t="str">
        <f>IFERROR(MOD(TIMEVALUE(RTD("ice.rtd",,$C1305 &amp; $D1305 &amp; ":" &amp; M$1)), 1), "")</f>
        <v/>
      </c>
      <c r="N1305" s="36">
        <f>RTD("ice.rtd",,$C1305 &amp; $D1305 &amp; ":" &amp; N$1)</f>
        <v>12</v>
      </c>
      <c r="O1305" s="36">
        <f>RTD("ice.rtd",,$C1305 &amp; $D1305 &amp; ":" &amp; O$1)</f>
        <v>191</v>
      </c>
      <c r="P13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05" s="14" t="str">
        <f>IF(ICE[[#This Row],[LastType]] = "Scrn", ICE[[#This Row],[LstDate]], IF(ICE[[#This Row],[LastType]] = "Blk", ICE[[#This Row],[LstBlkTime]], ""))</f>
        <v/>
      </c>
      <c r="R1305" s="41" t="str">
        <f>IF(ICE[[#This Row],[LastType]] = "Scrn", ICE[[#This Row],[LstPrc]], IF(ICE[[#This Row],[LastType]] = "Blk", ICE[[#This Row],[LstBlkPrc]], ""))</f>
        <v/>
      </c>
      <c r="S1305" s="36">
        <f>ICE[[#This Row],[Vol]]+ICE[[#This Row],[BlkVol]]</f>
        <v>203</v>
      </c>
      <c r="T1305" s="36">
        <f>RTD("ice.rtd",,$C1305 &amp; $D1305 &amp; ":" &amp; T$1)</f>
        <v>11913</v>
      </c>
      <c r="U1305" s="18">
        <f>RTD("ice.rtd",,$C1305 &amp; $D1305 &amp; ":" &amp; U$1)</f>
        <v>68.228499999999997</v>
      </c>
      <c r="V13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|203x</v>
      </c>
      <c r="W1305" s="18" t="str">
        <f>IFERROR(IF(LEFT(ICE[[#This Row],[Tenor]], 1) = "B", RTD("esrtd",,$B1305 &amp; " " &amp; ICE[[#This Row],[Tenor]] &amp; "-IEU", W$1), RTD("esrtd",,$B1305 &amp; " " &amp; VLOOKUP(MONTH(ICE[[#This Row],[Strip]]), MthRef[], 2, 0) &amp; RIGHT(YEAR(ICE[[#This Row],[Strip]]), 2) &amp; "-IEU", W$1)), "")</f>
        <v/>
      </c>
      <c r="X1305" s="36"/>
    </row>
    <row r="1306" spans="1:24" x14ac:dyDescent="0.25">
      <c r="A1306" s="37" t="s">
        <v>838</v>
      </c>
      <c r="B1306" s="88" t="str">
        <f>RTD("ice.rtd",,$C1306 &amp; $D1306 &amp; ":" &amp; B$1)</f>
        <v>ULD</v>
      </c>
      <c r="C1306" s="3">
        <v>34354093</v>
      </c>
      <c r="D1306" t="s">
        <v>795</v>
      </c>
      <c r="E1306" s="3" t="str">
        <f>RTD("ice.rtd",,$C1306 &amp; $D1306 &amp; ":" &amp; E$1)</f>
        <v>Feb27</v>
      </c>
      <c r="F1306" s="3" t="str">
        <f>ICE[[#This Row],[Prod]]&amp;ICE[[#This Row],[Strip]]</f>
        <v>gobrxbblFeb27</v>
      </c>
      <c r="G1306" s="18" t="str">
        <f>RTD("ice.rtd",,$C1306 &amp; $D1306 &amp; ":" &amp; G$1)</f>
        <v/>
      </c>
      <c r="H1306" s="18" t="str">
        <f>RTD("ice.rtd",,$C1306 &amp; $D1306 &amp; ":" &amp; H$1)</f>
        <v/>
      </c>
      <c r="I1306" s="18" t="str">
        <f>RTD("ice.rtd",,$C1306 &amp; $D1306 &amp; ":" &amp; I$1)</f>
        <v/>
      </c>
      <c r="J1306" s="14" t="str">
        <f>IFERROR(MOD(RTD("ice.rtd",,$C1306 &amp; $D1306 &amp; ":" &amp; J$1), 1), "")</f>
        <v/>
      </c>
      <c r="K1306" s="18" t="str">
        <f>RTD("ice.rtd",,$C1306 &amp; $D1306 &amp; ":" &amp; K$1)</f>
        <v/>
      </c>
      <c r="L1306" s="36" t="str">
        <f>RTD("ice.rtd",,$C1306 &amp; $D1306 &amp; ":" &amp; L$1)</f>
        <v/>
      </c>
      <c r="M1306" s="14" t="str">
        <f>IFERROR(MOD(TIMEVALUE(RTD("ice.rtd",,$C1306 &amp; $D1306 &amp; ":" &amp; M$1)), 1), "")</f>
        <v/>
      </c>
      <c r="N1306" s="36">
        <f>RTD("ice.rtd",,$C1306 &amp; $D1306 &amp; ":" &amp; N$1)</f>
        <v>12</v>
      </c>
      <c r="O1306" s="36">
        <f>RTD("ice.rtd",,$C1306 &amp; $D1306 &amp; ":" &amp; O$1)</f>
        <v>191</v>
      </c>
      <c r="P13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06" s="14" t="str">
        <f>IF(ICE[[#This Row],[LastType]] = "Scrn", ICE[[#This Row],[LstDate]], IF(ICE[[#This Row],[LastType]] = "Blk", ICE[[#This Row],[LstBlkTime]], ""))</f>
        <v/>
      </c>
      <c r="R1306" s="41" t="str">
        <f>IF(ICE[[#This Row],[LastType]] = "Scrn", ICE[[#This Row],[LstPrc]], IF(ICE[[#This Row],[LastType]] = "Blk", ICE[[#This Row],[LstBlkPrc]], ""))</f>
        <v/>
      </c>
      <c r="S1306" s="36">
        <f>ICE[[#This Row],[Vol]]+ICE[[#This Row],[BlkVol]]</f>
        <v>203</v>
      </c>
      <c r="T1306" s="36">
        <f>RTD("ice.rtd",,$C1306 &amp; $D1306 &amp; ":" &amp; T$1)</f>
        <v>11492</v>
      </c>
      <c r="U1306" s="18">
        <f>RTD("ice.rtd",,$C1306 &amp; $D1306 &amp; ":" &amp; U$1)</f>
        <v>65.424900000000008</v>
      </c>
      <c r="V13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|203x</v>
      </c>
      <c r="W1306" s="18" t="str">
        <f>IFERROR(IF(LEFT(ICE[[#This Row],[Tenor]], 1) = "B", RTD("esrtd",,$B1306 &amp; " " &amp; ICE[[#This Row],[Tenor]] &amp; "-IEU", W$1), RTD("esrtd",,$B1306 &amp; " " &amp; VLOOKUP(MONTH(ICE[[#This Row],[Strip]]), MthRef[], 2, 0) &amp; RIGHT(YEAR(ICE[[#This Row],[Strip]]), 2) &amp; "-IEU", W$1)), "")</f>
        <v/>
      </c>
      <c r="X1306" s="36"/>
    </row>
    <row r="1307" spans="1:24" x14ac:dyDescent="0.25">
      <c r="A1307" s="37" t="s">
        <v>838</v>
      </c>
      <c r="B1307" s="88" t="str">
        <f>RTD("ice.rtd",,$C1307 &amp; $D1307 &amp; ":" &amp; B$1)</f>
        <v>ULD</v>
      </c>
      <c r="C1307" s="3">
        <v>34354093</v>
      </c>
      <c r="D1307" t="s">
        <v>113</v>
      </c>
      <c r="E1307" s="3" t="str">
        <f>RTD("ice.rtd",,$C1307 &amp; $D1307 &amp; ":" &amp; E$1)</f>
        <v>Mar27</v>
      </c>
      <c r="F1307" s="3" t="str">
        <f>ICE[[#This Row],[Prod]]&amp;ICE[[#This Row],[Strip]]</f>
        <v>gobrxbblMar27</v>
      </c>
      <c r="G1307" s="18" t="str">
        <f>RTD("ice.rtd",,$C1307 &amp; $D1307 &amp; ":" &amp; G$1)</f>
        <v/>
      </c>
      <c r="H1307" s="18" t="str">
        <f>RTD("ice.rtd",,$C1307 &amp; $D1307 &amp; ":" &amp; H$1)</f>
        <v/>
      </c>
      <c r="I1307" s="18" t="str">
        <f>RTD("ice.rtd",,$C1307 &amp; $D1307 &amp; ":" &amp; I$1)</f>
        <v/>
      </c>
      <c r="J1307" s="14" t="str">
        <f>IFERROR(MOD(RTD("ice.rtd",,$C1307 &amp; $D1307 &amp; ":" &amp; J$1), 1), "")</f>
        <v/>
      </c>
      <c r="K1307" s="18" t="str">
        <f>RTD("ice.rtd",,$C1307 &amp; $D1307 &amp; ":" &amp; K$1)</f>
        <v/>
      </c>
      <c r="L1307" s="36" t="str">
        <f>RTD("ice.rtd",,$C1307 &amp; $D1307 &amp; ":" &amp; L$1)</f>
        <v/>
      </c>
      <c r="M1307" s="14" t="str">
        <f>IFERROR(MOD(TIMEVALUE(RTD("ice.rtd",,$C1307 &amp; $D1307 &amp; ":" &amp; M$1)), 1), "")</f>
        <v/>
      </c>
      <c r="N1307" s="36">
        <f>RTD("ice.rtd",,$C1307 &amp; $D1307 &amp; ":" &amp; N$1)</f>
        <v>12</v>
      </c>
      <c r="O1307" s="36">
        <f>RTD("ice.rtd",,$C1307 &amp; $D1307 &amp; ":" &amp; O$1)</f>
        <v>191</v>
      </c>
      <c r="P13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07" s="14" t="str">
        <f>IF(ICE[[#This Row],[LastType]] = "Scrn", ICE[[#This Row],[LstDate]], IF(ICE[[#This Row],[LastType]] = "Blk", ICE[[#This Row],[LstBlkTime]], ""))</f>
        <v/>
      </c>
      <c r="R1307" s="41" t="str">
        <f>IF(ICE[[#This Row],[LastType]] = "Scrn", ICE[[#This Row],[LstPrc]], IF(ICE[[#This Row],[LastType]] = "Blk", ICE[[#This Row],[LstBlkPrc]], ""))</f>
        <v/>
      </c>
      <c r="S1307" s="36">
        <f>ICE[[#This Row],[Vol]]+ICE[[#This Row],[BlkVol]]</f>
        <v>203</v>
      </c>
      <c r="T1307" s="36">
        <f>RTD("ice.rtd",,$C1307 &amp; $D1307 &amp; ":" &amp; T$1)</f>
        <v>11623</v>
      </c>
      <c r="U1307" s="18">
        <f>RTD("ice.rtd",,$C1307 &amp; $D1307 &amp; ":" &amp; U$1)</f>
        <v>61.630900000000004</v>
      </c>
      <c r="V13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|203x</v>
      </c>
      <c r="W1307" s="18" t="str">
        <f>IFERROR(IF(LEFT(ICE[[#This Row],[Tenor]], 1) = "B", RTD("esrtd",,$B1307 &amp; " " &amp; ICE[[#This Row],[Tenor]] &amp; "-IEU", W$1), RTD("esrtd",,$B1307 &amp; " " &amp; VLOOKUP(MONTH(ICE[[#This Row],[Strip]]), MthRef[], 2, 0) &amp; RIGHT(YEAR(ICE[[#This Row],[Strip]]), 2) &amp; "-IEU", W$1)), "")</f>
        <v/>
      </c>
      <c r="X1307" s="36"/>
    </row>
    <row r="1308" spans="1:24" x14ac:dyDescent="0.25">
      <c r="A1308" s="37" t="s">
        <v>838</v>
      </c>
      <c r="B1308" s="88" t="str">
        <f>RTD("ice.rtd",,$C1308 &amp; $D1308 &amp; ":" &amp; B$1)</f>
        <v>ULD</v>
      </c>
      <c r="C1308" s="3">
        <v>34354093</v>
      </c>
      <c r="D1308" t="s">
        <v>796</v>
      </c>
      <c r="E1308" s="3" t="str">
        <f>RTD("ice.rtd",,$C1308 &amp; $D1308 &amp; ":" &amp; E$1)</f>
        <v>Apr27</v>
      </c>
      <c r="F1308" s="3" t="str">
        <f>ICE[[#This Row],[Prod]]&amp;ICE[[#This Row],[Strip]]</f>
        <v>gobrxbblApr27</v>
      </c>
      <c r="G1308" s="18" t="str">
        <f>RTD("ice.rtd",,$C1308 &amp; $D1308 &amp; ":" &amp; G$1)</f>
        <v/>
      </c>
      <c r="H1308" s="18" t="str">
        <f>RTD("ice.rtd",,$C1308 &amp; $D1308 &amp; ":" &amp; H$1)</f>
        <v/>
      </c>
      <c r="I1308" s="18" t="str">
        <f>RTD("ice.rtd",,$C1308 &amp; $D1308 &amp; ":" &amp; I$1)</f>
        <v/>
      </c>
      <c r="J1308" s="14" t="str">
        <f>IFERROR(MOD(RTD("ice.rtd",,$C1308 &amp; $D1308 &amp; ":" &amp; J$1), 1), "")</f>
        <v/>
      </c>
      <c r="K1308" s="18" t="str">
        <f>RTD("ice.rtd",,$C1308 &amp; $D1308 &amp; ":" &amp; K$1)</f>
        <v/>
      </c>
      <c r="L1308" s="36" t="str">
        <f>RTD("ice.rtd",,$C1308 &amp; $D1308 &amp; ":" &amp; L$1)</f>
        <v/>
      </c>
      <c r="M1308" s="14" t="str">
        <f>IFERROR(MOD(TIMEVALUE(RTD("ice.rtd",,$C1308 &amp; $D1308 &amp; ":" &amp; M$1)), 1), "")</f>
        <v/>
      </c>
      <c r="N1308" s="36">
        <f>RTD("ice.rtd",,$C1308 &amp; $D1308 &amp; ":" &amp; N$1)</f>
        <v>12</v>
      </c>
      <c r="O1308" s="36">
        <f>RTD("ice.rtd",,$C1308 &amp; $D1308 &amp; ":" &amp; O$1)</f>
        <v>31</v>
      </c>
      <c r="P13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08" s="14" t="str">
        <f>IF(ICE[[#This Row],[LastType]] = "Scrn", ICE[[#This Row],[LstDate]], IF(ICE[[#This Row],[LastType]] = "Blk", ICE[[#This Row],[LstBlkTime]], ""))</f>
        <v/>
      </c>
      <c r="R1308" s="41" t="str">
        <f>IF(ICE[[#This Row],[LastType]] = "Scrn", ICE[[#This Row],[LstPrc]], IF(ICE[[#This Row],[LastType]] = "Blk", ICE[[#This Row],[LstBlkPrc]], ""))</f>
        <v/>
      </c>
      <c r="S1308" s="36">
        <f>ICE[[#This Row],[Vol]]+ICE[[#This Row],[BlkVol]]</f>
        <v>43</v>
      </c>
      <c r="T1308" s="36">
        <f>RTD("ice.rtd",,$C1308 &amp; $D1308 &amp; ":" &amp; T$1)</f>
        <v>7862</v>
      </c>
      <c r="U1308" s="18">
        <f>RTD("ice.rtd",,$C1308 &amp; $D1308 &amp; ":" &amp; U$1)</f>
        <v>58.1676</v>
      </c>
      <c r="V13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|43x</v>
      </c>
      <c r="W1308" s="18" t="str">
        <f>IFERROR(IF(LEFT(ICE[[#This Row],[Tenor]], 1) = "B", RTD("esrtd",,$B1308 &amp; " " &amp; ICE[[#This Row],[Tenor]] &amp; "-IEU", W$1), RTD("esrtd",,$B1308 &amp; " " &amp; VLOOKUP(MONTH(ICE[[#This Row],[Strip]]), MthRef[], 2, 0) &amp; RIGHT(YEAR(ICE[[#This Row],[Strip]]), 2) &amp; "-IEU", W$1)), "")</f>
        <v/>
      </c>
      <c r="X1308" s="36"/>
    </row>
    <row r="1309" spans="1:24" x14ac:dyDescent="0.25">
      <c r="A1309" s="37" t="s">
        <v>838</v>
      </c>
      <c r="B1309" s="88" t="str">
        <f>RTD("ice.rtd",,$C1309 &amp; $D1309 &amp; ":" &amp; B$1)</f>
        <v>ULD</v>
      </c>
      <c r="C1309" s="3">
        <v>34354093</v>
      </c>
      <c r="D1309" t="s">
        <v>797</v>
      </c>
      <c r="E1309" s="3" t="str">
        <f>RTD("ice.rtd",,$C1309 &amp; $D1309 &amp; ":" &amp; E$1)</f>
        <v>May27</v>
      </c>
      <c r="F1309" s="3" t="str">
        <f>ICE[[#This Row],[Prod]]&amp;ICE[[#This Row],[Strip]]</f>
        <v>gobrxbblMay27</v>
      </c>
      <c r="G1309" s="18" t="str">
        <f>RTD("ice.rtd",,$C1309 &amp; $D1309 &amp; ":" &amp; G$1)</f>
        <v/>
      </c>
      <c r="H1309" s="18" t="str">
        <f>RTD("ice.rtd",,$C1309 &amp; $D1309 &amp; ":" &amp; H$1)</f>
        <v/>
      </c>
      <c r="I1309" s="18" t="str">
        <f>RTD("ice.rtd",,$C1309 &amp; $D1309 &amp; ":" &amp; I$1)</f>
        <v/>
      </c>
      <c r="J1309" s="14" t="str">
        <f>IFERROR(MOD(RTD("ice.rtd",,$C1309 &amp; $D1309 &amp; ":" &amp; J$1), 1), "")</f>
        <v/>
      </c>
      <c r="K1309" s="18" t="str">
        <f>RTD("ice.rtd",,$C1309 &amp; $D1309 &amp; ":" &amp; K$1)</f>
        <v/>
      </c>
      <c r="L1309" s="36" t="str">
        <f>RTD("ice.rtd",,$C1309 &amp; $D1309 &amp; ":" &amp; L$1)</f>
        <v/>
      </c>
      <c r="M1309" s="14" t="str">
        <f>IFERROR(MOD(TIMEVALUE(RTD("ice.rtd",,$C1309 &amp; $D1309 &amp; ":" &amp; M$1)), 1), "")</f>
        <v/>
      </c>
      <c r="N1309" s="36">
        <f>RTD("ice.rtd",,$C1309 &amp; $D1309 &amp; ":" &amp; N$1)</f>
        <v>12</v>
      </c>
      <c r="O1309" s="36">
        <f>RTD("ice.rtd",,$C1309 &amp; $D1309 &amp; ":" &amp; O$1)</f>
        <v>31</v>
      </c>
      <c r="P13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09" s="14" t="str">
        <f>IF(ICE[[#This Row],[LastType]] = "Scrn", ICE[[#This Row],[LstDate]], IF(ICE[[#This Row],[LastType]] = "Blk", ICE[[#This Row],[LstBlkTime]], ""))</f>
        <v/>
      </c>
      <c r="R1309" s="41" t="str">
        <f>IF(ICE[[#This Row],[LastType]] = "Scrn", ICE[[#This Row],[LstPrc]], IF(ICE[[#This Row],[LastType]] = "Blk", ICE[[#This Row],[LstBlkPrc]], ""))</f>
        <v/>
      </c>
      <c r="S1309" s="36">
        <f>ICE[[#This Row],[Vol]]+ICE[[#This Row],[BlkVol]]</f>
        <v>43</v>
      </c>
      <c r="T1309" s="36">
        <f>RTD("ice.rtd",,$C1309 &amp; $D1309 &amp; ":" &amp; T$1)</f>
        <v>8183</v>
      </c>
      <c r="U1309" s="18">
        <f>RTD("ice.rtd",,$C1309 &amp; $D1309 &amp; ":" &amp; U$1)</f>
        <v>55.6083</v>
      </c>
      <c r="V13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|43x</v>
      </c>
      <c r="W1309" s="18" t="str">
        <f>IFERROR(IF(LEFT(ICE[[#This Row],[Tenor]], 1) = "B", RTD("esrtd",,$B1309 &amp; " " &amp; ICE[[#This Row],[Tenor]] &amp; "-IEU", W$1), RTD("esrtd",,$B1309 &amp; " " &amp; VLOOKUP(MONTH(ICE[[#This Row],[Strip]]), MthRef[], 2, 0) &amp; RIGHT(YEAR(ICE[[#This Row],[Strip]]), 2) &amp; "-IEU", W$1)), "")</f>
        <v/>
      </c>
      <c r="X1309" s="36"/>
    </row>
    <row r="1310" spans="1:24" x14ac:dyDescent="0.25">
      <c r="A1310" s="37" t="s">
        <v>838</v>
      </c>
      <c r="B1310" s="88" t="str">
        <f>RTD("ice.rtd",,$C1310 &amp; $D1310 &amp; ":" &amp; B$1)</f>
        <v>ULD</v>
      </c>
      <c r="C1310" s="3">
        <v>34354093</v>
      </c>
      <c r="D1310" t="s">
        <v>798</v>
      </c>
      <c r="E1310" s="3" t="str">
        <f>RTD("ice.rtd",,$C1310 &amp; $D1310 &amp; ":" &amp; E$1)</f>
        <v>Jun27</v>
      </c>
      <c r="F1310" s="3" t="str">
        <f>ICE[[#This Row],[Prod]]&amp;ICE[[#This Row],[Strip]]</f>
        <v>gobrxbblJun27</v>
      </c>
      <c r="G1310" s="18" t="str">
        <f>RTD("ice.rtd",,$C1310 &amp; $D1310 &amp; ":" &amp; G$1)</f>
        <v/>
      </c>
      <c r="H1310" s="18" t="str">
        <f>RTD("ice.rtd",,$C1310 &amp; $D1310 &amp; ":" &amp; H$1)</f>
        <v/>
      </c>
      <c r="I1310" s="18" t="str">
        <f>RTD("ice.rtd",,$C1310 &amp; $D1310 &amp; ":" &amp; I$1)</f>
        <v/>
      </c>
      <c r="J1310" s="14" t="str">
        <f>IFERROR(MOD(RTD("ice.rtd",,$C1310 &amp; $D1310 &amp; ":" &amp; J$1), 1), "")</f>
        <v/>
      </c>
      <c r="K1310" s="18" t="str">
        <f>RTD("ice.rtd",,$C1310 &amp; $D1310 &amp; ":" &amp; K$1)</f>
        <v/>
      </c>
      <c r="L1310" s="36" t="str">
        <f>RTD("ice.rtd",,$C1310 &amp; $D1310 &amp; ":" &amp; L$1)</f>
        <v/>
      </c>
      <c r="M1310" s="14" t="str">
        <f>IFERROR(MOD(TIMEVALUE(RTD("ice.rtd",,$C1310 &amp; $D1310 &amp; ":" &amp; M$1)), 1), "")</f>
        <v/>
      </c>
      <c r="N1310" s="36">
        <f>RTD("ice.rtd",,$C1310 &amp; $D1310 &amp; ":" &amp; N$1)</f>
        <v>12</v>
      </c>
      <c r="O1310" s="36">
        <f>RTD("ice.rtd",,$C1310 &amp; $D1310 &amp; ":" &amp; O$1)</f>
        <v>31</v>
      </c>
      <c r="P13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0" s="14" t="str">
        <f>IF(ICE[[#This Row],[LastType]] = "Scrn", ICE[[#This Row],[LstDate]], IF(ICE[[#This Row],[LastType]] = "Blk", ICE[[#This Row],[LstBlkTime]], ""))</f>
        <v/>
      </c>
      <c r="R1310" s="41" t="str">
        <f>IF(ICE[[#This Row],[LastType]] = "Scrn", ICE[[#This Row],[LstPrc]], IF(ICE[[#This Row],[LastType]] = "Blk", ICE[[#This Row],[LstBlkPrc]], ""))</f>
        <v/>
      </c>
      <c r="S1310" s="36">
        <f>ICE[[#This Row],[Vol]]+ICE[[#This Row],[BlkVol]]</f>
        <v>43</v>
      </c>
      <c r="T1310" s="36">
        <f>RTD("ice.rtd",,$C1310 &amp; $D1310 &amp; ":" &amp; T$1)</f>
        <v>7995</v>
      </c>
      <c r="U1310" s="18">
        <f>RTD("ice.rtd",,$C1310 &amp; $D1310 &amp; ":" &amp; U$1)</f>
        <v>53.523099999999999</v>
      </c>
      <c r="V13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|43x</v>
      </c>
      <c r="W1310" s="18" t="str">
        <f>IFERROR(IF(LEFT(ICE[[#This Row],[Tenor]], 1) = "B", RTD("esrtd",,$B1310 &amp; " " &amp; ICE[[#This Row],[Tenor]] &amp; "-IEU", W$1), RTD("esrtd",,$B1310 &amp; " " &amp; VLOOKUP(MONTH(ICE[[#This Row],[Strip]]), MthRef[], 2, 0) &amp; RIGHT(YEAR(ICE[[#This Row],[Strip]]), 2) &amp; "-IEU", W$1)), "")</f>
        <v/>
      </c>
      <c r="X1310" s="36"/>
    </row>
    <row r="1311" spans="1:24" x14ac:dyDescent="0.25">
      <c r="A1311" s="37" t="s">
        <v>838</v>
      </c>
      <c r="B1311" s="88" t="str">
        <f>RTD("ice.rtd",,$C1311 &amp; $D1311 &amp; ":" &amp; B$1)</f>
        <v>ULD</v>
      </c>
      <c r="C1311" s="3">
        <v>34354093</v>
      </c>
      <c r="D1311" t="s">
        <v>799</v>
      </c>
      <c r="E1311" s="3" t="str">
        <f>RTD("ice.rtd",,$C1311 &amp; $D1311 &amp; ":" &amp; E$1)</f>
        <v>Jul27</v>
      </c>
      <c r="F1311" s="3" t="str">
        <f>ICE[[#This Row],[Prod]]&amp;ICE[[#This Row],[Strip]]</f>
        <v>gobrxbblJul27</v>
      </c>
      <c r="G1311" s="18">
        <f>RTD("ice.rtd",,$C1311 &amp; $D1311 &amp; ":" &amp; G$1)</f>
        <v>52.78</v>
      </c>
      <c r="H1311" s="18">
        <f>RTD("ice.rtd",,$C1311 &amp; $D1311 &amp; ":" &amp; H$1)</f>
        <v>53.5</v>
      </c>
      <c r="I1311" s="18" t="str">
        <f>RTD("ice.rtd",,$C1311 &amp; $D1311 &amp; ":" &amp; I$1)</f>
        <v/>
      </c>
      <c r="J1311" s="14" t="str">
        <f>IFERROR(MOD(RTD("ice.rtd",,$C1311 &amp; $D1311 &amp; ":" &amp; J$1), 1), "")</f>
        <v/>
      </c>
      <c r="K1311" s="18" t="str">
        <f>RTD("ice.rtd",,$C1311 &amp; $D1311 &amp; ":" &amp; K$1)</f>
        <v/>
      </c>
      <c r="L1311" s="36" t="str">
        <f>RTD("ice.rtd",,$C1311 &amp; $D1311 &amp; ":" &amp; L$1)</f>
        <v/>
      </c>
      <c r="M1311" s="14" t="str">
        <f>IFERROR(MOD(TIMEVALUE(RTD("ice.rtd",,$C1311 &amp; $D1311 &amp; ":" &amp; M$1)), 1), "")</f>
        <v/>
      </c>
      <c r="N1311" s="36">
        <f>RTD("ice.rtd",,$C1311 &amp; $D1311 &amp; ":" &amp; N$1)</f>
        <v>12</v>
      </c>
      <c r="O1311" s="36">
        <f>RTD("ice.rtd",,$C1311 &amp; $D1311 &amp; ":" &amp; O$1)</f>
        <v>86</v>
      </c>
      <c r="P13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1" s="14" t="str">
        <f>IF(ICE[[#This Row],[LastType]] = "Scrn", ICE[[#This Row],[LstDate]], IF(ICE[[#This Row],[LastType]] = "Blk", ICE[[#This Row],[LstBlkTime]], ""))</f>
        <v/>
      </c>
      <c r="R1311" s="41" t="str">
        <f>IF(ICE[[#This Row],[LastType]] = "Scrn", ICE[[#This Row],[LstPrc]], IF(ICE[[#This Row],[LastType]] = "Blk", ICE[[#This Row],[LstBlkPrc]], ""))</f>
        <v/>
      </c>
      <c r="S1311" s="36">
        <f>ICE[[#This Row],[Vol]]+ICE[[#This Row],[BlkVol]]</f>
        <v>98</v>
      </c>
      <c r="T1311" s="36">
        <f>RTD("ice.rtd",,$C1311 &amp; $D1311 &amp; ":" &amp; T$1)</f>
        <v>6911</v>
      </c>
      <c r="U1311" s="18">
        <f>RTD("ice.rtd",,$C1311 &amp; $D1311 &amp; ":" &amp; U$1)</f>
        <v>51.9649</v>
      </c>
      <c r="V13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52.78 / 53.50  |98x</v>
      </c>
      <c r="W1311" s="18" t="str">
        <f>IFERROR(IF(LEFT(ICE[[#This Row],[Tenor]], 1) = "B", RTD("esrtd",,$B1311 &amp; " " &amp; ICE[[#This Row],[Tenor]] &amp; "-IEU", W$1), RTD("esrtd",,$B1311 &amp; " " &amp; VLOOKUP(MONTH(ICE[[#This Row],[Strip]]), MthRef[], 2, 0) &amp; RIGHT(YEAR(ICE[[#This Row],[Strip]]), 2) &amp; "-IEU", W$1)), "")</f>
        <v/>
      </c>
      <c r="X1311" s="36"/>
    </row>
    <row r="1312" spans="1:24" x14ac:dyDescent="0.25">
      <c r="A1312" s="37" t="s">
        <v>838</v>
      </c>
      <c r="B1312" s="88" t="str">
        <f>RTD("ice.rtd",,$C1312 &amp; $D1312 &amp; ":" &amp; B$1)</f>
        <v>ULD</v>
      </c>
      <c r="C1312" s="3">
        <v>34354093</v>
      </c>
      <c r="D1312" t="s">
        <v>800</v>
      </c>
      <c r="E1312" s="3" t="str">
        <f>RTD("ice.rtd",,$C1312 &amp; $D1312 &amp; ":" &amp; E$1)</f>
        <v>Aug27</v>
      </c>
      <c r="F1312" s="3" t="str">
        <f>ICE[[#This Row],[Prod]]&amp;ICE[[#This Row],[Strip]]</f>
        <v>gobrxbblAug27</v>
      </c>
      <c r="G1312" s="18">
        <f>RTD("ice.rtd",,$C1312 &amp; $D1312 &amp; ":" &amp; G$1)</f>
        <v>51.63</v>
      </c>
      <c r="H1312" s="18">
        <f>RTD("ice.rtd",,$C1312 &amp; $D1312 &amp; ":" &amp; H$1)</f>
        <v>52.08</v>
      </c>
      <c r="I1312" s="18" t="str">
        <f>RTD("ice.rtd",,$C1312 &amp; $D1312 &amp; ":" &amp; I$1)</f>
        <v/>
      </c>
      <c r="J1312" s="14" t="str">
        <f>IFERROR(MOD(RTD("ice.rtd",,$C1312 &amp; $D1312 &amp; ":" &amp; J$1), 1), "")</f>
        <v/>
      </c>
      <c r="K1312" s="18" t="str">
        <f>RTD("ice.rtd",,$C1312 &amp; $D1312 &amp; ":" &amp; K$1)</f>
        <v/>
      </c>
      <c r="L1312" s="36" t="str">
        <f>RTD("ice.rtd",,$C1312 &amp; $D1312 &amp; ":" &amp; L$1)</f>
        <v/>
      </c>
      <c r="M1312" s="14" t="str">
        <f>IFERROR(MOD(TIMEVALUE(RTD("ice.rtd",,$C1312 &amp; $D1312 &amp; ":" &amp; M$1)), 1), "")</f>
        <v/>
      </c>
      <c r="N1312" s="36">
        <f>RTD("ice.rtd",,$C1312 &amp; $D1312 &amp; ":" &amp; N$1)</f>
        <v>12</v>
      </c>
      <c r="O1312" s="36">
        <f>RTD("ice.rtd",,$C1312 &amp; $D1312 &amp; ":" &amp; O$1)</f>
        <v>86</v>
      </c>
      <c r="P13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2" s="14" t="str">
        <f>IF(ICE[[#This Row],[LastType]] = "Scrn", ICE[[#This Row],[LstDate]], IF(ICE[[#This Row],[LastType]] = "Blk", ICE[[#This Row],[LstBlkTime]], ""))</f>
        <v/>
      </c>
      <c r="R1312" s="41" t="str">
        <f>IF(ICE[[#This Row],[LastType]] = "Scrn", ICE[[#This Row],[LstPrc]], IF(ICE[[#This Row],[LastType]] = "Blk", ICE[[#This Row],[LstBlkPrc]], ""))</f>
        <v/>
      </c>
      <c r="S1312" s="36">
        <f>ICE[[#This Row],[Vol]]+ICE[[#This Row],[BlkVol]]</f>
        <v>98</v>
      </c>
      <c r="T1312" s="36">
        <f>RTD("ice.rtd",,$C1312 &amp; $D1312 &amp; ":" &amp; T$1)</f>
        <v>6886</v>
      </c>
      <c r="U1312" s="18">
        <f>RTD("ice.rtd",,$C1312 &amp; $D1312 &amp; ":" &amp; U$1)</f>
        <v>50.697500000000005</v>
      </c>
      <c r="V13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51.63 / 52.08  |98x</v>
      </c>
      <c r="W1312" s="18" t="str">
        <f>IFERROR(IF(LEFT(ICE[[#This Row],[Tenor]], 1) = "B", RTD("esrtd",,$B1312 &amp; " " &amp; ICE[[#This Row],[Tenor]] &amp; "-IEU", W$1), RTD("esrtd",,$B1312 &amp; " " &amp; VLOOKUP(MONTH(ICE[[#This Row],[Strip]]), MthRef[], 2, 0) &amp; RIGHT(YEAR(ICE[[#This Row],[Strip]]), 2) &amp; "-IEU", W$1)), "")</f>
        <v/>
      </c>
      <c r="X1312" s="36"/>
    </row>
    <row r="1313" spans="1:24" x14ac:dyDescent="0.25">
      <c r="A1313" s="37" t="s">
        <v>838</v>
      </c>
      <c r="B1313" s="88" t="str">
        <f>RTD("ice.rtd",,$C1313 &amp; $D1313 &amp; ":" &amp; B$1)</f>
        <v>ULD</v>
      </c>
      <c r="C1313" s="3">
        <v>34354093</v>
      </c>
      <c r="D1313" t="s">
        <v>801</v>
      </c>
      <c r="E1313" s="3" t="str">
        <f>RTD("ice.rtd",,$C1313 &amp; $D1313 &amp; ":" &amp; E$1)</f>
        <v>Sep27</v>
      </c>
      <c r="F1313" s="3" t="str">
        <f>ICE[[#This Row],[Prod]]&amp;ICE[[#This Row],[Strip]]</f>
        <v>gobrxbblSep27</v>
      </c>
      <c r="G1313" s="18" t="str">
        <f>RTD("ice.rtd",,$C1313 &amp; $D1313 &amp; ":" &amp; G$1)</f>
        <v/>
      </c>
      <c r="H1313" s="18" t="str">
        <f>RTD("ice.rtd",,$C1313 &amp; $D1313 &amp; ":" &amp; H$1)</f>
        <v/>
      </c>
      <c r="I1313" s="18" t="str">
        <f>RTD("ice.rtd",,$C1313 &amp; $D1313 &amp; ":" &amp; I$1)</f>
        <v/>
      </c>
      <c r="J1313" s="14" t="str">
        <f>IFERROR(MOD(RTD("ice.rtd",,$C1313 &amp; $D1313 &amp; ":" &amp; J$1), 1), "")</f>
        <v/>
      </c>
      <c r="K1313" s="18" t="str">
        <f>RTD("ice.rtd",,$C1313 &amp; $D1313 &amp; ":" &amp; K$1)</f>
        <v/>
      </c>
      <c r="L1313" s="36" t="str">
        <f>RTD("ice.rtd",,$C1313 &amp; $D1313 &amp; ":" &amp; L$1)</f>
        <v/>
      </c>
      <c r="M1313" s="14" t="str">
        <f>IFERROR(MOD(TIMEVALUE(RTD("ice.rtd",,$C1313 &amp; $D1313 &amp; ":" &amp; M$1)), 1), "")</f>
        <v/>
      </c>
      <c r="N1313" s="36">
        <f>RTD("ice.rtd",,$C1313 &amp; $D1313 &amp; ":" &amp; N$1)</f>
        <v>12</v>
      </c>
      <c r="O1313" s="36">
        <f>RTD("ice.rtd",,$C1313 &amp; $D1313 &amp; ":" &amp; O$1)</f>
        <v>86</v>
      </c>
      <c r="P13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3" s="14" t="str">
        <f>IF(ICE[[#This Row],[LastType]] = "Scrn", ICE[[#This Row],[LstDate]], IF(ICE[[#This Row],[LastType]] = "Blk", ICE[[#This Row],[LstBlkTime]], ""))</f>
        <v/>
      </c>
      <c r="R1313" s="41" t="str">
        <f>IF(ICE[[#This Row],[LastType]] = "Scrn", ICE[[#This Row],[LstPrc]], IF(ICE[[#This Row],[LastType]] = "Blk", ICE[[#This Row],[LstBlkPrc]], ""))</f>
        <v/>
      </c>
      <c r="S1313" s="36">
        <f>ICE[[#This Row],[Vol]]+ICE[[#This Row],[BlkVol]]</f>
        <v>98</v>
      </c>
      <c r="T1313" s="36">
        <f>RTD("ice.rtd",,$C1313 &amp; $D1313 &amp; ":" &amp; T$1)</f>
        <v>6901</v>
      </c>
      <c r="U1313" s="18">
        <f>RTD("ice.rtd",,$C1313 &amp; $D1313 &amp; ":" &amp; U$1)</f>
        <v>49.441300000000005</v>
      </c>
      <c r="V13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|98x</v>
      </c>
      <c r="W1313" s="18" t="str">
        <f>IFERROR(IF(LEFT(ICE[[#This Row],[Tenor]], 1) = "B", RTD("esrtd",,$B1313 &amp; " " &amp; ICE[[#This Row],[Tenor]] &amp; "-IEU", W$1), RTD("esrtd",,$B1313 &amp; " " &amp; VLOOKUP(MONTH(ICE[[#This Row],[Strip]]), MthRef[], 2, 0) &amp; RIGHT(YEAR(ICE[[#This Row],[Strip]]), 2) &amp; "-IEU", W$1)), "")</f>
        <v/>
      </c>
      <c r="X1313" s="36"/>
    </row>
    <row r="1314" spans="1:24" x14ac:dyDescent="0.25">
      <c r="A1314" s="37" t="s">
        <v>838</v>
      </c>
      <c r="B1314" s="88" t="str">
        <f>RTD("ice.rtd",,$C1314 &amp; $D1314 &amp; ":" &amp; B$1)</f>
        <v>ULD</v>
      </c>
      <c r="C1314" s="3">
        <v>34354093</v>
      </c>
      <c r="D1314" t="s">
        <v>802</v>
      </c>
      <c r="E1314" s="3" t="str">
        <f>RTD("ice.rtd",,$C1314 &amp; $D1314 &amp; ":" &amp; E$1)</f>
        <v>Oct27</v>
      </c>
      <c r="F1314" s="3" t="str">
        <f>ICE[[#This Row],[Prod]]&amp;ICE[[#This Row],[Strip]]</f>
        <v>gobrxbblOct27</v>
      </c>
      <c r="G1314" s="18" t="str">
        <f>RTD("ice.rtd",,$C1314 &amp; $D1314 &amp; ":" &amp; G$1)</f>
        <v/>
      </c>
      <c r="H1314" s="18" t="str">
        <f>RTD("ice.rtd",,$C1314 &amp; $D1314 &amp; ":" &amp; H$1)</f>
        <v/>
      </c>
      <c r="I1314" s="18" t="str">
        <f>RTD("ice.rtd",,$C1314 &amp; $D1314 &amp; ":" &amp; I$1)</f>
        <v/>
      </c>
      <c r="J1314" s="14" t="str">
        <f>IFERROR(MOD(RTD("ice.rtd",,$C1314 &amp; $D1314 &amp; ":" &amp; J$1), 1), "")</f>
        <v/>
      </c>
      <c r="K1314" s="18" t="str">
        <f>RTD("ice.rtd",,$C1314 &amp; $D1314 &amp; ":" &amp; K$1)</f>
        <v/>
      </c>
      <c r="L1314" s="36" t="str">
        <f>RTD("ice.rtd",,$C1314 &amp; $D1314 &amp; ":" &amp; L$1)</f>
        <v/>
      </c>
      <c r="M1314" s="14" t="str">
        <f>IFERROR(MOD(TIMEVALUE(RTD("ice.rtd",,$C1314 &amp; $D1314 &amp; ":" &amp; M$1)), 1), "")</f>
        <v/>
      </c>
      <c r="N1314" s="36">
        <f>RTD("ice.rtd",,$C1314 &amp; $D1314 &amp; ":" &amp; N$1)</f>
        <v>12</v>
      </c>
      <c r="O1314" s="36">
        <f>RTD("ice.rtd",,$C1314 &amp; $D1314 &amp; ":" &amp; O$1)</f>
        <v>86</v>
      </c>
      <c r="P13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4" s="14" t="str">
        <f>IF(ICE[[#This Row],[LastType]] = "Scrn", ICE[[#This Row],[LstDate]], IF(ICE[[#This Row],[LastType]] = "Blk", ICE[[#This Row],[LstBlkTime]], ""))</f>
        <v/>
      </c>
      <c r="R1314" s="41" t="str">
        <f>IF(ICE[[#This Row],[LastType]] = "Scrn", ICE[[#This Row],[LstPrc]], IF(ICE[[#This Row],[LastType]] = "Blk", ICE[[#This Row],[LstBlkPrc]], ""))</f>
        <v/>
      </c>
      <c r="S1314" s="36">
        <f>ICE[[#This Row],[Vol]]+ICE[[#This Row],[BlkVol]]</f>
        <v>98</v>
      </c>
      <c r="T1314" s="36">
        <f>RTD("ice.rtd",,$C1314 &amp; $D1314 &amp; ":" &amp; T$1)</f>
        <v>5760</v>
      </c>
      <c r="U1314" s="18">
        <f>RTD("ice.rtd",,$C1314 &amp; $D1314 &amp; ":" &amp; U$1)</f>
        <v>48.037100000000002</v>
      </c>
      <c r="V13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|98x</v>
      </c>
      <c r="W1314" s="18" t="str">
        <f>IFERROR(IF(LEFT(ICE[[#This Row],[Tenor]], 1) = "B", RTD("esrtd",,$B1314 &amp; " " &amp; ICE[[#This Row],[Tenor]] &amp; "-IEU", W$1), RTD("esrtd",,$B1314 &amp; " " &amp; VLOOKUP(MONTH(ICE[[#This Row],[Strip]]), MthRef[], 2, 0) &amp; RIGHT(YEAR(ICE[[#This Row],[Strip]]), 2) &amp; "-IEU", W$1)), "")</f>
        <v/>
      </c>
      <c r="X1314" s="36"/>
    </row>
    <row r="1315" spans="1:24" x14ac:dyDescent="0.25">
      <c r="A1315" s="37" t="s">
        <v>838</v>
      </c>
      <c r="B1315" s="88" t="str">
        <f>RTD("ice.rtd",,$C1315 &amp; $D1315 &amp; ":" &amp; B$1)</f>
        <v>ULD</v>
      </c>
      <c r="C1315" s="3">
        <v>34354093</v>
      </c>
      <c r="D1315" t="s">
        <v>803</v>
      </c>
      <c r="E1315" s="3" t="str">
        <f>RTD("ice.rtd",,$C1315 &amp; $D1315 &amp; ":" &amp; E$1)</f>
        <v>Nov27</v>
      </c>
      <c r="F1315" s="3" t="str">
        <f>ICE[[#This Row],[Prod]]&amp;ICE[[#This Row],[Strip]]</f>
        <v>gobrxbblNov27</v>
      </c>
      <c r="G1315" s="18" t="str">
        <f>RTD("ice.rtd",,$C1315 &amp; $D1315 &amp; ":" &amp; G$1)</f>
        <v/>
      </c>
      <c r="H1315" s="18" t="str">
        <f>RTD("ice.rtd",,$C1315 &amp; $D1315 &amp; ":" &amp; H$1)</f>
        <v/>
      </c>
      <c r="I1315" s="18" t="str">
        <f>RTD("ice.rtd",,$C1315 &amp; $D1315 &amp; ":" &amp; I$1)</f>
        <v/>
      </c>
      <c r="J1315" s="14" t="str">
        <f>IFERROR(MOD(RTD("ice.rtd",,$C1315 &amp; $D1315 &amp; ":" &amp; J$1), 1), "")</f>
        <v/>
      </c>
      <c r="K1315" s="18" t="str">
        <f>RTD("ice.rtd",,$C1315 &amp; $D1315 &amp; ":" &amp; K$1)</f>
        <v/>
      </c>
      <c r="L1315" s="36" t="str">
        <f>RTD("ice.rtd",,$C1315 &amp; $D1315 &amp; ":" &amp; L$1)</f>
        <v/>
      </c>
      <c r="M1315" s="14" t="str">
        <f>IFERROR(MOD(TIMEVALUE(RTD("ice.rtd",,$C1315 &amp; $D1315 &amp; ":" &amp; M$1)), 1), "")</f>
        <v/>
      </c>
      <c r="N1315" s="36">
        <f>RTD("ice.rtd",,$C1315 &amp; $D1315 &amp; ":" &amp; N$1)</f>
        <v>12</v>
      </c>
      <c r="O1315" s="36">
        <f>RTD("ice.rtd",,$C1315 &amp; $D1315 &amp; ":" &amp; O$1)</f>
        <v>86</v>
      </c>
      <c r="P13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5" s="14" t="str">
        <f>IF(ICE[[#This Row],[LastType]] = "Scrn", ICE[[#This Row],[LstDate]], IF(ICE[[#This Row],[LastType]] = "Blk", ICE[[#This Row],[LstBlkTime]], ""))</f>
        <v/>
      </c>
      <c r="R1315" s="41" t="str">
        <f>IF(ICE[[#This Row],[LastType]] = "Scrn", ICE[[#This Row],[LstPrc]], IF(ICE[[#This Row],[LastType]] = "Blk", ICE[[#This Row],[LstBlkPrc]], ""))</f>
        <v/>
      </c>
      <c r="S1315" s="36">
        <f>ICE[[#This Row],[Vol]]+ICE[[#This Row],[BlkVol]]</f>
        <v>98</v>
      </c>
      <c r="T1315" s="36">
        <f>RTD("ice.rtd",,$C1315 &amp; $D1315 &amp; ":" &amp; T$1)</f>
        <v>5660</v>
      </c>
      <c r="U1315" s="18">
        <f>RTD("ice.rtd",,$C1315 &amp; $D1315 &amp; ":" &amp; U$1)</f>
        <v>46.417300000000004</v>
      </c>
      <c r="V13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|98x</v>
      </c>
      <c r="W1315" s="18" t="str">
        <f>IFERROR(IF(LEFT(ICE[[#This Row],[Tenor]], 1) = "B", RTD("esrtd",,$B1315 &amp; " " &amp; ICE[[#This Row],[Tenor]] &amp; "-IEU", W$1), RTD("esrtd",,$B1315 &amp; " " &amp; VLOOKUP(MONTH(ICE[[#This Row],[Strip]]), MthRef[], 2, 0) &amp; RIGHT(YEAR(ICE[[#This Row],[Strip]]), 2) &amp; "-IEU", W$1)), "")</f>
        <v/>
      </c>
      <c r="X1315" s="36"/>
    </row>
    <row r="1316" spans="1:24" x14ac:dyDescent="0.25">
      <c r="A1316" s="37" t="s">
        <v>838</v>
      </c>
      <c r="B1316" s="88" t="str">
        <f>RTD("ice.rtd",,$C1316 &amp; $D1316 &amp; ":" &amp; B$1)</f>
        <v>ULD</v>
      </c>
      <c r="C1316" s="3">
        <v>34354093</v>
      </c>
      <c r="D1316" t="s">
        <v>804</v>
      </c>
      <c r="E1316" s="3" t="str">
        <f>RTD("ice.rtd",,$C1316 &amp; $D1316 &amp; ":" &amp; E$1)</f>
        <v>Dec27</v>
      </c>
      <c r="F1316" s="3" t="str">
        <f>ICE[[#This Row],[Prod]]&amp;ICE[[#This Row],[Strip]]</f>
        <v>gobrxbblDec27</v>
      </c>
      <c r="G1316" s="18" t="str">
        <f>RTD("ice.rtd",,$C1316 &amp; $D1316 &amp; ":" &amp; G$1)</f>
        <v/>
      </c>
      <c r="H1316" s="18" t="str">
        <f>RTD("ice.rtd",,$C1316 &amp; $D1316 &amp; ":" &amp; H$1)</f>
        <v/>
      </c>
      <c r="I1316" s="18" t="str">
        <f>RTD("ice.rtd",,$C1316 &amp; $D1316 &amp; ":" &amp; I$1)</f>
        <v/>
      </c>
      <c r="J1316" s="14" t="str">
        <f>IFERROR(MOD(RTD("ice.rtd",,$C1316 &amp; $D1316 &amp; ":" &amp; J$1), 1), "")</f>
        <v/>
      </c>
      <c r="K1316" s="18" t="str">
        <f>RTD("ice.rtd",,$C1316 &amp; $D1316 &amp; ":" &amp; K$1)</f>
        <v/>
      </c>
      <c r="L1316" s="36" t="str">
        <f>RTD("ice.rtd",,$C1316 &amp; $D1316 &amp; ":" &amp; L$1)</f>
        <v/>
      </c>
      <c r="M1316" s="14" t="str">
        <f>IFERROR(MOD(TIMEVALUE(RTD("ice.rtd",,$C1316 &amp; $D1316 &amp; ":" &amp; M$1)), 1), "")</f>
        <v/>
      </c>
      <c r="N1316" s="36">
        <f>RTD("ice.rtd",,$C1316 &amp; $D1316 &amp; ":" &amp; N$1)</f>
        <v>12</v>
      </c>
      <c r="O1316" s="36">
        <f>RTD("ice.rtd",,$C1316 &amp; $D1316 &amp; ":" &amp; O$1)</f>
        <v>86</v>
      </c>
      <c r="P13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6" s="14" t="str">
        <f>IF(ICE[[#This Row],[LastType]] = "Scrn", ICE[[#This Row],[LstDate]], IF(ICE[[#This Row],[LastType]] = "Blk", ICE[[#This Row],[LstBlkTime]], ""))</f>
        <v/>
      </c>
      <c r="R1316" s="41" t="str">
        <f>IF(ICE[[#This Row],[LastType]] = "Scrn", ICE[[#This Row],[LstPrc]], IF(ICE[[#This Row],[LastType]] = "Blk", ICE[[#This Row],[LstBlkPrc]], ""))</f>
        <v/>
      </c>
      <c r="S1316" s="36">
        <f>ICE[[#This Row],[Vol]]+ICE[[#This Row],[BlkVol]]</f>
        <v>98</v>
      </c>
      <c r="T1316" s="36">
        <f>RTD("ice.rtd",,$C1316 &amp; $D1316 &amp; ":" &amp; T$1)</f>
        <v>5735</v>
      </c>
      <c r="U1316" s="18">
        <f>RTD("ice.rtd",,$C1316 &amp; $D1316 &amp; ":" &amp; U$1)</f>
        <v>44.964500000000001</v>
      </c>
      <c r="V13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|98x</v>
      </c>
      <c r="W1316" s="18" t="str">
        <f>IFERROR(IF(LEFT(ICE[[#This Row],[Tenor]], 1) = "B", RTD("esrtd",,$B1316 &amp; " " &amp; ICE[[#This Row],[Tenor]] &amp; "-IEU", W$1), RTD("esrtd",,$B1316 &amp; " " &amp; VLOOKUP(MONTH(ICE[[#This Row],[Strip]]), MthRef[], 2, 0) &amp; RIGHT(YEAR(ICE[[#This Row],[Strip]]), 2) &amp; "-IEU", W$1)), "")</f>
        <v/>
      </c>
      <c r="X1316" s="36"/>
    </row>
    <row r="1317" spans="1:24" x14ac:dyDescent="0.25">
      <c r="A1317" s="37" t="s">
        <v>838</v>
      </c>
      <c r="B1317" s="88" t="str">
        <f>RTD("ice.rtd",,$C1317 &amp; $D1317 &amp; ":" &amp; B$1)</f>
        <v>ULD</v>
      </c>
      <c r="C1317" s="3">
        <v>34354093</v>
      </c>
      <c r="D1317" t="s">
        <v>805</v>
      </c>
      <c r="E1317" s="3" t="str">
        <f>RTD("ice.rtd",,$C1317 &amp; $D1317 &amp; ":" &amp; E$1)</f>
        <v>Jan28</v>
      </c>
      <c r="F1317" s="3" t="str">
        <f>ICE[[#This Row],[Prod]]&amp;ICE[[#This Row],[Strip]]</f>
        <v>gobrxbblJan28</v>
      </c>
      <c r="G1317" s="18" t="str">
        <f>RTD("ice.rtd",,$C1317 &amp; $D1317 &amp; ":" &amp; G$1)</f>
        <v/>
      </c>
      <c r="H1317" s="18" t="str">
        <f>RTD("ice.rtd",,$C1317 &amp; $D1317 &amp; ":" &amp; H$1)</f>
        <v/>
      </c>
      <c r="I1317" s="18" t="str">
        <f>RTD("ice.rtd",,$C1317 &amp; $D1317 &amp; ":" &amp; I$1)</f>
        <v/>
      </c>
      <c r="J1317" s="14" t="str">
        <f>IFERROR(MOD(RTD("ice.rtd",,$C1317 &amp; $D1317 &amp; ":" &amp; J$1), 1), "")</f>
        <v/>
      </c>
      <c r="K1317" s="18" t="str">
        <f>RTD("ice.rtd",,$C1317 &amp; $D1317 &amp; ":" &amp; K$1)</f>
        <v/>
      </c>
      <c r="L1317" s="36" t="str">
        <f>RTD("ice.rtd",,$C1317 &amp; $D1317 &amp; ":" &amp; L$1)</f>
        <v/>
      </c>
      <c r="M1317" s="14" t="str">
        <f>IFERROR(MOD(TIMEVALUE(RTD("ice.rtd",,$C1317 &amp; $D1317 &amp; ":" &amp; M$1)), 1), "")</f>
        <v/>
      </c>
      <c r="N1317" s="36">
        <f>RTD("ice.rtd",,$C1317 &amp; $D1317 &amp; ":" &amp; N$1)</f>
        <v>2</v>
      </c>
      <c r="O1317" s="36">
        <f>RTD("ice.rtd",,$C1317 &amp; $D1317 &amp; ":" &amp; O$1)</f>
        <v>25</v>
      </c>
      <c r="P13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7" s="14" t="str">
        <f>IF(ICE[[#This Row],[LastType]] = "Scrn", ICE[[#This Row],[LstDate]], IF(ICE[[#This Row],[LastType]] = "Blk", ICE[[#This Row],[LstBlkTime]], ""))</f>
        <v/>
      </c>
      <c r="R1317" s="41" t="str">
        <f>IF(ICE[[#This Row],[LastType]] = "Scrn", ICE[[#This Row],[LstPrc]], IF(ICE[[#This Row],[LastType]] = "Blk", ICE[[#This Row],[LstBlkPrc]], ""))</f>
        <v/>
      </c>
      <c r="S1317" s="36">
        <f>ICE[[#This Row],[Vol]]+ICE[[#This Row],[BlkVol]]</f>
        <v>27</v>
      </c>
      <c r="T1317" s="36">
        <f>RTD("ice.rtd",,$C1317 &amp; $D1317 &amp; ":" &amp; T$1)</f>
        <v>959</v>
      </c>
      <c r="U1317" s="18">
        <f>RTD("ice.rtd",,$C1317 &amp; $D1317 &amp; ":" &amp; U$1)</f>
        <v>43.9696</v>
      </c>
      <c r="V13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17" s="18" t="str">
        <f>IFERROR(IF(LEFT(ICE[[#This Row],[Tenor]], 1) = "B", RTD("esrtd",,$B1317 &amp; " " &amp; ICE[[#This Row],[Tenor]] &amp; "-IEU", W$1), RTD("esrtd",,$B1317 &amp; " " &amp; VLOOKUP(MONTH(ICE[[#This Row],[Strip]]), MthRef[], 2, 0) &amp; RIGHT(YEAR(ICE[[#This Row],[Strip]]), 2) &amp; "-IEU", W$1)), "")</f>
        <v/>
      </c>
      <c r="X1317" s="36"/>
    </row>
    <row r="1318" spans="1:24" x14ac:dyDescent="0.25">
      <c r="A1318" s="37" t="s">
        <v>838</v>
      </c>
      <c r="B1318" s="88" t="str">
        <f>RTD("ice.rtd",,$C1318 &amp; $D1318 &amp; ":" &amp; B$1)</f>
        <v>ULD</v>
      </c>
      <c r="C1318" s="3">
        <v>34354093</v>
      </c>
      <c r="D1318" t="s">
        <v>806</v>
      </c>
      <c r="E1318" s="3" t="str">
        <f>RTD("ice.rtd",,$C1318 &amp; $D1318 &amp; ":" &amp; E$1)</f>
        <v>Feb28</v>
      </c>
      <c r="F1318" s="3" t="str">
        <f>ICE[[#This Row],[Prod]]&amp;ICE[[#This Row],[Strip]]</f>
        <v>gobrxbblFeb28</v>
      </c>
      <c r="G1318" s="18" t="str">
        <f>RTD("ice.rtd",,$C1318 &amp; $D1318 &amp; ":" &amp; G$1)</f>
        <v/>
      </c>
      <c r="H1318" s="18" t="str">
        <f>RTD("ice.rtd",,$C1318 &amp; $D1318 &amp; ":" &amp; H$1)</f>
        <v/>
      </c>
      <c r="I1318" s="18" t="str">
        <f>RTD("ice.rtd",,$C1318 &amp; $D1318 &amp; ":" &amp; I$1)</f>
        <v/>
      </c>
      <c r="J1318" s="14" t="str">
        <f>IFERROR(MOD(RTD("ice.rtd",,$C1318 &amp; $D1318 &amp; ":" &amp; J$1), 1), "")</f>
        <v/>
      </c>
      <c r="K1318" s="18" t="str">
        <f>RTD("ice.rtd",,$C1318 &amp; $D1318 &amp; ":" &amp; K$1)</f>
        <v/>
      </c>
      <c r="L1318" s="36" t="str">
        <f>RTD("ice.rtd",,$C1318 &amp; $D1318 &amp; ":" &amp; L$1)</f>
        <v/>
      </c>
      <c r="M1318" s="14" t="str">
        <f>IFERROR(MOD(TIMEVALUE(RTD("ice.rtd",,$C1318 &amp; $D1318 &amp; ":" &amp; M$1)), 1), "")</f>
        <v/>
      </c>
      <c r="N1318" s="36">
        <f>RTD("ice.rtd",,$C1318 &amp; $D1318 &amp; ":" &amp; N$1)</f>
        <v>2</v>
      </c>
      <c r="O1318" s="36">
        <f>RTD("ice.rtd",,$C1318 &amp; $D1318 &amp; ":" &amp; O$1)</f>
        <v>25</v>
      </c>
      <c r="P13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8" s="14" t="str">
        <f>IF(ICE[[#This Row],[LastType]] = "Scrn", ICE[[#This Row],[LstDate]], IF(ICE[[#This Row],[LastType]] = "Blk", ICE[[#This Row],[LstBlkTime]], ""))</f>
        <v/>
      </c>
      <c r="R1318" s="41" t="str">
        <f>IF(ICE[[#This Row],[LastType]] = "Scrn", ICE[[#This Row],[LstPrc]], IF(ICE[[#This Row],[LastType]] = "Blk", ICE[[#This Row],[LstBlkPrc]], ""))</f>
        <v/>
      </c>
      <c r="S1318" s="36">
        <f>ICE[[#This Row],[Vol]]+ICE[[#This Row],[BlkVol]]</f>
        <v>27</v>
      </c>
      <c r="T1318" s="36">
        <f>RTD("ice.rtd",,$C1318 &amp; $D1318 &amp; ":" &amp; T$1)</f>
        <v>959</v>
      </c>
      <c r="U1318" s="18">
        <f>RTD("ice.rtd",,$C1318 &amp; $D1318 &amp; ":" &amp; U$1)</f>
        <v>42.936300000000003</v>
      </c>
      <c r="V13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18" s="18" t="str">
        <f>IFERROR(IF(LEFT(ICE[[#This Row],[Tenor]], 1) = "B", RTD("esrtd",,$B1318 &amp; " " &amp; ICE[[#This Row],[Tenor]] &amp; "-IEU", W$1), RTD("esrtd",,$B1318 &amp; " " &amp; VLOOKUP(MONTH(ICE[[#This Row],[Strip]]), MthRef[], 2, 0) &amp; RIGHT(YEAR(ICE[[#This Row],[Strip]]), 2) &amp; "-IEU", W$1)), "")</f>
        <v/>
      </c>
      <c r="X1318" s="36"/>
    </row>
    <row r="1319" spans="1:24" x14ac:dyDescent="0.25">
      <c r="A1319" s="37" t="s">
        <v>838</v>
      </c>
      <c r="B1319" s="88" t="str">
        <f>RTD("ice.rtd",,$C1319 &amp; $D1319 &amp; ":" &amp; B$1)</f>
        <v>ULD</v>
      </c>
      <c r="C1319" s="3">
        <v>34354093</v>
      </c>
      <c r="D1319" t="s">
        <v>807</v>
      </c>
      <c r="E1319" s="3" t="str">
        <f>RTD("ice.rtd",,$C1319 &amp; $D1319 &amp; ":" &amp; E$1)</f>
        <v>Mar28</v>
      </c>
      <c r="F1319" s="3" t="str">
        <f>ICE[[#This Row],[Prod]]&amp;ICE[[#This Row],[Strip]]</f>
        <v>gobrxbblMar28</v>
      </c>
      <c r="G1319" s="18" t="str">
        <f>RTD("ice.rtd",,$C1319 &amp; $D1319 &amp; ":" &amp; G$1)</f>
        <v/>
      </c>
      <c r="H1319" s="18" t="str">
        <f>RTD("ice.rtd",,$C1319 &amp; $D1319 &amp; ":" &amp; H$1)</f>
        <v/>
      </c>
      <c r="I1319" s="18" t="str">
        <f>RTD("ice.rtd",,$C1319 &amp; $D1319 &amp; ":" &amp; I$1)</f>
        <v/>
      </c>
      <c r="J1319" s="14" t="str">
        <f>IFERROR(MOD(RTD("ice.rtd",,$C1319 &amp; $D1319 &amp; ":" &amp; J$1), 1), "")</f>
        <v/>
      </c>
      <c r="K1319" s="18" t="str">
        <f>RTD("ice.rtd",,$C1319 &amp; $D1319 &amp; ":" &amp; K$1)</f>
        <v/>
      </c>
      <c r="L1319" s="36" t="str">
        <f>RTD("ice.rtd",,$C1319 &amp; $D1319 &amp; ":" &amp; L$1)</f>
        <v/>
      </c>
      <c r="M1319" s="14" t="str">
        <f>IFERROR(MOD(TIMEVALUE(RTD("ice.rtd",,$C1319 &amp; $D1319 &amp; ":" &amp; M$1)), 1), "")</f>
        <v/>
      </c>
      <c r="N1319" s="36">
        <f>RTD("ice.rtd",,$C1319 &amp; $D1319 &amp; ":" &amp; N$1)</f>
        <v>2</v>
      </c>
      <c r="O1319" s="36">
        <f>RTD("ice.rtd",,$C1319 &amp; $D1319 &amp; ":" &amp; O$1)</f>
        <v>25</v>
      </c>
      <c r="P13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19" s="14" t="str">
        <f>IF(ICE[[#This Row],[LastType]] = "Scrn", ICE[[#This Row],[LstDate]], IF(ICE[[#This Row],[LastType]] = "Blk", ICE[[#This Row],[LstBlkTime]], ""))</f>
        <v/>
      </c>
      <c r="R1319" s="41" t="str">
        <f>IF(ICE[[#This Row],[LastType]] = "Scrn", ICE[[#This Row],[LstPrc]], IF(ICE[[#This Row],[LastType]] = "Blk", ICE[[#This Row],[LstBlkPrc]], ""))</f>
        <v/>
      </c>
      <c r="S1319" s="36">
        <f>ICE[[#This Row],[Vol]]+ICE[[#This Row],[BlkVol]]</f>
        <v>27</v>
      </c>
      <c r="T1319" s="36">
        <f>RTD("ice.rtd",,$C1319 &amp; $D1319 &amp; ":" &amp; T$1)</f>
        <v>959</v>
      </c>
      <c r="U1319" s="18">
        <f>RTD("ice.rtd",,$C1319 &amp; $D1319 &amp; ":" &amp; U$1)</f>
        <v>41.655200000000001</v>
      </c>
      <c r="V13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19" s="18" t="str">
        <f>IFERROR(IF(LEFT(ICE[[#This Row],[Tenor]], 1) = "B", RTD("esrtd",,$B1319 &amp; " " &amp; ICE[[#This Row],[Tenor]] &amp; "-IEU", W$1), RTD("esrtd",,$B1319 &amp; " " &amp; VLOOKUP(MONTH(ICE[[#This Row],[Strip]]), MthRef[], 2, 0) &amp; RIGHT(YEAR(ICE[[#This Row],[Strip]]), 2) &amp; "-IEU", W$1)), "")</f>
        <v/>
      </c>
      <c r="X1319" s="36"/>
    </row>
    <row r="1320" spans="1:24" x14ac:dyDescent="0.25">
      <c r="A1320" s="37" t="s">
        <v>838</v>
      </c>
      <c r="B1320" s="88" t="str">
        <f>RTD("ice.rtd",,$C1320 &amp; $D1320 &amp; ":" &amp; B$1)</f>
        <v>ULD</v>
      </c>
      <c r="C1320" s="3">
        <v>34354093</v>
      </c>
      <c r="D1320" t="s">
        <v>808</v>
      </c>
      <c r="E1320" s="3" t="str">
        <f>RTD("ice.rtd",,$C1320 &amp; $D1320 &amp; ":" &amp; E$1)</f>
        <v>Apr28</v>
      </c>
      <c r="F1320" s="3" t="str">
        <f>ICE[[#This Row],[Prod]]&amp;ICE[[#This Row],[Strip]]</f>
        <v>gobrxbblApr28</v>
      </c>
      <c r="G1320" s="18" t="str">
        <f>RTD("ice.rtd",,$C1320 &amp; $D1320 &amp; ":" &amp; G$1)</f>
        <v/>
      </c>
      <c r="H1320" s="18" t="str">
        <f>RTD("ice.rtd",,$C1320 &amp; $D1320 &amp; ":" &amp; H$1)</f>
        <v/>
      </c>
      <c r="I1320" s="18" t="str">
        <f>RTD("ice.rtd",,$C1320 &amp; $D1320 &amp; ":" &amp; I$1)</f>
        <v/>
      </c>
      <c r="J1320" s="14" t="str">
        <f>IFERROR(MOD(RTD("ice.rtd",,$C1320 &amp; $D1320 &amp; ":" &amp; J$1), 1), "")</f>
        <v/>
      </c>
      <c r="K1320" s="18" t="str">
        <f>RTD("ice.rtd",,$C1320 &amp; $D1320 &amp; ":" &amp; K$1)</f>
        <v/>
      </c>
      <c r="L1320" s="36" t="str">
        <f>RTD("ice.rtd",,$C1320 &amp; $D1320 &amp; ":" &amp; L$1)</f>
        <v/>
      </c>
      <c r="M1320" s="14" t="str">
        <f>IFERROR(MOD(TIMEVALUE(RTD("ice.rtd",,$C1320 &amp; $D1320 &amp; ":" &amp; M$1)), 1), "")</f>
        <v/>
      </c>
      <c r="N1320" s="36">
        <f>RTD("ice.rtd",,$C1320 &amp; $D1320 &amp; ":" &amp; N$1)</f>
        <v>2</v>
      </c>
      <c r="O1320" s="36">
        <f>RTD("ice.rtd",,$C1320 &amp; $D1320 &amp; ":" &amp; O$1)</f>
        <v>25</v>
      </c>
      <c r="P13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20" s="14" t="str">
        <f>IF(ICE[[#This Row],[LastType]] = "Scrn", ICE[[#This Row],[LstDate]], IF(ICE[[#This Row],[LastType]] = "Blk", ICE[[#This Row],[LstBlkTime]], ""))</f>
        <v/>
      </c>
      <c r="R1320" s="41" t="str">
        <f>IF(ICE[[#This Row],[LastType]] = "Scrn", ICE[[#This Row],[LstPrc]], IF(ICE[[#This Row],[LastType]] = "Blk", ICE[[#This Row],[LstBlkPrc]], ""))</f>
        <v/>
      </c>
      <c r="S1320" s="36">
        <f>ICE[[#This Row],[Vol]]+ICE[[#This Row],[BlkVol]]</f>
        <v>27</v>
      </c>
      <c r="T1320" s="36">
        <f>RTD("ice.rtd",,$C1320 &amp; $D1320 &amp; ":" &amp; T$1)</f>
        <v>366</v>
      </c>
      <c r="U1320" s="18">
        <f>RTD("ice.rtd",,$C1320 &amp; $D1320 &amp; ":" &amp; U$1)</f>
        <v>40.600200000000001</v>
      </c>
      <c r="V13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20" s="18" t="str">
        <f>IFERROR(IF(LEFT(ICE[[#This Row],[Tenor]], 1) = "B", RTD("esrtd",,$B1320 &amp; " " &amp; ICE[[#This Row],[Tenor]] &amp; "-IEU", W$1), RTD("esrtd",,$B1320 &amp; " " &amp; VLOOKUP(MONTH(ICE[[#This Row],[Strip]]), MthRef[], 2, 0) &amp; RIGHT(YEAR(ICE[[#This Row],[Strip]]), 2) &amp; "-IEU", W$1)), "")</f>
        <v/>
      </c>
      <c r="X1320" s="36"/>
    </row>
    <row r="1321" spans="1:24" x14ac:dyDescent="0.25">
      <c r="A1321" s="37" t="s">
        <v>838</v>
      </c>
      <c r="B1321" s="88" t="str">
        <f>RTD("ice.rtd",,$C1321 &amp; $D1321 &amp; ":" &amp; B$1)</f>
        <v>ULD</v>
      </c>
      <c r="C1321" s="3">
        <v>34354093</v>
      </c>
      <c r="D1321" t="s">
        <v>809</v>
      </c>
      <c r="E1321" s="3" t="str">
        <f>RTD("ice.rtd",,$C1321 &amp; $D1321 &amp; ":" &amp; E$1)</f>
        <v>May28</v>
      </c>
      <c r="F1321" s="3" t="str">
        <f>ICE[[#This Row],[Prod]]&amp;ICE[[#This Row],[Strip]]</f>
        <v>gobrxbblMay28</v>
      </c>
      <c r="G1321" s="18" t="str">
        <f>RTD("ice.rtd",,$C1321 &amp; $D1321 &amp; ":" &amp; G$1)</f>
        <v/>
      </c>
      <c r="H1321" s="18" t="str">
        <f>RTD("ice.rtd",,$C1321 &amp; $D1321 &amp; ":" &amp; H$1)</f>
        <v/>
      </c>
      <c r="I1321" s="18" t="str">
        <f>RTD("ice.rtd",,$C1321 &amp; $D1321 &amp; ":" &amp; I$1)</f>
        <v/>
      </c>
      <c r="J1321" s="14" t="str">
        <f>IFERROR(MOD(RTD("ice.rtd",,$C1321 &amp; $D1321 &amp; ":" &amp; J$1), 1), "")</f>
        <v/>
      </c>
      <c r="K1321" s="18" t="str">
        <f>RTD("ice.rtd",,$C1321 &amp; $D1321 &amp; ":" &amp; K$1)</f>
        <v/>
      </c>
      <c r="L1321" s="36" t="str">
        <f>RTD("ice.rtd",,$C1321 &amp; $D1321 &amp; ":" &amp; L$1)</f>
        <v/>
      </c>
      <c r="M1321" s="14" t="str">
        <f>IFERROR(MOD(TIMEVALUE(RTD("ice.rtd",,$C1321 &amp; $D1321 &amp; ":" &amp; M$1)), 1), "")</f>
        <v/>
      </c>
      <c r="N1321" s="36">
        <f>RTD("ice.rtd",,$C1321 &amp; $D1321 &amp; ":" &amp; N$1)</f>
        <v>2</v>
      </c>
      <c r="O1321" s="36">
        <f>RTD("ice.rtd",,$C1321 &amp; $D1321 &amp; ":" &amp; O$1)</f>
        <v>25</v>
      </c>
      <c r="P13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21" s="14" t="str">
        <f>IF(ICE[[#This Row],[LastType]] = "Scrn", ICE[[#This Row],[LstDate]], IF(ICE[[#This Row],[LastType]] = "Blk", ICE[[#This Row],[LstBlkTime]], ""))</f>
        <v/>
      </c>
      <c r="R1321" s="41" t="str">
        <f>IF(ICE[[#This Row],[LastType]] = "Scrn", ICE[[#This Row],[LstPrc]], IF(ICE[[#This Row],[LastType]] = "Blk", ICE[[#This Row],[LstBlkPrc]], ""))</f>
        <v/>
      </c>
      <c r="S1321" s="36">
        <f>ICE[[#This Row],[Vol]]+ICE[[#This Row],[BlkVol]]</f>
        <v>27</v>
      </c>
      <c r="T1321" s="36">
        <f>RTD("ice.rtd",,$C1321 &amp; $D1321 &amp; ":" &amp; T$1)</f>
        <v>366</v>
      </c>
      <c r="U1321" s="18">
        <f>RTD("ice.rtd",,$C1321 &amp; $D1321 &amp; ":" &amp; U$1)</f>
        <v>39.550000000000004</v>
      </c>
      <c r="V13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21" s="18" t="str">
        <f>IFERROR(IF(LEFT(ICE[[#This Row],[Tenor]], 1) = "B", RTD("esrtd",,$B1321 &amp; " " &amp; ICE[[#This Row],[Tenor]] &amp; "-IEU", W$1), RTD("esrtd",,$B1321 &amp; " " &amp; VLOOKUP(MONTH(ICE[[#This Row],[Strip]]), MthRef[], 2, 0) &amp; RIGHT(YEAR(ICE[[#This Row],[Strip]]), 2) &amp; "-IEU", W$1)), "")</f>
        <v/>
      </c>
      <c r="X1321" s="36"/>
    </row>
    <row r="1322" spans="1:24" x14ac:dyDescent="0.25">
      <c r="A1322" s="37" t="s">
        <v>838</v>
      </c>
      <c r="B1322" s="88" t="str">
        <f>RTD("ice.rtd",,$C1322 &amp; $D1322 &amp; ":" &amp; B$1)</f>
        <v>ULD</v>
      </c>
      <c r="C1322" s="3">
        <v>34354093</v>
      </c>
      <c r="D1322" t="s">
        <v>810</v>
      </c>
      <c r="E1322" s="3" t="str">
        <f>RTD("ice.rtd",,$C1322 &amp; $D1322 &amp; ":" &amp; E$1)</f>
        <v>Jun28</v>
      </c>
      <c r="F1322" s="3" t="str">
        <f>ICE[[#This Row],[Prod]]&amp;ICE[[#This Row],[Strip]]</f>
        <v>gobrxbblJun28</v>
      </c>
      <c r="G1322" s="18" t="str">
        <f>RTD("ice.rtd",,$C1322 &amp; $D1322 &amp; ":" &amp; G$1)</f>
        <v/>
      </c>
      <c r="H1322" s="18" t="str">
        <f>RTD("ice.rtd",,$C1322 &amp; $D1322 &amp; ":" &amp; H$1)</f>
        <v/>
      </c>
      <c r="I1322" s="18" t="str">
        <f>RTD("ice.rtd",,$C1322 &amp; $D1322 &amp; ":" &amp; I$1)</f>
        <v/>
      </c>
      <c r="J1322" s="14" t="str">
        <f>IFERROR(MOD(RTD("ice.rtd",,$C1322 &amp; $D1322 &amp; ":" &amp; J$1), 1), "")</f>
        <v/>
      </c>
      <c r="K1322" s="18" t="str">
        <f>RTD("ice.rtd",,$C1322 &amp; $D1322 &amp; ":" &amp; K$1)</f>
        <v/>
      </c>
      <c r="L1322" s="36" t="str">
        <f>RTD("ice.rtd",,$C1322 &amp; $D1322 &amp; ":" &amp; L$1)</f>
        <v/>
      </c>
      <c r="M1322" s="14" t="str">
        <f>IFERROR(MOD(TIMEVALUE(RTD("ice.rtd",,$C1322 &amp; $D1322 &amp; ":" &amp; M$1)), 1), "")</f>
        <v/>
      </c>
      <c r="N1322" s="36">
        <f>RTD("ice.rtd",,$C1322 &amp; $D1322 &amp; ":" &amp; N$1)</f>
        <v>2</v>
      </c>
      <c r="O1322" s="36">
        <f>RTD("ice.rtd",,$C1322 &amp; $D1322 &amp; ":" &amp; O$1)</f>
        <v>25</v>
      </c>
      <c r="P13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22" s="14" t="str">
        <f>IF(ICE[[#This Row],[LastType]] = "Scrn", ICE[[#This Row],[LstDate]], IF(ICE[[#This Row],[LastType]] = "Blk", ICE[[#This Row],[LstBlkTime]], ""))</f>
        <v/>
      </c>
      <c r="R1322" s="41" t="str">
        <f>IF(ICE[[#This Row],[LastType]] = "Scrn", ICE[[#This Row],[LstPrc]], IF(ICE[[#This Row],[LastType]] = "Blk", ICE[[#This Row],[LstBlkPrc]], ""))</f>
        <v/>
      </c>
      <c r="S1322" s="36">
        <f>ICE[[#This Row],[Vol]]+ICE[[#This Row],[BlkVol]]</f>
        <v>27</v>
      </c>
      <c r="T1322" s="36">
        <f>RTD("ice.rtd",,$C1322 &amp; $D1322 &amp; ":" &amp; T$1)</f>
        <v>366</v>
      </c>
      <c r="U1322" s="18">
        <f>RTD("ice.rtd",,$C1322 &amp; $D1322 &amp; ":" &amp; U$1)</f>
        <v>38.7258</v>
      </c>
      <c r="V13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22" s="18" t="str">
        <f>IFERROR(IF(LEFT(ICE[[#This Row],[Tenor]], 1) = "B", RTD("esrtd",,$B1322 &amp; " " &amp; ICE[[#This Row],[Tenor]] &amp; "-IEU", W$1), RTD("esrtd",,$B1322 &amp; " " &amp; VLOOKUP(MONTH(ICE[[#This Row],[Strip]]), MthRef[], 2, 0) &amp; RIGHT(YEAR(ICE[[#This Row],[Strip]]), 2) &amp; "-IEU", W$1)), "")</f>
        <v/>
      </c>
      <c r="X1322" s="36"/>
    </row>
    <row r="1323" spans="1:24" x14ac:dyDescent="0.25">
      <c r="A1323" s="37" t="s">
        <v>838</v>
      </c>
      <c r="B1323" s="88" t="str">
        <f>RTD("ice.rtd",,$C1323 &amp; $D1323 &amp; ":" &amp; B$1)</f>
        <v>ULD</v>
      </c>
      <c r="C1323" s="3">
        <v>34354093</v>
      </c>
      <c r="D1323" t="s">
        <v>811</v>
      </c>
      <c r="E1323" s="3" t="str">
        <f>RTD("ice.rtd",,$C1323 &amp; $D1323 &amp; ":" &amp; E$1)</f>
        <v>Jul28</v>
      </c>
      <c r="F1323" s="3" t="str">
        <f>ICE[[#This Row],[Prod]]&amp;ICE[[#This Row],[Strip]]</f>
        <v>gobrxbblJul28</v>
      </c>
      <c r="G1323" s="18" t="str">
        <f>RTD("ice.rtd",,$C1323 &amp; $D1323 &amp; ":" &amp; G$1)</f>
        <v/>
      </c>
      <c r="H1323" s="18" t="str">
        <f>RTD("ice.rtd",,$C1323 &amp; $D1323 &amp; ":" &amp; H$1)</f>
        <v/>
      </c>
      <c r="I1323" s="18" t="str">
        <f>RTD("ice.rtd",,$C1323 &amp; $D1323 &amp; ":" &amp; I$1)</f>
        <v/>
      </c>
      <c r="J1323" s="14" t="str">
        <f>IFERROR(MOD(RTD("ice.rtd",,$C1323 &amp; $D1323 &amp; ":" &amp; J$1), 1), "")</f>
        <v/>
      </c>
      <c r="K1323" s="18" t="str">
        <f>RTD("ice.rtd",,$C1323 &amp; $D1323 &amp; ":" &amp; K$1)</f>
        <v/>
      </c>
      <c r="L1323" s="36" t="str">
        <f>RTD("ice.rtd",,$C1323 &amp; $D1323 &amp; ":" &amp; L$1)</f>
        <v/>
      </c>
      <c r="M1323" s="14" t="str">
        <f>IFERROR(MOD(TIMEVALUE(RTD("ice.rtd",,$C1323 &amp; $D1323 &amp; ":" &amp; M$1)), 1), "")</f>
        <v/>
      </c>
      <c r="N1323" s="36">
        <f>RTD("ice.rtd",,$C1323 &amp; $D1323 &amp; ":" &amp; N$1)</f>
        <v>2</v>
      </c>
      <c r="O1323" s="36">
        <f>RTD("ice.rtd",,$C1323 &amp; $D1323 &amp; ":" &amp; O$1)</f>
        <v>25</v>
      </c>
      <c r="P13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23" s="14" t="str">
        <f>IF(ICE[[#This Row],[LastType]] = "Scrn", ICE[[#This Row],[LstDate]], IF(ICE[[#This Row],[LastType]] = "Blk", ICE[[#This Row],[LstBlkTime]], ""))</f>
        <v/>
      </c>
      <c r="R1323" s="41" t="str">
        <f>IF(ICE[[#This Row],[LastType]] = "Scrn", ICE[[#This Row],[LstPrc]], IF(ICE[[#This Row],[LastType]] = "Blk", ICE[[#This Row],[LstBlkPrc]], ""))</f>
        <v/>
      </c>
      <c r="S1323" s="36">
        <f>ICE[[#This Row],[Vol]]+ICE[[#This Row],[BlkVol]]</f>
        <v>27</v>
      </c>
      <c r="T1323" s="36">
        <f>RTD("ice.rtd",,$C1323 &amp; $D1323 &amp; ":" &amp; T$1)</f>
        <v>366</v>
      </c>
      <c r="U1323" s="18">
        <f>RTD("ice.rtd",,$C1323 &amp; $D1323 &amp; ":" &amp; U$1)</f>
        <v>38.117600000000003</v>
      </c>
      <c r="V13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23" s="18" t="str">
        <f>IFERROR(IF(LEFT(ICE[[#This Row],[Tenor]], 1) = "B", RTD("esrtd",,$B1323 &amp; " " &amp; ICE[[#This Row],[Tenor]] &amp; "-IEU", W$1), RTD("esrtd",,$B1323 &amp; " " &amp; VLOOKUP(MONTH(ICE[[#This Row],[Strip]]), MthRef[], 2, 0) &amp; RIGHT(YEAR(ICE[[#This Row],[Strip]]), 2) &amp; "-IEU", W$1)), "")</f>
        <v/>
      </c>
      <c r="X1323" s="36"/>
    </row>
    <row r="1324" spans="1:24" x14ac:dyDescent="0.25">
      <c r="A1324" s="37" t="s">
        <v>838</v>
      </c>
      <c r="B1324" s="88" t="str">
        <f>RTD("ice.rtd",,$C1324 &amp; $D1324 &amp; ":" &amp; B$1)</f>
        <v>ULD</v>
      </c>
      <c r="C1324" s="3">
        <v>34354093</v>
      </c>
      <c r="D1324" t="s">
        <v>812</v>
      </c>
      <c r="E1324" s="3" t="str">
        <f>RTD("ice.rtd",,$C1324 &amp; $D1324 &amp; ":" &amp; E$1)</f>
        <v>Aug28</v>
      </c>
      <c r="F1324" s="3" t="str">
        <f>ICE[[#This Row],[Prod]]&amp;ICE[[#This Row],[Strip]]</f>
        <v>gobrxbblAug28</v>
      </c>
      <c r="G1324" s="18" t="str">
        <f>RTD("ice.rtd",,$C1324 &amp; $D1324 &amp; ":" &amp; G$1)</f>
        <v/>
      </c>
      <c r="H1324" s="18" t="str">
        <f>RTD("ice.rtd",,$C1324 &amp; $D1324 &amp; ":" &amp; H$1)</f>
        <v/>
      </c>
      <c r="I1324" s="18" t="str">
        <f>RTD("ice.rtd",,$C1324 &amp; $D1324 &amp; ":" &amp; I$1)</f>
        <v/>
      </c>
      <c r="J1324" s="14" t="str">
        <f>IFERROR(MOD(RTD("ice.rtd",,$C1324 &amp; $D1324 &amp; ":" &amp; J$1), 1), "")</f>
        <v/>
      </c>
      <c r="K1324" s="18" t="str">
        <f>RTD("ice.rtd",,$C1324 &amp; $D1324 &amp; ":" &amp; K$1)</f>
        <v/>
      </c>
      <c r="L1324" s="36" t="str">
        <f>RTD("ice.rtd",,$C1324 &amp; $D1324 &amp; ":" &amp; L$1)</f>
        <v/>
      </c>
      <c r="M1324" s="14" t="str">
        <f>IFERROR(MOD(TIMEVALUE(RTD("ice.rtd",,$C1324 &amp; $D1324 &amp; ":" &amp; M$1)), 1), "")</f>
        <v/>
      </c>
      <c r="N1324" s="36">
        <f>RTD("ice.rtd",,$C1324 &amp; $D1324 &amp; ":" &amp; N$1)</f>
        <v>2</v>
      </c>
      <c r="O1324" s="36">
        <f>RTD("ice.rtd",,$C1324 &amp; $D1324 &amp; ":" &amp; O$1)</f>
        <v>25</v>
      </c>
      <c r="P13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24" s="14" t="str">
        <f>IF(ICE[[#This Row],[LastType]] = "Scrn", ICE[[#This Row],[LstDate]], IF(ICE[[#This Row],[LastType]] = "Blk", ICE[[#This Row],[LstBlkTime]], ""))</f>
        <v/>
      </c>
      <c r="R1324" s="41" t="str">
        <f>IF(ICE[[#This Row],[LastType]] = "Scrn", ICE[[#This Row],[LstPrc]], IF(ICE[[#This Row],[LastType]] = "Blk", ICE[[#This Row],[LstBlkPrc]], ""))</f>
        <v/>
      </c>
      <c r="S1324" s="36">
        <f>ICE[[#This Row],[Vol]]+ICE[[#This Row],[BlkVol]]</f>
        <v>27</v>
      </c>
      <c r="T1324" s="36">
        <f>RTD("ice.rtd",,$C1324 &amp; $D1324 &amp; ":" &amp; T$1)</f>
        <v>366</v>
      </c>
      <c r="U1324" s="18">
        <f>RTD("ice.rtd",,$C1324 &amp; $D1324 &amp; ":" &amp; U$1)</f>
        <v>37.586800000000004</v>
      </c>
      <c r="V13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24" s="18" t="str">
        <f>IFERROR(IF(LEFT(ICE[[#This Row],[Tenor]], 1) = "B", RTD("esrtd",,$B1324 &amp; " " &amp; ICE[[#This Row],[Tenor]] &amp; "-IEU", W$1), RTD("esrtd",,$B1324 &amp; " " &amp; VLOOKUP(MONTH(ICE[[#This Row],[Strip]]), MthRef[], 2, 0) &amp; RIGHT(YEAR(ICE[[#This Row],[Strip]]), 2) &amp; "-IEU", W$1)), "")</f>
        <v/>
      </c>
      <c r="X1324" s="36"/>
    </row>
    <row r="1325" spans="1:24" x14ac:dyDescent="0.25">
      <c r="A1325" s="37" t="s">
        <v>838</v>
      </c>
      <c r="B1325" s="88" t="str">
        <f>RTD("ice.rtd",,$C1325 &amp; $D1325 &amp; ":" &amp; B$1)</f>
        <v>ULD</v>
      </c>
      <c r="C1325" s="3">
        <v>34354093</v>
      </c>
      <c r="D1325" t="s">
        <v>813</v>
      </c>
      <c r="E1325" s="3" t="str">
        <f>RTD("ice.rtd",,$C1325 &amp; $D1325 &amp; ":" &amp; E$1)</f>
        <v>Sep28</v>
      </c>
      <c r="F1325" s="3" t="str">
        <f>ICE[[#This Row],[Prod]]&amp;ICE[[#This Row],[Strip]]</f>
        <v>gobrxbblSep28</v>
      </c>
      <c r="G1325" s="18" t="str">
        <f>RTD("ice.rtd",,$C1325 &amp; $D1325 &amp; ":" &amp; G$1)</f>
        <v/>
      </c>
      <c r="H1325" s="18" t="str">
        <f>RTD("ice.rtd",,$C1325 &amp; $D1325 &amp; ":" &amp; H$1)</f>
        <v/>
      </c>
      <c r="I1325" s="18" t="str">
        <f>RTD("ice.rtd",,$C1325 &amp; $D1325 &amp; ":" &amp; I$1)</f>
        <v/>
      </c>
      <c r="J1325" s="14" t="str">
        <f>IFERROR(MOD(RTD("ice.rtd",,$C1325 &amp; $D1325 &amp; ":" &amp; J$1), 1), "")</f>
        <v/>
      </c>
      <c r="K1325" s="18" t="str">
        <f>RTD("ice.rtd",,$C1325 &amp; $D1325 &amp; ":" &amp; K$1)</f>
        <v/>
      </c>
      <c r="L1325" s="36" t="str">
        <f>RTD("ice.rtd",,$C1325 &amp; $D1325 &amp; ":" &amp; L$1)</f>
        <v/>
      </c>
      <c r="M1325" s="14" t="str">
        <f>IFERROR(MOD(TIMEVALUE(RTD("ice.rtd",,$C1325 &amp; $D1325 &amp; ":" &amp; M$1)), 1), "")</f>
        <v/>
      </c>
      <c r="N1325" s="36">
        <f>RTD("ice.rtd",,$C1325 &amp; $D1325 &amp; ":" &amp; N$1)</f>
        <v>2</v>
      </c>
      <c r="O1325" s="36">
        <f>RTD("ice.rtd",,$C1325 &amp; $D1325 &amp; ":" &amp; O$1)</f>
        <v>25</v>
      </c>
      <c r="P13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25" s="14" t="str">
        <f>IF(ICE[[#This Row],[LastType]] = "Scrn", ICE[[#This Row],[LstDate]], IF(ICE[[#This Row],[LastType]] = "Blk", ICE[[#This Row],[LstBlkTime]], ""))</f>
        <v/>
      </c>
      <c r="R1325" s="41" t="str">
        <f>IF(ICE[[#This Row],[LastType]] = "Scrn", ICE[[#This Row],[LstPrc]], IF(ICE[[#This Row],[LastType]] = "Blk", ICE[[#This Row],[LstBlkPrc]], ""))</f>
        <v/>
      </c>
      <c r="S1325" s="36">
        <f>ICE[[#This Row],[Vol]]+ICE[[#This Row],[BlkVol]]</f>
        <v>27</v>
      </c>
      <c r="T1325" s="36">
        <f>RTD("ice.rtd",,$C1325 &amp; $D1325 &amp; ":" &amp; T$1)</f>
        <v>366</v>
      </c>
      <c r="U1325" s="18">
        <f>RTD("ice.rtd",,$C1325 &amp; $D1325 &amp; ":" &amp; U$1)</f>
        <v>37.255299999999998</v>
      </c>
      <c r="V13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25" s="18" t="str">
        <f>IFERROR(IF(LEFT(ICE[[#This Row],[Tenor]], 1) = "B", RTD("esrtd",,$B1325 &amp; " " &amp; ICE[[#This Row],[Tenor]] &amp; "-IEU", W$1), RTD("esrtd",,$B1325 &amp; " " &amp; VLOOKUP(MONTH(ICE[[#This Row],[Strip]]), MthRef[], 2, 0) &amp; RIGHT(YEAR(ICE[[#This Row],[Strip]]), 2) &amp; "-IEU", W$1)), "")</f>
        <v/>
      </c>
      <c r="X1325" s="36"/>
    </row>
    <row r="1326" spans="1:24" x14ac:dyDescent="0.25">
      <c r="A1326" s="37" t="s">
        <v>838</v>
      </c>
      <c r="B1326" s="88" t="str">
        <f>RTD("ice.rtd",,$C1326 &amp; $D1326 &amp; ":" &amp; B$1)</f>
        <v>ULD</v>
      </c>
      <c r="C1326" s="3">
        <v>34354093</v>
      </c>
      <c r="D1326" t="s">
        <v>814</v>
      </c>
      <c r="E1326" s="3" t="str">
        <f>RTD("ice.rtd",,$C1326 &amp; $D1326 &amp; ":" &amp; E$1)</f>
        <v>Q4 26</v>
      </c>
      <c r="F1326" s="3" t="str">
        <f>ICE[[#This Row],[Prod]]&amp;ICE[[#This Row],[Strip]]</f>
        <v>gobrxbblQ4 26</v>
      </c>
      <c r="G1326" s="18">
        <f>RTD("ice.rtd",,$C1326 &amp; $D1326 &amp; ":" &amp; G$1)</f>
        <v>77.87</v>
      </c>
      <c r="H1326" s="18">
        <f>RTD("ice.rtd",,$C1326 &amp; $D1326 &amp; ":" &amp; H$1)</f>
        <v>78.150000000000006</v>
      </c>
      <c r="I1326" s="18">
        <f>RTD("ice.rtd",,$C1326 &amp; $D1326 &amp; ":" &amp; I$1)</f>
        <v>78.83</v>
      </c>
      <c r="J1326" s="14">
        <f>IFERROR(MOD(RTD("ice.rtd",,$C1326 &amp; $D1326 &amp; ":" &amp; J$1), 1), "")</f>
        <v>0.35574516203632811</v>
      </c>
      <c r="K1326" s="18">
        <f>RTD("ice.rtd",,$C1326 &amp; $D1326 &amp; ":" &amp; K$1)</f>
        <v>78.150000000000006</v>
      </c>
      <c r="L1326" s="36">
        <f>RTD("ice.rtd",,$C1326 &amp; $D1326 &amp; ":" &amp; L$1)</f>
        <v>25</v>
      </c>
      <c r="M1326" s="14">
        <f>IFERROR(MOD(TIMEVALUE(RTD("ice.rtd",,$C1326 &amp; $D1326 &amp; ":" &amp; M$1)), 1), "")</f>
        <v>0.45910879629629631</v>
      </c>
      <c r="N1326" s="36">
        <f>RTD("ice.rtd",,$C1326 &amp; $D1326 &amp; ":" &amp; N$1)</f>
        <v>100</v>
      </c>
      <c r="O1326" s="36">
        <f>RTD("ice.rtd",,$C1326 &amp; $D1326 &amp; ":" &amp; O$1)</f>
        <v>235</v>
      </c>
      <c r="P13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326" s="14">
        <f>IF(ICE[[#This Row],[LastType]] = "Scrn", ICE[[#This Row],[LstDate]], IF(ICE[[#This Row],[LastType]] = "Blk", ICE[[#This Row],[LstBlkTime]], ""))</f>
        <v>0.45910879629629631</v>
      </c>
      <c r="R1326" s="41">
        <f>IF(ICE[[#This Row],[LastType]] = "Scrn", ICE[[#This Row],[LstPrc]], IF(ICE[[#This Row],[LastType]] = "Blk", ICE[[#This Row],[LstBlkPrc]], ""))</f>
        <v>78.150000000000006</v>
      </c>
      <c r="S1326" s="36">
        <f>ICE[[#This Row],[Vol]]+ICE[[#This Row],[BlkVol]]</f>
        <v>335</v>
      </c>
      <c r="T1326" s="36">
        <f>RTD("ice.rtd",,$C1326 &amp; $D1326 &amp; ":" &amp; T$1)</f>
        <v>0</v>
      </c>
      <c r="U1326" s="18">
        <f>RTD("ice.rtd",,$C1326 &amp; $D1326 &amp; ":" &amp; U$1)</f>
        <v>77.049000000000007</v>
      </c>
      <c r="V13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77.87 / 78.15 {78.15} |335x</v>
      </c>
      <c r="W1326" s="18" t="str">
        <f>IFERROR(IF(LEFT(ICE[[#This Row],[Tenor]], 1) = "B", RTD("esrtd",,$B1326 &amp; " " &amp; ICE[[#This Row],[Tenor]] &amp; "-IEU", W$1), RTD("esrtd",,$B1326 &amp; " " &amp; VLOOKUP(MONTH(ICE[[#This Row],[Strip]]), MthRef[], 2, 0) &amp; RIGHT(YEAR(ICE[[#This Row],[Strip]]), 2) &amp; "-IEU", W$1)), "")</f>
        <v/>
      </c>
      <c r="X1326" s="36"/>
    </row>
    <row r="1327" spans="1:24" x14ac:dyDescent="0.25">
      <c r="A1327" s="37" t="s">
        <v>838</v>
      </c>
      <c r="B1327" s="88" t="str">
        <f>RTD("ice.rtd",,$C1327 &amp; $D1327 &amp; ":" &amp; B$1)</f>
        <v>ULD</v>
      </c>
      <c r="C1327" s="3">
        <v>34354093</v>
      </c>
      <c r="D1327" t="s">
        <v>815</v>
      </c>
      <c r="E1327" s="3" t="str">
        <f>RTD("ice.rtd",,$C1327 &amp; $D1327 &amp; ":" &amp; E$1)</f>
        <v>Q1 27</v>
      </c>
      <c r="F1327" s="3" t="str">
        <f>ICE[[#This Row],[Prod]]&amp;ICE[[#This Row],[Strip]]</f>
        <v>gobrxbblQ1 27</v>
      </c>
      <c r="G1327" s="18">
        <f>RTD("ice.rtd",,$C1327 &amp; $D1327 &amp; ":" &amp; G$1)</f>
        <v>66.16</v>
      </c>
      <c r="H1327" s="18">
        <f>RTD("ice.rtd",,$C1327 &amp; $D1327 &amp; ":" &amp; H$1)</f>
        <v>66.48</v>
      </c>
      <c r="I1327" s="18" t="str">
        <f>RTD("ice.rtd",,$C1327 &amp; $D1327 &amp; ":" &amp; I$1)</f>
        <v/>
      </c>
      <c r="J1327" s="14" t="str">
        <f>IFERROR(MOD(RTD("ice.rtd",,$C1327 &amp; $D1327 &amp; ":" &amp; J$1), 1), "")</f>
        <v/>
      </c>
      <c r="K1327" s="18">
        <f>RTD("ice.rtd",,$C1327 &amp; $D1327 &amp; ":" &amp; K$1)</f>
        <v>66.45</v>
      </c>
      <c r="L1327" s="36">
        <f>RTD("ice.rtd",,$C1327 &amp; $D1327 &amp; ":" &amp; L$1)</f>
        <v>50</v>
      </c>
      <c r="M1327" s="14">
        <f>IFERROR(MOD(TIMEVALUE(RTD("ice.rtd",,$C1327 &amp; $D1327 &amp; ":" &amp; M$1)), 1), "")</f>
        <v>0.45910879629629631</v>
      </c>
      <c r="N1327" s="36">
        <f>RTD("ice.rtd",,$C1327 &amp; $D1327 &amp; ":" &amp; N$1)</f>
        <v>0</v>
      </c>
      <c r="O1327" s="36">
        <f>RTD("ice.rtd",,$C1327 &amp; $D1327 &amp; ":" &amp; O$1)</f>
        <v>185</v>
      </c>
      <c r="P13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327" s="14">
        <f>IF(ICE[[#This Row],[LastType]] = "Scrn", ICE[[#This Row],[LstDate]], IF(ICE[[#This Row],[LastType]] = "Blk", ICE[[#This Row],[LstBlkTime]], ""))</f>
        <v>0.45910879629629631</v>
      </c>
      <c r="R1327" s="41">
        <f>IF(ICE[[#This Row],[LastType]] = "Scrn", ICE[[#This Row],[LstPrc]], IF(ICE[[#This Row],[LastType]] = "Blk", ICE[[#This Row],[LstBlkPrc]], ""))</f>
        <v>66.45</v>
      </c>
      <c r="S1327" s="36">
        <f>ICE[[#This Row],[Vol]]+ICE[[#This Row],[BlkVol]]</f>
        <v>185</v>
      </c>
      <c r="T1327" s="36">
        <f>RTD("ice.rtd",,$C1327 &amp; $D1327 &amp; ":" &amp; T$1)</f>
        <v>0</v>
      </c>
      <c r="U1327" s="18">
        <f>RTD("ice.rtd",,$C1327 &amp; $D1327 &amp; ":" &amp; U$1)</f>
        <v>65.094800000000006</v>
      </c>
      <c r="V13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66.16 / 66.48 {66.45} |185x</v>
      </c>
      <c r="W1327" s="18" t="str">
        <f>IFERROR(IF(LEFT(ICE[[#This Row],[Tenor]], 1) = "B", RTD("esrtd",,$B1327 &amp; " " &amp; ICE[[#This Row],[Tenor]] &amp; "-IEU", W$1), RTD("esrtd",,$B1327 &amp; " " &amp; VLOOKUP(MONTH(ICE[[#This Row],[Strip]]), MthRef[], 2, 0) &amp; RIGHT(YEAR(ICE[[#This Row],[Strip]]), 2) &amp; "-IEU", W$1)), "")</f>
        <v/>
      </c>
      <c r="X1327" s="36"/>
    </row>
    <row r="1328" spans="1:24" x14ac:dyDescent="0.25">
      <c r="A1328" s="37" t="s">
        <v>838</v>
      </c>
      <c r="B1328" s="88" t="str">
        <f>RTD("ice.rtd",,$C1328 &amp; $D1328 &amp; ":" &amp; B$1)</f>
        <v>ULD</v>
      </c>
      <c r="C1328" s="3">
        <v>34354093</v>
      </c>
      <c r="D1328" t="s">
        <v>816</v>
      </c>
      <c r="E1328" s="3" t="str">
        <f>RTD("ice.rtd",,$C1328 &amp; $D1328 &amp; ":" &amp; E$1)</f>
        <v>Q2 27</v>
      </c>
      <c r="F1328" s="3" t="str">
        <f>ICE[[#This Row],[Prod]]&amp;ICE[[#This Row],[Strip]]</f>
        <v>gobrxbblQ2 27</v>
      </c>
      <c r="G1328" s="18">
        <f>RTD("ice.rtd",,$C1328 &amp; $D1328 &amp; ":" &amp; G$1)</f>
        <v>56.81</v>
      </c>
      <c r="H1328" s="18">
        <f>RTD("ice.rtd",,$C1328 &amp; $D1328 &amp; ":" &amp; H$1)</f>
        <v>57.01</v>
      </c>
      <c r="I1328" s="18" t="str">
        <f>RTD("ice.rtd",,$C1328 &amp; $D1328 &amp; ":" &amp; I$1)</f>
        <v/>
      </c>
      <c r="J1328" s="14" t="str">
        <f>IFERROR(MOD(RTD("ice.rtd",,$C1328 &amp; $D1328 &amp; ":" &amp; J$1), 1), "")</f>
        <v/>
      </c>
      <c r="K1328" s="18">
        <f>RTD("ice.rtd",,$C1328 &amp; $D1328 &amp; ":" &amp; K$1)</f>
        <v>57</v>
      </c>
      <c r="L1328" s="36">
        <f>RTD("ice.rtd",,$C1328 &amp; $D1328 &amp; ":" &amp; L$1)</f>
        <v>25</v>
      </c>
      <c r="M1328" s="14">
        <f>IFERROR(MOD(TIMEVALUE(RTD("ice.rtd",,$C1328 &amp; $D1328 &amp; ":" &amp; M$1)), 1), "")</f>
        <v>0.45910879629629631</v>
      </c>
      <c r="N1328" s="36">
        <f>RTD("ice.rtd",,$C1328 &amp; $D1328 &amp; ":" &amp; N$1)</f>
        <v>0</v>
      </c>
      <c r="O1328" s="36">
        <f>RTD("ice.rtd",,$C1328 &amp; $D1328 &amp; ":" &amp; O$1)</f>
        <v>25</v>
      </c>
      <c r="P13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328" s="14">
        <f>IF(ICE[[#This Row],[LastType]] = "Scrn", ICE[[#This Row],[LstDate]], IF(ICE[[#This Row],[LastType]] = "Blk", ICE[[#This Row],[LstBlkTime]], ""))</f>
        <v>0.45910879629629631</v>
      </c>
      <c r="R1328" s="41">
        <f>IF(ICE[[#This Row],[LastType]] = "Scrn", ICE[[#This Row],[LstPrc]], IF(ICE[[#This Row],[LastType]] = "Blk", ICE[[#This Row],[LstBlkPrc]], ""))</f>
        <v>57</v>
      </c>
      <c r="S1328" s="36">
        <f>ICE[[#This Row],[Vol]]+ICE[[#This Row],[BlkVol]]</f>
        <v>25</v>
      </c>
      <c r="T1328" s="36">
        <f>RTD("ice.rtd",,$C1328 &amp; $D1328 &amp; ":" &amp; T$1)</f>
        <v>0</v>
      </c>
      <c r="U1328" s="18">
        <f>RTD("ice.rtd",,$C1328 &amp; $D1328 &amp; ":" &amp; U$1)</f>
        <v>55.766300000000001</v>
      </c>
      <c r="V13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56.81 / 57.01 {57.00} |25x</v>
      </c>
      <c r="W1328" s="18" t="str">
        <f>IFERROR(IF(LEFT(ICE[[#This Row],[Tenor]], 1) = "B", RTD("esrtd",,$B1328 &amp; " " &amp; ICE[[#This Row],[Tenor]] &amp; "-IEU", W$1), RTD("esrtd",,$B1328 &amp; " " &amp; VLOOKUP(MONTH(ICE[[#This Row],[Strip]]), MthRef[], 2, 0) &amp; RIGHT(YEAR(ICE[[#This Row],[Strip]]), 2) &amp; "-IEU", W$1)), "")</f>
        <v/>
      </c>
      <c r="X1328" s="36"/>
    </row>
    <row r="1329" spans="1:24" x14ac:dyDescent="0.25">
      <c r="A1329" s="37" t="s">
        <v>838</v>
      </c>
      <c r="B1329" s="88" t="str">
        <f>RTD("ice.rtd",,$C1329 &amp; $D1329 &amp; ":" &amp; B$1)</f>
        <v>ULD</v>
      </c>
      <c r="C1329" s="3">
        <v>34354093</v>
      </c>
      <c r="D1329" t="s">
        <v>817</v>
      </c>
      <c r="E1329" s="3" t="str">
        <f>RTD("ice.rtd",,$C1329 &amp; $D1329 &amp; ":" &amp; E$1)</f>
        <v>Q3 27</v>
      </c>
      <c r="F1329" s="3" t="str">
        <f>ICE[[#This Row],[Prod]]&amp;ICE[[#This Row],[Strip]]</f>
        <v>gobrxbblQ3 27</v>
      </c>
      <c r="G1329" s="18">
        <f>RTD("ice.rtd",,$C1329 &amp; $D1329 &amp; ":" &amp; G$1)</f>
        <v>51.68</v>
      </c>
      <c r="H1329" s="18">
        <f>RTD("ice.rtd",,$C1329 &amp; $D1329 &amp; ":" &amp; H$1)</f>
        <v>51.96</v>
      </c>
      <c r="I1329" s="18" t="str">
        <f>RTD("ice.rtd",,$C1329 &amp; $D1329 &amp; ":" &amp; I$1)</f>
        <v/>
      </c>
      <c r="J1329" s="14" t="str">
        <f>IFERROR(MOD(RTD("ice.rtd",,$C1329 &amp; $D1329 &amp; ":" &amp; J$1), 1), "")</f>
        <v/>
      </c>
      <c r="K1329" s="18" t="str">
        <f>RTD("ice.rtd",,$C1329 &amp; $D1329 &amp; ":" &amp; K$1)</f>
        <v/>
      </c>
      <c r="L1329" s="36" t="str">
        <f>RTD("ice.rtd",,$C1329 &amp; $D1329 &amp; ":" &amp; L$1)</f>
        <v/>
      </c>
      <c r="M1329" s="14" t="str">
        <f>IFERROR(MOD(TIMEVALUE(RTD("ice.rtd",,$C1329 &amp; $D1329 &amp; ":" &amp; M$1)), 1), "")</f>
        <v/>
      </c>
      <c r="N1329" s="36">
        <f>RTD("ice.rtd",,$C1329 &amp; $D1329 &amp; ":" &amp; N$1)</f>
        <v>0</v>
      </c>
      <c r="O1329" s="36">
        <f>RTD("ice.rtd",,$C1329 &amp; $D1329 &amp; ":" &amp; O$1)</f>
        <v>0</v>
      </c>
      <c r="P13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29" s="14" t="str">
        <f>IF(ICE[[#This Row],[LastType]] = "Scrn", ICE[[#This Row],[LstDate]], IF(ICE[[#This Row],[LastType]] = "Blk", ICE[[#This Row],[LstBlkTime]], ""))</f>
        <v/>
      </c>
      <c r="R1329" s="41" t="str">
        <f>IF(ICE[[#This Row],[LastType]] = "Scrn", ICE[[#This Row],[LstPrc]], IF(ICE[[#This Row],[LastType]] = "Blk", ICE[[#This Row],[LstBlkPrc]], ""))</f>
        <v/>
      </c>
      <c r="S1329" s="36">
        <f>ICE[[#This Row],[Vol]]+ICE[[#This Row],[BlkVol]]</f>
        <v>0</v>
      </c>
      <c r="T1329" s="36">
        <f>RTD("ice.rtd",,$C1329 &amp; $D1329 &amp; ":" &amp; T$1)</f>
        <v>0</v>
      </c>
      <c r="U1329" s="18">
        <f>RTD("ice.rtd",,$C1329 &amp; $D1329 &amp; ":" &amp; U$1)</f>
        <v>50.7012</v>
      </c>
      <c r="V13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51.68 / 51.96 </v>
      </c>
      <c r="W1329" s="18" t="str">
        <f>IFERROR(IF(LEFT(ICE[[#This Row],[Tenor]], 1) = "B", RTD("esrtd",,$B1329 &amp; " " &amp; ICE[[#This Row],[Tenor]] &amp; "-IEU", W$1), RTD("esrtd",,$B1329 &amp; " " &amp; VLOOKUP(MONTH(ICE[[#This Row],[Strip]]), MthRef[], 2, 0) &amp; RIGHT(YEAR(ICE[[#This Row],[Strip]]), 2) &amp; "-IEU", W$1)), "")</f>
        <v/>
      </c>
      <c r="X1329" s="36"/>
    </row>
    <row r="1330" spans="1:24" x14ac:dyDescent="0.25">
      <c r="A1330" s="37" t="s">
        <v>838</v>
      </c>
      <c r="B1330" s="88" t="str">
        <f>RTD("ice.rtd",,$C1330 &amp; $D1330 &amp; ":" &amp; B$1)</f>
        <v>ULD</v>
      </c>
      <c r="C1330" s="3">
        <v>34354093</v>
      </c>
      <c r="D1330" t="s">
        <v>818</v>
      </c>
      <c r="E1330" s="3" t="str">
        <f>RTD("ice.rtd",,$C1330 &amp; $D1330 &amp; ":" &amp; E$1)</f>
        <v>Q4 27</v>
      </c>
      <c r="F1330" s="3" t="str">
        <f>ICE[[#This Row],[Prod]]&amp;ICE[[#This Row],[Strip]]</f>
        <v>gobrxbblQ4 27</v>
      </c>
      <c r="G1330" s="18">
        <f>RTD("ice.rtd",,$C1330 &amp; $D1330 &amp; ":" &amp; G$1)</f>
        <v>47.37</v>
      </c>
      <c r="H1330" s="18">
        <f>RTD("ice.rtd",,$C1330 &amp; $D1330 &amp; ":" &amp; H$1)</f>
        <v>47.79</v>
      </c>
      <c r="I1330" s="18" t="str">
        <f>RTD("ice.rtd",,$C1330 &amp; $D1330 &amp; ":" &amp; I$1)</f>
        <v/>
      </c>
      <c r="J1330" s="14" t="str">
        <f>IFERROR(MOD(RTD("ice.rtd",,$C1330 &amp; $D1330 &amp; ":" &amp; J$1), 1), "")</f>
        <v/>
      </c>
      <c r="K1330" s="18" t="str">
        <f>RTD("ice.rtd",,$C1330 &amp; $D1330 &amp; ":" &amp; K$1)</f>
        <v/>
      </c>
      <c r="L1330" s="36" t="str">
        <f>RTD("ice.rtd",,$C1330 &amp; $D1330 &amp; ":" &amp; L$1)</f>
        <v/>
      </c>
      <c r="M1330" s="14" t="str">
        <f>IFERROR(MOD(TIMEVALUE(RTD("ice.rtd",,$C1330 &amp; $D1330 &amp; ":" &amp; M$1)), 1), "")</f>
        <v/>
      </c>
      <c r="N1330" s="36">
        <f>RTD("ice.rtd",,$C1330 &amp; $D1330 &amp; ":" &amp; N$1)</f>
        <v>0</v>
      </c>
      <c r="O1330" s="36">
        <f>RTD("ice.rtd",,$C1330 &amp; $D1330 &amp; ":" &amp; O$1)</f>
        <v>0</v>
      </c>
      <c r="P13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0" s="14" t="str">
        <f>IF(ICE[[#This Row],[LastType]] = "Scrn", ICE[[#This Row],[LstDate]], IF(ICE[[#This Row],[LastType]] = "Blk", ICE[[#This Row],[LstBlkTime]], ""))</f>
        <v/>
      </c>
      <c r="R1330" s="41" t="str">
        <f>IF(ICE[[#This Row],[LastType]] = "Scrn", ICE[[#This Row],[LstPrc]], IF(ICE[[#This Row],[LastType]] = "Blk", ICE[[#This Row],[LstBlkPrc]], ""))</f>
        <v/>
      </c>
      <c r="S1330" s="36">
        <f>ICE[[#This Row],[Vol]]+ICE[[#This Row],[BlkVol]]</f>
        <v>0</v>
      </c>
      <c r="T1330" s="36">
        <f>RTD("ice.rtd",,$C1330 &amp; $D1330 &amp; ":" &amp; T$1)</f>
        <v>0</v>
      </c>
      <c r="U1330" s="18">
        <f>RTD("ice.rtd",,$C1330 &amp; $D1330 &amp; ":" &amp; U$1)</f>
        <v>46.472999999999999</v>
      </c>
      <c r="V13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47.37 / 47.79 </v>
      </c>
      <c r="W1330" s="18" t="str">
        <f>IFERROR(IF(LEFT(ICE[[#This Row],[Tenor]], 1) = "B", RTD("esrtd",,$B1330 &amp; " " &amp; ICE[[#This Row],[Tenor]] &amp; "-IEU", W$1), RTD("esrtd",,$B1330 &amp; " " &amp; VLOOKUP(MONTH(ICE[[#This Row],[Strip]]), MthRef[], 2, 0) &amp; RIGHT(YEAR(ICE[[#This Row],[Strip]]), 2) &amp; "-IEU", W$1)), "")</f>
        <v/>
      </c>
      <c r="X1330" s="36"/>
    </row>
    <row r="1331" spans="1:24" x14ac:dyDescent="0.25">
      <c r="A1331" s="37" t="s">
        <v>838</v>
      </c>
      <c r="B1331" s="88" t="str">
        <f>RTD("ice.rtd",,$C1331 &amp; $D1331 &amp; ":" &amp; B$1)</f>
        <v>ULD</v>
      </c>
      <c r="C1331" s="3">
        <v>34354093</v>
      </c>
      <c r="D1331" t="s">
        <v>819</v>
      </c>
      <c r="E1331" s="3" t="str">
        <f>RTD("ice.rtd",,$C1331 &amp; $D1331 &amp; ":" &amp; E$1)</f>
        <v>Q1 28</v>
      </c>
      <c r="F1331" s="3" t="str">
        <f>ICE[[#This Row],[Prod]]&amp;ICE[[#This Row],[Strip]]</f>
        <v>gobrxbblQ1 28</v>
      </c>
      <c r="G1331" s="18">
        <f>RTD("ice.rtd",,$C1331 &amp; $D1331 &amp; ":" &amp; G$1)</f>
        <v>43.5</v>
      </c>
      <c r="H1331" s="18">
        <f>RTD("ice.rtd",,$C1331 &amp; $D1331 &amp; ":" &amp; H$1)</f>
        <v>44.1</v>
      </c>
      <c r="I1331" s="18" t="str">
        <f>RTD("ice.rtd",,$C1331 &amp; $D1331 &amp; ":" &amp; I$1)</f>
        <v/>
      </c>
      <c r="J1331" s="14" t="str">
        <f>IFERROR(MOD(RTD("ice.rtd",,$C1331 &amp; $D1331 &amp; ":" &amp; J$1), 1), "")</f>
        <v/>
      </c>
      <c r="K1331" s="18" t="str">
        <f>RTD("ice.rtd",,$C1331 &amp; $D1331 &amp; ":" &amp; K$1)</f>
        <v/>
      </c>
      <c r="L1331" s="36" t="str">
        <f>RTD("ice.rtd",,$C1331 &amp; $D1331 &amp; ":" &amp; L$1)</f>
        <v/>
      </c>
      <c r="M1331" s="14" t="str">
        <f>IFERROR(MOD(TIMEVALUE(RTD("ice.rtd",,$C1331 &amp; $D1331 &amp; ":" &amp; M$1)), 1), "")</f>
        <v/>
      </c>
      <c r="N1331" s="36">
        <f>RTD("ice.rtd",,$C1331 &amp; $D1331 &amp; ":" &amp; N$1)</f>
        <v>0</v>
      </c>
      <c r="O1331" s="36">
        <f>RTD("ice.rtd",,$C1331 &amp; $D1331 &amp; ":" &amp; O$1)</f>
        <v>0</v>
      </c>
      <c r="P13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1" s="14" t="str">
        <f>IF(ICE[[#This Row],[LastType]] = "Scrn", ICE[[#This Row],[LstDate]], IF(ICE[[#This Row],[LastType]] = "Blk", ICE[[#This Row],[LstBlkTime]], ""))</f>
        <v/>
      </c>
      <c r="R1331" s="41" t="str">
        <f>IF(ICE[[#This Row],[LastType]] = "Scrn", ICE[[#This Row],[LstPrc]], IF(ICE[[#This Row],[LastType]] = "Blk", ICE[[#This Row],[LstBlkPrc]], ""))</f>
        <v/>
      </c>
      <c r="S1331" s="36">
        <f>ICE[[#This Row],[Vol]]+ICE[[#This Row],[BlkVol]]</f>
        <v>0</v>
      </c>
      <c r="T1331" s="36">
        <f>RTD("ice.rtd",,$C1331 &amp; $D1331 &amp; ":" &amp; T$1)</f>
        <v>0</v>
      </c>
      <c r="U1331" s="18">
        <f>RTD("ice.rtd",,$C1331 &amp; $D1331 &amp; ":" &amp; U$1)</f>
        <v>42.853700000000003</v>
      </c>
      <c r="V13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43.50 / 44.10 </v>
      </c>
      <c r="W1331" s="18" t="str">
        <f>IFERROR(IF(LEFT(ICE[[#This Row],[Tenor]], 1) = "B", RTD("esrtd",,$B1331 &amp; " " &amp; ICE[[#This Row],[Tenor]] &amp; "-IEU", W$1), RTD("esrtd",,$B1331 &amp; " " &amp; VLOOKUP(MONTH(ICE[[#This Row],[Strip]]), MthRef[], 2, 0) &amp; RIGHT(YEAR(ICE[[#This Row],[Strip]]), 2) &amp; "-IEU", W$1)), "")</f>
        <v/>
      </c>
      <c r="X1331" s="36"/>
    </row>
    <row r="1332" spans="1:24" x14ac:dyDescent="0.25">
      <c r="A1332" s="37" t="s">
        <v>838</v>
      </c>
      <c r="B1332" s="88" t="str">
        <f>RTD("ice.rtd",,$C1332 &amp; $D1332 &amp; ":" &amp; B$1)</f>
        <v>ULD</v>
      </c>
      <c r="C1332" s="3">
        <v>34354093</v>
      </c>
      <c r="D1332" t="s">
        <v>229</v>
      </c>
      <c r="E1332" s="3" t="str">
        <f>RTD("ice.rtd",,$C1332 &amp; $D1332 &amp; ":" &amp; E$1)</f>
        <v>Q2 28</v>
      </c>
      <c r="F1332" s="3" t="str">
        <f>ICE[[#This Row],[Prod]]&amp;ICE[[#This Row],[Strip]]</f>
        <v>gobrxbblQ2 28</v>
      </c>
      <c r="G1332" s="18" t="str">
        <f>RTD("ice.rtd",,$C1332 &amp; $D1332 &amp; ":" &amp; G$1)</f>
        <v/>
      </c>
      <c r="H1332" s="18">
        <f>RTD("ice.rtd",,$C1332 &amp; $D1332 &amp; ":" &amp; H$1)</f>
        <v>43.85</v>
      </c>
      <c r="I1332" s="18" t="str">
        <f>RTD("ice.rtd",,$C1332 &amp; $D1332 &amp; ":" &amp; I$1)</f>
        <v/>
      </c>
      <c r="J1332" s="14" t="str">
        <f>IFERROR(MOD(RTD("ice.rtd",,$C1332 &amp; $D1332 &amp; ":" &amp; J$1), 1), "")</f>
        <v/>
      </c>
      <c r="K1332" s="18" t="str">
        <f>RTD("ice.rtd",,$C1332 &amp; $D1332 &amp; ":" &amp; K$1)</f>
        <v/>
      </c>
      <c r="L1332" s="36" t="str">
        <f>RTD("ice.rtd",,$C1332 &amp; $D1332 &amp; ":" &amp; L$1)</f>
        <v/>
      </c>
      <c r="M1332" s="14" t="str">
        <f>IFERROR(MOD(TIMEVALUE(RTD("ice.rtd",,$C1332 &amp; $D1332 &amp; ":" &amp; M$1)), 1), "")</f>
        <v/>
      </c>
      <c r="N1332" s="36">
        <f>RTD("ice.rtd",,$C1332 &amp; $D1332 &amp; ":" &amp; N$1)</f>
        <v>0</v>
      </c>
      <c r="O1332" s="36">
        <f>RTD("ice.rtd",,$C1332 &amp; $D1332 &amp; ":" &amp; O$1)</f>
        <v>0</v>
      </c>
      <c r="P13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2" s="14" t="str">
        <f>IF(ICE[[#This Row],[LastType]] = "Scrn", ICE[[#This Row],[LstDate]], IF(ICE[[#This Row],[LastType]] = "Blk", ICE[[#This Row],[LstBlkTime]], ""))</f>
        <v/>
      </c>
      <c r="R1332" s="41" t="str">
        <f>IF(ICE[[#This Row],[LastType]] = "Scrn", ICE[[#This Row],[LstPrc]], IF(ICE[[#This Row],[LastType]] = "Blk", ICE[[#This Row],[LstBlkPrc]], ""))</f>
        <v/>
      </c>
      <c r="S1332" s="36">
        <f>ICE[[#This Row],[Vol]]+ICE[[#This Row],[BlkVol]]</f>
        <v>0</v>
      </c>
      <c r="T1332" s="36">
        <f>RTD("ice.rtd",,$C1332 &amp; $D1332 &amp; ":" &amp; T$1)</f>
        <v>0</v>
      </c>
      <c r="U1332" s="18">
        <f>RTD("ice.rtd",,$C1332 &amp; $D1332 &amp; ":" &amp; U$1)</f>
        <v>39.625300000000003</v>
      </c>
      <c r="V13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43.85 </v>
      </c>
      <c r="W1332" s="18" t="str">
        <f>IFERROR(IF(LEFT(ICE[[#This Row],[Tenor]], 1) = "B", RTD("esrtd",,$B1332 &amp; " " &amp; ICE[[#This Row],[Tenor]] &amp; "-IEU", W$1), RTD("esrtd",,$B1332 &amp; " " &amp; VLOOKUP(MONTH(ICE[[#This Row],[Strip]]), MthRef[], 2, 0) &amp; RIGHT(YEAR(ICE[[#This Row],[Strip]]), 2) &amp; "-IEU", W$1)), "")</f>
        <v/>
      </c>
      <c r="X1332" s="36"/>
    </row>
    <row r="1333" spans="1:24" x14ac:dyDescent="0.25">
      <c r="A1333" s="37" t="s">
        <v>838</v>
      </c>
      <c r="B1333" s="88" t="str">
        <f>RTD("ice.rtd",,$C1333 &amp; $D1333 &amp; ":" &amp; B$1)</f>
        <v>ULD</v>
      </c>
      <c r="C1333" s="3">
        <v>34354093</v>
      </c>
      <c r="D1333" t="s">
        <v>820</v>
      </c>
      <c r="E1333" s="3" t="str">
        <f>RTD("ice.rtd",,$C1333 &amp; $D1333 &amp; ":" &amp; E$1)</f>
        <v>Q3 28</v>
      </c>
      <c r="F1333" s="3" t="str">
        <f>ICE[[#This Row],[Prod]]&amp;ICE[[#This Row],[Strip]]</f>
        <v>gobrxbblQ3 28</v>
      </c>
      <c r="G1333" s="18" t="str">
        <f>RTD("ice.rtd",,$C1333 &amp; $D1333 &amp; ":" &amp; G$1)</f>
        <v/>
      </c>
      <c r="H1333" s="18" t="str">
        <f>RTD("ice.rtd",,$C1333 &amp; $D1333 &amp; ":" &amp; H$1)</f>
        <v/>
      </c>
      <c r="I1333" s="18" t="str">
        <f>RTD("ice.rtd",,$C1333 &amp; $D1333 &amp; ":" &amp; I$1)</f>
        <v/>
      </c>
      <c r="J1333" s="14" t="str">
        <f>IFERROR(MOD(RTD("ice.rtd",,$C1333 &amp; $D1333 &amp; ":" &amp; J$1), 1), "")</f>
        <v/>
      </c>
      <c r="K1333" s="18" t="str">
        <f>RTD("ice.rtd",,$C1333 &amp; $D1333 &amp; ":" &amp; K$1)</f>
        <v/>
      </c>
      <c r="L1333" s="36" t="str">
        <f>RTD("ice.rtd",,$C1333 &amp; $D1333 &amp; ":" &amp; L$1)</f>
        <v/>
      </c>
      <c r="M1333" s="14" t="str">
        <f>IFERROR(MOD(TIMEVALUE(RTD("ice.rtd",,$C1333 &amp; $D1333 &amp; ":" &amp; M$1)), 1), "")</f>
        <v/>
      </c>
      <c r="N1333" s="36">
        <f>RTD("ice.rtd",,$C1333 &amp; $D1333 &amp; ":" &amp; N$1)</f>
        <v>0</v>
      </c>
      <c r="O1333" s="36">
        <f>RTD("ice.rtd",,$C1333 &amp; $D1333 &amp; ":" &amp; O$1)</f>
        <v>0</v>
      </c>
      <c r="P13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3" s="14" t="str">
        <f>IF(ICE[[#This Row],[LastType]] = "Scrn", ICE[[#This Row],[LstDate]], IF(ICE[[#This Row],[LastType]] = "Blk", ICE[[#This Row],[LstBlkTime]], ""))</f>
        <v/>
      </c>
      <c r="R1333" s="41" t="str">
        <f>IF(ICE[[#This Row],[LastType]] = "Scrn", ICE[[#This Row],[LstPrc]], IF(ICE[[#This Row],[LastType]] = "Blk", ICE[[#This Row],[LstBlkPrc]], ""))</f>
        <v/>
      </c>
      <c r="S1333" s="36">
        <f>ICE[[#This Row],[Vol]]+ICE[[#This Row],[BlkVol]]</f>
        <v>0</v>
      </c>
      <c r="T1333" s="36">
        <f>RTD("ice.rtd",,$C1333 &amp; $D1333 &amp; ":" &amp; T$1)</f>
        <v>0</v>
      </c>
      <c r="U1333" s="18">
        <f>RTD("ice.rtd",,$C1333 &amp; $D1333 &amp; ":" &amp; U$1)</f>
        <v>37.653200000000005</v>
      </c>
      <c r="V13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33" s="18" t="str">
        <f>IFERROR(IF(LEFT(ICE[[#This Row],[Tenor]], 1) = "B", RTD("esrtd",,$B1333 &amp; " " &amp; ICE[[#This Row],[Tenor]] &amp; "-IEU", W$1), RTD("esrtd",,$B1333 &amp; " " &amp; VLOOKUP(MONTH(ICE[[#This Row],[Strip]]), MthRef[], 2, 0) &amp; RIGHT(YEAR(ICE[[#This Row],[Strip]]), 2) &amp; "-IEU", W$1)), "")</f>
        <v/>
      </c>
      <c r="X1333" s="36"/>
    </row>
    <row r="1334" spans="1:24" x14ac:dyDescent="0.25">
      <c r="A1334" s="37" t="s">
        <v>838</v>
      </c>
      <c r="B1334" s="88" t="str">
        <f>RTD("ice.rtd",,$C1334 &amp; $D1334 &amp; ":" &amp; B$1)</f>
        <v>ULD</v>
      </c>
      <c r="C1334" s="3">
        <v>34354093</v>
      </c>
      <c r="D1334" t="s">
        <v>821</v>
      </c>
      <c r="E1334" s="3" t="str">
        <f>RTD("ice.rtd",,$C1334 &amp; $D1334 &amp; ":" &amp; E$1)</f>
        <v>Q4 28</v>
      </c>
      <c r="F1334" s="3" t="str">
        <f>ICE[[#This Row],[Prod]]&amp;ICE[[#This Row],[Strip]]</f>
        <v>gobrxbblQ4 28</v>
      </c>
      <c r="G1334" s="18" t="str">
        <f>RTD("ice.rtd",,$C1334 &amp; $D1334 &amp; ":" &amp; G$1)</f>
        <v/>
      </c>
      <c r="H1334" s="18" t="str">
        <f>RTD("ice.rtd",,$C1334 &amp; $D1334 &amp; ":" &amp; H$1)</f>
        <v/>
      </c>
      <c r="I1334" s="18" t="str">
        <f>RTD("ice.rtd",,$C1334 &amp; $D1334 &amp; ":" &amp; I$1)</f>
        <v/>
      </c>
      <c r="J1334" s="14" t="str">
        <f>IFERROR(MOD(RTD("ice.rtd",,$C1334 &amp; $D1334 &amp; ":" &amp; J$1), 1), "")</f>
        <v/>
      </c>
      <c r="K1334" s="18" t="str">
        <f>RTD("ice.rtd",,$C1334 &amp; $D1334 &amp; ":" &amp; K$1)</f>
        <v/>
      </c>
      <c r="L1334" s="36" t="str">
        <f>RTD("ice.rtd",,$C1334 &amp; $D1334 &amp; ":" &amp; L$1)</f>
        <v/>
      </c>
      <c r="M1334" s="14" t="str">
        <f>IFERROR(MOD(TIMEVALUE(RTD("ice.rtd",,$C1334 &amp; $D1334 &amp; ":" &amp; M$1)), 1), "")</f>
        <v/>
      </c>
      <c r="N1334" s="36">
        <f>RTD("ice.rtd",,$C1334 &amp; $D1334 &amp; ":" &amp; N$1)</f>
        <v>0</v>
      </c>
      <c r="O1334" s="36">
        <f>RTD("ice.rtd",,$C1334 &amp; $D1334 &amp; ":" &amp; O$1)</f>
        <v>0</v>
      </c>
      <c r="P13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4" s="14" t="str">
        <f>IF(ICE[[#This Row],[LastType]] = "Scrn", ICE[[#This Row],[LstDate]], IF(ICE[[#This Row],[LastType]] = "Blk", ICE[[#This Row],[LstBlkTime]], ""))</f>
        <v/>
      </c>
      <c r="R1334" s="41" t="str">
        <f>IF(ICE[[#This Row],[LastType]] = "Scrn", ICE[[#This Row],[LstPrc]], IF(ICE[[#This Row],[LastType]] = "Blk", ICE[[#This Row],[LstBlkPrc]], ""))</f>
        <v/>
      </c>
      <c r="S1334" s="36">
        <f>ICE[[#This Row],[Vol]]+ICE[[#This Row],[BlkVol]]</f>
        <v>0</v>
      </c>
      <c r="T1334" s="36">
        <f>RTD("ice.rtd",,$C1334 &amp; $D1334 &amp; ":" &amp; T$1)</f>
        <v>0</v>
      </c>
      <c r="U1334" s="18">
        <f>RTD("ice.rtd",,$C1334 &amp; $D1334 &amp; ":" &amp; U$1)</f>
        <v>36.067900000000002</v>
      </c>
      <c r="V13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34" s="18" t="str">
        <f>IFERROR(IF(LEFT(ICE[[#This Row],[Tenor]], 1) = "B", RTD("esrtd",,$B1334 &amp; " " &amp; ICE[[#This Row],[Tenor]] &amp; "-IEU", W$1), RTD("esrtd",,$B1334 &amp; " " &amp; VLOOKUP(MONTH(ICE[[#This Row],[Strip]]), MthRef[], 2, 0) &amp; RIGHT(YEAR(ICE[[#This Row],[Strip]]), 2) &amp; "-IEU", W$1)), "")</f>
        <v/>
      </c>
      <c r="X1334" s="36"/>
    </row>
    <row r="1335" spans="1:24" x14ac:dyDescent="0.25">
      <c r="A1335" s="37" t="s">
        <v>838</v>
      </c>
      <c r="B1335" s="88" t="str">
        <f>RTD("ice.rtd",,$C1335 &amp; $D1335 &amp; ":" &amp; B$1)</f>
        <v>ULD</v>
      </c>
      <c r="C1335" s="3">
        <v>34354093</v>
      </c>
      <c r="D1335" t="s">
        <v>822</v>
      </c>
      <c r="E1335" s="3" t="str">
        <f>RTD("ice.rtd",,$C1335 &amp; $D1335 &amp; ":" &amp; E$1)</f>
        <v>Cal 27</v>
      </c>
      <c r="F1335" s="3" t="str">
        <f>ICE[[#This Row],[Prod]]&amp;ICE[[#This Row],[Strip]]</f>
        <v>gobrxbblCal 27</v>
      </c>
      <c r="G1335" s="18">
        <f>RTD("ice.rtd",,$C1335 &amp; $D1335 &amp; ":" &amp; G$1)</f>
        <v>55.51</v>
      </c>
      <c r="H1335" s="18">
        <f>RTD("ice.rtd",,$C1335 &amp; $D1335 &amp; ":" &amp; H$1)</f>
        <v>55.82</v>
      </c>
      <c r="I1335" s="18">
        <f>RTD("ice.rtd",,$C1335 &amp; $D1335 &amp; ":" &amp; I$1)</f>
        <v>55.55</v>
      </c>
      <c r="J1335" s="14">
        <f>IFERROR(MOD(RTD("ice.rtd",,$C1335 &amp; $D1335 &amp; ":" &amp; J$1), 1), "")</f>
        <v>0.41994065972539829</v>
      </c>
      <c r="K1335" s="18">
        <f>RTD("ice.rtd",,$C1335 &amp; $D1335 &amp; ":" &amp; K$1)</f>
        <v>55.4</v>
      </c>
      <c r="L1335" s="36">
        <f>RTD("ice.rtd",,$C1335 &amp; $D1335 &amp; ":" &amp; L$1)</f>
        <v>5</v>
      </c>
      <c r="M1335" s="14">
        <f>IFERROR(MOD(TIMEVALUE(RTD("ice.rtd",,$C1335 &amp; $D1335 &amp; ":" &amp; M$1)), 1), "")</f>
        <v>0.42940972222222223</v>
      </c>
      <c r="N1335" s="36">
        <f>RTD("ice.rtd",,$C1335 &amp; $D1335 &amp; ":" &amp; N$1)</f>
        <v>12</v>
      </c>
      <c r="O1335" s="36">
        <f>RTD("ice.rtd",,$C1335 &amp; $D1335 &amp; ":" &amp; O$1)</f>
        <v>6</v>
      </c>
      <c r="P13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335" s="14">
        <f>IF(ICE[[#This Row],[LastType]] = "Scrn", ICE[[#This Row],[LstDate]], IF(ICE[[#This Row],[LastType]] = "Blk", ICE[[#This Row],[LstBlkTime]], ""))</f>
        <v>0.42940972222222223</v>
      </c>
      <c r="R1335" s="41">
        <f>IF(ICE[[#This Row],[LastType]] = "Scrn", ICE[[#This Row],[LstPrc]], IF(ICE[[#This Row],[LastType]] = "Blk", ICE[[#This Row],[LstBlkPrc]], ""))</f>
        <v>55.4</v>
      </c>
      <c r="S1335" s="36">
        <f>ICE[[#This Row],[Vol]]+ICE[[#This Row],[BlkVol]]</f>
        <v>18</v>
      </c>
      <c r="T1335" s="36">
        <f>RTD("ice.rtd",,$C1335 &amp; $D1335 &amp; ":" &amp; T$1)</f>
        <v>0</v>
      </c>
      <c r="U1335" s="18">
        <f>RTD("ice.rtd",,$C1335 &amp; $D1335 &amp; ":" &amp; U$1)</f>
        <v>54.508800000000001</v>
      </c>
      <c r="V13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55.51 / 55.82 {55.40} |18x</v>
      </c>
      <c r="W1335" s="18" t="str">
        <f>IFERROR(IF(LEFT(ICE[[#This Row],[Tenor]], 1) = "B", RTD("esrtd",,$B1335 &amp; " " &amp; ICE[[#This Row],[Tenor]] &amp; "-IEU", W$1), RTD("esrtd",,$B1335 &amp; " " &amp; VLOOKUP(MONTH(ICE[[#This Row],[Strip]]), MthRef[], 2, 0) &amp; RIGHT(YEAR(ICE[[#This Row],[Strip]]), 2) &amp; "-IEU", W$1)), "")</f>
        <v/>
      </c>
      <c r="X1335" s="36"/>
    </row>
    <row r="1336" spans="1:24" x14ac:dyDescent="0.25">
      <c r="A1336" s="37" t="s">
        <v>838</v>
      </c>
      <c r="B1336" s="88" t="str">
        <f>RTD("ice.rtd",,$C1336 &amp; $D1336 &amp; ":" &amp; B$1)</f>
        <v>ULD</v>
      </c>
      <c r="C1336" s="3">
        <v>34354093</v>
      </c>
      <c r="D1336" t="s">
        <v>823</v>
      </c>
      <c r="E1336" s="3" t="str">
        <f>RTD("ice.rtd",,$C1336 &amp; $D1336 &amp; ":" &amp; E$1)</f>
        <v>Cal 28</v>
      </c>
      <c r="F1336" s="3" t="str">
        <f>ICE[[#This Row],[Prod]]&amp;ICE[[#This Row],[Strip]]</f>
        <v>gobrxbblCal 28</v>
      </c>
      <c r="G1336" s="18">
        <f>RTD("ice.rtd",,$C1336 &amp; $D1336 &amp; ":" &amp; G$1)</f>
        <v>15.92</v>
      </c>
      <c r="H1336" s="18">
        <f>RTD("ice.rtd",,$C1336 &amp; $D1336 &amp; ":" &amp; H$1)</f>
        <v>39.869999999999997</v>
      </c>
      <c r="I1336" s="18">
        <f>RTD("ice.rtd",,$C1336 &amp; $D1336 &amp; ":" &amp; I$1)</f>
        <v>39.68</v>
      </c>
      <c r="J1336" s="14">
        <f>IFERROR(MOD(RTD("ice.rtd",,$C1336 &amp; $D1336 &amp; ":" &amp; J$1), 1), "")</f>
        <v>0.39546200231416151</v>
      </c>
      <c r="K1336" s="18">
        <f>RTD("ice.rtd",,$C1336 &amp; $D1336 &amp; ":" &amp; K$1)</f>
        <v>39.5</v>
      </c>
      <c r="L1336" s="36">
        <f>RTD("ice.rtd",,$C1336 &amp; $D1336 &amp; ":" &amp; L$1)</f>
        <v>1</v>
      </c>
      <c r="M1336" s="14">
        <f>IFERROR(MOD(TIMEVALUE(RTD("ice.rtd",,$C1336 &amp; $D1336 &amp; ":" &amp; M$1)), 1), "")</f>
        <v>0.4220949074074074</v>
      </c>
      <c r="N1336" s="36">
        <f>RTD("ice.rtd",,$C1336 &amp; $D1336 &amp; ":" &amp; N$1)</f>
        <v>2</v>
      </c>
      <c r="O1336" s="36">
        <f>RTD("ice.rtd",,$C1336 &amp; $D1336 &amp; ":" &amp; O$1)</f>
        <v>25</v>
      </c>
      <c r="P13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336" s="14">
        <f>IF(ICE[[#This Row],[LastType]] = "Scrn", ICE[[#This Row],[LstDate]], IF(ICE[[#This Row],[LastType]] = "Blk", ICE[[#This Row],[LstBlkTime]], ""))</f>
        <v>0.4220949074074074</v>
      </c>
      <c r="R1336" s="41">
        <f>IF(ICE[[#This Row],[LastType]] = "Scrn", ICE[[#This Row],[LstPrc]], IF(ICE[[#This Row],[LastType]] = "Blk", ICE[[#This Row],[LstBlkPrc]], ""))</f>
        <v>39.5</v>
      </c>
      <c r="S1336" s="36">
        <f>ICE[[#This Row],[Vol]]+ICE[[#This Row],[BlkVol]]</f>
        <v>27</v>
      </c>
      <c r="T1336" s="36">
        <f>RTD("ice.rtd",,$C1336 &amp; $D1336 &amp; ":" &amp; T$1)</f>
        <v>0</v>
      </c>
      <c r="U1336" s="18">
        <f>RTD("ice.rtd",,$C1336 &amp; $D1336 &amp; ":" &amp; U$1)</f>
        <v>39.0501</v>
      </c>
      <c r="V13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15.92 / 39.87 {39.50} |27x</v>
      </c>
      <c r="W1336" s="18" t="str">
        <f>IFERROR(IF(LEFT(ICE[[#This Row],[Tenor]], 1) = "B", RTD("esrtd",,$B1336 &amp; " " &amp; ICE[[#This Row],[Tenor]] &amp; "-IEU", W$1), RTD("esrtd",,$B1336 &amp; " " &amp; VLOOKUP(MONTH(ICE[[#This Row],[Strip]]), MthRef[], 2, 0) &amp; RIGHT(YEAR(ICE[[#This Row],[Strip]]), 2) &amp; "-IEU", W$1)), "")</f>
        <v/>
      </c>
      <c r="X1336" s="36"/>
    </row>
    <row r="1337" spans="1:24" x14ac:dyDescent="0.25">
      <c r="A1337" s="37" t="s">
        <v>838</v>
      </c>
      <c r="B1337" s="88" t="str">
        <f>RTD("ice.rtd",,$C1337 &amp; $D1337 &amp; ":" &amp; B$1)</f>
        <v>ULD</v>
      </c>
      <c r="C1337" s="3">
        <v>34354093</v>
      </c>
      <c r="D1337" t="s">
        <v>824</v>
      </c>
      <c r="E1337" s="3" t="str">
        <f>RTD("ice.rtd",,$C1337 &amp; $D1337 &amp; ":" &amp; E$1)</f>
        <v>Cal 29</v>
      </c>
      <c r="F1337" s="3" t="str">
        <f>ICE[[#This Row],[Prod]]&amp;ICE[[#This Row],[Strip]]</f>
        <v>gobrxbblCal 29</v>
      </c>
      <c r="G1337" s="18" t="str">
        <f>RTD("ice.rtd",,$C1337 &amp; $D1337 &amp; ":" &amp; G$1)</f>
        <v/>
      </c>
      <c r="H1337" s="18" t="str">
        <f>RTD("ice.rtd",,$C1337 &amp; $D1337 &amp; ":" &amp; H$1)</f>
        <v/>
      </c>
      <c r="I1337" s="18" t="str">
        <f>RTD("ice.rtd",,$C1337 &amp; $D1337 &amp; ":" &amp; I$1)</f>
        <v/>
      </c>
      <c r="J1337" s="14" t="str">
        <f>IFERROR(MOD(RTD("ice.rtd",,$C1337 &amp; $D1337 &amp; ":" &amp; J$1), 1), "")</f>
        <v/>
      </c>
      <c r="K1337" s="18" t="str">
        <f>RTD("ice.rtd",,$C1337 &amp; $D1337 &amp; ":" &amp; K$1)</f>
        <v/>
      </c>
      <c r="L1337" s="36" t="str">
        <f>RTD("ice.rtd",,$C1337 &amp; $D1337 &amp; ":" &amp; L$1)</f>
        <v/>
      </c>
      <c r="M1337" s="14" t="str">
        <f>IFERROR(MOD(TIMEVALUE(RTD("ice.rtd",,$C1337 &amp; $D1337 &amp; ":" &amp; M$1)), 1), "")</f>
        <v/>
      </c>
      <c r="N1337" s="36">
        <f>RTD("ice.rtd",,$C1337 &amp; $D1337 &amp; ":" &amp; N$1)</f>
        <v>0</v>
      </c>
      <c r="O1337" s="36">
        <f>RTD("ice.rtd",,$C1337 &amp; $D1337 &amp; ":" &amp; O$1)</f>
        <v>0</v>
      </c>
      <c r="P13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7" s="14" t="str">
        <f>IF(ICE[[#This Row],[LastType]] = "Scrn", ICE[[#This Row],[LstDate]], IF(ICE[[#This Row],[LastType]] = "Blk", ICE[[#This Row],[LstBlkTime]], ""))</f>
        <v/>
      </c>
      <c r="R1337" s="41" t="str">
        <f>IF(ICE[[#This Row],[LastType]] = "Scrn", ICE[[#This Row],[LstPrc]], IF(ICE[[#This Row],[LastType]] = "Blk", ICE[[#This Row],[LstBlkPrc]], ""))</f>
        <v/>
      </c>
      <c r="S1337" s="36">
        <f>ICE[[#This Row],[Vol]]+ICE[[#This Row],[BlkVol]]</f>
        <v>0</v>
      </c>
      <c r="T1337" s="36">
        <f>RTD("ice.rtd",,$C1337 &amp; $D1337 &amp; ":" &amp; T$1)</f>
        <v>0</v>
      </c>
      <c r="U1337" s="18">
        <f>RTD("ice.rtd",,$C1337 &amp; $D1337 &amp; ":" &amp; U$1)</f>
        <v>33.639900000000004</v>
      </c>
      <c r="V13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37" s="18" t="str">
        <f>IFERROR(IF(LEFT(ICE[[#This Row],[Tenor]], 1) = "B", RTD("esrtd",,$B1337 &amp; " " &amp; ICE[[#This Row],[Tenor]] &amp; "-IEU", W$1), RTD("esrtd",,$B1337 &amp; " " &amp; VLOOKUP(MONTH(ICE[[#This Row],[Strip]]), MthRef[], 2, 0) &amp; RIGHT(YEAR(ICE[[#This Row],[Strip]]), 2) &amp; "-IEU", W$1)), "")</f>
        <v/>
      </c>
      <c r="X1337" s="36"/>
    </row>
    <row r="1338" spans="1:24" x14ac:dyDescent="0.25">
      <c r="A1338" s="71" t="s">
        <v>839</v>
      </c>
      <c r="B1338" s="71" t="str">
        <f>RTD("ice.rtd",,$C1338 &amp; $D1338 &amp; ":" &amp; B$1)</f>
        <v>Invalid Market: CALCB0</v>
      </c>
      <c r="C1338" s="72" t="s">
        <v>827</v>
      </c>
      <c r="D1338" s="73" t="s">
        <v>792</v>
      </c>
      <c r="E1338" s="72" t="str">
        <f t="shared" ref="E1338:E1375" si="99">E1300</f>
        <v>Bal Month</v>
      </c>
      <c r="F1338" s="72" t="str">
        <f>ICE[[#This Row],[Prod]]&amp;ICE[[#This Row],[Strip]]</f>
        <v>gobrxBal Month</v>
      </c>
      <c r="G1338" s="75" t="str">
        <f>RTD("ice.rtd",,$C1338 &amp; $D1338 &amp; ":" &amp; G$1)</f>
        <v>Invalid Market: CALCB0</v>
      </c>
      <c r="H1338" s="75" t="str">
        <f>IF(ISNUMBER(H1262), IF(ISNUMBER(H1300), MAX(H1262, H1300), H1262), IF(ISNUMBER(H1300), H1300, ""))</f>
        <v/>
      </c>
      <c r="I1338" s="75" t="str">
        <f>RTD("ice.rtd",,$C1338 &amp; $D1338 &amp; ":" &amp; I$1)</f>
        <v>Invalid Market: CALCB0</v>
      </c>
      <c r="J1338" s="76" t="str">
        <f>IFERROR(MOD(RTD("ice.rtd",,$C1338 &amp; $D1338 &amp; ":" &amp; J$1), 1), "")</f>
        <v/>
      </c>
      <c r="K1338" s="75" t="str">
        <f>RTD("ice.rtd",,$C1338 &amp; $D1338 &amp; ":" &amp; K$1)</f>
        <v>Invalid Market: CALCB0</v>
      </c>
      <c r="L1338" s="74" t="str">
        <f>RTD("ice.rtd",,$C1338 &amp; $D1338 &amp; ":" &amp; L$1)</f>
        <v>Invalid Market: CALCB0</v>
      </c>
      <c r="M1338" s="76" t="str">
        <f>IFERROR(MOD(TIMEVALUE(RTD("ice.rtd",,$C1338 &amp; $D1338 &amp; ":" &amp; M$1)), 1), "")</f>
        <v/>
      </c>
      <c r="N1338" s="74" t="str">
        <f>RTD("ice.rtd",,$C1338 &amp; $D1338 &amp; ":" &amp; N$1)</f>
        <v>Invalid Market: CALCB0</v>
      </c>
      <c r="O1338" s="74" t="str">
        <f>RTD("ice.rtd",,$C1338 &amp; $D1338 &amp; ":" &amp; O$1)</f>
        <v>Invalid Market: CALCB0</v>
      </c>
      <c r="P1338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8" s="76" t="str">
        <f>IF(ICE[[#This Row],[LastType]] = "Scrn", ICE[[#This Row],[LstDate]], IF(ICE[[#This Row],[LastType]] = "Blk", ICE[[#This Row],[LstBlkTime]], ""))</f>
        <v/>
      </c>
      <c r="R1338" s="82">
        <f>IF(ISNUMBER(R1262), IF(ISNUMBER(R1300), IF(Q1262&gt;Q1300, R1262, R1300), R1262), IF(ISNUMBER(R1300), R1300, ""))</f>
        <v>88.75</v>
      </c>
      <c r="S1338" s="74">
        <f>S1262*7.45 + S1300</f>
        <v>306</v>
      </c>
      <c r="T1338" s="74">
        <f>T1262*7.45 + T1300</f>
        <v>0</v>
      </c>
      <c r="U1338" s="75">
        <f>U1300</f>
        <v>89.2423</v>
      </c>
      <c r="V13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{88.75} |306x</v>
      </c>
      <c r="W1338" s="18" t="str">
        <f>IFERROR(IF(LEFT(ICE[[#This Row],[Tenor]], 1) = "B", RTD("esrtd",,$B1338 &amp; " " &amp; ICE[[#This Row],[Tenor]] &amp; "-IEU", W$1), RTD("esrtd",,$B1338 &amp; " " &amp; VLOOKUP(MONTH(ICE[[#This Row],[Strip]]), MthRef[], 2, 0) &amp; RIGHT(YEAR(ICE[[#This Row],[Strip]]), 2) &amp; "-IEU", W$1)), "")</f>
        <v/>
      </c>
      <c r="X1338" s="36"/>
    </row>
    <row r="1339" spans="1:24" x14ac:dyDescent="0.25">
      <c r="A1339" s="71" t="s">
        <v>839</v>
      </c>
      <c r="B1339" s="71" t="str">
        <f>RTD("ice.rtd",,$C1339 &amp; $D1339 &amp; ":" &amp; B$1)</f>
        <v>Invalid Market: CALCM0</v>
      </c>
      <c r="C1339" s="72" t="s">
        <v>827</v>
      </c>
      <c r="D1339" s="73" t="s">
        <v>793</v>
      </c>
      <c r="E1339" s="72" t="str">
        <f t="shared" si="99"/>
        <v>Sep26</v>
      </c>
      <c r="F1339" s="72" t="str">
        <f>ICE[[#This Row],[Prod]]&amp;ICE[[#This Row],[Strip]]</f>
        <v>gobrxSep26</v>
      </c>
      <c r="G1339" s="75" t="str">
        <f>RTD("ice.rtd",,$C1339 &amp; $D1339 &amp; ":" &amp; G$1)</f>
        <v>Invalid Market: CALCM0</v>
      </c>
      <c r="H1339" s="75" t="str">
        <f t="shared" ref="H1339:H1375" si="100">IF(ISNUMBER(H1263), IF(ISNUMBER(H1301), MAX(H1263, H1301), H1263), IF(ISNUMBER(H1301), H1301, ""))</f>
        <v/>
      </c>
      <c r="I1339" s="75" t="str">
        <f>RTD("ice.rtd",,$C1339 &amp; $D1339 &amp; ":" &amp; I$1)</f>
        <v>Invalid Market: CALCM0</v>
      </c>
      <c r="J1339" s="76" t="str">
        <f>IFERROR(MOD(RTD("ice.rtd",,$C1339 &amp; $D1339 &amp; ":" &amp; J$1), 1), "")</f>
        <v/>
      </c>
      <c r="K1339" s="75" t="str">
        <f>RTD("ice.rtd",,$C1339 &amp; $D1339 &amp; ":" &amp; K$1)</f>
        <v>Invalid Market: CALCM0</v>
      </c>
      <c r="L1339" s="74" t="str">
        <f>RTD("ice.rtd",,$C1339 &amp; $D1339 &amp; ":" &amp; L$1)</f>
        <v>Invalid Market: CALCM0</v>
      </c>
      <c r="M1339" s="76" t="str">
        <f>IFERROR(MOD(TIMEVALUE(RTD("ice.rtd",,$C1339 &amp; $D1339 &amp; ":" &amp; M$1)), 1), "")</f>
        <v/>
      </c>
      <c r="N1339" s="74" t="str">
        <f>RTD("ice.rtd",,$C1339 &amp; $D1339 &amp; ":" &amp; N$1)</f>
        <v>Invalid Market: CALCM0</v>
      </c>
      <c r="O1339" s="74" t="str">
        <f>RTD("ice.rtd",,$C1339 &amp; $D1339 &amp; ":" &amp; O$1)</f>
        <v>Invalid Market: CALCM0</v>
      </c>
      <c r="P1339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39" s="76" t="str">
        <f>IF(ICE[[#This Row],[LastType]] = "Scrn", ICE[[#This Row],[LstDate]], IF(ICE[[#This Row],[LastType]] = "Blk", ICE[[#This Row],[LstBlkTime]], ""))</f>
        <v/>
      </c>
      <c r="R1339" s="82" t="str">
        <f t="shared" ref="R1339:R1375" si="101">IF(ISNUMBER(R1263), IF(ISNUMBER(R1301), IF(Q1263&gt;Q1301, R1263, R1301), R1263), IF(ISNUMBER(R1301), R1301, ""))</f>
        <v/>
      </c>
      <c r="S1339" s="74">
        <f t="shared" ref="S1339:T1375" si="102">S1263*7.45 + S1301</f>
        <v>0</v>
      </c>
      <c r="T1339" s="74">
        <f t="shared" si="102"/>
        <v>48183.85</v>
      </c>
      <c r="U1339" s="75">
        <f t="shared" ref="U1339:U1375" si="103">U1301</f>
        <v>89.2423</v>
      </c>
      <c r="V13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39" s="18" t="str">
        <f>IFERROR(IF(LEFT(ICE[[#This Row],[Tenor]], 1) = "B", RTD("esrtd",,$B1339 &amp; " " &amp; ICE[[#This Row],[Tenor]] &amp; "-IEU", W$1), RTD("esrtd",,$B1339 &amp; " " &amp; VLOOKUP(MONTH(ICE[[#This Row],[Strip]]), MthRef[], 2, 0) &amp; RIGHT(YEAR(ICE[[#This Row],[Strip]]), 2) &amp; "-IEU", W$1)), "")</f>
        <v/>
      </c>
      <c r="X1339" s="36"/>
    </row>
    <row r="1340" spans="1:24" x14ac:dyDescent="0.25">
      <c r="A1340" s="71" t="s">
        <v>839</v>
      </c>
      <c r="B1340" s="71" t="str">
        <f>RTD("ice.rtd",,$C1340 &amp; $D1340 &amp; ":" &amp; B$1)</f>
        <v>Invalid Market: CALCM1</v>
      </c>
      <c r="C1340" s="72" t="s">
        <v>827</v>
      </c>
      <c r="D1340" s="73" t="s">
        <v>324</v>
      </c>
      <c r="E1340" s="72" t="str">
        <f t="shared" si="99"/>
        <v>Oct26</v>
      </c>
      <c r="F1340" s="72" t="str">
        <f>ICE[[#This Row],[Prod]]&amp;ICE[[#This Row],[Strip]]</f>
        <v>gobrxOct26</v>
      </c>
      <c r="G1340" s="75" t="str">
        <f>RTD("ice.rtd",,$C1340 &amp; $D1340 &amp; ":" &amp; G$1)</f>
        <v>Invalid Market: CALCM1</v>
      </c>
      <c r="H1340" s="75">
        <f t="shared" si="100"/>
        <v>83.19</v>
      </c>
      <c r="I1340" s="75" t="str">
        <f>RTD("ice.rtd",,$C1340 &amp; $D1340 &amp; ":" &amp; I$1)</f>
        <v>Invalid Market: CALCM1</v>
      </c>
      <c r="J1340" s="76" t="str">
        <f>IFERROR(MOD(RTD("ice.rtd",,$C1340 &amp; $D1340 &amp; ":" &amp; J$1), 1), "")</f>
        <v/>
      </c>
      <c r="K1340" s="75" t="str">
        <f>RTD("ice.rtd",,$C1340 &amp; $D1340 &amp; ":" &amp; K$1)</f>
        <v>Invalid Market: CALCM1</v>
      </c>
      <c r="L1340" s="74" t="str">
        <f>RTD("ice.rtd",,$C1340 &amp; $D1340 &amp; ":" &amp; L$1)</f>
        <v>Invalid Market: CALCM1</v>
      </c>
      <c r="M1340" s="76" t="str">
        <f>IFERROR(MOD(TIMEVALUE(RTD("ice.rtd",,$C1340 &amp; $D1340 &amp; ":" &amp; M$1)), 1), "")</f>
        <v/>
      </c>
      <c r="N1340" s="74" t="str">
        <f>RTD("ice.rtd",,$C1340 &amp; $D1340 &amp; ":" &amp; N$1)</f>
        <v>Invalid Market: CALCM1</v>
      </c>
      <c r="O1340" s="74" t="str">
        <f>RTD("ice.rtd",,$C1340 &amp; $D1340 &amp; ":" &amp; O$1)</f>
        <v>Invalid Market: CALCM1</v>
      </c>
      <c r="P1340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0" s="76" t="str">
        <f>IF(ICE[[#This Row],[LastType]] = "Scrn", ICE[[#This Row],[LstDate]], IF(ICE[[#This Row],[LastType]] = "Blk", ICE[[#This Row],[LstBlkTime]], ""))</f>
        <v/>
      </c>
      <c r="R1340" s="82">
        <f t="shared" si="101"/>
        <v>83</v>
      </c>
      <c r="S1340" s="74">
        <f t="shared" si="102"/>
        <v>754</v>
      </c>
      <c r="T1340" s="74">
        <f t="shared" si="102"/>
        <v>29042.45</v>
      </c>
      <c r="U1340" s="75">
        <f t="shared" si="103"/>
        <v>82.474500000000006</v>
      </c>
      <c r="V13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83.19 {83.00} |754x</v>
      </c>
      <c r="W1340" s="18" t="str">
        <f>IFERROR(IF(LEFT(ICE[[#This Row],[Tenor]], 1) = "B", RTD("esrtd",,$B1340 &amp; " " &amp; ICE[[#This Row],[Tenor]] &amp; "-IEU", W$1), RTD("esrtd",,$B1340 &amp; " " &amp; VLOOKUP(MONTH(ICE[[#This Row],[Strip]]), MthRef[], 2, 0) &amp; RIGHT(YEAR(ICE[[#This Row],[Strip]]), 2) &amp; "-IEU", W$1)), "")</f>
        <v/>
      </c>
      <c r="X1340" s="36"/>
    </row>
    <row r="1341" spans="1:24" x14ac:dyDescent="0.25">
      <c r="A1341" s="71" t="s">
        <v>839</v>
      </c>
      <c r="B1341" s="71" t="str">
        <f>RTD("ice.rtd",,$C1341 &amp; $D1341 &amp; ":" &amp; B$1)</f>
        <v>Invalid Market: CALCM2</v>
      </c>
      <c r="C1341" s="72" t="s">
        <v>827</v>
      </c>
      <c r="D1341" s="73" t="s">
        <v>325</v>
      </c>
      <c r="E1341" s="72" t="str">
        <f t="shared" si="99"/>
        <v>Nov26</v>
      </c>
      <c r="F1341" s="72" t="str">
        <f>ICE[[#This Row],[Prod]]&amp;ICE[[#This Row],[Strip]]</f>
        <v>gobrxNov26</v>
      </c>
      <c r="G1341" s="75" t="str">
        <f>RTD("ice.rtd",,$C1341 &amp; $D1341 &amp; ":" &amp; G$1)</f>
        <v>Invalid Market: CALCM2</v>
      </c>
      <c r="H1341" s="75">
        <f t="shared" si="100"/>
        <v>78.05</v>
      </c>
      <c r="I1341" s="75" t="str">
        <f>RTD("ice.rtd",,$C1341 &amp; $D1341 &amp; ":" &amp; I$1)</f>
        <v>Invalid Market: CALCM2</v>
      </c>
      <c r="J1341" s="76" t="str">
        <f>IFERROR(MOD(RTD("ice.rtd",,$C1341 &amp; $D1341 &amp; ":" &amp; J$1), 1), "")</f>
        <v/>
      </c>
      <c r="K1341" s="75" t="str">
        <f>RTD("ice.rtd",,$C1341 &amp; $D1341 &amp; ":" &amp; K$1)</f>
        <v>Invalid Market: CALCM2</v>
      </c>
      <c r="L1341" s="74" t="str">
        <f>RTD("ice.rtd",,$C1341 &amp; $D1341 &amp; ":" &amp; L$1)</f>
        <v>Invalid Market: CALCM2</v>
      </c>
      <c r="M1341" s="76" t="str">
        <f>IFERROR(MOD(TIMEVALUE(RTD("ice.rtd",,$C1341 &amp; $D1341 &amp; ":" &amp; M$1)), 1), "")</f>
        <v/>
      </c>
      <c r="N1341" s="74" t="str">
        <f>RTD("ice.rtd",,$C1341 &amp; $D1341 &amp; ":" &amp; N$1)</f>
        <v>Invalid Market: CALCM2</v>
      </c>
      <c r="O1341" s="74" t="str">
        <f>RTD("ice.rtd",,$C1341 &amp; $D1341 &amp; ":" &amp; O$1)</f>
        <v>Invalid Market: CALCM2</v>
      </c>
      <c r="P1341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1" s="76" t="str">
        <f>IF(ICE[[#This Row],[LastType]] = "Scrn", ICE[[#This Row],[LstDate]], IF(ICE[[#This Row],[LastType]] = "Blk", ICE[[#This Row],[LstBlkTime]], ""))</f>
        <v/>
      </c>
      <c r="R1341" s="82">
        <f t="shared" si="101"/>
        <v>78.67</v>
      </c>
      <c r="S1341" s="74">
        <f t="shared" si="102"/>
        <v>342</v>
      </c>
      <c r="T1341" s="74">
        <f t="shared" si="102"/>
        <v>28709.25</v>
      </c>
      <c r="U1341" s="75">
        <f t="shared" si="103"/>
        <v>76.870100000000008</v>
      </c>
      <c r="V13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78.05 {78.67} |342x</v>
      </c>
      <c r="W1341" s="18" t="str">
        <f>IFERROR(IF(LEFT(ICE[[#This Row],[Tenor]], 1) = "B", RTD("esrtd",,$B1341 &amp; " " &amp; ICE[[#This Row],[Tenor]] &amp; "-IEU", W$1), RTD("esrtd",,$B1341 &amp; " " &amp; VLOOKUP(MONTH(ICE[[#This Row],[Strip]]), MthRef[], 2, 0) &amp; RIGHT(YEAR(ICE[[#This Row],[Strip]]), 2) &amp; "-IEU", W$1)), "")</f>
        <v/>
      </c>
      <c r="X1341" s="36"/>
    </row>
    <row r="1342" spans="1:24" x14ac:dyDescent="0.25">
      <c r="A1342" s="71" t="s">
        <v>839</v>
      </c>
      <c r="B1342" s="71" t="str">
        <f>RTD("ice.rtd",,$C1342 &amp; $D1342 &amp; ":" &amp; B$1)</f>
        <v>Invalid Market: CALCM3</v>
      </c>
      <c r="C1342" s="72" t="s">
        <v>827</v>
      </c>
      <c r="D1342" s="73" t="s">
        <v>326</v>
      </c>
      <c r="E1342" s="72" t="str">
        <f t="shared" si="99"/>
        <v>Dec26</v>
      </c>
      <c r="F1342" s="72" t="str">
        <f>ICE[[#This Row],[Prod]]&amp;ICE[[#This Row],[Strip]]</f>
        <v>gobrxDec26</v>
      </c>
      <c r="G1342" s="75" t="str">
        <f>RTD("ice.rtd",,$C1342 &amp; $D1342 &amp; ":" &amp; G$1)</f>
        <v>Invalid Market: CALCM3</v>
      </c>
      <c r="H1342" s="75">
        <f t="shared" si="100"/>
        <v>73.23</v>
      </c>
      <c r="I1342" s="75" t="str">
        <f>RTD("ice.rtd",,$C1342 &amp; $D1342 &amp; ":" &amp; I$1)</f>
        <v>Invalid Market: CALCM3</v>
      </c>
      <c r="J1342" s="76" t="str">
        <f>IFERROR(MOD(RTD("ice.rtd",,$C1342 &amp; $D1342 &amp; ":" &amp; J$1), 1), "")</f>
        <v/>
      </c>
      <c r="K1342" s="75" t="str">
        <f>RTD("ice.rtd",,$C1342 &amp; $D1342 &amp; ":" &amp; K$1)</f>
        <v>Invalid Market: CALCM3</v>
      </c>
      <c r="L1342" s="74" t="str">
        <f>RTD("ice.rtd",,$C1342 &amp; $D1342 &amp; ":" &amp; L$1)</f>
        <v>Invalid Market: CALCM3</v>
      </c>
      <c r="M1342" s="76" t="str">
        <f>IFERROR(MOD(TIMEVALUE(RTD("ice.rtd",,$C1342 &amp; $D1342 &amp; ":" &amp; M$1)), 1), "")</f>
        <v/>
      </c>
      <c r="N1342" s="74" t="str">
        <f>RTD("ice.rtd",,$C1342 &amp; $D1342 &amp; ":" &amp; N$1)</f>
        <v>Invalid Market: CALCM3</v>
      </c>
      <c r="O1342" s="74" t="str">
        <f>RTD("ice.rtd",,$C1342 &amp; $D1342 &amp; ":" &amp; O$1)</f>
        <v>Invalid Market: CALCM3</v>
      </c>
      <c r="P1342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2" s="76" t="str">
        <f>IF(ICE[[#This Row],[LastType]] = "Scrn", ICE[[#This Row],[LstDate]], IF(ICE[[#This Row],[LastType]] = "Blk", ICE[[#This Row],[LstBlkTime]], ""))</f>
        <v/>
      </c>
      <c r="R1342" s="82">
        <f t="shared" si="101"/>
        <v>73.5</v>
      </c>
      <c r="S1342" s="74">
        <f t="shared" si="102"/>
        <v>350</v>
      </c>
      <c r="T1342" s="74">
        <f t="shared" si="102"/>
        <v>27407.5</v>
      </c>
      <c r="U1342" s="75">
        <f t="shared" si="103"/>
        <v>71.802300000000002</v>
      </c>
      <c r="V13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73.23 {73.50} |350x</v>
      </c>
      <c r="W1342" s="18" t="str">
        <f>IFERROR(IF(LEFT(ICE[[#This Row],[Tenor]], 1) = "B", RTD("esrtd",,$B1342 &amp; " " &amp; ICE[[#This Row],[Tenor]] &amp; "-IEU", W$1), RTD("esrtd",,$B1342 &amp; " " &amp; VLOOKUP(MONTH(ICE[[#This Row],[Strip]]), MthRef[], 2, 0) &amp; RIGHT(YEAR(ICE[[#This Row],[Strip]]), 2) &amp; "-IEU", W$1)), "")</f>
        <v/>
      </c>
      <c r="X1342" s="36"/>
    </row>
    <row r="1343" spans="1:24" x14ac:dyDescent="0.25">
      <c r="A1343" s="71" t="s">
        <v>839</v>
      </c>
      <c r="B1343" s="71" t="str">
        <f>RTD("ice.rtd",,$C1343 &amp; $D1343 &amp; ":" &amp; B$1)</f>
        <v>Invalid Market: CALCM4</v>
      </c>
      <c r="C1343" s="72" t="s">
        <v>827</v>
      </c>
      <c r="D1343" s="73" t="s">
        <v>794</v>
      </c>
      <c r="E1343" s="72" t="str">
        <f t="shared" si="99"/>
        <v>Jan27</v>
      </c>
      <c r="F1343" s="72" t="str">
        <f>ICE[[#This Row],[Prod]]&amp;ICE[[#This Row],[Strip]]</f>
        <v>gobrxJan27</v>
      </c>
      <c r="G1343" s="75" t="str">
        <f>RTD("ice.rtd",,$C1343 &amp; $D1343 &amp; ":" &amp; G$1)</f>
        <v>Invalid Market: CALCM4</v>
      </c>
      <c r="H1343" s="75" t="str">
        <f t="shared" si="100"/>
        <v/>
      </c>
      <c r="I1343" s="75" t="str">
        <f>RTD("ice.rtd",,$C1343 &amp; $D1343 &amp; ":" &amp; I$1)</f>
        <v>Invalid Market: CALCM4</v>
      </c>
      <c r="J1343" s="76" t="str">
        <f>IFERROR(MOD(RTD("ice.rtd",,$C1343 &amp; $D1343 &amp; ":" &amp; J$1), 1), "")</f>
        <v/>
      </c>
      <c r="K1343" s="75" t="str">
        <f>RTD("ice.rtd",,$C1343 &amp; $D1343 &amp; ":" &amp; K$1)</f>
        <v>Invalid Market: CALCM4</v>
      </c>
      <c r="L1343" s="74" t="str">
        <f>RTD("ice.rtd",,$C1343 &amp; $D1343 &amp; ":" &amp; L$1)</f>
        <v>Invalid Market: CALCM4</v>
      </c>
      <c r="M1343" s="76" t="str">
        <f>IFERROR(MOD(TIMEVALUE(RTD("ice.rtd",,$C1343 &amp; $D1343 &amp; ":" &amp; M$1)), 1), "")</f>
        <v/>
      </c>
      <c r="N1343" s="74" t="str">
        <f>RTD("ice.rtd",,$C1343 &amp; $D1343 &amp; ":" &amp; N$1)</f>
        <v>Invalid Market: CALCM4</v>
      </c>
      <c r="O1343" s="74" t="str">
        <f>RTD("ice.rtd",,$C1343 &amp; $D1343 &amp; ":" &amp; O$1)</f>
        <v>Invalid Market: CALCM4</v>
      </c>
      <c r="P1343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3" s="76" t="str">
        <f>IF(ICE[[#This Row],[LastType]] = "Scrn", ICE[[#This Row],[LstDate]], IF(ICE[[#This Row],[LastType]] = "Blk", ICE[[#This Row],[LstBlkTime]], ""))</f>
        <v/>
      </c>
      <c r="R1343" s="82" t="str">
        <f t="shared" si="101"/>
        <v/>
      </c>
      <c r="S1343" s="74">
        <f t="shared" si="102"/>
        <v>203</v>
      </c>
      <c r="T1343" s="74">
        <f t="shared" si="102"/>
        <v>12211</v>
      </c>
      <c r="U1343" s="75">
        <f t="shared" si="103"/>
        <v>68.228499999999997</v>
      </c>
      <c r="V13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|203x</v>
      </c>
      <c r="W1343" s="18" t="str">
        <f>IFERROR(IF(LEFT(ICE[[#This Row],[Tenor]], 1) = "B", RTD("esrtd",,$B1343 &amp; " " &amp; ICE[[#This Row],[Tenor]] &amp; "-IEU", W$1), RTD("esrtd",,$B1343 &amp; " " &amp; VLOOKUP(MONTH(ICE[[#This Row],[Strip]]), MthRef[], 2, 0) &amp; RIGHT(YEAR(ICE[[#This Row],[Strip]]), 2) &amp; "-IEU", W$1)), "")</f>
        <v/>
      </c>
      <c r="X1343" s="36"/>
    </row>
    <row r="1344" spans="1:24" x14ac:dyDescent="0.25">
      <c r="A1344" s="71" t="s">
        <v>839</v>
      </c>
      <c r="B1344" s="71" t="str">
        <f>RTD("ice.rtd",,$C1344 &amp; $D1344 &amp; ":" &amp; B$1)</f>
        <v>Invalid Market: CALCM5</v>
      </c>
      <c r="C1344" s="72" t="s">
        <v>827</v>
      </c>
      <c r="D1344" s="73" t="s">
        <v>795</v>
      </c>
      <c r="E1344" s="72" t="str">
        <f t="shared" si="99"/>
        <v>Feb27</v>
      </c>
      <c r="F1344" s="72" t="str">
        <f>ICE[[#This Row],[Prod]]&amp;ICE[[#This Row],[Strip]]</f>
        <v>gobrxFeb27</v>
      </c>
      <c r="G1344" s="75" t="str">
        <f>RTD("ice.rtd",,$C1344 &amp; $D1344 &amp; ":" &amp; G$1)</f>
        <v>Invalid Market: CALCM5</v>
      </c>
      <c r="H1344" s="75" t="str">
        <f t="shared" si="100"/>
        <v/>
      </c>
      <c r="I1344" s="75" t="str">
        <f>RTD("ice.rtd",,$C1344 &amp; $D1344 &amp; ":" &amp; I$1)</f>
        <v>Invalid Market: CALCM5</v>
      </c>
      <c r="J1344" s="76" t="str">
        <f>IFERROR(MOD(RTD("ice.rtd",,$C1344 &amp; $D1344 &amp; ":" &amp; J$1), 1), "")</f>
        <v/>
      </c>
      <c r="K1344" s="75" t="str">
        <f>RTD("ice.rtd",,$C1344 &amp; $D1344 &amp; ":" &amp; K$1)</f>
        <v>Invalid Market: CALCM5</v>
      </c>
      <c r="L1344" s="74" t="str">
        <f>RTD("ice.rtd",,$C1344 &amp; $D1344 &amp; ":" &amp; L$1)</f>
        <v>Invalid Market: CALCM5</v>
      </c>
      <c r="M1344" s="76" t="str">
        <f>IFERROR(MOD(TIMEVALUE(RTD("ice.rtd",,$C1344 &amp; $D1344 &amp; ":" &amp; M$1)), 1), "")</f>
        <v/>
      </c>
      <c r="N1344" s="74" t="str">
        <f>RTD("ice.rtd",,$C1344 &amp; $D1344 &amp; ":" &amp; N$1)</f>
        <v>Invalid Market: CALCM5</v>
      </c>
      <c r="O1344" s="74" t="str">
        <f>RTD("ice.rtd",,$C1344 &amp; $D1344 &amp; ":" &amp; O$1)</f>
        <v>Invalid Market: CALCM5</v>
      </c>
      <c r="P1344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4" s="76" t="str">
        <f>IF(ICE[[#This Row],[LastType]] = "Scrn", ICE[[#This Row],[LstDate]], IF(ICE[[#This Row],[LastType]] = "Blk", ICE[[#This Row],[LstBlkTime]], ""))</f>
        <v/>
      </c>
      <c r="R1344" s="82" t="str">
        <f t="shared" si="101"/>
        <v/>
      </c>
      <c r="S1344" s="74">
        <f t="shared" si="102"/>
        <v>203</v>
      </c>
      <c r="T1344" s="74">
        <f t="shared" si="102"/>
        <v>11790</v>
      </c>
      <c r="U1344" s="75">
        <f t="shared" si="103"/>
        <v>65.424900000000008</v>
      </c>
      <c r="V13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|203x</v>
      </c>
      <c r="W1344" s="18" t="str">
        <f>IFERROR(IF(LEFT(ICE[[#This Row],[Tenor]], 1) = "B", RTD("esrtd",,$B1344 &amp; " " &amp; ICE[[#This Row],[Tenor]] &amp; "-IEU", W$1), RTD("esrtd",,$B1344 &amp; " " &amp; VLOOKUP(MONTH(ICE[[#This Row],[Strip]]), MthRef[], 2, 0) &amp; RIGHT(YEAR(ICE[[#This Row],[Strip]]), 2) &amp; "-IEU", W$1)), "")</f>
        <v/>
      </c>
      <c r="X1344" s="36"/>
    </row>
    <row r="1345" spans="1:24" x14ac:dyDescent="0.25">
      <c r="A1345" s="71" t="s">
        <v>839</v>
      </c>
      <c r="B1345" s="71" t="str">
        <f>RTD("ice.rtd",,$C1345 &amp; $D1345 &amp; ":" &amp; B$1)</f>
        <v>Invalid Market: CALCM6</v>
      </c>
      <c r="C1345" s="72" t="s">
        <v>827</v>
      </c>
      <c r="D1345" s="73" t="s">
        <v>113</v>
      </c>
      <c r="E1345" s="72" t="str">
        <f t="shared" si="99"/>
        <v>Mar27</v>
      </c>
      <c r="F1345" s="72" t="str">
        <f>ICE[[#This Row],[Prod]]&amp;ICE[[#This Row],[Strip]]</f>
        <v>gobrxMar27</v>
      </c>
      <c r="G1345" s="75" t="str">
        <f>RTD("ice.rtd",,$C1345 &amp; $D1345 &amp; ":" &amp; G$1)</f>
        <v>Invalid Market: CALCM6</v>
      </c>
      <c r="H1345" s="75" t="str">
        <f t="shared" si="100"/>
        <v/>
      </c>
      <c r="I1345" s="75" t="str">
        <f>RTD("ice.rtd",,$C1345 &amp; $D1345 &amp; ":" &amp; I$1)</f>
        <v>Invalid Market: CALCM6</v>
      </c>
      <c r="J1345" s="76" t="str">
        <f>IFERROR(MOD(RTD("ice.rtd",,$C1345 &amp; $D1345 &amp; ":" &amp; J$1), 1), "")</f>
        <v/>
      </c>
      <c r="K1345" s="75" t="str">
        <f>RTD("ice.rtd",,$C1345 &amp; $D1345 &amp; ":" &amp; K$1)</f>
        <v>Invalid Market: CALCM6</v>
      </c>
      <c r="L1345" s="74" t="str">
        <f>RTD("ice.rtd",,$C1345 &amp; $D1345 &amp; ":" &amp; L$1)</f>
        <v>Invalid Market: CALCM6</v>
      </c>
      <c r="M1345" s="76" t="str">
        <f>IFERROR(MOD(TIMEVALUE(RTD("ice.rtd",,$C1345 &amp; $D1345 &amp; ":" &amp; M$1)), 1), "")</f>
        <v/>
      </c>
      <c r="N1345" s="74" t="str">
        <f>RTD("ice.rtd",,$C1345 &amp; $D1345 &amp; ":" &amp; N$1)</f>
        <v>Invalid Market: CALCM6</v>
      </c>
      <c r="O1345" s="74" t="str">
        <f>RTD("ice.rtd",,$C1345 &amp; $D1345 &amp; ":" &amp; O$1)</f>
        <v>Invalid Market: CALCM6</v>
      </c>
      <c r="P1345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5" s="76" t="str">
        <f>IF(ICE[[#This Row],[LastType]] = "Scrn", ICE[[#This Row],[LstDate]], IF(ICE[[#This Row],[LastType]] = "Blk", ICE[[#This Row],[LstBlkTime]], ""))</f>
        <v/>
      </c>
      <c r="R1345" s="82" t="str">
        <f t="shared" si="101"/>
        <v/>
      </c>
      <c r="S1345" s="74">
        <f t="shared" si="102"/>
        <v>203</v>
      </c>
      <c r="T1345" s="74">
        <f t="shared" si="102"/>
        <v>11921</v>
      </c>
      <c r="U1345" s="75">
        <f t="shared" si="103"/>
        <v>61.630900000000004</v>
      </c>
      <c r="V13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|203x</v>
      </c>
      <c r="W1345" s="18" t="str">
        <f>IFERROR(IF(LEFT(ICE[[#This Row],[Tenor]], 1) = "B", RTD("esrtd",,$B1345 &amp; " " &amp; ICE[[#This Row],[Tenor]] &amp; "-IEU", W$1), RTD("esrtd",,$B1345 &amp; " " &amp; VLOOKUP(MONTH(ICE[[#This Row],[Strip]]), MthRef[], 2, 0) &amp; RIGHT(YEAR(ICE[[#This Row],[Strip]]), 2) &amp; "-IEU", W$1)), "")</f>
        <v/>
      </c>
      <c r="X1345" s="36"/>
    </row>
    <row r="1346" spans="1:24" x14ac:dyDescent="0.25">
      <c r="A1346" s="71" t="s">
        <v>839</v>
      </c>
      <c r="B1346" s="71" t="str">
        <f>RTD("ice.rtd",,$C1346 &amp; $D1346 &amp; ":" &amp; B$1)</f>
        <v>Invalid Market: CALCM7</v>
      </c>
      <c r="C1346" s="72" t="s">
        <v>827</v>
      </c>
      <c r="D1346" s="73" t="s">
        <v>796</v>
      </c>
      <c r="E1346" s="72" t="str">
        <f t="shared" si="99"/>
        <v>Apr27</v>
      </c>
      <c r="F1346" s="72" t="str">
        <f>ICE[[#This Row],[Prod]]&amp;ICE[[#This Row],[Strip]]</f>
        <v>gobrxApr27</v>
      </c>
      <c r="G1346" s="75" t="str">
        <f>RTD("ice.rtd",,$C1346 &amp; $D1346 &amp; ":" &amp; G$1)</f>
        <v>Invalid Market: CALCM7</v>
      </c>
      <c r="H1346" s="75" t="str">
        <f t="shared" si="100"/>
        <v/>
      </c>
      <c r="I1346" s="75" t="str">
        <f>RTD("ice.rtd",,$C1346 &amp; $D1346 &amp; ":" &amp; I$1)</f>
        <v>Invalid Market: CALCM7</v>
      </c>
      <c r="J1346" s="76" t="str">
        <f>IFERROR(MOD(RTD("ice.rtd",,$C1346 &amp; $D1346 &amp; ":" &amp; J$1), 1), "")</f>
        <v/>
      </c>
      <c r="K1346" s="75" t="str">
        <f>RTD("ice.rtd",,$C1346 &amp; $D1346 &amp; ":" &amp; K$1)</f>
        <v>Invalid Market: CALCM7</v>
      </c>
      <c r="L1346" s="74" t="str">
        <f>RTD("ice.rtd",,$C1346 &amp; $D1346 &amp; ":" &amp; L$1)</f>
        <v>Invalid Market: CALCM7</v>
      </c>
      <c r="M1346" s="76" t="str">
        <f>IFERROR(MOD(TIMEVALUE(RTD("ice.rtd",,$C1346 &amp; $D1346 &amp; ":" &amp; M$1)), 1), "")</f>
        <v/>
      </c>
      <c r="N1346" s="74" t="str">
        <f>RTD("ice.rtd",,$C1346 &amp; $D1346 &amp; ":" &amp; N$1)</f>
        <v>Invalid Market: CALCM7</v>
      </c>
      <c r="O1346" s="74" t="str">
        <f>RTD("ice.rtd",,$C1346 &amp; $D1346 &amp; ":" &amp; O$1)</f>
        <v>Invalid Market: CALCM7</v>
      </c>
      <c r="P1346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6" s="76" t="str">
        <f>IF(ICE[[#This Row],[LastType]] = "Scrn", ICE[[#This Row],[LstDate]], IF(ICE[[#This Row],[LastType]] = "Blk", ICE[[#This Row],[LstBlkTime]], ""))</f>
        <v/>
      </c>
      <c r="R1346" s="82" t="str">
        <f t="shared" si="101"/>
        <v/>
      </c>
      <c r="S1346" s="74">
        <f t="shared" si="102"/>
        <v>43</v>
      </c>
      <c r="T1346" s="74">
        <f t="shared" si="102"/>
        <v>7921.6</v>
      </c>
      <c r="U1346" s="75">
        <f t="shared" si="103"/>
        <v>58.1676</v>
      </c>
      <c r="V13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|43x</v>
      </c>
      <c r="W1346" s="18" t="str">
        <f>IFERROR(IF(LEFT(ICE[[#This Row],[Tenor]], 1) = "B", RTD("esrtd",,$B1346 &amp; " " &amp; ICE[[#This Row],[Tenor]] &amp; "-IEU", W$1), RTD("esrtd",,$B1346 &amp; " " &amp; VLOOKUP(MONTH(ICE[[#This Row],[Strip]]), MthRef[], 2, 0) &amp; RIGHT(YEAR(ICE[[#This Row],[Strip]]), 2) &amp; "-IEU", W$1)), "")</f>
        <v/>
      </c>
      <c r="X1346" s="36"/>
    </row>
    <row r="1347" spans="1:24" x14ac:dyDescent="0.25">
      <c r="A1347" s="71" t="s">
        <v>839</v>
      </c>
      <c r="B1347" s="71" t="str">
        <f>RTD("ice.rtd",,$C1347 &amp; $D1347 &amp; ":" &amp; B$1)</f>
        <v>Invalid Market: CALCM8</v>
      </c>
      <c r="C1347" s="72" t="s">
        <v>827</v>
      </c>
      <c r="D1347" s="73" t="s">
        <v>797</v>
      </c>
      <c r="E1347" s="72" t="str">
        <f t="shared" si="99"/>
        <v>May27</v>
      </c>
      <c r="F1347" s="72" t="str">
        <f>ICE[[#This Row],[Prod]]&amp;ICE[[#This Row],[Strip]]</f>
        <v>gobrxMay27</v>
      </c>
      <c r="G1347" s="75" t="str">
        <f>RTD("ice.rtd",,$C1347 &amp; $D1347 &amp; ":" &amp; G$1)</f>
        <v>Invalid Market: CALCM8</v>
      </c>
      <c r="H1347" s="75" t="str">
        <f t="shared" si="100"/>
        <v/>
      </c>
      <c r="I1347" s="75" t="str">
        <f>RTD("ice.rtd",,$C1347 &amp; $D1347 &amp; ":" &amp; I$1)</f>
        <v>Invalid Market: CALCM8</v>
      </c>
      <c r="J1347" s="76" t="str">
        <f>IFERROR(MOD(RTD("ice.rtd",,$C1347 &amp; $D1347 &amp; ":" &amp; J$1), 1), "")</f>
        <v/>
      </c>
      <c r="K1347" s="75" t="str">
        <f>RTD("ice.rtd",,$C1347 &amp; $D1347 &amp; ":" &amp; K$1)</f>
        <v>Invalid Market: CALCM8</v>
      </c>
      <c r="L1347" s="74" t="str">
        <f>RTD("ice.rtd",,$C1347 &amp; $D1347 &amp; ":" &amp; L$1)</f>
        <v>Invalid Market: CALCM8</v>
      </c>
      <c r="M1347" s="76" t="str">
        <f>IFERROR(MOD(TIMEVALUE(RTD("ice.rtd",,$C1347 &amp; $D1347 &amp; ":" &amp; M$1)), 1), "")</f>
        <v/>
      </c>
      <c r="N1347" s="74" t="str">
        <f>RTD("ice.rtd",,$C1347 &amp; $D1347 &amp; ":" &amp; N$1)</f>
        <v>Invalid Market: CALCM8</v>
      </c>
      <c r="O1347" s="74" t="str">
        <f>RTD("ice.rtd",,$C1347 &amp; $D1347 &amp; ":" &amp; O$1)</f>
        <v>Invalid Market: CALCM8</v>
      </c>
      <c r="P1347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7" s="76" t="str">
        <f>IF(ICE[[#This Row],[LastType]] = "Scrn", ICE[[#This Row],[LstDate]], IF(ICE[[#This Row],[LastType]] = "Blk", ICE[[#This Row],[LstBlkTime]], ""))</f>
        <v/>
      </c>
      <c r="R1347" s="82" t="str">
        <f t="shared" si="101"/>
        <v/>
      </c>
      <c r="S1347" s="74">
        <f t="shared" si="102"/>
        <v>43</v>
      </c>
      <c r="T1347" s="74">
        <f t="shared" si="102"/>
        <v>8242.6</v>
      </c>
      <c r="U1347" s="75">
        <f t="shared" si="103"/>
        <v>55.6083</v>
      </c>
      <c r="V13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|43x</v>
      </c>
      <c r="W1347" s="18" t="str">
        <f>IFERROR(IF(LEFT(ICE[[#This Row],[Tenor]], 1) = "B", RTD("esrtd",,$B1347 &amp; " " &amp; ICE[[#This Row],[Tenor]] &amp; "-IEU", W$1), RTD("esrtd",,$B1347 &amp; " " &amp; VLOOKUP(MONTH(ICE[[#This Row],[Strip]]), MthRef[], 2, 0) &amp; RIGHT(YEAR(ICE[[#This Row],[Strip]]), 2) &amp; "-IEU", W$1)), "")</f>
        <v/>
      </c>
      <c r="X1347" s="36"/>
    </row>
    <row r="1348" spans="1:24" x14ac:dyDescent="0.25">
      <c r="A1348" s="71" t="s">
        <v>839</v>
      </c>
      <c r="B1348" s="71" t="str">
        <f>RTD("ice.rtd",,$C1348 &amp; $D1348 &amp; ":" &amp; B$1)</f>
        <v>Invalid Market: CALCM9</v>
      </c>
      <c r="C1348" s="72" t="s">
        <v>827</v>
      </c>
      <c r="D1348" s="73" t="s">
        <v>798</v>
      </c>
      <c r="E1348" s="72" t="str">
        <f t="shared" si="99"/>
        <v>Jun27</v>
      </c>
      <c r="F1348" s="72" t="str">
        <f>ICE[[#This Row],[Prod]]&amp;ICE[[#This Row],[Strip]]</f>
        <v>gobrxJun27</v>
      </c>
      <c r="G1348" s="75" t="str">
        <f>RTD("ice.rtd",,$C1348 &amp; $D1348 &amp; ":" &amp; G$1)</f>
        <v>Invalid Market: CALCM9</v>
      </c>
      <c r="H1348" s="75" t="str">
        <f t="shared" si="100"/>
        <v/>
      </c>
      <c r="I1348" s="75" t="str">
        <f>RTD("ice.rtd",,$C1348 &amp; $D1348 &amp; ":" &amp; I$1)</f>
        <v>Invalid Market: CALCM9</v>
      </c>
      <c r="J1348" s="76" t="str">
        <f>IFERROR(MOD(RTD("ice.rtd",,$C1348 &amp; $D1348 &amp; ":" &amp; J$1), 1), "")</f>
        <v/>
      </c>
      <c r="K1348" s="75" t="str">
        <f>RTD("ice.rtd",,$C1348 &amp; $D1348 &amp; ":" &amp; K$1)</f>
        <v>Invalid Market: CALCM9</v>
      </c>
      <c r="L1348" s="74" t="str">
        <f>RTD("ice.rtd",,$C1348 &amp; $D1348 &amp; ":" &amp; L$1)</f>
        <v>Invalid Market: CALCM9</v>
      </c>
      <c r="M1348" s="76" t="str">
        <f>IFERROR(MOD(TIMEVALUE(RTD("ice.rtd",,$C1348 &amp; $D1348 &amp; ":" &amp; M$1)), 1), "")</f>
        <v/>
      </c>
      <c r="N1348" s="74" t="str">
        <f>RTD("ice.rtd",,$C1348 &amp; $D1348 &amp; ":" &amp; N$1)</f>
        <v>Invalid Market: CALCM9</v>
      </c>
      <c r="O1348" s="74" t="str">
        <f>RTD("ice.rtd",,$C1348 &amp; $D1348 &amp; ":" &amp; O$1)</f>
        <v>Invalid Market: CALCM9</v>
      </c>
      <c r="P1348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8" s="76" t="str">
        <f>IF(ICE[[#This Row],[LastType]] = "Scrn", ICE[[#This Row],[LstDate]], IF(ICE[[#This Row],[LastType]] = "Blk", ICE[[#This Row],[LstBlkTime]], ""))</f>
        <v/>
      </c>
      <c r="R1348" s="82" t="str">
        <f t="shared" si="101"/>
        <v/>
      </c>
      <c r="S1348" s="74">
        <f t="shared" si="102"/>
        <v>43</v>
      </c>
      <c r="T1348" s="74">
        <f t="shared" si="102"/>
        <v>8054.6</v>
      </c>
      <c r="U1348" s="75">
        <f t="shared" si="103"/>
        <v>53.523099999999999</v>
      </c>
      <c r="V13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|43x</v>
      </c>
      <c r="W1348" s="18" t="str">
        <f>IFERROR(IF(LEFT(ICE[[#This Row],[Tenor]], 1) = "B", RTD("esrtd",,$B1348 &amp; " " &amp; ICE[[#This Row],[Tenor]] &amp; "-IEU", W$1), RTD("esrtd",,$B1348 &amp; " " &amp; VLOOKUP(MONTH(ICE[[#This Row],[Strip]]), MthRef[], 2, 0) &amp; RIGHT(YEAR(ICE[[#This Row],[Strip]]), 2) &amp; "-IEU", W$1)), "")</f>
        <v/>
      </c>
      <c r="X1348" s="36"/>
    </row>
    <row r="1349" spans="1:24" x14ac:dyDescent="0.25">
      <c r="A1349" s="71" t="s">
        <v>839</v>
      </c>
      <c r="B1349" s="71" t="str">
        <f>RTD("ice.rtd",,$C1349 &amp; $D1349 &amp; ":" &amp; B$1)</f>
        <v>Invalid Market: CALCM10</v>
      </c>
      <c r="C1349" s="72" t="s">
        <v>827</v>
      </c>
      <c r="D1349" s="73" t="s">
        <v>799</v>
      </c>
      <c r="E1349" s="72" t="str">
        <f t="shared" si="99"/>
        <v>Jul27</v>
      </c>
      <c r="F1349" s="72" t="str">
        <f>ICE[[#This Row],[Prod]]&amp;ICE[[#This Row],[Strip]]</f>
        <v>gobrxJul27</v>
      </c>
      <c r="G1349" s="75" t="str">
        <f>RTD("ice.rtd",,$C1349 &amp; $D1349 &amp; ":" &amp; G$1)</f>
        <v>Invalid Market: CALCM10</v>
      </c>
      <c r="H1349" s="75">
        <f t="shared" si="100"/>
        <v>53.5</v>
      </c>
      <c r="I1349" s="75" t="str">
        <f>RTD("ice.rtd",,$C1349 &amp; $D1349 &amp; ":" &amp; I$1)</f>
        <v>Invalid Market: CALCM10</v>
      </c>
      <c r="J1349" s="76" t="str">
        <f>IFERROR(MOD(RTD("ice.rtd",,$C1349 &amp; $D1349 &amp; ":" &amp; J$1), 1), "")</f>
        <v/>
      </c>
      <c r="K1349" s="75" t="str">
        <f>RTD("ice.rtd",,$C1349 &amp; $D1349 &amp; ":" &amp; K$1)</f>
        <v>Invalid Market: CALCM10</v>
      </c>
      <c r="L1349" s="74" t="str">
        <f>RTD("ice.rtd",,$C1349 &amp; $D1349 &amp; ":" &amp; L$1)</f>
        <v>Invalid Market: CALCM10</v>
      </c>
      <c r="M1349" s="76" t="str">
        <f>IFERROR(MOD(TIMEVALUE(RTD("ice.rtd",,$C1349 &amp; $D1349 &amp; ":" &amp; M$1)), 1), "")</f>
        <v/>
      </c>
      <c r="N1349" s="74" t="str">
        <f>RTD("ice.rtd",,$C1349 &amp; $D1349 &amp; ":" &amp; N$1)</f>
        <v>Invalid Market: CALCM10</v>
      </c>
      <c r="O1349" s="74" t="str">
        <f>RTD("ice.rtd",,$C1349 &amp; $D1349 &amp; ":" &amp; O$1)</f>
        <v>Invalid Market: CALCM10</v>
      </c>
      <c r="P1349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49" s="76" t="str">
        <f>IF(ICE[[#This Row],[LastType]] = "Scrn", ICE[[#This Row],[LstDate]], IF(ICE[[#This Row],[LastType]] = "Blk", ICE[[#This Row],[LstBlkTime]], ""))</f>
        <v/>
      </c>
      <c r="R1349" s="82" t="str">
        <f t="shared" si="101"/>
        <v/>
      </c>
      <c r="S1349" s="74">
        <f t="shared" si="102"/>
        <v>98</v>
      </c>
      <c r="T1349" s="74">
        <f t="shared" si="102"/>
        <v>7089.8</v>
      </c>
      <c r="U1349" s="75">
        <f t="shared" si="103"/>
        <v>51.9649</v>
      </c>
      <c r="V13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53.50  |98x</v>
      </c>
      <c r="W1349" s="18" t="str">
        <f>IFERROR(IF(LEFT(ICE[[#This Row],[Tenor]], 1) = "B", RTD("esrtd",,$B1349 &amp; " " &amp; ICE[[#This Row],[Tenor]] &amp; "-IEU", W$1), RTD("esrtd",,$B1349 &amp; " " &amp; VLOOKUP(MONTH(ICE[[#This Row],[Strip]]), MthRef[], 2, 0) &amp; RIGHT(YEAR(ICE[[#This Row],[Strip]]), 2) &amp; "-IEU", W$1)), "")</f>
        <v/>
      </c>
      <c r="X1349" s="36"/>
    </row>
    <row r="1350" spans="1:24" x14ac:dyDescent="0.25">
      <c r="A1350" s="71" t="s">
        <v>839</v>
      </c>
      <c r="B1350" s="71" t="str">
        <f>RTD("ice.rtd",,$C1350 &amp; $D1350 &amp; ":" &amp; B$1)</f>
        <v>Invalid Market: CALCM11</v>
      </c>
      <c r="C1350" s="72" t="s">
        <v>827</v>
      </c>
      <c r="D1350" s="73" t="s">
        <v>800</v>
      </c>
      <c r="E1350" s="72" t="str">
        <f t="shared" si="99"/>
        <v>Aug27</v>
      </c>
      <c r="F1350" s="72" t="str">
        <f>ICE[[#This Row],[Prod]]&amp;ICE[[#This Row],[Strip]]</f>
        <v>gobrxAug27</v>
      </c>
      <c r="G1350" s="75" t="str">
        <f>RTD("ice.rtd",,$C1350 &amp; $D1350 &amp; ":" &amp; G$1)</f>
        <v>Invalid Market: CALCM11</v>
      </c>
      <c r="H1350" s="75">
        <f t="shared" si="100"/>
        <v>52.08</v>
      </c>
      <c r="I1350" s="75" t="str">
        <f>RTD("ice.rtd",,$C1350 &amp; $D1350 &amp; ":" &amp; I$1)</f>
        <v>Invalid Market: CALCM11</v>
      </c>
      <c r="J1350" s="76" t="str">
        <f>IFERROR(MOD(RTD("ice.rtd",,$C1350 &amp; $D1350 &amp; ":" &amp; J$1), 1), "")</f>
        <v/>
      </c>
      <c r="K1350" s="75" t="str">
        <f>RTD("ice.rtd",,$C1350 &amp; $D1350 &amp; ":" &amp; K$1)</f>
        <v>Invalid Market: CALCM11</v>
      </c>
      <c r="L1350" s="74" t="str">
        <f>RTD("ice.rtd",,$C1350 &amp; $D1350 &amp; ":" &amp; L$1)</f>
        <v>Invalid Market: CALCM11</v>
      </c>
      <c r="M1350" s="76" t="str">
        <f>IFERROR(MOD(TIMEVALUE(RTD("ice.rtd",,$C1350 &amp; $D1350 &amp; ":" &amp; M$1)), 1), "")</f>
        <v/>
      </c>
      <c r="N1350" s="74" t="str">
        <f>RTD("ice.rtd",,$C1350 &amp; $D1350 &amp; ":" &amp; N$1)</f>
        <v>Invalid Market: CALCM11</v>
      </c>
      <c r="O1350" s="74" t="str">
        <f>RTD("ice.rtd",,$C1350 &amp; $D1350 &amp; ":" &amp; O$1)</f>
        <v>Invalid Market: CALCM11</v>
      </c>
      <c r="P1350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0" s="76" t="str">
        <f>IF(ICE[[#This Row],[LastType]] = "Scrn", ICE[[#This Row],[LstDate]], IF(ICE[[#This Row],[LastType]] = "Blk", ICE[[#This Row],[LstBlkTime]], ""))</f>
        <v/>
      </c>
      <c r="R1350" s="82" t="str">
        <f t="shared" si="101"/>
        <v/>
      </c>
      <c r="S1350" s="74">
        <f t="shared" si="102"/>
        <v>98</v>
      </c>
      <c r="T1350" s="74">
        <f t="shared" si="102"/>
        <v>7064.8</v>
      </c>
      <c r="U1350" s="75">
        <f t="shared" si="103"/>
        <v>50.697500000000005</v>
      </c>
      <c r="V13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52.08  |98x</v>
      </c>
      <c r="W1350" s="18" t="str">
        <f>IFERROR(IF(LEFT(ICE[[#This Row],[Tenor]], 1) = "B", RTD("esrtd",,$B1350 &amp; " " &amp; ICE[[#This Row],[Tenor]] &amp; "-IEU", W$1), RTD("esrtd",,$B1350 &amp; " " &amp; VLOOKUP(MONTH(ICE[[#This Row],[Strip]]), MthRef[], 2, 0) &amp; RIGHT(YEAR(ICE[[#This Row],[Strip]]), 2) &amp; "-IEU", W$1)), "")</f>
        <v/>
      </c>
      <c r="X1350" s="36"/>
    </row>
    <row r="1351" spans="1:24" x14ac:dyDescent="0.25">
      <c r="A1351" s="71" t="s">
        <v>839</v>
      </c>
      <c r="B1351" s="71" t="str">
        <f>RTD("ice.rtd",,$C1351 &amp; $D1351 &amp; ":" &amp; B$1)</f>
        <v>Invalid Market: CALCM12</v>
      </c>
      <c r="C1351" s="72" t="s">
        <v>827</v>
      </c>
      <c r="D1351" s="73" t="s">
        <v>801</v>
      </c>
      <c r="E1351" s="72" t="str">
        <f t="shared" si="99"/>
        <v>Sep27</v>
      </c>
      <c r="F1351" s="72" t="str">
        <f>ICE[[#This Row],[Prod]]&amp;ICE[[#This Row],[Strip]]</f>
        <v>gobrxSep27</v>
      </c>
      <c r="G1351" s="75" t="str">
        <f>RTD("ice.rtd",,$C1351 &amp; $D1351 &amp; ":" &amp; G$1)</f>
        <v>Invalid Market: CALCM12</v>
      </c>
      <c r="H1351" s="75" t="str">
        <f t="shared" si="100"/>
        <v/>
      </c>
      <c r="I1351" s="75" t="str">
        <f>RTD("ice.rtd",,$C1351 &amp; $D1351 &amp; ":" &amp; I$1)</f>
        <v>Invalid Market: CALCM12</v>
      </c>
      <c r="J1351" s="76" t="str">
        <f>IFERROR(MOD(RTD("ice.rtd",,$C1351 &amp; $D1351 &amp; ":" &amp; J$1), 1), "")</f>
        <v/>
      </c>
      <c r="K1351" s="75" t="str">
        <f>RTD("ice.rtd",,$C1351 &amp; $D1351 &amp; ":" &amp; K$1)</f>
        <v>Invalid Market: CALCM12</v>
      </c>
      <c r="L1351" s="74" t="str">
        <f>RTD("ice.rtd",,$C1351 &amp; $D1351 &amp; ":" &amp; L$1)</f>
        <v>Invalid Market: CALCM12</v>
      </c>
      <c r="M1351" s="76" t="str">
        <f>IFERROR(MOD(TIMEVALUE(RTD("ice.rtd",,$C1351 &amp; $D1351 &amp; ":" &amp; M$1)), 1), "")</f>
        <v/>
      </c>
      <c r="N1351" s="74" t="str">
        <f>RTD("ice.rtd",,$C1351 &amp; $D1351 &amp; ":" &amp; N$1)</f>
        <v>Invalid Market: CALCM12</v>
      </c>
      <c r="O1351" s="74" t="str">
        <f>RTD("ice.rtd",,$C1351 &amp; $D1351 &amp; ":" &amp; O$1)</f>
        <v>Invalid Market: CALCM12</v>
      </c>
      <c r="P1351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1" s="76" t="str">
        <f>IF(ICE[[#This Row],[LastType]] = "Scrn", ICE[[#This Row],[LstDate]], IF(ICE[[#This Row],[LastType]] = "Blk", ICE[[#This Row],[LstBlkTime]], ""))</f>
        <v/>
      </c>
      <c r="R1351" s="82" t="str">
        <f t="shared" si="101"/>
        <v/>
      </c>
      <c r="S1351" s="74">
        <f t="shared" si="102"/>
        <v>98</v>
      </c>
      <c r="T1351" s="74">
        <f t="shared" si="102"/>
        <v>7072.35</v>
      </c>
      <c r="U1351" s="75">
        <f t="shared" si="103"/>
        <v>49.441300000000005</v>
      </c>
      <c r="V13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|98x</v>
      </c>
      <c r="W1351" s="18" t="str">
        <f>IFERROR(IF(LEFT(ICE[[#This Row],[Tenor]], 1) = "B", RTD("esrtd",,$B1351 &amp; " " &amp; ICE[[#This Row],[Tenor]] &amp; "-IEU", W$1), RTD("esrtd",,$B1351 &amp; " " &amp; VLOOKUP(MONTH(ICE[[#This Row],[Strip]]), MthRef[], 2, 0) &amp; RIGHT(YEAR(ICE[[#This Row],[Strip]]), 2) &amp; "-IEU", W$1)), "")</f>
        <v/>
      </c>
      <c r="X1351" s="36"/>
    </row>
    <row r="1352" spans="1:24" x14ac:dyDescent="0.25">
      <c r="A1352" s="71" t="s">
        <v>839</v>
      </c>
      <c r="B1352" s="71" t="str">
        <f>RTD("ice.rtd",,$C1352 &amp; $D1352 &amp; ":" &amp; B$1)</f>
        <v>Invalid Market: CALCM13</v>
      </c>
      <c r="C1352" s="72" t="s">
        <v>827</v>
      </c>
      <c r="D1352" s="73" t="s">
        <v>802</v>
      </c>
      <c r="E1352" s="72" t="str">
        <f t="shared" si="99"/>
        <v>Oct27</v>
      </c>
      <c r="F1352" s="72" t="str">
        <f>ICE[[#This Row],[Prod]]&amp;ICE[[#This Row],[Strip]]</f>
        <v>gobrxOct27</v>
      </c>
      <c r="G1352" s="75" t="str">
        <f>RTD("ice.rtd",,$C1352 &amp; $D1352 &amp; ":" &amp; G$1)</f>
        <v>Invalid Market: CALCM13</v>
      </c>
      <c r="H1352" s="75" t="str">
        <f t="shared" si="100"/>
        <v/>
      </c>
      <c r="I1352" s="75" t="str">
        <f>RTD("ice.rtd",,$C1352 &amp; $D1352 &amp; ":" &amp; I$1)</f>
        <v>Invalid Market: CALCM13</v>
      </c>
      <c r="J1352" s="76" t="str">
        <f>IFERROR(MOD(RTD("ice.rtd",,$C1352 &amp; $D1352 &amp; ":" &amp; J$1), 1), "")</f>
        <v/>
      </c>
      <c r="K1352" s="75" t="str">
        <f>RTD("ice.rtd",,$C1352 &amp; $D1352 &amp; ":" &amp; K$1)</f>
        <v>Invalid Market: CALCM13</v>
      </c>
      <c r="L1352" s="74" t="str">
        <f>RTD("ice.rtd",,$C1352 &amp; $D1352 &amp; ":" &amp; L$1)</f>
        <v>Invalid Market: CALCM13</v>
      </c>
      <c r="M1352" s="76" t="str">
        <f>IFERROR(MOD(TIMEVALUE(RTD("ice.rtd",,$C1352 &amp; $D1352 &amp; ":" &amp; M$1)), 1), "")</f>
        <v/>
      </c>
      <c r="N1352" s="74" t="str">
        <f>RTD("ice.rtd",,$C1352 &amp; $D1352 &amp; ":" &amp; N$1)</f>
        <v>Invalid Market: CALCM13</v>
      </c>
      <c r="O1352" s="74" t="str">
        <f>RTD("ice.rtd",,$C1352 &amp; $D1352 &amp; ":" &amp; O$1)</f>
        <v>Invalid Market: CALCM13</v>
      </c>
      <c r="P1352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2" s="76" t="str">
        <f>IF(ICE[[#This Row],[LastType]] = "Scrn", ICE[[#This Row],[LstDate]], IF(ICE[[#This Row],[LastType]] = "Blk", ICE[[#This Row],[LstBlkTime]], ""))</f>
        <v/>
      </c>
      <c r="R1352" s="82" t="str">
        <f t="shared" si="101"/>
        <v/>
      </c>
      <c r="S1352" s="74">
        <f t="shared" si="102"/>
        <v>98</v>
      </c>
      <c r="T1352" s="74">
        <f t="shared" si="102"/>
        <v>5804.7</v>
      </c>
      <c r="U1352" s="75">
        <f t="shared" si="103"/>
        <v>48.037100000000002</v>
      </c>
      <c r="V13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|98x</v>
      </c>
      <c r="W1352" s="18" t="str">
        <f>IFERROR(IF(LEFT(ICE[[#This Row],[Tenor]], 1) = "B", RTD("esrtd",,$B1352 &amp; " " &amp; ICE[[#This Row],[Tenor]] &amp; "-IEU", W$1), RTD("esrtd",,$B1352 &amp; " " &amp; VLOOKUP(MONTH(ICE[[#This Row],[Strip]]), MthRef[], 2, 0) &amp; RIGHT(YEAR(ICE[[#This Row],[Strip]]), 2) &amp; "-IEU", W$1)), "")</f>
        <v/>
      </c>
      <c r="X1352" s="36"/>
    </row>
    <row r="1353" spans="1:24" x14ac:dyDescent="0.25">
      <c r="A1353" s="71" t="s">
        <v>839</v>
      </c>
      <c r="B1353" s="71" t="str">
        <f>RTD("ice.rtd",,$C1353 &amp; $D1353 &amp; ":" &amp; B$1)</f>
        <v>Invalid Market: CALCM14</v>
      </c>
      <c r="C1353" s="72" t="s">
        <v>827</v>
      </c>
      <c r="D1353" s="73" t="s">
        <v>803</v>
      </c>
      <c r="E1353" s="72" t="str">
        <f t="shared" si="99"/>
        <v>Nov27</v>
      </c>
      <c r="F1353" s="72" t="str">
        <f>ICE[[#This Row],[Prod]]&amp;ICE[[#This Row],[Strip]]</f>
        <v>gobrxNov27</v>
      </c>
      <c r="G1353" s="75" t="str">
        <f>RTD("ice.rtd",,$C1353 &amp; $D1353 &amp; ":" &amp; G$1)</f>
        <v>Invalid Market: CALCM14</v>
      </c>
      <c r="H1353" s="75" t="str">
        <f t="shared" si="100"/>
        <v/>
      </c>
      <c r="I1353" s="75" t="str">
        <f>RTD("ice.rtd",,$C1353 &amp; $D1353 &amp; ":" &amp; I$1)</f>
        <v>Invalid Market: CALCM14</v>
      </c>
      <c r="J1353" s="76" t="str">
        <f>IFERROR(MOD(RTD("ice.rtd",,$C1353 &amp; $D1353 &amp; ":" &amp; J$1), 1), "")</f>
        <v/>
      </c>
      <c r="K1353" s="75" t="str">
        <f>RTD("ice.rtd",,$C1353 &amp; $D1353 &amp; ":" &amp; K$1)</f>
        <v>Invalid Market: CALCM14</v>
      </c>
      <c r="L1353" s="74" t="str">
        <f>RTD("ice.rtd",,$C1353 &amp; $D1353 &amp; ":" &amp; L$1)</f>
        <v>Invalid Market: CALCM14</v>
      </c>
      <c r="M1353" s="76" t="str">
        <f>IFERROR(MOD(TIMEVALUE(RTD("ice.rtd",,$C1353 &amp; $D1353 &amp; ":" &amp; M$1)), 1), "")</f>
        <v/>
      </c>
      <c r="N1353" s="74" t="str">
        <f>RTD("ice.rtd",,$C1353 &amp; $D1353 &amp; ":" &amp; N$1)</f>
        <v>Invalid Market: CALCM14</v>
      </c>
      <c r="O1353" s="74" t="str">
        <f>RTD("ice.rtd",,$C1353 &amp; $D1353 &amp; ":" &amp; O$1)</f>
        <v>Invalid Market: CALCM14</v>
      </c>
      <c r="P1353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3" s="76" t="str">
        <f>IF(ICE[[#This Row],[LastType]] = "Scrn", ICE[[#This Row],[LstDate]], IF(ICE[[#This Row],[LastType]] = "Blk", ICE[[#This Row],[LstBlkTime]], ""))</f>
        <v/>
      </c>
      <c r="R1353" s="82" t="str">
        <f t="shared" si="101"/>
        <v/>
      </c>
      <c r="S1353" s="74">
        <f t="shared" si="102"/>
        <v>98</v>
      </c>
      <c r="T1353" s="74">
        <f t="shared" si="102"/>
        <v>5704.7</v>
      </c>
      <c r="U1353" s="75">
        <f t="shared" si="103"/>
        <v>46.417300000000004</v>
      </c>
      <c r="V13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|98x</v>
      </c>
      <c r="W1353" s="18" t="str">
        <f>IFERROR(IF(LEFT(ICE[[#This Row],[Tenor]], 1) = "B", RTD("esrtd",,$B1353 &amp; " " &amp; ICE[[#This Row],[Tenor]] &amp; "-IEU", W$1), RTD("esrtd",,$B1353 &amp; " " &amp; VLOOKUP(MONTH(ICE[[#This Row],[Strip]]), MthRef[], 2, 0) &amp; RIGHT(YEAR(ICE[[#This Row],[Strip]]), 2) &amp; "-IEU", W$1)), "")</f>
        <v/>
      </c>
      <c r="X1353" s="36"/>
    </row>
    <row r="1354" spans="1:24" x14ac:dyDescent="0.25">
      <c r="A1354" s="71" t="s">
        <v>839</v>
      </c>
      <c r="B1354" s="71" t="str">
        <f>RTD("ice.rtd",,$C1354 &amp; $D1354 &amp; ":" &amp; B$1)</f>
        <v>Invalid Market: CALCM15</v>
      </c>
      <c r="C1354" s="72" t="s">
        <v>827</v>
      </c>
      <c r="D1354" s="73" t="s">
        <v>804</v>
      </c>
      <c r="E1354" s="72" t="str">
        <f t="shared" si="99"/>
        <v>Dec27</v>
      </c>
      <c r="F1354" s="72" t="str">
        <f>ICE[[#This Row],[Prod]]&amp;ICE[[#This Row],[Strip]]</f>
        <v>gobrxDec27</v>
      </c>
      <c r="G1354" s="75" t="str">
        <f>RTD("ice.rtd",,$C1354 &amp; $D1354 &amp; ":" &amp; G$1)</f>
        <v>Invalid Market: CALCM15</v>
      </c>
      <c r="H1354" s="75" t="str">
        <f t="shared" si="100"/>
        <v/>
      </c>
      <c r="I1354" s="75" t="str">
        <f>RTD("ice.rtd",,$C1354 &amp; $D1354 &amp; ":" &amp; I$1)</f>
        <v>Invalid Market: CALCM15</v>
      </c>
      <c r="J1354" s="76" t="str">
        <f>IFERROR(MOD(RTD("ice.rtd",,$C1354 &amp; $D1354 &amp; ":" &amp; J$1), 1), "")</f>
        <v/>
      </c>
      <c r="K1354" s="75" t="str">
        <f>RTD("ice.rtd",,$C1354 &amp; $D1354 &amp; ":" &amp; K$1)</f>
        <v>Invalid Market: CALCM15</v>
      </c>
      <c r="L1354" s="74" t="str">
        <f>RTD("ice.rtd",,$C1354 &amp; $D1354 &amp; ":" &amp; L$1)</f>
        <v>Invalid Market: CALCM15</v>
      </c>
      <c r="M1354" s="76" t="str">
        <f>IFERROR(MOD(TIMEVALUE(RTD("ice.rtd",,$C1354 &amp; $D1354 &amp; ":" &amp; M$1)), 1), "")</f>
        <v/>
      </c>
      <c r="N1354" s="74" t="str">
        <f>RTD("ice.rtd",,$C1354 &amp; $D1354 &amp; ":" &amp; N$1)</f>
        <v>Invalid Market: CALCM15</v>
      </c>
      <c r="O1354" s="74" t="str">
        <f>RTD("ice.rtd",,$C1354 &amp; $D1354 &amp; ":" &amp; O$1)</f>
        <v>Invalid Market: CALCM15</v>
      </c>
      <c r="P1354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4" s="76" t="str">
        <f>IF(ICE[[#This Row],[LastType]] = "Scrn", ICE[[#This Row],[LstDate]], IF(ICE[[#This Row],[LastType]] = "Blk", ICE[[#This Row],[LstBlkTime]], ""))</f>
        <v/>
      </c>
      <c r="R1354" s="82" t="str">
        <f t="shared" si="101"/>
        <v/>
      </c>
      <c r="S1354" s="74">
        <f t="shared" si="102"/>
        <v>98</v>
      </c>
      <c r="T1354" s="74">
        <f t="shared" si="102"/>
        <v>5779.7</v>
      </c>
      <c r="U1354" s="75">
        <f t="shared" si="103"/>
        <v>44.964500000000001</v>
      </c>
      <c r="V13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|98x</v>
      </c>
      <c r="W1354" s="18" t="str">
        <f>IFERROR(IF(LEFT(ICE[[#This Row],[Tenor]], 1) = "B", RTD("esrtd",,$B1354 &amp; " " &amp; ICE[[#This Row],[Tenor]] &amp; "-IEU", W$1), RTD("esrtd",,$B1354 &amp; " " &amp; VLOOKUP(MONTH(ICE[[#This Row],[Strip]]), MthRef[], 2, 0) &amp; RIGHT(YEAR(ICE[[#This Row],[Strip]]), 2) &amp; "-IEU", W$1)), "")</f>
        <v/>
      </c>
      <c r="X1354" s="36"/>
    </row>
    <row r="1355" spans="1:24" x14ac:dyDescent="0.25">
      <c r="A1355" s="71" t="s">
        <v>839</v>
      </c>
      <c r="B1355" s="71" t="str">
        <f>RTD("ice.rtd",,$C1355 &amp; $D1355 &amp; ":" &amp; B$1)</f>
        <v>Invalid Market: CALCM16</v>
      </c>
      <c r="C1355" s="72" t="s">
        <v>827</v>
      </c>
      <c r="D1355" s="73" t="s">
        <v>805</v>
      </c>
      <c r="E1355" s="72" t="str">
        <f t="shared" si="99"/>
        <v>Jan28</v>
      </c>
      <c r="F1355" s="72" t="str">
        <f>ICE[[#This Row],[Prod]]&amp;ICE[[#This Row],[Strip]]</f>
        <v>gobrxJan28</v>
      </c>
      <c r="G1355" s="75" t="str">
        <f>RTD("ice.rtd",,$C1355 &amp; $D1355 &amp; ":" &amp; G$1)</f>
        <v>Invalid Market: CALCM16</v>
      </c>
      <c r="H1355" s="75" t="str">
        <f t="shared" si="100"/>
        <v/>
      </c>
      <c r="I1355" s="75" t="str">
        <f>RTD("ice.rtd",,$C1355 &amp; $D1355 &amp; ":" &amp; I$1)</f>
        <v>Invalid Market: CALCM16</v>
      </c>
      <c r="J1355" s="76" t="str">
        <f>IFERROR(MOD(RTD("ice.rtd",,$C1355 &amp; $D1355 &amp; ":" &amp; J$1), 1), "")</f>
        <v/>
      </c>
      <c r="K1355" s="75" t="str">
        <f>RTD("ice.rtd",,$C1355 &amp; $D1355 &amp; ":" &amp; K$1)</f>
        <v>Invalid Market: CALCM16</v>
      </c>
      <c r="L1355" s="74" t="str">
        <f>RTD("ice.rtd",,$C1355 &amp; $D1355 &amp; ":" &amp; L$1)</f>
        <v>Invalid Market: CALCM16</v>
      </c>
      <c r="M1355" s="76" t="str">
        <f>IFERROR(MOD(TIMEVALUE(RTD("ice.rtd",,$C1355 &amp; $D1355 &amp; ":" &amp; M$1)), 1), "")</f>
        <v/>
      </c>
      <c r="N1355" s="74" t="str">
        <f>RTD("ice.rtd",,$C1355 &amp; $D1355 &amp; ":" &amp; N$1)</f>
        <v>Invalid Market: CALCM16</v>
      </c>
      <c r="O1355" s="74" t="str">
        <f>RTD("ice.rtd",,$C1355 &amp; $D1355 &amp; ":" &amp; O$1)</f>
        <v>Invalid Market: CALCM16</v>
      </c>
      <c r="P1355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5" s="76" t="str">
        <f>IF(ICE[[#This Row],[LastType]] = "Scrn", ICE[[#This Row],[LstDate]], IF(ICE[[#This Row],[LastType]] = "Blk", ICE[[#This Row],[LstBlkTime]], ""))</f>
        <v/>
      </c>
      <c r="R1355" s="82" t="str">
        <f t="shared" si="101"/>
        <v/>
      </c>
      <c r="S1355" s="74">
        <f t="shared" si="102"/>
        <v>27</v>
      </c>
      <c r="T1355" s="74">
        <f t="shared" si="102"/>
        <v>959</v>
      </c>
      <c r="U1355" s="75">
        <f t="shared" si="103"/>
        <v>43.9696</v>
      </c>
      <c r="V13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55" s="18" t="str">
        <f>IFERROR(IF(LEFT(ICE[[#This Row],[Tenor]], 1) = "B", RTD("esrtd",,$B1355 &amp; " " &amp; ICE[[#This Row],[Tenor]] &amp; "-IEU", W$1), RTD("esrtd",,$B1355 &amp; " " &amp; VLOOKUP(MONTH(ICE[[#This Row],[Strip]]), MthRef[], 2, 0) &amp; RIGHT(YEAR(ICE[[#This Row],[Strip]]), 2) &amp; "-IEU", W$1)), "")</f>
        <v/>
      </c>
      <c r="X1355" s="36"/>
    </row>
    <row r="1356" spans="1:24" x14ac:dyDescent="0.25">
      <c r="A1356" s="71" t="s">
        <v>839</v>
      </c>
      <c r="B1356" s="71" t="str">
        <f>RTD("ice.rtd",,$C1356 &amp; $D1356 &amp; ":" &amp; B$1)</f>
        <v>Invalid Market: CALCM17</v>
      </c>
      <c r="C1356" s="72" t="s">
        <v>827</v>
      </c>
      <c r="D1356" s="73" t="s">
        <v>806</v>
      </c>
      <c r="E1356" s="72" t="str">
        <f t="shared" si="99"/>
        <v>Feb28</v>
      </c>
      <c r="F1356" s="72" t="str">
        <f>ICE[[#This Row],[Prod]]&amp;ICE[[#This Row],[Strip]]</f>
        <v>gobrxFeb28</v>
      </c>
      <c r="G1356" s="75" t="str">
        <f>RTD("ice.rtd",,$C1356 &amp; $D1356 &amp; ":" &amp; G$1)</f>
        <v>Invalid Market: CALCM17</v>
      </c>
      <c r="H1356" s="75" t="str">
        <f t="shared" si="100"/>
        <v/>
      </c>
      <c r="I1356" s="75" t="str">
        <f>RTD("ice.rtd",,$C1356 &amp; $D1356 &amp; ":" &amp; I$1)</f>
        <v>Invalid Market: CALCM17</v>
      </c>
      <c r="J1356" s="76" t="str">
        <f>IFERROR(MOD(RTD("ice.rtd",,$C1356 &amp; $D1356 &amp; ":" &amp; J$1), 1), "")</f>
        <v/>
      </c>
      <c r="K1356" s="75" t="str">
        <f>RTD("ice.rtd",,$C1356 &amp; $D1356 &amp; ":" &amp; K$1)</f>
        <v>Invalid Market: CALCM17</v>
      </c>
      <c r="L1356" s="74" t="str">
        <f>RTD("ice.rtd",,$C1356 &amp; $D1356 &amp; ":" &amp; L$1)</f>
        <v>Invalid Market: CALCM17</v>
      </c>
      <c r="M1356" s="76" t="str">
        <f>IFERROR(MOD(TIMEVALUE(RTD("ice.rtd",,$C1356 &amp; $D1356 &amp; ":" &amp; M$1)), 1), "")</f>
        <v/>
      </c>
      <c r="N1356" s="74" t="str">
        <f>RTD("ice.rtd",,$C1356 &amp; $D1356 &amp; ":" &amp; N$1)</f>
        <v>Invalid Market: CALCM17</v>
      </c>
      <c r="O1356" s="74" t="str">
        <f>RTD("ice.rtd",,$C1356 &amp; $D1356 &amp; ":" &amp; O$1)</f>
        <v>Invalid Market: CALCM17</v>
      </c>
      <c r="P1356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6" s="76" t="str">
        <f>IF(ICE[[#This Row],[LastType]] = "Scrn", ICE[[#This Row],[LstDate]], IF(ICE[[#This Row],[LastType]] = "Blk", ICE[[#This Row],[LstBlkTime]], ""))</f>
        <v/>
      </c>
      <c r="R1356" s="82" t="str">
        <f t="shared" si="101"/>
        <v/>
      </c>
      <c r="S1356" s="74">
        <f t="shared" si="102"/>
        <v>27</v>
      </c>
      <c r="T1356" s="74">
        <f t="shared" si="102"/>
        <v>959</v>
      </c>
      <c r="U1356" s="75">
        <f t="shared" si="103"/>
        <v>42.936300000000003</v>
      </c>
      <c r="V13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56" s="18" t="str">
        <f>IFERROR(IF(LEFT(ICE[[#This Row],[Tenor]], 1) = "B", RTD("esrtd",,$B1356 &amp; " " &amp; ICE[[#This Row],[Tenor]] &amp; "-IEU", W$1), RTD("esrtd",,$B1356 &amp; " " &amp; VLOOKUP(MONTH(ICE[[#This Row],[Strip]]), MthRef[], 2, 0) &amp; RIGHT(YEAR(ICE[[#This Row],[Strip]]), 2) &amp; "-IEU", W$1)), "")</f>
        <v/>
      </c>
      <c r="X1356" s="36"/>
    </row>
    <row r="1357" spans="1:24" x14ac:dyDescent="0.25">
      <c r="A1357" s="71" t="s">
        <v>839</v>
      </c>
      <c r="B1357" s="71" t="str">
        <f>RTD("ice.rtd",,$C1357 &amp; $D1357 &amp; ":" &amp; B$1)</f>
        <v>Invalid Market: CALCM18</v>
      </c>
      <c r="C1357" s="72" t="s">
        <v>827</v>
      </c>
      <c r="D1357" s="73" t="s">
        <v>807</v>
      </c>
      <c r="E1357" s="72" t="str">
        <f t="shared" si="99"/>
        <v>Mar28</v>
      </c>
      <c r="F1357" s="72" t="str">
        <f>ICE[[#This Row],[Prod]]&amp;ICE[[#This Row],[Strip]]</f>
        <v>gobrxMar28</v>
      </c>
      <c r="G1357" s="75" t="str">
        <f>RTD("ice.rtd",,$C1357 &amp; $D1357 &amp; ":" &amp; G$1)</f>
        <v>Invalid Market: CALCM18</v>
      </c>
      <c r="H1357" s="75" t="str">
        <f t="shared" si="100"/>
        <v/>
      </c>
      <c r="I1357" s="75" t="str">
        <f>RTD("ice.rtd",,$C1357 &amp; $D1357 &amp; ":" &amp; I$1)</f>
        <v>Invalid Market: CALCM18</v>
      </c>
      <c r="J1357" s="76" t="str">
        <f>IFERROR(MOD(RTD("ice.rtd",,$C1357 &amp; $D1357 &amp; ":" &amp; J$1), 1), "")</f>
        <v/>
      </c>
      <c r="K1357" s="75" t="str">
        <f>RTD("ice.rtd",,$C1357 &amp; $D1357 &amp; ":" &amp; K$1)</f>
        <v>Invalid Market: CALCM18</v>
      </c>
      <c r="L1357" s="74" t="str">
        <f>RTD("ice.rtd",,$C1357 &amp; $D1357 &amp; ":" &amp; L$1)</f>
        <v>Invalid Market: CALCM18</v>
      </c>
      <c r="M1357" s="76" t="str">
        <f>IFERROR(MOD(TIMEVALUE(RTD("ice.rtd",,$C1357 &amp; $D1357 &amp; ":" &amp; M$1)), 1), "")</f>
        <v/>
      </c>
      <c r="N1357" s="74" t="str">
        <f>RTD("ice.rtd",,$C1357 &amp; $D1357 &amp; ":" &amp; N$1)</f>
        <v>Invalid Market: CALCM18</v>
      </c>
      <c r="O1357" s="74" t="str">
        <f>RTD("ice.rtd",,$C1357 &amp; $D1357 &amp; ":" &amp; O$1)</f>
        <v>Invalid Market: CALCM18</v>
      </c>
      <c r="P1357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7" s="76" t="str">
        <f>IF(ICE[[#This Row],[LastType]] = "Scrn", ICE[[#This Row],[LstDate]], IF(ICE[[#This Row],[LastType]] = "Blk", ICE[[#This Row],[LstBlkTime]], ""))</f>
        <v/>
      </c>
      <c r="R1357" s="82" t="str">
        <f t="shared" si="101"/>
        <v/>
      </c>
      <c r="S1357" s="74">
        <f t="shared" si="102"/>
        <v>27</v>
      </c>
      <c r="T1357" s="74">
        <f t="shared" si="102"/>
        <v>959</v>
      </c>
      <c r="U1357" s="75">
        <f t="shared" si="103"/>
        <v>41.655200000000001</v>
      </c>
      <c r="V13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57" s="18" t="str">
        <f>IFERROR(IF(LEFT(ICE[[#This Row],[Tenor]], 1) = "B", RTD("esrtd",,$B1357 &amp; " " &amp; ICE[[#This Row],[Tenor]] &amp; "-IEU", W$1), RTD("esrtd",,$B1357 &amp; " " &amp; VLOOKUP(MONTH(ICE[[#This Row],[Strip]]), MthRef[], 2, 0) &amp; RIGHT(YEAR(ICE[[#This Row],[Strip]]), 2) &amp; "-IEU", W$1)), "")</f>
        <v/>
      </c>
      <c r="X1357" s="36"/>
    </row>
    <row r="1358" spans="1:24" x14ac:dyDescent="0.25">
      <c r="A1358" s="71" t="s">
        <v>839</v>
      </c>
      <c r="B1358" s="71" t="str">
        <f>RTD("ice.rtd",,$C1358 &amp; $D1358 &amp; ":" &amp; B$1)</f>
        <v>Invalid Market: CALCM19</v>
      </c>
      <c r="C1358" s="72" t="s">
        <v>827</v>
      </c>
      <c r="D1358" s="73" t="s">
        <v>808</v>
      </c>
      <c r="E1358" s="72" t="str">
        <f t="shared" si="99"/>
        <v>Apr28</v>
      </c>
      <c r="F1358" s="72" t="str">
        <f>ICE[[#This Row],[Prod]]&amp;ICE[[#This Row],[Strip]]</f>
        <v>gobrxApr28</v>
      </c>
      <c r="G1358" s="75" t="str">
        <f>RTD("ice.rtd",,$C1358 &amp; $D1358 &amp; ":" &amp; G$1)</f>
        <v>Invalid Market: CALCM19</v>
      </c>
      <c r="H1358" s="75" t="str">
        <f t="shared" si="100"/>
        <v/>
      </c>
      <c r="I1358" s="75" t="str">
        <f>RTD("ice.rtd",,$C1358 &amp; $D1358 &amp; ":" &amp; I$1)</f>
        <v>Invalid Market: CALCM19</v>
      </c>
      <c r="J1358" s="76" t="str">
        <f>IFERROR(MOD(RTD("ice.rtd",,$C1358 &amp; $D1358 &amp; ":" &amp; J$1), 1), "")</f>
        <v/>
      </c>
      <c r="K1358" s="75" t="str">
        <f>RTD("ice.rtd",,$C1358 &amp; $D1358 &amp; ":" &amp; K$1)</f>
        <v>Invalid Market: CALCM19</v>
      </c>
      <c r="L1358" s="74" t="str">
        <f>RTD("ice.rtd",,$C1358 &amp; $D1358 &amp; ":" &amp; L$1)</f>
        <v>Invalid Market: CALCM19</v>
      </c>
      <c r="M1358" s="76" t="str">
        <f>IFERROR(MOD(TIMEVALUE(RTD("ice.rtd",,$C1358 &amp; $D1358 &amp; ":" &amp; M$1)), 1), "")</f>
        <v/>
      </c>
      <c r="N1358" s="74" t="str">
        <f>RTD("ice.rtd",,$C1358 &amp; $D1358 &amp; ":" &amp; N$1)</f>
        <v>Invalid Market: CALCM19</v>
      </c>
      <c r="O1358" s="74" t="str">
        <f>RTD("ice.rtd",,$C1358 &amp; $D1358 &amp; ":" &amp; O$1)</f>
        <v>Invalid Market: CALCM19</v>
      </c>
      <c r="P1358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8" s="76" t="str">
        <f>IF(ICE[[#This Row],[LastType]] = "Scrn", ICE[[#This Row],[LstDate]], IF(ICE[[#This Row],[LastType]] = "Blk", ICE[[#This Row],[LstBlkTime]], ""))</f>
        <v/>
      </c>
      <c r="R1358" s="82" t="str">
        <f t="shared" si="101"/>
        <v/>
      </c>
      <c r="S1358" s="74">
        <f t="shared" si="102"/>
        <v>27</v>
      </c>
      <c r="T1358" s="74">
        <f t="shared" si="102"/>
        <v>366</v>
      </c>
      <c r="U1358" s="75">
        <f t="shared" si="103"/>
        <v>40.600200000000001</v>
      </c>
      <c r="V13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58" s="18" t="str">
        <f>IFERROR(IF(LEFT(ICE[[#This Row],[Tenor]], 1) = "B", RTD("esrtd",,$B1358 &amp; " " &amp; ICE[[#This Row],[Tenor]] &amp; "-IEU", W$1), RTD("esrtd",,$B1358 &amp; " " &amp; VLOOKUP(MONTH(ICE[[#This Row],[Strip]]), MthRef[], 2, 0) &amp; RIGHT(YEAR(ICE[[#This Row],[Strip]]), 2) &amp; "-IEU", W$1)), "")</f>
        <v/>
      </c>
      <c r="X1358" s="36"/>
    </row>
    <row r="1359" spans="1:24" x14ac:dyDescent="0.25">
      <c r="A1359" s="71" t="s">
        <v>839</v>
      </c>
      <c r="B1359" s="71" t="str">
        <f>RTD("ice.rtd",,$C1359 &amp; $D1359 &amp; ":" &amp; B$1)</f>
        <v>Invalid Market: CALCM20</v>
      </c>
      <c r="C1359" s="72" t="s">
        <v>827</v>
      </c>
      <c r="D1359" s="73" t="s">
        <v>809</v>
      </c>
      <c r="E1359" s="72" t="str">
        <f t="shared" si="99"/>
        <v>May28</v>
      </c>
      <c r="F1359" s="72" t="str">
        <f>ICE[[#This Row],[Prod]]&amp;ICE[[#This Row],[Strip]]</f>
        <v>gobrxMay28</v>
      </c>
      <c r="G1359" s="75" t="str">
        <f>RTD("ice.rtd",,$C1359 &amp; $D1359 &amp; ":" &amp; G$1)</f>
        <v>Invalid Market: CALCM20</v>
      </c>
      <c r="H1359" s="75" t="str">
        <f t="shared" si="100"/>
        <v/>
      </c>
      <c r="I1359" s="75" t="str">
        <f>RTD("ice.rtd",,$C1359 &amp; $D1359 &amp; ":" &amp; I$1)</f>
        <v>Invalid Market: CALCM20</v>
      </c>
      <c r="J1359" s="76" t="str">
        <f>IFERROR(MOD(RTD("ice.rtd",,$C1359 &amp; $D1359 &amp; ":" &amp; J$1), 1), "")</f>
        <v/>
      </c>
      <c r="K1359" s="75" t="str">
        <f>RTD("ice.rtd",,$C1359 &amp; $D1359 &amp; ":" &amp; K$1)</f>
        <v>Invalid Market: CALCM20</v>
      </c>
      <c r="L1359" s="74" t="str">
        <f>RTD("ice.rtd",,$C1359 &amp; $D1359 &amp; ":" &amp; L$1)</f>
        <v>Invalid Market: CALCM20</v>
      </c>
      <c r="M1359" s="76" t="str">
        <f>IFERROR(MOD(TIMEVALUE(RTD("ice.rtd",,$C1359 &amp; $D1359 &amp; ":" &amp; M$1)), 1), "")</f>
        <v/>
      </c>
      <c r="N1359" s="74" t="str">
        <f>RTD("ice.rtd",,$C1359 &amp; $D1359 &amp; ":" &amp; N$1)</f>
        <v>Invalid Market: CALCM20</v>
      </c>
      <c r="O1359" s="74" t="str">
        <f>RTD("ice.rtd",,$C1359 &amp; $D1359 &amp; ":" &amp; O$1)</f>
        <v>Invalid Market: CALCM20</v>
      </c>
      <c r="P1359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59" s="76" t="str">
        <f>IF(ICE[[#This Row],[LastType]] = "Scrn", ICE[[#This Row],[LstDate]], IF(ICE[[#This Row],[LastType]] = "Blk", ICE[[#This Row],[LstBlkTime]], ""))</f>
        <v/>
      </c>
      <c r="R1359" s="82" t="str">
        <f t="shared" si="101"/>
        <v/>
      </c>
      <c r="S1359" s="74">
        <f t="shared" si="102"/>
        <v>27</v>
      </c>
      <c r="T1359" s="74">
        <f t="shared" si="102"/>
        <v>366</v>
      </c>
      <c r="U1359" s="75">
        <f t="shared" si="103"/>
        <v>39.550000000000004</v>
      </c>
      <c r="V13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59" s="18" t="str">
        <f>IFERROR(IF(LEFT(ICE[[#This Row],[Tenor]], 1) = "B", RTD("esrtd",,$B1359 &amp; " " &amp; ICE[[#This Row],[Tenor]] &amp; "-IEU", W$1), RTD("esrtd",,$B1359 &amp; " " &amp; VLOOKUP(MONTH(ICE[[#This Row],[Strip]]), MthRef[], 2, 0) &amp; RIGHT(YEAR(ICE[[#This Row],[Strip]]), 2) &amp; "-IEU", W$1)), "")</f>
        <v/>
      </c>
      <c r="X1359" s="36"/>
    </row>
    <row r="1360" spans="1:24" x14ac:dyDescent="0.25">
      <c r="A1360" s="71" t="s">
        <v>839</v>
      </c>
      <c r="B1360" s="71" t="str">
        <f>RTD("ice.rtd",,$C1360 &amp; $D1360 &amp; ":" &amp; B$1)</f>
        <v>Invalid Market: CALCM21</v>
      </c>
      <c r="C1360" s="72" t="s">
        <v>827</v>
      </c>
      <c r="D1360" s="73" t="s">
        <v>810</v>
      </c>
      <c r="E1360" s="72" t="str">
        <f t="shared" si="99"/>
        <v>Jun28</v>
      </c>
      <c r="F1360" s="72" t="str">
        <f>ICE[[#This Row],[Prod]]&amp;ICE[[#This Row],[Strip]]</f>
        <v>gobrxJun28</v>
      </c>
      <c r="G1360" s="75" t="str">
        <f>RTD("ice.rtd",,$C1360 &amp; $D1360 &amp; ":" &amp; G$1)</f>
        <v>Invalid Market: CALCM21</v>
      </c>
      <c r="H1360" s="75" t="str">
        <f t="shared" si="100"/>
        <v/>
      </c>
      <c r="I1360" s="75" t="str">
        <f>RTD("ice.rtd",,$C1360 &amp; $D1360 &amp; ":" &amp; I$1)</f>
        <v>Invalid Market: CALCM21</v>
      </c>
      <c r="J1360" s="76" t="str">
        <f>IFERROR(MOD(RTD("ice.rtd",,$C1360 &amp; $D1360 &amp; ":" &amp; J$1), 1), "")</f>
        <v/>
      </c>
      <c r="K1360" s="75" t="str">
        <f>RTD("ice.rtd",,$C1360 &amp; $D1360 &amp; ":" &amp; K$1)</f>
        <v>Invalid Market: CALCM21</v>
      </c>
      <c r="L1360" s="74" t="str">
        <f>RTD("ice.rtd",,$C1360 &amp; $D1360 &amp; ":" &amp; L$1)</f>
        <v>Invalid Market: CALCM21</v>
      </c>
      <c r="M1360" s="76" t="str">
        <f>IFERROR(MOD(TIMEVALUE(RTD("ice.rtd",,$C1360 &amp; $D1360 &amp; ":" &amp; M$1)), 1), "")</f>
        <v/>
      </c>
      <c r="N1360" s="74" t="str">
        <f>RTD("ice.rtd",,$C1360 &amp; $D1360 &amp; ":" &amp; N$1)</f>
        <v>Invalid Market: CALCM21</v>
      </c>
      <c r="O1360" s="74" t="str">
        <f>RTD("ice.rtd",,$C1360 &amp; $D1360 &amp; ":" &amp; O$1)</f>
        <v>Invalid Market: CALCM21</v>
      </c>
      <c r="P1360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0" s="76" t="str">
        <f>IF(ICE[[#This Row],[LastType]] = "Scrn", ICE[[#This Row],[LstDate]], IF(ICE[[#This Row],[LastType]] = "Blk", ICE[[#This Row],[LstBlkTime]], ""))</f>
        <v/>
      </c>
      <c r="R1360" s="82" t="str">
        <f t="shared" si="101"/>
        <v/>
      </c>
      <c r="S1360" s="74">
        <f t="shared" si="102"/>
        <v>27</v>
      </c>
      <c r="T1360" s="74">
        <f t="shared" si="102"/>
        <v>366</v>
      </c>
      <c r="U1360" s="75">
        <f t="shared" si="103"/>
        <v>38.7258</v>
      </c>
      <c r="V13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60" s="18" t="str">
        <f>IFERROR(IF(LEFT(ICE[[#This Row],[Tenor]], 1) = "B", RTD("esrtd",,$B1360 &amp; " " &amp; ICE[[#This Row],[Tenor]] &amp; "-IEU", W$1), RTD("esrtd",,$B1360 &amp; " " &amp; VLOOKUP(MONTH(ICE[[#This Row],[Strip]]), MthRef[], 2, 0) &amp; RIGHT(YEAR(ICE[[#This Row],[Strip]]), 2) &amp; "-IEU", W$1)), "")</f>
        <v/>
      </c>
      <c r="X1360" s="36"/>
    </row>
    <row r="1361" spans="1:24" x14ac:dyDescent="0.25">
      <c r="A1361" s="71" t="s">
        <v>839</v>
      </c>
      <c r="B1361" s="71" t="str">
        <f>RTD("ice.rtd",,$C1361 &amp; $D1361 &amp; ":" &amp; B$1)</f>
        <v>Invalid Market: CALCM22</v>
      </c>
      <c r="C1361" s="72" t="s">
        <v>827</v>
      </c>
      <c r="D1361" s="73" t="s">
        <v>811</v>
      </c>
      <c r="E1361" s="72" t="str">
        <f t="shared" si="99"/>
        <v>Jul28</v>
      </c>
      <c r="F1361" s="72" t="str">
        <f>ICE[[#This Row],[Prod]]&amp;ICE[[#This Row],[Strip]]</f>
        <v>gobrxJul28</v>
      </c>
      <c r="G1361" s="75" t="str">
        <f>RTD("ice.rtd",,$C1361 &amp; $D1361 &amp; ":" &amp; G$1)</f>
        <v>Invalid Market: CALCM22</v>
      </c>
      <c r="H1361" s="75" t="str">
        <f t="shared" si="100"/>
        <v/>
      </c>
      <c r="I1361" s="75" t="str">
        <f>RTD("ice.rtd",,$C1361 &amp; $D1361 &amp; ":" &amp; I$1)</f>
        <v>Invalid Market: CALCM22</v>
      </c>
      <c r="J1361" s="76" t="str">
        <f>IFERROR(MOD(RTD("ice.rtd",,$C1361 &amp; $D1361 &amp; ":" &amp; J$1), 1), "")</f>
        <v/>
      </c>
      <c r="K1361" s="75" t="str">
        <f>RTD("ice.rtd",,$C1361 &amp; $D1361 &amp; ":" &amp; K$1)</f>
        <v>Invalid Market: CALCM22</v>
      </c>
      <c r="L1361" s="74" t="str">
        <f>RTD("ice.rtd",,$C1361 &amp; $D1361 &amp; ":" &amp; L$1)</f>
        <v>Invalid Market: CALCM22</v>
      </c>
      <c r="M1361" s="76" t="str">
        <f>IFERROR(MOD(TIMEVALUE(RTD("ice.rtd",,$C1361 &amp; $D1361 &amp; ":" &amp; M$1)), 1), "")</f>
        <v/>
      </c>
      <c r="N1361" s="74" t="str">
        <f>RTD("ice.rtd",,$C1361 &amp; $D1361 &amp; ":" &amp; N$1)</f>
        <v>Invalid Market: CALCM22</v>
      </c>
      <c r="O1361" s="74" t="str">
        <f>RTD("ice.rtd",,$C1361 &amp; $D1361 &amp; ":" &amp; O$1)</f>
        <v>Invalid Market: CALCM22</v>
      </c>
      <c r="P1361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1" s="76" t="str">
        <f>IF(ICE[[#This Row],[LastType]] = "Scrn", ICE[[#This Row],[LstDate]], IF(ICE[[#This Row],[LastType]] = "Blk", ICE[[#This Row],[LstBlkTime]], ""))</f>
        <v/>
      </c>
      <c r="R1361" s="82" t="str">
        <f t="shared" si="101"/>
        <v/>
      </c>
      <c r="S1361" s="74">
        <f t="shared" si="102"/>
        <v>27</v>
      </c>
      <c r="T1361" s="74">
        <f t="shared" si="102"/>
        <v>366</v>
      </c>
      <c r="U1361" s="75">
        <f t="shared" si="103"/>
        <v>38.117600000000003</v>
      </c>
      <c r="V13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61" s="18" t="str">
        <f>IFERROR(IF(LEFT(ICE[[#This Row],[Tenor]], 1) = "B", RTD("esrtd",,$B1361 &amp; " " &amp; ICE[[#This Row],[Tenor]] &amp; "-IEU", W$1), RTD("esrtd",,$B1361 &amp; " " &amp; VLOOKUP(MONTH(ICE[[#This Row],[Strip]]), MthRef[], 2, 0) &amp; RIGHT(YEAR(ICE[[#This Row],[Strip]]), 2) &amp; "-IEU", W$1)), "")</f>
        <v/>
      </c>
      <c r="X1361" s="36"/>
    </row>
    <row r="1362" spans="1:24" x14ac:dyDescent="0.25">
      <c r="A1362" s="71" t="s">
        <v>839</v>
      </c>
      <c r="B1362" s="71" t="str">
        <f>RTD("ice.rtd",,$C1362 &amp; $D1362 &amp; ":" &amp; B$1)</f>
        <v>Invalid Market: CALCM23</v>
      </c>
      <c r="C1362" s="72" t="s">
        <v>827</v>
      </c>
      <c r="D1362" s="73" t="s">
        <v>812</v>
      </c>
      <c r="E1362" s="72" t="str">
        <f t="shared" si="99"/>
        <v>Aug28</v>
      </c>
      <c r="F1362" s="72" t="str">
        <f>ICE[[#This Row],[Prod]]&amp;ICE[[#This Row],[Strip]]</f>
        <v>gobrxAug28</v>
      </c>
      <c r="G1362" s="75" t="str">
        <f>RTD("ice.rtd",,$C1362 &amp; $D1362 &amp; ":" &amp; G$1)</f>
        <v>Invalid Market: CALCM23</v>
      </c>
      <c r="H1362" s="75" t="str">
        <f t="shared" si="100"/>
        <v/>
      </c>
      <c r="I1362" s="75" t="str">
        <f>RTD("ice.rtd",,$C1362 &amp; $D1362 &amp; ":" &amp; I$1)</f>
        <v>Invalid Market: CALCM23</v>
      </c>
      <c r="J1362" s="76" t="str">
        <f>IFERROR(MOD(RTD("ice.rtd",,$C1362 &amp; $D1362 &amp; ":" &amp; J$1), 1), "")</f>
        <v/>
      </c>
      <c r="K1362" s="75" t="str">
        <f>RTD("ice.rtd",,$C1362 &amp; $D1362 &amp; ":" &amp; K$1)</f>
        <v>Invalid Market: CALCM23</v>
      </c>
      <c r="L1362" s="74" t="str">
        <f>RTD("ice.rtd",,$C1362 &amp; $D1362 &amp; ":" &amp; L$1)</f>
        <v>Invalid Market: CALCM23</v>
      </c>
      <c r="M1362" s="76" t="str">
        <f>IFERROR(MOD(TIMEVALUE(RTD("ice.rtd",,$C1362 &amp; $D1362 &amp; ":" &amp; M$1)), 1), "")</f>
        <v/>
      </c>
      <c r="N1362" s="74" t="str">
        <f>RTD("ice.rtd",,$C1362 &amp; $D1362 &amp; ":" &amp; N$1)</f>
        <v>Invalid Market: CALCM23</v>
      </c>
      <c r="O1362" s="74" t="str">
        <f>RTD("ice.rtd",,$C1362 &amp; $D1362 &amp; ":" &amp; O$1)</f>
        <v>Invalid Market: CALCM23</v>
      </c>
      <c r="P1362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2" s="76" t="str">
        <f>IF(ICE[[#This Row],[LastType]] = "Scrn", ICE[[#This Row],[LstDate]], IF(ICE[[#This Row],[LastType]] = "Blk", ICE[[#This Row],[LstBlkTime]], ""))</f>
        <v/>
      </c>
      <c r="R1362" s="82" t="str">
        <f t="shared" si="101"/>
        <v/>
      </c>
      <c r="S1362" s="74">
        <f t="shared" si="102"/>
        <v>27</v>
      </c>
      <c r="T1362" s="74">
        <f t="shared" si="102"/>
        <v>366</v>
      </c>
      <c r="U1362" s="75">
        <f t="shared" si="103"/>
        <v>37.586800000000004</v>
      </c>
      <c r="V13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62" s="18" t="str">
        <f>IFERROR(IF(LEFT(ICE[[#This Row],[Tenor]], 1) = "B", RTD("esrtd",,$B1362 &amp; " " &amp; ICE[[#This Row],[Tenor]] &amp; "-IEU", W$1), RTD("esrtd",,$B1362 &amp; " " &amp; VLOOKUP(MONTH(ICE[[#This Row],[Strip]]), MthRef[], 2, 0) &amp; RIGHT(YEAR(ICE[[#This Row],[Strip]]), 2) &amp; "-IEU", W$1)), "")</f>
        <v/>
      </c>
      <c r="X1362" s="36"/>
    </row>
    <row r="1363" spans="1:24" x14ac:dyDescent="0.25">
      <c r="A1363" s="71" t="s">
        <v>839</v>
      </c>
      <c r="B1363" s="71" t="str">
        <f>RTD("ice.rtd",,$C1363 &amp; $D1363 &amp; ":" &amp; B$1)</f>
        <v>Invalid Market: CALCM24</v>
      </c>
      <c r="C1363" s="72" t="s">
        <v>827</v>
      </c>
      <c r="D1363" s="73" t="s">
        <v>813</v>
      </c>
      <c r="E1363" s="72" t="str">
        <f t="shared" si="99"/>
        <v>Sep28</v>
      </c>
      <c r="F1363" s="72" t="str">
        <f>ICE[[#This Row],[Prod]]&amp;ICE[[#This Row],[Strip]]</f>
        <v>gobrxSep28</v>
      </c>
      <c r="G1363" s="75" t="str">
        <f>RTD("ice.rtd",,$C1363 &amp; $D1363 &amp; ":" &amp; G$1)</f>
        <v>Invalid Market: CALCM24</v>
      </c>
      <c r="H1363" s="75" t="str">
        <f t="shared" si="100"/>
        <v/>
      </c>
      <c r="I1363" s="75" t="str">
        <f>RTD("ice.rtd",,$C1363 &amp; $D1363 &amp; ":" &amp; I$1)</f>
        <v>Invalid Market: CALCM24</v>
      </c>
      <c r="J1363" s="76" t="str">
        <f>IFERROR(MOD(RTD("ice.rtd",,$C1363 &amp; $D1363 &amp; ":" &amp; J$1), 1), "")</f>
        <v/>
      </c>
      <c r="K1363" s="75" t="str">
        <f>RTD("ice.rtd",,$C1363 &amp; $D1363 &amp; ":" &amp; K$1)</f>
        <v>Invalid Market: CALCM24</v>
      </c>
      <c r="L1363" s="74" t="str">
        <f>RTD("ice.rtd",,$C1363 &amp; $D1363 &amp; ":" &amp; L$1)</f>
        <v>Invalid Market: CALCM24</v>
      </c>
      <c r="M1363" s="76" t="str">
        <f>IFERROR(MOD(TIMEVALUE(RTD("ice.rtd",,$C1363 &amp; $D1363 &amp; ":" &amp; M$1)), 1), "")</f>
        <v/>
      </c>
      <c r="N1363" s="74" t="str">
        <f>RTD("ice.rtd",,$C1363 &amp; $D1363 &amp; ":" &amp; N$1)</f>
        <v>Invalid Market: CALCM24</v>
      </c>
      <c r="O1363" s="74" t="str">
        <f>RTD("ice.rtd",,$C1363 &amp; $D1363 &amp; ":" &amp; O$1)</f>
        <v>Invalid Market: CALCM24</v>
      </c>
      <c r="P1363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3" s="76" t="str">
        <f>IF(ICE[[#This Row],[LastType]] = "Scrn", ICE[[#This Row],[LstDate]], IF(ICE[[#This Row],[LastType]] = "Blk", ICE[[#This Row],[LstBlkTime]], ""))</f>
        <v/>
      </c>
      <c r="R1363" s="82" t="str">
        <f t="shared" si="101"/>
        <v/>
      </c>
      <c r="S1363" s="74">
        <f t="shared" si="102"/>
        <v>27</v>
      </c>
      <c r="T1363" s="74">
        <f t="shared" si="102"/>
        <v>366</v>
      </c>
      <c r="U1363" s="75">
        <f t="shared" si="103"/>
        <v>37.255299999999998</v>
      </c>
      <c r="V13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|27x</v>
      </c>
      <c r="W1363" s="18" t="str">
        <f>IFERROR(IF(LEFT(ICE[[#This Row],[Tenor]], 1) = "B", RTD("esrtd",,$B1363 &amp; " " &amp; ICE[[#This Row],[Tenor]] &amp; "-IEU", W$1), RTD("esrtd",,$B1363 &amp; " " &amp; VLOOKUP(MONTH(ICE[[#This Row],[Strip]]), MthRef[], 2, 0) &amp; RIGHT(YEAR(ICE[[#This Row],[Strip]]), 2) &amp; "-IEU", W$1)), "")</f>
        <v/>
      </c>
      <c r="X1363" s="36"/>
    </row>
    <row r="1364" spans="1:24" x14ac:dyDescent="0.25">
      <c r="A1364" s="71" t="s">
        <v>839</v>
      </c>
      <c r="B1364" s="71" t="str">
        <f>RTD("ice.rtd",,$C1364 &amp; $D1364 &amp; ":" &amp; B$1)</f>
        <v>Invalid Market: CALCQ0</v>
      </c>
      <c r="C1364" s="72" t="s">
        <v>827</v>
      </c>
      <c r="D1364" s="73" t="s">
        <v>814</v>
      </c>
      <c r="E1364" s="72" t="str">
        <f t="shared" si="99"/>
        <v>Q4 26</v>
      </c>
      <c r="F1364" s="72" t="str">
        <f>ICE[[#This Row],[Prod]]&amp;ICE[[#This Row],[Strip]]</f>
        <v>gobrxQ4 26</v>
      </c>
      <c r="G1364" s="75" t="str">
        <f>RTD("ice.rtd",,$C1364 &amp; $D1364 &amp; ":" &amp; G$1)</f>
        <v>Invalid Market: CALCQ0</v>
      </c>
      <c r="H1364" s="75">
        <f t="shared" si="100"/>
        <v>78.150000000000006</v>
      </c>
      <c r="I1364" s="75" t="str">
        <f>RTD("ice.rtd",,$C1364 &amp; $D1364 &amp; ":" &amp; I$1)</f>
        <v>Invalid Market: CALCQ0</v>
      </c>
      <c r="J1364" s="76" t="str">
        <f>IFERROR(MOD(RTD("ice.rtd",,$C1364 &amp; $D1364 &amp; ":" &amp; J$1), 1), "")</f>
        <v/>
      </c>
      <c r="K1364" s="75" t="str">
        <f>RTD("ice.rtd",,$C1364 &amp; $D1364 &amp; ":" &amp; K$1)</f>
        <v>Invalid Market: CALCQ0</v>
      </c>
      <c r="L1364" s="74" t="str">
        <f>RTD("ice.rtd",,$C1364 &amp; $D1364 &amp; ":" &amp; L$1)</f>
        <v>Invalid Market: CALCQ0</v>
      </c>
      <c r="M1364" s="76" t="str">
        <f>IFERROR(MOD(TIMEVALUE(RTD("ice.rtd",,$C1364 &amp; $D1364 &amp; ":" &amp; M$1)), 1), "")</f>
        <v/>
      </c>
      <c r="N1364" s="74" t="str">
        <f>RTD("ice.rtd",,$C1364 &amp; $D1364 &amp; ":" &amp; N$1)</f>
        <v>Invalid Market: CALCQ0</v>
      </c>
      <c r="O1364" s="74" t="str">
        <f>RTD("ice.rtd",,$C1364 &amp; $D1364 &amp; ":" &amp; O$1)</f>
        <v>Invalid Market: CALCQ0</v>
      </c>
      <c r="P1364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4" s="76" t="str">
        <f>IF(ICE[[#This Row],[LastType]] = "Scrn", ICE[[#This Row],[LstDate]], IF(ICE[[#This Row],[LastType]] = "Blk", ICE[[#This Row],[LstBlkTime]], ""))</f>
        <v/>
      </c>
      <c r="R1364" s="82">
        <f t="shared" si="101"/>
        <v>78.150000000000006</v>
      </c>
      <c r="S1364" s="74">
        <f t="shared" si="102"/>
        <v>335</v>
      </c>
      <c r="T1364" s="74">
        <f t="shared" si="102"/>
        <v>0</v>
      </c>
      <c r="U1364" s="75">
        <f t="shared" si="103"/>
        <v>77.049000000000007</v>
      </c>
      <c r="V13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78.15 {78.15} |335x</v>
      </c>
      <c r="W1364" s="18" t="str">
        <f>IFERROR(IF(LEFT(ICE[[#This Row],[Tenor]], 1) = "B", RTD("esrtd",,$B1364 &amp; " " &amp; ICE[[#This Row],[Tenor]] &amp; "-IEU", W$1), RTD("esrtd",,$B1364 &amp; " " &amp; VLOOKUP(MONTH(ICE[[#This Row],[Strip]]), MthRef[], 2, 0) &amp; RIGHT(YEAR(ICE[[#This Row],[Strip]]), 2) &amp; "-IEU", W$1)), "")</f>
        <v/>
      </c>
      <c r="X1364" s="36"/>
    </row>
    <row r="1365" spans="1:24" x14ac:dyDescent="0.25">
      <c r="A1365" s="71" t="s">
        <v>839</v>
      </c>
      <c r="B1365" s="71" t="str">
        <f>RTD("ice.rtd",,$C1365 &amp; $D1365 &amp; ":" &amp; B$1)</f>
        <v>Invalid Market: CALCQ1</v>
      </c>
      <c r="C1365" s="72" t="s">
        <v>827</v>
      </c>
      <c r="D1365" s="73" t="s">
        <v>815</v>
      </c>
      <c r="E1365" s="72" t="str">
        <f t="shared" si="99"/>
        <v>Q1 27</v>
      </c>
      <c r="F1365" s="72" t="str">
        <f>ICE[[#This Row],[Prod]]&amp;ICE[[#This Row],[Strip]]</f>
        <v>gobrxQ1 27</v>
      </c>
      <c r="G1365" s="75" t="str">
        <f>RTD("ice.rtd",,$C1365 &amp; $D1365 &amp; ":" &amp; G$1)</f>
        <v>Invalid Market: CALCQ1</v>
      </c>
      <c r="H1365" s="75">
        <f t="shared" si="100"/>
        <v>66.48</v>
      </c>
      <c r="I1365" s="75" t="str">
        <f>RTD("ice.rtd",,$C1365 &amp; $D1365 &amp; ":" &amp; I$1)</f>
        <v>Invalid Market: CALCQ1</v>
      </c>
      <c r="J1365" s="76" t="str">
        <f>IFERROR(MOD(RTD("ice.rtd",,$C1365 &amp; $D1365 &amp; ":" &amp; J$1), 1), "")</f>
        <v/>
      </c>
      <c r="K1365" s="75" t="str">
        <f>RTD("ice.rtd",,$C1365 &amp; $D1365 &amp; ":" &amp; K$1)</f>
        <v>Invalid Market: CALCQ1</v>
      </c>
      <c r="L1365" s="74" t="str">
        <f>RTD("ice.rtd",,$C1365 &amp; $D1365 &amp; ":" &amp; L$1)</f>
        <v>Invalid Market: CALCQ1</v>
      </c>
      <c r="M1365" s="76" t="str">
        <f>IFERROR(MOD(TIMEVALUE(RTD("ice.rtd",,$C1365 &amp; $D1365 &amp; ":" &amp; M$1)), 1), "")</f>
        <v/>
      </c>
      <c r="N1365" s="74" t="str">
        <f>RTD("ice.rtd",,$C1365 &amp; $D1365 &amp; ":" &amp; N$1)</f>
        <v>Invalid Market: CALCQ1</v>
      </c>
      <c r="O1365" s="74" t="str">
        <f>RTD("ice.rtd",,$C1365 &amp; $D1365 &amp; ":" &amp; O$1)</f>
        <v>Invalid Market: CALCQ1</v>
      </c>
      <c r="P1365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5" s="76" t="str">
        <f>IF(ICE[[#This Row],[LastType]] = "Scrn", ICE[[#This Row],[LstDate]], IF(ICE[[#This Row],[LastType]] = "Blk", ICE[[#This Row],[LstBlkTime]], ""))</f>
        <v/>
      </c>
      <c r="R1365" s="82">
        <f t="shared" si="101"/>
        <v>66.45</v>
      </c>
      <c r="S1365" s="74">
        <f t="shared" si="102"/>
        <v>185</v>
      </c>
      <c r="T1365" s="74">
        <f t="shared" si="102"/>
        <v>0</v>
      </c>
      <c r="U1365" s="75">
        <f t="shared" si="103"/>
        <v>65.094800000000006</v>
      </c>
      <c r="V13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66.48 {66.45} |185x</v>
      </c>
      <c r="W1365" s="18" t="str">
        <f>IFERROR(IF(LEFT(ICE[[#This Row],[Tenor]], 1) = "B", RTD("esrtd",,$B1365 &amp; " " &amp; ICE[[#This Row],[Tenor]] &amp; "-IEU", W$1), RTD("esrtd",,$B1365 &amp; " " &amp; VLOOKUP(MONTH(ICE[[#This Row],[Strip]]), MthRef[], 2, 0) &amp; RIGHT(YEAR(ICE[[#This Row],[Strip]]), 2) &amp; "-IEU", W$1)), "")</f>
        <v/>
      </c>
      <c r="X1365" s="36"/>
    </row>
    <row r="1366" spans="1:24" x14ac:dyDescent="0.25">
      <c r="A1366" s="71" t="s">
        <v>839</v>
      </c>
      <c r="B1366" s="71" t="str">
        <f>RTD("ice.rtd",,$C1366 &amp; $D1366 &amp; ":" &amp; B$1)</f>
        <v>Invalid Market: CALCQ2</v>
      </c>
      <c r="C1366" s="72" t="s">
        <v>827</v>
      </c>
      <c r="D1366" s="73" t="s">
        <v>816</v>
      </c>
      <c r="E1366" s="72" t="str">
        <f t="shared" si="99"/>
        <v>Q2 27</v>
      </c>
      <c r="F1366" s="72" t="str">
        <f>ICE[[#This Row],[Prod]]&amp;ICE[[#This Row],[Strip]]</f>
        <v>gobrxQ2 27</v>
      </c>
      <c r="G1366" s="75" t="str">
        <f>RTD("ice.rtd",,$C1366 &amp; $D1366 &amp; ":" &amp; G$1)</f>
        <v>Invalid Market: CALCQ2</v>
      </c>
      <c r="H1366" s="75">
        <f t="shared" si="100"/>
        <v>57.01</v>
      </c>
      <c r="I1366" s="75" t="str">
        <f>RTD("ice.rtd",,$C1366 &amp; $D1366 &amp; ":" &amp; I$1)</f>
        <v>Invalid Market: CALCQ2</v>
      </c>
      <c r="J1366" s="76" t="str">
        <f>IFERROR(MOD(RTD("ice.rtd",,$C1366 &amp; $D1366 &amp; ":" &amp; J$1), 1), "")</f>
        <v/>
      </c>
      <c r="K1366" s="75" t="str">
        <f>RTD("ice.rtd",,$C1366 &amp; $D1366 &amp; ":" &amp; K$1)</f>
        <v>Invalid Market: CALCQ2</v>
      </c>
      <c r="L1366" s="74" t="str">
        <f>RTD("ice.rtd",,$C1366 &amp; $D1366 &amp; ":" &amp; L$1)</f>
        <v>Invalid Market: CALCQ2</v>
      </c>
      <c r="M1366" s="76" t="str">
        <f>IFERROR(MOD(TIMEVALUE(RTD("ice.rtd",,$C1366 &amp; $D1366 &amp; ":" &amp; M$1)), 1), "")</f>
        <v/>
      </c>
      <c r="N1366" s="74" t="str">
        <f>RTD("ice.rtd",,$C1366 &amp; $D1366 &amp; ":" &amp; N$1)</f>
        <v>Invalid Market: CALCQ2</v>
      </c>
      <c r="O1366" s="74" t="str">
        <f>RTD("ice.rtd",,$C1366 &amp; $D1366 &amp; ":" &amp; O$1)</f>
        <v>Invalid Market: CALCQ2</v>
      </c>
      <c r="P1366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6" s="76" t="str">
        <f>IF(ICE[[#This Row],[LastType]] = "Scrn", ICE[[#This Row],[LstDate]], IF(ICE[[#This Row],[LastType]] = "Blk", ICE[[#This Row],[LstBlkTime]], ""))</f>
        <v/>
      </c>
      <c r="R1366" s="82">
        <f t="shared" si="101"/>
        <v>57</v>
      </c>
      <c r="S1366" s="74">
        <f t="shared" si="102"/>
        <v>25</v>
      </c>
      <c r="T1366" s="74">
        <f t="shared" si="102"/>
        <v>0</v>
      </c>
      <c r="U1366" s="75">
        <f t="shared" si="103"/>
        <v>55.766300000000001</v>
      </c>
      <c r="V13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57.01 {57.00} |25x</v>
      </c>
      <c r="W1366" s="18" t="str">
        <f>IFERROR(IF(LEFT(ICE[[#This Row],[Tenor]], 1) = "B", RTD("esrtd",,$B1366 &amp; " " &amp; ICE[[#This Row],[Tenor]] &amp; "-IEU", W$1), RTD("esrtd",,$B1366 &amp; " " &amp; VLOOKUP(MONTH(ICE[[#This Row],[Strip]]), MthRef[], 2, 0) &amp; RIGHT(YEAR(ICE[[#This Row],[Strip]]), 2) &amp; "-IEU", W$1)), "")</f>
        <v/>
      </c>
      <c r="X1366" s="36"/>
    </row>
    <row r="1367" spans="1:24" x14ac:dyDescent="0.25">
      <c r="A1367" s="71" t="s">
        <v>839</v>
      </c>
      <c r="B1367" s="71" t="str">
        <f>RTD("ice.rtd",,$C1367 &amp; $D1367 &amp; ":" &amp; B$1)</f>
        <v>Invalid Market: CALCQ3</v>
      </c>
      <c r="C1367" s="72" t="s">
        <v>827</v>
      </c>
      <c r="D1367" s="73" t="s">
        <v>817</v>
      </c>
      <c r="E1367" s="72" t="str">
        <f t="shared" si="99"/>
        <v>Q3 27</v>
      </c>
      <c r="F1367" s="72" t="str">
        <f>ICE[[#This Row],[Prod]]&amp;ICE[[#This Row],[Strip]]</f>
        <v>gobrxQ3 27</v>
      </c>
      <c r="G1367" s="75" t="str">
        <f>RTD("ice.rtd",,$C1367 &amp; $D1367 &amp; ":" &amp; G$1)</f>
        <v>Invalid Market: CALCQ3</v>
      </c>
      <c r="H1367" s="75">
        <f t="shared" si="100"/>
        <v>51.96</v>
      </c>
      <c r="I1367" s="75" t="str">
        <f>RTD("ice.rtd",,$C1367 &amp; $D1367 &amp; ":" &amp; I$1)</f>
        <v>Invalid Market: CALCQ3</v>
      </c>
      <c r="J1367" s="76" t="str">
        <f>IFERROR(MOD(RTD("ice.rtd",,$C1367 &amp; $D1367 &amp; ":" &amp; J$1), 1), "")</f>
        <v/>
      </c>
      <c r="K1367" s="75" t="str">
        <f>RTD("ice.rtd",,$C1367 &amp; $D1367 &amp; ":" &amp; K$1)</f>
        <v>Invalid Market: CALCQ3</v>
      </c>
      <c r="L1367" s="74" t="str">
        <f>RTD("ice.rtd",,$C1367 &amp; $D1367 &amp; ":" &amp; L$1)</f>
        <v>Invalid Market: CALCQ3</v>
      </c>
      <c r="M1367" s="76" t="str">
        <f>IFERROR(MOD(TIMEVALUE(RTD("ice.rtd",,$C1367 &amp; $D1367 &amp; ":" &amp; M$1)), 1), "")</f>
        <v/>
      </c>
      <c r="N1367" s="74" t="str">
        <f>RTD("ice.rtd",,$C1367 &amp; $D1367 &amp; ":" &amp; N$1)</f>
        <v>Invalid Market: CALCQ3</v>
      </c>
      <c r="O1367" s="74" t="str">
        <f>RTD("ice.rtd",,$C1367 &amp; $D1367 &amp; ":" &amp; O$1)</f>
        <v>Invalid Market: CALCQ3</v>
      </c>
      <c r="P1367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7" s="76" t="str">
        <f>IF(ICE[[#This Row],[LastType]] = "Scrn", ICE[[#This Row],[LstDate]], IF(ICE[[#This Row],[LastType]] = "Blk", ICE[[#This Row],[LstBlkTime]], ""))</f>
        <v/>
      </c>
      <c r="R1367" s="82" t="str">
        <f t="shared" si="101"/>
        <v/>
      </c>
      <c r="S1367" s="74">
        <f t="shared" si="102"/>
        <v>0</v>
      </c>
      <c r="T1367" s="74">
        <f t="shared" si="102"/>
        <v>0</v>
      </c>
      <c r="U1367" s="75">
        <f t="shared" si="103"/>
        <v>50.7012</v>
      </c>
      <c r="V13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51.96 </v>
      </c>
      <c r="W1367" s="18" t="str">
        <f>IFERROR(IF(LEFT(ICE[[#This Row],[Tenor]], 1) = "B", RTD("esrtd",,$B1367 &amp; " " &amp; ICE[[#This Row],[Tenor]] &amp; "-IEU", W$1), RTD("esrtd",,$B1367 &amp; " " &amp; VLOOKUP(MONTH(ICE[[#This Row],[Strip]]), MthRef[], 2, 0) &amp; RIGHT(YEAR(ICE[[#This Row],[Strip]]), 2) &amp; "-IEU", W$1)), "")</f>
        <v/>
      </c>
      <c r="X1367" s="36"/>
    </row>
    <row r="1368" spans="1:24" x14ac:dyDescent="0.25">
      <c r="A1368" s="71" t="s">
        <v>839</v>
      </c>
      <c r="B1368" s="71" t="str">
        <f>RTD("ice.rtd",,$C1368 &amp; $D1368 &amp; ":" &amp; B$1)</f>
        <v>Invalid Market: CALCQ4</v>
      </c>
      <c r="C1368" s="72" t="s">
        <v>827</v>
      </c>
      <c r="D1368" s="73" t="s">
        <v>818</v>
      </c>
      <c r="E1368" s="72" t="str">
        <f t="shared" si="99"/>
        <v>Q4 27</v>
      </c>
      <c r="F1368" s="72" t="str">
        <f>ICE[[#This Row],[Prod]]&amp;ICE[[#This Row],[Strip]]</f>
        <v>gobrxQ4 27</v>
      </c>
      <c r="G1368" s="75" t="str">
        <f>RTD("ice.rtd",,$C1368 &amp; $D1368 &amp; ":" &amp; G$1)</f>
        <v>Invalid Market: CALCQ4</v>
      </c>
      <c r="H1368" s="75">
        <f t="shared" si="100"/>
        <v>47.79</v>
      </c>
      <c r="I1368" s="75" t="str">
        <f>RTD("ice.rtd",,$C1368 &amp; $D1368 &amp; ":" &amp; I$1)</f>
        <v>Invalid Market: CALCQ4</v>
      </c>
      <c r="J1368" s="76" t="str">
        <f>IFERROR(MOD(RTD("ice.rtd",,$C1368 &amp; $D1368 &amp; ":" &amp; J$1), 1), "")</f>
        <v/>
      </c>
      <c r="K1368" s="75" t="str">
        <f>RTD("ice.rtd",,$C1368 &amp; $D1368 &amp; ":" &amp; K$1)</f>
        <v>Invalid Market: CALCQ4</v>
      </c>
      <c r="L1368" s="74" t="str">
        <f>RTD("ice.rtd",,$C1368 &amp; $D1368 &amp; ":" &amp; L$1)</f>
        <v>Invalid Market: CALCQ4</v>
      </c>
      <c r="M1368" s="76" t="str">
        <f>IFERROR(MOD(TIMEVALUE(RTD("ice.rtd",,$C1368 &amp; $D1368 &amp; ":" &amp; M$1)), 1), "")</f>
        <v/>
      </c>
      <c r="N1368" s="74" t="str">
        <f>RTD("ice.rtd",,$C1368 &amp; $D1368 &amp; ":" &amp; N$1)</f>
        <v>Invalid Market: CALCQ4</v>
      </c>
      <c r="O1368" s="74" t="str">
        <f>RTD("ice.rtd",,$C1368 &amp; $D1368 &amp; ":" &amp; O$1)</f>
        <v>Invalid Market: CALCQ4</v>
      </c>
      <c r="P1368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8" s="76" t="str">
        <f>IF(ICE[[#This Row],[LastType]] = "Scrn", ICE[[#This Row],[LstDate]], IF(ICE[[#This Row],[LastType]] = "Blk", ICE[[#This Row],[LstBlkTime]], ""))</f>
        <v/>
      </c>
      <c r="R1368" s="82" t="str">
        <f t="shared" si="101"/>
        <v/>
      </c>
      <c r="S1368" s="74">
        <f t="shared" si="102"/>
        <v>0</v>
      </c>
      <c r="T1368" s="74">
        <f t="shared" si="102"/>
        <v>0</v>
      </c>
      <c r="U1368" s="75">
        <f t="shared" si="103"/>
        <v>46.472999999999999</v>
      </c>
      <c r="V13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47.79 </v>
      </c>
      <c r="W1368" s="18" t="str">
        <f>IFERROR(IF(LEFT(ICE[[#This Row],[Tenor]], 1) = "B", RTD("esrtd",,$B1368 &amp; " " &amp; ICE[[#This Row],[Tenor]] &amp; "-IEU", W$1), RTD("esrtd",,$B1368 &amp; " " &amp; VLOOKUP(MONTH(ICE[[#This Row],[Strip]]), MthRef[], 2, 0) &amp; RIGHT(YEAR(ICE[[#This Row],[Strip]]), 2) &amp; "-IEU", W$1)), "")</f>
        <v/>
      </c>
      <c r="X1368" s="36"/>
    </row>
    <row r="1369" spans="1:24" x14ac:dyDescent="0.25">
      <c r="A1369" s="71" t="s">
        <v>839</v>
      </c>
      <c r="B1369" s="71" t="str">
        <f>RTD("ice.rtd",,$C1369 &amp; $D1369 &amp; ":" &amp; B$1)</f>
        <v>Invalid Market: CALCQ5</v>
      </c>
      <c r="C1369" s="72" t="s">
        <v>827</v>
      </c>
      <c r="D1369" s="73" t="s">
        <v>819</v>
      </c>
      <c r="E1369" s="72" t="str">
        <f t="shared" si="99"/>
        <v>Q1 28</v>
      </c>
      <c r="F1369" s="72" t="str">
        <f>ICE[[#This Row],[Prod]]&amp;ICE[[#This Row],[Strip]]</f>
        <v>gobrxQ1 28</v>
      </c>
      <c r="G1369" s="75" t="str">
        <f>RTD("ice.rtd",,$C1369 &amp; $D1369 &amp; ":" &amp; G$1)</f>
        <v>Invalid Market: CALCQ5</v>
      </c>
      <c r="H1369" s="75">
        <f t="shared" si="100"/>
        <v>44.1</v>
      </c>
      <c r="I1369" s="75" t="str">
        <f>RTD("ice.rtd",,$C1369 &amp; $D1369 &amp; ":" &amp; I$1)</f>
        <v>Invalid Market: CALCQ5</v>
      </c>
      <c r="J1369" s="76" t="str">
        <f>IFERROR(MOD(RTD("ice.rtd",,$C1369 &amp; $D1369 &amp; ":" &amp; J$1), 1), "")</f>
        <v/>
      </c>
      <c r="K1369" s="75" t="str">
        <f>RTD("ice.rtd",,$C1369 &amp; $D1369 &amp; ":" &amp; K$1)</f>
        <v>Invalid Market: CALCQ5</v>
      </c>
      <c r="L1369" s="74" t="str">
        <f>RTD("ice.rtd",,$C1369 &amp; $D1369 &amp; ":" &amp; L$1)</f>
        <v>Invalid Market: CALCQ5</v>
      </c>
      <c r="M1369" s="76" t="str">
        <f>IFERROR(MOD(TIMEVALUE(RTD("ice.rtd",,$C1369 &amp; $D1369 &amp; ":" &amp; M$1)), 1), "")</f>
        <v/>
      </c>
      <c r="N1369" s="74" t="str">
        <f>RTD("ice.rtd",,$C1369 &amp; $D1369 &amp; ":" &amp; N$1)</f>
        <v>Invalid Market: CALCQ5</v>
      </c>
      <c r="O1369" s="74" t="str">
        <f>RTD("ice.rtd",,$C1369 &amp; $D1369 &amp; ":" &amp; O$1)</f>
        <v>Invalid Market: CALCQ5</v>
      </c>
      <c r="P1369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69" s="76" t="str">
        <f>IF(ICE[[#This Row],[LastType]] = "Scrn", ICE[[#This Row],[LstDate]], IF(ICE[[#This Row],[LastType]] = "Blk", ICE[[#This Row],[LstBlkTime]], ""))</f>
        <v/>
      </c>
      <c r="R1369" s="82" t="str">
        <f t="shared" si="101"/>
        <v/>
      </c>
      <c r="S1369" s="74">
        <f t="shared" si="102"/>
        <v>0</v>
      </c>
      <c r="T1369" s="74">
        <f t="shared" si="102"/>
        <v>0</v>
      </c>
      <c r="U1369" s="75">
        <f t="shared" si="103"/>
        <v>42.853700000000003</v>
      </c>
      <c r="V13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44.10 </v>
      </c>
      <c r="W1369" s="18" t="str">
        <f>IFERROR(IF(LEFT(ICE[[#This Row],[Tenor]], 1) = "B", RTD("esrtd",,$B1369 &amp; " " &amp; ICE[[#This Row],[Tenor]] &amp; "-IEU", W$1), RTD("esrtd",,$B1369 &amp; " " &amp; VLOOKUP(MONTH(ICE[[#This Row],[Strip]]), MthRef[], 2, 0) &amp; RIGHT(YEAR(ICE[[#This Row],[Strip]]), 2) &amp; "-IEU", W$1)), "")</f>
        <v/>
      </c>
      <c r="X1369" s="36"/>
    </row>
    <row r="1370" spans="1:24" x14ac:dyDescent="0.25">
      <c r="A1370" s="71" t="s">
        <v>839</v>
      </c>
      <c r="B1370" s="71" t="str">
        <f>RTD("ice.rtd",,$C1370 &amp; $D1370 &amp; ":" &amp; B$1)</f>
        <v>Invalid Market: CALCQ6</v>
      </c>
      <c r="C1370" s="72" t="s">
        <v>827</v>
      </c>
      <c r="D1370" s="73" t="s">
        <v>229</v>
      </c>
      <c r="E1370" s="72" t="str">
        <f t="shared" si="99"/>
        <v>Q2 28</v>
      </c>
      <c r="F1370" s="72" t="str">
        <f>ICE[[#This Row],[Prod]]&amp;ICE[[#This Row],[Strip]]</f>
        <v>gobrxQ2 28</v>
      </c>
      <c r="G1370" s="75" t="str">
        <f>RTD("ice.rtd",,$C1370 &amp; $D1370 &amp; ":" &amp; G$1)</f>
        <v>Invalid Market: CALCQ6</v>
      </c>
      <c r="H1370" s="75">
        <f t="shared" si="100"/>
        <v>43.85</v>
      </c>
      <c r="I1370" s="75" t="str">
        <f>RTD("ice.rtd",,$C1370 &amp; $D1370 &amp; ":" &amp; I$1)</f>
        <v>Invalid Market: CALCQ6</v>
      </c>
      <c r="J1370" s="76" t="str">
        <f>IFERROR(MOD(RTD("ice.rtd",,$C1370 &amp; $D1370 &amp; ":" &amp; J$1), 1), "")</f>
        <v/>
      </c>
      <c r="K1370" s="75" t="str">
        <f>RTD("ice.rtd",,$C1370 &amp; $D1370 &amp; ":" &amp; K$1)</f>
        <v>Invalid Market: CALCQ6</v>
      </c>
      <c r="L1370" s="74" t="str">
        <f>RTD("ice.rtd",,$C1370 &amp; $D1370 &amp; ":" &amp; L$1)</f>
        <v>Invalid Market: CALCQ6</v>
      </c>
      <c r="M1370" s="76" t="str">
        <f>IFERROR(MOD(TIMEVALUE(RTD("ice.rtd",,$C1370 &amp; $D1370 &amp; ":" &amp; M$1)), 1), "")</f>
        <v/>
      </c>
      <c r="N1370" s="74" t="str">
        <f>RTD("ice.rtd",,$C1370 &amp; $D1370 &amp; ":" &amp; N$1)</f>
        <v>Invalid Market: CALCQ6</v>
      </c>
      <c r="O1370" s="74" t="str">
        <f>RTD("ice.rtd",,$C1370 &amp; $D1370 &amp; ":" &amp; O$1)</f>
        <v>Invalid Market: CALCQ6</v>
      </c>
      <c r="P1370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0" s="76" t="str">
        <f>IF(ICE[[#This Row],[LastType]] = "Scrn", ICE[[#This Row],[LstDate]], IF(ICE[[#This Row],[LastType]] = "Blk", ICE[[#This Row],[LstBlkTime]], ""))</f>
        <v/>
      </c>
      <c r="R1370" s="82" t="str">
        <f t="shared" si="101"/>
        <v/>
      </c>
      <c r="S1370" s="74">
        <f t="shared" si="102"/>
        <v>0</v>
      </c>
      <c r="T1370" s="74">
        <f t="shared" si="102"/>
        <v>0</v>
      </c>
      <c r="U1370" s="75">
        <f t="shared" si="103"/>
        <v>39.625300000000003</v>
      </c>
      <c r="V13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43.85 </v>
      </c>
      <c r="W1370" s="18" t="str">
        <f>IFERROR(IF(LEFT(ICE[[#This Row],[Tenor]], 1) = "B", RTD("esrtd",,$B1370 &amp; " " &amp; ICE[[#This Row],[Tenor]] &amp; "-IEU", W$1), RTD("esrtd",,$B1370 &amp; " " &amp; VLOOKUP(MONTH(ICE[[#This Row],[Strip]]), MthRef[], 2, 0) &amp; RIGHT(YEAR(ICE[[#This Row],[Strip]]), 2) &amp; "-IEU", W$1)), "")</f>
        <v/>
      </c>
      <c r="X1370" s="36"/>
    </row>
    <row r="1371" spans="1:24" x14ac:dyDescent="0.25">
      <c r="A1371" s="71" t="s">
        <v>839</v>
      </c>
      <c r="B1371" s="71" t="str">
        <f>RTD("ice.rtd",,$C1371 &amp; $D1371 &amp; ":" &amp; B$1)</f>
        <v>Invalid Market: CALCQ7</v>
      </c>
      <c r="C1371" s="72" t="s">
        <v>827</v>
      </c>
      <c r="D1371" s="73" t="s">
        <v>820</v>
      </c>
      <c r="E1371" s="72" t="str">
        <f t="shared" si="99"/>
        <v>Q3 28</v>
      </c>
      <c r="F1371" s="72" t="str">
        <f>ICE[[#This Row],[Prod]]&amp;ICE[[#This Row],[Strip]]</f>
        <v>gobrxQ3 28</v>
      </c>
      <c r="G1371" s="75" t="str">
        <f>RTD("ice.rtd",,$C1371 &amp; $D1371 &amp; ":" &amp; G$1)</f>
        <v>Invalid Market: CALCQ7</v>
      </c>
      <c r="H1371" s="75" t="str">
        <f t="shared" si="100"/>
        <v/>
      </c>
      <c r="I1371" s="75" t="str">
        <f>RTD("ice.rtd",,$C1371 &amp; $D1371 &amp; ":" &amp; I$1)</f>
        <v>Invalid Market: CALCQ7</v>
      </c>
      <c r="J1371" s="76" t="str">
        <f>IFERROR(MOD(RTD("ice.rtd",,$C1371 &amp; $D1371 &amp; ":" &amp; J$1), 1), "")</f>
        <v/>
      </c>
      <c r="K1371" s="75" t="str">
        <f>RTD("ice.rtd",,$C1371 &amp; $D1371 &amp; ":" &amp; K$1)</f>
        <v>Invalid Market: CALCQ7</v>
      </c>
      <c r="L1371" s="74" t="str">
        <f>RTD("ice.rtd",,$C1371 &amp; $D1371 &amp; ":" &amp; L$1)</f>
        <v>Invalid Market: CALCQ7</v>
      </c>
      <c r="M1371" s="76" t="str">
        <f>IFERROR(MOD(TIMEVALUE(RTD("ice.rtd",,$C1371 &amp; $D1371 &amp; ":" &amp; M$1)), 1), "")</f>
        <v/>
      </c>
      <c r="N1371" s="74" t="str">
        <f>RTD("ice.rtd",,$C1371 &amp; $D1371 &amp; ":" &amp; N$1)</f>
        <v>Invalid Market: CALCQ7</v>
      </c>
      <c r="O1371" s="74" t="str">
        <f>RTD("ice.rtd",,$C1371 &amp; $D1371 &amp; ":" &amp; O$1)</f>
        <v>Invalid Market: CALCQ7</v>
      </c>
      <c r="P1371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1" s="76" t="str">
        <f>IF(ICE[[#This Row],[LastType]] = "Scrn", ICE[[#This Row],[LstDate]], IF(ICE[[#This Row],[LastType]] = "Blk", ICE[[#This Row],[LstBlkTime]], ""))</f>
        <v/>
      </c>
      <c r="R1371" s="82" t="str">
        <f t="shared" si="101"/>
        <v/>
      </c>
      <c r="S1371" s="74">
        <f t="shared" si="102"/>
        <v>0</v>
      </c>
      <c r="T1371" s="74">
        <f t="shared" si="102"/>
        <v>0</v>
      </c>
      <c r="U1371" s="75">
        <f t="shared" si="103"/>
        <v>37.653200000000005</v>
      </c>
      <c r="V13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71" s="18" t="str">
        <f>IFERROR(IF(LEFT(ICE[[#This Row],[Tenor]], 1) = "B", RTD("esrtd",,$B1371 &amp; " " &amp; ICE[[#This Row],[Tenor]] &amp; "-IEU", W$1), RTD("esrtd",,$B1371 &amp; " " &amp; VLOOKUP(MONTH(ICE[[#This Row],[Strip]]), MthRef[], 2, 0) &amp; RIGHT(YEAR(ICE[[#This Row],[Strip]]), 2) &amp; "-IEU", W$1)), "")</f>
        <v/>
      </c>
      <c r="X1371" s="36"/>
    </row>
    <row r="1372" spans="1:24" x14ac:dyDescent="0.25">
      <c r="A1372" s="71" t="s">
        <v>839</v>
      </c>
      <c r="B1372" s="71" t="str">
        <f>RTD("ice.rtd",,$C1372 &amp; $D1372 &amp; ":" &amp; B$1)</f>
        <v>Invalid Market: CALCQ8</v>
      </c>
      <c r="C1372" s="72" t="s">
        <v>827</v>
      </c>
      <c r="D1372" s="73" t="s">
        <v>821</v>
      </c>
      <c r="E1372" s="72" t="str">
        <f t="shared" si="99"/>
        <v>Q4 28</v>
      </c>
      <c r="F1372" s="72" t="str">
        <f>ICE[[#This Row],[Prod]]&amp;ICE[[#This Row],[Strip]]</f>
        <v>gobrxQ4 28</v>
      </c>
      <c r="G1372" s="75" t="str">
        <f>RTD("ice.rtd",,$C1372 &amp; $D1372 &amp; ":" &amp; G$1)</f>
        <v>Invalid Market: CALCQ8</v>
      </c>
      <c r="H1372" s="75" t="str">
        <f t="shared" si="100"/>
        <v/>
      </c>
      <c r="I1372" s="75" t="str">
        <f>RTD("ice.rtd",,$C1372 &amp; $D1372 &amp; ":" &amp; I$1)</f>
        <v>Invalid Market: CALCQ8</v>
      </c>
      <c r="J1372" s="76" t="str">
        <f>IFERROR(MOD(RTD("ice.rtd",,$C1372 &amp; $D1372 &amp; ":" &amp; J$1), 1), "")</f>
        <v/>
      </c>
      <c r="K1372" s="75" t="str">
        <f>RTD("ice.rtd",,$C1372 &amp; $D1372 &amp; ":" &amp; K$1)</f>
        <v>Invalid Market: CALCQ8</v>
      </c>
      <c r="L1372" s="74" t="str">
        <f>RTD("ice.rtd",,$C1372 &amp; $D1372 &amp; ":" &amp; L$1)</f>
        <v>Invalid Market: CALCQ8</v>
      </c>
      <c r="M1372" s="76" t="str">
        <f>IFERROR(MOD(TIMEVALUE(RTD("ice.rtd",,$C1372 &amp; $D1372 &amp; ":" &amp; M$1)), 1), "")</f>
        <v/>
      </c>
      <c r="N1372" s="74" t="str">
        <f>RTD("ice.rtd",,$C1372 &amp; $D1372 &amp; ":" &amp; N$1)</f>
        <v>Invalid Market: CALCQ8</v>
      </c>
      <c r="O1372" s="74" t="str">
        <f>RTD("ice.rtd",,$C1372 &amp; $D1372 &amp; ":" &amp; O$1)</f>
        <v>Invalid Market: CALCQ8</v>
      </c>
      <c r="P1372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2" s="76" t="str">
        <f>IF(ICE[[#This Row],[LastType]] = "Scrn", ICE[[#This Row],[LstDate]], IF(ICE[[#This Row],[LastType]] = "Blk", ICE[[#This Row],[LstBlkTime]], ""))</f>
        <v/>
      </c>
      <c r="R1372" s="82" t="str">
        <f t="shared" si="101"/>
        <v/>
      </c>
      <c r="S1372" s="74">
        <f t="shared" si="102"/>
        <v>0</v>
      </c>
      <c r="T1372" s="74">
        <f t="shared" si="102"/>
        <v>0</v>
      </c>
      <c r="U1372" s="75">
        <f t="shared" si="103"/>
        <v>36.067900000000002</v>
      </c>
      <c r="V13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72" s="18" t="str">
        <f>IFERROR(IF(LEFT(ICE[[#This Row],[Tenor]], 1) = "B", RTD("esrtd",,$B1372 &amp; " " &amp; ICE[[#This Row],[Tenor]] &amp; "-IEU", W$1), RTD("esrtd",,$B1372 &amp; " " &amp; VLOOKUP(MONTH(ICE[[#This Row],[Strip]]), MthRef[], 2, 0) &amp; RIGHT(YEAR(ICE[[#This Row],[Strip]]), 2) &amp; "-IEU", W$1)), "")</f>
        <v/>
      </c>
      <c r="X1372" s="36"/>
    </row>
    <row r="1373" spans="1:24" x14ac:dyDescent="0.25">
      <c r="A1373" s="71" t="s">
        <v>839</v>
      </c>
      <c r="B1373" s="71" t="str">
        <f>RTD("ice.rtd",,$C1373 &amp; $D1373 &amp; ":" &amp; B$1)</f>
        <v>Invalid Market: CALCY0</v>
      </c>
      <c r="C1373" s="72" t="s">
        <v>827</v>
      </c>
      <c r="D1373" s="73" t="s">
        <v>822</v>
      </c>
      <c r="E1373" s="72" t="str">
        <f t="shared" si="99"/>
        <v>Cal 27</v>
      </c>
      <c r="F1373" s="72" t="str">
        <f>ICE[[#This Row],[Prod]]&amp;ICE[[#This Row],[Strip]]</f>
        <v>gobrxCal 27</v>
      </c>
      <c r="G1373" s="75" t="str">
        <f>RTD("ice.rtd",,$C1373 &amp; $D1373 &amp; ":" &amp; G$1)</f>
        <v>Invalid Market: CALCY0</v>
      </c>
      <c r="H1373" s="75">
        <f t="shared" si="100"/>
        <v>55.82</v>
      </c>
      <c r="I1373" s="75" t="str">
        <f>RTD("ice.rtd",,$C1373 &amp; $D1373 &amp; ":" &amp; I$1)</f>
        <v>Invalid Market: CALCY0</v>
      </c>
      <c r="J1373" s="76" t="str">
        <f>IFERROR(MOD(RTD("ice.rtd",,$C1373 &amp; $D1373 &amp; ":" &amp; J$1), 1), "")</f>
        <v/>
      </c>
      <c r="K1373" s="75" t="str">
        <f>RTD("ice.rtd",,$C1373 &amp; $D1373 &amp; ":" &amp; K$1)</f>
        <v>Invalid Market: CALCY0</v>
      </c>
      <c r="L1373" s="74" t="str">
        <f>RTD("ice.rtd",,$C1373 &amp; $D1373 &amp; ":" &amp; L$1)</f>
        <v>Invalid Market: CALCY0</v>
      </c>
      <c r="M1373" s="76" t="str">
        <f>IFERROR(MOD(TIMEVALUE(RTD("ice.rtd",,$C1373 &amp; $D1373 &amp; ":" &amp; M$1)), 1), "")</f>
        <v/>
      </c>
      <c r="N1373" s="74" t="str">
        <f>RTD("ice.rtd",,$C1373 &amp; $D1373 &amp; ":" &amp; N$1)</f>
        <v>Invalid Market: CALCY0</v>
      </c>
      <c r="O1373" s="74" t="str">
        <f>RTD("ice.rtd",,$C1373 &amp; $D1373 &amp; ":" &amp; O$1)</f>
        <v>Invalid Market: CALCY0</v>
      </c>
      <c r="P1373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3" s="76" t="str">
        <f>IF(ICE[[#This Row],[LastType]] = "Scrn", ICE[[#This Row],[LstDate]], IF(ICE[[#This Row],[LastType]] = "Blk", ICE[[#This Row],[LstBlkTime]], ""))</f>
        <v/>
      </c>
      <c r="R1373" s="82">
        <f t="shared" si="101"/>
        <v>55.4</v>
      </c>
      <c r="S1373" s="74">
        <f t="shared" si="102"/>
        <v>18</v>
      </c>
      <c r="T1373" s="74">
        <f t="shared" si="102"/>
        <v>0</v>
      </c>
      <c r="U1373" s="75">
        <f t="shared" si="103"/>
        <v>54.508800000000001</v>
      </c>
      <c r="V13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55.82 {55.40} |18x</v>
      </c>
      <c r="W1373" s="18" t="str">
        <f>IFERROR(IF(LEFT(ICE[[#This Row],[Tenor]], 1) = "B", RTD("esrtd",,$B1373 &amp; " " &amp; ICE[[#This Row],[Tenor]] &amp; "-IEU", W$1), RTD("esrtd",,$B1373 &amp; " " &amp; VLOOKUP(MONTH(ICE[[#This Row],[Strip]]), MthRef[], 2, 0) &amp; RIGHT(YEAR(ICE[[#This Row],[Strip]]), 2) &amp; "-IEU", W$1)), "")</f>
        <v/>
      </c>
      <c r="X1373" s="36"/>
    </row>
    <row r="1374" spans="1:24" x14ac:dyDescent="0.25">
      <c r="A1374" s="71" t="s">
        <v>839</v>
      </c>
      <c r="B1374" s="71" t="str">
        <f>RTD("ice.rtd",,$C1374 &amp; $D1374 &amp; ":" &amp; B$1)</f>
        <v>Invalid Market: CALCY1</v>
      </c>
      <c r="C1374" s="72" t="s">
        <v>827</v>
      </c>
      <c r="D1374" s="73" t="s">
        <v>823</v>
      </c>
      <c r="E1374" s="72" t="str">
        <f t="shared" si="99"/>
        <v>Cal 28</v>
      </c>
      <c r="F1374" s="72" t="str">
        <f>ICE[[#This Row],[Prod]]&amp;ICE[[#This Row],[Strip]]</f>
        <v>gobrxCal 28</v>
      </c>
      <c r="G1374" s="75" t="str">
        <f>RTD("ice.rtd",,$C1374 &amp; $D1374 &amp; ":" &amp; G$1)</f>
        <v>Invalid Market: CALCY1</v>
      </c>
      <c r="H1374" s="75">
        <f t="shared" si="100"/>
        <v>39.869999999999997</v>
      </c>
      <c r="I1374" s="75" t="str">
        <f>RTD("ice.rtd",,$C1374 &amp; $D1374 &amp; ":" &amp; I$1)</f>
        <v>Invalid Market: CALCY1</v>
      </c>
      <c r="J1374" s="76" t="str">
        <f>IFERROR(MOD(RTD("ice.rtd",,$C1374 &amp; $D1374 &amp; ":" &amp; J$1), 1), "")</f>
        <v/>
      </c>
      <c r="K1374" s="75" t="str">
        <f>RTD("ice.rtd",,$C1374 &amp; $D1374 &amp; ":" &amp; K$1)</f>
        <v>Invalid Market: CALCY1</v>
      </c>
      <c r="L1374" s="74" t="str">
        <f>RTD("ice.rtd",,$C1374 &amp; $D1374 &amp; ":" &amp; L$1)</f>
        <v>Invalid Market: CALCY1</v>
      </c>
      <c r="M1374" s="76" t="str">
        <f>IFERROR(MOD(TIMEVALUE(RTD("ice.rtd",,$C1374 &amp; $D1374 &amp; ":" &amp; M$1)), 1), "")</f>
        <v/>
      </c>
      <c r="N1374" s="74" t="str">
        <f>RTD("ice.rtd",,$C1374 &amp; $D1374 &amp; ":" &amp; N$1)</f>
        <v>Invalid Market: CALCY1</v>
      </c>
      <c r="O1374" s="74" t="str">
        <f>RTD("ice.rtd",,$C1374 &amp; $D1374 &amp; ":" &amp; O$1)</f>
        <v>Invalid Market: CALCY1</v>
      </c>
      <c r="P1374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4" s="76" t="str">
        <f>IF(ICE[[#This Row],[LastType]] = "Scrn", ICE[[#This Row],[LstDate]], IF(ICE[[#This Row],[LastType]] = "Blk", ICE[[#This Row],[LstBlkTime]], ""))</f>
        <v/>
      </c>
      <c r="R1374" s="82">
        <f t="shared" si="101"/>
        <v>39.5</v>
      </c>
      <c r="S1374" s="74">
        <f t="shared" si="102"/>
        <v>27</v>
      </c>
      <c r="T1374" s="74">
        <f t="shared" si="102"/>
        <v>0</v>
      </c>
      <c r="U1374" s="75">
        <f t="shared" si="103"/>
        <v>39.0501</v>
      </c>
      <c r="V13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39.87 {39.50} |27x</v>
      </c>
      <c r="W1374" s="18" t="str">
        <f>IFERROR(IF(LEFT(ICE[[#This Row],[Tenor]], 1) = "B", RTD("esrtd",,$B1374 &amp; " " &amp; ICE[[#This Row],[Tenor]] &amp; "-IEU", W$1), RTD("esrtd",,$B1374 &amp; " " &amp; VLOOKUP(MONTH(ICE[[#This Row],[Strip]]), MthRef[], 2, 0) &amp; RIGHT(YEAR(ICE[[#This Row],[Strip]]), 2) &amp; "-IEU", W$1)), "")</f>
        <v/>
      </c>
      <c r="X1374" s="36"/>
    </row>
    <row r="1375" spans="1:24" x14ac:dyDescent="0.25">
      <c r="A1375" s="71" t="s">
        <v>839</v>
      </c>
      <c r="B1375" s="71" t="str">
        <f>RTD("ice.rtd",,$C1375 &amp; $D1375 &amp; ":" &amp; B$1)</f>
        <v>Invalid Market: CALCY2</v>
      </c>
      <c r="C1375" s="72" t="s">
        <v>827</v>
      </c>
      <c r="D1375" s="73" t="s">
        <v>824</v>
      </c>
      <c r="E1375" s="72" t="str">
        <f t="shared" si="99"/>
        <v>Cal 29</v>
      </c>
      <c r="F1375" s="72" t="str">
        <f>ICE[[#This Row],[Prod]]&amp;ICE[[#This Row],[Strip]]</f>
        <v>gobrxCal 29</v>
      </c>
      <c r="G1375" s="75" t="str">
        <f>RTD("ice.rtd",,$C1375 &amp; $D1375 &amp; ":" &amp; G$1)</f>
        <v>Invalid Market: CALCY2</v>
      </c>
      <c r="H1375" s="75" t="str">
        <f t="shared" si="100"/>
        <v/>
      </c>
      <c r="I1375" s="75" t="str">
        <f>RTD("ice.rtd",,$C1375 &amp; $D1375 &amp; ":" &amp; I$1)</f>
        <v>Invalid Market: CALCY2</v>
      </c>
      <c r="J1375" s="76" t="str">
        <f>IFERROR(MOD(RTD("ice.rtd",,$C1375 &amp; $D1375 &amp; ":" &amp; J$1), 1), "")</f>
        <v/>
      </c>
      <c r="K1375" s="75" t="str">
        <f>RTD("ice.rtd",,$C1375 &amp; $D1375 &amp; ":" &amp; K$1)</f>
        <v>Invalid Market: CALCY2</v>
      </c>
      <c r="L1375" s="74" t="str">
        <f>RTD("ice.rtd",,$C1375 &amp; $D1375 &amp; ":" &amp; L$1)</f>
        <v>Invalid Market: CALCY2</v>
      </c>
      <c r="M1375" s="76" t="str">
        <f>IFERROR(MOD(TIMEVALUE(RTD("ice.rtd",,$C1375 &amp; $D1375 &amp; ":" &amp; M$1)), 1), "")</f>
        <v/>
      </c>
      <c r="N1375" s="74" t="str">
        <f>RTD("ice.rtd",,$C1375 &amp; $D1375 &amp; ":" &amp; N$1)</f>
        <v>Invalid Market: CALCY2</v>
      </c>
      <c r="O1375" s="74" t="str">
        <f>RTD("ice.rtd",,$C1375 &amp; $D1375 &amp; ":" &amp; O$1)</f>
        <v>Invalid Market: CALCY2</v>
      </c>
      <c r="P1375" s="7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5" s="76" t="str">
        <f>IF(ICE[[#This Row],[LastType]] = "Scrn", ICE[[#This Row],[LstDate]], IF(ICE[[#This Row],[LastType]] = "Blk", ICE[[#This Row],[LstBlkTime]], ""))</f>
        <v/>
      </c>
      <c r="R1375" s="82" t="str">
        <f t="shared" si="101"/>
        <v/>
      </c>
      <c r="S1375" s="74">
        <f t="shared" si="102"/>
        <v>0</v>
      </c>
      <c r="T1375" s="74">
        <f t="shared" si="102"/>
        <v>0</v>
      </c>
      <c r="U1375" s="75">
        <f t="shared" si="103"/>
        <v>33.639900000000004</v>
      </c>
      <c r="V13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75" s="18" t="str">
        <f>IFERROR(IF(LEFT(ICE[[#This Row],[Tenor]], 1) = "B", RTD("esrtd",,$B1375 &amp; " " &amp; ICE[[#This Row],[Tenor]] &amp; "-IEU", W$1), RTD("esrtd",,$B1375 &amp; " " &amp; VLOOKUP(MONTH(ICE[[#This Row],[Strip]]), MthRef[], 2, 0) &amp; RIGHT(YEAR(ICE[[#This Row],[Strip]]), 2) &amp; "-IEU", W$1)), "")</f>
        <v/>
      </c>
      <c r="X1375" s="36"/>
    </row>
    <row r="1376" spans="1:24" x14ac:dyDescent="0.25">
      <c r="A1376" s="37" t="s">
        <v>375</v>
      </c>
      <c r="B1376" s="88" t="str">
        <f>RTD("ice.rtd",,$C1376 &amp; $D1376 &amp; ":" &amp; B$1)</f>
        <v>PRM</v>
      </c>
      <c r="C1376" s="3">
        <v>2182524598</v>
      </c>
      <c r="D1376" t="s">
        <v>792</v>
      </c>
      <c r="E1376" s="3" t="str">
        <f>RTD("ice.rtd",,$C1376 &amp; $D1376 &amp; ":" &amp; E$1)</f>
        <v>Bal Month</v>
      </c>
      <c r="F1376" s="3" t="str">
        <f>ICE[[#This Row],[Prod]]&amp;ICE[[#This Row],[Strip]]</f>
        <v>c3tetBal Month</v>
      </c>
      <c r="G1376" s="18" t="str">
        <f>RTD("ice.rtd",,$C1376 &amp; $D1376 &amp; ":" &amp; G$1)</f>
        <v/>
      </c>
      <c r="H1376" s="18" t="str">
        <f>RTD("ice.rtd",,$C1376 &amp; $D1376 &amp; ":" &amp; H$1)</f>
        <v/>
      </c>
      <c r="I1376" s="18" t="str">
        <f>RTD("ice.rtd",,$C1376 &amp; $D1376 &amp; ":" &amp; I$1)</f>
        <v/>
      </c>
      <c r="J1376" s="14" t="str">
        <f>IFERROR(MOD(RTD("ice.rtd",,$C1376 &amp; $D1376 &amp; ":" &amp; J$1), 1), "")</f>
        <v/>
      </c>
      <c r="K1376" s="18" t="str">
        <f>RTD("ice.rtd",,$C1376 &amp; $D1376 &amp; ":" &amp; K$1)</f>
        <v/>
      </c>
      <c r="L1376" s="36" t="str">
        <f>RTD("ice.rtd",,$C1376 &amp; $D1376 &amp; ":" &amp; L$1)</f>
        <v/>
      </c>
      <c r="M1376" s="14" t="str">
        <f>IFERROR(MOD(TIMEVALUE(RTD("ice.rtd",,$C1376 &amp; $D1376 &amp; ":" &amp; M$1)), 1), "")</f>
        <v/>
      </c>
      <c r="N1376" s="36">
        <f>RTD("ice.rtd",,$C1376 &amp; $D1376 &amp; ":" &amp; N$1)</f>
        <v>0</v>
      </c>
      <c r="O1376" s="36">
        <f>RTD("ice.rtd",,$C1376 &amp; $D1376 &amp; ":" &amp; O$1)</f>
        <v>0</v>
      </c>
      <c r="P13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6" s="14" t="str">
        <f>IF(ICE[[#This Row],[LastType]] = "Scrn", ICE[[#This Row],[LstDate]], IF(ICE[[#This Row],[LastType]] = "Blk", ICE[[#This Row],[LstBlkTime]], ""))</f>
        <v/>
      </c>
      <c r="R1376" s="41" t="str">
        <f>IF(ICE[[#This Row],[LastType]] = "Scrn", ICE[[#This Row],[LstPrc]], IF(ICE[[#This Row],[LastType]] = "Blk", ICE[[#This Row],[LstBlkPrc]], ""))</f>
        <v/>
      </c>
      <c r="S1376" s="36">
        <f>ICE[[#This Row],[Vol]]+ICE[[#This Row],[BlkVol]]</f>
        <v>0</v>
      </c>
      <c r="T1376" s="36">
        <f>RTD("ice.rtd",,$C1376 &amp; $D1376 &amp; ":" &amp; T$1)</f>
        <v>0</v>
      </c>
      <c r="U1376" s="18">
        <f>RTD("ice.rtd",,$C1376 &amp; $D1376 &amp; ":" &amp; U$1)</f>
        <v>0.76500000000000001</v>
      </c>
      <c r="V13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76" s="18" t="str">
        <f>IFERROR(IF(LEFT(ICE[[#This Row],[Tenor]], 1) = "B", RTD("esrtd",,$B1376 &amp; " " &amp; ICE[[#This Row],[Tenor]] &amp; "-IEU", W$1), RTD("esrtd",,$B1376 &amp; " " &amp; VLOOKUP(MONTH(ICE[[#This Row],[Strip]]), MthRef[], 2, 0) &amp; RIGHT(YEAR(ICE[[#This Row],[Strip]]), 2) &amp; "-IEU", W$1)), "")</f>
        <v/>
      </c>
      <c r="X1376" s="36"/>
    </row>
    <row r="1377" spans="1:24" x14ac:dyDescent="0.25">
      <c r="A1377" s="37" t="s">
        <v>375</v>
      </c>
      <c r="B1377" s="88" t="str">
        <f>RTD("ice.rtd",,$C1377 &amp; $D1377 &amp; ":" &amp; B$1)</f>
        <v>PRL</v>
      </c>
      <c r="C1377" s="3">
        <v>15091310</v>
      </c>
      <c r="D1377" t="s">
        <v>793</v>
      </c>
      <c r="E1377" s="3" t="str">
        <f>RTD("ice.rtd",,$C1377 &amp; $D1377 &amp; ":" &amp; E$1)</f>
        <v>Sep26</v>
      </c>
      <c r="F1377" s="3" t="str">
        <f>ICE[[#This Row],[Prod]]&amp;ICE[[#This Row],[Strip]]</f>
        <v>c3tetSep26</v>
      </c>
      <c r="G1377" s="18" t="str">
        <f>RTD("ice.rtd",,$C1377 &amp; $D1377 &amp; ":" &amp; G$1)</f>
        <v/>
      </c>
      <c r="H1377" s="18" t="str">
        <f>RTD("ice.rtd",,$C1377 &amp; $D1377 &amp; ":" &amp; H$1)</f>
        <v/>
      </c>
      <c r="I1377" s="18" t="str">
        <f>RTD("ice.rtd",,$C1377 &amp; $D1377 &amp; ":" &amp; I$1)</f>
        <v/>
      </c>
      <c r="J1377" s="14" t="str">
        <f>IFERROR(MOD(RTD("ice.rtd",,$C1377 &amp; $D1377 &amp; ":" &amp; J$1), 1), "")</f>
        <v/>
      </c>
      <c r="K1377" s="18" t="str">
        <f>RTD("ice.rtd",,$C1377 &amp; $D1377 &amp; ":" &amp; K$1)</f>
        <v/>
      </c>
      <c r="L1377" s="36" t="str">
        <f>RTD("ice.rtd",,$C1377 &amp; $D1377 &amp; ":" &amp; L$1)</f>
        <v/>
      </c>
      <c r="M1377" s="14" t="str">
        <f>IFERROR(MOD(TIMEVALUE(RTD("ice.rtd",,$C1377 &amp; $D1377 &amp; ":" &amp; M$1)), 1), "")</f>
        <v/>
      </c>
      <c r="N1377" s="36">
        <f>RTD("ice.rtd",,$C1377 &amp; $D1377 &amp; ":" &amp; N$1)</f>
        <v>0</v>
      </c>
      <c r="O1377" s="36">
        <f>RTD("ice.rtd",,$C1377 &amp; $D1377 &amp; ":" &amp; O$1)</f>
        <v>0</v>
      </c>
      <c r="P13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7" s="14" t="str">
        <f>IF(ICE[[#This Row],[LastType]] = "Scrn", ICE[[#This Row],[LstDate]], IF(ICE[[#This Row],[LastType]] = "Blk", ICE[[#This Row],[LstBlkTime]], ""))</f>
        <v/>
      </c>
      <c r="R1377" s="41" t="str">
        <f>IF(ICE[[#This Row],[LastType]] = "Scrn", ICE[[#This Row],[LstPrc]], IF(ICE[[#This Row],[LastType]] = "Blk", ICE[[#This Row],[LstBlkPrc]], ""))</f>
        <v/>
      </c>
      <c r="S1377" s="36">
        <f>ICE[[#This Row],[Vol]]+ICE[[#This Row],[BlkVol]]</f>
        <v>0</v>
      </c>
      <c r="T1377" s="36">
        <f>RTD("ice.rtd",,$C1377 &amp; $D1377 &amp; ":" &amp; T$1)</f>
        <v>21072</v>
      </c>
      <c r="U1377" s="18">
        <f>RTD("ice.rtd",,$C1377 &amp; $D1377 &amp; ":" &amp; U$1)</f>
        <v>0.76500000000000001</v>
      </c>
      <c r="V13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77" s="18" t="str">
        <f>IFERROR(IF(LEFT(ICE[[#This Row],[Tenor]], 1) = "B", RTD("esrtd",,$B1377 &amp; " " &amp; ICE[[#This Row],[Tenor]] &amp; "-IEU", W$1), RTD("esrtd",,$B1377 &amp; " " &amp; VLOOKUP(MONTH(ICE[[#This Row],[Strip]]), MthRef[], 2, 0) &amp; RIGHT(YEAR(ICE[[#This Row],[Strip]]), 2) &amp; "-IEU", W$1)), "")</f>
        <v/>
      </c>
      <c r="X1377" s="36"/>
    </row>
    <row r="1378" spans="1:24" x14ac:dyDescent="0.25">
      <c r="A1378" s="37" t="s">
        <v>375</v>
      </c>
      <c r="B1378" s="88" t="str">
        <f>RTD("ice.rtd",,$C1378 &amp; $D1378 &amp; ":" &amp; B$1)</f>
        <v>PRL</v>
      </c>
      <c r="C1378" s="3">
        <v>15091310</v>
      </c>
      <c r="D1378" t="s">
        <v>324</v>
      </c>
      <c r="E1378" s="3" t="str">
        <f>RTD("ice.rtd",,$C1378 &amp; $D1378 &amp; ":" &amp; E$1)</f>
        <v>Oct26</v>
      </c>
      <c r="F1378" s="3" t="str">
        <f>ICE[[#This Row],[Prod]]&amp;ICE[[#This Row],[Strip]]</f>
        <v>c3tetOct26</v>
      </c>
      <c r="G1378" s="18" t="str">
        <f>RTD("ice.rtd",,$C1378 &amp; $D1378 &amp; ":" &amp; G$1)</f>
        <v/>
      </c>
      <c r="H1378" s="18" t="str">
        <f>RTD("ice.rtd",,$C1378 &amp; $D1378 &amp; ":" &amp; H$1)</f>
        <v/>
      </c>
      <c r="I1378" s="18" t="str">
        <f>RTD("ice.rtd",,$C1378 &amp; $D1378 &amp; ":" &amp; I$1)</f>
        <v/>
      </c>
      <c r="J1378" s="14" t="str">
        <f>IFERROR(MOD(RTD("ice.rtd",,$C1378 &amp; $D1378 &amp; ":" &amp; J$1), 1), "")</f>
        <v/>
      </c>
      <c r="K1378" s="18">
        <f>RTD("ice.rtd",,$C1378 &amp; $D1378 &amp; ":" &amp; K$1)</f>
        <v>0.76</v>
      </c>
      <c r="L1378" s="36">
        <f>RTD("ice.rtd",,$C1378 &amp; $D1378 &amp; ":" &amp; L$1)</f>
        <v>25</v>
      </c>
      <c r="M1378" s="14">
        <f>IFERROR(MOD(TIMEVALUE(RTD("ice.rtd",,$C1378 &amp; $D1378 &amp; ":" &amp; M$1)), 1), "")</f>
        <v>0.42571759259259262</v>
      </c>
      <c r="N1378" s="36">
        <f>RTD("ice.rtd",,$C1378 &amp; $D1378 &amp; ":" &amp; N$1)</f>
        <v>0</v>
      </c>
      <c r="O1378" s="36">
        <f>RTD("ice.rtd",,$C1378 &amp; $D1378 &amp; ":" &amp; O$1)</f>
        <v>137</v>
      </c>
      <c r="P13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378" s="14">
        <f>IF(ICE[[#This Row],[LastType]] = "Scrn", ICE[[#This Row],[LstDate]], IF(ICE[[#This Row],[LastType]] = "Blk", ICE[[#This Row],[LstBlkTime]], ""))</f>
        <v>0.42571759259259262</v>
      </c>
      <c r="R1378" s="41">
        <f>IF(ICE[[#This Row],[LastType]] = "Scrn", ICE[[#This Row],[LstPrc]], IF(ICE[[#This Row],[LastType]] = "Blk", ICE[[#This Row],[LstBlkPrc]], ""))</f>
        <v>0.76</v>
      </c>
      <c r="S1378" s="36">
        <f>ICE[[#This Row],[Vol]]+ICE[[#This Row],[BlkVol]]</f>
        <v>137</v>
      </c>
      <c r="T1378" s="36">
        <f>RTD("ice.rtd",,$C1378 &amp; $D1378 &amp; ":" &amp; T$1)</f>
        <v>17757</v>
      </c>
      <c r="U1378" s="18">
        <f>RTD("ice.rtd",,$C1378 &amp; $D1378 &amp; ":" &amp; U$1)</f>
        <v>0.76250000000000007</v>
      </c>
      <c r="V13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{0.76} |137x</v>
      </c>
      <c r="W1378" s="18" t="str">
        <f>IFERROR(IF(LEFT(ICE[[#This Row],[Tenor]], 1) = "B", RTD("esrtd",,$B1378 &amp; " " &amp; ICE[[#This Row],[Tenor]] &amp; "-IEU", W$1), RTD("esrtd",,$B1378 &amp; " " &amp; VLOOKUP(MONTH(ICE[[#This Row],[Strip]]), MthRef[], 2, 0) &amp; RIGHT(YEAR(ICE[[#This Row],[Strip]]), 2) &amp; "-IEU", W$1)), "")</f>
        <v/>
      </c>
      <c r="X1378" s="36"/>
    </row>
    <row r="1379" spans="1:24" x14ac:dyDescent="0.25">
      <c r="A1379" s="37" t="s">
        <v>375</v>
      </c>
      <c r="B1379" s="88" t="str">
        <f>RTD("ice.rtd",,$C1379 &amp; $D1379 &amp; ":" &amp; B$1)</f>
        <v>PRL</v>
      </c>
      <c r="C1379" s="3">
        <v>15091310</v>
      </c>
      <c r="D1379" t="s">
        <v>325</v>
      </c>
      <c r="E1379" s="3" t="str">
        <f>RTD("ice.rtd",,$C1379 &amp; $D1379 &amp; ":" &amp; E$1)</f>
        <v>Nov26</v>
      </c>
      <c r="F1379" s="3" t="str">
        <f>ICE[[#This Row],[Prod]]&amp;ICE[[#This Row],[Strip]]</f>
        <v>c3tetNov26</v>
      </c>
      <c r="G1379" s="18" t="str">
        <f>RTD("ice.rtd",,$C1379 &amp; $D1379 &amp; ":" &amp; G$1)</f>
        <v/>
      </c>
      <c r="H1379" s="18" t="str">
        <f>RTD("ice.rtd",,$C1379 &amp; $D1379 &amp; ":" &amp; H$1)</f>
        <v/>
      </c>
      <c r="I1379" s="18" t="str">
        <f>RTD("ice.rtd",,$C1379 &amp; $D1379 &amp; ":" &amp; I$1)</f>
        <v/>
      </c>
      <c r="J1379" s="14" t="str">
        <f>IFERROR(MOD(RTD("ice.rtd",,$C1379 &amp; $D1379 &amp; ":" &amp; J$1), 1), "")</f>
        <v/>
      </c>
      <c r="K1379" s="18" t="str">
        <f>RTD("ice.rtd",,$C1379 &amp; $D1379 &amp; ":" &amp; K$1)</f>
        <v/>
      </c>
      <c r="L1379" s="36" t="str">
        <f>RTD("ice.rtd",,$C1379 &amp; $D1379 &amp; ":" &amp; L$1)</f>
        <v/>
      </c>
      <c r="M1379" s="14" t="str">
        <f>IFERROR(MOD(TIMEVALUE(RTD("ice.rtd",,$C1379 &amp; $D1379 &amp; ":" &amp; M$1)), 1), "")</f>
        <v/>
      </c>
      <c r="N1379" s="36">
        <f>RTD("ice.rtd",,$C1379 &amp; $D1379 &amp; ":" &amp; N$1)</f>
        <v>0</v>
      </c>
      <c r="O1379" s="36">
        <f>RTD("ice.rtd",,$C1379 &amp; $D1379 &amp; ":" &amp; O$1)</f>
        <v>12</v>
      </c>
      <c r="P13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79" s="14" t="str">
        <f>IF(ICE[[#This Row],[LastType]] = "Scrn", ICE[[#This Row],[LstDate]], IF(ICE[[#This Row],[LastType]] = "Blk", ICE[[#This Row],[LstBlkTime]], ""))</f>
        <v/>
      </c>
      <c r="R1379" s="41" t="str">
        <f>IF(ICE[[#This Row],[LastType]] = "Scrn", ICE[[#This Row],[LstPrc]], IF(ICE[[#This Row],[LastType]] = "Blk", ICE[[#This Row],[LstBlkPrc]], ""))</f>
        <v/>
      </c>
      <c r="S1379" s="36">
        <f>ICE[[#This Row],[Vol]]+ICE[[#This Row],[BlkVol]]</f>
        <v>12</v>
      </c>
      <c r="T1379" s="36">
        <f>RTD("ice.rtd",,$C1379 &amp; $D1379 &amp; ":" &amp; T$1)</f>
        <v>14948</v>
      </c>
      <c r="U1379" s="18">
        <f>RTD("ice.rtd",,$C1379 &amp; $D1379 &amp; ":" &amp; U$1)</f>
        <v>0.76250000000000007</v>
      </c>
      <c r="V13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|12x</v>
      </c>
      <c r="W1379" s="18" t="str">
        <f>IFERROR(IF(LEFT(ICE[[#This Row],[Tenor]], 1) = "B", RTD("esrtd",,$B1379 &amp; " " &amp; ICE[[#This Row],[Tenor]] &amp; "-IEU", W$1), RTD("esrtd",,$B1379 &amp; " " &amp; VLOOKUP(MONTH(ICE[[#This Row],[Strip]]), MthRef[], 2, 0) &amp; RIGHT(YEAR(ICE[[#This Row],[Strip]]), 2) &amp; "-IEU", W$1)), "")</f>
        <v/>
      </c>
      <c r="X1379" s="36"/>
    </row>
    <row r="1380" spans="1:24" x14ac:dyDescent="0.25">
      <c r="A1380" s="37" t="s">
        <v>375</v>
      </c>
      <c r="B1380" s="88" t="str">
        <f>RTD("ice.rtd",,$C1380 &amp; $D1380 &amp; ":" &amp; B$1)</f>
        <v>PRL</v>
      </c>
      <c r="C1380" s="3">
        <v>15091310</v>
      </c>
      <c r="D1380" t="s">
        <v>326</v>
      </c>
      <c r="E1380" s="3" t="str">
        <f>RTD("ice.rtd",,$C1380 &amp; $D1380 &amp; ":" &amp; E$1)</f>
        <v>Dec26</v>
      </c>
      <c r="F1380" s="3" t="str">
        <f>ICE[[#This Row],[Prod]]&amp;ICE[[#This Row],[Strip]]</f>
        <v>c3tetDec26</v>
      </c>
      <c r="G1380" s="18" t="str">
        <f>RTD("ice.rtd",,$C1380 &amp; $D1380 &amp; ":" &amp; G$1)</f>
        <v/>
      </c>
      <c r="H1380" s="18" t="str">
        <f>RTD("ice.rtd",,$C1380 &amp; $D1380 &amp; ":" &amp; H$1)</f>
        <v/>
      </c>
      <c r="I1380" s="18" t="str">
        <f>RTD("ice.rtd",,$C1380 &amp; $D1380 &amp; ":" &amp; I$1)</f>
        <v/>
      </c>
      <c r="J1380" s="14" t="str">
        <f>IFERROR(MOD(RTD("ice.rtd",,$C1380 &amp; $D1380 &amp; ":" &amp; J$1), 1), "")</f>
        <v/>
      </c>
      <c r="K1380" s="18" t="str">
        <f>RTD("ice.rtd",,$C1380 &amp; $D1380 &amp; ":" &amp; K$1)</f>
        <v/>
      </c>
      <c r="L1380" s="36" t="str">
        <f>RTD("ice.rtd",,$C1380 &amp; $D1380 &amp; ":" &amp; L$1)</f>
        <v/>
      </c>
      <c r="M1380" s="14" t="str">
        <f>IFERROR(MOD(TIMEVALUE(RTD("ice.rtd",,$C1380 &amp; $D1380 &amp; ":" &amp; M$1)), 1), "")</f>
        <v/>
      </c>
      <c r="N1380" s="36">
        <f>RTD("ice.rtd",,$C1380 &amp; $D1380 &amp; ":" &amp; N$1)</f>
        <v>0</v>
      </c>
      <c r="O1380" s="36">
        <f>RTD("ice.rtd",,$C1380 &amp; $D1380 &amp; ":" &amp; O$1)</f>
        <v>12</v>
      </c>
      <c r="P13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0" s="14" t="str">
        <f>IF(ICE[[#This Row],[LastType]] = "Scrn", ICE[[#This Row],[LstDate]], IF(ICE[[#This Row],[LastType]] = "Blk", ICE[[#This Row],[LstBlkTime]], ""))</f>
        <v/>
      </c>
      <c r="R1380" s="41" t="str">
        <f>IF(ICE[[#This Row],[LastType]] = "Scrn", ICE[[#This Row],[LstPrc]], IF(ICE[[#This Row],[LastType]] = "Blk", ICE[[#This Row],[LstBlkPrc]], ""))</f>
        <v/>
      </c>
      <c r="S1380" s="36">
        <f>ICE[[#This Row],[Vol]]+ICE[[#This Row],[BlkVol]]</f>
        <v>12</v>
      </c>
      <c r="T1380" s="36">
        <f>RTD("ice.rtd",,$C1380 &amp; $D1380 &amp; ":" &amp; T$1)</f>
        <v>16483</v>
      </c>
      <c r="U1380" s="18">
        <f>RTD("ice.rtd",,$C1380 &amp; $D1380 &amp; ":" &amp; U$1)</f>
        <v>0.76374999999999993</v>
      </c>
      <c r="V13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|12x</v>
      </c>
      <c r="W1380" s="18" t="str">
        <f>IFERROR(IF(LEFT(ICE[[#This Row],[Tenor]], 1) = "B", RTD("esrtd",,$B1380 &amp; " " &amp; ICE[[#This Row],[Tenor]] &amp; "-IEU", W$1), RTD("esrtd",,$B1380 &amp; " " &amp; VLOOKUP(MONTH(ICE[[#This Row],[Strip]]), MthRef[], 2, 0) &amp; RIGHT(YEAR(ICE[[#This Row],[Strip]]), 2) &amp; "-IEU", W$1)), "")</f>
        <v/>
      </c>
      <c r="X1380" s="36"/>
    </row>
    <row r="1381" spans="1:24" x14ac:dyDescent="0.25">
      <c r="A1381" s="37" t="s">
        <v>375</v>
      </c>
      <c r="B1381" s="88" t="str">
        <f>RTD("ice.rtd",,$C1381 &amp; $D1381 &amp; ":" &amp; B$1)</f>
        <v>PRL</v>
      </c>
      <c r="C1381" s="3">
        <v>15091310</v>
      </c>
      <c r="D1381" t="s">
        <v>794</v>
      </c>
      <c r="E1381" s="3" t="str">
        <f>RTD("ice.rtd",,$C1381 &amp; $D1381 &amp; ":" &amp; E$1)</f>
        <v>Jan27</v>
      </c>
      <c r="F1381" s="3" t="str">
        <f>ICE[[#This Row],[Prod]]&amp;ICE[[#This Row],[Strip]]</f>
        <v>c3tetJan27</v>
      </c>
      <c r="G1381" s="18" t="str">
        <f>RTD("ice.rtd",,$C1381 &amp; $D1381 &amp; ":" &amp; G$1)</f>
        <v/>
      </c>
      <c r="H1381" s="18" t="str">
        <f>RTD("ice.rtd",,$C1381 &amp; $D1381 &amp; ":" &amp; H$1)</f>
        <v/>
      </c>
      <c r="I1381" s="18" t="str">
        <f>RTD("ice.rtd",,$C1381 &amp; $D1381 &amp; ":" &amp; I$1)</f>
        <v/>
      </c>
      <c r="J1381" s="14" t="str">
        <f>IFERROR(MOD(RTD("ice.rtd",,$C1381 &amp; $D1381 &amp; ":" &amp; J$1), 1), "")</f>
        <v/>
      </c>
      <c r="K1381" s="18" t="str">
        <f>RTD("ice.rtd",,$C1381 &amp; $D1381 &amp; ":" &amp; K$1)</f>
        <v/>
      </c>
      <c r="L1381" s="36" t="str">
        <f>RTD("ice.rtd",,$C1381 &amp; $D1381 &amp; ":" &amp; L$1)</f>
        <v/>
      </c>
      <c r="M1381" s="14" t="str">
        <f>IFERROR(MOD(TIMEVALUE(RTD("ice.rtd",,$C1381 &amp; $D1381 &amp; ":" &amp; M$1)), 1), "")</f>
        <v/>
      </c>
      <c r="N1381" s="36">
        <f>RTD("ice.rtd",,$C1381 &amp; $D1381 &amp; ":" &amp; N$1)</f>
        <v>0</v>
      </c>
      <c r="O1381" s="36">
        <f>RTD("ice.rtd",,$C1381 &amp; $D1381 &amp; ":" &amp; O$1)</f>
        <v>125</v>
      </c>
      <c r="P13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1" s="14" t="str">
        <f>IF(ICE[[#This Row],[LastType]] = "Scrn", ICE[[#This Row],[LstDate]], IF(ICE[[#This Row],[LastType]] = "Blk", ICE[[#This Row],[LstBlkTime]], ""))</f>
        <v/>
      </c>
      <c r="R1381" s="41" t="str">
        <f>IF(ICE[[#This Row],[LastType]] = "Scrn", ICE[[#This Row],[LstPrc]], IF(ICE[[#This Row],[LastType]] = "Blk", ICE[[#This Row],[LstBlkPrc]], ""))</f>
        <v/>
      </c>
      <c r="S1381" s="36">
        <f>ICE[[#This Row],[Vol]]+ICE[[#This Row],[BlkVol]]</f>
        <v>125</v>
      </c>
      <c r="T1381" s="36">
        <f>RTD("ice.rtd",,$C1381 &amp; $D1381 &amp; ":" &amp; T$1)</f>
        <v>11020</v>
      </c>
      <c r="U1381" s="18">
        <f>RTD("ice.rtd",,$C1381 &amp; $D1381 &amp; ":" &amp; U$1)</f>
        <v>0.76500000000000001</v>
      </c>
      <c r="V13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|125x</v>
      </c>
      <c r="W1381" s="18" t="str">
        <f>IFERROR(IF(LEFT(ICE[[#This Row],[Tenor]], 1) = "B", RTD("esrtd",,$B1381 &amp; " " &amp; ICE[[#This Row],[Tenor]] &amp; "-IEU", W$1), RTD("esrtd",,$B1381 &amp; " " &amp; VLOOKUP(MONTH(ICE[[#This Row],[Strip]]), MthRef[], 2, 0) &amp; RIGHT(YEAR(ICE[[#This Row],[Strip]]), 2) &amp; "-IEU", W$1)), "")</f>
        <v/>
      </c>
      <c r="X1381" s="36"/>
    </row>
    <row r="1382" spans="1:24" x14ac:dyDescent="0.25">
      <c r="A1382" s="37" t="s">
        <v>375</v>
      </c>
      <c r="B1382" s="88" t="str">
        <f>RTD("ice.rtd",,$C1382 &amp; $D1382 &amp; ":" &amp; B$1)</f>
        <v>PRL</v>
      </c>
      <c r="C1382" s="3">
        <v>15091310</v>
      </c>
      <c r="D1382" t="s">
        <v>795</v>
      </c>
      <c r="E1382" s="3" t="str">
        <f>RTD("ice.rtd",,$C1382 &amp; $D1382 &amp; ":" &amp; E$1)</f>
        <v>Feb27</v>
      </c>
      <c r="F1382" s="3" t="str">
        <f>ICE[[#This Row],[Prod]]&amp;ICE[[#This Row],[Strip]]</f>
        <v>c3tetFeb27</v>
      </c>
      <c r="G1382" s="18" t="str">
        <f>RTD("ice.rtd",,$C1382 &amp; $D1382 &amp; ":" &amp; G$1)</f>
        <v/>
      </c>
      <c r="H1382" s="18" t="str">
        <f>RTD("ice.rtd",,$C1382 &amp; $D1382 &amp; ":" &amp; H$1)</f>
        <v/>
      </c>
      <c r="I1382" s="18" t="str">
        <f>RTD("ice.rtd",,$C1382 &amp; $D1382 &amp; ":" &amp; I$1)</f>
        <v/>
      </c>
      <c r="J1382" s="14" t="str">
        <f>IFERROR(MOD(RTD("ice.rtd",,$C1382 &amp; $D1382 &amp; ":" &amp; J$1), 1), "")</f>
        <v/>
      </c>
      <c r="K1382" s="18" t="str">
        <f>RTD("ice.rtd",,$C1382 &amp; $D1382 &amp; ":" &amp; K$1)</f>
        <v/>
      </c>
      <c r="L1382" s="36" t="str">
        <f>RTD("ice.rtd",,$C1382 &amp; $D1382 &amp; ":" &amp; L$1)</f>
        <v/>
      </c>
      <c r="M1382" s="14" t="str">
        <f>IFERROR(MOD(TIMEVALUE(RTD("ice.rtd",,$C1382 &amp; $D1382 &amp; ":" &amp; M$1)), 1), "")</f>
        <v/>
      </c>
      <c r="N1382" s="36">
        <f>RTD("ice.rtd",,$C1382 &amp; $D1382 &amp; ":" &amp; N$1)</f>
        <v>0</v>
      </c>
      <c r="O1382" s="36">
        <f>RTD("ice.rtd",,$C1382 &amp; $D1382 &amp; ":" &amp; O$1)</f>
        <v>125</v>
      </c>
      <c r="P13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2" s="14" t="str">
        <f>IF(ICE[[#This Row],[LastType]] = "Scrn", ICE[[#This Row],[LstDate]], IF(ICE[[#This Row],[LastType]] = "Blk", ICE[[#This Row],[LstBlkTime]], ""))</f>
        <v/>
      </c>
      <c r="R1382" s="41" t="str">
        <f>IF(ICE[[#This Row],[LastType]] = "Scrn", ICE[[#This Row],[LstPrc]], IF(ICE[[#This Row],[LastType]] = "Blk", ICE[[#This Row],[LstBlkPrc]], ""))</f>
        <v/>
      </c>
      <c r="S1382" s="36">
        <f>ICE[[#This Row],[Vol]]+ICE[[#This Row],[BlkVol]]</f>
        <v>125</v>
      </c>
      <c r="T1382" s="36">
        <f>RTD("ice.rtd",,$C1382 &amp; $D1382 &amp; ":" &amp; T$1)</f>
        <v>9747</v>
      </c>
      <c r="U1382" s="18">
        <f>RTD("ice.rtd",,$C1382 &amp; $D1382 &amp; ":" &amp; U$1)</f>
        <v>0.76374999999999993</v>
      </c>
      <c r="V13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|125x</v>
      </c>
      <c r="W1382" s="18" t="str">
        <f>IFERROR(IF(LEFT(ICE[[#This Row],[Tenor]], 1) = "B", RTD("esrtd",,$B1382 &amp; " " &amp; ICE[[#This Row],[Tenor]] &amp; "-IEU", W$1), RTD("esrtd",,$B1382 &amp; " " &amp; VLOOKUP(MONTH(ICE[[#This Row],[Strip]]), MthRef[], 2, 0) &amp; RIGHT(YEAR(ICE[[#This Row],[Strip]]), 2) &amp; "-IEU", W$1)), "")</f>
        <v/>
      </c>
      <c r="X1382" s="36"/>
    </row>
    <row r="1383" spans="1:24" x14ac:dyDescent="0.25">
      <c r="A1383" s="37" t="s">
        <v>375</v>
      </c>
      <c r="B1383" s="88" t="str">
        <f>RTD("ice.rtd",,$C1383 &amp; $D1383 &amp; ":" &amp; B$1)</f>
        <v>PRL</v>
      </c>
      <c r="C1383" s="3">
        <v>15091310</v>
      </c>
      <c r="D1383" t="s">
        <v>113</v>
      </c>
      <c r="E1383" s="3" t="str">
        <f>RTD("ice.rtd",,$C1383 &amp; $D1383 &amp; ":" &amp; E$1)</f>
        <v>Mar27</v>
      </c>
      <c r="F1383" s="3" t="str">
        <f>ICE[[#This Row],[Prod]]&amp;ICE[[#This Row],[Strip]]</f>
        <v>c3tetMar27</v>
      </c>
      <c r="G1383" s="18" t="str">
        <f>RTD("ice.rtd",,$C1383 &amp; $D1383 &amp; ":" &amp; G$1)</f>
        <v/>
      </c>
      <c r="H1383" s="18" t="str">
        <f>RTD("ice.rtd",,$C1383 &amp; $D1383 &amp; ":" &amp; H$1)</f>
        <v/>
      </c>
      <c r="I1383" s="18" t="str">
        <f>RTD("ice.rtd",,$C1383 &amp; $D1383 &amp; ":" &amp; I$1)</f>
        <v/>
      </c>
      <c r="J1383" s="14" t="str">
        <f>IFERROR(MOD(RTD("ice.rtd",,$C1383 &amp; $D1383 &amp; ":" &amp; J$1), 1), "")</f>
        <v/>
      </c>
      <c r="K1383" s="18" t="str">
        <f>RTD("ice.rtd",,$C1383 &amp; $D1383 &amp; ":" &amp; K$1)</f>
        <v/>
      </c>
      <c r="L1383" s="36" t="str">
        <f>RTD("ice.rtd",,$C1383 &amp; $D1383 &amp; ":" &amp; L$1)</f>
        <v/>
      </c>
      <c r="M1383" s="14" t="str">
        <f>IFERROR(MOD(TIMEVALUE(RTD("ice.rtd",,$C1383 &amp; $D1383 &amp; ":" &amp; M$1)), 1), "")</f>
        <v/>
      </c>
      <c r="N1383" s="36">
        <f>RTD("ice.rtd",,$C1383 &amp; $D1383 &amp; ":" &amp; N$1)</f>
        <v>0</v>
      </c>
      <c r="O1383" s="36">
        <f>RTD("ice.rtd",,$C1383 &amp; $D1383 &amp; ":" &amp; O$1)</f>
        <v>125</v>
      </c>
      <c r="P13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3" s="14" t="str">
        <f>IF(ICE[[#This Row],[LastType]] = "Scrn", ICE[[#This Row],[LstDate]], IF(ICE[[#This Row],[LastType]] = "Blk", ICE[[#This Row],[LstBlkTime]], ""))</f>
        <v/>
      </c>
      <c r="R1383" s="41" t="str">
        <f>IF(ICE[[#This Row],[LastType]] = "Scrn", ICE[[#This Row],[LstPrc]], IF(ICE[[#This Row],[LastType]] = "Blk", ICE[[#This Row],[LstBlkPrc]], ""))</f>
        <v/>
      </c>
      <c r="S1383" s="36">
        <f>ICE[[#This Row],[Vol]]+ICE[[#This Row],[BlkVol]]</f>
        <v>125</v>
      </c>
      <c r="T1383" s="36">
        <f>RTD("ice.rtd",,$C1383 &amp; $D1383 &amp; ":" &amp; T$1)</f>
        <v>8853</v>
      </c>
      <c r="U1383" s="18">
        <f>RTD("ice.rtd",,$C1383 &amp; $D1383 &amp; ":" &amp; U$1)</f>
        <v>0.75</v>
      </c>
      <c r="V13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|125x</v>
      </c>
      <c r="W1383" s="18" t="str">
        <f>IFERROR(IF(LEFT(ICE[[#This Row],[Tenor]], 1) = "B", RTD("esrtd",,$B1383 &amp; " " &amp; ICE[[#This Row],[Tenor]] &amp; "-IEU", W$1), RTD("esrtd",,$B1383 &amp; " " &amp; VLOOKUP(MONTH(ICE[[#This Row],[Strip]]), MthRef[], 2, 0) &amp; RIGHT(YEAR(ICE[[#This Row],[Strip]]), 2) &amp; "-IEU", W$1)), "")</f>
        <v/>
      </c>
      <c r="X1383" s="36"/>
    </row>
    <row r="1384" spans="1:24" x14ac:dyDescent="0.25">
      <c r="A1384" s="37" t="s">
        <v>375</v>
      </c>
      <c r="B1384" s="88" t="str">
        <f>RTD("ice.rtd",,$C1384 &amp; $D1384 &amp; ":" &amp; B$1)</f>
        <v>PRL</v>
      </c>
      <c r="C1384" s="3">
        <v>15091310</v>
      </c>
      <c r="D1384" t="s">
        <v>796</v>
      </c>
      <c r="E1384" s="3" t="str">
        <f>RTD("ice.rtd",,$C1384 &amp; $D1384 &amp; ":" &amp; E$1)</f>
        <v>Apr27</v>
      </c>
      <c r="F1384" s="3" t="str">
        <f>ICE[[#This Row],[Prod]]&amp;ICE[[#This Row],[Strip]]</f>
        <v>c3tetApr27</v>
      </c>
      <c r="G1384" s="18" t="str">
        <f>RTD("ice.rtd",,$C1384 &amp; $D1384 &amp; ":" &amp; G$1)</f>
        <v/>
      </c>
      <c r="H1384" s="18" t="str">
        <f>RTD("ice.rtd",,$C1384 &amp; $D1384 &amp; ":" &amp; H$1)</f>
        <v/>
      </c>
      <c r="I1384" s="18" t="str">
        <f>RTD("ice.rtd",,$C1384 &amp; $D1384 &amp; ":" &amp; I$1)</f>
        <v/>
      </c>
      <c r="J1384" s="14" t="str">
        <f>IFERROR(MOD(RTD("ice.rtd",,$C1384 &amp; $D1384 &amp; ":" &amp; J$1), 1), "")</f>
        <v/>
      </c>
      <c r="K1384" s="18" t="str">
        <f>RTD("ice.rtd",,$C1384 &amp; $D1384 &amp; ":" &amp; K$1)</f>
        <v/>
      </c>
      <c r="L1384" s="36" t="str">
        <f>RTD("ice.rtd",,$C1384 &amp; $D1384 &amp; ":" &amp; L$1)</f>
        <v/>
      </c>
      <c r="M1384" s="14" t="str">
        <f>IFERROR(MOD(TIMEVALUE(RTD("ice.rtd",,$C1384 &amp; $D1384 &amp; ":" &amp; M$1)), 1), "")</f>
        <v/>
      </c>
      <c r="N1384" s="36">
        <f>RTD("ice.rtd",,$C1384 &amp; $D1384 &amp; ":" &amp; N$1)</f>
        <v>0</v>
      </c>
      <c r="O1384" s="36">
        <f>RTD("ice.rtd",,$C1384 &amp; $D1384 &amp; ":" &amp; O$1)</f>
        <v>0</v>
      </c>
      <c r="P13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4" s="14" t="str">
        <f>IF(ICE[[#This Row],[LastType]] = "Scrn", ICE[[#This Row],[LstDate]], IF(ICE[[#This Row],[LastType]] = "Blk", ICE[[#This Row],[LstBlkTime]], ""))</f>
        <v/>
      </c>
      <c r="R1384" s="41" t="str">
        <f>IF(ICE[[#This Row],[LastType]] = "Scrn", ICE[[#This Row],[LstPrc]], IF(ICE[[#This Row],[LastType]] = "Blk", ICE[[#This Row],[LstBlkPrc]], ""))</f>
        <v/>
      </c>
      <c r="S1384" s="36">
        <f>ICE[[#This Row],[Vol]]+ICE[[#This Row],[BlkVol]]</f>
        <v>0</v>
      </c>
      <c r="T1384" s="36">
        <f>RTD("ice.rtd",,$C1384 &amp; $D1384 &amp; ":" &amp; T$1)</f>
        <v>6088</v>
      </c>
      <c r="U1384" s="18">
        <f>RTD("ice.rtd",,$C1384 &amp; $D1384 &amp; ":" &amp; U$1)</f>
        <v>0.73</v>
      </c>
      <c r="V13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84" s="18" t="str">
        <f>IFERROR(IF(LEFT(ICE[[#This Row],[Tenor]], 1) = "B", RTD("esrtd",,$B1384 &amp; " " &amp; ICE[[#This Row],[Tenor]] &amp; "-IEU", W$1), RTD("esrtd",,$B1384 &amp; " " &amp; VLOOKUP(MONTH(ICE[[#This Row],[Strip]]), MthRef[], 2, 0) &amp; RIGHT(YEAR(ICE[[#This Row],[Strip]]), 2) &amp; "-IEU", W$1)), "")</f>
        <v/>
      </c>
      <c r="X1384" s="36"/>
    </row>
    <row r="1385" spans="1:24" x14ac:dyDescent="0.25">
      <c r="A1385" s="37" t="s">
        <v>375</v>
      </c>
      <c r="B1385" s="88" t="str">
        <f>RTD("ice.rtd",,$C1385 &amp; $D1385 &amp; ":" &amp; B$1)</f>
        <v>PRL</v>
      </c>
      <c r="C1385" s="3">
        <v>15091310</v>
      </c>
      <c r="D1385" t="s">
        <v>797</v>
      </c>
      <c r="E1385" s="3" t="str">
        <f>RTD("ice.rtd",,$C1385 &amp; $D1385 &amp; ":" &amp; E$1)</f>
        <v>May27</v>
      </c>
      <c r="F1385" s="3" t="str">
        <f>ICE[[#This Row],[Prod]]&amp;ICE[[#This Row],[Strip]]</f>
        <v>c3tetMay27</v>
      </c>
      <c r="G1385" s="18" t="str">
        <f>RTD("ice.rtd",,$C1385 &amp; $D1385 &amp; ":" &amp; G$1)</f>
        <v/>
      </c>
      <c r="H1385" s="18" t="str">
        <f>RTD("ice.rtd",,$C1385 &amp; $D1385 &amp; ":" &amp; H$1)</f>
        <v/>
      </c>
      <c r="I1385" s="18" t="str">
        <f>RTD("ice.rtd",,$C1385 &amp; $D1385 &amp; ":" &amp; I$1)</f>
        <v/>
      </c>
      <c r="J1385" s="14" t="str">
        <f>IFERROR(MOD(RTD("ice.rtd",,$C1385 &amp; $D1385 &amp; ":" &amp; J$1), 1), "")</f>
        <v/>
      </c>
      <c r="K1385" s="18" t="str">
        <f>RTD("ice.rtd",,$C1385 &amp; $D1385 &amp; ":" &amp; K$1)</f>
        <v/>
      </c>
      <c r="L1385" s="36" t="str">
        <f>RTD("ice.rtd",,$C1385 &amp; $D1385 &amp; ":" &amp; L$1)</f>
        <v/>
      </c>
      <c r="M1385" s="14" t="str">
        <f>IFERROR(MOD(TIMEVALUE(RTD("ice.rtd",,$C1385 &amp; $D1385 &amp; ":" &amp; M$1)), 1), "")</f>
        <v/>
      </c>
      <c r="N1385" s="36">
        <f>RTD("ice.rtd",,$C1385 &amp; $D1385 &amp; ":" &amp; N$1)</f>
        <v>0</v>
      </c>
      <c r="O1385" s="36">
        <f>RTD("ice.rtd",,$C1385 &amp; $D1385 &amp; ":" &amp; O$1)</f>
        <v>0</v>
      </c>
      <c r="P13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5" s="14" t="str">
        <f>IF(ICE[[#This Row],[LastType]] = "Scrn", ICE[[#This Row],[LstDate]], IF(ICE[[#This Row],[LastType]] = "Blk", ICE[[#This Row],[LstBlkTime]], ""))</f>
        <v/>
      </c>
      <c r="R1385" s="41" t="str">
        <f>IF(ICE[[#This Row],[LastType]] = "Scrn", ICE[[#This Row],[LstPrc]], IF(ICE[[#This Row],[LastType]] = "Blk", ICE[[#This Row],[LstBlkPrc]], ""))</f>
        <v/>
      </c>
      <c r="S1385" s="36">
        <f>ICE[[#This Row],[Vol]]+ICE[[#This Row],[BlkVol]]</f>
        <v>0</v>
      </c>
      <c r="T1385" s="36">
        <f>RTD("ice.rtd",,$C1385 &amp; $D1385 &amp; ":" &amp; T$1)</f>
        <v>5854</v>
      </c>
      <c r="U1385" s="18">
        <f>RTD("ice.rtd",,$C1385 &amp; $D1385 &amp; ":" &amp; U$1)</f>
        <v>0.71750000000000003</v>
      </c>
      <c r="V13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85" s="18" t="str">
        <f>IFERROR(IF(LEFT(ICE[[#This Row],[Tenor]], 1) = "B", RTD("esrtd",,$B1385 &amp; " " &amp; ICE[[#This Row],[Tenor]] &amp; "-IEU", W$1), RTD("esrtd",,$B1385 &amp; " " &amp; VLOOKUP(MONTH(ICE[[#This Row],[Strip]]), MthRef[], 2, 0) &amp; RIGHT(YEAR(ICE[[#This Row],[Strip]]), 2) &amp; "-IEU", W$1)), "")</f>
        <v/>
      </c>
      <c r="X1385" s="36"/>
    </row>
    <row r="1386" spans="1:24" x14ac:dyDescent="0.25">
      <c r="A1386" s="37" t="s">
        <v>375</v>
      </c>
      <c r="B1386" s="88" t="str">
        <f>RTD("ice.rtd",,$C1386 &amp; $D1386 &amp; ":" &amp; B$1)</f>
        <v>PRL</v>
      </c>
      <c r="C1386" s="3">
        <v>15091310</v>
      </c>
      <c r="D1386" t="s">
        <v>798</v>
      </c>
      <c r="E1386" s="3" t="str">
        <f>RTD("ice.rtd",,$C1386 &amp; $D1386 &amp; ":" &amp; E$1)</f>
        <v>Jun27</v>
      </c>
      <c r="F1386" s="3" t="str">
        <f>ICE[[#This Row],[Prod]]&amp;ICE[[#This Row],[Strip]]</f>
        <v>c3tetJun27</v>
      </c>
      <c r="G1386" s="18" t="str">
        <f>RTD("ice.rtd",,$C1386 &amp; $D1386 &amp; ":" &amp; G$1)</f>
        <v/>
      </c>
      <c r="H1386" s="18" t="str">
        <f>RTD("ice.rtd",,$C1386 &amp; $D1386 &amp; ":" &amp; H$1)</f>
        <v/>
      </c>
      <c r="I1386" s="18" t="str">
        <f>RTD("ice.rtd",,$C1386 &amp; $D1386 &amp; ":" &amp; I$1)</f>
        <v/>
      </c>
      <c r="J1386" s="14" t="str">
        <f>IFERROR(MOD(RTD("ice.rtd",,$C1386 &amp; $D1386 &amp; ":" &amp; J$1), 1), "")</f>
        <v/>
      </c>
      <c r="K1386" s="18" t="str">
        <f>RTD("ice.rtd",,$C1386 &amp; $D1386 &amp; ":" &amp; K$1)</f>
        <v/>
      </c>
      <c r="L1386" s="36" t="str">
        <f>RTD("ice.rtd",,$C1386 &amp; $D1386 &amp; ":" &amp; L$1)</f>
        <v/>
      </c>
      <c r="M1386" s="14" t="str">
        <f>IFERROR(MOD(TIMEVALUE(RTD("ice.rtd",,$C1386 &amp; $D1386 &amp; ":" &amp; M$1)), 1), "")</f>
        <v/>
      </c>
      <c r="N1386" s="36">
        <f>RTD("ice.rtd",,$C1386 &amp; $D1386 &amp; ":" &amp; N$1)</f>
        <v>0</v>
      </c>
      <c r="O1386" s="36">
        <f>RTD("ice.rtd",,$C1386 &amp; $D1386 &amp; ":" &amp; O$1)</f>
        <v>0</v>
      </c>
      <c r="P13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6" s="14" t="str">
        <f>IF(ICE[[#This Row],[LastType]] = "Scrn", ICE[[#This Row],[LstDate]], IF(ICE[[#This Row],[LastType]] = "Blk", ICE[[#This Row],[LstBlkTime]], ""))</f>
        <v/>
      </c>
      <c r="R1386" s="41" t="str">
        <f>IF(ICE[[#This Row],[LastType]] = "Scrn", ICE[[#This Row],[LstPrc]], IF(ICE[[#This Row],[LastType]] = "Blk", ICE[[#This Row],[LstBlkPrc]], ""))</f>
        <v/>
      </c>
      <c r="S1386" s="36">
        <f>ICE[[#This Row],[Vol]]+ICE[[#This Row],[BlkVol]]</f>
        <v>0</v>
      </c>
      <c r="T1386" s="36">
        <f>RTD("ice.rtd",,$C1386 &amp; $D1386 &amp; ":" &amp; T$1)</f>
        <v>5435</v>
      </c>
      <c r="U1386" s="18">
        <f>RTD("ice.rtd",,$C1386 &amp; $D1386 &amp; ":" &amp; U$1)</f>
        <v>0.71250000000000002</v>
      </c>
      <c r="V13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86" s="18" t="str">
        <f>IFERROR(IF(LEFT(ICE[[#This Row],[Tenor]], 1) = "B", RTD("esrtd",,$B1386 &amp; " " &amp; ICE[[#This Row],[Tenor]] &amp; "-IEU", W$1), RTD("esrtd",,$B1386 &amp; " " &amp; VLOOKUP(MONTH(ICE[[#This Row],[Strip]]), MthRef[], 2, 0) &amp; RIGHT(YEAR(ICE[[#This Row],[Strip]]), 2) &amp; "-IEU", W$1)), "")</f>
        <v/>
      </c>
      <c r="X1386" s="36"/>
    </row>
    <row r="1387" spans="1:24" x14ac:dyDescent="0.25">
      <c r="A1387" s="37" t="s">
        <v>375</v>
      </c>
      <c r="B1387" s="88" t="str">
        <f>RTD("ice.rtd",,$C1387 &amp; $D1387 &amp; ":" &amp; B$1)</f>
        <v>PRL</v>
      </c>
      <c r="C1387" s="3">
        <v>15091310</v>
      </c>
      <c r="D1387" t="s">
        <v>799</v>
      </c>
      <c r="E1387" s="3" t="str">
        <f>RTD("ice.rtd",,$C1387 &amp; $D1387 &amp; ":" &amp; E$1)</f>
        <v>Jul27</v>
      </c>
      <c r="F1387" s="3" t="str">
        <f>ICE[[#This Row],[Prod]]&amp;ICE[[#This Row],[Strip]]</f>
        <v>c3tetJul27</v>
      </c>
      <c r="G1387" s="18" t="str">
        <f>RTD("ice.rtd",,$C1387 &amp; $D1387 &amp; ":" &amp; G$1)</f>
        <v/>
      </c>
      <c r="H1387" s="18" t="str">
        <f>RTD("ice.rtd",,$C1387 &amp; $D1387 &amp; ":" &amp; H$1)</f>
        <v/>
      </c>
      <c r="I1387" s="18" t="str">
        <f>RTD("ice.rtd",,$C1387 &amp; $D1387 &amp; ":" &amp; I$1)</f>
        <v/>
      </c>
      <c r="J1387" s="14" t="str">
        <f>IFERROR(MOD(RTD("ice.rtd",,$C1387 &amp; $D1387 &amp; ":" &amp; J$1), 1), "")</f>
        <v/>
      </c>
      <c r="K1387" s="18" t="str">
        <f>RTD("ice.rtd",,$C1387 &amp; $D1387 &amp; ":" &amp; K$1)</f>
        <v/>
      </c>
      <c r="L1387" s="36" t="str">
        <f>RTD("ice.rtd",,$C1387 &amp; $D1387 &amp; ":" &amp; L$1)</f>
        <v/>
      </c>
      <c r="M1387" s="14" t="str">
        <f>IFERROR(MOD(TIMEVALUE(RTD("ice.rtd",,$C1387 &amp; $D1387 &amp; ":" &amp; M$1)), 1), "")</f>
        <v/>
      </c>
      <c r="N1387" s="36">
        <f>RTD("ice.rtd",,$C1387 &amp; $D1387 &amp; ":" &amp; N$1)</f>
        <v>0</v>
      </c>
      <c r="O1387" s="36">
        <f>RTD("ice.rtd",,$C1387 &amp; $D1387 &amp; ":" &amp; O$1)</f>
        <v>0</v>
      </c>
      <c r="P13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7" s="14" t="str">
        <f>IF(ICE[[#This Row],[LastType]] = "Scrn", ICE[[#This Row],[LstDate]], IF(ICE[[#This Row],[LastType]] = "Blk", ICE[[#This Row],[LstBlkTime]], ""))</f>
        <v/>
      </c>
      <c r="R1387" s="41" t="str">
        <f>IF(ICE[[#This Row],[LastType]] = "Scrn", ICE[[#This Row],[LstPrc]], IF(ICE[[#This Row],[LastType]] = "Blk", ICE[[#This Row],[LstBlkPrc]], ""))</f>
        <v/>
      </c>
      <c r="S1387" s="36">
        <f>ICE[[#This Row],[Vol]]+ICE[[#This Row],[BlkVol]]</f>
        <v>0</v>
      </c>
      <c r="T1387" s="36">
        <f>RTD("ice.rtd",,$C1387 &amp; $D1387 &amp; ":" &amp; T$1)</f>
        <v>4219</v>
      </c>
      <c r="U1387" s="18">
        <f>RTD("ice.rtd",,$C1387 &amp; $D1387 &amp; ":" &amp; U$1)</f>
        <v>0.71124999999999994</v>
      </c>
      <c r="V13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87" s="18" t="str">
        <f>IFERROR(IF(LEFT(ICE[[#This Row],[Tenor]], 1) = "B", RTD("esrtd",,$B1387 &amp; " " &amp; ICE[[#This Row],[Tenor]] &amp; "-IEU", W$1), RTD("esrtd",,$B1387 &amp; " " &amp; VLOOKUP(MONTH(ICE[[#This Row],[Strip]]), MthRef[], 2, 0) &amp; RIGHT(YEAR(ICE[[#This Row],[Strip]]), 2) &amp; "-IEU", W$1)), "")</f>
        <v/>
      </c>
      <c r="X1387" s="36"/>
    </row>
    <row r="1388" spans="1:24" x14ac:dyDescent="0.25">
      <c r="A1388" s="37" t="s">
        <v>375</v>
      </c>
      <c r="B1388" s="88" t="str">
        <f>RTD("ice.rtd",,$C1388 &amp; $D1388 &amp; ":" &amp; B$1)</f>
        <v>PRL</v>
      </c>
      <c r="C1388" s="3">
        <v>15091310</v>
      </c>
      <c r="D1388" t="s">
        <v>800</v>
      </c>
      <c r="E1388" s="3" t="str">
        <f>RTD("ice.rtd",,$C1388 &amp; $D1388 &amp; ":" &amp; E$1)</f>
        <v>Aug27</v>
      </c>
      <c r="F1388" s="3" t="str">
        <f>ICE[[#This Row],[Prod]]&amp;ICE[[#This Row],[Strip]]</f>
        <v>c3tetAug27</v>
      </c>
      <c r="G1388" s="18" t="str">
        <f>RTD("ice.rtd",,$C1388 &amp; $D1388 &amp; ":" &amp; G$1)</f>
        <v/>
      </c>
      <c r="H1388" s="18" t="str">
        <f>RTD("ice.rtd",,$C1388 &amp; $D1388 &amp; ":" &amp; H$1)</f>
        <v/>
      </c>
      <c r="I1388" s="18" t="str">
        <f>RTD("ice.rtd",,$C1388 &amp; $D1388 &amp; ":" &amp; I$1)</f>
        <v/>
      </c>
      <c r="J1388" s="14" t="str">
        <f>IFERROR(MOD(RTD("ice.rtd",,$C1388 &amp; $D1388 &amp; ":" &amp; J$1), 1), "")</f>
        <v/>
      </c>
      <c r="K1388" s="18" t="str">
        <f>RTD("ice.rtd",,$C1388 &amp; $D1388 &amp; ":" &amp; K$1)</f>
        <v/>
      </c>
      <c r="L1388" s="36" t="str">
        <f>RTD("ice.rtd",,$C1388 &amp; $D1388 &amp; ":" &amp; L$1)</f>
        <v/>
      </c>
      <c r="M1388" s="14" t="str">
        <f>IFERROR(MOD(TIMEVALUE(RTD("ice.rtd",,$C1388 &amp; $D1388 &amp; ":" &amp; M$1)), 1), "")</f>
        <v/>
      </c>
      <c r="N1388" s="36">
        <f>RTD("ice.rtd",,$C1388 &amp; $D1388 &amp; ":" &amp; N$1)</f>
        <v>0</v>
      </c>
      <c r="O1388" s="36">
        <f>RTD("ice.rtd",,$C1388 &amp; $D1388 &amp; ":" &amp; O$1)</f>
        <v>0</v>
      </c>
      <c r="P13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8" s="14" t="str">
        <f>IF(ICE[[#This Row],[LastType]] = "Scrn", ICE[[#This Row],[LstDate]], IF(ICE[[#This Row],[LastType]] = "Blk", ICE[[#This Row],[LstBlkTime]], ""))</f>
        <v/>
      </c>
      <c r="R1388" s="41" t="str">
        <f>IF(ICE[[#This Row],[LastType]] = "Scrn", ICE[[#This Row],[LstPrc]], IF(ICE[[#This Row],[LastType]] = "Blk", ICE[[#This Row],[LstBlkPrc]], ""))</f>
        <v/>
      </c>
      <c r="S1388" s="36">
        <f>ICE[[#This Row],[Vol]]+ICE[[#This Row],[BlkVol]]</f>
        <v>0</v>
      </c>
      <c r="T1388" s="36">
        <f>RTD("ice.rtd",,$C1388 &amp; $D1388 &amp; ":" &amp; T$1)</f>
        <v>4553</v>
      </c>
      <c r="U1388" s="18">
        <f>RTD("ice.rtd",,$C1388 &amp; $D1388 &amp; ":" &amp; U$1)</f>
        <v>0.71624999999999994</v>
      </c>
      <c r="V13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88" s="18" t="str">
        <f>IFERROR(IF(LEFT(ICE[[#This Row],[Tenor]], 1) = "B", RTD("esrtd",,$B1388 &amp; " " &amp; ICE[[#This Row],[Tenor]] &amp; "-IEU", W$1), RTD("esrtd",,$B1388 &amp; " " &amp; VLOOKUP(MONTH(ICE[[#This Row],[Strip]]), MthRef[], 2, 0) &amp; RIGHT(YEAR(ICE[[#This Row],[Strip]]), 2) &amp; "-IEU", W$1)), "")</f>
        <v/>
      </c>
      <c r="X1388" s="36"/>
    </row>
    <row r="1389" spans="1:24" x14ac:dyDescent="0.25">
      <c r="A1389" s="37" t="s">
        <v>375</v>
      </c>
      <c r="B1389" s="88" t="str">
        <f>RTD("ice.rtd",,$C1389 &amp; $D1389 &amp; ":" &amp; B$1)</f>
        <v>PRL</v>
      </c>
      <c r="C1389" s="3">
        <v>15091310</v>
      </c>
      <c r="D1389" t="s">
        <v>801</v>
      </c>
      <c r="E1389" s="3" t="str">
        <f>RTD("ice.rtd",,$C1389 &amp; $D1389 &amp; ":" &amp; E$1)</f>
        <v>Sep27</v>
      </c>
      <c r="F1389" s="3" t="str">
        <f>ICE[[#This Row],[Prod]]&amp;ICE[[#This Row],[Strip]]</f>
        <v>c3tetSep27</v>
      </c>
      <c r="G1389" s="18" t="str">
        <f>RTD("ice.rtd",,$C1389 &amp; $D1389 &amp; ":" &amp; G$1)</f>
        <v/>
      </c>
      <c r="H1389" s="18" t="str">
        <f>RTD("ice.rtd",,$C1389 &amp; $D1389 &amp; ":" &amp; H$1)</f>
        <v/>
      </c>
      <c r="I1389" s="18" t="str">
        <f>RTD("ice.rtd",,$C1389 &amp; $D1389 &amp; ":" &amp; I$1)</f>
        <v/>
      </c>
      <c r="J1389" s="14" t="str">
        <f>IFERROR(MOD(RTD("ice.rtd",,$C1389 &amp; $D1389 &amp; ":" &amp; J$1), 1), "")</f>
        <v/>
      </c>
      <c r="K1389" s="18" t="str">
        <f>RTD("ice.rtd",,$C1389 &amp; $D1389 &amp; ":" &amp; K$1)</f>
        <v/>
      </c>
      <c r="L1389" s="36" t="str">
        <f>RTD("ice.rtd",,$C1389 &amp; $D1389 &amp; ":" &amp; L$1)</f>
        <v/>
      </c>
      <c r="M1389" s="14" t="str">
        <f>IFERROR(MOD(TIMEVALUE(RTD("ice.rtd",,$C1389 &amp; $D1389 &amp; ":" &amp; M$1)), 1), "")</f>
        <v/>
      </c>
      <c r="N1389" s="36">
        <f>RTD("ice.rtd",,$C1389 &amp; $D1389 &amp; ":" &amp; N$1)</f>
        <v>0</v>
      </c>
      <c r="O1389" s="36">
        <f>RTD("ice.rtd",,$C1389 &amp; $D1389 &amp; ":" &amp; O$1)</f>
        <v>0</v>
      </c>
      <c r="P13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89" s="14" t="str">
        <f>IF(ICE[[#This Row],[LastType]] = "Scrn", ICE[[#This Row],[LstDate]], IF(ICE[[#This Row],[LastType]] = "Blk", ICE[[#This Row],[LstBlkTime]], ""))</f>
        <v/>
      </c>
      <c r="R1389" s="41" t="str">
        <f>IF(ICE[[#This Row],[LastType]] = "Scrn", ICE[[#This Row],[LstPrc]], IF(ICE[[#This Row],[LastType]] = "Blk", ICE[[#This Row],[LstBlkPrc]], ""))</f>
        <v/>
      </c>
      <c r="S1389" s="36">
        <f>ICE[[#This Row],[Vol]]+ICE[[#This Row],[BlkVol]]</f>
        <v>0</v>
      </c>
      <c r="T1389" s="36">
        <f>RTD("ice.rtd",,$C1389 &amp; $D1389 &amp; ":" &amp; T$1)</f>
        <v>3901</v>
      </c>
      <c r="U1389" s="18">
        <f>RTD("ice.rtd",,$C1389 &amp; $D1389 &amp; ":" &amp; U$1)</f>
        <v>0.72250000000000003</v>
      </c>
      <c r="V13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89" s="18" t="str">
        <f>IFERROR(IF(LEFT(ICE[[#This Row],[Tenor]], 1) = "B", RTD("esrtd",,$B1389 &amp; " " &amp; ICE[[#This Row],[Tenor]] &amp; "-IEU", W$1), RTD("esrtd",,$B1389 &amp; " " &amp; VLOOKUP(MONTH(ICE[[#This Row],[Strip]]), MthRef[], 2, 0) &amp; RIGHT(YEAR(ICE[[#This Row],[Strip]]), 2) &amp; "-IEU", W$1)), "")</f>
        <v/>
      </c>
      <c r="X1389" s="36"/>
    </row>
    <row r="1390" spans="1:24" x14ac:dyDescent="0.25">
      <c r="A1390" s="37" t="s">
        <v>375</v>
      </c>
      <c r="B1390" s="88" t="str">
        <f>RTD("ice.rtd",,$C1390 &amp; $D1390 &amp; ":" &amp; B$1)</f>
        <v>PRL</v>
      </c>
      <c r="C1390" s="3">
        <v>15091310</v>
      </c>
      <c r="D1390" t="s">
        <v>802</v>
      </c>
      <c r="E1390" s="3" t="str">
        <f>RTD("ice.rtd",,$C1390 &amp; $D1390 &amp; ":" &amp; E$1)</f>
        <v>Oct27</v>
      </c>
      <c r="F1390" s="3" t="str">
        <f>ICE[[#This Row],[Prod]]&amp;ICE[[#This Row],[Strip]]</f>
        <v>c3tetOct27</v>
      </c>
      <c r="G1390" s="18" t="str">
        <f>RTD("ice.rtd",,$C1390 &amp; $D1390 &amp; ":" &amp; G$1)</f>
        <v/>
      </c>
      <c r="H1390" s="18" t="str">
        <f>RTD("ice.rtd",,$C1390 &amp; $D1390 &amp; ":" &amp; H$1)</f>
        <v/>
      </c>
      <c r="I1390" s="18" t="str">
        <f>RTD("ice.rtd",,$C1390 &amp; $D1390 &amp; ":" &amp; I$1)</f>
        <v/>
      </c>
      <c r="J1390" s="14" t="str">
        <f>IFERROR(MOD(RTD("ice.rtd",,$C1390 &amp; $D1390 &amp; ":" &amp; J$1), 1), "")</f>
        <v/>
      </c>
      <c r="K1390" s="18" t="str">
        <f>RTD("ice.rtd",,$C1390 &amp; $D1390 &amp; ":" &amp; K$1)</f>
        <v/>
      </c>
      <c r="L1390" s="36" t="str">
        <f>RTD("ice.rtd",,$C1390 &amp; $D1390 &amp; ":" &amp; L$1)</f>
        <v/>
      </c>
      <c r="M1390" s="14" t="str">
        <f>IFERROR(MOD(TIMEVALUE(RTD("ice.rtd",,$C1390 &amp; $D1390 &amp; ":" &amp; M$1)), 1), "")</f>
        <v/>
      </c>
      <c r="N1390" s="36">
        <f>RTD("ice.rtd",,$C1390 &amp; $D1390 &amp; ":" &amp; N$1)</f>
        <v>0</v>
      </c>
      <c r="O1390" s="36">
        <f>RTD("ice.rtd",,$C1390 &amp; $D1390 &amp; ":" &amp; O$1)</f>
        <v>0</v>
      </c>
      <c r="P13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0" s="14" t="str">
        <f>IF(ICE[[#This Row],[LastType]] = "Scrn", ICE[[#This Row],[LstDate]], IF(ICE[[#This Row],[LastType]] = "Blk", ICE[[#This Row],[LstBlkTime]], ""))</f>
        <v/>
      </c>
      <c r="R1390" s="41" t="str">
        <f>IF(ICE[[#This Row],[LastType]] = "Scrn", ICE[[#This Row],[LstPrc]], IF(ICE[[#This Row],[LastType]] = "Blk", ICE[[#This Row],[LstBlkPrc]], ""))</f>
        <v/>
      </c>
      <c r="S1390" s="36">
        <f>ICE[[#This Row],[Vol]]+ICE[[#This Row],[BlkVol]]</f>
        <v>0</v>
      </c>
      <c r="T1390" s="36">
        <f>RTD("ice.rtd",,$C1390 &amp; $D1390 &amp; ":" &amp; T$1)</f>
        <v>4893</v>
      </c>
      <c r="U1390" s="18">
        <f>RTD("ice.rtd",,$C1390 &amp; $D1390 &amp; ":" &amp; U$1)</f>
        <v>0.73</v>
      </c>
      <c r="V13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0" s="18" t="str">
        <f>IFERROR(IF(LEFT(ICE[[#This Row],[Tenor]], 1) = "B", RTD("esrtd",,$B1390 &amp; " " &amp; ICE[[#This Row],[Tenor]] &amp; "-IEU", W$1), RTD("esrtd",,$B1390 &amp; " " &amp; VLOOKUP(MONTH(ICE[[#This Row],[Strip]]), MthRef[], 2, 0) &amp; RIGHT(YEAR(ICE[[#This Row],[Strip]]), 2) &amp; "-IEU", W$1)), "")</f>
        <v/>
      </c>
      <c r="X1390" s="36"/>
    </row>
    <row r="1391" spans="1:24" x14ac:dyDescent="0.25">
      <c r="A1391" s="37" t="s">
        <v>375</v>
      </c>
      <c r="B1391" s="88" t="str">
        <f>RTD("ice.rtd",,$C1391 &amp; $D1391 &amp; ":" &amp; B$1)</f>
        <v>PRL</v>
      </c>
      <c r="C1391" s="3">
        <v>15091310</v>
      </c>
      <c r="D1391" t="s">
        <v>803</v>
      </c>
      <c r="E1391" s="3" t="str">
        <f>RTD("ice.rtd",,$C1391 &amp; $D1391 &amp; ":" &amp; E$1)</f>
        <v>Nov27</v>
      </c>
      <c r="F1391" s="3" t="str">
        <f>ICE[[#This Row],[Prod]]&amp;ICE[[#This Row],[Strip]]</f>
        <v>c3tetNov27</v>
      </c>
      <c r="G1391" s="18" t="str">
        <f>RTD("ice.rtd",,$C1391 &amp; $D1391 &amp; ":" &amp; G$1)</f>
        <v/>
      </c>
      <c r="H1391" s="18" t="str">
        <f>RTD("ice.rtd",,$C1391 &amp; $D1391 &amp; ":" &amp; H$1)</f>
        <v/>
      </c>
      <c r="I1391" s="18" t="str">
        <f>RTD("ice.rtd",,$C1391 &amp; $D1391 &amp; ":" &amp; I$1)</f>
        <v/>
      </c>
      <c r="J1391" s="14" t="str">
        <f>IFERROR(MOD(RTD("ice.rtd",,$C1391 &amp; $D1391 &amp; ":" &amp; J$1), 1), "")</f>
        <v/>
      </c>
      <c r="K1391" s="18" t="str">
        <f>RTD("ice.rtd",,$C1391 &amp; $D1391 &amp; ":" &amp; K$1)</f>
        <v/>
      </c>
      <c r="L1391" s="36" t="str">
        <f>RTD("ice.rtd",,$C1391 &amp; $D1391 &amp; ":" &amp; L$1)</f>
        <v/>
      </c>
      <c r="M1391" s="14" t="str">
        <f>IFERROR(MOD(TIMEVALUE(RTD("ice.rtd",,$C1391 &amp; $D1391 &amp; ":" &amp; M$1)), 1), "")</f>
        <v/>
      </c>
      <c r="N1391" s="36">
        <f>RTD("ice.rtd",,$C1391 &amp; $D1391 &amp; ":" &amp; N$1)</f>
        <v>0</v>
      </c>
      <c r="O1391" s="36">
        <f>RTD("ice.rtd",,$C1391 &amp; $D1391 &amp; ":" &amp; O$1)</f>
        <v>0</v>
      </c>
      <c r="P13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1" s="14" t="str">
        <f>IF(ICE[[#This Row],[LastType]] = "Scrn", ICE[[#This Row],[LstDate]], IF(ICE[[#This Row],[LastType]] = "Blk", ICE[[#This Row],[LstBlkTime]], ""))</f>
        <v/>
      </c>
      <c r="R1391" s="41" t="str">
        <f>IF(ICE[[#This Row],[LastType]] = "Scrn", ICE[[#This Row],[LstPrc]], IF(ICE[[#This Row],[LastType]] = "Blk", ICE[[#This Row],[LstBlkPrc]], ""))</f>
        <v/>
      </c>
      <c r="S1391" s="36">
        <f>ICE[[#This Row],[Vol]]+ICE[[#This Row],[BlkVol]]</f>
        <v>0</v>
      </c>
      <c r="T1391" s="36">
        <f>RTD("ice.rtd",,$C1391 &amp; $D1391 &amp; ":" &amp; T$1)</f>
        <v>4609</v>
      </c>
      <c r="U1391" s="18">
        <f>RTD("ice.rtd",,$C1391 &amp; $D1391 &amp; ":" &amp; U$1)</f>
        <v>0.73499999999999999</v>
      </c>
      <c r="V13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1" s="18" t="str">
        <f>IFERROR(IF(LEFT(ICE[[#This Row],[Tenor]], 1) = "B", RTD("esrtd",,$B1391 &amp; " " &amp; ICE[[#This Row],[Tenor]] &amp; "-IEU", W$1), RTD("esrtd",,$B1391 &amp; " " &amp; VLOOKUP(MONTH(ICE[[#This Row],[Strip]]), MthRef[], 2, 0) &amp; RIGHT(YEAR(ICE[[#This Row],[Strip]]), 2) &amp; "-IEU", W$1)), "")</f>
        <v/>
      </c>
      <c r="X1391" s="36"/>
    </row>
    <row r="1392" spans="1:24" x14ac:dyDescent="0.25">
      <c r="A1392" s="37" t="s">
        <v>375</v>
      </c>
      <c r="B1392" s="88" t="str">
        <f>RTD("ice.rtd",,$C1392 &amp; $D1392 &amp; ":" &amp; B$1)</f>
        <v>PRL</v>
      </c>
      <c r="C1392" s="3">
        <v>15091310</v>
      </c>
      <c r="D1392" t="s">
        <v>804</v>
      </c>
      <c r="E1392" s="3" t="str">
        <f>RTD("ice.rtd",,$C1392 &amp; $D1392 &amp; ":" &amp; E$1)</f>
        <v>Dec27</v>
      </c>
      <c r="F1392" s="3" t="str">
        <f>ICE[[#This Row],[Prod]]&amp;ICE[[#This Row],[Strip]]</f>
        <v>c3tetDec27</v>
      </c>
      <c r="G1392" s="18" t="str">
        <f>RTD("ice.rtd",,$C1392 &amp; $D1392 &amp; ":" &amp; G$1)</f>
        <v/>
      </c>
      <c r="H1392" s="18" t="str">
        <f>RTD("ice.rtd",,$C1392 &amp; $D1392 &amp; ":" &amp; H$1)</f>
        <v/>
      </c>
      <c r="I1392" s="18" t="str">
        <f>RTD("ice.rtd",,$C1392 &amp; $D1392 &amp; ":" &amp; I$1)</f>
        <v/>
      </c>
      <c r="J1392" s="14" t="str">
        <f>IFERROR(MOD(RTD("ice.rtd",,$C1392 &amp; $D1392 &amp; ":" &amp; J$1), 1), "")</f>
        <v/>
      </c>
      <c r="K1392" s="18" t="str">
        <f>RTD("ice.rtd",,$C1392 &amp; $D1392 &amp; ":" &amp; K$1)</f>
        <v/>
      </c>
      <c r="L1392" s="36" t="str">
        <f>RTD("ice.rtd",,$C1392 &amp; $D1392 &amp; ":" &amp; L$1)</f>
        <v/>
      </c>
      <c r="M1392" s="14" t="str">
        <f>IFERROR(MOD(TIMEVALUE(RTD("ice.rtd",,$C1392 &amp; $D1392 &amp; ":" &amp; M$1)), 1), "")</f>
        <v/>
      </c>
      <c r="N1392" s="36">
        <f>RTD("ice.rtd",,$C1392 &amp; $D1392 &amp; ":" &amp; N$1)</f>
        <v>0</v>
      </c>
      <c r="O1392" s="36">
        <f>RTD("ice.rtd",,$C1392 &amp; $D1392 &amp; ":" &amp; O$1)</f>
        <v>0</v>
      </c>
      <c r="P13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2" s="14" t="str">
        <f>IF(ICE[[#This Row],[LastType]] = "Scrn", ICE[[#This Row],[LstDate]], IF(ICE[[#This Row],[LastType]] = "Blk", ICE[[#This Row],[LstBlkTime]], ""))</f>
        <v/>
      </c>
      <c r="R1392" s="41" t="str">
        <f>IF(ICE[[#This Row],[LastType]] = "Scrn", ICE[[#This Row],[LstPrc]], IF(ICE[[#This Row],[LastType]] = "Blk", ICE[[#This Row],[LstBlkPrc]], ""))</f>
        <v/>
      </c>
      <c r="S1392" s="36">
        <f>ICE[[#This Row],[Vol]]+ICE[[#This Row],[BlkVol]]</f>
        <v>0</v>
      </c>
      <c r="T1392" s="36">
        <f>RTD("ice.rtd",,$C1392 &amp; $D1392 &amp; ":" &amp; T$1)</f>
        <v>4989</v>
      </c>
      <c r="U1392" s="18">
        <f>RTD("ice.rtd",,$C1392 &amp; $D1392 &amp; ":" &amp; U$1)</f>
        <v>0.73875000000000002</v>
      </c>
      <c r="V13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2" s="18" t="str">
        <f>IFERROR(IF(LEFT(ICE[[#This Row],[Tenor]], 1) = "B", RTD("esrtd",,$B1392 &amp; " " &amp; ICE[[#This Row],[Tenor]] &amp; "-IEU", W$1), RTD("esrtd",,$B1392 &amp; " " &amp; VLOOKUP(MONTH(ICE[[#This Row],[Strip]]), MthRef[], 2, 0) &amp; RIGHT(YEAR(ICE[[#This Row],[Strip]]), 2) &amp; "-IEU", W$1)), "")</f>
        <v/>
      </c>
      <c r="X1392" s="36"/>
    </row>
    <row r="1393" spans="1:24" x14ac:dyDescent="0.25">
      <c r="A1393" s="37" t="s">
        <v>375</v>
      </c>
      <c r="B1393" s="88" t="str">
        <f>RTD("ice.rtd",,$C1393 &amp; $D1393 &amp; ":" &amp; B$1)</f>
        <v>PRL</v>
      </c>
      <c r="C1393" s="3">
        <v>15091310</v>
      </c>
      <c r="D1393" t="s">
        <v>805</v>
      </c>
      <c r="E1393" s="3" t="str">
        <f>RTD("ice.rtd",,$C1393 &amp; $D1393 &amp; ":" &amp; E$1)</f>
        <v>Jan28</v>
      </c>
      <c r="F1393" s="3" t="str">
        <f>ICE[[#This Row],[Prod]]&amp;ICE[[#This Row],[Strip]]</f>
        <v>c3tetJan28</v>
      </c>
      <c r="G1393" s="18" t="str">
        <f>RTD("ice.rtd",,$C1393 &amp; $D1393 &amp; ":" &amp; G$1)</f>
        <v/>
      </c>
      <c r="H1393" s="18" t="str">
        <f>RTD("ice.rtd",,$C1393 &amp; $D1393 &amp; ":" &amp; H$1)</f>
        <v/>
      </c>
      <c r="I1393" s="18" t="str">
        <f>RTD("ice.rtd",,$C1393 &amp; $D1393 &amp; ":" &amp; I$1)</f>
        <v/>
      </c>
      <c r="J1393" s="14" t="str">
        <f>IFERROR(MOD(RTD("ice.rtd",,$C1393 &amp; $D1393 &amp; ":" &amp; J$1), 1), "")</f>
        <v/>
      </c>
      <c r="K1393" s="18" t="str">
        <f>RTD("ice.rtd",,$C1393 &amp; $D1393 &amp; ":" &amp; K$1)</f>
        <v/>
      </c>
      <c r="L1393" s="36" t="str">
        <f>RTD("ice.rtd",,$C1393 &amp; $D1393 &amp; ":" &amp; L$1)</f>
        <v/>
      </c>
      <c r="M1393" s="14" t="str">
        <f>IFERROR(MOD(TIMEVALUE(RTD("ice.rtd",,$C1393 &amp; $D1393 &amp; ":" &amp; M$1)), 1), "")</f>
        <v/>
      </c>
      <c r="N1393" s="36">
        <f>RTD("ice.rtd",,$C1393 &amp; $D1393 &amp; ":" &amp; N$1)</f>
        <v>0</v>
      </c>
      <c r="O1393" s="36">
        <f>RTD("ice.rtd",,$C1393 &amp; $D1393 &amp; ":" &amp; O$1)</f>
        <v>0</v>
      </c>
      <c r="P13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3" s="14" t="str">
        <f>IF(ICE[[#This Row],[LastType]] = "Scrn", ICE[[#This Row],[LstDate]], IF(ICE[[#This Row],[LastType]] = "Blk", ICE[[#This Row],[LstBlkTime]], ""))</f>
        <v/>
      </c>
      <c r="R1393" s="41" t="str">
        <f>IF(ICE[[#This Row],[LastType]] = "Scrn", ICE[[#This Row],[LstPrc]], IF(ICE[[#This Row],[LastType]] = "Blk", ICE[[#This Row],[LstBlkPrc]], ""))</f>
        <v/>
      </c>
      <c r="S1393" s="36">
        <f>ICE[[#This Row],[Vol]]+ICE[[#This Row],[BlkVol]]</f>
        <v>0</v>
      </c>
      <c r="T1393" s="36">
        <f>RTD("ice.rtd",,$C1393 &amp; $D1393 &amp; ":" &amp; T$1)</f>
        <v>1433</v>
      </c>
      <c r="U1393" s="18">
        <f>RTD("ice.rtd",,$C1393 &amp; $D1393 &amp; ":" &amp; U$1)</f>
        <v>0.74</v>
      </c>
      <c r="V13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3" s="18" t="str">
        <f>IFERROR(IF(LEFT(ICE[[#This Row],[Tenor]], 1) = "B", RTD("esrtd",,$B1393 &amp; " " &amp; ICE[[#This Row],[Tenor]] &amp; "-IEU", W$1), RTD("esrtd",,$B1393 &amp; " " &amp; VLOOKUP(MONTH(ICE[[#This Row],[Strip]]), MthRef[], 2, 0) &amp; RIGHT(YEAR(ICE[[#This Row],[Strip]]), 2) &amp; "-IEU", W$1)), "")</f>
        <v/>
      </c>
      <c r="X1393" s="36"/>
    </row>
    <row r="1394" spans="1:24" x14ac:dyDescent="0.25">
      <c r="A1394" s="37" t="s">
        <v>375</v>
      </c>
      <c r="B1394" s="88" t="str">
        <f>RTD("ice.rtd",,$C1394 &amp; $D1394 &amp; ":" &amp; B$1)</f>
        <v>PRL</v>
      </c>
      <c r="C1394" s="3">
        <v>15091310</v>
      </c>
      <c r="D1394" t="s">
        <v>806</v>
      </c>
      <c r="E1394" s="3" t="str">
        <f>RTD("ice.rtd",,$C1394 &amp; $D1394 &amp; ":" &amp; E$1)</f>
        <v>Feb28</v>
      </c>
      <c r="F1394" s="3" t="str">
        <f>ICE[[#This Row],[Prod]]&amp;ICE[[#This Row],[Strip]]</f>
        <v>c3tetFeb28</v>
      </c>
      <c r="G1394" s="18" t="str">
        <f>RTD("ice.rtd",,$C1394 &amp; $D1394 &amp; ":" &amp; G$1)</f>
        <v/>
      </c>
      <c r="H1394" s="18" t="str">
        <f>RTD("ice.rtd",,$C1394 &amp; $D1394 &amp; ":" &amp; H$1)</f>
        <v/>
      </c>
      <c r="I1394" s="18" t="str">
        <f>RTD("ice.rtd",,$C1394 &amp; $D1394 &amp; ":" &amp; I$1)</f>
        <v/>
      </c>
      <c r="J1394" s="14" t="str">
        <f>IFERROR(MOD(RTD("ice.rtd",,$C1394 &amp; $D1394 &amp; ":" &amp; J$1), 1), "")</f>
        <v/>
      </c>
      <c r="K1394" s="18" t="str">
        <f>RTD("ice.rtd",,$C1394 &amp; $D1394 &amp; ":" &amp; K$1)</f>
        <v/>
      </c>
      <c r="L1394" s="36" t="str">
        <f>RTD("ice.rtd",,$C1394 &amp; $D1394 &amp; ":" &amp; L$1)</f>
        <v/>
      </c>
      <c r="M1394" s="14" t="str">
        <f>IFERROR(MOD(TIMEVALUE(RTD("ice.rtd",,$C1394 &amp; $D1394 &amp; ":" &amp; M$1)), 1), "")</f>
        <v/>
      </c>
      <c r="N1394" s="36">
        <f>RTD("ice.rtd",,$C1394 &amp; $D1394 &amp; ":" &amp; N$1)</f>
        <v>0</v>
      </c>
      <c r="O1394" s="36">
        <f>RTD("ice.rtd",,$C1394 &amp; $D1394 &amp; ":" &amp; O$1)</f>
        <v>0</v>
      </c>
      <c r="P13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4" s="14" t="str">
        <f>IF(ICE[[#This Row],[LastType]] = "Scrn", ICE[[#This Row],[LstDate]], IF(ICE[[#This Row],[LastType]] = "Blk", ICE[[#This Row],[LstBlkTime]], ""))</f>
        <v/>
      </c>
      <c r="R1394" s="41" t="str">
        <f>IF(ICE[[#This Row],[LastType]] = "Scrn", ICE[[#This Row],[LstPrc]], IF(ICE[[#This Row],[LastType]] = "Blk", ICE[[#This Row],[LstBlkPrc]], ""))</f>
        <v/>
      </c>
      <c r="S1394" s="36">
        <f>ICE[[#This Row],[Vol]]+ICE[[#This Row],[BlkVol]]</f>
        <v>0</v>
      </c>
      <c r="T1394" s="36">
        <f>RTD("ice.rtd",,$C1394 &amp; $D1394 &amp; ":" &amp; T$1)</f>
        <v>1386</v>
      </c>
      <c r="U1394" s="18">
        <f>RTD("ice.rtd",,$C1394 &amp; $D1394 &amp; ":" &amp; U$1)</f>
        <v>0.73750000000000004</v>
      </c>
      <c r="V13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4" s="18" t="str">
        <f>IFERROR(IF(LEFT(ICE[[#This Row],[Tenor]], 1) = "B", RTD("esrtd",,$B1394 &amp; " " &amp; ICE[[#This Row],[Tenor]] &amp; "-IEU", W$1), RTD("esrtd",,$B1394 &amp; " " &amp; VLOOKUP(MONTH(ICE[[#This Row],[Strip]]), MthRef[], 2, 0) &amp; RIGHT(YEAR(ICE[[#This Row],[Strip]]), 2) &amp; "-IEU", W$1)), "")</f>
        <v/>
      </c>
      <c r="X1394" s="36"/>
    </row>
    <row r="1395" spans="1:24" x14ac:dyDescent="0.25">
      <c r="A1395" s="37" t="s">
        <v>375</v>
      </c>
      <c r="B1395" s="88" t="str">
        <f>RTD("ice.rtd",,$C1395 &amp; $D1395 &amp; ":" &amp; B$1)</f>
        <v>PRL</v>
      </c>
      <c r="C1395" s="3">
        <v>15091310</v>
      </c>
      <c r="D1395" t="s">
        <v>807</v>
      </c>
      <c r="E1395" s="3" t="str">
        <f>RTD("ice.rtd",,$C1395 &amp; $D1395 &amp; ":" &amp; E$1)</f>
        <v>Mar28</v>
      </c>
      <c r="F1395" s="3" t="str">
        <f>ICE[[#This Row],[Prod]]&amp;ICE[[#This Row],[Strip]]</f>
        <v>c3tetMar28</v>
      </c>
      <c r="G1395" s="18" t="str">
        <f>RTD("ice.rtd",,$C1395 &amp; $D1395 &amp; ":" &amp; G$1)</f>
        <v/>
      </c>
      <c r="H1395" s="18" t="str">
        <f>RTD("ice.rtd",,$C1395 &amp; $D1395 &amp; ":" &amp; H$1)</f>
        <v/>
      </c>
      <c r="I1395" s="18" t="str">
        <f>RTD("ice.rtd",,$C1395 &amp; $D1395 &amp; ":" &amp; I$1)</f>
        <v/>
      </c>
      <c r="J1395" s="14" t="str">
        <f>IFERROR(MOD(RTD("ice.rtd",,$C1395 &amp; $D1395 &amp; ":" &amp; J$1), 1), "")</f>
        <v/>
      </c>
      <c r="K1395" s="18" t="str">
        <f>RTD("ice.rtd",,$C1395 &amp; $D1395 &amp; ":" &amp; K$1)</f>
        <v/>
      </c>
      <c r="L1395" s="36" t="str">
        <f>RTD("ice.rtd",,$C1395 &amp; $D1395 &amp; ":" &amp; L$1)</f>
        <v/>
      </c>
      <c r="M1395" s="14" t="str">
        <f>IFERROR(MOD(TIMEVALUE(RTD("ice.rtd",,$C1395 &amp; $D1395 &amp; ":" &amp; M$1)), 1), "")</f>
        <v/>
      </c>
      <c r="N1395" s="36">
        <f>RTD("ice.rtd",,$C1395 &amp; $D1395 &amp; ":" &amp; N$1)</f>
        <v>0</v>
      </c>
      <c r="O1395" s="36">
        <f>RTD("ice.rtd",,$C1395 &amp; $D1395 &amp; ":" &amp; O$1)</f>
        <v>0</v>
      </c>
      <c r="P13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5" s="14" t="str">
        <f>IF(ICE[[#This Row],[LastType]] = "Scrn", ICE[[#This Row],[LstDate]], IF(ICE[[#This Row],[LastType]] = "Blk", ICE[[#This Row],[LstBlkTime]], ""))</f>
        <v/>
      </c>
      <c r="R1395" s="41" t="str">
        <f>IF(ICE[[#This Row],[LastType]] = "Scrn", ICE[[#This Row],[LstPrc]], IF(ICE[[#This Row],[LastType]] = "Blk", ICE[[#This Row],[LstBlkPrc]], ""))</f>
        <v/>
      </c>
      <c r="S1395" s="36">
        <f>ICE[[#This Row],[Vol]]+ICE[[#This Row],[BlkVol]]</f>
        <v>0</v>
      </c>
      <c r="T1395" s="36">
        <f>RTD("ice.rtd",,$C1395 &amp; $D1395 &amp; ":" &amp; T$1)</f>
        <v>1485</v>
      </c>
      <c r="U1395" s="18">
        <f>RTD("ice.rtd",,$C1395 &amp; $D1395 &amp; ":" &amp; U$1)</f>
        <v>0.71250000000000002</v>
      </c>
      <c r="V13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5" s="18" t="str">
        <f>IFERROR(IF(LEFT(ICE[[#This Row],[Tenor]], 1) = "B", RTD("esrtd",,$B1395 &amp; " " &amp; ICE[[#This Row],[Tenor]] &amp; "-IEU", W$1), RTD("esrtd",,$B1395 &amp; " " &amp; VLOOKUP(MONTH(ICE[[#This Row],[Strip]]), MthRef[], 2, 0) &amp; RIGHT(YEAR(ICE[[#This Row],[Strip]]), 2) &amp; "-IEU", W$1)), "")</f>
        <v/>
      </c>
      <c r="X1395" s="36"/>
    </row>
    <row r="1396" spans="1:24" x14ac:dyDescent="0.25">
      <c r="A1396" s="37" t="s">
        <v>375</v>
      </c>
      <c r="B1396" s="88" t="str">
        <f>RTD("ice.rtd",,$C1396 &amp; $D1396 &amp; ":" &amp; B$1)</f>
        <v>PRL</v>
      </c>
      <c r="C1396" s="3">
        <v>15091310</v>
      </c>
      <c r="D1396" t="s">
        <v>808</v>
      </c>
      <c r="E1396" s="3" t="str">
        <f>RTD("ice.rtd",,$C1396 &amp; $D1396 &amp; ":" &amp; E$1)</f>
        <v>Apr28</v>
      </c>
      <c r="F1396" s="3" t="str">
        <f>ICE[[#This Row],[Prod]]&amp;ICE[[#This Row],[Strip]]</f>
        <v>c3tetApr28</v>
      </c>
      <c r="G1396" s="18" t="str">
        <f>RTD("ice.rtd",,$C1396 &amp; $D1396 &amp; ":" &amp; G$1)</f>
        <v/>
      </c>
      <c r="H1396" s="18" t="str">
        <f>RTD("ice.rtd",,$C1396 &amp; $D1396 &amp; ":" &amp; H$1)</f>
        <v/>
      </c>
      <c r="I1396" s="18" t="str">
        <f>RTD("ice.rtd",,$C1396 &amp; $D1396 &amp; ":" &amp; I$1)</f>
        <v/>
      </c>
      <c r="J1396" s="14" t="str">
        <f>IFERROR(MOD(RTD("ice.rtd",,$C1396 &amp; $D1396 &amp; ":" &amp; J$1), 1), "")</f>
        <v/>
      </c>
      <c r="K1396" s="18" t="str">
        <f>RTD("ice.rtd",,$C1396 &amp; $D1396 &amp; ":" &amp; K$1)</f>
        <v/>
      </c>
      <c r="L1396" s="36" t="str">
        <f>RTD("ice.rtd",,$C1396 &amp; $D1396 &amp; ":" &amp; L$1)</f>
        <v/>
      </c>
      <c r="M1396" s="14" t="str">
        <f>IFERROR(MOD(TIMEVALUE(RTD("ice.rtd",,$C1396 &amp; $D1396 &amp; ":" &amp; M$1)), 1), "")</f>
        <v/>
      </c>
      <c r="N1396" s="36">
        <f>RTD("ice.rtd",,$C1396 &amp; $D1396 &amp; ":" &amp; N$1)</f>
        <v>0</v>
      </c>
      <c r="O1396" s="36">
        <f>RTD("ice.rtd",,$C1396 &amp; $D1396 &amp; ":" &amp; O$1)</f>
        <v>0</v>
      </c>
      <c r="P13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6" s="14" t="str">
        <f>IF(ICE[[#This Row],[LastType]] = "Scrn", ICE[[#This Row],[LstDate]], IF(ICE[[#This Row],[LastType]] = "Blk", ICE[[#This Row],[LstBlkTime]], ""))</f>
        <v/>
      </c>
      <c r="R1396" s="41" t="str">
        <f>IF(ICE[[#This Row],[LastType]] = "Scrn", ICE[[#This Row],[LstPrc]], IF(ICE[[#This Row],[LastType]] = "Blk", ICE[[#This Row],[LstBlkPrc]], ""))</f>
        <v/>
      </c>
      <c r="S1396" s="36">
        <f>ICE[[#This Row],[Vol]]+ICE[[#This Row],[BlkVol]]</f>
        <v>0</v>
      </c>
      <c r="T1396" s="36">
        <f>RTD("ice.rtd",,$C1396 &amp; $D1396 &amp; ":" &amp; T$1)</f>
        <v>1090</v>
      </c>
      <c r="U1396" s="18">
        <f>RTD("ice.rtd",,$C1396 &amp; $D1396 &amp; ":" &amp; U$1)</f>
        <v>0.68624999999999992</v>
      </c>
      <c r="V13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6" s="18" t="str">
        <f>IFERROR(IF(LEFT(ICE[[#This Row],[Tenor]], 1) = "B", RTD("esrtd",,$B1396 &amp; " " &amp; ICE[[#This Row],[Tenor]] &amp; "-IEU", W$1), RTD("esrtd",,$B1396 &amp; " " &amp; VLOOKUP(MONTH(ICE[[#This Row],[Strip]]), MthRef[], 2, 0) &amp; RIGHT(YEAR(ICE[[#This Row],[Strip]]), 2) &amp; "-IEU", W$1)), "")</f>
        <v/>
      </c>
      <c r="X1396" s="36"/>
    </row>
    <row r="1397" spans="1:24" x14ac:dyDescent="0.25">
      <c r="A1397" s="37" t="s">
        <v>375</v>
      </c>
      <c r="B1397" s="88" t="str">
        <f>RTD("ice.rtd",,$C1397 &amp; $D1397 &amp; ":" &amp; B$1)</f>
        <v>PRL</v>
      </c>
      <c r="C1397" s="3">
        <v>15091310</v>
      </c>
      <c r="D1397" t="s">
        <v>809</v>
      </c>
      <c r="E1397" s="3" t="str">
        <f>RTD("ice.rtd",,$C1397 &amp; $D1397 &amp; ":" &amp; E$1)</f>
        <v>May28</v>
      </c>
      <c r="F1397" s="3" t="str">
        <f>ICE[[#This Row],[Prod]]&amp;ICE[[#This Row],[Strip]]</f>
        <v>c3tetMay28</v>
      </c>
      <c r="G1397" s="18" t="str">
        <f>RTD("ice.rtd",,$C1397 &amp; $D1397 &amp; ":" &amp; G$1)</f>
        <v/>
      </c>
      <c r="H1397" s="18" t="str">
        <f>RTD("ice.rtd",,$C1397 &amp; $D1397 &amp; ":" &amp; H$1)</f>
        <v/>
      </c>
      <c r="I1397" s="18" t="str">
        <f>RTD("ice.rtd",,$C1397 &amp; $D1397 &amp; ":" &amp; I$1)</f>
        <v/>
      </c>
      <c r="J1397" s="14" t="str">
        <f>IFERROR(MOD(RTD("ice.rtd",,$C1397 &amp; $D1397 &amp; ":" &amp; J$1), 1), "")</f>
        <v/>
      </c>
      <c r="K1397" s="18" t="str">
        <f>RTD("ice.rtd",,$C1397 &amp; $D1397 &amp; ":" &amp; K$1)</f>
        <v/>
      </c>
      <c r="L1397" s="36" t="str">
        <f>RTD("ice.rtd",,$C1397 &amp; $D1397 &amp; ":" &amp; L$1)</f>
        <v/>
      </c>
      <c r="M1397" s="14" t="str">
        <f>IFERROR(MOD(TIMEVALUE(RTD("ice.rtd",,$C1397 &amp; $D1397 &amp; ":" &amp; M$1)), 1), "")</f>
        <v/>
      </c>
      <c r="N1397" s="36">
        <f>RTD("ice.rtd",,$C1397 &amp; $D1397 &amp; ":" &amp; N$1)</f>
        <v>0</v>
      </c>
      <c r="O1397" s="36">
        <f>RTD("ice.rtd",,$C1397 &amp; $D1397 &amp; ":" &amp; O$1)</f>
        <v>0</v>
      </c>
      <c r="P13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7" s="14" t="str">
        <f>IF(ICE[[#This Row],[LastType]] = "Scrn", ICE[[#This Row],[LstDate]], IF(ICE[[#This Row],[LastType]] = "Blk", ICE[[#This Row],[LstBlkTime]], ""))</f>
        <v/>
      </c>
      <c r="R1397" s="41" t="str">
        <f>IF(ICE[[#This Row],[LastType]] = "Scrn", ICE[[#This Row],[LstPrc]], IF(ICE[[#This Row],[LastType]] = "Blk", ICE[[#This Row],[LstBlkPrc]], ""))</f>
        <v/>
      </c>
      <c r="S1397" s="36">
        <f>ICE[[#This Row],[Vol]]+ICE[[#This Row],[BlkVol]]</f>
        <v>0</v>
      </c>
      <c r="T1397" s="36">
        <f>RTD("ice.rtd",,$C1397 &amp; $D1397 &amp; ":" &amp; T$1)</f>
        <v>1089</v>
      </c>
      <c r="U1397" s="18">
        <f>RTD("ice.rtd",,$C1397 &amp; $D1397 &amp; ":" &amp; U$1)</f>
        <v>0.67249999999999999</v>
      </c>
      <c r="V13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7" s="18" t="str">
        <f>IFERROR(IF(LEFT(ICE[[#This Row],[Tenor]], 1) = "B", RTD("esrtd",,$B1397 &amp; " " &amp; ICE[[#This Row],[Tenor]] &amp; "-IEU", W$1), RTD("esrtd",,$B1397 &amp; " " &amp; VLOOKUP(MONTH(ICE[[#This Row],[Strip]]), MthRef[], 2, 0) &amp; RIGHT(YEAR(ICE[[#This Row],[Strip]]), 2) &amp; "-IEU", W$1)), "")</f>
        <v/>
      </c>
      <c r="X1397" s="36"/>
    </row>
    <row r="1398" spans="1:24" x14ac:dyDescent="0.25">
      <c r="A1398" s="37" t="s">
        <v>375</v>
      </c>
      <c r="B1398" s="88" t="str">
        <f>RTD("ice.rtd",,$C1398 &amp; $D1398 &amp; ":" &amp; B$1)</f>
        <v>PRL</v>
      </c>
      <c r="C1398" s="3">
        <v>15091310</v>
      </c>
      <c r="D1398" t="s">
        <v>810</v>
      </c>
      <c r="E1398" s="3" t="str">
        <f>RTD("ice.rtd",,$C1398 &amp; $D1398 &amp; ":" &amp; E$1)</f>
        <v>Jun28</v>
      </c>
      <c r="F1398" s="3" t="str">
        <f>ICE[[#This Row],[Prod]]&amp;ICE[[#This Row],[Strip]]</f>
        <v>c3tetJun28</v>
      </c>
      <c r="G1398" s="18" t="str">
        <f>RTD("ice.rtd",,$C1398 &amp; $D1398 &amp; ":" &amp; G$1)</f>
        <v/>
      </c>
      <c r="H1398" s="18" t="str">
        <f>RTD("ice.rtd",,$C1398 &amp; $D1398 &amp; ":" &amp; H$1)</f>
        <v/>
      </c>
      <c r="I1398" s="18" t="str">
        <f>RTD("ice.rtd",,$C1398 &amp; $D1398 &amp; ":" &amp; I$1)</f>
        <v/>
      </c>
      <c r="J1398" s="14" t="str">
        <f>IFERROR(MOD(RTD("ice.rtd",,$C1398 &amp; $D1398 &amp; ":" &amp; J$1), 1), "")</f>
        <v/>
      </c>
      <c r="K1398" s="18" t="str">
        <f>RTD("ice.rtd",,$C1398 &amp; $D1398 &amp; ":" &amp; K$1)</f>
        <v/>
      </c>
      <c r="L1398" s="36" t="str">
        <f>RTD("ice.rtd",,$C1398 &amp; $D1398 &amp; ":" &amp; L$1)</f>
        <v/>
      </c>
      <c r="M1398" s="14" t="str">
        <f>IFERROR(MOD(TIMEVALUE(RTD("ice.rtd",,$C1398 &amp; $D1398 &amp; ":" &amp; M$1)), 1), "")</f>
        <v/>
      </c>
      <c r="N1398" s="36">
        <f>RTD("ice.rtd",,$C1398 &amp; $D1398 &amp; ":" &amp; N$1)</f>
        <v>0</v>
      </c>
      <c r="O1398" s="36">
        <f>RTD("ice.rtd",,$C1398 &amp; $D1398 &amp; ":" &amp; O$1)</f>
        <v>0</v>
      </c>
      <c r="P13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8" s="14" t="str">
        <f>IF(ICE[[#This Row],[LastType]] = "Scrn", ICE[[#This Row],[LstDate]], IF(ICE[[#This Row],[LastType]] = "Blk", ICE[[#This Row],[LstBlkTime]], ""))</f>
        <v/>
      </c>
      <c r="R1398" s="41" t="str">
        <f>IF(ICE[[#This Row],[LastType]] = "Scrn", ICE[[#This Row],[LstPrc]], IF(ICE[[#This Row],[LastType]] = "Blk", ICE[[#This Row],[LstBlkPrc]], ""))</f>
        <v/>
      </c>
      <c r="S1398" s="36">
        <f>ICE[[#This Row],[Vol]]+ICE[[#This Row],[BlkVol]]</f>
        <v>0</v>
      </c>
      <c r="T1398" s="36">
        <f>RTD("ice.rtd",,$C1398 &amp; $D1398 &amp; ":" &amp; T$1)</f>
        <v>1099</v>
      </c>
      <c r="U1398" s="18">
        <f>RTD("ice.rtd",,$C1398 &amp; $D1398 &amp; ":" &amp; U$1)</f>
        <v>0.66874999999999996</v>
      </c>
      <c r="V13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8" s="18" t="str">
        <f>IFERROR(IF(LEFT(ICE[[#This Row],[Tenor]], 1) = "B", RTD("esrtd",,$B1398 &amp; " " &amp; ICE[[#This Row],[Tenor]] &amp; "-IEU", W$1), RTD("esrtd",,$B1398 &amp; " " &amp; VLOOKUP(MONTH(ICE[[#This Row],[Strip]]), MthRef[], 2, 0) &amp; RIGHT(YEAR(ICE[[#This Row],[Strip]]), 2) &amp; "-IEU", W$1)), "")</f>
        <v/>
      </c>
      <c r="X1398" s="36"/>
    </row>
    <row r="1399" spans="1:24" x14ac:dyDescent="0.25">
      <c r="A1399" s="37" t="s">
        <v>375</v>
      </c>
      <c r="B1399" s="88" t="str">
        <f>RTD("ice.rtd",,$C1399 &amp; $D1399 &amp; ":" &amp; B$1)</f>
        <v>PRL</v>
      </c>
      <c r="C1399" s="3">
        <v>15091310</v>
      </c>
      <c r="D1399" t="s">
        <v>811</v>
      </c>
      <c r="E1399" s="3" t="str">
        <f>RTD("ice.rtd",,$C1399 &amp; $D1399 &amp; ":" &amp; E$1)</f>
        <v>Jul28</v>
      </c>
      <c r="F1399" s="3" t="str">
        <f>ICE[[#This Row],[Prod]]&amp;ICE[[#This Row],[Strip]]</f>
        <v>c3tetJul28</v>
      </c>
      <c r="G1399" s="18" t="str">
        <f>RTD("ice.rtd",,$C1399 &amp; $D1399 &amp; ":" &amp; G$1)</f>
        <v/>
      </c>
      <c r="H1399" s="18" t="str">
        <f>RTD("ice.rtd",,$C1399 &amp; $D1399 &amp; ":" &amp; H$1)</f>
        <v/>
      </c>
      <c r="I1399" s="18" t="str">
        <f>RTD("ice.rtd",,$C1399 &amp; $D1399 &amp; ":" &amp; I$1)</f>
        <v/>
      </c>
      <c r="J1399" s="14" t="str">
        <f>IFERROR(MOD(RTD("ice.rtd",,$C1399 &amp; $D1399 &amp; ":" &amp; J$1), 1), "")</f>
        <v/>
      </c>
      <c r="K1399" s="18" t="str">
        <f>RTD("ice.rtd",,$C1399 &amp; $D1399 &amp; ":" &amp; K$1)</f>
        <v/>
      </c>
      <c r="L1399" s="36" t="str">
        <f>RTD("ice.rtd",,$C1399 &amp; $D1399 &amp; ":" &amp; L$1)</f>
        <v/>
      </c>
      <c r="M1399" s="14" t="str">
        <f>IFERROR(MOD(TIMEVALUE(RTD("ice.rtd",,$C1399 &amp; $D1399 &amp; ":" &amp; M$1)), 1), "")</f>
        <v/>
      </c>
      <c r="N1399" s="36">
        <f>RTD("ice.rtd",,$C1399 &amp; $D1399 &amp; ":" &amp; N$1)</f>
        <v>0</v>
      </c>
      <c r="O1399" s="36">
        <f>RTD("ice.rtd",,$C1399 &amp; $D1399 &amp; ":" &amp; O$1)</f>
        <v>0</v>
      </c>
      <c r="P13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399" s="14" t="str">
        <f>IF(ICE[[#This Row],[LastType]] = "Scrn", ICE[[#This Row],[LstDate]], IF(ICE[[#This Row],[LastType]] = "Blk", ICE[[#This Row],[LstBlkTime]], ""))</f>
        <v/>
      </c>
      <c r="R1399" s="41" t="str">
        <f>IF(ICE[[#This Row],[LastType]] = "Scrn", ICE[[#This Row],[LstPrc]], IF(ICE[[#This Row],[LastType]] = "Blk", ICE[[#This Row],[LstBlkPrc]], ""))</f>
        <v/>
      </c>
      <c r="S1399" s="36">
        <f>ICE[[#This Row],[Vol]]+ICE[[#This Row],[BlkVol]]</f>
        <v>0</v>
      </c>
      <c r="T1399" s="36">
        <f>RTD("ice.rtd",,$C1399 &amp; $D1399 &amp; ":" &amp; T$1)</f>
        <v>913</v>
      </c>
      <c r="U1399" s="18">
        <f>RTD("ice.rtd",,$C1399 &amp; $D1399 &amp; ":" &amp; U$1)</f>
        <v>0.66874999999999996</v>
      </c>
      <c r="V13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399" s="18" t="str">
        <f>IFERROR(IF(LEFT(ICE[[#This Row],[Tenor]], 1) = "B", RTD("esrtd",,$B1399 &amp; " " &amp; ICE[[#This Row],[Tenor]] &amp; "-IEU", W$1), RTD("esrtd",,$B1399 &amp; " " &amp; VLOOKUP(MONTH(ICE[[#This Row],[Strip]]), MthRef[], 2, 0) &amp; RIGHT(YEAR(ICE[[#This Row],[Strip]]), 2) &amp; "-IEU", W$1)), "")</f>
        <v/>
      </c>
      <c r="X1399" s="36"/>
    </row>
    <row r="1400" spans="1:24" x14ac:dyDescent="0.25">
      <c r="A1400" s="37" t="s">
        <v>375</v>
      </c>
      <c r="B1400" s="88" t="str">
        <f>RTD("ice.rtd",,$C1400 &amp; $D1400 &amp; ":" &amp; B$1)</f>
        <v>PRL</v>
      </c>
      <c r="C1400" s="3">
        <v>15091310</v>
      </c>
      <c r="D1400" t="s">
        <v>812</v>
      </c>
      <c r="E1400" s="3" t="str">
        <f>RTD("ice.rtd",,$C1400 &amp; $D1400 &amp; ":" &amp; E$1)</f>
        <v>Aug28</v>
      </c>
      <c r="F1400" s="3" t="str">
        <f>ICE[[#This Row],[Prod]]&amp;ICE[[#This Row],[Strip]]</f>
        <v>c3tetAug28</v>
      </c>
      <c r="G1400" s="18" t="str">
        <f>RTD("ice.rtd",,$C1400 &amp; $D1400 &amp; ":" &amp; G$1)</f>
        <v/>
      </c>
      <c r="H1400" s="18" t="str">
        <f>RTD("ice.rtd",,$C1400 &amp; $D1400 &amp; ":" &amp; H$1)</f>
        <v/>
      </c>
      <c r="I1400" s="18" t="str">
        <f>RTD("ice.rtd",,$C1400 &amp; $D1400 &amp; ":" &amp; I$1)</f>
        <v/>
      </c>
      <c r="J1400" s="14" t="str">
        <f>IFERROR(MOD(RTD("ice.rtd",,$C1400 &amp; $D1400 &amp; ":" &amp; J$1), 1), "")</f>
        <v/>
      </c>
      <c r="K1400" s="18" t="str">
        <f>RTD("ice.rtd",,$C1400 &amp; $D1400 &amp; ":" &amp; K$1)</f>
        <v/>
      </c>
      <c r="L1400" s="36" t="str">
        <f>RTD("ice.rtd",,$C1400 &amp; $D1400 &amp; ":" &amp; L$1)</f>
        <v/>
      </c>
      <c r="M1400" s="14" t="str">
        <f>IFERROR(MOD(TIMEVALUE(RTD("ice.rtd",,$C1400 &amp; $D1400 &amp; ":" &amp; M$1)), 1), "")</f>
        <v/>
      </c>
      <c r="N1400" s="36">
        <f>RTD("ice.rtd",,$C1400 &amp; $D1400 &amp; ":" &amp; N$1)</f>
        <v>0</v>
      </c>
      <c r="O1400" s="36">
        <f>RTD("ice.rtd",,$C1400 &amp; $D1400 &amp; ":" &amp; O$1)</f>
        <v>0</v>
      </c>
      <c r="P14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0" s="14" t="str">
        <f>IF(ICE[[#This Row],[LastType]] = "Scrn", ICE[[#This Row],[LstDate]], IF(ICE[[#This Row],[LastType]] = "Blk", ICE[[#This Row],[LstBlkTime]], ""))</f>
        <v/>
      </c>
      <c r="R1400" s="41" t="str">
        <f>IF(ICE[[#This Row],[LastType]] = "Scrn", ICE[[#This Row],[LstPrc]], IF(ICE[[#This Row],[LastType]] = "Blk", ICE[[#This Row],[LstBlkPrc]], ""))</f>
        <v/>
      </c>
      <c r="S1400" s="36">
        <f>ICE[[#This Row],[Vol]]+ICE[[#This Row],[BlkVol]]</f>
        <v>0</v>
      </c>
      <c r="T1400" s="36">
        <f>RTD("ice.rtd",,$C1400 &amp; $D1400 &amp; ":" &amp; T$1)</f>
        <v>913</v>
      </c>
      <c r="U1400" s="18">
        <f>RTD("ice.rtd",,$C1400 &amp; $D1400 &amp; ":" &amp; U$1)</f>
        <v>0.67374999999999996</v>
      </c>
      <c r="V14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0" s="18" t="str">
        <f>IFERROR(IF(LEFT(ICE[[#This Row],[Tenor]], 1) = "B", RTD("esrtd",,$B1400 &amp; " " &amp; ICE[[#This Row],[Tenor]] &amp; "-IEU", W$1), RTD("esrtd",,$B1400 &amp; " " &amp; VLOOKUP(MONTH(ICE[[#This Row],[Strip]]), MthRef[], 2, 0) &amp; RIGHT(YEAR(ICE[[#This Row],[Strip]]), 2) &amp; "-IEU", W$1)), "")</f>
        <v/>
      </c>
      <c r="X1400" s="36"/>
    </row>
    <row r="1401" spans="1:24" x14ac:dyDescent="0.25">
      <c r="A1401" s="37" t="s">
        <v>375</v>
      </c>
      <c r="B1401" s="88" t="str">
        <f>RTD("ice.rtd",,$C1401 &amp; $D1401 &amp; ":" &amp; B$1)</f>
        <v>PRL</v>
      </c>
      <c r="C1401" s="3">
        <v>15091310</v>
      </c>
      <c r="D1401" t="s">
        <v>813</v>
      </c>
      <c r="E1401" s="3" t="str">
        <f>RTD("ice.rtd",,$C1401 &amp; $D1401 &amp; ":" &amp; E$1)</f>
        <v>Sep28</v>
      </c>
      <c r="F1401" s="3" t="str">
        <f>ICE[[#This Row],[Prod]]&amp;ICE[[#This Row],[Strip]]</f>
        <v>c3tetSep28</v>
      </c>
      <c r="G1401" s="18" t="str">
        <f>RTD("ice.rtd",,$C1401 &amp; $D1401 &amp; ":" &amp; G$1)</f>
        <v/>
      </c>
      <c r="H1401" s="18" t="str">
        <f>RTD("ice.rtd",,$C1401 &amp; $D1401 &amp; ":" &amp; H$1)</f>
        <v/>
      </c>
      <c r="I1401" s="18" t="str">
        <f>RTD("ice.rtd",,$C1401 &amp; $D1401 &amp; ":" &amp; I$1)</f>
        <v/>
      </c>
      <c r="J1401" s="14" t="str">
        <f>IFERROR(MOD(RTD("ice.rtd",,$C1401 &amp; $D1401 &amp; ":" &amp; J$1), 1), "")</f>
        <v/>
      </c>
      <c r="K1401" s="18" t="str">
        <f>RTD("ice.rtd",,$C1401 &amp; $D1401 &amp; ":" &amp; K$1)</f>
        <v/>
      </c>
      <c r="L1401" s="36" t="str">
        <f>RTD("ice.rtd",,$C1401 &amp; $D1401 &amp; ":" &amp; L$1)</f>
        <v/>
      </c>
      <c r="M1401" s="14" t="str">
        <f>IFERROR(MOD(TIMEVALUE(RTD("ice.rtd",,$C1401 &amp; $D1401 &amp; ":" &amp; M$1)), 1), "")</f>
        <v/>
      </c>
      <c r="N1401" s="36">
        <f>RTD("ice.rtd",,$C1401 &amp; $D1401 &amp; ":" &amp; N$1)</f>
        <v>0</v>
      </c>
      <c r="O1401" s="36">
        <f>RTD("ice.rtd",,$C1401 &amp; $D1401 &amp; ":" &amp; O$1)</f>
        <v>0</v>
      </c>
      <c r="P14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1" s="14" t="str">
        <f>IF(ICE[[#This Row],[LastType]] = "Scrn", ICE[[#This Row],[LstDate]], IF(ICE[[#This Row],[LastType]] = "Blk", ICE[[#This Row],[LstBlkTime]], ""))</f>
        <v/>
      </c>
      <c r="R1401" s="41" t="str">
        <f>IF(ICE[[#This Row],[LastType]] = "Scrn", ICE[[#This Row],[LstPrc]], IF(ICE[[#This Row],[LastType]] = "Blk", ICE[[#This Row],[LstBlkPrc]], ""))</f>
        <v/>
      </c>
      <c r="S1401" s="36">
        <f>ICE[[#This Row],[Vol]]+ICE[[#This Row],[BlkVol]]</f>
        <v>0</v>
      </c>
      <c r="T1401" s="36">
        <f>RTD("ice.rtd",,$C1401 &amp; $D1401 &amp; ":" &amp; T$1)</f>
        <v>913</v>
      </c>
      <c r="U1401" s="18">
        <f>RTD("ice.rtd",,$C1401 &amp; $D1401 &amp; ":" &amp; U$1)</f>
        <v>0.68</v>
      </c>
      <c r="V14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1" s="18" t="str">
        <f>IFERROR(IF(LEFT(ICE[[#This Row],[Tenor]], 1) = "B", RTD("esrtd",,$B1401 &amp; " " &amp; ICE[[#This Row],[Tenor]] &amp; "-IEU", W$1), RTD("esrtd",,$B1401 &amp; " " &amp; VLOOKUP(MONTH(ICE[[#This Row],[Strip]]), MthRef[], 2, 0) &amp; RIGHT(YEAR(ICE[[#This Row],[Strip]]), 2) &amp; "-IEU", W$1)), "")</f>
        <v/>
      </c>
      <c r="X1401" s="36"/>
    </row>
    <row r="1402" spans="1:24" x14ac:dyDescent="0.25">
      <c r="A1402" s="37" t="s">
        <v>375</v>
      </c>
      <c r="B1402" s="88" t="str">
        <f>RTD("ice.rtd",,$C1402 &amp; $D1402 &amp; ":" &amp; B$1)</f>
        <v>PRL</v>
      </c>
      <c r="C1402" s="3">
        <v>15091310</v>
      </c>
      <c r="D1402" t="s">
        <v>814</v>
      </c>
      <c r="E1402" s="3" t="str">
        <f>RTD("ice.rtd",,$C1402 &amp; $D1402 &amp; ":" &amp; E$1)</f>
        <v>Q4 26</v>
      </c>
      <c r="F1402" s="3" t="str">
        <f>ICE[[#This Row],[Prod]]&amp;ICE[[#This Row],[Strip]]</f>
        <v>c3tetQ4 26</v>
      </c>
      <c r="G1402" s="18" t="str">
        <f>RTD("ice.rtd",,$C1402 &amp; $D1402 &amp; ":" &amp; G$1)</f>
        <v/>
      </c>
      <c r="H1402" s="18" t="str">
        <f>RTD("ice.rtd",,$C1402 &amp; $D1402 &amp; ":" &amp; H$1)</f>
        <v/>
      </c>
      <c r="I1402" s="18" t="str">
        <f>RTD("ice.rtd",,$C1402 &amp; $D1402 &amp; ":" &amp; I$1)</f>
        <v/>
      </c>
      <c r="J1402" s="14" t="str">
        <f>IFERROR(MOD(RTD("ice.rtd",,$C1402 &amp; $D1402 &amp; ":" &amp; J$1), 1), "")</f>
        <v/>
      </c>
      <c r="K1402" s="18">
        <f>RTD("ice.rtd",,$C1402 &amp; $D1402 &amp; ":" &amp; K$1)</f>
        <v>0.77</v>
      </c>
      <c r="L1402" s="36">
        <f>RTD("ice.rtd",,$C1402 &amp; $D1402 &amp; ":" &amp; L$1)</f>
        <v>12</v>
      </c>
      <c r="M1402" s="14">
        <f>IFERROR(MOD(TIMEVALUE(RTD("ice.rtd",,$C1402 &amp; $D1402 &amp; ":" &amp; M$1)), 1), "")</f>
        <v>0.3822800925925926</v>
      </c>
      <c r="N1402" s="36">
        <f>RTD("ice.rtd",,$C1402 &amp; $D1402 &amp; ":" &amp; N$1)</f>
        <v>0</v>
      </c>
      <c r="O1402" s="36">
        <f>RTD("ice.rtd",,$C1402 &amp; $D1402 &amp; ":" &amp; O$1)</f>
        <v>12</v>
      </c>
      <c r="P14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402" s="14">
        <f>IF(ICE[[#This Row],[LastType]] = "Scrn", ICE[[#This Row],[LstDate]], IF(ICE[[#This Row],[LastType]] = "Blk", ICE[[#This Row],[LstBlkTime]], ""))</f>
        <v>0.3822800925925926</v>
      </c>
      <c r="R1402" s="41">
        <f>IF(ICE[[#This Row],[LastType]] = "Scrn", ICE[[#This Row],[LstPrc]], IF(ICE[[#This Row],[LastType]] = "Blk", ICE[[#This Row],[LstBlkPrc]], ""))</f>
        <v>0.77</v>
      </c>
      <c r="S1402" s="36">
        <f>ICE[[#This Row],[Vol]]+ICE[[#This Row],[BlkVol]]</f>
        <v>12</v>
      </c>
      <c r="T1402" s="36">
        <f>RTD("ice.rtd",,$C1402 &amp; $D1402 &amp; ":" &amp; T$1)</f>
        <v>0</v>
      </c>
      <c r="U1402" s="18">
        <f>RTD("ice.rtd",,$C1402 &amp; $D1402 &amp; ":" &amp; U$1)</f>
        <v>0.76291999999999993</v>
      </c>
      <c r="V14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{0.77} |12x</v>
      </c>
      <c r="W1402" s="18" t="str">
        <f>IFERROR(IF(LEFT(ICE[[#This Row],[Tenor]], 1) = "B", RTD("esrtd",,$B1402 &amp; " " &amp; ICE[[#This Row],[Tenor]] &amp; "-IEU", W$1), RTD("esrtd",,$B1402 &amp; " " &amp; VLOOKUP(MONTH(ICE[[#This Row],[Strip]]), MthRef[], 2, 0) &amp; RIGHT(YEAR(ICE[[#This Row],[Strip]]), 2) &amp; "-IEU", W$1)), "")</f>
        <v/>
      </c>
      <c r="X1402" s="36"/>
    </row>
    <row r="1403" spans="1:24" x14ac:dyDescent="0.25">
      <c r="A1403" s="37" t="s">
        <v>375</v>
      </c>
      <c r="B1403" s="88" t="str">
        <f>RTD("ice.rtd",,$C1403 &amp; $D1403 &amp; ":" &amp; B$1)</f>
        <v>PRL</v>
      </c>
      <c r="C1403" s="3">
        <v>15091310</v>
      </c>
      <c r="D1403" t="s">
        <v>815</v>
      </c>
      <c r="E1403" s="3" t="str">
        <f>RTD("ice.rtd",,$C1403 &amp; $D1403 &amp; ":" &amp; E$1)</f>
        <v>Q1 27</v>
      </c>
      <c r="F1403" s="3" t="str">
        <f>ICE[[#This Row],[Prod]]&amp;ICE[[#This Row],[Strip]]</f>
        <v>c3tetQ1 27</v>
      </c>
      <c r="G1403" s="18" t="str">
        <f>RTD("ice.rtd",,$C1403 &amp; $D1403 &amp; ":" &amp; G$1)</f>
        <v/>
      </c>
      <c r="H1403" s="18" t="str">
        <f>RTD("ice.rtd",,$C1403 &amp; $D1403 &amp; ":" &amp; H$1)</f>
        <v/>
      </c>
      <c r="I1403" s="18" t="str">
        <f>RTD("ice.rtd",,$C1403 &amp; $D1403 &amp; ":" &amp; I$1)</f>
        <v/>
      </c>
      <c r="J1403" s="14" t="str">
        <f>IFERROR(MOD(RTD("ice.rtd",,$C1403 &amp; $D1403 &amp; ":" &amp; J$1), 1), "")</f>
        <v/>
      </c>
      <c r="K1403" s="18">
        <f>RTD("ice.rtd",,$C1403 &amp; $D1403 &amp; ":" &amp; K$1)</f>
        <v>0.76</v>
      </c>
      <c r="L1403" s="36">
        <f>RTD("ice.rtd",,$C1403 &amp; $D1403 &amp; ":" &amp; L$1)</f>
        <v>125</v>
      </c>
      <c r="M1403" s="14">
        <f>IFERROR(MOD(TIMEVALUE(RTD("ice.rtd",,$C1403 &amp; $D1403 &amp; ":" &amp; M$1)), 1), "")</f>
        <v>0.38019675925925928</v>
      </c>
      <c r="N1403" s="36">
        <f>RTD("ice.rtd",,$C1403 &amp; $D1403 &amp; ":" &amp; N$1)</f>
        <v>0</v>
      </c>
      <c r="O1403" s="36">
        <f>RTD("ice.rtd",,$C1403 &amp; $D1403 &amp; ":" &amp; O$1)</f>
        <v>125</v>
      </c>
      <c r="P14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403" s="14">
        <f>IF(ICE[[#This Row],[LastType]] = "Scrn", ICE[[#This Row],[LstDate]], IF(ICE[[#This Row],[LastType]] = "Blk", ICE[[#This Row],[LstBlkTime]], ""))</f>
        <v>0.38019675925925928</v>
      </c>
      <c r="R1403" s="41">
        <f>IF(ICE[[#This Row],[LastType]] = "Scrn", ICE[[#This Row],[LstPrc]], IF(ICE[[#This Row],[LastType]] = "Blk", ICE[[#This Row],[LstBlkPrc]], ""))</f>
        <v>0.76</v>
      </c>
      <c r="S1403" s="36">
        <f>ICE[[#This Row],[Vol]]+ICE[[#This Row],[BlkVol]]</f>
        <v>125</v>
      </c>
      <c r="T1403" s="36">
        <f>RTD("ice.rtd",,$C1403 &amp; $D1403 &amp; ":" &amp; T$1)</f>
        <v>0</v>
      </c>
      <c r="U1403" s="18">
        <f>RTD("ice.rtd",,$C1403 &amp; $D1403 &amp; ":" &amp; U$1)</f>
        <v>0.75957999999999992</v>
      </c>
      <c r="V14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{0.76} |125x</v>
      </c>
      <c r="W1403" s="18" t="str">
        <f>IFERROR(IF(LEFT(ICE[[#This Row],[Tenor]], 1) = "B", RTD("esrtd",,$B1403 &amp; " " &amp; ICE[[#This Row],[Tenor]] &amp; "-IEU", W$1), RTD("esrtd",,$B1403 &amp; " " &amp; VLOOKUP(MONTH(ICE[[#This Row],[Strip]]), MthRef[], 2, 0) &amp; RIGHT(YEAR(ICE[[#This Row],[Strip]]), 2) &amp; "-IEU", W$1)), "")</f>
        <v/>
      </c>
      <c r="X1403" s="36"/>
    </row>
    <row r="1404" spans="1:24" x14ac:dyDescent="0.25">
      <c r="A1404" s="37" t="s">
        <v>375</v>
      </c>
      <c r="B1404" s="88" t="str">
        <f>RTD("ice.rtd",,$C1404 &amp; $D1404 &amp; ":" &amp; B$1)</f>
        <v>PRL</v>
      </c>
      <c r="C1404" s="3">
        <v>15091310</v>
      </c>
      <c r="D1404" t="s">
        <v>816</v>
      </c>
      <c r="E1404" s="3" t="str">
        <f>RTD("ice.rtd",,$C1404 &amp; $D1404 &amp; ":" &amp; E$1)</f>
        <v>Q2 27</v>
      </c>
      <c r="F1404" s="3" t="str">
        <f>ICE[[#This Row],[Prod]]&amp;ICE[[#This Row],[Strip]]</f>
        <v>c3tetQ2 27</v>
      </c>
      <c r="G1404" s="18" t="str">
        <f>RTD("ice.rtd",,$C1404 &amp; $D1404 &amp; ":" &amp; G$1)</f>
        <v/>
      </c>
      <c r="H1404" s="18" t="str">
        <f>RTD("ice.rtd",,$C1404 &amp; $D1404 &amp; ":" &amp; H$1)</f>
        <v/>
      </c>
      <c r="I1404" s="18" t="str">
        <f>RTD("ice.rtd",,$C1404 &amp; $D1404 &amp; ":" &amp; I$1)</f>
        <v/>
      </c>
      <c r="J1404" s="14" t="str">
        <f>IFERROR(MOD(RTD("ice.rtd",,$C1404 &amp; $D1404 &amp; ":" &amp; J$1), 1), "")</f>
        <v/>
      </c>
      <c r="K1404" s="18" t="str">
        <f>RTD("ice.rtd",,$C1404 &amp; $D1404 &amp; ":" &amp; K$1)</f>
        <v/>
      </c>
      <c r="L1404" s="36" t="str">
        <f>RTD("ice.rtd",,$C1404 &amp; $D1404 &amp; ":" &amp; L$1)</f>
        <v/>
      </c>
      <c r="M1404" s="14" t="str">
        <f>IFERROR(MOD(TIMEVALUE(RTD("ice.rtd",,$C1404 &amp; $D1404 &amp; ":" &amp; M$1)), 1), "")</f>
        <v/>
      </c>
      <c r="N1404" s="36">
        <f>RTD("ice.rtd",,$C1404 &amp; $D1404 &amp; ":" &amp; N$1)</f>
        <v>0</v>
      </c>
      <c r="O1404" s="36">
        <f>RTD("ice.rtd",,$C1404 &amp; $D1404 &amp; ":" &amp; O$1)</f>
        <v>0</v>
      </c>
      <c r="P14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4" s="14" t="str">
        <f>IF(ICE[[#This Row],[LastType]] = "Scrn", ICE[[#This Row],[LstDate]], IF(ICE[[#This Row],[LastType]] = "Blk", ICE[[#This Row],[LstBlkTime]], ""))</f>
        <v/>
      </c>
      <c r="R1404" s="41" t="str">
        <f>IF(ICE[[#This Row],[LastType]] = "Scrn", ICE[[#This Row],[LstPrc]], IF(ICE[[#This Row],[LastType]] = "Blk", ICE[[#This Row],[LstBlkPrc]], ""))</f>
        <v/>
      </c>
      <c r="S1404" s="36">
        <f>ICE[[#This Row],[Vol]]+ICE[[#This Row],[BlkVol]]</f>
        <v>0</v>
      </c>
      <c r="T1404" s="36">
        <f>RTD("ice.rtd",,$C1404 &amp; $D1404 &amp; ":" &amp; T$1)</f>
        <v>0</v>
      </c>
      <c r="U1404" s="18">
        <f>RTD("ice.rtd",,$C1404 &amp; $D1404 &amp; ":" &amp; U$1)</f>
        <v>0.72</v>
      </c>
      <c r="V14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4" s="18" t="str">
        <f>IFERROR(IF(LEFT(ICE[[#This Row],[Tenor]], 1) = "B", RTD("esrtd",,$B1404 &amp; " " &amp; ICE[[#This Row],[Tenor]] &amp; "-IEU", W$1), RTD("esrtd",,$B1404 &amp; " " &amp; VLOOKUP(MONTH(ICE[[#This Row],[Strip]]), MthRef[], 2, 0) &amp; RIGHT(YEAR(ICE[[#This Row],[Strip]]), 2) &amp; "-IEU", W$1)), "")</f>
        <v/>
      </c>
      <c r="X1404" s="36"/>
    </row>
    <row r="1405" spans="1:24" x14ac:dyDescent="0.25">
      <c r="A1405" s="37" t="s">
        <v>375</v>
      </c>
      <c r="B1405" s="88" t="str">
        <f>RTD("ice.rtd",,$C1405 &amp; $D1405 &amp; ":" &amp; B$1)</f>
        <v>PRL</v>
      </c>
      <c r="C1405" s="3">
        <v>15091310</v>
      </c>
      <c r="D1405" t="s">
        <v>817</v>
      </c>
      <c r="E1405" s="3" t="str">
        <f>RTD("ice.rtd",,$C1405 &amp; $D1405 &amp; ":" &amp; E$1)</f>
        <v>Q3 27</v>
      </c>
      <c r="F1405" s="3" t="str">
        <f>ICE[[#This Row],[Prod]]&amp;ICE[[#This Row],[Strip]]</f>
        <v>c3tetQ3 27</v>
      </c>
      <c r="G1405" s="18" t="str">
        <f>RTD("ice.rtd",,$C1405 &amp; $D1405 &amp; ":" &amp; G$1)</f>
        <v/>
      </c>
      <c r="H1405" s="18" t="str">
        <f>RTD("ice.rtd",,$C1405 &amp; $D1405 &amp; ":" &amp; H$1)</f>
        <v/>
      </c>
      <c r="I1405" s="18" t="str">
        <f>RTD("ice.rtd",,$C1405 &amp; $D1405 &amp; ":" &amp; I$1)</f>
        <v/>
      </c>
      <c r="J1405" s="14" t="str">
        <f>IFERROR(MOD(RTD("ice.rtd",,$C1405 &amp; $D1405 &amp; ":" &amp; J$1), 1), "")</f>
        <v/>
      </c>
      <c r="K1405" s="18" t="str">
        <f>RTD("ice.rtd",,$C1405 &amp; $D1405 &amp; ":" &amp; K$1)</f>
        <v/>
      </c>
      <c r="L1405" s="36" t="str">
        <f>RTD("ice.rtd",,$C1405 &amp; $D1405 &amp; ":" &amp; L$1)</f>
        <v/>
      </c>
      <c r="M1405" s="14" t="str">
        <f>IFERROR(MOD(TIMEVALUE(RTD("ice.rtd",,$C1405 &amp; $D1405 &amp; ":" &amp; M$1)), 1), "")</f>
        <v/>
      </c>
      <c r="N1405" s="36">
        <f>RTD("ice.rtd",,$C1405 &amp; $D1405 &amp; ":" &amp; N$1)</f>
        <v>0</v>
      </c>
      <c r="O1405" s="36">
        <f>RTD("ice.rtd",,$C1405 &amp; $D1405 &amp; ":" &amp; O$1)</f>
        <v>0</v>
      </c>
      <c r="P14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5" s="14" t="str">
        <f>IF(ICE[[#This Row],[LastType]] = "Scrn", ICE[[#This Row],[LstDate]], IF(ICE[[#This Row],[LastType]] = "Blk", ICE[[#This Row],[LstBlkTime]], ""))</f>
        <v/>
      </c>
      <c r="R1405" s="41" t="str">
        <f>IF(ICE[[#This Row],[LastType]] = "Scrn", ICE[[#This Row],[LstPrc]], IF(ICE[[#This Row],[LastType]] = "Blk", ICE[[#This Row],[LstBlkPrc]], ""))</f>
        <v/>
      </c>
      <c r="S1405" s="36">
        <f>ICE[[#This Row],[Vol]]+ICE[[#This Row],[BlkVol]]</f>
        <v>0</v>
      </c>
      <c r="T1405" s="36">
        <f>RTD("ice.rtd",,$C1405 &amp; $D1405 &amp; ":" &amp; T$1)</f>
        <v>0</v>
      </c>
      <c r="U1405" s="18">
        <f>RTD("ice.rtd",,$C1405 &amp; $D1405 &amp; ":" &amp; U$1)</f>
        <v>0.71666999999999992</v>
      </c>
      <c r="V14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5" s="18" t="str">
        <f>IFERROR(IF(LEFT(ICE[[#This Row],[Tenor]], 1) = "B", RTD("esrtd",,$B1405 &amp; " " &amp; ICE[[#This Row],[Tenor]] &amp; "-IEU", W$1), RTD("esrtd",,$B1405 &amp; " " &amp; VLOOKUP(MONTH(ICE[[#This Row],[Strip]]), MthRef[], 2, 0) &amp; RIGHT(YEAR(ICE[[#This Row],[Strip]]), 2) &amp; "-IEU", W$1)), "")</f>
        <v/>
      </c>
      <c r="X1405" s="36"/>
    </row>
    <row r="1406" spans="1:24" x14ac:dyDescent="0.25">
      <c r="A1406" s="37" t="s">
        <v>375</v>
      </c>
      <c r="B1406" s="88" t="str">
        <f>RTD("ice.rtd",,$C1406 &amp; $D1406 &amp; ":" &amp; B$1)</f>
        <v>PRL</v>
      </c>
      <c r="C1406" s="3">
        <v>15091310</v>
      </c>
      <c r="D1406" t="s">
        <v>818</v>
      </c>
      <c r="E1406" s="3" t="str">
        <f>RTD("ice.rtd",,$C1406 &amp; $D1406 &amp; ":" &amp; E$1)</f>
        <v>Q4 27</v>
      </c>
      <c r="F1406" s="3" t="str">
        <f>ICE[[#This Row],[Prod]]&amp;ICE[[#This Row],[Strip]]</f>
        <v>c3tetQ4 27</v>
      </c>
      <c r="G1406" s="18" t="str">
        <f>RTD("ice.rtd",,$C1406 &amp; $D1406 &amp; ":" &amp; G$1)</f>
        <v/>
      </c>
      <c r="H1406" s="18" t="str">
        <f>RTD("ice.rtd",,$C1406 &amp; $D1406 &amp; ":" &amp; H$1)</f>
        <v/>
      </c>
      <c r="I1406" s="18" t="str">
        <f>RTD("ice.rtd",,$C1406 &amp; $D1406 &amp; ":" &amp; I$1)</f>
        <v/>
      </c>
      <c r="J1406" s="14" t="str">
        <f>IFERROR(MOD(RTD("ice.rtd",,$C1406 &amp; $D1406 &amp; ":" &amp; J$1), 1), "")</f>
        <v/>
      </c>
      <c r="K1406" s="18" t="str">
        <f>RTD("ice.rtd",,$C1406 &amp; $D1406 &amp; ":" &amp; K$1)</f>
        <v/>
      </c>
      <c r="L1406" s="36" t="str">
        <f>RTD("ice.rtd",,$C1406 &amp; $D1406 &amp; ":" &amp; L$1)</f>
        <v/>
      </c>
      <c r="M1406" s="14" t="str">
        <f>IFERROR(MOD(TIMEVALUE(RTD("ice.rtd",,$C1406 &amp; $D1406 &amp; ":" &amp; M$1)), 1), "")</f>
        <v/>
      </c>
      <c r="N1406" s="36">
        <f>RTD("ice.rtd",,$C1406 &amp; $D1406 &amp; ":" &amp; N$1)</f>
        <v>0</v>
      </c>
      <c r="O1406" s="36">
        <f>RTD("ice.rtd",,$C1406 &amp; $D1406 &amp; ":" &amp; O$1)</f>
        <v>0</v>
      </c>
      <c r="P14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6" s="14" t="str">
        <f>IF(ICE[[#This Row],[LastType]] = "Scrn", ICE[[#This Row],[LstDate]], IF(ICE[[#This Row],[LastType]] = "Blk", ICE[[#This Row],[LstBlkTime]], ""))</f>
        <v/>
      </c>
      <c r="R1406" s="41" t="str">
        <f>IF(ICE[[#This Row],[LastType]] = "Scrn", ICE[[#This Row],[LstPrc]], IF(ICE[[#This Row],[LastType]] = "Blk", ICE[[#This Row],[LstBlkPrc]], ""))</f>
        <v/>
      </c>
      <c r="S1406" s="36">
        <f>ICE[[#This Row],[Vol]]+ICE[[#This Row],[BlkVol]]</f>
        <v>0</v>
      </c>
      <c r="T1406" s="36">
        <f>RTD("ice.rtd",,$C1406 &amp; $D1406 &amp; ":" &amp; T$1)</f>
        <v>0</v>
      </c>
      <c r="U1406" s="18">
        <f>RTD("ice.rtd",,$C1406 &amp; $D1406 &amp; ":" &amp; U$1)</f>
        <v>0.73458000000000001</v>
      </c>
      <c r="V14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6" s="18" t="str">
        <f>IFERROR(IF(LEFT(ICE[[#This Row],[Tenor]], 1) = "B", RTD("esrtd",,$B1406 &amp; " " &amp; ICE[[#This Row],[Tenor]] &amp; "-IEU", W$1), RTD("esrtd",,$B1406 &amp; " " &amp; VLOOKUP(MONTH(ICE[[#This Row],[Strip]]), MthRef[], 2, 0) &amp; RIGHT(YEAR(ICE[[#This Row],[Strip]]), 2) &amp; "-IEU", W$1)), "")</f>
        <v/>
      </c>
      <c r="X1406" s="36"/>
    </row>
    <row r="1407" spans="1:24" x14ac:dyDescent="0.25">
      <c r="A1407" s="37" t="s">
        <v>375</v>
      </c>
      <c r="B1407" s="88" t="str">
        <f>RTD("ice.rtd",,$C1407 &amp; $D1407 &amp; ":" &amp; B$1)</f>
        <v>PRL</v>
      </c>
      <c r="C1407" s="3">
        <v>15091310</v>
      </c>
      <c r="D1407" t="s">
        <v>819</v>
      </c>
      <c r="E1407" s="3" t="str">
        <f>RTD("ice.rtd",,$C1407 &amp; $D1407 &amp; ":" &amp; E$1)</f>
        <v>Q1 28</v>
      </c>
      <c r="F1407" s="3" t="str">
        <f>ICE[[#This Row],[Prod]]&amp;ICE[[#This Row],[Strip]]</f>
        <v>c3tetQ1 28</v>
      </c>
      <c r="G1407" s="18" t="str">
        <f>RTD("ice.rtd",,$C1407 &amp; $D1407 &amp; ":" &amp; G$1)</f>
        <v/>
      </c>
      <c r="H1407" s="18" t="str">
        <f>RTD("ice.rtd",,$C1407 &amp; $D1407 &amp; ":" &amp; H$1)</f>
        <v/>
      </c>
      <c r="I1407" s="18" t="str">
        <f>RTD("ice.rtd",,$C1407 &amp; $D1407 &amp; ":" &amp; I$1)</f>
        <v/>
      </c>
      <c r="J1407" s="14" t="str">
        <f>IFERROR(MOD(RTD("ice.rtd",,$C1407 &amp; $D1407 &amp; ":" &amp; J$1), 1), "")</f>
        <v/>
      </c>
      <c r="K1407" s="18" t="str">
        <f>RTD("ice.rtd",,$C1407 &amp; $D1407 &amp; ":" &amp; K$1)</f>
        <v/>
      </c>
      <c r="L1407" s="36" t="str">
        <f>RTD("ice.rtd",,$C1407 &amp; $D1407 &amp; ":" &amp; L$1)</f>
        <v/>
      </c>
      <c r="M1407" s="14" t="str">
        <f>IFERROR(MOD(TIMEVALUE(RTD("ice.rtd",,$C1407 &amp; $D1407 &amp; ":" &amp; M$1)), 1), "")</f>
        <v/>
      </c>
      <c r="N1407" s="36">
        <f>RTD("ice.rtd",,$C1407 &amp; $D1407 &amp; ":" &amp; N$1)</f>
        <v>0</v>
      </c>
      <c r="O1407" s="36">
        <f>RTD("ice.rtd",,$C1407 &amp; $D1407 &amp; ":" &amp; O$1)</f>
        <v>0</v>
      </c>
      <c r="P14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7" s="14" t="str">
        <f>IF(ICE[[#This Row],[LastType]] = "Scrn", ICE[[#This Row],[LstDate]], IF(ICE[[#This Row],[LastType]] = "Blk", ICE[[#This Row],[LstBlkTime]], ""))</f>
        <v/>
      </c>
      <c r="R1407" s="41" t="str">
        <f>IF(ICE[[#This Row],[LastType]] = "Scrn", ICE[[#This Row],[LstPrc]], IF(ICE[[#This Row],[LastType]] = "Blk", ICE[[#This Row],[LstBlkPrc]], ""))</f>
        <v/>
      </c>
      <c r="S1407" s="36">
        <f>ICE[[#This Row],[Vol]]+ICE[[#This Row],[BlkVol]]</f>
        <v>0</v>
      </c>
      <c r="T1407" s="36">
        <f>RTD("ice.rtd",,$C1407 &amp; $D1407 &amp; ":" &amp; T$1)</f>
        <v>0</v>
      </c>
      <c r="U1407" s="18">
        <f>RTD("ice.rtd",,$C1407 &amp; $D1407 &amp; ":" &amp; U$1)</f>
        <v>0.73</v>
      </c>
      <c r="V14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7" s="18" t="str">
        <f>IFERROR(IF(LEFT(ICE[[#This Row],[Tenor]], 1) = "B", RTD("esrtd",,$B1407 &amp; " " &amp; ICE[[#This Row],[Tenor]] &amp; "-IEU", W$1), RTD("esrtd",,$B1407 &amp; " " &amp; VLOOKUP(MONTH(ICE[[#This Row],[Strip]]), MthRef[], 2, 0) &amp; RIGHT(YEAR(ICE[[#This Row],[Strip]]), 2) &amp; "-IEU", W$1)), "")</f>
        <v/>
      </c>
      <c r="X1407" s="36"/>
    </row>
    <row r="1408" spans="1:24" x14ac:dyDescent="0.25">
      <c r="A1408" s="37" t="s">
        <v>375</v>
      </c>
      <c r="B1408" s="88" t="str">
        <f>RTD("ice.rtd",,$C1408 &amp; $D1408 &amp; ":" &amp; B$1)</f>
        <v>PRL</v>
      </c>
      <c r="C1408" s="3">
        <v>15091310</v>
      </c>
      <c r="D1408" t="s">
        <v>229</v>
      </c>
      <c r="E1408" s="3" t="str">
        <f>RTD("ice.rtd",,$C1408 &amp; $D1408 &amp; ":" &amp; E$1)</f>
        <v>Q2 28</v>
      </c>
      <c r="F1408" s="3" t="str">
        <f>ICE[[#This Row],[Prod]]&amp;ICE[[#This Row],[Strip]]</f>
        <v>c3tetQ2 28</v>
      </c>
      <c r="G1408" s="18" t="str">
        <f>RTD("ice.rtd",,$C1408 &amp; $D1408 &amp; ":" &amp; G$1)</f>
        <v/>
      </c>
      <c r="H1408" s="18" t="str">
        <f>RTD("ice.rtd",,$C1408 &amp; $D1408 &amp; ":" &amp; H$1)</f>
        <v/>
      </c>
      <c r="I1408" s="18" t="str">
        <f>RTD("ice.rtd",,$C1408 &amp; $D1408 &amp; ":" &amp; I$1)</f>
        <v/>
      </c>
      <c r="J1408" s="14" t="str">
        <f>IFERROR(MOD(RTD("ice.rtd",,$C1408 &amp; $D1408 &amp; ":" &amp; J$1), 1), "")</f>
        <v/>
      </c>
      <c r="K1408" s="18" t="str">
        <f>RTD("ice.rtd",,$C1408 &amp; $D1408 &amp; ":" &amp; K$1)</f>
        <v/>
      </c>
      <c r="L1408" s="36" t="str">
        <f>RTD("ice.rtd",,$C1408 &amp; $D1408 &amp; ":" &amp; L$1)</f>
        <v/>
      </c>
      <c r="M1408" s="14" t="str">
        <f>IFERROR(MOD(TIMEVALUE(RTD("ice.rtd",,$C1408 &amp; $D1408 &amp; ":" &amp; M$1)), 1), "")</f>
        <v/>
      </c>
      <c r="N1408" s="36">
        <f>RTD("ice.rtd",,$C1408 &amp; $D1408 &amp; ":" &amp; N$1)</f>
        <v>0</v>
      </c>
      <c r="O1408" s="36">
        <f>RTD("ice.rtd",,$C1408 &amp; $D1408 &amp; ":" &amp; O$1)</f>
        <v>0</v>
      </c>
      <c r="P14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8" s="14" t="str">
        <f>IF(ICE[[#This Row],[LastType]] = "Scrn", ICE[[#This Row],[LstDate]], IF(ICE[[#This Row],[LastType]] = "Blk", ICE[[#This Row],[LstBlkTime]], ""))</f>
        <v/>
      </c>
      <c r="R1408" s="41" t="str">
        <f>IF(ICE[[#This Row],[LastType]] = "Scrn", ICE[[#This Row],[LstPrc]], IF(ICE[[#This Row],[LastType]] = "Blk", ICE[[#This Row],[LstBlkPrc]], ""))</f>
        <v/>
      </c>
      <c r="S1408" s="36">
        <f>ICE[[#This Row],[Vol]]+ICE[[#This Row],[BlkVol]]</f>
        <v>0</v>
      </c>
      <c r="T1408" s="36">
        <f>RTD("ice.rtd",,$C1408 &amp; $D1408 &amp; ":" &amp; T$1)</f>
        <v>0</v>
      </c>
      <c r="U1408" s="18">
        <f>RTD("ice.rtd",,$C1408 &amp; $D1408 &amp; ":" &amp; U$1)</f>
        <v>0.67582999999999993</v>
      </c>
      <c r="V14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8" s="18" t="str">
        <f>IFERROR(IF(LEFT(ICE[[#This Row],[Tenor]], 1) = "B", RTD("esrtd",,$B1408 &amp; " " &amp; ICE[[#This Row],[Tenor]] &amp; "-IEU", W$1), RTD("esrtd",,$B1408 &amp; " " &amp; VLOOKUP(MONTH(ICE[[#This Row],[Strip]]), MthRef[], 2, 0) &amp; RIGHT(YEAR(ICE[[#This Row],[Strip]]), 2) &amp; "-IEU", W$1)), "")</f>
        <v/>
      </c>
      <c r="X1408" s="36"/>
    </row>
    <row r="1409" spans="1:24" x14ac:dyDescent="0.25">
      <c r="A1409" s="37" t="s">
        <v>375</v>
      </c>
      <c r="B1409" s="88" t="str">
        <f>RTD("ice.rtd",,$C1409 &amp; $D1409 &amp; ":" &amp; B$1)</f>
        <v>PRL</v>
      </c>
      <c r="C1409" s="3">
        <v>15091310</v>
      </c>
      <c r="D1409" t="s">
        <v>820</v>
      </c>
      <c r="E1409" s="3" t="str">
        <f>RTD("ice.rtd",,$C1409 &amp; $D1409 &amp; ":" &amp; E$1)</f>
        <v>Q3 28</v>
      </c>
      <c r="F1409" s="3" t="str">
        <f>ICE[[#This Row],[Prod]]&amp;ICE[[#This Row],[Strip]]</f>
        <v>c3tetQ3 28</v>
      </c>
      <c r="G1409" s="18" t="str">
        <f>RTD("ice.rtd",,$C1409 &amp; $D1409 &amp; ":" &amp; G$1)</f>
        <v/>
      </c>
      <c r="H1409" s="18" t="str">
        <f>RTD("ice.rtd",,$C1409 &amp; $D1409 &amp; ":" &amp; H$1)</f>
        <v/>
      </c>
      <c r="I1409" s="18" t="str">
        <f>RTD("ice.rtd",,$C1409 &amp; $D1409 &amp; ":" &amp; I$1)</f>
        <v/>
      </c>
      <c r="J1409" s="14" t="str">
        <f>IFERROR(MOD(RTD("ice.rtd",,$C1409 &amp; $D1409 &amp; ":" &amp; J$1), 1), "")</f>
        <v/>
      </c>
      <c r="K1409" s="18" t="str">
        <f>RTD("ice.rtd",,$C1409 &amp; $D1409 &amp; ":" &amp; K$1)</f>
        <v/>
      </c>
      <c r="L1409" s="36" t="str">
        <f>RTD("ice.rtd",,$C1409 &amp; $D1409 &amp; ":" &amp; L$1)</f>
        <v/>
      </c>
      <c r="M1409" s="14" t="str">
        <f>IFERROR(MOD(TIMEVALUE(RTD("ice.rtd",,$C1409 &amp; $D1409 &amp; ":" &amp; M$1)), 1), "")</f>
        <v/>
      </c>
      <c r="N1409" s="36">
        <f>RTD("ice.rtd",,$C1409 &amp; $D1409 &amp; ":" &amp; N$1)</f>
        <v>0</v>
      </c>
      <c r="O1409" s="36">
        <f>RTD("ice.rtd",,$C1409 &amp; $D1409 &amp; ":" &amp; O$1)</f>
        <v>0</v>
      </c>
      <c r="P14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09" s="14" t="str">
        <f>IF(ICE[[#This Row],[LastType]] = "Scrn", ICE[[#This Row],[LstDate]], IF(ICE[[#This Row],[LastType]] = "Blk", ICE[[#This Row],[LstBlkTime]], ""))</f>
        <v/>
      </c>
      <c r="R1409" s="41" t="str">
        <f>IF(ICE[[#This Row],[LastType]] = "Scrn", ICE[[#This Row],[LstPrc]], IF(ICE[[#This Row],[LastType]] = "Blk", ICE[[#This Row],[LstBlkPrc]], ""))</f>
        <v/>
      </c>
      <c r="S1409" s="36">
        <f>ICE[[#This Row],[Vol]]+ICE[[#This Row],[BlkVol]]</f>
        <v>0</v>
      </c>
      <c r="T1409" s="36">
        <f>RTD("ice.rtd",,$C1409 &amp; $D1409 &amp; ":" &amp; T$1)</f>
        <v>0</v>
      </c>
      <c r="U1409" s="18">
        <f>RTD("ice.rtd",,$C1409 &amp; $D1409 &amp; ":" &amp; U$1)</f>
        <v>0.67416999999999994</v>
      </c>
      <c r="V14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09" s="18" t="str">
        <f>IFERROR(IF(LEFT(ICE[[#This Row],[Tenor]], 1) = "B", RTD("esrtd",,$B1409 &amp; " " &amp; ICE[[#This Row],[Tenor]] &amp; "-IEU", W$1), RTD("esrtd",,$B1409 &amp; " " &amp; VLOOKUP(MONTH(ICE[[#This Row],[Strip]]), MthRef[], 2, 0) &amp; RIGHT(YEAR(ICE[[#This Row],[Strip]]), 2) &amp; "-IEU", W$1)), "")</f>
        <v/>
      </c>
      <c r="X1409" s="36"/>
    </row>
    <row r="1410" spans="1:24" x14ac:dyDescent="0.25">
      <c r="A1410" s="37" t="s">
        <v>375</v>
      </c>
      <c r="B1410" s="88" t="str">
        <f>RTD("ice.rtd",,$C1410 &amp; $D1410 &amp; ":" &amp; B$1)</f>
        <v>PRL</v>
      </c>
      <c r="C1410" s="3">
        <v>15091310</v>
      </c>
      <c r="D1410" t="s">
        <v>821</v>
      </c>
      <c r="E1410" s="3" t="str">
        <f>RTD("ice.rtd",,$C1410 &amp; $D1410 &amp; ":" &amp; E$1)</f>
        <v>Q4 28</v>
      </c>
      <c r="F1410" s="3" t="str">
        <f>ICE[[#This Row],[Prod]]&amp;ICE[[#This Row],[Strip]]</f>
        <v>c3tetQ4 28</v>
      </c>
      <c r="G1410" s="18" t="str">
        <f>RTD("ice.rtd",,$C1410 &amp; $D1410 &amp; ":" &amp; G$1)</f>
        <v/>
      </c>
      <c r="H1410" s="18" t="str">
        <f>RTD("ice.rtd",,$C1410 &amp; $D1410 &amp; ":" &amp; H$1)</f>
        <v/>
      </c>
      <c r="I1410" s="18" t="str">
        <f>RTD("ice.rtd",,$C1410 &amp; $D1410 &amp; ":" &amp; I$1)</f>
        <v/>
      </c>
      <c r="J1410" s="14" t="str">
        <f>IFERROR(MOD(RTD("ice.rtd",,$C1410 &amp; $D1410 &amp; ":" &amp; J$1), 1), "")</f>
        <v/>
      </c>
      <c r="K1410" s="18" t="str">
        <f>RTD("ice.rtd",,$C1410 &amp; $D1410 &amp; ":" &amp; K$1)</f>
        <v/>
      </c>
      <c r="L1410" s="36" t="str">
        <f>RTD("ice.rtd",,$C1410 &amp; $D1410 &amp; ":" &amp; L$1)</f>
        <v/>
      </c>
      <c r="M1410" s="14" t="str">
        <f>IFERROR(MOD(TIMEVALUE(RTD("ice.rtd",,$C1410 &amp; $D1410 &amp; ":" &amp; M$1)), 1), "")</f>
        <v/>
      </c>
      <c r="N1410" s="36">
        <f>RTD("ice.rtd",,$C1410 &amp; $D1410 &amp; ":" &amp; N$1)</f>
        <v>0</v>
      </c>
      <c r="O1410" s="36">
        <f>RTD("ice.rtd",,$C1410 &amp; $D1410 &amp; ":" &amp; O$1)</f>
        <v>0</v>
      </c>
      <c r="P14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0" s="14" t="str">
        <f>IF(ICE[[#This Row],[LastType]] = "Scrn", ICE[[#This Row],[LstDate]], IF(ICE[[#This Row],[LastType]] = "Blk", ICE[[#This Row],[LstBlkTime]], ""))</f>
        <v/>
      </c>
      <c r="R1410" s="41" t="str">
        <f>IF(ICE[[#This Row],[LastType]] = "Scrn", ICE[[#This Row],[LstPrc]], IF(ICE[[#This Row],[LastType]] = "Blk", ICE[[#This Row],[LstBlkPrc]], ""))</f>
        <v/>
      </c>
      <c r="S1410" s="36">
        <f>ICE[[#This Row],[Vol]]+ICE[[#This Row],[BlkVol]]</f>
        <v>0</v>
      </c>
      <c r="T1410" s="36">
        <f>RTD("ice.rtd",,$C1410 &amp; $D1410 &amp; ":" &amp; T$1)</f>
        <v>0</v>
      </c>
      <c r="U1410" s="18">
        <f>RTD("ice.rtd",,$C1410 &amp; $D1410 &amp; ":" &amp; U$1)</f>
        <v>0.69207999999999992</v>
      </c>
      <c r="V14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0" s="18" t="str">
        <f>IFERROR(IF(LEFT(ICE[[#This Row],[Tenor]], 1) = "B", RTD("esrtd",,$B1410 &amp; " " &amp; ICE[[#This Row],[Tenor]] &amp; "-IEU", W$1), RTD("esrtd",,$B1410 &amp; " " &amp; VLOOKUP(MONTH(ICE[[#This Row],[Strip]]), MthRef[], 2, 0) &amp; RIGHT(YEAR(ICE[[#This Row],[Strip]]), 2) &amp; "-IEU", W$1)), "")</f>
        <v/>
      </c>
      <c r="X1410" s="36"/>
    </row>
    <row r="1411" spans="1:24" x14ac:dyDescent="0.25">
      <c r="A1411" s="37" t="s">
        <v>375</v>
      </c>
      <c r="B1411" s="88" t="str">
        <f>RTD("ice.rtd",,$C1411 &amp; $D1411 &amp; ":" &amp; B$1)</f>
        <v>PRL</v>
      </c>
      <c r="C1411" s="3">
        <v>15091310</v>
      </c>
      <c r="D1411" t="s">
        <v>822</v>
      </c>
      <c r="E1411" s="3" t="str">
        <f>RTD("ice.rtd",,$C1411 &amp; $D1411 &amp; ":" &amp; E$1)</f>
        <v>Cal 27</v>
      </c>
      <c r="F1411" s="3" t="str">
        <f>ICE[[#This Row],[Prod]]&amp;ICE[[#This Row],[Strip]]</f>
        <v>c3tetCal 27</v>
      </c>
      <c r="G1411" s="18" t="str">
        <f>RTD("ice.rtd",,$C1411 &amp; $D1411 &amp; ":" &amp; G$1)</f>
        <v/>
      </c>
      <c r="H1411" s="18" t="str">
        <f>RTD("ice.rtd",,$C1411 &amp; $D1411 &amp; ":" &amp; H$1)</f>
        <v/>
      </c>
      <c r="I1411" s="18" t="str">
        <f>RTD("ice.rtd",,$C1411 &amp; $D1411 &amp; ":" &amp; I$1)</f>
        <v/>
      </c>
      <c r="J1411" s="14" t="str">
        <f>IFERROR(MOD(RTD("ice.rtd",,$C1411 &amp; $D1411 &amp; ":" &amp; J$1), 1), "")</f>
        <v/>
      </c>
      <c r="K1411" s="18" t="str">
        <f>RTD("ice.rtd",,$C1411 &amp; $D1411 &amp; ":" &amp; K$1)</f>
        <v/>
      </c>
      <c r="L1411" s="36" t="str">
        <f>RTD("ice.rtd",,$C1411 &amp; $D1411 &amp; ":" &amp; L$1)</f>
        <v/>
      </c>
      <c r="M1411" s="14" t="str">
        <f>IFERROR(MOD(TIMEVALUE(RTD("ice.rtd",,$C1411 &amp; $D1411 &amp; ":" &amp; M$1)), 1), "")</f>
        <v/>
      </c>
      <c r="N1411" s="36">
        <f>RTD("ice.rtd",,$C1411 &amp; $D1411 &amp; ":" &amp; N$1)</f>
        <v>0</v>
      </c>
      <c r="O1411" s="36">
        <f>RTD("ice.rtd",,$C1411 &amp; $D1411 &amp; ":" &amp; O$1)</f>
        <v>0</v>
      </c>
      <c r="P14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1" s="14" t="str">
        <f>IF(ICE[[#This Row],[LastType]] = "Scrn", ICE[[#This Row],[LstDate]], IF(ICE[[#This Row],[LastType]] = "Blk", ICE[[#This Row],[LstBlkTime]], ""))</f>
        <v/>
      </c>
      <c r="R1411" s="41" t="str">
        <f>IF(ICE[[#This Row],[LastType]] = "Scrn", ICE[[#This Row],[LstPrc]], IF(ICE[[#This Row],[LastType]] = "Blk", ICE[[#This Row],[LstBlkPrc]], ""))</f>
        <v/>
      </c>
      <c r="S1411" s="36">
        <f>ICE[[#This Row],[Vol]]+ICE[[#This Row],[BlkVol]]</f>
        <v>0</v>
      </c>
      <c r="T1411" s="36">
        <f>RTD("ice.rtd",,$C1411 &amp; $D1411 &amp; ":" &amp; T$1)</f>
        <v>0</v>
      </c>
      <c r="U1411" s="18">
        <f>RTD("ice.rtd",,$C1411 &amp; $D1411 &amp; ":" &amp; U$1)</f>
        <v>0.73270999999999997</v>
      </c>
      <c r="V14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1" s="18" t="str">
        <f>IFERROR(IF(LEFT(ICE[[#This Row],[Tenor]], 1) = "B", RTD("esrtd",,$B1411 &amp; " " &amp; ICE[[#This Row],[Tenor]] &amp; "-IEU", W$1), RTD("esrtd",,$B1411 &amp; " " &amp; VLOOKUP(MONTH(ICE[[#This Row],[Strip]]), MthRef[], 2, 0) &amp; RIGHT(YEAR(ICE[[#This Row],[Strip]]), 2) &amp; "-IEU", W$1)), "")</f>
        <v/>
      </c>
      <c r="X1411" s="36"/>
    </row>
    <row r="1412" spans="1:24" x14ac:dyDescent="0.25">
      <c r="A1412" s="37" t="s">
        <v>375</v>
      </c>
      <c r="B1412" s="88" t="str">
        <f>RTD("ice.rtd",,$C1412 &amp; $D1412 &amp; ":" &amp; B$1)</f>
        <v>PRL</v>
      </c>
      <c r="C1412" s="3">
        <v>15091310</v>
      </c>
      <c r="D1412" t="s">
        <v>823</v>
      </c>
      <c r="E1412" s="3" t="str">
        <f>RTD("ice.rtd",,$C1412 &amp; $D1412 &amp; ":" &amp; E$1)</f>
        <v>Cal 28</v>
      </c>
      <c r="F1412" s="3" t="str">
        <f>ICE[[#This Row],[Prod]]&amp;ICE[[#This Row],[Strip]]</f>
        <v>c3tetCal 28</v>
      </c>
      <c r="G1412" s="18" t="str">
        <f>RTD("ice.rtd",,$C1412 &amp; $D1412 &amp; ":" &amp; G$1)</f>
        <v/>
      </c>
      <c r="H1412" s="18" t="str">
        <f>RTD("ice.rtd",,$C1412 &amp; $D1412 &amp; ":" &amp; H$1)</f>
        <v/>
      </c>
      <c r="I1412" s="18" t="str">
        <f>RTD("ice.rtd",,$C1412 &amp; $D1412 &amp; ":" &amp; I$1)</f>
        <v/>
      </c>
      <c r="J1412" s="14" t="str">
        <f>IFERROR(MOD(RTD("ice.rtd",,$C1412 &amp; $D1412 &amp; ":" &amp; J$1), 1), "")</f>
        <v/>
      </c>
      <c r="K1412" s="18" t="str">
        <f>RTD("ice.rtd",,$C1412 &amp; $D1412 &amp; ":" &amp; K$1)</f>
        <v/>
      </c>
      <c r="L1412" s="36" t="str">
        <f>RTD("ice.rtd",,$C1412 &amp; $D1412 &amp; ":" &amp; L$1)</f>
        <v/>
      </c>
      <c r="M1412" s="14" t="str">
        <f>IFERROR(MOD(TIMEVALUE(RTD("ice.rtd",,$C1412 &amp; $D1412 &amp; ":" &amp; M$1)), 1), "")</f>
        <v/>
      </c>
      <c r="N1412" s="36">
        <f>RTD("ice.rtd",,$C1412 &amp; $D1412 &amp; ":" &amp; N$1)</f>
        <v>0</v>
      </c>
      <c r="O1412" s="36">
        <f>RTD("ice.rtd",,$C1412 &amp; $D1412 &amp; ":" &amp; O$1)</f>
        <v>0</v>
      </c>
      <c r="P14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2" s="14" t="str">
        <f>IF(ICE[[#This Row],[LastType]] = "Scrn", ICE[[#This Row],[LstDate]], IF(ICE[[#This Row],[LastType]] = "Blk", ICE[[#This Row],[LstBlkTime]], ""))</f>
        <v/>
      </c>
      <c r="R1412" s="41" t="str">
        <f>IF(ICE[[#This Row],[LastType]] = "Scrn", ICE[[#This Row],[LstPrc]], IF(ICE[[#This Row],[LastType]] = "Blk", ICE[[#This Row],[LstBlkPrc]], ""))</f>
        <v/>
      </c>
      <c r="S1412" s="36">
        <f>ICE[[#This Row],[Vol]]+ICE[[#This Row],[BlkVol]]</f>
        <v>0</v>
      </c>
      <c r="T1412" s="36">
        <f>RTD("ice.rtd",,$C1412 &amp; $D1412 &amp; ":" &amp; T$1)</f>
        <v>0</v>
      </c>
      <c r="U1412" s="18">
        <f>RTD("ice.rtd",,$C1412 &amp; $D1412 &amp; ":" &amp; U$1)</f>
        <v>0.69301999999999997</v>
      </c>
      <c r="V14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2" s="18" t="str">
        <f>IFERROR(IF(LEFT(ICE[[#This Row],[Tenor]], 1) = "B", RTD("esrtd",,$B1412 &amp; " " &amp; ICE[[#This Row],[Tenor]] &amp; "-IEU", W$1), RTD("esrtd",,$B1412 &amp; " " &amp; VLOOKUP(MONTH(ICE[[#This Row],[Strip]]), MthRef[], 2, 0) &amp; RIGHT(YEAR(ICE[[#This Row],[Strip]]), 2) &amp; "-IEU", W$1)), "")</f>
        <v/>
      </c>
      <c r="X1412" s="36"/>
    </row>
    <row r="1413" spans="1:24" x14ac:dyDescent="0.25">
      <c r="A1413" s="37" t="s">
        <v>375</v>
      </c>
      <c r="B1413" s="88" t="str">
        <f>RTD("ice.rtd",,$C1413 &amp; $D1413 &amp; ":" &amp; B$1)</f>
        <v>PRL</v>
      </c>
      <c r="C1413" s="3">
        <v>15091310</v>
      </c>
      <c r="D1413" t="s">
        <v>824</v>
      </c>
      <c r="E1413" s="3" t="str">
        <f>RTD("ice.rtd",,$C1413 &amp; $D1413 &amp; ":" &amp; E$1)</f>
        <v>Cal 29</v>
      </c>
      <c r="F1413" s="3" t="str">
        <f>ICE[[#This Row],[Prod]]&amp;ICE[[#This Row],[Strip]]</f>
        <v>c3tetCal 29</v>
      </c>
      <c r="G1413" s="18" t="str">
        <f>RTD("ice.rtd",,$C1413 &amp; $D1413 &amp; ":" &amp; G$1)</f>
        <v/>
      </c>
      <c r="H1413" s="18" t="str">
        <f>RTD("ice.rtd",,$C1413 &amp; $D1413 &amp; ":" &amp; H$1)</f>
        <v/>
      </c>
      <c r="I1413" s="18" t="str">
        <f>RTD("ice.rtd",,$C1413 &amp; $D1413 &amp; ":" &amp; I$1)</f>
        <v/>
      </c>
      <c r="J1413" s="14" t="str">
        <f>IFERROR(MOD(RTD("ice.rtd",,$C1413 &amp; $D1413 &amp; ":" &amp; J$1), 1), "")</f>
        <v/>
      </c>
      <c r="K1413" s="18" t="str">
        <f>RTD("ice.rtd",,$C1413 &amp; $D1413 &amp; ":" &amp; K$1)</f>
        <v/>
      </c>
      <c r="L1413" s="36" t="str">
        <f>RTD("ice.rtd",,$C1413 &amp; $D1413 &amp; ":" &amp; L$1)</f>
        <v/>
      </c>
      <c r="M1413" s="14" t="str">
        <f>IFERROR(MOD(TIMEVALUE(RTD("ice.rtd",,$C1413 &amp; $D1413 &amp; ":" &amp; M$1)), 1), "")</f>
        <v/>
      </c>
      <c r="N1413" s="36">
        <f>RTD("ice.rtd",,$C1413 &amp; $D1413 &amp; ":" &amp; N$1)</f>
        <v>0</v>
      </c>
      <c r="O1413" s="36">
        <f>RTD("ice.rtd",,$C1413 &amp; $D1413 &amp; ":" &amp; O$1)</f>
        <v>0</v>
      </c>
      <c r="P14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3" s="14" t="str">
        <f>IF(ICE[[#This Row],[LastType]] = "Scrn", ICE[[#This Row],[LstDate]], IF(ICE[[#This Row],[LastType]] = "Blk", ICE[[#This Row],[LstBlkTime]], ""))</f>
        <v/>
      </c>
      <c r="R1413" s="41" t="str">
        <f>IF(ICE[[#This Row],[LastType]] = "Scrn", ICE[[#This Row],[LstPrc]], IF(ICE[[#This Row],[LastType]] = "Blk", ICE[[#This Row],[LstBlkPrc]], ""))</f>
        <v/>
      </c>
      <c r="S1413" s="36">
        <f>ICE[[#This Row],[Vol]]+ICE[[#This Row],[BlkVol]]</f>
        <v>0</v>
      </c>
      <c r="T1413" s="36">
        <f>RTD("ice.rtd",,$C1413 &amp; $D1413 &amp; ":" &amp; T$1)</f>
        <v>0</v>
      </c>
      <c r="U1413" s="18">
        <f>RTD("ice.rtd",,$C1413 &amp; $D1413 &amp; ":" &amp; U$1)</f>
        <v>0.66134999999999999</v>
      </c>
      <c r="V14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3" s="18" t="str">
        <f>IFERROR(IF(LEFT(ICE[[#This Row],[Tenor]], 1) = "B", RTD("esrtd",,$B1413 &amp; " " &amp; ICE[[#This Row],[Tenor]] &amp; "-IEU", W$1), RTD("esrtd",,$B1413 &amp; " " &amp; VLOOKUP(MONTH(ICE[[#This Row],[Strip]]), MthRef[], 2, 0) &amp; RIGHT(YEAR(ICE[[#This Row],[Strip]]), 2) &amp; "-IEU", W$1)), "")</f>
        <v/>
      </c>
      <c r="X1413" s="36"/>
    </row>
    <row r="1414" spans="1:24" x14ac:dyDescent="0.25">
      <c r="A1414" s="37" t="s">
        <v>376</v>
      </c>
      <c r="B1414" s="88" t="str">
        <f>RTD("ice.rtd",,$C1414 &amp; $D1414 &amp; ":" &amp; B$1)</f>
        <v>NBJ</v>
      </c>
      <c r="C1414" s="3">
        <v>2181724590</v>
      </c>
      <c r="D1414" t="s">
        <v>792</v>
      </c>
      <c r="E1414" s="3" t="str">
        <f>RTD("ice.rtd",,$C1414 &amp; $D1414 &amp; ":" &amp; E$1)</f>
        <v>Bal Month</v>
      </c>
      <c r="F1414" s="3" t="str">
        <f>ICE[[#This Row],[Prod]]&amp;ICE[[#This Row],[Strip]]</f>
        <v>c4ntetBal Month</v>
      </c>
      <c r="G1414" s="18" t="str">
        <f>RTD("ice.rtd",,$C1414 &amp; $D1414 &amp; ":" &amp; G$1)</f>
        <v/>
      </c>
      <c r="H1414" s="18" t="str">
        <f>RTD("ice.rtd",,$C1414 &amp; $D1414 &amp; ":" &amp; H$1)</f>
        <v/>
      </c>
      <c r="I1414" s="18" t="str">
        <f>RTD("ice.rtd",,$C1414 &amp; $D1414 &amp; ":" &amp; I$1)</f>
        <v/>
      </c>
      <c r="J1414" s="14" t="str">
        <f>IFERROR(MOD(RTD("ice.rtd",,$C1414 &amp; $D1414 &amp; ":" &amp; J$1), 1), "")</f>
        <v/>
      </c>
      <c r="K1414" s="18" t="str">
        <f>RTD("ice.rtd",,$C1414 &amp; $D1414 &amp; ":" &amp; K$1)</f>
        <v/>
      </c>
      <c r="L1414" s="36" t="str">
        <f>RTD("ice.rtd",,$C1414 &amp; $D1414 &amp; ":" &amp; L$1)</f>
        <v/>
      </c>
      <c r="M1414" s="14" t="str">
        <f>IFERROR(MOD(TIMEVALUE(RTD("ice.rtd",,$C1414 &amp; $D1414 &amp; ":" &amp; M$1)), 1), "")</f>
        <v/>
      </c>
      <c r="N1414" s="36">
        <f>RTD("ice.rtd",,$C1414 &amp; $D1414 &amp; ":" &amp; N$1)</f>
        <v>0</v>
      </c>
      <c r="O1414" s="36">
        <f>RTD("ice.rtd",,$C1414 &amp; $D1414 &amp; ":" &amp; O$1)</f>
        <v>0</v>
      </c>
      <c r="P14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4" s="14" t="str">
        <f>IF(ICE[[#This Row],[LastType]] = "Scrn", ICE[[#This Row],[LstDate]], IF(ICE[[#This Row],[LastType]] = "Blk", ICE[[#This Row],[LstBlkTime]], ""))</f>
        <v/>
      </c>
      <c r="R1414" s="41" t="str">
        <f>IF(ICE[[#This Row],[LastType]] = "Scrn", ICE[[#This Row],[LstPrc]], IF(ICE[[#This Row],[LastType]] = "Blk", ICE[[#This Row],[LstBlkPrc]], ""))</f>
        <v/>
      </c>
      <c r="S1414" s="36">
        <f>ICE[[#This Row],[Vol]]+ICE[[#This Row],[BlkVol]]</f>
        <v>0</v>
      </c>
      <c r="T1414" s="36">
        <f>RTD("ice.rtd",,$C1414 &amp; $D1414 &amp; ":" &amp; T$1)</f>
        <v>0</v>
      </c>
      <c r="U1414" s="18">
        <f>RTD("ice.rtd",,$C1414 &amp; $D1414 &amp; ":" &amp; U$1)</f>
        <v>1.1425000000000001</v>
      </c>
      <c r="V14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4" s="18" t="str">
        <f>IFERROR(IF(LEFT(ICE[[#This Row],[Tenor]], 1) = "B", RTD("esrtd",,$B1414 &amp; " " &amp; ICE[[#This Row],[Tenor]] &amp; "-IEU", W$1), RTD("esrtd",,$B1414 &amp; " " &amp; VLOOKUP(MONTH(ICE[[#This Row],[Strip]]), MthRef[], 2, 0) &amp; RIGHT(YEAR(ICE[[#This Row],[Strip]]), 2) &amp; "-IEU", W$1)), "")</f>
        <v/>
      </c>
      <c r="X1414" s="36"/>
    </row>
    <row r="1415" spans="1:24" x14ac:dyDescent="0.25">
      <c r="A1415" s="37" t="s">
        <v>376</v>
      </c>
      <c r="B1415" s="88" t="str">
        <f>RTD("ice.rtd",,$C1415 &amp; $D1415 &amp; ":" &amp; B$1)</f>
        <v>NBI</v>
      </c>
      <c r="C1415" s="3">
        <v>16331513</v>
      </c>
      <c r="D1415" t="s">
        <v>793</v>
      </c>
      <c r="E1415" s="3" t="str">
        <f>RTD("ice.rtd",,$C1415 &amp; $D1415 &amp; ":" &amp; E$1)</f>
        <v>Sep26</v>
      </c>
      <c r="F1415" s="3" t="str">
        <f>ICE[[#This Row],[Prod]]&amp;ICE[[#This Row],[Strip]]</f>
        <v>c4ntetSep26</v>
      </c>
      <c r="G1415" s="18" t="str">
        <f>RTD("ice.rtd",,$C1415 &amp; $D1415 &amp; ":" &amp; G$1)</f>
        <v/>
      </c>
      <c r="H1415" s="18" t="str">
        <f>RTD("ice.rtd",,$C1415 &amp; $D1415 &amp; ":" &amp; H$1)</f>
        <v/>
      </c>
      <c r="I1415" s="18" t="str">
        <f>RTD("ice.rtd",,$C1415 &amp; $D1415 &amp; ":" &amp; I$1)</f>
        <v/>
      </c>
      <c r="J1415" s="14" t="str">
        <f>IFERROR(MOD(RTD("ice.rtd",,$C1415 &amp; $D1415 &amp; ":" &amp; J$1), 1), "")</f>
        <v/>
      </c>
      <c r="K1415" s="18" t="str">
        <f>RTD("ice.rtd",,$C1415 &amp; $D1415 &amp; ":" &amp; K$1)</f>
        <v/>
      </c>
      <c r="L1415" s="36" t="str">
        <f>RTD("ice.rtd",,$C1415 &amp; $D1415 &amp; ":" &amp; L$1)</f>
        <v/>
      </c>
      <c r="M1415" s="14" t="str">
        <f>IFERROR(MOD(TIMEVALUE(RTD("ice.rtd",,$C1415 &amp; $D1415 &amp; ":" &amp; M$1)), 1), "")</f>
        <v/>
      </c>
      <c r="N1415" s="36">
        <f>RTD("ice.rtd",,$C1415 &amp; $D1415 &amp; ":" &amp; N$1)</f>
        <v>0</v>
      </c>
      <c r="O1415" s="36">
        <f>RTD("ice.rtd",,$C1415 &amp; $D1415 &amp; ":" &amp; O$1)</f>
        <v>0</v>
      </c>
      <c r="P14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5" s="14" t="str">
        <f>IF(ICE[[#This Row],[LastType]] = "Scrn", ICE[[#This Row],[LstDate]], IF(ICE[[#This Row],[LastType]] = "Blk", ICE[[#This Row],[LstBlkTime]], ""))</f>
        <v/>
      </c>
      <c r="R1415" s="41" t="str">
        <f>IF(ICE[[#This Row],[LastType]] = "Scrn", ICE[[#This Row],[LstPrc]], IF(ICE[[#This Row],[LastType]] = "Blk", ICE[[#This Row],[LstBlkPrc]], ""))</f>
        <v/>
      </c>
      <c r="S1415" s="36">
        <f>ICE[[#This Row],[Vol]]+ICE[[#This Row],[BlkVol]]</f>
        <v>0</v>
      </c>
      <c r="T1415" s="36">
        <f>RTD("ice.rtd",,$C1415 &amp; $D1415 &amp; ":" &amp; T$1)</f>
        <v>10190</v>
      </c>
      <c r="U1415" s="18">
        <f>RTD("ice.rtd",,$C1415 &amp; $D1415 &amp; ":" &amp; U$1)</f>
        <v>1.1425000000000001</v>
      </c>
      <c r="V14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5" s="18" t="str">
        <f>IFERROR(IF(LEFT(ICE[[#This Row],[Tenor]], 1) = "B", RTD("esrtd",,$B1415 &amp; " " &amp; ICE[[#This Row],[Tenor]] &amp; "-IEU", W$1), RTD("esrtd",,$B1415 &amp; " " &amp; VLOOKUP(MONTH(ICE[[#This Row],[Strip]]), MthRef[], 2, 0) &amp; RIGHT(YEAR(ICE[[#This Row],[Strip]]), 2) &amp; "-IEU", W$1)), "")</f>
        <v/>
      </c>
      <c r="X1415" s="36"/>
    </row>
    <row r="1416" spans="1:24" x14ac:dyDescent="0.25">
      <c r="A1416" s="37" t="s">
        <v>376</v>
      </c>
      <c r="B1416" s="88" t="str">
        <f>RTD("ice.rtd",,$C1416 &amp; $D1416 &amp; ":" &amp; B$1)</f>
        <v>NBI</v>
      </c>
      <c r="C1416" s="3">
        <v>16331513</v>
      </c>
      <c r="D1416" t="s">
        <v>324</v>
      </c>
      <c r="E1416" s="3" t="str">
        <f>RTD("ice.rtd",,$C1416 &amp; $D1416 &amp; ":" &amp; E$1)</f>
        <v>Oct26</v>
      </c>
      <c r="F1416" s="3" t="str">
        <f>ICE[[#This Row],[Prod]]&amp;ICE[[#This Row],[Strip]]</f>
        <v>c4ntetOct26</v>
      </c>
      <c r="G1416" s="18" t="str">
        <f>RTD("ice.rtd",,$C1416 &amp; $D1416 &amp; ":" &amp; G$1)</f>
        <v/>
      </c>
      <c r="H1416" s="18" t="str">
        <f>RTD("ice.rtd",,$C1416 &amp; $D1416 &amp; ":" &amp; H$1)</f>
        <v/>
      </c>
      <c r="I1416" s="18" t="str">
        <f>RTD("ice.rtd",,$C1416 &amp; $D1416 &amp; ":" &amp; I$1)</f>
        <v/>
      </c>
      <c r="J1416" s="14" t="str">
        <f>IFERROR(MOD(RTD("ice.rtd",,$C1416 &amp; $D1416 &amp; ":" &amp; J$1), 1), "")</f>
        <v/>
      </c>
      <c r="K1416" s="18" t="str">
        <f>RTD("ice.rtd",,$C1416 &amp; $D1416 &amp; ":" &amp; K$1)</f>
        <v/>
      </c>
      <c r="L1416" s="36" t="str">
        <f>RTD("ice.rtd",,$C1416 &amp; $D1416 &amp; ":" &amp; L$1)</f>
        <v/>
      </c>
      <c r="M1416" s="14" t="str">
        <f>IFERROR(MOD(TIMEVALUE(RTD("ice.rtd",,$C1416 &amp; $D1416 &amp; ":" &amp; M$1)), 1), "")</f>
        <v/>
      </c>
      <c r="N1416" s="36">
        <f>RTD("ice.rtd",,$C1416 &amp; $D1416 &amp; ":" &amp; N$1)</f>
        <v>0</v>
      </c>
      <c r="O1416" s="36">
        <f>RTD("ice.rtd",,$C1416 &amp; $D1416 &amp; ":" &amp; O$1)</f>
        <v>0</v>
      </c>
      <c r="P14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6" s="14" t="str">
        <f>IF(ICE[[#This Row],[LastType]] = "Scrn", ICE[[#This Row],[LstDate]], IF(ICE[[#This Row],[LastType]] = "Blk", ICE[[#This Row],[LstBlkTime]], ""))</f>
        <v/>
      </c>
      <c r="R1416" s="41" t="str">
        <f>IF(ICE[[#This Row],[LastType]] = "Scrn", ICE[[#This Row],[LstPrc]], IF(ICE[[#This Row],[LastType]] = "Blk", ICE[[#This Row],[LstBlkPrc]], ""))</f>
        <v/>
      </c>
      <c r="S1416" s="36">
        <f>ICE[[#This Row],[Vol]]+ICE[[#This Row],[BlkVol]]</f>
        <v>0</v>
      </c>
      <c r="T1416" s="36">
        <f>RTD("ice.rtd",,$C1416 &amp; $D1416 &amp; ":" &amp; T$1)</f>
        <v>10834</v>
      </c>
      <c r="U1416" s="18">
        <f>RTD("ice.rtd",,$C1416 &amp; $D1416 &amp; ":" &amp; U$1)</f>
        <v>1.1500000000000001</v>
      </c>
      <c r="V14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6" s="18" t="str">
        <f>IFERROR(IF(LEFT(ICE[[#This Row],[Tenor]], 1) = "B", RTD("esrtd",,$B1416 &amp; " " &amp; ICE[[#This Row],[Tenor]] &amp; "-IEU", W$1), RTD("esrtd",,$B1416 &amp; " " &amp; VLOOKUP(MONTH(ICE[[#This Row],[Strip]]), MthRef[], 2, 0) &amp; RIGHT(YEAR(ICE[[#This Row],[Strip]]), 2) &amp; "-IEU", W$1)), "")</f>
        <v/>
      </c>
      <c r="X1416" s="36"/>
    </row>
    <row r="1417" spans="1:24" x14ac:dyDescent="0.25">
      <c r="A1417" s="37" t="s">
        <v>376</v>
      </c>
      <c r="B1417" s="88" t="str">
        <f>RTD("ice.rtd",,$C1417 &amp; $D1417 &amp; ":" &amp; B$1)</f>
        <v>NBI</v>
      </c>
      <c r="C1417" s="3">
        <v>16331513</v>
      </c>
      <c r="D1417" t="s">
        <v>325</v>
      </c>
      <c r="E1417" s="3" t="str">
        <f>RTD("ice.rtd",,$C1417 &amp; $D1417 &amp; ":" &amp; E$1)</f>
        <v>Nov26</v>
      </c>
      <c r="F1417" s="3" t="str">
        <f>ICE[[#This Row],[Prod]]&amp;ICE[[#This Row],[Strip]]</f>
        <v>c4ntetNov26</v>
      </c>
      <c r="G1417" s="18" t="str">
        <f>RTD("ice.rtd",,$C1417 &amp; $D1417 &amp; ":" &amp; G$1)</f>
        <v/>
      </c>
      <c r="H1417" s="18" t="str">
        <f>RTD("ice.rtd",,$C1417 &amp; $D1417 &amp; ":" &amp; H$1)</f>
        <v/>
      </c>
      <c r="I1417" s="18" t="str">
        <f>RTD("ice.rtd",,$C1417 &amp; $D1417 &amp; ":" &amp; I$1)</f>
        <v/>
      </c>
      <c r="J1417" s="14" t="str">
        <f>IFERROR(MOD(RTD("ice.rtd",,$C1417 &amp; $D1417 &amp; ":" &amp; J$1), 1), "")</f>
        <v/>
      </c>
      <c r="K1417" s="18" t="str">
        <f>RTD("ice.rtd",,$C1417 &amp; $D1417 &amp; ":" &amp; K$1)</f>
        <v/>
      </c>
      <c r="L1417" s="36" t="str">
        <f>RTD("ice.rtd",,$C1417 &amp; $D1417 &amp; ":" &amp; L$1)</f>
        <v/>
      </c>
      <c r="M1417" s="14" t="str">
        <f>IFERROR(MOD(TIMEVALUE(RTD("ice.rtd",,$C1417 &amp; $D1417 &amp; ":" &amp; M$1)), 1), "")</f>
        <v/>
      </c>
      <c r="N1417" s="36">
        <f>RTD("ice.rtd",,$C1417 &amp; $D1417 &amp; ":" &amp; N$1)</f>
        <v>0</v>
      </c>
      <c r="O1417" s="36">
        <f>RTD("ice.rtd",,$C1417 &amp; $D1417 &amp; ":" &amp; O$1)</f>
        <v>0</v>
      </c>
      <c r="P14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7" s="14" t="str">
        <f>IF(ICE[[#This Row],[LastType]] = "Scrn", ICE[[#This Row],[LstDate]], IF(ICE[[#This Row],[LastType]] = "Blk", ICE[[#This Row],[LstBlkTime]], ""))</f>
        <v/>
      </c>
      <c r="R1417" s="41" t="str">
        <f>IF(ICE[[#This Row],[LastType]] = "Scrn", ICE[[#This Row],[LstPrc]], IF(ICE[[#This Row],[LastType]] = "Blk", ICE[[#This Row],[LstBlkPrc]], ""))</f>
        <v/>
      </c>
      <c r="S1417" s="36">
        <f>ICE[[#This Row],[Vol]]+ICE[[#This Row],[BlkVol]]</f>
        <v>0</v>
      </c>
      <c r="T1417" s="36">
        <f>RTD("ice.rtd",,$C1417 &amp; $D1417 &amp; ":" &amp; T$1)</f>
        <v>4945</v>
      </c>
      <c r="U1417" s="18">
        <f>RTD("ice.rtd",,$C1417 &amp; $D1417 &amp; ":" &amp; U$1)</f>
        <v>1.1400000000000001</v>
      </c>
      <c r="V14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7" s="18" t="str">
        <f>IFERROR(IF(LEFT(ICE[[#This Row],[Tenor]], 1) = "B", RTD("esrtd",,$B1417 &amp; " " &amp; ICE[[#This Row],[Tenor]] &amp; "-IEU", W$1), RTD("esrtd",,$B1417 &amp; " " &amp; VLOOKUP(MONTH(ICE[[#This Row],[Strip]]), MthRef[], 2, 0) &amp; RIGHT(YEAR(ICE[[#This Row],[Strip]]), 2) &amp; "-IEU", W$1)), "")</f>
        <v/>
      </c>
      <c r="X1417" s="36"/>
    </row>
    <row r="1418" spans="1:24" x14ac:dyDescent="0.25">
      <c r="A1418" s="37" t="s">
        <v>376</v>
      </c>
      <c r="B1418" s="88" t="str">
        <f>RTD("ice.rtd",,$C1418 &amp; $D1418 &amp; ":" &amp; B$1)</f>
        <v>NBI</v>
      </c>
      <c r="C1418" s="3">
        <v>16331513</v>
      </c>
      <c r="D1418" t="s">
        <v>326</v>
      </c>
      <c r="E1418" s="3" t="str">
        <f>RTD("ice.rtd",,$C1418 &amp; $D1418 &amp; ":" &amp; E$1)</f>
        <v>Dec26</v>
      </c>
      <c r="F1418" s="3" t="str">
        <f>ICE[[#This Row],[Prod]]&amp;ICE[[#This Row],[Strip]]</f>
        <v>c4ntetDec26</v>
      </c>
      <c r="G1418" s="18" t="str">
        <f>RTD("ice.rtd",,$C1418 &amp; $D1418 &amp; ":" &amp; G$1)</f>
        <v/>
      </c>
      <c r="H1418" s="18" t="str">
        <f>RTD("ice.rtd",,$C1418 &amp; $D1418 &amp; ":" &amp; H$1)</f>
        <v/>
      </c>
      <c r="I1418" s="18" t="str">
        <f>RTD("ice.rtd",,$C1418 &amp; $D1418 &amp; ":" &amp; I$1)</f>
        <v/>
      </c>
      <c r="J1418" s="14" t="str">
        <f>IFERROR(MOD(RTD("ice.rtd",,$C1418 &amp; $D1418 &amp; ":" &amp; J$1), 1), "")</f>
        <v/>
      </c>
      <c r="K1418" s="18" t="str">
        <f>RTD("ice.rtd",,$C1418 &amp; $D1418 &amp; ":" &amp; K$1)</f>
        <v/>
      </c>
      <c r="L1418" s="36" t="str">
        <f>RTD("ice.rtd",,$C1418 &amp; $D1418 &amp; ":" &amp; L$1)</f>
        <v/>
      </c>
      <c r="M1418" s="14" t="str">
        <f>IFERROR(MOD(TIMEVALUE(RTD("ice.rtd",,$C1418 &amp; $D1418 &amp; ":" &amp; M$1)), 1), "")</f>
        <v/>
      </c>
      <c r="N1418" s="36">
        <f>RTD("ice.rtd",,$C1418 &amp; $D1418 &amp; ":" &amp; N$1)</f>
        <v>0</v>
      </c>
      <c r="O1418" s="36">
        <f>RTD("ice.rtd",,$C1418 &amp; $D1418 &amp; ":" &amp; O$1)</f>
        <v>0</v>
      </c>
      <c r="P14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8" s="14" t="str">
        <f>IF(ICE[[#This Row],[LastType]] = "Scrn", ICE[[#This Row],[LstDate]], IF(ICE[[#This Row],[LastType]] = "Blk", ICE[[#This Row],[LstBlkTime]], ""))</f>
        <v/>
      </c>
      <c r="R1418" s="41" t="str">
        <f>IF(ICE[[#This Row],[LastType]] = "Scrn", ICE[[#This Row],[LstPrc]], IF(ICE[[#This Row],[LastType]] = "Blk", ICE[[#This Row],[LstBlkPrc]], ""))</f>
        <v/>
      </c>
      <c r="S1418" s="36">
        <f>ICE[[#This Row],[Vol]]+ICE[[#This Row],[BlkVol]]</f>
        <v>0</v>
      </c>
      <c r="T1418" s="36">
        <f>RTD("ice.rtd",,$C1418 &amp; $D1418 &amp; ":" &amp; T$1)</f>
        <v>6085</v>
      </c>
      <c r="U1418" s="18">
        <f>RTD("ice.rtd",,$C1418 &amp; $D1418 &amp; ":" &amp; U$1)</f>
        <v>1.1287499999999999</v>
      </c>
      <c r="V14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8" s="18" t="str">
        <f>IFERROR(IF(LEFT(ICE[[#This Row],[Tenor]], 1) = "B", RTD("esrtd",,$B1418 &amp; " " &amp; ICE[[#This Row],[Tenor]] &amp; "-IEU", W$1), RTD("esrtd",,$B1418 &amp; " " &amp; VLOOKUP(MONTH(ICE[[#This Row],[Strip]]), MthRef[], 2, 0) &amp; RIGHT(YEAR(ICE[[#This Row],[Strip]]), 2) &amp; "-IEU", W$1)), "")</f>
        <v/>
      </c>
      <c r="X1418" s="36"/>
    </row>
    <row r="1419" spans="1:24" x14ac:dyDescent="0.25">
      <c r="A1419" s="37" t="s">
        <v>376</v>
      </c>
      <c r="B1419" s="88" t="str">
        <f>RTD("ice.rtd",,$C1419 &amp; $D1419 &amp; ":" &amp; B$1)</f>
        <v>NBI</v>
      </c>
      <c r="C1419" s="3">
        <v>16331513</v>
      </c>
      <c r="D1419" t="s">
        <v>794</v>
      </c>
      <c r="E1419" s="3" t="str">
        <f>RTD("ice.rtd",,$C1419 &amp; $D1419 &amp; ":" &amp; E$1)</f>
        <v>Jan27</v>
      </c>
      <c r="F1419" s="3" t="str">
        <f>ICE[[#This Row],[Prod]]&amp;ICE[[#This Row],[Strip]]</f>
        <v>c4ntetJan27</v>
      </c>
      <c r="G1419" s="18" t="str">
        <f>RTD("ice.rtd",,$C1419 &amp; $D1419 &amp; ":" &amp; G$1)</f>
        <v/>
      </c>
      <c r="H1419" s="18" t="str">
        <f>RTD("ice.rtd",,$C1419 &amp; $D1419 &amp; ":" &amp; H$1)</f>
        <v/>
      </c>
      <c r="I1419" s="18" t="str">
        <f>RTD("ice.rtd",,$C1419 &amp; $D1419 &amp; ":" &amp; I$1)</f>
        <v/>
      </c>
      <c r="J1419" s="14" t="str">
        <f>IFERROR(MOD(RTD("ice.rtd",,$C1419 &amp; $D1419 &amp; ":" &amp; J$1), 1), "")</f>
        <v/>
      </c>
      <c r="K1419" s="18" t="str">
        <f>RTD("ice.rtd",,$C1419 &amp; $D1419 &amp; ":" &amp; K$1)</f>
        <v/>
      </c>
      <c r="L1419" s="36" t="str">
        <f>RTD("ice.rtd",,$C1419 &amp; $D1419 &amp; ":" &amp; L$1)</f>
        <v/>
      </c>
      <c r="M1419" s="14" t="str">
        <f>IFERROR(MOD(TIMEVALUE(RTD("ice.rtd",,$C1419 &amp; $D1419 &amp; ":" &amp; M$1)), 1), "")</f>
        <v/>
      </c>
      <c r="N1419" s="36">
        <f>RTD("ice.rtd",,$C1419 &amp; $D1419 &amp; ":" &amp; N$1)</f>
        <v>0</v>
      </c>
      <c r="O1419" s="36">
        <f>RTD("ice.rtd",,$C1419 &amp; $D1419 &amp; ":" &amp; O$1)</f>
        <v>0</v>
      </c>
      <c r="P14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19" s="14" t="str">
        <f>IF(ICE[[#This Row],[LastType]] = "Scrn", ICE[[#This Row],[LstDate]], IF(ICE[[#This Row],[LastType]] = "Blk", ICE[[#This Row],[LstBlkTime]], ""))</f>
        <v/>
      </c>
      <c r="R1419" s="41" t="str">
        <f>IF(ICE[[#This Row],[LastType]] = "Scrn", ICE[[#This Row],[LstPrc]], IF(ICE[[#This Row],[LastType]] = "Blk", ICE[[#This Row],[LstBlkPrc]], ""))</f>
        <v/>
      </c>
      <c r="S1419" s="36">
        <f>ICE[[#This Row],[Vol]]+ICE[[#This Row],[BlkVol]]</f>
        <v>0</v>
      </c>
      <c r="T1419" s="36">
        <f>RTD("ice.rtd",,$C1419 &amp; $D1419 &amp; ":" &amp; T$1)</f>
        <v>4171</v>
      </c>
      <c r="U1419" s="18">
        <f>RTD("ice.rtd",,$C1419 &amp; $D1419 &amp; ":" &amp; U$1)</f>
        <v>1.1100000000000001</v>
      </c>
      <c r="V14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19" s="18" t="str">
        <f>IFERROR(IF(LEFT(ICE[[#This Row],[Tenor]], 1) = "B", RTD("esrtd",,$B1419 &amp; " " &amp; ICE[[#This Row],[Tenor]] &amp; "-IEU", W$1), RTD("esrtd",,$B1419 &amp; " " &amp; VLOOKUP(MONTH(ICE[[#This Row],[Strip]]), MthRef[], 2, 0) &amp; RIGHT(YEAR(ICE[[#This Row],[Strip]]), 2) &amp; "-IEU", W$1)), "")</f>
        <v/>
      </c>
      <c r="X1419" s="36"/>
    </row>
    <row r="1420" spans="1:24" x14ac:dyDescent="0.25">
      <c r="A1420" s="37" t="s">
        <v>376</v>
      </c>
      <c r="B1420" s="88" t="str">
        <f>RTD("ice.rtd",,$C1420 &amp; $D1420 &amp; ":" &amp; B$1)</f>
        <v>NBI</v>
      </c>
      <c r="C1420" s="3">
        <v>16331513</v>
      </c>
      <c r="D1420" t="s">
        <v>795</v>
      </c>
      <c r="E1420" s="3" t="str">
        <f>RTD("ice.rtd",,$C1420 &amp; $D1420 &amp; ":" &amp; E$1)</f>
        <v>Feb27</v>
      </c>
      <c r="F1420" s="3" t="str">
        <f>ICE[[#This Row],[Prod]]&amp;ICE[[#This Row],[Strip]]</f>
        <v>c4ntetFeb27</v>
      </c>
      <c r="G1420" s="18" t="str">
        <f>RTD("ice.rtd",,$C1420 &amp; $D1420 &amp; ":" &amp; G$1)</f>
        <v/>
      </c>
      <c r="H1420" s="18" t="str">
        <f>RTD("ice.rtd",,$C1420 &amp; $D1420 &amp; ":" &amp; H$1)</f>
        <v/>
      </c>
      <c r="I1420" s="18" t="str">
        <f>RTD("ice.rtd",,$C1420 &amp; $D1420 &amp; ":" &amp; I$1)</f>
        <v/>
      </c>
      <c r="J1420" s="14" t="str">
        <f>IFERROR(MOD(RTD("ice.rtd",,$C1420 &amp; $D1420 &amp; ":" &amp; J$1), 1), "")</f>
        <v/>
      </c>
      <c r="K1420" s="18" t="str">
        <f>RTD("ice.rtd",,$C1420 &amp; $D1420 &amp; ":" &amp; K$1)</f>
        <v/>
      </c>
      <c r="L1420" s="36" t="str">
        <f>RTD("ice.rtd",,$C1420 &amp; $D1420 &amp; ":" &amp; L$1)</f>
        <v/>
      </c>
      <c r="M1420" s="14" t="str">
        <f>IFERROR(MOD(TIMEVALUE(RTD("ice.rtd",,$C1420 &amp; $D1420 &amp; ":" &amp; M$1)), 1), "")</f>
        <v/>
      </c>
      <c r="N1420" s="36">
        <f>RTD("ice.rtd",,$C1420 &amp; $D1420 &amp; ":" &amp; N$1)</f>
        <v>0</v>
      </c>
      <c r="O1420" s="36">
        <f>RTD("ice.rtd",,$C1420 &amp; $D1420 &amp; ":" &amp; O$1)</f>
        <v>0</v>
      </c>
      <c r="P14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0" s="14" t="str">
        <f>IF(ICE[[#This Row],[LastType]] = "Scrn", ICE[[#This Row],[LstDate]], IF(ICE[[#This Row],[LastType]] = "Blk", ICE[[#This Row],[LstBlkTime]], ""))</f>
        <v/>
      </c>
      <c r="R1420" s="41" t="str">
        <f>IF(ICE[[#This Row],[LastType]] = "Scrn", ICE[[#This Row],[LstPrc]], IF(ICE[[#This Row],[LastType]] = "Blk", ICE[[#This Row],[LstBlkPrc]], ""))</f>
        <v/>
      </c>
      <c r="S1420" s="36">
        <f>ICE[[#This Row],[Vol]]+ICE[[#This Row],[BlkVol]]</f>
        <v>0</v>
      </c>
      <c r="T1420" s="36">
        <f>RTD("ice.rtd",,$C1420 &amp; $D1420 &amp; ":" &amp; T$1)</f>
        <v>3045</v>
      </c>
      <c r="U1420" s="18">
        <f>RTD("ice.rtd",,$C1420 &amp; $D1420 &amp; ":" &amp; U$1)</f>
        <v>1.0762499999999999</v>
      </c>
      <c r="V14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0" s="18" t="str">
        <f>IFERROR(IF(LEFT(ICE[[#This Row],[Tenor]], 1) = "B", RTD("esrtd",,$B1420 &amp; " " &amp; ICE[[#This Row],[Tenor]] &amp; "-IEU", W$1), RTD("esrtd",,$B1420 &amp; " " &amp; VLOOKUP(MONTH(ICE[[#This Row],[Strip]]), MthRef[], 2, 0) &amp; RIGHT(YEAR(ICE[[#This Row],[Strip]]), 2) &amp; "-IEU", W$1)), "")</f>
        <v/>
      </c>
      <c r="X1420" s="36"/>
    </row>
    <row r="1421" spans="1:24" x14ac:dyDescent="0.25">
      <c r="A1421" s="37" t="s">
        <v>376</v>
      </c>
      <c r="B1421" s="88" t="str">
        <f>RTD("ice.rtd",,$C1421 &amp; $D1421 &amp; ":" &amp; B$1)</f>
        <v>NBI</v>
      </c>
      <c r="C1421" s="3">
        <v>16331513</v>
      </c>
      <c r="D1421" t="s">
        <v>113</v>
      </c>
      <c r="E1421" s="3" t="str">
        <f>RTD("ice.rtd",,$C1421 &amp; $D1421 &amp; ":" &amp; E$1)</f>
        <v>Mar27</v>
      </c>
      <c r="F1421" s="3" t="str">
        <f>ICE[[#This Row],[Prod]]&amp;ICE[[#This Row],[Strip]]</f>
        <v>c4ntetMar27</v>
      </c>
      <c r="G1421" s="18" t="str">
        <f>RTD("ice.rtd",,$C1421 &amp; $D1421 &amp; ":" &amp; G$1)</f>
        <v/>
      </c>
      <c r="H1421" s="18" t="str">
        <f>RTD("ice.rtd",,$C1421 &amp; $D1421 &amp; ":" &amp; H$1)</f>
        <v/>
      </c>
      <c r="I1421" s="18" t="str">
        <f>RTD("ice.rtd",,$C1421 &amp; $D1421 &amp; ":" &amp; I$1)</f>
        <v/>
      </c>
      <c r="J1421" s="14" t="str">
        <f>IFERROR(MOD(RTD("ice.rtd",,$C1421 &amp; $D1421 &amp; ":" &amp; J$1), 1), "")</f>
        <v/>
      </c>
      <c r="K1421" s="18" t="str">
        <f>RTD("ice.rtd",,$C1421 &amp; $D1421 &amp; ":" &amp; K$1)</f>
        <v/>
      </c>
      <c r="L1421" s="36" t="str">
        <f>RTD("ice.rtd",,$C1421 &amp; $D1421 &amp; ":" &amp; L$1)</f>
        <v/>
      </c>
      <c r="M1421" s="14" t="str">
        <f>IFERROR(MOD(TIMEVALUE(RTD("ice.rtd",,$C1421 &amp; $D1421 &amp; ":" &amp; M$1)), 1), "")</f>
        <v/>
      </c>
      <c r="N1421" s="36">
        <f>RTD("ice.rtd",,$C1421 &amp; $D1421 &amp; ":" &amp; N$1)</f>
        <v>0</v>
      </c>
      <c r="O1421" s="36">
        <f>RTD("ice.rtd",,$C1421 &amp; $D1421 &amp; ":" &amp; O$1)</f>
        <v>0</v>
      </c>
      <c r="P14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1" s="14" t="str">
        <f>IF(ICE[[#This Row],[LastType]] = "Scrn", ICE[[#This Row],[LstDate]], IF(ICE[[#This Row],[LastType]] = "Blk", ICE[[#This Row],[LstBlkTime]], ""))</f>
        <v/>
      </c>
      <c r="R1421" s="41" t="str">
        <f>IF(ICE[[#This Row],[LastType]] = "Scrn", ICE[[#This Row],[LstPrc]], IF(ICE[[#This Row],[LastType]] = "Blk", ICE[[#This Row],[LstBlkPrc]], ""))</f>
        <v/>
      </c>
      <c r="S1421" s="36">
        <f>ICE[[#This Row],[Vol]]+ICE[[#This Row],[BlkVol]]</f>
        <v>0</v>
      </c>
      <c r="T1421" s="36">
        <f>RTD("ice.rtd",,$C1421 &amp; $D1421 &amp; ":" &amp; T$1)</f>
        <v>3182</v>
      </c>
      <c r="U1421" s="18">
        <f>RTD("ice.rtd",,$C1421 &amp; $D1421 &amp; ":" &amp; U$1)</f>
        <v>1</v>
      </c>
      <c r="V14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1" s="18" t="str">
        <f>IFERROR(IF(LEFT(ICE[[#This Row],[Tenor]], 1) = "B", RTD("esrtd",,$B1421 &amp; " " &amp; ICE[[#This Row],[Tenor]] &amp; "-IEU", W$1), RTD("esrtd",,$B1421 &amp; " " &amp; VLOOKUP(MONTH(ICE[[#This Row],[Strip]]), MthRef[], 2, 0) &amp; RIGHT(YEAR(ICE[[#This Row],[Strip]]), 2) &amp; "-IEU", W$1)), "")</f>
        <v/>
      </c>
      <c r="X1421" s="36"/>
    </row>
    <row r="1422" spans="1:24" x14ac:dyDescent="0.25">
      <c r="A1422" s="37" t="s">
        <v>376</v>
      </c>
      <c r="B1422" s="88" t="str">
        <f>RTD("ice.rtd",,$C1422 &amp; $D1422 &amp; ":" &amp; B$1)</f>
        <v>NBI</v>
      </c>
      <c r="C1422" s="3">
        <v>16331513</v>
      </c>
      <c r="D1422" t="s">
        <v>796</v>
      </c>
      <c r="E1422" s="3" t="str">
        <f>RTD("ice.rtd",,$C1422 &amp; $D1422 &amp; ":" &amp; E$1)</f>
        <v>Apr27</v>
      </c>
      <c r="F1422" s="3" t="str">
        <f>ICE[[#This Row],[Prod]]&amp;ICE[[#This Row],[Strip]]</f>
        <v>c4ntetApr27</v>
      </c>
      <c r="G1422" s="18" t="str">
        <f>RTD("ice.rtd",,$C1422 &amp; $D1422 &amp; ":" &amp; G$1)</f>
        <v/>
      </c>
      <c r="H1422" s="18" t="str">
        <f>RTD("ice.rtd",,$C1422 &amp; $D1422 &amp; ":" &amp; H$1)</f>
        <v/>
      </c>
      <c r="I1422" s="18" t="str">
        <f>RTD("ice.rtd",,$C1422 &amp; $D1422 &amp; ":" &amp; I$1)</f>
        <v/>
      </c>
      <c r="J1422" s="14" t="str">
        <f>IFERROR(MOD(RTD("ice.rtd",,$C1422 &amp; $D1422 &amp; ":" &amp; J$1), 1), "")</f>
        <v/>
      </c>
      <c r="K1422" s="18" t="str">
        <f>RTD("ice.rtd",,$C1422 &amp; $D1422 &amp; ":" &amp; K$1)</f>
        <v/>
      </c>
      <c r="L1422" s="36" t="str">
        <f>RTD("ice.rtd",,$C1422 &amp; $D1422 &amp; ":" &amp; L$1)</f>
        <v/>
      </c>
      <c r="M1422" s="14" t="str">
        <f>IFERROR(MOD(TIMEVALUE(RTD("ice.rtd",,$C1422 &amp; $D1422 &amp; ":" &amp; M$1)), 1), "")</f>
        <v/>
      </c>
      <c r="N1422" s="36">
        <f>RTD("ice.rtd",,$C1422 &amp; $D1422 &amp; ":" &amp; N$1)</f>
        <v>0</v>
      </c>
      <c r="O1422" s="36">
        <f>RTD("ice.rtd",,$C1422 &amp; $D1422 &amp; ":" &amp; O$1)</f>
        <v>0</v>
      </c>
      <c r="P14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2" s="14" t="str">
        <f>IF(ICE[[#This Row],[LastType]] = "Scrn", ICE[[#This Row],[LstDate]], IF(ICE[[#This Row],[LastType]] = "Blk", ICE[[#This Row],[LstBlkTime]], ""))</f>
        <v/>
      </c>
      <c r="R1422" s="41" t="str">
        <f>IF(ICE[[#This Row],[LastType]] = "Scrn", ICE[[#This Row],[LstPrc]], IF(ICE[[#This Row],[LastType]] = "Blk", ICE[[#This Row],[LstBlkPrc]], ""))</f>
        <v/>
      </c>
      <c r="S1422" s="36">
        <f>ICE[[#This Row],[Vol]]+ICE[[#This Row],[BlkVol]]</f>
        <v>0</v>
      </c>
      <c r="T1422" s="36">
        <f>RTD("ice.rtd",,$C1422 &amp; $D1422 &amp; ":" &amp; T$1)</f>
        <v>1597</v>
      </c>
      <c r="U1422" s="18">
        <f>RTD("ice.rtd",,$C1422 &amp; $D1422 &amp; ":" &amp; U$1)</f>
        <v>0.93500000000000005</v>
      </c>
      <c r="V14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2" s="18" t="str">
        <f>IFERROR(IF(LEFT(ICE[[#This Row],[Tenor]], 1) = "B", RTD("esrtd",,$B1422 &amp; " " &amp; ICE[[#This Row],[Tenor]] &amp; "-IEU", W$1), RTD("esrtd",,$B1422 &amp; " " &amp; VLOOKUP(MONTH(ICE[[#This Row],[Strip]]), MthRef[], 2, 0) &amp; RIGHT(YEAR(ICE[[#This Row],[Strip]]), 2) &amp; "-IEU", W$1)), "")</f>
        <v/>
      </c>
      <c r="X1422" s="36"/>
    </row>
    <row r="1423" spans="1:24" x14ac:dyDescent="0.25">
      <c r="A1423" s="37" t="s">
        <v>376</v>
      </c>
      <c r="B1423" s="88" t="str">
        <f>RTD("ice.rtd",,$C1423 &amp; $D1423 &amp; ":" &amp; B$1)</f>
        <v>NBI</v>
      </c>
      <c r="C1423" s="3">
        <v>16331513</v>
      </c>
      <c r="D1423" t="s">
        <v>797</v>
      </c>
      <c r="E1423" s="3" t="str">
        <f>RTD("ice.rtd",,$C1423 &amp; $D1423 &amp; ":" &amp; E$1)</f>
        <v>May27</v>
      </c>
      <c r="F1423" s="3" t="str">
        <f>ICE[[#This Row],[Prod]]&amp;ICE[[#This Row],[Strip]]</f>
        <v>c4ntetMay27</v>
      </c>
      <c r="G1423" s="18" t="str">
        <f>RTD("ice.rtd",,$C1423 &amp; $D1423 &amp; ":" &amp; G$1)</f>
        <v/>
      </c>
      <c r="H1423" s="18" t="str">
        <f>RTD("ice.rtd",,$C1423 &amp; $D1423 &amp; ":" &amp; H$1)</f>
        <v/>
      </c>
      <c r="I1423" s="18" t="str">
        <f>RTD("ice.rtd",,$C1423 &amp; $D1423 &amp; ":" &amp; I$1)</f>
        <v/>
      </c>
      <c r="J1423" s="14" t="str">
        <f>IFERROR(MOD(RTD("ice.rtd",,$C1423 &amp; $D1423 &amp; ":" &amp; J$1), 1), "")</f>
        <v/>
      </c>
      <c r="K1423" s="18" t="str">
        <f>RTD("ice.rtd",,$C1423 &amp; $D1423 &amp; ":" &amp; K$1)</f>
        <v/>
      </c>
      <c r="L1423" s="36" t="str">
        <f>RTD("ice.rtd",,$C1423 &amp; $D1423 &amp; ":" &amp; L$1)</f>
        <v/>
      </c>
      <c r="M1423" s="14" t="str">
        <f>IFERROR(MOD(TIMEVALUE(RTD("ice.rtd",,$C1423 &amp; $D1423 &amp; ":" &amp; M$1)), 1), "")</f>
        <v/>
      </c>
      <c r="N1423" s="36">
        <f>RTD("ice.rtd",,$C1423 &amp; $D1423 &amp; ":" &amp; N$1)</f>
        <v>0</v>
      </c>
      <c r="O1423" s="36">
        <f>RTD("ice.rtd",,$C1423 &amp; $D1423 &amp; ":" &amp; O$1)</f>
        <v>0</v>
      </c>
      <c r="P14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3" s="14" t="str">
        <f>IF(ICE[[#This Row],[LastType]] = "Scrn", ICE[[#This Row],[LstDate]], IF(ICE[[#This Row],[LastType]] = "Blk", ICE[[#This Row],[LstBlkTime]], ""))</f>
        <v/>
      </c>
      <c r="R1423" s="41" t="str">
        <f>IF(ICE[[#This Row],[LastType]] = "Scrn", ICE[[#This Row],[LstPrc]], IF(ICE[[#This Row],[LastType]] = "Blk", ICE[[#This Row],[LstBlkPrc]], ""))</f>
        <v/>
      </c>
      <c r="S1423" s="36">
        <f>ICE[[#This Row],[Vol]]+ICE[[#This Row],[BlkVol]]</f>
        <v>0</v>
      </c>
      <c r="T1423" s="36">
        <f>RTD("ice.rtd",,$C1423 &amp; $D1423 &amp; ":" &amp; T$1)</f>
        <v>1409</v>
      </c>
      <c r="U1423" s="18">
        <f>RTD("ice.rtd",,$C1423 &amp; $D1423 &amp; ":" &amp; U$1)</f>
        <v>0.90374999999999994</v>
      </c>
      <c r="V14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3" s="18" t="str">
        <f>IFERROR(IF(LEFT(ICE[[#This Row],[Tenor]], 1) = "B", RTD("esrtd",,$B1423 &amp; " " &amp; ICE[[#This Row],[Tenor]] &amp; "-IEU", W$1), RTD("esrtd",,$B1423 &amp; " " &amp; VLOOKUP(MONTH(ICE[[#This Row],[Strip]]), MthRef[], 2, 0) &amp; RIGHT(YEAR(ICE[[#This Row],[Strip]]), 2) &amp; "-IEU", W$1)), "")</f>
        <v/>
      </c>
      <c r="X1423" s="36"/>
    </row>
    <row r="1424" spans="1:24" x14ac:dyDescent="0.25">
      <c r="A1424" s="37" t="s">
        <v>376</v>
      </c>
      <c r="B1424" s="88" t="str">
        <f>RTD("ice.rtd",,$C1424 &amp; $D1424 &amp; ":" &amp; B$1)</f>
        <v>NBI</v>
      </c>
      <c r="C1424" s="3">
        <v>16331513</v>
      </c>
      <c r="D1424" t="s">
        <v>798</v>
      </c>
      <c r="E1424" s="3" t="str">
        <f>RTD("ice.rtd",,$C1424 &amp; $D1424 &amp; ":" &amp; E$1)</f>
        <v>Jun27</v>
      </c>
      <c r="F1424" s="3" t="str">
        <f>ICE[[#This Row],[Prod]]&amp;ICE[[#This Row],[Strip]]</f>
        <v>c4ntetJun27</v>
      </c>
      <c r="G1424" s="18" t="str">
        <f>RTD("ice.rtd",,$C1424 &amp; $D1424 &amp; ":" &amp; G$1)</f>
        <v/>
      </c>
      <c r="H1424" s="18" t="str">
        <f>RTD("ice.rtd",,$C1424 &amp; $D1424 &amp; ":" &amp; H$1)</f>
        <v/>
      </c>
      <c r="I1424" s="18" t="str">
        <f>RTD("ice.rtd",,$C1424 &amp; $D1424 &amp; ":" &amp; I$1)</f>
        <v/>
      </c>
      <c r="J1424" s="14" t="str">
        <f>IFERROR(MOD(RTD("ice.rtd",,$C1424 &amp; $D1424 &amp; ":" &amp; J$1), 1), "")</f>
        <v/>
      </c>
      <c r="K1424" s="18" t="str">
        <f>RTD("ice.rtd",,$C1424 &amp; $D1424 &amp; ":" &amp; K$1)</f>
        <v/>
      </c>
      <c r="L1424" s="36" t="str">
        <f>RTD("ice.rtd",,$C1424 &amp; $D1424 &amp; ":" &amp; L$1)</f>
        <v/>
      </c>
      <c r="M1424" s="14" t="str">
        <f>IFERROR(MOD(TIMEVALUE(RTD("ice.rtd",,$C1424 &amp; $D1424 &amp; ":" &amp; M$1)), 1), "")</f>
        <v/>
      </c>
      <c r="N1424" s="36">
        <f>RTD("ice.rtd",,$C1424 &amp; $D1424 &amp; ":" &amp; N$1)</f>
        <v>0</v>
      </c>
      <c r="O1424" s="36">
        <f>RTD("ice.rtd",,$C1424 &amp; $D1424 &amp; ":" &amp; O$1)</f>
        <v>0</v>
      </c>
      <c r="P14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4" s="14" t="str">
        <f>IF(ICE[[#This Row],[LastType]] = "Scrn", ICE[[#This Row],[LstDate]], IF(ICE[[#This Row],[LastType]] = "Blk", ICE[[#This Row],[LstBlkTime]], ""))</f>
        <v/>
      </c>
      <c r="R1424" s="41" t="str">
        <f>IF(ICE[[#This Row],[LastType]] = "Scrn", ICE[[#This Row],[LstPrc]], IF(ICE[[#This Row],[LastType]] = "Blk", ICE[[#This Row],[LstBlkPrc]], ""))</f>
        <v/>
      </c>
      <c r="S1424" s="36">
        <f>ICE[[#This Row],[Vol]]+ICE[[#This Row],[BlkVol]]</f>
        <v>0</v>
      </c>
      <c r="T1424" s="36">
        <f>RTD("ice.rtd",,$C1424 &amp; $D1424 &amp; ":" &amp; T$1)</f>
        <v>1357</v>
      </c>
      <c r="U1424" s="18">
        <f>RTD("ice.rtd",,$C1424 &amp; $D1424 &amp; ":" &amp; U$1)</f>
        <v>0.89250000000000007</v>
      </c>
      <c r="V14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4" s="18" t="str">
        <f>IFERROR(IF(LEFT(ICE[[#This Row],[Tenor]], 1) = "B", RTD("esrtd",,$B1424 &amp; " " &amp; ICE[[#This Row],[Tenor]] &amp; "-IEU", W$1), RTD("esrtd",,$B1424 &amp; " " &amp; VLOOKUP(MONTH(ICE[[#This Row],[Strip]]), MthRef[], 2, 0) &amp; RIGHT(YEAR(ICE[[#This Row],[Strip]]), 2) &amp; "-IEU", W$1)), "")</f>
        <v/>
      </c>
      <c r="X1424" s="36"/>
    </row>
    <row r="1425" spans="1:24" x14ac:dyDescent="0.25">
      <c r="A1425" s="37" t="s">
        <v>376</v>
      </c>
      <c r="B1425" s="88" t="str">
        <f>RTD("ice.rtd",,$C1425 &amp; $D1425 &amp; ":" &amp; B$1)</f>
        <v>NBI</v>
      </c>
      <c r="C1425" s="3">
        <v>16331513</v>
      </c>
      <c r="D1425" t="s">
        <v>799</v>
      </c>
      <c r="E1425" s="3" t="str">
        <f>RTD("ice.rtd",,$C1425 &amp; $D1425 &amp; ":" &amp; E$1)</f>
        <v>Jul27</v>
      </c>
      <c r="F1425" s="3" t="str">
        <f>ICE[[#This Row],[Prod]]&amp;ICE[[#This Row],[Strip]]</f>
        <v>c4ntetJul27</v>
      </c>
      <c r="G1425" s="18" t="str">
        <f>RTD("ice.rtd",,$C1425 &amp; $D1425 &amp; ":" &amp; G$1)</f>
        <v/>
      </c>
      <c r="H1425" s="18" t="str">
        <f>RTD("ice.rtd",,$C1425 &amp; $D1425 &amp; ":" &amp; H$1)</f>
        <v/>
      </c>
      <c r="I1425" s="18" t="str">
        <f>RTD("ice.rtd",,$C1425 &amp; $D1425 &amp; ":" &amp; I$1)</f>
        <v/>
      </c>
      <c r="J1425" s="14" t="str">
        <f>IFERROR(MOD(RTD("ice.rtd",,$C1425 &amp; $D1425 &amp; ":" &amp; J$1), 1), "")</f>
        <v/>
      </c>
      <c r="K1425" s="18" t="str">
        <f>RTD("ice.rtd",,$C1425 &amp; $D1425 &amp; ":" &amp; K$1)</f>
        <v/>
      </c>
      <c r="L1425" s="36" t="str">
        <f>RTD("ice.rtd",,$C1425 &amp; $D1425 &amp; ":" &amp; L$1)</f>
        <v/>
      </c>
      <c r="M1425" s="14" t="str">
        <f>IFERROR(MOD(TIMEVALUE(RTD("ice.rtd",,$C1425 &amp; $D1425 &amp; ":" &amp; M$1)), 1), "")</f>
        <v/>
      </c>
      <c r="N1425" s="36">
        <f>RTD("ice.rtd",,$C1425 &amp; $D1425 &amp; ":" &amp; N$1)</f>
        <v>0</v>
      </c>
      <c r="O1425" s="36">
        <f>RTD("ice.rtd",,$C1425 &amp; $D1425 &amp; ":" &amp; O$1)</f>
        <v>0</v>
      </c>
      <c r="P14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5" s="14" t="str">
        <f>IF(ICE[[#This Row],[LastType]] = "Scrn", ICE[[#This Row],[LstDate]], IF(ICE[[#This Row],[LastType]] = "Blk", ICE[[#This Row],[LstBlkTime]], ""))</f>
        <v/>
      </c>
      <c r="R1425" s="41" t="str">
        <f>IF(ICE[[#This Row],[LastType]] = "Scrn", ICE[[#This Row],[LstPrc]], IF(ICE[[#This Row],[LastType]] = "Blk", ICE[[#This Row],[LstBlkPrc]], ""))</f>
        <v/>
      </c>
      <c r="S1425" s="36">
        <f>ICE[[#This Row],[Vol]]+ICE[[#This Row],[BlkVol]]</f>
        <v>0</v>
      </c>
      <c r="T1425" s="36">
        <f>RTD("ice.rtd",,$C1425 &amp; $D1425 &amp; ":" &amp; T$1)</f>
        <v>1175</v>
      </c>
      <c r="U1425" s="18">
        <f>RTD("ice.rtd",,$C1425 &amp; $D1425 &amp; ":" &amp; U$1)</f>
        <v>0.89250000000000007</v>
      </c>
      <c r="V14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5" s="18" t="str">
        <f>IFERROR(IF(LEFT(ICE[[#This Row],[Tenor]], 1) = "B", RTD("esrtd",,$B1425 &amp; " " &amp; ICE[[#This Row],[Tenor]] &amp; "-IEU", W$1), RTD("esrtd",,$B1425 &amp; " " &amp; VLOOKUP(MONTH(ICE[[#This Row],[Strip]]), MthRef[], 2, 0) &amp; RIGHT(YEAR(ICE[[#This Row],[Strip]]), 2) &amp; "-IEU", W$1)), "")</f>
        <v/>
      </c>
      <c r="X1425" s="36"/>
    </row>
    <row r="1426" spans="1:24" x14ac:dyDescent="0.25">
      <c r="A1426" s="37" t="s">
        <v>376</v>
      </c>
      <c r="B1426" s="88" t="str">
        <f>RTD("ice.rtd",,$C1426 &amp; $D1426 &amp; ":" &amp; B$1)</f>
        <v>NBI</v>
      </c>
      <c r="C1426" s="3">
        <v>16331513</v>
      </c>
      <c r="D1426" t="s">
        <v>800</v>
      </c>
      <c r="E1426" s="3" t="str">
        <f>RTD("ice.rtd",,$C1426 &amp; $D1426 &amp; ":" &amp; E$1)</f>
        <v>Aug27</v>
      </c>
      <c r="F1426" s="3" t="str">
        <f>ICE[[#This Row],[Prod]]&amp;ICE[[#This Row],[Strip]]</f>
        <v>c4ntetAug27</v>
      </c>
      <c r="G1426" s="18" t="str">
        <f>RTD("ice.rtd",,$C1426 &amp; $D1426 &amp; ":" &amp; G$1)</f>
        <v/>
      </c>
      <c r="H1426" s="18" t="str">
        <f>RTD("ice.rtd",,$C1426 &amp; $D1426 &amp; ":" &amp; H$1)</f>
        <v/>
      </c>
      <c r="I1426" s="18" t="str">
        <f>RTD("ice.rtd",,$C1426 &amp; $D1426 &amp; ":" &amp; I$1)</f>
        <v/>
      </c>
      <c r="J1426" s="14" t="str">
        <f>IFERROR(MOD(RTD("ice.rtd",,$C1426 &amp; $D1426 &amp; ":" &amp; J$1), 1), "")</f>
        <v/>
      </c>
      <c r="K1426" s="18" t="str">
        <f>RTD("ice.rtd",,$C1426 &amp; $D1426 &amp; ":" &amp; K$1)</f>
        <v/>
      </c>
      <c r="L1426" s="36" t="str">
        <f>RTD("ice.rtd",,$C1426 &amp; $D1426 &amp; ":" &amp; L$1)</f>
        <v/>
      </c>
      <c r="M1426" s="14" t="str">
        <f>IFERROR(MOD(TIMEVALUE(RTD("ice.rtd",,$C1426 &amp; $D1426 &amp; ":" &amp; M$1)), 1), "")</f>
        <v/>
      </c>
      <c r="N1426" s="36">
        <f>RTD("ice.rtd",,$C1426 &amp; $D1426 &amp; ":" &amp; N$1)</f>
        <v>0</v>
      </c>
      <c r="O1426" s="36">
        <f>RTD("ice.rtd",,$C1426 &amp; $D1426 &amp; ":" &amp; O$1)</f>
        <v>0</v>
      </c>
      <c r="P14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6" s="14" t="str">
        <f>IF(ICE[[#This Row],[LastType]] = "Scrn", ICE[[#This Row],[LstDate]], IF(ICE[[#This Row],[LastType]] = "Blk", ICE[[#This Row],[LstBlkTime]], ""))</f>
        <v/>
      </c>
      <c r="R1426" s="41" t="str">
        <f>IF(ICE[[#This Row],[LastType]] = "Scrn", ICE[[#This Row],[LstPrc]], IF(ICE[[#This Row],[LastType]] = "Blk", ICE[[#This Row],[LstBlkPrc]], ""))</f>
        <v/>
      </c>
      <c r="S1426" s="36">
        <f>ICE[[#This Row],[Vol]]+ICE[[#This Row],[BlkVol]]</f>
        <v>0</v>
      </c>
      <c r="T1426" s="36">
        <f>RTD("ice.rtd",,$C1426 &amp; $D1426 &amp; ":" &amp; T$1)</f>
        <v>1449</v>
      </c>
      <c r="U1426" s="18">
        <f>RTD("ice.rtd",,$C1426 &amp; $D1426 &amp; ":" &amp; U$1)</f>
        <v>0.89500000000000002</v>
      </c>
      <c r="V14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6" s="18" t="str">
        <f>IFERROR(IF(LEFT(ICE[[#This Row],[Tenor]], 1) = "B", RTD("esrtd",,$B1426 &amp; " " &amp; ICE[[#This Row],[Tenor]] &amp; "-IEU", W$1), RTD("esrtd",,$B1426 &amp; " " &amp; VLOOKUP(MONTH(ICE[[#This Row],[Strip]]), MthRef[], 2, 0) &amp; RIGHT(YEAR(ICE[[#This Row],[Strip]]), 2) &amp; "-IEU", W$1)), "")</f>
        <v/>
      </c>
      <c r="X1426" s="36"/>
    </row>
    <row r="1427" spans="1:24" x14ac:dyDescent="0.25">
      <c r="A1427" s="37" t="s">
        <v>376</v>
      </c>
      <c r="B1427" s="88" t="str">
        <f>RTD("ice.rtd",,$C1427 &amp; $D1427 &amp; ":" &amp; B$1)</f>
        <v>NBI</v>
      </c>
      <c r="C1427" s="3">
        <v>16331513</v>
      </c>
      <c r="D1427" t="s">
        <v>801</v>
      </c>
      <c r="E1427" s="3" t="str">
        <f>RTD("ice.rtd",,$C1427 &amp; $D1427 &amp; ":" &amp; E$1)</f>
        <v>Sep27</v>
      </c>
      <c r="F1427" s="3" t="str">
        <f>ICE[[#This Row],[Prod]]&amp;ICE[[#This Row],[Strip]]</f>
        <v>c4ntetSep27</v>
      </c>
      <c r="G1427" s="18" t="str">
        <f>RTD("ice.rtd",,$C1427 &amp; $D1427 &amp; ":" &amp; G$1)</f>
        <v/>
      </c>
      <c r="H1427" s="18" t="str">
        <f>RTD("ice.rtd",,$C1427 &amp; $D1427 &amp; ":" &amp; H$1)</f>
        <v/>
      </c>
      <c r="I1427" s="18" t="str">
        <f>RTD("ice.rtd",,$C1427 &amp; $D1427 &amp; ":" &amp; I$1)</f>
        <v/>
      </c>
      <c r="J1427" s="14" t="str">
        <f>IFERROR(MOD(RTD("ice.rtd",,$C1427 &amp; $D1427 &amp; ":" &amp; J$1), 1), "")</f>
        <v/>
      </c>
      <c r="K1427" s="18" t="str">
        <f>RTD("ice.rtd",,$C1427 &amp; $D1427 &amp; ":" &amp; K$1)</f>
        <v/>
      </c>
      <c r="L1427" s="36" t="str">
        <f>RTD("ice.rtd",,$C1427 &amp; $D1427 &amp; ":" &amp; L$1)</f>
        <v/>
      </c>
      <c r="M1427" s="14" t="str">
        <f>IFERROR(MOD(TIMEVALUE(RTD("ice.rtd",,$C1427 &amp; $D1427 &amp; ":" &amp; M$1)), 1), "")</f>
        <v/>
      </c>
      <c r="N1427" s="36">
        <f>RTD("ice.rtd",,$C1427 &amp; $D1427 &amp; ":" &amp; N$1)</f>
        <v>0</v>
      </c>
      <c r="O1427" s="36">
        <f>RTD("ice.rtd",,$C1427 &amp; $D1427 &amp; ":" &amp; O$1)</f>
        <v>0</v>
      </c>
      <c r="P14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7" s="14" t="str">
        <f>IF(ICE[[#This Row],[LastType]] = "Scrn", ICE[[#This Row],[LstDate]], IF(ICE[[#This Row],[LastType]] = "Blk", ICE[[#This Row],[LstBlkTime]], ""))</f>
        <v/>
      </c>
      <c r="R1427" s="41" t="str">
        <f>IF(ICE[[#This Row],[LastType]] = "Scrn", ICE[[#This Row],[LstPrc]], IF(ICE[[#This Row],[LastType]] = "Blk", ICE[[#This Row],[LstBlkPrc]], ""))</f>
        <v/>
      </c>
      <c r="S1427" s="36">
        <f>ICE[[#This Row],[Vol]]+ICE[[#This Row],[BlkVol]]</f>
        <v>0</v>
      </c>
      <c r="T1427" s="36">
        <f>RTD("ice.rtd",,$C1427 &amp; $D1427 &amp; ":" &amp; T$1)</f>
        <v>1158</v>
      </c>
      <c r="U1427" s="18">
        <f>RTD("ice.rtd",,$C1427 &amp; $D1427 &amp; ":" &amp; U$1)</f>
        <v>0.9</v>
      </c>
      <c r="V14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7" s="18" t="str">
        <f>IFERROR(IF(LEFT(ICE[[#This Row],[Tenor]], 1) = "B", RTD("esrtd",,$B1427 &amp; " " &amp; ICE[[#This Row],[Tenor]] &amp; "-IEU", W$1), RTD("esrtd",,$B1427 &amp; " " &amp; VLOOKUP(MONTH(ICE[[#This Row],[Strip]]), MthRef[], 2, 0) &amp; RIGHT(YEAR(ICE[[#This Row],[Strip]]), 2) &amp; "-IEU", W$1)), "")</f>
        <v/>
      </c>
      <c r="X1427" s="36"/>
    </row>
    <row r="1428" spans="1:24" x14ac:dyDescent="0.25">
      <c r="A1428" s="37" t="s">
        <v>376</v>
      </c>
      <c r="B1428" s="88" t="str">
        <f>RTD("ice.rtd",,$C1428 &amp; $D1428 &amp; ":" &amp; B$1)</f>
        <v>NBI</v>
      </c>
      <c r="C1428" s="3">
        <v>16331513</v>
      </c>
      <c r="D1428" t="s">
        <v>802</v>
      </c>
      <c r="E1428" s="3" t="str">
        <f>RTD("ice.rtd",,$C1428 &amp; $D1428 &amp; ":" &amp; E$1)</f>
        <v>Oct27</v>
      </c>
      <c r="F1428" s="3" t="str">
        <f>ICE[[#This Row],[Prod]]&amp;ICE[[#This Row],[Strip]]</f>
        <v>c4ntetOct27</v>
      </c>
      <c r="G1428" s="18" t="str">
        <f>RTD("ice.rtd",,$C1428 &amp; $D1428 &amp; ":" &amp; G$1)</f>
        <v/>
      </c>
      <c r="H1428" s="18" t="str">
        <f>RTD("ice.rtd",,$C1428 &amp; $D1428 &amp; ":" &amp; H$1)</f>
        <v/>
      </c>
      <c r="I1428" s="18" t="str">
        <f>RTD("ice.rtd",,$C1428 &amp; $D1428 &amp; ":" &amp; I$1)</f>
        <v/>
      </c>
      <c r="J1428" s="14" t="str">
        <f>IFERROR(MOD(RTD("ice.rtd",,$C1428 &amp; $D1428 &amp; ":" &amp; J$1), 1), "")</f>
        <v/>
      </c>
      <c r="K1428" s="18" t="str">
        <f>RTD("ice.rtd",,$C1428 &amp; $D1428 &amp; ":" &amp; K$1)</f>
        <v/>
      </c>
      <c r="L1428" s="36" t="str">
        <f>RTD("ice.rtd",,$C1428 &amp; $D1428 &amp; ":" &amp; L$1)</f>
        <v/>
      </c>
      <c r="M1428" s="14" t="str">
        <f>IFERROR(MOD(TIMEVALUE(RTD("ice.rtd",,$C1428 &amp; $D1428 &amp; ":" &amp; M$1)), 1), "")</f>
        <v/>
      </c>
      <c r="N1428" s="36">
        <f>RTD("ice.rtd",,$C1428 &amp; $D1428 &amp; ":" &amp; N$1)</f>
        <v>0</v>
      </c>
      <c r="O1428" s="36">
        <f>RTD("ice.rtd",,$C1428 &amp; $D1428 &amp; ":" &amp; O$1)</f>
        <v>0</v>
      </c>
      <c r="P14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8" s="14" t="str">
        <f>IF(ICE[[#This Row],[LastType]] = "Scrn", ICE[[#This Row],[LstDate]], IF(ICE[[#This Row],[LastType]] = "Blk", ICE[[#This Row],[LstBlkTime]], ""))</f>
        <v/>
      </c>
      <c r="R1428" s="41" t="str">
        <f>IF(ICE[[#This Row],[LastType]] = "Scrn", ICE[[#This Row],[LstPrc]], IF(ICE[[#This Row],[LastType]] = "Blk", ICE[[#This Row],[LstBlkPrc]], ""))</f>
        <v/>
      </c>
      <c r="S1428" s="36">
        <f>ICE[[#This Row],[Vol]]+ICE[[#This Row],[BlkVol]]</f>
        <v>0</v>
      </c>
      <c r="T1428" s="36">
        <f>RTD("ice.rtd",,$C1428 &amp; $D1428 &amp; ":" &amp; T$1)</f>
        <v>1442</v>
      </c>
      <c r="U1428" s="18">
        <f>RTD("ice.rtd",,$C1428 &amp; $D1428 &amp; ":" &amp; U$1)</f>
        <v>0.90625</v>
      </c>
      <c r="V14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8" s="18" t="str">
        <f>IFERROR(IF(LEFT(ICE[[#This Row],[Tenor]], 1) = "B", RTD("esrtd",,$B1428 &amp; " " &amp; ICE[[#This Row],[Tenor]] &amp; "-IEU", W$1), RTD("esrtd",,$B1428 &amp; " " &amp; VLOOKUP(MONTH(ICE[[#This Row],[Strip]]), MthRef[], 2, 0) &amp; RIGHT(YEAR(ICE[[#This Row],[Strip]]), 2) &amp; "-IEU", W$1)), "")</f>
        <v/>
      </c>
      <c r="X1428" s="36"/>
    </row>
    <row r="1429" spans="1:24" x14ac:dyDescent="0.25">
      <c r="A1429" s="37" t="s">
        <v>376</v>
      </c>
      <c r="B1429" s="88" t="str">
        <f>RTD("ice.rtd",,$C1429 &amp; $D1429 &amp; ":" &amp; B$1)</f>
        <v>NBI</v>
      </c>
      <c r="C1429" s="3">
        <v>16331513</v>
      </c>
      <c r="D1429" t="s">
        <v>803</v>
      </c>
      <c r="E1429" s="3" t="str">
        <f>RTD("ice.rtd",,$C1429 &amp; $D1429 &amp; ":" &amp; E$1)</f>
        <v>Nov27</v>
      </c>
      <c r="F1429" s="3" t="str">
        <f>ICE[[#This Row],[Prod]]&amp;ICE[[#This Row],[Strip]]</f>
        <v>c4ntetNov27</v>
      </c>
      <c r="G1429" s="18" t="str">
        <f>RTD("ice.rtd",,$C1429 &amp; $D1429 &amp; ":" &amp; G$1)</f>
        <v/>
      </c>
      <c r="H1429" s="18" t="str">
        <f>RTD("ice.rtd",,$C1429 &amp; $D1429 &amp; ":" &amp; H$1)</f>
        <v/>
      </c>
      <c r="I1429" s="18" t="str">
        <f>RTD("ice.rtd",,$C1429 &amp; $D1429 &amp; ":" &amp; I$1)</f>
        <v/>
      </c>
      <c r="J1429" s="14" t="str">
        <f>IFERROR(MOD(RTD("ice.rtd",,$C1429 &amp; $D1429 &amp; ":" &amp; J$1), 1), "")</f>
        <v/>
      </c>
      <c r="K1429" s="18" t="str">
        <f>RTD("ice.rtd",,$C1429 &amp; $D1429 &amp; ":" &amp; K$1)</f>
        <v/>
      </c>
      <c r="L1429" s="36" t="str">
        <f>RTD("ice.rtd",,$C1429 &amp; $D1429 &amp; ":" &amp; L$1)</f>
        <v/>
      </c>
      <c r="M1429" s="14" t="str">
        <f>IFERROR(MOD(TIMEVALUE(RTD("ice.rtd",,$C1429 &amp; $D1429 &amp; ":" &amp; M$1)), 1), "")</f>
        <v/>
      </c>
      <c r="N1429" s="36">
        <f>RTD("ice.rtd",,$C1429 &amp; $D1429 &amp; ":" &amp; N$1)</f>
        <v>0</v>
      </c>
      <c r="O1429" s="36">
        <f>RTD("ice.rtd",,$C1429 &amp; $D1429 &amp; ":" &amp; O$1)</f>
        <v>0</v>
      </c>
      <c r="P14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29" s="14" t="str">
        <f>IF(ICE[[#This Row],[LastType]] = "Scrn", ICE[[#This Row],[LstDate]], IF(ICE[[#This Row],[LastType]] = "Blk", ICE[[#This Row],[LstBlkTime]], ""))</f>
        <v/>
      </c>
      <c r="R1429" s="41" t="str">
        <f>IF(ICE[[#This Row],[LastType]] = "Scrn", ICE[[#This Row],[LstPrc]], IF(ICE[[#This Row],[LastType]] = "Blk", ICE[[#This Row],[LstBlkPrc]], ""))</f>
        <v/>
      </c>
      <c r="S1429" s="36">
        <f>ICE[[#This Row],[Vol]]+ICE[[#This Row],[BlkVol]]</f>
        <v>0</v>
      </c>
      <c r="T1429" s="36">
        <f>RTD("ice.rtd",,$C1429 &amp; $D1429 &amp; ":" &amp; T$1)</f>
        <v>1035</v>
      </c>
      <c r="U1429" s="18">
        <f>RTD("ice.rtd",,$C1429 &amp; $D1429 &amp; ":" &amp; U$1)</f>
        <v>0.91125</v>
      </c>
      <c r="V14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29" s="18" t="str">
        <f>IFERROR(IF(LEFT(ICE[[#This Row],[Tenor]], 1) = "B", RTD("esrtd",,$B1429 &amp; " " &amp; ICE[[#This Row],[Tenor]] &amp; "-IEU", W$1), RTD("esrtd",,$B1429 &amp; " " &amp; VLOOKUP(MONTH(ICE[[#This Row],[Strip]]), MthRef[], 2, 0) &amp; RIGHT(YEAR(ICE[[#This Row],[Strip]]), 2) &amp; "-IEU", W$1)), "")</f>
        <v/>
      </c>
      <c r="X1429" s="36"/>
    </row>
    <row r="1430" spans="1:24" x14ac:dyDescent="0.25">
      <c r="A1430" s="37" t="s">
        <v>376</v>
      </c>
      <c r="B1430" s="88" t="str">
        <f>RTD("ice.rtd",,$C1430 &amp; $D1430 &amp; ":" &amp; B$1)</f>
        <v>NBI</v>
      </c>
      <c r="C1430" s="3">
        <v>16331513</v>
      </c>
      <c r="D1430" t="s">
        <v>804</v>
      </c>
      <c r="E1430" s="3" t="str">
        <f>RTD("ice.rtd",,$C1430 &amp; $D1430 &amp; ":" &amp; E$1)</f>
        <v>Dec27</v>
      </c>
      <c r="F1430" s="3" t="str">
        <f>ICE[[#This Row],[Prod]]&amp;ICE[[#This Row],[Strip]]</f>
        <v>c4ntetDec27</v>
      </c>
      <c r="G1430" s="18" t="str">
        <f>RTD("ice.rtd",,$C1430 &amp; $D1430 &amp; ":" &amp; G$1)</f>
        <v/>
      </c>
      <c r="H1430" s="18" t="str">
        <f>RTD("ice.rtd",,$C1430 &amp; $D1430 &amp; ":" &amp; H$1)</f>
        <v/>
      </c>
      <c r="I1430" s="18" t="str">
        <f>RTD("ice.rtd",,$C1430 &amp; $D1430 &amp; ":" &amp; I$1)</f>
        <v/>
      </c>
      <c r="J1430" s="14" t="str">
        <f>IFERROR(MOD(RTD("ice.rtd",,$C1430 &amp; $D1430 &amp; ":" &amp; J$1), 1), "")</f>
        <v/>
      </c>
      <c r="K1430" s="18" t="str">
        <f>RTD("ice.rtd",,$C1430 &amp; $D1430 &amp; ":" &amp; K$1)</f>
        <v/>
      </c>
      <c r="L1430" s="36" t="str">
        <f>RTD("ice.rtd",,$C1430 &amp; $D1430 &amp; ":" &amp; L$1)</f>
        <v/>
      </c>
      <c r="M1430" s="14" t="str">
        <f>IFERROR(MOD(TIMEVALUE(RTD("ice.rtd",,$C1430 &amp; $D1430 &amp; ":" &amp; M$1)), 1), "")</f>
        <v/>
      </c>
      <c r="N1430" s="36">
        <f>RTD("ice.rtd",,$C1430 &amp; $D1430 &amp; ":" &amp; N$1)</f>
        <v>0</v>
      </c>
      <c r="O1430" s="36">
        <f>RTD("ice.rtd",,$C1430 &amp; $D1430 &amp; ":" &amp; O$1)</f>
        <v>0</v>
      </c>
      <c r="P14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0" s="14" t="str">
        <f>IF(ICE[[#This Row],[LastType]] = "Scrn", ICE[[#This Row],[LstDate]], IF(ICE[[#This Row],[LastType]] = "Blk", ICE[[#This Row],[LstBlkTime]], ""))</f>
        <v/>
      </c>
      <c r="R1430" s="41" t="str">
        <f>IF(ICE[[#This Row],[LastType]] = "Scrn", ICE[[#This Row],[LstPrc]], IF(ICE[[#This Row],[LastType]] = "Blk", ICE[[#This Row],[LstBlkPrc]], ""))</f>
        <v/>
      </c>
      <c r="S1430" s="36">
        <f>ICE[[#This Row],[Vol]]+ICE[[#This Row],[BlkVol]]</f>
        <v>0</v>
      </c>
      <c r="T1430" s="36">
        <f>RTD("ice.rtd",,$C1430 &amp; $D1430 &amp; ":" &amp; T$1)</f>
        <v>1024</v>
      </c>
      <c r="U1430" s="18">
        <f>RTD("ice.rtd",,$C1430 &amp; $D1430 &amp; ":" &amp; U$1)</f>
        <v>0.91250000000000009</v>
      </c>
      <c r="V14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0" s="18" t="str">
        <f>IFERROR(IF(LEFT(ICE[[#This Row],[Tenor]], 1) = "B", RTD("esrtd",,$B1430 &amp; " " &amp; ICE[[#This Row],[Tenor]] &amp; "-IEU", W$1), RTD("esrtd",,$B1430 &amp; " " &amp; VLOOKUP(MONTH(ICE[[#This Row],[Strip]]), MthRef[], 2, 0) &amp; RIGHT(YEAR(ICE[[#This Row],[Strip]]), 2) &amp; "-IEU", W$1)), "")</f>
        <v/>
      </c>
      <c r="X1430" s="36"/>
    </row>
    <row r="1431" spans="1:24" x14ac:dyDescent="0.25">
      <c r="A1431" s="37" t="s">
        <v>376</v>
      </c>
      <c r="B1431" s="88" t="str">
        <f>RTD("ice.rtd",,$C1431 &amp; $D1431 &amp; ":" &amp; B$1)</f>
        <v>NBI</v>
      </c>
      <c r="C1431" s="3">
        <v>16331513</v>
      </c>
      <c r="D1431" t="s">
        <v>805</v>
      </c>
      <c r="E1431" s="3" t="str">
        <f>RTD("ice.rtd",,$C1431 &amp; $D1431 &amp; ":" &amp; E$1)</f>
        <v>Jan28</v>
      </c>
      <c r="F1431" s="3" t="str">
        <f>ICE[[#This Row],[Prod]]&amp;ICE[[#This Row],[Strip]]</f>
        <v>c4ntetJan28</v>
      </c>
      <c r="G1431" s="18" t="str">
        <f>RTD("ice.rtd",,$C1431 &amp; $D1431 &amp; ":" &amp; G$1)</f>
        <v/>
      </c>
      <c r="H1431" s="18" t="str">
        <f>RTD("ice.rtd",,$C1431 &amp; $D1431 &amp; ":" &amp; H$1)</f>
        <v/>
      </c>
      <c r="I1431" s="18" t="str">
        <f>RTD("ice.rtd",,$C1431 &amp; $D1431 &amp; ":" &amp; I$1)</f>
        <v/>
      </c>
      <c r="J1431" s="14" t="str">
        <f>IFERROR(MOD(RTD("ice.rtd",,$C1431 &amp; $D1431 &amp; ":" &amp; J$1), 1), "")</f>
        <v/>
      </c>
      <c r="K1431" s="18" t="str">
        <f>RTD("ice.rtd",,$C1431 &amp; $D1431 &amp; ":" &amp; K$1)</f>
        <v/>
      </c>
      <c r="L1431" s="36" t="str">
        <f>RTD("ice.rtd",,$C1431 &amp; $D1431 &amp; ":" &amp; L$1)</f>
        <v/>
      </c>
      <c r="M1431" s="14" t="str">
        <f>IFERROR(MOD(TIMEVALUE(RTD("ice.rtd",,$C1431 &amp; $D1431 &amp; ":" &amp; M$1)), 1), "")</f>
        <v/>
      </c>
      <c r="N1431" s="36">
        <f>RTD("ice.rtd",,$C1431 &amp; $D1431 &amp; ":" &amp; N$1)</f>
        <v>0</v>
      </c>
      <c r="O1431" s="36">
        <f>RTD("ice.rtd",,$C1431 &amp; $D1431 &amp; ":" &amp; O$1)</f>
        <v>0</v>
      </c>
      <c r="P14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1" s="14" t="str">
        <f>IF(ICE[[#This Row],[LastType]] = "Scrn", ICE[[#This Row],[LstDate]], IF(ICE[[#This Row],[LastType]] = "Blk", ICE[[#This Row],[LstBlkTime]], ""))</f>
        <v/>
      </c>
      <c r="R1431" s="41" t="str">
        <f>IF(ICE[[#This Row],[LastType]] = "Scrn", ICE[[#This Row],[LstPrc]], IF(ICE[[#This Row],[LastType]] = "Blk", ICE[[#This Row],[LstBlkPrc]], ""))</f>
        <v/>
      </c>
      <c r="S1431" s="36">
        <f>ICE[[#This Row],[Vol]]+ICE[[#This Row],[BlkVol]]</f>
        <v>0</v>
      </c>
      <c r="T1431" s="36">
        <f>RTD("ice.rtd",,$C1431 &amp; $D1431 &amp; ":" &amp; T$1)</f>
        <v>379</v>
      </c>
      <c r="U1431" s="18">
        <f>RTD("ice.rtd",,$C1431 &amp; $D1431 &amp; ":" &amp; U$1)</f>
        <v>0.91125</v>
      </c>
      <c r="V14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1" s="18" t="str">
        <f>IFERROR(IF(LEFT(ICE[[#This Row],[Tenor]], 1) = "B", RTD("esrtd",,$B1431 &amp; " " &amp; ICE[[#This Row],[Tenor]] &amp; "-IEU", W$1), RTD("esrtd",,$B1431 &amp; " " &amp; VLOOKUP(MONTH(ICE[[#This Row],[Strip]]), MthRef[], 2, 0) &amp; RIGHT(YEAR(ICE[[#This Row],[Strip]]), 2) &amp; "-IEU", W$1)), "")</f>
        <v/>
      </c>
      <c r="X1431" s="36"/>
    </row>
    <row r="1432" spans="1:24" x14ac:dyDescent="0.25">
      <c r="A1432" s="37" t="s">
        <v>376</v>
      </c>
      <c r="B1432" s="88" t="str">
        <f>RTD("ice.rtd",,$C1432 &amp; $D1432 &amp; ":" &amp; B$1)</f>
        <v>NBI</v>
      </c>
      <c r="C1432" s="3">
        <v>16331513</v>
      </c>
      <c r="D1432" t="s">
        <v>806</v>
      </c>
      <c r="E1432" s="3" t="str">
        <f>RTD("ice.rtd",,$C1432 &amp; $D1432 &amp; ":" &amp; E$1)</f>
        <v>Feb28</v>
      </c>
      <c r="F1432" s="3" t="str">
        <f>ICE[[#This Row],[Prod]]&amp;ICE[[#This Row],[Strip]]</f>
        <v>c4ntetFeb28</v>
      </c>
      <c r="G1432" s="18" t="str">
        <f>RTD("ice.rtd",,$C1432 &amp; $D1432 &amp; ":" &amp; G$1)</f>
        <v/>
      </c>
      <c r="H1432" s="18" t="str">
        <f>RTD("ice.rtd",,$C1432 &amp; $D1432 &amp; ":" &amp; H$1)</f>
        <v/>
      </c>
      <c r="I1432" s="18" t="str">
        <f>RTD("ice.rtd",,$C1432 &amp; $D1432 &amp; ":" &amp; I$1)</f>
        <v/>
      </c>
      <c r="J1432" s="14" t="str">
        <f>IFERROR(MOD(RTD("ice.rtd",,$C1432 &amp; $D1432 &amp; ":" &amp; J$1), 1), "")</f>
        <v/>
      </c>
      <c r="K1432" s="18" t="str">
        <f>RTD("ice.rtd",,$C1432 &amp; $D1432 &amp; ":" &amp; K$1)</f>
        <v/>
      </c>
      <c r="L1432" s="36" t="str">
        <f>RTD("ice.rtd",,$C1432 &amp; $D1432 &amp; ":" &amp; L$1)</f>
        <v/>
      </c>
      <c r="M1432" s="14" t="str">
        <f>IFERROR(MOD(TIMEVALUE(RTD("ice.rtd",,$C1432 &amp; $D1432 &amp; ":" &amp; M$1)), 1), "")</f>
        <v/>
      </c>
      <c r="N1432" s="36">
        <f>RTD("ice.rtd",,$C1432 &amp; $D1432 &amp; ":" &amp; N$1)</f>
        <v>0</v>
      </c>
      <c r="O1432" s="36">
        <f>RTD("ice.rtd",,$C1432 &amp; $D1432 &amp; ":" &amp; O$1)</f>
        <v>0</v>
      </c>
      <c r="P14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2" s="14" t="str">
        <f>IF(ICE[[#This Row],[LastType]] = "Scrn", ICE[[#This Row],[LstDate]], IF(ICE[[#This Row],[LastType]] = "Blk", ICE[[#This Row],[LstBlkTime]], ""))</f>
        <v/>
      </c>
      <c r="R1432" s="41" t="str">
        <f>IF(ICE[[#This Row],[LastType]] = "Scrn", ICE[[#This Row],[LstPrc]], IF(ICE[[#This Row],[LastType]] = "Blk", ICE[[#This Row],[LstBlkPrc]], ""))</f>
        <v/>
      </c>
      <c r="S1432" s="36">
        <f>ICE[[#This Row],[Vol]]+ICE[[#This Row],[BlkVol]]</f>
        <v>0</v>
      </c>
      <c r="T1432" s="36">
        <f>RTD("ice.rtd",,$C1432 &amp; $D1432 &amp; ":" &amp; T$1)</f>
        <v>379</v>
      </c>
      <c r="U1432" s="18">
        <f>RTD("ice.rtd",,$C1432 &amp; $D1432 &amp; ":" &amp; U$1)</f>
        <v>0.90250000000000008</v>
      </c>
      <c r="V14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2" s="18" t="str">
        <f>IFERROR(IF(LEFT(ICE[[#This Row],[Tenor]], 1) = "B", RTD("esrtd",,$B1432 &amp; " " &amp; ICE[[#This Row],[Tenor]] &amp; "-IEU", W$1), RTD("esrtd",,$B1432 &amp; " " &amp; VLOOKUP(MONTH(ICE[[#This Row],[Strip]]), MthRef[], 2, 0) &amp; RIGHT(YEAR(ICE[[#This Row],[Strip]]), 2) &amp; "-IEU", W$1)), "")</f>
        <v/>
      </c>
      <c r="X1432" s="36"/>
    </row>
    <row r="1433" spans="1:24" x14ac:dyDescent="0.25">
      <c r="A1433" s="37" t="s">
        <v>376</v>
      </c>
      <c r="B1433" s="88" t="str">
        <f>RTD("ice.rtd",,$C1433 &amp; $D1433 &amp; ":" &amp; B$1)</f>
        <v>NBI</v>
      </c>
      <c r="C1433" s="3">
        <v>16331513</v>
      </c>
      <c r="D1433" t="s">
        <v>807</v>
      </c>
      <c r="E1433" s="3" t="str">
        <f>RTD("ice.rtd",,$C1433 &amp; $D1433 &amp; ":" &amp; E$1)</f>
        <v>Mar28</v>
      </c>
      <c r="F1433" s="3" t="str">
        <f>ICE[[#This Row],[Prod]]&amp;ICE[[#This Row],[Strip]]</f>
        <v>c4ntetMar28</v>
      </c>
      <c r="G1433" s="18" t="str">
        <f>RTD("ice.rtd",,$C1433 &amp; $D1433 &amp; ":" &amp; G$1)</f>
        <v/>
      </c>
      <c r="H1433" s="18" t="str">
        <f>RTD("ice.rtd",,$C1433 &amp; $D1433 &amp; ":" &amp; H$1)</f>
        <v/>
      </c>
      <c r="I1433" s="18" t="str">
        <f>RTD("ice.rtd",,$C1433 &amp; $D1433 &amp; ":" &amp; I$1)</f>
        <v/>
      </c>
      <c r="J1433" s="14" t="str">
        <f>IFERROR(MOD(RTD("ice.rtd",,$C1433 &amp; $D1433 &amp; ":" &amp; J$1), 1), "")</f>
        <v/>
      </c>
      <c r="K1433" s="18" t="str">
        <f>RTD("ice.rtd",,$C1433 &amp; $D1433 &amp; ":" &amp; K$1)</f>
        <v/>
      </c>
      <c r="L1433" s="36" t="str">
        <f>RTD("ice.rtd",,$C1433 &amp; $D1433 &amp; ":" &amp; L$1)</f>
        <v/>
      </c>
      <c r="M1433" s="14" t="str">
        <f>IFERROR(MOD(TIMEVALUE(RTD("ice.rtd",,$C1433 &amp; $D1433 &amp; ":" &amp; M$1)), 1), "")</f>
        <v/>
      </c>
      <c r="N1433" s="36">
        <f>RTD("ice.rtd",,$C1433 &amp; $D1433 &amp; ":" &amp; N$1)</f>
        <v>0</v>
      </c>
      <c r="O1433" s="36">
        <f>RTD("ice.rtd",,$C1433 &amp; $D1433 &amp; ":" &amp; O$1)</f>
        <v>0</v>
      </c>
      <c r="P14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3" s="14" t="str">
        <f>IF(ICE[[#This Row],[LastType]] = "Scrn", ICE[[#This Row],[LstDate]], IF(ICE[[#This Row],[LastType]] = "Blk", ICE[[#This Row],[LstBlkTime]], ""))</f>
        <v/>
      </c>
      <c r="R1433" s="41" t="str">
        <f>IF(ICE[[#This Row],[LastType]] = "Scrn", ICE[[#This Row],[LstPrc]], IF(ICE[[#This Row],[LastType]] = "Blk", ICE[[#This Row],[LstBlkPrc]], ""))</f>
        <v/>
      </c>
      <c r="S1433" s="36">
        <f>ICE[[#This Row],[Vol]]+ICE[[#This Row],[BlkVol]]</f>
        <v>0</v>
      </c>
      <c r="T1433" s="36">
        <f>RTD("ice.rtd",,$C1433 &amp; $D1433 &amp; ":" &amp; T$1)</f>
        <v>379</v>
      </c>
      <c r="U1433" s="18">
        <f>RTD("ice.rtd",,$C1433 &amp; $D1433 &amp; ":" &amp; U$1)</f>
        <v>0.86624999999999996</v>
      </c>
      <c r="V14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3" s="18" t="str">
        <f>IFERROR(IF(LEFT(ICE[[#This Row],[Tenor]], 1) = "B", RTD("esrtd",,$B1433 &amp; " " &amp; ICE[[#This Row],[Tenor]] &amp; "-IEU", W$1), RTD("esrtd",,$B1433 &amp; " " &amp; VLOOKUP(MONTH(ICE[[#This Row],[Strip]]), MthRef[], 2, 0) &amp; RIGHT(YEAR(ICE[[#This Row],[Strip]]), 2) &amp; "-IEU", W$1)), "")</f>
        <v/>
      </c>
      <c r="X1433" s="36"/>
    </row>
    <row r="1434" spans="1:24" x14ac:dyDescent="0.25">
      <c r="A1434" s="37" t="s">
        <v>376</v>
      </c>
      <c r="B1434" s="88" t="str">
        <f>RTD("ice.rtd",,$C1434 &amp; $D1434 &amp; ":" &amp; B$1)</f>
        <v>NBI</v>
      </c>
      <c r="C1434" s="3">
        <v>16331513</v>
      </c>
      <c r="D1434" t="s">
        <v>808</v>
      </c>
      <c r="E1434" s="3" t="str">
        <f>RTD("ice.rtd",,$C1434 &amp; $D1434 &amp; ":" &amp; E$1)</f>
        <v>Apr28</v>
      </c>
      <c r="F1434" s="3" t="str">
        <f>ICE[[#This Row],[Prod]]&amp;ICE[[#This Row],[Strip]]</f>
        <v>c4ntetApr28</v>
      </c>
      <c r="G1434" s="18" t="str">
        <f>RTD("ice.rtd",,$C1434 &amp; $D1434 &amp; ":" &amp; G$1)</f>
        <v/>
      </c>
      <c r="H1434" s="18" t="str">
        <f>RTD("ice.rtd",,$C1434 &amp; $D1434 &amp; ":" &amp; H$1)</f>
        <v/>
      </c>
      <c r="I1434" s="18" t="str">
        <f>RTD("ice.rtd",,$C1434 &amp; $D1434 &amp; ":" &amp; I$1)</f>
        <v/>
      </c>
      <c r="J1434" s="14" t="str">
        <f>IFERROR(MOD(RTD("ice.rtd",,$C1434 &amp; $D1434 &amp; ":" &amp; J$1), 1), "")</f>
        <v/>
      </c>
      <c r="K1434" s="18" t="str">
        <f>RTD("ice.rtd",,$C1434 &amp; $D1434 &amp; ":" &amp; K$1)</f>
        <v/>
      </c>
      <c r="L1434" s="36" t="str">
        <f>RTD("ice.rtd",,$C1434 &amp; $D1434 &amp; ":" &amp; L$1)</f>
        <v/>
      </c>
      <c r="M1434" s="14" t="str">
        <f>IFERROR(MOD(TIMEVALUE(RTD("ice.rtd",,$C1434 &amp; $D1434 &amp; ":" &amp; M$1)), 1), "")</f>
        <v/>
      </c>
      <c r="N1434" s="36">
        <f>RTD("ice.rtd",,$C1434 &amp; $D1434 &amp; ":" &amp; N$1)</f>
        <v>0</v>
      </c>
      <c r="O1434" s="36">
        <f>RTD("ice.rtd",,$C1434 &amp; $D1434 &amp; ":" &amp; O$1)</f>
        <v>0</v>
      </c>
      <c r="P14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4" s="14" t="str">
        <f>IF(ICE[[#This Row],[LastType]] = "Scrn", ICE[[#This Row],[LstDate]], IF(ICE[[#This Row],[LastType]] = "Blk", ICE[[#This Row],[LstBlkTime]], ""))</f>
        <v/>
      </c>
      <c r="R1434" s="41" t="str">
        <f>IF(ICE[[#This Row],[LastType]] = "Scrn", ICE[[#This Row],[LstPrc]], IF(ICE[[#This Row],[LastType]] = "Blk", ICE[[#This Row],[LstBlkPrc]], ""))</f>
        <v/>
      </c>
      <c r="S1434" s="36">
        <f>ICE[[#This Row],[Vol]]+ICE[[#This Row],[BlkVol]]</f>
        <v>0</v>
      </c>
      <c r="T1434" s="36">
        <f>RTD("ice.rtd",,$C1434 &amp; $D1434 &amp; ":" &amp; T$1)</f>
        <v>197</v>
      </c>
      <c r="U1434" s="18">
        <f>RTD("ice.rtd",,$C1434 &amp; $D1434 &amp; ":" &amp; U$1)</f>
        <v>0.83750000000000002</v>
      </c>
      <c r="V14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4" s="18" t="str">
        <f>IFERROR(IF(LEFT(ICE[[#This Row],[Tenor]], 1) = "B", RTD("esrtd",,$B1434 &amp; " " &amp; ICE[[#This Row],[Tenor]] &amp; "-IEU", W$1), RTD("esrtd",,$B1434 &amp; " " &amp; VLOOKUP(MONTH(ICE[[#This Row],[Strip]]), MthRef[], 2, 0) &amp; RIGHT(YEAR(ICE[[#This Row],[Strip]]), 2) &amp; "-IEU", W$1)), "")</f>
        <v/>
      </c>
      <c r="X1434" s="36"/>
    </row>
    <row r="1435" spans="1:24" x14ac:dyDescent="0.25">
      <c r="A1435" s="37" t="s">
        <v>376</v>
      </c>
      <c r="B1435" s="88" t="str">
        <f>RTD("ice.rtd",,$C1435 &amp; $D1435 &amp; ":" &amp; B$1)</f>
        <v>NBI</v>
      </c>
      <c r="C1435" s="3">
        <v>16331513</v>
      </c>
      <c r="D1435" t="s">
        <v>809</v>
      </c>
      <c r="E1435" s="3" t="str">
        <f>RTD("ice.rtd",,$C1435 &amp; $D1435 &amp; ":" &amp; E$1)</f>
        <v>May28</v>
      </c>
      <c r="F1435" s="3" t="str">
        <f>ICE[[#This Row],[Prod]]&amp;ICE[[#This Row],[Strip]]</f>
        <v>c4ntetMay28</v>
      </c>
      <c r="G1435" s="18" t="str">
        <f>RTD("ice.rtd",,$C1435 &amp; $D1435 &amp; ":" &amp; G$1)</f>
        <v/>
      </c>
      <c r="H1435" s="18" t="str">
        <f>RTD("ice.rtd",,$C1435 &amp; $D1435 &amp; ":" &amp; H$1)</f>
        <v/>
      </c>
      <c r="I1435" s="18" t="str">
        <f>RTD("ice.rtd",,$C1435 &amp; $D1435 &amp; ":" &amp; I$1)</f>
        <v/>
      </c>
      <c r="J1435" s="14" t="str">
        <f>IFERROR(MOD(RTD("ice.rtd",,$C1435 &amp; $D1435 &amp; ":" &amp; J$1), 1), "")</f>
        <v/>
      </c>
      <c r="K1435" s="18" t="str">
        <f>RTD("ice.rtd",,$C1435 &amp; $D1435 &amp; ":" &amp; K$1)</f>
        <v/>
      </c>
      <c r="L1435" s="36" t="str">
        <f>RTD("ice.rtd",,$C1435 &amp; $D1435 &amp; ":" &amp; L$1)</f>
        <v/>
      </c>
      <c r="M1435" s="14" t="str">
        <f>IFERROR(MOD(TIMEVALUE(RTD("ice.rtd",,$C1435 &amp; $D1435 &amp; ":" &amp; M$1)), 1), "")</f>
        <v/>
      </c>
      <c r="N1435" s="36">
        <f>RTD("ice.rtd",,$C1435 &amp; $D1435 &amp; ":" &amp; N$1)</f>
        <v>0</v>
      </c>
      <c r="O1435" s="36">
        <f>RTD("ice.rtd",,$C1435 &amp; $D1435 &amp; ":" &amp; O$1)</f>
        <v>0</v>
      </c>
      <c r="P14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5" s="14" t="str">
        <f>IF(ICE[[#This Row],[LastType]] = "Scrn", ICE[[#This Row],[LstDate]], IF(ICE[[#This Row],[LastType]] = "Blk", ICE[[#This Row],[LstBlkTime]], ""))</f>
        <v/>
      </c>
      <c r="R1435" s="41" t="str">
        <f>IF(ICE[[#This Row],[LastType]] = "Scrn", ICE[[#This Row],[LstPrc]], IF(ICE[[#This Row],[LastType]] = "Blk", ICE[[#This Row],[LstBlkPrc]], ""))</f>
        <v/>
      </c>
      <c r="S1435" s="36">
        <f>ICE[[#This Row],[Vol]]+ICE[[#This Row],[BlkVol]]</f>
        <v>0</v>
      </c>
      <c r="T1435" s="36">
        <f>RTD("ice.rtd",,$C1435 &amp; $D1435 &amp; ":" &amp; T$1)</f>
        <v>197</v>
      </c>
      <c r="U1435" s="18">
        <f>RTD("ice.rtd",,$C1435 &amp; $D1435 &amp; ":" &amp; U$1)</f>
        <v>0.82500000000000007</v>
      </c>
      <c r="V14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5" s="18" t="str">
        <f>IFERROR(IF(LEFT(ICE[[#This Row],[Tenor]], 1) = "B", RTD("esrtd",,$B1435 &amp; " " &amp; ICE[[#This Row],[Tenor]] &amp; "-IEU", W$1), RTD("esrtd",,$B1435 &amp; " " &amp; VLOOKUP(MONTH(ICE[[#This Row],[Strip]]), MthRef[], 2, 0) &amp; RIGHT(YEAR(ICE[[#This Row],[Strip]]), 2) &amp; "-IEU", W$1)), "")</f>
        <v/>
      </c>
      <c r="X1435" s="36"/>
    </row>
    <row r="1436" spans="1:24" x14ac:dyDescent="0.25">
      <c r="A1436" s="37" t="s">
        <v>376</v>
      </c>
      <c r="B1436" s="88" t="str">
        <f>RTD("ice.rtd",,$C1436 &amp; $D1436 &amp; ":" &amp; B$1)</f>
        <v>NBI</v>
      </c>
      <c r="C1436" s="3">
        <v>16331513</v>
      </c>
      <c r="D1436" t="s">
        <v>810</v>
      </c>
      <c r="E1436" s="3" t="str">
        <f>RTD("ice.rtd",,$C1436 &amp; $D1436 &amp; ":" &amp; E$1)</f>
        <v>Jun28</v>
      </c>
      <c r="F1436" s="3" t="str">
        <f>ICE[[#This Row],[Prod]]&amp;ICE[[#This Row],[Strip]]</f>
        <v>c4ntetJun28</v>
      </c>
      <c r="G1436" s="18" t="str">
        <f>RTD("ice.rtd",,$C1436 &amp; $D1436 &amp; ":" &amp; G$1)</f>
        <v/>
      </c>
      <c r="H1436" s="18" t="str">
        <f>RTD("ice.rtd",,$C1436 &amp; $D1436 &amp; ":" &amp; H$1)</f>
        <v/>
      </c>
      <c r="I1436" s="18" t="str">
        <f>RTD("ice.rtd",,$C1436 &amp; $D1436 &amp; ":" &amp; I$1)</f>
        <v/>
      </c>
      <c r="J1436" s="14" t="str">
        <f>IFERROR(MOD(RTD("ice.rtd",,$C1436 &amp; $D1436 &amp; ":" &amp; J$1), 1), "")</f>
        <v/>
      </c>
      <c r="K1436" s="18" t="str">
        <f>RTD("ice.rtd",,$C1436 &amp; $D1436 &amp; ":" &amp; K$1)</f>
        <v/>
      </c>
      <c r="L1436" s="36" t="str">
        <f>RTD("ice.rtd",,$C1436 &amp; $D1436 &amp; ":" &amp; L$1)</f>
        <v/>
      </c>
      <c r="M1436" s="14" t="str">
        <f>IFERROR(MOD(TIMEVALUE(RTD("ice.rtd",,$C1436 &amp; $D1436 &amp; ":" &amp; M$1)), 1), "")</f>
        <v/>
      </c>
      <c r="N1436" s="36">
        <f>RTD("ice.rtd",,$C1436 &amp; $D1436 &amp; ":" &amp; N$1)</f>
        <v>0</v>
      </c>
      <c r="O1436" s="36">
        <f>RTD("ice.rtd",,$C1436 &amp; $D1436 &amp; ":" &amp; O$1)</f>
        <v>0</v>
      </c>
      <c r="P14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6" s="14" t="str">
        <f>IF(ICE[[#This Row],[LastType]] = "Scrn", ICE[[#This Row],[LstDate]], IF(ICE[[#This Row],[LastType]] = "Blk", ICE[[#This Row],[LstBlkTime]], ""))</f>
        <v/>
      </c>
      <c r="R1436" s="41" t="str">
        <f>IF(ICE[[#This Row],[LastType]] = "Scrn", ICE[[#This Row],[LstPrc]], IF(ICE[[#This Row],[LastType]] = "Blk", ICE[[#This Row],[LstBlkPrc]], ""))</f>
        <v/>
      </c>
      <c r="S1436" s="36">
        <f>ICE[[#This Row],[Vol]]+ICE[[#This Row],[BlkVol]]</f>
        <v>0</v>
      </c>
      <c r="T1436" s="36">
        <f>RTD("ice.rtd",,$C1436 &amp; $D1436 &amp; ":" &amp; T$1)</f>
        <v>197</v>
      </c>
      <c r="U1436" s="18">
        <f>RTD("ice.rtd",,$C1436 &amp; $D1436 &amp; ":" &amp; U$1)</f>
        <v>0.82000000000000006</v>
      </c>
      <c r="V14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6" s="18" t="str">
        <f>IFERROR(IF(LEFT(ICE[[#This Row],[Tenor]], 1) = "B", RTD("esrtd",,$B1436 &amp; " " &amp; ICE[[#This Row],[Tenor]] &amp; "-IEU", W$1), RTD("esrtd",,$B1436 &amp; " " &amp; VLOOKUP(MONTH(ICE[[#This Row],[Strip]]), MthRef[], 2, 0) &amp; RIGHT(YEAR(ICE[[#This Row],[Strip]]), 2) &amp; "-IEU", W$1)), "")</f>
        <v/>
      </c>
      <c r="X1436" s="36"/>
    </row>
    <row r="1437" spans="1:24" x14ac:dyDescent="0.25">
      <c r="A1437" s="37" t="s">
        <v>376</v>
      </c>
      <c r="B1437" s="88" t="str">
        <f>RTD("ice.rtd",,$C1437 &amp; $D1437 &amp; ":" &amp; B$1)</f>
        <v>NBI</v>
      </c>
      <c r="C1437" s="3">
        <v>16331513</v>
      </c>
      <c r="D1437" t="s">
        <v>811</v>
      </c>
      <c r="E1437" s="3" t="str">
        <f>RTD("ice.rtd",,$C1437 &amp; $D1437 &amp; ":" &amp; E$1)</f>
        <v>Jul28</v>
      </c>
      <c r="F1437" s="3" t="str">
        <f>ICE[[#This Row],[Prod]]&amp;ICE[[#This Row],[Strip]]</f>
        <v>c4ntetJul28</v>
      </c>
      <c r="G1437" s="18" t="str">
        <f>RTD("ice.rtd",,$C1437 &amp; $D1437 &amp; ":" &amp; G$1)</f>
        <v/>
      </c>
      <c r="H1437" s="18" t="str">
        <f>RTD("ice.rtd",,$C1437 &amp; $D1437 &amp; ":" &amp; H$1)</f>
        <v/>
      </c>
      <c r="I1437" s="18" t="str">
        <f>RTD("ice.rtd",,$C1437 &amp; $D1437 &amp; ":" &amp; I$1)</f>
        <v/>
      </c>
      <c r="J1437" s="14" t="str">
        <f>IFERROR(MOD(RTD("ice.rtd",,$C1437 &amp; $D1437 &amp; ":" &amp; J$1), 1), "")</f>
        <v/>
      </c>
      <c r="K1437" s="18" t="str">
        <f>RTD("ice.rtd",,$C1437 &amp; $D1437 &amp; ":" &amp; K$1)</f>
        <v/>
      </c>
      <c r="L1437" s="36" t="str">
        <f>RTD("ice.rtd",,$C1437 &amp; $D1437 &amp; ":" &amp; L$1)</f>
        <v/>
      </c>
      <c r="M1437" s="14" t="str">
        <f>IFERROR(MOD(TIMEVALUE(RTD("ice.rtd",,$C1437 &amp; $D1437 &amp; ":" &amp; M$1)), 1), "")</f>
        <v/>
      </c>
      <c r="N1437" s="36">
        <f>RTD("ice.rtd",,$C1437 &amp; $D1437 &amp; ":" &amp; N$1)</f>
        <v>0</v>
      </c>
      <c r="O1437" s="36">
        <f>RTD("ice.rtd",,$C1437 &amp; $D1437 &amp; ":" &amp; O$1)</f>
        <v>0</v>
      </c>
      <c r="P14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7" s="14" t="str">
        <f>IF(ICE[[#This Row],[LastType]] = "Scrn", ICE[[#This Row],[LstDate]], IF(ICE[[#This Row],[LastType]] = "Blk", ICE[[#This Row],[LstBlkTime]], ""))</f>
        <v/>
      </c>
      <c r="R1437" s="41" t="str">
        <f>IF(ICE[[#This Row],[LastType]] = "Scrn", ICE[[#This Row],[LstPrc]], IF(ICE[[#This Row],[LastType]] = "Blk", ICE[[#This Row],[LstBlkPrc]], ""))</f>
        <v/>
      </c>
      <c r="S1437" s="36">
        <f>ICE[[#This Row],[Vol]]+ICE[[#This Row],[BlkVol]]</f>
        <v>0</v>
      </c>
      <c r="T1437" s="36">
        <f>RTD("ice.rtd",,$C1437 &amp; $D1437 &amp; ":" &amp; T$1)</f>
        <v>172</v>
      </c>
      <c r="U1437" s="18">
        <f>RTD("ice.rtd",,$C1437 &amp; $D1437 &amp; ":" &amp; U$1)</f>
        <v>0.82000000000000006</v>
      </c>
      <c r="V14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7" s="18" t="str">
        <f>IFERROR(IF(LEFT(ICE[[#This Row],[Tenor]], 1) = "B", RTD("esrtd",,$B1437 &amp; " " &amp; ICE[[#This Row],[Tenor]] &amp; "-IEU", W$1), RTD("esrtd",,$B1437 &amp; " " &amp; VLOOKUP(MONTH(ICE[[#This Row],[Strip]]), MthRef[], 2, 0) &amp; RIGHT(YEAR(ICE[[#This Row],[Strip]]), 2) &amp; "-IEU", W$1)), "")</f>
        <v/>
      </c>
      <c r="X1437" s="36"/>
    </row>
    <row r="1438" spans="1:24" x14ac:dyDescent="0.25">
      <c r="A1438" s="37" t="s">
        <v>376</v>
      </c>
      <c r="B1438" s="88" t="str">
        <f>RTD("ice.rtd",,$C1438 &amp; $D1438 &amp; ":" &amp; B$1)</f>
        <v>NBI</v>
      </c>
      <c r="C1438" s="3">
        <v>16331513</v>
      </c>
      <c r="D1438" t="s">
        <v>812</v>
      </c>
      <c r="E1438" s="3" t="str">
        <f>RTD("ice.rtd",,$C1438 &amp; $D1438 &amp; ":" &amp; E$1)</f>
        <v>Aug28</v>
      </c>
      <c r="F1438" s="3" t="str">
        <f>ICE[[#This Row],[Prod]]&amp;ICE[[#This Row],[Strip]]</f>
        <v>c4ntetAug28</v>
      </c>
      <c r="G1438" s="18" t="str">
        <f>RTD("ice.rtd",,$C1438 &amp; $D1438 &amp; ":" &amp; G$1)</f>
        <v/>
      </c>
      <c r="H1438" s="18" t="str">
        <f>RTD("ice.rtd",,$C1438 &amp; $D1438 &amp; ":" &amp; H$1)</f>
        <v/>
      </c>
      <c r="I1438" s="18" t="str">
        <f>RTD("ice.rtd",,$C1438 &amp; $D1438 &amp; ":" &amp; I$1)</f>
        <v/>
      </c>
      <c r="J1438" s="14" t="str">
        <f>IFERROR(MOD(RTD("ice.rtd",,$C1438 &amp; $D1438 &amp; ":" &amp; J$1), 1), "")</f>
        <v/>
      </c>
      <c r="K1438" s="18" t="str">
        <f>RTD("ice.rtd",,$C1438 &amp; $D1438 &amp; ":" &amp; K$1)</f>
        <v/>
      </c>
      <c r="L1438" s="36" t="str">
        <f>RTD("ice.rtd",,$C1438 &amp; $D1438 &amp; ":" &amp; L$1)</f>
        <v/>
      </c>
      <c r="M1438" s="14" t="str">
        <f>IFERROR(MOD(TIMEVALUE(RTD("ice.rtd",,$C1438 &amp; $D1438 &amp; ":" &amp; M$1)), 1), "")</f>
        <v/>
      </c>
      <c r="N1438" s="36">
        <f>RTD("ice.rtd",,$C1438 &amp; $D1438 &amp; ":" &amp; N$1)</f>
        <v>0</v>
      </c>
      <c r="O1438" s="36">
        <f>RTD("ice.rtd",,$C1438 &amp; $D1438 &amp; ":" &amp; O$1)</f>
        <v>0</v>
      </c>
      <c r="P14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8" s="14" t="str">
        <f>IF(ICE[[#This Row],[LastType]] = "Scrn", ICE[[#This Row],[LstDate]], IF(ICE[[#This Row],[LastType]] = "Blk", ICE[[#This Row],[LstBlkTime]], ""))</f>
        <v/>
      </c>
      <c r="R1438" s="41" t="str">
        <f>IF(ICE[[#This Row],[LastType]] = "Scrn", ICE[[#This Row],[LstPrc]], IF(ICE[[#This Row],[LastType]] = "Blk", ICE[[#This Row],[LstBlkPrc]], ""))</f>
        <v/>
      </c>
      <c r="S1438" s="36">
        <f>ICE[[#This Row],[Vol]]+ICE[[#This Row],[BlkVol]]</f>
        <v>0</v>
      </c>
      <c r="T1438" s="36">
        <f>RTD("ice.rtd",,$C1438 &amp; $D1438 &amp; ":" &amp; T$1)</f>
        <v>172</v>
      </c>
      <c r="U1438" s="18">
        <f>RTD("ice.rtd",,$C1438 &amp; $D1438 &amp; ":" &amp; U$1)</f>
        <v>0.82374999999999998</v>
      </c>
      <c r="V14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8" s="18" t="str">
        <f>IFERROR(IF(LEFT(ICE[[#This Row],[Tenor]], 1) = "B", RTD("esrtd",,$B1438 &amp; " " &amp; ICE[[#This Row],[Tenor]] &amp; "-IEU", W$1), RTD("esrtd",,$B1438 &amp; " " &amp; VLOOKUP(MONTH(ICE[[#This Row],[Strip]]), MthRef[], 2, 0) &amp; RIGHT(YEAR(ICE[[#This Row],[Strip]]), 2) &amp; "-IEU", W$1)), "")</f>
        <v/>
      </c>
      <c r="X1438" s="36"/>
    </row>
    <row r="1439" spans="1:24" x14ac:dyDescent="0.25">
      <c r="A1439" s="37" t="s">
        <v>376</v>
      </c>
      <c r="B1439" s="88" t="str">
        <f>RTD("ice.rtd",,$C1439 &amp; $D1439 &amp; ":" &amp; B$1)</f>
        <v>NBI</v>
      </c>
      <c r="C1439" s="3">
        <v>16331513</v>
      </c>
      <c r="D1439" t="s">
        <v>813</v>
      </c>
      <c r="E1439" s="3" t="str">
        <f>RTD("ice.rtd",,$C1439 &amp; $D1439 &amp; ":" &amp; E$1)</f>
        <v>Sep28</v>
      </c>
      <c r="F1439" s="3" t="str">
        <f>ICE[[#This Row],[Prod]]&amp;ICE[[#This Row],[Strip]]</f>
        <v>c4ntetSep28</v>
      </c>
      <c r="G1439" s="18" t="str">
        <f>RTD("ice.rtd",,$C1439 &amp; $D1439 &amp; ":" &amp; G$1)</f>
        <v/>
      </c>
      <c r="H1439" s="18" t="str">
        <f>RTD("ice.rtd",,$C1439 &amp; $D1439 &amp; ":" &amp; H$1)</f>
        <v/>
      </c>
      <c r="I1439" s="18" t="str">
        <f>RTD("ice.rtd",,$C1439 &amp; $D1439 &amp; ":" &amp; I$1)</f>
        <v/>
      </c>
      <c r="J1439" s="14" t="str">
        <f>IFERROR(MOD(RTD("ice.rtd",,$C1439 &amp; $D1439 &amp; ":" &amp; J$1), 1), "")</f>
        <v/>
      </c>
      <c r="K1439" s="18" t="str">
        <f>RTD("ice.rtd",,$C1439 &amp; $D1439 &amp; ":" &amp; K$1)</f>
        <v/>
      </c>
      <c r="L1439" s="36" t="str">
        <f>RTD("ice.rtd",,$C1439 &amp; $D1439 &amp; ":" &amp; L$1)</f>
        <v/>
      </c>
      <c r="M1439" s="14" t="str">
        <f>IFERROR(MOD(TIMEVALUE(RTD("ice.rtd",,$C1439 &amp; $D1439 &amp; ":" &amp; M$1)), 1), "")</f>
        <v/>
      </c>
      <c r="N1439" s="36">
        <f>RTD("ice.rtd",,$C1439 &amp; $D1439 &amp; ":" &amp; N$1)</f>
        <v>0</v>
      </c>
      <c r="O1439" s="36">
        <f>RTD("ice.rtd",,$C1439 &amp; $D1439 &amp; ":" &amp; O$1)</f>
        <v>0</v>
      </c>
      <c r="P14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39" s="14" t="str">
        <f>IF(ICE[[#This Row],[LastType]] = "Scrn", ICE[[#This Row],[LstDate]], IF(ICE[[#This Row],[LastType]] = "Blk", ICE[[#This Row],[LstBlkTime]], ""))</f>
        <v/>
      </c>
      <c r="R1439" s="41" t="str">
        <f>IF(ICE[[#This Row],[LastType]] = "Scrn", ICE[[#This Row],[LstPrc]], IF(ICE[[#This Row],[LastType]] = "Blk", ICE[[#This Row],[LstBlkPrc]], ""))</f>
        <v/>
      </c>
      <c r="S1439" s="36">
        <f>ICE[[#This Row],[Vol]]+ICE[[#This Row],[BlkVol]]</f>
        <v>0</v>
      </c>
      <c r="T1439" s="36">
        <f>RTD("ice.rtd",,$C1439 &amp; $D1439 &amp; ":" &amp; T$1)</f>
        <v>172</v>
      </c>
      <c r="U1439" s="18">
        <f>RTD("ice.rtd",,$C1439 &amp; $D1439 &amp; ":" &amp; U$1)</f>
        <v>0.83124999999999993</v>
      </c>
      <c r="V14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39" s="18" t="str">
        <f>IFERROR(IF(LEFT(ICE[[#This Row],[Tenor]], 1) = "B", RTD("esrtd",,$B1439 &amp; " " &amp; ICE[[#This Row],[Tenor]] &amp; "-IEU", W$1), RTD("esrtd",,$B1439 &amp; " " &amp; VLOOKUP(MONTH(ICE[[#This Row],[Strip]]), MthRef[], 2, 0) &amp; RIGHT(YEAR(ICE[[#This Row],[Strip]]), 2) &amp; "-IEU", W$1)), "")</f>
        <v/>
      </c>
      <c r="X1439" s="36"/>
    </row>
    <row r="1440" spans="1:24" x14ac:dyDescent="0.25">
      <c r="A1440" s="37" t="s">
        <v>376</v>
      </c>
      <c r="B1440" s="88" t="str">
        <f>RTD("ice.rtd",,$C1440 &amp; $D1440 &amp; ":" &amp; B$1)</f>
        <v>NBI</v>
      </c>
      <c r="C1440" s="3">
        <v>16331513</v>
      </c>
      <c r="D1440" t="s">
        <v>814</v>
      </c>
      <c r="E1440" s="3" t="str">
        <f>RTD("ice.rtd",,$C1440 &amp; $D1440 &amp; ":" &amp; E$1)</f>
        <v>Q4 26</v>
      </c>
      <c r="F1440" s="3" t="str">
        <f>ICE[[#This Row],[Prod]]&amp;ICE[[#This Row],[Strip]]</f>
        <v>c4ntetQ4 26</v>
      </c>
      <c r="G1440" s="18" t="str">
        <f>RTD("ice.rtd",,$C1440 &amp; $D1440 &amp; ":" &amp; G$1)</f>
        <v/>
      </c>
      <c r="H1440" s="18" t="str">
        <f>RTD("ice.rtd",,$C1440 &amp; $D1440 &amp; ":" &amp; H$1)</f>
        <v/>
      </c>
      <c r="I1440" s="18" t="str">
        <f>RTD("ice.rtd",,$C1440 &amp; $D1440 &amp; ":" &amp; I$1)</f>
        <v/>
      </c>
      <c r="J1440" s="14" t="str">
        <f>IFERROR(MOD(RTD("ice.rtd",,$C1440 &amp; $D1440 &amp; ":" &amp; J$1), 1), "")</f>
        <v/>
      </c>
      <c r="K1440" s="18" t="str">
        <f>RTD("ice.rtd",,$C1440 &amp; $D1440 &amp; ":" &amp; K$1)</f>
        <v/>
      </c>
      <c r="L1440" s="36" t="str">
        <f>RTD("ice.rtd",,$C1440 &amp; $D1440 &amp; ":" &amp; L$1)</f>
        <v/>
      </c>
      <c r="M1440" s="14" t="str">
        <f>IFERROR(MOD(TIMEVALUE(RTD("ice.rtd",,$C1440 &amp; $D1440 &amp; ":" &amp; M$1)), 1), "")</f>
        <v/>
      </c>
      <c r="N1440" s="36">
        <f>RTD("ice.rtd",,$C1440 &amp; $D1440 &amp; ":" &amp; N$1)</f>
        <v>0</v>
      </c>
      <c r="O1440" s="36">
        <f>RTD("ice.rtd",,$C1440 &amp; $D1440 &amp; ":" &amp; O$1)</f>
        <v>0</v>
      </c>
      <c r="P14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0" s="14" t="str">
        <f>IF(ICE[[#This Row],[LastType]] = "Scrn", ICE[[#This Row],[LstDate]], IF(ICE[[#This Row],[LastType]] = "Blk", ICE[[#This Row],[LstBlkTime]], ""))</f>
        <v/>
      </c>
      <c r="R1440" s="41" t="str">
        <f>IF(ICE[[#This Row],[LastType]] = "Scrn", ICE[[#This Row],[LstPrc]], IF(ICE[[#This Row],[LastType]] = "Blk", ICE[[#This Row],[LstBlkPrc]], ""))</f>
        <v/>
      </c>
      <c r="S1440" s="36">
        <f>ICE[[#This Row],[Vol]]+ICE[[#This Row],[BlkVol]]</f>
        <v>0</v>
      </c>
      <c r="T1440" s="36">
        <f>RTD("ice.rtd",,$C1440 &amp; $D1440 &amp; ":" &amp; T$1)</f>
        <v>0</v>
      </c>
      <c r="U1440" s="18">
        <f>RTD("ice.rtd",,$C1440 &amp; $D1440 &amp; ":" &amp; U$1)</f>
        <v>1.13958</v>
      </c>
      <c r="V14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0" s="18" t="str">
        <f>IFERROR(IF(LEFT(ICE[[#This Row],[Tenor]], 1) = "B", RTD("esrtd",,$B1440 &amp; " " &amp; ICE[[#This Row],[Tenor]] &amp; "-IEU", W$1), RTD("esrtd",,$B1440 &amp; " " &amp; VLOOKUP(MONTH(ICE[[#This Row],[Strip]]), MthRef[], 2, 0) &amp; RIGHT(YEAR(ICE[[#This Row],[Strip]]), 2) &amp; "-IEU", W$1)), "")</f>
        <v/>
      </c>
      <c r="X1440" s="36"/>
    </row>
    <row r="1441" spans="1:24" x14ac:dyDescent="0.25">
      <c r="A1441" s="37" t="s">
        <v>376</v>
      </c>
      <c r="B1441" s="88" t="str">
        <f>RTD("ice.rtd",,$C1441 &amp; $D1441 &amp; ":" &amp; B$1)</f>
        <v>NBI</v>
      </c>
      <c r="C1441" s="3">
        <v>16331513</v>
      </c>
      <c r="D1441" t="s">
        <v>815</v>
      </c>
      <c r="E1441" s="3" t="str">
        <f>RTD("ice.rtd",,$C1441 &amp; $D1441 &amp; ":" &amp; E$1)</f>
        <v>Q1 27</v>
      </c>
      <c r="F1441" s="3" t="str">
        <f>ICE[[#This Row],[Prod]]&amp;ICE[[#This Row],[Strip]]</f>
        <v>c4ntetQ1 27</v>
      </c>
      <c r="G1441" s="18" t="str">
        <f>RTD("ice.rtd",,$C1441 &amp; $D1441 &amp; ":" &amp; G$1)</f>
        <v/>
      </c>
      <c r="H1441" s="18" t="str">
        <f>RTD("ice.rtd",,$C1441 &amp; $D1441 &amp; ":" &amp; H$1)</f>
        <v/>
      </c>
      <c r="I1441" s="18" t="str">
        <f>RTD("ice.rtd",,$C1441 &amp; $D1441 &amp; ":" &amp; I$1)</f>
        <v/>
      </c>
      <c r="J1441" s="14" t="str">
        <f>IFERROR(MOD(RTD("ice.rtd",,$C1441 &amp; $D1441 &amp; ":" &amp; J$1), 1), "")</f>
        <v/>
      </c>
      <c r="K1441" s="18" t="str">
        <f>RTD("ice.rtd",,$C1441 &amp; $D1441 &amp; ":" &amp; K$1)</f>
        <v/>
      </c>
      <c r="L1441" s="36" t="str">
        <f>RTD("ice.rtd",,$C1441 &amp; $D1441 &amp; ":" &amp; L$1)</f>
        <v/>
      </c>
      <c r="M1441" s="14" t="str">
        <f>IFERROR(MOD(TIMEVALUE(RTD("ice.rtd",,$C1441 &amp; $D1441 &amp; ":" &amp; M$1)), 1), "")</f>
        <v/>
      </c>
      <c r="N1441" s="36">
        <f>RTD("ice.rtd",,$C1441 &amp; $D1441 &amp; ":" &amp; N$1)</f>
        <v>0</v>
      </c>
      <c r="O1441" s="36">
        <f>RTD("ice.rtd",,$C1441 &amp; $D1441 &amp; ":" &amp; O$1)</f>
        <v>0</v>
      </c>
      <c r="P14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1" s="14" t="str">
        <f>IF(ICE[[#This Row],[LastType]] = "Scrn", ICE[[#This Row],[LstDate]], IF(ICE[[#This Row],[LastType]] = "Blk", ICE[[#This Row],[LstBlkTime]], ""))</f>
        <v/>
      </c>
      <c r="R1441" s="41" t="str">
        <f>IF(ICE[[#This Row],[LastType]] = "Scrn", ICE[[#This Row],[LstPrc]], IF(ICE[[#This Row],[LastType]] = "Blk", ICE[[#This Row],[LstBlkPrc]], ""))</f>
        <v/>
      </c>
      <c r="S1441" s="36">
        <f>ICE[[#This Row],[Vol]]+ICE[[#This Row],[BlkVol]]</f>
        <v>0</v>
      </c>
      <c r="T1441" s="36">
        <f>RTD("ice.rtd",,$C1441 &amp; $D1441 &amp; ":" &amp; T$1)</f>
        <v>0</v>
      </c>
      <c r="U1441" s="18">
        <f>RTD("ice.rtd",,$C1441 &amp; $D1441 &amp; ":" &amp; U$1)</f>
        <v>1.0620799999999999</v>
      </c>
      <c r="V14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1" s="18" t="str">
        <f>IFERROR(IF(LEFT(ICE[[#This Row],[Tenor]], 1) = "B", RTD("esrtd",,$B1441 &amp; " " &amp; ICE[[#This Row],[Tenor]] &amp; "-IEU", W$1), RTD("esrtd",,$B1441 &amp; " " &amp; VLOOKUP(MONTH(ICE[[#This Row],[Strip]]), MthRef[], 2, 0) &amp; RIGHT(YEAR(ICE[[#This Row],[Strip]]), 2) &amp; "-IEU", W$1)), "")</f>
        <v/>
      </c>
      <c r="X1441" s="36"/>
    </row>
    <row r="1442" spans="1:24" x14ac:dyDescent="0.25">
      <c r="A1442" s="37" t="s">
        <v>376</v>
      </c>
      <c r="B1442" s="88" t="str">
        <f>RTD("ice.rtd",,$C1442 &amp; $D1442 &amp; ":" &amp; B$1)</f>
        <v>NBI</v>
      </c>
      <c r="C1442" s="3">
        <v>16331513</v>
      </c>
      <c r="D1442" t="s">
        <v>816</v>
      </c>
      <c r="E1442" s="3" t="str">
        <f>RTD("ice.rtd",,$C1442 &amp; $D1442 &amp; ":" &amp; E$1)</f>
        <v>Q2 27</v>
      </c>
      <c r="F1442" s="3" t="str">
        <f>ICE[[#This Row],[Prod]]&amp;ICE[[#This Row],[Strip]]</f>
        <v>c4ntetQ2 27</v>
      </c>
      <c r="G1442" s="18" t="str">
        <f>RTD("ice.rtd",,$C1442 &amp; $D1442 &amp; ":" &amp; G$1)</f>
        <v/>
      </c>
      <c r="H1442" s="18" t="str">
        <f>RTD("ice.rtd",,$C1442 &amp; $D1442 &amp; ":" &amp; H$1)</f>
        <v/>
      </c>
      <c r="I1442" s="18" t="str">
        <f>RTD("ice.rtd",,$C1442 &amp; $D1442 &amp; ":" &amp; I$1)</f>
        <v/>
      </c>
      <c r="J1442" s="14" t="str">
        <f>IFERROR(MOD(RTD("ice.rtd",,$C1442 &amp; $D1442 &amp; ":" &amp; J$1), 1), "")</f>
        <v/>
      </c>
      <c r="K1442" s="18" t="str">
        <f>RTD("ice.rtd",,$C1442 &amp; $D1442 &amp; ":" &amp; K$1)</f>
        <v/>
      </c>
      <c r="L1442" s="36" t="str">
        <f>RTD("ice.rtd",,$C1442 &amp; $D1442 &amp; ":" &amp; L$1)</f>
        <v/>
      </c>
      <c r="M1442" s="14" t="str">
        <f>IFERROR(MOD(TIMEVALUE(RTD("ice.rtd",,$C1442 &amp; $D1442 &amp; ":" &amp; M$1)), 1), "")</f>
        <v/>
      </c>
      <c r="N1442" s="36">
        <f>RTD("ice.rtd",,$C1442 &amp; $D1442 &amp; ":" &amp; N$1)</f>
        <v>0</v>
      </c>
      <c r="O1442" s="36">
        <f>RTD("ice.rtd",,$C1442 &amp; $D1442 &amp; ":" &amp; O$1)</f>
        <v>0</v>
      </c>
      <c r="P14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2" s="14" t="str">
        <f>IF(ICE[[#This Row],[LastType]] = "Scrn", ICE[[#This Row],[LstDate]], IF(ICE[[#This Row],[LastType]] = "Blk", ICE[[#This Row],[LstBlkTime]], ""))</f>
        <v/>
      </c>
      <c r="R1442" s="41" t="str">
        <f>IF(ICE[[#This Row],[LastType]] = "Scrn", ICE[[#This Row],[LstPrc]], IF(ICE[[#This Row],[LastType]] = "Blk", ICE[[#This Row],[LstBlkPrc]], ""))</f>
        <v/>
      </c>
      <c r="S1442" s="36">
        <f>ICE[[#This Row],[Vol]]+ICE[[#This Row],[BlkVol]]</f>
        <v>0</v>
      </c>
      <c r="T1442" s="36">
        <f>RTD("ice.rtd",,$C1442 &amp; $D1442 &amp; ":" &amp; T$1)</f>
        <v>0</v>
      </c>
      <c r="U1442" s="18">
        <f>RTD("ice.rtd",,$C1442 &amp; $D1442 &amp; ":" &amp; U$1)</f>
        <v>0.91042000000000001</v>
      </c>
      <c r="V14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2" s="18" t="str">
        <f>IFERROR(IF(LEFT(ICE[[#This Row],[Tenor]], 1) = "B", RTD("esrtd",,$B1442 &amp; " " &amp; ICE[[#This Row],[Tenor]] &amp; "-IEU", W$1), RTD("esrtd",,$B1442 &amp; " " &amp; VLOOKUP(MONTH(ICE[[#This Row],[Strip]]), MthRef[], 2, 0) &amp; RIGHT(YEAR(ICE[[#This Row],[Strip]]), 2) &amp; "-IEU", W$1)), "")</f>
        <v/>
      </c>
      <c r="X1442" s="36"/>
    </row>
    <row r="1443" spans="1:24" x14ac:dyDescent="0.25">
      <c r="A1443" s="37" t="s">
        <v>376</v>
      </c>
      <c r="B1443" s="88" t="str">
        <f>RTD("ice.rtd",,$C1443 &amp; $D1443 &amp; ":" &amp; B$1)</f>
        <v>NBI</v>
      </c>
      <c r="C1443" s="3">
        <v>16331513</v>
      </c>
      <c r="D1443" t="s">
        <v>817</v>
      </c>
      <c r="E1443" s="3" t="str">
        <f>RTD("ice.rtd",,$C1443 &amp; $D1443 &amp; ":" &amp; E$1)</f>
        <v>Q3 27</v>
      </c>
      <c r="F1443" s="3" t="str">
        <f>ICE[[#This Row],[Prod]]&amp;ICE[[#This Row],[Strip]]</f>
        <v>c4ntetQ3 27</v>
      </c>
      <c r="G1443" s="18" t="str">
        <f>RTD("ice.rtd",,$C1443 &amp; $D1443 &amp; ":" &amp; G$1)</f>
        <v/>
      </c>
      <c r="H1443" s="18" t="str">
        <f>RTD("ice.rtd",,$C1443 &amp; $D1443 &amp; ":" &amp; H$1)</f>
        <v/>
      </c>
      <c r="I1443" s="18" t="str">
        <f>RTD("ice.rtd",,$C1443 &amp; $D1443 &amp; ":" &amp; I$1)</f>
        <v/>
      </c>
      <c r="J1443" s="14" t="str">
        <f>IFERROR(MOD(RTD("ice.rtd",,$C1443 &amp; $D1443 &amp; ":" &amp; J$1), 1), "")</f>
        <v/>
      </c>
      <c r="K1443" s="18" t="str">
        <f>RTD("ice.rtd",,$C1443 &amp; $D1443 &amp; ":" &amp; K$1)</f>
        <v/>
      </c>
      <c r="L1443" s="36" t="str">
        <f>RTD("ice.rtd",,$C1443 &amp; $D1443 &amp; ":" &amp; L$1)</f>
        <v/>
      </c>
      <c r="M1443" s="14" t="str">
        <f>IFERROR(MOD(TIMEVALUE(RTD("ice.rtd",,$C1443 &amp; $D1443 &amp; ":" &amp; M$1)), 1), "")</f>
        <v/>
      </c>
      <c r="N1443" s="36">
        <f>RTD("ice.rtd",,$C1443 &amp; $D1443 &amp; ":" &amp; N$1)</f>
        <v>0</v>
      </c>
      <c r="O1443" s="36">
        <f>RTD("ice.rtd",,$C1443 &amp; $D1443 &amp; ":" &amp; O$1)</f>
        <v>0</v>
      </c>
      <c r="P14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3" s="14" t="str">
        <f>IF(ICE[[#This Row],[LastType]] = "Scrn", ICE[[#This Row],[LstDate]], IF(ICE[[#This Row],[LastType]] = "Blk", ICE[[#This Row],[LstBlkTime]], ""))</f>
        <v/>
      </c>
      <c r="R1443" s="41" t="str">
        <f>IF(ICE[[#This Row],[LastType]] = "Scrn", ICE[[#This Row],[LstPrc]], IF(ICE[[#This Row],[LastType]] = "Blk", ICE[[#This Row],[LstBlkPrc]], ""))</f>
        <v/>
      </c>
      <c r="S1443" s="36">
        <f>ICE[[#This Row],[Vol]]+ICE[[#This Row],[BlkVol]]</f>
        <v>0</v>
      </c>
      <c r="T1443" s="36">
        <f>RTD("ice.rtd",,$C1443 &amp; $D1443 &amp; ":" &amp; T$1)</f>
        <v>0</v>
      </c>
      <c r="U1443" s="18">
        <f>RTD("ice.rtd",,$C1443 &amp; $D1443 &amp; ":" &amp; U$1)</f>
        <v>0.8958299999999999</v>
      </c>
      <c r="V14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3" s="18" t="str">
        <f>IFERROR(IF(LEFT(ICE[[#This Row],[Tenor]], 1) = "B", RTD("esrtd",,$B1443 &amp; " " &amp; ICE[[#This Row],[Tenor]] &amp; "-IEU", W$1), RTD("esrtd",,$B1443 &amp; " " &amp; VLOOKUP(MONTH(ICE[[#This Row],[Strip]]), MthRef[], 2, 0) &amp; RIGHT(YEAR(ICE[[#This Row],[Strip]]), 2) &amp; "-IEU", W$1)), "")</f>
        <v/>
      </c>
      <c r="X1443" s="36"/>
    </row>
    <row r="1444" spans="1:24" x14ac:dyDescent="0.25">
      <c r="A1444" s="37" t="s">
        <v>376</v>
      </c>
      <c r="B1444" s="88" t="str">
        <f>RTD("ice.rtd",,$C1444 &amp; $D1444 &amp; ":" &amp; B$1)</f>
        <v>NBI</v>
      </c>
      <c r="C1444" s="3">
        <v>16331513</v>
      </c>
      <c r="D1444" t="s">
        <v>818</v>
      </c>
      <c r="E1444" s="3" t="str">
        <f>RTD("ice.rtd",,$C1444 &amp; $D1444 &amp; ":" &amp; E$1)</f>
        <v>Q4 27</v>
      </c>
      <c r="F1444" s="3" t="str">
        <f>ICE[[#This Row],[Prod]]&amp;ICE[[#This Row],[Strip]]</f>
        <v>c4ntetQ4 27</v>
      </c>
      <c r="G1444" s="18" t="str">
        <f>RTD("ice.rtd",,$C1444 &amp; $D1444 &amp; ":" &amp; G$1)</f>
        <v/>
      </c>
      <c r="H1444" s="18" t="str">
        <f>RTD("ice.rtd",,$C1444 &amp; $D1444 &amp; ":" &amp; H$1)</f>
        <v/>
      </c>
      <c r="I1444" s="18" t="str">
        <f>RTD("ice.rtd",,$C1444 &amp; $D1444 &amp; ":" &amp; I$1)</f>
        <v/>
      </c>
      <c r="J1444" s="14" t="str">
        <f>IFERROR(MOD(RTD("ice.rtd",,$C1444 &amp; $D1444 &amp; ":" &amp; J$1), 1), "")</f>
        <v/>
      </c>
      <c r="K1444" s="18" t="str">
        <f>RTD("ice.rtd",,$C1444 &amp; $D1444 &amp; ":" &amp; K$1)</f>
        <v/>
      </c>
      <c r="L1444" s="36" t="str">
        <f>RTD("ice.rtd",,$C1444 &amp; $D1444 &amp; ":" &amp; L$1)</f>
        <v/>
      </c>
      <c r="M1444" s="14" t="str">
        <f>IFERROR(MOD(TIMEVALUE(RTD("ice.rtd",,$C1444 &amp; $D1444 &amp; ":" &amp; M$1)), 1), "")</f>
        <v/>
      </c>
      <c r="N1444" s="36">
        <f>RTD("ice.rtd",,$C1444 &amp; $D1444 &amp; ":" &amp; N$1)</f>
        <v>0</v>
      </c>
      <c r="O1444" s="36">
        <f>RTD("ice.rtd",,$C1444 &amp; $D1444 &amp; ":" &amp; O$1)</f>
        <v>0</v>
      </c>
      <c r="P14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4" s="14" t="str">
        <f>IF(ICE[[#This Row],[LastType]] = "Scrn", ICE[[#This Row],[LstDate]], IF(ICE[[#This Row],[LastType]] = "Blk", ICE[[#This Row],[LstBlkTime]], ""))</f>
        <v/>
      </c>
      <c r="R1444" s="41" t="str">
        <f>IF(ICE[[#This Row],[LastType]] = "Scrn", ICE[[#This Row],[LstPrc]], IF(ICE[[#This Row],[LastType]] = "Blk", ICE[[#This Row],[LstBlkPrc]], ""))</f>
        <v/>
      </c>
      <c r="S1444" s="36">
        <f>ICE[[#This Row],[Vol]]+ICE[[#This Row],[BlkVol]]</f>
        <v>0</v>
      </c>
      <c r="T1444" s="36">
        <f>RTD("ice.rtd",,$C1444 &amp; $D1444 &amp; ":" &amp; T$1)</f>
        <v>0</v>
      </c>
      <c r="U1444" s="18">
        <f>RTD("ice.rtd",,$C1444 &amp; $D1444 &amp; ":" &amp; U$1)</f>
        <v>0.91</v>
      </c>
      <c r="V14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4" s="18" t="str">
        <f>IFERROR(IF(LEFT(ICE[[#This Row],[Tenor]], 1) = "B", RTD("esrtd",,$B1444 &amp; " " &amp; ICE[[#This Row],[Tenor]] &amp; "-IEU", W$1), RTD("esrtd",,$B1444 &amp; " " &amp; VLOOKUP(MONTH(ICE[[#This Row],[Strip]]), MthRef[], 2, 0) &amp; RIGHT(YEAR(ICE[[#This Row],[Strip]]), 2) &amp; "-IEU", W$1)), "")</f>
        <v/>
      </c>
      <c r="X1444" s="36"/>
    </row>
    <row r="1445" spans="1:24" x14ac:dyDescent="0.25">
      <c r="A1445" s="37" t="s">
        <v>376</v>
      </c>
      <c r="B1445" s="88" t="str">
        <f>RTD("ice.rtd",,$C1445 &amp; $D1445 &amp; ":" &amp; B$1)</f>
        <v>NBI</v>
      </c>
      <c r="C1445" s="3">
        <v>16331513</v>
      </c>
      <c r="D1445" t="s">
        <v>819</v>
      </c>
      <c r="E1445" s="3" t="str">
        <f>RTD("ice.rtd",,$C1445 &amp; $D1445 &amp; ":" &amp; E$1)</f>
        <v>Q1 28</v>
      </c>
      <c r="F1445" s="3" t="str">
        <f>ICE[[#This Row],[Prod]]&amp;ICE[[#This Row],[Strip]]</f>
        <v>c4ntetQ1 28</v>
      </c>
      <c r="G1445" s="18" t="str">
        <f>RTD("ice.rtd",,$C1445 &amp; $D1445 &amp; ":" &amp; G$1)</f>
        <v/>
      </c>
      <c r="H1445" s="18" t="str">
        <f>RTD("ice.rtd",,$C1445 &amp; $D1445 &amp; ":" &amp; H$1)</f>
        <v/>
      </c>
      <c r="I1445" s="18" t="str">
        <f>RTD("ice.rtd",,$C1445 &amp; $D1445 &amp; ":" &amp; I$1)</f>
        <v/>
      </c>
      <c r="J1445" s="14" t="str">
        <f>IFERROR(MOD(RTD("ice.rtd",,$C1445 &amp; $D1445 &amp; ":" &amp; J$1), 1), "")</f>
        <v/>
      </c>
      <c r="K1445" s="18" t="str">
        <f>RTD("ice.rtd",,$C1445 &amp; $D1445 &amp; ":" &amp; K$1)</f>
        <v/>
      </c>
      <c r="L1445" s="36" t="str">
        <f>RTD("ice.rtd",,$C1445 &amp; $D1445 &amp; ":" &amp; L$1)</f>
        <v/>
      </c>
      <c r="M1445" s="14" t="str">
        <f>IFERROR(MOD(TIMEVALUE(RTD("ice.rtd",,$C1445 &amp; $D1445 &amp; ":" &amp; M$1)), 1), "")</f>
        <v/>
      </c>
      <c r="N1445" s="36">
        <f>RTD("ice.rtd",,$C1445 &amp; $D1445 &amp; ":" &amp; N$1)</f>
        <v>0</v>
      </c>
      <c r="O1445" s="36">
        <f>RTD("ice.rtd",,$C1445 &amp; $D1445 &amp; ":" &amp; O$1)</f>
        <v>0</v>
      </c>
      <c r="P14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5" s="14" t="str">
        <f>IF(ICE[[#This Row],[LastType]] = "Scrn", ICE[[#This Row],[LstDate]], IF(ICE[[#This Row],[LastType]] = "Blk", ICE[[#This Row],[LstBlkTime]], ""))</f>
        <v/>
      </c>
      <c r="R1445" s="41" t="str">
        <f>IF(ICE[[#This Row],[LastType]] = "Scrn", ICE[[#This Row],[LstPrc]], IF(ICE[[#This Row],[LastType]] = "Blk", ICE[[#This Row],[LstBlkPrc]], ""))</f>
        <v/>
      </c>
      <c r="S1445" s="36">
        <f>ICE[[#This Row],[Vol]]+ICE[[#This Row],[BlkVol]]</f>
        <v>0</v>
      </c>
      <c r="T1445" s="36">
        <f>RTD("ice.rtd",,$C1445 &amp; $D1445 &amp; ":" &amp; T$1)</f>
        <v>0</v>
      </c>
      <c r="U1445" s="18">
        <f>RTD("ice.rtd",,$C1445 &amp; $D1445 &amp; ":" &amp; U$1)</f>
        <v>0.89332999999999996</v>
      </c>
      <c r="V14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5" s="18" t="str">
        <f>IFERROR(IF(LEFT(ICE[[#This Row],[Tenor]], 1) = "B", RTD("esrtd",,$B1445 &amp; " " &amp; ICE[[#This Row],[Tenor]] &amp; "-IEU", W$1), RTD("esrtd",,$B1445 &amp; " " &amp; VLOOKUP(MONTH(ICE[[#This Row],[Strip]]), MthRef[], 2, 0) &amp; RIGHT(YEAR(ICE[[#This Row],[Strip]]), 2) &amp; "-IEU", W$1)), "")</f>
        <v/>
      </c>
      <c r="X1445" s="36"/>
    </row>
    <row r="1446" spans="1:24" x14ac:dyDescent="0.25">
      <c r="A1446" s="37" t="s">
        <v>376</v>
      </c>
      <c r="B1446" s="88" t="str">
        <f>RTD("ice.rtd",,$C1446 &amp; $D1446 &amp; ":" &amp; B$1)</f>
        <v>NBI</v>
      </c>
      <c r="C1446" s="3">
        <v>16331513</v>
      </c>
      <c r="D1446" t="s">
        <v>229</v>
      </c>
      <c r="E1446" s="3" t="str">
        <f>RTD("ice.rtd",,$C1446 &amp; $D1446 &amp; ":" &amp; E$1)</f>
        <v>Q2 28</v>
      </c>
      <c r="F1446" s="3" t="str">
        <f>ICE[[#This Row],[Prod]]&amp;ICE[[#This Row],[Strip]]</f>
        <v>c4ntetQ2 28</v>
      </c>
      <c r="G1446" s="18" t="str">
        <f>RTD("ice.rtd",,$C1446 &amp; $D1446 &amp; ":" &amp; G$1)</f>
        <v/>
      </c>
      <c r="H1446" s="18" t="str">
        <f>RTD("ice.rtd",,$C1446 &amp; $D1446 &amp; ":" &amp; H$1)</f>
        <v/>
      </c>
      <c r="I1446" s="18" t="str">
        <f>RTD("ice.rtd",,$C1446 &amp; $D1446 &amp; ":" &amp; I$1)</f>
        <v/>
      </c>
      <c r="J1446" s="14" t="str">
        <f>IFERROR(MOD(RTD("ice.rtd",,$C1446 &amp; $D1446 &amp; ":" &amp; J$1), 1), "")</f>
        <v/>
      </c>
      <c r="K1446" s="18" t="str">
        <f>RTD("ice.rtd",,$C1446 &amp; $D1446 &amp; ":" &amp; K$1)</f>
        <v/>
      </c>
      <c r="L1446" s="36" t="str">
        <f>RTD("ice.rtd",,$C1446 &amp; $D1446 &amp; ":" &amp; L$1)</f>
        <v/>
      </c>
      <c r="M1446" s="14" t="str">
        <f>IFERROR(MOD(TIMEVALUE(RTD("ice.rtd",,$C1446 &amp; $D1446 &amp; ":" &amp; M$1)), 1), "")</f>
        <v/>
      </c>
      <c r="N1446" s="36">
        <f>RTD("ice.rtd",,$C1446 &amp; $D1446 &amp; ":" &amp; N$1)</f>
        <v>0</v>
      </c>
      <c r="O1446" s="36">
        <f>RTD("ice.rtd",,$C1446 &amp; $D1446 &amp; ":" &amp; O$1)</f>
        <v>0</v>
      </c>
      <c r="P14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6" s="14" t="str">
        <f>IF(ICE[[#This Row],[LastType]] = "Scrn", ICE[[#This Row],[LstDate]], IF(ICE[[#This Row],[LastType]] = "Blk", ICE[[#This Row],[LstBlkTime]], ""))</f>
        <v/>
      </c>
      <c r="R1446" s="41" t="str">
        <f>IF(ICE[[#This Row],[LastType]] = "Scrn", ICE[[#This Row],[LstPrc]], IF(ICE[[#This Row],[LastType]] = "Blk", ICE[[#This Row],[LstBlkPrc]], ""))</f>
        <v/>
      </c>
      <c r="S1446" s="36">
        <f>ICE[[#This Row],[Vol]]+ICE[[#This Row],[BlkVol]]</f>
        <v>0</v>
      </c>
      <c r="T1446" s="36">
        <f>RTD("ice.rtd",,$C1446 &amp; $D1446 &amp; ":" &amp; T$1)</f>
        <v>0</v>
      </c>
      <c r="U1446" s="18">
        <f>RTD("ice.rtd",,$C1446 &amp; $D1446 &amp; ":" &amp; U$1)</f>
        <v>0.82750000000000001</v>
      </c>
      <c r="V14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6" s="18" t="str">
        <f>IFERROR(IF(LEFT(ICE[[#This Row],[Tenor]], 1) = "B", RTD("esrtd",,$B1446 &amp; " " &amp; ICE[[#This Row],[Tenor]] &amp; "-IEU", W$1), RTD("esrtd",,$B1446 &amp; " " &amp; VLOOKUP(MONTH(ICE[[#This Row],[Strip]]), MthRef[], 2, 0) &amp; RIGHT(YEAR(ICE[[#This Row],[Strip]]), 2) &amp; "-IEU", W$1)), "")</f>
        <v/>
      </c>
      <c r="X1446" s="36"/>
    </row>
    <row r="1447" spans="1:24" x14ac:dyDescent="0.25">
      <c r="A1447" s="37" t="s">
        <v>376</v>
      </c>
      <c r="B1447" s="88" t="str">
        <f>RTD("ice.rtd",,$C1447 &amp; $D1447 &amp; ":" &amp; B$1)</f>
        <v>NBI</v>
      </c>
      <c r="C1447" s="3">
        <v>16331513</v>
      </c>
      <c r="D1447" t="s">
        <v>820</v>
      </c>
      <c r="E1447" s="3" t="str">
        <f>RTD("ice.rtd",,$C1447 &amp; $D1447 &amp; ":" &amp; E$1)</f>
        <v>Q3 28</v>
      </c>
      <c r="F1447" s="3" t="str">
        <f>ICE[[#This Row],[Prod]]&amp;ICE[[#This Row],[Strip]]</f>
        <v>c4ntetQ3 28</v>
      </c>
      <c r="G1447" s="18" t="str">
        <f>RTD("ice.rtd",,$C1447 &amp; $D1447 &amp; ":" &amp; G$1)</f>
        <v/>
      </c>
      <c r="H1447" s="18" t="str">
        <f>RTD("ice.rtd",,$C1447 &amp; $D1447 &amp; ":" &amp; H$1)</f>
        <v/>
      </c>
      <c r="I1447" s="18" t="str">
        <f>RTD("ice.rtd",,$C1447 &amp; $D1447 &amp; ":" &amp; I$1)</f>
        <v/>
      </c>
      <c r="J1447" s="14" t="str">
        <f>IFERROR(MOD(RTD("ice.rtd",,$C1447 &amp; $D1447 &amp; ":" &amp; J$1), 1), "")</f>
        <v/>
      </c>
      <c r="K1447" s="18" t="str">
        <f>RTD("ice.rtd",,$C1447 &amp; $D1447 &amp; ":" &amp; K$1)</f>
        <v/>
      </c>
      <c r="L1447" s="36" t="str">
        <f>RTD("ice.rtd",,$C1447 &amp; $D1447 &amp; ":" &amp; L$1)</f>
        <v/>
      </c>
      <c r="M1447" s="14" t="str">
        <f>IFERROR(MOD(TIMEVALUE(RTD("ice.rtd",,$C1447 &amp; $D1447 &amp; ":" &amp; M$1)), 1), "")</f>
        <v/>
      </c>
      <c r="N1447" s="36">
        <f>RTD("ice.rtd",,$C1447 &amp; $D1447 &amp; ":" &amp; N$1)</f>
        <v>0</v>
      </c>
      <c r="O1447" s="36">
        <f>RTD("ice.rtd",,$C1447 &amp; $D1447 &amp; ":" &amp; O$1)</f>
        <v>0</v>
      </c>
      <c r="P14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7" s="14" t="str">
        <f>IF(ICE[[#This Row],[LastType]] = "Scrn", ICE[[#This Row],[LstDate]], IF(ICE[[#This Row],[LastType]] = "Blk", ICE[[#This Row],[LstBlkTime]], ""))</f>
        <v/>
      </c>
      <c r="R1447" s="41" t="str">
        <f>IF(ICE[[#This Row],[LastType]] = "Scrn", ICE[[#This Row],[LstPrc]], IF(ICE[[#This Row],[LastType]] = "Blk", ICE[[#This Row],[LstBlkPrc]], ""))</f>
        <v/>
      </c>
      <c r="S1447" s="36">
        <f>ICE[[#This Row],[Vol]]+ICE[[#This Row],[BlkVol]]</f>
        <v>0</v>
      </c>
      <c r="T1447" s="36">
        <f>RTD("ice.rtd",,$C1447 &amp; $D1447 &amp; ":" &amp; T$1)</f>
        <v>0</v>
      </c>
      <c r="U1447" s="18">
        <f>RTD("ice.rtd",,$C1447 &amp; $D1447 &amp; ":" &amp; U$1)</f>
        <v>0.82500000000000007</v>
      </c>
      <c r="V14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7" s="18" t="str">
        <f>IFERROR(IF(LEFT(ICE[[#This Row],[Tenor]], 1) = "B", RTD("esrtd",,$B1447 &amp; " " &amp; ICE[[#This Row],[Tenor]] &amp; "-IEU", W$1), RTD("esrtd",,$B1447 &amp; " " &amp; VLOOKUP(MONTH(ICE[[#This Row],[Strip]]), MthRef[], 2, 0) &amp; RIGHT(YEAR(ICE[[#This Row],[Strip]]), 2) &amp; "-IEU", W$1)), "")</f>
        <v/>
      </c>
      <c r="X1447" s="36"/>
    </row>
    <row r="1448" spans="1:24" x14ac:dyDescent="0.25">
      <c r="A1448" s="37" t="s">
        <v>376</v>
      </c>
      <c r="B1448" s="88" t="str">
        <f>RTD("ice.rtd",,$C1448 &amp; $D1448 &amp; ":" &amp; B$1)</f>
        <v>NBI</v>
      </c>
      <c r="C1448" s="3">
        <v>16331513</v>
      </c>
      <c r="D1448" t="s">
        <v>821</v>
      </c>
      <c r="E1448" s="3" t="str">
        <f>RTD("ice.rtd",,$C1448 &amp; $D1448 &amp; ":" &amp; E$1)</f>
        <v>Q4 28</v>
      </c>
      <c r="F1448" s="3" t="str">
        <f>ICE[[#This Row],[Prod]]&amp;ICE[[#This Row],[Strip]]</f>
        <v>c4ntetQ4 28</v>
      </c>
      <c r="G1448" s="18" t="str">
        <f>RTD("ice.rtd",,$C1448 &amp; $D1448 &amp; ":" &amp; G$1)</f>
        <v/>
      </c>
      <c r="H1448" s="18" t="str">
        <f>RTD("ice.rtd",,$C1448 &amp; $D1448 &amp; ":" &amp; H$1)</f>
        <v/>
      </c>
      <c r="I1448" s="18" t="str">
        <f>RTD("ice.rtd",,$C1448 &amp; $D1448 &amp; ":" &amp; I$1)</f>
        <v/>
      </c>
      <c r="J1448" s="14" t="str">
        <f>IFERROR(MOD(RTD("ice.rtd",,$C1448 &amp; $D1448 &amp; ":" &amp; J$1), 1), "")</f>
        <v/>
      </c>
      <c r="K1448" s="18" t="str">
        <f>RTD("ice.rtd",,$C1448 &amp; $D1448 &amp; ":" &amp; K$1)</f>
        <v/>
      </c>
      <c r="L1448" s="36" t="str">
        <f>RTD("ice.rtd",,$C1448 &amp; $D1448 &amp; ":" &amp; L$1)</f>
        <v/>
      </c>
      <c r="M1448" s="14" t="str">
        <f>IFERROR(MOD(TIMEVALUE(RTD("ice.rtd",,$C1448 &amp; $D1448 &amp; ":" &amp; M$1)), 1), "")</f>
        <v/>
      </c>
      <c r="N1448" s="36">
        <f>RTD("ice.rtd",,$C1448 &amp; $D1448 &amp; ":" &amp; N$1)</f>
        <v>0</v>
      </c>
      <c r="O1448" s="36">
        <f>RTD("ice.rtd",,$C1448 &amp; $D1448 &amp; ":" &amp; O$1)</f>
        <v>0</v>
      </c>
      <c r="P14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8" s="14" t="str">
        <f>IF(ICE[[#This Row],[LastType]] = "Scrn", ICE[[#This Row],[LstDate]], IF(ICE[[#This Row],[LastType]] = "Blk", ICE[[#This Row],[LstBlkTime]], ""))</f>
        <v/>
      </c>
      <c r="R1448" s="41" t="str">
        <f>IF(ICE[[#This Row],[LastType]] = "Scrn", ICE[[#This Row],[LstPrc]], IF(ICE[[#This Row],[LastType]] = "Blk", ICE[[#This Row],[LstBlkPrc]], ""))</f>
        <v/>
      </c>
      <c r="S1448" s="36">
        <f>ICE[[#This Row],[Vol]]+ICE[[#This Row],[BlkVol]]</f>
        <v>0</v>
      </c>
      <c r="T1448" s="36">
        <f>RTD("ice.rtd",,$C1448 &amp; $D1448 &amp; ":" &amp; T$1)</f>
        <v>0</v>
      </c>
      <c r="U1448" s="18">
        <f>RTD("ice.rtd",,$C1448 &amp; $D1448 &amp; ":" &amp; U$1)</f>
        <v>0.84332999999999991</v>
      </c>
      <c r="V14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8" s="18" t="str">
        <f>IFERROR(IF(LEFT(ICE[[#This Row],[Tenor]], 1) = "B", RTD("esrtd",,$B1448 &amp; " " &amp; ICE[[#This Row],[Tenor]] &amp; "-IEU", W$1), RTD("esrtd",,$B1448 &amp; " " &amp; VLOOKUP(MONTH(ICE[[#This Row],[Strip]]), MthRef[], 2, 0) &amp; RIGHT(YEAR(ICE[[#This Row],[Strip]]), 2) &amp; "-IEU", W$1)), "")</f>
        <v/>
      </c>
      <c r="X1448" s="36"/>
    </row>
    <row r="1449" spans="1:24" x14ac:dyDescent="0.25">
      <c r="A1449" s="37" t="s">
        <v>376</v>
      </c>
      <c r="B1449" s="88" t="str">
        <f>RTD("ice.rtd",,$C1449 &amp; $D1449 &amp; ":" &amp; B$1)</f>
        <v>NBI</v>
      </c>
      <c r="C1449" s="3">
        <v>16331513</v>
      </c>
      <c r="D1449" t="s">
        <v>822</v>
      </c>
      <c r="E1449" s="3" t="str">
        <f>RTD("ice.rtd",,$C1449 &amp; $D1449 &amp; ":" &amp; E$1)</f>
        <v>Cal 27</v>
      </c>
      <c r="F1449" s="3" t="str">
        <f>ICE[[#This Row],[Prod]]&amp;ICE[[#This Row],[Strip]]</f>
        <v>c4ntetCal 27</v>
      </c>
      <c r="G1449" s="18" t="str">
        <f>RTD("ice.rtd",,$C1449 &amp; $D1449 &amp; ":" &amp; G$1)</f>
        <v/>
      </c>
      <c r="H1449" s="18" t="str">
        <f>RTD("ice.rtd",,$C1449 &amp; $D1449 &amp; ":" &amp; H$1)</f>
        <v/>
      </c>
      <c r="I1449" s="18" t="str">
        <f>RTD("ice.rtd",,$C1449 &amp; $D1449 &amp; ":" &amp; I$1)</f>
        <v/>
      </c>
      <c r="J1449" s="14" t="str">
        <f>IFERROR(MOD(RTD("ice.rtd",,$C1449 &amp; $D1449 &amp; ":" &amp; J$1), 1), "")</f>
        <v/>
      </c>
      <c r="K1449" s="18" t="str">
        <f>RTD("ice.rtd",,$C1449 &amp; $D1449 &amp; ":" &amp; K$1)</f>
        <v/>
      </c>
      <c r="L1449" s="36" t="str">
        <f>RTD("ice.rtd",,$C1449 &amp; $D1449 &amp; ":" &amp; L$1)</f>
        <v/>
      </c>
      <c r="M1449" s="14" t="str">
        <f>IFERROR(MOD(TIMEVALUE(RTD("ice.rtd",,$C1449 &amp; $D1449 &amp; ":" &amp; M$1)), 1), "")</f>
        <v/>
      </c>
      <c r="N1449" s="36">
        <f>RTD("ice.rtd",,$C1449 &amp; $D1449 &amp; ":" &amp; N$1)</f>
        <v>0</v>
      </c>
      <c r="O1449" s="36">
        <f>RTD("ice.rtd",,$C1449 &amp; $D1449 &amp; ":" &amp; O$1)</f>
        <v>0</v>
      </c>
      <c r="P14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49" s="14" t="str">
        <f>IF(ICE[[#This Row],[LastType]] = "Scrn", ICE[[#This Row],[LstDate]], IF(ICE[[#This Row],[LastType]] = "Blk", ICE[[#This Row],[LstBlkTime]], ""))</f>
        <v/>
      </c>
      <c r="R1449" s="41" t="str">
        <f>IF(ICE[[#This Row],[LastType]] = "Scrn", ICE[[#This Row],[LstPrc]], IF(ICE[[#This Row],[LastType]] = "Blk", ICE[[#This Row],[LstBlkPrc]], ""))</f>
        <v/>
      </c>
      <c r="S1449" s="36">
        <f>ICE[[#This Row],[Vol]]+ICE[[#This Row],[BlkVol]]</f>
        <v>0</v>
      </c>
      <c r="T1449" s="36">
        <f>RTD("ice.rtd",,$C1449 &amp; $D1449 &amp; ":" &amp; T$1)</f>
        <v>0</v>
      </c>
      <c r="U1449" s="18">
        <f>RTD("ice.rtd",,$C1449 &amp; $D1449 &amp; ":" &amp; U$1)</f>
        <v>0.94457999999999998</v>
      </c>
      <c r="V14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49" s="18" t="str">
        <f>IFERROR(IF(LEFT(ICE[[#This Row],[Tenor]], 1) = "B", RTD("esrtd",,$B1449 &amp; " " &amp; ICE[[#This Row],[Tenor]] &amp; "-IEU", W$1), RTD("esrtd",,$B1449 &amp; " " &amp; VLOOKUP(MONTH(ICE[[#This Row],[Strip]]), MthRef[], 2, 0) &amp; RIGHT(YEAR(ICE[[#This Row],[Strip]]), 2) &amp; "-IEU", W$1)), "")</f>
        <v/>
      </c>
      <c r="X1449" s="36"/>
    </row>
    <row r="1450" spans="1:24" x14ac:dyDescent="0.25">
      <c r="A1450" s="37" t="s">
        <v>376</v>
      </c>
      <c r="B1450" s="88" t="str">
        <f>RTD("ice.rtd",,$C1450 &amp; $D1450 &amp; ":" &amp; B$1)</f>
        <v>NBI</v>
      </c>
      <c r="C1450" s="3">
        <v>16331513</v>
      </c>
      <c r="D1450" t="s">
        <v>823</v>
      </c>
      <c r="E1450" s="3" t="str">
        <f>RTD("ice.rtd",,$C1450 &amp; $D1450 &amp; ":" &amp; E$1)</f>
        <v>Cal 28</v>
      </c>
      <c r="F1450" s="3" t="str">
        <f>ICE[[#This Row],[Prod]]&amp;ICE[[#This Row],[Strip]]</f>
        <v>c4ntetCal 28</v>
      </c>
      <c r="G1450" s="18" t="str">
        <f>RTD("ice.rtd",,$C1450 &amp; $D1450 &amp; ":" &amp; G$1)</f>
        <v/>
      </c>
      <c r="H1450" s="18" t="str">
        <f>RTD("ice.rtd",,$C1450 &amp; $D1450 &amp; ":" &amp; H$1)</f>
        <v/>
      </c>
      <c r="I1450" s="18" t="str">
        <f>RTD("ice.rtd",,$C1450 &amp; $D1450 &amp; ":" &amp; I$1)</f>
        <v/>
      </c>
      <c r="J1450" s="14" t="str">
        <f>IFERROR(MOD(RTD("ice.rtd",,$C1450 &amp; $D1450 &amp; ":" &amp; J$1), 1), "")</f>
        <v/>
      </c>
      <c r="K1450" s="18" t="str">
        <f>RTD("ice.rtd",,$C1450 &amp; $D1450 &amp; ":" &amp; K$1)</f>
        <v/>
      </c>
      <c r="L1450" s="36" t="str">
        <f>RTD("ice.rtd",,$C1450 &amp; $D1450 &amp; ":" &amp; L$1)</f>
        <v/>
      </c>
      <c r="M1450" s="14" t="str">
        <f>IFERROR(MOD(TIMEVALUE(RTD("ice.rtd",,$C1450 &amp; $D1450 &amp; ":" &amp; M$1)), 1), "")</f>
        <v/>
      </c>
      <c r="N1450" s="36">
        <f>RTD("ice.rtd",,$C1450 &amp; $D1450 &amp; ":" &amp; N$1)</f>
        <v>0</v>
      </c>
      <c r="O1450" s="36">
        <f>RTD("ice.rtd",,$C1450 &amp; $D1450 &amp; ":" &amp; O$1)</f>
        <v>0</v>
      </c>
      <c r="P14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0" s="14" t="str">
        <f>IF(ICE[[#This Row],[LastType]] = "Scrn", ICE[[#This Row],[LstDate]], IF(ICE[[#This Row],[LastType]] = "Blk", ICE[[#This Row],[LstBlkTime]], ""))</f>
        <v/>
      </c>
      <c r="R1450" s="41" t="str">
        <f>IF(ICE[[#This Row],[LastType]] = "Scrn", ICE[[#This Row],[LstPrc]], IF(ICE[[#This Row],[LastType]] = "Blk", ICE[[#This Row],[LstBlkPrc]], ""))</f>
        <v/>
      </c>
      <c r="S1450" s="36">
        <f>ICE[[#This Row],[Vol]]+ICE[[#This Row],[BlkVol]]</f>
        <v>0</v>
      </c>
      <c r="T1450" s="36">
        <f>RTD("ice.rtd",,$C1450 &amp; $D1450 &amp; ":" &amp; T$1)</f>
        <v>0</v>
      </c>
      <c r="U1450" s="18">
        <f>RTD("ice.rtd",,$C1450 &amp; $D1450 &amp; ":" &amp; U$1)</f>
        <v>0.84728999999999999</v>
      </c>
      <c r="V14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0" s="18" t="str">
        <f>IFERROR(IF(LEFT(ICE[[#This Row],[Tenor]], 1) = "B", RTD("esrtd",,$B1450 &amp; " " &amp; ICE[[#This Row],[Tenor]] &amp; "-IEU", W$1), RTD("esrtd",,$B1450 &amp; " " &amp; VLOOKUP(MONTH(ICE[[#This Row],[Strip]]), MthRef[], 2, 0) &amp; RIGHT(YEAR(ICE[[#This Row],[Strip]]), 2) &amp; "-IEU", W$1)), "")</f>
        <v/>
      </c>
      <c r="X1450" s="36"/>
    </row>
    <row r="1451" spans="1:24" x14ac:dyDescent="0.25">
      <c r="A1451" s="37" t="s">
        <v>376</v>
      </c>
      <c r="B1451" s="88" t="str">
        <f>RTD("ice.rtd",,$C1451 &amp; $D1451 &amp; ":" &amp; B$1)</f>
        <v>NBI</v>
      </c>
      <c r="C1451" s="3">
        <v>16331513</v>
      </c>
      <c r="D1451" t="s">
        <v>824</v>
      </c>
      <c r="E1451" s="3" t="str">
        <f>RTD("ice.rtd",,$C1451 &amp; $D1451 &amp; ":" &amp; E$1)</f>
        <v>Cal 29</v>
      </c>
      <c r="F1451" s="3" t="str">
        <f>ICE[[#This Row],[Prod]]&amp;ICE[[#This Row],[Strip]]</f>
        <v>c4ntetCal 29</v>
      </c>
      <c r="G1451" s="18" t="str">
        <f>RTD("ice.rtd",,$C1451 &amp; $D1451 &amp; ":" &amp; G$1)</f>
        <v/>
      </c>
      <c r="H1451" s="18" t="str">
        <f>RTD("ice.rtd",,$C1451 &amp; $D1451 &amp; ":" &amp; H$1)</f>
        <v/>
      </c>
      <c r="I1451" s="18" t="str">
        <f>RTD("ice.rtd",,$C1451 &amp; $D1451 &amp; ":" &amp; I$1)</f>
        <v/>
      </c>
      <c r="J1451" s="14" t="str">
        <f>IFERROR(MOD(RTD("ice.rtd",,$C1451 &amp; $D1451 &amp; ":" &amp; J$1), 1), "")</f>
        <v/>
      </c>
      <c r="K1451" s="18" t="str">
        <f>RTD("ice.rtd",,$C1451 &amp; $D1451 &amp; ":" &amp; K$1)</f>
        <v/>
      </c>
      <c r="L1451" s="36" t="str">
        <f>RTD("ice.rtd",,$C1451 &amp; $D1451 &amp; ":" &amp; L$1)</f>
        <v/>
      </c>
      <c r="M1451" s="14" t="str">
        <f>IFERROR(MOD(TIMEVALUE(RTD("ice.rtd",,$C1451 &amp; $D1451 &amp; ":" &amp; M$1)), 1), "")</f>
        <v/>
      </c>
      <c r="N1451" s="36">
        <f>RTD("ice.rtd",,$C1451 &amp; $D1451 &amp; ":" &amp; N$1)</f>
        <v>0</v>
      </c>
      <c r="O1451" s="36">
        <f>RTD("ice.rtd",,$C1451 &amp; $D1451 &amp; ":" &amp; O$1)</f>
        <v>0</v>
      </c>
      <c r="P14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1" s="14" t="str">
        <f>IF(ICE[[#This Row],[LastType]] = "Scrn", ICE[[#This Row],[LstDate]], IF(ICE[[#This Row],[LastType]] = "Blk", ICE[[#This Row],[LstBlkTime]], ""))</f>
        <v/>
      </c>
      <c r="R1451" s="41" t="str">
        <f>IF(ICE[[#This Row],[LastType]] = "Scrn", ICE[[#This Row],[LstPrc]], IF(ICE[[#This Row],[LastType]] = "Blk", ICE[[#This Row],[LstBlkPrc]], ""))</f>
        <v/>
      </c>
      <c r="S1451" s="36">
        <f>ICE[[#This Row],[Vol]]+ICE[[#This Row],[BlkVol]]</f>
        <v>0</v>
      </c>
      <c r="T1451" s="36">
        <f>RTD("ice.rtd",,$C1451 &amp; $D1451 &amp; ":" &amp; T$1)</f>
        <v>0</v>
      </c>
      <c r="U1451" s="18">
        <f>RTD("ice.rtd",,$C1451 &amp; $D1451 &amp; ":" &amp; U$1)</f>
        <v>0.80103999999999997</v>
      </c>
      <c r="V14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1" s="18" t="str">
        <f>IFERROR(IF(LEFT(ICE[[#This Row],[Tenor]], 1) = "B", RTD("esrtd",,$B1451 &amp; " " &amp; ICE[[#This Row],[Tenor]] &amp; "-IEU", W$1), RTD("esrtd",,$B1451 &amp; " " &amp; VLOOKUP(MONTH(ICE[[#This Row],[Strip]]), MthRef[], 2, 0) &amp; RIGHT(YEAR(ICE[[#This Row],[Strip]]), 2) &amp; "-IEU", W$1)), "")</f>
        <v/>
      </c>
      <c r="X1451" s="36"/>
    </row>
    <row r="1452" spans="1:24" x14ac:dyDescent="0.25">
      <c r="A1452" s="37" t="s">
        <v>377</v>
      </c>
      <c r="B1452" s="88" t="str">
        <f>RTD("ice.rtd",,$C1452 &amp; $D1452 &amp; ":" &amp; B$1)</f>
        <v>ISP</v>
      </c>
      <c r="C1452" s="3">
        <v>2181524588</v>
      </c>
      <c r="D1452" t="s">
        <v>792</v>
      </c>
      <c r="E1452" s="3" t="str">
        <f>RTD("ice.rtd",,$C1452 &amp; $D1452 &amp; ":" &amp; E$1)</f>
        <v>Bal Month</v>
      </c>
      <c r="F1452" s="3" t="str">
        <f>ICE[[#This Row],[Prod]]&amp;ICE[[#This Row],[Strip]]</f>
        <v>ic4ntetBal Month</v>
      </c>
      <c r="G1452" s="18" t="str">
        <f>RTD("ice.rtd",,$C1452 &amp; $D1452 &amp; ":" &amp; G$1)</f>
        <v/>
      </c>
      <c r="H1452" s="18" t="str">
        <f>RTD("ice.rtd",,$C1452 &amp; $D1452 &amp; ":" &amp; H$1)</f>
        <v/>
      </c>
      <c r="I1452" s="18" t="str">
        <f>RTD("ice.rtd",,$C1452 &amp; $D1452 &amp; ":" &amp; I$1)</f>
        <v/>
      </c>
      <c r="J1452" s="14" t="str">
        <f>IFERROR(MOD(RTD("ice.rtd",,$C1452 &amp; $D1452 &amp; ":" &amp; J$1), 1), "")</f>
        <v/>
      </c>
      <c r="K1452" s="18" t="str">
        <f>RTD("ice.rtd",,$C1452 &amp; $D1452 &amp; ":" &amp; K$1)</f>
        <v/>
      </c>
      <c r="L1452" s="36" t="str">
        <f>RTD("ice.rtd",,$C1452 &amp; $D1452 &amp; ":" &amp; L$1)</f>
        <v/>
      </c>
      <c r="M1452" s="14" t="str">
        <f>IFERROR(MOD(TIMEVALUE(RTD("ice.rtd",,$C1452 &amp; $D1452 &amp; ":" &amp; M$1)), 1), "")</f>
        <v/>
      </c>
      <c r="N1452" s="36">
        <f>RTD("ice.rtd",,$C1452 &amp; $D1452 &amp; ":" &amp; N$1)</f>
        <v>0</v>
      </c>
      <c r="O1452" s="36">
        <f>RTD("ice.rtd",,$C1452 &amp; $D1452 &amp; ":" &amp; O$1)</f>
        <v>0</v>
      </c>
      <c r="P14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2" s="14" t="str">
        <f>IF(ICE[[#This Row],[LastType]] = "Scrn", ICE[[#This Row],[LstDate]], IF(ICE[[#This Row],[LastType]] = "Blk", ICE[[#This Row],[LstBlkTime]], ""))</f>
        <v/>
      </c>
      <c r="R1452" s="41" t="str">
        <f>IF(ICE[[#This Row],[LastType]] = "Scrn", ICE[[#This Row],[LstPrc]], IF(ICE[[#This Row],[LastType]] = "Blk", ICE[[#This Row],[LstBlkPrc]], ""))</f>
        <v/>
      </c>
      <c r="S1452" s="36">
        <f>ICE[[#This Row],[Vol]]+ICE[[#This Row],[BlkVol]]</f>
        <v>0</v>
      </c>
      <c r="T1452" s="36">
        <f>RTD("ice.rtd",,$C1452 &amp; $D1452 &amp; ":" &amp; T$1)</f>
        <v>0</v>
      </c>
      <c r="U1452" s="18">
        <f>RTD("ice.rtd",,$C1452 &amp; $D1452 &amp; ":" &amp; U$1)</f>
        <v>1.2225000000000001</v>
      </c>
      <c r="V14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2" s="18" t="str">
        <f>IFERROR(IF(LEFT(ICE[[#This Row],[Tenor]], 1) = "B", RTD("esrtd",,$B1452 &amp; " " &amp; ICE[[#This Row],[Tenor]] &amp; "-IEU", W$1), RTD("esrtd",,$B1452 &amp; " " &amp; VLOOKUP(MONTH(ICE[[#This Row],[Strip]]), MthRef[], 2, 0) &amp; RIGHT(YEAR(ICE[[#This Row],[Strip]]), 2) &amp; "-IEU", W$1)), "")</f>
        <v/>
      </c>
      <c r="X1452" s="36"/>
    </row>
    <row r="1453" spans="1:24" x14ac:dyDescent="0.25">
      <c r="A1453" s="37" t="s">
        <v>377</v>
      </c>
      <c r="B1453" s="88" t="str">
        <f>RTD("ice.rtd",,$C1453 &amp; $D1453 &amp; ":" &amp; B$1)</f>
        <v>ISO</v>
      </c>
      <c r="C1453" s="3">
        <v>16341514</v>
      </c>
      <c r="D1453" t="s">
        <v>793</v>
      </c>
      <c r="E1453" s="3" t="str">
        <f>RTD("ice.rtd",,$C1453 &amp; $D1453 &amp; ":" &amp; E$1)</f>
        <v>Sep26</v>
      </c>
      <c r="F1453" s="3" t="str">
        <f>ICE[[#This Row],[Prod]]&amp;ICE[[#This Row],[Strip]]</f>
        <v>ic4ntetSep26</v>
      </c>
      <c r="G1453" s="18" t="str">
        <f>RTD("ice.rtd",,$C1453 &amp; $D1453 &amp; ":" &amp; G$1)</f>
        <v/>
      </c>
      <c r="H1453" s="18" t="str">
        <f>RTD("ice.rtd",,$C1453 &amp; $D1453 &amp; ":" &amp; H$1)</f>
        <v/>
      </c>
      <c r="I1453" s="18" t="str">
        <f>RTD("ice.rtd",,$C1453 &amp; $D1453 &amp; ":" &amp; I$1)</f>
        <v/>
      </c>
      <c r="J1453" s="14" t="str">
        <f>IFERROR(MOD(RTD("ice.rtd",,$C1453 &amp; $D1453 &amp; ":" &amp; J$1), 1), "")</f>
        <v/>
      </c>
      <c r="K1453" s="18" t="str">
        <f>RTD("ice.rtd",,$C1453 &amp; $D1453 &amp; ":" &amp; K$1)</f>
        <v/>
      </c>
      <c r="L1453" s="36" t="str">
        <f>RTD("ice.rtd",,$C1453 &amp; $D1453 &amp; ":" &amp; L$1)</f>
        <v/>
      </c>
      <c r="M1453" s="14" t="str">
        <f>IFERROR(MOD(TIMEVALUE(RTD("ice.rtd",,$C1453 &amp; $D1453 &amp; ":" &amp; M$1)), 1), "")</f>
        <v/>
      </c>
      <c r="N1453" s="36">
        <f>RTD("ice.rtd",,$C1453 &amp; $D1453 &amp; ":" &amp; N$1)</f>
        <v>0</v>
      </c>
      <c r="O1453" s="36">
        <f>RTD("ice.rtd",,$C1453 &amp; $D1453 &amp; ":" &amp; O$1)</f>
        <v>0</v>
      </c>
      <c r="P14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3" s="14" t="str">
        <f>IF(ICE[[#This Row],[LastType]] = "Scrn", ICE[[#This Row],[LstDate]], IF(ICE[[#This Row],[LastType]] = "Blk", ICE[[#This Row],[LstBlkTime]], ""))</f>
        <v/>
      </c>
      <c r="R1453" s="41" t="str">
        <f>IF(ICE[[#This Row],[LastType]] = "Scrn", ICE[[#This Row],[LstPrc]], IF(ICE[[#This Row],[LastType]] = "Blk", ICE[[#This Row],[LstBlkPrc]], ""))</f>
        <v/>
      </c>
      <c r="S1453" s="36">
        <f>ICE[[#This Row],[Vol]]+ICE[[#This Row],[BlkVol]]</f>
        <v>0</v>
      </c>
      <c r="T1453" s="36">
        <f>RTD("ice.rtd",,$C1453 &amp; $D1453 &amp; ":" &amp; T$1)</f>
        <v>1048</v>
      </c>
      <c r="U1453" s="18">
        <f>RTD("ice.rtd",,$C1453 &amp; $D1453 &amp; ":" &amp; U$1)</f>
        <v>1.2225000000000001</v>
      </c>
      <c r="V14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3" s="18" t="str">
        <f>IFERROR(IF(LEFT(ICE[[#This Row],[Tenor]], 1) = "B", RTD("esrtd",,$B1453 &amp; " " &amp; ICE[[#This Row],[Tenor]] &amp; "-IEU", W$1), RTD("esrtd",,$B1453 &amp; " " &amp; VLOOKUP(MONTH(ICE[[#This Row],[Strip]]), MthRef[], 2, 0) &amp; RIGHT(YEAR(ICE[[#This Row],[Strip]]), 2) &amp; "-IEU", W$1)), "")</f>
        <v/>
      </c>
      <c r="X1453" s="36"/>
    </row>
    <row r="1454" spans="1:24" x14ac:dyDescent="0.25">
      <c r="A1454" s="37" t="s">
        <v>377</v>
      </c>
      <c r="B1454" s="88" t="str">
        <f>RTD("ice.rtd",,$C1454 &amp; $D1454 &amp; ":" &amp; B$1)</f>
        <v>ISO</v>
      </c>
      <c r="C1454" s="3">
        <v>16341514</v>
      </c>
      <c r="D1454" t="s">
        <v>324</v>
      </c>
      <c r="E1454" s="3" t="str">
        <f>RTD("ice.rtd",,$C1454 &amp; $D1454 &amp; ":" &amp; E$1)</f>
        <v>Oct26</v>
      </c>
      <c r="F1454" s="3" t="str">
        <f>ICE[[#This Row],[Prod]]&amp;ICE[[#This Row],[Strip]]</f>
        <v>ic4ntetOct26</v>
      </c>
      <c r="G1454" s="18" t="str">
        <f>RTD("ice.rtd",,$C1454 &amp; $D1454 &amp; ":" &amp; G$1)</f>
        <v/>
      </c>
      <c r="H1454" s="18" t="str">
        <f>RTD("ice.rtd",,$C1454 &amp; $D1454 &amp; ":" &amp; H$1)</f>
        <v/>
      </c>
      <c r="I1454" s="18" t="str">
        <f>RTD("ice.rtd",,$C1454 &amp; $D1454 &amp; ":" &amp; I$1)</f>
        <v/>
      </c>
      <c r="J1454" s="14" t="str">
        <f>IFERROR(MOD(RTD("ice.rtd",,$C1454 &amp; $D1454 &amp; ":" &amp; J$1), 1), "")</f>
        <v/>
      </c>
      <c r="K1454" s="18" t="str">
        <f>RTD("ice.rtd",,$C1454 &amp; $D1454 &amp; ":" &amp; K$1)</f>
        <v/>
      </c>
      <c r="L1454" s="36" t="str">
        <f>RTD("ice.rtd",,$C1454 &amp; $D1454 &amp; ":" &amp; L$1)</f>
        <v/>
      </c>
      <c r="M1454" s="14" t="str">
        <f>IFERROR(MOD(TIMEVALUE(RTD("ice.rtd",,$C1454 &amp; $D1454 &amp; ":" &amp; M$1)), 1), "")</f>
        <v/>
      </c>
      <c r="N1454" s="36">
        <f>RTD("ice.rtd",,$C1454 &amp; $D1454 &amp; ":" &amp; N$1)</f>
        <v>0</v>
      </c>
      <c r="O1454" s="36">
        <f>RTD("ice.rtd",,$C1454 &amp; $D1454 &amp; ":" &amp; O$1)</f>
        <v>0</v>
      </c>
      <c r="P14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4" s="14" t="str">
        <f>IF(ICE[[#This Row],[LastType]] = "Scrn", ICE[[#This Row],[LstDate]], IF(ICE[[#This Row],[LastType]] = "Blk", ICE[[#This Row],[LstBlkTime]], ""))</f>
        <v/>
      </c>
      <c r="R1454" s="41" t="str">
        <f>IF(ICE[[#This Row],[LastType]] = "Scrn", ICE[[#This Row],[LstPrc]], IF(ICE[[#This Row],[LastType]] = "Blk", ICE[[#This Row],[LstBlkPrc]], ""))</f>
        <v/>
      </c>
      <c r="S1454" s="36">
        <f>ICE[[#This Row],[Vol]]+ICE[[#This Row],[BlkVol]]</f>
        <v>0</v>
      </c>
      <c r="T1454" s="36">
        <f>RTD("ice.rtd",,$C1454 &amp; $D1454 &amp; ":" &amp; T$1)</f>
        <v>593</v>
      </c>
      <c r="U1454" s="18">
        <f>RTD("ice.rtd",,$C1454 &amp; $D1454 &amp; ":" &amp; U$1)</f>
        <v>1.21</v>
      </c>
      <c r="V14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4" s="18" t="str">
        <f>IFERROR(IF(LEFT(ICE[[#This Row],[Tenor]], 1) = "B", RTD("esrtd",,$B1454 &amp; " " &amp; ICE[[#This Row],[Tenor]] &amp; "-IEU", W$1), RTD("esrtd",,$B1454 &amp; " " &amp; VLOOKUP(MONTH(ICE[[#This Row],[Strip]]), MthRef[], 2, 0) &amp; RIGHT(YEAR(ICE[[#This Row],[Strip]]), 2) &amp; "-IEU", W$1)), "")</f>
        <v/>
      </c>
      <c r="X1454" s="36"/>
    </row>
    <row r="1455" spans="1:24" x14ac:dyDescent="0.25">
      <c r="A1455" s="37" t="s">
        <v>377</v>
      </c>
      <c r="B1455" s="88" t="str">
        <f>RTD("ice.rtd",,$C1455 &amp; $D1455 &amp; ":" &amp; B$1)</f>
        <v>ISO</v>
      </c>
      <c r="C1455" s="3">
        <v>16341514</v>
      </c>
      <c r="D1455" t="s">
        <v>325</v>
      </c>
      <c r="E1455" s="3" t="str">
        <f>RTD("ice.rtd",,$C1455 &amp; $D1455 &amp; ":" &amp; E$1)</f>
        <v>Nov26</v>
      </c>
      <c r="F1455" s="3" t="str">
        <f>ICE[[#This Row],[Prod]]&amp;ICE[[#This Row],[Strip]]</f>
        <v>ic4ntetNov26</v>
      </c>
      <c r="G1455" s="18" t="str">
        <f>RTD("ice.rtd",,$C1455 &amp; $D1455 &amp; ":" &amp; G$1)</f>
        <v/>
      </c>
      <c r="H1455" s="18" t="str">
        <f>RTD("ice.rtd",,$C1455 &amp; $D1455 &amp; ":" &amp; H$1)</f>
        <v/>
      </c>
      <c r="I1455" s="18" t="str">
        <f>RTD("ice.rtd",,$C1455 &amp; $D1455 &amp; ":" &amp; I$1)</f>
        <v/>
      </c>
      <c r="J1455" s="14" t="str">
        <f>IFERROR(MOD(RTD("ice.rtd",,$C1455 &amp; $D1455 &amp; ":" &amp; J$1), 1), "")</f>
        <v/>
      </c>
      <c r="K1455" s="18" t="str">
        <f>RTD("ice.rtd",,$C1455 &amp; $D1455 &amp; ":" &amp; K$1)</f>
        <v/>
      </c>
      <c r="L1455" s="36" t="str">
        <f>RTD("ice.rtd",,$C1455 &amp; $D1455 &amp; ":" &amp; L$1)</f>
        <v/>
      </c>
      <c r="M1455" s="14" t="str">
        <f>IFERROR(MOD(TIMEVALUE(RTD("ice.rtd",,$C1455 &amp; $D1455 &amp; ":" &amp; M$1)), 1), "")</f>
        <v/>
      </c>
      <c r="N1455" s="36">
        <f>RTD("ice.rtd",,$C1455 &amp; $D1455 &amp; ":" &amp; N$1)</f>
        <v>0</v>
      </c>
      <c r="O1455" s="36">
        <f>RTD("ice.rtd",,$C1455 &amp; $D1455 &amp; ":" &amp; O$1)</f>
        <v>0</v>
      </c>
      <c r="P14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5" s="14" t="str">
        <f>IF(ICE[[#This Row],[LastType]] = "Scrn", ICE[[#This Row],[LstDate]], IF(ICE[[#This Row],[LastType]] = "Blk", ICE[[#This Row],[LstBlkTime]], ""))</f>
        <v/>
      </c>
      <c r="R1455" s="41" t="str">
        <f>IF(ICE[[#This Row],[LastType]] = "Scrn", ICE[[#This Row],[LstPrc]], IF(ICE[[#This Row],[LastType]] = "Blk", ICE[[#This Row],[LstBlkPrc]], ""))</f>
        <v/>
      </c>
      <c r="S1455" s="36">
        <f>ICE[[#This Row],[Vol]]+ICE[[#This Row],[BlkVol]]</f>
        <v>0</v>
      </c>
      <c r="T1455" s="36">
        <f>RTD("ice.rtd",,$C1455 &amp; $D1455 &amp; ":" &amp; T$1)</f>
        <v>593</v>
      </c>
      <c r="U1455" s="18">
        <f>RTD("ice.rtd",,$C1455 &amp; $D1455 &amp; ":" &amp; U$1)</f>
        <v>1.16875</v>
      </c>
      <c r="V14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5" s="18" t="str">
        <f>IFERROR(IF(LEFT(ICE[[#This Row],[Tenor]], 1) = "B", RTD("esrtd",,$B1455 &amp; " " &amp; ICE[[#This Row],[Tenor]] &amp; "-IEU", W$1), RTD("esrtd",,$B1455 &amp; " " &amp; VLOOKUP(MONTH(ICE[[#This Row],[Strip]]), MthRef[], 2, 0) &amp; RIGHT(YEAR(ICE[[#This Row],[Strip]]), 2) &amp; "-IEU", W$1)), "")</f>
        <v/>
      </c>
      <c r="X1455" s="36"/>
    </row>
    <row r="1456" spans="1:24" x14ac:dyDescent="0.25">
      <c r="A1456" s="37" t="s">
        <v>377</v>
      </c>
      <c r="B1456" s="88" t="str">
        <f>RTD("ice.rtd",,$C1456 &amp; $D1456 &amp; ":" &amp; B$1)</f>
        <v>ISO</v>
      </c>
      <c r="C1456" s="3">
        <v>16341514</v>
      </c>
      <c r="D1456" t="s">
        <v>326</v>
      </c>
      <c r="E1456" s="3" t="str">
        <f>RTD("ice.rtd",,$C1456 &amp; $D1456 &amp; ":" &amp; E$1)</f>
        <v>Dec26</v>
      </c>
      <c r="F1456" s="3" t="str">
        <f>ICE[[#This Row],[Prod]]&amp;ICE[[#This Row],[Strip]]</f>
        <v>ic4ntetDec26</v>
      </c>
      <c r="G1456" s="18" t="str">
        <f>RTD("ice.rtd",,$C1456 &amp; $D1456 &amp; ":" &amp; G$1)</f>
        <v/>
      </c>
      <c r="H1456" s="18" t="str">
        <f>RTD("ice.rtd",,$C1456 &amp; $D1456 &amp; ":" &amp; H$1)</f>
        <v/>
      </c>
      <c r="I1456" s="18" t="str">
        <f>RTD("ice.rtd",,$C1456 &amp; $D1456 &amp; ":" &amp; I$1)</f>
        <v/>
      </c>
      <c r="J1456" s="14" t="str">
        <f>IFERROR(MOD(RTD("ice.rtd",,$C1456 &amp; $D1456 &amp; ":" &amp; J$1), 1), "")</f>
        <v/>
      </c>
      <c r="K1456" s="18" t="str">
        <f>RTD("ice.rtd",,$C1456 &amp; $D1456 &amp; ":" &amp; K$1)</f>
        <v/>
      </c>
      <c r="L1456" s="36" t="str">
        <f>RTD("ice.rtd",,$C1456 &amp; $D1456 &amp; ":" &amp; L$1)</f>
        <v/>
      </c>
      <c r="M1456" s="14" t="str">
        <f>IFERROR(MOD(TIMEVALUE(RTD("ice.rtd",,$C1456 &amp; $D1456 &amp; ":" &amp; M$1)), 1), "")</f>
        <v/>
      </c>
      <c r="N1456" s="36">
        <f>RTD("ice.rtd",,$C1456 &amp; $D1456 &amp; ":" &amp; N$1)</f>
        <v>0</v>
      </c>
      <c r="O1456" s="36">
        <f>RTD("ice.rtd",,$C1456 &amp; $D1456 &amp; ":" &amp; O$1)</f>
        <v>0</v>
      </c>
      <c r="P14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6" s="14" t="str">
        <f>IF(ICE[[#This Row],[LastType]] = "Scrn", ICE[[#This Row],[LstDate]], IF(ICE[[#This Row],[LastType]] = "Blk", ICE[[#This Row],[LstBlkTime]], ""))</f>
        <v/>
      </c>
      <c r="R1456" s="41" t="str">
        <f>IF(ICE[[#This Row],[LastType]] = "Scrn", ICE[[#This Row],[LstPrc]], IF(ICE[[#This Row],[LastType]] = "Blk", ICE[[#This Row],[LstBlkPrc]], ""))</f>
        <v/>
      </c>
      <c r="S1456" s="36">
        <f>ICE[[#This Row],[Vol]]+ICE[[#This Row],[BlkVol]]</f>
        <v>0</v>
      </c>
      <c r="T1456" s="36">
        <f>RTD("ice.rtd",,$C1456 &amp; $D1456 &amp; ":" &amp; T$1)</f>
        <v>607</v>
      </c>
      <c r="U1456" s="18">
        <f>RTD("ice.rtd",,$C1456 &amp; $D1456 &amp; ":" &amp; U$1)</f>
        <v>1.1537500000000001</v>
      </c>
      <c r="V14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6" s="18" t="str">
        <f>IFERROR(IF(LEFT(ICE[[#This Row],[Tenor]], 1) = "B", RTD("esrtd",,$B1456 &amp; " " &amp; ICE[[#This Row],[Tenor]] &amp; "-IEU", W$1), RTD("esrtd",,$B1456 &amp; " " &amp; VLOOKUP(MONTH(ICE[[#This Row],[Strip]]), MthRef[], 2, 0) &amp; RIGHT(YEAR(ICE[[#This Row],[Strip]]), 2) &amp; "-IEU", W$1)), "")</f>
        <v/>
      </c>
      <c r="X1456" s="36"/>
    </row>
    <row r="1457" spans="1:24" x14ac:dyDescent="0.25">
      <c r="A1457" s="37" t="s">
        <v>377</v>
      </c>
      <c r="B1457" s="88" t="str">
        <f>RTD("ice.rtd",,$C1457 &amp; $D1457 &amp; ":" &amp; B$1)</f>
        <v>ISO</v>
      </c>
      <c r="C1457" s="3">
        <v>16341514</v>
      </c>
      <c r="D1457" t="s">
        <v>794</v>
      </c>
      <c r="E1457" s="3" t="str">
        <f>RTD("ice.rtd",,$C1457 &amp; $D1457 &amp; ":" &amp; E$1)</f>
        <v>Jan27</v>
      </c>
      <c r="F1457" s="3" t="str">
        <f>ICE[[#This Row],[Prod]]&amp;ICE[[#This Row],[Strip]]</f>
        <v>ic4ntetJan27</v>
      </c>
      <c r="G1457" s="18" t="str">
        <f>RTD("ice.rtd",,$C1457 &amp; $D1457 &amp; ":" &amp; G$1)</f>
        <v/>
      </c>
      <c r="H1457" s="18" t="str">
        <f>RTD("ice.rtd",,$C1457 &amp; $D1457 &amp; ":" &amp; H$1)</f>
        <v/>
      </c>
      <c r="I1457" s="18" t="str">
        <f>RTD("ice.rtd",,$C1457 &amp; $D1457 &amp; ":" &amp; I$1)</f>
        <v/>
      </c>
      <c r="J1457" s="14" t="str">
        <f>IFERROR(MOD(RTD("ice.rtd",,$C1457 &amp; $D1457 &amp; ":" &amp; J$1), 1), "")</f>
        <v/>
      </c>
      <c r="K1457" s="18" t="str">
        <f>RTD("ice.rtd",,$C1457 &amp; $D1457 &amp; ":" &amp; K$1)</f>
        <v/>
      </c>
      <c r="L1457" s="36" t="str">
        <f>RTD("ice.rtd",,$C1457 &amp; $D1457 &amp; ":" &amp; L$1)</f>
        <v/>
      </c>
      <c r="M1457" s="14" t="str">
        <f>IFERROR(MOD(TIMEVALUE(RTD("ice.rtd",,$C1457 &amp; $D1457 &amp; ":" &amp; M$1)), 1), "")</f>
        <v/>
      </c>
      <c r="N1457" s="36">
        <f>RTD("ice.rtd",,$C1457 &amp; $D1457 &amp; ":" &amp; N$1)</f>
        <v>0</v>
      </c>
      <c r="O1457" s="36">
        <f>RTD("ice.rtd",,$C1457 &amp; $D1457 &amp; ":" &amp; O$1)</f>
        <v>0</v>
      </c>
      <c r="P14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7" s="14" t="str">
        <f>IF(ICE[[#This Row],[LastType]] = "Scrn", ICE[[#This Row],[LstDate]], IF(ICE[[#This Row],[LastType]] = "Blk", ICE[[#This Row],[LstBlkTime]], ""))</f>
        <v/>
      </c>
      <c r="R1457" s="41" t="str">
        <f>IF(ICE[[#This Row],[LastType]] = "Scrn", ICE[[#This Row],[LstPrc]], IF(ICE[[#This Row],[LastType]] = "Blk", ICE[[#This Row],[LstBlkPrc]], ""))</f>
        <v/>
      </c>
      <c r="S1457" s="36">
        <f>ICE[[#This Row],[Vol]]+ICE[[#This Row],[BlkVol]]</f>
        <v>0</v>
      </c>
      <c r="T1457" s="36">
        <f>RTD("ice.rtd",,$C1457 &amp; $D1457 &amp; ":" &amp; T$1)</f>
        <v>370</v>
      </c>
      <c r="U1457" s="18">
        <f>RTD("ice.rtd",,$C1457 &amp; $D1457 &amp; ":" &amp; U$1)</f>
        <v>1.135</v>
      </c>
      <c r="V14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7" s="18" t="str">
        <f>IFERROR(IF(LEFT(ICE[[#This Row],[Tenor]], 1) = "B", RTD("esrtd",,$B1457 &amp; " " &amp; ICE[[#This Row],[Tenor]] &amp; "-IEU", W$1), RTD("esrtd",,$B1457 &amp; " " &amp; VLOOKUP(MONTH(ICE[[#This Row],[Strip]]), MthRef[], 2, 0) &amp; RIGHT(YEAR(ICE[[#This Row],[Strip]]), 2) &amp; "-IEU", W$1)), "")</f>
        <v/>
      </c>
      <c r="X1457" s="36"/>
    </row>
    <row r="1458" spans="1:24" x14ac:dyDescent="0.25">
      <c r="A1458" s="37" t="s">
        <v>377</v>
      </c>
      <c r="B1458" s="88" t="str">
        <f>RTD("ice.rtd",,$C1458 &amp; $D1458 &amp; ":" &amp; B$1)</f>
        <v>ISO</v>
      </c>
      <c r="C1458" s="3">
        <v>16341514</v>
      </c>
      <c r="D1458" t="s">
        <v>795</v>
      </c>
      <c r="E1458" s="3" t="str">
        <f>RTD("ice.rtd",,$C1458 &amp; $D1458 &amp; ":" &amp; E$1)</f>
        <v>Feb27</v>
      </c>
      <c r="F1458" s="3" t="str">
        <f>ICE[[#This Row],[Prod]]&amp;ICE[[#This Row],[Strip]]</f>
        <v>ic4ntetFeb27</v>
      </c>
      <c r="G1458" s="18" t="str">
        <f>RTD("ice.rtd",,$C1458 &amp; $D1458 &amp; ":" &amp; G$1)</f>
        <v/>
      </c>
      <c r="H1458" s="18" t="str">
        <f>RTD("ice.rtd",,$C1458 &amp; $D1458 &amp; ":" &amp; H$1)</f>
        <v/>
      </c>
      <c r="I1458" s="18" t="str">
        <f>RTD("ice.rtd",,$C1458 &amp; $D1458 &amp; ":" &amp; I$1)</f>
        <v/>
      </c>
      <c r="J1458" s="14" t="str">
        <f>IFERROR(MOD(RTD("ice.rtd",,$C1458 &amp; $D1458 &amp; ":" &amp; J$1), 1), "")</f>
        <v/>
      </c>
      <c r="K1458" s="18" t="str">
        <f>RTD("ice.rtd",,$C1458 &amp; $D1458 &amp; ":" &amp; K$1)</f>
        <v/>
      </c>
      <c r="L1458" s="36" t="str">
        <f>RTD("ice.rtd",,$C1458 &amp; $D1458 &amp; ":" &amp; L$1)</f>
        <v/>
      </c>
      <c r="M1458" s="14" t="str">
        <f>IFERROR(MOD(TIMEVALUE(RTD("ice.rtd",,$C1458 &amp; $D1458 &amp; ":" &amp; M$1)), 1), "")</f>
        <v/>
      </c>
      <c r="N1458" s="36">
        <f>RTD("ice.rtd",,$C1458 &amp; $D1458 &amp; ":" &amp; N$1)</f>
        <v>0</v>
      </c>
      <c r="O1458" s="36">
        <f>RTD("ice.rtd",,$C1458 &amp; $D1458 &amp; ":" &amp; O$1)</f>
        <v>0</v>
      </c>
      <c r="P14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8" s="14" t="str">
        <f>IF(ICE[[#This Row],[LastType]] = "Scrn", ICE[[#This Row],[LstDate]], IF(ICE[[#This Row],[LastType]] = "Blk", ICE[[#This Row],[LstBlkTime]], ""))</f>
        <v/>
      </c>
      <c r="R1458" s="41" t="str">
        <f>IF(ICE[[#This Row],[LastType]] = "Scrn", ICE[[#This Row],[LstPrc]], IF(ICE[[#This Row],[LastType]] = "Blk", ICE[[#This Row],[LstBlkPrc]], ""))</f>
        <v/>
      </c>
      <c r="S1458" s="36">
        <f>ICE[[#This Row],[Vol]]+ICE[[#This Row],[BlkVol]]</f>
        <v>0</v>
      </c>
      <c r="T1458" s="36">
        <f>RTD("ice.rtd",,$C1458 &amp; $D1458 &amp; ":" &amp; T$1)</f>
        <v>370</v>
      </c>
      <c r="U1458" s="18">
        <f>RTD("ice.rtd",,$C1458 &amp; $D1458 &amp; ":" &amp; U$1)</f>
        <v>1.1012499999999998</v>
      </c>
      <c r="V14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8" s="18" t="str">
        <f>IFERROR(IF(LEFT(ICE[[#This Row],[Tenor]], 1) = "B", RTD("esrtd",,$B1458 &amp; " " &amp; ICE[[#This Row],[Tenor]] &amp; "-IEU", W$1), RTD("esrtd",,$B1458 &amp; " " &amp; VLOOKUP(MONTH(ICE[[#This Row],[Strip]]), MthRef[], 2, 0) &amp; RIGHT(YEAR(ICE[[#This Row],[Strip]]), 2) &amp; "-IEU", W$1)), "")</f>
        <v/>
      </c>
      <c r="X1458" s="36"/>
    </row>
    <row r="1459" spans="1:24" x14ac:dyDescent="0.25">
      <c r="A1459" s="37" t="s">
        <v>377</v>
      </c>
      <c r="B1459" s="88" t="str">
        <f>RTD("ice.rtd",,$C1459 &amp; $D1459 &amp; ":" &amp; B$1)</f>
        <v>ISO</v>
      </c>
      <c r="C1459" s="3">
        <v>16341514</v>
      </c>
      <c r="D1459" t="s">
        <v>113</v>
      </c>
      <c r="E1459" s="3" t="str">
        <f>RTD("ice.rtd",,$C1459 &amp; $D1459 &amp; ":" &amp; E$1)</f>
        <v>Mar27</v>
      </c>
      <c r="F1459" s="3" t="str">
        <f>ICE[[#This Row],[Prod]]&amp;ICE[[#This Row],[Strip]]</f>
        <v>ic4ntetMar27</v>
      </c>
      <c r="G1459" s="18" t="str">
        <f>RTD("ice.rtd",,$C1459 &amp; $D1459 &amp; ":" &amp; G$1)</f>
        <v/>
      </c>
      <c r="H1459" s="18" t="str">
        <f>RTD("ice.rtd",,$C1459 &amp; $D1459 &amp; ":" &amp; H$1)</f>
        <v/>
      </c>
      <c r="I1459" s="18" t="str">
        <f>RTD("ice.rtd",,$C1459 &amp; $D1459 &amp; ":" &amp; I$1)</f>
        <v/>
      </c>
      <c r="J1459" s="14" t="str">
        <f>IFERROR(MOD(RTD("ice.rtd",,$C1459 &amp; $D1459 &amp; ":" &amp; J$1), 1), "")</f>
        <v/>
      </c>
      <c r="K1459" s="18" t="str">
        <f>RTD("ice.rtd",,$C1459 &amp; $D1459 &amp; ":" &amp; K$1)</f>
        <v/>
      </c>
      <c r="L1459" s="36" t="str">
        <f>RTD("ice.rtd",,$C1459 &amp; $D1459 &amp; ":" &amp; L$1)</f>
        <v/>
      </c>
      <c r="M1459" s="14" t="str">
        <f>IFERROR(MOD(TIMEVALUE(RTD("ice.rtd",,$C1459 &amp; $D1459 &amp; ":" &amp; M$1)), 1), "")</f>
        <v/>
      </c>
      <c r="N1459" s="36">
        <f>RTD("ice.rtd",,$C1459 &amp; $D1459 &amp; ":" &amp; N$1)</f>
        <v>0</v>
      </c>
      <c r="O1459" s="36">
        <f>RTD("ice.rtd",,$C1459 &amp; $D1459 &amp; ":" &amp; O$1)</f>
        <v>0</v>
      </c>
      <c r="P14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59" s="14" t="str">
        <f>IF(ICE[[#This Row],[LastType]] = "Scrn", ICE[[#This Row],[LstDate]], IF(ICE[[#This Row],[LastType]] = "Blk", ICE[[#This Row],[LstBlkTime]], ""))</f>
        <v/>
      </c>
      <c r="R1459" s="41" t="str">
        <f>IF(ICE[[#This Row],[LastType]] = "Scrn", ICE[[#This Row],[LstPrc]], IF(ICE[[#This Row],[LastType]] = "Blk", ICE[[#This Row],[LstBlkPrc]], ""))</f>
        <v/>
      </c>
      <c r="S1459" s="36">
        <f>ICE[[#This Row],[Vol]]+ICE[[#This Row],[BlkVol]]</f>
        <v>0</v>
      </c>
      <c r="T1459" s="36">
        <f>RTD("ice.rtd",,$C1459 &amp; $D1459 &amp; ":" &amp; T$1)</f>
        <v>370</v>
      </c>
      <c r="U1459" s="18">
        <f>RTD("ice.rtd",,$C1459 &amp; $D1459 &amp; ":" &amp; U$1)</f>
        <v>1.04375</v>
      </c>
      <c r="V14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59" s="18" t="str">
        <f>IFERROR(IF(LEFT(ICE[[#This Row],[Tenor]], 1) = "B", RTD("esrtd",,$B1459 &amp; " " &amp; ICE[[#This Row],[Tenor]] &amp; "-IEU", W$1), RTD("esrtd",,$B1459 &amp; " " &amp; VLOOKUP(MONTH(ICE[[#This Row],[Strip]]), MthRef[], 2, 0) &amp; RIGHT(YEAR(ICE[[#This Row],[Strip]]), 2) &amp; "-IEU", W$1)), "")</f>
        <v/>
      </c>
      <c r="X1459" s="36"/>
    </row>
    <row r="1460" spans="1:24" x14ac:dyDescent="0.25">
      <c r="A1460" s="37" t="s">
        <v>377</v>
      </c>
      <c r="B1460" s="88" t="str">
        <f>RTD("ice.rtd",,$C1460 &amp; $D1460 &amp; ":" &amp; B$1)</f>
        <v>ISO</v>
      </c>
      <c r="C1460" s="3">
        <v>16341514</v>
      </c>
      <c r="D1460" t="s">
        <v>796</v>
      </c>
      <c r="E1460" s="3" t="str">
        <f>RTD("ice.rtd",,$C1460 &amp; $D1460 &amp; ":" &amp; E$1)</f>
        <v>Apr27</v>
      </c>
      <c r="F1460" s="3" t="str">
        <f>ICE[[#This Row],[Prod]]&amp;ICE[[#This Row],[Strip]]</f>
        <v>ic4ntetApr27</v>
      </c>
      <c r="G1460" s="18" t="str">
        <f>RTD("ice.rtd",,$C1460 &amp; $D1460 &amp; ":" &amp; G$1)</f>
        <v/>
      </c>
      <c r="H1460" s="18" t="str">
        <f>RTD("ice.rtd",,$C1460 &amp; $D1460 &amp; ":" &amp; H$1)</f>
        <v/>
      </c>
      <c r="I1460" s="18" t="str">
        <f>RTD("ice.rtd",,$C1460 &amp; $D1460 &amp; ":" &amp; I$1)</f>
        <v/>
      </c>
      <c r="J1460" s="14" t="str">
        <f>IFERROR(MOD(RTD("ice.rtd",,$C1460 &amp; $D1460 &amp; ":" &amp; J$1), 1), "")</f>
        <v/>
      </c>
      <c r="K1460" s="18" t="str">
        <f>RTD("ice.rtd",,$C1460 &amp; $D1460 &amp; ":" &amp; K$1)</f>
        <v/>
      </c>
      <c r="L1460" s="36" t="str">
        <f>RTD("ice.rtd",,$C1460 &amp; $D1460 &amp; ":" &amp; L$1)</f>
        <v/>
      </c>
      <c r="M1460" s="14" t="str">
        <f>IFERROR(MOD(TIMEVALUE(RTD("ice.rtd",,$C1460 &amp; $D1460 &amp; ":" &amp; M$1)), 1), "")</f>
        <v/>
      </c>
      <c r="N1460" s="36">
        <f>RTD("ice.rtd",,$C1460 &amp; $D1460 &amp; ":" &amp; N$1)</f>
        <v>0</v>
      </c>
      <c r="O1460" s="36">
        <f>RTD("ice.rtd",,$C1460 &amp; $D1460 &amp; ":" &amp; O$1)</f>
        <v>0</v>
      </c>
      <c r="P14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0" s="14" t="str">
        <f>IF(ICE[[#This Row],[LastType]] = "Scrn", ICE[[#This Row],[LstDate]], IF(ICE[[#This Row],[LastType]] = "Blk", ICE[[#This Row],[LstBlkTime]], ""))</f>
        <v/>
      </c>
      <c r="R1460" s="41" t="str">
        <f>IF(ICE[[#This Row],[LastType]] = "Scrn", ICE[[#This Row],[LstPrc]], IF(ICE[[#This Row],[LastType]] = "Blk", ICE[[#This Row],[LstBlkPrc]], ""))</f>
        <v/>
      </c>
      <c r="S1460" s="36">
        <f>ICE[[#This Row],[Vol]]+ICE[[#This Row],[BlkVol]]</f>
        <v>0</v>
      </c>
      <c r="T1460" s="36">
        <f>RTD("ice.rtd",,$C1460 &amp; $D1460 &amp; ":" &amp; T$1)</f>
        <v>330</v>
      </c>
      <c r="U1460" s="18">
        <f>RTD("ice.rtd",,$C1460 &amp; $D1460 &amp; ":" &amp; U$1)</f>
        <v>0.99250000000000005</v>
      </c>
      <c r="V14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0" s="18" t="str">
        <f>IFERROR(IF(LEFT(ICE[[#This Row],[Tenor]], 1) = "B", RTD("esrtd",,$B1460 &amp; " " &amp; ICE[[#This Row],[Tenor]] &amp; "-IEU", W$1), RTD("esrtd",,$B1460 &amp; " " &amp; VLOOKUP(MONTH(ICE[[#This Row],[Strip]]), MthRef[], 2, 0) &amp; RIGHT(YEAR(ICE[[#This Row],[Strip]]), 2) &amp; "-IEU", W$1)), "")</f>
        <v/>
      </c>
      <c r="X1460" s="36"/>
    </row>
    <row r="1461" spans="1:24" x14ac:dyDescent="0.25">
      <c r="A1461" s="37" t="s">
        <v>377</v>
      </c>
      <c r="B1461" s="88" t="str">
        <f>RTD("ice.rtd",,$C1461 &amp; $D1461 &amp; ":" &amp; B$1)</f>
        <v>ISO</v>
      </c>
      <c r="C1461" s="3">
        <v>16341514</v>
      </c>
      <c r="D1461" t="s">
        <v>797</v>
      </c>
      <c r="E1461" s="3" t="str">
        <f>RTD("ice.rtd",,$C1461 &amp; $D1461 &amp; ":" &amp; E$1)</f>
        <v>May27</v>
      </c>
      <c r="F1461" s="3" t="str">
        <f>ICE[[#This Row],[Prod]]&amp;ICE[[#This Row],[Strip]]</f>
        <v>ic4ntetMay27</v>
      </c>
      <c r="G1461" s="18" t="str">
        <f>RTD("ice.rtd",,$C1461 &amp; $D1461 &amp; ":" &amp; G$1)</f>
        <v/>
      </c>
      <c r="H1461" s="18" t="str">
        <f>RTD("ice.rtd",,$C1461 &amp; $D1461 &amp; ":" &amp; H$1)</f>
        <v/>
      </c>
      <c r="I1461" s="18" t="str">
        <f>RTD("ice.rtd",,$C1461 &amp; $D1461 &amp; ":" &amp; I$1)</f>
        <v/>
      </c>
      <c r="J1461" s="14" t="str">
        <f>IFERROR(MOD(RTD("ice.rtd",,$C1461 &amp; $D1461 &amp; ":" &amp; J$1), 1), "")</f>
        <v/>
      </c>
      <c r="K1461" s="18" t="str">
        <f>RTD("ice.rtd",,$C1461 &amp; $D1461 &amp; ":" &amp; K$1)</f>
        <v/>
      </c>
      <c r="L1461" s="36" t="str">
        <f>RTD("ice.rtd",,$C1461 &amp; $D1461 &amp; ":" &amp; L$1)</f>
        <v/>
      </c>
      <c r="M1461" s="14" t="str">
        <f>IFERROR(MOD(TIMEVALUE(RTD("ice.rtd",,$C1461 &amp; $D1461 &amp; ":" &amp; M$1)), 1), "")</f>
        <v/>
      </c>
      <c r="N1461" s="36">
        <f>RTD("ice.rtd",,$C1461 &amp; $D1461 &amp; ":" &amp; N$1)</f>
        <v>0</v>
      </c>
      <c r="O1461" s="36">
        <f>RTD("ice.rtd",,$C1461 &amp; $D1461 &amp; ":" &amp; O$1)</f>
        <v>0</v>
      </c>
      <c r="P14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1" s="14" t="str">
        <f>IF(ICE[[#This Row],[LastType]] = "Scrn", ICE[[#This Row],[LstDate]], IF(ICE[[#This Row],[LastType]] = "Blk", ICE[[#This Row],[LstBlkTime]], ""))</f>
        <v/>
      </c>
      <c r="R1461" s="41" t="str">
        <f>IF(ICE[[#This Row],[LastType]] = "Scrn", ICE[[#This Row],[LstPrc]], IF(ICE[[#This Row],[LastType]] = "Blk", ICE[[#This Row],[LstBlkPrc]], ""))</f>
        <v/>
      </c>
      <c r="S1461" s="36">
        <f>ICE[[#This Row],[Vol]]+ICE[[#This Row],[BlkVol]]</f>
        <v>0</v>
      </c>
      <c r="T1461" s="36">
        <f>RTD("ice.rtd",,$C1461 &amp; $D1461 &amp; ":" &amp; T$1)</f>
        <v>330</v>
      </c>
      <c r="U1461" s="18">
        <f>RTD("ice.rtd",,$C1461 &amp; $D1461 &amp; ":" &amp; U$1)</f>
        <v>0.97624999999999995</v>
      </c>
      <c r="V14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1" s="18" t="str">
        <f>IFERROR(IF(LEFT(ICE[[#This Row],[Tenor]], 1) = "B", RTD("esrtd",,$B1461 &amp; " " &amp; ICE[[#This Row],[Tenor]] &amp; "-IEU", W$1), RTD("esrtd",,$B1461 &amp; " " &amp; VLOOKUP(MONTH(ICE[[#This Row],[Strip]]), MthRef[], 2, 0) &amp; RIGHT(YEAR(ICE[[#This Row],[Strip]]), 2) &amp; "-IEU", W$1)), "")</f>
        <v/>
      </c>
      <c r="X1461" s="36"/>
    </row>
    <row r="1462" spans="1:24" x14ac:dyDescent="0.25">
      <c r="A1462" s="37" t="s">
        <v>377</v>
      </c>
      <c r="B1462" s="88" t="str">
        <f>RTD("ice.rtd",,$C1462 &amp; $D1462 &amp; ":" &amp; B$1)</f>
        <v>ISO</v>
      </c>
      <c r="C1462" s="3">
        <v>16341514</v>
      </c>
      <c r="D1462" t="s">
        <v>798</v>
      </c>
      <c r="E1462" s="3" t="str">
        <f>RTD("ice.rtd",,$C1462 &amp; $D1462 &amp; ":" &amp; E$1)</f>
        <v>Jun27</v>
      </c>
      <c r="F1462" s="3" t="str">
        <f>ICE[[#This Row],[Prod]]&amp;ICE[[#This Row],[Strip]]</f>
        <v>ic4ntetJun27</v>
      </c>
      <c r="G1462" s="18" t="str">
        <f>RTD("ice.rtd",,$C1462 &amp; $D1462 &amp; ":" &amp; G$1)</f>
        <v/>
      </c>
      <c r="H1462" s="18" t="str">
        <f>RTD("ice.rtd",,$C1462 &amp; $D1462 &amp; ":" &amp; H$1)</f>
        <v/>
      </c>
      <c r="I1462" s="18" t="str">
        <f>RTD("ice.rtd",,$C1462 &amp; $D1462 &amp; ":" &amp; I$1)</f>
        <v/>
      </c>
      <c r="J1462" s="14" t="str">
        <f>IFERROR(MOD(RTD("ice.rtd",,$C1462 &amp; $D1462 &amp; ":" &amp; J$1), 1), "")</f>
        <v/>
      </c>
      <c r="K1462" s="18" t="str">
        <f>RTD("ice.rtd",,$C1462 &amp; $D1462 &amp; ":" &amp; K$1)</f>
        <v/>
      </c>
      <c r="L1462" s="36" t="str">
        <f>RTD("ice.rtd",,$C1462 &amp; $D1462 &amp; ":" &amp; L$1)</f>
        <v/>
      </c>
      <c r="M1462" s="14" t="str">
        <f>IFERROR(MOD(TIMEVALUE(RTD("ice.rtd",,$C1462 &amp; $D1462 &amp; ":" &amp; M$1)), 1), "")</f>
        <v/>
      </c>
      <c r="N1462" s="36">
        <f>RTD("ice.rtd",,$C1462 &amp; $D1462 &amp; ":" &amp; N$1)</f>
        <v>0</v>
      </c>
      <c r="O1462" s="36">
        <f>RTD("ice.rtd",,$C1462 &amp; $D1462 &amp; ":" &amp; O$1)</f>
        <v>0</v>
      </c>
      <c r="P14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2" s="14" t="str">
        <f>IF(ICE[[#This Row],[LastType]] = "Scrn", ICE[[#This Row],[LstDate]], IF(ICE[[#This Row],[LastType]] = "Blk", ICE[[#This Row],[LstBlkTime]], ""))</f>
        <v/>
      </c>
      <c r="R1462" s="41" t="str">
        <f>IF(ICE[[#This Row],[LastType]] = "Scrn", ICE[[#This Row],[LstPrc]], IF(ICE[[#This Row],[LastType]] = "Blk", ICE[[#This Row],[LstBlkPrc]], ""))</f>
        <v/>
      </c>
      <c r="S1462" s="36">
        <f>ICE[[#This Row],[Vol]]+ICE[[#This Row],[BlkVol]]</f>
        <v>0</v>
      </c>
      <c r="T1462" s="36">
        <f>RTD("ice.rtd",,$C1462 &amp; $D1462 &amp; ":" &amp; T$1)</f>
        <v>330</v>
      </c>
      <c r="U1462" s="18">
        <f>RTD("ice.rtd",,$C1462 &amp; $D1462 &amp; ":" &amp; U$1)</f>
        <v>0.97624999999999995</v>
      </c>
      <c r="V14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2" s="18" t="str">
        <f>IFERROR(IF(LEFT(ICE[[#This Row],[Tenor]], 1) = "B", RTD("esrtd",,$B1462 &amp; " " &amp; ICE[[#This Row],[Tenor]] &amp; "-IEU", W$1), RTD("esrtd",,$B1462 &amp; " " &amp; VLOOKUP(MONTH(ICE[[#This Row],[Strip]]), MthRef[], 2, 0) &amp; RIGHT(YEAR(ICE[[#This Row],[Strip]]), 2) &amp; "-IEU", W$1)), "")</f>
        <v/>
      </c>
      <c r="X1462" s="36"/>
    </row>
    <row r="1463" spans="1:24" x14ac:dyDescent="0.25">
      <c r="A1463" s="37" t="s">
        <v>377</v>
      </c>
      <c r="B1463" s="88" t="str">
        <f>RTD("ice.rtd",,$C1463 &amp; $D1463 &amp; ":" &amp; B$1)</f>
        <v>ISO</v>
      </c>
      <c r="C1463" s="3">
        <v>16341514</v>
      </c>
      <c r="D1463" t="s">
        <v>799</v>
      </c>
      <c r="E1463" s="3" t="str">
        <f>RTD("ice.rtd",,$C1463 &amp; $D1463 &amp; ":" &amp; E$1)</f>
        <v>Jul27</v>
      </c>
      <c r="F1463" s="3" t="str">
        <f>ICE[[#This Row],[Prod]]&amp;ICE[[#This Row],[Strip]]</f>
        <v>ic4ntetJul27</v>
      </c>
      <c r="G1463" s="18" t="str">
        <f>RTD("ice.rtd",,$C1463 &amp; $D1463 &amp; ":" &amp; G$1)</f>
        <v/>
      </c>
      <c r="H1463" s="18" t="str">
        <f>RTD("ice.rtd",,$C1463 &amp; $D1463 &amp; ":" &amp; H$1)</f>
        <v/>
      </c>
      <c r="I1463" s="18" t="str">
        <f>RTD("ice.rtd",,$C1463 &amp; $D1463 &amp; ":" &amp; I$1)</f>
        <v/>
      </c>
      <c r="J1463" s="14" t="str">
        <f>IFERROR(MOD(RTD("ice.rtd",,$C1463 &amp; $D1463 &amp; ":" &amp; J$1), 1), "")</f>
        <v/>
      </c>
      <c r="K1463" s="18" t="str">
        <f>RTD("ice.rtd",,$C1463 &amp; $D1463 &amp; ":" &amp; K$1)</f>
        <v/>
      </c>
      <c r="L1463" s="36" t="str">
        <f>RTD("ice.rtd",,$C1463 &amp; $D1463 &amp; ":" &amp; L$1)</f>
        <v/>
      </c>
      <c r="M1463" s="14" t="str">
        <f>IFERROR(MOD(TIMEVALUE(RTD("ice.rtd",,$C1463 &amp; $D1463 &amp; ":" &amp; M$1)), 1), "")</f>
        <v/>
      </c>
      <c r="N1463" s="36">
        <f>RTD("ice.rtd",,$C1463 &amp; $D1463 &amp; ":" &amp; N$1)</f>
        <v>0</v>
      </c>
      <c r="O1463" s="36">
        <f>RTD("ice.rtd",,$C1463 &amp; $D1463 &amp; ":" &amp; O$1)</f>
        <v>0</v>
      </c>
      <c r="P14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3" s="14" t="str">
        <f>IF(ICE[[#This Row],[LastType]] = "Scrn", ICE[[#This Row],[LstDate]], IF(ICE[[#This Row],[LastType]] = "Blk", ICE[[#This Row],[LstBlkTime]], ""))</f>
        <v/>
      </c>
      <c r="R1463" s="41" t="str">
        <f>IF(ICE[[#This Row],[LastType]] = "Scrn", ICE[[#This Row],[LstPrc]], IF(ICE[[#This Row],[LastType]] = "Blk", ICE[[#This Row],[LstBlkPrc]], ""))</f>
        <v/>
      </c>
      <c r="S1463" s="36">
        <f>ICE[[#This Row],[Vol]]+ICE[[#This Row],[BlkVol]]</f>
        <v>0</v>
      </c>
      <c r="T1463" s="36">
        <f>RTD("ice.rtd",,$C1463 &amp; $D1463 &amp; ":" &amp; T$1)</f>
        <v>286</v>
      </c>
      <c r="U1463" s="18">
        <f>RTD("ice.rtd",,$C1463 &amp; $D1463 &amp; ":" &amp; U$1)</f>
        <v>0.97875000000000001</v>
      </c>
      <c r="V14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3" s="18" t="str">
        <f>IFERROR(IF(LEFT(ICE[[#This Row],[Tenor]], 1) = "B", RTD("esrtd",,$B1463 &amp; " " &amp; ICE[[#This Row],[Tenor]] &amp; "-IEU", W$1), RTD("esrtd",,$B1463 &amp; " " &amp; VLOOKUP(MONTH(ICE[[#This Row],[Strip]]), MthRef[], 2, 0) &amp; RIGHT(YEAR(ICE[[#This Row],[Strip]]), 2) &amp; "-IEU", W$1)), "")</f>
        <v/>
      </c>
      <c r="X1463" s="36"/>
    </row>
    <row r="1464" spans="1:24" x14ac:dyDescent="0.25">
      <c r="A1464" s="37" t="s">
        <v>377</v>
      </c>
      <c r="B1464" s="88" t="str">
        <f>RTD("ice.rtd",,$C1464 &amp; $D1464 &amp; ":" &amp; B$1)</f>
        <v>ISO</v>
      </c>
      <c r="C1464" s="3">
        <v>16341514</v>
      </c>
      <c r="D1464" t="s">
        <v>800</v>
      </c>
      <c r="E1464" s="3" t="str">
        <f>RTD("ice.rtd",,$C1464 &amp; $D1464 &amp; ":" &amp; E$1)</f>
        <v>Aug27</v>
      </c>
      <c r="F1464" s="3" t="str">
        <f>ICE[[#This Row],[Prod]]&amp;ICE[[#This Row],[Strip]]</f>
        <v>ic4ntetAug27</v>
      </c>
      <c r="G1464" s="18" t="str">
        <f>RTD("ice.rtd",,$C1464 &amp; $D1464 &amp; ":" &amp; G$1)</f>
        <v/>
      </c>
      <c r="H1464" s="18" t="str">
        <f>RTD("ice.rtd",,$C1464 &amp; $D1464 &amp; ":" &amp; H$1)</f>
        <v/>
      </c>
      <c r="I1464" s="18" t="str">
        <f>RTD("ice.rtd",,$C1464 &amp; $D1464 &amp; ":" &amp; I$1)</f>
        <v/>
      </c>
      <c r="J1464" s="14" t="str">
        <f>IFERROR(MOD(RTD("ice.rtd",,$C1464 &amp; $D1464 &amp; ":" &amp; J$1), 1), "")</f>
        <v/>
      </c>
      <c r="K1464" s="18" t="str">
        <f>RTD("ice.rtd",,$C1464 &amp; $D1464 &amp; ":" &amp; K$1)</f>
        <v/>
      </c>
      <c r="L1464" s="36" t="str">
        <f>RTD("ice.rtd",,$C1464 &amp; $D1464 &amp; ":" &amp; L$1)</f>
        <v/>
      </c>
      <c r="M1464" s="14" t="str">
        <f>IFERROR(MOD(TIMEVALUE(RTD("ice.rtd",,$C1464 &amp; $D1464 &amp; ":" &amp; M$1)), 1), "")</f>
        <v/>
      </c>
      <c r="N1464" s="36">
        <f>RTD("ice.rtd",,$C1464 &amp; $D1464 &amp; ":" &amp; N$1)</f>
        <v>0</v>
      </c>
      <c r="O1464" s="36">
        <f>RTD("ice.rtd",,$C1464 &amp; $D1464 &amp; ":" &amp; O$1)</f>
        <v>0</v>
      </c>
      <c r="P14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4" s="14" t="str">
        <f>IF(ICE[[#This Row],[LastType]] = "Scrn", ICE[[#This Row],[LstDate]], IF(ICE[[#This Row],[LastType]] = "Blk", ICE[[#This Row],[LstBlkTime]], ""))</f>
        <v/>
      </c>
      <c r="R1464" s="41" t="str">
        <f>IF(ICE[[#This Row],[LastType]] = "Scrn", ICE[[#This Row],[LstPrc]], IF(ICE[[#This Row],[LastType]] = "Blk", ICE[[#This Row],[LstBlkPrc]], ""))</f>
        <v/>
      </c>
      <c r="S1464" s="36">
        <f>ICE[[#This Row],[Vol]]+ICE[[#This Row],[BlkVol]]</f>
        <v>0</v>
      </c>
      <c r="T1464" s="36">
        <f>RTD("ice.rtd",,$C1464 &amp; $D1464 &amp; ":" &amp; T$1)</f>
        <v>286</v>
      </c>
      <c r="U1464" s="18">
        <f>RTD("ice.rtd",,$C1464 &amp; $D1464 &amp; ":" &amp; U$1)</f>
        <v>0.98</v>
      </c>
      <c r="V14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4" s="18" t="str">
        <f>IFERROR(IF(LEFT(ICE[[#This Row],[Tenor]], 1) = "B", RTD("esrtd",,$B1464 &amp; " " &amp; ICE[[#This Row],[Tenor]] &amp; "-IEU", W$1), RTD("esrtd",,$B1464 &amp; " " &amp; VLOOKUP(MONTH(ICE[[#This Row],[Strip]]), MthRef[], 2, 0) &amp; RIGHT(YEAR(ICE[[#This Row],[Strip]]), 2) &amp; "-IEU", W$1)), "")</f>
        <v/>
      </c>
      <c r="X1464" s="36"/>
    </row>
    <row r="1465" spans="1:24" x14ac:dyDescent="0.25">
      <c r="A1465" s="37" t="s">
        <v>377</v>
      </c>
      <c r="B1465" s="88" t="str">
        <f>RTD("ice.rtd",,$C1465 &amp; $D1465 &amp; ":" &amp; B$1)</f>
        <v>ISO</v>
      </c>
      <c r="C1465" s="3">
        <v>16341514</v>
      </c>
      <c r="D1465" t="s">
        <v>801</v>
      </c>
      <c r="E1465" s="3" t="str">
        <f>RTD("ice.rtd",,$C1465 &amp; $D1465 &amp; ":" &amp; E$1)</f>
        <v>Sep27</v>
      </c>
      <c r="F1465" s="3" t="str">
        <f>ICE[[#This Row],[Prod]]&amp;ICE[[#This Row],[Strip]]</f>
        <v>ic4ntetSep27</v>
      </c>
      <c r="G1465" s="18" t="str">
        <f>RTD("ice.rtd",,$C1465 &amp; $D1465 &amp; ":" &amp; G$1)</f>
        <v/>
      </c>
      <c r="H1465" s="18" t="str">
        <f>RTD("ice.rtd",,$C1465 &amp; $D1465 &amp; ":" &amp; H$1)</f>
        <v/>
      </c>
      <c r="I1465" s="18" t="str">
        <f>RTD("ice.rtd",,$C1465 &amp; $D1465 &amp; ":" &amp; I$1)</f>
        <v/>
      </c>
      <c r="J1465" s="14" t="str">
        <f>IFERROR(MOD(RTD("ice.rtd",,$C1465 &amp; $D1465 &amp; ":" &amp; J$1), 1), "")</f>
        <v/>
      </c>
      <c r="K1465" s="18" t="str">
        <f>RTD("ice.rtd",,$C1465 &amp; $D1465 &amp; ":" &amp; K$1)</f>
        <v/>
      </c>
      <c r="L1465" s="36" t="str">
        <f>RTD("ice.rtd",,$C1465 &amp; $D1465 &amp; ":" &amp; L$1)</f>
        <v/>
      </c>
      <c r="M1465" s="14" t="str">
        <f>IFERROR(MOD(TIMEVALUE(RTD("ice.rtd",,$C1465 &amp; $D1465 &amp; ":" &amp; M$1)), 1), "")</f>
        <v/>
      </c>
      <c r="N1465" s="36">
        <f>RTD("ice.rtd",,$C1465 &amp; $D1465 &amp; ":" &amp; N$1)</f>
        <v>0</v>
      </c>
      <c r="O1465" s="36">
        <f>RTD("ice.rtd",,$C1465 &amp; $D1465 &amp; ":" &amp; O$1)</f>
        <v>0</v>
      </c>
      <c r="P14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5" s="14" t="str">
        <f>IF(ICE[[#This Row],[LastType]] = "Scrn", ICE[[#This Row],[LstDate]], IF(ICE[[#This Row],[LastType]] = "Blk", ICE[[#This Row],[LstBlkTime]], ""))</f>
        <v/>
      </c>
      <c r="R1465" s="41" t="str">
        <f>IF(ICE[[#This Row],[LastType]] = "Scrn", ICE[[#This Row],[LstPrc]], IF(ICE[[#This Row],[LastType]] = "Blk", ICE[[#This Row],[LstBlkPrc]], ""))</f>
        <v/>
      </c>
      <c r="S1465" s="36">
        <f>ICE[[#This Row],[Vol]]+ICE[[#This Row],[BlkVol]]</f>
        <v>0</v>
      </c>
      <c r="T1465" s="36">
        <f>RTD("ice.rtd",,$C1465 &amp; $D1465 &amp; ":" &amp; T$1)</f>
        <v>286</v>
      </c>
      <c r="U1465" s="18">
        <f>RTD("ice.rtd",,$C1465 &amp; $D1465 &amp; ":" &amp; U$1)</f>
        <v>0.98124999999999996</v>
      </c>
      <c r="V14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5" s="18" t="str">
        <f>IFERROR(IF(LEFT(ICE[[#This Row],[Tenor]], 1) = "B", RTD("esrtd",,$B1465 &amp; " " &amp; ICE[[#This Row],[Tenor]] &amp; "-IEU", W$1), RTD("esrtd",,$B1465 &amp; " " &amp; VLOOKUP(MONTH(ICE[[#This Row],[Strip]]), MthRef[], 2, 0) &amp; RIGHT(YEAR(ICE[[#This Row],[Strip]]), 2) &amp; "-IEU", W$1)), "")</f>
        <v/>
      </c>
      <c r="X1465" s="36"/>
    </row>
    <row r="1466" spans="1:24" x14ac:dyDescent="0.25">
      <c r="A1466" s="37" t="s">
        <v>377</v>
      </c>
      <c r="B1466" s="88" t="str">
        <f>RTD("ice.rtd",,$C1466 &amp; $D1466 &amp; ":" &amp; B$1)</f>
        <v>ISO</v>
      </c>
      <c r="C1466" s="3">
        <v>16341514</v>
      </c>
      <c r="D1466" t="s">
        <v>802</v>
      </c>
      <c r="E1466" s="3" t="str">
        <f>RTD("ice.rtd",,$C1466 &amp; $D1466 &amp; ":" &amp; E$1)</f>
        <v>Oct27</v>
      </c>
      <c r="F1466" s="3" t="str">
        <f>ICE[[#This Row],[Prod]]&amp;ICE[[#This Row],[Strip]]</f>
        <v>ic4ntetOct27</v>
      </c>
      <c r="G1466" s="18" t="str">
        <f>RTD("ice.rtd",,$C1466 &amp; $D1466 &amp; ":" &amp; G$1)</f>
        <v/>
      </c>
      <c r="H1466" s="18" t="str">
        <f>RTD("ice.rtd",,$C1466 &amp; $D1466 &amp; ":" &amp; H$1)</f>
        <v/>
      </c>
      <c r="I1466" s="18" t="str">
        <f>RTD("ice.rtd",,$C1466 &amp; $D1466 &amp; ":" &amp; I$1)</f>
        <v/>
      </c>
      <c r="J1466" s="14" t="str">
        <f>IFERROR(MOD(RTD("ice.rtd",,$C1466 &amp; $D1466 &amp; ":" &amp; J$1), 1), "")</f>
        <v/>
      </c>
      <c r="K1466" s="18" t="str">
        <f>RTD("ice.rtd",,$C1466 &amp; $D1466 &amp; ":" &amp; K$1)</f>
        <v/>
      </c>
      <c r="L1466" s="36" t="str">
        <f>RTD("ice.rtd",,$C1466 &amp; $D1466 &amp; ":" &amp; L$1)</f>
        <v/>
      </c>
      <c r="M1466" s="14" t="str">
        <f>IFERROR(MOD(TIMEVALUE(RTD("ice.rtd",,$C1466 &amp; $D1466 &amp; ":" &amp; M$1)), 1), "")</f>
        <v/>
      </c>
      <c r="N1466" s="36">
        <f>RTD("ice.rtd",,$C1466 &amp; $D1466 &amp; ":" &amp; N$1)</f>
        <v>0</v>
      </c>
      <c r="O1466" s="36">
        <f>RTD("ice.rtd",,$C1466 &amp; $D1466 &amp; ":" &amp; O$1)</f>
        <v>0</v>
      </c>
      <c r="P14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6" s="14" t="str">
        <f>IF(ICE[[#This Row],[LastType]] = "Scrn", ICE[[#This Row],[LstDate]], IF(ICE[[#This Row],[LastType]] = "Blk", ICE[[#This Row],[LstBlkTime]], ""))</f>
        <v/>
      </c>
      <c r="R1466" s="41" t="str">
        <f>IF(ICE[[#This Row],[LastType]] = "Scrn", ICE[[#This Row],[LstPrc]], IF(ICE[[#This Row],[LastType]] = "Blk", ICE[[#This Row],[LstBlkPrc]], ""))</f>
        <v/>
      </c>
      <c r="S1466" s="36">
        <f>ICE[[#This Row],[Vol]]+ICE[[#This Row],[BlkVol]]</f>
        <v>0</v>
      </c>
      <c r="T1466" s="36">
        <f>RTD("ice.rtd",,$C1466 &amp; $D1466 &amp; ":" &amp; T$1)</f>
        <v>274</v>
      </c>
      <c r="U1466" s="18">
        <f>RTD("ice.rtd",,$C1466 &amp; $D1466 &amp; ":" &amp; U$1)</f>
        <v>0.9425</v>
      </c>
      <c r="V14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6" s="18" t="str">
        <f>IFERROR(IF(LEFT(ICE[[#This Row],[Tenor]], 1) = "B", RTD("esrtd",,$B1466 &amp; " " &amp; ICE[[#This Row],[Tenor]] &amp; "-IEU", W$1), RTD("esrtd",,$B1466 &amp; " " &amp; VLOOKUP(MONTH(ICE[[#This Row],[Strip]]), MthRef[], 2, 0) &amp; RIGHT(YEAR(ICE[[#This Row],[Strip]]), 2) &amp; "-IEU", W$1)), "")</f>
        <v/>
      </c>
      <c r="X1466" s="36"/>
    </row>
    <row r="1467" spans="1:24" x14ac:dyDescent="0.25">
      <c r="A1467" s="37" t="s">
        <v>377</v>
      </c>
      <c r="B1467" s="88" t="str">
        <f>RTD("ice.rtd",,$C1467 &amp; $D1467 &amp; ":" &amp; B$1)</f>
        <v>ISO</v>
      </c>
      <c r="C1467" s="3">
        <v>16341514</v>
      </c>
      <c r="D1467" t="s">
        <v>803</v>
      </c>
      <c r="E1467" s="3" t="str">
        <f>RTD("ice.rtd",,$C1467 &amp; $D1467 &amp; ":" &amp; E$1)</f>
        <v>Nov27</v>
      </c>
      <c r="F1467" s="3" t="str">
        <f>ICE[[#This Row],[Prod]]&amp;ICE[[#This Row],[Strip]]</f>
        <v>ic4ntetNov27</v>
      </c>
      <c r="G1467" s="18" t="str">
        <f>RTD("ice.rtd",,$C1467 &amp; $D1467 &amp; ":" &amp; G$1)</f>
        <v/>
      </c>
      <c r="H1467" s="18" t="str">
        <f>RTD("ice.rtd",,$C1467 &amp; $D1467 &amp; ":" &amp; H$1)</f>
        <v/>
      </c>
      <c r="I1467" s="18" t="str">
        <f>RTD("ice.rtd",,$C1467 &amp; $D1467 &amp; ":" &amp; I$1)</f>
        <v/>
      </c>
      <c r="J1467" s="14" t="str">
        <f>IFERROR(MOD(RTD("ice.rtd",,$C1467 &amp; $D1467 &amp; ":" &amp; J$1), 1), "")</f>
        <v/>
      </c>
      <c r="K1467" s="18" t="str">
        <f>RTD("ice.rtd",,$C1467 &amp; $D1467 &amp; ":" &amp; K$1)</f>
        <v/>
      </c>
      <c r="L1467" s="36" t="str">
        <f>RTD("ice.rtd",,$C1467 &amp; $D1467 &amp; ":" &amp; L$1)</f>
        <v/>
      </c>
      <c r="M1467" s="14" t="str">
        <f>IFERROR(MOD(TIMEVALUE(RTD("ice.rtd",,$C1467 &amp; $D1467 &amp; ":" &amp; M$1)), 1), "")</f>
        <v/>
      </c>
      <c r="N1467" s="36">
        <f>RTD("ice.rtd",,$C1467 &amp; $D1467 &amp; ":" &amp; N$1)</f>
        <v>0</v>
      </c>
      <c r="O1467" s="36">
        <f>RTD("ice.rtd",,$C1467 &amp; $D1467 &amp; ":" &amp; O$1)</f>
        <v>0</v>
      </c>
      <c r="P14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7" s="14" t="str">
        <f>IF(ICE[[#This Row],[LastType]] = "Scrn", ICE[[#This Row],[LstDate]], IF(ICE[[#This Row],[LastType]] = "Blk", ICE[[#This Row],[LstBlkTime]], ""))</f>
        <v/>
      </c>
      <c r="R1467" s="41" t="str">
        <f>IF(ICE[[#This Row],[LastType]] = "Scrn", ICE[[#This Row],[LstPrc]], IF(ICE[[#This Row],[LastType]] = "Blk", ICE[[#This Row],[LstBlkPrc]], ""))</f>
        <v/>
      </c>
      <c r="S1467" s="36">
        <f>ICE[[#This Row],[Vol]]+ICE[[#This Row],[BlkVol]]</f>
        <v>0</v>
      </c>
      <c r="T1467" s="36">
        <f>RTD("ice.rtd",,$C1467 &amp; $D1467 &amp; ":" &amp; T$1)</f>
        <v>273</v>
      </c>
      <c r="U1467" s="18">
        <f>RTD("ice.rtd",,$C1467 &amp; $D1467 &amp; ":" &amp; U$1)</f>
        <v>0.93374999999999997</v>
      </c>
      <c r="V14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7" s="18" t="str">
        <f>IFERROR(IF(LEFT(ICE[[#This Row],[Tenor]], 1) = "B", RTD("esrtd",,$B1467 &amp; " " &amp; ICE[[#This Row],[Tenor]] &amp; "-IEU", W$1), RTD("esrtd",,$B1467 &amp; " " &amp; VLOOKUP(MONTH(ICE[[#This Row],[Strip]]), MthRef[], 2, 0) &amp; RIGHT(YEAR(ICE[[#This Row],[Strip]]), 2) &amp; "-IEU", W$1)), "")</f>
        <v/>
      </c>
      <c r="X1467" s="36"/>
    </row>
    <row r="1468" spans="1:24" x14ac:dyDescent="0.25">
      <c r="A1468" s="37" t="s">
        <v>377</v>
      </c>
      <c r="B1468" s="88" t="str">
        <f>RTD("ice.rtd",,$C1468 &amp; $D1468 &amp; ":" &amp; B$1)</f>
        <v>ISO</v>
      </c>
      <c r="C1468" s="3">
        <v>16341514</v>
      </c>
      <c r="D1468" t="s">
        <v>804</v>
      </c>
      <c r="E1468" s="3" t="str">
        <f>RTD("ice.rtd",,$C1468 &amp; $D1468 &amp; ":" &amp; E$1)</f>
        <v>Dec27</v>
      </c>
      <c r="F1468" s="3" t="str">
        <f>ICE[[#This Row],[Prod]]&amp;ICE[[#This Row],[Strip]]</f>
        <v>ic4ntetDec27</v>
      </c>
      <c r="G1468" s="18" t="str">
        <f>RTD("ice.rtd",,$C1468 &amp; $D1468 &amp; ":" &amp; G$1)</f>
        <v/>
      </c>
      <c r="H1468" s="18" t="str">
        <f>RTD("ice.rtd",,$C1468 &amp; $D1468 &amp; ":" &amp; H$1)</f>
        <v/>
      </c>
      <c r="I1468" s="18" t="str">
        <f>RTD("ice.rtd",,$C1468 &amp; $D1468 &amp; ":" &amp; I$1)</f>
        <v/>
      </c>
      <c r="J1468" s="14" t="str">
        <f>IFERROR(MOD(RTD("ice.rtd",,$C1468 &amp; $D1468 &amp; ":" &amp; J$1), 1), "")</f>
        <v/>
      </c>
      <c r="K1468" s="18" t="str">
        <f>RTD("ice.rtd",,$C1468 &amp; $D1468 &amp; ":" &amp; K$1)</f>
        <v/>
      </c>
      <c r="L1468" s="36" t="str">
        <f>RTD("ice.rtd",,$C1468 &amp; $D1468 &amp; ":" &amp; L$1)</f>
        <v/>
      </c>
      <c r="M1468" s="14" t="str">
        <f>IFERROR(MOD(TIMEVALUE(RTD("ice.rtd",,$C1468 &amp; $D1468 &amp; ":" &amp; M$1)), 1), "")</f>
        <v/>
      </c>
      <c r="N1468" s="36">
        <f>RTD("ice.rtd",,$C1468 &amp; $D1468 &amp; ":" &amp; N$1)</f>
        <v>0</v>
      </c>
      <c r="O1468" s="36">
        <f>RTD("ice.rtd",,$C1468 &amp; $D1468 &amp; ":" &amp; O$1)</f>
        <v>0</v>
      </c>
      <c r="P14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8" s="14" t="str">
        <f>IF(ICE[[#This Row],[LastType]] = "Scrn", ICE[[#This Row],[LstDate]], IF(ICE[[#This Row],[LastType]] = "Blk", ICE[[#This Row],[LstBlkTime]], ""))</f>
        <v/>
      </c>
      <c r="R1468" s="41" t="str">
        <f>IF(ICE[[#This Row],[LastType]] = "Scrn", ICE[[#This Row],[LstPrc]], IF(ICE[[#This Row],[LastType]] = "Blk", ICE[[#This Row],[LstBlkPrc]], ""))</f>
        <v/>
      </c>
      <c r="S1468" s="36">
        <f>ICE[[#This Row],[Vol]]+ICE[[#This Row],[BlkVol]]</f>
        <v>0</v>
      </c>
      <c r="T1468" s="36">
        <f>RTD("ice.rtd",,$C1468 &amp; $D1468 &amp; ":" &amp; T$1)</f>
        <v>274</v>
      </c>
      <c r="U1468" s="18">
        <f>RTD("ice.rtd",,$C1468 &amp; $D1468 &amp; ":" &amp; U$1)</f>
        <v>0.93500000000000005</v>
      </c>
      <c r="V14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8" s="18" t="str">
        <f>IFERROR(IF(LEFT(ICE[[#This Row],[Tenor]], 1) = "B", RTD("esrtd",,$B1468 &amp; " " &amp; ICE[[#This Row],[Tenor]] &amp; "-IEU", W$1), RTD("esrtd",,$B1468 &amp; " " &amp; VLOOKUP(MONTH(ICE[[#This Row],[Strip]]), MthRef[], 2, 0) &amp; RIGHT(YEAR(ICE[[#This Row],[Strip]]), 2) &amp; "-IEU", W$1)), "")</f>
        <v/>
      </c>
      <c r="X1468" s="36"/>
    </row>
    <row r="1469" spans="1:24" x14ac:dyDescent="0.25">
      <c r="A1469" s="37" t="s">
        <v>377</v>
      </c>
      <c r="B1469" s="88" t="str">
        <f>RTD("ice.rtd",,$C1469 &amp; $D1469 &amp; ":" &amp; B$1)</f>
        <v>ISO</v>
      </c>
      <c r="C1469" s="3">
        <v>16341514</v>
      </c>
      <c r="D1469" t="s">
        <v>805</v>
      </c>
      <c r="E1469" s="3" t="str">
        <f>RTD("ice.rtd",,$C1469 &amp; $D1469 &amp; ":" &amp; E$1)</f>
        <v>Jan28</v>
      </c>
      <c r="F1469" s="3" t="str">
        <f>ICE[[#This Row],[Prod]]&amp;ICE[[#This Row],[Strip]]</f>
        <v>ic4ntetJan28</v>
      </c>
      <c r="G1469" s="18" t="str">
        <f>RTD("ice.rtd",,$C1469 &amp; $D1469 &amp; ":" &amp; G$1)</f>
        <v/>
      </c>
      <c r="H1469" s="18" t="str">
        <f>RTD("ice.rtd",,$C1469 &amp; $D1469 &amp; ":" &amp; H$1)</f>
        <v/>
      </c>
      <c r="I1469" s="18" t="str">
        <f>RTD("ice.rtd",,$C1469 &amp; $D1469 &amp; ":" &amp; I$1)</f>
        <v/>
      </c>
      <c r="J1469" s="14" t="str">
        <f>IFERROR(MOD(RTD("ice.rtd",,$C1469 &amp; $D1469 &amp; ":" &amp; J$1), 1), "")</f>
        <v/>
      </c>
      <c r="K1469" s="18" t="str">
        <f>RTD("ice.rtd",,$C1469 &amp; $D1469 &amp; ":" &amp; K$1)</f>
        <v/>
      </c>
      <c r="L1469" s="36" t="str">
        <f>RTD("ice.rtd",,$C1469 &amp; $D1469 &amp; ":" &amp; L$1)</f>
        <v/>
      </c>
      <c r="M1469" s="14" t="str">
        <f>IFERROR(MOD(TIMEVALUE(RTD("ice.rtd",,$C1469 &amp; $D1469 &amp; ":" &amp; M$1)), 1), "")</f>
        <v/>
      </c>
      <c r="N1469" s="36">
        <f>RTD("ice.rtd",,$C1469 &amp; $D1469 &amp; ":" &amp; N$1)</f>
        <v>0</v>
      </c>
      <c r="O1469" s="36">
        <f>RTD("ice.rtd",,$C1469 &amp; $D1469 &amp; ":" &amp; O$1)</f>
        <v>0</v>
      </c>
      <c r="P14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69" s="14" t="str">
        <f>IF(ICE[[#This Row],[LastType]] = "Scrn", ICE[[#This Row],[LstDate]], IF(ICE[[#This Row],[LastType]] = "Blk", ICE[[#This Row],[LstBlkTime]], ""))</f>
        <v/>
      </c>
      <c r="R1469" s="41" t="str">
        <f>IF(ICE[[#This Row],[LastType]] = "Scrn", ICE[[#This Row],[LstPrc]], IF(ICE[[#This Row],[LastType]] = "Blk", ICE[[#This Row],[LstBlkPrc]], ""))</f>
        <v/>
      </c>
      <c r="S1469" s="36">
        <f>ICE[[#This Row],[Vol]]+ICE[[#This Row],[BlkVol]]</f>
        <v>0</v>
      </c>
      <c r="T1469" s="36">
        <f>RTD("ice.rtd",,$C1469 &amp; $D1469 &amp; ":" &amp; T$1)</f>
        <v>126</v>
      </c>
      <c r="U1469" s="18">
        <f>RTD("ice.rtd",,$C1469 &amp; $D1469 &amp; ":" &amp; U$1)</f>
        <v>0.93874999999999997</v>
      </c>
      <c r="V14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69" s="18" t="str">
        <f>IFERROR(IF(LEFT(ICE[[#This Row],[Tenor]], 1) = "B", RTD("esrtd",,$B1469 &amp; " " &amp; ICE[[#This Row],[Tenor]] &amp; "-IEU", W$1), RTD("esrtd",,$B1469 &amp; " " &amp; VLOOKUP(MONTH(ICE[[#This Row],[Strip]]), MthRef[], 2, 0) &amp; RIGHT(YEAR(ICE[[#This Row],[Strip]]), 2) &amp; "-IEU", W$1)), "")</f>
        <v/>
      </c>
      <c r="X1469" s="36"/>
    </row>
    <row r="1470" spans="1:24" x14ac:dyDescent="0.25">
      <c r="A1470" s="37" t="s">
        <v>377</v>
      </c>
      <c r="B1470" s="88" t="str">
        <f>RTD("ice.rtd",,$C1470 &amp; $D1470 &amp; ":" &amp; B$1)</f>
        <v>ISO</v>
      </c>
      <c r="C1470" s="3">
        <v>16341514</v>
      </c>
      <c r="D1470" t="s">
        <v>806</v>
      </c>
      <c r="E1470" s="3" t="str">
        <f>RTD("ice.rtd",,$C1470 &amp; $D1470 &amp; ":" &amp; E$1)</f>
        <v>Feb28</v>
      </c>
      <c r="F1470" s="3" t="str">
        <f>ICE[[#This Row],[Prod]]&amp;ICE[[#This Row],[Strip]]</f>
        <v>ic4ntetFeb28</v>
      </c>
      <c r="G1470" s="18" t="str">
        <f>RTD("ice.rtd",,$C1470 &amp; $D1470 &amp; ":" &amp; G$1)</f>
        <v/>
      </c>
      <c r="H1470" s="18" t="str">
        <f>RTD("ice.rtd",,$C1470 &amp; $D1470 &amp; ":" &amp; H$1)</f>
        <v/>
      </c>
      <c r="I1470" s="18" t="str">
        <f>RTD("ice.rtd",,$C1470 &amp; $D1470 &amp; ":" &amp; I$1)</f>
        <v/>
      </c>
      <c r="J1470" s="14" t="str">
        <f>IFERROR(MOD(RTD("ice.rtd",,$C1470 &amp; $D1470 &amp; ":" &amp; J$1), 1), "")</f>
        <v/>
      </c>
      <c r="K1470" s="18" t="str">
        <f>RTD("ice.rtd",,$C1470 &amp; $D1470 &amp; ":" &amp; K$1)</f>
        <v/>
      </c>
      <c r="L1470" s="36" t="str">
        <f>RTD("ice.rtd",,$C1470 &amp; $D1470 &amp; ":" &amp; L$1)</f>
        <v/>
      </c>
      <c r="M1470" s="14" t="str">
        <f>IFERROR(MOD(TIMEVALUE(RTD("ice.rtd",,$C1470 &amp; $D1470 &amp; ":" &amp; M$1)), 1), "")</f>
        <v/>
      </c>
      <c r="N1470" s="36">
        <f>RTD("ice.rtd",,$C1470 &amp; $D1470 &amp; ":" &amp; N$1)</f>
        <v>0</v>
      </c>
      <c r="O1470" s="36">
        <f>RTD("ice.rtd",,$C1470 &amp; $D1470 &amp; ":" &amp; O$1)</f>
        <v>0</v>
      </c>
      <c r="P14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0" s="14" t="str">
        <f>IF(ICE[[#This Row],[LastType]] = "Scrn", ICE[[#This Row],[LstDate]], IF(ICE[[#This Row],[LastType]] = "Blk", ICE[[#This Row],[LstBlkTime]], ""))</f>
        <v/>
      </c>
      <c r="R1470" s="41" t="str">
        <f>IF(ICE[[#This Row],[LastType]] = "Scrn", ICE[[#This Row],[LstPrc]], IF(ICE[[#This Row],[LastType]] = "Blk", ICE[[#This Row],[LstBlkPrc]], ""))</f>
        <v/>
      </c>
      <c r="S1470" s="36">
        <f>ICE[[#This Row],[Vol]]+ICE[[#This Row],[BlkVol]]</f>
        <v>0</v>
      </c>
      <c r="T1470" s="36">
        <f>RTD("ice.rtd",,$C1470 &amp; $D1470 &amp; ":" &amp; T$1)</f>
        <v>125</v>
      </c>
      <c r="U1470" s="18">
        <f>RTD("ice.rtd",,$C1470 &amp; $D1470 &amp; ":" &amp; U$1)</f>
        <v>0.92874999999999996</v>
      </c>
      <c r="V14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0" s="18" t="str">
        <f>IFERROR(IF(LEFT(ICE[[#This Row],[Tenor]], 1) = "B", RTD("esrtd",,$B1470 &amp; " " &amp; ICE[[#This Row],[Tenor]] &amp; "-IEU", W$1), RTD("esrtd",,$B1470 &amp; " " &amp; VLOOKUP(MONTH(ICE[[#This Row],[Strip]]), MthRef[], 2, 0) &amp; RIGHT(YEAR(ICE[[#This Row],[Strip]]), 2) &amp; "-IEU", W$1)), "")</f>
        <v/>
      </c>
      <c r="X1470" s="36"/>
    </row>
    <row r="1471" spans="1:24" x14ac:dyDescent="0.25">
      <c r="A1471" s="37" t="s">
        <v>377</v>
      </c>
      <c r="B1471" s="88" t="str">
        <f>RTD("ice.rtd",,$C1471 &amp; $D1471 &amp; ":" &amp; B$1)</f>
        <v>ISO</v>
      </c>
      <c r="C1471" s="3">
        <v>16341514</v>
      </c>
      <c r="D1471" t="s">
        <v>807</v>
      </c>
      <c r="E1471" s="3" t="str">
        <f>RTD("ice.rtd",,$C1471 &amp; $D1471 &amp; ":" &amp; E$1)</f>
        <v>Mar28</v>
      </c>
      <c r="F1471" s="3" t="str">
        <f>ICE[[#This Row],[Prod]]&amp;ICE[[#This Row],[Strip]]</f>
        <v>ic4ntetMar28</v>
      </c>
      <c r="G1471" s="18" t="str">
        <f>RTD("ice.rtd",,$C1471 &amp; $D1471 &amp; ":" &amp; G$1)</f>
        <v/>
      </c>
      <c r="H1471" s="18" t="str">
        <f>RTD("ice.rtd",,$C1471 &amp; $D1471 &amp; ":" &amp; H$1)</f>
        <v/>
      </c>
      <c r="I1471" s="18" t="str">
        <f>RTD("ice.rtd",,$C1471 &amp; $D1471 &amp; ":" &amp; I$1)</f>
        <v/>
      </c>
      <c r="J1471" s="14" t="str">
        <f>IFERROR(MOD(RTD("ice.rtd",,$C1471 &amp; $D1471 &amp; ":" &amp; J$1), 1), "")</f>
        <v/>
      </c>
      <c r="K1471" s="18" t="str">
        <f>RTD("ice.rtd",,$C1471 &amp; $D1471 &amp; ":" &amp; K$1)</f>
        <v/>
      </c>
      <c r="L1471" s="36" t="str">
        <f>RTD("ice.rtd",,$C1471 &amp; $D1471 &amp; ":" &amp; L$1)</f>
        <v/>
      </c>
      <c r="M1471" s="14" t="str">
        <f>IFERROR(MOD(TIMEVALUE(RTD("ice.rtd",,$C1471 &amp; $D1471 &amp; ":" &amp; M$1)), 1), "")</f>
        <v/>
      </c>
      <c r="N1471" s="36">
        <f>RTD("ice.rtd",,$C1471 &amp; $D1471 &amp; ":" &amp; N$1)</f>
        <v>0</v>
      </c>
      <c r="O1471" s="36">
        <f>RTD("ice.rtd",,$C1471 &amp; $D1471 &amp; ":" &amp; O$1)</f>
        <v>0</v>
      </c>
      <c r="P14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1" s="14" t="str">
        <f>IF(ICE[[#This Row],[LastType]] = "Scrn", ICE[[#This Row],[LstDate]], IF(ICE[[#This Row],[LastType]] = "Blk", ICE[[#This Row],[LstBlkTime]], ""))</f>
        <v/>
      </c>
      <c r="R1471" s="41" t="str">
        <f>IF(ICE[[#This Row],[LastType]] = "Scrn", ICE[[#This Row],[LstPrc]], IF(ICE[[#This Row],[LastType]] = "Blk", ICE[[#This Row],[LstBlkPrc]], ""))</f>
        <v/>
      </c>
      <c r="S1471" s="36">
        <f>ICE[[#This Row],[Vol]]+ICE[[#This Row],[BlkVol]]</f>
        <v>0</v>
      </c>
      <c r="T1471" s="36">
        <f>RTD("ice.rtd",,$C1471 &amp; $D1471 &amp; ":" &amp; T$1)</f>
        <v>125</v>
      </c>
      <c r="U1471" s="18">
        <f>RTD("ice.rtd",,$C1471 &amp; $D1471 &amp; ":" &amp; U$1)</f>
        <v>0.89374999999999993</v>
      </c>
      <c r="V14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1" s="18" t="str">
        <f>IFERROR(IF(LEFT(ICE[[#This Row],[Tenor]], 1) = "B", RTD("esrtd",,$B1471 &amp; " " &amp; ICE[[#This Row],[Tenor]] &amp; "-IEU", W$1), RTD("esrtd",,$B1471 &amp; " " &amp; VLOOKUP(MONTH(ICE[[#This Row],[Strip]]), MthRef[], 2, 0) &amp; RIGHT(YEAR(ICE[[#This Row],[Strip]]), 2) &amp; "-IEU", W$1)), "")</f>
        <v/>
      </c>
      <c r="X1471" s="36"/>
    </row>
    <row r="1472" spans="1:24" x14ac:dyDescent="0.25">
      <c r="A1472" s="37" t="s">
        <v>377</v>
      </c>
      <c r="B1472" s="88" t="str">
        <f>RTD("ice.rtd",,$C1472 &amp; $D1472 &amp; ":" &amp; B$1)</f>
        <v>ISO</v>
      </c>
      <c r="C1472" s="3">
        <v>16341514</v>
      </c>
      <c r="D1472" t="s">
        <v>808</v>
      </c>
      <c r="E1472" s="3" t="str">
        <f>RTD("ice.rtd",,$C1472 &amp; $D1472 &amp; ":" &amp; E$1)</f>
        <v>Apr28</v>
      </c>
      <c r="F1472" s="3" t="str">
        <f>ICE[[#This Row],[Prod]]&amp;ICE[[#This Row],[Strip]]</f>
        <v>ic4ntetApr28</v>
      </c>
      <c r="G1472" s="18" t="str">
        <f>RTD("ice.rtd",,$C1472 &amp; $D1472 &amp; ":" &amp; G$1)</f>
        <v/>
      </c>
      <c r="H1472" s="18" t="str">
        <f>RTD("ice.rtd",,$C1472 &amp; $D1472 &amp; ":" &amp; H$1)</f>
        <v/>
      </c>
      <c r="I1472" s="18" t="str">
        <f>RTD("ice.rtd",,$C1472 &amp; $D1472 &amp; ":" &amp; I$1)</f>
        <v/>
      </c>
      <c r="J1472" s="14" t="str">
        <f>IFERROR(MOD(RTD("ice.rtd",,$C1472 &amp; $D1472 &amp; ":" &amp; J$1), 1), "")</f>
        <v/>
      </c>
      <c r="K1472" s="18" t="str">
        <f>RTD("ice.rtd",,$C1472 &amp; $D1472 &amp; ":" &amp; K$1)</f>
        <v/>
      </c>
      <c r="L1472" s="36" t="str">
        <f>RTD("ice.rtd",,$C1472 &amp; $D1472 &amp; ":" &amp; L$1)</f>
        <v/>
      </c>
      <c r="M1472" s="14" t="str">
        <f>IFERROR(MOD(TIMEVALUE(RTD("ice.rtd",,$C1472 &amp; $D1472 &amp; ":" &amp; M$1)), 1), "")</f>
        <v/>
      </c>
      <c r="N1472" s="36">
        <f>RTD("ice.rtd",,$C1472 &amp; $D1472 &amp; ":" &amp; N$1)</f>
        <v>0</v>
      </c>
      <c r="O1472" s="36">
        <f>RTD("ice.rtd",,$C1472 &amp; $D1472 &amp; ":" &amp; O$1)</f>
        <v>0</v>
      </c>
      <c r="P14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2" s="14" t="str">
        <f>IF(ICE[[#This Row],[LastType]] = "Scrn", ICE[[#This Row],[LstDate]], IF(ICE[[#This Row],[LastType]] = "Blk", ICE[[#This Row],[LstBlkTime]], ""))</f>
        <v/>
      </c>
      <c r="R1472" s="41" t="str">
        <f>IF(ICE[[#This Row],[LastType]] = "Scrn", ICE[[#This Row],[LstPrc]], IF(ICE[[#This Row],[LastType]] = "Blk", ICE[[#This Row],[LstBlkPrc]], ""))</f>
        <v/>
      </c>
      <c r="S1472" s="36">
        <f>ICE[[#This Row],[Vol]]+ICE[[#This Row],[BlkVol]]</f>
        <v>0</v>
      </c>
      <c r="T1472" s="36">
        <f>RTD("ice.rtd",,$C1472 &amp; $D1472 &amp; ":" &amp; T$1)</f>
        <v>125</v>
      </c>
      <c r="U1472" s="18">
        <f>RTD("ice.rtd",,$C1472 &amp; $D1472 &amp; ":" &amp; U$1)</f>
        <v>0.87250000000000005</v>
      </c>
      <c r="V14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2" s="18" t="str">
        <f>IFERROR(IF(LEFT(ICE[[#This Row],[Tenor]], 1) = "B", RTD("esrtd",,$B1472 &amp; " " &amp; ICE[[#This Row],[Tenor]] &amp; "-IEU", W$1), RTD("esrtd",,$B1472 &amp; " " &amp; VLOOKUP(MONTH(ICE[[#This Row],[Strip]]), MthRef[], 2, 0) &amp; RIGHT(YEAR(ICE[[#This Row],[Strip]]), 2) &amp; "-IEU", W$1)), "")</f>
        <v/>
      </c>
      <c r="X1472" s="36"/>
    </row>
    <row r="1473" spans="1:24" x14ac:dyDescent="0.25">
      <c r="A1473" s="37" t="s">
        <v>377</v>
      </c>
      <c r="B1473" s="88" t="str">
        <f>RTD("ice.rtd",,$C1473 &amp; $D1473 &amp; ":" &amp; B$1)</f>
        <v>ISO</v>
      </c>
      <c r="C1473" s="3">
        <v>16341514</v>
      </c>
      <c r="D1473" t="s">
        <v>809</v>
      </c>
      <c r="E1473" s="3" t="str">
        <f>RTD("ice.rtd",,$C1473 &amp; $D1473 &amp; ":" &amp; E$1)</f>
        <v>May28</v>
      </c>
      <c r="F1473" s="3" t="str">
        <f>ICE[[#This Row],[Prod]]&amp;ICE[[#This Row],[Strip]]</f>
        <v>ic4ntetMay28</v>
      </c>
      <c r="G1473" s="18" t="str">
        <f>RTD("ice.rtd",,$C1473 &amp; $D1473 &amp; ":" &amp; G$1)</f>
        <v/>
      </c>
      <c r="H1473" s="18" t="str">
        <f>RTD("ice.rtd",,$C1473 &amp; $D1473 &amp; ":" &amp; H$1)</f>
        <v/>
      </c>
      <c r="I1473" s="18" t="str">
        <f>RTD("ice.rtd",,$C1473 &amp; $D1473 &amp; ":" &amp; I$1)</f>
        <v/>
      </c>
      <c r="J1473" s="14" t="str">
        <f>IFERROR(MOD(RTD("ice.rtd",,$C1473 &amp; $D1473 &amp; ":" &amp; J$1), 1), "")</f>
        <v/>
      </c>
      <c r="K1473" s="18" t="str">
        <f>RTD("ice.rtd",,$C1473 &amp; $D1473 &amp; ":" &amp; K$1)</f>
        <v/>
      </c>
      <c r="L1473" s="36" t="str">
        <f>RTD("ice.rtd",,$C1473 &amp; $D1473 &amp; ":" &amp; L$1)</f>
        <v/>
      </c>
      <c r="M1473" s="14" t="str">
        <f>IFERROR(MOD(TIMEVALUE(RTD("ice.rtd",,$C1473 &amp; $D1473 &amp; ":" &amp; M$1)), 1), "")</f>
        <v/>
      </c>
      <c r="N1473" s="36">
        <f>RTD("ice.rtd",,$C1473 &amp; $D1473 &amp; ":" &amp; N$1)</f>
        <v>0</v>
      </c>
      <c r="O1473" s="36">
        <f>RTD("ice.rtd",,$C1473 &amp; $D1473 &amp; ":" &amp; O$1)</f>
        <v>0</v>
      </c>
      <c r="P14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3" s="14" t="str">
        <f>IF(ICE[[#This Row],[LastType]] = "Scrn", ICE[[#This Row],[LstDate]], IF(ICE[[#This Row],[LastType]] = "Blk", ICE[[#This Row],[LstBlkTime]], ""))</f>
        <v/>
      </c>
      <c r="R1473" s="41" t="str">
        <f>IF(ICE[[#This Row],[LastType]] = "Scrn", ICE[[#This Row],[LstPrc]], IF(ICE[[#This Row],[LastType]] = "Blk", ICE[[#This Row],[LstBlkPrc]], ""))</f>
        <v/>
      </c>
      <c r="S1473" s="36">
        <f>ICE[[#This Row],[Vol]]+ICE[[#This Row],[BlkVol]]</f>
        <v>0</v>
      </c>
      <c r="T1473" s="36">
        <f>RTD("ice.rtd",,$C1473 &amp; $D1473 &amp; ":" &amp; T$1)</f>
        <v>125</v>
      </c>
      <c r="U1473" s="18">
        <f>RTD("ice.rtd",,$C1473 &amp; $D1473 &amp; ":" &amp; U$1)</f>
        <v>0.87124999999999997</v>
      </c>
      <c r="V14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3" s="18" t="str">
        <f>IFERROR(IF(LEFT(ICE[[#This Row],[Tenor]], 1) = "B", RTD("esrtd",,$B1473 &amp; " " &amp; ICE[[#This Row],[Tenor]] &amp; "-IEU", W$1), RTD("esrtd",,$B1473 &amp; " " &amp; VLOOKUP(MONTH(ICE[[#This Row],[Strip]]), MthRef[], 2, 0) &amp; RIGHT(YEAR(ICE[[#This Row],[Strip]]), 2) &amp; "-IEU", W$1)), "")</f>
        <v/>
      </c>
      <c r="X1473" s="36"/>
    </row>
    <row r="1474" spans="1:24" x14ac:dyDescent="0.25">
      <c r="A1474" s="37" t="s">
        <v>377</v>
      </c>
      <c r="B1474" s="88" t="str">
        <f>RTD("ice.rtd",,$C1474 &amp; $D1474 &amp; ":" &amp; B$1)</f>
        <v>ISO</v>
      </c>
      <c r="C1474" s="3">
        <v>16341514</v>
      </c>
      <c r="D1474" t="s">
        <v>810</v>
      </c>
      <c r="E1474" s="3" t="str">
        <f>RTD("ice.rtd",,$C1474 &amp; $D1474 &amp; ":" &amp; E$1)</f>
        <v>Jun28</v>
      </c>
      <c r="F1474" s="3" t="str">
        <f>ICE[[#This Row],[Prod]]&amp;ICE[[#This Row],[Strip]]</f>
        <v>ic4ntetJun28</v>
      </c>
      <c r="G1474" s="18" t="str">
        <f>RTD("ice.rtd",,$C1474 &amp; $D1474 &amp; ":" &amp; G$1)</f>
        <v/>
      </c>
      <c r="H1474" s="18" t="str">
        <f>RTD("ice.rtd",,$C1474 &amp; $D1474 &amp; ":" &amp; H$1)</f>
        <v/>
      </c>
      <c r="I1474" s="18" t="str">
        <f>RTD("ice.rtd",,$C1474 &amp; $D1474 &amp; ":" &amp; I$1)</f>
        <v/>
      </c>
      <c r="J1474" s="14" t="str">
        <f>IFERROR(MOD(RTD("ice.rtd",,$C1474 &amp; $D1474 &amp; ":" &amp; J$1), 1), "")</f>
        <v/>
      </c>
      <c r="K1474" s="18" t="str">
        <f>RTD("ice.rtd",,$C1474 &amp; $D1474 &amp; ":" &amp; K$1)</f>
        <v/>
      </c>
      <c r="L1474" s="36" t="str">
        <f>RTD("ice.rtd",,$C1474 &amp; $D1474 &amp; ":" &amp; L$1)</f>
        <v/>
      </c>
      <c r="M1474" s="14" t="str">
        <f>IFERROR(MOD(TIMEVALUE(RTD("ice.rtd",,$C1474 &amp; $D1474 &amp; ":" &amp; M$1)), 1), "")</f>
        <v/>
      </c>
      <c r="N1474" s="36">
        <f>RTD("ice.rtd",,$C1474 &amp; $D1474 &amp; ":" &amp; N$1)</f>
        <v>0</v>
      </c>
      <c r="O1474" s="36">
        <f>RTD("ice.rtd",,$C1474 &amp; $D1474 &amp; ":" &amp; O$1)</f>
        <v>0</v>
      </c>
      <c r="P14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4" s="14" t="str">
        <f>IF(ICE[[#This Row],[LastType]] = "Scrn", ICE[[#This Row],[LstDate]], IF(ICE[[#This Row],[LastType]] = "Blk", ICE[[#This Row],[LstBlkTime]], ""))</f>
        <v/>
      </c>
      <c r="R1474" s="41" t="str">
        <f>IF(ICE[[#This Row],[LastType]] = "Scrn", ICE[[#This Row],[LstPrc]], IF(ICE[[#This Row],[LastType]] = "Blk", ICE[[#This Row],[LstBlkPrc]], ""))</f>
        <v/>
      </c>
      <c r="S1474" s="36">
        <f>ICE[[#This Row],[Vol]]+ICE[[#This Row],[BlkVol]]</f>
        <v>0</v>
      </c>
      <c r="T1474" s="36">
        <f>RTD("ice.rtd",,$C1474 &amp; $D1474 &amp; ":" &amp; T$1)</f>
        <v>125</v>
      </c>
      <c r="U1474" s="18">
        <f>RTD("ice.rtd",,$C1474 &amp; $D1474 &amp; ":" &amp; U$1)</f>
        <v>0.87374999999999992</v>
      </c>
      <c r="V14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4" s="18" t="str">
        <f>IFERROR(IF(LEFT(ICE[[#This Row],[Tenor]], 1) = "B", RTD("esrtd",,$B1474 &amp; " " &amp; ICE[[#This Row],[Tenor]] &amp; "-IEU", W$1), RTD("esrtd",,$B1474 &amp; " " &amp; VLOOKUP(MONTH(ICE[[#This Row],[Strip]]), MthRef[], 2, 0) &amp; RIGHT(YEAR(ICE[[#This Row],[Strip]]), 2) &amp; "-IEU", W$1)), "")</f>
        <v/>
      </c>
      <c r="X1474" s="36"/>
    </row>
    <row r="1475" spans="1:24" x14ac:dyDescent="0.25">
      <c r="A1475" s="37" t="s">
        <v>377</v>
      </c>
      <c r="B1475" s="88" t="str">
        <f>RTD("ice.rtd",,$C1475 &amp; $D1475 &amp; ":" &amp; B$1)</f>
        <v>ISO</v>
      </c>
      <c r="C1475" s="3">
        <v>16341514</v>
      </c>
      <c r="D1475" t="s">
        <v>811</v>
      </c>
      <c r="E1475" s="3" t="str">
        <f>RTD("ice.rtd",,$C1475 &amp; $D1475 &amp; ":" &amp; E$1)</f>
        <v>Jul28</v>
      </c>
      <c r="F1475" s="3" t="str">
        <f>ICE[[#This Row],[Prod]]&amp;ICE[[#This Row],[Strip]]</f>
        <v>ic4ntetJul28</v>
      </c>
      <c r="G1475" s="18" t="str">
        <f>RTD("ice.rtd",,$C1475 &amp; $D1475 &amp; ":" &amp; G$1)</f>
        <v/>
      </c>
      <c r="H1475" s="18" t="str">
        <f>RTD("ice.rtd",,$C1475 &amp; $D1475 &amp; ":" &amp; H$1)</f>
        <v/>
      </c>
      <c r="I1475" s="18" t="str">
        <f>RTD("ice.rtd",,$C1475 &amp; $D1475 &amp; ":" &amp; I$1)</f>
        <v/>
      </c>
      <c r="J1475" s="14" t="str">
        <f>IFERROR(MOD(RTD("ice.rtd",,$C1475 &amp; $D1475 &amp; ":" &amp; J$1), 1), "")</f>
        <v/>
      </c>
      <c r="K1475" s="18" t="str">
        <f>RTD("ice.rtd",,$C1475 &amp; $D1475 &amp; ":" &amp; K$1)</f>
        <v/>
      </c>
      <c r="L1475" s="36" t="str">
        <f>RTD("ice.rtd",,$C1475 &amp; $D1475 &amp; ":" &amp; L$1)</f>
        <v/>
      </c>
      <c r="M1475" s="14" t="str">
        <f>IFERROR(MOD(TIMEVALUE(RTD("ice.rtd",,$C1475 &amp; $D1475 &amp; ":" &amp; M$1)), 1), "")</f>
        <v/>
      </c>
      <c r="N1475" s="36">
        <f>RTD("ice.rtd",,$C1475 &amp; $D1475 &amp; ":" &amp; N$1)</f>
        <v>0</v>
      </c>
      <c r="O1475" s="36">
        <f>RTD("ice.rtd",,$C1475 &amp; $D1475 &amp; ":" &amp; O$1)</f>
        <v>0</v>
      </c>
      <c r="P14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5" s="14" t="str">
        <f>IF(ICE[[#This Row],[LastType]] = "Scrn", ICE[[#This Row],[LstDate]], IF(ICE[[#This Row],[LastType]] = "Blk", ICE[[#This Row],[LstBlkTime]], ""))</f>
        <v/>
      </c>
      <c r="R1475" s="41" t="str">
        <f>IF(ICE[[#This Row],[LastType]] = "Scrn", ICE[[#This Row],[LstPrc]], IF(ICE[[#This Row],[LastType]] = "Blk", ICE[[#This Row],[LstBlkPrc]], ""))</f>
        <v/>
      </c>
      <c r="S1475" s="36">
        <f>ICE[[#This Row],[Vol]]+ICE[[#This Row],[BlkVol]]</f>
        <v>0</v>
      </c>
      <c r="T1475" s="36">
        <f>RTD("ice.rtd",,$C1475 &amp; $D1475 &amp; ":" &amp; T$1)</f>
        <v>145</v>
      </c>
      <c r="U1475" s="18">
        <f>RTD("ice.rtd",,$C1475 &amp; $D1475 &amp; ":" &amp; U$1)</f>
        <v>0.88124999999999998</v>
      </c>
      <c r="V14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5" s="18" t="str">
        <f>IFERROR(IF(LEFT(ICE[[#This Row],[Tenor]], 1) = "B", RTD("esrtd",,$B1475 &amp; " " &amp; ICE[[#This Row],[Tenor]] &amp; "-IEU", W$1), RTD("esrtd",,$B1475 &amp; " " &amp; VLOOKUP(MONTH(ICE[[#This Row],[Strip]]), MthRef[], 2, 0) &amp; RIGHT(YEAR(ICE[[#This Row],[Strip]]), 2) &amp; "-IEU", W$1)), "")</f>
        <v/>
      </c>
      <c r="X1475" s="36"/>
    </row>
    <row r="1476" spans="1:24" x14ac:dyDescent="0.25">
      <c r="A1476" s="37" t="s">
        <v>377</v>
      </c>
      <c r="B1476" s="88" t="str">
        <f>RTD("ice.rtd",,$C1476 &amp; $D1476 &amp; ":" &amp; B$1)</f>
        <v>ISO</v>
      </c>
      <c r="C1476" s="3">
        <v>16341514</v>
      </c>
      <c r="D1476" t="s">
        <v>812</v>
      </c>
      <c r="E1476" s="3" t="str">
        <f>RTD("ice.rtd",,$C1476 &amp; $D1476 &amp; ":" &amp; E$1)</f>
        <v>Aug28</v>
      </c>
      <c r="F1476" s="3" t="str">
        <f>ICE[[#This Row],[Prod]]&amp;ICE[[#This Row],[Strip]]</f>
        <v>ic4ntetAug28</v>
      </c>
      <c r="G1476" s="18" t="str">
        <f>RTD("ice.rtd",,$C1476 &amp; $D1476 &amp; ":" &amp; G$1)</f>
        <v/>
      </c>
      <c r="H1476" s="18" t="str">
        <f>RTD("ice.rtd",,$C1476 &amp; $D1476 &amp; ":" &amp; H$1)</f>
        <v/>
      </c>
      <c r="I1476" s="18" t="str">
        <f>RTD("ice.rtd",,$C1476 &amp; $D1476 &amp; ":" &amp; I$1)</f>
        <v/>
      </c>
      <c r="J1476" s="14" t="str">
        <f>IFERROR(MOD(RTD("ice.rtd",,$C1476 &amp; $D1476 &amp; ":" &amp; J$1), 1), "")</f>
        <v/>
      </c>
      <c r="K1476" s="18" t="str">
        <f>RTD("ice.rtd",,$C1476 &amp; $D1476 &amp; ":" &amp; K$1)</f>
        <v/>
      </c>
      <c r="L1476" s="36" t="str">
        <f>RTD("ice.rtd",,$C1476 &amp; $D1476 &amp; ":" &amp; L$1)</f>
        <v/>
      </c>
      <c r="M1476" s="14" t="str">
        <f>IFERROR(MOD(TIMEVALUE(RTD("ice.rtd",,$C1476 &amp; $D1476 &amp; ":" &amp; M$1)), 1), "")</f>
        <v/>
      </c>
      <c r="N1476" s="36">
        <f>RTD("ice.rtd",,$C1476 &amp; $D1476 &amp; ":" &amp; N$1)</f>
        <v>0</v>
      </c>
      <c r="O1476" s="36">
        <f>RTD("ice.rtd",,$C1476 &amp; $D1476 &amp; ":" &amp; O$1)</f>
        <v>0</v>
      </c>
      <c r="P14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6" s="14" t="str">
        <f>IF(ICE[[#This Row],[LastType]] = "Scrn", ICE[[#This Row],[LstDate]], IF(ICE[[#This Row],[LastType]] = "Blk", ICE[[#This Row],[LstBlkTime]], ""))</f>
        <v/>
      </c>
      <c r="R1476" s="41" t="str">
        <f>IF(ICE[[#This Row],[LastType]] = "Scrn", ICE[[#This Row],[LstPrc]], IF(ICE[[#This Row],[LastType]] = "Blk", ICE[[#This Row],[LstBlkPrc]], ""))</f>
        <v/>
      </c>
      <c r="S1476" s="36">
        <f>ICE[[#This Row],[Vol]]+ICE[[#This Row],[BlkVol]]</f>
        <v>0</v>
      </c>
      <c r="T1476" s="36">
        <f>RTD("ice.rtd",,$C1476 &amp; $D1476 &amp; ":" &amp; T$1)</f>
        <v>145</v>
      </c>
      <c r="U1476" s="18">
        <f>RTD("ice.rtd",,$C1476 &amp; $D1476 &amp; ":" &amp; U$1)</f>
        <v>0.88374999999999992</v>
      </c>
      <c r="V14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6" s="18" t="str">
        <f>IFERROR(IF(LEFT(ICE[[#This Row],[Tenor]], 1) = "B", RTD("esrtd",,$B1476 &amp; " " &amp; ICE[[#This Row],[Tenor]] &amp; "-IEU", W$1), RTD("esrtd",,$B1476 &amp; " " &amp; VLOOKUP(MONTH(ICE[[#This Row],[Strip]]), MthRef[], 2, 0) &amp; RIGHT(YEAR(ICE[[#This Row],[Strip]]), 2) &amp; "-IEU", W$1)), "")</f>
        <v/>
      </c>
      <c r="X1476" s="36"/>
    </row>
    <row r="1477" spans="1:24" x14ac:dyDescent="0.25">
      <c r="A1477" s="37" t="s">
        <v>377</v>
      </c>
      <c r="B1477" s="88" t="str">
        <f>RTD("ice.rtd",,$C1477 &amp; $D1477 &amp; ":" &amp; B$1)</f>
        <v>ISO</v>
      </c>
      <c r="C1477" s="3">
        <v>16341514</v>
      </c>
      <c r="D1477" t="s">
        <v>813</v>
      </c>
      <c r="E1477" s="3" t="str">
        <f>RTD("ice.rtd",,$C1477 &amp; $D1477 &amp; ":" &amp; E$1)</f>
        <v>Sep28</v>
      </c>
      <c r="F1477" s="3" t="str">
        <f>ICE[[#This Row],[Prod]]&amp;ICE[[#This Row],[Strip]]</f>
        <v>ic4ntetSep28</v>
      </c>
      <c r="G1477" s="18" t="str">
        <f>RTD("ice.rtd",,$C1477 &amp; $D1477 &amp; ":" &amp; G$1)</f>
        <v/>
      </c>
      <c r="H1477" s="18" t="str">
        <f>RTD("ice.rtd",,$C1477 &amp; $D1477 &amp; ":" &amp; H$1)</f>
        <v/>
      </c>
      <c r="I1477" s="18" t="str">
        <f>RTD("ice.rtd",,$C1477 &amp; $D1477 &amp; ":" &amp; I$1)</f>
        <v/>
      </c>
      <c r="J1477" s="14" t="str">
        <f>IFERROR(MOD(RTD("ice.rtd",,$C1477 &amp; $D1477 &amp; ":" &amp; J$1), 1), "")</f>
        <v/>
      </c>
      <c r="K1477" s="18" t="str">
        <f>RTD("ice.rtd",,$C1477 &amp; $D1477 &amp; ":" &amp; K$1)</f>
        <v/>
      </c>
      <c r="L1477" s="36" t="str">
        <f>RTD("ice.rtd",,$C1477 &amp; $D1477 &amp; ":" &amp; L$1)</f>
        <v/>
      </c>
      <c r="M1477" s="14" t="str">
        <f>IFERROR(MOD(TIMEVALUE(RTD("ice.rtd",,$C1477 &amp; $D1477 &amp; ":" &amp; M$1)), 1), "")</f>
        <v/>
      </c>
      <c r="N1477" s="36">
        <f>RTD("ice.rtd",,$C1477 &amp; $D1477 &amp; ":" &amp; N$1)</f>
        <v>0</v>
      </c>
      <c r="O1477" s="36">
        <f>RTD("ice.rtd",,$C1477 &amp; $D1477 &amp; ":" &amp; O$1)</f>
        <v>0</v>
      </c>
      <c r="P14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7" s="14" t="str">
        <f>IF(ICE[[#This Row],[LastType]] = "Scrn", ICE[[#This Row],[LstDate]], IF(ICE[[#This Row],[LastType]] = "Blk", ICE[[#This Row],[LstBlkTime]], ""))</f>
        <v/>
      </c>
      <c r="R1477" s="41" t="str">
        <f>IF(ICE[[#This Row],[LastType]] = "Scrn", ICE[[#This Row],[LstPrc]], IF(ICE[[#This Row],[LastType]] = "Blk", ICE[[#This Row],[LstBlkPrc]], ""))</f>
        <v/>
      </c>
      <c r="S1477" s="36">
        <f>ICE[[#This Row],[Vol]]+ICE[[#This Row],[BlkVol]]</f>
        <v>0</v>
      </c>
      <c r="T1477" s="36">
        <f>RTD("ice.rtd",,$C1477 &amp; $D1477 &amp; ":" &amp; T$1)</f>
        <v>145</v>
      </c>
      <c r="U1477" s="18">
        <f>RTD("ice.rtd",,$C1477 &amp; $D1477 &amp; ":" &amp; U$1)</f>
        <v>0.89124999999999999</v>
      </c>
      <c r="V14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7" s="18" t="str">
        <f>IFERROR(IF(LEFT(ICE[[#This Row],[Tenor]], 1) = "B", RTD("esrtd",,$B1477 &amp; " " &amp; ICE[[#This Row],[Tenor]] &amp; "-IEU", W$1), RTD("esrtd",,$B1477 &amp; " " &amp; VLOOKUP(MONTH(ICE[[#This Row],[Strip]]), MthRef[], 2, 0) &amp; RIGHT(YEAR(ICE[[#This Row],[Strip]]), 2) &amp; "-IEU", W$1)), "")</f>
        <v/>
      </c>
      <c r="X1477" s="36"/>
    </row>
    <row r="1478" spans="1:24" x14ac:dyDescent="0.25">
      <c r="A1478" s="37" t="s">
        <v>377</v>
      </c>
      <c r="B1478" s="88" t="str">
        <f>RTD("ice.rtd",,$C1478 &amp; $D1478 &amp; ":" &amp; B$1)</f>
        <v>ISO</v>
      </c>
      <c r="C1478" s="3">
        <v>16341514</v>
      </c>
      <c r="D1478" t="s">
        <v>814</v>
      </c>
      <c r="E1478" s="3" t="str">
        <f>RTD("ice.rtd",,$C1478 &amp; $D1478 &amp; ":" &amp; E$1)</f>
        <v>Q4 26</v>
      </c>
      <c r="F1478" s="3" t="str">
        <f>ICE[[#This Row],[Prod]]&amp;ICE[[#This Row],[Strip]]</f>
        <v>ic4ntetQ4 26</v>
      </c>
      <c r="G1478" s="18" t="str">
        <f>RTD("ice.rtd",,$C1478 &amp; $D1478 &amp; ":" &amp; G$1)</f>
        <v/>
      </c>
      <c r="H1478" s="18" t="str">
        <f>RTD("ice.rtd",,$C1478 &amp; $D1478 &amp; ":" &amp; H$1)</f>
        <v/>
      </c>
      <c r="I1478" s="18" t="str">
        <f>RTD("ice.rtd",,$C1478 &amp; $D1478 &amp; ":" &amp; I$1)</f>
        <v/>
      </c>
      <c r="J1478" s="14" t="str">
        <f>IFERROR(MOD(RTD("ice.rtd",,$C1478 &amp; $D1478 &amp; ":" &amp; J$1), 1), "")</f>
        <v/>
      </c>
      <c r="K1478" s="18" t="str">
        <f>RTD("ice.rtd",,$C1478 &amp; $D1478 &amp; ":" &amp; K$1)</f>
        <v/>
      </c>
      <c r="L1478" s="36" t="str">
        <f>RTD("ice.rtd",,$C1478 &amp; $D1478 &amp; ":" &amp; L$1)</f>
        <v/>
      </c>
      <c r="M1478" s="14" t="str">
        <f>IFERROR(MOD(TIMEVALUE(RTD("ice.rtd",,$C1478 &amp; $D1478 &amp; ":" &amp; M$1)), 1), "")</f>
        <v/>
      </c>
      <c r="N1478" s="36">
        <f>RTD("ice.rtd",,$C1478 &amp; $D1478 &amp; ":" &amp; N$1)</f>
        <v>0</v>
      </c>
      <c r="O1478" s="36">
        <f>RTD("ice.rtd",,$C1478 &amp; $D1478 &amp; ":" &amp; O$1)</f>
        <v>0</v>
      </c>
      <c r="P14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8" s="14" t="str">
        <f>IF(ICE[[#This Row],[LastType]] = "Scrn", ICE[[#This Row],[LstDate]], IF(ICE[[#This Row],[LastType]] = "Blk", ICE[[#This Row],[LstBlkTime]], ""))</f>
        <v/>
      </c>
      <c r="R1478" s="41" t="str">
        <f>IF(ICE[[#This Row],[LastType]] = "Scrn", ICE[[#This Row],[LstPrc]], IF(ICE[[#This Row],[LastType]] = "Blk", ICE[[#This Row],[LstBlkPrc]], ""))</f>
        <v/>
      </c>
      <c r="S1478" s="36">
        <f>ICE[[#This Row],[Vol]]+ICE[[#This Row],[BlkVol]]</f>
        <v>0</v>
      </c>
      <c r="T1478" s="36">
        <f>RTD("ice.rtd",,$C1478 &amp; $D1478 &amp; ":" &amp; T$1)</f>
        <v>0</v>
      </c>
      <c r="U1478" s="18">
        <f>RTD("ice.rtd",,$C1478 &amp; $D1478 &amp; ":" &amp; U$1)</f>
        <v>1.1775</v>
      </c>
      <c r="V14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8" s="18" t="str">
        <f>IFERROR(IF(LEFT(ICE[[#This Row],[Tenor]], 1) = "B", RTD("esrtd",,$B1478 &amp; " " &amp; ICE[[#This Row],[Tenor]] &amp; "-IEU", W$1), RTD("esrtd",,$B1478 &amp; " " &amp; VLOOKUP(MONTH(ICE[[#This Row],[Strip]]), MthRef[], 2, 0) &amp; RIGHT(YEAR(ICE[[#This Row],[Strip]]), 2) &amp; "-IEU", W$1)), "")</f>
        <v/>
      </c>
      <c r="X1478" s="36"/>
    </row>
    <row r="1479" spans="1:24" x14ac:dyDescent="0.25">
      <c r="A1479" s="37" t="s">
        <v>377</v>
      </c>
      <c r="B1479" s="88" t="str">
        <f>RTD("ice.rtd",,$C1479 &amp; $D1479 &amp; ":" &amp; B$1)</f>
        <v>ISO</v>
      </c>
      <c r="C1479" s="3">
        <v>16341514</v>
      </c>
      <c r="D1479" t="s">
        <v>815</v>
      </c>
      <c r="E1479" s="3" t="str">
        <f>RTD("ice.rtd",,$C1479 &amp; $D1479 &amp; ":" &amp; E$1)</f>
        <v>Q1 27</v>
      </c>
      <c r="F1479" s="3" t="str">
        <f>ICE[[#This Row],[Prod]]&amp;ICE[[#This Row],[Strip]]</f>
        <v>ic4ntetQ1 27</v>
      </c>
      <c r="G1479" s="18" t="str">
        <f>RTD("ice.rtd",,$C1479 &amp; $D1479 &amp; ":" &amp; G$1)</f>
        <v/>
      </c>
      <c r="H1479" s="18" t="str">
        <f>RTD("ice.rtd",,$C1479 &amp; $D1479 &amp; ":" &amp; H$1)</f>
        <v/>
      </c>
      <c r="I1479" s="18" t="str">
        <f>RTD("ice.rtd",,$C1479 &amp; $D1479 &amp; ":" &amp; I$1)</f>
        <v/>
      </c>
      <c r="J1479" s="14" t="str">
        <f>IFERROR(MOD(RTD("ice.rtd",,$C1479 &amp; $D1479 &amp; ":" &amp; J$1), 1), "")</f>
        <v/>
      </c>
      <c r="K1479" s="18" t="str">
        <f>RTD("ice.rtd",,$C1479 &amp; $D1479 &amp; ":" &amp; K$1)</f>
        <v/>
      </c>
      <c r="L1479" s="36" t="str">
        <f>RTD("ice.rtd",,$C1479 &amp; $D1479 &amp; ":" &amp; L$1)</f>
        <v/>
      </c>
      <c r="M1479" s="14" t="str">
        <f>IFERROR(MOD(TIMEVALUE(RTD("ice.rtd",,$C1479 &amp; $D1479 &amp; ":" &amp; M$1)), 1), "")</f>
        <v/>
      </c>
      <c r="N1479" s="36">
        <f>RTD("ice.rtd",,$C1479 &amp; $D1479 &amp; ":" &amp; N$1)</f>
        <v>0</v>
      </c>
      <c r="O1479" s="36">
        <f>RTD("ice.rtd",,$C1479 &amp; $D1479 &amp; ":" &amp; O$1)</f>
        <v>0</v>
      </c>
      <c r="P14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79" s="14" t="str">
        <f>IF(ICE[[#This Row],[LastType]] = "Scrn", ICE[[#This Row],[LstDate]], IF(ICE[[#This Row],[LastType]] = "Blk", ICE[[#This Row],[LstBlkTime]], ""))</f>
        <v/>
      </c>
      <c r="R1479" s="41" t="str">
        <f>IF(ICE[[#This Row],[LastType]] = "Scrn", ICE[[#This Row],[LstPrc]], IF(ICE[[#This Row],[LastType]] = "Blk", ICE[[#This Row],[LstBlkPrc]], ""))</f>
        <v/>
      </c>
      <c r="S1479" s="36">
        <f>ICE[[#This Row],[Vol]]+ICE[[#This Row],[BlkVol]]</f>
        <v>0</v>
      </c>
      <c r="T1479" s="36">
        <f>RTD("ice.rtd",,$C1479 &amp; $D1479 &amp; ":" &amp; T$1)</f>
        <v>0</v>
      </c>
      <c r="U1479" s="18">
        <f>RTD("ice.rtd",,$C1479 &amp; $D1479 &amp; ":" &amp; U$1)</f>
        <v>1.0933299999999999</v>
      </c>
      <c r="V14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79" s="18" t="str">
        <f>IFERROR(IF(LEFT(ICE[[#This Row],[Tenor]], 1) = "B", RTD("esrtd",,$B1479 &amp; " " &amp; ICE[[#This Row],[Tenor]] &amp; "-IEU", W$1), RTD("esrtd",,$B1479 &amp; " " &amp; VLOOKUP(MONTH(ICE[[#This Row],[Strip]]), MthRef[], 2, 0) &amp; RIGHT(YEAR(ICE[[#This Row],[Strip]]), 2) &amp; "-IEU", W$1)), "")</f>
        <v/>
      </c>
      <c r="X1479" s="36"/>
    </row>
    <row r="1480" spans="1:24" x14ac:dyDescent="0.25">
      <c r="A1480" s="37" t="s">
        <v>377</v>
      </c>
      <c r="B1480" s="88" t="str">
        <f>RTD("ice.rtd",,$C1480 &amp; $D1480 &amp; ":" &amp; B$1)</f>
        <v>ISO</v>
      </c>
      <c r="C1480" s="3">
        <v>16341514</v>
      </c>
      <c r="D1480" t="s">
        <v>816</v>
      </c>
      <c r="E1480" s="3" t="str">
        <f>RTD("ice.rtd",,$C1480 &amp; $D1480 &amp; ":" &amp; E$1)</f>
        <v>Q2 27</v>
      </c>
      <c r="F1480" s="3" t="str">
        <f>ICE[[#This Row],[Prod]]&amp;ICE[[#This Row],[Strip]]</f>
        <v>ic4ntetQ2 27</v>
      </c>
      <c r="G1480" s="18" t="str">
        <f>RTD("ice.rtd",,$C1480 &amp; $D1480 &amp; ":" &amp; G$1)</f>
        <v/>
      </c>
      <c r="H1480" s="18" t="str">
        <f>RTD("ice.rtd",,$C1480 &amp; $D1480 &amp; ":" &amp; H$1)</f>
        <v/>
      </c>
      <c r="I1480" s="18" t="str">
        <f>RTD("ice.rtd",,$C1480 &amp; $D1480 &amp; ":" &amp; I$1)</f>
        <v/>
      </c>
      <c r="J1480" s="14" t="str">
        <f>IFERROR(MOD(RTD("ice.rtd",,$C1480 &amp; $D1480 &amp; ":" &amp; J$1), 1), "")</f>
        <v/>
      </c>
      <c r="K1480" s="18" t="str">
        <f>RTD("ice.rtd",,$C1480 &amp; $D1480 &amp; ":" &amp; K$1)</f>
        <v/>
      </c>
      <c r="L1480" s="36" t="str">
        <f>RTD("ice.rtd",,$C1480 &amp; $D1480 &amp; ":" &amp; L$1)</f>
        <v/>
      </c>
      <c r="M1480" s="14" t="str">
        <f>IFERROR(MOD(TIMEVALUE(RTD("ice.rtd",,$C1480 &amp; $D1480 &amp; ":" &amp; M$1)), 1), "")</f>
        <v/>
      </c>
      <c r="N1480" s="36">
        <f>RTD("ice.rtd",,$C1480 &amp; $D1480 &amp; ":" &amp; N$1)</f>
        <v>0</v>
      </c>
      <c r="O1480" s="36">
        <f>RTD("ice.rtd",,$C1480 &amp; $D1480 &amp; ":" &amp; O$1)</f>
        <v>0</v>
      </c>
      <c r="P14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0" s="14" t="str">
        <f>IF(ICE[[#This Row],[LastType]] = "Scrn", ICE[[#This Row],[LstDate]], IF(ICE[[#This Row],[LastType]] = "Blk", ICE[[#This Row],[LstBlkTime]], ""))</f>
        <v/>
      </c>
      <c r="R1480" s="41" t="str">
        <f>IF(ICE[[#This Row],[LastType]] = "Scrn", ICE[[#This Row],[LstPrc]], IF(ICE[[#This Row],[LastType]] = "Blk", ICE[[#This Row],[LstBlkPrc]], ""))</f>
        <v/>
      </c>
      <c r="S1480" s="36">
        <f>ICE[[#This Row],[Vol]]+ICE[[#This Row],[BlkVol]]</f>
        <v>0</v>
      </c>
      <c r="T1480" s="36">
        <f>RTD("ice.rtd",,$C1480 &amp; $D1480 &amp; ":" &amp; T$1)</f>
        <v>0</v>
      </c>
      <c r="U1480" s="18">
        <f>RTD("ice.rtd",,$C1480 &amp; $D1480 &amp; ":" &amp; U$1)</f>
        <v>0.98166999999999993</v>
      </c>
      <c r="V14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0" s="18" t="str">
        <f>IFERROR(IF(LEFT(ICE[[#This Row],[Tenor]], 1) = "B", RTD("esrtd",,$B1480 &amp; " " &amp; ICE[[#This Row],[Tenor]] &amp; "-IEU", W$1), RTD("esrtd",,$B1480 &amp; " " &amp; VLOOKUP(MONTH(ICE[[#This Row],[Strip]]), MthRef[], 2, 0) &amp; RIGHT(YEAR(ICE[[#This Row],[Strip]]), 2) &amp; "-IEU", W$1)), "")</f>
        <v/>
      </c>
      <c r="X1480" s="36"/>
    </row>
    <row r="1481" spans="1:24" x14ac:dyDescent="0.25">
      <c r="A1481" s="37" t="s">
        <v>377</v>
      </c>
      <c r="B1481" s="88" t="str">
        <f>RTD("ice.rtd",,$C1481 &amp; $D1481 &amp; ":" &amp; B$1)</f>
        <v>ISO</v>
      </c>
      <c r="C1481" s="3">
        <v>16341514</v>
      </c>
      <c r="D1481" t="s">
        <v>817</v>
      </c>
      <c r="E1481" s="3" t="str">
        <f>RTD("ice.rtd",,$C1481 &amp; $D1481 &amp; ":" &amp; E$1)</f>
        <v>Q3 27</v>
      </c>
      <c r="F1481" s="3" t="str">
        <f>ICE[[#This Row],[Prod]]&amp;ICE[[#This Row],[Strip]]</f>
        <v>ic4ntetQ3 27</v>
      </c>
      <c r="G1481" s="18" t="str">
        <f>RTD("ice.rtd",,$C1481 &amp; $D1481 &amp; ":" &amp; G$1)</f>
        <v/>
      </c>
      <c r="H1481" s="18" t="str">
        <f>RTD("ice.rtd",,$C1481 &amp; $D1481 &amp; ":" &amp; H$1)</f>
        <v/>
      </c>
      <c r="I1481" s="18" t="str">
        <f>RTD("ice.rtd",,$C1481 &amp; $D1481 &amp; ":" &amp; I$1)</f>
        <v/>
      </c>
      <c r="J1481" s="14" t="str">
        <f>IFERROR(MOD(RTD("ice.rtd",,$C1481 &amp; $D1481 &amp; ":" &amp; J$1), 1), "")</f>
        <v/>
      </c>
      <c r="K1481" s="18" t="str">
        <f>RTD("ice.rtd",,$C1481 &amp; $D1481 &amp; ":" &amp; K$1)</f>
        <v/>
      </c>
      <c r="L1481" s="36" t="str">
        <f>RTD("ice.rtd",,$C1481 &amp; $D1481 &amp; ":" &amp; L$1)</f>
        <v/>
      </c>
      <c r="M1481" s="14" t="str">
        <f>IFERROR(MOD(TIMEVALUE(RTD("ice.rtd",,$C1481 &amp; $D1481 &amp; ":" &amp; M$1)), 1), "")</f>
        <v/>
      </c>
      <c r="N1481" s="36">
        <f>RTD("ice.rtd",,$C1481 &amp; $D1481 &amp; ":" &amp; N$1)</f>
        <v>0</v>
      </c>
      <c r="O1481" s="36">
        <f>RTD("ice.rtd",,$C1481 &amp; $D1481 &amp; ":" &amp; O$1)</f>
        <v>0</v>
      </c>
      <c r="P14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1" s="14" t="str">
        <f>IF(ICE[[#This Row],[LastType]] = "Scrn", ICE[[#This Row],[LstDate]], IF(ICE[[#This Row],[LastType]] = "Blk", ICE[[#This Row],[LstBlkTime]], ""))</f>
        <v/>
      </c>
      <c r="R1481" s="41" t="str">
        <f>IF(ICE[[#This Row],[LastType]] = "Scrn", ICE[[#This Row],[LstPrc]], IF(ICE[[#This Row],[LastType]] = "Blk", ICE[[#This Row],[LstBlkPrc]], ""))</f>
        <v/>
      </c>
      <c r="S1481" s="36">
        <f>ICE[[#This Row],[Vol]]+ICE[[#This Row],[BlkVol]]</f>
        <v>0</v>
      </c>
      <c r="T1481" s="36">
        <f>RTD("ice.rtd",,$C1481 &amp; $D1481 &amp; ":" &amp; T$1)</f>
        <v>0</v>
      </c>
      <c r="U1481" s="18">
        <f>RTD("ice.rtd",,$C1481 &amp; $D1481 &amp; ":" &amp; U$1)</f>
        <v>0.98</v>
      </c>
      <c r="V14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1" s="18" t="str">
        <f>IFERROR(IF(LEFT(ICE[[#This Row],[Tenor]], 1) = "B", RTD("esrtd",,$B1481 &amp; " " &amp; ICE[[#This Row],[Tenor]] &amp; "-IEU", W$1), RTD("esrtd",,$B1481 &amp; " " &amp; VLOOKUP(MONTH(ICE[[#This Row],[Strip]]), MthRef[], 2, 0) &amp; RIGHT(YEAR(ICE[[#This Row],[Strip]]), 2) &amp; "-IEU", W$1)), "")</f>
        <v/>
      </c>
      <c r="X1481" s="36"/>
    </row>
    <row r="1482" spans="1:24" x14ac:dyDescent="0.25">
      <c r="A1482" s="37" t="s">
        <v>377</v>
      </c>
      <c r="B1482" s="88" t="str">
        <f>RTD("ice.rtd",,$C1482 &amp; $D1482 &amp; ":" &amp; B$1)</f>
        <v>ISO</v>
      </c>
      <c r="C1482" s="3">
        <v>16341514</v>
      </c>
      <c r="D1482" t="s">
        <v>818</v>
      </c>
      <c r="E1482" s="3" t="str">
        <f>RTD("ice.rtd",,$C1482 &amp; $D1482 &amp; ":" &amp; E$1)</f>
        <v>Q4 27</v>
      </c>
      <c r="F1482" s="3" t="str">
        <f>ICE[[#This Row],[Prod]]&amp;ICE[[#This Row],[Strip]]</f>
        <v>ic4ntetQ4 27</v>
      </c>
      <c r="G1482" s="18" t="str">
        <f>RTD("ice.rtd",,$C1482 &amp; $D1482 &amp; ":" &amp; G$1)</f>
        <v/>
      </c>
      <c r="H1482" s="18" t="str">
        <f>RTD("ice.rtd",,$C1482 &amp; $D1482 &amp; ":" &amp; H$1)</f>
        <v/>
      </c>
      <c r="I1482" s="18" t="str">
        <f>RTD("ice.rtd",,$C1482 &amp; $D1482 &amp; ":" &amp; I$1)</f>
        <v/>
      </c>
      <c r="J1482" s="14" t="str">
        <f>IFERROR(MOD(RTD("ice.rtd",,$C1482 &amp; $D1482 &amp; ":" &amp; J$1), 1), "")</f>
        <v/>
      </c>
      <c r="K1482" s="18" t="str">
        <f>RTD("ice.rtd",,$C1482 &amp; $D1482 &amp; ":" &amp; K$1)</f>
        <v/>
      </c>
      <c r="L1482" s="36" t="str">
        <f>RTD("ice.rtd",,$C1482 &amp; $D1482 &amp; ":" &amp; L$1)</f>
        <v/>
      </c>
      <c r="M1482" s="14" t="str">
        <f>IFERROR(MOD(TIMEVALUE(RTD("ice.rtd",,$C1482 &amp; $D1482 &amp; ":" &amp; M$1)), 1), "")</f>
        <v/>
      </c>
      <c r="N1482" s="36">
        <f>RTD("ice.rtd",,$C1482 &amp; $D1482 &amp; ":" &amp; N$1)</f>
        <v>0</v>
      </c>
      <c r="O1482" s="36">
        <f>RTD("ice.rtd",,$C1482 &amp; $D1482 &amp; ":" &amp; O$1)</f>
        <v>0</v>
      </c>
      <c r="P14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2" s="14" t="str">
        <f>IF(ICE[[#This Row],[LastType]] = "Scrn", ICE[[#This Row],[LstDate]], IF(ICE[[#This Row],[LastType]] = "Blk", ICE[[#This Row],[LstBlkTime]], ""))</f>
        <v/>
      </c>
      <c r="R1482" s="41" t="str">
        <f>IF(ICE[[#This Row],[LastType]] = "Scrn", ICE[[#This Row],[LstPrc]], IF(ICE[[#This Row],[LastType]] = "Blk", ICE[[#This Row],[LstBlkPrc]], ""))</f>
        <v/>
      </c>
      <c r="S1482" s="36">
        <f>ICE[[#This Row],[Vol]]+ICE[[#This Row],[BlkVol]]</f>
        <v>0</v>
      </c>
      <c r="T1482" s="36">
        <f>RTD("ice.rtd",,$C1482 &amp; $D1482 &amp; ":" &amp; T$1)</f>
        <v>0</v>
      </c>
      <c r="U1482" s="18">
        <f>RTD("ice.rtd",,$C1482 &amp; $D1482 &amp; ":" &amp; U$1)</f>
        <v>0.93707999999999991</v>
      </c>
      <c r="V14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2" s="18" t="str">
        <f>IFERROR(IF(LEFT(ICE[[#This Row],[Tenor]], 1) = "B", RTD("esrtd",,$B1482 &amp; " " &amp; ICE[[#This Row],[Tenor]] &amp; "-IEU", W$1), RTD("esrtd",,$B1482 &amp; " " &amp; VLOOKUP(MONTH(ICE[[#This Row],[Strip]]), MthRef[], 2, 0) &amp; RIGHT(YEAR(ICE[[#This Row],[Strip]]), 2) &amp; "-IEU", W$1)), "")</f>
        <v/>
      </c>
      <c r="X1482" s="36"/>
    </row>
    <row r="1483" spans="1:24" x14ac:dyDescent="0.25">
      <c r="A1483" s="37" t="s">
        <v>377</v>
      </c>
      <c r="B1483" s="88" t="str">
        <f>RTD("ice.rtd",,$C1483 &amp; $D1483 &amp; ":" &amp; B$1)</f>
        <v>ISO</v>
      </c>
      <c r="C1483" s="3">
        <v>16341514</v>
      </c>
      <c r="D1483" t="s">
        <v>819</v>
      </c>
      <c r="E1483" s="3" t="str">
        <f>RTD("ice.rtd",,$C1483 &amp; $D1483 &amp; ":" &amp; E$1)</f>
        <v>Q1 28</v>
      </c>
      <c r="F1483" s="3" t="str">
        <f>ICE[[#This Row],[Prod]]&amp;ICE[[#This Row],[Strip]]</f>
        <v>ic4ntetQ1 28</v>
      </c>
      <c r="G1483" s="18" t="str">
        <f>RTD("ice.rtd",,$C1483 &amp; $D1483 &amp; ":" &amp; G$1)</f>
        <v/>
      </c>
      <c r="H1483" s="18" t="str">
        <f>RTD("ice.rtd",,$C1483 &amp; $D1483 &amp; ":" &amp; H$1)</f>
        <v/>
      </c>
      <c r="I1483" s="18" t="str">
        <f>RTD("ice.rtd",,$C1483 &amp; $D1483 &amp; ":" &amp; I$1)</f>
        <v/>
      </c>
      <c r="J1483" s="14" t="str">
        <f>IFERROR(MOD(RTD("ice.rtd",,$C1483 &amp; $D1483 &amp; ":" &amp; J$1), 1), "")</f>
        <v/>
      </c>
      <c r="K1483" s="18" t="str">
        <f>RTD("ice.rtd",,$C1483 &amp; $D1483 &amp; ":" &amp; K$1)</f>
        <v/>
      </c>
      <c r="L1483" s="36" t="str">
        <f>RTD("ice.rtd",,$C1483 &amp; $D1483 &amp; ":" &amp; L$1)</f>
        <v/>
      </c>
      <c r="M1483" s="14" t="str">
        <f>IFERROR(MOD(TIMEVALUE(RTD("ice.rtd",,$C1483 &amp; $D1483 &amp; ":" &amp; M$1)), 1), "")</f>
        <v/>
      </c>
      <c r="N1483" s="36">
        <f>RTD("ice.rtd",,$C1483 &amp; $D1483 &amp; ":" &amp; N$1)</f>
        <v>0</v>
      </c>
      <c r="O1483" s="36">
        <f>RTD("ice.rtd",,$C1483 &amp; $D1483 &amp; ":" &amp; O$1)</f>
        <v>0</v>
      </c>
      <c r="P14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3" s="14" t="str">
        <f>IF(ICE[[#This Row],[LastType]] = "Scrn", ICE[[#This Row],[LstDate]], IF(ICE[[#This Row],[LastType]] = "Blk", ICE[[#This Row],[LstBlkTime]], ""))</f>
        <v/>
      </c>
      <c r="R1483" s="41" t="str">
        <f>IF(ICE[[#This Row],[LastType]] = "Scrn", ICE[[#This Row],[LstPrc]], IF(ICE[[#This Row],[LastType]] = "Blk", ICE[[#This Row],[LstBlkPrc]], ""))</f>
        <v/>
      </c>
      <c r="S1483" s="36">
        <f>ICE[[#This Row],[Vol]]+ICE[[#This Row],[BlkVol]]</f>
        <v>0</v>
      </c>
      <c r="T1483" s="36">
        <f>RTD("ice.rtd",,$C1483 &amp; $D1483 &amp; ":" &amp; T$1)</f>
        <v>0</v>
      </c>
      <c r="U1483" s="18">
        <f>RTD("ice.rtd",,$C1483 &amp; $D1483 &amp; ":" &amp; U$1)</f>
        <v>0.9204199999999999</v>
      </c>
      <c r="V14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3" s="18" t="str">
        <f>IFERROR(IF(LEFT(ICE[[#This Row],[Tenor]], 1) = "B", RTD("esrtd",,$B1483 &amp; " " &amp; ICE[[#This Row],[Tenor]] &amp; "-IEU", W$1), RTD("esrtd",,$B1483 &amp; " " &amp; VLOOKUP(MONTH(ICE[[#This Row],[Strip]]), MthRef[], 2, 0) &amp; RIGHT(YEAR(ICE[[#This Row],[Strip]]), 2) &amp; "-IEU", W$1)), "")</f>
        <v/>
      </c>
      <c r="X1483" s="36"/>
    </row>
    <row r="1484" spans="1:24" x14ac:dyDescent="0.25">
      <c r="A1484" s="37" t="s">
        <v>377</v>
      </c>
      <c r="B1484" s="88" t="str">
        <f>RTD("ice.rtd",,$C1484 &amp; $D1484 &amp; ":" &amp; B$1)</f>
        <v>ISO</v>
      </c>
      <c r="C1484" s="3">
        <v>16341514</v>
      </c>
      <c r="D1484" t="s">
        <v>229</v>
      </c>
      <c r="E1484" s="3" t="str">
        <f>RTD("ice.rtd",,$C1484 &amp; $D1484 &amp; ":" &amp; E$1)</f>
        <v>Q2 28</v>
      </c>
      <c r="F1484" s="3" t="str">
        <f>ICE[[#This Row],[Prod]]&amp;ICE[[#This Row],[Strip]]</f>
        <v>ic4ntetQ2 28</v>
      </c>
      <c r="G1484" s="18" t="str">
        <f>RTD("ice.rtd",,$C1484 &amp; $D1484 &amp; ":" &amp; G$1)</f>
        <v/>
      </c>
      <c r="H1484" s="18" t="str">
        <f>RTD("ice.rtd",,$C1484 &amp; $D1484 &amp; ":" &amp; H$1)</f>
        <v/>
      </c>
      <c r="I1484" s="18" t="str">
        <f>RTD("ice.rtd",,$C1484 &amp; $D1484 &amp; ":" &amp; I$1)</f>
        <v/>
      </c>
      <c r="J1484" s="14" t="str">
        <f>IFERROR(MOD(RTD("ice.rtd",,$C1484 &amp; $D1484 &amp; ":" &amp; J$1), 1), "")</f>
        <v/>
      </c>
      <c r="K1484" s="18" t="str">
        <f>RTD("ice.rtd",,$C1484 &amp; $D1484 &amp; ":" &amp; K$1)</f>
        <v/>
      </c>
      <c r="L1484" s="36" t="str">
        <f>RTD("ice.rtd",,$C1484 &amp; $D1484 &amp; ":" &amp; L$1)</f>
        <v/>
      </c>
      <c r="M1484" s="14" t="str">
        <f>IFERROR(MOD(TIMEVALUE(RTD("ice.rtd",,$C1484 &amp; $D1484 &amp; ":" &amp; M$1)), 1), "")</f>
        <v/>
      </c>
      <c r="N1484" s="36">
        <f>RTD("ice.rtd",,$C1484 &amp; $D1484 &amp; ":" &amp; N$1)</f>
        <v>0</v>
      </c>
      <c r="O1484" s="36">
        <f>RTD("ice.rtd",,$C1484 &amp; $D1484 &amp; ":" &amp; O$1)</f>
        <v>0</v>
      </c>
      <c r="P14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4" s="14" t="str">
        <f>IF(ICE[[#This Row],[LastType]] = "Scrn", ICE[[#This Row],[LstDate]], IF(ICE[[#This Row],[LastType]] = "Blk", ICE[[#This Row],[LstBlkTime]], ""))</f>
        <v/>
      </c>
      <c r="R1484" s="41" t="str">
        <f>IF(ICE[[#This Row],[LastType]] = "Scrn", ICE[[#This Row],[LstPrc]], IF(ICE[[#This Row],[LastType]] = "Blk", ICE[[#This Row],[LstBlkPrc]], ""))</f>
        <v/>
      </c>
      <c r="S1484" s="36">
        <f>ICE[[#This Row],[Vol]]+ICE[[#This Row],[BlkVol]]</f>
        <v>0</v>
      </c>
      <c r="T1484" s="36">
        <f>RTD("ice.rtd",,$C1484 &amp; $D1484 &amp; ":" &amp; T$1)</f>
        <v>0</v>
      </c>
      <c r="U1484" s="18">
        <f>RTD("ice.rtd",,$C1484 &amp; $D1484 &amp; ":" &amp; U$1)</f>
        <v>0.87250000000000005</v>
      </c>
      <c r="V14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4" s="18" t="str">
        <f>IFERROR(IF(LEFT(ICE[[#This Row],[Tenor]], 1) = "B", RTD("esrtd",,$B1484 &amp; " " &amp; ICE[[#This Row],[Tenor]] &amp; "-IEU", W$1), RTD("esrtd",,$B1484 &amp; " " &amp; VLOOKUP(MONTH(ICE[[#This Row],[Strip]]), MthRef[], 2, 0) &amp; RIGHT(YEAR(ICE[[#This Row],[Strip]]), 2) &amp; "-IEU", W$1)), "")</f>
        <v/>
      </c>
      <c r="X1484" s="36"/>
    </row>
    <row r="1485" spans="1:24" x14ac:dyDescent="0.25">
      <c r="A1485" s="37" t="s">
        <v>377</v>
      </c>
      <c r="B1485" s="88" t="str">
        <f>RTD("ice.rtd",,$C1485 &amp; $D1485 &amp; ":" &amp; B$1)</f>
        <v>ISO</v>
      </c>
      <c r="C1485" s="3">
        <v>16341514</v>
      </c>
      <c r="D1485" t="s">
        <v>820</v>
      </c>
      <c r="E1485" s="3" t="str">
        <f>RTD("ice.rtd",,$C1485 &amp; $D1485 &amp; ":" &amp; E$1)</f>
        <v>Q3 28</v>
      </c>
      <c r="F1485" s="3" t="str">
        <f>ICE[[#This Row],[Prod]]&amp;ICE[[#This Row],[Strip]]</f>
        <v>ic4ntetQ3 28</v>
      </c>
      <c r="G1485" s="18" t="str">
        <f>RTD("ice.rtd",,$C1485 &amp; $D1485 &amp; ":" &amp; G$1)</f>
        <v/>
      </c>
      <c r="H1485" s="18" t="str">
        <f>RTD("ice.rtd",,$C1485 &amp; $D1485 &amp; ":" &amp; H$1)</f>
        <v/>
      </c>
      <c r="I1485" s="18" t="str">
        <f>RTD("ice.rtd",,$C1485 &amp; $D1485 &amp; ":" &amp; I$1)</f>
        <v/>
      </c>
      <c r="J1485" s="14" t="str">
        <f>IFERROR(MOD(RTD("ice.rtd",,$C1485 &amp; $D1485 &amp; ":" &amp; J$1), 1), "")</f>
        <v/>
      </c>
      <c r="K1485" s="18" t="str">
        <f>RTD("ice.rtd",,$C1485 &amp; $D1485 &amp; ":" &amp; K$1)</f>
        <v/>
      </c>
      <c r="L1485" s="36" t="str">
        <f>RTD("ice.rtd",,$C1485 &amp; $D1485 &amp; ":" &amp; L$1)</f>
        <v/>
      </c>
      <c r="M1485" s="14" t="str">
        <f>IFERROR(MOD(TIMEVALUE(RTD("ice.rtd",,$C1485 &amp; $D1485 &amp; ":" &amp; M$1)), 1), "")</f>
        <v/>
      </c>
      <c r="N1485" s="36">
        <f>RTD("ice.rtd",,$C1485 &amp; $D1485 &amp; ":" &amp; N$1)</f>
        <v>0</v>
      </c>
      <c r="O1485" s="36">
        <f>RTD("ice.rtd",,$C1485 &amp; $D1485 &amp; ":" &amp; O$1)</f>
        <v>0</v>
      </c>
      <c r="P14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5" s="14" t="str">
        <f>IF(ICE[[#This Row],[LastType]] = "Scrn", ICE[[#This Row],[LstDate]], IF(ICE[[#This Row],[LastType]] = "Blk", ICE[[#This Row],[LstBlkTime]], ""))</f>
        <v/>
      </c>
      <c r="R1485" s="41" t="str">
        <f>IF(ICE[[#This Row],[LastType]] = "Scrn", ICE[[#This Row],[LstPrc]], IF(ICE[[#This Row],[LastType]] = "Blk", ICE[[#This Row],[LstBlkPrc]], ""))</f>
        <v/>
      </c>
      <c r="S1485" s="36">
        <f>ICE[[#This Row],[Vol]]+ICE[[#This Row],[BlkVol]]</f>
        <v>0</v>
      </c>
      <c r="T1485" s="36">
        <f>RTD("ice.rtd",,$C1485 &amp; $D1485 &amp; ":" &amp; T$1)</f>
        <v>0</v>
      </c>
      <c r="U1485" s="18">
        <f>RTD("ice.rtd",,$C1485 &amp; $D1485 &amp; ":" &amp; U$1)</f>
        <v>0.88541999999999998</v>
      </c>
      <c r="V14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5" s="18" t="str">
        <f>IFERROR(IF(LEFT(ICE[[#This Row],[Tenor]], 1) = "B", RTD("esrtd",,$B1485 &amp; " " &amp; ICE[[#This Row],[Tenor]] &amp; "-IEU", W$1), RTD("esrtd",,$B1485 &amp; " " &amp; VLOOKUP(MONTH(ICE[[#This Row],[Strip]]), MthRef[], 2, 0) &amp; RIGHT(YEAR(ICE[[#This Row],[Strip]]), 2) &amp; "-IEU", W$1)), "")</f>
        <v/>
      </c>
      <c r="X1485" s="36"/>
    </row>
    <row r="1486" spans="1:24" x14ac:dyDescent="0.25">
      <c r="A1486" s="37" t="s">
        <v>377</v>
      </c>
      <c r="B1486" s="88" t="str">
        <f>RTD("ice.rtd",,$C1486 &amp; $D1486 &amp; ":" &amp; B$1)</f>
        <v>ISO</v>
      </c>
      <c r="C1486" s="3">
        <v>16341514</v>
      </c>
      <c r="D1486" t="s">
        <v>821</v>
      </c>
      <c r="E1486" s="3" t="str">
        <f>RTD("ice.rtd",,$C1486 &amp; $D1486 &amp; ":" &amp; E$1)</f>
        <v>Q4 28</v>
      </c>
      <c r="F1486" s="3" t="str">
        <f>ICE[[#This Row],[Prod]]&amp;ICE[[#This Row],[Strip]]</f>
        <v>ic4ntetQ4 28</v>
      </c>
      <c r="G1486" s="18" t="str">
        <f>RTD("ice.rtd",,$C1486 &amp; $D1486 &amp; ":" &amp; G$1)</f>
        <v/>
      </c>
      <c r="H1486" s="18" t="str">
        <f>RTD("ice.rtd",,$C1486 &amp; $D1486 &amp; ":" &amp; H$1)</f>
        <v/>
      </c>
      <c r="I1486" s="18" t="str">
        <f>RTD("ice.rtd",,$C1486 &amp; $D1486 &amp; ":" &amp; I$1)</f>
        <v/>
      </c>
      <c r="J1486" s="14" t="str">
        <f>IFERROR(MOD(RTD("ice.rtd",,$C1486 &amp; $D1486 &amp; ":" &amp; J$1), 1), "")</f>
        <v/>
      </c>
      <c r="K1486" s="18" t="str">
        <f>RTD("ice.rtd",,$C1486 &amp; $D1486 &amp; ":" &amp; K$1)</f>
        <v/>
      </c>
      <c r="L1486" s="36" t="str">
        <f>RTD("ice.rtd",,$C1486 &amp; $D1486 &amp; ":" &amp; L$1)</f>
        <v/>
      </c>
      <c r="M1486" s="14" t="str">
        <f>IFERROR(MOD(TIMEVALUE(RTD("ice.rtd",,$C1486 &amp; $D1486 &amp; ":" &amp; M$1)), 1), "")</f>
        <v/>
      </c>
      <c r="N1486" s="36">
        <f>RTD("ice.rtd",,$C1486 &amp; $D1486 &amp; ":" &amp; N$1)</f>
        <v>0</v>
      </c>
      <c r="O1486" s="36">
        <f>RTD("ice.rtd",,$C1486 &amp; $D1486 &amp; ":" &amp; O$1)</f>
        <v>0</v>
      </c>
      <c r="P14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6" s="14" t="str">
        <f>IF(ICE[[#This Row],[LastType]] = "Scrn", ICE[[#This Row],[LstDate]], IF(ICE[[#This Row],[LastType]] = "Blk", ICE[[#This Row],[LstBlkTime]], ""))</f>
        <v/>
      </c>
      <c r="R1486" s="41" t="str">
        <f>IF(ICE[[#This Row],[LastType]] = "Scrn", ICE[[#This Row],[LstPrc]], IF(ICE[[#This Row],[LastType]] = "Blk", ICE[[#This Row],[LstBlkPrc]], ""))</f>
        <v/>
      </c>
      <c r="S1486" s="36">
        <f>ICE[[#This Row],[Vol]]+ICE[[#This Row],[BlkVol]]</f>
        <v>0</v>
      </c>
      <c r="T1486" s="36">
        <f>RTD("ice.rtd",,$C1486 &amp; $D1486 &amp; ":" &amp; T$1)</f>
        <v>0</v>
      </c>
      <c r="U1486" s="18">
        <f>RTD("ice.rtd",,$C1486 &amp; $D1486 &amp; ":" &amp; U$1)</f>
        <v>0.87583</v>
      </c>
      <c r="V14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6" s="18" t="str">
        <f>IFERROR(IF(LEFT(ICE[[#This Row],[Tenor]], 1) = "B", RTD("esrtd",,$B1486 &amp; " " &amp; ICE[[#This Row],[Tenor]] &amp; "-IEU", W$1), RTD("esrtd",,$B1486 &amp; " " &amp; VLOOKUP(MONTH(ICE[[#This Row],[Strip]]), MthRef[], 2, 0) &amp; RIGHT(YEAR(ICE[[#This Row],[Strip]]), 2) &amp; "-IEU", W$1)), "")</f>
        <v/>
      </c>
      <c r="X1486" s="36"/>
    </row>
    <row r="1487" spans="1:24" x14ac:dyDescent="0.25">
      <c r="A1487" s="37" t="s">
        <v>377</v>
      </c>
      <c r="B1487" s="88" t="str">
        <f>RTD("ice.rtd",,$C1487 &amp; $D1487 &amp; ":" &amp; B$1)</f>
        <v>ISO</v>
      </c>
      <c r="C1487" s="3">
        <v>16341514</v>
      </c>
      <c r="D1487" t="s">
        <v>822</v>
      </c>
      <c r="E1487" s="3" t="str">
        <f>RTD("ice.rtd",,$C1487 &amp; $D1487 &amp; ":" &amp; E$1)</f>
        <v>Cal 27</v>
      </c>
      <c r="F1487" s="3" t="str">
        <f>ICE[[#This Row],[Prod]]&amp;ICE[[#This Row],[Strip]]</f>
        <v>ic4ntetCal 27</v>
      </c>
      <c r="G1487" s="18" t="str">
        <f>RTD("ice.rtd",,$C1487 &amp; $D1487 &amp; ":" &amp; G$1)</f>
        <v/>
      </c>
      <c r="H1487" s="18" t="str">
        <f>RTD("ice.rtd",,$C1487 &amp; $D1487 &amp; ":" &amp; H$1)</f>
        <v/>
      </c>
      <c r="I1487" s="18" t="str">
        <f>RTD("ice.rtd",,$C1487 &amp; $D1487 &amp; ":" &amp; I$1)</f>
        <v/>
      </c>
      <c r="J1487" s="14" t="str">
        <f>IFERROR(MOD(RTD("ice.rtd",,$C1487 &amp; $D1487 &amp; ":" &amp; J$1), 1), "")</f>
        <v/>
      </c>
      <c r="K1487" s="18" t="str">
        <f>RTD("ice.rtd",,$C1487 &amp; $D1487 &amp; ":" &amp; K$1)</f>
        <v/>
      </c>
      <c r="L1487" s="36" t="str">
        <f>RTD("ice.rtd",,$C1487 &amp; $D1487 &amp; ":" &amp; L$1)</f>
        <v/>
      </c>
      <c r="M1487" s="14" t="str">
        <f>IFERROR(MOD(TIMEVALUE(RTD("ice.rtd",,$C1487 &amp; $D1487 &amp; ":" &amp; M$1)), 1), "")</f>
        <v/>
      </c>
      <c r="N1487" s="36">
        <f>RTD("ice.rtd",,$C1487 &amp; $D1487 &amp; ":" &amp; N$1)</f>
        <v>0</v>
      </c>
      <c r="O1487" s="36">
        <f>RTD("ice.rtd",,$C1487 &amp; $D1487 &amp; ":" &amp; O$1)</f>
        <v>0</v>
      </c>
      <c r="P14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7" s="14" t="str">
        <f>IF(ICE[[#This Row],[LastType]] = "Scrn", ICE[[#This Row],[LstDate]], IF(ICE[[#This Row],[LastType]] = "Blk", ICE[[#This Row],[LstBlkTime]], ""))</f>
        <v/>
      </c>
      <c r="R1487" s="41" t="str">
        <f>IF(ICE[[#This Row],[LastType]] = "Scrn", ICE[[#This Row],[LstPrc]], IF(ICE[[#This Row],[LastType]] = "Blk", ICE[[#This Row],[LstBlkPrc]], ""))</f>
        <v/>
      </c>
      <c r="S1487" s="36">
        <f>ICE[[#This Row],[Vol]]+ICE[[#This Row],[BlkVol]]</f>
        <v>0</v>
      </c>
      <c r="T1487" s="36">
        <f>RTD("ice.rtd",,$C1487 &amp; $D1487 &amp; ":" &amp; T$1)</f>
        <v>0</v>
      </c>
      <c r="U1487" s="18">
        <f>RTD("ice.rtd",,$C1487 &amp; $D1487 &amp; ":" &amp; U$1)</f>
        <v>0.99801999999999991</v>
      </c>
      <c r="V14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7" s="18" t="str">
        <f>IFERROR(IF(LEFT(ICE[[#This Row],[Tenor]], 1) = "B", RTD("esrtd",,$B1487 &amp; " " &amp; ICE[[#This Row],[Tenor]] &amp; "-IEU", W$1), RTD("esrtd",,$B1487 &amp; " " &amp; VLOOKUP(MONTH(ICE[[#This Row],[Strip]]), MthRef[], 2, 0) &amp; RIGHT(YEAR(ICE[[#This Row],[Strip]]), 2) &amp; "-IEU", W$1)), "")</f>
        <v/>
      </c>
      <c r="X1487" s="36"/>
    </row>
    <row r="1488" spans="1:24" x14ac:dyDescent="0.25">
      <c r="A1488" s="37" t="s">
        <v>377</v>
      </c>
      <c r="B1488" s="88" t="str">
        <f>RTD("ice.rtd",,$C1488 &amp; $D1488 &amp; ":" &amp; B$1)</f>
        <v>ISO</v>
      </c>
      <c r="C1488" s="3">
        <v>16341514</v>
      </c>
      <c r="D1488" t="s">
        <v>823</v>
      </c>
      <c r="E1488" s="3" t="str">
        <f>RTD("ice.rtd",,$C1488 &amp; $D1488 &amp; ":" &amp; E$1)</f>
        <v>Cal 28</v>
      </c>
      <c r="F1488" s="3" t="str">
        <f>ICE[[#This Row],[Prod]]&amp;ICE[[#This Row],[Strip]]</f>
        <v>ic4ntetCal 28</v>
      </c>
      <c r="G1488" s="18" t="str">
        <f>RTD("ice.rtd",,$C1488 &amp; $D1488 &amp; ":" &amp; G$1)</f>
        <v/>
      </c>
      <c r="H1488" s="18" t="str">
        <f>RTD("ice.rtd",,$C1488 &amp; $D1488 &amp; ":" &amp; H$1)</f>
        <v/>
      </c>
      <c r="I1488" s="18" t="str">
        <f>RTD("ice.rtd",,$C1488 &amp; $D1488 &amp; ":" &amp; I$1)</f>
        <v/>
      </c>
      <c r="J1488" s="14" t="str">
        <f>IFERROR(MOD(RTD("ice.rtd",,$C1488 &amp; $D1488 &amp; ":" &amp; J$1), 1), "")</f>
        <v/>
      </c>
      <c r="K1488" s="18" t="str">
        <f>RTD("ice.rtd",,$C1488 &amp; $D1488 &amp; ":" &amp; K$1)</f>
        <v/>
      </c>
      <c r="L1488" s="36" t="str">
        <f>RTD("ice.rtd",,$C1488 &amp; $D1488 &amp; ":" &amp; L$1)</f>
        <v/>
      </c>
      <c r="M1488" s="14" t="str">
        <f>IFERROR(MOD(TIMEVALUE(RTD("ice.rtd",,$C1488 &amp; $D1488 &amp; ":" &amp; M$1)), 1), "")</f>
        <v/>
      </c>
      <c r="N1488" s="36">
        <f>RTD("ice.rtd",,$C1488 &amp; $D1488 &amp; ":" &amp; N$1)</f>
        <v>0</v>
      </c>
      <c r="O1488" s="36">
        <f>RTD("ice.rtd",,$C1488 &amp; $D1488 &amp; ":" &amp; O$1)</f>
        <v>0</v>
      </c>
      <c r="P14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8" s="14" t="str">
        <f>IF(ICE[[#This Row],[LastType]] = "Scrn", ICE[[#This Row],[LstDate]], IF(ICE[[#This Row],[LastType]] = "Blk", ICE[[#This Row],[LstBlkTime]], ""))</f>
        <v/>
      </c>
      <c r="R1488" s="41" t="str">
        <f>IF(ICE[[#This Row],[LastType]] = "Scrn", ICE[[#This Row],[LstPrc]], IF(ICE[[#This Row],[LastType]] = "Blk", ICE[[#This Row],[LstBlkPrc]], ""))</f>
        <v/>
      </c>
      <c r="S1488" s="36">
        <f>ICE[[#This Row],[Vol]]+ICE[[#This Row],[BlkVol]]</f>
        <v>0</v>
      </c>
      <c r="T1488" s="36">
        <f>RTD("ice.rtd",,$C1488 &amp; $D1488 &amp; ":" &amp; T$1)</f>
        <v>0</v>
      </c>
      <c r="U1488" s="18">
        <f>RTD("ice.rtd",,$C1488 &amp; $D1488 &amp; ":" &amp; U$1)</f>
        <v>0.88854</v>
      </c>
      <c r="V14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8" s="18" t="str">
        <f>IFERROR(IF(LEFT(ICE[[#This Row],[Tenor]], 1) = "B", RTD("esrtd",,$B1488 &amp; " " &amp; ICE[[#This Row],[Tenor]] &amp; "-IEU", W$1), RTD("esrtd",,$B1488 &amp; " " &amp; VLOOKUP(MONTH(ICE[[#This Row],[Strip]]), MthRef[], 2, 0) &amp; RIGHT(YEAR(ICE[[#This Row],[Strip]]), 2) &amp; "-IEU", W$1)), "")</f>
        <v/>
      </c>
      <c r="X1488" s="36"/>
    </row>
    <row r="1489" spans="1:24" x14ac:dyDescent="0.25">
      <c r="A1489" s="37" t="s">
        <v>377</v>
      </c>
      <c r="B1489" s="88" t="str">
        <f>RTD("ice.rtd",,$C1489 &amp; $D1489 &amp; ":" &amp; B$1)</f>
        <v>ISO</v>
      </c>
      <c r="C1489" s="3">
        <v>16341514</v>
      </c>
      <c r="D1489" t="s">
        <v>824</v>
      </c>
      <c r="E1489" s="3" t="str">
        <f>RTD("ice.rtd",,$C1489 &amp; $D1489 &amp; ":" &amp; E$1)</f>
        <v>Cal 29</v>
      </c>
      <c r="F1489" s="3" t="str">
        <f>ICE[[#This Row],[Prod]]&amp;ICE[[#This Row],[Strip]]</f>
        <v>ic4ntetCal 29</v>
      </c>
      <c r="G1489" s="18" t="str">
        <f>RTD("ice.rtd",,$C1489 &amp; $D1489 &amp; ":" &amp; G$1)</f>
        <v/>
      </c>
      <c r="H1489" s="18" t="str">
        <f>RTD("ice.rtd",,$C1489 &amp; $D1489 &amp; ":" &amp; H$1)</f>
        <v/>
      </c>
      <c r="I1489" s="18" t="str">
        <f>RTD("ice.rtd",,$C1489 &amp; $D1489 &amp; ":" &amp; I$1)</f>
        <v/>
      </c>
      <c r="J1489" s="14" t="str">
        <f>IFERROR(MOD(RTD("ice.rtd",,$C1489 &amp; $D1489 &amp; ":" &amp; J$1), 1), "")</f>
        <v/>
      </c>
      <c r="K1489" s="18" t="str">
        <f>RTD("ice.rtd",,$C1489 &amp; $D1489 &amp; ":" &amp; K$1)</f>
        <v/>
      </c>
      <c r="L1489" s="36" t="str">
        <f>RTD("ice.rtd",,$C1489 &amp; $D1489 &amp; ":" &amp; L$1)</f>
        <v/>
      </c>
      <c r="M1489" s="14" t="str">
        <f>IFERROR(MOD(TIMEVALUE(RTD("ice.rtd",,$C1489 &amp; $D1489 &amp; ":" &amp; M$1)), 1), "")</f>
        <v/>
      </c>
      <c r="N1489" s="36">
        <f>RTD("ice.rtd",,$C1489 &amp; $D1489 &amp; ":" &amp; N$1)</f>
        <v>0</v>
      </c>
      <c r="O1489" s="36">
        <f>RTD("ice.rtd",,$C1489 &amp; $D1489 &amp; ":" &amp; O$1)</f>
        <v>0</v>
      </c>
      <c r="P14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89" s="14" t="str">
        <f>IF(ICE[[#This Row],[LastType]] = "Scrn", ICE[[#This Row],[LstDate]], IF(ICE[[#This Row],[LastType]] = "Blk", ICE[[#This Row],[LstBlkTime]], ""))</f>
        <v/>
      </c>
      <c r="R1489" s="41" t="str">
        <f>IF(ICE[[#This Row],[LastType]] = "Scrn", ICE[[#This Row],[LstPrc]], IF(ICE[[#This Row],[LastType]] = "Blk", ICE[[#This Row],[LstBlkPrc]], ""))</f>
        <v/>
      </c>
      <c r="S1489" s="36">
        <f>ICE[[#This Row],[Vol]]+ICE[[#This Row],[BlkVol]]</f>
        <v>0</v>
      </c>
      <c r="T1489" s="36">
        <f>RTD("ice.rtd",,$C1489 &amp; $D1489 &amp; ":" &amp; T$1)</f>
        <v>0</v>
      </c>
      <c r="U1489" s="18">
        <f>RTD("ice.rtd",,$C1489 &amp; $D1489 &amp; ":" &amp; U$1)</f>
        <v>0.87</v>
      </c>
      <c r="V14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89" s="18" t="str">
        <f>IFERROR(IF(LEFT(ICE[[#This Row],[Tenor]], 1) = "B", RTD("esrtd",,$B1489 &amp; " " &amp; ICE[[#This Row],[Tenor]] &amp; "-IEU", W$1), RTD("esrtd",,$B1489 &amp; " " &amp; VLOOKUP(MONTH(ICE[[#This Row],[Strip]]), MthRef[], 2, 0) &amp; RIGHT(YEAR(ICE[[#This Row],[Strip]]), 2) &amp; "-IEU", W$1)), "")</f>
        <v/>
      </c>
      <c r="X1489" s="36"/>
    </row>
    <row r="1490" spans="1:24" x14ac:dyDescent="0.25">
      <c r="A1490" s="37" t="s">
        <v>378</v>
      </c>
      <c r="B1490" s="88" t="str">
        <f>RTD("ice.rtd",,$C1490 &amp; $D1490 &amp; ":" &amp; B$1)</f>
        <v>NGF</v>
      </c>
      <c r="C1490" s="3">
        <v>2181924592</v>
      </c>
      <c r="D1490" t="s">
        <v>792</v>
      </c>
      <c r="E1490" s="3" t="str">
        <f>RTD("ice.rtd",,$C1490 &amp; $D1490 &amp; ":" &amp; E$1)</f>
        <v>Bal Month</v>
      </c>
      <c r="F1490" s="3" t="str">
        <f>ICE[[#This Row],[Prod]]&amp;ICE[[#This Row],[Strip]]</f>
        <v>ngasntetBal Month</v>
      </c>
      <c r="G1490" s="18" t="str">
        <f>RTD("ice.rtd",,$C1490 &amp; $D1490 &amp; ":" &amp; G$1)</f>
        <v/>
      </c>
      <c r="H1490" s="18" t="str">
        <f>RTD("ice.rtd",,$C1490 &amp; $D1490 &amp; ":" &amp; H$1)</f>
        <v/>
      </c>
      <c r="I1490" s="18" t="str">
        <f>RTD("ice.rtd",,$C1490 &amp; $D1490 &amp; ":" &amp; I$1)</f>
        <v/>
      </c>
      <c r="J1490" s="14" t="str">
        <f>IFERROR(MOD(RTD("ice.rtd",,$C1490 &amp; $D1490 &amp; ":" &amp; J$1), 1), "")</f>
        <v/>
      </c>
      <c r="K1490" s="18" t="str">
        <f>RTD("ice.rtd",,$C1490 &amp; $D1490 &amp; ":" &amp; K$1)</f>
        <v/>
      </c>
      <c r="L1490" s="36" t="str">
        <f>RTD("ice.rtd",,$C1490 &amp; $D1490 &amp; ":" &amp; L$1)</f>
        <v/>
      </c>
      <c r="M1490" s="14" t="str">
        <f>IFERROR(MOD(TIMEVALUE(RTD("ice.rtd",,$C1490 &amp; $D1490 &amp; ":" &amp; M$1)), 1), "")</f>
        <v/>
      </c>
      <c r="N1490" s="36">
        <f>RTD("ice.rtd",,$C1490 &amp; $D1490 &amp; ":" &amp; N$1)</f>
        <v>0</v>
      </c>
      <c r="O1490" s="36">
        <f>RTD("ice.rtd",,$C1490 &amp; $D1490 &amp; ":" &amp; O$1)</f>
        <v>0</v>
      </c>
      <c r="P14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0" s="14" t="str">
        <f>IF(ICE[[#This Row],[LastType]] = "Scrn", ICE[[#This Row],[LstDate]], IF(ICE[[#This Row],[LastType]] = "Blk", ICE[[#This Row],[LstBlkTime]], ""))</f>
        <v/>
      </c>
      <c r="R1490" s="41" t="str">
        <f>IF(ICE[[#This Row],[LastType]] = "Scrn", ICE[[#This Row],[LstPrc]], IF(ICE[[#This Row],[LastType]] = "Blk", ICE[[#This Row],[LstBlkPrc]], ""))</f>
        <v/>
      </c>
      <c r="S1490" s="36">
        <f>ICE[[#This Row],[Vol]]+ICE[[#This Row],[BlkVol]]</f>
        <v>0</v>
      </c>
      <c r="T1490" s="36">
        <f>RTD("ice.rtd",,$C1490 &amp; $D1490 &amp; ":" &amp; T$1)</f>
        <v>0</v>
      </c>
      <c r="U1490" s="18">
        <f>RTD("ice.rtd",,$C1490 &amp; $D1490 &amp; ":" &amp; U$1)</f>
        <v>1.9450000000000001</v>
      </c>
      <c r="V14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0" s="18" t="str">
        <f>IFERROR(IF(LEFT(ICE[[#This Row],[Tenor]], 1) = "B", RTD("esrtd",,$B1490 &amp; " " &amp; ICE[[#This Row],[Tenor]] &amp; "-IEU", W$1), RTD("esrtd",,$B1490 &amp; " " &amp; VLOOKUP(MONTH(ICE[[#This Row],[Strip]]), MthRef[], 2, 0) &amp; RIGHT(YEAR(ICE[[#This Row],[Strip]]), 2) &amp; "-IEU", W$1)), "")</f>
        <v/>
      </c>
      <c r="X1490" s="36"/>
    </row>
    <row r="1491" spans="1:24" x14ac:dyDescent="0.25">
      <c r="A1491" s="37" t="s">
        <v>378</v>
      </c>
      <c r="B1491" s="88" t="str">
        <f>RTD("ice.rtd",,$C1491 &amp; $D1491 &amp; ":" &amp; B$1)</f>
        <v>NGE</v>
      </c>
      <c r="C1491" s="3">
        <v>16351515</v>
      </c>
      <c r="D1491" t="s">
        <v>793</v>
      </c>
      <c r="E1491" s="3" t="str">
        <f>RTD("ice.rtd",,$C1491 &amp; $D1491 &amp; ":" &amp; E$1)</f>
        <v>Sep26</v>
      </c>
      <c r="F1491" s="3" t="str">
        <f>ICE[[#This Row],[Prod]]&amp;ICE[[#This Row],[Strip]]</f>
        <v>ngasntetSep26</v>
      </c>
      <c r="G1491" s="18" t="str">
        <f>RTD("ice.rtd",,$C1491 &amp; $D1491 &amp; ":" &amp; G$1)</f>
        <v/>
      </c>
      <c r="H1491" s="18" t="str">
        <f>RTD("ice.rtd",,$C1491 &amp; $D1491 &amp; ":" &amp; H$1)</f>
        <v/>
      </c>
      <c r="I1491" s="18" t="str">
        <f>RTD("ice.rtd",,$C1491 &amp; $D1491 &amp; ":" &amp; I$1)</f>
        <v/>
      </c>
      <c r="J1491" s="14" t="str">
        <f>IFERROR(MOD(RTD("ice.rtd",,$C1491 &amp; $D1491 &amp; ":" &amp; J$1), 1), "")</f>
        <v/>
      </c>
      <c r="K1491" s="18" t="str">
        <f>RTD("ice.rtd",,$C1491 &amp; $D1491 &amp; ":" &amp; K$1)</f>
        <v/>
      </c>
      <c r="L1491" s="36" t="str">
        <f>RTD("ice.rtd",,$C1491 &amp; $D1491 &amp; ":" &amp; L$1)</f>
        <v/>
      </c>
      <c r="M1491" s="14" t="str">
        <f>IFERROR(MOD(TIMEVALUE(RTD("ice.rtd",,$C1491 &amp; $D1491 &amp; ":" &amp; M$1)), 1), "")</f>
        <v/>
      </c>
      <c r="N1491" s="36">
        <f>RTD("ice.rtd",,$C1491 &amp; $D1491 &amp; ":" &amp; N$1)</f>
        <v>0</v>
      </c>
      <c r="O1491" s="36">
        <f>RTD("ice.rtd",,$C1491 &amp; $D1491 &amp; ":" &amp; O$1)</f>
        <v>0</v>
      </c>
      <c r="P14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1" s="14" t="str">
        <f>IF(ICE[[#This Row],[LastType]] = "Scrn", ICE[[#This Row],[LstDate]], IF(ICE[[#This Row],[LastType]] = "Blk", ICE[[#This Row],[LstBlkTime]], ""))</f>
        <v/>
      </c>
      <c r="R1491" s="41" t="str">
        <f>IF(ICE[[#This Row],[LastType]] = "Scrn", ICE[[#This Row],[LstPrc]], IF(ICE[[#This Row],[LastType]] = "Blk", ICE[[#This Row],[LstBlkPrc]], ""))</f>
        <v/>
      </c>
      <c r="S1491" s="36">
        <f>ICE[[#This Row],[Vol]]+ICE[[#This Row],[BlkVol]]</f>
        <v>0</v>
      </c>
      <c r="T1491" s="36">
        <f>RTD("ice.rtd",,$C1491 &amp; $D1491 &amp; ":" &amp; T$1)</f>
        <v>3278</v>
      </c>
      <c r="U1491" s="18">
        <f>RTD("ice.rtd",,$C1491 &amp; $D1491 &amp; ":" &amp; U$1)</f>
        <v>1.9450000000000001</v>
      </c>
      <c r="V14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1" s="18" t="str">
        <f>IFERROR(IF(LEFT(ICE[[#This Row],[Tenor]], 1) = "B", RTD("esrtd",,$B1491 &amp; " " &amp; ICE[[#This Row],[Tenor]] &amp; "-IEU", W$1), RTD("esrtd",,$B1491 &amp; " " &amp; VLOOKUP(MONTH(ICE[[#This Row],[Strip]]), MthRef[], 2, 0) &amp; RIGHT(YEAR(ICE[[#This Row],[Strip]]), 2) &amp; "-IEU", W$1)), "")</f>
        <v/>
      </c>
      <c r="X1491" s="36"/>
    </row>
    <row r="1492" spans="1:24" x14ac:dyDescent="0.25">
      <c r="A1492" s="37" t="s">
        <v>378</v>
      </c>
      <c r="B1492" s="88" t="str">
        <f>RTD("ice.rtd",,$C1492 &amp; $D1492 &amp; ":" &amp; B$1)</f>
        <v>NGE</v>
      </c>
      <c r="C1492" s="3">
        <v>16351515</v>
      </c>
      <c r="D1492" t="s">
        <v>324</v>
      </c>
      <c r="E1492" s="3" t="str">
        <f>RTD("ice.rtd",,$C1492 &amp; $D1492 &amp; ":" &amp; E$1)</f>
        <v>Oct26</v>
      </c>
      <c r="F1492" s="3" t="str">
        <f>ICE[[#This Row],[Prod]]&amp;ICE[[#This Row],[Strip]]</f>
        <v>ngasntetOct26</v>
      </c>
      <c r="G1492" s="18" t="str">
        <f>RTD("ice.rtd",,$C1492 &amp; $D1492 &amp; ":" &amp; G$1)</f>
        <v/>
      </c>
      <c r="H1492" s="18" t="str">
        <f>RTD("ice.rtd",,$C1492 &amp; $D1492 &amp; ":" &amp; H$1)</f>
        <v/>
      </c>
      <c r="I1492" s="18" t="str">
        <f>RTD("ice.rtd",,$C1492 &amp; $D1492 &amp; ":" &amp; I$1)</f>
        <v/>
      </c>
      <c r="J1492" s="14" t="str">
        <f>IFERROR(MOD(RTD("ice.rtd",,$C1492 &amp; $D1492 &amp; ":" &amp; J$1), 1), "")</f>
        <v/>
      </c>
      <c r="K1492" s="18" t="str">
        <f>RTD("ice.rtd",,$C1492 &amp; $D1492 &amp; ":" &amp; K$1)</f>
        <v/>
      </c>
      <c r="L1492" s="36" t="str">
        <f>RTD("ice.rtd",,$C1492 &amp; $D1492 &amp; ":" &amp; L$1)</f>
        <v/>
      </c>
      <c r="M1492" s="14" t="str">
        <f>IFERROR(MOD(TIMEVALUE(RTD("ice.rtd",,$C1492 &amp; $D1492 &amp; ":" &amp; M$1)), 1), "")</f>
        <v/>
      </c>
      <c r="N1492" s="36">
        <f>RTD("ice.rtd",,$C1492 &amp; $D1492 &amp; ":" &amp; N$1)</f>
        <v>0</v>
      </c>
      <c r="O1492" s="36">
        <f>RTD("ice.rtd",,$C1492 &amp; $D1492 &amp; ":" &amp; O$1)</f>
        <v>0</v>
      </c>
      <c r="P14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2" s="14" t="str">
        <f>IF(ICE[[#This Row],[LastType]] = "Scrn", ICE[[#This Row],[LstDate]], IF(ICE[[#This Row],[LastType]] = "Blk", ICE[[#This Row],[LstBlkTime]], ""))</f>
        <v/>
      </c>
      <c r="R1492" s="41" t="str">
        <f>IF(ICE[[#This Row],[LastType]] = "Scrn", ICE[[#This Row],[LstPrc]], IF(ICE[[#This Row],[LastType]] = "Blk", ICE[[#This Row],[LstBlkPrc]], ""))</f>
        <v/>
      </c>
      <c r="S1492" s="36">
        <f>ICE[[#This Row],[Vol]]+ICE[[#This Row],[BlkVol]]</f>
        <v>0</v>
      </c>
      <c r="T1492" s="36">
        <f>RTD("ice.rtd",,$C1492 &amp; $D1492 &amp; ":" &amp; T$1)</f>
        <v>1442</v>
      </c>
      <c r="U1492" s="18">
        <f>RTD("ice.rtd",,$C1492 &amp; $D1492 &amp; ":" &amp; U$1)</f>
        <v>1.9125000000000001</v>
      </c>
      <c r="V14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2" s="18" t="str">
        <f>IFERROR(IF(LEFT(ICE[[#This Row],[Tenor]], 1) = "B", RTD("esrtd",,$B1492 &amp; " " &amp; ICE[[#This Row],[Tenor]] &amp; "-IEU", W$1), RTD("esrtd",,$B1492 &amp; " " &amp; VLOOKUP(MONTH(ICE[[#This Row],[Strip]]), MthRef[], 2, 0) &amp; RIGHT(YEAR(ICE[[#This Row],[Strip]]), 2) &amp; "-IEU", W$1)), "")</f>
        <v/>
      </c>
      <c r="X1492" s="36"/>
    </row>
    <row r="1493" spans="1:24" x14ac:dyDescent="0.25">
      <c r="A1493" s="37" t="s">
        <v>378</v>
      </c>
      <c r="B1493" s="88" t="str">
        <f>RTD("ice.rtd",,$C1493 &amp; $D1493 &amp; ":" &amp; B$1)</f>
        <v>NGE</v>
      </c>
      <c r="C1493" s="3">
        <v>16351515</v>
      </c>
      <c r="D1493" t="s">
        <v>325</v>
      </c>
      <c r="E1493" s="3" t="str">
        <f>RTD("ice.rtd",,$C1493 &amp; $D1493 &amp; ":" &amp; E$1)</f>
        <v>Nov26</v>
      </c>
      <c r="F1493" s="3" t="str">
        <f>ICE[[#This Row],[Prod]]&amp;ICE[[#This Row],[Strip]]</f>
        <v>ngasntetNov26</v>
      </c>
      <c r="G1493" s="18" t="str">
        <f>RTD("ice.rtd",,$C1493 &amp; $D1493 &amp; ":" &amp; G$1)</f>
        <v/>
      </c>
      <c r="H1493" s="18" t="str">
        <f>RTD("ice.rtd",,$C1493 &amp; $D1493 &amp; ":" &amp; H$1)</f>
        <v/>
      </c>
      <c r="I1493" s="18" t="str">
        <f>RTD("ice.rtd",,$C1493 &amp; $D1493 &amp; ":" &amp; I$1)</f>
        <v/>
      </c>
      <c r="J1493" s="14" t="str">
        <f>IFERROR(MOD(RTD("ice.rtd",,$C1493 &amp; $D1493 &amp; ":" &amp; J$1), 1), "")</f>
        <v/>
      </c>
      <c r="K1493" s="18" t="str">
        <f>RTD("ice.rtd",,$C1493 &amp; $D1493 &amp; ":" &amp; K$1)</f>
        <v/>
      </c>
      <c r="L1493" s="36" t="str">
        <f>RTD("ice.rtd",,$C1493 &amp; $D1493 &amp; ":" &amp; L$1)</f>
        <v/>
      </c>
      <c r="M1493" s="14" t="str">
        <f>IFERROR(MOD(TIMEVALUE(RTD("ice.rtd",,$C1493 &amp; $D1493 &amp; ":" &amp; M$1)), 1), "")</f>
        <v/>
      </c>
      <c r="N1493" s="36">
        <f>RTD("ice.rtd",,$C1493 &amp; $D1493 &amp; ":" &amp; N$1)</f>
        <v>0</v>
      </c>
      <c r="O1493" s="36">
        <f>RTD("ice.rtd",,$C1493 &amp; $D1493 &amp; ":" &amp; O$1)</f>
        <v>0</v>
      </c>
      <c r="P14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3" s="14" t="str">
        <f>IF(ICE[[#This Row],[LastType]] = "Scrn", ICE[[#This Row],[LstDate]], IF(ICE[[#This Row],[LastType]] = "Blk", ICE[[#This Row],[LstBlkTime]], ""))</f>
        <v/>
      </c>
      <c r="R1493" s="41" t="str">
        <f>IF(ICE[[#This Row],[LastType]] = "Scrn", ICE[[#This Row],[LstPrc]], IF(ICE[[#This Row],[LastType]] = "Blk", ICE[[#This Row],[LstBlkPrc]], ""))</f>
        <v/>
      </c>
      <c r="S1493" s="36">
        <f>ICE[[#This Row],[Vol]]+ICE[[#This Row],[BlkVol]]</f>
        <v>0</v>
      </c>
      <c r="T1493" s="36">
        <f>RTD("ice.rtd",,$C1493 &amp; $D1493 &amp; ":" &amp; T$1)</f>
        <v>1636</v>
      </c>
      <c r="U1493" s="18">
        <f>RTD("ice.rtd",,$C1493 &amp; $D1493 &amp; ":" &amp; U$1)</f>
        <v>1.8587499999999999</v>
      </c>
      <c r="V14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3" s="18" t="str">
        <f>IFERROR(IF(LEFT(ICE[[#This Row],[Tenor]], 1) = "B", RTD("esrtd",,$B1493 &amp; " " &amp; ICE[[#This Row],[Tenor]] &amp; "-IEU", W$1), RTD("esrtd",,$B1493 &amp; " " &amp; VLOOKUP(MONTH(ICE[[#This Row],[Strip]]), MthRef[], 2, 0) &amp; RIGHT(YEAR(ICE[[#This Row],[Strip]]), 2) &amp; "-IEU", W$1)), "")</f>
        <v/>
      </c>
      <c r="X1493" s="36"/>
    </row>
    <row r="1494" spans="1:24" x14ac:dyDescent="0.25">
      <c r="A1494" s="37" t="s">
        <v>378</v>
      </c>
      <c r="B1494" s="88" t="str">
        <f>RTD("ice.rtd",,$C1494 &amp; $D1494 &amp; ":" &amp; B$1)</f>
        <v>NGE</v>
      </c>
      <c r="C1494" s="3">
        <v>16351515</v>
      </c>
      <c r="D1494" t="s">
        <v>326</v>
      </c>
      <c r="E1494" s="3" t="str">
        <f>RTD("ice.rtd",,$C1494 &amp; $D1494 &amp; ":" &amp; E$1)</f>
        <v>Dec26</v>
      </c>
      <c r="F1494" s="3" t="str">
        <f>ICE[[#This Row],[Prod]]&amp;ICE[[#This Row],[Strip]]</f>
        <v>ngasntetDec26</v>
      </c>
      <c r="G1494" s="18" t="str">
        <f>RTD("ice.rtd",,$C1494 &amp; $D1494 &amp; ":" &amp; G$1)</f>
        <v/>
      </c>
      <c r="H1494" s="18" t="str">
        <f>RTD("ice.rtd",,$C1494 &amp; $D1494 &amp; ":" &amp; H$1)</f>
        <v/>
      </c>
      <c r="I1494" s="18" t="str">
        <f>RTD("ice.rtd",,$C1494 &amp; $D1494 &amp; ":" &amp; I$1)</f>
        <v/>
      </c>
      <c r="J1494" s="14" t="str">
        <f>IFERROR(MOD(RTD("ice.rtd",,$C1494 &amp; $D1494 &amp; ":" &amp; J$1), 1), "")</f>
        <v/>
      </c>
      <c r="K1494" s="18" t="str">
        <f>RTD("ice.rtd",,$C1494 &amp; $D1494 &amp; ":" &amp; K$1)</f>
        <v/>
      </c>
      <c r="L1494" s="36" t="str">
        <f>RTD("ice.rtd",,$C1494 &amp; $D1494 &amp; ":" &amp; L$1)</f>
        <v/>
      </c>
      <c r="M1494" s="14" t="str">
        <f>IFERROR(MOD(TIMEVALUE(RTD("ice.rtd",,$C1494 &amp; $D1494 &amp; ":" &amp; M$1)), 1), "")</f>
        <v/>
      </c>
      <c r="N1494" s="36">
        <f>RTD("ice.rtd",,$C1494 &amp; $D1494 &amp; ":" &amp; N$1)</f>
        <v>0</v>
      </c>
      <c r="O1494" s="36">
        <f>RTD("ice.rtd",,$C1494 &amp; $D1494 &amp; ":" &amp; O$1)</f>
        <v>0</v>
      </c>
      <c r="P14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4" s="14" t="str">
        <f>IF(ICE[[#This Row],[LastType]] = "Scrn", ICE[[#This Row],[LstDate]], IF(ICE[[#This Row],[LastType]] = "Blk", ICE[[#This Row],[LstBlkTime]], ""))</f>
        <v/>
      </c>
      <c r="R1494" s="41" t="str">
        <f>IF(ICE[[#This Row],[LastType]] = "Scrn", ICE[[#This Row],[LstPrc]], IF(ICE[[#This Row],[LastType]] = "Blk", ICE[[#This Row],[LstBlkPrc]], ""))</f>
        <v/>
      </c>
      <c r="S1494" s="36">
        <f>ICE[[#This Row],[Vol]]+ICE[[#This Row],[BlkVol]]</f>
        <v>0</v>
      </c>
      <c r="T1494" s="36">
        <f>RTD("ice.rtd",,$C1494 &amp; $D1494 &amp; ":" &amp; T$1)</f>
        <v>2448</v>
      </c>
      <c r="U1494" s="18">
        <f>RTD("ice.rtd",,$C1494 &amp; $D1494 &amp; ":" &amp; U$1)</f>
        <v>1.8062499999999999</v>
      </c>
      <c r="V14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4" s="18" t="str">
        <f>IFERROR(IF(LEFT(ICE[[#This Row],[Tenor]], 1) = "B", RTD("esrtd",,$B1494 &amp; " " &amp; ICE[[#This Row],[Tenor]] &amp; "-IEU", W$1), RTD("esrtd",,$B1494 &amp; " " &amp; VLOOKUP(MONTH(ICE[[#This Row],[Strip]]), MthRef[], 2, 0) &amp; RIGHT(YEAR(ICE[[#This Row],[Strip]]), 2) &amp; "-IEU", W$1)), "")</f>
        <v/>
      </c>
      <c r="X1494" s="36"/>
    </row>
    <row r="1495" spans="1:24" x14ac:dyDescent="0.25">
      <c r="A1495" s="37" t="s">
        <v>378</v>
      </c>
      <c r="B1495" s="88" t="str">
        <f>RTD("ice.rtd",,$C1495 &amp; $D1495 &amp; ":" &amp; B$1)</f>
        <v>NGE</v>
      </c>
      <c r="C1495" s="3">
        <v>16351515</v>
      </c>
      <c r="D1495" t="s">
        <v>794</v>
      </c>
      <c r="E1495" s="3" t="str">
        <f>RTD("ice.rtd",,$C1495 &amp; $D1495 &amp; ":" &amp; E$1)</f>
        <v>Jan27</v>
      </c>
      <c r="F1495" s="3" t="str">
        <f>ICE[[#This Row],[Prod]]&amp;ICE[[#This Row],[Strip]]</f>
        <v>ngasntetJan27</v>
      </c>
      <c r="G1495" s="18" t="str">
        <f>RTD("ice.rtd",,$C1495 &amp; $D1495 &amp; ":" &amp; G$1)</f>
        <v/>
      </c>
      <c r="H1495" s="18" t="str">
        <f>RTD("ice.rtd",,$C1495 &amp; $D1495 &amp; ":" &amp; H$1)</f>
        <v/>
      </c>
      <c r="I1495" s="18" t="str">
        <f>RTD("ice.rtd",,$C1495 &amp; $D1495 &amp; ":" &amp; I$1)</f>
        <v/>
      </c>
      <c r="J1495" s="14" t="str">
        <f>IFERROR(MOD(RTD("ice.rtd",,$C1495 &amp; $D1495 &amp; ":" &amp; J$1), 1), "")</f>
        <v/>
      </c>
      <c r="K1495" s="18" t="str">
        <f>RTD("ice.rtd",,$C1495 &amp; $D1495 &amp; ":" &amp; K$1)</f>
        <v/>
      </c>
      <c r="L1495" s="36" t="str">
        <f>RTD("ice.rtd",,$C1495 &amp; $D1495 &amp; ":" &amp; L$1)</f>
        <v/>
      </c>
      <c r="M1495" s="14" t="str">
        <f>IFERROR(MOD(TIMEVALUE(RTD("ice.rtd",,$C1495 &amp; $D1495 &amp; ":" &amp; M$1)), 1), "")</f>
        <v/>
      </c>
      <c r="N1495" s="36">
        <f>RTD("ice.rtd",,$C1495 &amp; $D1495 &amp; ":" &amp; N$1)</f>
        <v>0</v>
      </c>
      <c r="O1495" s="36">
        <f>RTD("ice.rtd",,$C1495 &amp; $D1495 &amp; ":" &amp; O$1)</f>
        <v>0</v>
      </c>
      <c r="P14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5" s="14" t="str">
        <f>IF(ICE[[#This Row],[LastType]] = "Scrn", ICE[[#This Row],[LstDate]], IF(ICE[[#This Row],[LastType]] = "Blk", ICE[[#This Row],[LstBlkTime]], ""))</f>
        <v/>
      </c>
      <c r="R1495" s="41" t="str">
        <f>IF(ICE[[#This Row],[LastType]] = "Scrn", ICE[[#This Row],[LstPrc]], IF(ICE[[#This Row],[LastType]] = "Blk", ICE[[#This Row],[LstBlkPrc]], ""))</f>
        <v/>
      </c>
      <c r="S1495" s="36">
        <f>ICE[[#This Row],[Vol]]+ICE[[#This Row],[BlkVol]]</f>
        <v>0</v>
      </c>
      <c r="T1495" s="36">
        <f>RTD("ice.rtd",,$C1495 &amp; $D1495 &amp; ":" &amp; T$1)</f>
        <v>1263</v>
      </c>
      <c r="U1495" s="18">
        <f>RTD("ice.rtd",,$C1495 &amp; $D1495 &amp; ":" &amp; U$1)</f>
        <v>1.7662499999999999</v>
      </c>
      <c r="V14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5" s="18" t="str">
        <f>IFERROR(IF(LEFT(ICE[[#This Row],[Tenor]], 1) = "B", RTD("esrtd",,$B1495 &amp; " " &amp; ICE[[#This Row],[Tenor]] &amp; "-IEU", W$1), RTD("esrtd",,$B1495 &amp; " " &amp; VLOOKUP(MONTH(ICE[[#This Row],[Strip]]), MthRef[], 2, 0) &amp; RIGHT(YEAR(ICE[[#This Row],[Strip]]), 2) &amp; "-IEU", W$1)), "")</f>
        <v/>
      </c>
      <c r="X1495" s="36"/>
    </row>
    <row r="1496" spans="1:24" x14ac:dyDescent="0.25">
      <c r="A1496" s="37" t="s">
        <v>378</v>
      </c>
      <c r="B1496" s="88" t="str">
        <f>RTD("ice.rtd",,$C1496 &amp; $D1496 &amp; ":" &amp; B$1)</f>
        <v>NGE</v>
      </c>
      <c r="C1496" s="3">
        <v>16351515</v>
      </c>
      <c r="D1496" t="s">
        <v>795</v>
      </c>
      <c r="E1496" s="3" t="str">
        <f>RTD("ice.rtd",,$C1496 &amp; $D1496 &amp; ":" &amp; E$1)</f>
        <v>Feb27</v>
      </c>
      <c r="F1496" s="3" t="str">
        <f>ICE[[#This Row],[Prod]]&amp;ICE[[#This Row],[Strip]]</f>
        <v>ngasntetFeb27</v>
      </c>
      <c r="G1496" s="18" t="str">
        <f>RTD("ice.rtd",,$C1496 &amp; $D1496 &amp; ":" &amp; G$1)</f>
        <v/>
      </c>
      <c r="H1496" s="18" t="str">
        <f>RTD("ice.rtd",,$C1496 &amp; $D1496 &amp; ":" &amp; H$1)</f>
        <v/>
      </c>
      <c r="I1496" s="18" t="str">
        <f>RTD("ice.rtd",,$C1496 &amp; $D1496 &amp; ":" &amp; I$1)</f>
        <v/>
      </c>
      <c r="J1496" s="14" t="str">
        <f>IFERROR(MOD(RTD("ice.rtd",,$C1496 &amp; $D1496 &amp; ":" &amp; J$1), 1), "")</f>
        <v/>
      </c>
      <c r="K1496" s="18" t="str">
        <f>RTD("ice.rtd",,$C1496 &amp; $D1496 &amp; ":" &amp; K$1)</f>
        <v/>
      </c>
      <c r="L1496" s="36" t="str">
        <f>RTD("ice.rtd",,$C1496 &amp; $D1496 &amp; ":" &amp; L$1)</f>
        <v/>
      </c>
      <c r="M1496" s="14" t="str">
        <f>IFERROR(MOD(TIMEVALUE(RTD("ice.rtd",,$C1496 &amp; $D1496 &amp; ":" &amp; M$1)), 1), "")</f>
        <v/>
      </c>
      <c r="N1496" s="36">
        <f>RTD("ice.rtd",,$C1496 &amp; $D1496 &amp; ":" &amp; N$1)</f>
        <v>0</v>
      </c>
      <c r="O1496" s="36">
        <f>RTD("ice.rtd",,$C1496 &amp; $D1496 &amp; ":" &amp; O$1)</f>
        <v>0</v>
      </c>
      <c r="P14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6" s="14" t="str">
        <f>IF(ICE[[#This Row],[LastType]] = "Scrn", ICE[[#This Row],[LstDate]], IF(ICE[[#This Row],[LastType]] = "Blk", ICE[[#This Row],[LstBlkTime]], ""))</f>
        <v/>
      </c>
      <c r="R1496" s="41" t="str">
        <f>IF(ICE[[#This Row],[LastType]] = "Scrn", ICE[[#This Row],[LstPrc]], IF(ICE[[#This Row],[LastType]] = "Blk", ICE[[#This Row],[LstBlkPrc]], ""))</f>
        <v/>
      </c>
      <c r="S1496" s="36">
        <f>ICE[[#This Row],[Vol]]+ICE[[#This Row],[BlkVol]]</f>
        <v>0</v>
      </c>
      <c r="T1496" s="36">
        <f>RTD("ice.rtd",,$C1496 &amp; $D1496 &amp; ":" &amp; T$1)</f>
        <v>755</v>
      </c>
      <c r="U1496" s="18">
        <f>RTD("ice.rtd",,$C1496 &amp; $D1496 &amp; ":" &amp; U$1)</f>
        <v>1.7250000000000001</v>
      </c>
      <c r="V14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6" s="18" t="str">
        <f>IFERROR(IF(LEFT(ICE[[#This Row],[Tenor]], 1) = "B", RTD("esrtd",,$B1496 &amp; " " &amp; ICE[[#This Row],[Tenor]] &amp; "-IEU", W$1), RTD("esrtd",,$B1496 &amp; " " &amp; VLOOKUP(MONTH(ICE[[#This Row],[Strip]]), MthRef[], 2, 0) &amp; RIGHT(YEAR(ICE[[#This Row],[Strip]]), 2) &amp; "-IEU", W$1)), "")</f>
        <v/>
      </c>
      <c r="X1496" s="36"/>
    </row>
    <row r="1497" spans="1:24" x14ac:dyDescent="0.25">
      <c r="A1497" s="37" t="s">
        <v>378</v>
      </c>
      <c r="B1497" s="88" t="str">
        <f>RTD("ice.rtd",,$C1497 &amp; $D1497 &amp; ":" &amp; B$1)</f>
        <v>NGE</v>
      </c>
      <c r="C1497" s="3">
        <v>16351515</v>
      </c>
      <c r="D1497" t="s">
        <v>113</v>
      </c>
      <c r="E1497" s="3" t="str">
        <f>RTD("ice.rtd",,$C1497 &amp; $D1497 &amp; ":" &amp; E$1)</f>
        <v>Mar27</v>
      </c>
      <c r="F1497" s="3" t="str">
        <f>ICE[[#This Row],[Prod]]&amp;ICE[[#This Row],[Strip]]</f>
        <v>ngasntetMar27</v>
      </c>
      <c r="G1497" s="18" t="str">
        <f>RTD("ice.rtd",,$C1497 &amp; $D1497 &amp; ":" &amp; G$1)</f>
        <v/>
      </c>
      <c r="H1497" s="18" t="str">
        <f>RTD("ice.rtd",,$C1497 &amp; $D1497 &amp; ":" &amp; H$1)</f>
        <v/>
      </c>
      <c r="I1497" s="18" t="str">
        <f>RTD("ice.rtd",,$C1497 &amp; $D1497 &amp; ":" &amp; I$1)</f>
        <v/>
      </c>
      <c r="J1497" s="14" t="str">
        <f>IFERROR(MOD(RTD("ice.rtd",,$C1497 &amp; $D1497 &amp; ":" &amp; J$1), 1), "")</f>
        <v/>
      </c>
      <c r="K1497" s="18" t="str">
        <f>RTD("ice.rtd",,$C1497 &amp; $D1497 &amp; ":" &amp; K$1)</f>
        <v/>
      </c>
      <c r="L1497" s="36" t="str">
        <f>RTD("ice.rtd",,$C1497 &amp; $D1497 &amp; ":" &amp; L$1)</f>
        <v/>
      </c>
      <c r="M1497" s="14" t="str">
        <f>IFERROR(MOD(TIMEVALUE(RTD("ice.rtd",,$C1497 &amp; $D1497 &amp; ":" &amp; M$1)), 1), "")</f>
        <v/>
      </c>
      <c r="N1497" s="36">
        <f>RTD("ice.rtd",,$C1497 &amp; $D1497 &amp; ":" &amp; N$1)</f>
        <v>0</v>
      </c>
      <c r="O1497" s="36">
        <f>RTD("ice.rtd",,$C1497 &amp; $D1497 &amp; ":" &amp; O$1)</f>
        <v>0</v>
      </c>
      <c r="P14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7" s="14" t="str">
        <f>IF(ICE[[#This Row],[LastType]] = "Scrn", ICE[[#This Row],[LstDate]], IF(ICE[[#This Row],[LastType]] = "Blk", ICE[[#This Row],[LstBlkTime]], ""))</f>
        <v/>
      </c>
      <c r="R1497" s="41" t="str">
        <f>IF(ICE[[#This Row],[LastType]] = "Scrn", ICE[[#This Row],[LstPrc]], IF(ICE[[#This Row],[LastType]] = "Blk", ICE[[#This Row],[LstBlkPrc]], ""))</f>
        <v/>
      </c>
      <c r="S1497" s="36">
        <f>ICE[[#This Row],[Vol]]+ICE[[#This Row],[BlkVol]]</f>
        <v>0</v>
      </c>
      <c r="T1497" s="36">
        <f>RTD("ice.rtd",,$C1497 &amp; $D1497 &amp; ":" &amp; T$1)</f>
        <v>785</v>
      </c>
      <c r="U1497" s="18">
        <f>RTD("ice.rtd",,$C1497 &amp; $D1497 &amp; ":" &amp; U$1)</f>
        <v>1.68</v>
      </c>
      <c r="V14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7" s="18" t="str">
        <f>IFERROR(IF(LEFT(ICE[[#This Row],[Tenor]], 1) = "B", RTD("esrtd",,$B1497 &amp; " " &amp; ICE[[#This Row],[Tenor]] &amp; "-IEU", W$1), RTD("esrtd",,$B1497 &amp; " " &amp; VLOOKUP(MONTH(ICE[[#This Row],[Strip]]), MthRef[], 2, 0) &amp; RIGHT(YEAR(ICE[[#This Row],[Strip]]), 2) &amp; "-IEU", W$1)), "")</f>
        <v/>
      </c>
      <c r="X1497" s="36"/>
    </row>
    <row r="1498" spans="1:24" x14ac:dyDescent="0.25">
      <c r="A1498" s="37" t="s">
        <v>378</v>
      </c>
      <c r="B1498" s="88" t="str">
        <f>RTD("ice.rtd",,$C1498 &amp; $D1498 &amp; ":" &amp; B$1)</f>
        <v>NGE</v>
      </c>
      <c r="C1498" s="3">
        <v>16351515</v>
      </c>
      <c r="D1498" t="s">
        <v>796</v>
      </c>
      <c r="E1498" s="3" t="str">
        <f>RTD("ice.rtd",,$C1498 &amp; $D1498 &amp; ":" &amp; E$1)</f>
        <v>Apr27</v>
      </c>
      <c r="F1498" s="3" t="str">
        <f>ICE[[#This Row],[Prod]]&amp;ICE[[#This Row],[Strip]]</f>
        <v>ngasntetApr27</v>
      </c>
      <c r="G1498" s="18" t="str">
        <f>RTD("ice.rtd",,$C1498 &amp; $D1498 &amp; ":" &amp; G$1)</f>
        <v/>
      </c>
      <c r="H1498" s="18" t="str">
        <f>RTD("ice.rtd",,$C1498 &amp; $D1498 &amp; ":" &amp; H$1)</f>
        <v/>
      </c>
      <c r="I1498" s="18" t="str">
        <f>RTD("ice.rtd",,$C1498 &amp; $D1498 &amp; ":" &amp; I$1)</f>
        <v/>
      </c>
      <c r="J1498" s="14" t="str">
        <f>IFERROR(MOD(RTD("ice.rtd",,$C1498 &amp; $D1498 &amp; ":" &amp; J$1), 1), "")</f>
        <v/>
      </c>
      <c r="K1498" s="18" t="str">
        <f>RTD("ice.rtd",,$C1498 &amp; $D1498 &amp; ":" &amp; K$1)</f>
        <v/>
      </c>
      <c r="L1498" s="36" t="str">
        <f>RTD("ice.rtd",,$C1498 &amp; $D1498 &amp; ":" &amp; L$1)</f>
        <v/>
      </c>
      <c r="M1498" s="14" t="str">
        <f>IFERROR(MOD(TIMEVALUE(RTD("ice.rtd",,$C1498 &amp; $D1498 &amp; ":" &amp; M$1)), 1), "")</f>
        <v/>
      </c>
      <c r="N1498" s="36">
        <f>RTD("ice.rtd",,$C1498 &amp; $D1498 &amp; ":" &amp; N$1)</f>
        <v>0</v>
      </c>
      <c r="O1498" s="36">
        <f>RTD("ice.rtd",,$C1498 &amp; $D1498 &amp; ":" &amp; O$1)</f>
        <v>0</v>
      </c>
      <c r="P14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8" s="14" t="str">
        <f>IF(ICE[[#This Row],[LastType]] = "Scrn", ICE[[#This Row],[LstDate]], IF(ICE[[#This Row],[LastType]] = "Blk", ICE[[#This Row],[LstBlkTime]], ""))</f>
        <v/>
      </c>
      <c r="R1498" s="41" t="str">
        <f>IF(ICE[[#This Row],[LastType]] = "Scrn", ICE[[#This Row],[LstPrc]], IF(ICE[[#This Row],[LastType]] = "Blk", ICE[[#This Row],[LstBlkPrc]], ""))</f>
        <v/>
      </c>
      <c r="S1498" s="36">
        <f>ICE[[#This Row],[Vol]]+ICE[[#This Row],[BlkVol]]</f>
        <v>0</v>
      </c>
      <c r="T1498" s="36">
        <f>RTD("ice.rtd",,$C1498 &amp; $D1498 &amp; ":" &amp; T$1)</f>
        <v>435</v>
      </c>
      <c r="U1498" s="18">
        <f>RTD("ice.rtd",,$C1498 &amp; $D1498 &amp; ":" &amp; U$1)</f>
        <v>1.6375000000000002</v>
      </c>
      <c r="V14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8" s="18" t="str">
        <f>IFERROR(IF(LEFT(ICE[[#This Row],[Tenor]], 1) = "B", RTD("esrtd",,$B1498 &amp; " " &amp; ICE[[#This Row],[Tenor]] &amp; "-IEU", W$1), RTD("esrtd",,$B1498 &amp; " " &amp; VLOOKUP(MONTH(ICE[[#This Row],[Strip]]), MthRef[], 2, 0) &amp; RIGHT(YEAR(ICE[[#This Row],[Strip]]), 2) &amp; "-IEU", W$1)), "")</f>
        <v/>
      </c>
      <c r="X1498" s="36"/>
    </row>
    <row r="1499" spans="1:24" x14ac:dyDescent="0.25">
      <c r="A1499" s="37" t="s">
        <v>378</v>
      </c>
      <c r="B1499" s="88" t="str">
        <f>RTD("ice.rtd",,$C1499 &amp; $D1499 &amp; ":" &amp; B$1)</f>
        <v>NGE</v>
      </c>
      <c r="C1499" s="3">
        <v>16351515</v>
      </c>
      <c r="D1499" t="s">
        <v>797</v>
      </c>
      <c r="E1499" s="3" t="str">
        <f>RTD("ice.rtd",,$C1499 &amp; $D1499 &amp; ":" &amp; E$1)</f>
        <v>May27</v>
      </c>
      <c r="F1499" s="3" t="str">
        <f>ICE[[#This Row],[Prod]]&amp;ICE[[#This Row],[Strip]]</f>
        <v>ngasntetMay27</v>
      </c>
      <c r="G1499" s="18" t="str">
        <f>RTD("ice.rtd",,$C1499 &amp; $D1499 &amp; ":" &amp; G$1)</f>
        <v/>
      </c>
      <c r="H1499" s="18" t="str">
        <f>RTD("ice.rtd",,$C1499 &amp; $D1499 &amp; ":" &amp; H$1)</f>
        <v/>
      </c>
      <c r="I1499" s="18" t="str">
        <f>RTD("ice.rtd",,$C1499 &amp; $D1499 &amp; ":" &amp; I$1)</f>
        <v/>
      </c>
      <c r="J1499" s="14" t="str">
        <f>IFERROR(MOD(RTD("ice.rtd",,$C1499 &amp; $D1499 &amp; ":" &amp; J$1), 1), "")</f>
        <v/>
      </c>
      <c r="K1499" s="18" t="str">
        <f>RTD("ice.rtd",,$C1499 &amp; $D1499 &amp; ":" &amp; K$1)</f>
        <v/>
      </c>
      <c r="L1499" s="36" t="str">
        <f>RTD("ice.rtd",,$C1499 &amp; $D1499 &amp; ":" &amp; L$1)</f>
        <v/>
      </c>
      <c r="M1499" s="14" t="str">
        <f>IFERROR(MOD(TIMEVALUE(RTD("ice.rtd",,$C1499 &amp; $D1499 &amp; ":" &amp; M$1)), 1), "")</f>
        <v/>
      </c>
      <c r="N1499" s="36">
        <f>RTD("ice.rtd",,$C1499 &amp; $D1499 &amp; ":" &amp; N$1)</f>
        <v>0</v>
      </c>
      <c r="O1499" s="36">
        <f>RTD("ice.rtd",,$C1499 &amp; $D1499 &amp; ":" &amp; O$1)</f>
        <v>0</v>
      </c>
      <c r="P14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499" s="14" t="str">
        <f>IF(ICE[[#This Row],[LastType]] = "Scrn", ICE[[#This Row],[LstDate]], IF(ICE[[#This Row],[LastType]] = "Blk", ICE[[#This Row],[LstBlkTime]], ""))</f>
        <v/>
      </c>
      <c r="R1499" s="41" t="str">
        <f>IF(ICE[[#This Row],[LastType]] = "Scrn", ICE[[#This Row],[LstPrc]], IF(ICE[[#This Row],[LastType]] = "Blk", ICE[[#This Row],[LstBlkPrc]], ""))</f>
        <v/>
      </c>
      <c r="S1499" s="36">
        <f>ICE[[#This Row],[Vol]]+ICE[[#This Row],[BlkVol]]</f>
        <v>0</v>
      </c>
      <c r="T1499" s="36">
        <f>RTD("ice.rtd",,$C1499 &amp; $D1499 &amp; ":" &amp; T$1)</f>
        <v>404</v>
      </c>
      <c r="U1499" s="18">
        <f>RTD("ice.rtd",,$C1499 &amp; $D1499 &amp; ":" &amp; U$1)</f>
        <v>1.5962499999999999</v>
      </c>
      <c r="V14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499" s="18" t="str">
        <f>IFERROR(IF(LEFT(ICE[[#This Row],[Tenor]], 1) = "B", RTD("esrtd",,$B1499 &amp; " " &amp; ICE[[#This Row],[Tenor]] &amp; "-IEU", W$1), RTD("esrtd",,$B1499 &amp; " " &amp; VLOOKUP(MONTH(ICE[[#This Row],[Strip]]), MthRef[], 2, 0) &amp; RIGHT(YEAR(ICE[[#This Row],[Strip]]), 2) &amp; "-IEU", W$1)), "")</f>
        <v/>
      </c>
      <c r="X1499" s="36"/>
    </row>
    <row r="1500" spans="1:24" x14ac:dyDescent="0.25">
      <c r="A1500" s="37" t="s">
        <v>378</v>
      </c>
      <c r="B1500" s="88" t="str">
        <f>RTD("ice.rtd",,$C1500 &amp; $D1500 &amp; ":" &amp; B$1)</f>
        <v>NGE</v>
      </c>
      <c r="C1500" s="3">
        <v>16351515</v>
      </c>
      <c r="D1500" t="s">
        <v>798</v>
      </c>
      <c r="E1500" s="3" t="str">
        <f>RTD("ice.rtd",,$C1500 &amp; $D1500 &amp; ":" &amp; E$1)</f>
        <v>Jun27</v>
      </c>
      <c r="F1500" s="3" t="str">
        <f>ICE[[#This Row],[Prod]]&amp;ICE[[#This Row],[Strip]]</f>
        <v>ngasntetJun27</v>
      </c>
      <c r="G1500" s="18" t="str">
        <f>RTD("ice.rtd",,$C1500 &amp; $D1500 &amp; ":" &amp; G$1)</f>
        <v/>
      </c>
      <c r="H1500" s="18" t="str">
        <f>RTD("ice.rtd",,$C1500 &amp; $D1500 &amp; ":" &amp; H$1)</f>
        <v/>
      </c>
      <c r="I1500" s="18" t="str">
        <f>RTD("ice.rtd",,$C1500 &amp; $D1500 &amp; ":" &amp; I$1)</f>
        <v/>
      </c>
      <c r="J1500" s="14" t="str">
        <f>IFERROR(MOD(RTD("ice.rtd",,$C1500 &amp; $D1500 &amp; ":" &amp; J$1), 1), "")</f>
        <v/>
      </c>
      <c r="K1500" s="18" t="str">
        <f>RTD("ice.rtd",,$C1500 &amp; $D1500 &amp; ":" &amp; K$1)</f>
        <v/>
      </c>
      <c r="L1500" s="36" t="str">
        <f>RTD("ice.rtd",,$C1500 &amp; $D1500 &amp; ":" &amp; L$1)</f>
        <v/>
      </c>
      <c r="M1500" s="14" t="str">
        <f>IFERROR(MOD(TIMEVALUE(RTD("ice.rtd",,$C1500 &amp; $D1500 &amp; ":" &amp; M$1)), 1), "")</f>
        <v/>
      </c>
      <c r="N1500" s="36">
        <f>RTD("ice.rtd",,$C1500 &amp; $D1500 &amp; ":" &amp; N$1)</f>
        <v>0</v>
      </c>
      <c r="O1500" s="36">
        <f>RTD("ice.rtd",,$C1500 &amp; $D1500 &amp; ":" &amp; O$1)</f>
        <v>0</v>
      </c>
      <c r="P15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0" s="14" t="str">
        <f>IF(ICE[[#This Row],[LastType]] = "Scrn", ICE[[#This Row],[LstDate]], IF(ICE[[#This Row],[LastType]] = "Blk", ICE[[#This Row],[LstBlkTime]], ""))</f>
        <v/>
      </c>
      <c r="R1500" s="41" t="str">
        <f>IF(ICE[[#This Row],[LastType]] = "Scrn", ICE[[#This Row],[LstPrc]], IF(ICE[[#This Row],[LastType]] = "Blk", ICE[[#This Row],[LstBlkPrc]], ""))</f>
        <v/>
      </c>
      <c r="S1500" s="36">
        <f>ICE[[#This Row],[Vol]]+ICE[[#This Row],[BlkVol]]</f>
        <v>0</v>
      </c>
      <c r="T1500" s="36">
        <f>RTD("ice.rtd",,$C1500 &amp; $D1500 &amp; ":" &amp; T$1)</f>
        <v>296</v>
      </c>
      <c r="U1500" s="18">
        <f>RTD("ice.rtd",,$C1500 &amp; $D1500 &amp; ":" &amp; U$1)</f>
        <v>1.5662499999999999</v>
      </c>
      <c r="V15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0" s="18" t="str">
        <f>IFERROR(IF(LEFT(ICE[[#This Row],[Tenor]], 1) = "B", RTD("esrtd",,$B1500 &amp; " " &amp; ICE[[#This Row],[Tenor]] &amp; "-IEU", W$1), RTD("esrtd",,$B1500 &amp; " " &amp; VLOOKUP(MONTH(ICE[[#This Row],[Strip]]), MthRef[], 2, 0) &amp; RIGHT(YEAR(ICE[[#This Row],[Strip]]), 2) &amp; "-IEU", W$1)), "")</f>
        <v/>
      </c>
      <c r="X1500" s="36"/>
    </row>
    <row r="1501" spans="1:24" x14ac:dyDescent="0.25">
      <c r="A1501" s="37" t="s">
        <v>378</v>
      </c>
      <c r="B1501" s="88" t="str">
        <f>RTD("ice.rtd",,$C1501 &amp; $D1501 &amp; ":" &amp; B$1)</f>
        <v>NGE</v>
      </c>
      <c r="C1501" s="3">
        <v>16351515</v>
      </c>
      <c r="D1501" t="s">
        <v>799</v>
      </c>
      <c r="E1501" s="3" t="str">
        <f>RTD("ice.rtd",,$C1501 &amp; $D1501 &amp; ":" &amp; E$1)</f>
        <v>Jul27</v>
      </c>
      <c r="F1501" s="3" t="str">
        <f>ICE[[#This Row],[Prod]]&amp;ICE[[#This Row],[Strip]]</f>
        <v>ngasntetJul27</v>
      </c>
      <c r="G1501" s="18" t="str">
        <f>RTD("ice.rtd",,$C1501 &amp; $D1501 &amp; ":" &amp; G$1)</f>
        <v/>
      </c>
      <c r="H1501" s="18" t="str">
        <f>RTD("ice.rtd",,$C1501 &amp; $D1501 &amp; ":" &amp; H$1)</f>
        <v/>
      </c>
      <c r="I1501" s="18" t="str">
        <f>RTD("ice.rtd",,$C1501 &amp; $D1501 &amp; ":" &amp; I$1)</f>
        <v/>
      </c>
      <c r="J1501" s="14" t="str">
        <f>IFERROR(MOD(RTD("ice.rtd",,$C1501 &amp; $D1501 &amp; ":" &amp; J$1), 1), "")</f>
        <v/>
      </c>
      <c r="K1501" s="18" t="str">
        <f>RTD("ice.rtd",,$C1501 &amp; $D1501 &amp; ":" &amp; K$1)</f>
        <v/>
      </c>
      <c r="L1501" s="36" t="str">
        <f>RTD("ice.rtd",,$C1501 &amp; $D1501 &amp; ":" &amp; L$1)</f>
        <v/>
      </c>
      <c r="M1501" s="14" t="str">
        <f>IFERROR(MOD(TIMEVALUE(RTD("ice.rtd",,$C1501 &amp; $D1501 &amp; ":" &amp; M$1)), 1), "")</f>
        <v/>
      </c>
      <c r="N1501" s="36">
        <f>RTD("ice.rtd",,$C1501 &amp; $D1501 &amp; ":" &amp; N$1)</f>
        <v>0</v>
      </c>
      <c r="O1501" s="36">
        <f>RTD("ice.rtd",,$C1501 &amp; $D1501 &amp; ":" &amp; O$1)</f>
        <v>0</v>
      </c>
      <c r="P15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1" s="14" t="str">
        <f>IF(ICE[[#This Row],[LastType]] = "Scrn", ICE[[#This Row],[LstDate]], IF(ICE[[#This Row],[LastType]] = "Blk", ICE[[#This Row],[LstBlkTime]], ""))</f>
        <v/>
      </c>
      <c r="R1501" s="41" t="str">
        <f>IF(ICE[[#This Row],[LastType]] = "Scrn", ICE[[#This Row],[LstPrc]], IF(ICE[[#This Row],[LastType]] = "Blk", ICE[[#This Row],[LstBlkPrc]], ""))</f>
        <v/>
      </c>
      <c r="S1501" s="36">
        <f>ICE[[#This Row],[Vol]]+ICE[[#This Row],[BlkVol]]</f>
        <v>0</v>
      </c>
      <c r="T1501" s="36">
        <f>RTD("ice.rtd",,$C1501 &amp; $D1501 &amp; ":" &amp; T$1)</f>
        <v>267</v>
      </c>
      <c r="U1501" s="18">
        <f>RTD("ice.rtd",,$C1501 &amp; $D1501 &amp; ":" &amp; U$1)</f>
        <v>1.54375</v>
      </c>
      <c r="V15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1" s="18" t="str">
        <f>IFERROR(IF(LEFT(ICE[[#This Row],[Tenor]], 1) = "B", RTD("esrtd",,$B1501 &amp; " " &amp; ICE[[#This Row],[Tenor]] &amp; "-IEU", W$1), RTD("esrtd",,$B1501 &amp; " " &amp; VLOOKUP(MONTH(ICE[[#This Row],[Strip]]), MthRef[], 2, 0) &amp; RIGHT(YEAR(ICE[[#This Row],[Strip]]), 2) &amp; "-IEU", W$1)), "")</f>
        <v/>
      </c>
      <c r="X1501" s="36"/>
    </row>
    <row r="1502" spans="1:24" x14ac:dyDescent="0.25">
      <c r="A1502" s="37" t="s">
        <v>378</v>
      </c>
      <c r="B1502" s="88" t="str">
        <f>RTD("ice.rtd",,$C1502 &amp; $D1502 &amp; ":" &amp; B$1)</f>
        <v>NGE</v>
      </c>
      <c r="C1502" s="3">
        <v>16351515</v>
      </c>
      <c r="D1502" t="s">
        <v>800</v>
      </c>
      <c r="E1502" s="3" t="str">
        <f>RTD("ice.rtd",,$C1502 &amp; $D1502 &amp; ":" &amp; E$1)</f>
        <v>Aug27</v>
      </c>
      <c r="F1502" s="3" t="str">
        <f>ICE[[#This Row],[Prod]]&amp;ICE[[#This Row],[Strip]]</f>
        <v>ngasntetAug27</v>
      </c>
      <c r="G1502" s="18" t="str">
        <f>RTD("ice.rtd",,$C1502 &amp; $D1502 &amp; ":" &amp; G$1)</f>
        <v/>
      </c>
      <c r="H1502" s="18" t="str">
        <f>RTD("ice.rtd",,$C1502 &amp; $D1502 &amp; ":" &amp; H$1)</f>
        <v/>
      </c>
      <c r="I1502" s="18" t="str">
        <f>RTD("ice.rtd",,$C1502 &amp; $D1502 &amp; ":" &amp; I$1)</f>
        <v/>
      </c>
      <c r="J1502" s="14" t="str">
        <f>IFERROR(MOD(RTD("ice.rtd",,$C1502 &amp; $D1502 &amp; ":" &amp; J$1), 1), "")</f>
        <v/>
      </c>
      <c r="K1502" s="18" t="str">
        <f>RTD("ice.rtd",,$C1502 &amp; $D1502 &amp; ":" &amp; K$1)</f>
        <v/>
      </c>
      <c r="L1502" s="36" t="str">
        <f>RTD("ice.rtd",,$C1502 &amp; $D1502 &amp; ":" &amp; L$1)</f>
        <v/>
      </c>
      <c r="M1502" s="14" t="str">
        <f>IFERROR(MOD(TIMEVALUE(RTD("ice.rtd",,$C1502 &amp; $D1502 &amp; ":" &amp; M$1)), 1), "")</f>
        <v/>
      </c>
      <c r="N1502" s="36">
        <f>RTD("ice.rtd",,$C1502 &amp; $D1502 &amp; ":" &amp; N$1)</f>
        <v>0</v>
      </c>
      <c r="O1502" s="36">
        <f>RTD("ice.rtd",,$C1502 &amp; $D1502 &amp; ":" &amp; O$1)</f>
        <v>0</v>
      </c>
      <c r="P15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2" s="14" t="str">
        <f>IF(ICE[[#This Row],[LastType]] = "Scrn", ICE[[#This Row],[LstDate]], IF(ICE[[#This Row],[LastType]] = "Blk", ICE[[#This Row],[LstBlkTime]], ""))</f>
        <v/>
      </c>
      <c r="R1502" s="41" t="str">
        <f>IF(ICE[[#This Row],[LastType]] = "Scrn", ICE[[#This Row],[LstPrc]], IF(ICE[[#This Row],[LastType]] = "Blk", ICE[[#This Row],[LstBlkPrc]], ""))</f>
        <v/>
      </c>
      <c r="S1502" s="36">
        <f>ICE[[#This Row],[Vol]]+ICE[[#This Row],[BlkVol]]</f>
        <v>0</v>
      </c>
      <c r="T1502" s="36">
        <f>RTD("ice.rtd",,$C1502 &amp; $D1502 &amp; ":" &amp; T$1)</f>
        <v>241</v>
      </c>
      <c r="U1502" s="18">
        <f>RTD("ice.rtd",,$C1502 &amp; $D1502 &amp; ":" &amp; U$1)</f>
        <v>1.5287499999999998</v>
      </c>
      <c r="V15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2" s="18" t="str">
        <f>IFERROR(IF(LEFT(ICE[[#This Row],[Tenor]], 1) = "B", RTD("esrtd",,$B1502 &amp; " " &amp; ICE[[#This Row],[Tenor]] &amp; "-IEU", W$1), RTD("esrtd",,$B1502 &amp; " " &amp; VLOOKUP(MONTH(ICE[[#This Row],[Strip]]), MthRef[], 2, 0) &amp; RIGHT(YEAR(ICE[[#This Row],[Strip]]), 2) &amp; "-IEU", W$1)), "")</f>
        <v/>
      </c>
      <c r="X1502" s="36"/>
    </row>
    <row r="1503" spans="1:24" x14ac:dyDescent="0.25">
      <c r="A1503" s="37" t="s">
        <v>378</v>
      </c>
      <c r="B1503" s="88" t="str">
        <f>RTD("ice.rtd",,$C1503 &amp; $D1503 &amp; ":" &amp; B$1)</f>
        <v>NGE</v>
      </c>
      <c r="C1503" s="3">
        <v>16351515</v>
      </c>
      <c r="D1503" t="s">
        <v>801</v>
      </c>
      <c r="E1503" s="3" t="str">
        <f>RTD("ice.rtd",,$C1503 &amp; $D1503 &amp; ":" &amp; E$1)</f>
        <v>Sep27</v>
      </c>
      <c r="F1503" s="3" t="str">
        <f>ICE[[#This Row],[Prod]]&amp;ICE[[#This Row],[Strip]]</f>
        <v>ngasntetSep27</v>
      </c>
      <c r="G1503" s="18" t="str">
        <f>RTD("ice.rtd",,$C1503 &amp; $D1503 &amp; ":" &amp; G$1)</f>
        <v/>
      </c>
      <c r="H1503" s="18" t="str">
        <f>RTD("ice.rtd",,$C1503 &amp; $D1503 &amp; ":" &amp; H$1)</f>
        <v/>
      </c>
      <c r="I1503" s="18" t="str">
        <f>RTD("ice.rtd",,$C1503 &amp; $D1503 &amp; ":" &amp; I$1)</f>
        <v/>
      </c>
      <c r="J1503" s="14" t="str">
        <f>IFERROR(MOD(RTD("ice.rtd",,$C1503 &amp; $D1503 &amp; ":" &amp; J$1), 1), "")</f>
        <v/>
      </c>
      <c r="K1503" s="18" t="str">
        <f>RTD("ice.rtd",,$C1503 &amp; $D1503 &amp; ":" &amp; K$1)</f>
        <v/>
      </c>
      <c r="L1503" s="36" t="str">
        <f>RTD("ice.rtd",,$C1503 &amp; $D1503 &amp; ":" &amp; L$1)</f>
        <v/>
      </c>
      <c r="M1503" s="14" t="str">
        <f>IFERROR(MOD(TIMEVALUE(RTD("ice.rtd",,$C1503 &amp; $D1503 &amp; ":" &amp; M$1)), 1), "")</f>
        <v/>
      </c>
      <c r="N1503" s="36">
        <f>RTD("ice.rtd",,$C1503 &amp; $D1503 &amp; ":" &amp; N$1)</f>
        <v>0</v>
      </c>
      <c r="O1503" s="36">
        <f>RTD("ice.rtd",,$C1503 &amp; $D1503 &amp; ":" &amp; O$1)</f>
        <v>0</v>
      </c>
      <c r="P15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3" s="14" t="str">
        <f>IF(ICE[[#This Row],[LastType]] = "Scrn", ICE[[#This Row],[LstDate]], IF(ICE[[#This Row],[LastType]] = "Blk", ICE[[#This Row],[LstBlkTime]], ""))</f>
        <v/>
      </c>
      <c r="R1503" s="41" t="str">
        <f>IF(ICE[[#This Row],[LastType]] = "Scrn", ICE[[#This Row],[LstPrc]], IF(ICE[[#This Row],[LastType]] = "Blk", ICE[[#This Row],[LstBlkPrc]], ""))</f>
        <v/>
      </c>
      <c r="S1503" s="36">
        <f>ICE[[#This Row],[Vol]]+ICE[[#This Row],[BlkVol]]</f>
        <v>0</v>
      </c>
      <c r="T1503" s="36">
        <f>RTD("ice.rtd",,$C1503 &amp; $D1503 &amp; ":" &amp; T$1)</f>
        <v>241</v>
      </c>
      <c r="U1503" s="18">
        <f>RTD("ice.rtd",,$C1503 &amp; $D1503 &amp; ":" &amp; U$1)</f>
        <v>1.5225</v>
      </c>
      <c r="V15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3" s="18" t="str">
        <f>IFERROR(IF(LEFT(ICE[[#This Row],[Tenor]], 1) = "B", RTD("esrtd",,$B1503 &amp; " " &amp; ICE[[#This Row],[Tenor]] &amp; "-IEU", W$1), RTD("esrtd",,$B1503 &amp; " " &amp; VLOOKUP(MONTH(ICE[[#This Row],[Strip]]), MthRef[], 2, 0) &amp; RIGHT(YEAR(ICE[[#This Row],[Strip]]), 2) &amp; "-IEU", W$1)), "")</f>
        <v/>
      </c>
      <c r="X1503" s="36"/>
    </row>
    <row r="1504" spans="1:24" x14ac:dyDescent="0.25">
      <c r="A1504" s="37" t="s">
        <v>378</v>
      </c>
      <c r="B1504" s="88" t="str">
        <f>RTD("ice.rtd",,$C1504 &amp; $D1504 &amp; ":" &amp; B$1)</f>
        <v>NGE</v>
      </c>
      <c r="C1504" s="3">
        <v>16351515</v>
      </c>
      <c r="D1504" t="s">
        <v>802</v>
      </c>
      <c r="E1504" s="3" t="str">
        <f>RTD("ice.rtd",,$C1504 &amp; $D1504 &amp; ":" &amp; E$1)</f>
        <v>Oct27</v>
      </c>
      <c r="F1504" s="3" t="str">
        <f>ICE[[#This Row],[Prod]]&amp;ICE[[#This Row],[Strip]]</f>
        <v>ngasntetOct27</v>
      </c>
      <c r="G1504" s="18" t="str">
        <f>RTD("ice.rtd",,$C1504 &amp; $D1504 &amp; ":" &amp; G$1)</f>
        <v/>
      </c>
      <c r="H1504" s="18" t="str">
        <f>RTD("ice.rtd",,$C1504 &amp; $D1504 &amp; ":" &amp; H$1)</f>
        <v/>
      </c>
      <c r="I1504" s="18" t="str">
        <f>RTD("ice.rtd",,$C1504 &amp; $D1504 &amp; ":" &amp; I$1)</f>
        <v/>
      </c>
      <c r="J1504" s="14" t="str">
        <f>IFERROR(MOD(RTD("ice.rtd",,$C1504 &amp; $D1504 &amp; ":" &amp; J$1), 1), "")</f>
        <v/>
      </c>
      <c r="K1504" s="18" t="str">
        <f>RTD("ice.rtd",,$C1504 &amp; $D1504 &amp; ":" &amp; K$1)</f>
        <v/>
      </c>
      <c r="L1504" s="36" t="str">
        <f>RTD("ice.rtd",,$C1504 &amp; $D1504 &amp; ":" &amp; L$1)</f>
        <v/>
      </c>
      <c r="M1504" s="14" t="str">
        <f>IFERROR(MOD(TIMEVALUE(RTD("ice.rtd",,$C1504 &amp; $D1504 &amp; ":" &amp; M$1)), 1), "")</f>
        <v/>
      </c>
      <c r="N1504" s="36">
        <f>RTD("ice.rtd",,$C1504 &amp; $D1504 &amp; ":" &amp; N$1)</f>
        <v>0</v>
      </c>
      <c r="O1504" s="36">
        <f>RTD("ice.rtd",,$C1504 &amp; $D1504 &amp; ":" &amp; O$1)</f>
        <v>0</v>
      </c>
      <c r="P15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4" s="14" t="str">
        <f>IF(ICE[[#This Row],[LastType]] = "Scrn", ICE[[#This Row],[LstDate]], IF(ICE[[#This Row],[LastType]] = "Blk", ICE[[#This Row],[LstBlkTime]], ""))</f>
        <v/>
      </c>
      <c r="R1504" s="41" t="str">
        <f>IF(ICE[[#This Row],[LastType]] = "Scrn", ICE[[#This Row],[LstPrc]], IF(ICE[[#This Row],[LastType]] = "Blk", ICE[[#This Row],[LstBlkPrc]], ""))</f>
        <v/>
      </c>
      <c r="S1504" s="36">
        <f>ICE[[#This Row],[Vol]]+ICE[[#This Row],[BlkVol]]</f>
        <v>0</v>
      </c>
      <c r="T1504" s="36">
        <f>RTD("ice.rtd",,$C1504 &amp; $D1504 &amp; ":" &amp; T$1)</f>
        <v>239</v>
      </c>
      <c r="U1504" s="18">
        <f>RTD("ice.rtd",,$C1504 &amp; $D1504 &amp; ":" &amp; U$1)</f>
        <v>1.5137499999999999</v>
      </c>
      <c r="V15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4" s="18" t="str">
        <f>IFERROR(IF(LEFT(ICE[[#This Row],[Tenor]], 1) = "B", RTD("esrtd",,$B1504 &amp; " " &amp; ICE[[#This Row],[Tenor]] &amp; "-IEU", W$1), RTD("esrtd",,$B1504 &amp; " " &amp; VLOOKUP(MONTH(ICE[[#This Row],[Strip]]), MthRef[], 2, 0) &amp; RIGHT(YEAR(ICE[[#This Row],[Strip]]), 2) &amp; "-IEU", W$1)), "")</f>
        <v/>
      </c>
      <c r="X1504" s="36"/>
    </row>
    <row r="1505" spans="1:24" x14ac:dyDescent="0.25">
      <c r="A1505" s="37" t="s">
        <v>378</v>
      </c>
      <c r="B1505" s="88" t="str">
        <f>RTD("ice.rtd",,$C1505 &amp; $D1505 &amp; ":" &amp; B$1)</f>
        <v>NGE</v>
      </c>
      <c r="C1505" s="3">
        <v>16351515</v>
      </c>
      <c r="D1505" t="s">
        <v>803</v>
      </c>
      <c r="E1505" s="3" t="str">
        <f>RTD("ice.rtd",,$C1505 &amp; $D1505 &amp; ":" &amp; E$1)</f>
        <v>Nov27</v>
      </c>
      <c r="F1505" s="3" t="str">
        <f>ICE[[#This Row],[Prod]]&amp;ICE[[#This Row],[Strip]]</f>
        <v>ngasntetNov27</v>
      </c>
      <c r="G1505" s="18" t="str">
        <f>RTD("ice.rtd",,$C1505 &amp; $D1505 &amp; ":" &amp; G$1)</f>
        <v/>
      </c>
      <c r="H1505" s="18" t="str">
        <f>RTD("ice.rtd",,$C1505 &amp; $D1505 &amp; ":" &amp; H$1)</f>
        <v/>
      </c>
      <c r="I1505" s="18" t="str">
        <f>RTD("ice.rtd",,$C1505 &amp; $D1505 &amp; ":" &amp; I$1)</f>
        <v/>
      </c>
      <c r="J1505" s="14" t="str">
        <f>IFERROR(MOD(RTD("ice.rtd",,$C1505 &amp; $D1505 &amp; ":" &amp; J$1), 1), "")</f>
        <v/>
      </c>
      <c r="K1505" s="18" t="str">
        <f>RTD("ice.rtd",,$C1505 &amp; $D1505 &amp; ":" &amp; K$1)</f>
        <v/>
      </c>
      <c r="L1505" s="36" t="str">
        <f>RTD("ice.rtd",,$C1505 &amp; $D1505 &amp; ":" &amp; L$1)</f>
        <v/>
      </c>
      <c r="M1505" s="14" t="str">
        <f>IFERROR(MOD(TIMEVALUE(RTD("ice.rtd",,$C1505 &amp; $D1505 &amp; ":" &amp; M$1)), 1), "")</f>
        <v/>
      </c>
      <c r="N1505" s="36">
        <f>RTD("ice.rtd",,$C1505 &amp; $D1505 &amp; ":" &amp; N$1)</f>
        <v>0</v>
      </c>
      <c r="O1505" s="36">
        <f>RTD("ice.rtd",,$C1505 &amp; $D1505 &amp; ":" &amp; O$1)</f>
        <v>0</v>
      </c>
      <c r="P15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5" s="14" t="str">
        <f>IF(ICE[[#This Row],[LastType]] = "Scrn", ICE[[#This Row],[LstDate]], IF(ICE[[#This Row],[LastType]] = "Blk", ICE[[#This Row],[LstBlkTime]], ""))</f>
        <v/>
      </c>
      <c r="R1505" s="41" t="str">
        <f>IF(ICE[[#This Row],[LastType]] = "Scrn", ICE[[#This Row],[LstPrc]], IF(ICE[[#This Row],[LastType]] = "Blk", ICE[[#This Row],[LstBlkPrc]], ""))</f>
        <v/>
      </c>
      <c r="S1505" s="36">
        <f>ICE[[#This Row],[Vol]]+ICE[[#This Row],[BlkVol]]</f>
        <v>0</v>
      </c>
      <c r="T1505" s="36">
        <f>RTD("ice.rtd",,$C1505 &amp; $D1505 &amp; ":" &amp; T$1)</f>
        <v>239</v>
      </c>
      <c r="U1505" s="18">
        <f>RTD("ice.rtd",,$C1505 &amp; $D1505 &amp; ":" &amp; U$1)</f>
        <v>1.5050000000000001</v>
      </c>
      <c r="V15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5" s="18" t="str">
        <f>IFERROR(IF(LEFT(ICE[[#This Row],[Tenor]], 1) = "B", RTD("esrtd",,$B1505 &amp; " " &amp; ICE[[#This Row],[Tenor]] &amp; "-IEU", W$1), RTD("esrtd",,$B1505 &amp; " " &amp; VLOOKUP(MONTH(ICE[[#This Row],[Strip]]), MthRef[], 2, 0) &amp; RIGHT(YEAR(ICE[[#This Row],[Strip]]), 2) &amp; "-IEU", W$1)), "")</f>
        <v/>
      </c>
      <c r="X1505" s="36"/>
    </row>
    <row r="1506" spans="1:24" x14ac:dyDescent="0.25">
      <c r="A1506" s="37" t="s">
        <v>378</v>
      </c>
      <c r="B1506" s="88" t="str">
        <f>RTD("ice.rtd",,$C1506 &amp; $D1506 &amp; ":" &amp; B$1)</f>
        <v>NGE</v>
      </c>
      <c r="C1506" s="3">
        <v>16351515</v>
      </c>
      <c r="D1506" t="s">
        <v>804</v>
      </c>
      <c r="E1506" s="3" t="str">
        <f>RTD("ice.rtd",,$C1506 &amp; $D1506 &amp; ":" &amp; E$1)</f>
        <v>Dec27</v>
      </c>
      <c r="F1506" s="3" t="str">
        <f>ICE[[#This Row],[Prod]]&amp;ICE[[#This Row],[Strip]]</f>
        <v>ngasntetDec27</v>
      </c>
      <c r="G1506" s="18" t="str">
        <f>RTD("ice.rtd",,$C1506 &amp; $D1506 &amp; ":" &amp; G$1)</f>
        <v/>
      </c>
      <c r="H1506" s="18" t="str">
        <f>RTD("ice.rtd",,$C1506 &amp; $D1506 &amp; ":" &amp; H$1)</f>
        <v/>
      </c>
      <c r="I1506" s="18" t="str">
        <f>RTD("ice.rtd",,$C1506 &amp; $D1506 &amp; ":" &amp; I$1)</f>
        <v/>
      </c>
      <c r="J1506" s="14" t="str">
        <f>IFERROR(MOD(RTD("ice.rtd",,$C1506 &amp; $D1506 &amp; ":" &amp; J$1), 1), "")</f>
        <v/>
      </c>
      <c r="K1506" s="18" t="str">
        <f>RTD("ice.rtd",,$C1506 &amp; $D1506 &amp; ":" &amp; K$1)</f>
        <v/>
      </c>
      <c r="L1506" s="36" t="str">
        <f>RTD("ice.rtd",,$C1506 &amp; $D1506 &amp; ":" &amp; L$1)</f>
        <v/>
      </c>
      <c r="M1506" s="14" t="str">
        <f>IFERROR(MOD(TIMEVALUE(RTD("ice.rtd",,$C1506 &amp; $D1506 &amp; ":" &amp; M$1)), 1), "")</f>
        <v/>
      </c>
      <c r="N1506" s="36">
        <f>RTD("ice.rtd",,$C1506 &amp; $D1506 &amp; ":" &amp; N$1)</f>
        <v>0</v>
      </c>
      <c r="O1506" s="36">
        <f>RTD("ice.rtd",,$C1506 &amp; $D1506 &amp; ":" &amp; O$1)</f>
        <v>0</v>
      </c>
      <c r="P15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6" s="14" t="str">
        <f>IF(ICE[[#This Row],[LastType]] = "Scrn", ICE[[#This Row],[LstDate]], IF(ICE[[#This Row],[LastType]] = "Blk", ICE[[#This Row],[LstBlkTime]], ""))</f>
        <v/>
      </c>
      <c r="R1506" s="41" t="str">
        <f>IF(ICE[[#This Row],[LastType]] = "Scrn", ICE[[#This Row],[LstPrc]], IF(ICE[[#This Row],[LastType]] = "Blk", ICE[[#This Row],[LstBlkPrc]], ""))</f>
        <v/>
      </c>
      <c r="S1506" s="36">
        <f>ICE[[#This Row],[Vol]]+ICE[[#This Row],[BlkVol]]</f>
        <v>0</v>
      </c>
      <c r="T1506" s="36">
        <f>RTD("ice.rtd",,$C1506 &amp; $D1506 &amp; ":" &amp; T$1)</f>
        <v>404</v>
      </c>
      <c r="U1506" s="18">
        <f>RTD("ice.rtd",,$C1506 &amp; $D1506 &amp; ":" &amp; U$1)</f>
        <v>1.4950000000000001</v>
      </c>
      <c r="V15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6" s="18" t="str">
        <f>IFERROR(IF(LEFT(ICE[[#This Row],[Tenor]], 1) = "B", RTD("esrtd",,$B1506 &amp; " " &amp; ICE[[#This Row],[Tenor]] &amp; "-IEU", W$1), RTD("esrtd",,$B1506 &amp; " " &amp; VLOOKUP(MONTH(ICE[[#This Row],[Strip]]), MthRef[], 2, 0) &amp; RIGHT(YEAR(ICE[[#This Row],[Strip]]), 2) &amp; "-IEU", W$1)), "")</f>
        <v/>
      </c>
      <c r="X1506" s="36"/>
    </row>
    <row r="1507" spans="1:24" x14ac:dyDescent="0.25">
      <c r="A1507" s="37" t="s">
        <v>378</v>
      </c>
      <c r="B1507" s="88" t="str">
        <f>RTD("ice.rtd",,$C1507 &amp; $D1507 &amp; ":" &amp; B$1)</f>
        <v>NGE</v>
      </c>
      <c r="C1507" s="3">
        <v>16351515</v>
      </c>
      <c r="D1507" t="s">
        <v>805</v>
      </c>
      <c r="E1507" s="3" t="str">
        <f>RTD("ice.rtd",,$C1507 &amp; $D1507 &amp; ":" &amp; E$1)</f>
        <v>Jan28</v>
      </c>
      <c r="F1507" s="3" t="str">
        <f>ICE[[#This Row],[Prod]]&amp;ICE[[#This Row],[Strip]]</f>
        <v>ngasntetJan28</v>
      </c>
      <c r="G1507" s="18" t="str">
        <f>RTD("ice.rtd",,$C1507 &amp; $D1507 &amp; ":" &amp; G$1)</f>
        <v/>
      </c>
      <c r="H1507" s="18" t="str">
        <f>RTD("ice.rtd",,$C1507 &amp; $D1507 &amp; ":" &amp; H$1)</f>
        <v/>
      </c>
      <c r="I1507" s="18" t="str">
        <f>RTD("ice.rtd",,$C1507 &amp; $D1507 &amp; ":" &amp; I$1)</f>
        <v/>
      </c>
      <c r="J1507" s="14" t="str">
        <f>IFERROR(MOD(RTD("ice.rtd",,$C1507 &amp; $D1507 &amp; ":" &amp; J$1), 1), "")</f>
        <v/>
      </c>
      <c r="K1507" s="18" t="str">
        <f>RTD("ice.rtd",,$C1507 &amp; $D1507 &amp; ":" &amp; K$1)</f>
        <v/>
      </c>
      <c r="L1507" s="36" t="str">
        <f>RTD("ice.rtd",,$C1507 &amp; $D1507 &amp; ":" &amp; L$1)</f>
        <v/>
      </c>
      <c r="M1507" s="14" t="str">
        <f>IFERROR(MOD(TIMEVALUE(RTD("ice.rtd",,$C1507 &amp; $D1507 &amp; ":" &amp; M$1)), 1), "")</f>
        <v/>
      </c>
      <c r="N1507" s="36">
        <f>RTD("ice.rtd",,$C1507 &amp; $D1507 &amp; ":" &amp; N$1)</f>
        <v>0</v>
      </c>
      <c r="O1507" s="36">
        <f>RTD("ice.rtd",,$C1507 &amp; $D1507 &amp; ":" &amp; O$1)</f>
        <v>0</v>
      </c>
      <c r="P15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7" s="14" t="str">
        <f>IF(ICE[[#This Row],[LastType]] = "Scrn", ICE[[#This Row],[LstDate]], IF(ICE[[#This Row],[LastType]] = "Blk", ICE[[#This Row],[LstBlkTime]], ""))</f>
        <v/>
      </c>
      <c r="R1507" s="41" t="str">
        <f>IF(ICE[[#This Row],[LastType]] = "Scrn", ICE[[#This Row],[LstPrc]], IF(ICE[[#This Row],[LastType]] = "Blk", ICE[[#This Row],[LstBlkPrc]], ""))</f>
        <v/>
      </c>
      <c r="S1507" s="36">
        <f>ICE[[#This Row],[Vol]]+ICE[[#This Row],[BlkVol]]</f>
        <v>0</v>
      </c>
      <c r="T1507" s="36">
        <f>RTD("ice.rtd",,$C1507 &amp; $D1507 &amp; ":" &amp; T$1)</f>
        <v>35</v>
      </c>
      <c r="U1507" s="18">
        <f>RTD("ice.rtd",,$C1507 &amp; $D1507 &amp; ":" &amp; U$1)</f>
        <v>1.4925000000000002</v>
      </c>
      <c r="V15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7" s="18" t="str">
        <f>IFERROR(IF(LEFT(ICE[[#This Row],[Tenor]], 1) = "B", RTD("esrtd",,$B1507 &amp; " " &amp; ICE[[#This Row],[Tenor]] &amp; "-IEU", W$1), RTD("esrtd",,$B1507 &amp; " " &amp; VLOOKUP(MONTH(ICE[[#This Row],[Strip]]), MthRef[], 2, 0) &amp; RIGHT(YEAR(ICE[[#This Row],[Strip]]), 2) &amp; "-IEU", W$1)), "")</f>
        <v/>
      </c>
      <c r="X1507" s="36"/>
    </row>
    <row r="1508" spans="1:24" x14ac:dyDescent="0.25">
      <c r="A1508" s="37" t="s">
        <v>378</v>
      </c>
      <c r="B1508" s="88" t="str">
        <f>RTD("ice.rtd",,$C1508 &amp; $D1508 &amp; ":" &amp; B$1)</f>
        <v>NGE</v>
      </c>
      <c r="C1508" s="3">
        <v>16351515</v>
      </c>
      <c r="D1508" t="s">
        <v>806</v>
      </c>
      <c r="E1508" s="3" t="str">
        <f>RTD("ice.rtd",,$C1508 &amp; $D1508 &amp; ":" &amp; E$1)</f>
        <v>Feb28</v>
      </c>
      <c r="F1508" s="3" t="str">
        <f>ICE[[#This Row],[Prod]]&amp;ICE[[#This Row],[Strip]]</f>
        <v>ngasntetFeb28</v>
      </c>
      <c r="G1508" s="18" t="str">
        <f>RTD("ice.rtd",,$C1508 &amp; $D1508 &amp; ":" &amp; G$1)</f>
        <v/>
      </c>
      <c r="H1508" s="18" t="str">
        <f>RTD("ice.rtd",,$C1508 &amp; $D1508 &amp; ":" &amp; H$1)</f>
        <v/>
      </c>
      <c r="I1508" s="18" t="str">
        <f>RTD("ice.rtd",,$C1508 &amp; $D1508 &amp; ":" &amp; I$1)</f>
        <v/>
      </c>
      <c r="J1508" s="14" t="str">
        <f>IFERROR(MOD(RTD("ice.rtd",,$C1508 &amp; $D1508 &amp; ":" &amp; J$1), 1), "")</f>
        <v/>
      </c>
      <c r="K1508" s="18" t="str">
        <f>RTD("ice.rtd",,$C1508 &amp; $D1508 &amp; ":" &amp; K$1)</f>
        <v/>
      </c>
      <c r="L1508" s="36" t="str">
        <f>RTD("ice.rtd",,$C1508 &amp; $D1508 &amp; ":" &amp; L$1)</f>
        <v/>
      </c>
      <c r="M1508" s="14" t="str">
        <f>IFERROR(MOD(TIMEVALUE(RTD("ice.rtd",,$C1508 &amp; $D1508 &amp; ":" &amp; M$1)), 1), "")</f>
        <v/>
      </c>
      <c r="N1508" s="36">
        <f>RTD("ice.rtd",,$C1508 &amp; $D1508 &amp; ":" &amp; N$1)</f>
        <v>0</v>
      </c>
      <c r="O1508" s="36">
        <f>RTD("ice.rtd",,$C1508 &amp; $D1508 &amp; ":" &amp; O$1)</f>
        <v>0</v>
      </c>
      <c r="P15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8" s="14" t="str">
        <f>IF(ICE[[#This Row],[LastType]] = "Scrn", ICE[[#This Row],[LstDate]], IF(ICE[[#This Row],[LastType]] = "Blk", ICE[[#This Row],[LstBlkTime]], ""))</f>
        <v/>
      </c>
      <c r="R1508" s="41" t="str">
        <f>IF(ICE[[#This Row],[LastType]] = "Scrn", ICE[[#This Row],[LstPrc]], IF(ICE[[#This Row],[LastType]] = "Blk", ICE[[#This Row],[LstBlkPrc]], ""))</f>
        <v/>
      </c>
      <c r="S1508" s="36">
        <f>ICE[[#This Row],[Vol]]+ICE[[#This Row],[BlkVol]]</f>
        <v>0</v>
      </c>
      <c r="T1508" s="36">
        <f>RTD("ice.rtd",,$C1508 &amp; $D1508 &amp; ":" &amp; T$1)</f>
        <v>34</v>
      </c>
      <c r="U1508" s="18">
        <f>RTD("ice.rtd",,$C1508 &amp; $D1508 &amp; ":" &amp; U$1)</f>
        <v>1.4875</v>
      </c>
      <c r="V15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8" s="18" t="str">
        <f>IFERROR(IF(LEFT(ICE[[#This Row],[Tenor]], 1) = "B", RTD("esrtd",,$B1508 &amp; " " &amp; ICE[[#This Row],[Tenor]] &amp; "-IEU", W$1), RTD("esrtd",,$B1508 &amp; " " &amp; VLOOKUP(MONTH(ICE[[#This Row],[Strip]]), MthRef[], 2, 0) &amp; RIGHT(YEAR(ICE[[#This Row],[Strip]]), 2) &amp; "-IEU", W$1)), "")</f>
        <v/>
      </c>
      <c r="X1508" s="36"/>
    </row>
    <row r="1509" spans="1:24" x14ac:dyDescent="0.25">
      <c r="A1509" s="37" t="s">
        <v>378</v>
      </c>
      <c r="B1509" s="88" t="str">
        <f>RTD("ice.rtd",,$C1509 &amp; $D1509 &amp; ":" &amp; B$1)</f>
        <v>NGE</v>
      </c>
      <c r="C1509" s="3">
        <v>16351515</v>
      </c>
      <c r="D1509" t="s">
        <v>807</v>
      </c>
      <c r="E1509" s="3" t="str">
        <f>RTD("ice.rtd",,$C1509 &amp; $D1509 &amp; ":" &amp; E$1)</f>
        <v>Mar28</v>
      </c>
      <c r="F1509" s="3" t="str">
        <f>ICE[[#This Row],[Prod]]&amp;ICE[[#This Row],[Strip]]</f>
        <v>ngasntetMar28</v>
      </c>
      <c r="G1509" s="18" t="str">
        <f>RTD("ice.rtd",,$C1509 &amp; $D1509 &amp; ":" &amp; G$1)</f>
        <v/>
      </c>
      <c r="H1509" s="18" t="str">
        <f>RTD("ice.rtd",,$C1509 &amp; $D1509 &amp; ":" &amp; H$1)</f>
        <v/>
      </c>
      <c r="I1509" s="18" t="str">
        <f>RTD("ice.rtd",,$C1509 &amp; $D1509 &amp; ":" &amp; I$1)</f>
        <v/>
      </c>
      <c r="J1509" s="14" t="str">
        <f>IFERROR(MOD(RTD("ice.rtd",,$C1509 &amp; $D1509 &amp; ":" &amp; J$1), 1), "")</f>
        <v/>
      </c>
      <c r="K1509" s="18" t="str">
        <f>RTD("ice.rtd",,$C1509 &amp; $D1509 &amp; ":" &amp; K$1)</f>
        <v/>
      </c>
      <c r="L1509" s="36" t="str">
        <f>RTD("ice.rtd",,$C1509 &amp; $D1509 &amp; ":" &amp; L$1)</f>
        <v/>
      </c>
      <c r="M1509" s="14" t="str">
        <f>IFERROR(MOD(TIMEVALUE(RTD("ice.rtd",,$C1509 &amp; $D1509 &amp; ":" &amp; M$1)), 1), "")</f>
        <v/>
      </c>
      <c r="N1509" s="36">
        <f>RTD("ice.rtd",,$C1509 &amp; $D1509 &amp; ":" &amp; N$1)</f>
        <v>0</v>
      </c>
      <c r="O1509" s="36">
        <f>RTD("ice.rtd",,$C1509 &amp; $D1509 &amp; ":" &amp; O$1)</f>
        <v>0</v>
      </c>
      <c r="P15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09" s="14" t="str">
        <f>IF(ICE[[#This Row],[LastType]] = "Scrn", ICE[[#This Row],[LstDate]], IF(ICE[[#This Row],[LastType]] = "Blk", ICE[[#This Row],[LstBlkTime]], ""))</f>
        <v/>
      </c>
      <c r="R1509" s="41" t="str">
        <f>IF(ICE[[#This Row],[LastType]] = "Scrn", ICE[[#This Row],[LstPrc]], IF(ICE[[#This Row],[LastType]] = "Blk", ICE[[#This Row],[LstBlkPrc]], ""))</f>
        <v/>
      </c>
      <c r="S1509" s="36">
        <f>ICE[[#This Row],[Vol]]+ICE[[#This Row],[BlkVol]]</f>
        <v>0</v>
      </c>
      <c r="T1509" s="36">
        <f>RTD("ice.rtd",,$C1509 &amp; $D1509 &amp; ":" &amp; T$1)</f>
        <v>34</v>
      </c>
      <c r="U1509" s="18">
        <f>RTD("ice.rtd",,$C1509 &amp; $D1509 &amp; ":" &amp; U$1)</f>
        <v>1.48</v>
      </c>
      <c r="V15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09" s="18" t="str">
        <f>IFERROR(IF(LEFT(ICE[[#This Row],[Tenor]], 1) = "B", RTD("esrtd",,$B1509 &amp; " " &amp; ICE[[#This Row],[Tenor]] &amp; "-IEU", W$1), RTD("esrtd",,$B1509 &amp; " " &amp; VLOOKUP(MONTH(ICE[[#This Row],[Strip]]), MthRef[], 2, 0) &amp; RIGHT(YEAR(ICE[[#This Row],[Strip]]), 2) &amp; "-IEU", W$1)), "")</f>
        <v/>
      </c>
      <c r="X1509" s="36"/>
    </row>
    <row r="1510" spans="1:24" x14ac:dyDescent="0.25">
      <c r="A1510" s="37" t="s">
        <v>378</v>
      </c>
      <c r="B1510" s="88" t="str">
        <f>RTD("ice.rtd",,$C1510 &amp; $D1510 &amp; ":" &amp; B$1)</f>
        <v>NGE</v>
      </c>
      <c r="C1510" s="3">
        <v>16351515</v>
      </c>
      <c r="D1510" t="s">
        <v>808</v>
      </c>
      <c r="E1510" s="3" t="str">
        <f>RTD("ice.rtd",,$C1510 &amp; $D1510 &amp; ":" &amp; E$1)</f>
        <v>Apr28</v>
      </c>
      <c r="F1510" s="3" t="str">
        <f>ICE[[#This Row],[Prod]]&amp;ICE[[#This Row],[Strip]]</f>
        <v>ngasntetApr28</v>
      </c>
      <c r="G1510" s="18" t="str">
        <f>RTD("ice.rtd",,$C1510 &amp; $D1510 &amp; ":" &amp; G$1)</f>
        <v/>
      </c>
      <c r="H1510" s="18" t="str">
        <f>RTD("ice.rtd",,$C1510 &amp; $D1510 &amp; ":" &amp; H$1)</f>
        <v/>
      </c>
      <c r="I1510" s="18" t="str">
        <f>RTD("ice.rtd",,$C1510 &amp; $D1510 &amp; ":" &amp; I$1)</f>
        <v/>
      </c>
      <c r="J1510" s="14" t="str">
        <f>IFERROR(MOD(RTD("ice.rtd",,$C1510 &amp; $D1510 &amp; ":" &amp; J$1), 1), "")</f>
        <v/>
      </c>
      <c r="K1510" s="18" t="str">
        <f>RTD("ice.rtd",,$C1510 &amp; $D1510 &amp; ":" &amp; K$1)</f>
        <v/>
      </c>
      <c r="L1510" s="36" t="str">
        <f>RTD("ice.rtd",,$C1510 &amp; $D1510 &amp; ":" &amp; L$1)</f>
        <v/>
      </c>
      <c r="M1510" s="14" t="str">
        <f>IFERROR(MOD(TIMEVALUE(RTD("ice.rtd",,$C1510 &amp; $D1510 &amp; ":" &amp; M$1)), 1), "")</f>
        <v/>
      </c>
      <c r="N1510" s="36">
        <f>RTD("ice.rtd",,$C1510 &amp; $D1510 &amp; ":" &amp; N$1)</f>
        <v>0</v>
      </c>
      <c r="O1510" s="36">
        <f>RTD("ice.rtd",,$C1510 &amp; $D1510 &amp; ":" &amp; O$1)</f>
        <v>0</v>
      </c>
      <c r="P15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0" s="14" t="str">
        <f>IF(ICE[[#This Row],[LastType]] = "Scrn", ICE[[#This Row],[LstDate]], IF(ICE[[#This Row],[LastType]] = "Blk", ICE[[#This Row],[LstBlkTime]], ""))</f>
        <v/>
      </c>
      <c r="R1510" s="41" t="str">
        <f>IF(ICE[[#This Row],[LastType]] = "Scrn", ICE[[#This Row],[LstPrc]], IF(ICE[[#This Row],[LastType]] = "Blk", ICE[[#This Row],[LstBlkPrc]], ""))</f>
        <v/>
      </c>
      <c r="S1510" s="36">
        <f>ICE[[#This Row],[Vol]]+ICE[[#This Row],[BlkVol]]</f>
        <v>0</v>
      </c>
      <c r="T1510" s="36">
        <f>RTD("ice.rtd",,$C1510 &amp; $D1510 &amp; ":" &amp; T$1)</f>
        <v>34</v>
      </c>
      <c r="U1510" s="18">
        <f>RTD("ice.rtd",,$C1510 &amp; $D1510 &amp; ":" &amp; U$1)</f>
        <v>1.4650000000000001</v>
      </c>
      <c r="V15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0" s="18" t="str">
        <f>IFERROR(IF(LEFT(ICE[[#This Row],[Tenor]], 1) = "B", RTD("esrtd",,$B1510 &amp; " " &amp; ICE[[#This Row],[Tenor]] &amp; "-IEU", W$1), RTD("esrtd",,$B1510 &amp; " " &amp; VLOOKUP(MONTH(ICE[[#This Row],[Strip]]), MthRef[], 2, 0) &amp; RIGHT(YEAR(ICE[[#This Row],[Strip]]), 2) &amp; "-IEU", W$1)), "")</f>
        <v/>
      </c>
      <c r="X1510" s="36"/>
    </row>
    <row r="1511" spans="1:24" x14ac:dyDescent="0.25">
      <c r="A1511" s="37" t="s">
        <v>378</v>
      </c>
      <c r="B1511" s="88" t="str">
        <f>RTD("ice.rtd",,$C1511 &amp; $D1511 &amp; ":" &amp; B$1)</f>
        <v>NGE</v>
      </c>
      <c r="C1511" s="3">
        <v>16351515</v>
      </c>
      <c r="D1511" t="s">
        <v>809</v>
      </c>
      <c r="E1511" s="3" t="str">
        <f>RTD("ice.rtd",,$C1511 &amp; $D1511 &amp; ":" &amp; E$1)</f>
        <v>May28</v>
      </c>
      <c r="F1511" s="3" t="str">
        <f>ICE[[#This Row],[Prod]]&amp;ICE[[#This Row],[Strip]]</f>
        <v>ngasntetMay28</v>
      </c>
      <c r="G1511" s="18" t="str">
        <f>RTD("ice.rtd",,$C1511 &amp; $D1511 &amp; ":" &amp; G$1)</f>
        <v/>
      </c>
      <c r="H1511" s="18" t="str">
        <f>RTD("ice.rtd",,$C1511 &amp; $D1511 &amp; ":" &amp; H$1)</f>
        <v/>
      </c>
      <c r="I1511" s="18" t="str">
        <f>RTD("ice.rtd",,$C1511 &amp; $D1511 &amp; ":" &amp; I$1)</f>
        <v/>
      </c>
      <c r="J1511" s="14" t="str">
        <f>IFERROR(MOD(RTD("ice.rtd",,$C1511 &amp; $D1511 &amp; ":" &amp; J$1), 1), "")</f>
        <v/>
      </c>
      <c r="K1511" s="18" t="str">
        <f>RTD("ice.rtd",,$C1511 &amp; $D1511 &amp; ":" &amp; K$1)</f>
        <v/>
      </c>
      <c r="L1511" s="36" t="str">
        <f>RTD("ice.rtd",,$C1511 &amp; $D1511 &amp; ":" &amp; L$1)</f>
        <v/>
      </c>
      <c r="M1511" s="14" t="str">
        <f>IFERROR(MOD(TIMEVALUE(RTD("ice.rtd",,$C1511 &amp; $D1511 &amp; ":" &amp; M$1)), 1), "")</f>
        <v/>
      </c>
      <c r="N1511" s="36">
        <f>RTD("ice.rtd",,$C1511 &amp; $D1511 &amp; ":" &amp; N$1)</f>
        <v>0</v>
      </c>
      <c r="O1511" s="36">
        <f>RTD("ice.rtd",,$C1511 &amp; $D1511 &amp; ":" &amp; O$1)</f>
        <v>0</v>
      </c>
      <c r="P15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1" s="14" t="str">
        <f>IF(ICE[[#This Row],[LastType]] = "Scrn", ICE[[#This Row],[LstDate]], IF(ICE[[#This Row],[LastType]] = "Blk", ICE[[#This Row],[LstBlkTime]], ""))</f>
        <v/>
      </c>
      <c r="R1511" s="41" t="str">
        <f>IF(ICE[[#This Row],[LastType]] = "Scrn", ICE[[#This Row],[LstPrc]], IF(ICE[[#This Row],[LastType]] = "Blk", ICE[[#This Row],[LstBlkPrc]], ""))</f>
        <v/>
      </c>
      <c r="S1511" s="36">
        <f>ICE[[#This Row],[Vol]]+ICE[[#This Row],[BlkVol]]</f>
        <v>0</v>
      </c>
      <c r="T1511" s="36">
        <f>RTD("ice.rtd",,$C1511 &amp; $D1511 &amp; ":" &amp; T$1)</f>
        <v>23</v>
      </c>
      <c r="U1511" s="18">
        <f>RTD("ice.rtd",,$C1511 &amp; $D1511 &amp; ":" &amp; U$1)</f>
        <v>1.4512499999999999</v>
      </c>
      <c r="V15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1" s="18" t="str">
        <f>IFERROR(IF(LEFT(ICE[[#This Row],[Tenor]], 1) = "B", RTD("esrtd",,$B1511 &amp; " " &amp; ICE[[#This Row],[Tenor]] &amp; "-IEU", W$1), RTD("esrtd",,$B1511 &amp; " " &amp; VLOOKUP(MONTH(ICE[[#This Row],[Strip]]), MthRef[], 2, 0) &amp; RIGHT(YEAR(ICE[[#This Row],[Strip]]), 2) &amp; "-IEU", W$1)), "")</f>
        <v/>
      </c>
      <c r="X1511" s="36"/>
    </row>
    <row r="1512" spans="1:24" x14ac:dyDescent="0.25">
      <c r="A1512" s="37" t="s">
        <v>378</v>
      </c>
      <c r="B1512" s="88" t="str">
        <f>RTD("ice.rtd",,$C1512 &amp; $D1512 &amp; ":" &amp; B$1)</f>
        <v>NGE</v>
      </c>
      <c r="C1512" s="3">
        <v>16351515</v>
      </c>
      <c r="D1512" t="s">
        <v>810</v>
      </c>
      <c r="E1512" s="3" t="str">
        <f>RTD("ice.rtd",,$C1512 &amp; $D1512 &amp; ":" &amp; E$1)</f>
        <v>Jun28</v>
      </c>
      <c r="F1512" s="3" t="str">
        <f>ICE[[#This Row],[Prod]]&amp;ICE[[#This Row],[Strip]]</f>
        <v>ngasntetJun28</v>
      </c>
      <c r="G1512" s="18" t="str">
        <f>RTD("ice.rtd",,$C1512 &amp; $D1512 &amp; ":" &amp; G$1)</f>
        <v/>
      </c>
      <c r="H1512" s="18" t="str">
        <f>RTD("ice.rtd",,$C1512 &amp; $D1512 &amp; ":" &amp; H$1)</f>
        <v/>
      </c>
      <c r="I1512" s="18" t="str">
        <f>RTD("ice.rtd",,$C1512 &amp; $D1512 &amp; ":" &amp; I$1)</f>
        <v/>
      </c>
      <c r="J1512" s="14" t="str">
        <f>IFERROR(MOD(RTD("ice.rtd",,$C1512 &amp; $D1512 &amp; ":" &amp; J$1), 1), "")</f>
        <v/>
      </c>
      <c r="K1512" s="18" t="str">
        <f>RTD("ice.rtd",,$C1512 &amp; $D1512 &amp; ":" &amp; K$1)</f>
        <v/>
      </c>
      <c r="L1512" s="36" t="str">
        <f>RTD("ice.rtd",,$C1512 &amp; $D1512 &amp; ":" &amp; L$1)</f>
        <v/>
      </c>
      <c r="M1512" s="14" t="str">
        <f>IFERROR(MOD(TIMEVALUE(RTD("ice.rtd",,$C1512 &amp; $D1512 &amp; ":" &amp; M$1)), 1), "")</f>
        <v/>
      </c>
      <c r="N1512" s="36">
        <f>RTD("ice.rtd",,$C1512 &amp; $D1512 &amp; ":" &amp; N$1)</f>
        <v>0</v>
      </c>
      <c r="O1512" s="36">
        <f>RTD("ice.rtd",,$C1512 &amp; $D1512 &amp; ":" &amp; O$1)</f>
        <v>0</v>
      </c>
      <c r="P15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2" s="14" t="str">
        <f>IF(ICE[[#This Row],[LastType]] = "Scrn", ICE[[#This Row],[LstDate]], IF(ICE[[#This Row],[LastType]] = "Blk", ICE[[#This Row],[LstBlkTime]], ""))</f>
        <v/>
      </c>
      <c r="R1512" s="41" t="str">
        <f>IF(ICE[[#This Row],[LastType]] = "Scrn", ICE[[#This Row],[LstPrc]], IF(ICE[[#This Row],[LastType]] = "Blk", ICE[[#This Row],[LstBlkPrc]], ""))</f>
        <v/>
      </c>
      <c r="S1512" s="36">
        <f>ICE[[#This Row],[Vol]]+ICE[[#This Row],[BlkVol]]</f>
        <v>0</v>
      </c>
      <c r="T1512" s="36">
        <f>RTD("ice.rtd",,$C1512 &amp; $D1512 &amp; ":" &amp; T$1)</f>
        <v>23</v>
      </c>
      <c r="U1512" s="18">
        <f>RTD("ice.rtd",,$C1512 &amp; $D1512 &amp; ":" &amp; U$1)</f>
        <v>1.4425000000000001</v>
      </c>
      <c r="V15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2" s="18" t="str">
        <f>IFERROR(IF(LEFT(ICE[[#This Row],[Tenor]], 1) = "B", RTD("esrtd",,$B1512 &amp; " " &amp; ICE[[#This Row],[Tenor]] &amp; "-IEU", W$1), RTD("esrtd",,$B1512 &amp; " " &amp; VLOOKUP(MONTH(ICE[[#This Row],[Strip]]), MthRef[], 2, 0) &amp; RIGHT(YEAR(ICE[[#This Row],[Strip]]), 2) &amp; "-IEU", W$1)), "")</f>
        <v/>
      </c>
      <c r="X1512" s="36"/>
    </row>
    <row r="1513" spans="1:24" x14ac:dyDescent="0.25">
      <c r="A1513" s="37" t="s">
        <v>378</v>
      </c>
      <c r="B1513" s="88" t="str">
        <f>RTD("ice.rtd",,$C1513 &amp; $D1513 &amp; ":" &amp; B$1)</f>
        <v>NGE</v>
      </c>
      <c r="C1513" s="3">
        <v>16351515</v>
      </c>
      <c r="D1513" t="s">
        <v>811</v>
      </c>
      <c r="E1513" s="3" t="str">
        <f>RTD("ice.rtd",,$C1513 &amp; $D1513 &amp; ":" &amp; E$1)</f>
        <v>Jul28</v>
      </c>
      <c r="F1513" s="3" t="str">
        <f>ICE[[#This Row],[Prod]]&amp;ICE[[#This Row],[Strip]]</f>
        <v>ngasntetJul28</v>
      </c>
      <c r="G1513" s="18" t="str">
        <f>RTD("ice.rtd",,$C1513 &amp; $D1513 &amp; ":" &amp; G$1)</f>
        <v/>
      </c>
      <c r="H1513" s="18" t="str">
        <f>RTD("ice.rtd",,$C1513 &amp; $D1513 &amp; ":" &amp; H$1)</f>
        <v/>
      </c>
      <c r="I1513" s="18" t="str">
        <f>RTD("ice.rtd",,$C1513 &amp; $D1513 &amp; ":" &amp; I$1)</f>
        <v/>
      </c>
      <c r="J1513" s="14" t="str">
        <f>IFERROR(MOD(RTD("ice.rtd",,$C1513 &amp; $D1513 &amp; ":" &amp; J$1), 1), "")</f>
        <v/>
      </c>
      <c r="K1513" s="18" t="str">
        <f>RTD("ice.rtd",,$C1513 &amp; $D1513 &amp; ":" &amp; K$1)</f>
        <v/>
      </c>
      <c r="L1513" s="36" t="str">
        <f>RTD("ice.rtd",,$C1513 &amp; $D1513 &amp; ":" &amp; L$1)</f>
        <v/>
      </c>
      <c r="M1513" s="14" t="str">
        <f>IFERROR(MOD(TIMEVALUE(RTD("ice.rtd",,$C1513 &amp; $D1513 &amp; ":" &amp; M$1)), 1), "")</f>
        <v/>
      </c>
      <c r="N1513" s="36">
        <f>RTD("ice.rtd",,$C1513 &amp; $D1513 &amp; ":" &amp; N$1)</f>
        <v>0</v>
      </c>
      <c r="O1513" s="36">
        <f>RTD("ice.rtd",,$C1513 &amp; $D1513 &amp; ":" &amp; O$1)</f>
        <v>0</v>
      </c>
      <c r="P15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3" s="14" t="str">
        <f>IF(ICE[[#This Row],[LastType]] = "Scrn", ICE[[#This Row],[LstDate]], IF(ICE[[#This Row],[LastType]] = "Blk", ICE[[#This Row],[LstBlkTime]], ""))</f>
        <v/>
      </c>
      <c r="R1513" s="41" t="str">
        <f>IF(ICE[[#This Row],[LastType]] = "Scrn", ICE[[#This Row],[LstPrc]], IF(ICE[[#This Row],[LastType]] = "Blk", ICE[[#This Row],[LstBlkPrc]], ""))</f>
        <v/>
      </c>
      <c r="S1513" s="36">
        <f>ICE[[#This Row],[Vol]]+ICE[[#This Row],[BlkVol]]</f>
        <v>0</v>
      </c>
      <c r="T1513" s="36">
        <f>RTD("ice.rtd",,$C1513 &amp; $D1513 &amp; ":" &amp; T$1)</f>
        <v>23</v>
      </c>
      <c r="U1513" s="18">
        <f>RTD("ice.rtd",,$C1513 &amp; $D1513 &amp; ":" &amp; U$1)</f>
        <v>1.4350000000000001</v>
      </c>
      <c r="V15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3" s="18" t="str">
        <f>IFERROR(IF(LEFT(ICE[[#This Row],[Tenor]], 1) = "B", RTD("esrtd",,$B1513 &amp; " " &amp; ICE[[#This Row],[Tenor]] &amp; "-IEU", W$1), RTD("esrtd",,$B1513 &amp; " " &amp; VLOOKUP(MONTH(ICE[[#This Row],[Strip]]), MthRef[], 2, 0) &amp; RIGHT(YEAR(ICE[[#This Row],[Strip]]), 2) &amp; "-IEU", W$1)), "")</f>
        <v/>
      </c>
      <c r="X1513" s="36"/>
    </row>
    <row r="1514" spans="1:24" x14ac:dyDescent="0.25">
      <c r="A1514" s="37" t="s">
        <v>378</v>
      </c>
      <c r="B1514" s="88" t="str">
        <f>RTD("ice.rtd",,$C1514 &amp; $D1514 &amp; ":" &amp; B$1)</f>
        <v>NGE</v>
      </c>
      <c r="C1514" s="3">
        <v>16351515</v>
      </c>
      <c r="D1514" t="s">
        <v>812</v>
      </c>
      <c r="E1514" s="3" t="str">
        <f>RTD("ice.rtd",,$C1514 &amp; $D1514 &amp; ":" &amp; E$1)</f>
        <v>Aug28</v>
      </c>
      <c r="F1514" s="3" t="str">
        <f>ICE[[#This Row],[Prod]]&amp;ICE[[#This Row],[Strip]]</f>
        <v>ngasntetAug28</v>
      </c>
      <c r="G1514" s="18" t="str">
        <f>RTD("ice.rtd",,$C1514 &amp; $D1514 &amp; ":" &amp; G$1)</f>
        <v/>
      </c>
      <c r="H1514" s="18" t="str">
        <f>RTD("ice.rtd",,$C1514 &amp; $D1514 &amp; ":" &amp; H$1)</f>
        <v/>
      </c>
      <c r="I1514" s="18" t="str">
        <f>RTD("ice.rtd",,$C1514 &amp; $D1514 &amp; ":" &amp; I$1)</f>
        <v/>
      </c>
      <c r="J1514" s="14" t="str">
        <f>IFERROR(MOD(RTD("ice.rtd",,$C1514 &amp; $D1514 &amp; ":" &amp; J$1), 1), "")</f>
        <v/>
      </c>
      <c r="K1514" s="18" t="str">
        <f>RTD("ice.rtd",,$C1514 &amp; $D1514 &amp; ":" &amp; K$1)</f>
        <v/>
      </c>
      <c r="L1514" s="36" t="str">
        <f>RTD("ice.rtd",,$C1514 &amp; $D1514 &amp; ":" &amp; L$1)</f>
        <v/>
      </c>
      <c r="M1514" s="14" t="str">
        <f>IFERROR(MOD(TIMEVALUE(RTD("ice.rtd",,$C1514 &amp; $D1514 &amp; ":" &amp; M$1)), 1), "")</f>
        <v/>
      </c>
      <c r="N1514" s="36">
        <f>RTD("ice.rtd",,$C1514 &amp; $D1514 &amp; ":" &amp; N$1)</f>
        <v>0</v>
      </c>
      <c r="O1514" s="36">
        <f>RTD("ice.rtd",,$C1514 &amp; $D1514 &amp; ":" &amp; O$1)</f>
        <v>0</v>
      </c>
      <c r="P15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4" s="14" t="str">
        <f>IF(ICE[[#This Row],[LastType]] = "Scrn", ICE[[#This Row],[LstDate]], IF(ICE[[#This Row],[LastType]] = "Blk", ICE[[#This Row],[LstBlkTime]], ""))</f>
        <v/>
      </c>
      <c r="R1514" s="41" t="str">
        <f>IF(ICE[[#This Row],[LastType]] = "Scrn", ICE[[#This Row],[LstPrc]], IF(ICE[[#This Row],[LastType]] = "Blk", ICE[[#This Row],[LstBlkPrc]], ""))</f>
        <v/>
      </c>
      <c r="S1514" s="36">
        <f>ICE[[#This Row],[Vol]]+ICE[[#This Row],[BlkVol]]</f>
        <v>0</v>
      </c>
      <c r="T1514" s="36">
        <f>RTD("ice.rtd",,$C1514 &amp; $D1514 &amp; ":" &amp; T$1)</f>
        <v>23</v>
      </c>
      <c r="U1514" s="18">
        <f>RTD("ice.rtd",,$C1514 &amp; $D1514 &amp; ":" &amp; U$1)</f>
        <v>1.4312499999999999</v>
      </c>
      <c r="V15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4" s="18" t="str">
        <f>IFERROR(IF(LEFT(ICE[[#This Row],[Tenor]], 1) = "B", RTD("esrtd",,$B1514 &amp; " " &amp; ICE[[#This Row],[Tenor]] &amp; "-IEU", W$1), RTD("esrtd",,$B1514 &amp; " " &amp; VLOOKUP(MONTH(ICE[[#This Row],[Strip]]), MthRef[], 2, 0) &amp; RIGHT(YEAR(ICE[[#This Row],[Strip]]), 2) &amp; "-IEU", W$1)), "")</f>
        <v/>
      </c>
      <c r="X1514" s="36"/>
    </row>
    <row r="1515" spans="1:24" x14ac:dyDescent="0.25">
      <c r="A1515" s="37" t="s">
        <v>378</v>
      </c>
      <c r="B1515" s="88" t="str">
        <f>RTD("ice.rtd",,$C1515 &amp; $D1515 &amp; ":" &amp; B$1)</f>
        <v>NGE</v>
      </c>
      <c r="C1515" s="3">
        <v>16351515</v>
      </c>
      <c r="D1515" t="s">
        <v>813</v>
      </c>
      <c r="E1515" s="3" t="str">
        <f>RTD("ice.rtd",,$C1515 &amp; $D1515 &amp; ":" &amp; E$1)</f>
        <v>Sep28</v>
      </c>
      <c r="F1515" s="3" t="str">
        <f>ICE[[#This Row],[Prod]]&amp;ICE[[#This Row],[Strip]]</f>
        <v>ngasntetSep28</v>
      </c>
      <c r="G1515" s="18" t="str">
        <f>RTD("ice.rtd",,$C1515 &amp; $D1515 &amp; ":" &amp; G$1)</f>
        <v/>
      </c>
      <c r="H1515" s="18" t="str">
        <f>RTD("ice.rtd",,$C1515 &amp; $D1515 &amp; ":" &amp; H$1)</f>
        <v/>
      </c>
      <c r="I1515" s="18" t="str">
        <f>RTD("ice.rtd",,$C1515 &amp; $D1515 &amp; ":" &amp; I$1)</f>
        <v/>
      </c>
      <c r="J1515" s="14" t="str">
        <f>IFERROR(MOD(RTD("ice.rtd",,$C1515 &amp; $D1515 &amp; ":" &amp; J$1), 1), "")</f>
        <v/>
      </c>
      <c r="K1515" s="18" t="str">
        <f>RTD("ice.rtd",,$C1515 &amp; $D1515 &amp; ":" &amp; K$1)</f>
        <v/>
      </c>
      <c r="L1515" s="36" t="str">
        <f>RTD("ice.rtd",,$C1515 &amp; $D1515 &amp; ":" &amp; L$1)</f>
        <v/>
      </c>
      <c r="M1515" s="14" t="str">
        <f>IFERROR(MOD(TIMEVALUE(RTD("ice.rtd",,$C1515 &amp; $D1515 &amp; ":" &amp; M$1)), 1), "")</f>
        <v/>
      </c>
      <c r="N1515" s="36">
        <f>RTD("ice.rtd",,$C1515 &amp; $D1515 &amp; ":" &amp; N$1)</f>
        <v>0</v>
      </c>
      <c r="O1515" s="36">
        <f>RTD("ice.rtd",,$C1515 &amp; $D1515 &amp; ":" &amp; O$1)</f>
        <v>0</v>
      </c>
      <c r="P15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5" s="14" t="str">
        <f>IF(ICE[[#This Row],[LastType]] = "Scrn", ICE[[#This Row],[LstDate]], IF(ICE[[#This Row],[LastType]] = "Blk", ICE[[#This Row],[LstBlkTime]], ""))</f>
        <v/>
      </c>
      <c r="R1515" s="41" t="str">
        <f>IF(ICE[[#This Row],[LastType]] = "Scrn", ICE[[#This Row],[LstPrc]], IF(ICE[[#This Row],[LastType]] = "Blk", ICE[[#This Row],[LstBlkPrc]], ""))</f>
        <v/>
      </c>
      <c r="S1515" s="36">
        <f>ICE[[#This Row],[Vol]]+ICE[[#This Row],[BlkVol]]</f>
        <v>0</v>
      </c>
      <c r="T1515" s="36">
        <f>RTD("ice.rtd",,$C1515 &amp; $D1515 &amp; ":" &amp; T$1)</f>
        <v>23</v>
      </c>
      <c r="U1515" s="18">
        <f>RTD("ice.rtd",,$C1515 &amp; $D1515 &amp; ":" &amp; U$1)</f>
        <v>1.4312499999999999</v>
      </c>
      <c r="V15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5" s="18" t="str">
        <f>IFERROR(IF(LEFT(ICE[[#This Row],[Tenor]], 1) = "B", RTD("esrtd",,$B1515 &amp; " " &amp; ICE[[#This Row],[Tenor]] &amp; "-IEU", W$1), RTD("esrtd",,$B1515 &amp; " " &amp; VLOOKUP(MONTH(ICE[[#This Row],[Strip]]), MthRef[], 2, 0) &amp; RIGHT(YEAR(ICE[[#This Row],[Strip]]), 2) &amp; "-IEU", W$1)), "")</f>
        <v/>
      </c>
      <c r="X1515" s="36"/>
    </row>
    <row r="1516" spans="1:24" x14ac:dyDescent="0.25">
      <c r="A1516" s="37" t="s">
        <v>378</v>
      </c>
      <c r="B1516" s="88" t="str">
        <f>RTD("ice.rtd",,$C1516 &amp; $D1516 &amp; ":" &amp; B$1)</f>
        <v>NGE</v>
      </c>
      <c r="C1516" s="3">
        <v>16351515</v>
      </c>
      <c r="D1516" t="s">
        <v>814</v>
      </c>
      <c r="E1516" s="3" t="str">
        <f>RTD("ice.rtd",,$C1516 &amp; $D1516 &amp; ":" &amp; E$1)</f>
        <v>Q4 26</v>
      </c>
      <c r="F1516" s="3" t="str">
        <f>ICE[[#This Row],[Prod]]&amp;ICE[[#This Row],[Strip]]</f>
        <v>ngasntetQ4 26</v>
      </c>
      <c r="G1516" s="18" t="str">
        <f>RTD("ice.rtd",,$C1516 &amp; $D1516 &amp; ":" &amp; G$1)</f>
        <v/>
      </c>
      <c r="H1516" s="18" t="str">
        <f>RTD("ice.rtd",,$C1516 &amp; $D1516 &amp; ":" &amp; H$1)</f>
        <v/>
      </c>
      <c r="I1516" s="18" t="str">
        <f>RTD("ice.rtd",,$C1516 &amp; $D1516 &amp; ":" &amp; I$1)</f>
        <v/>
      </c>
      <c r="J1516" s="14" t="str">
        <f>IFERROR(MOD(RTD("ice.rtd",,$C1516 &amp; $D1516 &amp; ":" &amp; J$1), 1), "")</f>
        <v/>
      </c>
      <c r="K1516" s="18" t="str">
        <f>RTD("ice.rtd",,$C1516 &amp; $D1516 &amp; ":" &amp; K$1)</f>
        <v/>
      </c>
      <c r="L1516" s="36" t="str">
        <f>RTD("ice.rtd",,$C1516 &amp; $D1516 &amp; ":" &amp; L$1)</f>
        <v/>
      </c>
      <c r="M1516" s="14" t="str">
        <f>IFERROR(MOD(TIMEVALUE(RTD("ice.rtd",,$C1516 &amp; $D1516 &amp; ":" &amp; M$1)), 1), "")</f>
        <v/>
      </c>
      <c r="N1516" s="36">
        <f>RTD("ice.rtd",,$C1516 &amp; $D1516 &amp; ":" &amp; N$1)</f>
        <v>0</v>
      </c>
      <c r="O1516" s="36">
        <f>RTD("ice.rtd",,$C1516 &amp; $D1516 &amp; ":" &amp; O$1)</f>
        <v>0</v>
      </c>
      <c r="P15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6" s="14" t="str">
        <f>IF(ICE[[#This Row],[LastType]] = "Scrn", ICE[[#This Row],[LstDate]], IF(ICE[[#This Row],[LastType]] = "Blk", ICE[[#This Row],[LstBlkTime]], ""))</f>
        <v/>
      </c>
      <c r="R1516" s="41" t="str">
        <f>IF(ICE[[#This Row],[LastType]] = "Scrn", ICE[[#This Row],[LstPrc]], IF(ICE[[#This Row],[LastType]] = "Blk", ICE[[#This Row],[LstBlkPrc]], ""))</f>
        <v/>
      </c>
      <c r="S1516" s="36">
        <f>ICE[[#This Row],[Vol]]+ICE[[#This Row],[BlkVol]]</f>
        <v>0</v>
      </c>
      <c r="T1516" s="36">
        <f>RTD("ice.rtd",,$C1516 &amp; $D1516 &amp; ":" &amp; T$1)</f>
        <v>0</v>
      </c>
      <c r="U1516" s="18">
        <f>RTD("ice.rtd",,$C1516 &amp; $D1516 &amp; ":" &amp; U$1)</f>
        <v>1.85917</v>
      </c>
      <c r="V15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6" s="18" t="str">
        <f>IFERROR(IF(LEFT(ICE[[#This Row],[Tenor]], 1) = "B", RTD("esrtd",,$B1516 &amp; " " &amp; ICE[[#This Row],[Tenor]] &amp; "-IEU", W$1), RTD("esrtd",,$B1516 &amp; " " &amp; VLOOKUP(MONTH(ICE[[#This Row],[Strip]]), MthRef[], 2, 0) &amp; RIGHT(YEAR(ICE[[#This Row],[Strip]]), 2) &amp; "-IEU", W$1)), "")</f>
        <v/>
      </c>
      <c r="X1516" s="36"/>
    </row>
    <row r="1517" spans="1:24" x14ac:dyDescent="0.25">
      <c r="A1517" s="37" t="s">
        <v>378</v>
      </c>
      <c r="B1517" s="88" t="str">
        <f>RTD("ice.rtd",,$C1517 &amp; $D1517 &amp; ":" &amp; B$1)</f>
        <v>NGE</v>
      </c>
      <c r="C1517" s="3">
        <v>16351515</v>
      </c>
      <c r="D1517" t="s">
        <v>815</v>
      </c>
      <c r="E1517" s="3" t="str">
        <f>RTD("ice.rtd",,$C1517 &amp; $D1517 &amp; ":" &amp; E$1)</f>
        <v>Q1 27</v>
      </c>
      <c r="F1517" s="3" t="str">
        <f>ICE[[#This Row],[Prod]]&amp;ICE[[#This Row],[Strip]]</f>
        <v>ngasntetQ1 27</v>
      </c>
      <c r="G1517" s="18" t="str">
        <f>RTD("ice.rtd",,$C1517 &amp; $D1517 &amp; ":" &amp; G$1)</f>
        <v/>
      </c>
      <c r="H1517" s="18" t="str">
        <f>RTD("ice.rtd",,$C1517 &amp; $D1517 &amp; ":" &amp; H$1)</f>
        <v/>
      </c>
      <c r="I1517" s="18" t="str">
        <f>RTD("ice.rtd",,$C1517 &amp; $D1517 &amp; ":" &amp; I$1)</f>
        <v/>
      </c>
      <c r="J1517" s="14" t="str">
        <f>IFERROR(MOD(RTD("ice.rtd",,$C1517 &amp; $D1517 &amp; ":" &amp; J$1), 1), "")</f>
        <v/>
      </c>
      <c r="K1517" s="18" t="str">
        <f>RTD("ice.rtd",,$C1517 &amp; $D1517 &amp; ":" &amp; K$1)</f>
        <v/>
      </c>
      <c r="L1517" s="36" t="str">
        <f>RTD("ice.rtd",,$C1517 &amp; $D1517 &amp; ":" &amp; L$1)</f>
        <v/>
      </c>
      <c r="M1517" s="14" t="str">
        <f>IFERROR(MOD(TIMEVALUE(RTD("ice.rtd",,$C1517 &amp; $D1517 &amp; ":" &amp; M$1)), 1), "")</f>
        <v/>
      </c>
      <c r="N1517" s="36">
        <f>RTD("ice.rtd",,$C1517 &amp; $D1517 &amp; ":" &amp; N$1)</f>
        <v>0</v>
      </c>
      <c r="O1517" s="36">
        <f>RTD("ice.rtd",,$C1517 &amp; $D1517 &amp; ":" &amp; O$1)</f>
        <v>0</v>
      </c>
      <c r="P15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7" s="14" t="str">
        <f>IF(ICE[[#This Row],[LastType]] = "Scrn", ICE[[#This Row],[LstDate]], IF(ICE[[#This Row],[LastType]] = "Blk", ICE[[#This Row],[LstBlkTime]], ""))</f>
        <v/>
      </c>
      <c r="R1517" s="41" t="str">
        <f>IF(ICE[[#This Row],[LastType]] = "Scrn", ICE[[#This Row],[LstPrc]], IF(ICE[[#This Row],[LastType]] = "Blk", ICE[[#This Row],[LstBlkPrc]], ""))</f>
        <v/>
      </c>
      <c r="S1517" s="36">
        <f>ICE[[#This Row],[Vol]]+ICE[[#This Row],[BlkVol]]</f>
        <v>0</v>
      </c>
      <c r="T1517" s="36">
        <f>RTD("ice.rtd",,$C1517 &amp; $D1517 &amp; ":" &amp; T$1)</f>
        <v>0</v>
      </c>
      <c r="U1517" s="18">
        <f>RTD("ice.rtd",,$C1517 &amp; $D1517 &amp; ":" &amp; U$1)</f>
        <v>1.7237499999999999</v>
      </c>
      <c r="V15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7" s="18" t="str">
        <f>IFERROR(IF(LEFT(ICE[[#This Row],[Tenor]], 1) = "B", RTD("esrtd",,$B1517 &amp; " " &amp; ICE[[#This Row],[Tenor]] &amp; "-IEU", W$1), RTD("esrtd",,$B1517 &amp; " " &amp; VLOOKUP(MONTH(ICE[[#This Row],[Strip]]), MthRef[], 2, 0) &amp; RIGHT(YEAR(ICE[[#This Row],[Strip]]), 2) &amp; "-IEU", W$1)), "")</f>
        <v/>
      </c>
      <c r="X1517" s="36"/>
    </row>
    <row r="1518" spans="1:24" x14ac:dyDescent="0.25">
      <c r="A1518" s="37" t="s">
        <v>378</v>
      </c>
      <c r="B1518" s="88" t="str">
        <f>RTD("ice.rtd",,$C1518 &amp; $D1518 &amp; ":" &amp; B$1)</f>
        <v>NGE</v>
      </c>
      <c r="C1518" s="3">
        <v>16351515</v>
      </c>
      <c r="D1518" t="s">
        <v>816</v>
      </c>
      <c r="E1518" s="3" t="str">
        <f>RTD("ice.rtd",,$C1518 &amp; $D1518 &amp; ":" &amp; E$1)</f>
        <v>Q2 27</v>
      </c>
      <c r="F1518" s="3" t="str">
        <f>ICE[[#This Row],[Prod]]&amp;ICE[[#This Row],[Strip]]</f>
        <v>ngasntetQ2 27</v>
      </c>
      <c r="G1518" s="18" t="str">
        <f>RTD("ice.rtd",,$C1518 &amp; $D1518 &amp; ":" &amp; G$1)</f>
        <v/>
      </c>
      <c r="H1518" s="18" t="str">
        <f>RTD("ice.rtd",,$C1518 &amp; $D1518 &amp; ":" &amp; H$1)</f>
        <v/>
      </c>
      <c r="I1518" s="18" t="str">
        <f>RTD("ice.rtd",,$C1518 &amp; $D1518 &amp; ":" &amp; I$1)</f>
        <v/>
      </c>
      <c r="J1518" s="14" t="str">
        <f>IFERROR(MOD(RTD("ice.rtd",,$C1518 &amp; $D1518 &amp; ":" &amp; J$1), 1), "")</f>
        <v/>
      </c>
      <c r="K1518" s="18" t="str">
        <f>RTD("ice.rtd",,$C1518 &amp; $D1518 &amp; ":" &amp; K$1)</f>
        <v/>
      </c>
      <c r="L1518" s="36" t="str">
        <f>RTD("ice.rtd",,$C1518 &amp; $D1518 &amp; ":" &amp; L$1)</f>
        <v/>
      </c>
      <c r="M1518" s="14" t="str">
        <f>IFERROR(MOD(TIMEVALUE(RTD("ice.rtd",,$C1518 &amp; $D1518 &amp; ":" &amp; M$1)), 1), "")</f>
        <v/>
      </c>
      <c r="N1518" s="36">
        <f>RTD("ice.rtd",,$C1518 &amp; $D1518 &amp; ":" &amp; N$1)</f>
        <v>0</v>
      </c>
      <c r="O1518" s="36">
        <f>RTD("ice.rtd",,$C1518 &amp; $D1518 &amp; ":" &amp; O$1)</f>
        <v>0</v>
      </c>
      <c r="P15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8" s="14" t="str">
        <f>IF(ICE[[#This Row],[LastType]] = "Scrn", ICE[[#This Row],[LstDate]], IF(ICE[[#This Row],[LastType]] = "Blk", ICE[[#This Row],[LstBlkTime]], ""))</f>
        <v/>
      </c>
      <c r="R1518" s="41" t="str">
        <f>IF(ICE[[#This Row],[LastType]] = "Scrn", ICE[[#This Row],[LstPrc]], IF(ICE[[#This Row],[LastType]] = "Blk", ICE[[#This Row],[LstBlkPrc]], ""))</f>
        <v/>
      </c>
      <c r="S1518" s="36">
        <f>ICE[[#This Row],[Vol]]+ICE[[#This Row],[BlkVol]]</f>
        <v>0</v>
      </c>
      <c r="T1518" s="36">
        <f>RTD("ice.rtd",,$C1518 &amp; $D1518 &amp; ":" &amp; T$1)</f>
        <v>0</v>
      </c>
      <c r="U1518" s="18">
        <f>RTD("ice.rtd",,$C1518 &amp; $D1518 &amp; ":" &amp; U$1)</f>
        <v>1.6</v>
      </c>
      <c r="V15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8" s="18" t="str">
        <f>IFERROR(IF(LEFT(ICE[[#This Row],[Tenor]], 1) = "B", RTD("esrtd",,$B1518 &amp; " " &amp; ICE[[#This Row],[Tenor]] &amp; "-IEU", W$1), RTD("esrtd",,$B1518 &amp; " " &amp; VLOOKUP(MONTH(ICE[[#This Row],[Strip]]), MthRef[], 2, 0) &amp; RIGHT(YEAR(ICE[[#This Row],[Strip]]), 2) &amp; "-IEU", W$1)), "")</f>
        <v/>
      </c>
      <c r="X1518" s="36"/>
    </row>
    <row r="1519" spans="1:24" x14ac:dyDescent="0.25">
      <c r="A1519" s="37" t="s">
        <v>378</v>
      </c>
      <c r="B1519" s="88" t="str">
        <f>RTD("ice.rtd",,$C1519 &amp; $D1519 &amp; ":" &amp; B$1)</f>
        <v>NGE</v>
      </c>
      <c r="C1519" s="3">
        <v>16351515</v>
      </c>
      <c r="D1519" t="s">
        <v>817</v>
      </c>
      <c r="E1519" s="3" t="str">
        <f>RTD("ice.rtd",,$C1519 &amp; $D1519 &amp; ":" &amp; E$1)</f>
        <v>Q3 27</v>
      </c>
      <c r="F1519" s="3" t="str">
        <f>ICE[[#This Row],[Prod]]&amp;ICE[[#This Row],[Strip]]</f>
        <v>ngasntetQ3 27</v>
      </c>
      <c r="G1519" s="18" t="str">
        <f>RTD("ice.rtd",,$C1519 &amp; $D1519 &amp; ":" &amp; G$1)</f>
        <v/>
      </c>
      <c r="H1519" s="18" t="str">
        <f>RTD("ice.rtd",,$C1519 &amp; $D1519 &amp; ":" &amp; H$1)</f>
        <v/>
      </c>
      <c r="I1519" s="18" t="str">
        <f>RTD("ice.rtd",,$C1519 &amp; $D1519 &amp; ":" &amp; I$1)</f>
        <v/>
      </c>
      <c r="J1519" s="14" t="str">
        <f>IFERROR(MOD(RTD("ice.rtd",,$C1519 &amp; $D1519 &amp; ":" &amp; J$1), 1), "")</f>
        <v/>
      </c>
      <c r="K1519" s="18" t="str">
        <f>RTD("ice.rtd",,$C1519 &amp; $D1519 &amp; ":" &amp; K$1)</f>
        <v/>
      </c>
      <c r="L1519" s="36" t="str">
        <f>RTD("ice.rtd",,$C1519 &amp; $D1519 &amp; ":" &amp; L$1)</f>
        <v/>
      </c>
      <c r="M1519" s="14" t="str">
        <f>IFERROR(MOD(TIMEVALUE(RTD("ice.rtd",,$C1519 &amp; $D1519 &amp; ":" &amp; M$1)), 1), "")</f>
        <v/>
      </c>
      <c r="N1519" s="36">
        <f>RTD("ice.rtd",,$C1519 &amp; $D1519 &amp; ":" &amp; N$1)</f>
        <v>0</v>
      </c>
      <c r="O1519" s="36">
        <f>RTD("ice.rtd",,$C1519 &amp; $D1519 &amp; ":" &amp; O$1)</f>
        <v>0</v>
      </c>
      <c r="P15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19" s="14" t="str">
        <f>IF(ICE[[#This Row],[LastType]] = "Scrn", ICE[[#This Row],[LstDate]], IF(ICE[[#This Row],[LastType]] = "Blk", ICE[[#This Row],[LstBlkTime]], ""))</f>
        <v/>
      </c>
      <c r="R1519" s="41" t="str">
        <f>IF(ICE[[#This Row],[LastType]] = "Scrn", ICE[[#This Row],[LstPrc]], IF(ICE[[#This Row],[LastType]] = "Blk", ICE[[#This Row],[LstBlkPrc]], ""))</f>
        <v/>
      </c>
      <c r="S1519" s="36">
        <f>ICE[[#This Row],[Vol]]+ICE[[#This Row],[BlkVol]]</f>
        <v>0</v>
      </c>
      <c r="T1519" s="36">
        <f>RTD("ice.rtd",,$C1519 &amp; $D1519 &amp; ":" &amp; T$1)</f>
        <v>0</v>
      </c>
      <c r="U1519" s="18">
        <f>RTD("ice.rtd",,$C1519 &amp; $D1519 &amp; ":" &amp; U$1)</f>
        <v>1.5316699999999999</v>
      </c>
      <c r="V15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19" s="18" t="str">
        <f>IFERROR(IF(LEFT(ICE[[#This Row],[Tenor]], 1) = "B", RTD("esrtd",,$B1519 &amp; " " &amp; ICE[[#This Row],[Tenor]] &amp; "-IEU", W$1), RTD("esrtd",,$B1519 &amp; " " &amp; VLOOKUP(MONTH(ICE[[#This Row],[Strip]]), MthRef[], 2, 0) &amp; RIGHT(YEAR(ICE[[#This Row],[Strip]]), 2) &amp; "-IEU", W$1)), "")</f>
        <v/>
      </c>
      <c r="X1519" s="36"/>
    </row>
    <row r="1520" spans="1:24" x14ac:dyDescent="0.25">
      <c r="A1520" s="37" t="s">
        <v>378</v>
      </c>
      <c r="B1520" s="88" t="str">
        <f>RTD("ice.rtd",,$C1520 &amp; $D1520 &amp; ":" &amp; B$1)</f>
        <v>NGE</v>
      </c>
      <c r="C1520" s="3">
        <v>16351515</v>
      </c>
      <c r="D1520" t="s">
        <v>818</v>
      </c>
      <c r="E1520" s="3" t="str">
        <f>RTD("ice.rtd",,$C1520 &amp; $D1520 &amp; ":" &amp; E$1)</f>
        <v>Q4 27</v>
      </c>
      <c r="F1520" s="3" t="str">
        <f>ICE[[#This Row],[Prod]]&amp;ICE[[#This Row],[Strip]]</f>
        <v>ngasntetQ4 27</v>
      </c>
      <c r="G1520" s="18" t="str">
        <f>RTD("ice.rtd",,$C1520 &amp; $D1520 &amp; ":" &amp; G$1)</f>
        <v/>
      </c>
      <c r="H1520" s="18" t="str">
        <f>RTD("ice.rtd",,$C1520 &amp; $D1520 &amp; ":" &amp; H$1)</f>
        <v/>
      </c>
      <c r="I1520" s="18" t="str">
        <f>RTD("ice.rtd",,$C1520 &amp; $D1520 &amp; ":" &amp; I$1)</f>
        <v/>
      </c>
      <c r="J1520" s="14" t="str">
        <f>IFERROR(MOD(RTD("ice.rtd",,$C1520 &amp; $D1520 &amp; ":" &amp; J$1), 1), "")</f>
        <v/>
      </c>
      <c r="K1520" s="18" t="str">
        <f>RTD("ice.rtd",,$C1520 &amp; $D1520 &amp; ":" &amp; K$1)</f>
        <v/>
      </c>
      <c r="L1520" s="36" t="str">
        <f>RTD("ice.rtd",,$C1520 &amp; $D1520 &amp; ":" &amp; L$1)</f>
        <v/>
      </c>
      <c r="M1520" s="14" t="str">
        <f>IFERROR(MOD(TIMEVALUE(RTD("ice.rtd",,$C1520 &amp; $D1520 &amp; ":" &amp; M$1)), 1), "")</f>
        <v/>
      </c>
      <c r="N1520" s="36">
        <f>RTD("ice.rtd",,$C1520 &amp; $D1520 &amp; ":" &amp; N$1)</f>
        <v>0</v>
      </c>
      <c r="O1520" s="36">
        <f>RTD("ice.rtd",,$C1520 &amp; $D1520 &amp; ":" &amp; O$1)</f>
        <v>0</v>
      </c>
      <c r="P15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0" s="14" t="str">
        <f>IF(ICE[[#This Row],[LastType]] = "Scrn", ICE[[#This Row],[LstDate]], IF(ICE[[#This Row],[LastType]] = "Blk", ICE[[#This Row],[LstBlkTime]], ""))</f>
        <v/>
      </c>
      <c r="R1520" s="41" t="str">
        <f>IF(ICE[[#This Row],[LastType]] = "Scrn", ICE[[#This Row],[LstPrc]], IF(ICE[[#This Row],[LastType]] = "Blk", ICE[[#This Row],[LstBlkPrc]], ""))</f>
        <v/>
      </c>
      <c r="S1520" s="36">
        <f>ICE[[#This Row],[Vol]]+ICE[[#This Row],[BlkVol]]</f>
        <v>0</v>
      </c>
      <c r="T1520" s="36">
        <f>RTD("ice.rtd",,$C1520 &amp; $D1520 &amp; ":" &amp; T$1)</f>
        <v>0</v>
      </c>
      <c r="U1520" s="18">
        <f>RTD("ice.rtd",,$C1520 &amp; $D1520 &amp; ":" &amp; U$1)</f>
        <v>1.50458</v>
      </c>
      <c r="V15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0" s="18" t="str">
        <f>IFERROR(IF(LEFT(ICE[[#This Row],[Tenor]], 1) = "B", RTD("esrtd",,$B1520 &amp; " " &amp; ICE[[#This Row],[Tenor]] &amp; "-IEU", W$1), RTD("esrtd",,$B1520 &amp; " " &amp; VLOOKUP(MONTH(ICE[[#This Row],[Strip]]), MthRef[], 2, 0) &amp; RIGHT(YEAR(ICE[[#This Row],[Strip]]), 2) &amp; "-IEU", W$1)), "")</f>
        <v/>
      </c>
      <c r="X1520" s="36"/>
    </row>
    <row r="1521" spans="1:24" x14ac:dyDescent="0.25">
      <c r="A1521" s="37" t="s">
        <v>378</v>
      </c>
      <c r="B1521" s="88" t="str">
        <f>RTD("ice.rtd",,$C1521 &amp; $D1521 &amp; ":" &amp; B$1)</f>
        <v>NGE</v>
      </c>
      <c r="C1521" s="3">
        <v>16351515</v>
      </c>
      <c r="D1521" t="s">
        <v>819</v>
      </c>
      <c r="E1521" s="3" t="str">
        <f>RTD("ice.rtd",,$C1521 &amp; $D1521 &amp; ":" &amp; E$1)</f>
        <v>Q1 28</v>
      </c>
      <c r="F1521" s="3" t="str">
        <f>ICE[[#This Row],[Prod]]&amp;ICE[[#This Row],[Strip]]</f>
        <v>ngasntetQ1 28</v>
      </c>
      <c r="G1521" s="18" t="str">
        <f>RTD("ice.rtd",,$C1521 &amp; $D1521 &amp; ":" &amp; G$1)</f>
        <v/>
      </c>
      <c r="H1521" s="18" t="str">
        <f>RTD("ice.rtd",,$C1521 &amp; $D1521 &amp; ":" &amp; H$1)</f>
        <v/>
      </c>
      <c r="I1521" s="18" t="str">
        <f>RTD("ice.rtd",,$C1521 &amp; $D1521 &amp; ":" &amp; I$1)</f>
        <v/>
      </c>
      <c r="J1521" s="14" t="str">
        <f>IFERROR(MOD(RTD("ice.rtd",,$C1521 &amp; $D1521 &amp; ":" &amp; J$1), 1), "")</f>
        <v/>
      </c>
      <c r="K1521" s="18" t="str">
        <f>RTD("ice.rtd",,$C1521 &amp; $D1521 &amp; ":" &amp; K$1)</f>
        <v/>
      </c>
      <c r="L1521" s="36" t="str">
        <f>RTD("ice.rtd",,$C1521 &amp; $D1521 &amp; ":" &amp; L$1)</f>
        <v/>
      </c>
      <c r="M1521" s="14" t="str">
        <f>IFERROR(MOD(TIMEVALUE(RTD("ice.rtd",,$C1521 &amp; $D1521 &amp; ":" &amp; M$1)), 1), "")</f>
        <v/>
      </c>
      <c r="N1521" s="36">
        <f>RTD("ice.rtd",,$C1521 &amp; $D1521 &amp; ":" &amp; N$1)</f>
        <v>0</v>
      </c>
      <c r="O1521" s="36">
        <f>RTD("ice.rtd",,$C1521 &amp; $D1521 &amp; ":" &amp; O$1)</f>
        <v>0</v>
      </c>
      <c r="P15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1" s="14" t="str">
        <f>IF(ICE[[#This Row],[LastType]] = "Scrn", ICE[[#This Row],[LstDate]], IF(ICE[[#This Row],[LastType]] = "Blk", ICE[[#This Row],[LstBlkTime]], ""))</f>
        <v/>
      </c>
      <c r="R1521" s="41" t="str">
        <f>IF(ICE[[#This Row],[LastType]] = "Scrn", ICE[[#This Row],[LstPrc]], IF(ICE[[#This Row],[LastType]] = "Blk", ICE[[#This Row],[LstBlkPrc]], ""))</f>
        <v/>
      </c>
      <c r="S1521" s="36">
        <f>ICE[[#This Row],[Vol]]+ICE[[#This Row],[BlkVol]]</f>
        <v>0</v>
      </c>
      <c r="T1521" s="36">
        <f>RTD("ice.rtd",,$C1521 &amp; $D1521 &amp; ":" &amp; T$1)</f>
        <v>0</v>
      </c>
      <c r="U1521" s="18">
        <f>RTD("ice.rtd",,$C1521 &amp; $D1521 &amp; ":" &amp; U$1)</f>
        <v>1.4866699999999999</v>
      </c>
      <c r="V15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1" s="18" t="str">
        <f>IFERROR(IF(LEFT(ICE[[#This Row],[Tenor]], 1) = "B", RTD("esrtd",,$B1521 &amp; " " &amp; ICE[[#This Row],[Tenor]] &amp; "-IEU", W$1), RTD("esrtd",,$B1521 &amp; " " &amp; VLOOKUP(MONTH(ICE[[#This Row],[Strip]]), MthRef[], 2, 0) &amp; RIGHT(YEAR(ICE[[#This Row],[Strip]]), 2) &amp; "-IEU", W$1)), "")</f>
        <v/>
      </c>
      <c r="X1521" s="36"/>
    </row>
    <row r="1522" spans="1:24" x14ac:dyDescent="0.25">
      <c r="A1522" s="37" t="s">
        <v>378</v>
      </c>
      <c r="B1522" s="88" t="str">
        <f>RTD("ice.rtd",,$C1522 &amp; $D1522 &amp; ":" &amp; B$1)</f>
        <v>NGE</v>
      </c>
      <c r="C1522" s="3">
        <v>16351515</v>
      </c>
      <c r="D1522" t="s">
        <v>229</v>
      </c>
      <c r="E1522" s="3" t="str">
        <f>RTD("ice.rtd",,$C1522 &amp; $D1522 &amp; ":" &amp; E$1)</f>
        <v>Q2 28</v>
      </c>
      <c r="F1522" s="3" t="str">
        <f>ICE[[#This Row],[Prod]]&amp;ICE[[#This Row],[Strip]]</f>
        <v>ngasntetQ2 28</v>
      </c>
      <c r="G1522" s="18" t="str">
        <f>RTD("ice.rtd",,$C1522 &amp; $D1522 &amp; ":" &amp; G$1)</f>
        <v/>
      </c>
      <c r="H1522" s="18" t="str">
        <f>RTD("ice.rtd",,$C1522 &amp; $D1522 &amp; ":" &amp; H$1)</f>
        <v/>
      </c>
      <c r="I1522" s="18" t="str">
        <f>RTD("ice.rtd",,$C1522 &amp; $D1522 &amp; ":" &amp; I$1)</f>
        <v/>
      </c>
      <c r="J1522" s="14" t="str">
        <f>IFERROR(MOD(RTD("ice.rtd",,$C1522 &amp; $D1522 &amp; ":" &amp; J$1), 1), "")</f>
        <v/>
      </c>
      <c r="K1522" s="18" t="str">
        <f>RTD("ice.rtd",,$C1522 &amp; $D1522 &amp; ":" &amp; K$1)</f>
        <v/>
      </c>
      <c r="L1522" s="36" t="str">
        <f>RTD("ice.rtd",,$C1522 &amp; $D1522 &amp; ":" &amp; L$1)</f>
        <v/>
      </c>
      <c r="M1522" s="14" t="str">
        <f>IFERROR(MOD(TIMEVALUE(RTD("ice.rtd",,$C1522 &amp; $D1522 &amp; ":" &amp; M$1)), 1), "")</f>
        <v/>
      </c>
      <c r="N1522" s="36">
        <f>RTD("ice.rtd",,$C1522 &amp; $D1522 &amp; ":" &amp; N$1)</f>
        <v>0</v>
      </c>
      <c r="O1522" s="36">
        <f>RTD("ice.rtd",,$C1522 &amp; $D1522 &amp; ":" &amp; O$1)</f>
        <v>0</v>
      </c>
      <c r="P15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2" s="14" t="str">
        <f>IF(ICE[[#This Row],[LastType]] = "Scrn", ICE[[#This Row],[LstDate]], IF(ICE[[#This Row],[LastType]] = "Blk", ICE[[#This Row],[LstBlkTime]], ""))</f>
        <v/>
      </c>
      <c r="R1522" s="41" t="str">
        <f>IF(ICE[[#This Row],[LastType]] = "Scrn", ICE[[#This Row],[LstPrc]], IF(ICE[[#This Row],[LastType]] = "Blk", ICE[[#This Row],[LstBlkPrc]], ""))</f>
        <v/>
      </c>
      <c r="S1522" s="36">
        <f>ICE[[#This Row],[Vol]]+ICE[[#This Row],[BlkVol]]</f>
        <v>0</v>
      </c>
      <c r="T1522" s="36">
        <f>RTD("ice.rtd",,$C1522 &amp; $D1522 &amp; ":" &amp; T$1)</f>
        <v>0</v>
      </c>
      <c r="U1522" s="18">
        <f>RTD("ice.rtd",,$C1522 &amp; $D1522 &amp; ":" &amp; U$1)</f>
        <v>1.45292</v>
      </c>
      <c r="V15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2" s="18" t="str">
        <f>IFERROR(IF(LEFT(ICE[[#This Row],[Tenor]], 1) = "B", RTD("esrtd",,$B1522 &amp; " " &amp; ICE[[#This Row],[Tenor]] &amp; "-IEU", W$1), RTD("esrtd",,$B1522 &amp; " " &amp; VLOOKUP(MONTH(ICE[[#This Row],[Strip]]), MthRef[], 2, 0) &amp; RIGHT(YEAR(ICE[[#This Row],[Strip]]), 2) &amp; "-IEU", W$1)), "")</f>
        <v/>
      </c>
      <c r="X1522" s="36"/>
    </row>
    <row r="1523" spans="1:24" x14ac:dyDescent="0.25">
      <c r="A1523" s="37" t="s">
        <v>378</v>
      </c>
      <c r="B1523" s="88" t="str">
        <f>RTD("ice.rtd",,$C1523 &amp; $D1523 &amp; ":" &amp; B$1)</f>
        <v>NGE</v>
      </c>
      <c r="C1523" s="3">
        <v>16351515</v>
      </c>
      <c r="D1523" t="s">
        <v>820</v>
      </c>
      <c r="E1523" s="3" t="str">
        <f>RTD("ice.rtd",,$C1523 &amp; $D1523 &amp; ":" &amp; E$1)</f>
        <v>Q3 28</v>
      </c>
      <c r="F1523" s="3" t="str">
        <f>ICE[[#This Row],[Prod]]&amp;ICE[[#This Row],[Strip]]</f>
        <v>ngasntetQ3 28</v>
      </c>
      <c r="G1523" s="18" t="str">
        <f>RTD("ice.rtd",,$C1523 &amp; $D1523 &amp; ":" &amp; G$1)</f>
        <v/>
      </c>
      <c r="H1523" s="18" t="str">
        <f>RTD("ice.rtd",,$C1523 &amp; $D1523 &amp; ":" &amp; H$1)</f>
        <v/>
      </c>
      <c r="I1523" s="18" t="str">
        <f>RTD("ice.rtd",,$C1523 &amp; $D1523 &amp; ":" &amp; I$1)</f>
        <v/>
      </c>
      <c r="J1523" s="14" t="str">
        <f>IFERROR(MOD(RTD("ice.rtd",,$C1523 &amp; $D1523 &amp; ":" &amp; J$1), 1), "")</f>
        <v/>
      </c>
      <c r="K1523" s="18" t="str">
        <f>RTD("ice.rtd",,$C1523 &amp; $D1523 &amp; ":" &amp; K$1)</f>
        <v/>
      </c>
      <c r="L1523" s="36" t="str">
        <f>RTD("ice.rtd",,$C1523 &amp; $D1523 &amp; ":" &amp; L$1)</f>
        <v/>
      </c>
      <c r="M1523" s="14" t="str">
        <f>IFERROR(MOD(TIMEVALUE(RTD("ice.rtd",,$C1523 &amp; $D1523 &amp; ":" &amp; M$1)), 1), "")</f>
        <v/>
      </c>
      <c r="N1523" s="36">
        <f>RTD("ice.rtd",,$C1523 &amp; $D1523 &amp; ":" &amp; N$1)</f>
        <v>0</v>
      </c>
      <c r="O1523" s="36">
        <f>RTD("ice.rtd",,$C1523 &amp; $D1523 &amp; ":" &amp; O$1)</f>
        <v>0</v>
      </c>
      <c r="P15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3" s="14" t="str">
        <f>IF(ICE[[#This Row],[LastType]] = "Scrn", ICE[[#This Row],[LstDate]], IF(ICE[[#This Row],[LastType]] = "Blk", ICE[[#This Row],[LstBlkTime]], ""))</f>
        <v/>
      </c>
      <c r="R1523" s="41" t="str">
        <f>IF(ICE[[#This Row],[LastType]] = "Scrn", ICE[[#This Row],[LstPrc]], IF(ICE[[#This Row],[LastType]] = "Blk", ICE[[#This Row],[LstBlkPrc]], ""))</f>
        <v/>
      </c>
      <c r="S1523" s="36">
        <f>ICE[[#This Row],[Vol]]+ICE[[#This Row],[BlkVol]]</f>
        <v>0</v>
      </c>
      <c r="T1523" s="36">
        <f>RTD("ice.rtd",,$C1523 &amp; $D1523 &amp; ":" &amp; T$1)</f>
        <v>0</v>
      </c>
      <c r="U1523" s="18">
        <f>RTD("ice.rtd",,$C1523 &amp; $D1523 &amp; ":" &amp; U$1)</f>
        <v>1.4325000000000001</v>
      </c>
      <c r="V15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3" s="18" t="str">
        <f>IFERROR(IF(LEFT(ICE[[#This Row],[Tenor]], 1) = "B", RTD("esrtd",,$B1523 &amp; " " &amp; ICE[[#This Row],[Tenor]] &amp; "-IEU", W$1), RTD("esrtd",,$B1523 &amp; " " &amp; VLOOKUP(MONTH(ICE[[#This Row],[Strip]]), MthRef[], 2, 0) &amp; RIGHT(YEAR(ICE[[#This Row],[Strip]]), 2) &amp; "-IEU", W$1)), "")</f>
        <v/>
      </c>
      <c r="X1523" s="36"/>
    </row>
    <row r="1524" spans="1:24" x14ac:dyDescent="0.25">
      <c r="A1524" s="37" t="s">
        <v>378</v>
      </c>
      <c r="B1524" s="88" t="str">
        <f>RTD("ice.rtd",,$C1524 &amp; $D1524 &amp; ":" &amp; B$1)</f>
        <v>NGE</v>
      </c>
      <c r="C1524" s="3">
        <v>16351515</v>
      </c>
      <c r="D1524" t="s">
        <v>821</v>
      </c>
      <c r="E1524" s="3" t="str">
        <f>RTD("ice.rtd",,$C1524 &amp; $D1524 &amp; ":" &amp; E$1)</f>
        <v>Q4 28</v>
      </c>
      <c r="F1524" s="3" t="str">
        <f>ICE[[#This Row],[Prod]]&amp;ICE[[#This Row],[Strip]]</f>
        <v>ngasntetQ4 28</v>
      </c>
      <c r="G1524" s="18" t="str">
        <f>RTD("ice.rtd",,$C1524 &amp; $D1524 &amp; ":" &amp; G$1)</f>
        <v/>
      </c>
      <c r="H1524" s="18" t="str">
        <f>RTD("ice.rtd",,$C1524 &amp; $D1524 &amp; ":" &amp; H$1)</f>
        <v/>
      </c>
      <c r="I1524" s="18" t="str">
        <f>RTD("ice.rtd",,$C1524 &amp; $D1524 &amp; ":" &amp; I$1)</f>
        <v/>
      </c>
      <c r="J1524" s="14" t="str">
        <f>IFERROR(MOD(RTD("ice.rtd",,$C1524 &amp; $D1524 &amp; ":" &amp; J$1), 1), "")</f>
        <v/>
      </c>
      <c r="K1524" s="18" t="str">
        <f>RTD("ice.rtd",,$C1524 &amp; $D1524 &amp; ":" &amp; K$1)</f>
        <v/>
      </c>
      <c r="L1524" s="36" t="str">
        <f>RTD("ice.rtd",,$C1524 &amp; $D1524 &amp; ":" &amp; L$1)</f>
        <v/>
      </c>
      <c r="M1524" s="14" t="str">
        <f>IFERROR(MOD(TIMEVALUE(RTD("ice.rtd",,$C1524 &amp; $D1524 &amp; ":" &amp; M$1)), 1), "")</f>
        <v/>
      </c>
      <c r="N1524" s="36">
        <f>RTD("ice.rtd",,$C1524 &amp; $D1524 &amp; ":" &amp; N$1)</f>
        <v>0</v>
      </c>
      <c r="O1524" s="36">
        <f>RTD("ice.rtd",,$C1524 &amp; $D1524 &amp; ":" &amp; O$1)</f>
        <v>0</v>
      </c>
      <c r="P15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4" s="14" t="str">
        <f>IF(ICE[[#This Row],[LastType]] = "Scrn", ICE[[#This Row],[LstDate]], IF(ICE[[#This Row],[LastType]] = "Blk", ICE[[#This Row],[LstBlkTime]], ""))</f>
        <v/>
      </c>
      <c r="R1524" s="41" t="str">
        <f>IF(ICE[[#This Row],[LastType]] = "Scrn", ICE[[#This Row],[LstPrc]], IF(ICE[[#This Row],[LastType]] = "Blk", ICE[[#This Row],[LstBlkPrc]], ""))</f>
        <v/>
      </c>
      <c r="S1524" s="36">
        <f>ICE[[#This Row],[Vol]]+ICE[[#This Row],[BlkVol]]</f>
        <v>0</v>
      </c>
      <c r="T1524" s="36">
        <f>RTD("ice.rtd",,$C1524 &amp; $D1524 &amp; ":" &amp; T$1)</f>
        <v>0</v>
      </c>
      <c r="U1524" s="18">
        <f>RTD("ice.rtd",,$C1524 &amp; $D1524 &amp; ":" &amp; U$1)</f>
        <v>1.42625</v>
      </c>
      <c r="V15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4" s="18" t="str">
        <f>IFERROR(IF(LEFT(ICE[[#This Row],[Tenor]], 1) = "B", RTD("esrtd",,$B1524 &amp; " " &amp; ICE[[#This Row],[Tenor]] &amp; "-IEU", W$1), RTD("esrtd",,$B1524 &amp; " " &amp; VLOOKUP(MONTH(ICE[[#This Row],[Strip]]), MthRef[], 2, 0) &amp; RIGHT(YEAR(ICE[[#This Row],[Strip]]), 2) &amp; "-IEU", W$1)), "")</f>
        <v/>
      </c>
      <c r="X1524" s="36"/>
    </row>
    <row r="1525" spans="1:24" x14ac:dyDescent="0.25">
      <c r="A1525" s="37" t="s">
        <v>378</v>
      </c>
      <c r="B1525" s="88" t="str">
        <f>RTD("ice.rtd",,$C1525 &amp; $D1525 &amp; ":" &amp; B$1)</f>
        <v>NGE</v>
      </c>
      <c r="C1525" s="3">
        <v>16351515</v>
      </c>
      <c r="D1525" t="s">
        <v>822</v>
      </c>
      <c r="E1525" s="3" t="str">
        <f>RTD("ice.rtd",,$C1525 &amp; $D1525 &amp; ":" &amp; E$1)</f>
        <v>Cal 27</v>
      </c>
      <c r="F1525" s="3" t="str">
        <f>ICE[[#This Row],[Prod]]&amp;ICE[[#This Row],[Strip]]</f>
        <v>ngasntetCal 27</v>
      </c>
      <c r="G1525" s="18" t="str">
        <f>RTD("ice.rtd",,$C1525 &amp; $D1525 &amp; ":" &amp; G$1)</f>
        <v/>
      </c>
      <c r="H1525" s="18" t="str">
        <f>RTD("ice.rtd",,$C1525 &amp; $D1525 &amp; ":" &amp; H$1)</f>
        <v/>
      </c>
      <c r="I1525" s="18" t="str">
        <f>RTD("ice.rtd",,$C1525 &amp; $D1525 &amp; ":" &amp; I$1)</f>
        <v/>
      </c>
      <c r="J1525" s="14" t="str">
        <f>IFERROR(MOD(RTD("ice.rtd",,$C1525 &amp; $D1525 &amp; ":" &amp; J$1), 1), "")</f>
        <v/>
      </c>
      <c r="K1525" s="18" t="str">
        <f>RTD("ice.rtd",,$C1525 &amp; $D1525 &amp; ":" &amp; K$1)</f>
        <v/>
      </c>
      <c r="L1525" s="36" t="str">
        <f>RTD("ice.rtd",,$C1525 &amp; $D1525 &amp; ":" &amp; L$1)</f>
        <v/>
      </c>
      <c r="M1525" s="14" t="str">
        <f>IFERROR(MOD(TIMEVALUE(RTD("ice.rtd",,$C1525 &amp; $D1525 &amp; ":" &amp; M$1)), 1), "")</f>
        <v/>
      </c>
      <c r="N1525" s="36">
        <f>RTD("ice.rtd",,$C1525 &amp; $D1525 &amp; ":" &amp; N$1)</f>
        <v>0</v>
      </c>
      <c r="O1525" s="36">
        <f>RTD("ice.rtd",,$C1525 &amp; $D1525 &amp; ":" &amp; O$1)</f>
        <v>0</v>
      </c>
      <c r="P15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5" s="14" t="str">
        <f>IF(ICE[[#This Row],[LastType]] = "Scrn", ICE[[#This Row],[LstDate]], IF(ICE[[#This Row],[LastType]] = "Blk", ICE[[#This Row],[LstBlkTime]], ""))</f>
        <v/>
      </c>
      <c r="R1525" s="41" t="str">
        <f>IF(ICE[[#This Row],[LastType]] = "Scrn", ICE[[#This Row],[LstPrc]], IF(ICE[[#This Row],[LastType]] = "Blk", ICE[[#This Row],[LstBlkPrc]], ""))</f>
        <v/>
      </c>
      <c r="S1525" s="36">
        <f>ICE[[#This Row],[Vol]]+ICE[[#This Row],[BlkVol]]</f>
        <v>0</v>
      </c>
      <c r="T1525" s="36">
        <f>RTD("ice.rtd",,$C1525 &amp; $D1525 &amp; ":" &amp; T$1)</f>
        <v>0</v>
      </c>
      <c r="U1525" s="18">
        <f>RTD("ice.rtd",,$C1525 &amp; $D1525 &amp; ":" &amp; U$1)</f>
        <v>1.59</v>
      </c>
      <c r="V15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5" s="18" t="str">
        <f>IFERROR(IF(LEFT(ICE[[#This Row],[Tenor]], 1) = "B", RTD("esrtd",,$B1525 &amp; " " &amp; ICE[[#This Row],[Tenor]] &amp; "-IEU", W$1), RTD("esrtd",,$B1525 &amp; " " &amp; VLOOKUP(MONTH(ICE[[#This Row],[Strip]]), MthRef[], 2, 0) &amp; RIGHT(YEAR(ICE[[#This Row],[Strip]]), 2) &amp; "-IEU", W$1)), "")</f>
        <v/>
      </c>
      <c r="X1525" s="36"/>
    </row>
    <row r="1526" spans="1:24" x14ac:dyDescent="0.25">
      <c r="A1526" s="37" t="s">
        <v>378</v>
      </c>
      <c r="B1526" s="88" t="str">
        <f>RTD("ice.rtd",,$C1526 &amp; $D1526 &amp; ":" &amp; B$1)</f>
        <v>NGE</v>
      </c>
      <c r="C1526" s="3">
        <v>16351515</v>
      </c>
      <c r="D1526" t="s">
        <v>823</v>
      </c>
      <c r="E1526" s="3" t="str">
        <f>RTD("ice.rtd",,$C1526 &amp; $D1526 &amp; ":" &amp; E$1)</f>
        <v>Cal 28</v>
      </c>
      <c r="F1526" s="3" t="str">
        <f>ICE[[#This Row],[Prod]]&amp;ICE[[#This Row],[Strip]]</f>
        <v>ngasntetCal 28</v>
      </c>
      <c r="G1526" s="18" t="str">
        <f>RTD("ice.rtd",,$C1526 &amp; $D1526 &amp; ":" &amp; G$1)</f>
        <v/>
      </c>
      <c r="H1526" s="18" t="str">
        <f>RTD("ice.rtd",,$C1526 &amp; $D1526 &amp; ":" &amp; H$1)</f>
        <v/>
      </c>
      <c r="I1526" s="18" t="str">
        <f>RTD("ice.rtd",,$C1526 &amp; $D1526 &amp; ":" &amp; I$1)</f>
        <v/>
      </c>
      <c r="J1526" s="14" t="str">
        <f>IFERROR(MOD(RTD("ice.rtd",,$C1526 &amp; $D1526 &amp; ":" &amp; J$1), 1), "")</f>
        <v/>
      </c>
      <c r="K1526" s="18" t="str">
        <f>RTD("ice.rtd",,$C1526 &amp; $D1526 &amp; ":" &amp; K$1)</f>
        <v/>
      </c>
      <c r="L1526" s="36" t="str">
        <f>RTD("ice.rtd",,$C1526 &amp; $D1526 &amp; ":" &amp; L$1)</f>
        <v/>
      </c>
      <c r="M1526" s="14" t="str">
        <f>IFERROR(MOD(TIMEVALUE(RTD("ice.rtd",,$C1526 &amp; $D1526 &amp; ":" &amp; M$1)), 1), "")</f>
        <v/>
      </c>
      <c r="N1526" s="36">
        <f>RTD("ice.rtd",,$C1526 &amp; $D1526 &amp; ":" &amp; N$1)</f>
        <v>0</v>
      </c>
      <c r="O1526" s="36">
        <f>RTD("ice.rtd",,$C1526 &amp; $D1526 &amp; ":" &amp; O$1)</f>
        <v>0</v>
      </c>
      <c r="P15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6" s="14" t="str">
        <f>IF(ICE[[#This Row],[LastType]] = "Scrn", ICE[[#This Row],[LstDate]], IF(ICE[[#This Row],[LastType]] = "Blk", ICE[[#This Row],[LstBlkTime]], ""))</f>
        <v/>
      </c>
      <c r="R1526" s="41" t="str">
        <f>IF(ICE[[#This Row],[LastType]] = "Scrn", ICE[[#This Row],[LstPrc]], IF(ICE[[#This Row],[LastType]] = "Blk", ICE[[#This Row],[LstBlkPrc]], ""))</f>
        <v/>
      </c>
      <c r="S1526" s="36">
        <f>ICE[[#This Row],[Vol]]+ICE[[#This Row],[BlkVol]]</f>
        <v>0</v>
      </c>
      <c r="T1526" s="36">
        <f>RTD("ice.rtd",,$C1526 &amp; $D1526 &amp; ":" &amp; T$1)</f>
        <v>0</v>
      </c>
      <c r="U1526" s="18">
        <f>RTD("ice.rtd",,$C1526 &amp; $D1526 &amp; ":" &amp; U$1)</f>
        <v>1.4495799999999999</v>
      </c>
      <c r="V15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6" s="18" t="str">
        <f>IFERROR(IF(LEFT(ICE[[#This Row],[Tenor]], 1) = "B", RTD("esrtd",,$B1526 &amp; " " &amp; ICE[[#This Row],[Tenor]] &amp; "-IEU", W$1), RTD("esrtd",,$B1526 &amp; " " &amp; VLOOKUP(MONTH(ICE[[#This Row],[Strip]]), MthRef[], 2, 0) &amp; RIGHT(YEAR(ICE[[#This Row],[Strip]]), 2) &amp; "-IEU", W$1)), "")</f>
        <v/>
      </c>
      <c r="X1526" s="36"/>
    </row>
    <row r="1527" spans="1:24" x14ac:dyDescent="0.25">
      <c r="A1527" s="37" t="s">
        <v>378</v>
      </c>
      <c r="B1527" s="88" t="str">
        <f>RTD("ice.rtd",,$C1527 &amp; $D1527 &amp; ":" &amp; B$1)</f>
        <v>NGE</v>
      </c>
      <c r="C1527" s="3">
        <v>16351515</v>
      </c>
      <c r="D1527" t="s">
        <v>824</v>
      </c>
      <c r="E1527" s="3" t="str">
        <f>RTD("ice.rtd",,$C1527 &amp; $D1527 &amp; ":" &amp; E$1)</f>
        <v>Cal 29</v>
      </c>
      <c r="F1527" s="3" t="str">
        <f>ICE[[#This Row],[Prod]]&amp;ICE[[#This Row],[Strip]]</f>
        <v>ngasntetCal 29</v>
      </c>
      <c r="G1527" s="18" t="str">
        <f>RTD("ice.rtd",,$C1527 &amp; $D1527 &amp; ":" &amp; G$1)</f>
        <v/>
      </c>
      <c r="H1527" s="18" t="str">
        <f>RTD("ice.rtd",,$C1527 &amp; $D1527 &amp; ":" &amp; H$1)</f>
        <v/>
      </c>
      <c r="I1527" s="18" t="str">
        <f>RTD("ice.rtd",,$C1527 &amp; $D1527 &amp; ":" &amp; I$1)</f>
        <v/>
      </c>
      <c r="J1527" s="14" t="str">
        <f>IFERROR(MOD(RTD("ice.rtd",,$C1527 &amp; $D1527 &amp; ":" &amp; J$1), 1), "")</f>
        <v/>
      </c>
      <c r="K1527" s="18" t="str">
        <f>RTD("ice.rtd",,$C1527 &amp; $D1527 &amp; ":" &amp; K$1)</f>
        <v/>
      </c>
      <c r="L1527" s="36" t="str">
        <f>RTD("ice.rtd",,$C1527 &amp; $D1527 &amp; ":" &amp; L$1)</f>
        <v/>
      </c>
      <c r="M1527" s="14" t="str">
        <f>IFERROR(MOD(TIMEVALUE(RTD("ice.rtd",,$C1527 &amp; $D1527 &amp; ":" &amp; M$1)), 1), "")</f>
        <v/>
      </c>
      <c r="N1527" s="36">
        <f>RTD("ice.rtd",,$C1527 &amp; $D1527 &amp; ":" &amp; N$1)</f>
        <v>0</v>
      </c>
      <c r="O1527" s="36">
        <f>RTD("ice.rtd",,$C1527 &amp; $D1527 &amp; ":" &amp; O$1)</f>
        <v>0</v>
      </c>
      <c r="P15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7" s="14" t="str">
        <f>IF(ICE[[#This Row],[LastType]] = "Scrn", ICE[[#This Row],[LstDate]], IF(ICE[[#This Row],[LastType]] = "Blk", ICE[[#This Row],[LstBlkTime]], ""))</f>
        <v/>
      </c>
      <c r="R1527" s="41" t="str">
        <f>IF(ICE[[#This Row],[LastType]] = "Scrn", ICE[[#This Row],[LstPrc]], IF(ICE[[#This Row],[LastType]] = "Blk", ICE[[#This Row],[LstBlkPrc]], ""))</f>
        <v/>
      </c>
      <c r="S1527" s="36">
        <f>ICE[[#This Row],[Vol]]+ICE[[#This Row],[BlkVol]]</f>
        <v>0</v>
      </c>
      <c r="T1527" s="36">
        <f>RTD("ice.rtd",,$C1527 &amp; $D1527 &amp; ":" &amp; T$1)</f>
        <v>0</v>
      </c>
      <c r="U1527" s="18">
        <f>RTD("ice.rtd",,$C1527 &amp; $D1527 &amp; ":" &amp; U$1)</f>
        <v>1.3783299999999998</v>
      </c>
      <c r="V15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7" s="18" t="str">
        <f>IFERROR(IF(LEFT(ICE[[#This Row],[Tenor]], 1) = "B", RTD("esrtd",,$B1527 &amp; " " &amp; ICE[[#This Row],[Tenor]] &amp; "-IEU", W$1), RTD("esrtd",,$B1527 &amp; " " &amp; VLOOKUP(MONTH(ICE[[#This Row],[Strip]]), MthRef[], 2, 0) &amp; RIGHT(YEAR(ICE[[#This Row],[Strip]]), 2) &amp; "-IEU", W$1)), "")</f>
        <v/>
      </c>
      <c r="X1527" s="36"/>
    </row>
    <row r="1528" spans="1:24" x14ac:dyDescent="0.25">
      <c r="A1528" s="37" t="s">
        <v>840</v>
      </c>
      <c r="B1528" s="88" t="str">
        <f>RTD("ice.rtd",,$C1528 &amp; $D1528 &amp; ":" &amp; B$1)</f>
        <v>CFD</v>
      </c>
      <c r="C1528" s="3">
        <v>15141311</v>
      </c>
      <c r="D1528" t="s">
        <v>841</v>
      </c>
      <c r="E1528" s="3" t="str">
        <f>RTD("ice.rtd",,$C1528 &amp; $D1528 &amp; ":" &amp; E$1)</f>
        <v>Sep7-Sep11 (Nov)</v>
      </c>
      <c r="F1528" s="3" t="str">
        <f>ICE[[#This Row],[Prod]]&amp;ICE[[#This Row],[Strip]]</f>
        <v>cfdm1Sep7-Sep11 (Nov)</v>
      </c>
      <c r="G1528" s="18" t="str">
        <f>RTD("ice.rtd",,$C1528 &amp; $D1528 &amp; ":" &amp; G$1)</f>
        <v/>
      </c>
      <c r="H1528" s="18" t="str">
        <f>RTD("ice.rtd",,$C1528 &amp; $D1528 &amp; ":" &amp; H$1)</f>
        <v/>
      </c>
      <c r="I1528" s="18" t="str">
        <f>RTD("ice.rtd",,$C1528 &amp; $D1528 &amp; ":" &amp; I$1)</f>
        <v/>
      </c>
      <c r="J1528" s="14" t="str">
        <f>IFERROR(MOD(RTD("ice.rtd",,$C1528 &amp; $D1528 &amp; ":" &amp; J$1), 1), "")</f>
        <v/>
      </c>
      <c r="K1528" s="18" t="str">
        <f>RTD("ice.rtd",,$C1528 &amp; $D1528 &amp; ":" &amp; K$1)</f>
        <v/>
      </c>
      <c r="L1528" s="36" t="str">
        <f>RTD("ice.rtd",,$C1528 &amp; $D1528 &amp; ":" &amp; L$1)</f>
        <v/>
      </c>
      <c r="M1528" s="14" t="str">
        <f>IFERROR(MOD(TIMEVALUE(RTD("ice.rtd",,$C1528 &amp; $D1528 &amp; ":" &amp; M$1)), 1), "")</f>
        <v/>
      </c>
      <c r="N1528" s="36">
        <f>RTD("ice.rtd",,$C1528 &amp; $D1528 &amp; ":" &amp; N$1)</f>
        <v>0</v>
      </c>
      <c r="O1528" s="36">
        <f>RTD("ice.rtd",,$C1528 &amp; $D1528 &amp; ":" &amp; O$1)</f>
        <v>0</v>
      </c>
      <c r="P15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8" s="14" t="str">
        <f>IF(ICE[[#This Row],[LastType]] = "Scrn", ICE[[#This Row],[LstDate]], IF(ICE[[#This Row],[LastType]] = "Blk", ICE[[#This Row],[LstBlkTime]], ""))</f>
        <v/>
      </c>
      <c r="R1528" s="41" t="str">
        <f>IF(ICE[[#This Row],[LastType]] = "Scrn", ICE[[#This Row],[LstPrc]], IF(ICE[[#This Row],[LastType]] = "Blk", ICE[[#This Row],[LstBlkPrc]], ""))</f>
        <v/>
      </c>
      <c r="S1528" s="36">
        <f>ICE[[#This Row],[Vol]]+ICE[[#This Row],[BlkVol]]</f>
        <v>0</v>
      </c>
      <c r="T1528" s="36">
        <f>RTD("ice.rtd",,$C1528 &amp; $D1528 &amp; ":" &amp; T$1)</f>
        <v>0</v>
      </c>
      <c r="U1528" s="18">
        <f>RTD("ice.rtd",,$C1528 &amp; $D1528 &amp; ":" &amp; U$1)</f>
        <v>1.9370000000000001</v>
      </c>
      <c r="V15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8" s="18" t="str">
        <f>IFERROR(IF(LEFT(ICE[[#This Row],[Tenor]], 1) = "B", RTD("esrtd",,$B1528 &amp; " " &amp; ICE[[#This Row],[Tenor]] &amp; "-IEU", W$1), RTD("esrtd",,$B1528 &amp; " " &amp; VLOOKUP(MONTH(ICE[[#This Row],[Strip]]), MthRef[], 2, 0) &amp; RIGHT(YEAR(ICE[[#This Row],[Strip]]), 2) &amp; "-IEU", W$1)), "")</f>
        <v/>
      </c>
      <c r="X1528" s="36"/>
    </row>
    <row r="1529" spans="1:24" x14ac:dyDescent="0.25">
      <c r="A1529" s="37" t="s">
        <v>840</v>
      </c>
      <c r="B1529" s="88" t="str">
        <f>RTD("ice.rtd",,$C1529 &amp; $D1529 &amp; ":" &amp; B$1)</f>
        <v>CFD</v>
      </c>
      <c r="C1529" s="3">
        <v>15141311</v>
      </c>
      <c r="D1529" t="s">
        <v>842</v>
      </c>
      <c r="E1529" s="3" t="str">
        <f>RTD("ice.rtd",,$C1529 &amp; $D1529 &amp; ":" &amp; E$1)</f>
        <v>Sep14-Sep18 (Nov)</v>
      </c>
      <c r="F1529" s="3" t="str">
        <f>ICE[[#This Row],[Prod]]&amp;ICE[[#This Row],[Strip]]</f>
        <v>cfdm1Sep14-Sep18 (Nov)</v>
      </c>
      <c r="G1529" s="18" t="str">
        <f>RTD("ice.rtd",,$C1529 &amp; $D1529 &amp; ":" &amp; G$1)</f>
        <v/>
      </c>
      <c r="H1529" s="18" t="str">
        <f>RTD("ice.rtd",,$C1529 &amp; $D1529 &amp; ":" &amp; H$1)</f>
        <v/>
      </c>
      <c r="I1529" s="18" t="str">
        <f>RTD("ice.rtd",,$C1529 &amp; $D1529 &amp; ":" &amp; I$1)</f>
        <v/>
      </c>
      <c r="J1529" s="14" t="str">
        <f>IFERROR(MOD(RTD("ice.rtd",,$C1529 &amp; $D1529 &amp; ":" &amp; J$1), 1), "")</f>
        <v/>
      </c>
      <c r="K1529" s="18" t="str">
        <f>RTD("ice.rtd",,$C1529 &amp; $D1529 &amp; ":" &amp; K$1)</f>
        <v/>
      </c>
      <c r="L1529" s="36" t="str">
        <f>RTD("ice.rtd",,$C1529 &amp; $D1529 &amp; ":" &amp; L$1)</f>
        <v/>
      </c>
      <c r="M1529" s="14" t="str">
        <f>IFERROR(MOD(TIMEVALUE(RTD("ice.rtd",,$C1529 &amp; $D1529 &amp; ":" &amp; M$1)), 1), "")</f>
        <v/>
      </c>
      <c r="N1529" s="36">
        <f>RTD("ice.rtd",,$C1529 &amp; $D1529 &amp; ":" &amp; N$1)</f>
        <v>0</v>
      </c>
      <c r="O1529" s="36">
        <f>RTD("ice.rtd",,$C1529 &amp; $D1529 &amp; ":" &amp; O$1)</f>
        <v>0</v>
      </c>
      <c r="P15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29" s="14" t="str">
        <f>IF(ICE[[#This Row],[LastType]] = "Scrn", ICE[[#This Row],[LstDate]], IF(ICE[[#This Row],[LastType]] = "Blk", ICE[[#This Row],[LstBlkTime]], ""))</f>
        <v/>
      </c>
      <c r="R1529" s="41" t="str">
        <f>IF(ICE[[#This Row],[LastType]] = "Scrn", ICE[[#This Row],[LstPrc]], IF(ICE[[#This Row],[LastType]] = "Blk", ICE[[#This Row],[LstBlkPrc]], ""))</f>
        <v/>
      </c>
      <c r="S1529" s="36">
        <f>ICE[[#This Row],[Vol]]+ICE[[#This Row],[BlkVol]]</f>
        <v>0</v>
      </c>
      <c r="T1529" s="36">
        <f>RTD("ice.rtd",,$C1529 &amp; $D1529 &amp; ":" &amp; T$1)</f>
        <v>0</v>
      </c>
      <c r="U1529" s="18">
        <f>RTD("ice.rtd",,$C1529 &amp; $D1529 &amp; ":" &amp; U$1)</f>
        <v>2.4170000000000003</v>
      </c>
      <c r="V15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29" s="18" t="str">
        <f>IFERROR(IF(LEFT(ICE[[#This Row],[Tenor]], 1) = "B", RTD("esrtd",,$B1529 &amp; " " &amp; ICE[[#This Row],[Tenor]] &amp; "-IEU", W$1), RTD("esrtd",,$B1529 &amp; " " &amp; VLOOKUP(MONTH(ICE[[#This Row],[Strip]]), MthRef[], 2, 0) &amp; RIGHT(YEAR(ICE[[#This Row],[Strip]]), 2) &amp; "-IEU", W$1)), "")</f>
        <v/>
      </c>
      <c r="X1529" s="36"/>
    </row>
    <row r="1530" spans="1:24" x14ac:dyDescent="0.25">
      <c r="A1530" s="37" t="s">
        <v>840</v>
      </c>
      <c r="B1530" s="88" t="str">
        <f>RTD("ice.rtd",,$C1530 &amp; $D1530 &amp; ":" &amp; B$1)</f>
        <v>CFD</v>
      </c>
      <c r="C1530" s="3">
        <v>15141311</v>
      </c>
      <c r="D1530" t="s">
        <v>843</v>
      </c>
      <c r="E1530" s="3" t="str">
        <f>RTD("ice.rtd",,$C1530 &amp; $D1530 &amp; ":" &amp; E$1)</f>
        <v>Sep21-Sep25 (Nov)</v>
      </c>
      <c r="F1530" s="3" t="str">
        <f>ICE[[#This Row],[Prod]]&amp;ICE[[#This Row],[Strip]]</f>
        <v>cfdm1Sep21-Sep25 (Nov)</v>
      </c>
      <c r="G1530" s="18" t="str">
        <f>RTD("ice.rtd",,$C1530 &amp; $D1530 &amp; ":" &amp; G$1)</f>
        <v/>
      </c>
      <c r="H1530" s="18" t="str">
        <f>RTD("ice.rtd",,$C1530 &amp; $D1530 &amp; ":" &amp; H$1)</f>
        <v/>
      </c>
      <c r="I1530" s="18" t="str">
        <f>RTD("ice.rtd",,$C1530 &amp; $D1530 &amp; ":" &amp; I$1)</f>
        <v/>
      </c>
      <c r="J1530" s="14" t="str">
        <f>IFERROR(MOD(RTD("ice.rtd",,$C1530 &amp; $D1530 &amp; ":" &amp; J$1), 1), "")</f>
        <v/>
      </c>
      <c r="K1530" s="18" t="str">
        <f>RTD("ice.rtd",,$C1530 &amp; $D1530 &amp; ":" &amp; K$1)</f>
        <v/>
      </c>
      <c r="L1530" s="36" t="str">
        <f>RTD("ice.rtd",,$C1530 &amp; $D1530 &amp; ":" &amp; L$1)</f>
        <v/>
      </c>
      <c r="M1530" s="14" t="str">
        <f>IFERROR(MOD(TIMEVALUE(RTD("ice.rtd",,$C1530 &amp; $D1530 &amp; ":" &amp; M$1)), 1), "")</f>
        <v/>
      </c>
      <c r="N1530" s="36">
        <f>RTD("ice.rtd",,$C1530 &amp; $D1530 &amp; ":" &amp; N$1)</f>
        <v>0</v>
      </c>
      <c r="O1530" s="36">
        <f>RTD("ice.rtd",,$C1530 &amp; $D1530 &amp; ":" &amp; O$1)</f>
        <v>0</v>
      </c>
      <c r="P15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0" s="14" t="str">
        <f>IF(ICE[[#This Row],[LastType]] = "Scrn", ICE[[#This Row],[LstDate]], IF(ICE[[#This Row],[LastType]] = "Blk", ICE[[#This Row],[LstBlkTime]], ""))</f>
        <v/>
      </c>
      <c r="R1530" s="41" t="str">
        <f>IF(ICE[[#This Row],[LastType]] = "Scrn", ICE[[#This Row],[LstPrc]], IF(ICE[[#This Row],[LastType]] = "Blk", ICE[[#This Row],[LstBlkPrc]], ""))</f>
        <v/>
      </c>
      <c r="S1530" s="36">
        <f>ICE[[#This Row],[Vol]]+ICE[[#This Row],[BlkVol]]</f>
        <v>0</v>
      </c>
      <c r="T1530" s="36">
        <f>RTD("ice.rtd",,$C1530 &amp; $D1530 &amp; ":" &amp; T$1)</f>
        <v>0</v>
      </c>
      <c r="U1530" s="18">
        <f>RTD("ice.rtd",,$C1530 &amp; $D1530 &amp; ":" &amp; U$1)</f>
        <v>2.1670000000000003</v>
      </c>
      <c r="V15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0" s="18" t="str">
        <f>IFERROR(IF(LEFT(ICE[[#This Row],[Tenor]], 1) = "B", RTD("esrtd",,$B1530 &amp; " " &amp; ICE[[#This Row],[Tenor]] &amp; "-IEU", W$1), RTD("esrtd",,$B1530 &amp; " " &amp; VLOOKUP(MONTH(ICE[[#This Row],[Strip]]), MthRef[], 2, 0) &amp; RIGHT(YEAR(ICE[[#This Row],[Strip]]), 2) &amp; "-IEU", W$1)), "")</f>
        <v/>
      </c>
      <c r="X1530" s="36"/>
    </row>
    <row r="1531" spans="1:24" x14ac:dyDescent="0.25">
      <c r="A1531" s="37" t="s">
        <v>840</v>
      </c>
      <c r="B1531" s="88" t="str">
        <f>RTD("ice.rtd",,$C1531 &amp; $D1531 &amp; ":" &amp; B$1)</f>
        <v>CFD</v>
      </c>
      <c r="C1531" s="3">
        <v>15141311</v>
      </c>
      <c r="D1531" t="s">
        <v>844</v>
      </c>
      <c r="E1531" s="3" t="str">
        <f>RTD("ice.rtd",,$C1531 &amp; $D1531 &amp; ":" &amp; E$1)</f>
        <v>Oct5-Oct9 (Dec)</v>
      </c>
      <c r="F1531" s="3" t="str">
        <f>ICE[[#This Row],[Prod]]&amp;ICE[[#This Row],[Strip]]</f>
        <v>cfdm1Oct5-Oct9 (Dec)</v>
      </c>
      <c r="G1531" s="18" t="str">
        <f>RTD("ice.rtd",,$C1531 &amp; $D1531 &amp; ":" &amp; G$1)</f>
        <v/>
      </c>
      <c r="H1531" s="18" t="str">
        <f>RTD("ice.rtd",,$C1531 &amp; $D1531 &amp; ":" &amp; H$1)</f>
        <v/>
      </c>
      <c r="I1531" s="18" t="str">
        <f>RTD("ice.rtd",,$C1531 &amp; $D1531 &amp; ":" &amp; I$1)</f>
        <v/>
      </c>
      <c r="J1531" s="14" t="str">
        <f>IFERROR(MOD(RTD("ice.rtd",,$C1531 &amp; $D1531 &amp; ":" &amp; J$1), 1), "")</f>
        <v/>
      </c>
      <c r="K1531" s="18" t="str">
        <f>RTD("ice.rtd",,$C1531 &amp; $D1531 &amp; ":" &amp; K$1)</f>
        <v/>
      </c>
      <c r="L1531" s="36" t="str">
        <f>RTD("ice.rtd",,$C1531 &amp; $D1531 &amp; ":" &amp; L$1)</f>
        <v/>
      </c>
      <c r="M1531" s="14" t="str">
        <f>IFERROR(MOD(TIMEVALUE(RTD("ice.rtd",,$C1531 &amp; $D1531 &amp; ":" &amp; M$1)), 1), "")</f>
        <v/>
      </c>
      <c r="N1531" s="36">
        <f>RTD("ice.rtd",,$C1531 &amp; $D1531 &amp; ":" &amp; N$1)</f>
        <v>0</v>
      </c>
      <c r="O1531" s="36">
        <f>RTD("ice.rtd",,$C1531 &amp; $D1531 &amp; ":" &amp; O$1)</f>
        <v>0</v>
      </c>
      <c r="P15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1" s="14" t="str">
        <f>IF(ICE[[#This Row],[LastType]] = "Scrn", ICE[[#This Row],[LstDate]], IF(ICE[[#This Row],[LastType]] = "Blk", ICE[[#This Row],[LstBlkTime]], ""))</f>
        <v/>
      </c>
      <c r="R1531" s="41" t="str">
        <f>IF(ICE[[#This Row],[LastType]] = "Scrn", ICE[[#This Row],[LstPrc]], IF(ICE[[#This Row],[LastType]] = "Blk", ICE[[#This Row],[LstBlkPrc]], ""))</f>
        <v/>
      </c>
      <c r="S1531" s="36">
        <f>ICE[[#This Row],[Vol]]+ICE[[#This Row],[BlkVol]]</f>
        <v>0</v>
      </c>
      <c r="T1531" s="36">
        <f>RTD("ice.rtd",,$C1531 &amp; $D1531 &amp; ":" &amp; T$1)</f>
        <v>0</v>
      </c>
      <c r="U1531" s="18">
        <f>RTD("ice.rtd",,$C1531 &amp; $D1531 &amp; ":" &amp; U$1)</f>
        <v>3.8610000000000002</v>
      </c>
      <c r="V15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1" s="18" t="str">
        <f>IFERROR(IF(LEFT(ICE[[#This Row],[Tenor]], 1) = "B", RTD("esrtd",,$B1531 &amp; " " &amp; ICE[[#This Row],[Tenor]] &amp; "-IEU", W$1), RTD("esrtd",,$B1531 &amp; " " &amp; VLOOKUP(MONTH(ICE[[#This Row],[Strip]]), MthRef[], 2, 0) &amp; RIGHT(YEAR(ICE[[#This Row],[Strip]]), 2) &amp; "-IEU", W$1)), "")</f>
        <v/>
      </c>
      <c r="X1531" s="36"/>
    </row>
    <row r="1532" spans="1:24" x14ac:dyDescent="0.25">
      <c r="A1532" s="37" t="s">
        <v>840</v>
      </c>
      <c r="B1532" s="88" t="str">
        <f>RTD("ice.rtd",,$C1532 &amp; $D1532 &amp; ":" &amp; B$1)</f>
        <v>CFD</v>
      </c>
      <c r="C1532" s="3">
        <v>15141311</v>
      </c>
      <c r="D1532" t="s">
        <v>845</v>
      </c>
      <c r="E1532" s="3" t="str">
        <f>RTD("ice.rtd",,$C1532 &amp; $D1532 &amp; ":" &amp; E$1)</f>
        <v>Oct12-Oct16 (Dec)</v>
      </c>
      <c r="F1532" s="3" t="str">
        <f>ICE[[#This Row],[Prod]]&amp;ICE[[#This Row],[Strip]]</f>
        <v>cfdm1Oct12-Oct16 (Dec)</v>
      </c>
      <c r="G1532" s="18" t="str">
        <f>RTD("ice.rtd",,$C1532 &amp; $D1532 &amp; ":" &amp; G$1)</f>
        <v/>
      </c>
      <c r="H1532" s="18" t="str">
        <f>RTD("ice.rtd",,$C1532 &amp; $D1532 &amp; ":" &amp; H$1)</f>
        <v/>
      </c>
      <c r="I1532" s="18" t="str">
        <f>RTD("ice.rtd",,$C1532 &amp; $D1532 &amp; ":" &amp; I$1)</f>
        <v/>
      </c>
      <c r="J1532" s="14" t="str">
        <f>IFERROR(MOD(RTD("ice.rtd",,$C1532 &amp; $D1532 &amp; ":" &amp; J$1), 1), "")</f>
        <v/>
      </c>
      <c r="K1532" s="18" t="str">
        <f>RTD("ice.rtd",,$C1532 &amp; $D1532 &amp; ":" &amp; K$1)</f>
        <v/>
      </c>
      <c r="L1532" s="36" t="str">
        <f>RTD("ice.rtd",,$C1532 &amp; $D1532 &amp; ":" &amp; L$1)</f>
        <v/>
      </c>
      <c r="M1532" s="14" t="str">
        <f>IFERROR(MOD(TIMEVALUE(RTD("ice.rtd",,$C1532 &amp; $D1532 &amp; ":" &amp; M$1)), 1), "")</f>
        <v/>
      </c>
      <c r="N1532" s="36">
        <f>RTD("ice.rtd",,$C1532 &amp; $D1532 &amp; ":" &amp; N$1)</f>
        <v>0</v>
      </c>
      <c r="O1532" s="36">
        <f>RTD("ice.rtd",,$C1532 &amp; $D1532 &amp; ":" &amp; O$1)</f>
        <v>0</v>
      </c>
      <c r="P15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2" s="14" t="str">
        <f>IF(ICE[[#This Row],[LastType]] = "Scrn", ICE[[#This Row],[LstDate]], IF(ICE[[#This Row],[LastType]] = "Blk", ICE[[#This Row],[LstBlkTime]], ""))</f>
        <v/>
      </c>
      <c r="R1532" s="41" t="str">
        <f>IF(ICE[[#This Row],[LastType]] = "Scrn", ICE[[#This Row],[LstPrc]], IF(ICE[[#This Row],[LastType]] = "Blk", ICE[[#This Row],[LstBlkPrc]], ""))</f>
        <v/>
      </c>
      <c r="S1532" s="36">
        <f>ICE[[#This Row],[Vol]]+ICE[[#This Row],[BlkVol]]</f>
        <v>0</v>
      </c>
      <c r="T1532" s="36">
        <f>RTD("ice.rtd",,$C1532 &amp; $D1532 &amp; ":" &amp; T$1)</f>
        <v>0</v>
      </c>
      <c r="U1532" s="18">
        <f>RTD("ice.rtd",,$C1532 &amp; $D1532 &amp; ":" &amp; U$1)</f>
        <v>3.161</v>
      </c>
      <c r="V15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2" s="18" t="str">
        <f>IFERROR(IF(LEFT(ICE[[#This Row],[Tenor]], 1) = "B", RTD("esrtd",,$B1532 &amp; " " &amp; ICE[[#This Row],[Tenor]] &amp; "-IEU", W$1), RTD("esrtd",,$B1532 &amp; " " &amp; VLOOKUP(MONTH(ICE[[#This Row],[Strip]]), MthRef[], 2, 0) &amp; RIGHT(YEAR(ICE[[#This Row],[Strip]]), 2) &amp; "-IEU", W$1)), "")</f>
        <v/>
      </c>
      <c r="X1532" s="36"/>
    </row>
    <row r="1533" spans="1:24" x14ac:dyDescent="0.25">
      <c r="A1533" s="37" t="s">
        <v>840</v>
      </c>
      <c r="B1533" s="88" t="str">
        <f>RTD("ice.rtd",,$C1533 &amp; $D1533 &amp; ":" &amp; B$1)</f>
        <v>CFD</v>
      </c>
      <c r="C1533" s="3">
        <v>15141311</v>
      </c>
      <c r="D1533" t="s">
        <v>846</v>
      </c>
      <c r="E1533" s="3" t="str">
        <f>RTD("ice.rtd",,$C1533 &amp; $D1533 &amp; ":" &amp; E$1)</f>
        <v>Oct19-Oct23 (Dec)</v>
      </c>
      <c r="F1533" s="3" t="str">
        <f>ICE[[#This Row],[Prod]]&amp;ICE[[#This Row],[Strip]]</f>
        <v>cfdm1Oct19-Oct23 (Dec)</v>
      </c>
      <c r="G1533" s="18" t="str">
        <f>RTD("ice.rtd",,$C1533 &amp; $D1533 &amp; ":" &amp; G$1)</f>
        <v/>
      </c>
      <c r="H1533" s="18" t="str">
        <f>RTD("ice.rtd",,$C1533 &amp; $D1533 &amp; ":" &amp; H$1)</f>
        <v/>
      </c>
      <c r="I1533" s="18" t="str">
        <f>RTD("ice.rtd",,$C1533 &amp; $D1533 &amp; ":" &amp; I$1)</f>
        <v/>
      </c>
      <c r="J1533" s="14" t="str">
        <f>IFERROR(MOD(RTD("ice.rtd",,$C1533 &amp; $D1533 &amp; ":" &amp; J$1), 1), "")</f>
        <v/>
      </c>
      <c r="K1533" s="18" t="str">
        <f>RTD("ice.rtd",,$C1533 &amp; $D1533 &amp; ":" &amp; K$1)</f>
        <v/>
      </c>
      <c r="L1533" s="36" t="str">
        <f>RTD("ice.rtd",,$C1533 &amp; $D1533 &amp; ":" &amp; L$1)</f>
        <v/>
      </c>
      <c r="M1533" s="14" t="str">
        <f>IFERROR(MOD(TIMEVALUE(RTD("ice.rtd",,$C1533 &amp; $D1533 &amp; ":" &amp; M$1)), 1), "")</f>
        <v/>
      </c>
      <c r="N1533" s="36">
        <f>RTD("ice.rtd",,$C1533 &amp; $D1533 &amp; ":" &amp; N$1)</f>
        <v>0</v>
      </c>
      <c r="O1533" s="36">
        <f>RTD("ice.rtd",,$C1533 &amp; $D1533 &amp; ":" &amp; O$1)</f>
        <v>0</v>
      </c>
      <c r="P15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3" s="14" t="str">
        <f>IF(ICE[[#This Row],[LastType]] = "Scrn", ICE[[#This Row],[LstDate]], IF(ICE[[#This Row],[LastType]] = "Blk", ICE[[#This Row],[LstBlkTime]], ""))</f>
        <v/>
      </c>
      <c r="R1533" s="41" t="str">
        <f>IF(ICE[[#This Row],[LastType]] = "Scrn", ICE[[#This Row],[LstPrc]], IF(ICE[[#This Row],[LastType]] = "Blk", ICE[[#This Row],[LstBlkPrc]], ""))</f>
        <v/>
      </c>
      <c r="S1533" s="36">
        <f>ICE[[#This Row],[Vol]]+ICE[[#This Row],[BlkVol]]</f>
        <v>0</v>
      </c>
      <c r="T1533" s="36">
        <f>RTD("ice.rtd",,$C1533 &amp; $D1533 &amp; ":" &amp; T$1)</f>
        <v>0</v>
      </c>
      <c r="U1533" s="18">
        <f>RTD("ice.rtd",,$C1533 &amp; $D1533 &amp; ":" &amp; U$1)</f>
        <v>2.4910000000000001</v>
      </c>
      <c r="V15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3" s="18" t="str">
        <f>IFERROR(IF(LEFT(ICE[[#This Row],[Tenor]], 1) = "B", RTD("esrtd",,$B1533 &amp; " " &amp; ICE[[#This Row],[Tenor]] &amp; "-IEU", W$1), RTD("esrtd",,$B1533 &amp; " " &amp; VLOOKUP(MONTH(ICE[[#This Row],[Strip]]), MthRef[], 2, 0) &amp; RIGHT(YEAR(ICE[[#This Row],[Strip]]), 2) &amp; "-IEU", W$1)), "")</f>
        <v/>
      </c>
      <c r="X1533" s="36"/>
    </row>
    <row r="1534" spans="1:24" x14ac:dyDescent="0.25">
      <c r="A1534" s="37" t="s">
        <v>840</v>
      </c>
      <c r="B1534" s="88" t="str">
        <f>RTD("ice.rtd",,$C1534 &amp; $D1534 &amp; ":" &amp; B$1)</f>
        <v>CFD</v>
      </c>
      <c r="C1534" s="3">
        <v>15141311</v>
      </c>
      <c r="D1534" t="s">
        <v>847</v>
      </c>
      <c r="E1534" s="3" t="str">
        <f>RTD("ice.rtd",,$C1534 &amp; $D1534 &amp; ":" &amp; E$1)</f>
        <v>Oct26-Oct30 (Dec)</v>
      </c>
      <c r="F1534" s="3" t="str">
        <f>ICE[[#This Row],[Prod]]&amp;ICE[[#This Row],[Strip]]</f>
        <v>cfdm1Oct26-Oct30 (Dec)</v>
      </c>
      <c r="G1534" s="18" t="str">
        <f>RTD("ice.rtd",,$C1534 &amp; $D1534 &amp; ":" &amp; G$1)</f>
        <v/>
      </c>
      <c r="H1534" s="18" t="str">
        <f>RTD("ice.rtd",,$C1534 &amp; $D1534 &amp; ":" &amp; H$1)</f>
        <v/>
      </c>
      <c r="I1534" s="18" t="str">
        <f>RTD("ice.rtd",,$C1534 &amp; $D1534 &amp; ":" &amp; I$1)</f>
        <v/>
      </c>
      <c r="J1534" s="14" t="str">
        <f>IFERROR(MOD(RTD("ice.rtd",,$C1534 &amp; $D1534 &amp; ":" &amp; J$1), 1), "")</f>
        <v/>
      </c>
      <c r="K1534" s="18" t="str">
        <f>RTD("ice.rtd",,$C1534 &amp; $D1534 &amp; ":" &amp; K$1)</f>
        <v/>
      </c>
      <c r="L1534" s="36" t="str">
        <f>RTD("ice.rtd",,$C1534 &amp; $D1534 &amp; ":" &amp; L$1)</f>
        <v/>
      </c>
      <c r="M1534" s="14" t="str">
        <f>IFERROR(MOD(TIMEVALUE(RTD("ice.rtd",,$C1534 &amp; $D1534 &amp; ":" &amp; M$1)), 1), "")</f>
        <v/>
      </c>
      <c r="N1534" s="36">
        <f>RTD("ice.rtd",,$C1534 &amp; $D1534 &amp; ":" &amp; N$1)</f>
        <v>0</v>
      </c>
      <c r="O1534" s="36">
        <f>RTD("ice.rtd",,$C1534 &amp; $D1534 &amp; ":" &amp; O$1)</f>
        <v>0</v>
      </c>
      <c r="P15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4" s="14" t="str">
        <f>IF(ICE[[#This Row],[LastType]] = "Scrn", ICE[[#This Row],[LstDate]], IF(ICE[[#This Row],[LastType]] = "Blk", ICE[[#This Row],[LstBlkTime]], ""))</f>
        <v/>
      </c>
      <c r="R1534" s="41" t="str">
        <f>IF(ICE[[#This Row],[LastType]] = "Scrn", ICE[[#This Row],[LstPrc]], IF(ICE[[#This Row],[LastType]] = "Blk", ICE[[#This Row],[LstBlkPrc]], ""))</f>
        <v/>
      </c>
      <c r="S1534" s="36">
        <f>ICE[[#This Row],[Vol]]+ICE[[#This Row],[BlkVol]]</f>
        <v>0</v>
      </c>
      <c r="T1534" s="36">
        <f>RTD("ice.rtd",,$C1534 &amp; $D1534 &amp; ":" &amp; T$1)</f>
        <v>0</v>
      </c>
      <c r="U1534" s="18">
        <f>RTD("ice.rtd",,$C1534 &amp; $D1534 &amp; ":" &amp; U$1)</f>
        <v>1.8410000000000002</v>
      </c>
      <c r="V15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4" s="18" t="str">
        <f>IFERROR(IF(LEFT(ICE[[#This Row],[Tenor]], 1) = "B", RTD("esrtd",,$B1534 &amp; " " &amp; ICE[[#This Row],[Tenor]] &amp; "-IEU", W$1), RTD("esrtd",,$B1534 &amp; " " &amp; VLOOKUP(MONTH(ICE[[#This Row],[Strip]]), MthRef[], 2, 0) &amp; RIGHT(YEAR(ICE[[#This Row],[Strip]]), 2) &amp; "-IEU", W$1)), "")</f>
        <v/>
      </c>
      <c r="X1534" s="36"/>
    </row>
    <row r="1535" spans="1:24" x14ac:dyDescent="0.25">
      <c r="A1535" s="37" t="s">
        <v>840</v>
      </c>
      <c r="B1535" s="88" t="str">
        <f>RTD("ice.rtd",,$C1535 &amp; $D1535 &amp; ":" &amp; B$1)</f>
        <v>CFD</v>
      </c>
      <c r="C1535" s="3">
        <v>15141311</v>
      </c>
      <c r="D1535" t="s">
        <v>848</v>
      </c>
      <c r="E1535" s="3" t="str">
        <f>RTD("ice.rtd",,$C1535 &amp; $D1535 &amp; ":" &amp; E$1)</f>
        <v>Nov2-Nov6 (Jan)</v>
      </c>
      <c r="F1535" s="3" t="str">
        <f>ICE[[#This Row],[Prod]]&amp;ICE[[#This Row],[Strip]]</f>
        <v>cfdm1Nov2-Nov6 (Jan)</v>
      </c>
      <c r="G1535" s="18" t="str">
        <f>RTD("ice.rtd",,$C1535 &amp; $D1535 &amp; ":" &amp; G$1)</f>
        <v/>
      </c>
      <c r="H1535" s="18" t="str">
        <f>RTD("ice.rtd",,$C1535 &amp; $D1535 &amp; ":" &amp; H$1)</f>
        <v/>
      </c>
      <c r="I1535" s="18" t="str">
        <f>RTD("ice.rtd",,$C1535 &amp; $D1535 &amp; ":" &amp; I$1)</f>
        <v/>
      </c>
      <c r="J1535" s="14" t="str">
        <f>IFERROR(MOD(RTD("ice.rtd",,$C1535 &amp; $D1535 &amp; ":" &amp; J$1), 1), "")</f>
        <v/>
      </c>
      <c r="K1535" s="18" t="str">
        <f>RTD("ice.rtd",,$C1535 &amp; $D1535 &amp; ":" &amp; K$1)</f>
        <v/>
      </c>
      <c r="L1535" s="36" t="str">
        <f>RTD("ice.rtd",,$C1535 &amp; $D1535 &amp; ":" &amp; L$1)</f>
        <v/>
      </c>
      <c r="M1535" s="14" t="str">
        <f>IFERROR(MOD(TIMEVALUE(RTD("ice.rtd",,$C1535 &amp; $D1535 &amp; ":" &amp; M$1)), 1), "")</f>
        <v/>
      </c>
      <c r="N1535" s="36">
        <f>RTD("ice.rtd",,$C1535 &amp; $D1535 &amp; ":" &amp; N$1)</f>
        <v>0</v>
      </c>
      <c r="O1535" s="36">
        <f>RTD("ice.rtd",,$C1535 &amp; $D1535 &amp; ":" &amp; O$1)</f>
        <v>0</v>
      </c>
      <c r="P15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5" s="14" t="str">
        <f>IF(ICE[[#This Row],[LastType]] = "Scrn", ICE[[#This Row],[LstDate]], IF(ICE[[#This Row],[LastType]] = "Blk", ICE[[#This Row],[LstBlkTime]], ""))</f>
        <v/>
      </c>
      <c r="R1535" s="41" t="str">
        <f>IF(ICE[[#This Row],[LastType]] = "Scrn", ICE[[#This Row],[LstPrc]], IF(ICE[[#This Row],[LastType]] = "Blk", ICE[[#This Row],[LstBlkPrc]], ""))</f>
        <v/>
      </c>
      <c r="S1535" s="36">
        <f>ICE[[#This Row],[Vol]]+ICE[[#This Row],[BlkVol]]</f>
        <v>0</v>
      </c>
      <c r="T1535" s="36">
        <f>RTD("ice.rtd",,$C1535 &amp; $D1535 &amp; ":" &amp; T$1)</f>
        <v>0</v>
      </c>
      <c r="U1535" s="18">
        <f>RTD("ice.rtd",,$C1535 &amp; $D1535 &amp; ":" &amp; U$1)</f>
        <v>3.8860000000000001</v>
      </c>
      <c r="V15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5" s="18" t="str">
        <f>IFERROR(IF(LEFT(ICE[[#This Row],[Tenor]], 1) = "B", RTD("esrtd",,$B1535 &amp; " " &amp; ICE[[#This Row],[Tenor]] &amp; "-IEU", W$1), RTD("esrtd",,$B1535 &amp; " " &amp; VLOOKUP(MONTH(ICE[[#This Row],[Strip]]), MthRef[], 2, 0) &amp; RIGHT(YEAR(ICE[[#This Row],[Strip]]), 2) &amp; "-IEU", W$1)), "")</f>
        <v/>
      </c>
      <c r="X1535" s="36"/>
    </row>
    <row r="1536" spans="1:24" x14ac:dyDescent="0.25">
      <c r="A1536" s="37" t="s">
        <v>840</v>
      </c>
      <c r="B1536" s="88" t="str">
        <f>RTD("ice.rtd",,$C1536 &amp; $D1536 &amp; ":" &amp; B$1)</f>
        <v>CFD</v>
      </c>
      <c r="C1536" s="3">
        <v>15141311</v>
      </c>
      <c r="D1536" t="s">
        <v>849</v>
      </c>
      <c r="E1536" s="3" t="str">
        <f>RTD("ice.rtd",,$C1536 &amp; $D1536 &amp; ":" &amp; E$1)</f>
        <v>Nov9-Nov13 (Jan)</v>
      </c>
      <c r="F1536" s="3" t="str">
        <f>ICE[[#This Row],[Prod]]&amp;ICE[[#This Row],[Strip]]</f>
        <v>cfdm1Nov9-Nov13 (Jan)</v>
      </c>
      <c r="G1536" s="18" t="str">
        <f>RTD("ice.rtd",,$C1536 &amp; $D1536 &amp; ":" &amp; G$1)</f>
        <v/>
      </c>
      <c r="H1536" s="18" t="str">
        <f>RTD("ice.rtd",,$C1536 &amp; $D1536 &amp; ":" &amp; H$1)</f>
        <v/>
      </c>
      <c r="I1536" s="18" t="str">
        <f>RTD("ice.rtd",,$C1536 &amp; $D1536 &amp; ":" &amp; I$1)</f>
        <v/>
      </c>
      <c r="J1536" s="14" t="str">
        <f>IFERROR(MOD(RTD("ice.rtd",,$C1536 &amp; $D1536 &amp; ":" &amp; J$1), 1), "")</f>
        <v/>
      </c>
      <c r="K1536" s="18" t="str">
        <f>RTD("ice.rtd",,$C1536 &amp; $D1536 &amp; ":" &amp; K$1)</f>
        <v/>
      </c>
      <c r="L1536" s="36" t="str">
        <f>RTD("ice.rtd",,$C1536 &amp; $D1536 &amp; ":" &amp; L$1)</f>
        <v/>
      </c>
      <c r="M1536" s="14" t="str">
        <f>IFERROR(MOD(TIMEVALUE(RTD("ice.rtd",,$C1536 &amp; $D1536 &amp; ":" &amp; M$1)), 1), "")</f>
        <v/>
      </c>
      <c r="N1536" s="36">
        <f>RTD("ice.rtd",,$C1536 &amp; $D1536 &amp; ":" &amp; N$1)</f>
        <v>0</v>
      </c>
      <c r="O1536" s="36">
        <f>RTD("ice.rtd",,$C1536 &amp; $D1536 &amp; ":" &amp; O$1)</f>
        <v>0</v>
      </c>
      <c r="P15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6" s="14" t="str">
        <f>IF(ICE[[#This Row],[LastType]] = "Scrn", ICE[[#This Row],[LstDate]], IF(ICE[[#This Row],[LastType]] = "Blk", ICE[[#This Row],[LstBlkTime]], ""))</f>
        <v/>
      </c>
      <c r="R1536" s="41" t="str">
        <f>IF(ICE[[#This Row],[LastType]] = "Scrn", ICE[[#This Row],[LstPrc]], IF(ICE[[#This Row],[LastType]] = "Blk", ICE[[#This Row],[LstBlkPrc]], ""))</f>
        <v/>
      </c>
      <c r="S1536" s="36">
        <f>ICE[[#This Row],[Vol]]+ICE[[#This Row],[BlkVol]]</f>
        <v>0</v>
      </c>
      <c r="T1536" s="36">
        <f>RTD("ice.rtd",,$C1536 &amp; $D1536 &amp; ":" &amp; T$1)</f>
        <v>0</v>
      </c>
      <c r="U1536" s="18">
        <f>RTD("ice.rtd",,$C1536 &amp; $D1536 &amp; ":" &amp; U$1)</f>
        <v>3.206</v>
      </c>
      <c r="V15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6" s="18" t="str">
        <f>IFERROR(IF(LEFT(ICE[[#This Row],[Tenor]], 1) = "B", RTD("esrtd",,$B1536 &amp; " " &amp; ICE[[#This Row],[Tenor]] &amp; "-IEU", W$1), RTD("esrtd",,$B1536 &amp; " " &amp; VLOOKUP(MONTH(ICE[[#This Row],[Strip]]), MthRef[], 2, 0) &amp; RIGHT(YEAR(ICE[[#This Row],[Strip]]), 2) &amp; "-IEU", W$1)), "")</f>
        <v/>
      </c>
      <c r="X1536" s="36"/>
    </row>
    <row r="1537" spans="1:24" x14ac:dyDescent="0.25">
      <c r="A1537" s="37" t="s">
        <v>850</v>
      </c>
      <c r="B1537" s="88" t="str">
        <f>RTD("ice.rtd",,$C1537 &amp; $D1537 &amp; ":" &amp; B$1)</f>
        <v>CFT</v>
      </c>
      <c r="C1537" s="3">
        <v>17551596</v>
      </c>
      <c r="D1537" t="s">
        <v>841</v>
      </c>
      <c r="E1537" s="3" t="str">
        <f>RTD("ice.rtd",,$C1537 &amp; $D1537 &amp; ":" &amp; E$1)</f>
        <v>Sep7-Sep11 (Dec)</v>
      </c>
      <c r="F1537" s="3" t="str">
        <f>ICE[[#This Row],[Prod]]&amp;ICE[[#This Row],[Strip]]</f>
        <v>cfdm2Sep7-Sep11 (Dec)</v>
      </c>
      <c r="G1537" s="18" t="str">
        <f>RTD("ice.rtd",,$C1537 &amp; $D1537 &amp; ":" &amp; G$1)</f>
        <v/>
      </c>
      <c r="H1537" s="18" t="str">
        <f>RTD("ice.rtd",,$C1537 &amp; $D1537 &amp; ":" &amp; H$1)</f>
        <v/>
      </c>
      <c r="I1537" s="18" t="str">
        <f>RTD("ice.rtd",,$C1537 &amp; $D1537 &amp; ":" &amp; I$1)</f>
        <v/>
      </c>
      <c r="J1537" s="14" t="str">
        <f>IFERROR(MOD(RTD("ice.rtd",,$C1537 &amp; $D1537 &amp; ":" &amp; J$1), 1), "")</f>
        <v/>
      </c>
      <c r="K1537" s="18" t="str">
        <f>RTD("ice.rtd",,$C1537 &amp; $D1537 &amp; ":" &amp; K$1)</f>
        <v/>
      </c>
      <c r="L1537" s="36" t="str">
        <f>RTD("ice.rtd",,$C1537 &amp; $D1537 &amp; ":" &amp; L$1)</f>
        <v/>
      </c>
      <c r="M1537" s="14" t="str">
        <f>IFERROR(MOD(TIMEVALUE(RTD("ice.rtd",,$C1537 &amp; $D1537 &amp; ":" &amp; M$1)), 1), "")</f>
        <v/>
      </c>
      <c r="N1537" s="36">
        <f>RTD("ice.rtd",,$C1537 &amp; $D1537 &amp; ":" &amp; N$1)</f>
        <v>0</v>
      </c>
      <c r="O1537" s="36">
        <f>RTD("ice.rtd",,$C1537 &amp; $D1537 &amp; ":" &amp; O$1)</f>
        <v>0</v>
      </c>
      <c r="P15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7" s="14" t="str">
        <f>IF(ICE[[#This Row],[LastType]] = "Scrn", ICE[[#This Row],[LstDate]], IF(ICE[[#This Row],[LastType]] = "Blk", ICE[[#This Row],[LstBlkTime]], ""))</f>
        <v/>
      </c>
      <c r="R1537" s="41" t="str">
        <f>IF(ICE[[#This Row],[LastType]] = "Scrn", ICE[[#This Row],[LstPrc]], IF(ICE[[#This Row],[LastType]] = "Blk", ICE[[#This Row],[LstBlkPrc]], ""))</f>
        <v/>
      </c>
      <c r="S1537" s="36">
        <f>ICE[[#This Row],[Vol]]+ICE[[#This Row],[BlkVol]]</f>
        <v>0</v>
      </c>
      <c r="T1537" s="36">
        <f>RTD("ice.rtd",,$C1537 &amp; $D1537 &amp; ":" &amp; T$1)</f>
        <v>0</v>
      </c>
      <c r="U1537" s="18">
        <f>RTD("ice.rtd",,$C1537 &amp; $D1537 &amp; ":" &amp; U$1)</f>
        <v>4.9670000000000005</v>
      </c>
      <c r="V15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7" s="18" t="str">
        <f>IFERROR(IF(LEFT(ICE[[#This Row],[Tenor]], 1) = "B", RTD("esrtd",,$B1537 &amp; " " &amp; ICE[[#This Row],[Tenor]] &amp; "-IEU", W$1), RTD("esrtd",,$B1537 &amp; " " &amp; VLOOKUP(MONTH(ICE[[#This Row],[Strip]]), MthRef[], 2, 0) &amp; RIGHT(YEAR(ICE[[#This Row],[Strip]]), 2) &amp; "-IEU", W$1)), "")</f>
        <v/>
      </c>
      <c r="X1537" s="36"/>
    </row>
    <row r="1538" spans="1:24" x14ac:dyDescent="0.25">
      <c r="A1538" s="37" t="s">
        <v>850</v>
      </c>
      <c r="B1538" s="88" t="str">
        <f>RTD("ice.rtd",,$C1538 &amp; $D1538 &amp; ":" &amp; B$1)</f>
        <v>CFT</v>
      </c>
      <c r="C1538" s="3">
        <v>17551596</v>
      </c>
      <c r="D1538" t="s">
        <v>842</v>
      </c>
      <c r="E1538" s="3" t="str">
        <f>RTD("ice.rtd",,$C1538 &amp; $D1538 &amp; ":" &amp; E$1)</f>
        <v>Sep14-Sep18 (Dec)</v>
      </c>
      <c r="F1538" s="3" t="str">
        <f>ICE[[#This Row],[Prod]]&amp;ICE[[#This Row],[Strip]]</f>
        <v>cfdm2Sep14-Sep18 (Dec)</v>
      </c>
      <c r="G1538" s="18" t="str">
        <f>RTD("ice.rtd",,$C1538 &amp; $D1538 &amp; ":" &amp; G$1)</f>
        <v/>
      </c>
      <c r="H1538" s="18" t="str">
        <f>RTD("ice.rtd",,$C1538 &amp; $D1538 &amp; ":" &amp; H$1)</f>
        <v/>
      </c>
      <c r="I1538" s="18" t="str">
        <f>RTD("ice.rtd",,$C1538 &amp; $D1538 &amp; ":" &amp; I$1)</f>
        <v/>
      </c>
      <c r="J1538" s="14" t="str">
        <f>IFERROR(MOD(RTD("ice.rtd",,$C1538 &amp; $D1538 &amp; ":" &amp; J$1), 1), "")</f>
        <v/>
      </c>
      <c r="K1538" s="18" t="str">
        <f>RTD("ice.rtd",,$C1538 &amp; $D1538 &amp; ":" &amp; K$1)</f>
        <v/>
      </c>
      <c r="L1538" s="36" t="str">
        <f>RTD("ice.rtd",,$C1538 &amp; $D1538 &amp; ":" &amp; L$1)</f>
        <v/>
      </c>
      <c r="M1538" s="14" t="str">
        <f>IFERROR(MOD(TIMEVALUE(RTD("ice.rtd",,$C1538 &amp; $D1538 &amp; ":" &amp; M$1)), 1), "")</f>
        <v/>
      </c>
      <c r="N1538" s="36">
        <f>RTD("ice.rtd",,$C1538 &amp; $D1538 &amp; ":" &amp; N$1)</f>
        <v>0</v>
      </c>
      <c r="O1538" s="36">
        <f>RTD("ice.rtd",,$C1538 &amp; $D1538 &amp; ":" &amp; O$1)</f>
        <v>0</v>
      </c>
      <c r="P15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8" s="14" t="str">
        <f>IF(ICE[[#This Row],[LastType]] = "Scrn", ICE[[#This Row],[LstDate]], IF(ICE[[#This Row],[LastType]] = "Blk", ICE[[#This Row],[LstBlkTime]], ""))</f>
        <v/>
      </c>
      <c r="R1538" s="41" t="str">
        <f>IF(ICE[[#This Row],[LastType]] = "Scrn", ICE[[#This Row],[LstPrc]], IF(ICE[[#This Row],[LastType]] = "Blk", ICE[[#This Row],[LstBlkPrc]], ""))</f>
        <v/>
      </c>
      <c r="S1538" s="36">
        <f>ICE[[#This Row],[Vol]]+ICE[[#This Row],[BlkVol]]</f>
        <v>0</v>
      </c>
      <c r="T1538" s="36">
        <f>RTD("ice.rtd",,$C1538 &amp; $D1538 &amp; ":" &amp; T$1)</f>
        <v>0</v>
      </c>
      <c r="U1538" s="18">
        <f>RTD("ice.rtd",,$C1538 &amp; $D1538 &amp; ":" &amp; U$1)</f>
        <v>5.4470000000000001</v>
      </c>
      <c r="V15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8" s="18" t="str">
        <f>IFERROR(IF(LEFT(ICE[[#This Row],[Tenor]], 1) = "B", RTD("esrtd",,$B1538 &amp; " " &amp; ICE[[#This Row],[Tenor]] &amp; "-IEU", W$1), RTD("esrtd",,$B1538 &amp; " " &amp; VLOOKUP(MONTH(ICE[[#This Row],[Strip]]), MthRef[], 2, 0) &amp; RIGHT(YEAR(ICE[[#This Row],[Strip]]), 2) &amp; "-IEU", W$1)), "")</f>
        <v/>
      </c>
      <c r="X1538" s="36"/>
    </row>
    <row r="1539" spans="1:24" x14ac:dyDescent="0.25">
      <c r="A1539" s="37" t="s">
        <v>850</v>
      </c>
      <c r="B1539" s="88" t="str">
        <f>RTD("ice.rtd",,$C1539 &amp; $D1539 &amp; ":" &amp; B$1)</f>
        <v>CFT</v>
      </c>
      <c r="C1539" s="3">
        <v>17551596</v>
      </c>
      <c r="D1539" t="s">
        <v>843</v>
      </c>
      <c r="E1539" s="3" t="str">
        <f>RTD("ice.rtd",,$C1539 &amp; $D1539 &amp; ":" &amp; E$1)</f>
        <v>Sep21-Sep25 (Dec)</v>
      </c>
      <c r="F1539" s="3" t="str">
        <f>ICE[[#This Row],[Prod]]&amp;ICE[[#This Row],[Strip]]</f>
        <v>cfdm2Sep21-Sep25 (Dec)</v>
      </c>
      <c r="G1539" s="18" t="str">
        <f>RTD("ice.rtd",,$C1539 &amp; $D1539 &amp; ":" &amp; G$1)</f>
        <v/>
      </c>
      <c r="H1539" s="18" t="str">
        <f>RTD("ice.rtd",,$C1539 &amp; $D1539 &amp; ":" &amp; H$1)</f>
        <v/>
      </c>
      <c r="I1539" s="18" t="str">
        <f>RTD("ice.rtd",,$C1539 &amp; $D1539 &amp; ":" &amp; I$1)</f>
        <v/>
      </c>
      <c r="J1539" s="14" t="str">
        <f>IFERROR(MOD(RTD("ice.rtd",,$C1539 &amp; $D1539 &amp; ":" &amp; J$1), 1), "")</f>
        <v/>
      </c>
      <c r="K1539" s="18" t="str">
        <f>RTD("ice.rtd",,$C1539 &amp; $D1539 &amp; ":" &amp; K$1)</f>
        <v/>
      </c>
      <c r="L1539" s="36" t="str">
        <f>RTD("ice.rtd",,$C1539 &amp; $D1539 &amp; ":" &amp; L$1)</f>
        <v/>
      </c>
      <c r="M1539" s="14" t="str">
        <f>IFERROR(MOD(TIMEVALUE(RTD("ice.rtd",,$C1539 &amp; $D1539 &amp; ":" &amp; M$1)), 1), "")</f>
        <v/>
      </c>
      <c r="N1539" s="36">
        <f>RTD("ice.rtd",,$C1539 &amp; $D1539 &amp; ":" &amp; N$1)</f>
        <v>0</v>
      </c>
      <c r="O1539" s="36">
        <f>RTD("ice.rtd",,$C1539 &amp; $D1539 &amp; ":" &amp; O$1)</f>
        <v>0</v>
      </c>
      <c r="P15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39" s="14" t="str">
        <f>IF(ICE[[#This Row],[LastType]] = "Scrn", ICE[[#This Row],[LstDate]], IF(ICE[[#This Row],[LastType]] = "Blk", ICE[[#This Row],[LstBlkTime]], ""))</f>
        <v/>
      </c>
      <c r="R1539" s="41" t="str">
        <f>IF(ICE[[#This Row],[LastType]] = "Scrn", ICE[[#This Row],[LstPrc]], IF(ICE[[#This Row],[LastType]] = "Blk", ICE[[#This Row],[LstBlkPrc]], ""))</f>
        <v/>
      </c>
      <c r="S1539" s="36">
        <f>ICE[[#This Row],[Vol]]+ICE[[#This Row],[BlkVol]]</f>
        <v>0</v>
      </c>
      <c r="T1539" s="36">
        <f>RTD("ice.rtd",,$C1539 &amp; $D1539 &amp; ":" &amp; T$1)</f>
        <v>0</v>
      </c>
      <c r="U1539" s="18">
        <f>RTD("ice.rtd",,$C1539 &amp; $D1539 &amp; ":" &amp; U$1)</f>
        <v>5.1970000000000001</v>
      </c>
      <c r="V15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39" s="18" t="str">
        <f>IFERROR(IF(LEFT(ICE[[#This Row],[Tenor]], 1) = "B", RTD("esrtd",,$B1539 &amp; " " &amp; ICE[[#This Row],[Tenor]] &amp; "-IEU", W$1), RTD("esrtd",,$B1539 &amp; " " &amp; VLOOKUP(MONTH(ICE[[#This Row],[Strip]]), MthRef[], 2, 0) &amp; RIGHT(YEAR(ICE[[#This Row],[Strip]]), 2) &amp; "-IEU", W$1)), "")</f>
        <v/>
      </c>
      <c r="X1539" s="36"/>
    </row>
    <row r="1540" spans="1:24" x14ac:dyDescent="0.25">
      <c r="A1540" s="37" t="s">
        <v>850</v>
      </c>
      <c r="B1540" s="88" t="str">
        <f>RTD("ice.rtd",,$C1540 &amp; $D1540 &amp; ":" &amp; B$1)</f>
        <v>CFT</v>
      </c>
      <c r="C1540" s="3">
        <v>17551596</v>
      </c>
      <c r="D1540" t="s">
        <v>844</v>
      </c>
      <c r="E1540" s="3" t="str">
        <f>RTD("ice.rtd",,$C1540 &amp; $D1540 &amp; ":" &amp; E$1)</f>
        <v>Sep28-Oct2 (Dec)</v>
      </c>
      <c r="F1540" s="3" t="str">
        <f>ICE[[#This Row],[Prod]]&amp;ICE[[#This Row],[Strip]]</f>
        <v>cfdm2Sep28-Oct2 (Dec)</v>
      </c>
      <c r="G1540" s="18" t="str">
        <f>RTD("ice.rtd",,$C1540 &amp; $D1540 &amp; ":" &amp; G$1)</f>
        <v/>
      </c>
      <c r="H1540" s="18" t="str">
        <f>RTD("ice.rtd",,$C1540 &amp; $D1540 &amp; ":" &amp; H$1)</f>
        <v/>
      </c>
      <c r="I1540" s="18" t="str">
        <f>RTD("ice.rtd",,$C1540 &amp; $D1540 &amp; ":" &amp; I$1)</f>
        <v/>
      </c>
      <c r="J1540" s="14" t="str">
        <f>IFERROR(MOD(RTD("ice.rtd",,$C1540 &amp; $D1540 &amp; ":" &amp; J$1), 1), "")</f>
        <v/>
      </c>
      <c r="K1540" s="18" t="str">
        <f>RTD("ice.rtd",,$C1540 &amp; $D1540 &amp; ":" &amp; K$1)</f>
        <v/>
      </c>
      <c r="L1540" s="36" t="str">
        <f>RTD("ice.rtd",,$C1540 &amp; $D1540 &amp; ":" &amp; L$1)</f>
        <v/>
      </c>
      <c r="M1540" s="14" t="str">
        <f>IFERROR(MOD(TIMEVALUE(RTD("ice.rtd",,$C1540 &amp; $D1540 &amp; ":" &amp; M$1)), 1), "")</f>
        <v/>
      </c>
      <c r="N1540" s="36">
        <f>RTD("ice.rtd",,$C1540 &amp; $D1540 &amp; ":" &amp; N$1)</f>
        <v>0</v>
      </c>
      <c r="O1540" s="36">
        <f>RTD("ice.rtd",,$C1540 &amp; $D1540 &amp; ":" &amp; O$1)</f>
        <v>0</v>
      </c>
      <c r="P15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0" s="14" t="str">
        <f>IF(ICE[[#This Row],[LastType]] = "Scrn", ICE[[#This Row],[LstDate]], IF(ICE[[#This Row],[LastType]] = "Blk", ICE[[#This Row],[LstBlkTime]], ""))</f>
        <v/>
      </c>
      <c r="R1540" s="41" t="str">
        <f>IF(ICE[[#This Row],[LastType]] = "Scrn", ICE[[#This Row],[LstPrc]], IF(ICE[[#This Row],[LastType]] = "Blk", ICE[[#This Row],[LstBlkPrc]], ""))</f>
        <v/>
      </c>
      <c r="S1540" s="36">
        <f>ICE[[#This Row],[Vol]]+ICE[[#This Row],[BlkVol]]</f>
        <v>0</v>
      </c>
      <c r="T1540" s="36">
        <f>RTD("ice.rtd",,$C1540 &amp; $D1540 &amp; ":" &amp; T$1)</f>
        <v>0</v>
      </c>
      <c r="U1540" s="18">
        <f>RTD("ice.rtd",,$C1540 &amp; $D1540 &amp; ":" &amp; U$1)</f>
        <v>4.5970000000000004</v>
      </c>
      <c r="V15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0" s="18" t="str">
        <f>IFERROR(IF(LEFT(ICE[[#This Row],[Tenor]], 1) = "B", RTD("esrtd",,$B1540 &amp; " " &amp; ICE[[#This Row],[Tenor]] &amp; "-IEU", W$1), RTD("esrtd",,$B1540 &amp; " " &amp; VLOOKUP(MONTH(ICE[[#This Row],[Strip]]), MthRef[], 2, 0) &amp; RIGHT(YEAR(ICE[[#This Row],[Strip]]), 2) &amp; "-IEU", W$1)), "")</f>
        <v/>
      </c>
      <c r="X1540" s="36"/>
    </row>
    <row r="1541" spans="1:24" x14ac:dyDescent="0.25">
      <c r="A1541" s="37" t="s">
        <v>850</v>
      </c>
      <c r="B1541" s="88" t="str">
        <f>RTD("ice.rtd",,$C1541 &amp; $D1541 &amp; ":" &amp; B$1)</f>
        <v>CFT</v>
      </c>
      <c r="C1541" s="3">
        <v>17551596</v>
      </c>
      <c r="D1541" t="s">
        <v>845</v>
      </c>
      <c r="E1541" s="3" t="str">
        <f>RTD("ice.rtd",,$C1541 &amp; $D1541 &amp; ":" &amp; E$1)</f>
        <v>Oct5-Oct9 (Jan)</v>
      </c>
      <c r="F1541" s="3" t="str">
        <f>ICE[[#This Row],[Prod]]&amp;ICE[[#This Row],[Strip]]</f>
        <v>cfdm2Oct5-Oct9 (Jan)</v>
      </c>
      <c r="G1541" s="18" t="str">
        <f>RTD("ice.rtd",,$C1541 &amp; $D1541 &amp; ":" &amp; G$1)</f>
        <v/>
      </c>
      <c r="H1541" s="18" t="str">
        <f>RTD("ice.rtd",,$C1541 &amp; $D1541 &amp; ":" &amp; H$1)</f>
        <v/>
      </c>
      <c r="I1541" s="18" t="str">
        <f>RTD("ice.rtd",,$C1541 &amp; $D1541 &amp; ":" &amp; I$1)</f>
        <v/>
      </c>
      <c r="J1541" s="14" t="str">
        <f>IFERROR(MOD(RTD("ice.rtd",,$C1541 &amp; $D1541 &amp; ":" &amp; J$1), 1), "")</f>
        <v/>
      </c>
      <c r="K1541" s="18" t="str">
        <f>RTD("ice.rtd",,$C1541 &amp; $D1541 &amp; ":" &amp; K$1)</f>
        <v/>
      </c>
      <c r="L1541" s="36" t="str">
        <f>RTD("ice.rtd",,$C1541 &amp; $D1541 &amp; ":" &amp; L$1)</f>
        <v/>
      </c>
      <c r="M1541" s="14" t="str">
        <f>IFERROR(MOD(TIMEVALUE(RTD("ice.rtd",,$C1541 &amp; $D1541 &amp; ":" &amp; M$1)), 1), "")</f>
        <v/>
      </c>
      <c r="N1541" s="36">
        <f>RTD("ice.rtd",,$C1541 &amp; $D1541 &amp; ":" &amp; N$1)</f>
        <v>0</v>
      </c>
      <c r="O1541" s="36">
        <f>RTD("ice.rtd",,$C1541 &amp; $D1541 &amp; ":" &amp; O$1)</f>
        <v>0</v>
      </c>
      <c r="P15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1" s="14" t="str">
        <f>IF(ICE[[#This Row],[LastType]] = "Scrn", ICE[[#This Row],[LstDate]], IF(ICE[[#This Row],[LastType]] = "Blk", ICE[[#This Row],[LstBlkTime]], ""))</f>
        <v/>
      </c>
      <c r="R1541" s="41" t="str">
        <f>IF(ICE[[#This Row],[LastType]] = "Scrn", ICE[[#This Row],[LstPrc]], IF(ICE[[#This Row],[LastType]] = "Blk", ICE[[#This Row],[LstBlkPrc]], ""))</f>
        <v/>
      </c>
      <c r="S1541" s="36">
        <f>ICE[[#This Row],[Vol]]+ICE[[#This Row],[BlkVol]]</f>
        <v>0</v>
      </c>
      <c r="T1541" s="36">
        <f>RTD("ice.rtd",,$C1541 &amp; $D1541 &amp; ":" &amp; T$1)</f>
        <v>0</v>
      </c>
      <c r="U1541" s="18">
        <f>RTD("ice.rtd",,$C1541 &amp; $D1541 &amp; ":" &amp; U$1)</f>
        <v>6.7510000000000003</v>
      </c>
      <c r="V15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1" s="18" t="str">
        <f>IFERROR(IF(LEFT(ICE[[#This Row],[Tenor]], 1) = "B", RTD("esrtd",,$B1541 &amp; " " &amp; ICE[[#This Row],[Tenor]] &amp; "-IEU", W$1), RTD("esrtd",,$B1541 &amp; " " &amp; VLOOKUP(MONTH(ICE[[#This Row],[Strip]]), MthRef[], 2, 0) &amp; RIGHT(YEAR(ICE[[#This Row],[Strip]]), 2) &amp; "-IEU", W$1)), "")</f>
        <v/>
      </c>
      <c r="X1541" s="36"/>
    </row>
    <row r="1542" spans="1:24" x14ac:dyDescent="0.25">
      <c r="A1542" s="37" t="s">
        <v>850</v>
      </c>
      <c r="B1542" s="88" t="str">
        <f>RTD("ice.rtd",,$C1542 &amp; $D1542 &amp; ":" &amp; B$1)</f>
        <v>CFT</v>
      </c>
      <c r="C1542" s="3">
        <v>17551596</v>
      </c>
      <c r="D1542" t="s">
        <v>846</v>
      </c>
      <c r="E1542" s="3" t="str">
        <f>RTD("ice.rtd",,$C1542 &amp; $D1542 &amp; ":" &amp; E$1)</f>
        <v>Oct12-Oct16 (Jan)</v>
      </c>
      <c r="F1542" s="3" t="str">
        <f>ICE[[#This Row],[Prod]]&amp;ICE[[#This Row],[Strip]]</f>
        <v>cfdm2Oct12-Oct16 (Jan)</v>
      </c>
      <c r="G1542" s="18" t="str">
        <f>RTD("ice.rtd",,$C1542 &amp; $D1542 &amp; ":" &amp; G$1)</f>
        <v/>
      </c>
      <c r="H1542" s="18" t="str">
        <f>RTD("ice.rtd",,$C1542 &amp; $D1542 &amp; ":" &amp; H$1)</f>
        <v/>
      </c>
      <c r="I1542" s="18" t="str">
        <f>RTD("ice.rtd",,$C1542 &amp; $D1542 &amp; ":" &amp; I$1)</f>
        <v/>
      </c>
      <c r="J1542" s="14" t="str">
        <f>IFERROR(MOD(RTD("ice.rtd",,$C1542 &amp; $D1542 &amp; ":" &amp; J$1), 1), "")</f>
        <v/>
      </c>
      <c r="K1542" s="18" t="str">
        <f>RTD("ice.rtd",,$C1542 &amp; $D1542 &amp; ":" &amp; K$1)</f>
        <v/>
      </c>
      <c r="L1542" s="36" t="str">
        <f>RTD("ice.rtd",,$C1542 &amp; $D1542 &amp; ":" &amp; L$1)</f>
        <v/>
      </c>
      <c r="M1542" s="14" t="str">
        <f>IFERROR(MOD(TIMEVALUE(RTD("ice.rtd",,$C1542 &amp; $D1542 &amp; ":" &amp; M$1)), 1), "")</f>
        <v/>
      </c>
      <c r="N1542" s="36">
        <f>RTD("ice.rtd",,$C1542 &amp; $D1542 &amp; ":" &amp; N$1)</f>
        <v>0</v>
      </c>
      <c r="O1542" s="36">
        <f>RTD("ice.rtd",,$C1542 &amp; $D1542 &amp; ":" &amp; O$1)</f>
        <v>0</v>
      </c>
      <c r="P15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2" s="14" t="str">
        <f>IF(ICE[[#This Row],[LastType]] = "Scrn", ICE[[#This Row],[LstDate]], IF(ICE[[#This Row],[LastType]] = "Blk", ICE[[#This Row],[LstBlkTime]], ""))</f>
        <v/>
      </c>
      <c r="R1542" s="41" t="str">
        <f>IF(ICE[[#This Row],[LastType]] = "Scrn", ICE[[#This Row],[LstPrc]], IF(ICE[[#This Row],[LastType]] = "Blk", ICE[[#This Row],[LstBlkPrc]], ""))</f>
        <v/>
      </c>
      <c r="S1542" s="36">
        <f>ICE[[#This Row],[Vol]]+ICE[[#This Row],[BlkVol]]</f>
        <v>0</v>
      </c>
      <c r="T1542" s="36">
        <f>RTD("ice.rtd",,$C1542 &amp; $D1542 &amp; ":" &amp; T$1)</f>
        <v>0</v>
      </c>
      <c r="U1542" s="18">
        <f>RTD("ice.rtd",,$C1542 &amp; $D1542 &amp; ":" &amp; U$1)</f>
        <v>6.0510000000000002</v>
      </c>
      <c r="V15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2" s="18" t="str">
        <f>IFERROR(IF(LEFT(ICE[[#This Row],[Tenor]], 1) = "B", RTD("esrtd",,$B1542 &amp; " " &amp; ICE[[#This Row],[Tenor]] &amp; "-IEU", W$1), RTD("esrtd",,$B1542 &amp; " " &amp; VLOOKUP(MONTH(ICE[[#This Row],[Strip]]), MthRef[], 2, 0) &amp; RIGHT(YEAR(ICE[[#This Row],[Strip]]), 2) &amp; "-IEU", W$1)), "")</f>
        <v/>
      </c>
      <c r="X1542" s="36"/>
    </row>
    <row r="1543" spans="1:24" x14ac:dyDescent="0.25">
      <c r="A1543" s="37" t="s">
        <v>850</v>
      </c>
      <c r="B1543" s="88" t="str">
        <f>RTD("ice.rtd",,$C1543 &amp; $D1543 &amp; ":" &amp; B$1)</f>
        <v>CFT</v>
      </c>
      <c r="C1543" s="3">
        <v>17551596</v>
      </c>
      <c r="D1543" t="s">
        <v>847</v>
      </c>
      <c r="E1543" s="3" t="str">
        <f>RTD("ice.rtd",,$C1543 &amp; $D1543 &amp; ":" &amp; E$1)</f>
        <v>Oct19-Oct23 (Jan)</v>
      </c>
      <c r="F1543" s="3" t="str">
        <f>ICE[[#This Row],[Prod]]&amp;ICE[[#This Row],[Strip]]</f>
        <v>cfdm2Oct19-Oct23 (Jan)</v>
      </c>
      <c r="G1543" s="18" t="str">
        <f>RTD("ice.rtd",,$C1543 &amp; $D1543 &amp; ":" &amp; G$1)</f>
        <v/>
      </c>
      <c r="H1543" s="18" t="str">
        <f>RTD("ice.rtd",,$C1543 &amp; $D1543 &amp; ":" &amp; H$1)</f>
        <v/>
      </c>
      <c r="I1543" s="18" t="str">
        <f>RTD("ice.rtd",,$C1543 &amp; $D1543 &amp; ":" &amp; I$1)</f>
        <v/>
      </c>
      <c r="J1543" s="14" t="str">
        <f>IFERROR(MOD(RTD("ice.rtd",,$C1543 &amp; $D1543 &amp; ":" &amp; J$1), 1), "")</f>
        <v/>
      </c>
      <c r="K1543" s="18" t="str">
        <f>RTD("ice.rtd",,$C1543 &amp; $D1543 &amp; ":" &amp; K$1)</f>
        <v/>
      </c>
      <c r="L1543" s="36" t="str">
        <f>RTD("ice.rtd",,$C1543 &amp; $D1543 &amp; ":" &amp; L$1)</f>
        <v/>
      </c>
      <c r="M1543" s="14" t="str">
        <f>IFERROR(MOD(TIMEVALUE(RTD("ice.rtd",,$C1543 &amp; $D1543 &amp; ":" &amp; M$1)), 1), "")</f>
        <v/>
      </c>
      <c r="N1543" s="36">
        <f>RTD("ice.rtd",,$C1543 &amp; $D1543 &amp; ":" &amp; N$1)</f>
        <v>0</v>
      </c>
      <c r="O1543" s="36">
        <f>RTD("ice.rtd",,$C1543 &amp; $D1543 &amp; ":" &amp; O$1)</f>
        <v>0</v>
      </c>
      <c r="P15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3" s="14" t="str">
        <f>IF(ICE[[#This Row],[LastType]] = "Scrn", ICE[[#This Row],[LstDate]], IF(ICE[[#This Row],[LastType]] = "Blk", ICE[[#This Row],[LstBlkTime]], ""))</f>
        <v/>
      </c>
      <c r="R1543" s="41" t="str">
        <f>IF(ICE[[#This Row],[LastType]] = "Scrn", ICE[[#This Row],[LstPrc]], IF(ICE[[#This Row],[LastType]] = "Blk", ICE[[#This Row],[LstBlkPrc]], ""))</f>
        <v/>
      </c>
      <c r="S1543" s="36">
        <f>ICE[[#This Row],[Vol]]+ICE[[#This Row],[BlkVol]]</f>
        <v>0</v>
      </c>
      <c r="T1543" s="36">
        <f>RTD("ice.rtd",,$C1543 &amp; $D1543 &amp; ":" &amp; T$1)</f>
        <v>0</v>
      </c>
      <c r="U1543" s="18">
        <f>RTD("ice.rtd",,$C1543 &amp; $D1543 &amp; ":" &amp; U$1)</f>
        <v>5.3810000000000002</v>
      </c>
      <c r="V15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3" s="18" t="str">
        <f>IFERROR(IF(LEFT(ICE[[#This Row],[Tenor]], 1) = "B", RTD("esrtd",,$B1543 &amp; " " &amp; ICE[[#This Row],[Tenor]] &amp; "-IEU", W$1), RTD("esrtd",,$B1543 &amp; " " &amp; VLOOKUP(MONTH(ICE[[#This Row],[Strip]]), MthRef[], 2, 0) &amp; RIGHT(YEAR(ICE[[#This Row],[Strip]]), 2) &amp; "-IEU", W$1)), "")</f>
        <v/>
      </c>
      <c r="X1543" s="36"/>
    </row>
    <row r="1544" spans="1:24" x14ac:dyDescent="0.25">
      <c r="A1544" s="37" t="s">
        <v>850</v>
      </c>
      <c r="B1544" s="88" t="str">
        <f>RTD("ice.rtd",,$C1544 &amp; $D1544 &amp; ":" &amp; B$1)</f>
        <v>CFT</v>
      </c>
      <c r="C1544" s="3">
        <v>17551596</v>
      </c>
      <c r="D1544" t="s">
        <v>848</v>
      </c>
      <c r="E1544" s="3" t="str">
        <f>RTD("ice.rtd",,$C1544 &amp; $D1544 &amp; ":" &amp; E$1)</f>
        <v>Oct26-Oct30 (Jan)</v>
      </c>
      <c r="F1544" s="3" t="str">
        <f>ICE[[#This Row],[Prod]]&amp;ICE[[#This Row],[Strip]]</f>
        <v>cfdm2Oct26-Oct30 (Jan)</v>
      </c>
      <c r="G1544" s="18" t="str">
        <f>RTD("ice.rtd",,$C1544 &amp; $D1544 &amp; ":" &amp; G$1)</f>
        <v/>
      </c>
      <c r="H1544" s="18" t="str">
        <f>RTD("ice.rtd",,$C1544 &amp; $D1544 &amp; ":" &amp; H$1)</f>
        <v/>
      </c>
      <c r="I1544" s="18" t="str">
        <f>RTD("ice.rtd",,$C1544 &amp; $D1544 &amp; ":" &amp; I$1)</f>
        <v/>
      </c>
      <c r="J1544" s="14" t="str">
        <f>IFERROR(MOD(RTD("ice.rtd",,$C1544 &amp; $D1544 &amp; ":" &amp; J$1), 1), "")</f>
        <v/>
      </c>
      <c r="K1544" s="18" t="str">
        <f>RTD("ice.rtd",,$C1544 &amp; $D1544 &amp; ":" &amp; K$1)</f>
        <v/>
      </c>
      <c r="L1544" s="36" t="str">
        <f>RTD("ice.rtd",,$C1544 &amp; $D1544 &amp; ":" &amp; L$1)</f>
        <v/>
      </c>
      <c r="M1544" s="14" t="str">
        <f>IFERROR(MOD(TIMEVALUE(RTD("ice.rtd",,$C1544 &amp; $D1544 &amp; ":" &amp; M$1)), 1), "")</f>
        <v/>
      </c>
      <c r="N1544" s="36">
        <f>RTD("ice.rtd",,$C1544 &amp; $D1544 &amp; ":" &amp; N$1)</f>
        <v>0</v>
      </c>
      <c r="O1544" s="36">
        <f>RTD("ice.rtd",,$C1544 &amp; $D1544 &amp; ":" &amp; O$1)</f>
        <v>0</v>
      </c>
      <c r="P15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4" s="14" t="str">
        <f>IF(ICE[[#This Row],[LastType]] = "Scrn", ICE[[#This Row],[LstDate]], IF(ICE[[#This Row],[LastType]] = "Blk", ICE[[#This Row],[LstBlkTime]], ""))</f>
        <v/>
      </c>
      <c r="R1544" s="41" t="str">
        <f>IF(ICE[[#This Row],[LastType]] = "Scrn", ICE[[#This Row],[LstPrc]], IF(ICE[[#This Row],[LastType]] = "Blk", ICE[[#This Row],[LstBlkPrc]], ""))</f>
        <v/>
      </c>
      <c r="S1544" s="36">
        <f>ICE[[#This Row],[Vol]]+ICE[[#This Row],[BlkVol]]</f>
        <v>0</v>
      </c>
      <c r="T1544" s="36">
        <f>RTD("ice.rtd",,$C1544 &amp; $D1544 &amp; ":" &amp; T$1)</f>
        <v>0</v>
      </c>
      <c r="U1544" s="18">
        <f>RTD("ice.rtd",,$C1544 &amp; $D1544 &amp; ":" &amp; U$1)</f>
        <v>4.7309999999999999</v>
      </c>
      <c r="V15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4" s="18" t="str">
        <f>IFERROR(IF(LEFT(ICE[[#This Row],[Tenor]], 1) = "B", RTD("esrtd",,$B1544 &amp; " " &amp; ICE[[#This Row],[Tenor]] &amp; "-IEU", W$1), RTD("esrtd",,$B1544 &amp; " " &amp; VLOOKUP(MONTH(ICE[[#This Row],[Strip]]), MthRef[], 2, 0) &amp; RIGHT(YEAR(ICE[[#This Row],[Strip]]), 2) &amp; "-IEU", W$1)), "")</f>
        <v/>
      </c>
      <c r="X1544" s="36"/>
    </row>
    <row r="1545" spans="1:24" x14ac:dyDescent="0.25">
      <c r="A1545" s="37" t="s">
        <v>850</v>
      </c>
      <c r="B1545" s="88" t="str">
        <f>RTD("ice.rtd",,$C1545 &amp; $D1545 &amp; ":" &amp; B$1)</f>
        <v>CFT</v>
      </c>
      <c r="C1545" s="3">
        <v>17551596</v>
      </c>
      <c r="D1545" t="s">
        <v>849</v>
      </c>
      <c r="E1545" s="3" t="str">
        <f>RTD("ice.rtd",,$C1545 &amp; $D1545 &amp; ":" &amp; E$1)</f>
        <v>Nov2-Nov6 (Feb)</v>
      </c>
      <c r="F1545" s="3" t="str">
        <f>ICE[[#This Row],[Prod]]&amp;ICE[[#This Row],[Strip]]</f>
        <v>cfdm2Nov2-Nov6 (Feb)</v>
      </c>
      <c r="G1545" s="18" t="str">
        <f>RTD("ice.rtd",,$C1545 &amp; $D1545 &amp; ":" &amp; G$1)</f>
        <v/>
      </c>
      <c r="H1545" s="18" t="str">
        <f>RTD("ice.rtd",,$C1545 &amp; $D1545 &amp; ":" &amp; H$1)</f>
        <v/>
      </c>
      <c r="I1545" s="18" t="str">
        <f>RTD("ice.rtd",,$C1545 &amp; $D1545 &amp; ":" &amp; I$1)</f>
        <v/>
      </c>
      <c r="J1545" s="14" t="str">
        <f>IFERROR(MOD(RTD("ice.rtd",,$C1545 &amp; $D1545 &amp; ":" &amp; J$1), 1), "")</f>
        <v/>
      </c>
      <c r="K1545" s="18" t="str">
        <f>RTD("ice.rtd",,$C1545 &amp; $D1545 &amp; ":" &amp; K$1)</f>
        <v/>
      </c>
      <c r="L1545" s="36" t="str">
        <f>RTD("ice.rtd",,$C1545 &amp; $D1545 &amp; ":" &amp; L$1)</f>
        <v/>
      </c>
      <c r="M1545" s="14" t="str">
        <f>IFERROR(MOD(TIMEVALUE(RTD("ice.rtd",,$C1545 &amp; $D1545 &amp; ":" &amp; M$1)), 1), "")</f>
        <v/>
      </c>
      <c r="N1545" s="36">
        <f>RTD("ice.rtd",,$C1545 &amp; $D1545 &amp; ":" &amp; N$1)</f>
        <v>0</v>
      </c>
      <c r="O1545" s="36">
        <f>RTD("ice.rtd",,$C1545 &amp; $D1545 &amp; ":" &amp; O$1)</f>
        <v>0</v>
      </c>
      <c r="P15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5" s="14" t="str">
        <f>IF(ICE[[#This Row],[LastType]] = "Scrn", ICE[[#This Row],[LstDate]], IF(ICE[[#This Row],[LastType]] = "Blk", ICE[[#This Row],[LstBlkTime]], ""))</f>
        <v/>
      </c>
      <c r="R1545" s="41" t="str">
        <f>IF(ICE[[#This Row],[LastType]] = "Scrn", ICE[[#This Row],[LstPrc]], IF(ICE[[#This Row],[LastType]] = "Blk", ICE[[#This Row],[LstBlkPrc]], ""))</f>
        <v/>
      </c>
      <c r="S1545" s="36">
        <f>ICE[[#This Row],[Vol]]+ICE[[#This Row],[BlkVol]]</f>
        <v>0</v>
      </c>
      <c r="T1545" s="36">
        <f>RTD("ice.rtd",,$C1545 &amp; $D1545 &amp; ":" &amp; T$1)</f>
        <v>0</v>
      </c>
      <c r="U1545" s="18">
        <f>RTD("ice.rtd",,$C1545 &amp; $D1545 &amp; ":" &amp; U$1)</f>
        <v>6.306</v>
      </c>
      <c r="V15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5" s="18" t="str">
        <f>IFERROR(IF(LEFT(ICE[[#This Row],[Tenor]], 1) = "B", RTD("esrtd",,$B1545 &amp; " " &amp; ICE[[#This Row],[Tenor]] &amp; "-IEU", W$1), RTD("esrtd",,$B1545 &amp; " " &amp; VLOOKUP(MONTH(ICE[[#This Row],[Strip]]), MthRef[], 2, 0) &amp; RIGHT(YEAR(ICE[[#This Row],[Strip]]), 2) &amp; "-IEU", W$1)), "")</f>
        <v/>
      </c>
      <c r="X1545" s="36"/>
    </row>
    <row r="1546" spans="1:24" x14ac:dyDescent="0.25">
      <c r="A1546" s="37" t="s">
        <v>850</v>
      </c>
      <c r="B1546" s="88" t="str">
        <f>RTD("ice.rtd",,$C1546 &amp; $D1546 &amp; ":" &amp; B$1)</f>
        <v>CFT</v>
      </c>
      <c r="C1546" s="3">
        <v>17551596</v>
      </c>
      <c r="D1546" t="s">
        <v>849</v>
      </c>
      <c r="E1546" s="3" t="str">
        <f>RTD("ice.rtd",,$C1546 &amp; $D1546 &amp; ":" &amp; E$1)</f>
        <v>Nov2-Nov6 (Feb)</v>
      </c>
      <c r="F1546" s="3" t="str">
        <f>ICE[[#This Row],[Prod]]&amp;ICE[[#This Row],[Strip]]</f>
        <v>cfdm2Nov2-Nov6 (Feb)</v>
      </c>
      <c r="G1546" s="18" t="str">
        <f>RTD("ice.rtd",,$C1546 &amp; $D1546 &amp; ":" &amp; G$1)</f>
        <v/>
      </c>
      <c r="H1546" s="18" t="str">
        <f>RTD("ice.rtd",,$C1546 &amp; $D1546 &amp; ":" &amp; H$1)</f>
        <v/>
      </c>
      <c r="I1546" s="18" t="str">
        <f>RTD("ice.rtd",,$C1546 &amp; $D1546 &amp; ":" &amp; I$1)</f>
        <v/>
      </c>
      <c r="J1546" s="14" t="str">
        <f>IFERROR(MOD(RTD("ice.rtd",,$C1546 &amp; $D1546 &amp; ":" &amp; J$1), 1), "")</f>
        <v/>
      </c>
      <c r="K1546" s="18" t="str">
        <f>RTD("ice.rtd",,$C1546 &amp; $D1546 &amp; ":" &amp; K$1)</f>
        <v/>
      </c>
      <c r="L1546" s="36" t="str">
        <f>RTD("ice.rtd",,$C1546 &amp; $D1546 &amp; ":" &amp; L$1)</f>
        <v/>
      </c>
      <c r="M1546" s="14" t="str">
        <f>IFERROR(MOD(TIMEVALUE(RTD("ice.rtd",,$C1546 &amp; $D1546 &amp; ":" &amp; M$1)), 1), "")</f>
        <v/>
      </c>
      <c r="N1546" s="36">
        <f>RTD("ice.rtd",,$C1546 &amp; $D1546 &amp; ":" &amp; N$1)</f>
        <v>0</v>
      </c>
      <c r="O1546" s="36">
        <f>RTD("ice.rtd",,$C1546 &amp; $D1546 &amp; ":" &amp; O$1)</f>
        <v>0</v>
      </c>
      <c r="P15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6" s="14" t="str">
        <f>IF(ICE[[#This Row],[LastType]] = "Scrn", ICE[[#This Row],[LstDate]], IF(ICE[[#This Row],[LastType]] = "Blk", ICE[[#This Row],[LstBlkTime]], ""))</f>
        <v/>
      </c>
      <c r="R1546" s="41" t="str">
        <f>IF(ICE[[#This Row],[LastType]] = "Scrn", ICE[[#This Row],[LstPrc]], IF(ICE[[#This Row],[LastType]] = "Blk", ICE[[#This Row],[LstBlkPrc]], ""))</f>
        <v/>
      </c>
      <c r="S1546" s="36">
        <f>ICE[[#This Row],[Vol]]+ICE[[#This Row],[BlkVol]]</f>
        <v>0</v>
      </c>
      <c r="T1546" s="36">
        <f>RTD("ice.rtd",,$C1546 &amp; $D1546 &amp; ":" &amp; T$1)</f>
        <v>0</v>
      </c>
      <c r="U1546" s="18">
        <f>RTD("ice.rtd",,$C1546 &amp; $D1546 &amp; ":" &amp; U$1)</f>
        <v>6.306</v>
      </c>
      <c r="V15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6" s="18" t="str">
        <f>IFERROR(IF(LEFT(ICE[[#This Row],[Tenor]], 1) = "B", RTD("esrtd",,$B1546 &amp; " " &amp; ICE[[#This Row],[Tenor]] &amp; "-IEU", W$1), RTD("esrtd",,$B1546 &amp; " " &amp; VLOOKUP(MONTH(ICE[[#This Row],[Strip]]), MthRef[], 2, 0) &amp; RIGHT(YEAR(ICE[[#This Row],[Strip]]), 2) &amp; "-IEU", W$1)), "")</f>
        <v/>
      </c>
      <c r="X1546" s="36"/>
    </row>
    <row r="1547" spans="1:24" x14ac:dyDescent="0.25">
      <c r="A1547" s="37" t="s">
        <v>353</v>
      </c>
      <c r="B1547" s="88" t="str">
        <f>RTD("ice.rtd",,$C1547 &amp; $D1547 &amp; ":" &amp; B$1)</f>
        <v>MLT</v>
      </c>
      <c r="C1547" s="3">
        <v>57179020</v>
      </c>
      <c r="D1547" t="s">
        <v>793</v>
      </c>
      <c r="E1547" s="3" t="str">
        <f>RTD("ice.rtd",,$C1547 &amp; $D1547 &amp; ":" &amp; E$1)</f>
        <v>Sep26</v>
      </c>
      <c r="F1547" s="3" t="str">
        <f>ICE[[#This Row],[Prod]]&amp;ICE[[#This Row],[Strip]]</f>
        <v>icemidticmaSep26</v>
      </c>
      <c r="G1547" s="18" t="str">
        <f>RTD("ice.rtd",,$C1547 &amp; $D1547 &amp; ":" &amp; G$1)</f>
        <v/>
      </c>
      <c r="H1547" s="18" t="str">
        <f>RTD("ice.rtd",,$C1547 &amp; $D1547 &amp; ":" &amp; H$1)</f>
        <v/>
      </c>
      <c r="I1547" s="18" t="str">
        <f>RTD("ice.rtd",,$C1547 &amp; $D1547 &amp; ":" &amp; I$1)</f>
        <v/>
      </c>
      <c r="J1547" s="14" t="str">
        <f>IFERROR(MOD(RTD("ice.rtd",,$C1547 &amp; $D1547 &amp; ":" &amp; J$1), 1), "")</f>
        <v/>
      </c>
      <c r="K1547" s="18" t="str">
        <f>RTD("ice.rtd",,$C1547 &amp; $D1547 &amp; ":" &amp; K$1)</f>
        <v/>
      </c>
      <c r="L1547" s="36" t="str">
        <f>RTD("ice.rtd",,$C1547 &amp; $D1547 &amp; ":" &amp; L$1)</f>
        <v/>
      </c>
      <c r="M1547" s="14" t="str">
        <f>IFERROR(MOD(TIMEVALUE(RTD("ice.rtd",,$C1547 &amp; $D1547 &amp; ":" &amp; M$1)), 1), "")</f>
        <v/>
      </c>
      <c r="N1547" s="36">
        <f>RTD("ice.rtd",,$C1547 &amp; $D1547 &amp; ":" &amp; N$1)</f>
        <v>0</v>
      </c>
      <c r="O1547" s="36">
        <f>RTD("ice.rtd",,$C1547 &amp; $D1547 &amp; ":" &amp; O$1)</f>
        <v>0</v>
      </c>
      <c r="P15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7" s="14" t="str">
        <f>IF(ICE[[#This Row],[LastType]] = "Scrn", ICE[[#This Row],[LstDate]], IF(ICE[[#This Row],[LastType]] = "Blk", ICE[[#This Row],[LstBlkTime]], ""))</f>
        <v/>
      </c>
      <c r="R1547" s="41" t="str">
        <f>IF(ICE[[#This Row],[LastType]] = "Scrn", ICE[[#This Row],[LstPrc]], IF(ICE[[#This Row],[LastType]] = "Blk", ICE[[#This Row],[LstBlkPrc]], ""))</f>
        <v/>
      </c>
      <c r="S1547" s="36">
        <f>ICE[[#This Row],[Vol]]+ICE[[#This Row],[BlkVol]]</f>
        <v>0</v>
      </c>
      <c r="T1547" s="36">
        <f>RTD("ice.rtd",,$C1547 &amp; $D1547 &amp; ":" &amp; T$1)</f>
        <v>0</v>
      </c>
      <c r="U1547" s="18">
        <f>RTD("ice.rtd",,$C1547 &amp; $D1547 &amp; ":" &amp; U$1)</f>
        <v>1.36</v>
      </c>
      <c r="V15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7" s="18" t="str">
        <f>IFERROR(IF(LEFT(ICE[[#This Row],[Tenor]], 1) = "B", RTD("esrtd",,$B1547 &amp; " " &amp; ICE[[#This Row],[Tenor]] &amp; "-IEU", W$1), RTD("esrtd",,$B1547 &amp; " " &amp; VLOOKUP(MONTH(ICE[[#This Row],[Strip]]), MthRef[], 2, 0) &amp; RIGHT(YEAR(ICE[[#This Row],[Strip]]), 2) &amp; "-IEU", W$1)), "")</f>
        <v/>
      </c>
      <c r="X1547" s="36"/>
    </row>
    <row r="1548" spans="1:24" x14ac:dyDescent="0.25">
      <c r="A1548" s="37" t="s">
        <v>353</v>
      </c>
      <c r="B1548" s="88" t="str">
        <f>RTD("ice.rtd",,$C1548 &amp; $D1548 &amp; ":" &amp; B$1)</f>
        <v>MLT</v>
      </c>
      <c r="C1548" s="3">
        <v>57179020</v>
      </c>
      <c r="D1548" t="s">
        <v>324</v>
      </c>
      <c r="E1548" s="3" t="str">
        <f>RTD("ice.rtd",,$C1548 &amp; $D1548 &amp; ":" &amp; E$1)</f>
        <v>Oct26</v>
      </c>
      <c r="F1548" s="3" t="str">
        <f>ICE[[#This Row],[Prod]]&amp;ICE[[#This Row],[Strip]]</f>
        <v>icemidticmaOct26</v>
      </c>
      <c r="G1548" s="18" t="str">
        <f>RTD("ice.rtd",,$C1548 &amp; $D1548 &amp; ":" &amp; G$1)</f>
        <v/>
      </c>
      <c r="H1548" s="18" t="str">
        <f>RTD("ice.rtd",,$C1548 &amp; $D1548 &amp; ":" &amp; H$1)</f>
        <v/>
      </c>
      <c r="I1548" s="18" t="str">
        <f>RTD("ice.rtd",,$C1548 &amp; $D1548 &amp; ":" &amp; I$1)</f>
        <v/>
      </c>
      <c r="J1548" s="14" t="str">
        <f>IFERROR(MOD(RTD("ice.rtd",,$C1548 &amp; $D1548 &amp; ":" &amp; J$1), 1), "")</f>
        <v/>
      </c>
      <c r="K1548" s="18" t="str">
        <f>RTD("ice.rtd",,$C1548 &amp; $D1548 &amp; ":" &amp; K$1)</f>
        <v/>
      </c>
      <c r="L1548" s="36" t="str">
        <f>RTD("ice.rtd",,$C1548 &amp; $D1548 &amp; ":" &amp; L$1)</f>
        <v/>
      </c>
      <c r="M1548" s="14" t="str">
        <f>IFERROR(MOD(TIMEVALUE(RTD("ice.rtd",,$C1548 &amp; $D1548 &amp; ":" &amp; M$1)), 1), "")</f>
        <v/>
      </c>
      <c r="N1548" s="36">
        <f>RTD("ice.rtd",,$C1548 &amp; $D1548 &amp; ":" &amp; N$1)</f>
        <v>0</v>
      </c>
      <c r="O1548" s="36">
        <f>RTD("ice.rtd",,$C1548 &amp; $D1548 &amp; ":" &amp; O$1)</f>
        <v>0</v>
      </c>
      <c r="P15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8" s="14" t="str">
        <f>IF(ICE[[#This Row],[LastType]] = "Scrn", ICE[[#This Row],[LstDate]], IF(ICE[[#This Row],[LastType]] = "Blk", ICE[[#This Row],[LstBlkTime]], ""))</f>
        <v/>
      </c>
      <c r="R1548" s="41" t="str">
        <f>IF(ICE[[#This Row],[LastType]] = "Scrn", ICE[[#This Row],[LstPrc]], IF(ICE[[#This Row],[LastType]] = "Blk", ICE[[#This Row],[LstBlkPrc]], ""))</f>
        <v/>
      </c>
      <c r="S1548" s="36">
        <f>ICE[[#This Row],[Vol]]+ICE[[#This Row],[BlkVol]]</f>
        <v>0</v>
      </c>
      <c r="T1548" s="36">
        <f>RTD("ice.rtd",,$C1548 &amp; $D1548 &amp; ":" &amp; T$1)</f>
        <v>0</v>
      </c>
      <c r="U1548" s="18">
        <f>RTD("ice.rtd",,$C1548 &amp; $D1548 &amp; ":" &amp; U$1)</f>
        <v>0.96900000000000008</v>
      </c>
      <c r="V15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8" s="18" t="str">
        <f>IFERROR(IF(LEFT(ICE[[#This Row],[Tenor]], 1) = "B", RTD("esrtd",,$B1548 &amp; " " &amp; ICE[[#This Row],[Tenor]] &amp; "-IEU", W$1), RTD("esrtd",,$B1548 &amp; " " &amp; VLOOKUP(MONTH(ICE[[#This Row],[Strip]]), MthRef[], 2, 0) &amp; RIGHT(YEAR(ICE[[#This Row],[Strip]]), 2) &amp; "-IEU", W$1)), "")</f>
        <v/>
      </c>
      <c r="X1548" s="36"/>
    </row>
    <row r="1549" spans="1:24" x14ac:dyDescent="0.25">
      <c r="A1549" s="37" t="s">
        <v>353</v>
      </c>
      <c r="B1549" s="88" t="str">
        <f>RTD("ice.rtd",,$C1549 &amp; $D1549 &amp; ":" &amp; B$1)</f>
        <v>MLT</v>
      </c>
      <c r="C1549" s="3">
        <v>57179020</v>
      </c>
      <c r="D1549" t="s">
        <v>325</v>
      </c>
      <c r="E1549" s="3" t="str">
        <f>RTD("ice.rtd",,$C1549 &amp; $D1549 &amp; ":" &amp; E$1)</f>
        <v>Nov26</v>
      </c>
      <c r="F1549" s="3" t="str">
        <f>ICE[[#This Row],[Prod]]&amp;ICE[[#This Row],[Strip]]</f>
        <v>icemidticmaNov26</v>
      </c>
      <c r="G1549" s="18" t="str">
        <f>RTD("ice.rtd",,$C1549 &amp; $D1549 &amp; ":" &amp; G$1)</f>
        <v/>
      </c>
      <c r="H1549" s="18" t="str">
        <f>RTD("ice.rtd",,$C1549 &amp; $D1549 &amp; ":" &amp; H$1)</f>
        <v/>
      </c>
      <c r="I1549" s="18" t="str">
        <f>RTD("ice.rtd",,$C1549 &amp; $D1549 &amp; ":" &amp; I$1)</f>
        <v/>
      </c>
      <c r="J1549" s="14" t="str">
        <f>IFERROR(MOD(RTD("ice.rtd",,$C1549 &amp; $D1549 &amp; ":" &amp; J$1), 1), "")</f>
        <v/>
      </c>
      <c r="K1549" s="18" t="str">
        <f>RTD("ice.rtd",,$C1549 &amp; $D1549 &amp; ":" &amp; K$1)</f>
        <v/>
      </c>
      <c r="L1549" s="36" t="str">
        <f>RTD("ice.rtd",,$C1549 &amp; $D1549 &amp; ":" &amp; L$1)</f>
        <v/>
      </c>
      <c r="M1549" s="14" t="str">
        <f>IFERROR(MOD(TIMEVALUE(RTD("ice.rtd",,$C1549 &amp; $D1549 &amp; ":" &amp; M$1)), 1), "")</f>
        <v/>
      </c>
      <c r="N1549" s="36">
        <f>RTD("ice.rtd",,$C1549 &amp; $D1549 &amp; ":" &amp; N$1)</f>
        <v>0</v>
      </c>
      <c r="O1549" s="36">
        <f>RTD("ice.rtd",,$C1549 &amp; $D1549 &amp; ":" &amp; O$1)</f>
        <v>0</v>
      </c>
      <c r="P15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49" s="14" t="str">
        <f>IF(ICE[[#This Row],[LastType]] = "Scrn", ICE[[#This Row],[LstDate]], IF(ICE[[#This Row],[LastType]] = "Blk", ICE[[#This Row],[LstBlkTime]], ""))</f>
        <v/>
      </c>
      <c r="R1549" s="41" t="str">
        <f>IF(ICE[[#This Row],[LastType]] = "Scrn", ICE[[#This Row],[LstPrc]], IF(ICE[[#This Row],[LastType]] = "Blk", ICE[[#This Row],[LstBlkPrc]], ""))</f>
        <v/>
      </c>
      <c r="S1549" s="36">
        <f>ICE[[#This Row],[Vol]]+ICE[[#This Row],[BlkVol]]</f>
        <v>0</v>
      </c>
      <c r="T1549" s="36">
        <f>RTD("ice.rtd",,$C1549 &amp; $D1549 &amp; ":" &amp; T$1)</f>
        <v>0</v>
      </c>
      <c r="U1549" s="18">
        <f>RTD("ice.rtd",,$C1549 &amp; $D1549 &amp; ":" &amp; U$1)</f>
        <v>1.02</v>
      </c>
      <c r="V15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49" s="18" t="str">
        <f>IFERROR(IF(LEFT(ICE[[#This Row],[Tenor]], 1) = "B", RTD("esrtd",,$B1549 &amp; " " &amp; ICE[[#This Row],[Tenor]] &amp; "-IEU", W$1), RTD("esrtd",,$B1549 &amp; " " &amp; VLOOKUP(MONTH(ICE[[#This Row],[Strip]]), MthRef[], 2, 0) &amp; RIGHT(YEAR(ICE[[#This Row],[Strip]]), 2) &amp; "-IEU", W$1)), "")</f>
        <v/>
      </c>
      <c r="X1549" s="36"/>
    </row>
    <row r="1550" spans="1:24" x14ac:dyDescent="0.25">
      <c r="A1550" s="37" t="s">
        <v>353</v>
      </c>
      <c r="B1550" s="88" t="str">
        <f>RTD("ice.rtd",,$C1550 &amp; $D1550 &amp; ":" &amp; B$1)</f>
        <v>MLT</v>
      </c>
      <c r="C1550" s="3">
        <v>57179020</v>
      </c>
      <c r="D1550" t="s">
        <v>326</v>
      </c>
      <c r="E1550" s="3" t="str">
        <f>RTD("ice.rtd",,$C1550 &amp; $D1550 &amp; ":" &amp; E$1)</f>
        <v>Dec26</v>
      </c>
      <c r="F1550" s="3" t="str">
        <f>ICE[[#This Row],[Prod]]&amp;ICE[[#This Row],[Strip]]</f>
        <v>icemidticmaDec26</v>
      </c>
      <c r="G1550" s="18" t="str">
        <f>RTD("ice.rtd",,$C1550 &amp; $D1550 &amp; ":" &amp; G$1)</f>
        <v/>
      </c>
      <c r="H1550" s="18" t="str">
        <f>RTD("ice.rtd",,$C1550 &amp; $D1550 &amp; ":" &amp; H$1)</f>
        <v/>
      </c>
      <c r="I1550" s="18" t="str">
        <f>RTD("ice.rtd",,$C1550 &amp; $D1550 &amp; ":" &amp; I$1)</f>
        <v/>
      </c>
      <c r="J1550" s="14" t="str">
        <f>IFERROR(MOD(RTD("ice.rtd",,$C1550 &amp; $D1550 &amp; ":" &amp; J$1), 1), "")</f>
        <v/>
      </c>
      <c r="K1550" s="18" t="str">
        <f>RTD("ice.rtd",,$C1550 &amp; $D1550 &amp; ":" &amp; K$1)</f>
        <v/>
      </c>
      <c r="L1550" s="36" t="str">
        <f>RTD("ice.rtd",,$C1550 &amp; $D1550 &amp; ":" &amp; L$1)</f>
        <v/>
      </c>
      <c r="M1550" s="14" t="str">
        <f>IFERROR(MOD(TIMEVALUE(RTD("ice.rtd",,$C1550 &amp; $D1550 &amp; ":" &amp; M$1)), 1), "")</f>
        <v/>
      </c>
      <c r="N1550" s="36">
        <f>RTD("ice.rtd",,$C1550 &amp; $D1550 &amp; ":" &amp; N$1)</f>
        <v>0</v>
      </c>
      <c r="O1550" s="36">
        <f>RTD("ice.rtd",,$C1550 &amp; $D1550 &amp; ":" &amp; O$1)</f>
        <v>0</v>
      </c>
      <c r="P15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0" s="14" t="str">
        <f>IF(ICE[[#This Row],[LastType]] = "Scrn", ICE[[#This Row],[LstDate]], IF(ICE[[#This Row],[LastType]] = "Blk", ICE[[#This Row],[LstBlkTime]], ""))</f>
        <v/>
      </c>
      <c r="R1550" s="41" t="str">
        <f>IF(ICE[[#This Row],[LastType]] = "Scrn", ICE[[#This Row],[LstPrc]], IF(ICE[[#This Row],[LastType]] = "Blk", ICE[[#This Row],[LstBlkPrc]], ""))</f>
        <v/>
      </c>
      <c r="S1550" s="36">
        <f>ICE[[#This Row],[Vol]]+ICE[[#This Row],[BlkVol]]</f>
        <v>0</v>
      </c>
      <c r="T1550" s="36">
        <f>RTD("ice.rtd",,$C1550 &amp; $D1550 &amp; ":" &amp; T$1)</f>
        <v>0</v>
      </c>
      <c r="U1550" s="18">
        <f>RTD("ice.rtd",,$C1550 &amp; $D1550 &amp; ":" &amp; U$1)</f>
        <v>0.92300000000000004</v>
      </c>
      <c r="V15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0" s="18" t="str">
        <f>IFERROR(IF(LEFT(ICE[[#This Row],[Tenor]], 1) = "B", RTD("esrtd",,$B1550 &amp; " " &amp; ICE[[#This Row],[Tenor]] &amp; "-IEU", W$1), RTD("esrtd",,$B1550 &amp; " " &amp; VLOOKUP(MONTH(ICE[[#This Row],[Strip]]), MthRef[], 2, 0) &amp; RIGHT(YEAR(ICE[[#This Row],[Strip]]), 2) &amp; "-IEU", W$1)), "")</f>
        <v/>
      </c>
      <c r="X1550" s="36"/>
    </row>
    <row r="1551" spans="1:24" x14ac:dyDescent="0.25">
      <c r="A1551" s="37" t="s">
        <v>353</v>
      </c>
      <c r="B1551" s="88" t="str">
        <f>RTD("ice.rtd",,$C1551 &amp; $D1551 &amp; ":" &amp; B$1)</f>
        <v>MLT</v>
      </c>
      <c r="C1551" s="3">
        <v>57179020</v>
      </c>
      <c r="D1551" t="s">
        <v>794</v>
      </c>
      <c r="E1551" s="3" t="str">
        <f>RTD("ice.rtd",,$C1551 &amp; $D1551 &amp; ":" &amp; E$1)</f>
        <v>Jan27</v>
      </c>
      <c r="F1551" s="3" t="str">
        <f>ICE[[#This Row],[Prod]]&amp;ICE[[#This Row],[Strip]]</f>
        <v>icemidticmaJan27</v>
      </c>
      <c r="G1551" s="18" t="str">
        <f>RTD("ice.rtd",,$C1551 &amp; $D1551 &amp; ":" &amp; G$1)</f>
        <v/>
      </c>
      <c r="H1551" s="18" t="str">
        <f>RTD("ice.rtd",,$C1551 &amp; $D1551 &amp; ":" &amp; H$1)</f>
        <v/>
      </c>
      <c r="I1551" s="18" t="str">
        <f>RTD("ice.rtd",,$C1551 &amp; $D1551 &amp; ":" &amp; I$1)</f>
        <v/>
      </c>
      <c r="J1551" s="14" t="str">
        <f>IFERROR(MOD(RTD("ice.rtd",,$C1551 &amp; $D1551 &amp; ":" &amp; J$1), 1), "")</f>
        <v/>
      </c>
      <c r="K1551" s="18" t="str">
        <f>RTD("ice.rtd",,$C1551 &amp; $D1551 &amp; ":" &amp; K$1)</f>
        <v/>
      </c>
      <c r="L1551" s="36" t="str">
        <f>RTD("ice.rtd",,$C1551 &amp; $D1551 &amp; ":" &amp; L$1)</f>
        <v/>
      </c>
      <c r="M1551" s="14" t="str">
        <f>IFERROR(MOD(TIMEVALUE(RTD("ice.rtd",,$C1551 &amp; $D1551 &amp; ":" &amp; M$1)), 1), "")</f>
        <v/>
      </c>
      <c r="N1551" s="36">
        <f>RTD("ice.rtd",,$C1551 &amp; $D1551 &amp; ":" &amp; N$1)</f>
        <v>0</v>
      </c>
      <c r="O1551" s="36">
        <f>RTD("ice.rtd",,$C1551 &amp; $D1551 &amp; ":" &amp; O$1)</f>
        <v>0</v>
      </c>
      <c r="P15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1" s="14" t="str">
        <f>IF(ICE[[#This Row],[LastType]] = "Scrn", ICE[[#This Row],[LstDate]], IF(ICE[[#This Row],[LastType]] = "Blk", ICE[[#This Row],[LstBlkTime]], ""))</f>
        <v/>
      </c>
      <c r="R1551" s="41" t="str">
        <f>IF(ICE[[#This Row],[LastType]] = "Scrn", ICE[[#This Row],[LstPrc]], IF(ICE[[#This Row],[LastType]] = "Blk", ICE[[#This Row],[LstBlkPrc]], ""))</f>
        <v/>
      </c>
      <c r="S1551" s="36">
        <f>ICE[[#This Row],[Vol]]+ICE[[#This Row],[BlkVol]]</f>
        <v>0</v>
      </c>
      <c r="T1551" s="36">
        <f>RTD("ice.rtd",,$C1551 &amp; $D1551 &amp; ":" &amp; T$1)</f>
        <v>0</v>
      </c>
      <c r="U1551" s="18">
        <f>RTD("ice.rtd",,$C1551 &amp; $D1551 &amp; ":" &amp; U$1)</f>
        <v>1.03</v>
      </c>
      <c r="V15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1" s="18" t="str">
        <f>IFERROR(IF(LEFT(ICE[[#This Row],[Tenor]], 1) = "B", RTD("esrtd",,$B1551 &amp; " " &amp; ICE[[#This Row],[Tenor]] &amp; "-IEU", W$1), RTD("esrtd",,$B1551 &amp; " " &amp; VLOOKUP(MONTH(ICE[[#This Row],[Strip]]), MthRef[], 2, 0) &amp; RIGHT(YEAR(ICE[[#This Row],[Strip]]), 2) &amp; "-IEU", W$1)), "")</f>
        <v/>
      </c>
      <c r="X1551" s="36"/>
    </row>
    <row r="1552" spans="1:24" x14ac:dyDescent="0.25">
      <c r="A1552" s="37" t="s">
        <v>353</v>
      </c>
      <c r="B1552" s="88" t="str">
        <f>RTD("ice.rtd",,$C1552 &amp; $D1552 &amp; ":" &amp; B$1)</f>
        <v>MLT</v>
      </c>
      <c r="C1552" s="3">
        <v>57179020</v>
      </c>
      <c r="D1552" t="s">
        <v>795</v>
      </c>
      <c r="E1552" s="3" t="str">
        <f>RTD("ice.rtd",,$C1552 &amp; $D1552 &amp; ":" &amp; E$1)</f>
        <v>Feb27</v>
      </c>
      <c r="F1552" s="3" t="str">
        <f>ICE[[#This Row],[Prod]]&amp;ICE[[#This Row],[Strip]]</f>
        <v>icemidticmaFeb27</v>
      </c>
      <c r="G1552" s="18" t="str">
        <f>RTD("ice.rtd",,$C1552 &amp; $D1552 &amp; ":" &amp; G$1)</f>
        <v/>
      </c>
      <c r="H1552" s="18" t="str">
        <f>RTD("ice.rtd",,$C1552 &amp; $D1552 &amp; ":" &amp; H$1)</f>
        <v/>
      </c>
      <c r="I1552" s="18" t="str">
        <f>RTD("ice.rtd",,$C1552 &amp; $D1552 &amp; ":" &amp; I$1)</f>
        <v/>
      </c>
      <c r="J1552" s="14" t="str">
        <f>IFERROR(MOD(RTD("ice.rtd",,$C1552 &amp; $D1552 &amp; ":" &amp; J$1), 1), "")</f>
        <v/>
      </c>
      <c r="K1552" s="18" t="str">
        <f>RTD("ice.rtd",,$C1552 &amp; $D1552 &amp; ":" &amp; K$1)</f>
        <v/>
      </c>
      <c r="L1552" s="36" t="str">
        <f>RTD("ice.rtd",,$C1552 &amp; $D1552 &amp; ":" &amp; L$1)</f>
        <v/>
      </c>
      <c r="M1552" s="14" t="str">
        <f>IFERROR(MOD(TIMEVALUE(RTD("ice.rtd",,$C1552 &amp; $D1552 &amp; ":" &amp; M$1)), 1), "")</f>
        <v/>
      </c>
      <c r="N1552" s="36">
        <f>RTD("ice.rtd",,$C1552 &amp; $D1552 &amp; ":" &amp; N$1)</f>
        <v>0</v>
      </c>
      <c r="O1552" s="36">
        <f>RTD("ice.rtd",,$C1552 &amp; $D1552 &amp; ":" &amp; O$1)</f>
        <v>0</v>
      </c>
      <c r="P15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2" s="14" t="str">
        <f>IF(ICE[[#This Row],[LastType]] = "Scrn", ICE[[#This Row],[LstDate]], IF(ICE[[#This Row],[LastType]] = "Blk", ICE[[#This Row],[LstBlkTime]], ""))</f>
        <v/>
      </c>
      <c r="R1552" s="41" t="str">
        <f>IF(ICE[[#This Row],[LastType]] = "Scrn", ICE[[#This Row],[LstPrc]], IF(ICE[[#This Row],[LastType]] = "Blk", ICE[[#This Row],[LstBlkPrc]], ""))</f>
        <v/>
      </c>
      <c r="S1552" s="36">
        <f>ICE[[#This Row],[Vol]]+ICE[[#This Row],[BlkVol]]</f>
        <v>0</v>
      </c>
      <c r="T1552" s="36">
        <f>RTD("ice.rtd",,$C1552 &amp; $D1552 &amp; ":" &amp; T$1)</f>
        <v>0</v>
      </c>
      <c r="U1552" s="18">
        <f>RTD("ice.rtd",,$C1552 &amp; $D1552 &amp; ":" &amp; U$1)</f>
        <v>1.0840000000000001</v>
      </c>
      <c r="V15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2" s="18" t="str">
        <f>IFERROR(IF(LEFT(ICE[[#This Row],[Tenor]], 1) = "B", RTD("esrtd",,$B1552 &amp; " " &amp; ICE[[#This Row],[Tenor]] &amp; "-IEU", W$1), RTD("esrtd",,$B1552 &amp; " " &amp; VLOOKUP(MONTH(ICE[[#This Row],[Strip]]), MthRef[], 2, 0) &amp; RIGHT(YEAR(ICE[[#This Row],[Strip]]), 2) &amp; "-IEU", W$1)), "")</f>
        <v/>
      </c>
      <c r="X1552" s="36"/>
    </row>
    <row r="1553" spans="1:24" x14ac:dyDescent="0.25">
      <c r="A1553" s="37" t="s">
        <v>353</v>
      </c>
      <c r="B1553" s="88" t="str">
        <f>RTD("ice.rtd",,$C1553 &amp; $D1553 &amp; ":" &amp; B$1)</f>
        <v>MLT</v>
      </c>
      <c r="C1553" s="3">
        <v>57179020</v>
      </c>
      <c r="D1553" t="s">
        <v>113</v>
      </c>
      <c r="E1553" s="3" t="str">
        <f>RTD("ice.rtd",,$C1553 &amp; $D1553 &amp; ":" &amp; E$1)</f>
        <v>Mar27</v>
      </c>
      <c r="F1553" s="3" t="str">
        <f>ICE[[#This Row],[Prod]]&amp;ICE[[#This Row],[Strip]]</f>
        <v>icemidticmaMar27</v>
      </c>
      <c r="G1553" s="18" t="str">
        <f>RTD("ice.rtd",,$C1553 &amp; $D1553 &amp; ":" &amp; G$1)</f>
        <v/>
      </c>
      <c r="H1553" s="18" t="str">
        <f>RTD("ice.rtd",,$C1553 &amp; $D1553 &amp; ":" &amp; H$1)</f>
        <v/>
      </c>
      <c r="I1553" s="18" t="str">
        <f>RTD("ice.rtd",,$C1553 &amp; $D1553 &amp; ":" &amp; I$1)</f>
        <v/>
      </c>
      <c r="J1553" s="14" t="str">
        <f>IFERROR(MOD(RTD("ice.rtd",,$C1553 &amp; $D1553 &amp; ":" &amp; J$1), 1), "")</f>
        <v/>
      </c>
      <c r="K1553" s="18" t="str">
        <f>RTD("ice.rtd",,$C1553 &amp; $D1553 &amp; ":" &amp; K$1)</f>
        <v/>
      </c>
      <c r="L1553" s="36" t="str">
        <f>RTD("ice.rtd",,$C1553 &amp; $D1553 &amp; ":" &amp; L$1)</f>
        <v/>
      </c>
      <c r="M1553" s="14" t="str">
        <f>IFERROR(MOD(TIMEVALUE(RTD("ice.rtd",,$C1553 &amp; $D1553 &amp; ":" &amp; M$1)), 1), "")</f>
        <v/>
      </c>
      <c r="N1553" s="36">
        <f>RTD("ice.rtd",,$C1553 &amp; $D1553 &amp; ":" &amp; N$1)</f>
        <v>0</v>
      </c>
      <c r="O1553" s="36">
        <f>RTD("ice.rtd",,$C1553 &amp; $D1553 &amp; ":" &amp; O$1)</f>
        <v>0</v>
      </c>
      <c r="P15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3" s="14" t="str">
        <f>IF(ICE[[#This Row],[LastType]] = "Scrn", ICE[[#This Row],[LstDate]], IF(ICE[[#This Row],[LastType]] = "Blk", ICE[[#This Row],[LstBlkTime]], ""))</f>
        <v/>
      </c>
      <c r="R1553" s="41" t="str">
        <f>IF(ICE[[#This Row],[LastType]] = "Scrn", ICE[[#This Row],[LstPrc]], IF(ICE[[#This Row],[LastType]] = "Blk", ICE[[#This Row],[LstBlkPrc]], ""))</f>
        <v/>
      </c>
      <c r="S1553" s="36">
        <f>ICE[[#This Row],[Vol]]+ICE[[#This Row],[BlkVol]]</f>
        <v>0</v>
      </c>
      <c r="T1553" s="36">
        <f>RTD("ice.rtd",,$C1553 &amp; $D1553 &amp; ":" &amp; T$1)</f>
        <v>0</v>
      </c>
      <c r="U1553" s="18">
        <f>RTD("ice.rtd",,$C1553 &amp; $D1553 &amp; ":" &amp; U$1)</f>
        <v>1.0760000000000001</v>
      </c>
      <c r="V15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3" s="18" t="str">
        <f>IFERROR(IF(LEFT(ICE[[#This Row],[Tenor]], 1) = "B", RTD("esrtd",,$B1553 &amp; " " &amp; ICE[[#This Row],[Tenor]] &amp; "-IEU", W$1), RTD("esrtd",,$B1553 &amp; " " &amp; VLOOKUP(MONTH(ICE[[#This Row],[Strip]]), MthRef[], 2, 0) &amp; RIGHT(YEAR(ICE[[#This Row],[Strip]]), 2) &amp; "-IEU", W$1)), "")</f>
        <v/>
      </c>
      <c r="X1553" s="36"/>
    </row>
    <row r="1554" spans="1:24" x14ac:dyDescent="0.25">
      <c r="A1554" s="37" t="s">
        <v>353</v>
      </c>
      <c r="B1554" s="88" t="str">
        <f>RTD("ice.rtd",,$C1554 &amp; $D1554 &amp; ":" &amp; B$1)</f>
        <v>MLT</v>
      </c>
      <c r="C1554" s="3">
        <v>57179020</v>
      </c>
      <c r="D1554" t="s">
        <v>796</v>
      </c>
      <c r="E1554" s="3" t="str">
        <f>RTD("ice.rtd",,$C1554 &amp; $D1554 &amp; ":" &amp; E$1)</f>
        <v>Apr27</v>
      </c>
      <c r="F1554" s="3" t="str">
        <f>ICE[[#This Row],[Prod]]&amp;ICE[[#This Row],[Strip]]</f>
        <v>icemidticmaApr27</v>
      </c>
      <c r="G1554" s="18" t="str">
        <f>RTD("ice.rtd",,$C1554 &amp; $D1554 &amp; ":" &amp; G$1)</f>
        <v/>
      </c>
      <c r="H1554" s="18" t="str">
        <f>RTD("ice.rtd",,$C1554 &amp; $D1554 &amp; ":" &amp; H$1)</f>
        <v/>
      </c>
      <c r="I1554" s="18" t="str">
        <f>RTD("ice.rtd",,$C1554 &amp; $D1554 &amp; ":" &amp; I$1)</f>
        <v/>
      </c>
      <c r="J1554" s="14" t="str">
        <f>IFERROR(MOD(RTD("ice.rtd",,$C1554 &amp; $D1554 &amp; ":" &amp; J$1), 1), "")</f>
        <v/>
      </c>
      <c r="K1554" s="18" t="str">
        <f>RTD("ice.rtd",,$C1554 &amp; $D1554 &amp; ":" &amp; K$1)</f>
        <v/>
      </c>
      <c r="L1554" s="36" t="str">
        <f>RTD("ice.rtd",,$C1554 &amp; $D1554 &amp; ":" &amp; L$1)</f>
        <v/>
      </c>
      <c r="M1554" s="14" t="str">
        <f>IFERROR(MOD(TIMEVALUE(RTD("ice.rtd",,$C1554 &amp; $D1554 &amp; ":" &amp; M$1)), 1), "")</f>
        <v/>
      </c>
      <c r="N1554" s="36">
        <f>RTD("ice.rtd",,$C1554 &amp; $D1554 &amp; ":" &amp; N$1)</f>
        <v>0</v>
      </c>
      <c r="O1554" s="36">
        <f>RTD("ice.rtd",,$C1554 &amp; $D1554 &amp; ":" &amp; O$1)</f>
        <v>0</v>
      </c>
      <c r="P15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4" s="14" t="str">
        <f>IF(ICE[[#This Row],[LastType]] = "Scrn", ICE[[#This Row],[LstDate]], IF(ICE[[#This Row],[LastType]] = "Blk", ICE[[#This Row],[LstBlkTime]], ""))</f>
        <v/>
      </c>
      <c r="R1554" s="41" t="str">
        <f>IF(ICE[[#This Row],[LastType]] = "Scrn", ICE[[#This Row],[LstPrc]], IF(ICE[[#This Row],[LastType]] = "Blk", ICE[[#This Row],[LstBlkPrc]], ""))</f>
        <v/>
      </c>
      <c r="S1554" s="36">
        <f>ICE[[#This Row],[Vol]]+ICE[[#This Row],[BlkVol]]</f>
        <v>0</v>
      </c>
      <c r="T1554" s="36">
        <f>RTD("ice.rtd",,$C1554 &amp; $D1554 &amp; ":" &amp; T$1)</f>
        <v>0</v>
      </c>
      <c r="U1554" s="18">
        <f>RTD("ice.rtd",,$C1554 &amp; $D1554 &amp; ":" &amp; U$1)</f>
        <v>1.1480000000000001</v>
      </c>
      <c r="V15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4" s="18" t="str">
        <f>IFERROR(IF(LEFT(ICE[[#This Row],[Tenor]], 1) = "B", RTD("esrtd",,$B1554 &amp; " " &amp; ICE[[#This Row],[Tenor]] &amp; "-IEU", W$1), RTD("esrtd",,$B1554 &amp; " " &amp; VLOOKUP(MONTH(ICE[[#This Row],[Strip]]), MthRef[], 2, 0) &amp; RIGHT(YEAR(ICE[[#This Row],[Strip]]), 2) &amp; "-IEU", W$1)), "")</f>
        <v/>
      </c>
      <c r="X1554" s="36"/>
    </row>
    <row r="1555" spans="1:24" x14ac:dyDescent="0.25">
      <c r="A1555" s="37" t="s">
        <v>353</v>
      </c>
      <c r="B1555" s="88" t="str">
        <f>RTD("ice.rtd",,$C1555 &amp; $D1555 &amp; ":" &amp; B$1)</f>
        <v>MLT</v>
      </c>
      <c r="C1555" s="3">
        <v>57179020</v>
      </c>
      <c r="D1555" t="s">
        <v>797</v>
      </c>
      <c r="E1555" s="3" t="str">
        <f>RTD("ice.rtd",,$C1555 &amp; $D1555 &amp; ":" &amp; E$1)</f>
        <v>May27</v>
      </c>
      <c r="F1555" s="3" t="str">
        <f>ICE[[#This Row],[Prod]]&amp;ICE[[#This Row],[Strip]]</f>
        <v>icemidticmaMay27</v>
      </c>
      <c r="G1555" s="18" t="str">
        <f>RTD("ice.rtd",,$C1555 &amp; $D1555 &amp; ":" &amp; G$1)</f>
        <v/>
      </c>
      <c r="H1555" s="18" t="str">
        <f>RTD("ice.rtd",,$C1555 &amp; $D1555 &amp; ":" &amp; H$1)</f>
        <v/>
      </c>
      <c r="I1555" s="18" t="str">
        <f>RTD("ice.rtd",,$C1555 &amp; $D1555 &amp; ":" &amp; I$1)</f>
        <v/>
      </c>
      <c r="J1555" s="14" t="str">
        <f>IFERROR(MOD(RTD("ice.rtd",,$C1555 &amp; $D1555 &amp; ":" &amp; J$1), 1), "")</f>
        <v/>
      </c>
      <c r="K1555" s="18" t="str">
        <f>RTD("ice.rtd",,$C1555 &amp; $D1555 &amp; ":" &amp; K$1)</f>
        <v/>
      </c>
      <c r="L1555" s="36" t="str">
        <f>RTD("ice.rtd",,$C1555 &amp; $D1555 &amp; ":" &amp; L$1)</f>
        <v/>
      </c>
      <c r="M1555" s="14" t="str">
        <f>IFERROR(MOD(TIMEVALUE(RTD("ice.rtd",,$C1555 &amp; $D1555 &amp; ":" &amp; M$1)), 1), "")</f>
        <v/>
      </c>
      <c r="N1555" s="36">
        <f>RTD("ice.rtd",,$C1555 &amp; $D1555 &amp; ":" &amp; N$1)</f>
        <v>0</v>
      </c>
      <c r="O1555" s="36">
        <f>RTD("ice.rtd",,$C1555 &amp; $D1555 &amp; ":" &amp; O$1)</f>
        <v>0</v>
      </c>
      <c r="P15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5" s="14" t="str">
        <f>IF(ICE[[#This Row],[LastType]] = "Scrn", ICE[[#This Row],[LstDate]], IF(ICE[[#This Row],[LastType]] = "Blk", ICE[[#This Row],[LstBlkTime]], ""))</f>
        <v/>
      </c>
      <c r="R1555" s="41" t="str">
        <f>IF(ICE[[#This Row],[LastType]] = "Scrn", ICE[[#This Row],[LstPrc]], IF(ICE[[#This Row],[LastType]] = "Blk", ICE[[#This Row],[LstBlkPrc]], ""))</f>
        <v/>
      </c>
      <c r="S1555" s="36">
        <f>ICE[[#This Row],[Vol]]+ICE[[#This Row],[BlkVol]]</f>
        <v>0</v>
      </c>
      <c r="T1555" s="36">
        <f>RTD("ice.rtd",,$C1555 &amp; $D1555 &amp; ":" &amp; T$1)</f>
        <v>0</v>
      </c>
      <c r="U1555" s="18">
        <f>RTD("ice.rtd",,$C1555 &amp; $D1555 &amp; ":" &amp; U$1)</f>
        <v>1.198</v>
      </c>
      <c r="V15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5" s="18" t="str">
        <f>IFERROR(IF(LEFT(ICE[[#This Row],[Tenor]], 1) = "B", RTD("esrtd",,$B1555 &amp; " " &amp; ICE[[#This Row],[Tenor]] &amp; "-IEU", W$1), RTD("esrtd",,$B1555 &amp; " " &amp; VLOOKUP(MONTH(ICE[[#This Row],[Strip]]), MthRef[], 2, 0) &amp; RIGHT(YEAR(ICE[[#This Row],[Strip]]), 2) &amp; "-IEU", W$1)), "")</f>
        <v/>
      </c>
      <c r="X1555" s="36"/>
    </row>
    <row r="1556" spans="1:24" x14ac:dyDescent="0.25">
      <c r="A1556" s="37" t="s">
        <v>353</v>
      </c>
      <c r="B1556" s="88" t="str">
        <f>RTD("ice.rtd",,$C1556 &amp; $D1556 &amp; ":" &amp; B$1)</f>
        <v>MLT</v>
      </c>
      <c r="C1556" s="3">
        <v>57179020</v>
      </c>
      <c r="D1556" t="s">
        <v>798</v>
      </c>
      <c r="E1556" s="3" t="str">
        <f>RTD("ice.rtd",,$C1556 &amp; $D1556 &amp; ":" &amp; E$1)</f>
        <v>Jun27</v>
      </c>
      <c r="F1556" s="3" t="str">
        <f>ICE[[#This Row],[Prod]]&amp;ICE[[#This Row],[Strip]]</f>
        <v>icemidticmaJun27</v>
      </c>
      <c r="G1556" s="18" t="str">
        <f>RTD("ice.rtd",,$C1556 &amp; $D1556 &amp; ":" &amp; G$1)</f>
        <v/>
      </c>
      <c r="H1556" s="18" t="str">
        <f>RTD("ice.rtd",,$C1556 &amp; $D1556 &amp; ":" &amp; H$1)</f>
        <v/>
      </c>
      <c r="I1556" s="18" t="str">
        <f>RTD("ice.rtd",,$C1556 &amp; $D1556 &amp; ":" &amp; I$1)</f>
        <v/>
      </c>
      <c r="J1556" s="14" t="str">
        <f>IFERROR(MOD(RTD("ice.rtd",,$C1556 &amp; $D1556 &amp; ":" &amp; J$1), 1), "")</f>
        <v/>
      </c>
      <c r="K1556" s="18" t="str">
        <f>RTD("ice.rtd",,$C1556 &amp; $D1556 &amp; ":" &amp; K$1)</f>
        <v/>
      </c>
      <c r="L1556" s="36" t="str">
        <f>RTD("ice.rtd",,$C1556 &amp; $D1556 &amp; ":" &amp; L$1)</f>
        <v/>
      </c>
      <c r="M1556" s="14" t="str">
        <f>IFERROR(MOD(TIMEVALUE(RTD("ice.rtd",,$C1556 &amp; $D1556 &amp; ":" &amp; M$1)), 1), "")</f>
        <v/>
      </c>
      <c r="N1556" s="36">
        <f>RTD("ice.rtd",,$C1556 &amp; $D1556 &amp; ":" &amp; N$1)</f>
        <v>0</v>
      </c>
      <c r="O1556" s="36">
        <f>RTD("ice.rtd",,$C1556 &amp; $D1556 &amp; ":" &amp; O$1)</f>
        <v>0</v>
      </c>
      <c r="P15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6" s="14" t="str">
        <f>IF(ICE[[#This Row],[LastType]] = "Scrn", ICE[[#This Row],[LstDate]], IF(ICE[[#This Row],[LastType]] = "Blk", ICE[[#This Row],[LstBlkTime]], ""))</f>
        <v/>
      </c>
      <c r="R1556" s="41" t="str">
        <f>IF(ICE[[#This Row],[LastType]] = "Scrn", ICE[[#This Row],[LstPrc]], IF(ICE[[#This Row],[LastType]] = "Blk", ICE[[#This Row],[LstBlkPrc]], ""))</f>
        <v/>
      </c>
      <c r="S1556" s="36">
        <f>ICE[[#This Row],[Vol]]+ICE[[#This Row],[BlkVol]]</f>
        <v>0</v>
      </c>
      <c r="T1556" s="36">
        <f>RTD("ice.rtd",,$C1556 &amp; $D1556 &amp; ":" &amp; T$1)</f>
        <v>0</v>
      </c>
      <c r="U1556" s="18">
        <f>RTD("ice.rtd",,$C1556 &amp; $D1556 &amp; ":" &amp; U$1)</f>
        <v>1.2030000000000001</v>
      </c>
      <c r="V15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6" s="18" t="str">
        <f>IFERROR(IF(LEFT(ICE[[#This Row],[Tenor]], 1) = "B", RTD("esrtd",,$B1556 &amp; " " &amp; ICE[[#This Row],[Tenor]] &amp; "-IEU", W$1), RTD("esrtd",,$B1556 &amp; " " &amp; VLOOKUP(MONTH(ICE[[#This Row],[Strip]]), MthRef[], 2, 0) &amp; RIGHT(YEAR(ICE[[#This Row],[Strip]]), 2) &amp; "-IEU", W$1)), "")</f>
        <v/>
      </c>
      <c r="X1556" s="36"/>
    </row>
    <row r="1557" spans="1:24" x14ac:dyDescent="0.25">
      <c r="A1557" s="37" t="s">
        <v>353</v>
      </c>
      <c r="B1557" s="88" t="str">
        <f>RTD("ice.rtd",,$C1557 &amp; $D1557 &amp; ":" &amp; B$1)</f>
        <v>MLT</v>
      </c>
      <c r="C1557" s="3">
        <v>57179020</v>
      </c>
      <c r="D1557" t="s">
        <v>799</v>
      </c>
      <c r="E1557" s="3" t="str">
        <f>RTD("ice.rtd",,$C1557 &amp; $D1557 &amp; ":" &amp; E$1)</f>
        <v>Jul27</v>
      </c>
      <c r="F1557" s="3" t="str">
        <f>ICE[[#This Row],[Prod]]&amp;ICE[[#This Row],[Strip]]</f>
        <v>icemidticmaJul27</v>
      </c>
      <c r="G1557" s="18" t="str">
        <f>RTD("ice.rtd",,$C1557 &amp; $D1557 &amp; ":" &amp; G$1)</f>
        <v/>
      </c>
      <c r="H1557" s="18" t="str">
        <f>RTD("ice.rtd",,$C1557 &amp; $D1557 &amp; ":" &amp; H$1)</f>
        <v/>
      </c>
      <c r="I1557" s="18" t="str">
        <f>RTD("ice.rtd",,$C1557 &amp; $D1557 &amp; ":" &amp; I$1)</f>
        <v/>
      </c>
      <c r="J1557" s="14" t="str">
        <f>IFERROR(MOD(RTD("ice.rtd",,$C1557 &amp; $D1557 &amp; ":" &amp; J$1), 1), "")</f>
        <v/>
      </c>
      <c r="K1557" s="18" t="str">
        <f>RTD("ice.rtd",,$C1557 &amp; $D1557 &amp; ":" &amp; K$1)</f>
        <v/>
      </c>
      <c r="L1557" s="36" t="str">
        <f>RTD("ice.rtd",,$C1557 &amp; $D1557 &amp; ":" &amp; L$1)</f>
        <v/>
      </c>
      <c r="M1557" s="14" t="str">
        <f>IFERROR(MOD(TIMEVALUE(RTD("ice.rtd",,$C1557 &amp; $D1557 &amp; ":" &amp; M$1)), 1), "")</f>
        <v/>
      </c>
      <c r="N1557" s="36">
        <f>RTD("ice.rtd",,$C1557 &amp; $D1557 &amp; ":" &amp; N$1)</f>
        <v>0</v>
      </c>
      <c r="O1557" s="36">
        <f>RTD("ice.rtd",,$C1557 &amp; $D1557 &amp; ":" &amp; O$1)</f>
        <v>0</v>
      </c>
      <c r="P15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7" s="14" t="str">
        <f>IF(ICE[[#This Row],[LastType]] = "Scrn", ICE[[#This Row],[LstDate]], IF(ICE[[#This Row],[LastType]] = "Blk", ICE[[#This Row],[LstBlkTime]], ""))</f>
        <v/>
      </c>
      <c r="R1557" s="41" t="str">
        <f>IF(ICE[[#This Row],[LastType]] = "Scrn", ICE[[#This Row],[LstPrc]], IF(ICE[[#This Row],[LastType]] = "Blk", ICE[[#This Row],[LstBlkPrc]], ""))</f>
        <v/>
      </c>
      <c r="S1557" s="36">
        <f>ICE[[#This Row],[Vol]]+ICE[[#This Row],[BlkVol]]</f>
        <v>0</v>
      </c>
      <c r="T1557" s="36">
        <f>RTD("ice.rtd",,$C1557 &amp; $D1557 &amp; ":" &amp; T$1)</f>
        <v>0</v>
      </c>
      <c r="U1557" s="18">
        <f>RTD("ice.rtd",,$C1557 &amp; $D1557 &amp; ":" &amp; U$1)</f>
        <v>1.216</v>
      </c>
      <c r="V15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7" s="18" t="str">
        <f>IFERROR(IF(LEFT(ICE[[#This Row],[Tenor]], 1) = "B", RTD("esrtd",,$B1557 &amp; " " &amp; ICE[[#This Row],[Tenor]] &amp; "-IEU", W$1), RTD("esrtd",,$B1557 &amp; " " &amp; VLOOKUP(MONTH(ICE[[#This Row],[Strip]]), MthRef[], 2, 0) &amp; RIGHT(YEAR(ICE[[#This Row],[Strip]]), 2) &amp; "-IEU", W$1)), "")</f>
        <v/>
      </c>
      <c r="X1557" s="36"/>
    </row>
    <row r="1558" spans="1:24" x14ac:dyDescent="0.25">
      <c r="A1558" s="37" t="s">
        <v>353</v>
      </c>
      <c r="B1558" s="88" t="str">
        <f>RTD("ice.rtd",,$C1558 &amp; $D1558 &amp; ":" &amp; B$1)</f>
        <v>MLT</v>
      </c>
      <c r="C1558" s="3">
        <v>57179020</v>
      </c>
      <c r="D1558" t="s">
        <v>800</v>
      </c>
      <c r="E1558" s="3" t="str">
        <f>RTD("ice.rtd",,$C1558 &amp; $D1558 &amp; ":" &amp; E$1)</f>
        <v>Aug27</v>
      </c>
      <c r="F1558" s="3" t="str">
        <f>ICE[[#This Row],[Prod]]&amp;ICE[[#This Row],[Strip]]</f>
        <v>icemidticmaAug27</v>
      </c>
      <c r="G1558" s="18" t="str">
        <f>RTD("ice.rtd",,$C1558 &amp; $D1558 &amp; ":" &amp; G$1)</f>
        <v/>
      </c>
      <c r="H1558" s="18" t="str">
        <f>RTD("ice.rtd",,$C1558 &amp; $D1558 &amp; ":" &amp; H$1)</f>
        <v/>
      </c>
      <c r="I1558" s="18" t="str">
        <f>RTD("ice.rtd",,$C1558 &amp; $D1558 &amp; ":" &amp; I$1)</f>
        <v/>
      </c>
      <c r="J1558" s="14" t="str">
        <f>IFERROR(MOD(RTD("ice.rtd",,$C1558 &amp; $D1558 &amp; ":" &amp; J$1), 1), "")</f>
        <v/>
      </c>
      <c r="K1558" s="18" t="str">
        <f>RTD("ice.rtd",,$C1558 &amp; $D1558 &amp; ":" &amp; K$1)</f>
        <v/>
      </c>
      <c r="L1558" s="36" t="str">
        <f>RTD("ice.rtd",,$C1558 &amp; $D1558 &amp; ":" &amp; L$1)</f>
        <v/>
      </c>
      <c r="M1558" s="14" t="str">
        <f>IFERROR(MOD(TIMEVALUE(RTD("ice.rtd",,$C1558 &amp; $D1558 &amp; ":" &amp; M$1)), 1), "")</f>
        <v/>
      </c>
      <c r="N1558" s="36">
        <f>RTD("ice.rtd",,$C1558 &amp; $D1558 &amp; ":" &amp; N$1)</f>
        <v>0</v>
      </c>
      <c r="O1558" s="36">
        <f>RTD("ice.rtd",,$C1558 &amp; $D1558 &amp; ":" &amp; O$1)</f>
        <v>0</v>
      </c>
      <c r="P15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8" s="14" t="str">
        <f>IF(ICE[[#This Row],[LastType]] = "Scrn", ICE[[#This Row],[LstDate]], IF(ICE[[#This Row],[LastType]] = "Blk", ICE[[#This Row],[LstBlkTime]], ""))</f>
        <v/>
      </c>
      <c r="R1558" s="41" t="str">
        <f>IF(ICE[[#This Row],[LastType]] = "Scrn", ICE[[#This Row],[LstPrc]], IF(ICE[[#This Row],[LastType]] = "Blk", ICE[[#This Row],[LstBlkPrc]], ""))</f>
        <v/>
      </c>
      <c r="S1558" s="36">
        <f>ICE[[#This Row],[Vol]]+ICE[[#This Row],[BlkVol]]</f>
        <v>0</v>
      </c>
      <c r="T1558" s="36">
        <f>RTD("ice.rtd",,$C1558 &amp; $D1558 &amp; ":" &amp; T$1)</f>
        <v>0</v>
      </c>
      <c r="U1558" s="18">
        <f>RTD("ice.rtd",,$C1558 &amp; $D1558 &amp; ":" &amp; U$1)</f>
        <v>1.218</v>
      </c>
      <c r="V15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8" s="18" t="str">
        <f>IFERROR(IF(LEFT(ICE[[#This Row],[Tenor]], 1) = "B", RTD("esrtd",,$B1558 &amp; " " &amp; ICE[[#This Row],[Tenor]] &amp; "-IEU", W$1), RTD("esrtd",,$B1558 &amp; " " &amp; VLOOKUP(MONTH(ICE[[#This Row],[Strip]]), MthRef[], 2, 0) &amp; RIGHT(YEAR(ICE[[#This Row],[Strip]]), 2) &amp; "-IEU", W$1)), "")</f>
        <v/>
      </c>
      <c r="X1558" s="36"/>
    </row>
    <row r="1559" spans="1:24" x14ac:dyDescent="0.25">
      <c r="A1559" s="37" t="s">
        <v>353</v>
      </c>
      <c r="B1559" s="88" t="str">
        <f>RTD("ice.rtd",,$C1559 &amp; $D1559 &amp; ":" &amp; B$1)</f>
        <v>MLT</v>
      </c>
      <c r="C1559" s="3">
        <v>57179020</v>
      </c>
      <c r="D1559" t="s">
        <v>801</v>
      </c>
      <c r="E1559" s="3" t="str">
        <f>RTD("ice.rtd",,$C1559 &amp; $D1559 &amp; ":" &amp; E$1)</f>
        <v>Sep27</v>
      </c>
      <c r="F1559" s="3" t="str">
        <f>ICE[[#This Row],[Prod]]&amp;ICE[[#This Row],[Strip]]</f>
        <v>icemidticmaSep27</v>
      </c>
      <c r="G1559" s="18" t="str">
        <f>RTD("ice.rtd",,$C1559 &amp; $D1559 &amp; ":" &amp; G$1)</f>
        <v/>
      </c>
      <c r="H1559" s="18" t="str">
        <f>RTD("ice.rtd",,$C1559 &amp; $D1559 &amp; ":" &amp; H$1)</f>
        <v/>
      </c>
      <c r="I1559" s="18" t="str">
        <f>RTD("ice.rtd",,$C1559 &amp; $D1559 &amp; ":" &amp; I$1)</f>
        <v/>
      </c>
      <c r="J1559" s="14" t="str">
        <f>IFERROR(MOD(RTD("ice.rtd",,$C1559 &amp; $D1559 &amp; ":" &amp; J$1), 1), "")</f>
        <v/>
      </c>
      <c r="K1559" s="18" t="str">
        <f>RTD("ice.rtd",,$C1559 &amp; $D1559 &amp; ":" &amp; K$1)</f>
        <v/>
      </c>
      <c r="L1559" s="36" t="str">
        <f>RTD("ice.rtd",,$C1559 &amp; $D1559 &amp; ":" &amp; L$1)</f>
        <v/>
      </c>
      <c r="M1559" s="14" t="str">
        <f>IFERROR(MOD(TIMEVALUE(RTD("ice.rtd",,$C1559 &amp; $D1559 &amp; ":" &amp; M$1)), 1), "")</f>
        <v/>
      </c>
      <c r="N1559" s="36">
        <f>RTD("ice.rtd",,$C1559 &amp; $D1559 &amp; ":" &amp; N$1)</f>
        <v>0</v>
      </c>
      <c r="O1559" s="36">
        <f>RTD("ice.rtd",,$C1559 &amp; $D1559 &amp; ":" &amp; O$1)</f>
        <v>0</v>
      </c>
      <c r="P15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59" s="14" t="str">
        <f>IF(ICE[[#This Row],[LastType]] = "Scrn", ICE[[#This Row],[LstDate]], IF(ICE[[#This Row],[LastType]] = "Blk", ICE[[#This Row],[LstBlkTime]], ""))</f>
        <v/>
      </c>
      <c r="R1559" s="41" t="str">
        <f>IF(ICE[[#This Row],[LastType]] = "Scrn", ICE[[#This Row],[LstPrc]], IF(ICE[[#This Row],[LastType]] = "Blk", ICE[[#This Row],[LstBlkPrc]], ""))</f>
        <v/>
      </c>
      <c r="S1559" s="36">
        <f>ICE[[#This Row],[Vol]]+ICE[[#This Row],[BlkVol]]</f>
        <v>0</v>
      </c>
      <c r="T1559" s="36">
        <f>RTD("ice.rtd",,$C1559 &amp; $D1559 &amp; ":" &amp; T$1)</f>
        <v>0</v>
      </c>
      <c r="U1559" s="18">
        <f>RTD("ice.rtd",,$C1559 &amp; $D1559 &amp; ":" &amp; U$1)</f>
        <v>1.2210000000000001</v>
      </c>
      <c r="V15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59" s="18" t="str">
        <f>IFERROR(IF(LEFT(ICE[[#This Row],[Tenor]], 1) = "B", RTD("esrtd",,$B1559 &amp; " " &amp; ICE[[#This Row],[Tenor]] &amp; "-IEU", W$1), RTD("esrtd",,$B1559 &amp; " " &amp; VLOOKUP(MONTH(ICE[[#This Row],[Strip]]), MthRef[], 2, 0) &amp; RIGHT(YEAR(ICE[[#This Row],[Strip]]), 2) &amp; "-IEU", W$1)), "")</f>
        <v/>
      </c>
      <c r="X1559" s="36"/>
    </row>
    <row r="1560" spans="1:24" x14ac:dyDescent="0.25">
      <c r="A1560" s="37" t="s">
        <v>353</v>
      </c>
      <c r="B1560" s="88" t="str">
        <f>RTD("ice.rtd",,$C1560 &amp; $D1560 &amp; ":" &amp; B$1)</f>
        <v>MLT</v>
      </c>
      <c r="C1560" s="3">
        <v>57179020</v>
      </c>
      <c r="D1560" t="s">
        <v>802</v>
      </c>
      <c r="E1560" s="3" t="str">
        <f>RTD("ice.rtd",,$C1560 &amp; $D1560 &amp; ":" &amp; E$1)</f>
        <v>Oct27</v>
      </c>
      <c r="F1560" s="3" t="str">
        <f>ICE[[#This Row],[Prod]]&amp;ICE[[#This Row],[Strip]]</f>
        <v>icemidticmaOct27</v>
      </c>
      <c r="G1560" s="18" t="str">
        <f>RTD("ice.rtd",,$C1560 &amp; $D1560 &amp; ":" &amp; G$1)</f>
        <v/>
      </c>
      <c r="H1560" s="18" t="str">
        <f>RTD("ice.rtd",,$C1560 &amp; $D1560 &amp; ":" &amp; H$1)</f>
        <v/>
      </c>
      <c r="I1560" s="18" t="str">
        <f>RTD("ice.rtd",,$C1560 &amp; $D1560 &amp; ":" &amp; I$1)</f>
        <v/>
      </c>
      <c r="J1560" s="14" t="str">
        <f>IFERROR(MOD(RTD("ice.rtd",,$C1560 &amp; $D1560 &amp; ":" &amp; J$1), 1), "")</f>
        <v/>
      </c>
      <c r="K1560" s="18" t="str">
        <f>RTD("ice.rtd",,$C1560 &amp; $D1560 &amp; ":" &amp; K$1)</f>
        <v/>
      </c>
      <c r="L1560" s="36" t="str">
        <f>RTD("ice.rtd",,$C1560 &amp; $D1560 &amp; ":" &amp; L$1)</f>
        <v/>
      </c>
      <c r="M1560" s="14" t="str">
        <f>IFERROR(MOD(TIMEVALUE(RTD("ice.rtd",,$C1560 &amp; $D1560 &amp; ":" &amp; M$1)), 1), "")</f>
        <v/>
      </c>
      <c r="N1560" s="36">
        <f>RTD("ice.rtd",,$C1560 &amp; $D1560 &amp; ":" &amp; N$1)</f>
        <v>0</v>
      </c>
      <c r="O1560" s="36">
        <f>RTD("ice.rtd",,$C1560 &amp; $D1560 &amp; ":" &amp; O$1)</f>
        <v>0</v>
      </c>
      <c r="P15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0" s="14" t="str">
        <f>IF(ICE[[#This Row],[LastType]] = "Scrn", ICE[[#This Row],[LstDate]], IF(ICE[[#This Row],[LastType]] = "Blk", ICE[[#This Row],[LstBlkTime]], ""))</f>
        <v/>
      </c>
      <c r="R1560" s="41" t="str">
        <f>IF(ICE[[#This Row],[LastType]] = "Scrn", ICE[[#This Row],[LstPrc]], IF(ICE[[#This Row],[LastType]] = "Blk", ICE[[#This Row],[LstBlkPrc]], ""))</f>
        <v/>
      </c>
      <c r="S1560" s="36">
        <f>ICE[[#This Row],[Vol]]+ICE[[#This Row],[BlkVol]]</f>
        <v>0</v>
      </c>
      <c r="T1560" s="36">
        <f>RTD("ice.rtd",,$C1560 &amp; $D1560 &amp; ":" &amp; T$1)</f>
        <v>0</v>
      </c>
      <c r="U1560" s="18">
        <f>RTD("ice.rtd",,$C1560 &amp; $D1560 &amp; ":" &amp; U$1)</f>
        <v>1.22</v>
      </c>
      <c r="V15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60" s="18" t="str">
        <f>IFERROR(IF(LEFT(ICE[[#This Row],[Tenor]], 1) = "B", RTD("esrtd",,$B1560 &amp; " " &amp; ICE[[#This Row],[Tenor]] &amp; "-IEU", W$1), RTD("esrtd",,$B1560 &amp; " " &amp; VLOOKUP(MONTH(ICE[[#This Row],[Strip]]), MthRef[], 2, 0) &amp; RIGHT(YEAR(ICE[[#This Row],[Strip]]), 2) &amp; "-IEU", W$1)), "")</f>
        <v/>
      </c>
      <c r="X1560" s="36"/>
    </row>
    <row r="1561" spans="1:24" x14ac:dyDescent="0.25">
      <c r="A1561" s="37" t="s">
        <v>353</v>
      </c>
      <c r="B1561" s="88" t="str">
        <f>RTD("ice.rtd",,$C1561 &amp; $D1561 &amp; ":" &amp; B$1)</f>
        <v>MLT</v>
      </c>
      <c r="C1561" s="3">
        <v>57179020</v>
      </c>
      <c r="D1561" t="s">
        <v>803</v>
      </c>
      <c r="E1561" s="3" t="str">
        <f>RTD("ice.rtd",,$C1561 &amp; $D1561 &amp; ":" &amp; E$1)</f>
        <v>Nov27</v>
      </c>
      <c r="F1561" s="3" t="str">
        <f>ICE[[#This Row],[Prod]]&amp;ICE[[#This Row],[Strip]]</f>
        <v>icemidticmaNov27</v>
      </c>
      <c r="G1561" s="18" t="str">
        <f>RTD("ice.rtd",,$C1561 &amp; $D1561 &amp; ":" &amp; G$1)</f>
        <v/>
      </c>
      <c r="H1561" s="18" t="str">
        <f>RTD("ice.rtd",,$C1561 &amp; $D1561 &amp; ":" &amp; H$1)</f>
        <v/>
      </c>
      <c r="I1561" s="18" t="str">
        <f>RTD("ice.rtd",,$C1561 &amp; $D1561 &amp; ":" &amp; I$1)</f>
        <v/>
      </c>
      <c r="J1561" s="14" t="str">
        <f>IFERROR(MOD(RTD("ice.rtd",,$C1561 &amp; $D1561 &amp; ":" &amp; J$1), 1), "")</f>
        <v/>
      </c>
      <c r="K1561" s="18" t="str">
        <f>RTD("ice.rtd",,$C1561 &amp; $D1561 &amp; ":" &amp; K$1)</f>
        <v/>
      </c>
      <c r="L1561" s="36" t="str">
        <f>RTD("ice.rtd",,$C1561 &amp; $D1561 &amp; ":" &amp; L$1)</f>
        <v/>
      </c>
      <c r="M1561" s="14" t="str">
        <f>IFERROR(MOD(TIMEVALUE(RTD("ice.rtd",,$C1561 &amp; $D1561 &amp; ":" &amp; M$1)), 1), "")</f>
        <v/>
      </c>
      <c r="N1561" s="36">
        <f>RTD("ice.rtd",,$C1561 &amp; $D1561 &amp; ":" &amp; N$1)</f>
        <v>0</v>
      </c>
      <c r="O1561" s="36">
        <f>RTD("ice.rtd",,$C1561 &amp; $D1561 &amp; ":" &amp; O$1)</f>
        <v>0</v>
      </c>
      <c r="P15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1" s="14" t="str">
        <f>IF(ICE[[#This Row],[LastType]] = "Scrn", ICE[[#This Row],[LstDate]], IF(ICE[[#This Row],[LastType]] = "Blk", ICE[[#This Row],[LstBlkTime]], ""))</f>
        <v/>
      </c>
      <c r="R1561" s="41" t="str">
        <f>IF(ICE[[#This Row],[LastType]] = "Scrn", ICE[[#This Row],[LstPrc]], IF(ICE[[#This Row],[LastType]] = "Blk", ICE[[#This Row],[LstBlkPrc]], ""))</f>
        <v/>
      </c>
      <c r="S1561" s="36">
        <f>ICE[[#This Row],[Vol]]+ICE[[#This Row],[BlkVol]]</f>
        <v>0</v>
      </c>
      <c r="T1561" s="36">
        <f>RTD("ice.rtd",,$C1561 &amp; $D1561 &amp; ":" &amp; T$1)</f>
        <v>0</v>
      </c>
      <c r="U1561" s="18">
        <f>RTD("ice.rtd",,$C1561 &amp; $D1561 &amp; ":" &amp; U$1)</f>
        <v>1.2250000000000001</v>
      </c>
      <c r="V15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61" s="18" t="str">
        <f>IFERROR(IF(LEFT(ICE[[#This Row],[Tenor]], 1) = "B", RTD("esrtd",,$B1561 &amp; " " &amp; ICE[[#This Row],[Tenor]] &amp; "-IEU", W$1), RTD("esrtd",,$B1561 &amp; " " &amp; VLOOKUP(MONTH(ICE[[#This Row],[Strip]]), MthRef[], 2, 0) &amp; RIGHT(YEAR(ICE[[#This Row],[Strip]]), 2) &amp; "-IEU", W$1)), "")</f>
        <v/>
      </c>
      <c r="X1561" s="36"/>
    </row>
    <row r="1562" spans="1:24" x14ac:dyDescent="0.25">
      <c r="A1562" s="37" t="s">
        <v>353</v>
      </c>
      <c r="B1562" s="88" t="str">
        <f>RTD("ice.rtd",,$C1562 &amp; $D1562 &amp; ":" &amp; B$1)</f>
        <v>MLT</v>
      </c>
      <c r="C1562" s="3">
        <v>57179020</v>
      </c>
      <c r="D1562" t="s">
        <v>804</v>
      </c>
      <c r="E1562" s="3" t="str">
        <f>RTD("ice.rtd",,$C1562 &amp; $D1562 &amp; ":" &amp; E$1)</f>
        <v>Dec27</v>
      </c>
      <c r="F1562" s="3" t="str">
        <f>ICE[[#This Row],[Prod]]&amp;ICE[[#This Row],[Strip]]</f>
        <v>icemidticmaDec27</v>
      </c>
      <c r="G1562" s="18" t="str">
        <f>RTD("ice.rtd",,$C1562 &amp; $D1562 &amp; ":" &amp; G$1)</f>
        <v/>
      </c>
      <c r="H1562" s="18" t="str">
        <f>RTD("ice.rtd",,$C1562 &amp; $D1562 &amp; ":" &amp; H$1)</f>
        <v/>
      </c>
      <c r="I1562" s="18" t="str">
        <f>RTD("ice.rtd",,$C1562 &amp; $D1562 &amp; ":" &amp; I$1)</f>
        <v/>
      </c>
      <c r="J1562" s="14" t="str">
        <f>IFERROR(MOD(RTD("ice.rtd",,$C1562 &amp; $D1562 &amp; ":" &amp; J$1), 1), "")</f>
        <v/>
      </c>
      <c r="K1562" s="18" t="str">
        <f>RTD("ice.rtd",,$C1562 &amp; $D1562 &amp; ":" &amp; K$1)</f>
        <v/>
      </c>
      <c r="L1562" s="36" t="str">
        <f>RTD("ice.rtd",,$C1562 &amp; $D1562 &amp; ":" &amp; L$1)</f>
        <v/>
      </c>
      <c r="M1562" s="14" t="str">
        <f>IFERROR(MOD(TIMEVALUE(RTD("ice.rtd",,$C1562 &amp; $D1562 &amp; ":" &amp; M$1)), 1), "")</f>
        <v/>
      </c>
      <c r="N1562" s="36">
        <f>RTD("ice.rtd",,$C1562 &amp; $D1562 &amp; ":" &amp; N$1)</f>
        <v>0</v>
      </c>
      <c r="O1562" s="36">
        <f>RTD("ice.rtd",,$C1562 &amp; $D1562 &amp; ":" &amp; O$1)</f>
        <v>0</v>
      </c>
      <c r="P15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2" s="14" t="str">
        <f>IF(ICE[[#This Row],[LastType]] = "Scrn", ICE[[#This Row],[LstDate]], IF(ICE[[#This Row],[LastType]] = "Blk", ICE[[#This Row],[LstBlkTime]], ""))</f>
        <v/>
      </c>
      <c r="R1562" s="41" t="str">
        <f>IF(ICE[[#This Row],[LastType]] = "Scrn", ICE[[#This Row],[LstPrc]], IF(ICE[[#This Row],[LastType]] = "Blk", ICE[[#This Row],[LstBlkPrc]], ""))</f>
        <v/>
      </c>
      <c r="S1562" s="36">
        <f>ICE[[#This Row],[Vol]]+ICE[[#This Row],[BlkVol]]</f>
        <v>0</v>
      </c>
      <c r="T1562" s="36">
        <f>RTD("ice.rtd",,$C1562 &amp; $D1562 &amp; ":" &amp; T$1)</f>
        <v>0</v>
      </c>
      <c r="U1562" s="18">
        <f>RTD("ice.rtd",,$C1562 &amp; $D1562 &amp; ":" &amp; U$1)</f>
        <v>1.214</v>
      </c>
      <c r="V15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62" s="18" t="str">
        <f>IFERROR(IF(LEFT(ICE[[#This Row],[Tenor]], 1) = "B", RTD("esrtd",,$B1562 &amp; " " &amp; ICE[[#This Row],[Tenor]] &amp; "-IEU", W$1), RTD("esrtd",,$B1562 &amp; " " &amp; VLOOKUP(MONTH(ICE[[#This Row],[Strip]]), MthRef[], 2, 0) &amp; RIGHT(YEAR(ICE[[#This Row],[Strip]]), 2) &amp; "-IEU", W$1)), "")</f>
        <v/>
      </c>
      <c r="X1562" s="36"/>
    </row>
    <row r="1563" spans="1:24" x14ac:dyDescent="0.25">
      <c r="A1563" s="37" t="s">
        <v>353</v>
      </c>
      <c r="B1563" s="88" t="str">
        <f>RTD("ice.rtd",,$C1563 &amp; $D1563 &amp; ":" &amp; B$1)</f>
        <v>Invalid Market: 57179020M16</v>
      </c>
      <c r="C1563" s="3">
        <v>57179020</v>
      </c>
      <c r="D1563" t="s">
        <v>805</v>
      </c>
      <c r="E1563" s="3" t="str">
        <f>RTD("ice.rtd",,$C1563 &amp; $D1563 &amp; ":" &amp; E$1)</f>
        <v>Invalid Market: 57179020M16</v>
      </c>
      <c r="F1563" s="3" t="str">
        <f>ICE[[#This Row],[Prod]]&amp;ICE[[#This Row],[Strip]]</f>
        <v>icemidticmaInvalid Market: 57179020M16</v>
      </c>
      <c r="G1563" s="18" t="str">
        <f>RTD("ice.rtd",,$C1563 &amp; $D1563 &amp; ":" &amp; G$1)</f>
        <v>Invalid Market: 57179020M16</v>
      </c>
      <c r="H1563" s="18" t="str">
        <f>RTD("ice.rtd",,$C1563 &amp; $D1563 &amp; ":" &amp; H$1)</f>
        <v>Invalid Market: 57179020M16</v>
      </c>
      <c r="I1563" s="18" t="str">
        <f>RTD("ice.rtd",,$C1563 &amp; $D1563 &amp; ":" &amp; I$1)</f>
        <v>Invalid Market: 57179020M16</v>
      </c>
      <c r="J1563" s="14" t="str">
        <f>IFERROR(MOD(RTD("ice.rtd",,$C1563 &amp; $D1563 &amp; ":" &amp; J$1), 1), "")</f>
        <v/>
      </c>
      <c r="K1563" s="18" t="str">
        <f>RTD("ice.rtd",,$C1563 &amp; $D1563 &amp; ":" &amp; K$1)</f>
        <v>Invalid Market: 57179020M16</v>
      </c>
      <c r="L1563" s="36" t="str">
        <f>RTD("ice.rtd",,$C1563 &amp; $D1563 &amp; ":" &amp; L$1)</f>
        <v>Invalid Market: 57179020M16</v>
      </c>
      <c r="M1563" s="14" t="str">
        <f>IFERROR(MOD(TIMEVALUE(RTD("ice.rtd",,$C1563 &amp; $D1563 &amp; ":" &amp; M$1)), 1), "")</f>
        <v/>
      </c>
      <c r="N1563" s="36" t="str">
        <f>RTD("ice.rtd",,$C1563 &amp; $D1563 &amp; ":" &amp; N$1)</f>
        <v>Invalid Market: 57179020M16</v>
      </c>
      <c r="O1563" s="36" t="str">
        <f>RTD("ice.rtd",,$C1563 &amp; $D1563 &amp; ":" &amp; O$1)</f>
        <v>Invalid Market: 57179020M16</v>
      </c>
      <c r="P15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3" s="14" t="str">
        <f>IF(ICE[[#This Row],[LastType]] = "Scrn", ICE[[#This Row],[LstDate]], IF(ICE[[#This Row],[LastType]] = "Blk", ICE[[#This Row],[LstBlkTime]], ""))</f>
        <v/>
      </c>
      <c r="R1563" s="41" t="str">
        <f>IF(ICE[[#This Row],[LastType]] = "Scrn", ICE[[#This Row],[LstPrc]], IF(ICE[[#This Row],[LastType]] = "Blk", ICE[[#This Row],[LstBlkPrc]], ""))</f>
        <v/>
      </c>
      <c r="S1563" s="36" t="e">
        <f>ICE[[#This Row],[Vol]]+ICE[[#This Row],[BlkVol]]</f>
        <v>#VALUE!</v>
      </c>
      <c r="T1563" s="36" t="str">
        <f>RTD("ice.rtd",,$C1563 &amp; $D1563 &amp; ":" &amp; T$1)</f>
        <v>Invalid Market: 57179020M16</v>
      </c>
      <c r="U1563" s="18" t="str">
        <f>RTD("ice.rtd",,$C1563 &amp; $D1563 &amp; ":" &amp; U$1)</f>
        <v>Invalid Market: 57179020M16</v>
      </c>
      <c r="V15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63" s="18" t="str">
        <f>IFERROR(IF(LEFT(ICE[[#This Row],[Tenor]], 1) = "B", RTD("esrtd",,$B1563 &amp; " " &amp; ICE[[#This Row],[Tenor]] &amp; "-IEU", W$1), RTD("esrtd",,$B1563 &amp; " " &amp; VLOOKUP(MONTH(ICE[[#This Row],[Strip]]), MthRef[], 2, 0) &amp; RIGHT(YEAR(ICE[[#This Row],[Strip]]), 2) &amp; "-IEU", W$1)), "")</f>
        <v/>
      </c>
      <c r="X1563" s="36"/>
    </row>
    <row r="1564" spans="1:24" x14ac:dyDescent="0.25">
      <c r="A1564" s="37" t="s">
        <v>353</v>
      </c>
      <c r="B1564" s="88" t="str">
        <f>RTD("ice.rtd",,$C1564 &amp; $D1564 &amp; ":" &amp; B$1)</f>
        <v>Invalid Market: 57179020M17</v>
      </c>
      <c r="C1564" s="3">
        <v>57179020</v>
      </c>
      <c r="D1564" t="s">
        <v>806</v>
      </c>
      <c r="E1564" s="3" t="str">
        <f>RTD("ice.rtd",,$C1564 &amp; $D1564 &amp; ":" &amp; E$1)</f>
        <v>Invalid Market: 57179020M17</v>
      </c>
      <c r="F1564" s="3" t="str">
        <f>ICE[[#This Row],[Prod]]&amp;ICE[[#This Row],[Strip]]</f>
        <v>icemidticmaInvalid Market: 57179020M17</v>
      </c>
      <c r="G1564" s="18" t="str">
        <f>RTD("ice.rtd",,$C1564 &amp; $D1564 &amp; ":" &amp; G$1)</f>
        <v>Invalid Market: 57179020M17</v>
      </c>
      <c r="H1564" s="18" t="str">
        <f>RTD("ice.rtd",,$C1564 &amp; $D1564 &amp; ":" &amp; H$1)</f>
        <v>Invalid Market: 57179020M17</v>
      </c>
      <c r="I1564" s="18" t="str">
        <f>RTD("ice.rtd",,$C1564 &amp; $D1564 &amp; ":" &amp; I$1)</f>
        <v>Invalid Market: 57179020M17</v>
      </c>
      <c r="J1564" s="14" t="str">
        <f>IFERROR(MOD(RTD("ice.rtd",,$C1564 &amp; $D1564 &amp; ":" &amp; J$1), 1), "")</f>
        <v/>
      </c>
      <c r="K1564" s="18" t="str">
        <f>RTD("ice.rtd",,$C1564 &amp; $D1564 &amp; ":" &amp; K$1)</f>
        <v>Invalid Market: 57179020M17</v>
      </c>
      <c r="L1564" s="36" t="str">
        <f>RTD("ice.rtd",,$C1564 &amp; $D1564 &amp; ":" &amp; L$1)</f>
        <v>Invalid Market: 57179020M17</v>
      </c>
      <c r="M1564" s="14" t="str">
        <f>IFERROR(MOD(TIMEVALUE(RTD("ice.rtd",,$C1564 &amp; $D1564 &amp; ":" &amp; M$1)), 1), "")</f>
        <v/>
      </c>
      <c r="N1564" s="36" t="str">
        <f>RTD("ice.rtd",,$C1564 &amp; $D1564 &amp; ":" &amp; N$1)</f>
        <v>Invalid Market: 57179020M17</v>
      </c>
      <c r="O1564" s="36" t="str">
        <f>RTD("ice.rtd",,$C1564 &amp; $D1564 &amp; ":" &amp; O$1)</f>
        <v>Invalid Market: 57179020M17</v>
      </c>
      <c r="P15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4" s="14" t="str">
        <f>IF(ICE[[#This Row],[LastType]] = "Scrn", ICE[[#This Row],[LstDate]], IF(ICE[[#This Row],[LastType]] = "Blk", ICE[[#This Row],[LstBlkTime]], ""))</f>
        <v/>
      </c>
      <c r="R1564" s="41" t="str">
        <f>IF(ICE[[#This Row],[LastType]] = "Scrn", ICE[[#This Row],[LstPrc]], IF(ICE[[#This Row],[LastType]] = "Blk", ICE[[#This Row],[LstBlkPrc]], ""))</f>
        <v/>
      </c>
      <c r="S1564" s="36" t="e">
        <f>ICE[[#This Row],[Vol]]+ICE[[#This Row],[BlkVol]]</f>
        <v>#VALUE!</v>
      </c>
      <c r="T1564" s="36" t="str">
        <f>RTD("ice.rtd",,$C1564 &amp; $D1564 &amp; ":" &amp; T$1)</f>
        <v>Invalid Market: 57179020M17</v>
      </c>
      <c r="U1564" s="18" t="str">
        <f>RTD("ice.rtd",,$C1564 &amp; $D1564 &amp; ":" &amp; U$1)</f>
        <v>Invalid Market: 57179020M17</v>
      </c>
      <c r="V15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64" s="18" t="str">
        <f>IFERROR(IF(LEFT(ICE[[#This Row],[Tenor]], 1) = "B", RTD("esrtd",,$B1564 &amp; " " &amp; ICE[[#This Row],[Tenor]] &amp; "-IEU", W$1), RTD("esrtd",,$B1564 &amp; " " &amp; VLOOKUP(MONTH(ICE[[#This Row],[Strip]]), MthRef[], 2, 0) &amp; RIGHT(YEAR(ICE[[#This Row],[Strip]]), 2) &amp; "-IEU", W$1)), "")</f>
        <v/>
      </c>
      <c r="X1564" s="36"/>
    </row>
    <row r="1565" spans="1:24" x14ac:dyDescent="0.25">
      <c r="A1565" s="37" t="s">
        <v>353</v>
      </c>
      <c r="B1565" s="88" t="str">
        <f>RTD("ice.rtd",,$C1565 &amp; $D1565 &amp; ":" &amp; B$1)</f>
        <v>Invalid Market: 57179020M18</v>
      </c>
      <c r="C1565" s="3">
        <v>57179020</v>
      </c>
      <c r="D1565" t="s">
        <v>807</v>
      </c>
      <c r="E1565" s="3" t="str">
        <f>RTD("ice.rtd",,$C1565 &amp; $D1565 &amp; ":" &amp; E$1)</f>
        <v>Invalid Market: 57179020M18</v>
      </c>
      <c r="F1565" s="3" t="str">
        <f>ICE[[#This Row],[Prod]]&amp;ICE[[#This Row],[Strip]]</f>
        <v>icemidticmaInvalid Market: 57179020M18</v>
      </c>
      <c r="G1565" s="18" t="str">
        <f>RTD("ice.rtd",,$C1565 &amp; $D1565 &amp; ":" &amp; G$1)</f>
        <v>Invalid Market: 57179020M18</v>
      </c>
      <c r="H1565" s="18" t="str">
        <f>RTD("ice.rtd",,$C1565 &amp; $D1565 &amp; ":" &amp; H$1)</f>
        <v>Invalid Market: 57179020M18</v>
      </c>
      <c r="I1565" s="18" t="str">
        <f>RTD("ice.rtd",,$C1565 &amp; $D1565 &amp; ":" &amp; I$1)</f>
        <v>Invalid Market: 57179020M18</v>
      </c>
      <c r="J1565" s="14" t="str">
        <f>IFERROR(MOD(RTD("ice.rtd",,$C1565 &amp; $D1565 &amp; ":" &amp; J$1), 1), "")</f>
        <v/>
      </c>
      <c r="K1565" s="18" t="str">
        <f>RTD("ice.rtd",,$C1565 &amp; $D1565 &amp; ":" &amp; K$1)</f>
        <v>Invalid Market: 57179020M18</v>
      </c>
      <c r="L1565" s="36" t="str">
        <f>RTD("ice.rtd",,$C1565 &amp; $D1565 &amp; ":" &amp; L$1)</f>
        <v>Invalid Market: 57179020M18</v>
      </c>
      <c r="M1565" s="14" t="str">
        <f>IFERROR(MOD(TIMEVALUE(RTD("ice.rtd",,$C1565 &amp; $D1565 &amp; ":" &amp; M$1)), 1), "")</f>
        <v/>
      </c>
      <c r="N1565" s="36" t="str">
        <f>RTD("ice.rtd",,$C1565 &amp; $D1565 &amp; ":" &amp; N$1)</f>
        <v>Invalid Market: 57179020M18</v>
      </c>
      <c r="O1565" s="36" t="str">
        <f>RTD("ice.rtd",,$C1565 &amp; $D1565 &amp; ":" &amp; O$1)</f>
        <v>Invalid Market: 57179020M18</v>
      </c>
      <c r="P15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5" s="14" t="str">
        <f>IF(ICE[[#This Row],[LastType]] = "Scrn", ICE[[#This Row],[LstDate]], IF(ICE[[#This Row],[LastType]] = "Blk", ICE[[#This Row],[LstBlkTime]], ""))</f>
        <v/>
      </c>
      <c r="R1565" s="41" t="str">
        <f>IF(ICE[[#This Row],[LastType]] = "Scrn", ICE[[#This Row],[LstPrc]], IF(ICE[[#This Row],[LastType]] = "Blk", ICE[[#This Row],[LstBlkPrc]], ""))</f>
        <v/>
      </c>
      <c r="S1565" s="36" t="e">
        <f>ICE[[#This Row],[Vol]]+ICE[[#This Row],[BlkVol]]</f>
        <v>#VALUE!</v>
      </c>
      <c r="T1565" s="36" t="str">
        <f>RTD("ice.rtd",,$C1565 &amp; $D1565 &amp; ":" &amp; T$1)</f>
        <v>Invalid Market: 57179020M18</v>
      </c>
      <c r="U1565" s="18" t="str">
        <f>RTD("ice.rtd",,$C1565 &amp; $D1565 &amp; ":" &amp; U$1)</f>
        <v>Invalid Market: 57179020M18</v>
      </c>
      <c r="V15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65" s="18" t="str">
        <f>IFERROR(IF(LEFT(ICE[[#This Row],[Tenor]], 1) = "B", RTD("esrtd",,$B1565 &amp; " " &amp; ICE[[#This Row],[Tenor]] &amp; "-IEU", W$1), RTD("esrtd",,$B1565 &amp; " " &amp; VLOOKUP(MONTH(ICE[[#This Row],[Strip]]), MthRef[], 2, 0) &amp; RIGHT(YEAR(ICE[[#This Row],[Strip]]), 2) &amp; "-IEU", W$1)), "")</f>
        <v/>
      </c>
      <c r="X1565" s="36"/>
    </row>
    <row r="1566" spans="1:24" x14ac:dyDescent="0.25">
      <c r="A1566" s="37" t="s">
        <v>353</v>
      </c>
      <c r="B1566" s="88" t="str">
        <f>RTD("ice.rtd",,$C1566 &amp; $D1566 &amp; ":" &amp; B$1)</f>
        <v>Invalid Market: 57179020M19</v>
      </c>
      <c r="C1566" s="3">
        <v>57179020</v>
      </c>
      <c r="D1566" t="s">
        <v>808</v>
      </c>
      <c r="E1566" s="3" t="str">
        <f>RTD("ice.rtd",,$C1566 &amp; $D1566 &amp; ":" &amp; E$1)</f>
        <v>Invalid Market: 57179020M19</v>
      </c>
      <c r="F1566" s="3" t="str">
        <f>ICE[[#This Row],[Prod]]&amp;ICE[[#This Row],[Strip]]</f>
        <v>icemidticmaInvalid Market: 57179020M19</v>
      </c>
      <c r="G1566" s="18" t="str">
        <f>RTD("ice.rtd",,$C1566 &amp; $D1566 &amp; ":" &amp; G$1)</f>
        <v>Invalid Market: 57179020M19</v>
      </c>
      <c r="H1566" s="18" t="str">
        <f>RTD("ice.rtd",,$C1566 &amp; $D1566 &amp; ":" &amp; H$1)</f>
        <v>Invalid Market: 57179020M19</v>
      </c>
      <c r="I1566" s="18" t="str">
        <f>RTD("ice.rtd",,$C1566 &amp; $D1566 &amp; ":" &amp; I$1)</f>
        <v>Invalid Market: 57179020M19</v>
      </c>
      <c r="J1566" s="14" t="str">
        <f>IFERROR(MOD(RTD("ice.rtd",,$C1566 &amp; $D1566 &amp; ":" &amp; J$1), 1), "")</f>
        <v/>
      </c>
      <c r="K1566" s="18" t="str">
        <f>RTD("ice.rtd",,$C1566 &amp; $D1566 &amp; ":" &amp; K$1)</f>
        <v>Invalid Market: 57179020M19</v>
      </c>
      <c r="L1566" s="36" t="str">
        <f>RTD("ice.rtd",,$C1566 &amp; $D1566 &amp; ":" &amp; L$1)</f>
        <v>Invalid Market: 57179020M19</v>
      </c>
      <c r="M1566" s="14" t="str">
        <f>IFERROR(MOD(TIMEVALUE(RTD("ice.rtd",,$C1566 &amp; $D1566 &amp; ":" &amp; M$1)), 1), "")</f>
        <v/>
      </c>
      <c r="N1566" s="36" t="str">
        <f>RTD("ice.rtd",,$C1566 &amp; $D1566 &amp; ":" &amp; N$1)</f>
        <v>Invalid Market: 57179020M19</v>
      </c>
      <c r="O1566" s="36" t="str">
        <f>RTD("ice.rtd",,$C1566 &amp; $D1566 &amp; ":" &amp; O$1)</f>
        <v>Invalid Market: 57179020M19</v>
      </c>
      <c r="P15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6" s="14" t="str">
        <f>IF(ICE[[#This Row],[LastType]] = "Scrn", ICE[[#This Row],[LstDate]], IF(ICE[[#This Row],[LastType]] = "Blk", ICE[[#This Row],[LstBlkTime]], ""))</f>
        <v/>
      </c>
      <c r="R1566" s="41" t="str">
        <f>IF(ICE[[#This Row],[LastType]] = "Scrn", ICE[[#This Row],[LstPrc]], IF(ICE[[#This Row],[LastType]] = "Blk", ICE[[#This Row],[LstBlkPrc]], ""))</f>
        <v/>
      </c>
      <c r="S1566" s="36" t="e">
        <f>ICE[[#This Row],[Vol]]+ICE[[#This Row],[BlkVol]]</f>
        <v>#VALUE!</v>
      </c>
      <c r="T1566" s="36" t="str">
        <f>RTD("ice.rtd",,$C1566 &amp; $D1566 &amp; ":" &amp; T$1)</f>
        <v>Invalid Market: 57179020M19</v>
      </c>
      <c r="U1566" s="18" t="str">
        <f>RTD("ice.rtd",,$C1566 &amp; $D1566 &amp; ":" &amp; U$1)</f>
        <v>Invalid Market: 57179020M19</v>
      </c>
      <c r="V15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66" s="18" t="str">
        <f>IFERROR(IF(LEFT(ICE[[#This Row],[Tenor]], 1) = "B", RTD("esrtd",,$B1566 &amp; " " &amp; ICE[[#This Row],[Tenor]] &amp; "-IEU", W$1), RTD("esrtd",,$B1566 &amp; " " &amp; VLOOKUP(MONTH(ICE[[#This Row],[Strip]]), MthRef[], 2, 0) &amp; RIGHT(YEAR(ICE[[#This Row],[Strip]]), 2) &amp; "-IEU", W$1)), "")</f>
        <v/>
      </c>
      <c r="X1566" s="36"/>
    </row>
    <row r="1567" spans="1:24" x14ac:dyDescent="0.25">
      <c r="A1567" s="37" t="s">
        <v>353</v>
      </c>
      <c r="B1567" s="88" t="str">
        <f>RTD("ice.rtd",,$C1567 &amp; $D1567 &amp; ":" &amp; B$1)</f>
        <v>Invalid Market: 57179020M20</v>
      </c>
      <c r="C1567" s="3">
        <v>57179020</v>
      </c>
      <c r="D1567" t="s">
        <v>809</v>
      </c>
      <c r="E1567" s="3" t="str">
        <f>RTD("ice.rtd",,$C1567 &amp; $D1567 &amp; ":" &amp; E$1)</f>
        <v>Invalid Market: 57179020M20</v>
      </c>
      <c r="F1567" s="3" t="str">
        <f>ICE[[#This Row],[Prod]]&amp;ICE[[#This Row],[Strip]]</f>
        <v>icemidticmaInvalid Market: 57179020M20</v>
      </c>
      <c r="G1567" s="18" t="str">
        <f>RTD("ice.rtd",,$C1567 &amp; $D1567 &amp; ":" &amp; G$1)</f>
        <v>Invalid Market: 57179020M20</v>
      </c>
      <c r="H1567" s="18" t="str">
        <f>RTD("ice.rtd",,$C1567 &amp; $D1567 &amp; ":" &amp; H$1)</f>
        <v>Invalid Market: 57179020M20</v>
      </c>
      <c r="I1567" s="18" t="str">
        <f>RTD("ice.rtd",,$C1567 &amp; $D1567 &amp; ":" &amp; I$1)</f>
        <v>Invalid Market: 57179020M20</v>
      </c>
      <c r="J1567" s="14" t="str">
        <f>IFERROR(MOD(RTD("ice.rtd",,$C1567 &amp; $D1567 &amp; ":" &amp; J$1), 1), "")</f>
        <v/>
      </c>
      <c r="K1567" s="18" t="str">
        <f>RTD("ice.rtd",,$C1567 &amp; $D1567 &amp; ":" &amp; K$1)</f>
        <v>Invalid Market: 57179020M20</v>
      </c>
      <c r="L1567" s="36" t="str">
        <f>RTD("ice.rtd",,$C1567 &amp; $D1567 &amp; ":" &amp; L$1)</f>
        <v>Invalid Market: 57179020M20</v>
      </c>
      <c r="M1567" s="14" t="str">
        <f>IFERROR(MOD(TIMEVALUE(RTD("ice.rtd",,$C1567 &amp; $D1567 &amp; ":" &amp; M$1)), 1), "")</f>
        <v/>
      </c>
      <c r="N1567" s="36" t="str">
        <f>RTD("ice.rtd",,$C1567 &amp; $D1567 &amp; ":" &amp; N$1)</f>
        <v>Invalid Market: 57179020M20</v>
      </c>
      <c r="O1567" s="36" t="str">
        <f>RTD("ice.rtd",,$C1567 &amp; $D1567 &amp; ":" &amp; O$1)</f>
        <v>Invalid Market: 57179020M20</v>
      </c>
      <c r="P15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7" s="14" t="str">
        <f>IF(ICE[[#This Row],[LastType]] = "Scrn", ICE[[#This Row],[LstDate]], IF(ICE[[#This Row],[LastType]] = "Blk", ICE[[#This Row],[LstBlkTime]], ""))</f>
        <v/>
      </c>
      <c r="R1567" s="41" t="str">
        <f>IF(ICE[[#This Row],[LastType]] = "Scrn", ICE[[#This Row],[LstPrc]], IF(ICE[[#This Row],[LastType]] = "Blk", ICE[[#This Row],[LstBlkPrc]], ""))</f>
        <v/>
      </c>
      <c r="S1567" s="36" t="e">
        <f>ICE[[#This Row],[Vol]]+ICE[[#This Row],[BlkVol]]</f>
        <v>#VALUE!</v>
      </c>
      <c r="T1567" s="36" t="str">
        <f>RTD("ice.rtd",,$C1567 &amp; $D1567 &amp; ":" &amp; T$1)</f>
        <v>Invalid Market: 57179020M20</v>
      </c>
      <c r="U1567" s="18" t="str">
        <f>RTD("ice.rtd",,$C1567 &amp; $D1567 &amp; ":" &amp; U$1)</f>
        <v>Invalid Market: 57179020M20</v>
      </c>
      <c r="V15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67" s="18" t="str">
        <f>IFERROR(IF(LEFT(ICE[[#This Row],[Tenor]], 1) = "B", RTD("esrtd",,$B1567 &amp; " " &amp; ICE[[#This Row],[Tenor]] &amp; "-IEU", W$1), RTD("esrtd",,$B1567 &amp; " " &amp; VLOOKUP(MONTH(ICE[[#This Row],[Strip]]), MthRef[], 2, 0) &amp; RIGHT(YEAR(ICE[[#This Row],[Strip]]), 2) &amp; "-IEU", W$1)), "")</f>
        <v/>
      </c>
      <c r="X1567" s="36"/>
    </row>
    <row r="1568" spans="1:24" x14ac:dyDescent="0.25">
      <c r="A1568" s="37" t="s">
        <v>353</v>
      </c>
      <c r="B1568" s="88" t="str">
        <f>RTD("ice.rtd",,$C1568 &amp; $D1568 &amp; ":" &amp; B$1)</f>
        <v>Invalid Market: 57179020M21</v>
      </c>
      <c r="C1568" s="3">
        <v>57179020</v>
      </c>
      <c r="D1568" t="s">
        <v>810</v>
      </c>
      <c r="E1568" s="3" t="str">
        <f>RTD("ice.rtd",,$C1568 &amp; $D1568 &amp; ":" &amp; E$1)</f>
        <v>Invalid Market: 57179020M21</v>
      </c>
      <c r="F1568" s="3" t="str">
        <f>ICE[[#This Row],[Prod]]&amp;ICE[[#This Row],[Strip]]</f>
        <v>icemidticmaInvalid Market: 57179020M21</v>
      </c>
      <c r="G1568" s="18" t="str">
        <f>RTD("ice.rtd",,$C1568 &amp; $D1568 &amp; ":" &amp; G$1)</f>
        <v>Invalid Market: 57179020M21</v>
      </c>
      <c r="H1568" s="18" t="str">
        <f>RTD("ice.rtd",,$C1568 &amp; $D1568 &amp; ":" &amp; H$1)</f>
        <v>Invalid Market: 57179020M21</v>
      </c>
      <c r="I1568" s="18" t="str">
        <f>RTD("ice.rtd",,$C1568 &amp; $D1568 &amp; ":" &amp; I$1)</f>
        <v>Invalid Market: 57179020M21</v>
      </c>
      <c r="J1568" s="14" t="str">
        <f>IFERROR(MOD(RTD("ice.rtd",,$C1568 &amp; $D1568 &amp; ":" &amp; J$1), 1), "")</f>
        <v/>
      </c>
      <c r="K1568" s="18" t="str">
        <f>RTD("ice.rtd",,$C1568 &amp; $D1568 &amp; ":" &amp; K$1)</f>
        <v>Invalid Market: 57179020M21</v>
      </c>
      <c r="L1568" s="36" t="str">
        <f>RTD("ice.rtd",,$C1568 &amp; $D1568 &amp; ":" &amp; L$1)</f>
        <v>Invalid Market: 57179020M21</v>
      </c>
      <c r="M1568" s="14" t="str">
        <f>IFERROR(MOD(TIMEVALUE(RTD("ice.rtd",,$C1568 &amp; $D1568 &amp; ":" &amp; M$1)), 1), "")</f>
        <v/>
      </c>
      <c r="N1568" s="36" t="str">
        <f>RTD("ice.rtd",,$C1568 &amp; $D1568 &amp; ":" &amp; N$1)</f>
        <v>Invalid Market: 57179020M21</v>
      </c>
      <c r="O1568" s="36" t="str">
        <f>RTD("ice.rtd",,$C1568 &amp; $D1568 &amp; ":" &amp; O$1)</f>
        <v>Invalid Market: 57179020M21</v>
      </c>
      <c r="P15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8" s="14" t="str">
        <f>IF(ICE[[#This Row],[LastType]] = "Scrn", ICE[[#This Row],[LstDate]], IF(ICE[[#This Row],[LastType]] = "Blk", ICE[[#This Row],[LstBlkTime]], ""))</f>
        <v/>
      </c>
      <c r="R1568" s="41" t="str">
        <f>IF(ICE[[#This Row],[LastType]] = "Scrn", ICE[[#This Row],[LstPrc]], IF(ICE[[#This Row],[LastType]] = "Blk", ICE[[#This Row],[LstBlkPrc]], ""))</f>
        <v/>
      </c>
      <c r="S1568" s="36" t="e">
        <f>ICE[[#This Row],[Vol]]+ICE[[#This Row],[BlkVol]]</f>
        <v>#VALUE!</v>
      </c>
      <c r="T1568" s="36" t="str">
        <f>RTD("ice.rtd",,$C1568 &amp; $D1568 &amp; ":" &amp; T$1)</f>
        <v>Invalid Market: 57179020M21</v>
      </c>
      <c r="U1568" s="18" t="str">
        <f>RTD("ice.rtd",,$C1568 &amp; $D1568 &amp; ":" &amp; U$1)</f>
        <v>Invalid Market: 57179020M21</v>
      </c>
      <c r="V15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68" s="18" t="str">
        <f>IFERROR(IF(LEFT(ICE[[#This Row],[Tenor]], 1) = "B", RTD("esrtd",,$B1568 &amp; " " &amp; ICE[[#This Row],[Tenor]] &amp; "-IEU", W$1), RTD("esrtd",,$B1568 &amp; " " &amp; VLOOKUP(MONTH(ICE[[#This Row],[Strip]]), MthRef[], 2, 0) &amp; RIGHT(YEAR(ICE[[#This Row],[Strip]]), 2) &amp; "-IEU", W$1)), "")</f>
        <v/>
      </c>
      <c r="X1568" s="36"/>
    </row>
    <row r="1569" spans="1:24" x14ac:dyDescent="0.25">
      <c r="A1569" s="37" t="s">
        <v>353</v>
      </c>
      <c r="B1569" s="88" t="str">
        <f>RTD("ice.rtd",,$C1569 &amp; $D1569 &amp; ":" &amp; B$1)</f>
        <v>Invalid Market: 57179020M22</v>
      </c>
      <c r="C1569" s="3">
        <v>57179020</v>
      </c>
      <c r="D1569" t="s">
        <v>811</v>
      </c>
      <c r="E1569" s="3" t="str">
        <f>RTD("ice.rtd",,$C1569 &amp; $D1569 &amp; ":" &amp; E$1)</f>
        <v>Invalid Market: 57179020M22</v>
      </c>
      <c r="F1569" s="3" t="str">
        <f>ICE[[#This Row],[Prod]]&amp;ICE[[#This Row],[Strip]]</f>
        <v>icemidticmaInvalid Market: 57179020M22</v>
      </c>
      <c r="G1569" s="18" t="str">
        <f>RTD("ice.rtd",,$C1569 &amp; $D1569 &amp; ":" &amp; G$1)</f>
        <v>Invalid Market: 57179020M22</v>
      </c>
      <c r="H1569" s="18" t="str">
        <f>RTD("ice.rtd",,$C1569 &amp; $D1569 &amp; ":" &amp; H$1)</f>
        <v>Invalid Market: 57179020M22</v>
      </c>
      <c r="I1569" s="18" t="str">
        <f>RTD("ice.rtd",,$C1569 &amp; $D1569 &amp; ":" &amp; I$1)</f>
        <v>Invalid Market: 57179020M22</v>
      </c>
      <c r="J1569" s="14" t="str">
        <f>IFERROR(MOD(RTD("ice.rtd",,$C1569 &amp; $D1569 &amp; ":" &amp; J$1), 1), "")</f>
        <v/>
      </c>
      <c r="K1569" s="18" t="str">
        <f>RTD("ice.rtd",,$C1569 &amp; $D1569 &amp; ":" &amp; K$1)</f>
        <v>Invalid Market: 57179020M22</v>
      </c>
      <c r="L1569" s="36" t="str">
        <f>RTD("ice.rtd",,$C1569 &amp; $D1569 &amp; ":" &amp; L$1)</f>
        <v>Invalid Market: 57179020M22</v>
      </c>
      <c r="M1569" s="14" t="str">
        <f>IFERROR(MOD(TIMEVALUE(RTD("ice.rtd",,$C1569 &amp; $D1569 &amp; ":" &amp; M$1)), 1), "")</f>
        <v/>
      </c>
      <c r="N1569" s="36" t="str">
        <f>RTD("ice.rtd",,$C1569 &amp; $D1569 &amp; ":" &amp; N$1)</f>
        <v>Invalid Market: 57179020M22</v>
      </c>
      <c r="O1569" s="36" t="str">
        <f>RTD("ice.rtd",,$C1569 &amp; $D1569 &amp; ":" &amp; O$1)</f>
        <v>Invalid Market: 57179020M22</v>
      </c>
      <c r="P15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69" s="14" t="str">
        <f>IF(ICE[[#This Row],[LastType]] = "Scrn", ICE[[#This Row],[LstDate]], IF(ICE[[#This Row],[LastType]] = "Blk", ICE[[#This Row],[LstBlkTime]], ""))</f>
        <v/>
      </c>
      <c r="R1569" s="41" t="str">
        <f>IF(ICE[[#This Row],[LastType]] = "Scrn", ICE[[#This Row],[LstPrc]], IF(ICE[[#This Row],[LastType]] = "Blk", ICE[[#This Row],[LstBlkPrc]], ""))</f>
        <v/>
      </c>
      <c r="S1569" s="36" t="e">
        <f>ICE[[#This Row],[Vol]]+ICE[[#This Row],[BlkVol]]</f>
        <v>#VALUE!</v>
      </c>
      <c r="T1569" s="36" t="str">
        <f>RTD("ice.rtd",,$C1569 &amp; $D1569 &amp; ":" &amp; T$1)</f>
        <v>Invalid Market: 57179020M22</v>
      </c>
      <c r="U1569" s="18" t="str">
        <f>RTD("ice.rtd",,$C1569 &amp; $D1569 &amp; ":" &amp; U$1)</f>
        <v>Invalid Market: 57179020M22</v>
      </c>
      <c r="V15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69" s="18" t="str">
        <f>IFERROR(IF(LEFT(ICE[[#This Row],[Tenor]], 1) = "B", RTD("esrtd",,$B1569 &amp; " " &amp; ICE[[#This Row],[Tenor]] &amp; "-IEU", W$1), RTD("esrtd",,$B1569 &amp; " " &amp; VLOOKUP(MONTH(ICE[[#This Row],[Strip]]), MthRef[], 2, 0) &amp; RIGHT(YEAR(ICE[[#This Row],[Strip]]), 2) &amp; "-IEU", W$1)), "")</f>
        <v/>
      </c>
      <c r="X1569" s="36"/>
    </row>
    <row r="1570" spans="1:24" x14ac:dyDescent="0.25">
      <c r="A1570" s="37" t="s">
        <v>353</v>
      </c>
      <c r="B1570" s="88" t="str">
        <f>RTD("ice.rtd",,$C1570 &amp; $D1570 &amp; ":" &amp; B$1)</f>
        <v>Invalid Market: 57179020M23</v>
      </c>
      <c r="C1570" s="3">
        <v>57179020</v>
      </c>
      <c r="D1570" t="s">
        <v>812</v>
      </c>
      <c r="E1570" s="3" t="str">
        <f>RTD("ice.rtd",,$C1570 &amp; $D1570 &amp; ":" &amp; E$1)</f>
        <v>Invalid Market: 57179020M23</v>
      </c>
      <c r="F1570" s="3" t="str">
        <f>ICE[[#This Row],[Prod]]&amp;ICE[[#This Row],[Strip]]</f>
        <v>icemidticmaInvalid Market: 57179020M23</v>
      </c>
      <c r="G1570" s="18" t="str">
        <f>RTD("ice.rtd",,$C1570 &amp; $D1570 &amp; ":" &amp; G$1)</f>
        <v>Invalid Market: 57179020M23</v>
      </c>
      <c r="H1570" s="18" t="str">
        <f>RTD("ice.rtd",,$C1570 &amp; $D1570 &amp; ":" &amp; H$1)</f>
        <v>Invalid Market: 57179020M23</v>
      </c>
      <c r="I1570" s="18" t="str">
        <f>RTD("ice.rtd",,$C1570 &amp; $D1570 &amp; ":" &amp; I$1)</f>
        <v>Invalid Market: 57179020M23</v>
      </c>
      <c r="J1570" s="14" t="str">
        <f>IFERROR(MOD(RTD("ice.rtd",,$C1570 &amp; $D1570 &amp; ":" &amp; J$1), 1), "")</f>
        <v/>
      </c>
      <c r="K1570" s="18" t="str">
        <f>RTD("ice.rtd",,$C1570 &amp; $D1570 &amp; ":" &amp; K$1)</f>
        <v>Invalid Market: 57179020M23</v>
      </c>
      <c r="L1570" s="36" t="str">
        <f>RTD("ice.rtd",,$C1570 &amp; $D1570 &amp; ":" &amp; L$1)</f>
        <v>Invalid Market: 57179020M23</v>
      </c>
      <c r="M1570" s="14" t="str">
        <f>IFERROR(MOD(TIMEVALUE(RTD("ice.rtd",,$C1570 &amp; $D1570 &amp; ":" &amp; M$1)), 1), "")</f>
        <v/>
      </c>
      <c r="N1570" s="36" t="str">
        <f>RTD("ice.rtd",,$C1570 &amp; $D1570 &amp; ":" &amp; N$1)</f>
        <v>Invalid Market: 57179020M23</v>
      </c>
      <c r="O1570" s="36" t="str">
        <f>RTD("ice.rtd",,$C1570 &amp; $D1570 &amp; ":" &amp; O$1)</f>
        <v>Invalid Market: 57179020M23</v>
      </c>
      <c r="P15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0" s="14" t="str">
        <f>IF(ICE[[#This Row],[LastType]] = "Scrn", ICE[[#This Row],[LstDate]], IF(ICE[[#This Row],[LastType]] = "Blk", ICE[[#This Row],[LstBlkTime]], ""))</f>
        <v/>
      </c>
      <c r="R1570" s="41" t="str">
        <f>IF(ICE[[#This Row],[LastType]] = "Scrn", ICE[[#This Row],[LstPrc]], IF(ICE[[#This Row],[LastType]] = "Blk", ICE[[#This Row],[LstBlkPrc]], ""))</f>
        <v/>
      </c>
      <c r="S1570" s="36" t="e">
        <f>ICE[[#This Row],[Vol]]+ICE[[#This Row],[BlkVol]]</f>
        <v>#VALUE!</v>
      </c>
      <c r="T1570" s="36" t="str">
        <f>RTD("ice.rtd",,$C1570 &amp; $D1570 &amp; ":" &amp; T$1)</f>
        <v>Invalid Market: 57179020M23</v>
      </c>
      <c r="U1570" s="18" t="str">
        <f>RTD("ice.rtd",,$C1570 &amp; $D1570 &amp; ":" &amp; U$1)</f>
        <v>Invalid Market: 57179020M23</v>
      </c>
      <c r="V15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70" s="18" t="str">
        <f>IFERROR(IF(LEFT(ICE[[#This Row],[Tenor]], 1) = "B", RTD("esrtd",,$B1570 &amp; " " &amp; ICE[[#This Row],[Tenor]] &amp; "-IEU", W$1), RTD("esrtd",,$B1570 &amp; " " &amp; VLOOKUP(MONTH(ICE[[#This Row],[Strip]]), MthRef[], 2, 0) &amp; RIGHT(YEAR(ICE[[#This Row],[Strip]]), 2) &amp; "-IEU", W$1)), "")</f>
        <v/>
      </c>
      <c r="X1570" s="36"/>
    </row>
    <row r="1571" spans="1:24" x14ac:dyDescent="0.25">
      <c r="A1571" s="37" t="s">
        <v>353</v>
      </c>
      <c r="B1571" s="88" t="str">
        <f>RTD("ice.rtd",,$C1571 &amp; $D1571 &amp; ":" &amp; B$1)</f>
        <v>Invalid Market: 57179020M24</v>
      </c>
      <c r="C1571" s="3">
        <v>57179020</v>
      </c>
      <c r="D1571" t="s">
        <v>813</v>
      </c>
      <c r="E1571" s="3" t="str">
        <f>RTD("ice.rtd",,$C1571 &amp; $D1571 &amp; ":" &amp; E$1)</f>
        <v>Invalid Market: 57179020M24</v>
      </c>
      <c r="F1571" s="3" t="str">
        <f>ICE[[#This Row],[Prod]]&amp;ICE[[#This Row],[Strip]]</f>
        <v>icemidticmaInvalid Market: 57179020M24</v>
      </c>
      <c r="G1571" s="18" t="str">
        <f>RTD("ice.rtd",,$C1571 &amp; $D1571 &amp; ":" &amp; G$1)</f>
        <v>Invalid Market: 57179020M24</v>
      </c>
      <c r="H1571" s="18" t="str">
        <f>RTD("ice.rtd",,$C1571 &amp; $D1571 &amp; ":" &amp; H$1)</f>
        <v>Invalid Market: 57179020M24</v>
      </c>
      <c r="I1571" s="18" t="str">
        <f>RTD("ice.rtd",,$C1571 &amp; $D1571 &amp; ":" &amp; I$1)</f>
        <v>Invalid Market: 57179020M24</v>
      </c>
      <c r="J1571" s="14" t="str">
        <f>IFERROR(MOD(RTD("ice.rtd",,$C1571 &amp; $D1571 &amp; ":" &amp; J$1), 1), "")</f>
        <v/>
      </c>
      <c r="K1571" s="18" t="str">
        <f>RTD("ice.rtd",,$C1571 &amp; $D1571 &amp; ":" &amp; K$1)</f>
        <v>Invalid Market: 57179020M24</v>
      </c>
      <c r="L1571" s="36" t="str">
        <f>RTD("ice.rtd",,$C1571 &amp; $D1571 &amp; ":" &amp; L$1)</f>
        <v>Invalid Market: 57179020M24</v>
      </c>
      <c r="M1571" s="14" t="str">
        <f>IFERROR(MOD(TIMEVALUE(RTD("ice.rtd",,$C1571 &amp; $D1571 &amp; ":" &amp; M$1)), 1), "")</f>
        <v/>
      </c>
      <c r="N1571" s="36" t="str">
        <f>RTD("ice.rtd",,$C1571 &amp; $D1571 &amp; ":" &amp; N$1)</f>
        <v>Invalid Market: 57179020M24</v>
      </c>
      <c r="O1571" s="36" t="str">
        <f>RTD("ice.rtd",,$C1571 &amp; $D1571 &amp; ":" &amp; O$1)</f>
        <v>Invalid Market: 57179020M24</v>
      </c>
      <c r="P15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1" s="14" t="str">
        <f>IF(ICE[[#This Row],[LastType]] = "Scrn", ICE[[#This Row],[LstDate]], IF(ICE[[#This Row],[LastType]] = "Blk", ICE[[#This Row],[LstBlkTime]], ""))</f>
        <v/>
      </c>
      <c r="R1571" s="41" t="str">
        <f>IF(ICE[[#This Row],[LastType]] = "Scrn", ICE[[#This Row],[LstPrc]], IF(ICE[[#This Row],[LastType]] = "Blk", ICE[[#This Row],[LstBlkPrc]], ""))</f>
        <v/>
      </c>
      <c r="S1571" s="36" t="e">
        <f>ICE[[#This Row],[Vol]]+ICE[[#This Row],[BlkVol]]</f>
        <v>#VALUE!</v>
      </c>
      <c r="T1571" s="36" t="str">
        <f>RTD("ice.rtd",,$C1571 &amp; $D1571 &amp; ":" &amp; T$1)</f>
        <v>Invalid Market: 57179020M24</v>
      </c>
      <c r="U1571" s="18" t="str">
        <f>RTD("ice.rtd",,$C1571 &amp; $D1571 &amp; ":" &amp; U$1)</f>
        <v>Invalid Market: 57179020M24</v>
      </c>
      <c r="V15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71" s="18" t="str">
        <f>IFERROR(IF(LEFT(ICE[[#This Row],[Tenor]], 1) = "B", RTD("esrtd",,$B1571 &amp; " " &amp; ICE[[#This Row],[Tenor]] &amp; "-IEU", W$1), RTD("esrtd",,$B1571 &amp; " " &amp; VLOOKUP(MONTH(ICE[[#This Row],[Strip]]), MthRef[], 2, 0) &amp; RIGHT(YEAR(ICE[[#This Row],[Strip]]), 2) &amp; "-IEU", W$1)), "")</f>
        <v/>
      </c>
      <c r="X1571" s="36"/>
    </row>
    <row r="1572" spans="1:24" x14ac:dyDescent="0.25">
      <c r="A1572" s="37" t="s">
        <v>353</v>
      </c>
      <c r="B1572" s="88" t="str">
        <f>RTD("ice.rtd",,$C1572 &amp; $D1572 &amp; ":" &amp; B$1)</f>
        <v>MLT</v>
      </c>
      <c r="C1572" s="3">
        <v>57179020</v>
      </c>
      <c r="D1572" t="s">
        <v>814</v>
      </c>
      <c r="E1572" s="3" t="str">
        <f>RTD("ice.rtd",,$C1572 &amp; $D1572 &amp; ":" &amp; E$1)</f>
        <v>Q4 26</v>
      </c>
      <c r="F1572" s="3" t="str">
        <f>ICE[[#This Row],[Prod]]&amp;ICE[[#This Row],[Strip]]</f>
        <v>icemidticmaQ4 26</v>
      </c>
      <c r="G1572" s="18" t="str">
        <f>RTD("ice.rtd",,$C1572 &amp; $D1572 &amp; ":" &amp; G$1)</f>
        <v/>
      </c>
      <c r="H1572" s="18" t="str">
        <f>RTD("ice.rtd",,$C1572 &amp; $D1572 &amp; ":" &amp; H$1)</f>
        <v/>
      </c>
      <c r="I1572" s="18" t="str">
        <f>RTD("ice.rtd",,$C1572 &amp; $D1572 &amp; ":" &amp; I$1)</f>
        <v/>
      </c>
      <c r="J1572" s="14" t="str">
        <f>IFERROR(MOD(RTD("ice.rtd",,$C1572 &amp; $D1572 &amp; ":" &amp; J$1), 1), "")</f>
        <v/>
      </c>
      <c r="K1572" s="18" t="str">
        <f>RTD("ice.rtd",,$C1572 &amp; $D1572 &amp; ":" &amp; K$1)</f>
        <v/>
      </c>
      <c r="L1572" s="36" t="str">
        <f>RTD("ice.rtd",,$C1572 &amp; $D1572 &amp; ":" &amp; L$1)</f>
        <v/>
      </c>
      <c r="M1572" s="14" t="str">
        <f>IFERROR(MOD(TIMEVALUE(RTD("ice.rtd",,$C1572 &amp; $D1572 &amp; ":" &amp; M$1)), 1), "")</f>
        <v/>
      </c>
      <c r="N1572" s="36">
        <f>RTD("ice.rtd",,$C1572 &amp; $D1572 &amp; ":" &amp; N$1)</f>
        <v>0</v>
      </c>
      <c r="O1572" s="36">
        <f>RTD("ice.rtd",,$C1572 &amp; $D1572 &amp; ":" &amp; O$1)</f>
        <v>0</v>
      </c>
      <c r="P15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2" s="14" t="str">
        <f>IF(ICE[[#This Row],[LastType]] = "Scrn", ICE[[#This Row],[LstDate]], IF(ICE[[#This Row],[LastType]] = "Blk", ICE[[#This Row],[LstBlkTime]], ""))</f>
        <v/>
      </c>
      <c r="R1572" s="41" t="str">
        <f>IF(ICE[[#This Row],[LastType]] = "Scrn", ICE[[#This Row],[LstPrc]], IF(ICE[[#This Row],[LastType]] = "Blk", ICE[[#This Row],[LstBlkPrc]], ""))</f>
        <v/>
      </c>
      <c r="S1572" s="36">
        <f>ICE[[#This Row],[Vol]]+ICE[[#This Row],[BlkVol]]</f>
        <v>0</v>
      </c>
      <c r="T1572" s="36">
        <f>RTD("ice.rtd",,$C1572 &amp; $D1572 &amp; ":" &amp; T$1)</f>
        <v>0</v>
      </c>
      <c r="U1572" s="18">
        <f>RTD("ice.rtd",,$C1572 &amp; $D1572 &amp; ":" &amp; U$1)</f>
        <v>0.97100000000000009</v>
      </c>
      <c r="V15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72" s="18" t="str">
        <f>IFERROR(IF(LEFT(ICE[[#This Row],[Tenor]], 1) = "B", RTD("esrtd",,$B1572 &amp; " " &amp; ICE[[#This Row],[Tenor]] &amp; "-IEU", W$1), RTD("esrtd",,$B1572 &amp; " " &amp; VLOOKUP(MONTH(ICE[[#This Row],[Strip]]), MthRef[], 2, 0) &amp; RIGHT(YEAR(ICE[[#This Row],[Strip]]), 2) &amp; "-IEU", W$1)), "")</f>
        <v/>
      </c>
      <c r="X1572" s="36"/>
    </row>
    <row r="1573" spans="1:24" x14ac:dyDescent="0.25">
      <c r="A1573" s="37" t="s">
        <v>353</v>
      </c>
      <c r="B1573" s="88" t="str">
        <f>RTD("ice.rtd",,$C1573 &amp; $D1573 &amp; ":" &amp; B$1)</f>
        <v>MLT</v>
      </c>
      <c r="C1573" s="3">
        <v>57179020</v>
      </c>
      <c r="D1573" t="s">
        <v>815</v>
      </c>
      <c r="E1573" s="3" t="str">
        <f>RTD("ice.rtd",,$C1573 &amp; $D1573 &amp; ":" &amp; E$1)</f>
        <v>Q1 27</v>
      </c>
      <c r="F1573" s="3" t="str">
        <f>ICE[[#This Row],[Prod]]&amp;ICE[[#This Row],[Strip]]</f>
        <v>icemidticmaQ1 27</v>
      </c>
      <c r="G1573" s="18" t="str">
        <f>RTD("ice.rtd",,$C1573 &amp; $D1573 &amp; ":" &amp; G$1)</f>
        <v/>
      </c>
      <c r="H1573" s="18" t="str">
        <f>RTD("ice.rtd",,$C1573 &amp; $D1573 &amp; ":" &amp; H$1)</f>
        <v/>
      </c>
      <c r="I1573" s="18" t="str">
        <f>RTD("ice.rtd",,$C1573 &amp; $D1573 &amp; ":" &amp; I$1)</f>
        <v/>
      </c>
      <c r="J1573" s="14" t="str">
        <f>IFERROR(MOD(RTD("ice.rtd",,$C1573 &amp; $D1573 &amp; ":" &amp; J$1), 1), "")</f>
        <v/>
      </c>
      <c r="K1573" s="18" t="str">
        <f>RTD("ice.rtd",,$C1573 &amp; $D1573 &amp; ":" &amp; K$1)</f>
        <v/>
      </c>
      <c r="L1573" s="36" t="str">
        <f>RTD("ice.rtd",,$C1573 &amp; $D1573 &amp; ":" &amp; L$1)</f>
        <v/>
      </c>
      <c r="M1573" s="14" t="str">
        <f>IFERROR(MOD(TIMEVALUE(RTD("ice.rtd",,$C1573 &amp; $D1573 &amp; ":" &amp; M$1)), 1), "")</f>
        <v/>
      </c>
      <c r="N1573" s="36">
        <f>RTD("ice.rtd",,$C1573 &amp; $D1573 &amp; ":" &amp; N$1)</f>
        <v>0</v>
      </c>
      <c r="O1573" s="36">
        <f>RTD("ice.rtd",,$C1573 &amp; $D1573 &amp; ":" &amp; O$1)</f>
        <v>0</v>
      </c>
      <c r="P15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3" s="14" t="str">
        <f>IF(ICE[[#This Row],[LastType]] = "Scrn", ICE[[#This Row],[LstDate]], IF(ICE[[#This Row],[LastType]] = "Blk", ICE[[#This Row],[LstBlkTime]], ""))</f>
        <v/>
      </c>
      <c r="R1573" s="41" t="str">
        <f>IF(ICE[[#This Row],[LastType]] = "Scrn", ICE[[#This Row],[LstPrc]], IF(ICE[[#This Row],[LastType]] = "Blk", ICE[[#This Row],[LstBlkPrc]], ""))</f>
        <v/>
      </c>
      <c r="S1573" s="36">
        <f>ICE[[#This Row],[Vol]]+ICE[[#This Row],[BlkVol]]</f>
        <v>0</v>
      </c>
      <c r="T1573" s="36">
        <f>RTD("ice.rtd",,$C1573 &amp; $D1573 &amp; ":" &amp; T$1)</f>
        <v>0</v>
      </c>
      <c r="U1573" s="18">
        <f>RTD("ice.rtd",,$C1573 &amp; $D1573 &amp; ":" &amp; U$1)</f>
        <v>1.0629999999999999</v>
      </c>
      <c r="V15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73" s="18" t="str">
        <f>IFERROR(IF(LEFT(ICE[[#This Row],[Tenor]], 1) = "B", RTD("esrtd",,$B1573 &amp; " " &amp; ICE[[#This Row],[Tenor]] &amp; "-IEU", W$1), RTD("esrtd",,$B1573 &amp; " " &amp; VLOOKUP(MONTH(ICE[[#This Row],[Strip]]), MthRef[], 2, 0) &amp; RIGHT(YEAR(ICE[[#This Row],[Strip]]), 2) &amp; "-IEU", W$1)), "")</f>
        <v/>
      </c>
      <c r="X1573" s="36"/>
    </row>
    <row r="1574" spans="1:24" x14ac:dyDescent="0.25">
      <c r="A1574" s="37" t="s">
        <v>353</v>
      </c>
      <c r="B1574" s="88" t="str">
        <f>RTD("ice.rtd",,$C1574 &amp; $D1574 &amp; ":" &amp; B$1)</f>
        <v>MLT</v>
      </c>
      <c r="C1574" s="3">
        <v>57179020</v>
      </c>
      <c r="D1574" t="s">
        <v>816</v>
      </c>
      <c r="E1574" s="3" t="str">
        <f>RTD("ice.rtd",,$C1574 &amp; $D1574 &amp; ":" &amp; E$1)</f>
        <v>Q2 27</v>
      </c>
      <c r="F1574" s="3" t="str">
        <f>ICE[[#This Row],[Prod]]&amp;ICE[[#This Row],[Strip]]</f>
        <v>icemidticmaQ2 27</v>
      </c>
      <c r="G1574" s="18" t="str">
        <f>RTD("ice.rtd",,$C1574 &amp; $D1574 &amp; ":" &amp; G$1)</f>
        <v/>
      </c>
      <c r="H1574" s="18" t="str">
        <f>RTD("ice.rtd",,$C1574 &amp; $D1574 &amp; ":" &amp; H$1)</f>
        <v/>
      </c>
      <c r="I1574" s="18" t="str">
        <f>RTD("ice.rtd",,$C1574 &amp; $D1574 &amp; ":" &amp; I$1)</f>
        <v/>
      </c>
      <c r="J1574" s="14" t="str">
        <f>IFERROR(MOD(RTD("ice.rtd",,$C1574 &amp; $D1574 &amp; ":" &amp; J$1), 1), "")</f>
        <v/>
      </c>
      <c r="K1574" s="18" t="str">
        <f>RTD("ice.rtd",,$C1574 &amp; $D1574 &amp; ":" &amp; K$1)</f>
        <v/>
      </c>
      <c r="L1574" s="36" t="str">
        <f>RTD("ice.rtd",,$C1574 &amp; $D1574 &amp; ":" &amp; L$1)</f>
        <v/>
      </c>
      <c r="M1574" s="14" t="str">
        <f>IFERROR(MOD(TIMEVALUE(RTD("ice.rtd",,$C1574 &amp; $D1574 &amp; ":" &amp; M$1)), 1), "")</f>
        <v/>
      </c>
      <c r="N1574" s="36">
        <f>RTD("ice.rtd",,$C1574 &amp; $D1574 &amp; ":" &amp; N$1)</f>
        <v>0</v>
      </c>
      <c r="O1574" s="36">
        <f>RTD("ice.rtd",,$C1574 &amp; $D1574 &amp; ":" &amp; O$1)</f>
        <v>0</v>
      </c>
      <c r="P15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4" s="14" t="str">
        <f>IF(ICE[[#This Row],[LastType]] = "Scrn", ICE[[#This Row],[LstDate]], IF(ICE[[#This Row],[LastType]] = "Blk", ICE[[#This Row],[LstBlkTime]], ""))</f>
        <v/>
      </c>
      <c r="R1574" s="41" t="str">
        <f>IF(ICE[[#This Row],[LastType]] = "Scrn", ICE[[#This Row],[LstPrc]], IF(ICE[[#This Row],[LastType]] = "Blk", ICE[[#This Row],[LstBlkPrc]], ""))</f>
        <v/>
      </c>
      <c r="S1574" s="36">
        <f>ICE[[#This Row],[Vol]]+ICE[[#This Row],[BlkVol]]</f>
        <v>0</v>
      </c>
      <c r="T1574" s="36">
        <f>RTD("ice.rtd",,$C1574 &amp; $D1574 &amp; ":" &amp; T$1)</f>
        <v>0</v>
      </c>
      <c r="U1574" s="18">
        <f>RTD("ice.rtd",,$C1574 &amp; $D1574 &amp; ":" &amp; U$1)</f>
        <v>1.1830000000000001</v>
      </c>
      <c r="V15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74" s="18" t="str">
        <f>IFERROR(IF(LEFT(ICE[[#This Row],[Tenor]], 1) = "B", RTD("esrtd",,$B1574 &amp; " " &amp; ICE[[#This Row],[Tenor]] &amp; "-IEU", W$1), RTD("esrtd",,$B1574 &amp; " " &amp; VLOOKUP(MONTH(ICE[[#This Row],[Strip]]), MthRef[], 2, 0) &amp; RIGHT(YEAR(ICE[[#This Row],[Strip]]), 2) &amp; "-IEU", W$1)), "")</f>
        <v/>
      </c>
      <c r="X1574" s="36"/>
    </row>
    <row r="1575" spans="1:24" x14ac:dyDescent="0.25">
      <c r="A1575" s="37" t="s">
        <v>353</v>
      </c>
      <c r="B1575" s="88" t="str">
        <f>RTD("ice.rtd",,$C1575 &amp; $D1575 &amp; ":" &amp; B$1)</f>
        <v>MLT</v>
      </c>
      <c r="C1575" s="3">
        <v>57179020</v>
      </c>
      <c r="D1575" t="s">
        <v>817</v>
      </c>
      <c r="E1575" s="3" t="str">
        <f>RTD("ice.rtd",,$C1575 &amp; $D1575 &amp; ":" &amp; E$1)</f>
        <v>Q3 27</v>
      </c>
      <c r="F1575" s="3" t="str">
        <f>ICE[[#This Row],[Prod]]&amp;ICE[[#This Row],[Strip]]</f>
        <v>icemidticmaQ3 27</v>
      </c>
      <c r="G1575" s="18" t="str">
        <f>RTD("ice.rtd",,$C1575 &amp; $D1575 &amp; ":" &amp; G$1)</f>
        <v/>
      </c>
      <c r="H1575" s="18" t="str">
        <f>RTD("ice.rtd",,$C1575 &amp; $D1575 &amp; ":" &amp; H$1)</f>
        <v/>
      </c>
      <c r="I1575" s="18" t="str">
        <f>RTD("ice.rtd",,$C1575 &amp; $D1575 &amp; ":" &amp; I$1)</f>
        <v/>
      </c>
      <c r="J1575" s="14" t="str">
        <f>IFERROR(MOD(RTD("ice.rtd",,$C1575 &amp; $D1575 &amp; ":" &amp; J$1), 1), "")</f>
        <v/>
      </c>
      <c r="K1575" s="18" t="str">
        <f>RTD("ice.rtd",,$C1575 &amp; $D1575 &amp; ":" &amp; K$1)</f>
        <v/>
      </c>
      <c r="L1575" s="36" t="str">
        <f>RTD("ice.rtd",,$C1575 &amp; $D1575 &amp; ":" &amp; L$1)</f>
        <v/>
      </c>
      <c r="M1575" s="14" t="str">
        <f>IFERROR(MOD(TIMEVALUE(RTD("ice.rtd",,$C1575 &amp; $D1575 &amp; ":" &amp; M$1)), 1), "")</f>
        <v/>
      </c>
      <c r="N1575" s="36">
        <f>RTD("ice.rtd",,$C1575 &amp; $D1575 &amp; ":" &amp; N$1)</f>
        <v>0</v>
      </c>
      <c r="O1575" s="36">
        <f>RTD("ice.rtd",,$C1575 &amp; $D1575 &amp; ":" &amp; O$1)</f>
        <v>0</v>
      </c>
      <c r="P15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5" s="14" t="str">
        <f>IF(ICE[[#This Row],[LastType]] = "Scrn", ICE[[#This Row],[LstDate]], IF(ICE[[#This Row],[LastType]] = "Blk", ICE[[#This Row],[LstBlkTime]], ""))</f>
        <v/>
      </c>
      <c r="R1575" s="41" t="str">
        <f>IF(ICE[[#This Row],[LastType]] = "Scrn", ICE[[#This Row],[LstPrc]], IF(ICE[[#This Row],[LastType]] = "Blk", ICE[[#This Row],[LstBlkPrc]], ""))</f>
        <v/>
      </c>
      <c r="S1575" s="36">
        <f>ICE[[#This Row],[Vol]]+ICE[[#This Row],[BlkVol]]</f>
        <v>0</v>
      </c>
      <c r="T1575" s="36">
        <f>RTD("ice.rtd",,$C1575 &amp; $D1575 &amp; ":" &amp; T$1)</f>
        <v>0</v>
      </c>
      <c r="U1575" s="18">
        <f>RTD("ice.rtd",,$C1575 &amp; $D1575 &amp; ":" &amp; U$1)</f>
        <v>1.218</v>
      </c>
      <c r="V15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75" s="18" t="str">
        <f>IFERROR(IF(LEFT(ICE[[#This Row],[Tenor]], 1) = "B", RTD("esrtd",,$B1575 &amp; " " &amp; ICE[[#This Row],[Tenor]] &amp; "-IEU", W$1), RTD("esrtd",,$B1575 &amp; " " &amp; VLOOKUP(MONTH(ICE[[#This Row],[Strip]]), MthRef[], 2, 0) &amp; RIGHT(YEAR(ICE[[#This Row],[Strip]]), 2) &amp; "-IEU", W$1)), "")</f>
        <v/>
      </c>
      <c r="X1575" s="36"/>
    </row>
    <row r="1576" spans="1:24" x14ac:dyDescent="0.25">
      <c r="A1576" s="37" t="s">
        <v>353</v>
      </c>
      <c r="B1576" s="88" t="str">
        <f>RTD("ice.rtd",,$C1576 &amp; $D1576 &amp; ":" &amp; B$1)</f>
        <v>MLT</v>
      </c>
      <c r="C1576" s="3">
        <v>57179020</v>
      </c>
      <c r="D1576" t="s">
        <v>818</v>
      </c>
      <c r="E1576" s="3" t="str">
        <f>RTD("ice.rtd",,$C1576 &amp; $D1576 &amp; ":" &amp; E$1)</f>
        <v>Q4 27</v>
      </c>
      <c r="F1576" s="3" t="str">
        <f>ICE[[#This Row],[Prod]]&amp;ICE[[#This Row],[Strip]]</f>
        <v>icemidticmaQ4 27</v>
      </c>
      <c r="G1576" s="18" t="str">
        <f>RTD("ice.rtd",,$C1576 &amp; $D1576 &amp; ":" &amp; G$1)</f>
        <v/>
      </c>
      <c r="H1576" s="18" t="str">
        <f>RTD("ice.rtd",,$C1576 &amp; $D1576 &amp; ":" &amp; H$1)</f>
        <v/>
      </c>
      <c r="I1576" s="18" t="str">
        <f>RTD("ice.rtd",,$C1576 &amp; $D1576 &amp; ":" &amp; I$1)</f>
        <v/>
      </c>
      <c r="J1576" s="14" t="str">
        <f>IFERROR(MOD(RTD("ice.rtd",,$C1576 &amp; $D1576 &amp; ":" &amp; J$1), 1), "")</f>
        <v/>
      </c>
      <c r="K1576" s="18" t="str">
        <f>RTD("ice.rtd",,$C1576 &amp; $D1576 &amp; ":" &amp; K$1)</f>
        <v/>
      </c>
      <c r="L1576" s="36" t="str">
        <f>RTD("ice.rtd",,$C1576 &amp; $D1576 &amp; ":" &amp; L$1)</f>
        <v/>
      </c>
      <c r="M1576" s="14" t="str">
        <f>IFERROR(MOD(TIMEVALUE(RTD("ice.rtd",,$C1576 &amp; $D1576 &amp; ":" &amp; M$1)), 1), "")</f>
        <v/>
      </c>
      <c r="N1576" s="36">
        <f>RTD("ice.rtd",,$C1576 &amp; $D1576 &amp; ":" &amp; N$1)</f>
        <v>0</v>
      </c>
      <c r="O1576" s="36">
        <f>RTD("ice.rtd",,$C1576 &amp; $D1576 &amp; ":" &amp; O$1)</f>
        <v>0</v>
      </c>
      <c r="P15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6" s="14" t="str">
        <f>IF(ICE[[#This Row],[LastType]] = "Scrn", ICE[[#This Row],[LstDate]], IF(ICE[[#This Row],[LastType]] = "Blk", ICE[[#This Row],[LstBlkTime]], ""))</f>
        <v/>
      </c>
      <c r="R1576" s="41" t="str">
        <f>IF(ICE[[#This Row],[LastType]] = "Scrn", ICE[[#This Row],[LstPrc]], IF(ICE[[#This Row],[LastType]] = "Blk", ICE[[#This Row],[LstBlkPrc]], ""))</f>
        <v/>
      </c>
      <c r="S1576" s="36">
        <f>ICE[[#This Row],[Vol]]+ICE[[#This Row],[BlkVol]]</f>
        <v>0</v>
      </c>
      <c r="T1576" s="36">
        <f>RTD("ice.rtd",,$C1576 &amp; $D1576 &amp; ":" &amp; T$1)</f>
        <v>0</v>
      </c>
      <c r="U1576" s="18">
        <f>RTD("ice.rtd",,$C1576 &amp; $D1576 &amp; ":" &amp; U$1)</f>
        <v>1.22</v>
      </c>
      <c r="V15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76" s="18" t="str">
        <f>IFERROR(IF(LEFT(ICE[[#This Row],[Tenor]], 1) = "B", RTD("esrtd",,$B1576 &amp; " " &amp; ICE[[#This Row],[Tenor]] &amp; "-IEU", W$1), RTD("esrtd",,$B1576 &amp; " " &amp; VLOOKUP(MONTH(ICE[[#This Row],[Strip]]), MthRef[], 2, 0) &amp; RIGHT(YEAR(ICE[[#This Row],[Strip]]), 2) &amp; "-IEU", W$1)), "")</f>
        <v/>
      </c>
      <c r="X1576" s="36"/>
    </row>
    <row r="1577" spans="1:24" x14ac:dyDescent="0.25">
      <c r="A1577" s="37" t="s">
        <v>353</v>
      </c>
      <c r="B1577" s="88" t="str">
        <f>RTD("ice.rtd",,$C1577 &amp; $D1577 &amp; ":" &amp; B$1)</f>
        <v>Invalid Market: 57179020Q5</v>
      </c>
      <c r="C1577" s="3">
        <v>57179020</v>
      </c>
      <c r="D1577" t="s">
        <v>819</v>
      </c>
      <c r="E1577" s="3" t="str">
        <f>RTD("ice.rtd",,$C1577 &amp; $D1577 &amp; ":" &amp; E$1)</f>
        <v>Invalid Market: 57179020Q5</v>
      </c>
      <c r="F1577" s="3" t="str">
        <f>ICE[[#This Row],[Prod]]&amp;ICE[[#This Row],[Strip]]</f>
        <v>icemidticmaInvalid Market: 57179020Q5</v>
      </c>
      <c r="G1577" s="18" t="str">
        <f>RTD("ice.rtd",,$C1577 &amp; $D1577 &amp; ":" &amp; G$1)</f>
        <v>Invalid Market: 57179020Q5</v>
      </c>
      <c r="H1577" s="18" t="str">
        <f>RTD("ice.rtd",,$C1577 &amp; $D1577 &amp; ":" &amp; H$1)</f>
        <v>Invalid Market: 57179020Q5</v>
      </c>
      <c r="I1577" s="18" t="str">
        <f>RTD("ice.rtd",,$C1577 &amp; $D1577 &amp; ":" &amp; I$1)</f>
        <v>Invalid Market: 57179020Q5</v>
      </c>
      <c r="J1577" s="14" t="str">
        <f>IFERROR(MOD(RTD("ice.rtd",,$C1577 &amp; $D1577 &amp; ":" &amp; J$1), 1), "")</f>
        <v/>
      </c>
      <c r="K1577" s="18" t="str">
        <f>RTD("ice.rtd",,$C1577 &amp; $D1577 &amp; ":" &amp; K$1)</f>
        <v>Invalid Market: 57179020Q5</v>
      </c>
      <c r="L1577" s="36" t="str">
        <f>RTD("ice.rtd",,$C1577 &amp; $D1577 &amp; ":" &amp; L$1)</f>
        <v>Invalid Market: 57179020Q5</v>
      </c>
      <c r="M1577" s="14" t="str">
        <f>IFERROR(MOD(TIMEVALUE(RTD("ice.rtd",,$C1577 &amp; $D1577 &amp; ":" &amp; M$1)), 1), "")</f>
        <v/>
      </c>
      <c r="N1577" s="36" t="str">
        <f>RTD("ice.rtd",,$C1577 &amp; $D1577 &amp; ":" &amp; N$1)</f>
        <v>Invalid Market: 57179020Q5</v>
      </c>
      <c r="O1577" s="36" t="str">
        <f>RTD("ice.rtd",,$C1577 &amp; $D1577 &amp; ":" &amp; O$1)</f>
        <v>Invalid Market: 57179020Q5</v>
      </c>
      <c r="P15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7" s="14" t="str">
        <f>IF(ICE[[#This Row],[LastType]] = "Scrn", ICE[[#This Row],[LstDate]], IF(ICE[[#This Row],[LastType]] = "Blk", ICE[[#This Row],[LstBlkTime]], ""))</f>
        <v/>
      </c>
      <c r="R1577" s="41" t="str">
        <f>IF(ICE[[#This Row],[LastType]] = "Scrn", ICE[[#This Row],[LstPrc]], IF(ICE[[#This Row],[LastType]] = "Blk", ICE[[#This Row],[LstBlkPrc]], ""))</f>
        <v/>
      </c>
      <c r="S1577" s="36" t="e">
        <f>ICE[[#This Row],[Vol]]+ICE[[#This Row],[BlkVol]]</f>
        <v>#VALUE!</v>
      </c>
      <c r="T1577" s="36" t="str">
        <f>RTD("ice.rtd",,$C1577 &amp; $D1577 &amp; ":" &amp; T$1)</f>
        <v>Invalid Market: 57179020Q5</v>
      </c>
      <c r="U1577" s="18" t="str">
        <f>RTD("ice.rtd",,$C1577 &amp; $D1577 &amp; ":" &amp; U$1)</f>
        <v>Invalid Market: 57179020Q5</v>
      </c>
      <c r="V15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77" s="18" t="str">
        <f>IFERROR(IF(LEFT(ICE[[#This Row],[Tenor]], 1) = "B", RTD("esrtd",,$B1577 &amp; " " &amp; ICE[[#This Row],[Tenor]] &amp; "-IEU", W$1), RTD("esrtd",,$B1577 &amp; " " &amp; VLOOKUP(MONTH(ICE[[#This Row],[Strip]]), MthRef[], 2, 0) &amp; RIGHT(YEAR(ICE[[#This Row],[Strip]]), 2) &amp; "-IEU", W$1)), "")</f>
        <v/>
      </c>
      <c r="X1577" s="36"/>
    </row>
    <row r="1578" spans="1:24" x14ac:dyDescent="0.25">
      <c r="A1578" s="37" t="s">
        <v>353</v>
      </c>
      <c r="B1578" s="88" t="str">
        <f>RTD("ice.rtd",,$C1578 &amp; $D1578 &amp; ":" &amp; B$1)</f>
        <v>Invalid Market: 57179020Q6</v>
      </c>
      <c r="C1578" s="3">
        <v>57179020</v>
      </c>
      <c r="D1578" t="s">
        <v>229</v>
      </c>
      <c r="E1578" s="3" t="str">
        <f>RTD("ice.rtd",,$C1578 &amp; $D1578 &amp; ":" &amp; E$1)</f>
        <v>Invalid Market: 57179020Q6</v>
      </c>
      <c r="F1578" s="3" t="str">
        <f>ICE[[#This Row],[Prod]]&amp;ICE[[#This Row],[Strip]]</f>
        <v>icemidticmaInvalid Market: 57179020Q6</v>
      </c>
      <c r="G1578" s="18" t="str">
        <f>RTD("ice.rtd",,$C1578 &amp; $D1578 &amp; ":" &amp; G$1)</f>
        <v>Invalid Market: 57179020Q6</v>
      </c>
      <c r="H1578" s="18" t="str">
        <f>RTD("ice.rtd",,$C1578 &amp; $D1578 &amp; ":" &amp; H$1)</f>
        <v>Invalid Market: 57179020Q6</v>
      </c>
      <c r="I1578" s="18" t="str">
        <f>RTD("ice.rtd",,$C1578 &amp; $D1578 &amp; ":" &amp; I$1)</f>
        <v>Invalid Market: 57179020Q6</v>
      </c>
      <c r="J1578" s="14" t="str">
        <f>IFERROR(MOD(RTD("ice.rtd",,$C1578 &amp; $D1578 &amp; ":" &amp; J$1), 1), "")</f>
        <v/>
      </c>
      <c r="K1578" s="18" t="str">
        <f>RTD("ice.rtd",,$C1578 &amp; $D1578 &amp; ":" &amp; K$1)</f>
        <v>Invalid Market: 57179020Q6</v>
      </c>
      <c r="L1578" s="36" t="str">
        <f>RTD("ice.rtd",,$C1578 &amp; $D1578 &amp; ":" &amp; L$1)</f>
        <v>Invalid Market: 57179020Q6</v>
      </c>
      <c r="M1578" s="14" t="str">
        <f>IFERROR(MOD(TIMEVALUE(RTD("ice.rtd",,$C1578 &amp; $D1578 &amp; ":" &amp; M$1)), 1), "")</f>
        <v/>
      </c>
      <c r="N1578" s="36" t="str">
        <f>RTD("ice.rtd",,$C1578 &amp; $D1578 &amp; ":" &amp; N$1)</f>
        <v>Invalid Market: 57179020Q6</v>
      </c>
      <c r="O1578" s="36" t="str">
        <f>RTD("ice.rtd",,$C1578 &amp; $D1578 &amp; ":" &amp; O$1)</f>
        <v>Invalid Market: 57179020Q6</v>
      </c>
      <c r="P15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8" s="14" t="str">
        <f>IF(ICE[[#This Row],[LastType]] = "Scrn", ICE[[#This Row],[LstDate]], IF(ICE[[#This Row],[LastType]] = "Blk", ICE[[#This Row],[LstBlkTime]], ""))</f>
        <v/>
      </c>
      <c r="R1578" s="41" t="str">
        <f>IF(ICE[[#This Row],[LastType]] = "Scrn", ICE[[#This Row],[LstPrc]], IF(ICE[[#This Row],[LastType]] = "Blk", ICE[[#This Row],[LstBlkPrc]], ""))</f>
        <v/>
      </c>
      <c r="S1578" s="36" t="e">
        <f>ICE[[#This Row],[Vol]]+ICE[[#This Row],[BlkVol]]</f>
        <v>#VALUE!</v>
      </c>
      <c r="T1578" s="36" t="str">
        <f>RTD("ice.rtd",,$C1578 &amp; $D1578 &amp; ":" &amp; T$1)</f>
        <v>Invalid Market: 57179020Q6</v>
      </c>
      <c r="U1578" s="18" t="str">
        <f>RTD("ice.rtd",,$C1578 &amp; $D1578 &amp; ":" &amp; U$1)</f>
        <v>Invalid Market: 57179020Q6</v>
      </c>
      <c r="V15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78" s="18" t="str">
        <f>IFERROR(IF(LEFT(ICE[[#This Row],[Tenor]], 1) = "B", RTD("esrtd",,$B1578 &amp; " " &amp; ICE[[#This Row],[Tenor]] &amp; "-IEU", W$1), RTD("esrtd",,$B1578 &amp; " " &amp; VLOOKUP(MONTH(ICE[[#This Row],[Strip]]), MthRef[], 2, 0) &amp; RIGHT(YEAR(ICE[[#This Row],[Strip]]), 2) &amp; "-IEU", W$1)), "")</f>
        <v/>
      </c>
      <c r="X1578" s="36"/>
    </row>
    <row r="1579" spans="1:24" x14ac:dyDescent="0.25">
      <c r="A1579" s="37" t="s">
        <v>353</v>
      </c>
      <c r="B1579" s="88" t="str">
        <f>RTD("ice.rtd",,$C1579 &amp; $D1579 &amp; ":" &amp; B$1)</f>
        <v>Invalid Market: 57179020Q7</v>
      </c>
      <c r="C1579" s="3">
        <v>57179020</v>
      </c>
      <c r="D1579" t="s">
        <v>820</v>
      </c>
      <c r="E1579" s="3" t="str">
        <f>RTD("ice.rtd",,$C1579 &amp; $D1579 &amp; ":" &amp; E$1)</f>
        <v>Invalid Market: 57179020Q7</v>
      </c>
      <c r="F1579" s="3" t="str">
        <f>ICE[[#This Row],[Prod]]&amp;ICE[[#This Row],[Strip]]</f>
        <v>icemidticmaInvalid Market: 57179020Q7</v>
      </c>
      <c r="G1579" s="18" t="str">
        <f>RTD("ice.rtd",,$C1579 &amp; $D1579 &amp; ":" &amp; G$1)</f>
        <v>Invalid Market: 57179020Q7</v>
      </c>
      <c r="H1579" s="18" t="str">
        <f>RTD("ice.rtd",,$C1579 &amp; $D1579 &amp; ":" &amp; H$1)</f>
        <v>Invalid Market: 57179020Q7</v>
      </c>
      <c r="I1579" s="18" t="str">
        <f>RTD("ice.rtd",,$C1579 &amp; $D1579 &amp; ":" &amp; I$1)</f>
        <v>Invalid Market: 57179020Q7</v>
      </c>
      <c r="J1579" s="14" t="str">
        <f>IFERROR(MOD(RTD("ice.rtd",,$C1579 &amp; $D1579 &amp; ":" &amp; J$1), 1), "")</f>
        <v/>
      </c>
      <c r="K1579" s="18" t="str">
        <f>RTD("ice.rtd",,$C1579 &amp; $D1579 &amp; ":" &amp; K$1)</f>
        <v>Invalid Market: 57179020Q7</v>
      </c>
      <c r="L1579" s="36" t="str">
        <f>RTD("ice.rtd",,$C1579 &amp; $D1579 &amp; ":" &amp; L$1)</f>
        <v>Invalid Market: 57179020Q7</v>
      </c>
      <c r="M1579" s="14" t="str">
        <f>IFERROR(MOD(TIMEVALUE(RTD("ice.rtd",,$C1579 &amp; $D1579 &amp; ":" &amp; M$1)), 1), "")</f>
        <v/>
      </c>
      <c r="N1579" s="36" t="str">
        <f>RTD("ice.rtd",,$C1579 &amp; $D1579 &amp; ":" &amp; N$1)</f>
        <v>Invalid Market: 57179020Q7</v>
      </c>
      <c r="O1579" s="36" t="str">
        <f>RTD("ice.rtd",,$C1579 &amp; $D1579 &amp; ":" &amp; O$1)</f>
        <v>Invalid Market: 57179020Q7</v>
      </c>
      <c r="P15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79" s="14" t="str">
        <f>IF(ICE[[#This Row],[LastType]] = "Scrn", ICE[[#This Row],[LstDate]], IF(ICE[[#This Row],[LastType]] = "Blk", ICE[[#This Row],[LstBlkTime]], ""))</f>
        <v/>
      </c>
      <c r="R1579" s="41" t="str">
        <f>IF(ICE[[#This Row],[LastType]] = "Scrn", ICE[[#This Row],[LstPrc]], IF(ICE[[#This Row],[LastType]] = "Blk", ICE[[#This Row],[LstBlkPrc]], ""))</f>
        <v/>
      </c>
      <c r="S1579" s="36" t="e">
        <f>ICE[[#This Row],[Vol]]+ICE[[#This Row],[BlkVol]]</f>
        <v>#VALUE!</v>
      </c>
      <c r="T1579" s="36" t="str">
        <f>RTD("ice.rtd",,$C1579 &amp; $D1579 &amp; ":" &amp; T$1)</f>
        <v>Invalid Market: 57179020Q7</v>
      </c>
      <c r="U1579" s="18" t="str">
        <f>RTD("ice.rtd",,$C1579 &amp; $D1579 &amp; ":" &amp; U$1)</f>
        <v>Invalid Market: 57179020Q7</v>
      </c>
      <c r="V15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79" s="18" t="str">
        <f>IFERROR(IF(LEFT(ICE[[#This Row],[Tenor]], 1) = "B", RTD("esrtd",,$B1579 &amp; " " &amp; ICE[[#This Row],[Tenor]] &amp; "-IEU", W$1), RTD("esrtd",,$B1579 &amp; " " &amp; VLOOKUP(MONTH(ICE[[#This Row],[Strip]]), MthRef[], 2, 0) &amp; RIGHT(YEAR(ICE[[#This Row],[Strip]]), 2) &amp; "-IEU", W$1)), "")</f>
        <v/>
      </c>
      <c r="X1579" s="36"/>
    </row>
    <row r="1580" spans="1:24" x14ac:dyDescent="0.25">
      <c r="A1580" s="37" t="s">
        <v>353</v>
      </c>
      <c r="B1580" s="88" t="str">
        <f>RTD("ice.rtd",,$C1580 &amp; $D1580 &amp; ":" &amp; B$1)</f>
        <v>MLT</v>
      </c>
      <c r="C1580" s="3">
        <v>57179020</v>
      </c>
      <c r="D1580" t="s">
        <v>822</v>
      </c>
      <c r="E1580" s="3" t="str">
        <f>RTD("ice.rtd",,$C1580 &amp; $D1580 &amp; ":" &amp; E$1)</f>
        <v>Cal 27</v>
      </c>
      <c r="F1580" s="3" t="str">
        <f>ICE[[#This Row],[Prod]]&amp;ICE[[#This Row],[Strip]]</f>
        <v>icemidticmaCal 27</v>
      </c>
      <c r="G1580" s="18" t="str">
        <f>RTD("ice.rtd",,$C1580 &amp; $D1580 &amp; ":" &amp; G$1)</f>
        <v/>
      </c>
      <c r="H1580" s="18" t="str">
        <f>RTD("ice.rtd",,$C1580 &amp; $D1580 &amp; ":" &amp; H$1)</f>
        <v/>
      </c>
      <c r="I1580" s="18" t="str">
        <f>RTD("ice.rtd",,$C1580 &amp; $D1580 &amp; ":" &amp; I$1)</f>
        <v/>
      </c>
      <c r="J1580" s="14" t="str">
        <f>IFERROR(MOD(RTD("ice.rtd",,$C1580 &amp; $D1580 &amp; ":" &amp; J$1), 1), "")</f>
        <v/>
      </c>
      <c r="K1580" s="18" t="str">
        <f>RTD("ice.rtd",,$C1580 &amp; $D1580 &amp; ":" &amp; K$1)</f>
        <v/>
      </c>
      <c r="L1580" s="36" t="str">
        <f>RTD("ice.rtd",,$C1580 &amp; $D1580 &amp; ":" &amp; L$1)</f>
        <v/>
      </c>
      <c r="M1580" s="14" t="str">
        <f>IFERROR(MOD(TIMEVALUE(RTD("ice.rtd",,$C1580 &amp; $D1580 &amp; ":" &amp; M$1)), 1), "")</f>
        <v/>
      </c>
      <c r="N1580" s="36">
        <f>RTD("ice.rtd",,$C1580 &amp; $D1580 &amp; ":" &amp; N$1)</f>
        <v>0</v>
      </c>
      <c r="O1580" s="36">
        <f>RTD("ice.rtd",,$C1580 &amp; $D1580 &amp; ":" &amp; O$1)</f>
        <v>0</v>
      </c>
      <c r="P15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0" s="14" t="str">
        <f>IF(ICE[[#This Row],[LastType]] = "Scrn", ICE[[#This Row],[LstDate]], IF(ICE[[#This Row],[LastType]] = "Blk", ICE[[#This Row],[LstBlkTime]], ""))</f>
        <v/>
      </c>
      <c r="R1580" s="41" t="str">
        <f>IF(ICE[[#This Row],[LastType]] = "Scrn", ICE[[#This Row],[LstPrc]], IF(ICE[[#This Row],[LastType]] = "Blk", ICE[[#This Row],[LstBlkPrc]], ""))</f>
        <v/>
      </c>
      <c r="S1580" s="36">
        <f>ICE[[#This Row],[Vol]]+ICE[[#This Row],[BlkVol]]</f>
        <v>0</v>
      </c>
      <c r="T1580" s="36">
        <f>RTD("ice.rtd",,$C1580 &amp; $D1580 &amp; ":" &amp; T$1)</f>
        <v>0</v>
      </c>
      <c r="U1580" s="18">
        <f>RTD("ice.rtd",,$C1580 &amp; $D1580 &amp; ":" &amp; U$1)</f>
        <v>1.171</v>
      </c>
      <c r="V15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0" s="18" t="str">
        <f>IFERROR(IF(LEFT(ICE[[#This Row],[Tenor]], 1) = "B", RTD("esrtd",,$B1580 &amp; " " &amp; ICE[[#This Row],[Tenor]] &amp; "-IEU", W$1), RTD("esrtd",,$B1580 &amp; " " &amp; VLOOKUP(MONTH(ICE[[#This Row],[Strip]]), MthRef[], 2, 0) &amp; RIGHT(YEAR(ICE[[#This Row],[Strip]]), 2) &amp; "-IEU", W$1)), "")</f>
        <v/>
      </c>
      <c r="X1580" s="36"/>
    </row>
    <row r="1581" spans="1:24" x14ac:dyDescent="0.25">
      <c r="A1581" s="37" t="s">
        <v>353</v>
      </c>
      <c r="B1581" s="88" t="str">
        <f>RTD("ice.rtd",,$C1581 &amp; $D1581 &amp; ":" &amp; B$1)</f>
        <v>Invalid Market: 57179020Y1</v>
      </c>
      <c r="C1581" s="3">
        <v>57179020</v>
      </c>
      <c r="D1581" t="s">
        <v>823</v>
      </c>
      <c r="E1581" s="3" t="str">
        <f>RTD("ice.rtd",,$C1581 &amp; $D1581 &amp; ":" &amp; E$1)</f>
        <v>Invalid Market: 57179020Y1</v>
      </c>
      <c r="F1581" s="3" t="str">
        <f>ICE[[#This Row],[Prod]]&amp;ICE[[#This Row],[Strip]]</f>
        <v>icemidticmaInvalid Market: 57179020Y1</v>
      </c>
      <c r="G1581" s="18" t="str">
        <f>RTD("ice.rtd",,$C1581 &amp; $D1581 &amp; ":" &amp; G$1)</f>
        <v>Invalid Market: 57179020Y1</v>
      </c>
      <c r="H1581" s="18" t="str">
        <f>RTD("ice.rtd",,$C1581 &amp; $D1581 &amp; ":" &amp; H$1)</f>
        <v>Invalid Market: 57179020Y1</v>
      </c>
      <c r="I1581" s="18" t="str">
        <f>RTD("ice.rtd",,$C1581 &amp; $D1581 &amp; ":" &amp; I$1)</f>
        <v>Invalid Market: 57179020Y1</v>
      </c>
      <c r="J1581" s="14" t="str">
        <f>IFERROR(MOD(RTD("ice.rtd",,$C1581 &amp; $D1581 &amp; ":" &amp; J$1), 1), "")</f>
        <v/>
      </c>
      <c r="K1581" s="18" t="str">
        <f>RTD("ice.rtd",,$C1581 &amp; $D1581 &amp; ":" &amp; K$1)</f>
        <v>Invalid Market: 57179020Y1</v>
      </c>
      <c r="L1581" s="36" t="str">
        <f>RTD("ice.rtd",,$C1581 &amp; $D1581 &amp; ":" &amp; L$1)</f>
        <v>Invalid Market: 57179020Y1</v>
      </c>
      <c r="M1581" s="14" t="str">
        <f>IFERROR(MOD(TIMEVALUE(RTD("ice.rtd",,$C1581 &amp; $D1581 &amp; ":" &amp; M$1)), 1), "")</f>
        <v/>
      </c>
      <c r="N1581" s="36" t="str">
        <f>RTD("ice.rtd",,$C1581 &amp; $D1581 &amp; ":" &amp; N$1)</f>
        <v>Invalid Market: 57179020Y1</v>
      </c>
      <c r="O1581" s="36" t="str">
        <f>RTD("ice.rtd",,$C1581 &amp; $D1581 &amp; ":" &amp; O$1)</f>
        <v>Invalid Market: 57179020Y1</v>
      </c>
      <c r="P15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1" s="14" t="str">
        <f>IF(ICE[[#This Row],[LastType]] = "Scrn", ICE[[#This Row],[LstDate]], IF(ICE[[#This Row],[LastType]] = "Blk", ICE[[#This Row],[LstBlkTime]], ""))</f>
        <v/>
      </c>
      <c r="R1581" s="41" t="str">
        <f>IF(ICE[[#This Row],[LastType]] = "Scrn", ICE[[#This Row],[LstPrc]], IF(ICE[[#This Row],[LastType]] = "Blk", ICE[[#This Row],[LstBlkPrc]], ""))</f>
        <v/>
      </c>
      <c r="S1581" s="36" t="e">
        <f>ICE[[#This Row],[Vol]]+ICE[[#This Row],[BlkVol]]</f>
        <v>#VALUE!</v>
      </c>
      <c r="T1581" s="36" t="str">
        <f>RTD("ice.rtd",,$C1581 &amp; $D1581 &amp; ":" &amp; T$1)</f>
        <v>Invalid Market: 57179020Y1</v>
      </c>
      <c r="U1581" s="18" t="str">
        <f>RTD("ice.rtd",,$C1581 &amp; $D1581 &amp; ":" &amp; U$1)</f>
        <v>Invalid Market: 57179020Y1</v>
      </c>
      <c r="V15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581" s="18" t="str">
        <f>IFERROR(IF(LEFT(ICE[[#This Row],[Tenor]], 1) = "B", RTD("esrtd",,$B1581 &amp; " " &amp; ICE[[#This Row],[Tenor]] &amp; "-IEU", W$1), RTD("esrtd",,$B1581 &amp; " " &amp; VLOOKUP(MONTH(ICE[[#This Row],[Strip]]), MthRef[], 2, 0) &amp; RIGHT(YEAR(ICE[[#This Row],[Strip]]), 2) &amp; "-IEU", W$1)), "")</f>
        <v/>
      </c>
      <c r="X1581" s="36"/>
    </row>
    <row r="1582" spans="1:24" x14ac:dyDescent="0.25">
      <c r="A1582" s="37" t="s">
        <v>354</v>
      </c>
      <c r="B1582" s="88" t="str">
        <f>RTD("ice.rtd",,$C1582 &amp; $D1582 &amp; ":" &amp; B$1)</f>
        <v>AIL</v>
      </c>
      <c r="C1582" s="3">
        <v>1840020882</v>
      </c>
      <c r="D1582" t="s">
        <v>793</v>
      </c>
      <c r="E1582" s="3" t="str">
        <f>RTD("ice.rtd",,$C1582 &amp; $D1582 &amp; ":" &amp; E$1)</f>
        <v>Sep26</v>
      </c>
      <c r="F1582" s="3" t="str">
        <f>ICE[[#This Row],[Prod]]&amp;ICE[[#This Row],[Strip]]</f>
        <v>icemehticmaSep26</v>
      </c>
      <c r="G1582" s="18" t="str">
        <f>RTD("ice.rtd",,$C1582 &amp; $D1582 &amp; ":" &amp; G$1)</f>
        <v/>
      </c>
      <c r="H1582" s="18" t="str">
        <f>RTD("ice.rtd",,$C1582 &amp; $D1582 &amp; ":" &amp; H$1)</f>
        <v/>
      </c>
      <c r="I1582" s="18" t="str">
        <f>RTD("ice.rtd",,$C1582 &amp; $D1582 &amp; ":" &amp; I$1)</f>
        <v/>
      </c>
      <c r="J1582" s="14" t="str">
        <f>IFERROR(MOD(RTD("ice.rtd",,$C1582 &amp; $D1582 &amp; ":" &amp; J$1), 1), "")</f>
        <v/>
      </c>
      <c r="K1582" s="18" t="str">
        <f>RTD("ice.rtd",,$C1582 &amp; $D1582 &amp; ":" &amp; K$1)</f>
        <v/>
      </c>
      <c r="L1582" s="36" t="str">
        <f>RTD("ice.rtd",,$C1582 &amp; $D1582 &amp; ":" &amp; L$1)</f>
        <v/>
      </c>
      <c r="M1582" s="14" t="str">
        <f>IFERROR(MOD(TIMEVALUE(RTD("ice.rtd",,$C1582 &amp; $D1582 &amp; ":" &amp; M$1)), 1), "")</f>
        <v/>
      </c>
      <c r="N1582" s="36">
        <f>RTD("ice.rtd",,$C1582 &amp; $D1582 &amp; ":" &amp; N$1)</f>
        <v>0</v>
      </c>
      <c r="O1582" s="36">
        <f>RTD("ice.rtd",,$C1582 &amp; $D1582 &amp; ":" &amp; O$1)</f>
        <v>0</v>
      </c>
      <c r="P15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2" s="14" t="str">
        <f>IF(ICE[[#This Row],[LastType]] = "Scrn", ICE[[#This Row],[LstDate]], IF(ICE[[#This Row],[LastType]] = "Blk", ICE[[#This Row],[LstBlkTime]], ""))</f>
        <v/>
      </c>
      <c r="R1582" s="41" t="str">
        <f>IF(ICE[[#This Row],[LastType]] = "Scrn", ICE[[#This Row],[LstPrc]], IF(ICE[[#This Row],[LastType]] = "Blk", ICE[[#This Row],[LstBlkPrc]], ""))</f>
        <v/>
      </c>
      <c r="S1582" s="36">
        <f>ICE[[#This Row],[Vol]]+ICE[[#This Row],[BlkVol]]</f>
        <v>0</v>
      </c>
      <c r="T1582" s="36">
        <f>RTD("ice.rtd",,$C1582 &amp; $D1582 &amp; ":" &amp; T$1)</f>
        <v>0</v>
      </c>
      <c r="U1582" s="18">
        <f>RTD("ice.rtd",,$C1582 &amp; $D1582 &amp; ":" &amp; U$1)</f>
        <v>1.8160000000000001</v>
      </c>
      <c r="V15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2" s="18" t="str">
        <f>IFERROR(IF(LEFT(ICE[[#This Row],[Tenor]], 1) = "B", RTD("esrtd",,$B1582 &amp; " " &amp; ICE[[#This Row],[Tenor]] &amp; "-IEU", W$1), RTD("esrtd",,$B1582 &amp; " " &amp; VLOOKUP(MONTH(ICE[[#This Row],[Strip]]), MthRef[], 2, 0) &amp; RIGHT(YEAR(ICE[[#This Row],[Strip]]), 2) &amp; "-IEU", W$1)), "")</f>
        <v/>
      </c>
      <c r="X1582" s="36"/>
    </row>
    <row r="1583" spans="1:24" x14ac:dyDescent="0.25">
      <c r="A1583" s="37" t="s">
        <v>354</v>
      </c>
      <c r="B1583" s="88" t="str">
        <f>RTD("ice.rtd",,$C1583 &amp; $D1583 &amp; ":" &amp; B$1)</f>
        <v>AIL</v>
      </c>
      <c r="C1583" s="3">
        <v>1840020882</v>
      </c>
      <c r="D1583" t="s">
        <v>324</v>
      </c>
      <c r="E1583" s="3" t="str">
        <f>RTD("ice.rtd",,$C1583 &amp; $D1583 &amp; ":" &amp; E$1)</f>
        <v>Oct26</v>
      </c>
      <c r="F1583" s="3" t="str">
        <f>ICE[[#This Row],[Prod]]&amp;ICE[[#This Row],[Strip]]</f>
        <v>icemehticmaOct26</v>
      </c>
      <c r="G1583" s="18" t="str">
        <f>RTD("ice.rtd",,$C1583 &amp; $D1583 &amp; ":" &amp; G$1)</f>
        <v/>
      </c>
      <c r="H1583" s="18" t="str">
        <f>RTD("ice.rtd",,$C1583 &amp; $D1583 &amp; ":" &amp; H$1)</f>
        <v/>
      </c>
      <c r="I1583" s="18" t="str">
        <f>RTD("ice.rtd",,$C1583 &amp; $D1583 &amp; ":" &amp; I$1)</f>
        <v/>
      </c>
      <c r="J1583" s="14" t="str">
        <f>IFERROR(MOD(RTD("ice.rtd",,$C1583 &amp; $D1583 &amp; ":" &amp; J$1), 1), "")</f>
        <v/>
      </c>
      <c r="K1583" s="18" t="str">
        <f>RTD("ice.rtd",,$C1583 &amp; $D1583 &amp; ":" &amp; K$1)</f>
        <v/>
      </c>
      <c r="L1583" s="36" t="str">
        <f>RTD("ice.rtd",,$C1583 &amp; $D1583 &amp; ":" &amp; L$1)</f>
        <v/>
      </c>
      <c r="M1583" s="14" t="str">
        <f>IFERROR(MOD(TIMEVALUE(RTD("ice.rtd",,$C1583 &amp; $D1583 &amp; ":" &amp; M$1)), 1), "")</f>
        <v/>
      </c>
      <c r="N1583" s="36">
        <f>RTD("ice.rtd",,$C1583 &amp; $D1583 &amp; ":" &amp; N$1)</f>
        <v>0</v>
      </c>
      <c r="O1583" s="36">
        <f>RTD("ice.rtd",,$C1583 &amp; $D1583 &amp; ":" &amp; O$1)</f>
        <v>0</v>
      </c>
      <c r="P15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3" s="14" t="str">
        <f>IF(ICE[[#This Row],[LastType]] = "Scrn", ICE[[#This Row],[LstDate]], IF(ICE[[#This Row],[LastType]] = "Blk", ICE[[#This Row],[LstBlkTime]], ""))</f>
        <v/>
      </c>
      <c r="R1583" s="41" t="str">
        <f>IF(ICE[[#This Row],[LastType]] = "Scrn", ICE[[#This Row],[LstPrc]], IF(ICE[[#This Row],[LastType]] = "Blk", ICE[[#This Row],[LstBlkPrc]], ""))</f>
        <v/>
      </c>
      <c r="S1583" s="36">
        <f>ICE[[#This Row],[Vol]]+ICE[[#This Row],[BlkVol]]</f>
        <v>0</v>
      </c>
      <c r="T1583" s="36">
        <f>RTD("ice.rtd",,$C1583 &amp; $D1583 &amp; ":" &amp; T$1)</f>
        <v>0</v>
      </c>
      <c r="U1583" s="18">
        <f>RTD("ice.rtd",,$C1583 &amp; $D1583 &amp; ":" &amp; U$1)</f>
        <v>1.496</v>
      </c>
      <c r="V15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3" s="18" t="str">
        <f>IFERROR(IF(LEFT(ICE[[#This Row],[Tenor]], 1) = "B", RTD("esrtd",,$B1583 &amp; " " &amp; ICE[[#This Row],[Tenor]] &amp; "-IEU", W$1), RTD("esrtd",,$B1583 &amp; " " &amp; VLOOKUP(MONTH(ICE[[#This Row],[Strip]]), MthRef[], 2, 0) &amp; RIGHT(YEAR(ICE[[#This Row],[Strip]]), 2) &amp; "-IEU", W$1)), "")</f>
        <v/>
      </c>
      <c r="X1583" s="36"/>
    </row>
    <row r="1584" spans="1:24" x14ac:dyDescent="0.25">
      <c r="A1584" s="37" t="s">
        <v>354</v>
      </c>
      <c r="B1584" s="88" t="str">
        <f>RTD("ice.rtd",,$C1584 &amp; $D1584 &amp; ":" &amp; B$1)</f>
        <v>AIL</v>
      </c>
      <c r="C1584" s="3">
        <v>1840020882</v>
      </c>
      <c r="D1584" t="s">
        <v>325</v>
      </c>
      <c r="E1584" s="3" t="str">
        <f>RTD("ice.rtd",,$C1584 &amp; $D1584 &amp; ":" &amp; E$1)</f>
        <v>Nov26</v>
      </c>
      <c r="F1584" s="3" t="str">
        <f>ICE[[#This Row],[Prod]]&amp;ICE[[#This Row],[Strip]]</f>
        <v>icemehticmaNov26</v>
      </c>
      <c r="G1584" s="18" t="str">
        <f>RTD("ice.rtd",,$C1584 &amp; $D1584 &amp; ":" &amp; G$1)</f>
        <v/>
      </c>
      <c r="H1584" s="18" t="str">
        <f>RTD("ice.rtd",,$C1584 &amp; $D1584 &amp; ":" &amp; H$1)</f>
        <v/>
      </c>
      <c r="I1584" s="18" t="str">
        <f>RTD("ice.rtd",,$C1584 &amp; $D1584 &amp; ":" &amp; I$1)</f>
        <v/>
      </c>
      <c r="J1584" s="14" t="str">
        <f>IFERROR(MOD(RTD("ice.rtd",,$C1584 &amp; $D1584 &amp; ":" &amp; J$1), 1), "")</f>
        <v/>
      </c>
      <c r="K1584" s="18" t="str">
        <f>RTD("ice.rtd",,$C1584 &amp; $D1584 &amp; ":" &amp; K$1)</f>
        <v/>
      </c>
      <c r="L1584" s="36" t="str">
        <f>RTD("ice.rtd",,$C1584 &amp; $D1584 &amp; ":" &amp; L$1)</f>
        <v/>
      </c>
      <c r="M1584" s="14" t="str">
        <f>IFERROR(MOD(TIMEVALUE(RTD("ice.rtd",,$C1584 &amp; $D1584 &amp; ":" &amp; M$1)), 1), "")</f>
        <v/>
      </c>
      <c r="N1584" s="36">
        <f>RTD("ice.rtd",,$C1584 &amp; $D1584 &amp; ":" &amp; N$1)</f>
        <v>0</v>
      </c>
      <c r="O1584" s="36">
        <f>RTD("ice.rtd",,$C1584 &amp; $D1584 &amp; ":" &amp; O$1)</f>
        <v>0</v>
      </c>
      <c r="P15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4" s="14" t="str">
        <f>IF(ICE[[#This Row],[LastType]] = "Scrn", ICE[[#This Row],[LstDate]], IF(ICE[[#This Row],[LastType]] = "Blk", ICE[[#This Row],[LstBlkTime]], ""))</f>
        <v/>
      </c>
      <c r="R1584" s="41" t="str">
        <f>IF(ICE[[#This Row],[LastType]] = "Scrn", ICE[[#This Row],[LstPrc]], IF(ICE[[#This Row],[LastType]] = "Blk", ICE[[#This Row],[LstBlkPrc]], ""))</f>
        <v/>
      </c>
      <c r="S1584" s="36">
        <f>ICE[[#This Row],[Vol]]+ICE[[#This Row],[BlkVol]]</f>
        <v>0</v>
      </c>
      <c r="T1584" s="36">
        <f>RTD("ice.rtd",,$C1584 &amp; $D1584 &amp; ":" &amp; T$1)</f>
        <v>0</v>
      </c>
      <c r="U1584" s="18">
        <f>RTD("ice.rtd",,$C1584 &amp; $D1584 &amp; ":" &amp; U$1)</f>
        <v>1.5720000000000001</v>
      </c>
      <c r="V15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4" s="18" t="str">
        <f>IFERROR(IF(LEFT(ICE[[#This Row],[Tenor]], 1) = "B", RTD("esrtd",,$B1584 &amp; " " &amp; ICE[[#This Row],[Tenor]] &amp; "-IEU", W$1), RTD("esrtd",,$B1584 &amp; " " &amp; VLOOKUP(MONTH(ICE[[#This Row],[Strip]]), MthRef[], 2, 0) &amp; RIGHT(YEAR(ICE[[#This Row],[Strip]]), 2) &amp; "-IEU", W$1)), "")</f>
        <v/>
      </c>
      <c r="X1584" s="36"/>
    </row>
    <row r="1585" spans="1:27" x14ac:dyDescent="0.25">
      <c r="A1585" s="37" t="s">
        <v>354</v>
      </c>
      <c r="B1585" s="88" t="str">
        <f>RTD("ice.rtd",,$C1585 &amp; $D1585 &amp; ":" &amp; B$1)</f>
        <v>AIL</v>
      </c>
      <c r="C1585" s="3">
        <v>1840020882</v>
      </c>
      <c r="D1585" t="s">
        <v>326</v>
      </c>
      <c r="E1585" s="3" t="str">
        <f>RTD("ice.rtd",,$C1585 &amp; $D1585 &amp; ":" &amp; E$1)</f>
        <v>Dec26</v>
      </c>
      <c r="F1585" s="3" t="str">
        <f>ICE[[#This Row],[Prod]]&amp;ICE[[#This Row],[Strip]]</f>
        <v>icemehticmaDec26</v>
      </c>
      <c r="G1585" s="18" t="str">
        <f>RTD("ice.rtd",,$C1585 &amp; $D1585 &amp; ":" &amp; G$1)</f>
        <v/>
      </c>
      <c r="H1585" s="18" t="str">
        <f>RTD("ice.rtd",,$C1585 &amp; $D1585 &amp; ":" &amp; H$1)</f>
        <v/>
      </c>
      <c r="I1585" s="18" t="str">
        <f>RTD("ice.rtd",,$C1585 &amp; $D1585 &amp; ":" &amp; I$1)</f>
        <v/>
      </c>
      <c r="J1585" s="14" t="str">
        <f>IFERROR(MOD(RTD("ice.rtd",,$C1585 &amp; $D1585 &amp; ":" &amp; J$1), 1), "")</f>
        <v/>
      </c>
      <c r="K1585" s="18" t="str">
        <f>RTD("ice.rtd",,$C1585 &amp; $D1585 &amp; ":" &amp; K$1)</f>
        <v/>
      </c>
      <c r="L1585" s="36" t="str">
        <f>RTD("ice.rtd",,$C1585 &amp; $D1585 &amp; ":" &amp; L$1)</f>
        <v/>
      </c>
      <c r="M1585" s="14" t="str">
        <f>IFERROR(MOD(TIMEVALUE(RTD("ice.rtd",,$C1585 &amp; $D1585 &amp; ":" &amp; M$1)), 1), "")</f>
        <v/>
      </c>
      <c r="N1585" s="36">
        <f>RTD("ice.rtd",,$C1585 &amp; $D1585 &amp; ":" &amp; N$1)</f>
        <v>0</v>
      </c>
      <c r="O1585" s="36">
        <f>RTD("ice.rtd",,$C1585 &amp; $D1585 &amp; ":" &amp; O$1)</f>
        <v>0</v>
      </c>
      <c r="P15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5" s="14" t="str">
        <f>IF(ICE[[#This Row],[LastType]] = "Scrn", ICE[[#This Row],[LstDate]], IF(ICE[[#This Row],[LastType]] = "Blk", ICE[[#This Row],[LstBlkTime]], ""))</f>
        <v/>
      </c>
      <c r="R1585" s="41" t="str">
        <f>IF(ICE[[#This Row],[LastType]] = "Scrn", ICE[[#This Row],[LstPrc]], IF(ICE[[#This Row],[LastType]] = "Blk", ICE[[#This Row],[LstBlkPrc]], ""))</f>
        <v/>
      </c>
      <c r="S1585" s="36">
        <f>ICE[[#This Row],[Vol]]+ICE[[#This Row],[BlkVol]]</f>
        <v>0</v>
      </c>
      <c r="T1585" s="36">
        <f>RTD("ice.rtd",,$C1585 &amp; $D1585 &amp; ":" &amp; T$1)</f>
        <v>0</v>
      </c>
      <c r="U1585" s="18">
        <f>RTD("ice.rtd",,$C1585 &amp; $D1585 &amp; ":" &amp; U$1)</f>
        <v>1.5130000000000001</v>
      </c>
      <c r="V15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5" s="18" t="str">
        <f>IFERROR(IF(LEFT(ICE[[#This Row],[Tenor]], 1) = "B", RTD("esrtd",,$B1585 &amp; " " &amp; ICE[[#This Row],[Tenor]] &amp; "-IEU", W$1), RTD("esrtd",,$B1585 &amp; " " &amp; VLOOKUP(MONTH(ICE[[#This Row],[Strip]]), MthRef[], 2, 0) &amp; RIGHT(YEAR(ICE[[#This Row],[Strip]]), 2) &amp; "-IEU", W$1)), "")</f>
        <v/>
      </c>
      <c r="X1585" s="36"/>
    </row>
    <row r="1586" spans="1:27" x14ac:dyDescent="0.25">
      <c r="A1586" s="37" t="s">
        <v>354</v>
      </c>
      <c r="B1586" s="88" t="str">
        <f>RTD("ice.rtd",,$C1586 &amp; $D1586 &amp; ":" &amp; B$1)</f>
        <v>AIL</v>
      </c>
      <c r="C1586" s="3">
        <v>1840020882</v>
      </c>
      <c r="D1586" t="s">
        <v>794</v>
      </c>
      <c r="E1586" s="3" t="str">
        <f>RTD("ice.rtd",,$C1586 &amp; $D1586 &amp; ":" &amp; E$1)</f>
        <v>Jan27</v>
      </c>
      <c r="F1586" s="3" t="str">
        <f>ICE[[#This Row],[Prod]]&amp;ICE[[#This Row],[Strip]]</f>
        <v>icemehticmaJan27</v>
      </c>
      <c r="G1586" s="18" t="str">
        <f>RTD("ice.rtd",,$C1586 &amp; $D1586 &amp; ":" &amp; G$1)</f>
        <v/>
      </c>
      <c r="H1586" s="18" t="str">
        <f>RTD("ice.rtd",,$C1586 &amp; $D1586 &amp; ":" &amp; H$1)</f>
        <v/>
      </c>
      <c r="I1586" s="18" t="str">
        <f>RTD("ice.rtd",,$C1586 &amp; $D1586 &amp; ":" &amp; I$1)</f>
        <v/>
      </c>
      <c r="J1586" s="14" t="str">
        <f>IFERROR(MOD(RTD("ice.rtd",,$C1586 &amp; $D1586 &amp; ":" &amp; J$1), 1), "")</f>
        <v/>
      </c>
      <c r="K1586" s="18" t="str">
        <f>RTD("ice.rtd",,$C1586 &amp; $D1586 &amp; ":" &amp; K$1)</f>
        <v/>
      </c>
      <c r="L1586" s="36" t="str">
        <f>RTD("ice.rtd",,$C1586 &amp; $D1586 &amp; ":" &amp; L$1)</f>
        <v/>
      </c>
      <c r="M1586" s="14" t="str">
        <f>IFERROR(MOD(TIMEVALUE(RTD("ice.rtd",,$C1586 &amp; $D1586 &amp; ":" &amp; M$1)), 1), "")</f>
        <v/>
      </c>
      <c r="N1586" s="36">
        <f>RTD("ice.rtd",,$C1586 &amp; $D1586 &amp; ":" &amp; N$1)</f>
        <v>0</v>
      </c>
      <c r="O1586" s="36">
        <f>RTD("ice.rtd",,$C1586 &amp; $D1586 &amp; ":" &amp; O$1)</f>
        <v>0</v>
      </c>
      <c r="P15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6" s="14" t="str">
        <f>IF(ICE[[#This Row],[LastType]] = "Scrn", ICE[[#This Row],[LstDate]], IF(ICE[[#This Row],[LastType]] = "Blk", ICE[[#This Row],[LstBlkTime]], ""))</f>
        <v/>
      </c>
      <c r="R1586" s="41" t="str">
        <f>IF(ICE[[#This Row],[LastType]] = "Scrn", ICE[[#This Row],[LstPrc]], IF(ICE[[#This Row],[LastType]] = "Blk", ICE[[#This Row],[LstBlkPrc]], ""))</f>
        <v/>
      </c>
      <c r="S1586" s="36">
        <f>ICE[[#This Row],[Vol]]+ICE[[#This Row],[BlkVol]]</f>
        <v>0</v>
      </c>
      <c r="T1586" s="36">
        <f>RTD("ice.rtd",,$C1586 &amp; $D1586 &amp; ":" &amp; T$1)</f>
        <v>0</v>
      </c>
      <c r="U1586" s="18">
        <f>RTD("ice.rtd",,$C1586 &amp; $D1586 &amp; ":" &amp; U$1)</f>
        <v>1.6160000000000001</v>
      </c>
      <c r="V15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6" s="18" t="str">
        <f>IFERROR(IF(LEFT(ICE[[#This Row],[Tenor]], 1) = "B", RTD("esrtd",,$B1586 &amp; " " &amp; ICE[[#This Row],[Tenor]] &amp; "-IEU", W$1), RTD("esrtd",,$B1586 &amp; " " &amp; VLOOKUP(MONTH(ICE[[#This Row],[Strip]]), MthRef[], 2, 0) &amp; RIGHT(YEAR(ICE[[#This Row],[Strip]]), 2) &amp; "-IEU", W$1)), "")</f>
        <v/>
      </c>
      <c r="X1586" s="36"/>
    </row>
    <row r="1587" spans="1:27" x14ac:dyDescent="0.25">
      <c r="A1587" s="37" t="s">
        <v>354</v>
      </c>
      <c r="B1587" s="88" t="str">
        <f>RTD("ice.rtd",,$C1587 &amp; $D1587 &amp; ":" &amp; B$1)</f>
        <v>AIL</v>
      </c>
      <c r="C1587" s="3">
        <v>1840020882</v>
      </c>
      <c r="D1587" t="s">
        <v>795</v>
      </c>
      <c r="E1587" s="3" t="str">
        <f>RTD("ice.rtd",,$C1587 &amp; $D1587 &amp; ":" &amp; E$1)</f>
        <v>Feb27</v>
      </c>
      <c r="F1587" s="3" t="str">
        <f>ICE[[#This Row],[Prod]]&amp;ICE[[#This Row],[Strip]]</f>
        <v>icemehticmaFeb27</v>
      </c>
      <c r="G1587" s="18" t="str">
        <f>RTD("ice.rtd",,$C1587 &amp; $D1587 &amp; ":" &amp; G$1)</f>
        <v/>
      </c>
      <c r="H1587" s="18" t="str">
        <f>RTD("ice.rtd",,$C1587 &amp; $D1587 &amp; ":" &amp; H$1)</f>
        <v/>
      </c>
      <c r="I1587" s="18" t="str">
        <f>RTD("ice.rtd",,$C1587 &amp; $D1587 &amp; ":" &amp; I$1)</f>
        <v/>
      </c>
      <c r="J1587" s="14" t="str">
        <f>IFERROR(MOD(RTD("ice.rtd",,$C1587 &amp; $D1587 &amp; ":" &amp; J$1), 1), "")</f>
        <v/>
      </c>
      <c r="K1587" s="18" t="str">
        <f>RTD("ice.rtd",,$C1587 &amp; $D1587 &amp; ":" &amp; K$1)</f>
        <v/>
      </c>
      <c r="L1587" s="36" t="str">
        <f>RTD("ice.rtd",,$C1587 &amp; $D1587 &amp; ":" &amp; L$1)</f>
        <v/>
      </c>
      <c r="M1587" s="14" t="str">
        <f>IFERROR(MOD(TIMEVALUE(RTD("ice.rtd",,$C1587 &amp; $D1587 &amp; ":" &amp; M$1)), 1), "")</f>
        <v/>
      </c>
      <c r="N1587" s="36">
        <f>RTD("ice.rtd",,$C1587 &amp; $D1587 &amp; ":" &amp; N$1)</f>
        <v>0</v>
      </c>
      <c r="O1587" s="36">
        <f>RTD("ice.rtd",,$C1587 &amp; $D1587 &amp; ":" &amp; O$1)</f>
        <v>0</v>
      </c>
      <c r="P15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7" s="14" t="str">
        <f>IF(ICE[[#This Row],[LastType]] = "Scrn", ICE[[#This Row],[LstDate]], IF(ICE[[#This Row],[LastType]] = "Blk", ICE[[#This Row],[LstBlkTime]], ""))</f>
        <v/>
      </c>
      <c r="R1587" s="41" t="str">
        <f>IF(ICE[[#This Row],[LastType]] = "Scrn", ICE[[#This Row],[LstPrc]], IF(ICE[[#This Row],[LastType]] = "Blk", ICE[[#This Row],[LstBlkPrc]], ""))</f>
        <v/>
      </c>
      <c r="S1587" s="36">
        <f>ICE[[#This Row],[Vol]]+ICE[[#This Row],[BlkVol]]</f>
        <v>0</v>
      </c>
      <c r="T1587" s="36">
        <f>RTD("ice.rtd",,$C1587 &amp; $D1587 &amp; ":" &amp; T$1)</f>
        <v>0</v>
      </c>
      <c r="U1587" s="18">
        <f>RTD("ice.rtd",,$C1587 &amp; $D1587 &amp; ":" &amp; U$1)</f>
        <v>1.6540000000000001</v>
      </c>
      <c r="V15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7" s="18" t="str">
        <f>IFERROR(IF(LEFT(ICE[[#This Row],[Tenor]], 1) = "B", RTD("esrtd",,$B1587 &amp; " " &amp; ICE[[#This Row],[Tenor]] &amp; "-IEU", W$1), RTD("esrtd",,$B1587 &amp; " " &amp; VLOOKUP(MONTH(ICE[[#This Row],[Strip]]), MthRef[], 2, 0) &amp; RIGHT(YEAR(ICE[[#This Row],[Strip]]), 2) &amp; "-IEU", W$1)), "")</f>
        <v/>
      </c>
      <c r="X1587" s="36"/>
    </row>
    <row r="1588" spans="1:27" x14ac:dyDescent="0.25">
      <c r="A1588" s="37" t="s">
        <v>354</v>
      </c>
      <c r="B1588" s="88" t="str">
        <f>RTD("ice.rtd",,$C1588 &amp; $D1588 &amp; ":" &amp; B$1)</f>
        <v>AIL</v>
      </c>
      <c r="C1588" s="3">
        <v>1840020882</v>
      </c>
      <c r="D1588" t="s">
        <v>113</v>
      </c>
      <c r="E1588" s="3" t="str">
        <f>RTD("ice.rtd",,$C1588 &amp; $D1588 &amp; ":" &amp; E$1)</f>
        <v>Mar27</v>
      </c>
      <c r="F1588" s="3" t="str">
        <f>ICE[[#This Row],[Prod]]&amp;ICE[[#This Row],[Strip]]</f>
        <v>icemehticmaMar27</v>
      </c>
      <c r="G1588" s="18" t="str">
        <f>RTD("ice.rtd",,$C1588 &amp; $D1588 &amp; ":" &amp; G$1)</f>
        <v/>
      </c>
      <c r="H1588" s="18" t="str">
        <f>RTD("ice.rtd",,$C1588 &amp; $D1588 &amp; ":" &amp; H$1)</f>
        <v/>
      </c>
      <c r="I1588" s="18" t="str">
        <f>RTD("ice.rtd",,$C1588 &amp; $D1588 &amp; ":" &amp; I$1)</f>
        <v/>
      </c>
      <c r="J1588" s="14" t="str">
        <f>IFERROR(MOD(RTD("ice.rtd",,$C1588 &amp; $D1588 &amp; ":" &amp; J$1), 1), "")</f>
        <v/>
      </c>
      <c r="K1588" s="18" t="str">
        <f>RTD("ice.rtd",,$C1588 &amp; $D1588 &amp; ":" &amp; K$1)</f>
        <v/>
      </c>
      <c r="L1588" s="36" t="str">
        <f>RTD("ice.rtd",,$C1588 &amp; $D1588 &amp; ":" &amp; L$1)</f>
        <v/>
      </c>
      <c r="M1588" s="14" t="str">
        <f>IFERROR(MOD(TIMEVALUE(RTD("ice.rtd",,$C1588 &amp; $D1588 &amp; ":" &amp; M$1)), 1), "")</f>
        <v/>
      </c>
      <c r="N1588" s="36">
        <f>RTD("ice.rtd",,$C1588 &amp; $D1588 &amp; ":" &amp; N$1)</f>
        <v>0</v>
      </c>
      <c r="O1588" s="36">
        <f>RTD("ice.rtd",,$C1588 &amp; $D1588 &amp; ":" &amp; O$1)</f>
        <v>0</v>
      </c>
      <c r="P15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8" s="14" t="str">
        <f>IF(ICE[[#This Row],[LastType]] = "Scrn", ICE[[#This Row],[LstDate]], IF(ICE[[#This Row],[LastType]] = "Blk", ICE[[#This Row],[LstBlkTime]], ""))</f>
        <v/>
      </c>
      <c r="R1588" s="41" t="str">
        <f>IF(ICE[[#This Row],[LastType]] = "Scrn", ICE[[#This Row],[LstPrc]], IF(ICE[[#This Row],[LastType]] = "Blk", ICE[[#This Row],[LstBlkPrc]], ""))</f>
        <v/>
      </c>
      <c r="S1588" s="36">
        <f>ICE[[#This Row],[Vol]]+ICE[[#This Row],[BlkVol]]</f>
        <v>0</v>
      </c>
      <c r="T1588" s="36">
        <f>RTD("ice.rtd",,$C1588 &amp; $D1588 &amp; ":" &amp; T$1)</f>
        <v>0</v>
      </c>
      <c r="U1588" s="18">
        <f>RTD("ice.rtd",,$C1588 &amp; $D1588 &amp; ":" &amp; U$1)</f>
        <v>1.6340000000000001</v>
      </c>
      <c r="V15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8" s="18" t="str">
        <f>IFERROR(IF(LEFT(ICE[[#This Row],[Tenor]], 1) = "B", RTD("esrtd",,$B1588 &amp; " " &amp; ICE[[#This Row],[Tenor]] &amp; "-IEU", W$1), RTD("esrtd",,$B1588 &amp; " " &amp; VLOOKUP(MONTH(ICE[[#This Row],[Strip]]), MthRef[], 2, 0) &amp; RIGHT(YEAR(ICE[[#This Row],[Strip]]), 2) &amp; "-IEU", W$1)), "")</f>
        <v/>
      </c>
      <c r="X1588" s="36"/>
    </row>
    <row r="1589" spans="1:27" x14ac:dyDescent="0.25">
      <c r="A1589" s="37" t="s">
        <v>354</v>
      </c>
      <c r="B1589" s="88" t="str">
        <f>RTD("ice.rtd",,$C1589 &amp; $D1589 &amp; ":" &amp; B$1)</f>
        <v>AIL</v>
      </c>
      <c r="C1589" s="3">
        <v>1840020882</v>
      </c>
      <c r="D1589" t="s">
        <v>796</v>
      </c>
      <c r="E1589" s="3" t="str">
        <f>RTD("ice.rtd",,$C1589 &amp; $D1589 &amp; ":" &amp; E$1)</f>
        <v>Apr27</v>
      </c>
      <c r="F1589" s="3" t="str">
        <f>ICE[[#This Row],[Prod]]&amp;ICE[[#This Row],[Strip]]</f>
        <v>icemehticmaApr27</v>
      </c>
      <c r="G1589" s="18" t="str">
        <f>RTD("ice.rtd",,$C1589 &amp; $D1589 &amp; ":" &amp; G$1)</f>
        <v/>
      </c>
      <c r="H1589" s="18" t="str">
        <f>RTD("ice.rtd",,$C1589 &amp; $D1589 &amp; ":" &amp; H$1)</f>
        <v/>
      </c>
      <c r="I1589" s="18" t="str">
        <f>RTD("ice.rtd",,$C1589 &amp; $D1589 &amp; ":" &amp; I$1)</f>
        <v/>
      </c>
      <c r="J1589" s="14" t="str">
        <f>IFERROR(MOD(RTD("ice.rtd",,$C1589 &amp; $D1589 &amp; ":" &amp; J$1), 1), "")</f>
        <v/>
      </c>
      <c r="K1589" s="18" t="str">
        <f>RTD("ice.rtd",,$C1589 &amp; $D1589 &amp; ":" &amp; K$1)</f>
        <v/>
      </c>
      <c r="L1589" s="36" t="str">
        <f>RTD("ice.rtd",,$C1589 &amp; $D1589 &amp; ":" &amp; L$1)</f>
        <v/>
      </c>
      <c r="M1589" s="14" t="str">
        <f>IFERROR(MOD(TIMEVALUE(RTD("ice.rtd",,$C1589 &amp; $D1589 &amp; ":" &amp; M$1)), 1), "")</f>
        <v/>
      </c>
      <c r="N1589" s="36">
        <f>RTD("ice.rtd",,$C1589 &amp; $D1589 &amp; ":" &amp; N$1)</f>
        <v>0</v>
      </c>
      <c r="O1589" s="36">
        <f>RTD("ice.rtd",,$C1589 &amp; $D1589 &amp; ":" &amp; O$1)</f>
        <v>0</v>
      </c>
      <c r="P15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89" s="14" t="str">
        <f>IF(ICE[[#This Row],[LastType]] = "Scrn", ICE[[#This Row],[LstDate]], IF(ICE[[#This Row],[LastType]] = "Blk", ICE[[#This Row],[LstBlkTime]], ""))</f>
        <v/>
      </c>
      <c r="R1589" s="41" t="str">
        <f>IF(ICE[[#This Row],[LastType]] = "Scrn", ICE[[#This Row],[LstPrc]], IF(ICE[[#This Row],[LastType]] = "Blk", ICE[[#This Row],[LstBlkPrc]], ""))</f>
        <v/>
      </c>
      <c r="S1589" s="36">
        <f>ICE[[#This Row],[Vol]]+ICE[[#This Row],[BlkVol]]</f>
        <v>0</v>
      </c>
      <c r="T1589" s="36">
        <f>RTD("ice.rtd",,$C1589 &amp; $D1589 &amp; ":" &amp; T$1)</f>
        <v>0</v>
      </c>
      <c r="U1589" s="18">
        <f>RTD("ice.rtd",,$C1589 &amp; $D1589 &amp; ":" &amp; U$1)</f>
        <v>1.5920000000000001</v>
      </c>
      <c r="V15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89" s="18" t="str">
        <f>IFERROR(IF(LEFT(ICE[[#This Row],[Tenor]], 1) = "B", RTD("esrtd",,$B1589 &amp; " " &amp; ICE[[#This Row],[Tenor]] &amp; "-IEU", W$1), RTD("esrtd",,$B1589 &amp; " " &amp; VLOOKUP(MONTH(ICE[[#This Row],[Strip]]), MthRef[], 2, 0) &amp; RIGHT(YEAR(ICE[[#This Row],[Strip]]), 2) &amp; "-IEU", W$1)), "")</f>
        <v/>
      </c>
      <c r="X1589" s="36"/>
    </row>
    <row r="1590" spans="1:27" x14ac:dyDescent="0.25">
      <c r="A1590" s="37" t="s">
        <v>354</v>
      </c>
      <c r="B1590" s="88" t="str">
        <f>RTD("ice.rtd",,$C1590 &amp; $D1590 &amp; ":" &amp; B$1)</f>
        <v>AIL</v>
      </c>
      <c r="C1590" s="3">
        <v>1840020882</v>
      </c>
      <c r="D1590" t="s">
        <v>797</v>
      </c>
      <c r="E1590" s="3" t="str">
        <f>RTD("ice.rtd",,$C1590 &amp; $D1590 &amp; ":" &amp; E$1)</f>
        <v>May27</v>
      </c>
      <c r="F1590" s="3" t="str">
        <f>ICE[[#This Row],[Prod]]&amp;ICE[[#This Row],[Strip]]</f>
        <v>icemehticmaMay27</v>
      </c>
      <c r="G1590" s="18" t="str">
        <f>RTD("ice.rtd",,$C1590 &amp; $D1590 &amp; ":" &amp; G$1)</f>
        <v/>
      </c>
      <c r="H1590" s="18" t="str">
        <f>RTD("ice.rtd",,$C1590 &amp; $D1590 &amp; ":" &amp; H$1)</f>
        <v/>
      </c>
      <c r="I1590" s="18" t="str">
        <f>RTD("ice.rtd",,$C1590 &amp; $D1590 &amp; ":" &amp; I$1)</f>
        <v/>
      </c>
      <c r="J1590" s="14" t="str">
        <f>IFERROR(MOD(RTD("ice.rtd",,$C1590 &amp; $D1590 &amp; ":" &amp; J$1), 1), "")</f>
        <v/>
      </c>
      <c r="K1590" s="18" t="str">
        <f>RTD("ice.rtd",,$C1590 &amp; $D1590 &amp; ":" &amp; K$1)</f>
        <v/>
      </c>
      <c r="L1590" s="36" t="str">
        <f>RTD("ice.rtd",,$C1590 &amp; $D1590 &amp; ":" &amp; L$1)</f>
        <v/>
      </c>
      <c r="M1590" s="14" t="str">
        <f>IFERROR(MOD(TIMEVALUE(RTD("ice.rtd",,$C1590 &amp; $D1590 &amp; ":" &amp; M$1)), 1), "")</f>
        <v/>
      </c>
      <c r="N1590" s="36">
        <f>RTD("ice.rtd",,$C1590 &amp; $D1590 &amp; ":" &amp; N$1)</f>
        <v>0</v>
      </c>
      <c r="O1590" s="36">
        <f>RTD("ice.rtd",,$C1590 &amp; $D1590 &amp; ":" &amp; O$1)</f>
        <v>0</v>
      </c>
      <c r="P15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0" s="14" t="str">
        <f>IF(ICE[[#This Row],[LastType]] = "Scrn", ICE[[#This Row],[LstDate]], IF(ICE[[#This Row],[LastType]] = "Blk", ICE[[#This Row],[LstBlkTime]], ""))</f>
        <v/>
      </c>
      <c r="R1590" s="41" t="str">
        <f>IF(ICE[[#This Row],[LastType]] = "Scrn", ICE[[#This Row],[LstPrc]], IF(ICE[[#This Row],[LastType]] = "Blk", ICE[[#This Row],[LstBlkPrc]], ""))</f>
        <v/>
      </c>
      <c r="S1590" s="36">
        <f>ICE[[#This Row],[Vol]]+ICE[[#This Row],[BlkVol]]</f>
        <v>0</v>
      </c>
      <c r="T1590" s="36">
        <f>RTD("ice.rtd",,$C1590 &amp; $D1590 &amp; ":" &amp; T$1)</f>
        <v>0</v>
      </c>
      <c r="U1590" s="18">
        <f>RTD("ice.rtd",,$C1590 &amp; $D1590 &amp; ":" &amp; U$1)</f>
        <v>1.5810000000000002</v>
      </c>
      <c r="V15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0" s="18" t="str">
        <f>IFERROR(IF(LEFT(ICE[[#This Row],[Tenor]], 1) = "B", RTD("esrtd",,$B1590 &amp; " " &amp; ICE[[#This Row],[Tenor]] &amp; "-IEU", W$1), RTD("esrtd",,$B1590 &amp; " " &amp; VLOOKUP(MONTH(ICE[[#This Row],[Strip]]), MthRef[], 2, 0) &amp; RIGHT(YEAR(ICE[[#This Row],[Strip]]), 2) &amp; "-IEU", W$1)), "")</f>
        <v/>
      </c>
      <c r="X1590" s="36"/>
    </row>
    <row r="1591" spans="1:27" x14ac:dyDescent="0.25">
      <c r="A1591" s="37" t="s">
        <v>354</v>
      </c>
      <c r="B1591" s="88" t="str">
        <f>RTD("ice.rtd",,$C1591 &amp; $D1591 &amp; ":" &amp; B$1)</f>
        <v>AIL</v>
      </c>
      <c r="C1591" s="3">
        <v>1840020882</v>
      </c>
      <c r="D1591" t="s">
        <v>798</v>
      </c>
      <c r="E1591" s="3" t="str">
        <f>RTD("ice.rtd",,$C1591 &amp; $D1591 &amp; ":" &amp; E$1)</f>
        <v>Jun27</v>
      </c>
      <c r="F1591" s="3" t="str">
        <f>ICE[[#This Row],[Prod]]&amp;ICE[[#This Row],[Strip]]</f>
        <v>icemehticmaJun27</v>
      </c>
      <c r="G1591" s="18" t="str">
        <f>RTD("ice.rtd",,$C1591 &amp; $D1591 &amp; ":" &amp; G$1)</f>
        <v/>
      </c>
      <c r="H1591" s="18" t="str">
        <f>RTD("ice.rtd",,$C1591 &amp; $D1591 &amp; ":" &amp; H$1)</f>
        <v/>
      </c>
      <c r="I1591" s="18" t="str">
        <f>RTD("ice.rtd",,$C1591 &amp; $D1591 &amp; ":" &amp; I$1)</f>
        <v/>
      </c>
      <c r="J1591" s="14" t="str">
        <f>IFERROR(MOD(RTD("ice.rtd",,$C1591 &amp; $D1591 &amp; ":" &amp; J$1), 1), "")</f>
        <v/>
      </c>
      <c r="K1591" s="18" t="str">
        <f>RTD("ice.rtd",,$C1591 &amp; $D1591 &amp; ":" &amp; K$1)</f>
        <v/>
      </c>
      <c r="L1591" s="36" t="str">
        <f>RTD("ice.rtd",,$C1591 &amp; $D1591 &amp; ":" &amp; L$1)</f>
        <v/>
      </c>
      <c r="M1591" s="14" t="str">
        <f>IFERROR(MOD(TIMEVALUE(RTD("ice.rtd",,$C1591 &amp; $D1591 &amp; ":" &amp; M$1)), 1), "")</f>
        <v/>
      </c>
      <c r="N1591" s="36">
        <f>RTD("ice.rtd",,$C1591 &amp; $D1591 &amp; ":" &amp; N$1)</f>
        <v>0</v>
      </c>
      <c r="O1591" s="36">
        <f>RTD("ice.rtd",,$C1591 &amp; $D1591 &amp; ":" &amp; O$1)</f>
        <v>0</v>
      </c>
      <c r="P15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1" s="14" t="str">
        <f>IF(ICE[[#This Row],[LastType]] = "Scrn", ICE[[#This Row],[LstDate]], IF(ICE[[#This Row],[LastType]] = "Blk", ICE[[#This Row],[LstBlkTime]], ""))</f>
        <v/>
      </c>
      <c r="R1591" s="41" t="str">
        <f>IF(ICE[[#This Row],[LastType]] = "Scrn", ICE[[#This Row],[LstPrc]], IF(ICE[[#This Row],[LastType]] = "Blk", ICE[[#This Row],[LstBlkPrc]], ""))</f>
        <v/>
      </c>
      <c r="S1591" s="36">
        <f>ICE[[#This Row],[Vol]]+ICE[[#This Row],[BlkVol]]</f>
        <v>0</v>
      </c>
      <c r="T1591" s="36">
        <f>RTD("ice.rtd",,$C1591 &amp; $D1591 &amp; ":" &amp; T$1)</f>
        <v>0</v>
      </c>
      <c r="U1591" s="18">
        <f>RTD("ice.rtd",,$C1591 &amp; $D1591 &amp; ":" &amp; U$1)</f>
        <v>1.7030000000000001</v>
      </c>
      <c r="V15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1" s="18" t="str">
        <f>IFERROR(IF(LEFT(ICE[[#This Row],[Tenor]], 1) = "B", RTD("esrtd",,$B1591 &amp; " " &amp; ICE[[#This Row],[Tenor]] &amp; "-IEU", W$1), RTD("esrtd",,$B1591 &amp; " " &amp; VLOOKUP(MONTH(ICE[[#This Row],[Strip]]), MthRef[], 2, 0) &amp; RIGHT(YEAR(ICE[[#This Row],[Strip]]), 2) &amp; "-IEU", W$1)), "")</f>
        <v/>
      </c>
      <c r="X1591" s="36"/>
    </row>
    <row r="1592" spans="1:27" x14ac:dyDescent="0.25">
      <c r="A1592" s="37" t="s">
        <v>354</v>
      </c>
      <c r="B1592" s="88" t="str">
        <f>RTD("ice.rtd",,$C1592 &amp; $D1592 &amp; ":" &amp; B$1)</f>
        <v>AIL</v>
      </c>
      <c r="C1592" s="3">
        <v>1840020882</v>
      </c>
      <c r="D1592" t="s">
        <v>799</v>
      </c>
      <c r="E1592" s="3" t="str">
        <f>RTD("ice.rtd",,$C1592 &amp; $D1592 &amp; ":" &amp; E$1)</f>
        <v>Jul27</v>
      </c>
      <c r="F1592" s="3" t="str">
        <f>ICE[[#This Row],[Prod]]&amp;ICE[[#This Row],[Strip]]</f>
        <v>icemehticmaJul27</v>
      </c>
      <c r="G1592" s="18" t="str">
        <f>RTD("ice.rtd",,$C1592 &amp; $D1592 &amp; ":" &amp; G$1)</f>
        <v/>
      </c>
      <c r="H1592" s="18" t="str">
        <f>RTD("ice.rtd",,$C1592 &amp; $D1592 &amp; ":" &amp; H$1)</f>
        <v/>
      </c>
      <c r="I1592" s="18" t="str">
        <f>RTD("ice.rtd",,$C1592 &amp; $D1592 &amp; ":" &amp; I$1)</f>
        <v/>
      </c>
      <c r="J1592" s="14" t="str">
        <f>IFERROR(MOD(RTD("ice.rtd",,$C1592 &amp; $D1592 &amp; ":" &amp; J$1), 1), "")</f>
        <v/>
      </c>
      <c r="K1592" s="18" t="str">
        <f>RTD("ice.rtd",,$C1592 &amp; $D1592 &amp; ":" &amp; K$1)</f>
        <v/>
      </c>
      <c r="L1592" s="36" t="str">
        <f>RTD("ice.rtd",,$C1592 &amp; $D1592 &amp; ":" &amp; L$1)</f>
        <v/>
      </c>
      <c r="M1592" s="14" t="str">
        <f>IFERROR(MOD(TIMEVALUE(RTD("ice.rtd",,$C1592 &amp; $D1592 &amp; ":" &amp; M$1)), 1), "")</f>
        <v/>
      </c>
      <c r="N1592" s="36">
        <f>RTD("ice.rtd",,$C1592 &amp; $D1592 &amp; ":" &amp; N$1)</f>
        <v>0</v>
      </c>
      <c r="O1592" s="36">
        <f>RTD("ice.rtd",,$C1592 &amp; $D1592 &amp; ":" &amp; O$1)</f>
        <v>0</v>
      </c>
      <c r="P15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2" s="14" t="str">
        <f>IF(ICE[[#This Row],[LastType]] = "Scrn", ICE[[#This Row],[LstDate]], IF(ICE[[#This Row],[LastType]] = "Blk", ICE[[#This Row],[LstBlkTime]], ""))</f>
        <v/>
      </c>
      <c r="R1592" s="41" t="str">
        <f>IF(ICE[[#This Row],[LastType]] = "Scrn", ICE[[#This Row],[LstPrc]], IF(ICE[[#This Row],[LastType]] = "Blk", ICE[[#This Row],[LstBlkPrc]], ""))</f>
        <v/>
      </c>
      <c r="S1592" s="36">
        <f>ICE[[#This Row],[Vol]]+ICE[[#This Row],[BlkVol]]</f>
        <v>0</v>
      </c>
      <c r="T1592" s="36">
        <f>RTD("ice.rtd",,$C1592 &amp; $D1592 &amp; ":" &amp; T$1)</f>
        <v>0</v>
      </c>
      <c r="U1592" s="18">
        <f>RTD("ice.rtd",,$C1592 &amp; $D1592 &amp; ":" &amp; U$1)</f>
        <v>1.859</v>
      </c>
      <c r="V15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2" s="18" t="str">
        <f>IFERROR(IF(LEFT(ICE[[#This Row],[Tenor]], 1) = "B", RTD("esrtd",,$B1592 &amp; " " &amp; ICE[[#This Row],[Tenor]] &amp; "-IEU", W$1), RTD("esrtd",,$B1592 &amp; " " &amp; VLOOKUP(MONTH(ICE[[#This Row],[Strip]]), MthRef[], 2, 0) &amp; RIGHT(YEAR(ICE[[#This Row],[Strip]]), 2) &amp; "-IEU", W$1)), "")</f>
        <v/>
      </c>
      <c r="X1592" s="36"/>
    </row>
    <row r="1593" spans="1:27" x14ac:dyDescent="0.25">
      <c r="A1593" s="37" t="s">
        <v>354</v>
      </c>
      <c r="B1593" s="88" t="str">
        <f>RTD("ice.rtd",,$C1593 &amp; $D1593 &amp; ":" &amp; B$1)</f>
        <v>AIL</v>
      </c>
      <c r="C1593" s="3">
        <v>1840020882</v>
      </c>
      <c r="D1593" t="s">
        <v>800</v>
      </c>
      <c r="E1593" s="3" t="str">
        <f>RTD("ice.rtd",,$C1593 &amp; $D1593 &amp; ":" &amp; E$1)</f>
        <v>Aug27</v>
      </c>
      <c r="F1593" s="3" t="str">
        <f>ICE[[#This Row],[Prod]]&amp;ICE[[#This Row],[Strip]]</f>
        <v>icemehticmaAug27</v>
      </c>
      <c r="G1593" s="18" t="str">
        <f>RTD("ice.rtd",,$C1593 &amp; $D1593 &amp; ":" &amp; G$1)</f>
        <v/>
      </c>
      <c r="H1593" s="18" t="str">
        <f>RTD("ice.rtd",,$C1593 &amp; $D1593 &amp; ":" &amp; H$1)</f>
        <v/>
      </c>
      <c r="I1593" s="18" t="str">
        <f>RTD("ice.rtd",,$C1593 &amp; $D1593 &amp; ":" &amp; I$1)</f>
        <v/>
      </c>
      <c r="J1593" s="14" t="str">
        <f>IFERROR(MOD(RTD("ice.rtd",,$C1593 &amp; $D1593 &amp; ":" &amp; J$1), 1), "")</f>
        <v/>
      </c>
      <c r="K1593" s="18" t="str">
        <f>RTD("ice.rtd",,$C1593 &amp; $D1593 &amp; ":" &amp; K$1)</f>
        <v/>
      </c>
      <c r="L1593" s="36" t="str">
        <f>RTD("ice.rtd",,$C1593 &amp; $D1593 &amp; ":" &amp; L$1)</f>
        <v/>
      </c>
      <c r="M1593" s="14" t="str">
        <f>IFERROR(MOD(TIMEVALUE(RTD("ice.rtd",,$C1593 &amp; $D1593 &amp; ":" &amp; M$1)), 1), "")</f>
        <v/>
      </c>
      <c r="N1593" s="36">
        <f>RTD("ice.rtd",,$C1593 &amp; $D1593 &amp; ":" &amp; N$1)</f>
        <v>0</v>
      </c>
      <c r="O1593" s="36">
        <f>RTD("ice.rtd",,$C1593 &amp; $D1593 &amp; ":" &amp; O$1)</f>
        <v>0</v>
      </c>
      <c r="P15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3" s="14" t="str">
        <f>IF(ICE[[#This Row],[LastType]] = "Scrn", ICE[[#This Row],[LstDate]], IF(ICE[[#This Row],[LastType]] = "Blk", ICE[[#This Row],[LstBlkTime]], ""))</f>
        <v/>
      </c>
      <c r="R1593" s="41" t="str">
        <f>IF(ICE[[#This Row],[LastType]] = "Scrn", ICE[[#This Row],[LstPrc]], IF(ICE[[#This Row],[LastType]] = "Blk", ICE[[#This Row],[LstBlkPrc]], ""))</f>
        <v/>
      </c>
      <c r="S1593" s="36">
        <f>ICE[[#This Row],[Vol]]+ICE[[#This Row],[BlkVol]]</f>
        <v>0</v>
      </c>
      <c r="T1593" s="36">
        <f>RTD("ice.rtd",,$C1593 &amp; $D1593 &amp; ":" &amp; T$1)</f>
        <v>0</v>
      </c>
      <c r="U1593" s="18">
        <f>RTD("ice.rtd",,$C1593 &amp; $D1593 &amp; ":" &amp; U$1)</f>
        <v>1.9360000000000002</v>
      </c>
      <c r="V15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3" s="18" t="str">
        <f>IFERROR(IF(LEFT(ICE[[#This Row],[Tenor]], 1) = "B", RTD("esrtd",,$B1593 &amp; " " &amp; ICE[[#This Row],[Tenor]] &amp; "-IEU", W$1), RTD("esrtd",,$B1593 &amp; " " &amp; VLOOKUP(MONTH(ICE[[#This Row],[Strip]]), MthRef[], 2, 0) &amp; RIGHT(YEAR(ICE[[#This Row],[Strip]]), 2) &amp; "-IEU", W$1)), "")</f>
        <v/>
      </c>
      <c r="X1593" s="36"/>
    </row>
    <row r="1594" spans="1:27" x14ac:dyDescent="0.25">
      <c r="A1594" s="37" t="s">
        <v>354</v>
      </c>
      <c r="B1594" s="88" t="str">
        <f>RTD("ice.rtd",,$C1594 &amp; $D1594 &amp; ":" &amp; B$1)</f>
        <v>AIL</v>
      </c>
      <c r="C1594" s="3">
        <v>1840020882</v>
      </c>
      <c r="D1594" t="s">
        <v>801</v>
      </c>
      <c r="E1594" s="3" t="str">
        <f>RTD("ice.rtd",,$C1594 &amp; $D1594 &amp; ":" &amp; E$1)</f>
        <v>Sep27</v>
      </c>
      <c r="F1594" s="3" t="str">
        <f>ICE[[#This Row],[Prod]]&amp;ICE[[#This Row],[Strip]]</f>
        <v>icemehticmaSep27</v>
      </c>
      <c r="G1594" s="18" t="str">
        <f>RTD("ice.rtd",,$C1594 &amp; $D1594 &amp; ":" &amp; G$1)</f>
        <v/>
      </c>
      <c r="H1594" s="18" t="str">
        <f>RTD("ice.rtd",,$C1594 &amp; $D1594 &amp; ":" &amp; H$1)</f>
        <v/>
      </c>
      <c r="I1594" s="18" t="str">
        <f>RTD("ice.rtd",,$C1594 &amp; $D1594 &amp; ":" &amp; I$1)</f>
        <v/>
      </c>
      <c r="J1594" s="14" t="str">
        <f>IFERROR(MOD(RTD("ice.rtd",,$C1594 &amp; $D1594 &amp; ":" &amp; J$1), 1), "")</f>
        <v/>
      </c>
      <c r="K1594" s="18" t="str">
        <f>RTD("ice.rtd",,$C1594 &amp; $D1594 &amp; ":" &amp; K$1)</f>
        <v/>
      </c>
      <c r="L1594" s="36" t="str">
        <f>RTD("ice.rtd",,$C1594 &amp; $D1594 &amp; ":" &amp; L$1)</f>
        <v/>
      </c>
      <c r="M1594" s="14" t="str">
        <f>IFERROR(MOD(TIMEVALUE(RTD("ice.rtd",,$C1594 &amp; $D1594 &amp; ":" &amp; M$1)), 1), "")</f>
        <v/>
      </c>
      <c r="N1594" s="36">
        <f>RTD("ice.rtd",,$C1594 &amp; $D1594 &amp; ":" &amp; N$1)</f>
        <v>0</v>
      </c>
      <c r="O1594" s="36">
        <f>RTD("ice.rtd",,$C1594 &amp; $D1594 &amp; ":" &amp; O$1)</f>
        <v>0</v>
      </c>
      <c r="P15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4" s="14" t="str">
        <f>IF(ICE[[#This Row],[LastType]] = "Scrn", ICE[[#This Row],[LstDate]], IF(ICE[[#This Row],[LastType]] = "Blk", ICE[[#This Row],[LstBlkTime]], ""))</f>
        <v/>
      </c>
      <c r="R1594" s="41" t="str">
        <f>IF(ICE[[#This Row],[LastType]] = "Scrn", ICE[[#This Row],[LstPrc]], IF(ICE[[#This Row],[LastType]] = "Blk", ICE[[#This Row],[LstBlkPrc]], ""))</f>
        <v/>
      </c>
      <c r="S1594" s="36">
        <f>ICE[[#This Row],[Vol]]+ICE[[#This Row],[BlkVol]]</f>
        <v>0</v>
      </c>
      <c r="T1594" s="36">
        <f>RTD("ice.rtd",,$C1594 &amp; $D1594 &amp; ":" &amp; T$1)</f>
        <v>0</v>
      </c>
      <c r="U1594" s="18">
        <f>RTD("ice.rtd",,$C1594 &amp; $D1594 &amp; ":" &amp; U$1)</f>
        <v>1.9370000000000001</v>
      </c>
      <c r="V15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4" s="18" t="str">
        <f>IFERROR(IF(LEFT(ICE[[#This Row],[Tenor]], 1) = "B", RTD("esrtd",,$B1594 &amp; " " &amp; ICE[[#This Row],[Tenor]] &amp; "-IEU", W$1), RTD("esrtd",,$B1594 &amp; " " &amp; VLOOKUP(MONTH(ICE[[#This Row],[Strip]]), MthRef[], 2, 0) &amp; RIGHT(YEAR(ICE[[#This Row],[Strip]]), 2) &amp; "-IEU", W$1)), "")</f>
        <v/>
      </c>
      <c r="X1594" s="36"/>
      <c r="AA1594" s="5"/>
    </row>
    <row r="1595" spans="1:27" x14ac:dyDescent="0.25">
      <c r="A1595" s="37" t="s">
        <v>354</v>
      </c>
      <c r="B1595" s="88" t="str">
        <f>RTD("ice.rtd",,$C1595 &amp; $D1595 &amp; ":" &amp; B$1)</f>
        <v>AIL</v>
      </c>
      <c r="C1595" s="3">
        <v>1840020882</v>
      </c>
      <c r="D1595" t="s">
        <v>802</v>
      </c>
      <c r="E1595" s="3" t="str">
        <f>RTD("ice.rtd",,$C1595 &amp; $D1595 &amp; ":" &amp; E$1)</f>
        <v>Oct27</v>
      </c>
      <c r="F1595" s="3" t="str">
        <f>ICE[[#This Row],[Prod]]&amp;ICE[[#This Row],[Strip]]</f>
        <v>icemehticmaOct27</v>
      </c>
      <c r="G1595" s="18" t="str">
        <f>RTD("ice.rtd",,$C1595 &amp; $D1595 &amp; ":" &amp; G$1)</f>
        <v/>
      </c>
      <c r="H1595" s="18" t="str">
        <f>RTD("ice.rtd",,$C1595 &amp; $D1595 &amp; ":" &amp; H$1)</f>
        <v/>
      </c>
      <c r="I1595" s="18" t="str">
        <f>RTD("ice.rtd",,$C1595 &amp; $D1595 &amp; ":" &amp; I$1)</f>
        <v/>
      </c>
      <c r="J1595" s="14" t="str">
        <f>IFERROR(MOD(RTD("ice.rtd",,$C1595 &amp; $D1595 &amp; ":" &amp; J$1), 1), "")</f>
        <v/>
      </c>
      <c r="K1595" s="18" t="str">
        <f>RTD("ice.rtd",,$C1595 &amp; $D1595 &amp; ":" &amp; K$1)</f>
        <v/>
      </c>
      <c r="L1595" s="36" t="str">
        <f>RTD("ice.rtd",,$C1595 &amp; $D1595 &amp; ":" &amp; L$1)</f>
        <v/>
      </c>
      <c r="M1595" s="14" t="str">
        <f>IFERROR(MOD(TIMEVALUE(RTD("ice.rtd",,$C1595 &amp; $D1595 &amp; ":" &amp; M$1)), 1), "")</f>
        <v/>
      </c>
      <c r="N1595" s="36">
        <f>RTD("ice.rtd",,$C1595 &amp; $D1595 &amp; ":" &amp; N$1)</f>
        <v>0</v>
      </c>
      <c r="O1595" s="36">
        <f>RTD("ice.rtd",,$C1595 &amp; $D1595 &amp; ":" &amp; O$1)</f>
        <v>0</v>
      </c>
      <c r="P15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5" s="14" t="str">
        <f>IF(ICE[[#This Row],[LastType]] = "Scrn", ICE[[#This Row],[LstDate]], IF(ICE[[#This Row],[LastType]] = "Blk", ICE[[#This Row],[LstBlkTime]], ""))</f>
        <v/>
      </c>
      <c r="R1595" s="41" t="str">
        <f>IF(ICE[[#This Row],[LastType]] = "Scrn", ICE[[#This Row],[LstPrc]], IF(ICE[[#This Row],[LastType]] = "Blk", ICE[[#This Row],[LstBlkPrc]], ""))</f>
        <v/>
      </c>
      <c r="S1595" s="36">
        <f>ICE[[#This Row],[Vol]]+ICE[[#This Row],[BlkVol]]</f>
        <v>0</v>
      </c>
      <c r="T1595" s="36">
        <f>RTD("ice.rtd",,$C1595 &amp; $D1595 &amp; ":" &amp; T$1)</f>
        <v>0</v>
      </c>
      <c r="U1595" s="18">
        <f>RTD("ice.rtd",,$C1595 &amp; $D1595 &amp; ":" &amp; U$1)</f>
        <v>1.925</v>
      </c>
      <c r="V15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5" s="18" t="str">
        <f>IFERROR(IF(LEFT(ICE[[#This Row],[Tenor]], 1) = "B", RTD("esrtd",,$B1595 &amp; " " &amp; ICE[[#This Row],[Tenor]] &amp; "-IEU", W$1), RTD("esrtd",,$B1595 &amp; " " &amp; VLOOKUP(MONTH(ICE[[#This Row],[Strip]]), MthRef[], 2, 0) &amp; RIGHT(YEAR(ICE[[#This Row],[Strip]]), 2) &amp; "-IEU", W$1)), "")</f>
        <v/>
      </c>
      <c r="X1595" s="36"/>
    </row>
    <row r="1596" spans="1:27" x14ac:dyDescent="0.25">
      <c r="A1596" s="37" t="s">
        <v>354</v>
      </c>
      <c r="B1596" s="88" t="str">
        <f>RTD("ice.rtd",,$C1596 &amp; $D1596 &amp; ":" &amp; B$1)</f>
        <v>AIL</v>
      </c>
      <c r="C1596" s="3">
        <v>1840020882</v>
      </c>
      <c r="D1596" t="s">
        <v>803</v>
      </c>
      <c r="E1596" s="3" t="str">
        <f>RTD("ice.rtd",,$C1596 &amp; $D1596 &amp; ":" &amp; E$1)</f>
        <v>Nov27</v>
      </c>
      <c r="F1596" s="3" t="str">
        <f>ICE[[#This Row],[Prod]]&amp;ICE[[#This Row],[Strip]]</f>
        <v>icemehticmaNov27</v>
      </c>
      <c r="G1596" s="18" t="str">
        <f>RTD("ice.rtd",,$C1596 &amp; $D1596 &amp; ":" &amp; G$1)</f>
        <v/>
      </c>
      <c r="H1596" s="18" t="str">
        <f>RTD("ice.rtd",,$C1596 &amp; $D1596 &amp; ":" &amp; H$1)</f>
        <v/>
      </c>
      <c r="I1596" s="18" t="str">
        <f>RTD("ice.rtd",,$C1596 &amp; $D1596 &amp; ":" &amp; I$1)</f>
        <v/>
      </c>
      <c r="J1596" s="14" t="str">
        <f>IFERROR(MOD(RTD("ice.rtd",,$C1596 &amp; $D1596 &amp; ":" &amp; J$1), 1), "")</f>
        <v/>
      </c>
      <c r="K1596" s="18" t="str">
        <f>RTD("ice.rtd",,$C1596 &amp; $D1596 &amp; ":" &amp; K$1)</f>
        <v/>
      </c>
      <c r="L1596" s="36" t="str">
        <f>RTD("ice.rtd",,$C1596 &amp; $D1596 &amp; ":" &amp; L$1)</f>
        <v/>
      </c>
      <c r="M1596" s="14" t="str">
        <f>IFERROR(MOD(TIMEVALUE(RTD("ice.rtd",,$C1596 &amp; $D1596 &amp; ":" &amp; M$1)), 1), "")</f>
        <v/>
      </c>
      <c r="N1596" s="36">
        <f>RTD("ice.rtd",,$C1596 &amp; $D1596 &amp; ":" &amp; N$1)</f>
        <v>0</v>
      </c>
      <c r="O1596" s="36">
        <f>RTD("ice.rtd",,$C1596 &amp; $D1596 &amp; ":" &amp; O$1)</f>
        <v>0</v>
      </c>
      <c r="P15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6" s="14" t="str">
        <f>IF(ICE[[#This Row],[LastType]] = "Scrn", ICE[[#This Row],[LstDate]], IF(ICE[[#This Row],[LastType]] = "Blk", ICE[[#This Row],[LstBlkTime]], ""))</f>
        <v/>
      </c>
      <c r="R1596" s="41" t="str">
        <f>IF(ICE[[#This Row],[LastType]] = "Scrn", ICE[[#This Row],[LstPrc]], IF(ICE[[#This Row],[LastType]] = "Blk", ICE[[#This Row],[LstBlkPrc]], ""))</f>
        <v/>
      </c>
      <c r="S1596" s="36">
        <f>ICE[[#This Row],[Vol]]+ICE[[#This Row],[BlkVol]]</f>
        <v>0</v>
      </c>
      <c r="T1596" s="36">
        <f>RTD("ice.rtd",,$C1596 &amp; $D1596 &amp; ":" &amp; T$1)</f>
        <v>0</v>
      </c>
      <c r="U1596" s="18">
        <f>RTD("ice.rtd",,$C1596 &amp; $D1596 &amp; ":" &amp; U$1)</f>
        <v>1.9580000000000002</v>
      </c>
      <c r="V15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6" s="18" t="str">
        <f>IFERROR(IF(LEFT(ICE[[#This Row],[Tenor]], 1) = "B", RTD("esrtd",,$B1596 &amp; " " &amp; ICE[[#This Row],[Tenor]] &amp; "-IEU", W$1), RTD("esrtd",,$B1596 &amp; " " &amp; VLOOKUP(MONTH(ICE[[#This Row],[Strip]]), MthRef[], 2, 0) &amp; RIGHT(YEAR(ICE[[#This Row],[Strip]]), 2) &amp; "-IEU", W$1)), "")</f>
        <v/>
      </c>
      <c r="X1596" s="36"/>
    </row>
    <row r="1597" spans="1:27" x14ac:dyDescent="0.25">
      <c r="A1597" s="37" t="s">
        <v>354</v>
      </c>
      <c r="B1597" s="88" t="str">
        <f>RTD("ice.rtd",,$C1597 &amp; $D1597 &amp; ":" &amp; B$1)</f>
        <v>AIL</v>
      </c>
      <c r="C1597" s="3">
        <v>1840020882</v>
      </c>
      <c r="D1597" t="s">
        <v>804</v>
      </c>
      <c r="E1597" s="3" t="str">
        <f>RTD("ice.rtd",,$C1597 &amp; $D1597 &amp; ":" &amp; E$1)</f>
        <v>Dec27</v>
      </c>
      <c r="F1597" s="3" t="str">
        <f>ICE[[#This Row],[Prod]]&amp;ICE[[#This Row],[Strip]]</f>
        <v>icemehticmaDec27</v>
      </c>
      <c r="G1597" s="18" t="str">
        <f>RTD("ice.rtd",,$C1597 &amp; $D1597 &amp; ":" &amp; G$1)</f>
        <v/>
      </c>
      <c r="H1597" s="18" t="str">
        <f>RTD("ice.rtd",,$C1597 &amp; $D1597 &amp; ":" &amp; H$1)</f>
        <v/>
      </c>
      <c r="I1597" s="18" t="str">
        <f>RTD("ice.rtd",,$C1597 &amp; $D1597 &amp; ":" &amp; I$1)</f>
        <v/>
      </c>
      <c r="J1597" s="14" t="str">
        <f>IFERROR(MOD(RTD("ice.rtd",,$C1597 &amp; $D1597 &amp; ":" &amp; J$1), 1), "")</f>
        <v/>
      </c>
      <c r="K1597" s="18" t="str">
        <f>RTD("ice.rtd",,$C1597 &amp; $D1597 &amp; ":" &amp; K$1)</f>
        <v/>
      </c>
      <c r="L1597" s="36" t="str">
        <f>RTD("ice.rtd",,$C1597 &amp; $D1597 &amp; ":" &amp; L$1)</f>
        <v/>
      </c>
      <c r="M1597" s="14" t="str">
        <f>IFERROR(MOD(TIMEVALUE(RTD("ice.rtd",,$C1597 &amp; $D1597 &amp; ":" &amp; M$1)), 1), "")</f>
        <v/>
      </c>
      <c r="N1597" s="36">
        <f>RTD("ice.rtd",,$C1597 &amp; $D1597 &amp; ":" &amp; N$1)</f>
        <v>0</v>
      </c>
      <c r="O1597" s="36">
        <f>RTD("ice.rtd",,$C1597 &amp; $D1597 &amp; ":" &amp; O$1)</f>
        <v>0</v>
      </c>
      <c r="P15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7" s="14" t="str">
        <f>IF(ICE[[#This Row],[LastType]] = "Scrn", ICE[[#This Row],[LstDate]], IF(ICE[[#This Row],[LastType]] = "Blk", ICE[[#This Row],[LstBlkTime]], ""))</f>
        <v/>
      </c>
      <c r="R1597" s="41" t="str">
        <f>IF(ICE[[#This Row],[LastType]] = "Scrn", ICE[[#This Row],[LstPrc]], IF(ICE[[#This Row],[LastType]] = "Blk", ICE[[#This Row],[LstBlkPrc]], ""))</f>
        <v/>
      </c>
      <c r="S1597" s="36">
        <f>ICE[[#This Row],[Vol]]+ICE[[#This Row],[BlkVol]]</f>
        <v>0</v>
      </c>
      <c r="T1597" s="36">
        <f>RTD("ice.rtd",,$C1597 &amp; $D1597 &amp; ":" &amp; T$1)</f>
        <v>0</v>
      </c>
      <c r="U1597" s="18">
        <f>RTD("ice.rtd",,$C1597 &amp; $D1597 &amp; ":" &amp; U$1)</f>
        <v>1.986</v>
      </c>
      <c r="V15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7" s="18" t="str">
        <f>IFERROR(IF(LEFT(ICE[[#This Row],[Tenor]], 1) = "B", RTD("esrtd",,$B1597 &amp; " " &amp; ICE[[#This Row],[Tenor]] &amp; "-IEU", W$1), RTD("esrtd",,$B1597 &amp; " " &amp; VLOOKUP(MONTH(ICE[[#This Row],[Strip]]), MthRef[], 2, 0) &amp; RIGHT(YEAR(ICE[[#This Row],[Strip]]), 2) &amp; "-IEU", W$1)), "")</f>
        <v/>
      </c>
      <c r="X1597" s="36"/>
    </row>
    <row r="1598" spans="1:27" x14ac:dyDescent="0.25">
      <c r="A1598" s="37" t="s">
        <v>354</v>
      </c>
      <c r="B1598" s="88" t="str">
        <f>RTD("ice.rtd",,$C1598 &amp; $D1598 &amp; ":" &amp; B$1)</f>
        <v>AIL</v>
      </c>
      <c r="C1598" s="3">
        <v>1840020882</v>
      </c>
      <c r="D1598" t="s">
        <v>805</v>
      </c>
      <c r="E1598" s="3" t="str">
        <f>RTD("ice.rtd",,$C1598 &amp; $D1598 &amp; ":" &amp; E$1)</f>
        <v>Jan28</v>
      </c>
      <c r="F1598" s="3" t="str">
        <f>ICE[[#This Row],[Prod]]&amp;ICE[[#This Row],[Strip]]</f>
        <v>icemehticmaJan28</v>
      </c>
      <c r="G1598" s="18" t="str">
        <f>RTD("ice.rtd",,$C1598 &amp; $D1598 &amp; ":" &amp; G$1)</f>
        <v/>
      </c>
      <c r="H1598" s="18" t="str">
        <f>RTD("ice.rtd",,$C1598 &amp; $D1598 &amp; ":" &amp; H$1)</f>
        <v/>
      </c>
      <c r="I1598" s="18" t="str">
        <f>RTD("ice.rtd",,$C1598 &amp; $D1598 &amp; ":" &amp; I$1)</f>
        <v/>
      </c>
      <c r="J1598" s="14" t="str">
        <f>IFERROR(MOD(RTD("ice.rtd",,$C1598 &amp; $D1598 &amp; ":" &amp; J$1), 1), "")</f>
        <v/>
      </c>
      <c r="K1598" s="18" t="str">
        <f>RTD("ice.rtd",,$C1598 &amp; $D1598 &amp; ":" &amp; K$1)</f>
        <v/>
      </c>
      <c r="L1598" s="36" t="str">
        <f>RTD("ice.rtd",,$C1598 &amp; $D1598 &amp; ":" &amp; L$1)</f>
        <v/>
      </c>
      <c r="M1598" s="14" t="str">
        <f>IFERROR(MOD(TIMEVALUE(RTD("ice.rtd",,$C1598 &amp; $D1598 &amp; ":" &amp; M$1)), 1), "")</f>
        <v/>
      </c>
      <c r="N1598" s="36">
        <f>RTD("ice.rtd",,$C1598 &amp; $D1598 &amp; ":" &amp; N$1)</f>
        <v>0</v>
      </c>
      <c r="O1598" s="36">
        <f>RTD("ice.rtd",,$C1598 &amp; $D1598 &amp; ":" &amp; O$1)</f>
        <v>0</v>
      </c>
      <c r="P15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8" s="14" t="str">
        <f>IF(ICE[[#This Row],[LastType]] = "Scrn", ICE[[#This Row],[LstDate]], IF(ICE[[#This Row],[LastType]] = "Blk", ICE[[#This Row],[LstBlkTime]], ""))</f>
        <v/>
      </c>
      <c r="R1598" s="41" t="str">
        <f>IF(ICE[[#This Row],[LastType]] = "Scrn", ICE[[#This Row],[LstPrc]], IF(ICE[[#This Row],[LastType]] = "Blk", ICE[[#This Row],[LstBlkPrc]], ""))</f>
        <v/>
      </c>
      <c r="S1598" s="36">
        <f>ICE[[#This Row],[Vol]]+ICE[[#This Row],[BlkVol]]</f>
        <v>0</v>
      </c>
      <c r="T1598" s="36">
        <f>RTD("ice.rtd",,$C1598 &amp; $D1598 &amp; ":" &amp; T$1)</f>
        <v>0</v>
      </c>
      <c r="U1598" s="18">
        <f>RTD("ice.rtd",,$C1598 &amp; $D1598 &amp; ":" &amp; U$1)</f>
        <v>2.0369999999999999</v>
      </c>
      <c r="V15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8" s="18" t="str">
        <f>IFERROR(IF(LEFT(ICE[[#This Row],[Tenor]], 1) = "B", RTD("esrtd",,$B1598 &amp; " " &amp; ICE[[#This Row],[Tenor]] &amp; "-IEU", W$1), RTD("esrtd",,$B1598 &amp; " " &amp; VLOOKUP(MONTH(ICE[[#This Row],[Strip]]), MthRef[], 2, 0) &amp; RIGHT(YEAR(ICE[[#This Row],[Strip]]), 2) &amp; "-IEU", W$1)), "")</f>
        <v/>
      </c>
      <c r="X1598" s="36"/>
    </row>
    <row r="1599" spans="1:27" x14ac:dyDescent="0.25">
      <c r="A1599" s="37" t="s">
        <v>354</v>
      </c>
      <c r="B1599" s="88" t="str">
        <f>RTD("ice.rtd",,$C1599 &amp; $D1599 &amp; ":" &amp; B$1)</f>
        <v>AIL</v>
      </c>
      <c r="C1599" s="3">
        <v>1840020882</v>
      </c>
      <c r="D1599" t="s">
        <v>814</v>
      </c>
      <c r="E1599" s="3" t="str">
        <f>RTD("ice.rtd",,$C1599 &amp; $D1599 &amp; ":" &amp; E$1)</f>
        <v>Q4 26</v>
      </c>
      <c r="F1599" s="3" t="str">
        <f>ICE[[#This Row],[Prod]]&amp;ICE[[#This Row],[Strip]]</f>
        <v>icemehticmaQ4 26</v>
      </c>
      <c r="G1599" s="18" t="str">
        <f>RTD("ice.rtd",,$C1599 &amp; $D1599 &amp; ":" &amp; G$1)</f>
        <v/>
      </c>
      <c r="H1599" s="18" t="str">
        <f>RTD("ice.rtd",,$C1599 &amp; $D1599 &amp; ":" &amp; H$1)</f>
        <v/>
      </c>
      <c r="I1599" s="18" t="str">
        <f>RTD("ice.rtd",,$C1599 &amp; $D1599 &amp; ":" &amp; I$1)</f>
        <v/>
      </c>
      <c r="J1599" s="14" t="str">
        <f>IFERROR(MOD(RTD("ice.rtd",,$C1599 &amp; $D1599 &amp; ":" &amp; J$1), 1), "")</f>
        <v/>
      </c>
      <c r="K1599" s="18" t="str">
        <f>RTD("ice.rtd",,$C1599 &amp; $D1599 &amp; ":" &amp; K$1)</f>
        <v/>
      </c>
      <c r="L1599" s="36" t="str">
        <f>RTD("ice.rtd",,$C1599 &amp; $D1599 &amp; ":" &amp; L$1)</f>
        <v/>
      </c>
      <c r="M1599" s="14" t="str">
        <f>IFERROR(MOD(TIMEVALUE(RTD("ice.rtd",,$C1599 &amp; $D1599 &amp; ":" &amp; M$1)), 1), "")</f>
        <v/>
      </c>
      <c r="N1599" s="36">
        <f>RTD("ice.rtd",,$C1599 &amp; $D1599 &amp; ":" &amp; N$1)</f>
        <v>0</v>
      </c>
      <c r="O1599" s="36">
        <f>RTD("ice.rtd",,$C1599 &amp; $D1599 &amp; ":" &amp; O$1)</f>
        <v>0</v>
      </c>
      <c r="P15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599" s="14" t="str">
        <f>IF(ICE[[#This Row],[LastType]] = "Scrn", ICE[[#This Row],[LstDate]], IF(ICE[[#This Row],[LastType]] = "Blk", ICE[[#This Row],[LstBlkTime]], ""))</f>
        <v/>
      </c>
      <c r="R1599" s="41" t="str">
        <f>IF(ICE[[#This Row],[LastType]] = "Scrn", ICE[[#This Row],[LstPrc]], IF(ICE[[#This Row],[LastType]] = "Blk", ICE[[#This Row],[LstBlkPrc]], ""))</f>
        <v/>
      </c>
      <c r="S1599" s="36">
        <f>ICE[[#This Row],[Vol]]+ICE[[#This Row],[BlkVol]]</f>
        <v>0</v>
      </c>
      <c r="T1599" s="36">
        <f>RTD("ice.rtd",,$C1599 &amp; $D1599 &amp; ":" &amp; T$1)</f>
        <v>0</v>
      </c>
      <c r="U1599" s="18">
        <f>RTD("ice.rtd",,$C1599 &amp; $D1599 &amp; ":" &amp; U$1)</f>
        <v>1.5270000000000001</v>
      </c>
      <c r="V15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599" s="18" t="str">
        <f>IFERROR(IF(LEFT(ICE[[#This Row],[Tenor]], 1) = "B", RTD("esrtd",,$B1599 &amp; " " &amp; ICE[[#This Row],[Tenor]] &amp; "-IEU", W$1), RTD("esrtd",,$B1599 &amp; " " &amp; VLOOKUP(MONTH(ICE[[#This Row],[Strip]]), MthRef[], 2, 0) &amp; RIGHT(YEAR(ICE[[#This Row],[Strip]]), 2) &amp; "-IEU", W$1)), "")</f>
        <v/>
      </c>
      <c r="X1599" s="36"/>
    </row>
    <row r="1600" spans="1:27" x14ac:dyDescent="0.25">
      <c r="A1600" s="37" t="s">
        <v>354</v>
      </c>
      <c r="B1600" s="88" t="str">
        <f>RTD("ice.rtd",,$C1600 &amp; $D1600 &amp; ":" &amp; B$1)</f>
        <v>AIL</v>
      </c>
      <c r="C1600" s="3">
        <v>1840020882</v>
      </c>
      <c r="D1600" t="s">
        <v>815</v>
      </c>
      <c r="E1600" s="3" t="str">
        <f>RTD("ice.rtd",,$C1600 &amp; $D1600 &amp; ":" &amp; E$1)</f>
        <v>Q1 27</v>
      </c>
      <c r="F1600" s="3" t="str">
        <f>ICE[[#This Row],[Prod]]&amp;ICE[[#This Row],[Strip]]</f>
        <v>icemehticmaQ1 27</v>
      </c>
      <c r="G1600" s="18" t="str">
        <f>RTD("ice.rtd",,$C1600 &amp; $D1600 &amp; ":" &amp; G$1)</f>
        <v/>
      </c>
      <c r="H1600" s="18" t="str">
        <f>RTD("ice.rtd",,$C1600 &amp; $D1600 &amp; ":" &amp; H$1)</f>
        <v/>
      </c>
      <c r="I1600" s="18" t="str">
        <f>RTD("ice.rtd",,$C1600 &amp; $D1600 &amp; ":" &amp; I$1)</f>
        <v/>
      </c>
      <c r="J1600" s="14" t="str">
        <f>IFERROR(MOD(RTD("ice.rtd",,$C1600 &amp; $D1600 &amp; ":" &amp; J$1), 1), "")</f>
        <v/>
      </c>
      <c r="K1600" s="18" t="str">
        <f>RTD("ice.rtd",,$C1600 &amp; $D1600 &amp; ":" &amp; K$1)</f>
        <v/>
      </c>
      <c r="L1600" s="36" t="str">
        <f>RTD("ice.rtd",,$C1600 &amp; $D1600 &amp; ":" &amp; L$1)</f>
        <v/>
      </c>
      <c r="M1600" s="14" t="str">
        <f>IFERROR(MOD(TIMEVALUE(RTD("ice.rtd",,$C1600 &amp; $D1600 &amp; ":" &amp; M$1)), 1), "")</f>
        <v/>
      </c>
      <c r="N1600" s="36">
        <f>RTD("ice.rtd",,$C1600 &amp; $D1600 &amp; ":" &amp; N$1)</f>
        <v>0</v>
      </c>
      <c r="O1600" s="36">
        <f>RTD("ice.rtd",,$C1600 &amp; $D1600 &amp; ":" &amp; O$1)</f>
        <v>0</v>
      </c>
      <c r="P16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0" s="14" t="str">
        <f>IF(ICE[[#This Row],[LastType]] = "Scrn", ICE[[#This Row],[LstDate]], IF(ICE[[#This Row],[LastType]] = "Blk", ICE[[#This Row],[LstBlkTime]], ""))</f>
        <v/>
      </c>
      <c r="R1600" s="41" t="str">
        <f>IF(ICE[[#This Row],[LastType]] = "Scrn", ICE[[#This Row],[LstPrc]], IF(ICE[[#This Row],[LastType]] = "Blk", ICE[[#This Row],[LstBlkPrc]], ""))</f>
        <v/>
      </c>
      <c r="S1600" s="36">
        <f>ICE[[#This Row],[Vol]]+ICE[[#This Row],[BlkVol]]</f>
        <v>0</v>
      </c>
      <c r="T1600" s="36">
        <f>RTD("ice.rtd",,$C1600 &amp; $D1600 &amp; ":" &amp; T$1)</f>
        <v>0</v>
      </c>
      <c r="U1600" s="18">
        <f>RTD("ice.rtd",,$C1600 &amp; $D1600 &amp; ":" &amp; U$1)</f>
        <v>1.635</v>
      </c>
      <c r="V16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0" s="18" t="str">
        <f>IFERROR(IF(LEFT(ICE[[#This Row],[Tenor]], 1) = "B", RTD("esrtd",,$B1600 &amp; " " &amp; ICE[[#This Row],[Tenor]] &amp; "-IEU", W$1), RTD("esrtd",,$B1600 &amp; " " &amp; VLOOKUP(MONTH(ICE[[#This Row],[Strip]]), MthRef[], 2, 0) &amp; RIGHT(YEAR(ICE[[#This Row],[Strip]]), 2) &amp; "-IEU", W$1)), "")</f>
        <v/>
      </c>
      <c r="X1600" s="36"/>
    </row>
    <row r="1601" spans="1:24" x14ac:dyDescent="0.25">
      <c r="A1601" s="37" t="s">
        <v>354</v>
      </c>
      <c r="B1601" s="88" t="str">
        <f>RTD("ice.rtd",,$C1601 &amp; $D1601 &amp; ":" &amp; B$1)</f>
        <v>AIL</v>
      </c>
      <c r="C1601" s="3">
        <v>1840020882</v>
      </c>
      <c r="D1601" t="s">
        <v>816</v>
      </c>
      <c r="E1601" s="3" t="str">
        <f>RTD("ice.rtd",,$C1601 &amp; $D1601 &amp; ":" &amp; E$1)</f>
        <v>Q2 27</v>
      </c>
      <c r="F1601" s="3" t="str">
        <f>ICE[[#This Row],[Prod]]&amp;ICE[[#This Row],[Strip]]</f>
        <v>icemehticmaQ2 27</v>
      </c>
      <c r="G1601" s="18" t="str">
        <f>RTD("ice.rtd",,$C1601 &amp; $D1601 &amp; ":" &amp; G$1)</f>
        <v/>
      </c>
      <c r="H1601" s="18" t="str">
        <f>RTD("ice.rtd",,$C1601 &amp; $D1601 &amp; ":" &amp; H$1)</f>
        <v/>
      </c>
      <c r="I1601" s="18" t="str">
        <f>RTD("ice.rtd",,$C1601 &amp; $D1601 &amp; ":" &amp; I$1)</f>
        <v/>
      </c>
      <c r="J1601" s="14" t="str">
        <f>IFERROR(MOD(RTD("ice.rtd",,$C1601 &amp; $D1601 &amp; ":" &amp; J$1), 1), "")</f>
        <v/>
      </c>
      <c r="K1601" s="18" t="str">
        <f>RTD("ice.rtd",,$C1601 &amp; $D1601 &amp; ":" &amp; K$1)</f>
        <v/>
      </c>
      <c r="L1601" s="36" t="str">
        <f>RTD("ice.rtd",,$C1601 &amp; $D1601 &amp; ":" &amp; L$1)</f>
        <v/>
      </c>
      <c r="M1601" s="14" t="str">
        <f>IFERROR(MOD(TIMEVALUE(RTD("ice.rtd",,$C1601 &amp; $D1601 &amp; ":" &amp; M$1)), 1), "")</f>
        <v/>
      </c>
      <c r="N1601" s="36">
        <f>RTD("ice.rtd",,$C1601 &amp; $D1601 &amp; ":" &amp; N$1)</f>
        <v>0</v>
      </c>
      <c r="O1601" s="36">
        <f>RTD("ice.rtd",,$C1601 &amp; $D1601 &amp; ":" &amp; O$1)</f>
        <v>0</v>
      </c>
      <c r="P16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1" s="14" t="str">
        <f>IF(ICE[[#This Row],[LastType]] = "Scrn", ICE[[#This Row],[LstDate]], IF(ICE[[#This Row],[LastType]] = "Blk", ICE[[#This Row],[LstBlkTime]], ""))</f>
        <v/>
      </c>
      <c r="R1601" s="41" t="str">
        <f>IF(ICE[[#This Row],[LastType]] = "Scrn", ICE[[#This Row],[LstPrc]], IF(ICE[[#This Row],[LastType]] = "Blk", ICE[[#This Row],[LstBlkPrc]], ""))</f>
        <v/>
      </c>
      <c r="S1601" s="36">
        <f>ICE[[#This Row],[Vol]]+ICE[[#This Row],[BlkVol]]</f>
        <v>0</v>
      </c>
      <c r="T1601" s="36">
        <f>RTD("ice.rtd",,$C1601 &amp; $D1601 &amp; ":" &amp; T$1)</f>
        <v>0</v>
      </c>
      <c r="U1601" s="18">
        <f>RTD("ice.rtd",,$C1601 &amp; $D1601 &amp; ":" &amp; U$1)</f>
        <v>1.625</v>
      </c>
      <c r="V16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1" s="18" t="str">
        <f>IFERROR(IF(LEFT(ICE[[#This Row],[Tenor]], 1) = "B", RTD("esrtd",,$B1601 &amp; " " &amp; ICE[[#This Row],[Tenor]] &amp; "-IEU", W$1), RTD("esrtd",,$B1601 &amp; " " &amp; VLOOKUP(MONTH(ICE[[#This Row],[Strip]]), MthRef[], 2, 0) &amp; RIGHT(YEAR(ICE[[#This Row],[Strip]]), 2) &amp; "-IEU", W$1)), "")</f>
        <v/>
      </c>
      <c r="X1601" s="36"/>
    </row>
    <row r="1602" spans="1:24" x14ac:dyDescent="0.25">
      <c r="A1602" s="37" t="s">
        <v>354</v>
      </c>
      <c r="B1602" s="88" t="str">
        <f>RTD("ice.rtd",,$C1602 &amp; $D1602 &amp; ":" &amp; B$1)</f>
        <v>AIL</v>
      </c>
      <c r="C1602" s="3">
        <v>1840020882</v>
      </c>
      <c r="D1602" t="s">
        <v>817</v>
      </c>
      <c r="E1602" s="3" t="str">
        <f>RTD("ice.rtd",,$C1602 &amp; $D1602 &amp; ":" &amp; E$1)</f>
        <v>Q3 27</v>
      </c>
      <c r="F1602" s="3" t="str">
        <f>ICE[[#This Row],[Prod]]&amp;ICE[[#This Row],[Strip]]</f>
        <v>icemehticmaQ3 27</v>
      </c>
      <c r="G1602" s="18" t="str">
        <f>RTD("ice.rtd",,$C1602 &amp; $D1602 &amp; ":" &amp; G$1)</f>
        <v/>
      </c>
      <c r="H1602" s="18" t="str">
        <f>RTD("ice.rtd",,$C1602 &amp; $D1602 &amp; ":" &amp; H$1)</f>
        <v/>
      </c>
      <c r="I1602" s="18" t="str">
        <f>RTD("ice.rtd",,$C1602 &amp; $D1602 &amp; ":" &amp; I$1)</f>
        <v/>
      </c>
      <c r="J1602" s="14" t="str">
        <f>IFERROR(MOD(RTD("ice.rtd",,$C1602 &amp; $D1602 &amp; ":" &amp; J$1), 1), "")</f>
        <v/>
      </c>
      <c r="K1602" s="18" t="str">
        <f>RTD("ice.rtd",,$C1602 &amp; $D1602 &amp; ":" &amp; K$1)</f>
        <v/>
      </c>
      <c r="L1602" s="36" t="str">
        <f>RTD("ice.rtd",,$C1602 &amp; $D1602 &amp; ":" &amp; L$1)</f>
        <v/>
      </c>
      <c r="M1602" s="14" t="str">
        <f>IFERROR(MOD(TIMEVALUE(RTD("ice.rtd",,$C1602 &amp; $D1602 &amp; ":" &amp; M$1)), 1), "")</f>
        <v/>
      </c>
      <c r="N1602" s="36">
        <f>RTD("ice.rtd",,$C1602 &amp; $D1602 &amp; ":" &amp; N$1)</f>
        <v>0</v>
      </c>
      <c r="O1602" s="36">
        <f>RTD("ice.rtd",,$C1602 &amp; $D1602 &amp; ":" &amp; O$1)</f>
        <v>0</v>
      </c>
      <c r="P16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2" s="14" t="str">
        <f>IF(ICE[[#This Row],[LastType]] = "Scrn", ICE[[#This Row],[LstDate]], IF(ICE[[#This Row],[LastType]] = "Blk", ICE[[#This Row],[LstBlkTime]], ""))</f>
        <v/>
      </c>
      <c r="R1602" s="41" t="str">
        <f>IF(ICE[[#This Row],[LastType]] = "Scrn", ICE[[#This Row],[LstPrc]], IF(ICE[[#This Row],[LastType]] = "Blk", ICE[[#This Row],[LstBlkPrc]], ""))</f>
        <v/>
      </c>
      <c r="S1602" s="36">
        <f>ICE[[#This Row],[Vol]]+ICE[[#This Row],[BlkVol]]</f>
        <v>0</v>
      </c>
      <c r="T1602" s="36">
        <f>RTD("ice.rtd",,$C1602 &amp; $D1602 &amp; ":" &amp; T$1)</f>
        <v>0</v>
      </c>
      <c r="U1602" s="18">
        <f>RTD("ice.rtd",,$C1602 &amp; $D1602 &amp; ":" &amp; U$1)</f>
        <v>1.911</v>
      </c>
      <c r="V16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2" s="18" t="str">
        <f>IFERROR(IF(LEFT(ICE[[#This Row],[Tenor]], 1) = "B", RTD("esrtd",,$B1602 &amp; " " &amp; ICE[[#This Row],[Tenor]] &amp; "-IEU", W$1), RTD("esrtd",,$B1602 &amp; " " &amp; VLOOKUP(MONTH(ICE[[#This Row],[Strip]]), MthRef[], 2, 0) &amp; RIGHT(YEAR(ICE[[#This Row],[Strip]]), 2) &amp; "-IEU", W$1)), "")</f>
        <v/>
      </c>
      <c r="X1602" s="36"/>
    </row>
    <row r="1603" spans="1:24" x14ac:dyDescent="0.25">
      <c r="A1603" s="37" t="s">
        <v>354</v>
      </c>
      <c r="B1603" s="88" t="str">
        <f>RTD("ice.rtd",,$C1603 &amp; $D1603 &amp; ":" &amp; B$1)</f>
        <v>AIL</v>
      </c>
      <c r="C1603" s="3">
        <v>1840020882</v>
      </c>
      <c r="D1603" t="s">
        <v>818</v>
      </c>
      <c r="E1603" s="3" t="str">
        <f>RTD("ice.rtd",,$C1603 &amp; $D1603 &amp; ":" &amp; E$1)</f>
        <v>Q4 27</v>
      </c>
      <c r="F1603" s="3" t="str">
        <f>ICE[[#This Row],[Prod]]&amp;ICE[[#This Row],[Strip]]</f>
        <v>icemehticmaQ4 27</v>
      </c>
      <c r="G1603" s="18" t="str">
        <f>RTD("ice.rtd",,$C1603 &amp; $D1603 &amp; ":" &amp; G$1)</f>
        <v/>
      </c>
      <c r="H1603" s="18" t="str">
        <f>RTD("ice.rtd",,$C1603 &amp; $D1603 &amp; ":" &amp; H$1)</f>
        <v/>
      </c>
      <c r="I1603" s="18" t="str">
        <f>RTD("ice.rtd",,$C1603 &amp; $D1603 &amp; ":" &amp; I$1)</f>
        <v/>
      </c>
      <c r="J1603" s="14" t="str">
        <f>IFERROR(MOD(RTD("ice.rtd",,$C1603 &amp; $D1603 &amp; ":" &amp; J$1), 1), "")</f>
        <v/>
      </c>
      <c r="K1603" s="18" t="str">
        <f>RTD("ice.rtd",,$C1603 &amp; $D1603 &amp; ":" &amp; K$1)</f>
        <v/>
      </c>
      <c r="L1603" s="36" t="str">
        <f>RTD("ice.rtd",,$C1603 &amp; $D1603 &amp; ":" &amp; L$1)</f>
        <v/>
      </c>
      <c r="M1603" s="14" t="str">
        <f>IFERROR(MOD(TIMEVALUE(RTD("ice.rtd",,$C1603 &amp; $D1603 &amp; ":" &amp; M$1)), 1), "")</f>
        <v/>
      </c>
      <c r="N1603" s="36">
        <f>RTD("ice.rtd",,$C1603 &amp; $D1603 &amp; ":" &amp; N$1)</f>
        <v>0</v>
      </c>
      <c r="O1603" s="36">
        <f>RTD("ice.rtd",,$C1603 &amp; $D1603 &amp; ":" &amp; O$1)</f>
        <v>0</v>
      </c>
      <c r="P16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3" s="14" t="str">
        <f>IF(ICE[[#This Row],[LastType]] = "Scrn", ICE[[#This Row],[LstDate]], IF(ICE[[#This Row],[LastType]] = "Blk", ICE[[#This Row],[LstBlkTime]], ""))</f>
        <v/>
      </c>
      <c r="R1603" s="41" t="str">
        <f>IF(ICE[[#This Row],[LastType]] = "Scrn", ICE[[#This Row],[LstPrc]], IF(ICE[[#This Row],[LastType]] = "Blk", ICE[[#This Row],[LstBlkPrc]], ""))</f>
        <v/>
      </c>
      <c r="S1603" s="36">
        <f>ICE[[#This Row],[Vol]]+ICE[[#This Row],[BlkVol]]</f>
        <v>0</v>
      </c>
      <c r="T1603" s="36">
        <f>RTD("ice.rtd",,$C1603 &amp; $D1603 &amp; ":" &amp; T$1)</f>
        <v>0</v>
      </c>
      <c r="U1603" s="18">
        <f>RTD("ice.rtd",,$C1603 &amp; $D1603 &amp; ":" &amp; U$1)</f>
        <v>1.9560000000000002</v>
      </c>
      <c r="V16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3" s="18" t="str">
        <f>IFERROR(IF(LEFT(ICE[[#This Row],[Tenor]], 1) = "B", RTD("esrtd",,$B1603 &amp; " " &amp; ICE[[#This Row],[Tenor]] &amp; "-IEU", W$1), RTD("esrtd",,$B1603 &amp; " " &amp; VLOOKUP(MONTH(ICE[[#This Row],[Strip]]), MthRef[], 2, 0) &amp; RIGHT(YEAR(ICE[[#This Row],[Strip]]), 2) &amp; "-IEU", W$1)), "")</f>
        <v/>
      </c>
      <c r="X1603" s="36"/>
    </row>
    <row r="1604" spans="1:24" x14ac:dyDescent="0.25">
      <c r="A1604" s="37" t="s">
        <v>354</v>
      </c>
      <c r="B1604" s="88" t="str">
        <f>RTD("ice.rtd",,$C1604 &amp; $D1604 &amp; ":" &amp; B$1)</f>
        <v>AIL</v>
      </c>
      <c r="C1604" s="3">
        <v>1840020882</v>
      </c>
      <c r="D1604" t="s">
        <v>822</v>
      </c>
      <c r="E1604" s="3" t="str">
        <f>RTD("ice.rtd",,$C1604 &amp; $D1604 &amp; ":" &amp; E$1)</f>
        <v>Cal 27</v>
      </c>
      <c r="F1604" s="3" t="str">
        <f>ICE[[#This Row],[Prod]]&amp;ICE[[#This Row],[Strip]]</f>
        <v>icemehticmaCal 27</v>
      </c>
      <c r="G1604" s="18" t="str">
        <f>RTD("ice.rtd",,$C1604 &amp; $D1604 &amp; ":" &amp; G$1)</f>
        <v/>
      </c>
      <c r="H1604" s="18" t="str">
        <f>RTD("ice.rtd",,$C1604 &amp; $D1604 &amp; ":" &amp; H$1)</f>
        <v/>
      </c>
      <c r="I1604" s="18" t="str">
        <f>RTD("ice.rtd",,$C1604 &amp; $D1604 &amp; ":" &amp; I$1)</f>
        <v/>
      </c>
      <c r="J1604" s="14" t="str">
        <f>IFERROR(MOD(RTD("ice.rtd",,$C1604 &amp; $D1604 &amp; ":" &amp; J$1), 1), "")</f>
        <v/>
      </c>
      <c r="K1604" s="18" t="str">
        <f>RTD("ice.rtd",,$C1604 &amp; $D1604 &amp; ":" &amp; K$1)</f>
        <v/>
      </c>
      <c r="L1604" s="36" t="str">
        <f>RTD("ice.rtd",,$C1604 &amp; $D1604 &amp; ":" &amp; L$1)</f>
        <v/>
      </c>
      <c r="M1604" s="14" t="str">
        <f>IFERROR(MOD(TIMEVALUE(RTD("ice.rtd",,$C1604 &amp; $D1604 &amp; ":" &amp; M$1)), 1), "")</f>
        <v/>
      </c>
      <c r="N1604" s="36">
        <f>RTD("ice.rtd",,$C1604 &amp; $D1604 &amp; ":" &amp; N$1)</f>
        <v>0</v>
      </c>
      <c r="O1604" s="36">
        <f>RTD("ice.rtd",,$C1604 &amp; $D1604 &amp; ":" &amp; O$1)</f>
        <v>0</v>
      </c>
      <c r="P16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4" s="14" t="str">
        <f>IF(ICE[[#This Row],[LastType]] = "Scrn", ICE[[#This Row],[LstDate]], IF(ICE[[#This Row],[LastType]] = "Blk", ICE[[#This Row],[LstBlkTime]], ""))</f>
        <v/>
      </c>
      <c r="R1604" s="41" t="str">
        <f>IF(ICE[[#This Row],[LastType]] = "Scrn", ICE[[#This Row],[LstPrc]], IF(ICE[[#This Row],[LastType]] = "Blk", ICE[[#This Row],[LstBlkPrc]], ""))</f>
        <v/>
      </c>
      <c r="S1604" s="36">
        <f>ICE[[#This Row],[Vol]]+ICE[[#This Row],[BlkVol]]</f>
        <v>0</v>
      </c>
      <c r="T1604" s="36">
        <f>RTD("ice.rtd",,$C1604 &amp; $D1604 &amp; ":" &amp; T$1)</f>
        <v>0</v>
      </c>
      <c r="U1604" s="18">
        <f>RTD("ice.rtd",,$C1604 &amp; $D1604 &amp; ":" &amp; U$1)</f>
        <v>1.782</v>
      </c>
      <c r="V16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4" s="18" t="str">
        <f>IFERROR(IF(LEFT(ICE[[#This Row],[Tenor]], 1) = "B", RTD("esrtd",,$B1604 &amp; " " &amp; ICE[[#This Row],[Tenor]] &amp; "-IEU", W$1), RTD("esrtd",,$B1604 &amp; " " &amp; VLOOKUP(MONTH(ICE[[#This Row],[Strip]]), MthRef[], 2, 0) &amp; RIGHT(YEAR(ICE[[#This Row],[Strip]]), 2) &amp; "-IEU", W$1)), "")</f>
        <v/>
      </c>
      <c r="X1604" s="36"/>
    </row>
    <row r="1605" spans="1:24" x14ac:dyDescent="0.25">
      <c r="A1605" s="37" t="s">
        <v>420</v>
      </c>
      <c r="B1605" s="88" t="str">
        <f>RTD("ice.rtd",,$C1605 &amp; $D1605 &amp; ":" &amp; B$1)</f>
        <v>GDX</v>
      </c>
      <c r="C1605" s="3">
        <v>3124331018</v>
      </c>
      <c r="D1605" t="s">
        <v>793</v>
      </c>
      <c r="E1605" s="3" t="str">
        <f>RTD("ice.rtd",,$C1605 &amp; $D1605 &amp; ":" &amp; E$1)</f>
        <v>Sep26</v>
      </c>
      <c r="F1605" s="3" t="str">
        <f>ICE[[#This Row],[Prod]]&amp;ICE[[#This Row],[Strip]]</f>
        <v>mopagdiffSep26</v>
      </c>
      <c r="G1605" s="18" t="str">
        <f>RTD("ice.rtd",,$C1605 &amp; $D1605 &amp; ":" &amp; G$1)</f>
        <v/>
      </c>
      <c r="H1605" s="18" t="str">
        <f>RTD("ice.rtd",,$C1605 &amp; $D1605 &amp; ":" &amp; H$1)</f>
        <v/>
      </c>
      <c r="I1605" s="18" t="str">
        <f>RTD("ice.rtd",,$C1605 &amp; $D1605 &amp; ":" &amp; I$1)</f>
        <v/>
      </c>
      <c r="J1605" s="14" t="str">
        <f>IFERROR(MOD(RTD("ice.rtd",,$C1605 &amp; $D1605 &amp; ":" &amp; J$1), 1), "")</f>
        <v/>
      </c>
      <c r="K1605" s="18" t="str">
        <f>RTD("ice.rtd",,$C1605 &amp; $D1605 &amp; ":" &amp; K$1)</f>
        <v/>
      </c>
      <c r="L1605" s="36" t="str">
        <f>RTD("ice.rtd",,$C1605 &amp; $D1605 &amp; ":" &amp; L$1)</f>
        <v/>
      </c>
      <c r="M1605" s="14" t="str">
        <f>IFERROR(MOD(TIMEVALUE(RTD("ice.rtd",,$C1605 &amp; $D1605 &amp; ":" &amp; M$1)), 1), "")</f>
        <v/>
      </c>
      <c r="N1605" s="36">
        <f>RTD("ice.rtd",,$C1605 &amp; $D1605 &amp; ":" &amp; N$1)</f>
        <v>0</v>
      </c>
      <c r="O1605" s="36">
        <f>RTD("ice.rtd",,$C1605 &amp; $D1605 &amp; ":" &amp; O$1)</f>
        <v>0</v>
      </c>
      <c r="P16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5" s="14" t="str">
        <f>IF(ICE[[#This Row],[LastType]] = "Scrn", ICE[[#This Row],[LstDate]], IF(ICE[[#This Row],[LastType]] = "Blk", ICE[[#This Row],[LstBlkTime]], ""))</f>
        <v/>
      </c>
      <c r="R1605" s="41" t="str">
        <f>IF(ICE[[#This Row],[LastType]] = "Scrn", ICE[[#This Row],[LstPrc]], IF(ICE[[#This Row],[LastType]] = "Blk", ICE[[#This Row],[LstBlkPrc]], ""))</f>
        <v/>
      </c>
      <c r="S1605" s="36">
        <f>ICE[[#This Row],[Vol]]+ICE[[#This Row],[BlkVol]]</f>
        <v>0</v>
      </c>
      <c r="T1605" s="36">
        <f>RTD("ice.rtd",,$C1605 &amp; $D1605 &amp; ":" &amp; T$1)</f>
        <v>0</v>
      </c>
      <c r="U1605" s="18">
        <f>RTD("ice.rtd",,$C1605 &amp; $D1605 &amp; ":" &amp; U$1)</f>
        <v>-9.968</v>
      </c>
      <c r="V16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5" s="18" t="str">
        <f>IFERROR(IF(LEFT(ICE[[#This Row],[Tenor]], 1) = "B", RTD("esrtd",,$B1605 &amp; " " &amp; ICE[[#This Row],[Tenor]] &amp; "-IEU", W$1), RTD("esrtd",,$B1605 &amp; " " &amp; VLOOKUP(MONTH(ICE[[#This Row],[Strip]]), MthRef[], 2, 0) &amp; RIGHT(YEAR(ICE[[#This Row],[Strip]]), 2) &amp; "-IEU", W$1)), "")</f>
        <v/>
      </c>
      <c r="X1605" s="36"/>
    </row>
    <row r="1606" spans="1:24" x14ac:dyDescent="0.25">
      <c r="A1606" s="37" t="s">
        <v>420</v>
      </c>
      <c r="B1606" s="88" t="str">
        <f>RTD("ice.rtd",,$C1606 &amp; $D1606 &amp; ":" &amp; B$1)</f>
        <v>GDX</v>
      </c>
      <c r="C1606" s="3">
        <v>3124331018</v>
      </c>
      <c r="D1606" t="s">
        <v>324</v>
      </c>
      <c r="E1606" s="3" t="str">
        <f>RTD("ice.rtd",,$C1606 &amp; $D1606 &amp; ":" &amp; E$1)</f>
        <v>Oct26</v>
      </c>
      <c r="F1606" s="3" t="str">
        <f>ICE[[#This Row],[Prod]]&amp;ICE[[#This Row],[Strip]]</f>
        <v>mopagdiffOct26</v>
      </c>
      <c r="G1606" s="18" t="str">
        <f>RTD("ice.rtd",,$C1606 &amp; $D1606 &amp; ":" &amp; G$1)</f>
        <v/>
      </c>
      <c r="H1606" s="18" t="str">
        <f>RTD("ice.rtd",,$C1606 &amp; $D1606 &amp; ":" &amp; H$1)</f>
        <v/>
      </c>
      <c r="I1606" s="18" t="str">
        <f>RTD("ice.rtd",,$C1606 &amp; $D1606 &amp; ":" &amp; I$1)</f>
        <v/>
      </c>
      <c r="J1606" s="14" t="str">
        <f>IFERROR(MOD(RTD("ice.rtd",,$C1606 &amp; $D1606 &amp; ":" &amp; J$1), 1), "")</f>
        <v/>
      </c>
      <c r="K1606" s="18" t="str">
        <f>RTD("ice.rtd",,$C1606 &amp; $D1606 &amp; ":" &amp; K$1)</f>
        <v/>
      </c>
      <c r="L1606" s="36" t="str">
        <f>RTD("ice.rtd",,$C1606 &amp; $D1606 &amp; ":" &amp; L$1)</f>
        <v/>
      </c>
      <c r="M1606" s="14" t="str">
        <f>IFERROR(MOD(TIMEVALUE(RTD("ice.rtd",,$C1606 &amp; $D1606 &amp; ":" &amp; M$1)), 1), "")</f>
        <v/>
      </c>
      <c r="N1606" s="36">
        <f>RTD("ice.rtd",,$C1606 &amp; $D1606 &amp; ":" &amp; N$1)</f>
        <v>0</v>
      </c>
      <c r="O1606" s="36">
        <f>RTD("ice.rtd",,$C1606 &amp; $D1606 &amp; ":" &amp; O$1)</f>
        <v>0</v>
      </c>
      <c r="P16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6" s="14" t="str">
        <f>IF(ICE[[#This Row],[LastType]] = "Scrn", ICE[[#This Row],[LstDate]], IF(ICE[[#This Row],[LastType]] = "Blk", ICE[[#This Row],[LstBlkTime]], ""))</f>
        <v/>
      </c>
      <c r="R1606" s="41" t="str">
        <f>IF(ICE[[#This Row],[LastType]] = "Scrn", ICE[[#This Row],[LstPrc]], IF(ICE[[#This Row],[LastType]] = "Blk", ICE[[#This Row],[LstBlkPrc]], ""))</f>
        <v/>
      </c>
      <c r="S1606" s="36">
        <f>ICE[[#This Row],[Vol]]+ICE[[#This Row],[BlkVol]]</f>
        <v>0</v>
      </c>
      <c r="T1606" s="36">
        <f>RTD("ice.rtd",,$C1606 &amp; $D1606 &amp; ":" &amp; T$1)</f>
        <v>0</v>
      </c>
      <c r="U1606" s="18">
        <f>RTD("ice.rtd",,$C1606 &amp; $D1606 &amp; ":" &amp; U$1)</f>
        <v>-9.56</v>
      </c>
      <c r="V16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6" s="18" t="str">
        <f>IFERROR(IF(LEFT(ICE[[#This Row],[Tenor]], 1) = "B", RTD("esrtd",,$B1606 &amp; " " &amp; ICE[[#This Row],[Tenor]] &amp; "-IEU", W$1), RTD("esrtd",,$B1606 &amp; " " &amp; VLOOKUP(MONTH(ICE[[#This Row],[Strip]]), MthRef[], 2, 0) &amp; RIGHT(YEAR(ICE[[#This Row],[Strip]]), 2) &amp; "-IEU", W$1)), "")</f>
        <v/>
      </c>
      <c r="X1606" s="36"/>
    </row>
    <row r="1607" spans="1:24" x14ac:dyDescent="0.25">
      <c r="A1607" s="37" t="s">
        <v>420</v>
      </c>
      <c r="B1607" s="88" t="str">
        <f>RTD("ice.rtd",,$C1607 &amp; $D1607 &amp; ":" &amp; B$1)</f>
        <v>GDX</v>
      </c>
      <c r="C1607" s="3">
        <v>3124331018</v>
      </c>
      <c r="D1607" t="s">
        <v>325</v>
      </c>
      <c r="E1607" s="3" t="str">
        <f>RTD("ice.rtd",,$C1607 &amp; $D1607 &amp; ":" &amp; E$1)</f>
        <v>Nov26</v>
      </c>
      <c r="F1607" s="3" t="str">
        <f>ICE[[#This Row],[Prod]]&amp;ICE[[#This Row],[Strip]]</f>
        <v>mopagdiffNov26</v>
      </c>
      <c r="G1607" s="18" t="str">
        <f>RTD("ice.rtd",,$C1607 &amp; $D1607 &amp; ":" &amp; G$1)</f>
        <v/>
      </c>
      <c r="H1607" s="18" t="str">
        <f>RTD("ice.rtd",,$C1607 &amp; $D1607 &amp; ":" &amp; H$1)</f>
        <v/>
      </c>
      <c r="I1607" s="18" t="str">
        <f>RTD("ice.rtd",,$C1607 &amp; $D1607 &amp; ":" &amp; I$1)</f>
        <v/>
      </c>
      <c r="J1607" s="14" t="str">
        <f>IFERROR(MOD(RTD("ice.rtd",,$C1607 &amp; $D1607 &amp; ":" &amp; J$1), 1), "")</f>
        <v/>
      </c>
      <c r="K1607" s="18" t="str">
        <f>RTD("ice.rtd",,$C1607 &amp; $D1607 &amp; ":" &amp; K$1)</f>
        <v/>
      </c>
      <c r="L1607" s="36" t="str">
        <f>RTD("ice.rtd",,$C1607 &amp; $D1607 &amp; ":" &amp; L$1)</f>
        <v/>
      </c>
      <c r="M1607" s="14" t="str">
        <f>IFERROR(MOD(TIMEVALUE(RTD("ice.rtd",,$C1607 &amp; $D1607 &amp; ":" &amp; M$1)), 1), "")</f>
        <v/>
      </c>
      <c r="N1607" s="36">
        <f>RTD("ice.rtd",,$C1607 &amp; $D1607 &amp; ":" &amp; N$1)</f>
        <v>0</v>
      </c>
      <c r="O1607" s="36">
        <f>RTD("ice.rtd",,$C1607 &amp; $D1607 &amp; ":" &amp; O$1)</f>
        <v>0</v>
      </c>
      <c r="P16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7" s="14" t="str">
        <f>IF(ICE[[#This Row],[LastType]] = "Scrn", ICE[[#This Row],[LstDate]], IF(ICE[[#This Row],[LastType]] = "Blk", ICE[[#This Row],[LstBlkTime]], ""))</f>
        <v/>
      </c>
      <c r="R1607" s="41" t="str">
        <f>IF(ICE[[#This Row],[LastType]] = "Scrn", ICE[[#This Row],[LstPrc]], IF(ICE[[#This Row],[LastType]] = "Blk", ICE[[#This Row],[LstBlkPrc]], ""))</f>
        <v/>
      </c>
      <c r="S1607" s="36">
        <f>ICE[[#This Row],[Vol]]+ICE[[#This Row],[BlkVol]]</f>
        <v>0</v>
      </c>
      <c r="T1607" s="36">
        <f>RTD("ice.rtd",,$C1607 &amp; $D1607 &amp; ":" &amp; T$1)</f>
        <v>0</v>
      </c>
      <c r="U1607" s="18">
        <f>RTD("ice.rtd",,$C1607 &amp; $D1607 &amp; ":" &amp; U$1)</f>
        <v>-9.1</v>
      </c>
      <c r="V16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7" s="18" t="str">
        <f>IFERROR(IF(LEFT(ICE[[#This Row],[Tenor]], 1) = "B", RTD("esrtd",,$B1607 &amp; " " &amp; ICE[[#This Row],[Tenor]] &amp; "-IEU", W$1), RTD("esrtd",,$B1607 &amp; " " &amp; VLOOKUP(MONTH(ICE[[#This Row],[Strip]]), MthRef[], 2, 0) &amp; RIGHT(YEAR(ICE[[#This Row],[Strip]]), 2) &amp; "-IEU", W$1)), "")</f>
        <v/>
      </c>
      <c r="X1607" s="36"/>
    </row>
    <row r="1608" spans="1:24" x14ac:dyDescent="0.25">
      <c r="A1608" s="37" t="s">
        <v>420</v>
      </c>
      <c r="B1608" s="88" t="str">
        <f>RTD("ice.rtd",,$C1608 &amp; $D1608 &amp; ":" &amp; B$1)</f>
        <v>GDX</v>
      </c>
      <c r="C1608" s="3">
        <v>3124331018</v>
      </c>
      <c r="D1608" t="s">
        <v>326</v>
      </c>
      <c r="E1608" s="3" t="str">
        <f>RTD("ice.rtd",,$C1608 &amp; $D1608 &amp; ":" &amp; E$1)</f>
        <v>Dec26</v>
      </c>
      <c r="F1608" s="3" t="str">
        <f>ICE[[#This Row],[Prod]]&amp;ICE[[#This Row],[Strip]]</f>
        <v>mopagdiffDec26</v>
      </c>
      <c r="G1608" s="18" t="str">
        <f>RTD("ice.rtd",,$C1608 &amp; $D1608 &amp; ":" &amp; G$1)</f>
        <v/>
      </c>
      <c r="H1608" s="18" t="str">
        <f>RTD("ice.rtd",,$C1608 &amp; $D1608 &amp; ":" &amp; H$1)</f>
        <v/>
      </c>
      <c r="I1608" s="18" t="str">
        <f>RTD("ice.rtd",,$C1608 &amp; $D1608 &amp; ":" &amp; I$1)</f>
        <v/>
      </c>
      <c r="J1608" s="14" t="str">
        <f>IFERROR(MOD(RTD("ice.rtd",,$C1608 &amp; $D1608 &amp; ":" &amp; J$1), 1), "")</f>
        <v/>
      </c>
      <c r="K1608" s="18" t="str">
        <f>RTD("ice.rtd",,$C1608 &amp; $D1608 &amp; ":" &amp; K$1)</f>
        <v/>
      </c>
      <c r="L1608" s="36" t="str">
        <f>RTD("ice.rtd",,$C1608 &amp; $D1608 &amp; ":" &amp; L$1)</f>
        <v/>
      </c>
      <c r="M1608" s="14" t="str">
        <f>IFERROR(MOD(TIMEVALUE(RTD("ice.rtd",,$C1608 &amp; $D1608 &amp; ":" &amp; M$1)), 1), "")</f>
        <v/>
      </c>
      <c r="N1608" s="36">
        <f>RTD("ice.rtd",,$C1608 &amp; $D1608 &amp; ":" &amp; N$1)</f>
        <v>0</v>
      </c>
      <c r="O1608" s="36">
        <f>RTD("ice.rtd",,$C1608 &amp; $D1608 &amp; ":" &amp; O$1)</f>
        <v>0</v>
      </c>
      <c r="P16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8" s="14" t="str">
        <f>IF(ICE[[#This Row],[LastType]] = "Scrn", ICE[[#This Row],[LstDate]], IF(ICE[[#This Row],[LastType]] = "Blk", ICE[[#This Row],[LstBlkTime]], ""))</f>
        <v/>
      </c>
      <c r="R1608" s="41" t="str">
        <f>IF(ICE[[#This Row],[LastType]] = "Scrn", ICE[[#This Row],[LstPrc]], IF(ICE[[#This Row],[LastType]] = "Blk", ICE[[#This Row],[LstBlkPrc]], ""))</f>
        <v/>
      </c>
      <c r="S1608" s="36">
        <f>ICE[[#This Row],[Vol]]+ICE[[#This Row],[BlkVol]]</f>
        <v>0</v>
      </c>
      <c r="T1608" s="36">
        <f>RTD("ice.rtd",,$C1608 &amp; $D1608 &amp; ":" &amp; T$1)</f>
        <v>0</v>
      </c>
      <c r="U1608" s="18">
        <f>RTD("ice.rtd",,$C1608 &amp; $D1608 &amp; ":" &amp; U$1)</f>
        <v>-8.64</v>
      </c>
      <c r="V16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8" s="18" t="str">
        <f>IFERROR(IF(LEFT(ICE[[#This Row],[Tenor]], 1) = "B", RTD("esrtd",,$B1608 &amp; " " &amp; ICE[[#This Row],[Tenor]] &amp; "-IEU", W$1), RTD("esrtd",,$B1608 &amp; " " &amp; VLOOKUP(MONTH(ICE[[#This Row],[Strip]]), MthRef[], 2, 0) &amp; RIGHT(YEAR(ICE[[#This Row],[Strip]]), 2) &amp; "-IEU", W$1)), "")</f>
        <v/>
      </c>
      <c r="X1608" s="36"/>
    </row>
    <row r="1609" spans="1:24" x14ac:dyDescent="0.25">
      <c r="A1609" s="37" t="s">
        <v>420</v>
      </c>
      <c r="B1609" s="88" t="str">
        <f>RTD("ice.rtd",,$C1609 &amp; $D1609 &amp; ":" &amp; B$1)</f>
        <v>GDX</v>
      </c>
      <c r="C1609" s="3">
        <v>3124331018</v>
      </c>
      <c r="D1609" t="s">
        <v>794</v>
      </c>
      <c r="E1609" s="3" t="str">
        <f>RTD("ice.rtd",,$C1609 &amp; $D1609 &amp; ":" &amp; E$1)</f>
        <v>Jan27</v>
      </c>
      <c r="F1609" s="3" t="str">
        <f>ICE[[#This Row],[Prod]]&amp;ICE[[#This Row],[Strip]]</f>
        <v>mopagdiffJan27</v>
      </c>
      <c r="G1609" s="18" t="str">
        <f>RTD("ice.rtd",,$C1609 &amp; $D1609 &amp; ":" &amp; G$1)</f>
        <v/>
      </c>
      <c r="H1609" s="18" t="str">
        <f>RTD("ice.rtd",,$C1609 &amp; $D1609 &amp; ":" &amp; H$1)</f>
        <v/>
      </c>
      <c r="I1609" s="18" t="str">
        <f>RTD("ice.rtd",,$C1609 &amp; $D1609 &amp; ":" &amp; I$1)</f>
        <v/>
      </c>
      <c r="J1609" s="14" t="str">
        <f>IFERROR(MOD(RTD("ice.rtd",,$C1609 &amp; $D1609 &amp; ":" &amp; J$1), 1), "")</f>
        <v/>
      </c>
      <c r="K1609" s="18" t="str">
        <f>RTD("ice.rtd",,$C1609 &amp; $D1609 &amp; ":" &amp; K$1)</f>
        <v/>
      </c>
      <c r="L1609" s="36" t="str">
        <f>RTD("ice.rtd",,$C1609 &amp; $D1609 &amp; ":" &amp; L$1)</f>
        <v/>
      </c>
      <c r="M1609" s="14" t="str">
        <f>IFERROR(MOD(TIMEVALUE(RTD("ice.rtd",,$C1609 &amp; $D1609 &amp; ":" &amp; M$1)), 1), "")</f>
        <v/>
      </c>
      <c r="N1609" s="36">
        <f>RTD("ice.rtd",,$C1609 &amp; $D1609 &amp; ":" &amp; N$1)</f>
        <v>0</v>
      </c>
      <c r="O1609" s="36">
        <f>RTD("ice.rtd",,$C1609 &amp; $D1609 &amp; ":" &amp; O$1)</f>
        <v>0</v>
      </c>
      <c r="P16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09" s="14" t="str">
        <f>IF(ICE[[#This Row],[LastType]] = "Scrn", ICE[[#This Row],[LstDate]], IF(ICE[[#This Row],[LastType]] = "Blk", ICE[[#This Row],[LstBlkTime]], ""))</f>
        <v/>
      </c>
      <c r="R1609" s="41" t="str">
        <f>IF(ICE[[#This Row],[LastType]] = "Scrn", ICE[[#This Row],[LstPrc]], IF(ICE[[#This Row],[LastType]] = "Blk", ICE[[#This Row],[LstBlkPrc]], ""))</f>
        <v/>
      </c>
      <c r="S1609" s="36">
        <f>ICE[[#This Row],[Vol]]+ICE[[#This Row],[BlkVol]]</f>
        <v>0</v>
      </c>
      <c r="T1609" s="36">
        <f>RTD("ice.rtd",,$C1609 &amp; $D1609 &amp; ":" &amp; T$1)</f>
        <v>0</v>
      </c>
      <c r="U1609" s="18">
        <f>RTD("ice.rtd",,$C1609 &amp; $D1609 &amp; ":" &amp; U$1)</f>
        <v>-7.78</v>
      </c>
      <c r="V16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09" s="18" t="str">
        <f>IFERROR(IF(LEFT(ICE[[#This Row],[Tenor]], 1) = "B", RTD("esrtd",,$B1609 &amp; " " &amp; ICE[[#This Row],[Tenor]] &amp; "-IEU", W$1), RTD("esrtd",,$B1609 &amp; " " &amp; VLOOKUP(MONTH(ICE[[#This Row],[Strip]]), MthRef[], 2, 0) &amp; RIGHT(YEAR(ICE[[#This Row],[Strip]]), 2) &amp; "-IEU", W$1)), "")</f>
        <v/>
      </c>
      <c r="X1609" s="36"/>
    </row>
    <row r="1610" spans="1:24" x14ac:dyDescent="0.25">
      <c r="A1610" s="37" t="s">
        <v>420</v>
      </c>
      <c r="B1610" s="88" t="str">
        <f>RTD("ice.rtd",,$C1610 &amp; $D1610 &amp; ":" &amp; B$1)</f>
        <v>GDX</v>
      </c>
      <c r="C1610" s="3">
        <v>3124331018</v>
      </c>
      <c r="D1610" t="s">
        <v>795</v>
      </c>
      <c r="E1610" s="3" t="str">
        <f>RTD("ice.rtd",,$C1610 &amp; $D1610 &amp; ":" &amp; E$1)</f>
        <v>Feb27</v>
      </c>
      <c r="F1610" s="3" t="str">
        <f>ICE[[#This Row],[Prod]]&amp;ICE[[#This Row],[Strip]]</f>
        <v>mopagdiffFeb27</v>
      </c>
      <c r="G1610" s="18" t="str">
        <f>RTD("ice.rtd",,$C1610 &amp; $D1610 &amp; ":" &amp; G$1)</f>
        <v/>
      </c>
      <c r="H1610" s="18" t="str">
        <f>RTD("ice.rtd",,$C1610 &amp; $D1610 &amp; ":" &amp; H$1)</f>
        <v/>
      </c>
      <c r="I1610" s="18" t="str">
        <f>RTD("ice.rtd",,$C1610 &amp; $D1610 &amp; ":" &amp; I$1)</f>
        <v/>
      </c>
      <c r="J1610" s="14" t="str">
        <f>IFERROR(MOD(RTD("ice.rtd",,$C1610 &amp; $D1610 &amp; ":" &amp; J$1), 1), "")</f>
        <v/>
      </c>
      <c r="K1610" s="18" t="str">
        <f>RTD("ice.rtd",,$C1610 &amp; $D1610 &amp; ":" &amp; K$1)</f>
        <v/>
      </c>
      <c r="L1610" s="36" t="str">
        <f>RTD("ice.rtd",,$C1610 &amp; $D1610 &amp; ":" &amp; L$1)</f>
        <v/>
      </c>
      <c r="M1610" s="14" t="str">
        <f>IFERROR(MOD(TIMEVALUE(RTD("ice.rtd",,$C1610 &amp; $D1610 &amp; ":" &amp; M$1)), 1), "")</f>
        <v/>
      </c>
      <c r="N1610" s="36">
        <f>RTD("ice.rtd",,$C1610 &amp; $D1610 &amp; ":" &amp; N$1)</f>
        <v>0</v>
      </c>
      <c r="O1610" s="36">
        <f>RTD("ice.rtd",,$C1610 &amp; $D1610 &amp; ":" &amp; O$1)</f>
        <v>0</v>
      </c>
      <c r="P16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0" s="14" t="str">
        <f>IF(ICE[[#This Row],[LastType]] = "Scrn", ICE[[#This Row],[LstDate]], IF(ICE[[#This Row],[LastType]] = "Blk", ICE[[#This Row],[LstBlkTime]], ""))</f>
        <v/>
      </c>
      <c r="R1610" s="41" t="str">
        <f>IF(ICE[[#This Row],[LastType]] = "Scrn", ICE[[#This Row],[LstPrc]], IF(ICE[[#This Row],[LastType]] = "Blk", ICE[[#This Row],[LstBlkPrc]], ""))</f>
        <v/>
      </c>
      <c r="S1610" s="36">
        <f>ICE[[#This Row],[Vol]]+ICE[[#This Row],[BlkVol]]</f>
        <v>0</v>
      </c>
      <c r="T1610" s="36">
        <f>RTD("ice.rtd",,$C1610 &amp; $D1610 &amp; ":" &amp; T$1)</f>
        <v>0</v>
      </c>
      <c r="U1610" s="18">
        <f>RTD("ice.rtd",,$C1610 &amp; $D1610 &amp; ":" &amp; U$1)</f>
        <v>-7.62</v>
      </c>
      <c r="V16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0" s="18" t="str">
        <f>IFERROR(IF(LEFT(ICE[[#This Row],[Tenor]], 1) = "B", RTD("esrtd",,$B1610 &amp; " " &amp; ICE[[#This Row],[Tenor]] &amp; "-IEU", W$1), RTD("esrtd",,$B1610 &amp; " " &amp; VLOOKUP(MONTH(ICE[[#This Row],[Strip]]), MthRef[], 2, 0) &amp; RIGHT(YEAR(ICE[[#This Row],[Strip]]), 2) &amp; "-IEU", W$1)), "")</f>
        <v/>
      </c>
      <c r="X1610" s="36"/>
    </row>
    <row r="1611" spans="1:24" x14ac:dyDescent="0.25">
      <c r="A1611" s="37" t="s">
        <v>420</v>
      </c>
      <c r="B1611" s="88" t="str">
        <f>RTD("ice.rtd",,$C1611 &amp; $D1611 &amp; ":" &amp; B$1)</f>
        <v>GDX</v>
      </c>
      <c r="C1611" s="3">
        <v>3124331018</v>
      </c>
      <c r="D1611" t="s">
        <v>113</v>
      </c>
      <c r="E1611" s="3" t="str">
        <f>RTD("ice.rtd",,$C1611 &amp; $D1611 &amp; ":" &amp; E$1)</f>
        <v>Mar27</v>
      </c>
      <c r="F1611" s="3" t="str">
        <f>ICE[[#This Row],[Prod]]&amp;ICE[[#This Row],[Strip]]</f>
        <v>mopagdiffMar27</v>
      </c>
      <c r="G1611" s="18" t="str">
        <f>RTD("ice.rtd",,$C1611 &amp; $D1611 &amp; ":" &amp; G$1)</f>
        <v/>
      </c>
      <c r="H1611" s="18" t="str">
        <f>RTD("ice.rtd",,$C1611 &amp; $D1611 &amp; ":" &amp; H$1)</f>
        <v/>
      </c>
      <c r="I1611" s="18" t="str">
        <f>RTD("ice.rtd",,$C1611 &amp; $D1611 &amp; ":" &amp; I$1)</f>
        <v/>
      </c>
      <c r="J1611" s="14" t="str">
        <f>IFERROR(MOD(RTD("ice.rtd",,$C1611 &amp; $D1611 &amp; ":" &amp; J$1), 1), "")</f>
        <v/>
      </c>
      <c r="K1611" s="18" t="str">
        <f>RTD("ice.rtd",,$C1611 &amp; $D1611 &amp; ":" &amp; K$1)</f>
        <v/>
      </c>
      <c r="L1611" s="36" t="str">
        <f>RTD("ice.rtd",,$C1611 &amp; $D1611 &amp; ":" &amp; L$1)</f>
        <v/>
      </c>
      <c r="M1611" s="14" t="str">
        <f>IFERROR(MOD(TIMEVALUE(RTD("ice.rtd",,$C1611 &amp; $D1611 &amp; ":" &amp; M$1)), 1), "")</f>
        <v/>
      </c>
      <c r="N1611" s="36">
        <f>RTD("ice.rtd",,$C1611 &amp; $D1611 &amp; ":" &amp; N$1)</f>
        <v>0</v>
      </c>
      <c r="O1611" s="36">
        <f>RTD("ice.rtd",,$C1611 &amp; $D1611 &amp; ":" &amp; O$1)</f>
        <v>0</v>
      </c>
      <c r="P16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1" s="14" t="str">
        <f>IF(ICE[[#This Row],[LastType]] = "Scrn", ICE[[#This Row],[LstDate]], IF(ICE[[#This Row],[LastType]] = "Blk", ICE[[#This Row],[LstBlkTime]], ""))</f>
        <v/>
      </c>
      <c r="R1611" s="41" t="str">
        <f>IF(ICE[[#This Row],[LastType]] = "Scrn", ICE[[#This Row],[LstPrc]], IF(ICE[[#This Row],[LastType]] = "Blk", ICE[[#This Row],[LstBlkPrc]], ""))</f>
        <v/>
      </c>
      <c r="S1611" s="36">
        <f>ICE[[#This Row],[Vol]]+ICE[[#This Row],[BlkVol]]</f>
        <v>0</v>
      </c>
      <c r="T1611" s="36">
        <f>RTD("ice.rtd",,$C1611 &amp; $D1611 &amp; ":" &amp; T$1)</f>
        <v>0</v>
      </c>
      <c r="U1611" s="18">
        <f>RTD("ice.rtd",,$C1611 &amp; $D1611 &amp; ":" &amp; U$1)</f>
        <v>-7.46</v>
      </c>
      <c r="V16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1" s="18" t="str">
        <f>IFERROR(IF(LEFT(ICE[[#This Row],[Tenor]], 1) = "B", RTD("esrtd",,$B1611 &amp; " " &amp; ICE[[#This Row],[Tenor]] &amp; "-IEU", W$1), RTD("esrtd",,$B1611 &amp; " " &amp; VLOOKUP(MONTH(ICE[[#This Row],[Strip]]), MthRef[], 2, 0) &amp; RIGHT(YEAR(ICE[[#This Row],[Strip]]), 2) &amp; "-IEU", W$1)), "")</f>
        <v/>
      </c>
      <c r="X1611" s="36"/>
    </row>
    <row r="1612" spans="1:24" x14ac:dyDescent="0.25">
      <c r="A1612" s="37" t="s">
        <v>420</v>
      </c>
      <c r="B1612" s="88" t="str">
        <f>RTD("ice.rtd",,$C1612 &amp; $D1612 &amp; ":" &amp; B$1)</f>
        <v>GDX</v>
      </c>
      <c r="C1612" s="3">
        <v>3124331018</v>
      </c>
      <c r="D1612" t="s">
        <v>796</v>
      </c>
      <c r="E1612" s="3" t="str">
        <f>RTD("ice.rtd",,$C1612 &amp; $D1612 &amp; ":" &amp; E$1)</f>
        <v>Apr27</v>
      </c>
      <c r="F1612" s="3" t="str">
        <f>ICE[[#This Row],[Prod]]&amp;ICE[[#This Row],[Strip]]</f>
        <v>mopagdiffApr27</v>
      </c>
      <c r="G1612" s="18" t="str">
        <f>RTD("ice.rtd",,$C1612 &amp; $D1612 &amp; ":" &amp; G$1)</f>
        <v/>
      </c>
      <c r="H1612" s="18" t="str">
        <f>RTD("ice.rtd",,$C1612 &amp; $D1612 &amp; ":" &amp; H$1)</f>
        <v/>
      </c>
      <c r="I1612" s="18" t="str">
        <f>RTD("ice.rtd",,$C1612 &amp; $D1612 &amp; ":" &amp; I$1)</f>
        <v/>
      </c>
      <c r="J1612" s="14" t="str">
        <f>IFERROR(MOD(RTD("ice.rtd",,$C1612 &amp; $D1612 &amp; ":" &amp; J$1), 1), "")</f>
        <v/>
      </c>
      <c r="K1612" s="18" t="str">
        <f>RTD("ice.rtd",,$C1612 &amp; $D1612 &amp; ":" &amp; K$1)</f>
        <v/>
      </c>
      <c r="L1612" s="36" t="str">
        <f>RTD("ice.rtd",,$C1612 &amp; $D1612 &amp; ":" &amp; L$1)</f>
        <v/>
      </c>
      <c r="M1612" s="14" t="str">
        <f>IFERROR(MOD(TIMEVALUE(RTD("ice.rtd",,$C1612 &amp; $D1612 &amp; ":" &amp; M$1)), 1), "")</f>
        <v/>
      </c>
      <c r="N1612" s="36">
        <f>RTD("ice.rtd",,$C1612 &amp; $D1612 &amp; ":" &amp; N$1)</f>
        <v>0</v>
      </c>
      <c r="O1612" s="36">
        <f>RTD("ice.rtd",,$C1612 &amp; $D1612 &amp; ":" &amp; O$1)</f>
        <v>0</v>
      </c>
      <c r="P16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2" s="14" t="str">
        <f>IF(ICE[[#This Row],[LastType]] = "Scrn", ICE[[#This Row],[LstDate]], IF(ICE[[#This Row],[LastType]] = "Blk", ICE[[#This Row],[LstBlkTime]], ""))</f>
        <v/>
      </c>
      <c r="R1612" s="41" t="str">
        <f>IF(ICE[[#This Row],[LastType]] = "Scrn", ICE[[#This Row],[LstPrc]], IF(ICE[[#This Row],[LastType]] = "Blk", ICE[[#This Row],[LstBlkPrc]], ""))</f>
        <v/>
      </c>
      <c r="S1612" s="36">
        <f>ICE[[#This Row],[Vol]]+ICE[[#This Row],[BlkVol]]</f>
        <v>0</v>
      </c>
      <c r="T1612" s="36">
        <f>RTD("ice.rtd",,$C1612 &amp; $D1612 &amp; ":" &amp; T$1)</f>
        <v>0</v>
      </c>
      <c r="U1612" s="18">
        <f>RTD("ice.rtd",,$C1612 &amp; $D1612 &amp; ":" &amp; U$1)</f>
        <v>-6.32</v>
      </c>
      <c r="V16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2" s="18" t="str">
        <f>IFERROR(IF(LEFT(ICE[[#This Row],[Tenor]], 1) = "B", RTD("esrtd",,$B1612 &amp; " " &amp; ICE[[#This Row],[Tenor]] &amp; "-IEU", W$1), RTD("esrtd",,$B1612 &amp; " " &amp; VLOOKUP(MONTH(ICE[[#This Row],[Strip]]), MthRef[], 2, 0) &amp; RIGHT(YEAR(ICE[[#This Row],[Strip]]), 2) &amp; "-IEU", W$1)), "")</f>
        <v/>
      </c>
      <c r="X1612" s="36"/>
    </row>
    <row r="1613" spans="1:24" x14ac:dyDescent="0.25">
      <c r="A1613" s="37" t="s">
        <v>420</v>
      </c>
      <c r="B1613" s="88" t="str">
        <f>RTD("ice.rtd",,$C1613 &amp; $D1613 &amp; ":" &amp; B$1)</f>
        <v>GDX</v>
      </c>
      <c r="C1613" s="3">
        <v>3124331018</v>
      </c>
      <c r="D1613" t="s">
        <v>797</v>
      </c>
      <c r="E1613" s="3" t="str">
        <f>RTD("ice.rtd",,$C1613 &amp; $D1613 &amp; ":" &amp; E$1)</f>
        <v>May27</v>
      </c>
      <c r="F1613" s="3" t="str">
        <f>ICE[[#This Row],[Prod]]&amp;ICE[[#This Row],[Strip]]</f>
        <v>mopagdiffMay27</v>
      </c>
      <c r="G1613" s="18" t="str">
        <f>RTD("ice.rtd",,$C1613 &amp; $D1613 &amp; ":" &amp; G$1)</f>
        <v/>
      </c>
      <c r="H1613" s="18" t="str">
        <f>RTD("ice.rtd",,$C1613 &amp; $D1613 &amp; ":" &amp; H$1)</f>
        <v/>
      </c>
      <c r="I1613" s="18" t="str">
        <f>RTD("ice.rtd",,$C1613 &amp; $D1613 &amp; ":" &amp; I$1)</f>
        <v/>
      </c>
      <c r="J1613" s="14" t="str">
        <f>IFERROR(MOD(RTD("ice.rtd",,$C1613 &amp; $D1613 &amp; ":" &amp; J$1), 1), "")</f>
        <v/>
      </c>
      <c r="K1613" s="18" t="str">
        <f>RTD("ice.rtd",,$C1613 &amp; $D1613 &amp; ":" &amp; K$1)</f>
        <v/>
      </c>
      <c r="L1613" s="36" t="str">
        <f>RTD("ice.rtd",,$C1613 &amp; $D1613 &amp; ":" &amp; L$1)</f>
        <v/>
      </c>
      <c r="M1613" s="14" t="str">
        <f>IFERROR(MOD(TIMEVALUE(RTD("ice.rtd",,$C1613 &amp; $D1613 &amp; ":" &amp; M$1)), 1), "")</f>
        <v/>
      </c>
      <c r="N1613" s="36">
        <f>RTD("ice.rtd",,$C1613 &amp; $D1613 &amp; ":" &amp; N$1)</f>
        <v>0</v>
      </c>
      <c r="O1613" s="36">
        <f>RTD("ice.rtd",,$C1613 &amp; $D1613 &amp; ":" &amp; O$1)</f>
        <v>0</v>
      </c>
      <c r="P16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3" s="14" t="str">
        <f>IF(ICE[[#This Row],[LastType]] = "Scrn", ICE[[#This Row],[LstDate]], IF(ICE[[#This Row],[LastType]] = "Blk", ICE[[#This Row],[LstBlkTime]], ""))</f>
        <v/>
      </c>
      <c r="R1613" s="41" t="str">
        <f>IF(ICE[[#This Row],[LastType]] = "Scrn", ICE[[#This Row],[LstPrc]], IF(ICE[[#This Row],[LastType]] = "Blk", ICE[[#This Row],[LstBlkPrc]], ""))</f>
        <v/>
      </c>
      <c r="S1613" s="36">
        <f>ICE[[#This Row],[Vol]]+ICE[[#This Row],[BlkVol]]</f>
        <v>0</v>
      </c>
      <c r="T1613" s="36">
        <f>RTD("ice.rtd",,$C1613 &amp; $D1613 &amp; ":" &amp; T$1)</f>
        <v>0</v>
      </c>
      <c r="U1613" s="18">
        <f>RTD("ice.rtd",,$C1613 &amp; $D1613 &amp; ":" &amp; U$1)</f>
        <v>-6.32</v>
      </c>
      <c r="V16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3" s="18" t="str">
        <f>IFERROR(IF(LEFT(ICE[[#This Row],[Tenor]], 1) = "B", RTD("esrtd",,$B1613 &amp; " " &amp; ICE[[#This Row],[Tenor]] &amp; "-IEU", W$1), RTD("esrtd",,$B1613 &amp; " " &amp; VLOOKUP(MONTH(ICE[[#This Row],[Strip]]), MthRef[], 2, 0) &amp; RIGHT(YEAR(ICE[[#This Row],[Strip]]), 2) &amp; "-IEU", W$1)), "")</f>
        <v/>
      </c>
      <c r="X1613" s="36"/>
    </row>
    <row r="1614" spans="1:24" x14ac:dyDescent="0.25">
      <c r="A1614" s="37" t="s">
        <v>420</v>
      </c>
      <c r="B1614" s="88" t="str">
        <f>RTD("ice.rtd",,$C1614 &amp; $D1614 &amp; ":" &amp; B$1)</f>
        <v>GDX</v>
      </c>
      <c r="C1614" s="3">
        <v>3124331018</v>
      </c>
      <c r="D1614" t="s">
        <v>798</v>
      </c>
      <c r="E1614" s="3" t="str">
        <f>RTD("ice.rtd",,$C1614 &amp; $D1614 &amp; ":" &amp; E$1)</f>
        <v>Jun27</v>
      </c>
      <c r="F1614" s="3" t="str">
        <f>ICE[[#This Row],[Prod]]&amp;ICE[[#This Row],[Strip]]</f>
        <v>mopagdiffJun27</v>
      </c>
      <c r="G1614" s="18" t="str">
        <f>RTD("ice.rtd",,$C1614 &amp; $D1614 &amp; ":" &amp; G$1)</f>
        <v/>
      </c>
      <c r="H1614" s="18" t="str">
        <f>RTD("ice.rtd",,$C1614 &amp; $D1614 &amp; ":" &amp; H$1)</f>
        <v/>
      </c>
      <c r="I1614" s="18" t="str">
        <f>RTD("ice.rtd",,$C1614 &amp; $D1614 &amp; ":" &amp; I$1)</f>
        <v/>
      </c>
      <c r="J1614" s="14" t="str">
        <f>IFERROR(MOD(RTD("ice.rtd",,$C1614 &amp; $D1614 &amp; ":" &amp; J$1), 1), "")</f>
        <v/>
      </c>
      <c r="K1614" s="18" t="str">
        <f>RTD("ice.rtd",,$C1614 &amp; $D1614 &amp; ":" &amp; K$1)</f>
        <v/>
      </c>
      <c r="L1614" s="36" t="str">
        <f>RTD("ice.rtd",,$C1614 &amp; $D1614 &amp; ":" &amp; L$1)</f>
        <v/>
      </c>
      <c r="M1614" s="14" t="str">
        <f>IFERROR(MOD(TIMEVALUE(RTD("ice.rtd",,$C1614 &amp; $D1614 &amp; ":" &amp; M$1)), 1), "")</f>
        <v/>
      </c>
      <c r="N1614" s="36">
        <f>RTD("ice.rtd",,$C1614 &amp; $D1614 &amp; ":" &amp; N$1)</f>
        <v>0</v>
      </c>
      <c r="O1614" s="36">
        <f>RTD("ice.rtd",,$C1614 &amp; $D1614 &amp; ":" &amp; O$1)</f>
        <v>0</v>
      </c>
      <c r="P16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4" s="14" t="str">
        <f>IF(ICE[[#This Row],[LastType]] = "Scrn", ICE[[#This Row],[LstDate]], IF(ICE[[#This Row],[LastType]] = "Blk", ICE[[#This Row],[LstBlkTime]], ""))</f>
        <v/>
      </c>
      <c r="R1614" s="41" t="str">
        <f>IF(ICE[[#This Row],[LastType]] = "Scrn", ICE[[#This Row],[LstPrc]], IF(ICE[[#This Row],[LastType]] = "Blk", ICE[[#This Row],[LstBlkPrc]], ""))</f>
        <v/>
      </c>
      <c r="S1614" s="36">
        <f>ICE[[#This Row],[Vol]]+ICE[[#This Row],[BlkVol]]</f>
        <v>0</v>
      </c>
      <c r="T1614" s="36">
        <f>RTD("ice.rtd",,$C1614 &amp; $D1614 &amp; ":" &amp; T$1)</f>
        <v>0</v>
      </c>
      <c r="U1614" s="18">
        <f>RTD("ice.rtd",,$C1614 &amp; $D1614 &amp; ":" &amp; U$1)</f>
        <v>-6.32</v>
      </c>
      <c r="V16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4" s="18" t="str">
        <f>IFERROR(IF(LEFT(ICE[[#This Row],[Tenor]], 1) = "B", RTD("esrtd",,$B1614 &amp; " " &amp; ICE[[#This Row],[Tenor]] &amp; "-IEU", W$1), RTD("esrtd",,$B1614 &amp; " " &amp; VLOOKUP(MONTH(ICE[[#This Row],[Strip]]), MthRef[], 2, 0) &amp; RIGHT(YEAR(ICE[[#This Row],[Strip]]), 2) &amp; "-IEU", W$1)), "")</f>
        <v/>
      </c>
      <c r="X1614" s="36"/>
    </row>
    <row r="1615" spans="1:24" x14ac:dyDescent="0.25">
      <c r="A1615" s="37" t="s">
        <v>420</v>
      </c>
      <c r="B1615" s="88" t="str">
        <f>RTD("ice.rtd",,$C1615 &amp; $D1615 &amp; ":" &amp; B$1)</f>
        <v>GDX</v>
      </c>
      <c r="C1615" s="3">
        <v>3124331018</v>
      </c>
      <c r="D1615" t="s">
        <v>799</v>
      </c>
      <c r="E1615" s="3" t="str">
        <f>RTD("ice.rtd",,$C1615 &amp; $D1615 &amp; ":" &amp; E$1)</f>
        <v>Jul27</v>
      </c>
      <c r="F1615" s="3" t="str">
        <f>ICE[[#This Row],[Prod]]&amp;ICE[[#This Row],[Strip]]</f>
        <v>mopagdiffJul27</v>
      </c>
      <c r="G1615" s="18" t="str">
        <f>RTD("ice.rtd",,$C1615 &amp; $D1615 &amp; ":" &amp; G$1)</f>
        <v/>
      </c>
      <c r="H1615" s="18" t="str">
        <f>RTD("ice.rtd",,$C1615 &amp; $D1615 &amp; ":" &amp; H$1)</f>
        <v/>
      </c>
      <c r="I1615" s="18" t="str">
        <f>RTD("ice.rtd",,$C1615 &amp; $D1615 &amp; ":" &amp; I$1)</f>
        <v/>
      </c>
      <c r="J1615" s="14" t="str">
        <f>IFERROR(MOD(RTD("ice.rtd",,$C1615 &amp; $D1615 &amp; ":" &amp; J$1), 1), "")</f>
        <v/>
      </c>
      <c r="K1615" s="18" t="str">
        <f>RTD("ice.rtd",,$C1615 &amp; $D1615 &amp; ":" &amp; K$1)</f>
        <v/>
      </c>
      <c r="L1615" s="36" t="str">
        <f>RTD("ice.rtd",,$C1615 &amp; $D1615 &amp; ":" &amp; L$1)</f>
        <v/>
      </c>
      <c r="M1615" s="14" t="str">
        <f>IFERROR(MOD(TIMEVALUE(RTD("ice.rtd",,$C1615 &amp; $D1615 &amp; ":" &amp; M$1)), 1), "")</f>
        <v/>
      </c>
      <c r="N1615" s="36">
        <f>RTD("ice.rtd",,$C1615 &amp; $D1615 &amp; ":" &amp; N$1)</f>
        <v>0</v>
      </c>
      <c r="O1615" s="36">
        <f>RTD("ice.rtd",,$C1615 &amp; $D1615 &amp; ":" &amp; O$1)</f>
        <v>0</v>
      </c>
      <c r="P16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5" s="14" t="str">
        <f>IF(ICE[[#This Row],[LastType]] = "Scrn", ICE[[#This Row],[LstDate]], IF(ICE[[#This Row],[LastType]] = "Blk", ICE[[#This Row],[LstBlkTime]], ""))</f>
        <v/>
      </c>
      <c r="R1615" s="41" t="str">
        <f>IF(ICE[[#This Row],[LastType]] = "Scrn", ICE[[#This Row],[LstPrc]], IF(ICE[[#This Row],[LastType]] = "Blk", ICE[[#This Row],[LstBlkPrc]], ""))</f>
        <v/>
      </c>
      <c r="S1615" s="36">
        <f>ICE[[#This Row],[Vol]]+ICE[[#This Row],[BlkVol]]</f>
        <v>0</v>
      </c>
      <c r="T1615" s="36">
        <f>RTD("ice.rtd",,$C1615 &amp; $D1615 &amp; ":" &amp; T$1)</f>
        <v>0</v>
      </c>
      <c r="U1615" s="18">
        <f>RTD("ice.rtd",,$C1615 &amp; $D1615 &amp; ":" &amp; U$1)</f>
        <v>-5.0200000000000005</v>
      </c>
      <c r="V16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5" s="18" t="str">
        <f>IFERROR(IF(LEFT(ICE[[#This Row],[Tenor]], 1) = "B", RTD("esrtd",,$B1615 &amp; " " &amp; ICE[[#This Row],[Tenor]] &amp; "-IEU", W$1), RTD("esrtd",,$B1615 &amp; " " &amp; VLOOKUP(MONTH(ICE[[#This Row],[Strip]]), MthRef[], 2, 0) &amp; RIGHT(YEAR(ICE[[#This Row],[Strip]]), 2) &amp; "-IEU", W$1)), "")</f>
        <v/>
      </c>
      <c r="X1615" s="36"/>
    </row>
    <row r="1616" spans="1:24" x14ac:dyDescent="0.25">
      <c r="A1616" s="37" t="s">
        <v>420</v>
      </c>
      <c r="B1616" s="88" t="str">
        <f>RTD("ice.rtd",,$C1616 &amp; $D1616 &amp; ":" &amp; B$1)</f>
        <v>GDX</v>
      </c>
      <c r="C1616" s="3">
        <v>3124331018</v>
      </c>
      <c r="D1616" t="s">
        <v>800</v>
      </c>
      <c r="E1616" s="3" t="str">
        <f>RTD("ice.rtd",,$C1616 &amp; $D1616 &amp; ":" &amp; E$1)</f>
        <v>Aug27</v>
      </c>
      <c r="F1616" s="3" t="str">
        <f>ICE[[#This Row],[Prod]]&amp;ICE[[#This Row],[Strip]]</f>
        <v>mopagdiffAug27</v>
      </c>
      <c r="G1616" s="18" t="str">
        <f>RTD("ice.rtd",,$C1616 &amp; $D1616 &amp; ":" &amp; G$1)</f>
        <v/>
      </c>
      <c r="H1616" s="18" t="str">
        <f>RTD("ice.rtd",,$C1616 &amp; $D1616 &amp; ":" &amp; H$1)</f>
        <v/>
      </c>
      <c r="I1616" s="18" t="str">
        <f>RTD("ice.rtd",,$C1616 &amp; $D1616 &amp; ":" &amp; I$1)</f>
        <v/>
      </c>
      <c r="J1616" s="14" t="str">
        <f>IFERROR(MOD(RTD("ice.rtd",,$C1616 &amp; $D1616 &amp; ":" &amp; J$1), 1), "")</f>
        <v/>
      </c>
      <c r="K1616" s="18" t="str">
        <f>RTD("ice.rtd",,$C1616 &amp; $D1616 &amp; ":" &amp; K$1)</f>
        <v/>
      </c>
      <c r="L1616" s="36" t="str">
        <f>RTD("ice.rtd",,$C1616 &amp; $D1616 &amp; ":" &amp; L$1)</f>
        <v/>
      </c>
      <c r="M1616" s="14" t="str">
        <f>IFERROR(MOD(TIMEVALUE(RTD("ice.rtd",,$C1616 &amp; $D1616 &amp; ":" &amp; M$1)), 1), "")</f>
        <v/>
      </c>
      <c r="N1616" s="36">
        <f>RTD("ice.rtd",,$C1616 &amp; $D1616 &amp; ":" &amp; N$1)</f>
        <v>0</v>
      </c>
      <c r="O1616" s="36">
        <f>RTD("ice.rtd",,$C1616 &amp; $D1616 &amp; ":" &amp; O$1)</f>
        <v>0</v>
      </c>
      <c r="P16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6" s="14" t="str">
        <f>IF(ICE[[#This Row],[LastType]] = "Scrn", ICE[[#This Row],[LstDate]], IF(ICE[[#This Row],[LastType]] = "Blk", ICE[[#This Row],[LstBlkTime]], ""))</f>
        <v/>
      </c>
      <c r="R1616" s="41" t="str">
        <f>IF(ICE[[#This Row],[LastType]] = "Scrn", ICE[[#This Row],[LstPrc]], IF(ICE[[#This Row],[LastType]] = "Blk", ICE[[#This Row],[LstBlkPrc]], ""))</f>
        <v/>
      </c>
      <c r="S1616" s="36">
        <f>ICE[[#This Row],[Vol]]+ICE[[#This Row],[BlkVol]]</f>
        <v>0</v>
      </c>
      <c r="T1616" s="36">
        <f>RTD("ice.rtd",,$C1616 &amp; $D1616 &amp; ":" &amp; T$1)</f>
        <v>0</v>
      </c>
      <c r="U1616" s="18">
        <f>RTD("ice.rtd",,$C1616 &amp; $D1616 &amp; ":" &amp; U$1)</f>
        <v>-5.0200000000000005</v>
      </c>
      <c r="V16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6" s="18" t="str">
        <f>IFERROR(IF(LEFT(ICE[[#This Row],[Tenor]], 1) = "B", RTD("esrtd",,$B1616 &amp; " " &amp; ICE[[#This Row],[Tenor]] &amp; "-IEU", W$1), RTD("esrtd",,$B1616 &amp; " " &amp; VLOOKUP(MONTH(ICE[[#This Row],[Strip]]), MthRef[], 2, 0) &amp; RIGHT(YEAR(ICE[[#This Row],[Strip]]), 2) &amp; "-IEU", W$1)), "")</f>
        <v/>
      </c>
      <c r="X1616" s="36"/>
    </row>
    <row r="1617" spans="1:24" x14ac:dyDescent="0.25">
      <c r="A1617" s="37" t="s">
        <v>420</v>
      </c>
      <c r="B1617" s="88" t="str">
        <f>RTD("ice.rtd",,$C1617 &amp; $D1617 &amp; ":" &amp; B$1)</f>
        <v>GDX</v>
      </c>
      <c r="C1617" s="3">
        <v>3124331018</v>
      </c>
      <c r="D1617" t="s">
        <v>801</v>
      </c>
      <c r="E1617" s="3" t="str">
        <f>RTD("ice.rtd",,$C1617 &amp; $D1617 &amp; ":" &amp; E$1)</f>
        <v>Sep27</v>
      </c>
      <c r="F1617" s="3" t="str">
        <f>ICE[[#This Row],[Prod]]&amp;ICE[[#This Row],[Strip]]</f>
        <v>mopagdiffSep27</v>
      </c>
      <c r="G1617" s="18" t="str">
        <f>RTD("ice.rtd",,$C1617 &amp; $D1617 &amp; ":" &amp; G$1)</f>
        <v/>
      </c>
      <c r="H1617" s="18" t="str">
        <f>RTD("ice.rtd",,$C1617 &amp; $D1617 &amp; ":" &amp; H$1)</f>
        <v/>
      </c>
      <c r="I1617" s="18" t="str">
        <f>RTD("ice.rtd",,$C1617 &amp; $D1617 &amp; ":" &amp; I$1)</f>
        <v/>
      </c>
      <c r="J1617" s="14" t="str">
        <f>IFERROR(MOD(RTD("ice.rtd",,$C1617 &amp; $D1617 &amp; ":" &amp; J$1), 1), "")</f>
        <v/>
      </c>
      <c r="K1617" s="18" t="str">
        <f>RTD("ice.rtd",,$C1617 &amp; $D1617 &amp; ":" &amp; K$1)</f>
        <v/>
      </c>
      <c r="L1617" s="36" t="str">
        <f>RTD("ice.rtd",,$C1617 &amp; $D1617 &amp; ":" &amp; L$1)</f>
        <v/>
      </c>
      <c r="M1617" s="14" t="str">
        <f>IFERROR(MOD(TIMEVALUE(RTD("ice.rtd",,$C1617 &amp; $D1617 &amp; ":" &amp; M$1)), 1), "")</f>
        <v/>
      </c>
      <c r="N1617" s="36">
        <f>RTD("ice.rtd",,$C1617 &amp; $D1617 &amp; ":" &amp; N$1)</f>
        <v>0</v>
      </c>
      <c r="O1617" s="36">
        <f>RTD("ice.rtd",,$C1617 &amp; $D1617 &amp; ":" &amp; O$1)</f>
        <v>0</v>
      </c>
      <c r="P16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7" s="14" t="str">
        <f>IF(ICE[[#This Row],[LastType]] = "Scrn", ICE[[#This Row],[LstDate]], IF(ICE[[#This Row],[LastType]] = "Blk", ICE[[#This Row],[LstBlkTime]], ""))</f>
        <v/>
      </c>
      <c r="R1617" s="41" t="str">
        <f>IF(ICE[[#This Row],[LastType]] = "Scrn", ICE[[#This Row],[LstPrc]], IF(ICE[[#This Row],[LastType]] = "Blk", ICE[[#This Row],[LstBlkPrc]], ""))</f>
        <v/>
      </c>
      <c r="S1617" s="36">
        <f>ICE[[#This Row],[Vol]]+ICE[[#This Row],[BlkVol]]</f>
        <v>0</v>
      </c>
      <c r="T1617" s="36">
        <f>RTD("ice.rtd",,$C1617 &amp; $D1617 &amp; ":" &amp; T$1)</f>
        <v>0</v>
      </c>
      <c r="U1617" s="18">
        <f>RTD("ice.rtd",,$C1617 &amp; $D1617 &amp; ":" &amp; U$1)</f>
        <v>-5.0200000000000005</v>
      </c>
      <c r="V16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7" s="18" t="str">
        <f>IFERROR(IF(LEFT(ICE[[#This Row],[Tenor]], 1) = "B", RTD("esrtd",,$B1617 &amp; " " &amp; ICE[[#This Row],[Tenor]] &amp; "-IEU", W$1), RTD("esrtd",,$B1617 &amp; " " &amp; VLOOKUP(MONTH(ICE[[#This Row],[Strip]]), MthRef[], 2, 0) &amp; RIGHT(YEAR(ICE[[#This Row],[Strip]]), 2) &amp; "-IEU", W$1)), "")</f>
        <v/>
      </c>
      <c r="X1617" s="36"/>
    </row>
    <row r="1618" spans="1:24" x14ac:dyDescent="0.25">
      <c r="A1618" s="37" t="s">
        <v>420</v>
      </c>
      <c r="B1618" s="88" t="str">
        <f>RTD("ice.rtd",,$C1618 &amp; $D1618 &amp; ":" &amp; B$1)</f>
        <v>GDX</v>
      </c>
      <c r="C1618" s="3">
        <v>3124331018</v>
      </c>
      <c r="D1618" t="s">
        <v>802</v>
      </c>
      <c r="E1618" s="3" t="str">
        <f>RTD("ice.rtd",,$C1618 &amp; $D1618 &amp; ":" &amp; E$1)</f>
        <v>Oct27</v>
      </c>
      <c r="F1618" s="3" t="str">
        <f>ICE[[#This Row],[Prod]]&amp;ICE[[#This Row],[Strip]]</f>
        <v>mopagdiffOct27</v>
      </c>
      <c r="G1618" s="18" t="str">
        <f>RTD("ice.rtd",,$C1618 &amp; $D1618 &amp; ":" &amp; G$1)</f>
        <v/>
      </c>
      <c r="H1618" s="18" t="str">
        <f>RTD("ice.rtd",,$C1618 &amp; $D1618 &amp; ":" &amp; H$1)</f>
        <v/>
      </c>
      <c r="I1618" s="18" t="str">
        <f>RTD("ice.rtd",,$C1618 &amp; $D1618 &amp; ":" &amp; I$1)</f>
        <v/>
      </c>
      <c r="J1618" s="14" t="str">
        <f>IFERROR(MOD(RTD("ice.rtd",,$C1618 &amp; $D1618 &amp; ":" &amp; J$1), 1), "")</f>
        <v/>
      </c>
      <c r="K1618" s="18" t="str">
        <f>RTD("ice.rtd",,$C1618 &amp; $D1618 &amp; ":" &amp; K$1)</f>
        <v/>
      </c>
      <c r="L1618" s="36" t="str">
        <f>RTD("ice.rtd",,$C1618 &amp; $D1618 &amp; ":" &amp; L$1)</f>
        <v/>
      </c>
      <c r="M1618" s="14" t="str">
        <f>IFERROR(MOD(TIMEVALUE(RTD("ice.rtd",,$C1618 &amp; $D1618 &amp; ":" &amp; M$1)), 1), "")</f>
        <v/>
      </c>
      <c r="N1618" s="36">
        <f>RTD("ice.rtd",,$C1618 &amp; $D1618 &amp; ":" &amp; N$1)</f>
        <v>0</v>
      </c>
      <c r="O1618" s="36">
        <f>RTD("ice.rtd",,$C1618 &amp; $D1618 &amp; ":" &amp; O$1)</f>
        <v>0</v>
      </c>
      <c r="P16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8" s="14" t="str">
        <f>IF(ICE[[#This Row],[LastType]] = "Scrn", ICE[[#This Row],[LstDate]], IF(ICE[[#This Row],[LastType]] = "Blk", ICE[[#This Row],[LstBlkTime]], ""))</f>
        <v/>
      </c>
      <c r="R1618" s="41" t="str">
        <f>IF(ICE[[#This Row],[LastType]] = "Scrn", ICE[[#This Row],[LstPrc]], IF(ICE[[#This Row],[LastType]] = "Blk", ICE[[#This Row],[LstBlkPrc]], ""))</f>
        <v/>
      </c>
      <c r="S1618" s="36">
        <f>ICE[[#This Row],[Vol]]+ICE[[#This Row],[BlkVol]]</f>
        <v>0</v>
      </c>
      <c r="T1618" s="36">
        <f>RTD("ice.rtd",,$C1618 &amp; $D1618 &amp; ":" &amp; T$1)</f>
        <v>0</v>
      </c>
      <c r="U1618" s="18">
        <f>RTD("ice.rtd",,$C1618 &amp; $D1618 &amp; ":" &amp; U$1)</f>
        <v>-5.26</v>
      </c>
      <c r="V16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8" s="18" t="str">
        <f>IFERROR(IF(LEFT(ICE[[#This Row],[Tenor]], 1) = "B", RTD("esrtd",,$B1618 &amp; " " &amp; ICE[[#This Row],[Tenor]] &amp; "-IEU", W$1), RTD("esrtd",,$B1618 &amp; " " &amp; VLOOKUP(MONTH(ICE[[#This Row],[Strip]]), MthRef[], 2, 0) &amp; RIGHT(YEAR(ICE[[#This Row],[Strip]]), 2) &amp; "-IEU", W$1)), "")</f>
        <v/>
      </c>
      <c r="X1618" s="36"/>
    </row>
    <row r="1619" spans="1:24" x14ac:dyDescent="0.25">
      <c r="A1619" s="37" t="s">
        <v>420</v>
      </c>
      <c r="B1619" s="88" t="str">
        <f>RTD("ice.rtd",,$C1619 &amp; $D1619 &amp; ":" &amp; B$1)</f>
        <v>GDX</v>
      </c>
      <c r="C1619" s="3">
        <v>3124331018</v>
      </c>
      <c r="D1619" t="s">
        <v>803</v>
      </c>
      <c r="E1619" s="3" t="str">
        <f>RTD("ice.rtd",,$C1619 &amp; $D1619 &amp; ":" &amp; E$1)</f>
        <v>Nov27</v>
      </c>
      <c r="F1619" s="3" t="str">
        <f>ICE[[#This Row],[Prod]]&amp;ICE[[#This Row],[Strip]]</f>
        <v>mopagdiffNov27</v>
      </c>
      <c r="G1619" s="18" t="str">
        <f>RTD("ice.rtd",,$C1619 &amp; $D1619 &amp; ":" &amp; G$1)</f>
        <v/>
      </c>
      <c r="H1619" s="18" t="str">
        <f>RTD("ice.rtd",,$C1619 &amp; $D1619 &amp; ":" &amp; H$1)</f>
        <v/>
      </c>
      <c r="I1619" s="18" t="str">
        <f>RTD("ice.rtd",,$C1619 &amp; $D1619 &amp; ":" &amp; I$1)</f>
        <v/>
      </c>
      <c r="J1619" s="14" t="str">
        <f>IFERROR(MOD(RTD("ice.rtd",,$C1619 &amp; $D1619 &amp; ":" &amp; J$1), 1), "")</f>
        <v/>
      </c>
      <c r="K1619" s="18" t="str">
        <f>RTD("ice.rtd",,$C1619 &amp; $D1619 &amp; ":" &amp; K$1)</f>
        <v/>
      </c>
      <c r="L1619" s="36" t="str">
        <f>RTD("ice.rtd",,$C1619 &amp; $D1619 &amp; ":" &amp; L$1)</f>
        <v/>
      </c>
      <c r="M1619" s="14" t="str">
        <f>IFERROR(MOD(TIMEVALUE(RTD("ice.rtd",,$C1619 &amp; $D1619 &amp; ":" &amp; M$1)), 1), "")</f>
        <v/>
      </c>
      <c r="N1619" s="36">
        <f>RTD("ice.rtd",,$C1619 &amp; $D1619 &amp; ":" &amp; N$1)</f>
        <v>0</v>
      </c>
      <c r="O1619" s="36">
        <f>RTD("ice.rtd",,$C1619 &amp; $D1619 &amp; ":" &amp; O$1)</f>
        <v>0</v>
      </c>
      <c r="P16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19" s="14" t="str">
        <f>IF(ICE[[#This Row],[LastType]] = "Scrn", ICE[[#This Row],[LstDate]], IF(ICE[[#This Row],[LastType]] = "Blk", ICE[[#This Row],[LstBlkTime]], ""))</f>
        <v/>
      </c>
      <c r="R1619" s="41" t="str">
        <f>IF(ICE[[#This Row],[LastType]] = "Scrn", ICE[[#This Row],[LstPrc]], IF(ICE[[#This Row],[LastType]] = "Blk", ICE[[#This Row],[LstBlkPrc]], ""))</f>
        <v/>
      </c>
      <c r="S1619" s="36">
        <f>ICE[[#This Row],[Vol]]+ICE[[#This Row],[BlkVol]]</f>
        <v>0</v>
      </c>
      <c r="T1619" s="36">
        <f>RTD("ice.rtd",,$C1619 &amp; $D1619 &amp; ":" &amp; T$1)</f>
        <v>0</v>
      </c>
      <c r="U1619" s="18">
        <f>RTD("ice.rtd",,$C1619 &amp; $D1619 &amp; ":" &amp; U$1)</f>
        <v>-5.26</v>
      </c>
      <c r="V16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19" s="18" t="str">
        <f>IFERROR(IF(LEFT(ICE[[#This Row],[Tenor]], 1) = "B", RTD("esrtd",,$B1619 &amp; " " &amp; ICE[[#This Row],[Tenor]] &amp; "-IEU", W$1), RTD("esrtd",,$B1619 &amp; " " &amp; VLOOKUP(MONTH(ICE[[#This Row],[Strip]]), MthRef[], 2, 0) &amp; RIGHT(YEAR(ICE[[#This Row],[Strip]]), 2) &amp; "-IEU", W$1)), "")</f>
        <v/>
      </c>
      <c r="X1619" s="36"/>
    </row>
    <row r="1620" spans="1:24" x14ac:dyDescent="0.25">
      <c r="A1620" s="37" t="s">
        <v>420</v>
      </c>
      <c r="B1620" s="88" t="str">
        <f>RTD("ice.rtd",,$C1620 &amp; $D1620 &amp; ":" &amp; B$1)</f>
        <v>GDX</v>
      </c>
      <c r="C1620" s="3">
        <v>3124331018</v>
      </c>
      <c r="D1620" t="s">
        <v>814</v>
      </c>
      <c r="E1620" s="3" t="str">
        <f>RTD("ice.rtd",,$C1620 &amp; $D1620 &amp; ":" &amp; E$1)</f>
        <v>Q4 26</v>
      </c>
      <c r="F1620" s="3" t="str">
        <f>ICE[[#This Row],[Prod]]&amp;ICE[[#This Row],[Strip]]</f>
        <v>mopagdiffQ4 26</v>
      </c>
      <c r="G1620" s="18" t="str">
        <f>RTD("ice.rtd",,$C1620 &amp; $D1620 &amp; ":" &amp; G$1)</f>
        <v/>
      </c>
      <c r="H1620" s="18" t="str">
        <f>RTD("ice.rtd",,$C1620 &amp; $D1620 &amp; ":" &amp; H$1)</f>
        <v/>
      </c>
      <c r="I1620" s="18" t="str">
        <f>RTD("ice.rtd",,$C1620 &amp; $D1620 &amp; ":" &amp; I$1)</f>
        <v/>
      </c>
      <c r="J1620" s="14" t="str">
        <f>IFERROR(MOD(RTD("ice.rtd",,$C1620 &amp; $D1620 &amp; ":" &amp; J$1), 1), "")</f>
        <v/>
      </c>
      <c r="K1620" s="18" t="str">
        <f>RTD("ice.rtd",,$C1620 &amp; $D1620 &amp; ":" &amp; K$1)</f>
        <v/>
      </c>
      <c r="L1620" s="36" t="str">
        <f>RTD("ice.rtd",,$C1620 &amp; $D1620 &amp; ":" &amp; L$1)</f>
        <v/>
      </c>
      <c r="M1620" s="14" t="str">
        <f>IFERROR(MOD(TIMEVALUE(RTD("ice.rtd",,$C1620 &amp; $D1620 &amp; ":" &amp; M$1)), 1), "")</f>
        <v/>
      </c>
      <c r="N1620" s="36">
        <f>RTD("ice.rtd",,$C1620 &amp; $D1620 &amp; ":" &amp; N$1)</f>
        <v>0</v>
      </c>
      <c r="O1620" s="36">
        <f>RTD("ice.rtd",,$C1620 &amp; $D1620 &amp; ":" &amp; O$1)</f>
        <v>0</v>
      </c>
      <c r="P16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0" s="14" t="str">
        <f>IF(ICE[[#This Row],[LastType]] = "Scrn", ICE[[#This Row],[LstDate]], IF(ICE[[#This Row],[LastType]] = "Blk", ICE[[#This Row],[LstBlkTime]], ""))</f>
        <v/>
      </c>
      <c r="R1620" s="41" t="str">
        <f>IF(ICE[[#This Row],[LastType]] = "Scrn", ICE[[#This Row],[LstPrc]], IF(ICE[[#This Row],[LastType]] = "Blk", ICE[[#This Row],[LstBlkPrc]], ""))</f>
        <v/>
      </c>
      <c r="S1620" s="36">
        <f>ICE[[#This Row],[Vol]]+ICE[[#This Row],[BlkVol]]</f>
        <v>0</v>
      </c>
      <c r="T1620" s="36">
        <f>RTD("ice.rtd",,$C1620 &amp; $D1620 &amp; ":" &amp; T$1)</f>
        <v>0</v>
      </c>
      <c r="U1620" s="18">
        <f>RTD("ice.rtd",,$C1620 &amp; $D1620 &amp; ":" &amp; U$1)</f>
        <v>-9.1</v>
      </c>
      <c r="V16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0" s="18" t="str">
        <f>IFERROR(IF(LEFT(ICE[[#This Row],[Tenor]], 1) = "B", RTD("esrtd",,$B1620 &amp; " " &amp; ICE[[#This Row],[Tenor]] &amp; "-IEU", W$1), RTD("esrtd",,$B1620 &amp; " " &amp; VLOOKUP(MONTH(ICE[[#This Row],[Strip]]), MthRef[], 2, 0) &amp; RIGHT(YEAR(ICE[[#This Row],[Strip]]), 2) &amp; "-IEU", W$1)), "")</f>
        <v/>
      </c>
      <c r="X1620" s="36"/>
    </row>
    <row r="1621" spans="1:24" x14ac:dyDescent="0.25">
      <c r="A1621" s="37" t="s">
        <v>420</v>
      </c>
      <c r="B1621" s="88" t="str">
        <f>RTD("ice.rtd",,$C1621 &amp; $D1621 &amp; ":" &amp; B$1)</f>
        <v>GDX</v>
      </c>
      <c r="C1621" s="3">
        <v>3124331018</v>
      </c>
      <c r="D1621" t="s">
        <v>815</v>
      </c>
      <c r="E1621" s="3" t="str">
        <f>RTD("ice.rtd",,$C1621 &amp; $D1621 &amp; ":" &amp; E$1)</f>
        <v>Q1 27</v>
      </c>
      <c r="F1621" s="3" t="str">
        <f>ICE[[#This Row],[Prod]]&amp;ICE[[#This Row],[Strip]]</f>
        <v>mopagdiffQ1 27</v>
      </c>
      <c r="G1621" s="18" t="str">
        <f>RTD("ice.rtd",,$C1621 &amp; $D1621 &amp; ":" &amp; G$1)</f>
        <v/>
      </c>
      <c r="H1621" s="18" t="str">
        <f>RTD("ice.rtd",,$C1621 &amp; $D1621 &amp; ":" &amp; H$1)</f>
        <v/>
      </c>
      <c r="I1621" s="18" t="str">
        <f>RTD("ice.rtd",,$C1621 &amp; $D1621 &amp; ":" &amp; I$1)</f>
        <v/>
      </c>
      <c r="J1621" s="14" t="str">
        <f>IFERROR(MOD(RTD("ice.rtd",,$C1621 &amp; $D1621 &amp; ":" &amp; J$1), 1), "")</f>
        <v/>
      </c>
      <c r="K1621" s="18" t="str">
        <f>RTD("ice.rtd",,$C1621 &amp; $D1621 &amp; ":" &amp; K$1)</f>
        <v/>
      </c>
      <c r="L1621" s="36" t="str">
        <f>RTD("ice.rtd",,$C1621 &amp; $D1621 &amp; ":" &amp; L$1)</f>
        <v/>
      </c>
      <c r="M1621" s="14" t="str">
        <f>IFERROR(MOD(TIMEVALUE(RTD("ice.rtd",,$C1621 &amp; $D1621 &amp; ":" &amp; M$1)), 1), "")</f>
        <v/>
      </c>
      <c r="N1621" s="36">
        <f>RTD("ice.rtd",,$C1621 &amp; $D1621 &amp; ":" &amp; N$1)</f>
        <v>0</v>
      </c>
      <c r="O1621" s="36">
        <f>RTD("ice.rtd",,$C1621 &amp; $D1621 &amp; ":" &amp; O$1)</f>
        <v>0</v>
      </c>
      <c r="P16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1" s="14" t="str">
        <f>IF(ICE[[#This Row],[LastType]] = "Scrn", ICE[[#This Row],[LstDate]], IF(ICE[[#This Row],[LastType]] = "Blk", ICE[[#This Row],[LstBlkTime]], ""))</f>
        <v/>
      </c>
      <c r="R1621" s="41" t="str">
        <f>IF(ICE[[#This Row],[LastType]] = "Scrn", ICE[[#This Row],[LstPrc]], IF(ICE[[#This Row],[LastType]] = "Blk", ICE[[#This Row],[LstBlkPrc]], ""))</f>
        <v/>
      </c>
      <c r="S1621" s="36">
        <f>ICE[[#This Row],[Vol]]+ICE[[#This Row],[BlkVol]]</f>
        <v>0</v>
      </c>
      <c r="T1621" s="36">
        <f>RTD("ice.rtd",,$C1621 &amp; $D1621 &amp; ":" &amp; T$1)</f>
        <v>0</v>
      </c>
      <c r="U1621" s="18">
        <f>RTD("ice.rtd",,$C1621 &amp; $D1621 &amp; ":" &amp; U$1)</f>
        <v>-7.62</v>
      </c>
      <c r="V16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1" s="18" t="str">
        <f>IFERROR(IF(LEFT(ICE[[#This Row],[Tenor]], 1) = "B", RTD("esrtd",,$B1621 &amp; " " &amp; ICE[[#This Row],[Tenor]] &amp; "-IEU", W$1), RTD("esrtd",,$B1621 &amp; " " &amp; VLOOKUP(MONTH(ICE[[#This Row],[Strip]]), MthRef[], 2, 0) &amp; RIGHT(YEAR(ICE[[#This Row],[Strip]]), 2) &amp; "-IEU", W$1)), "")</f>
        <v/>
      </c>
      <c r="X1621" s="36"/>
    </row>
    <row r="1622" spans="1:24" x14ac:dyDescent="0.25">
      <c r="A1622" s="37" t="s">
        <v>420</v>
      </c>
      <c r="B1622" s="88" t="str">
        <f>RTD("ice.rtd",,$C1622 &amp; $D1622 &amp; ":" &amp; B$1)</f>
        <v>GDX</v>
      </c>
      <c r="C1622" s="3">
        <v>3124331018</v>
      </c>
      <c r="D1622" t="s">
        <v>816</v>
      </c>
      <c r="E1622" s="3" t="str">
        <f>RTD("ice.rtd",,$C1622 &amp; $D1622 &amp; ":" &amp; E$1)</f>
        <v>Q2 27</v>
      </c>
      <c r="F1622" s="3" t="str">
        <f>ICE[[#This Row],[Prod]]&amp;ICE[[#This Row],[Strip]]</f>
        <v>mopagdiffQ2 27</v>
      </c>
      <c r="G1622" s="18" t="str">
        <f>RTD("ice.rtd",,$C1622 &amp; $D1622 &amp; ":" &amp; G$1)</f>
        <v/>
      </c>
      <c r="H1622" s="18" t="str">
        <f>RTD("ice.rtd",,$C1622 &amp; $D1622 &amp; ":" &amp; H$1)</f>
        <v/>
      </c>
      <c r="I1622" s="18" t="str">
        <f>RTD("ice.rtd",,$C1622 &amp; $D1622 &amp; ":" &amp; I$1)</f>
        <v/>
      </c>
      <c r="J1622" s="14" t="str">
        <f>IFERROR(MOD(RTD("ice.rtd",,$C1622 &amp; $D1622 &amp; ":" &amp; J$1), 1), "")</f>
        <v/>
      </c>
      <c r="K1622" s="18" t="str">
        <f>RTD("ice.rtd",,$C1622 &amp; $D1622 &amp; ":" &amp; K$1)</f>
        <v/>
      </c>
      <c r="L1622" s="36" t="str">
        <f>RTD("ice.rtd",,$C1622 &amp; $D1622 &amp; ":" &amp; L$1)</f>
        <v/>
      </c>
      <c r="M1622" s="14" t="str">
        <f>IFERROR(MOD(TIMEVALUE(RTD("ice.rtd",,$C1622 &amp; $D1622 &amp; ":" &amp; M$1)), 1), "")</f>
        <v/>
      </c>
      <c r="N1622" s="36">
        <f>RTD("ice.rtd",,$C1622 &amp; $D1622 &amp; ":" &amp; N$1)</f>
        <v>0</v>
      </c>
      <c r="O1622" s="36">
        <f>RTD("ice.rtd",,$C1622 &amp; $D1622 &amp; ":" &amp; O$1)</f>
        <v>0</v>
      </c>
      <c r="P16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2" s="14" t="str">
        <f>IF(ICE[[#This Row],[LastType]] = "Scrn", ICE[[#This Row],[LstDate]], IF(ICE[[#This Row],[LastType]] = "Blk", ICE[[#This Row],[LstBlkTime]], ""))</f>
        <v/>
      </c>
      <c r="R1622" s="41" t="str">
        <f>IF(ICE[[#This Row],[LastType]] = "Scrn", ICE[[#This Row],[LstPrc]], IF(ICE[[#This Row],[LastType]] = "Blk", ICE[[#This Row],[LstBlkPrc]], ""))</f>
        <v/>
      </c>
      <c r="S1622" s="36">
        <f>ICE[[#This Row],[Vol]]+ICE[[#This Row],[BlkVol]]</f>
        <v>0</v>
      </c>
      <c r="T1622" s="36">
        <f>RTD("ice.rtd",,$C1622 &amp; $D1622 &amp; ":" &amp; T$1)</f>
        <v>0</v>
      </c>
      <c r="U1622" s="18">
        <f>RTD("ice.rtd",,$C1622 &amp; $D1622 &amp; ":" &amp; U$1)</f>
        <v>-6.32</v>
      </c>
      <c r="V16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2" s="18" t="str">
        <f>IFERROR(IF(LEFT(ICE[[#This Row],[Tenor]], 1) = "B", RTD("esrtd",,$B1622 &amp; " " &amp; ICE[[#This Row],[Tenor]] &amp; "-IEU", W$1), RTD("esrtd",,$B1622 &amp; " " &amp; VLOOKUP(MONTH(ICE[[#This Row],[Strip]]), MthRef[], 2, 0) &amp; RIGHT(YEAR(ICE[[#This Row],[Strip]]), 2) &amp; "-IEU", W$1)), "")</f>
        <v/>
      </c>
      <c r="X1622" s="36"/>
    </row>
    <row r="1623" spans="1:24" x14ac:dyDescent="0.25">
      <c r="A1623" s="37" t="s">
        <v>420</v>
      </c>
      <c r="B1623" s="88" t="str">
        <f>RTD("ice.rtd",,$C1623 &amp; $D1623 &amp; ":" &amp; B$1)</f>
        <v>GDX</v>
      </c>
      <c r="C1623" s="3">
        <v>3124331018</v>
      </c>
      <c r="D1623" t="s">
        <v>817</v>
      </c>
      <c r="E1623" s="3" t="str">
        <f>RTD("ice.rtd",,$C1623 &amp; $D1623 &amp; ":" &amp; E$1)</f>
        <v>Q3 27</v>
      </c>
      <c r="F1623" s="3" t="str">
        <f>ICE[[#This Row],[Prod]]&amp;ICE[[#This Row],[Strip]]</f>
        <v>mopagdiffQ3 27</v>
      </c>
      <c r="G1623" s="18" t="str">
        <f>RTD("ice.rtd",,$C1623 &amp; $D1623 &amp; ":" &amp; G$1)</f>
        <v/>
      </c>
      <c r="H1623" s="18" t="str">
        <f>RTD("ice.rtd",,$C1623 &amp; $D1623 &amp; ":" &amp; H$1)</f>
        <v/>
      </c>
      <c r="I1623" s="18" t="str">
        <f>RTD("ice.rtd",,$C1623 &amp; $D1623 &amp; ":" &amp; I$1)</f>
        <v/>
      </c>
      <c r="J1623" s="14" t="str">
        <f>IFERROR(MOD(RTD("ice.rtd",,$C1623 &amp; $D1623 &amp; ":" &amp; J$1), 1), "")</f>
        <v/>
      </c>
      <c r="K1623" s="18" t="str">
        <f>RTD("ice.rtd",,$C1623 &amp; $D1623 &amp; ":" &amp; K$1)</f>
        <v/>
      </c>
      <c r="L1623" s="36" t="str">
        <f>RTD("ice.rtd",,$C1623 &amp; $D1623 &amp; ":" &amp; L$1)</f>
        <v/>
      </c>
      <c r="M1623" s="14" t="str">
        <f>IFERROR(MOD(TIMEVALUE(RTD("ice.rtd",,$C1623 &amp; $D1623 &amp; ":" &amp; M$1)), 1), "")</f>
        <v/>
      </c>
      <c r="N1623" s="36">
        <f>RTD("ice.rtd",,$C1623 &amp; $D1623 &amp; ":" &amp; N$1)</f>
        <v>0</v>
      </c>
      <c r="O1623" s="36">
        <f>RTD("ice.rtd",,$C1623 &amp; $D1623 &amp; ":" &amp; O$1)</f>
        <v>0</v>
      </c>
      <c r="P16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3" s="14" t="str">
        <f>IF(ICE[[#This Row],[LastType]] = "Scrn", ICE[[#This Row],[LstDate]], IF(ICE[[#This Row],[LastType]] = "Blk", ICE[[#This Row],[LstBlkTime]], ""))</f>
        <v/>
      </c>
      <c r="R1623" s="41" t="str">
        <f>IF(ICE[[#This Row],[LastType]] = "Scrn", ICE[[#This Row],[LstPrc]], IF(ICE[[#This Row],[LastType]] = "Blk", ICE[[#This Row],[LstBlkPrc]], ""))</f>
        <v/>
      </c>
      <c r="S1623" s="36">
        <f>ICE[[#This Row],[Vol]]+ICE[[#This Row],[BlkVol]]</f>
        <v>0</v>
      </c>
      <c r="T1623" s="36">
        <f>RTD("ice.rtd",,$C1623 &amp; $D1623 &amp; ":" &amp; T$1)</f>
        <v>0</v>
      </c>
      <c r="U1623" s="18">
        <f>RTD("ice.rtd",,$C1623 &amp; $D1623 &amp; ":" &amp; U$1)</f>
        <v>-5.0200000000000005</v>
      </c>
      <c r="V16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3" s="18" t="str">
        <f>IFERROR(IF(LEFT(ICE[[#This Row],[Tenor]], 1) = "B", RTD("esrtd",,$B1623 &amp; " " &amp; ICE[[#This Row],[Tenor]] &amp; "-IEU", W$1), RTD("esrtd",,$B1623 &amp; " " &amp; VLOOKUP(MONTH(ICE[[#This Row],[Strip]]), MthRef[], 2, 0) &amp; RIGHT(YEAR(ICE[[#This Row],[Strip]]), 2) &amp; "-IEU", W$1)), "")</f>
        <v/>
      </c>
      <c r="X1623" s="36"/>
    </row>
    <row r="1624" spans="1:24" x14ac:dyDescent="0.25">
      <c r="A1624" s="37" t="s">
        <v>420</v>
      </c>
      <c r="B1624" s="88" t="str">
        <f>RTD("ice.rtd",,$C1624 &amp; $D1624 &amp; ":" &amp; B$1)</f>
        <v>GDX</v>
      </c>
      <c r="C1624" s="3">
        <v>3124331018</v>
      </c>
      <c r="D1624" t="s">
        <v>822</v>
      </c>
      <c r="E1624" s="3" t="str">
        <f>RTD("ice.rtd",,$C1624 &amp; $D1624 &amp; ":" &amp; E$1)</f>
        <v>Cal 27</v>
      </c>
      <c r="F1624" s="3" t="str">
        <f>ICE[[#This Row],[Prod]]&amp;ICE[[#This Row],[Strip]]</f>
        <v>mopagdiffCal 27</v>
      </c>
      <c r="G1624" s="18" t="str">
        <f>RTD("ice.rtd",,$C1624 &amp; $D1624 &amp; ":" &amp; G$1)</f>
        <v/>
      </c>
      <c r="H1624" s="18" t="str">
        <f>RTD("ice.rtd",,$C1624 &amp; $D1624 &amp; ":" &amp; H$1)</f>
        <v/>
      </c>
      <c r="I1624" s="18" t="str">
        <f>RTD("ice.rtd",,$C1624 &amp; $D1624 &amp; ":" &amp; I$1)</f>
        <v/>
      </c>
      <c r="J1624" s="14" t="str">
        <f>IFERROR(MOD(RTD("ice.rtd",,$C1624 &amp; $D1624 &amp; ":" &amp; J$1), 1), "")</f>
        <v/>
      </c>
      <c r="K1624" s="18" t="str">
        <f>RTD("ice.rtd",,$C1624 &amp; $D1624 &amp; ":" &amp; K$1)</f>
        <v/>
      </c>
      <c r="L1624" s="36" t="str">
        <f>RTD("ice.rtd",,$C1624 &amp; $D1624 &amp; ":" &amp; L$1)</f>
        <v/>
      </c>
      <c r="M1624" s="14" t="str">
        <f>IFERROR(MOD(TIMEVALUE(RTD("ice.rtd",,$C1624 &amp; $D1624 &amp; ":" &amp; M$1)), 1), "")</f>
        <v/>
      </c>
      <c r="N1624" s="36">
        <f>RTD("ice.rtd",,$C1624 &amp; $D1624 &amp; ":" &amp; N$1)</f>
        <v>0</v>
      </c>
      <c r="O1624" s="36">
        <f>RTD("ice.rtd",,$C1624 &amp; $D1624 &amp; ":" &amp; O$1)</f>
        <v>0</v>
      </c>
      <c r="P16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4" s="14" t="str">
        <f>IF(ICE[[#This Row],[LastType]] = "Scrn", ICE[[#This Row],[LstDate]], IF(ICE[[#This Row],[LastType]] = "Blk", ICE[[#This Row],[LstBlkTime]], ""))</f>
        <v/>
      </c>
      <c r="R1624" s="41" t="str">
        <f>IF(ICE[[#This Row],[LastType]] = "Scrn", ICE[[#This Row],[LstPrc]], IF(ICE[[#This Row],[LastType]] = "Blk", ICE[[#This Row],[LstBlkPrc]], ""))</f>
        <v/>
      </c>
      <c r="S1624" s="36">
        <f>ICE[[#This Row],[Vol]]+ICE[[#This Row],[BlkVol]]</f>
        <v>0</v>
      </c>
      <c r="T1624" s="36">
        <f>RTD("ice.rtd",,$C1624 &amp; $D1624 &amp; ":" &amp; T$1)</f>
        <v>0</v>
      </c>
      <c r="U1624" s="18">
        <f>RTD("ice.rtd",,$C1624 &amp; $D1624 &amp; ":" &amp; U$1)</f>
        <v>-6.0550000000000006</v>
      </c>
      <c r="V16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4" s="18" t="str">
        <f>IFERROR(IF(LEFT(ICE[[#This Row],[Tenor]], 1) = "B", RTD("esrtd",,$B1624 &amp; " " &amp; ICE[[#This Row],[Tenor]] &amp; "-IEU", W$1), RTD("esrtd",,$B1624 &amp; " " &amp; VLOOKUP(MONTH(ICE[[#This Row],[Strip]]), MthRef[], 2, 0) &amp; RIGHT(YEAR(ICE[[#This Row],[Strip]]), 2) &amp; "-IEU", W$1)), "")</f>
        <v/>
      </c>
      <c r="X1624" s="36"/>
    </row>
    <row r="1625" spans="1:24" x14ac:dyDescent="0.25">
      <c r="A1625" s="37" t="s">
        <v>851</v>
      </c>
      <c r="B1625" s="88" t="str">
        <f>RTD("ice.rtd",,$C1625 &amp; $D1625 &amp; ":" &amp; B$1)</f>
        <v>GSS</v>
      </c>
      <c r="C1625" s="3">
        <v>2183024603</v>
      </c>
      <c r="D1625" t="s">
        <v>792</v>
      </c>
      <c r="E1625" s="3" t="str">
        <f>RTD("ice.rtd",,$C1625 &amp; $D1625 &amp; ":" &amp; E$1)</f>
        <v>Bal Month</v>
      </c>
      <c r="F1625" s="3" t="str">
        <f>ICE[[#This Row],[Prod]]&amp;ICE[[#This Row],[Strip]]</f>
        <v>gosingBal Month</v>
      </c>
      <c r="G1625" s="18" t="str">
        <f>RTD("ice.rtd",,$C1625 &amp; $D1625 &amp; ":" &amp; G$1)</f>
        <v/>
      </c>
      <c r="H1625" s="18" t="str">
        <f>RTD("ice.rtd",,$C1625 &amp; $D1625 &amp; ":" &amp; H$1)</f>
        <v/>
      </c>
      <c r="I1625" s="18" t="str">
        <f>RTD("ice.rtd",,$C1625 &amp; $D1625 &amp; ":" &amp; I$1)</f>
        <v/>
      </c>
      <c r="J1625" s="14" t="str">
        <f>IFERROR(MOD(RTD("ice.rtd",,$C1625 &amp; $D1625 &amp; ":" &amp; J$1), 1), "")</f>
        <v/>
      </c>
      <c r="K1625" s="18">
        <f>RTD("ice.rtd",,$C1625 &amp; $D1625 &amp; ":" &amp; K$1)</f>
        <v>166</v>
      </c>
      <c r="L1625" s="36">
        <f>RTD("ice.rtd",,$C1625 &amp; $D1625 &amp; ":" &amp; L$1)</f>
        <v>25</v>
      </c>
      <c r="M1625" s="14">
        <f>IFERROR(MOD(TIMEVALUE(RTD("ice.rtd",,$C1625 &amp; $D1625 &amp; ":" &amp; M$1)), 1), "")</f>
        <v>0.39283564814814814</v>
      </c>
      <c r="N1625" s="36">
        <f>RTD("ice.rtd",,$C1625 &amp; $D1625 &amp; ":" &amp; N$1)</f>
        <v>0</v>
      </c>
      <c r="O1625" s="36">
        <f>RTD("ice.rtd",,$C1625 &amp; $D1625 &amp; ":" &amp; O$1)</f>
        <v>1304</v>
      </c>
      <c r="P16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625" s="14">
        <f>IF(ICE[[#This Row],[LastType]] = "Scrn", ICE[[#This Row],[LstDate]], IF(ICE[[#This Row],[LastType]] = "Blk", ICE[[#This Row],[LstBlkTime]], ""))</f>
        <v>0.39283564814814814</v>
      </c>
      <c r="R1625" s="41">
        <f>IF(ICE[[#This Row],[LastType]] = "Scrn", ICE[[#This Row],[LstPrc]], IF(ICE[[#This Row],[LastType]] = "Blk", ICE[[#This Row],[LstBlkPrc]], ""))</f>
        <v>166</v>
      </c>
      <c r="S1625" s="36">
        <f>ICE[[#This Row],[Vol]]+ICE[[#This Row],[BlkVol]]</f>
        <v>1304</v>
      </c>
      <c r="T1625" s="36">
        <f>RTD("ice.rtd",,$C1625 &amp; $D1625 &amp; ":" &amp; T$1)</f>
        <v>0</v>
      </c>
      <c r="U1625" s="18">
        <f>RTD("ice.rtd",,$C1625 &amp; $D1625 &amp; ":" &amp; U$1)</f>
        <v>164.887</v>
      </c>
      <c r="V16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{166.00} |1,304x</v>
      </c>
      <c r="W1625" s="18" t="str">
        <f>IFERROR(IF(LEFT(ICE[[#This Row],[Tenor]], 1) = "B", RTD("esrtd",,$B1625 &amp; " " &amp; ICE[[#This Row],[Tenor]] &amp; "-IEU", W$1), RTD("esrtd",,$B1625 &amp; " " &amp; VLOOKUP(MONTH(ICE[[#This Row],[Strip]]), MthRef[], 2, 0) &amp; RIGHT(YEAR(ICE[[#This Row],[Strip]]), 2) &amp; "-IEU", W$1)), "")</f>
        <v/>
      </c>
      <c r="X1625" s="36"/>
    </row>
    <row r="1626" spans="1:24" x14ac:dyDescent="0.25">
      <c r="A1626" s="37" t="s">
        <v>852</v>
      </c>
      <c r="B1626" s="88" t="str">
        <f>RTD("ice.rtd",,$C1626 &amp; $D1626 &amp; ":" &amp; B$1)</f>
        <v>GCN</v>
      </c>
      <c r="C1626" s="3">
        <v>1961122916</v>
      </c>
      <c r="D1626" t="s">
        <v>792</v>
      </c>
      <c r="E1626" s="3" t="str">
        <f>RTD("ice.rtd",,$C1626 &amp; $D1626 &amp; ":" &amp; E$1)</f>
        <v>Bal Month</v>
      </c>
      <c r="F1626" s="3" t="str">
        <f>ICE[[#This Row],[Prod]]&amp;ICE[[#This Row],[Strip]]</f>
        <v>mopagBal Month</v>
      </c>
      <c r="G1626" s="18" t="str">
        <f>RTD("ice.rtd",,$C1626 &amp; $D1626 &amp; ":" &amp; G$1)</f>
        <v/>
      </c>
      <c r="H1626" s="18" t="str">
        <f>RTD("ice.rtd",,$C1626 &amp; $D1626 &amp; ":" &amp; H$1)</f>
        <v/>
      </c>
      <c r="I1626" s="18" t="str">
        <f>RTD("ice.rtd",,$C1626 &amp; $D1626 &amp; ":" &amp; I$1)</f>
        <v/>
      </c>
      <c r="J1626" s="14" t="str">
        <f>IFERROR(MOD(RTD("ice.rtd",,$C1626 &amp; $D1626 &amp; ":" &amp; J$1), 1), "")</f>
        <v/>
      </c>
      <c r="K1626" s="18" t="str">
        <f>RTD("ice.rtd",,$C1626 &amp; $D1626 &amp; ":" &amp; K$1)</f>
        <v/>
      </c>
      <c r="L1626" s="36" t="str">
        <f>RTD("ice.rtd",,$C1626 &amp; $D1626 &amp; ":" &amp; L$1)</f>
        <v/>
      </c>
      <c r="M1626" s="14" t="str">
        <f>IFERROR(MOD(TIMEVALUE(RTD("ice.rtd",,$C1626 &amp; $D1626 &amp; ":" &amp; M$1)), 1), "")</f>
        <v/>
      </c>
      <c r="N1626" s="36">
        <f>RTD("ice.rtd",,$C1626 &amp; $D1626 &amp; ":" &amp; N$1)</f>
        <v>0</v>
      </c>
      <c r="O1626" s="36">
        <f>RTD("ice.rtd",,$C1626 &amp; $D1626 &amp; ":" &amp; O$1)</f>
        <v>0</v>
      </c>
      <c r="P16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6" s="14" t="str">
        <f>IF(ICE[[#This Row],[LastType]] = "Scrn", ICE[[#This Row],[LstDate]], IF(ICE[[#This Row],[LastType]] = "Blk", ICE[[#This Row],[LstBlkTime]], ""))</f>
        <v/>
      </c>
      <c r="R1626" s="41" t="str">
        <f>IF(ICE[[#This Row],[LastType]] = "Scrn", ICE[[#This Row],[LstPrc]], IF(ICE[[#This Row],[LastType]] = "Blk", ICE[[#This Row],[LstBlkPrc]], ""))</f>
        <v/>
      </c>
      <c r="S1626" s="36">
        <f>ICE[[#This Row],[Vol]]+ICE[[#This Row],[BlkVol]]</f>
        <v>0</v>
      </c>
      <c r="T1626" s="36">
        <f>RTD("ice.rtd",,$C1626 &amp; $D1626 &amp; ":" &amp; T$1)</f>
        <v>0</v>
      </c>
      <c r="U1626" s="18">
        <f>RTD("ice.rtd",,$C1626 &amp; $D1626 &amp; ":" &amp; U$1)</f>
        <v>154.91900000000001</v>
      </c>
      <c r="V16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6" s="18" t="str">
        <f>IFERROR(IF(LEFT(ICE[[#This Row],[Tenor]], 1) = "B", RTD("esrtd",,$B1626 &amp; " " &amp; ICE[[#This Row],[Tenor]] &amp; "-IEU", W$1), RTD("esrtd",,$B1626 &amp; " " &amp; VLOOKUP(MONTH(ICE[[#This Row],[Strip]]), MthRef[], 2, 0) &amp; RIGHT(YEAR(ICE[[#This Row],[Strip]]), 2) &amp; "-IEU", W$1)), "")</f>
        <v/>
      </c>
      <c r="X1626" s="36"/>
    </row>
    <row r="1627" spans="1:24" x14ac:dyDescent="0.25">
      <c r="A1627" s="37" t="s">
        <v>852</v>
      </c>
      <c r="B1627" s="88" t="str">
        <f>RTD("ice.rtd",,$C1627 &amp; $D1627 &amp; ":" &amp; B$1)</f>
        <v>GCQ</v>
      </c>
      <c r="C1627" s="3">
        <v>1923422331</v>
      </c>
      <c r="D1627" t="s">
        <v>793</v>
      </c>
      <c r="E1627" s="3" t="str">
        <f>RTD("ice.rtd",,$C1627 &amp; $D1627 &amp; ":" &amp; E$1)</f>
        <v>Sep26</v>
      </c>
      <c r="F1627" s="3" t="str">
        <f>ICE[[#This Row],[Prod]]&amp;ICE[[#This Row],[Strip]]</f>
        <v>mopagSep26</v>
      </c>
      <c r="G1627" s="18" t="str">
        <f>RTD("ice.rtd",,$C1627 &amp; $D1627 &amp; ":" &amp; G$1)</f>
        <v/>
      </c>
      <c r="H1627" s="18" t="str">
        <f>RTD("ice.rtd",,$C1627 &amp; $D1627 &amp; ":" &amp; H$1)</f>
        <v/>
      </c>
      <c r="I1627" s="18" t="str">
        <f>RTD("ice.rtd",,$C1627 &amp; $D1627 &amp; ":" &amp; I$1)</f>
        <v/>
      </c>
      <c r="J1627" s="14" t="str">
        <f>IFERROR(MOD(RTD("ice.rtd",,$C1627 &amp; $D1627 &amp; ":" &amp; J$1), 1), "")</f>
        <v/>
      </c>
      <c r="K1627" s="18" t="str">
        <f>RTD("ice.rtd",,$C1627 &amp; $D1627 &amp; ":" &amp; K$1)</f>
        <v/>
      </c>
      <c r="L1627" s="36" t="str">
        <f>RTD("ice.rtd",,$C1627 &amp; $D1627 &amp; ":" &amp; L$1)</f>
        <v/>
      </c>
      <c r="M1627" s="14" t="str">
        <f>IFERROR(MOD(TIMEVALUE(RTD("ice.rtd",,$C1627 &amp; $D1627 &amp; ":" &amp; M$1)), 1), "")</f>
        <v/>
      </c>
      <c r="N1627" s="36">
        <f>RTD("ice.rtd",,$C1627 &amp; $D1627 &amp; ":" &amp; N$1)</f>
        <v>0</v>
      </c>
      <c r="O1627" s="36">
        <f>RTD("ice.rtd",,$C1627 &amp; $D1627 &amp; ":" &amp; O$1)</f>
        <v>0</v>
      </c>
      <c r="P16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7" s="14" t="str">
        <f>IF(ICE[[#This Row],[LastType]] = "Scrn", ICE[[#This Row],[LstDate]], IF(ICE[[#This Row],[LastType]] = "Blk", ICE[[#This Row],[LstBlkTime]], ""))</f>
        <v/>
      </c>
      <c r="R1627" s="41" t="str">
        <f>IF(ICE[[#This Row],[LastType]] = "Scrn", ICE[[#This Row],[LstPrc]], IF(ICE[[#This Row],[LastType]] = "Blk", ICE[[#This Row],[LstBlkPrc]], ""))</f>
        <v/>
      </c>
      <c r="S1627" s="36">
        <f>ICE[[#This Row],[Vol]]+ICE[[#This Row],[BlkVol]]</f>
        <v>0</v>
      </c>
      <c r="T1627" s="36">
        <f>RTD("ice.rtd",,$C1627 &amp; $D1627 &amp; ":" &amp; T$1)</f>
        <v>2754</v>
      </c>
      <c r="U1627" s="18">
        <f>RTD("ice.rtd",,$C1627 &amp; $D1627 &amp; ":" &amp; U$1)</f>
        <v>154.91900000000001</v>
      </c>
      <c r="V16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7" s="18" t="str">
        <f>IFERROR(IF(LEFT(ICE[[#This Row],[Tenor]], 1) = "B", RTD("esrtd",,$B1627 &amp; " " &amp; ICE[[#This Row],[Tenor]] &amp; "-IEU", W$1), RTD("esrtd",,$B1627 &amp; " " &amp; VLOOKUP(MONTH(ICE[[#This Row],[Strip]]), MthRef[], 2, 0) &amp; RIGHT(YEAR(ICE[[#This Row],[Strip]]), 2) &amp; "-IEU", W$1)), "")</f>
        <v/>
      </c>
      <c r="X1627" s="36"/>
    </row>
    <row r="1628" spans="1:24" x14ac:dyDescent="0.25">
      <c r="A1628" s="37" t="s">
        <v>852</v>
      </c>
      <c r="B1628" s="88" t="str">
        <f>RTD("ice.rtd",,$C1628 &amp; $D1628 &amp; ":" &amp; B$1)</f>
        <v>GCQ</v>
      </c>
      <c r="C1628" s="3">
        <v>1923422331</v>
      </c>
      <c r="D1628" t="s">
        <v>324</v>
      </c>
      <c r="E1628" s="3" t="str">
        <f>RTD("ice.rtd",,$C1628 &amp; $D1628 &amp; ":" &amp; E$1)</f>
        <v>Oct26</v>
      </c>
      <c r="F1628" s="3" t="str">
        <f>ICE[[#This Row],[Prod]]&amp;ICE[[#This Row],[Strip]]</f>
        <v>mopagOct26</v>
      </c>
      <c r="G1628" s="18" t="str">
        <f>RTD("ice.rtd",,$C1628 &amp; $D1628 &amp; ":" &amp; G$1)</f>
        <v/>
      </c>
      <c r="H1628" s="18" t="str">
        <f>RTD("ice.rtd",,$C1628 &amp; $D1628 &amp; ":" &amp; H$1)</f>
        <v/>
      </c>
      <c r="I1628" s="18" t="str">
        <f>RTD("ice.rtd",,$C1628 &amp; $D1628 &amp; ":" &amp; I$1)</f>
        <v/>
      </c>
      <c r="J1628" s="14" t="str">
        <f>IFERROR(MOD(RTD("ice.rtd",,$C1628 &amp; $D1628 &amp; ":" &amp; J$1), 1), "")</f>
        <v/>
      </c>
      <c r="K1628" s="18" t="str">
        <f>RTD("ice.rtd",,$C1628 &amp; $D1628 &amp; ":" &amp; K$1)</f>
        <v/>
      </c>
      <c r="L1628" s="36" t="str">
        <f>RTD("ice.rtd",,$C1628 &amp; $D1628 &amp; ":" &amp; L$1)</f>
        <v/>
      </c>
      <c r="M1628" s="14" t="str">
        <f>IFERROR(MOD(TIMEVALUE(RTD("ice.rtd",,$C1628 &amp; $D1628 &amp; ":" &amp; M$1)), 1), "")</f>
        <v/>
      </c>
      <c r="N1628" s="36">
        <f>RTD("ice.rtd",,$C1628 &amp; $D1628 &amp; ":" &amp; N$1)</f>
        <v>0</v>
      </c>
      <c r="O1628" s="36">
        <f>RTD("ice.rtd",,$C1628 &amp; $D1628 &amp; ":" &amp; O$1)</f>
        <v>0</v>
      </c>
      <c r="P16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8" s="14" t="str">
        <f>IF(ICE[[#This Row],[LastType]] = "Scrn", ICE[[#This Row],[LstDate]], IF(ICE[[#This Row],[LastType]] = "Blk", ICE[[#This Row],[LstBlkTime]], ""))</f>
        <v/>
      </c>
      <c r="R1628" s="41" t="str">
        <f>IF(ICE[[#This Row],[LastType]] = "Scrn", ICE[[#This Row],[LstPrc]], IF(ICE[[#This Row],[LastType]] = "Blk", ICE[[#This Row],[LstBlkPrc]], ""))</f>
        <v/>
      </c>
      <c r="S1628" s="36">
        <f>ICE[[#This Row],[Vol]]+ICE[[#This Row],[BlkVol]]</f>
        <v>0</v>
      </c>
      <c r="T1628" s="36">
        <f>RTD("ice.rtd",,$C1628 &amp; $D1628 &amp; ":" &amp; T$1)</f>
        <v>450</v>
      </c>
      <c r="U1628" s="18">
        <f>RTD("ice.rtd",,$C1628 &amp; $D1628 &amp; ":" &amp; U$1)</f>
        <v>150.25800000000001</v>
      </c>
      <c r="V16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8" s="18" t="str">
        <f>IFERROR(IF(LEFT(ICE[[#This Row],[Tenor]], 1) = "B", RTD("esrtd",,$B1628 &amp; " " &amp; ICE[[#This Row],[Tenor]] &amp; "-IEU", W$1), RTD("esrtd",,$B1628 &amp; " " &amp; VLOOKUP(MONTH(ICE[[#This Row],[Strip]]), MthRef[], 2, 0) &amp; RIGHT(YEAR(ICE[[#This Row],[Strip]]), 2) &amp; "-IEU", W$1)), "")</f>
        <v/>
      </c>
      <c r="X1628" s="36"/>
    </row>
    <row r="1629" spans="1:24" x14ac:dyDescent="0.25">
      <c r="A1629" s="37" t="s">
        <v>852</v>
      </c>
      <c r="B1629" s="88" t="str">
        <f>RTD("ice.rtd",,$C1629 &amp; $D1629 &amp; ":" &amp; B$1)</f>
        <v>GCQ</v>
      </c>
      <c r="C1629" s="3">
        <v>1923422331</v>
      </c>
      <c r="D1629" t="s">
        <v>325</v>
      </c>
      <c r="E1629" s="3" t="str">
        <f>RTD("ice.rtd",,$C1629 &amp; $D1629 &amp; ":" &amp; E$1)</f>
        <v>Nov26</v>
      </c>
      <c r="F1629" s="3" t="str">
        <f>ICE[[#This Row],[Prod]]&amp;ICE[[#This Row],[Strip]]</f>
        <v>mopagNov26</v>
      </c>
      <c r="G1629" s="18" t="str">
        <f>RTD("ice.rtd",,$C1629 &amp; $D1629 &amp; ":" &amp; G$1)</f>
        <v/>
      </c>
      <c r="H1629" s="18" t="str">
        <f>RTD("ice.rtd",,$C1629 &amp; $D1629 &amp; ":" &amp; H$1)</f>
        <v/>
      </c>
      <c r="I1629" s="18" t="str">
        <f>RTD("ice.rtd",,$C1629 &amp; $D1629 &amp; ":" &amp; I$1)</f>
        <v/>
      </c>
      <c r="J1629" s="14" t="str">
        <f>IFERROR(MOD(RTD("ice.rtd",,$C1629 &amp; $D1629 &amp; ":" &amp; J$1), 1), "")</f>
        <v/>
      </c>
      <c r="K1629" s="18" t="str">
        <f>RTD("ice.rtd",,$C1629 &amp; $D1629 &amp; ":" &amp; K$1)</f>
        <v/>
      </c>
      <c r="L1629" s="36" t="str">
        <f>RTD("ice.rtd",,$C1629 &amp; $D1629 &amp; ":" &amp; L$1)</f>
        <v/>
      </c>
      <c r="M1629" s="14" t="str">
        <f>IFERROR(MOD(TIMEVALUE(RTD("ice.rtd",,$C1629 &amp; $D1629 &amp; ":" &amp; M$1)), 1), "")</f>
        <v/>
      </c>
      <c r="N1629" s="36">
        <f>RTD("ice.rtd",,$C1629 &amp; $D1629 &amp; ":" &amp; N$1)</f>
        <v>0</v>
      </c>
      <c r="O1629" s="36">
        <f>RTD("ice.rtd",,$C1629 &amp; $D1629 &amp; ":" &amp; O$1)</f>
        <v>0</v>
      </c>
      <c r="P16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29" s="14" t="str">
        <f>IF(ICE[[#This Row],[LastType]] = "Scrn", ICE[[#This Row],[LstDate]], IF(ICE[[#This Row],[LastType]] = "Blk", ICE[[#This Row],[LstBlkTime]], ""))</f>
        <v/>
      </c>
      <c r="R1629" s="41" t="str">
        <f>IF(ICE[[#This Row],[LastType]] = "Scrn", ICE[[#This Row],[LstPrc]], IF(ICE[[#This Row],[LastType]] = "Blk", ICE[[#This Row],[LstBlkPrc]], ""))</f>
        <v/>
      </c>
      <c r="S1629" s="36">
        <f>ICE[[#This Row],[Vol]]+ICE[[#This Row],[BlkVol]]</f>
        <v>0</v>
      </c>
      <c r="T1629" s="36">
        <f>RTD("ice.rtd",,$C1629 &amp; $D1629 &amp; ":" &amp; T$1)</f>
        <v>0</v>
      </c>
      <c r="U1629" s="18">
        <f>RTD("ice.rtd",,$C1629 &amp; $D1629 &amp; ":" &amp; U$1)</f>
        <v>144.648</v>
      </c>
      <c r="V16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29" s="18" t="str">
        <f>IFERROR(IF(LEFT(ICE[[#This Row],[Tenor]], 1) = "B", RTD("esrtd",,$B1629 &amp; " " &amp; ICE[[#This Row],[Tenor]] &amp; "-IEU", W$1), RTD("esrtd",,$B1629 &amp; " " &amp; VLOOKUP(MONTH(ICE[[#This Row],[Strip]]), MthRef[], 2, 0) &amp; RIGHT(YEAR(ICE[[#This Row],[Strip]]), 2) &amp; "-IEU", W$1)), "")</f>
        <v/>
      </c>
      <c r="X1629" s="36"/>
    </row>
    <row r="1630" spans="1:24" x14ac:dyDescent="0.25">
      <c r="A1630" s="37" t="s">
        <v>852</v>
      </c>
      <c r="B1630" s="88" t="str">
        <f>RTD("ice.rtd",,$C1630 &amp; $D1630 &amp; ":" &amp; B$1)</f>
        <v>GCQ</v>
      </c>
      <c r="C1630" s="3">
        <v>1923422331</v>
      </c>
      <c r="D1630" t="s">
        <v>326</v>
      </c>
      <c r="E1630" s="3" t="str">
        <f>RTD("ice.rtd",,$C1630 &amp; $D1630 &amp; ":" &amp; E$1)</f>
        <v>Dec26</v>
      </c>
      <c r="F1630" s="3" t="str">
        <f>ICE[[#This Row],[Prod]]&amp;ICE[[#This Row],[Strip]]</f>
        <v>mopagDec26</v>
      </c>
      <c r="G1630" s="18" t="str">
        <f>RTD("ice.rtd",,$C1630 &amp; $D1630 &amp; ":" &amp; G$1)</f>
        <v/>
      </c>
      <c r="H1630" s="18" t="str">
        <f>RTD("ice.rtd",,$C1630 &amp; $D1630 &amp; ":" &amp; H$1)</f>
        <v/>
      </c>
      <c r="I1630" s="18" t="str">
        <f>RTD("ice.rtd",,$C1630 &amp; $D1630 &amp; ":" &amp; I$1)</f>
        <v/>
      </c>
      <c r="J1630" s="14" t="str">
        <f>IFERROR(MOD(RTD("ice.rtd",,$C1630 &amp; $D1630 &amp; ":" &amp; J$1), 1), "")</f>
        <v/>
      </c>
      <c r="K1630" s="18" t="str">
        <f>RTD("ice.rtd",,$C1630 &amp; $D1630 &amp; ":" &amp; K$1)</f>
        <v/>
      </c>
      <c r="L1630" s="36" t="str">
        <f>RTD("ice.rtd",,$C1630 &amp; $D1630 &amp; ":" &amp; L$1)</f>
        <v/>
      </c>
      <c r="M1630" s="14" t="str">
        <f>IFERROR(MOD(TIMEVALUE(RTD("ice.rtd",,$C1630 &amp; $D1630 &amp; ":" &amp; M$1)), 1), "")</f>
        <v/>
      </c>
      <c r="N1630" s="36">
        <f>RTD("ice.rtd",,$C1630 &amp; $D1630 &amp; ":" &amp; N$1)</f>
        <v>0</v>
      </c>
      <c r="O1630" s="36">
        <f>RTD("ice.rtd",,$C1630 &amp; $D1630 &amp; ":" &amp; O$1)</f>
        <v>0</v>
      </c>
      <c r="P16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0" s="14" t="str">
        <f>IF(ICE[[#This Row],[LastType]] = "Scrn", ICE[[#This Row],[LstDate]], IF(ICE[[#This Row],[LastType]] = "Blk", ICE[[#This Row],[LstBlkTime]], ""))</f>
        <v/>
      </c>
      <c r="R1630" s="41" t="str">
        <f>IF(ICE[[#This Row],[LastType]] = "Scrn", ICE[[#This Row],[LstPrc]], IF(ICE[[#This Row],[LastType]] = "Blk", ICE[[#This Row],[LstBlkPrc]], ""))</f>
        <v/>
      </c>
      <c r="S1630" s="36">
        <f>ICE[[#This Row],[Vol]]+ICE[[#This Row],[BlkVol]]</f>
        <v>0</v>
      </c>
      <c r="T1630" s="36">
        <f>RTD("ice.rtd",,$C1630 &amp; $D1630 &amp; ":" &amp; T$1)</f>
        <v>0</v>
      </c>
      <c r="U1630" s="18">
        <f>RTD("ice.rtd",,$C1630 &amp; $D1630 &amp; ":" &amp; U$1)</f>
        <v>139.05799999999999</v>
      </c>
      <c r="V16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0" s="18" t="str">
        <f>IFERROR(IF(LEFT(ICE[[#This Row],[Tenor]], 1) = "B", RTD("esrtd",,$B1630 &amp; " " &amp; ICE[[#This Row],[Tenor]] &amp; "-IEU", W$1), RTD("esrtd",,$B1630 &amp; " " &amp; VLOOKUP(MONTH(ICE[[#This Row],[Strip]]), MthRef[], 2, 0) &amp; RIGHT(YEAR(ICE[[#This Row],[Strip]]), 2) &amp; "-IEU", W$1)), "")</f>
        <v/>
      </c>
      <c r="X1630" s="36"/>
    </row>
    <row r="1631" spans="1:24" x14ac:dyDescent="0.25">
      <c r="A1631" s="37" t="s">
        <v>852</v>
      </c>
      <c r="B1631" s="88" t="str">
        <f>RTD("ice.rtd",,$C1631 &amp; $D1631 &amp; ":" &amp; B$1)</f>
        <v>GCQ</v>
      </c>
      <c r="C1631" s="3">
        <v>1923422331</v>
      </c>
      <c r="D1631" t="s">
        <v>794</v>
      </c>
      <c r="E1631" s="3" t="str">
        <f>RTD("ice.rtd",,$C1631 &amp; $D1631 &amp; ":" &amp; E$1)</f>
        <v>Jan27</v>
      </c>
      <c r="F1631" s="3" t="str">
        <f>ICE[[#This Row],[Prod]]&amp;ICE[[#This Row],[Strip]]</f>
        <v>mopagJan27</v>
      </c>
      <c r="G1631" s="18" t="str">
        <f>RTD("ice.rtd",,$C1631 &amp; $D1631 &amp; ":" &amp; G$1)</f>
        <v/>
      </c>
      <c r="H1631" s="18" t="str">
        <f>RTD("ice.rtd",,$C1631 &amp; $D1631 &amp; ":" &amp; H$1)</f>
        <v/>
      </c>
      <c r="I1631" s="18" t="str">
        <f>RTD("ice.rtd",,$C1631 &amp; $D1631 &amp; ":" &amp; I$1)</f>
        <v/>
      </c>
      <c r="J1631" s="14" t="str">
        <f>IFERROR(MOD(RTD("ice.rtd",,$C1631 &amp; $D1631 &amp; ":" &amp; J$1), 1), "")</f>
        <v/>
      </c>
      <c r="K1631" s="18" t="str">
        <f>RTD("ice.rtd",,$C1631 &amp; $D1631 &amp; ":" &amp; K$1)</f>
        <v/>
      </c>
      <c r="L1631" s="36" t="str">
        <f>RTD("ice.rtd",,$C1631 &amp; $D1631 &amp; ":" &amp; L$1)</f>
        <v/>
      </c>
      <c r="M1631" s="14" t="str">
        <f>IFERROR(MOD(TIMEVALUE(RTD("ice.rtd",,$C1631 &amp; $D1631 &amp; ":" &amp; M$1)), 1), "")</f>
        <v/>
      </c>
      <c r="N1631" s="36">
        <f>RTD("ice.rtd",,$C1631 &amp; $D1631 &amp; ":" &amp; N$1)</f>
        <v>0</v>
      </c>
      <c r="O1631" s="36">
        <f>RTD("ice.rtd",,$C1631 &amp; $D1631 &amp; ":" &amp; O$1)</f>
        <v>0</v>
      </c>
      <c r="P16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1" s="14" t="str">
        <f>IF(ICE[[#This Row],[LastType]] = "Scrn", ICE[[#This Row],[LstDate]], IF(ICE[[#This Row],[LastType]] = "Blk", ICE[[#This Row],[LstBlkTime]], ""))</f>
        <v/>
      </c>
      <c r="R1631" s="41" t="str">
        <f>IF(ICE[[#This Row],[LastType]] = "Scrn", ICE[[#This Row],[LstPrc]], IF(ICE[[#This Row],[LastType]] = "Blk", ICE[[#This Row],[LstBlkPrc]], ""))</f>
        <v/>
      </c>
      <c r="S1631" s="36">
        <f>ICE[[#This Row],[Vol]]+ICE[[#This Row],[BlkVol]]</f>
        <v>0</v>
      </c>
      <c r="T1631" s="36">
        <f>RTD("ice.rtd",,$C1631 &amp; $D1631 &amp; ":" &amp; T$1)</f>
        <v>0</v>
      </c>
      <c r="U1631" s="18">
        <f>RTD("ice.rtd",,$C1631 &amp; $D1631 &amp; ":" &amp; U$1)</f>
        <v>135.21800000000002</v>
      </c>
      <c r="V16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1" s="18" t="str">
        <f>IFERROR(IF(LEFT(ICE[[#This Row],[Tenor]], 1) = "B", RTD("esrtd",,$B1631 &amp; " " &amp; ICE[[#This Row],[Tenor]] &amp; "-IEU", W$1), RTD("esrtd",,$B1631 &amp; " " &amp; VLOOKUP(MONTH(ICE[[#This Row],[Strip]]), MthRef[], 2, 0) &amp; RIGHT(YEAR(ICE[[#This Row],[Strip]]), 2) &amp; "-IEU", W$1)), "")</f>
        <v/>
      </c>
      <c r="X1631" s="36"/>
    </row>
    <row r="1632" spans="1:24" x14ac:dyDescent="0.25">
      <c r="A1632" s="37" t="s">
        <v>852</v>
      </c>
      <c r="B1632" s="88" t="str">
        <f>RTD("ice.rtd",,$C1632 &amp; $D1632 &amp; ":" &amp; B$1)</f>
        <v>GCQ</v>
      </c>
      <c r="C1632" s="3">
        <v>1923422331</v>
      </c>
      <c r="D1632" t="s">
        <v>795</v>
      </c>
      <c r="E1632" s="3" t="str">
        <f>RTD("ice.rtd",,$C1632 &amp; $D1632 &amp; ":" &amp; E$1)</f>
        <v>Feb27</v>
      </c>
      <c r="F1632" s="3" t="str">
        <f>ICE[[#This Row],[Prod]]&amp;ICE[[#This Row],[Strip]]</f>
        <v>mopagFeb27</v>
      </c>
      <c r="G1632" s="18" t="str">
        <f>RTD("ice.rtd",,$C1632 &amp; $D1632 &amp; ":" &amp; G$1)</f>
        <v/>
      </c>
      <c r="H1632" s="18" t="str">
        <f>RTD("ice.rtd",,$C1632 &amp; $D1632 &amp; ":" &amp; H$1)</f>
        <v/>
      </c>
      <c r="I1632" s="18" t="str">
        <f>RTD("ice.rtd",,$C1632 &amp; $D1632 &amp; ":" &amp; I$1)</f>
        <v/>
      </c>
      <c r="J1632" s="14" t="str">
        <f>IFERROR(MOD(RTD("ice.rtd",,$C1632 &amp; $D1632 &amp; ":" &amp; J$1), 1), "")</f>
        <v/>
      </c>
      <c r="K1632" s="18" t="str">
        <f>RTD("ice.rtd",,$C1632 &amp; $D1632 &amp; ":" &amp; K$1)</f>
        <v/>
      </c>
      <c r="L1632" s="36" t="str">
        <f>RTD("ice.rtd",,$C1632 &amp; $D1632 &amp; ":" &amp; L$1)</f>
        <v/>
      </c>
      <c r="M1632" s="14" t="str">
        <f>IFERROR(MOD(TIMEVALUE(RTD("ice.rtd",,$C1632 &amp; $D1632 &amp; ":" &amp; M$1)), 1), "")</f>
        <v/>
      </c>
      <c r="N1632" s="36">
        <f>RTD("ice.rtd",,$C1632 &amp; $D1632 &amp; ":" &amp; N$1)</f>
        <v>0</v>
      </c>
      <c r="O1632" s="36">
        <f>RTD("ice.rtd",,$C1632 &amp; $D1632 &amp; ":" &amp; O$1)</f>
        <v>0</v>
      </c>
      <c r="P16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2" s="14" t="str">
        <f>IF(ICE[[#This Row],[LastType]] = "Scrn", ICE[[#This Row],[LstDate]], IF(ICE[[#This Row],[LastType]] = "Blk", ICE[[#This Row],[LstBlkTime]], ""))</f>
        <v/>
      </c>
      <c r="R1632" s="41" t="str">
        <f>IF(ICE[[#This Row],[LastType]] = "Scrn", ICE[[#This Row],[LstPrc]], IF(ICE[[#This Row],[LastType]] = "Blk", ICE[[#This Row],[LstBlkPrc]], ""))</f>
        <v/>
      </c>
      <c r="S1632" s="36">
        <f>ICE[[#This Row],[Vol]]+ICE[[#This Row],[BlkVol]]</f>
        <v>0</v>
      </c>
      <c r="T1632" s="36">
        <f>RTD("ice.rtd",,$C1632 &amp; $D1632 &amp; ":" &amp; T$1)</f>
        <v>0</v>
      </c>
      <c r="U1632" s="18">
        <f>RTD("ice.rtd",,$C1632 &amp; $D1632 &amp; ":" &amp; U$1)</f>
        <v>131.47800000000001</v>
      </c>
      <c r="V16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2" s="18" t="str">
        <f>IFERROR(IF(LEFT(ICE[[#This Row],[Tenor]], 1) = "B", RTD("esrtd",,$B1632 &amp; " " &amp; ICE[[#This Row],[Tenor]] &amp; "-IEU", W$1), RTD("esrtd",,$B1632 &amp; " " &amp; VLOOKUP(MONTH(ICE[[#This Row],[Strip]]), MthRef[], 2, 0) &amp; RIGHT(YEAR(ICE[[#This Row],[Strip]]), 2) &amp; "-IEU", W$1)), "")</f>
        <v/>
      </c>
      <c r="X1632" s="36"/>
    </row>
    <row r="1633" spans="1:24" x14ac:dyDescent="0.25">
      <c r="A1633" s="37" t="s">
        <v>852</v>
      </c>
      <c r="B1633" s="88" t="str">
        <f>RTD("ice.rtd",,$C1633 &amp; $D1633 &amp; ":" &amp; B$1)</f>
        <v>GCQ</v>
      </c>
      <c r="C1633" s="3">
        <v>1923422331</v>
      </c>
      <c r="D1633" t="s">
        <v>113</v>
      </c>
      <c r="E1633" s="3" t="str">
        <f>RTD("ice.rtd",,$C1633 &amp; $D1633 &amp; ":" &amp; E$1)</f>
        <v>Mar27</v>
      </c>
      <c r="F1633" s="3" t="str">
        <f>ICE[[#This Row],[Prod]]&amp;ICE[[#This Row],[Strip]]</f>
        <v>mopagMar27</v>
      </c>
      <c r="G1633" s="18" t="str">
        <f>RTD("ice.rtd",,$C1633 &amp; $D1633 &amp; ":" &amp; G$1)</f>
        <v/>
      </c>
      <c r="H1633" s="18" t="str">
        <f>RTD("ice.rtd",,$C1633 &amp; $D1633 &amp; ":" &amp; H$1)</f>
        <v/>
      </c>
      <c r="I1633" s="18" t="str">
        <f>RTD("ice.rtd",,$C1633 &amp; $D1633 &amp; ":" &amp; I$1)</f>
        <v/>
      </c>
      <c r="J1633" s="14" t="str">
        <f>IFERROR(MOD(RTD("ice.rtd",,$C1633 &amp; $D1633 &amp; ":" &amp; J$1), 1), "")</f>
        <v/>
      </c>
      <c r="K1633" s="18" t="str">
        <f>RTD("ice.rtd",,$C1633 &amp; $D1633 &amp; ":" &amp; K$1)</f>
        <v/>
      </c>
      <c r="L1633" s="36" t="str">
        <f>RTD("ice.rtd",,$C1633 &amp; $D1633 &amp; ":" &amp; L$1)</f>
        <v/>
      </c>
      <c r="M1633" s="14" t="str">
        <f>IFERROR(MOD(TIMEVALUE(RTD("ice.rtd",,$C1633 &amp; $D1633 &amp; ":" &amp; M$1)), 1), "")</f>
        <v/>
      </c>
      <c r="N1633" s="36">
        <f>RTD("ice.rtd",,$C1633 &amp; $D1633 &amp; ":" &amp; N$1)</f>
        <v>0</v>
      </c>
      <c r="O1633" s="36">
        <f>RTD("ice.rtd",,$C1633 &amp; $D1633 &amp; ":" &amp; O$1)</f>
        <v>0</v>
      </c>
      <c r="P16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3" s="14" t="str">
        <f>IF(ICE[[#This Row],[LastType]] = "Scrn", ICE[[#This Row],[LstDate]], IF(ICE[[#This Row],[LastType]] = "Blk", ICE[[#This Row],[LstBlkTime]], ""))</f>
        <v/>
      </c>
      <c r="R1633" s="41" t="str">
        <f>IF(ICE[[#This Row],[LastType]] = "Scrn", ICE[[#This Row],[LstPrc]], IF(ICE[[#This Row],[LastType]] = "Blk", ICE[[#This Row],[LstBlkPrc]], ""))</f>
        <v/>
      </c>
      <c r="S1633" s="36">
        <f>ICE[[#This Row],[Vol]]+ICE[[#This Row],[BlkVol]]</f>
        <v>0</v>
      </c>
      <c r="T1633" s="36">
        <f>RTD("ice.rtd",,$C1633 &amp; $D1633 &amp; ":" &amp; T$1)</f>
        <v>0</v>
      </c>
      <c r="U1633" s="18">
        <f>RTD("ice.rtd",,$C1633 &amp; $D1633 &amp; ":" &amp; U$1)</f>
        <v>127.63800000000001</v>
      </c>
      <c r="V16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3" s="18" t="str">
        <f>IFERROR(IF(LEFT(ICE[[#This Row],[Tenor]], 1) = "B", RTD("esrtd",,$B1633 &amp; " " &amp; ICE[[#This Row],[Tenor]] &amp; "-IEU", W$1), RTD("esrtd",,$B1633 &amp; " " &amp; VLOOKUP(MONTH(ICE[[#This Row],[Strip]]), MthRef[], 2, 0) &amp; RIGHT(YEAR(ICE[[#This Row],[Strip]]), 2) &amp; "-IEU", W$1)), "")</f>
        <v/>
      </c>
      <c r="X1633" s="36"/>
    </row>
    <row r="1634" spans="1:24" x14ac:dyDescent="0.25">
      <c r="A1634" s="37" t="s">
        <v>852</v>
      </c>
      <c r="B1634" s="88" t="str">
        <f>RTD("ice.rtd",,$C1634 &amp; $D1634 &amp; ":" &amp; B$1)</f>
        <v>GCQ</v>
      </c>
      <c r="C1634" s="3">
        <v>1923422331</v>
      </c>
      <c r="D1634" t="s">
        <v>796</v>
      </c>
      <c r="E1634" s="3" t="str">
        <f>RTD("ice.rtd",,$C1634 &amp; $D1634 &amp; ":" &amp; E$1)</f>
        <v>Apr27</v>
      </c>
      <c r="F1634" s="3" t="str">
        <f>ICE[[#This Row],[Prod]]&amp;ICE[[#This Row],[Strip]]</f>
        <v>mopagApr27</v>
      </c>
      <c r="G1634" s="18" t="str">
        <f>RTD("ice.rtd",,$C1634 &amp; $D1634 &amp; ":" &amp; G$1)</f>
        <v/>
      </c>
      <c r="H1634" s="18" t="str">
        <f>RTD("ice.rtd",,$C1634 &amp; $D1634 &amp; ":" &amp; H$1)</f>
        <v/>
      </c>
      <c r="I1634" s="18" t="str">
        <f>RTD("ice.rtd",,$C1634 &amp; $D1634 &amp; ":" &amp; I$1)</f>
        <v/>
      </c>
      <c r="J1634" s="14" t="str">
        <f>IFERROR(MOD(RTD("ice.rtd",,$C1634 &amp; $D1634 &amp; ":" &amp; J$1), 1), "")</f>
        <v/>
      </c>
      <c r="K1634" s="18" t="str">
        <f>RTD("ice.rtd",,$C1634 &amp; $D1634 &amp; ":" &amp; K$1)</f>
        <v/>
      </c>
      <c r="L1634" s="36" t="str">
        <f>RTD("ice.rtd",,$C1634 &amp; $D1634 &amp; ":" &amp; L$1)</f>
        <v/>
      </c>
      <c r="M1634" s="14" t="str">
        <f>IFERROR(MOD(TIMEVALUE(RTD("ice.rtd",,$C1634 &amp; $D1634 &amp; ":" &amp; M$1)), 1), "")</f>
        <v/>
      </c>
      <c r="N1634" s="36">
        <f>RTD("ice.rtd",,$C1634 &amp; $D1634 &amp; ":" &amp; N$1)</f>
        <v>0</v>
      </c>
      <c r="O1634" s="36">
        <f>RTD("ice.rtd",,$C1634 &amp; $D1634 &amp; ":" &amp; O$1)</f>
        <v>0</v>
      </c>
      <c r="P16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4" s="14" t="str">
        <f>IF(ICE[[#This Row],[LastType]] = "Scrn", ICE[[#This Row],[LstDate]], IF(ICE[[#This Row],[LastType]] = "Blk", ICE[[#This Row],[LstBlkTime]], ""))</f>
        <v/>
      </c>
      <c r="R1634" s="41" t="str">
        <f>IF(ICE[[#This Row],[LastType]] = "Scrn", ICE[[#This Row],[LstPrc]], IF(ICE[[#This Row],[LastType]] = "Blk", ICE[[#This Row],[LstBlkPrc]], ""))</f>
        <v/>
      </c>
      <c r="S1634" s="36">
        <f>ICE[[#This Row],[Vol]]+ICE[[#This Row],[BlkVol]]</f>
        <v>0</v>
      </c>
      <c r="T1634" s="36">
        <f>RTD("ice.rtd",,$C1634 &amp; $D1634 &amp; ":" &amp; T$1)</f>
        <v>0</v>
      </c>
      <c r="U1634" s="18">
        <f>RTD("ice.rtd",,$C1634 &amp; $D1634 &amp; ":" &amp; U$1)</f>
        <v>125.22800000000001</v>
      </c>
      <c r="V16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4" s="18" t="str">
        <f>IFERROR(IF(LEFT(ICE[[#This Row],[Tenor]], 1) = "B", RTD("esrtd",,$B1634 &amp; " " &amp; ICE[[#This Row],[Tenor]] &amp; "-IEU", W$1), RTD("esrtd",,$B1634 &amp; " " &amp; VLOOKUP(MONTH(ICE[[#This Row],[Strip]]), MthRef[], 2, 0) &amp; RIGHT(YEAR(ICE[[#This Row],[Strip]]), 2) &amp; "-IEU", W$1)), "")</f>
        <v/>
      </c>
      <c r="X1634" s="36"/>
    </row>
    <row r="1635" spans="1:24" x14ac:dyDescent="0.25">
      <c r="A1635" s="37" t="s">
        <v>852</v>
      </c>
      <c r="B1635" s="88" t="str">
        <f>RTD("ice.rtd",,$C1635 &amp; $D1635 &amp; ":" &amp; B$1)</f>
        <v>GCQ</v>
      </c>
      <c r="C1635" s="3">
        <v>1923422331</v>
      </c>
      <c r="D1635" t="s">
        <v>797</v>
      </c>
      <c r="E1635" s="3" t="str">
        <f>RTD("ice.rtd",,$C1635 &amp; $D1635 &amp; ":" &amp; E$1)</f>
        <v>May27</v>
      </c>
      <c r="F1635" s="3" t="str">
        <f>ICE[[#This Row],[Prod]]&amp;ICE[[#This Row],[Strip]]</f>
        <v>mopagMay27</v>
      </c>
      <c r="G1635" s="18" t="str">
        <f>RTD("ice.rtd",,$C1635 &amp; $D1635 &amp; ":" &amp; G$1)</f>
        <v/>
      </c>
      <c r="H1635" s="18" t="str">
        <f>RTD("ice.rtd",,$C1635 &amp; $D1635 &amp; ":" &amp; H$1)</f>
        <v/>
      </c>
      <c r="I1635" s="18" t="str">
        <f>RTD("ice.rtd",,$C1635 &amp; $D1635 &amp; ":" &amp; I$1)</f>
        <v/>
      </c>
      <c r="J1635" s="14" t="str">
        <f>IFERROR(MOD(RTD("ice.rtd",,$C1635 &amp; $D1635 &amp; ":" &amp; J$1), 1), "")</f>
        <v/>
      </c>
      <c r="K1635" s="18" t="str">
        <f>RTD("ice.rtd",,$C1635 &amp; $D1635 &amp; ":" &amp; K$1)</f>
        <v/>
      </c>
      <c r="L1635" s="36" t="str">
        <f>RTD("ice.rtd",,$C1635 &amp; $D1635 &amp; ":" &amp; L$1)</f>
        <v/>
      </c>
      <c r="M1635" s="14" t="str">
        <f>IFERROR(MOD(TIMEVALUE(RTD("ice.rtd",,$C1635 &amp; $D1635 &amp; ":" &amp; M$1)), 1), "")</f>
        <v/>
      </c>
      <c r="N1635" s="36">
        <f>RTD("ice.rtd",,$C1635 &amp; $D1635 &amp; ":" &amp; N$1)</f>
        <v>0</v>
      </c>
      <c r="O1635" s="36">
        <f>RTD("ice.rtd",,$C1635 &amp; $D1635 &amp; ":" &amp; O$1)</f>
        <v>0</v>
      </c>
      <c r="P16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5" s="14" t="str">
        <f>IF(ICE[[#This Row],[LastType]] = "Scrn", ICE[[#This Row],[LstDate]], IF(ICE[[#This Row],[LastType]] = "Blk", ICE[[#This Row],[LstBlkTime]], ""))</f>
        <v/>
      </c>
      <c r="R1635" s="41" t="str">
        <f>IF(ICE[[#This Row],[LastType]] = "Scrn", ICE[[#This Row],[LstPrc]], IF(ICE[[#This Row],[LastType]] = "Blk", ICE[[#This Row],[LstBlkPrc]], ""))</f>
        <v/>
      </c>
      <c r="S1635" s="36">
        <f>ICE[[#This Row],[Vol]]+ICE[[#This Row],[BlkVol]]</f>
        <v>0</v>
      </c>
      <c r="T1635" s="36">
        <f>RTD("ice.rtd",,$C1635 &amp; $D1635 &amp; ":" &amp; T$1)</f>
        <v>0</v>
      </c>
      <c r="U1635" s="18">
        <f>RTD("ice.rtd",,$C1635 &amp; $D1635 &amp; ":" &amp; U$1)</f>
        <v>122.27800000000001</v>
      </c>
      <c r="V16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5" s="18" t="str">
        <f>IFERROR(IF(LEFT(ICE[[#This Row],[Tenor]], 1) = "B", RTD("esrtd",,$B1635 &amp; " " &amp; ICE[[#This Row],[Tenor]] &amp; "-IEU", W$1), RTD("esrtd",,$B1635 &amp; " " &amp; VLOOKUP(MONTH(ICE[[#This Row],[Strip]]), MthRef[], 2, 0) &amp; RIGHT(YEAR(ICE[[#This Row],[Strip]]), 2) &amp; "-IEU", W$1)), "")</f>
        <v/>
      </c>
      <c r="X1635" s="36"/>
    </row>
    <row r="1636" spans="1:24" x14ac:dyDescent="0.25">
      <c r="A1636" s="37" t="s">
        <v>852</v>
      </c>
      <c r="B1636" s="88" t="str">
        <f>RTD("ice.rtd",,$C1636 &amp; $D1636 &amp; ":" &amp; B$1)</f>
        <v>GCQ</v>
      </c>
      <c r="C1636" s="3">
        <v>1923422331</v>
      </c>
      <c r="D1636" t="s">
        <v>798</v>
      </c>
      <c r="E1636" s="3" t="str">
        <f>RTD("ice.rtd",,$C1636 &amp; $D1636 &amp; ":" &amp; E$1)</f>
        <v>Jun27</v>
      </c>
      <c r="F1636" s="3" t="str">
        <f>ICE[[#This Row],[Prod]]&amp;ICE[[#This Row],[Strip]]</f>
        <v>mopagJun27</v>
      </c>
      <c r="G1636" s="18" t="str">
        <f>RTD("ice.rtd",,$C1636 &amp; $D1636 &amp; ":" &amp; G$1)</f>
        <v/>
      </c>
      <c r="H1636" s="18" t="str">
        <f>RTD("ice.rtd",,$C1636 &amp; $D1636 &amp; ":" &amp; H$1)</f>
        <v/>
      </c>
      <c r="I1636" s="18" t="str">
        <f>RTD("ice.rtd",,$C1636 &amp; $D1636 &amp; ":" &amp; I$1)</f>
        <v/>
      </c>
      <c r="J1636" s="14" t="str">
        <f>IFERROR(MOD(RTD("ice.rtd",,$C1636 &amp; $D1636 &amp; ":" &amp; J$1), 1), "")</f>
        <v/>
      </c>
      <c r="K1636" s="18" t="str">
        <f>RTD("ice.rtd",,$C1636 &amp; $D1636 &amp; ":" &amp; K$1)</f>
        <v/>
      </c>
      <c r="L1636" s="36" t="str">
        <f>RTD("ice.rtd",,$C1636 &amp; $D1636 &amp; ":" &amp; L$1)</f>
        <v/>
      </c>
      <c r="M1636" s="14" t="str">
        <f>IFERROR(MOD(TIMEVALUE(RTD("ice.rtd",,$C1636 &amp; $D1636 &amp; ":" &amp; M$1)), 1), "")</f>
        <v/>
      </c>
      <c r="N1636" s="36">
        <f>RTD("ice.rtd",,$C1636 &amp; $D1636 &amp; ":" &amp; N$1)</f>
        <v>0</v>
      </c>
      <c r="O1636" s="36">
        <f>RTD("ice.rtd",,$C1636 &amp; $D1636 &amp; ":" &amp; O$1)</f>
        <v>0</v>
      </c>
      <c r="P16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6" s="14" t="str">
        <f>IF(ICE[[#This Row],[LastType]] = "Scrn", ICE[[#This Row],[LstDate]], IF(ICE[[#This Row],[LastType]] = "Blk", ICE[[#This Row],[LstBlkTime]], ""))</f>
        <v/>
      </c>
      <c r="R1636" s="41" t="str">
        <f>IF(ICE[[#This Row],[LastType]] = "Scrn", ICE[[#This Row],[LstPrc]], IF(ICE[[#This Row],[LastType]] = "Blk", ICE[[#This Row],[LstBlkPrc]], ""))</f>
        <v/>
      </c>
      <c r="S1636" s="36">
        <f>ICE[[#This Row],[Vol]]+ICE[[#This Row],[BlkVol]]</f>
        <v>0</v>
      </c>
      <c r="T1636" s="36">
        <f>RTD("ice.rtd",,$C1636 &amp; $D1636 &amp; ":" &amp; T$1)</f>
        <v>0</v>
      </c>
      <c r="U1636" s="18">
        <f>RTD("ice.rtd",,$C1636 &amp; $D1636 &amp; ":" &amp; U$1)</f>
        <v>119.988</v>
      </c>
      <c r="V16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6" s="18" t="str">
        <f>IFERROR(IF(LEFT(ICE[[#This Row],[Tenor]], 1) = "B", RTD("esrtd",,$B1636 &amp; " " &amp; ICE[[#This Row],[Tenor]] &amp; "-IEU", W$1), RTD("esrtd",,$B1636 &amp; " " &amp; VLOOKUP(MONTH(ICE[[#This Row],[Strip]]), MthRef[], 2, 0) &amp; RIGHT(YEAR(ICE[[#This Row],[Strip]]), 2) &amp; "-IEU", W$1)), "")</f>
        <v/>
      </c>
      <c r="X1636" s="36"/>
    </row>
    <row r="1637" spans="1:24" x14ac:dyDescent="0.25">
      <c r="A1637" s="37" t="s">
        <v>852</v>
      </c>
      <c r="B1637" s="88" t="str">
        <f>RTD("ice.rtd",,$C1637 &amp; $D1637 &amp; ":" &amp; B$1)</f>
        <v>GCQ</v>
      </c>
      <c r="C1637" s="3">
        <v>1923422331</v>
      </c>
      <c r="D1637" t="s">
        <v>799</v>
      </c>
      <c r="E1637" s="3" t="str">
        <f>RTD("ice.rtd",,$C1637 &amp; $D1637 &amp; ":" &amp; E$1)</f>
        <v>Jul27</v>
      </c>
      <c r="F1637" s="3" t="str">
        <f>ICE[[#This Row],[Prod]]&amp;ICE[[#This Row],[Strip]]</f>
        <v>mopagJul27</v>
      </c>
      <c r="G1637" s="18" t="str">
        <f>RTD("ice.rtd",,$C1637 &amp; $D1637 &amp; ":" &amp; G$1)</f>
        <v/>
      </c>
      <c r="H1637" s="18" t="str">
        <f>RTD("ice.rtd",,$C1637 &amp; $D1637 &amp; ":" &amp; H$1)</f>
        <v/>
      </c>
      <c r="I1637" s="18" t="str">
        <f>RTD("ice.rtd",,$C1637 &amp; $D1637 &amp; ":" &amp; I$1)</f>
        <v/>
      </c>
      <c r="J1637" s="14" t="str">
        <f>IFERROR(MOD(RTD("ice.rtd",,$C1637 &amp; $D1637 &amp; ":" &amp; J$1), 1), "")</f>
        <v/>
      </c>
      <c r="K1637" s="18" t="str">
        <f>RTD("ice.rtd",,$C1637 &amp; $D1637 &amp; ":" &amp; K$1)</f>
        <v/>
      </c>
      <c r="L1637" s="36" t="str">
        <f>RTD("ice.rtd",,$C1637 &amp; $D1637 &amp; ":" &amp; L$1)</f>
        <v/>
      </c>
      <c r="M1637" s="14" t="str">
        <f>IFERROR(MOD(TIMEVALUE(RTD("ice.rtd",,$C1637 &amp; $D1637 &amp; ":" &amp; M$1)), 1), "")</f>
        <v/>
      </c>
      <c r="N1637" s="36">
        <f>RTD("ice.rtd",,$C1637 &amp; $D1637 &amp; ":" &amp; N$1)</f>
        <v>0</v>
      </c>
      <c r="O1637" s="36">
        <f>RTD("ice.rtd",,$C1637 &amp; $D1637 &amp; ":" &amp; O$1)</f>
        <v>0</v>
      </c>
      <c r="P16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7" s="14" t="str">
        <f>IF(ICE[[#This Row],[LastType]] = "Scrn", ICE[[#This Row],[LstDate]], IF(ICE[[#This Row],[LastType]] = "Blk", ICE[[#This Row],[LstBlkTime]], ""))</f>
        <v/>
      </c>
      <c r="R1637" s="41" t="str">
        <f>IF(ICE[[#This Row],[LastType]] = "Scrn", ICE[[#This Row],[LstPrc]], IF(ICE[[#This Row],[LastType]] = "Blk", ICE[[#This Row],[LstBlkPrc]], ""))</f>
        <v/>
      </c>
      <c r="S1637" s="36">
        <f>ICE[[#This Row],[Vol]]+ICE[[#This Row],[BlkVol]]</f>
        <v>0</v>
      </c>
      <c r="T1637" s="36">
        <f>RTD("ice.rtd",,$C1637 &amp; $D1637 &amp; ":" &amp; T$1)</f>
        <v>0</v>
      </c>
      <c r="U1637" s="18">
        <f>RTD("ice.rtd",,$C1637 &amp; $D1637 &amp; ":" &amp; U$1)</f>
        <v>119.38800000000001</v>
      </c>
      <c r="V16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7" s="18" t="str">
        <f>IFERROR(IF(LEFT(ICE[[#This Row],[Tenor]], 1) = "B", RTD("esrtd",,$B1637 &amp; " " &amp; ICE[[#This Row],[Tenor]] &amp; "-IEU", W$1), RTD("esrtd",,$B1637 &amp; " " &amp; VLOOKUP(MONTH(ICE[[#This Row],[Strip]]), MthRef[], 2, 0) &amp; RIGHT(YEAR(ICE[[#This Row],[Strip]]), 2) &amp; "-IEU", W$1)), "")</f>
        <v/>
      </c>
      <c r="X1637" s="36"/>
    </row>
    <row r="1638" spans="1:24" x14ac:dyDescent="0.25">
      <c r="A1638" s="37" t="s">
        <v>852</v>
      </c>
      <c r="B1638" s="88" t="str">
        <f>RTD("ice.rtd",,$C1638 &amp; $D1638 &amp; ":" &amp; B$1)</f>
        <v>GCQ</v>
      </c>
      <c r="C1638" s="3">
        <v>1923422331</v>
      </c>
      <c r="D1638" t="s">
        <v>800</v>
      </c>
      <c r="E1638" s="3" t="str">
        <f>RTD("ice.rtd",,$C1638 &amp; $D1638 &amp; ":" &amp; E$1)</f>
        <v>Aug27</v>
      </c>
      <c r="F1638" s="3" t="str">
        <f>ICE[[#This Row],[Prod]]&amp;ICE[[#This Row],[Strip]]</f>
        <v>mopagAug27</v>
      </c>
      <c r="G1638" s="18" t="str">
        <f>RTD("ice.rtd",,$C1638 &amp; $D1638 &amp; ":" &amp; G$1)</f>
        <v/>
      </c>
      <c r="H1638" s="18" t="str">
        <f>RTD("ice.rtd",,$C1638 &amp; $D1638 &amp; ":" &amp; H$1)</f>
        <v/>
      </c>
      <c r="I1638" s="18" t="str">
        <f>RTD("ice.rtd",,$C1638 &amp; $D1638 &amp; ":" &amp; I$1)</f>
        <v/>
      </c>
      <c r="J1638" s="14" t="str">
        <f>IFERROR(MOD(RTD("ice.rtd",,$C1638 &amp; $D1638 &amp; ":" &amp; J$1), 1), "")</f>
        <v/>
      </c>
      <c r="K1638" s="18" t="str">
        <f>RTD("ice.rtd",,$C1638 &amp; $D1638 &amp; ":" &amp; K$1)</f>
        <v/>
      </c>
      <c r="L1638" s="36" t="str">
        <f>RTD("ice.rtd",,$C1638 &amp; $D1638 &amp; ":" &amp; L$1)</f>
        <v/>
      </c>
      <c r="M1638" s="14" t="str">
        <f>IFERROR(MOD(TIMEVALUE(RTD("ice.rtd",,$C1638 &amp; $D1638 &amp; ":" &amp; M$1)), 1), "")</f>
        <v/>
      </c>
      <c r="N1638" s="36">
        <f>RTD("ice.rtd",,$C1638 &amp; $D1638 &amp; ":" &amp; N$1)</f>
        <v>0</v>
      </c>
      <c r="O1638" s="36">
        <f>RTD("ice.rtd",,$C1638 &amp; $D1638 &amp; ":" &amp; O$1)</f>
        <v>0</v>
      </c>
      <c r="P16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8" s="14" t="str">
        <f>IF(ICE[[#This Row],[LastType]] = "Scrn", ICE[[#This Row],[LstDate]], IF(ICE[[#This Row],[LastType]] = "Blk", ICE[[#This Row],[LstBlkTime]], ""))</f>
        <v/>
      </c>
      <c r="R1638" s="41" t="str">
        <f>IF(ICE[[#This Row],[LastType]] = "Scrn", ICE[[#This Row],[LstPrc]], IF(ICE[[#This Row],[LastType]] = "Blk", ICE[[#This Row],[LstBlkPrc]], ""))</f>
        <v/>
      </c>
      <c r="S1638" s="36">
        <f>ICE[[#This Row],[Vol]]+ICE[[#This Row],[BlkVol]]</f>
        <v>0</v>
      </c>
      <c r="T1638" s="36">
        <f>RTD("ice.rtd",,$C1638 &amp; $D1638 &amp; ":" &amp; T$1)</f>
        <v>0</v>
      </c>
      <c r="U1638" s="18">
        <f>RTD("ice.rtd",,$C1638 &amp; $D1638 &amp; ":" &amp; U$1)</f>
        <v>117.63800000000001</v>
      </c>
      <c r="V16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8" s="18" t="str">
        <f>IFERROR(IF(LEFT(ICE[[#This Row],[Tenor]], 1) = "B", RTD("esrtd",,$B1638 &amp; " " &amp; ICE[[#This Row],[Tenor]] &amp; "-IEU", W$1), RTD("esrtd",,$B1638 &amp; " " &amp; VLOOKUP(MONTH(ICE[[#This Row],[Strip]]), MthRef[], 2, 0) &amp; RIGHT(YEAR(ICE[[#This Row],[Strip]]), 2) &amp; "-IEU", W$1)), "")</f>
        <v/>
      </c>
      <c r="X1638" s="36"/>
    </row>
    <row r="1639" spans="1:24" x14ac:dyDescent="0.25">
      <c r="A1639" s="37" t="s">
        <v>852</v>
      </c>
      <c r="B1639" s="88" t="str">
        <f>RTD("ice.rtd",,$C1639 &amp; $D1639 &amp; ":" &amp; B$1)</f>
        <v>GCQ</v>
      </c>
      <c r="C1639" s="3">
        <v>1923422331</v>
      </c>
      <c r="D1639" t="s">
        <v>801</v>
      </c>
      <c r="E1639" s="3" t="str">
        <f>RTD("ice.rtd",,$C1639 &amp; $D1639 &amp; ":" &amp; E$1)</f>
        <v>Sep27</v>
      </c>
      <c r="F1639" s="3" t="str">
        <f>ICE[[#This Row],[Prod]]&amp;ICE[[#This Row],[Strip]]</f>
        <v>mopagSep27</v>
      </c>
      <c r="G1639" s="18" t="str">
        <f>RTD("ice.rtd",,$C1639 &amp; $D1639 &amp; ":" &amp; G$1)</f>
        <v/>
      </c>
      <c r="H1639" s="18" t="str">
        <f>RTD("ice.rtd",,$C1639 &amp; $D1639 &amp; ":" &amp; H$1)</f>
        <v/>
      </c>
      <c r="I1639" s="18" t="str">
        <f>RTD("ice.rtd",,$C1639 &amp; $D1639 &amp; ":" &amp; I$1)</f>
        <v/>
      </c>
      <c r="J1639" s="14" t="str">
        <f>IFERROR(MOD(RTD("ice.rtd",,$C1639 &amp; $D1639 &amp; ":" &amp; J$1), 1), "")</f>
        <v/>
      </c>
      <c r="K1639" s="18" t="str">
        <f>RTD("ice.rtd",,$C1639 &amp; $D1639 &amp; ":" &amp; K$1)</f>
        <v/>
      </c>
      <c r="L1639" s="36" t="str">
        <f>RTD("ice.rtd",,$C1639 &amp; $D1639 &amp; ":" &amp; L$1)</f>
        <v/>
      </c>
      <c r="M1639" s="14" t="str">
        <f>IFERROR(MOD(TIMEVALUE(RTD("ice.rtd",,$C1639 &amp; $D1639 &amp; ":" &amp; M$1)), 1), "")</f>
        <v/>
      </c>
      <c r="N1639" s="36">
        <f>RTD("ice.rtd",,$C1639 &amp; $D1639 &amp; ":" &amp; N$1)</f>
        <v>0</v>
      </c>
      <c r="O1639" s="36">
        <f>RTD("ice.rtd",,$C1639 &amp; $D1639 &amp; ":" &amp; O$1)</f>
        <v>0</v>
      </c>
      <c r="P16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39" s="14" t="str">
        <f>IF(ICE[[#This Row],[LastType]] = "Scrn", ICE[[#This Row],[LstDate]], IF(ICE[[#This Row],[LastType]] = "Blk", ICE[[#This Row],[LstBlkTime]], ""))</f>
        <v/>
      </c>
      <c r="R1639" s="41" t="str">
        <f>IF(ICE[[#This Row],[LastType]] = "Scrn", ICE[[#This Row],[LstPrc]], IF(ICE[[#This Row],[LastType]] = "Blk", ICE[[#This Row],[LstBlkPrc]], ""))</f>
        <v/>
      </c>
      <c r="S1639" s="36">
        <f>ICE[[#This Row],[Vol]]+ICE[[#This Row],[BlkVol]]</f>
        <v>0</v>
      </c>
      <c r="T1639" s="36">
        <f>RTD("ice.rtd",,$C1639 &amp; $D1639 &amp; ":" &amp; T$1)</f>
        <v>0</v>
      </c>
      <c r="U1639" s="18">
        <f>RTD("ice.rtd",,$C1639 &amp; $D1639 &amp; ":" &amp; U$1)</f>
        <v>115.88800000000001</v>
      </c>
      <c r="V16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39" s="18" t="str">
        <f>IFERROR(IF(LEFT(ICE[[#This Row],[Tenor]], 1) = "B", RTD("esrtd",,$B1639 &amp; " " &amp; ICE[[#This Row],[Tenor]] &amp; "-IEU", W$1), RTD("esrtd",,$B1639 &amp; " " &amp; VLOOKUP(MONTH(ICE[[#This Row],[Strip]]), MthRef[], 2, 0) &amp; RIGHT(YEAR(ICE[[#This Row],[Strip]]), 2) &amp; "-IEU", W$1)), "")</f>
        <v/>
      </c>
      <c r="X1639" s="36"/>
    </row>
    <row r="1640" spans="1:24" x14ac:dyDescent="0.25">
      <c r="A1640" s="37" t="s">
        <v>852</v>
      </c>
      <c r="B1640" s="88" t="str">
        <f>RTD("ice.rtd",,$C1640 &amp; $D1640 &amp; ":" &amp; B$1)</f>
        <v>GCQ</v>
      </c>
      <c r="C1640" s="3">
        <v>1923422331</v>
      </c>
      <c r="D1640" t="s">
        <v>802</v>
      </c>
      <c r="E1640" s="3" t="str">
        <f>RTD("ice.rtd",,$C1640 &amp; $D1640 &amp; ":" &amp; E$1)</f>
        <v>Oct27</v>
      </c>
      <c r="F1640" s="3" t="str">
        <f>ICE[[#This Row],[Prod]]&amp;ICE[[#This Row],[Strip]]</f>
        <v>mopagOct27</v>
      </c>
      <c r="G1640" s="18" t="str">
        <f>RTD("ice.rtd",,$C1640 &amp; $D1640 &amp; ":" &amp; G$1)</f>
        <v/>
      </c>
      <c r="H1640" s="18" t="str">
        <f>RTD("ice.rtd",,$C1640 &amp; $D1640 &amp; ":" &amp; H$1)</f>
        <v/>
      </c>
      <c r="I1640" s="18" t="str">
        <f>RTD("ice.rtd",,$C1640 &amp; $D1640 &amp; ":" &amp; I$1)</f>
        <v/>
      </c>
      <c r="J1640" s="14" t="str">
        <f>IFERROR(MOD(RTD("ice.rtd",,$C1640 &amp; $D1640 &amp; ":" &amp; J$1), 1), "")</f>
        <v/>
      </c>
      <c r="K1640" s="18" t="str">
        <f>RTD("ice.rtd",,$C1640 &amp; $D1640 &amp; ":" &amp; K$1)</f>
        <v/>
      </c>
      <c r="L1640" s="36" t="str">
        <f>RTD("ice.rtd",,$C1640 &amp; $D1640 &amp; ":" &amp; L$1)</f>
        <v/>
      </c>
      <c r="M1640" s="14" t="str">
        <f>IFERROR(MOD(TIMEVALUE(RTD("ice.rtd",,$C1640 &amp; $D1640 &amp; ":" &amp; M$1)), 1), "")</f>
        <v/>
      </c>
      <c r="N1640" s="36">
        <f>RTD("ice.rtd",,$C1640 &amp; $D1640 &amp; ":" &amp; N$1)</f>
        <v>0</v>
      </c>
      <c r="O1640" s="36">
        <f>RTD("ice.rtd",,$C1640 &amp; $D1640 &amp; ":" &amp; O$1)</f>
        <v>0</v>
      </c>
      <c r="P16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40" s="14" t="str">
        <f>IF(ICE[[#This Row],[LastType]] = "Scrn", ICE[[#This Row],[LstDate]], IF(ICE[[#This Row],[LastType]] = "Blk", ICE[[#This Row],[LstBlkTime]], ""))</f>
        <v/>
      </c>
      <c r="R1640" s="41" t="str">
        <f>IF(ICE[[#This Row],[LastType]] = "Scrn", ICE[[#This Row],[LstPrc]], IF(ICE[[#This Row],[LastType]] = "Blk", ICE[[#This Row],[LstBlkPrc]], ""))</f>
        <v/>
      </c>
      <c r="S1640" s="36">
        <f>ICE[[#This Row],[Vol]]+ICE[[#This Row],[BlkVol]]</f>
        <v>0</v>
      </c>
      <c r="T1640" s="36">
        <f>RTD("ice.rtd",,$C1640 &amp; $D1640 &amp; ":" &amp; T$1)</f>
        <v>0</v>
      </c>
      <c r="U1640" s="18">
        <f>RTD("ice.rtd",,$C1640 &amp; $D1640 &amp; ":" &amp; U$1)</f>
        <v>113.89800000000001</v>
      </c>
      <c r="V16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40" s="18" t="str">
        <f>IFERROR(IF(LEFT(ICE[[#This Row],[Tenor]], 1) = "B", RTD("esrtd",,$B1640 &amp; " " &amp; ICE[[#This Row],[Tenor]] &amp; "-IEU", W$1), RTD("esrtd",,$B1640 &amp; " " &amp; VLOOKUP(MONTH(ICE[[#This Row],[Strip]]), MthRef[], 2, 0) &amp; RIGHT(YEAR(ICE[[#This Row],[Strip]]), 2) &amp; "-IEU", W$1)), "")</f>
        <v/>
      </c>
      <c r="X1640" s="36"/>
    </row>
    <row r="1641" spans="1:24" x14ac:dyDescent="0.25">
      <c r="A1641" s="37" t="s">
        <v>852</v>
      </c>
      <c r="B1641" s="88" t="str">
        <f>RTD("ice.rtd",,$C1641 &amp; $D1641 &amp; ":" &amp; B$1)</f>
        <v>GCQ</v>
      </c>
      <c r="C1641" s="3">
        <v>1923422331</v>
      </c>
      <c r="D1641" t="s">
        <v>803</v>
      </c>
      <c r="E1641" s="3" t="str">
        <f>RTD("ice.rtd",,$C1641 &amp; $D1641 &amp; ":" &amp; E$1)</f>
        <v>Nov27</v>
      </c>
      <c r="F1641" s="3" t="str">
        <f>ICE[[#This Row],[Prod]]&amp;ICE[[#This Row],[Strip]]</f>
        <v>mopagNov27</v>
      </c>
      <c r="G1641" s="18" t="str">
        <f>RTD("ice.rtd",,$C1641 &amp; $D1641 &amp; ":" &amp; G$1)</f>
        <v/>
      </c>
      <c r="H1641" s="18" t="str">
        <f>RTD("ice.rtd",,$C1641 &amp; $D1641 &amp; ":" &amp; H$1)</f>
        <v/>
      </c>
      <c r="I1641" s="18" t="str">
        <f>RTD("ice.rtd",,$C1641 &amp; $D1641 &amp; ":" &amp; I$1)</f>
        <v/>
      </c>
      <c r="J1641" s="14" t="str">
        <f>IFERROR(MOD(RTD("ice.rtd",,$C1641 &amp; $D1641 &amp; ":" &amp; J$1), 1), "")</f>
        <v/>
      </c>
      <c r="K1641" s="18" t="str">
        <f>RTD("ice.rtd",,$C1641 &amp; $D1641 &amp; ":" &amp; K$1)</f>
        <v/>
      </c>
      <c r="L1641" s="36" t="str">
        <f>RTD("ice.rtd",,$C1641 &amp; $D1641 &amp; ":" &amp; L$1)</f>
        <v/>
      </c>
      <c r="M1641" s="14" t="str">
        <f>IFERROR(MOD(TIMEVALUE(RTD("ice.rtd",,$C1641 &amp; $D1641 &amp; ":" &amp; M$1)), 1), "")</f>
        <v/>
      </c>
      <c r="N1641" s="36">
        <f>RTD("ice.rtd",,$C1641 &amp; $D1641 &amp; ":" &amp; N$1)</f>
        <v>0</v>
      </c>
      <c r="O1641" s="36">
        <f>RTD("ice.rtd",,$C1641 &amp; $D1641 &amp; ":" &amp; O$1)</f>
        <v>0</v>
      </c>
      <c r="P16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41" s="14" t="str">
        <f>IF(ICE[[#This Row],[LastType]] = "Scrn", ICE[[#This Row],[LstDate]], IF(ICE[[#This Row],[LastType]] = "Blk", ICE[[#This Row],[LstBlkTime]], ""))</f>
        <v/>
      </c>
      <c r="R1641" s="41" t="str">
        <f>IF(ICE[[#This Row],[LastType]] = "Scrn", ICE[[#This Row],[LstPrc]], IF(ICE[[#This Row],[LastType]] = "Blk", ICE[[#This Row],[LstBlkPrc]], ""))</f>
        <v/>
      </c>
      <c r="S1641" s="36">
        <f>ICE[[#This Row],[Vol]]+ICE[[#This Row],[BlkVol]]</f>
        <v>0</v>
      </c>
      <c r="T1641" s="36">
        <f>RTD("ice.rtd",,$C1641 &amp; $D1641 &amp; ":" &amp; T$1)</f>
        <v>0</v>
      </c>
      <c r="U1641" s="18">
        <f>RTD("ice.rtd",,$C1641 &amp; $D1641 &amp; ":" &amp; U$1)</f>
        <v>112.098</v>
      </c>
      <c r="V16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41" s="18" t="str">
        <f>IFERROR(IF(LEFT(ICE[[#This Row],[Tenor]], 1) = "B", RTD("esrtd",,$B1641 &amp; " " &amp; ICE[[#This Row],[Tenor]] &amp; "-IEU", W$1), RTD("esrtd",,$B1641 &amp; " " &amp; VLOOKUP(MONTH(ICE[[#This Row],[Strip]]), MthRef[], 2, 0) &amp; RIGHT(YEAR(ICE[[#This Row],[Strip]]), 2) &amp; "-IEU", W$1)), "")</f>
        <v/>
      </c>
      <c r="X1641" s="36"/>
    </row>
    <row r="1642" spans="1:24" x14ac:dyDescent="0.25">
      <c r="A1642" s="37" t="s">
        <v>852</v>
      </c>
      <c r="B1642" s="88" t="str">
        <f>RTD("ice.rtd",,$C1642 &amp; $D1642 &amp; ":" &amp; B$1)</f>
        <v>GCQ</v>
      </c>
      <c r="C1642" s="3">
        <v>1923422331</v>
      </c>
      <c r="D1642" t="s">
        <v>814</v>
      </c>
      <c r="E1642" s="3" t="str">
        <f>RTD("ice.rtd",,$C1642 &amp; $D1642 &amp; ":" &amp; E$1)</f>
        <v>Q4 26</v>
      </c>
      <c r="F1642" s="3" t="str">
        <f>ICE[[#This Row],[Prod]]&amp;ICE[[#This Row],[Strip]]</f>
        <v>mopagQ4 26</v>
      </c>
      <c r="G1642" s="18" t="str">
        <f>RTD("ice.rtd",,$C1642 &amp; $D1642 &amp; ":" &amp; G$1)</f>
        <v/>
      </c>
      <c r="H1642" s="18" t="str">
        <f>RTD("ice.rtd",,$C1642 &amp; $D1642 &amp; ":" &amp; H$1)</f>
        <v/>
      </c>
      <c r="I1642" s="18" t="str">
        <f>RTD("ice.rtd",,$C1642 &amp; $D1642 &amp; ":" &amp; I$1)</f>
        <v/>
      </c>
      <c r="J1642" s="14" t="str">
        <f>IFERROR(MOD(RTD("ice.rtd",,$C1642 &amp; $D1642 &amp; ":" &amp; J$1), 1), "")</f>
        <v/>
      </c>
      <c r="K1642" s="18" t="str">
        <f>RTD("ice.rtd",,$C1642 &amp; $D1642 &amp; ":" &amp; K$1)</f>
        <v/>
      </c>
      <c r="L1642" s="36" t="str">
        <f>RTD("ice.rtd",,$C1642 &amp; $D1642 &amp; ":" &amp; L$1)</f>
        <v/>
      </c>
      <c r="M1642" s="14" t="str">
        <f>IFERROR(MOD(TIMEVALUE(RTD("ice.rtd",,$C1642 &amp; $D1642 &amp; ":" &amp; M$1)), 1), "")</f>
        <v/>
      </c>
      <c r="N1642" s="36">
        <f>RTD("ice.rtd",,$C1642 &amp; $D1642 &amp; ":" &amp; N$1)</f>
        <v>0</v>
      </c>
      <c r="O1642" s="36">
        <f>RTD("ice.rtd",,$C1642 &amp; $D1642 &amp; ":" &amp; O$1)</f>
        <v>0</v>
      </c>
      <c r="P16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42" s="14" t="str">
        <f>IF(ICE[[#This Row],[LastType]] = "Scrn", ICE[[#This Row],[LstDate]], IF(ICE[[#This Row],[LastType]] = "Blk", ICE[[#This Row],[LstBlkTime]], ""))</f>
        <v/>
      </c>
      <c r="R1642" s="41" t="str">
        <f>IF(ICE[[#This Row],[LastType]] = "Scrn", ICE[[#This Row],[LstPrc]], IF(ICE[[#This Row],[LastType]] = "Blk", ICE[[#This Row],[LstBlkPrc]], ""))</f>
        <v/>
      </c>
      <c r="S1642" s="36">
        <f>ICE[[#This Row],[Vol]]+ICE[[#This Row],[BlkVol]]</f>
        <v>0</v>
      </c>
      <c r="T1642" s="36">
        <f>RTD("ice.rtd",,$C1642 &amp; $D1642 &amp; ":" &amp; T$1)</f>
        <v>0</v>
      </c>
      <c r="U1642" s="18">
        <f>RTD("ice.rtd",,$C1642 &amp; $D1642 &amp; ":" &amp; U$1)</f>
        <v>144.655</v>
      </c>
      <c r="V16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42" s="18" t="str">
        <f>IFERROR(IF(LEFT(ICE[[#This Row],[Tenor]], 1) = "B", RTD("esrtd",,$B1642 &amp; " " &amp; ICE[[#This Row],[Tenor]] &amp; "-IEU", W$1), RTD("esrtd",,$B1642 &amp; " " &amp; VLOOKUP(MONTH(ICE[[#This Row],[Strip]]), MthRef[], 2, 0) &amp; RIGHT(YEAR(ICE[[#This Row],[Strip]]), 2) &amp; "-IEU", W$1)), "")</f>
        <v/>
      </c>
      <c r="X1642" s="36"/>
    </row>
    <row r="1643" spans="1:24" x14ac:dyDescent="0.25">
      <c r="A1643" s="37" t="s">
        <v>852</v>
      </c>
      <c r="B1643" s="88" t="str">
        <f>RTD("ice.rtd",,$C1643 &amp; $D1643 &amp; ":" &amp; B$1)</f>
        <v>GCQ</v>
      </c>
      <c r="C1643" s="3">
        <v>1923422331</v>
      </c>
      <c r="D1643" t="s">
        <v>815</v>
      </c>
      <c r="E1643" s="3" t="str">
        <f>RTD("ice.rtd",,$C1643 &amp; $D1643 &amp; ":" &amp; E$1)</f>
        <v>Q1 27</v>
      </c>
      <c r="F1643" s="3" t="str">
        <f>ICE[[#This Row],[Prod]]&amp;ICE[[#This Row],[Strip]]</f>
        <v>mopagQ1 27</v>
      </c>
      <c r="G1643" s="18" t="str">
        <f>RTD("ice.rtd",,$C1643 &amp; $D1643 &amp; ":" &amp; G$1)</f>
        <v/>
      </c>
      <c r="H1643" s="18" t="str">
        <f>RTD("ice.rtd",,$C1643 &amp; $D1643 &amp; ":" &amp; H$1)</f>
        <v/>
      </c>
      <c r="I1643" s="18" t="str">
        <f>RTD("ice.rtd",,$C1643 &amp; $D1643 &amp; ":" &amp; I$1)</f>
        <v/>
      </c>
      <c r="J1643" s="14" t="str">
        <f>IFERROR(MOD(RTD("ice.rtd",,$C1643 &amp; $D1643 &amp; ":" &amp; J$1), 1), "")</f>
        <v/>
      </c>
      <c r="K1643" s="18" t="str">
        <f>RTD("ice.rtd",,$C1643 &amp; $D1643 &amp; ":" &amp; K$1)</f>
        <v/>
      </c>
      <c r="L1643" s="36" t="str">
        <f>RTD("ice.rtd",,$C1643 &amp; $D1643 &amp; ":" &amp; L$1)</f>
        <v/>
      </c>
      <c r="M1643" s="14" t="str">
        <f>IFERROR(MOD(TIMEVALUE(RTD("ice.rtd",,$C1643 &amp; $D1643 &amp; ":" &amp; M$1)), 1), "")</f>
        <v/>
      </c>
      <c r="N1643" s="36">
        <f>RTD("ice.rtd",,$C1643 &amp; $D1643 &amp; ":" &amp; N$1)</f>
        <v>0</v>
      </c>
      <c r="O1643" s="36">
        <f>RTD("ice.rtd",,$C1643 &amp; $D1643 &amp; ":" &amp; O$1)</f>
        <v>0</v>
      </c>
      <c r="P16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43" s="14" t="str">
        <f>IF(ICE[[#This Row],[LastType]] = "Scrn", ICE[[#This Row],[LstDate]], IF(ICE[[#This Row],[LastType]] = "Blk", ICE[[#This Row],[LstBlkTime]], ""))</f>
        <v/>
      </c>
      <c r="R1643" s="41" t="str">
        <f>IF(ICE[[#This Row],[LastType]] = "Scrn", ICE[[#This Row],[LstPrc]], IF(ICE[[#This Row],[LastType]] = "Blk", ICE[[#This Row],[LstBlkPrc]], ""))</f>
        <v/>
      </c>
      <c r="S1643" s="36">
        <f>ICE[[#This Row],[Vol]]+ICE[[#This Row],[BlkVol]]</f>
        <v>0</v>
      </c>
      <c r="T1643" s="36">
        <f>RTD("ice.rtd",,$C1643 &amp; $D1643 &amp; ":" &amp; T$1)</f>
        <v>0</v>
      </c>
      <c r="U1643" s="18">
        <f>RTD("ice.rtd",,$C1643 &amp; $D1643 &amp; ":" &amp; U$1)</f>
        <v>131.44499999999999</v>
      </c>
      <c r="V16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43" s="18" t="str">
        <f>IFERROR(IF(LEFT(ICE[[#This Row],[Tenor]], 1) = "B", RTD("esrtd",,$B1643 &amp; " " &amp; ICE[[#This Row],[Tenor]] &amp; "-IEU", W$1), RTD("esrtd",,$B1643 &amp; " " &amp; VLOOKUP(MONTH(ICE[[#This Row],[Strip]]), MthRef[], 2, 0) &amp; RIGHT(YEAR(ICE[[#This Row],[Strip]]), 2) &amp; "-IEU", W$1)), "")</f>
        <v/>
      </c>
      <c r="X1643" s="36"/>
    </row>
    <row r="1644" spans="1:24" x14ac:dyDescent="0.25">
      <c r="A1644" s="37" t="s">
        <v>852</v>
      </c>
      <c r="B1644" s="88" t="str">
        <f>RTD("ice.rtd",,$C1644 &amp; $D1644 &amp; ":" &amp; B$1)</f>
        <v>GCQ</v>
      </c>
      <c r="C1644" s="3">
        <v>1923422331</v>
      </c>
      <c r="D1644" t="s">
        <v>816</v>
      </c>
      <c r="E1644" s="3" t="str">
        <f>RTD("ice.rtd",,$C1644 &amp; $D1644 &amp; ":" &amp; E$1)</f>
        <v>Q2 27</v>
      </c>
      <c r="F1644" s="3" t="str">
        <f>ICE[[#This Row],[Prod]]&amp;ICE[[#This Row],[Strip]]</f>
        <v>mopagQ2 27</v>
      </c>
      <c r="G1644" s="18" t="str">
        <f>RTD("ice.rtd",,$C1644 &amp; $D1644 &amp; ":" &amp; G$1)</f>
        <v/>
      </c>
      <c r="H1644" s="18" t="str">
        <f>RTD("ice.rtd",,$C1644 &amp; $D1644 &amp; ":" &amp; H$1)</f>
        <v/>
      </c>
      <c r="I1644" s="18" t="str">
        <f>RTD("ice.rtd",,$C1644 &amp; $D1644 &amp; ":" &amp; I$1)</f>
        <v/>
      </c>
      <c r="J1644" s="14" t="str">
        <f>IFERROR(MOD(RTD("ice.rtd",,$C1644 &amp; $D1644 &amp; ":" &amp; J$1), 1), "")</f>
        <v/>
      </c>
      <c r="K1644" s="18" t="str">
        <f>RTD("ice.rtd",,$C1644 &amp; $D1644 &amp; ":" &amp; K$1)</f>
        <v/>
      </c>
      <c r="L1644" s="36" t="str">
        <f>RTD("ice.rtd",,$C1644 &amp; $D1644 &amp; ":" &amp; L$1)</f>
        <v/>
      </c>
      <c r="M1644" s="14" t="str">
        <f>IFERROR(MOD(TIMEVALUE(RTD("ice.rtd",,$C1644 &amp; $D1644 &amp; ":" &amp; M$1)), 1), "")</f>
        <v/>
      </c>
      <c r="N1644" s="36">
        <f>RTD("ice.rtd",,$C1644 &amp; $D1644 &amp; ":" &amp; N$1)</f>
        <v>0</v>
      </c>
      <c r="O1644" s="36">
        <f>RTD("ice.rtd",,$C1644 &amp; $D1644 &amp; ":" &amp; O$1)</f>
        <v>0</v>
      </c>
      <c r="P16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44" s="14" t="str">
        <f>IF(ICE[[#This Row],[LastType]] = "Scrn", ICE[[#This Row],[LstDate]], IF(ICE[[#This Row],[LastType]] = "Blk", ICE[[#This Row],[LstBlkTime]], ""))</f>
        <v/>
      </c>
      <c r="R1644" s="41" t="str">
        <f>IF(ICE[[#This Row],[LastType]] = "Scrn", ICE[[#This Row],[LstPrc]], IF(ICE[[#This Row],[LastType]] = "Blk", ICE[[#This Row],[LstBlkPrc]], ""))</f>
        <v/>
      </c>
      <c r="S1644" s="36">
        <f>ICE[[#This Row],[Vol]]+ICE[[#This Row],[BlkVol]]</f>
        <v>0</v>
      </c>
      <c r="T1644" s="36">
        <f>RTD("ice.rtd",,$C1644 &amp; $D1644 &amp; ":" &amp; T$1)</f>
        <v>0</v>
      </c>
      <c r="U1644" s="18">
        <f>RTD("ice.rtd",,$C1644 &amp; $D1644 &amp; ":" &amp; U$1)</f>
        <v>122.498</v>
      </c>
      <c r="V16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44" s="18" t="str">
        <f>IFERROR(IF(LEFT(ICE[[#This Row],[Tenor]], 1) = "B", RTD("esrtd",,$B1644 &amp; " " &amp; ICE[[#This Row],[Tenor]] &amp; "-IEU", W$1), RTD("esrtd",,$B1644 &amp; " " &amp; VLOOKUP(MONTH(ICE[[#This Row],[Strip]]), MthRef[], 2, 0) &amp; RIGHT(YEAR(ICE[[#This Row],[Strip]]), 2) &amp; "-IEU", W$1)), "")</f>
        <v/>
      </c>
      <c r="X1644" s="36"/>
    </row>
    <row r="1645" spans="1:24" x14ac:dyDescent="0.25">
      <c r="A1645" s="37" t="s">
        <v>852</v>
      </c>
      <c r="B1645" s="88" t="str">
        <f>RTD("ice.rtd",,$C1645 &amp; $D1645 &amp; ":" &amp; B$1)</f>
        <v>GCQ</v>
      </c>
      <c r="C1645" s="3">
        <v>1923422331</v>
      </c>
      <c r="D1645" t="s">
        <v>817</v>
      </c>
      <c r="E1645" s="3" t="str">
        <f>RTD("ice.rtd",,$C1645 &amp; $D1645 &amp; ":" &amp; E$1)</f>
        <v>Q3 27</v>
      </c>
      <c r="F1645" s="3" t="str">
        <f>ICE[[#This Row],[Prod]]&amp;ICE[[#This Row],[Strip]]</f>
        <v>mopagQ3 27</v>
      </c>
      <c r="G1645" s="18" t="str">
        <f>RTD("ice.rtd",,$C1645 &amp; $D1645 &amp; ":" &amp; G$1)</f>
        <v/>
      </c>
      <c r="H1645" s="18" t="str">
        <f>RTD("ice.rtd",,$C1645 &amp; $D1645 &amp; ":" &amp; H$1)</f>
        <v/>
      </c>
      <c r="I1645" s="18" t="str">
        <f>RTD("ice.rtd",,$C1645 &amp; $D1645 &amp; ":" &amp; I$1)</f>
        <v/>
      </c>
      <c r="J1645" s="14" t="str">
        <f>IFERROR(MOD(RTD("ice.rtd",,$C1645 &amp; $D1645 &amp; ":" &amp; J$1), 1), "")</f>
        <v/>
      </c>
      <c r="K1645" s="18" t="str">
        <f>RTD("ice.rtd",,$C1645 &amp; $D1645 &amp; ":" &amp; K$1)</f>
        <v/>
      </c>
      <c r="L1645" s="36" t="str">
        <f>RTD("ice.rtd",,$C1645 &amp; $D1645 &amp; ":" &amp; L$1)</f>
        <v/>
      </c>
      <c r="M1645" s="14" t="str">
        <f>IFERROR(MOD(TIMEVALUE(RTD("ice.rtd",,$C1645 &amp; $D1645 &amp; ":" &amp; M$1)), 1), "")</f>
        <v/>
      </c>
      <c r="N1645" s="36">
        <f>RTD("ice.rtd",,$C1645 &amp; $D1645 &amp; ":" &amp; N$1)</f>
        <v>0</v>
      </c>
      <c r="O1645" s="36">
        <f>RTD("ice.rtd",,$C1645 &amp; $D1645 &amp; ":" &amp; O$1)</f>
        <v>0</v>
      </c>
      <c r="P16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45" s="14" t="str">
        <f>IF(ICE[[#This Row],[LastType]] = "Scrn", ICE[[#This Row],[LstDate]], IF(ICE[[#This Row],[LastType]] = "Blk", ICE[[#This Row],[LstBlkTime]], ""))</f>
        <v/>
      </c>
      <c r="R1645" s="41" t="str">
        <f>IF(ICE[[#This Row],[LastType]] = "Scrn", ICE[[#This Row],[LstPrc]], IF(ICE[[#This Row],[LastType]] = "Blk", ICE[[#This Row],[LstBlkPrc]], ""))</f>
        <v/>
      </c>
      <c r="S1645" s="36">
        <f>ICE[[#This Row],[Vol]]+ICE[[#This Row],[BlkVol]]</f>
        <v>0</v>
      </c>
      <c r="T1645" s="36">
        <f>RTD("ice.rtd",,$C1645 &amp; $D1645 &amp; ":" &amp; T$1)</f>
        <v>0</v>
      </c>
      <c r="U1645" s="18">
        <f>RTD("ice.rtd",,$C1645 &amp; $D1645 &amp; ":" &amp; U$1)</f>
        <v>117.63800000000001</v>
      </c>
      <c r="V16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45" s="18" t="str">
        <f>IFERROR(IF(LEFT(ICE[[#This Row],[Tenor]], 1) = "B", RTD("esrtd",,$B1645 &amp; " " &amp; ICE[[#This Row],[Tenor]] &amp; "-IEU", W$1), RTD("esrtd",,$B1645 &amp; " " &amp; VLOOKUP(MONTH(ICE[[#This Row],[Strip]]), MthRef[], 2, 0) &amp; RIGHT(YEAR(ICE[[#This Row],[Strip]]), 2) &amp; "-IEU", W$1)), "")</f>
        <v/>
      </c>
      <c r="X1645" s="36"/>
    </row>
    <row r="1646" spans="1:24" x14ac:dyDescent="0.25">
      <c r="A1646" s="37" t="s">
        <v>852</v>
      </c>
      <c r="B1646" s="88" t="str">
        <f>RTD("ice.rtd",,$C1646 &amp; $D1646 &amp; ":" &amp; B$1)</f>
        <v>GCQ</v>
      </c>
      <c r="C1646" s="3">
        <v>1923422331</v>
      </c>
      <c r="D1646" t="s">
        <v>822</v>
      </c>
      <c r="E1646" s="3" t="str">
        <f>RTD("ice.rtd",,$C1646 &amp; $D1646 &amp; ":" &amp; E$1)</f>
        <v>Cal 27</v>
      </c>
      <c r="F1646" s="3" t="str">
        <f>ICE[[#This Row],[Prod]]&amp;ICE[[#This Row],[Strip]]</f>
        <v>mopagCal 27</v>
      </c>
      <c r="G1646" s="18" t="str">
        <f>RTD("ice.rtd",,$C1646 &amp; $D1646 &amp; ":" &amp; G$1)</f>
        <v/>
      </c>
      <c r="H1646" s="18" t="str">
        <f>RTD("ice.rtd",,$C1646 &amp; $D1646 &amp; ":" &amp; H$1)</f>
        <v/>
      </c>
      <c r="I1646" s="18" t="str">
        <f>RTD("ice.rtd",,$C1646 &amp; $D1646 &amp; ":" &amp; I$1)</f>
        <v/>
      </c>
      <c r="J1646" s="14" t="str">
        <f>IFERROR(MOD(RTD("ice.rtd",,$C1646 &amp; $D1646 &amp; ":" &amp; J$1), 1), "")</f>
        <v/>
      </c>
      <c r="K1646" s="18" t="str">
        <f>RTD("ice.rtd",,$C1646 &amp; $D1646 &amp; ":" &amp; K$1)</f>
        <v/>
      </c>
      <c r="L1646" s="36" t="str">
        <f>RTD("ice.rtd",,$C1646 &amp; $D1646 &amp; ":" &amp; L$1)</f>
        <v/>
      </c>
      <c r="M1646" s="14" t="str">
        <f>IFERROR(MOD(TIMEVALUE(RTD("ice.rtd",,$C1646 &amp; $D1646 &amp; ":" &amp; M$1)), 1), "")</f>
        <v/>
      </c>
      <c r="N1646" s="36">
        <f>RTD("ice.rtd",,$C1646 &amp; $D1646 &amp; ":" &amp; N$1)</f>
        <v>0</v>
      </c>
      <c r="O1646" s="36">
        <f>RTD("ice.rtd",,$C1646 &amp; $D1646 &amp; ":" &amp; O$1)</f>
        <v>0</v>
      </c>
      <c r="P16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46" s="14" t="str">
        <f>IF(ICE[[#This Row],[LastType]] = "Scrn", ICE[[#This Row],[LstDate]], IF(ICE[[#This Row],[LastType]] = "Blk", ICE[[#This Row],[LstBlkTime]], ""))</f>
        <v/>
      </c>
      <c r="R1646" s="41" t="str">
        <f>IF(ICE[[#This Row],[LastType]] = "Scrn", ICE[[#This Row],[LstPrc]], IF(ICE[[#This Row],[LastType]] = "Blk", ICE[[#This Row],[LstBlkPrc]], ""))</f>
        <v/>
      </c>
      <c r="S1646" s="36">
        <f>ICE[[#This Row],[Vol]]+ICE[[#This Row],[BlkVol]]</f>
        <v>0</v>
      </c>
      <c r="T1646" s="36">
        <f>RTD("ice.rtd",,$C1646 &amp; $D1646 &amp; ":" &amp; T$1)</f>
        <v>0</v>
      </c>
      <c r="U1646" s="18">
        <f>RTD("ice.rtd",,$C1646 &amp; $D1646 &amp; ":" &amp; U$1)</f>
        <v>120.92</v>
      </c>
      <c r="V16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46" s="18" t="str">
        <f>IFERROR(IF(LEFT(ICE[[#This Row],[Tenor]], 1) = "B", RTD("esrtd",,$B1646 &amp; " " &amp; ICE[[#This Row],[Tenor]] &amp; "-IEU", W$1), RTD("esrtd",,$B1646 &amp; " " &amp; VLOOKUP(MONTH(ICE[[#This Row],[Strip]]), MthRef[], 2, 0) &amp; RIGHT(YEAR(ICE[[#This Row],[Strip]]), 2) &amp; "-IEU", W$1)), "")</f>
        <v/>
      </c>
      <c r="X1646" s="36"/>
    </row>
    <row r="1647" spans="1:24" x14ac:dyDescent="0.25">
      <c r="A1647" s="37" t="s">
        <v>853</v>
      </c>
      <c r="B1647" s="88" t="str">
        <f>RTD("ice.rtd",,$C1647 &amp; $D1647 &amp; ":" &amp; B$1)</f>
        <v>CFS</v>
      </c>
      <c r="C1647" s="3" t="s">
        <v>854</v>
      </c>
      <c r="D1647" t="s">
        <v>855</v>
      </c>
      <c r="E1647" s="3" t="str">
        <f>RTD("ice.rtd",,$C1647 &amp; $D1647 &amp; ":" &amp; E$1)</f>
        <v>Bal Month/Oct26</v>
      </c>
      <c r="F1647" s="3" t="str">
        <f>ICE[[#This Row],[Prod]]&amp;ICE[[#This Row],[Strip]]</f>
        <v>dubBal Month/Oct26</v>
      </c>
      <c r="G1647" s="18">
        <f>RTD("ice.rtd",,$C1647 &amp; $D1647 &amp; ":" &amp; G$1)</f>
        <v>10</v>
      </c>
      <c r="H1647" s="18">
        <f>RTD("ice.rtd",,$C1647 &amp; $D1647 &amp; ":" &amp; H$1)</f>
        <v>11.98</v>
      </c>
      <c r="I1647" s="18" t="str">
        <f>RTD("ice.rtd",,$C1647 &amp; $D1647 &amp; ":" &amp; I$1)</f>
        <v/>
      </c>
      <c r="J1647" s="14" t="str">
        <f>IFERROR(MOD(RTD("ice.rtd",,$C1647 &amp; $D1647 &amp; ":" &amp; J$1), 1), "")</f>
        <v/>
      </c>
      <c r="K1647" s="18">
        <f>RTD("ice.rtd",,$C1647 &amp; $D1647 &amp; ":" &amp; K$1)</f>
        <v>9.9499999999999993</v>
      </c>
      <c r="L1647" s="36">
        <f>RTD("ice.rtd",,$C1647 &amp; $D1647 &amp; ":" &amp; L$1)</f>
        <v>105</v>
      </c>
      <c r="M1647" s="14">
        <f>IFERROR(MOD(TIMEVALUE(RTD("ice.rtd",,$C1647 &amp; $D1647 &amp; ":" &amp; M$1)), 1), "")</f>
        <v>0.39568287037037037</v>
      </c>
      <c r="N1647" s="36">
        <f>RTD("ice.rtd",,$C1647 &amp; $D1647 &amp; ":" &amp; N$1)</f>
        <v>0</v>
      </c>
      <c r="O1647" s="36">
        <f>RTD("ice.rtd",,$C1647 &amp; $D1647 &amp; ":" &amp; O$1)</f>
        <v>2258</v>
      </c>
      <c r="P16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647" s="14">
        <f>IF(ICE[[#This Row],[LastType]] = "Scrn", ICE[[#This Row],[LstDate]], IF(ICE[[#This Row],[LastType]] = "Blk", ICE[[#This Row],[LstBlkTime]], ""))</f>
        <v>0.39568287037037037</v>
      </c>
      <c r="R1647" s="41">
        <f>IF(ICE[[#This Row],[LastType]] = "Scrn", ICE[[#This Row],[LstPrc]], IF(ICE[[#This Row],[LastType]] = "Blk", ICE[[#This Row],[LstBlkPrc]], ""))</f>
        <v>9.9499999999999993</v>
      </c>
      <c r="S1647" s="36">
        <f>ICE[[#This Row],[Vol]]+ICE[[#This Row],[BlkVol]]</f>
        <v>2258</v>
      </c>
      <c r="T1647" s="36">
        <f>RTD("ice.rtd",,$C1647 &amp; $D1647 &amp; ":" &amp; T$1)</f>
        <v>0</v>
      </c>
      <c r="U1647" s="18">
        <f>RTD("ice.rtd",,$C1647 &amp; $D1647 &amp; ":" &amp; U$1)</f>
        <v>0</v>
      </c>
      <c r="V16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10.00 / 11.98 {9.95} |2,258x</v>
      </c>
      <c r="X1647" s="36"/>
    </row>
    <row r="1648" spans="1:24" x14ac:dyDescent="0.25">
      <c r="A1648" s="37" t="s">
        <v>853</v>
      </c>
      <c r="B1648" s="88" t="str">
        <f>RTD("ice.rtd",,$C1648 &amp; $D1648 &amp; ":" &amp; B$1)</f>
        <v>DBI</v>
      </c>
      <c r="C1648" s="3" t="s">
        <v>856</v>
      </c>
      <c r="D1648" t="s">
        <v>857</v>
      </c>
      <c r="E1648" s="3" t="str">
        <f>RTD("ice.rtd",,$C1648 &amp; $D1648 &amp; ":" &amp; E$1)</f>
        <v>Sep26/Oct26</v>
      </c>
      <c r="F1648" s="3" t="str">
        <f>ICE[[#This Row],[Prod]]&amp;ICE[[#This Row],[Strip]]</f>
        <v>dubSep26/Oct26</v>
      </c>
      <c r="G1648" s="18">
        <f>RTD("ice.rtd",,$C1648 &amp; $D1648 &amp; ":" &amp; G$1)</f>
        <v>10.25</v>
      </c>
      <c r="H1648" s="18">
        <f>RTD("ice.rtd",,$C1648 &amp; $D1648 &amp; ":" &amp; H$1)</f>
        <v>11.88</v>
      </c>
      <c r="I1648" s="18">
        <f>RTD("ice.rtd",,$C1648 &amp; $D1648 &amp; ":" &amp; I$1)</f>
        <v>10.5</v>
      </c>
      <c r="J1648" s="14">
        <f>IFERROR(MOD(RTD("ice.rtd",,$C1648 &amp; $D1648 &amp; ":" &amp; J$1), 1), "")</f>
        <v>0.39586049768695375</v>
      </c>
      <c r="K1648" s="18">
        <f>RTD("ice.rtd",,$C1648 &amp; $D1648 &amp; ":" &amp; K$1)</f>
        <v>10</v>
      </c>
      <c r="L1648" s="36">
        <f>RTD("ice.rtd",,$C1648 &amp; $D1648 &amp; ":" &amp; L$1)</f>
        <v>80</v>
      </c>
      <c r="M1648" s="14">
        <f>IFERROR(MOD(TIMEVALUE(RTD("ice.rtd",,$C1648 &amp; $D1648 &amp; ":" &amp; M$1)), 1), "")</f>
        <v>0.36743055555555554</v>
      </c>
      <c r="N1648" s="36">
        <f>RTD("ice.rtd",,$C1648 &amp; $D1648 &amp; ":" &amp; N$1)</f>
        <v>112</v>
      </c>
      <c r="O1648" s="36">
        <f>RTD("ice.rtd",,$C1648 &amp; $D1648 &amp; ":" &amp; O$1)</f>
        <v>180</v>
      </c>
      <c r="P16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48" s="14">
        <f>IF(ICE[[#This Row],[LastType]] = "Scrn", ICE[[#This Row],[LstDate]], IF(ICE[[#This Row],[LastType]] = "Blk", ICE[[#This Row],[LstBlkTime]], ""))</f>
        <v>0.39586049768695375</v>
      </c>
      <c r="R1648" s="41">
        <f>IF(ICE[[#This Row],[LastType]] = "Scrn", ICE[[#This Row],[LstPrc]], IF(ICE[[#This Row],[LastType]] = "Blk", ICE[[#This Row],[LstBlkPrc]], ""))</f>
        <v>10.5</v>
      </c>
      <c r="S1648" s="36">
        <f>ICE[[#This Row],[Vol]]+ICE[[#This Row],[BlkVol]]</f>
        <v>292</v>
      </c>
      <c r="T1648" s="36">
        <f>RTD("ice.rtd",,$C1648 &amp; $D1648 &amp; ":" &amp; T$1)</f>
        <v>0</v>
      </c>
      <c r="U1648" s="18">
        <f>RTD("ice.rtd",,$C1648 &amp; $D1648 &amp; ":" &amp; U$1)</f>
        <v>9.4920000000000044</v>
      </c>
      <c r="V16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10.25 / 11.88 {10.50} |292x</v>
      </c>
      <c r="X1648" s="36"/>
    </row>
    <row r="1649" spans="1:24" x14ac:dyDescent="0.25">
      <c r="A1649" s="37" t="s">
        <v>853</v>
      </c>
      <c r="B1649" s="88" t="str">
        <f>RTD("ice.rtd",,$C1649 &amp; $D1649 &amp; ":" &amp; B$1)</f>
        <v>DBI</v>
      </c>
      <c r="C1649" s="3" t="s">
        <v>856</v>
      </c>
      <c r="D1649" t="s">
        <v>858</v>
      </c>
      <c r="E1649" s="3" t="str">
        <f>RTD("ice.rtd",,$C1649 &amp; $D1649 &amp; ":" &amp; E$1)</f>
        <v>Oct26/Jan27</v>
      </c>
      <c r="F1649" s="3" t="str">
        <f>ICE[[#This Row],[Prod]]&amp;ICE[[#This Row],[Strip]]</f>
        <v>dubOct26/Jan27</v>
      </c>
      <c r="G1649" s="18">
        <f>RTD("ice.rtd",,$C1649 &amp; $D1649 &amp; ":" &amp; G$1)</f>
        <v>9.5</v>
      </c>
      <c r="H1649" s="18">
        <f>RTD("ice.rtd",,$C1649 &amp; $D1649 &amp; ":" &amp; H$1)</f>
        <v>9.5500000000000007</v>
      </c>
      <c r="I1649" s="18">
        <f>RTD("ice.rtd",,$C1649 &amp; $D1649 &amp; ":" &amp; I$1)</f>
        <v>9.69</v>
      </c>
      <c r="J1649" s="14">
        <f>IFERROR(MOD(RTD("ice.rtd",,$C1649 &amp; $D1649 &amp; ":" &amp; J$1), 1), "")</f>
        <v>0.39196461805840954</v>
      </c>
      <c r="K1649" s="18" t="str">
        <f>RTD("ice.rtd",,$C1649 &amp; $D1649 &amp; ":" &amp; K$1)</f>
        <v/>
      </c>
      <c r="L1649" s="36" t="str">
        <f>RTD("ice.rtd",,$C1649 &amp; $D1649 &amp; ":" &amp; L$1)</f>
        <v/>
      </c>
      <c r="M1649" s="14" t="str">
        <f>IFERROR(MOD(TIMEVALUE(RTD("ice.rtd",,$C1649 &amp; $D1649 &amp; ":" &amp; M$1)), 1), "")</f>
        <v/>
      </c>
      <c r="N1649" s="36">
        <f>RTD("ice.rtd",,$C1649 &amp; $D1649 &amp; ":" &amp; N$1)</f>
        <v>7</v>
      </c>
      <c r="O1649" s="36">
        <f>RTD("ice.rtd",,$C1649 &amp; $D1649 &amp; ":" &amp; O$1)</f>
        <v>0</v>
      </c>
      <c r="P16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49" s="14">
        <f>IF(ICE[[#This Row],[LastType]] = "Scrn", ICE[[#This Row],[LstDate]], IF(ICE[[#This Row],[LastType]] = "Blk", ICE[[#This Row],[LstBlkTime]], ""))</f>
        <v>0.39196461805840954</v>
      </c>
      <c r="R1649" s="41">
        <f>IF(ICE[[#This Row],[LastType]] = "Scrn", ICE[[#This Row],[LstPrc]], IF(ICE[[#This Row],[LastType]] = "Blk", ICE[[#This Row],[LstBlkPrc]], ""))</f>
        <v>9.69</v>
      </c>
      <c r="S1649" s="36">
        <f>ICE[[#This Row],[Vol]]+ICE[[#This Row],[BlkVol]]</f>
        <v>7</v>
      </c>
      <c r="T1649" s="36">
        <f>RTD("ice.rtd",,$C1649 &amp; $D1649 &amp; ":" &amp; T$1)</f>
        <v>0</v>
      </c>
      <c r="U1649" s="18">
        <f>RTD("ice.rtd",,$C1649 &amp; $D1649 &amp; ":" &amp; U$1)</f>
        <v>9.1069999999999993</v>
      </c>
      <c r="V16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9.50 / 9.55 {9.69} |7x</v>
      </c>
      <c r="X1649" s="36"/>
    </row>
    <row r="1650" spans="1:24" x14ac:dyDescent="0.25">
      <c r="A1650" s="37" t="s">
        <v>853</v>
      </c>
      <c r="B1650" s="88" t="str">
        <f>RTD("ice.rtd",,$C1650 &amp; $D1650 &amp; ":" &amp; B$1)</f>
        <v>DBI</v>
      </c>
      <c r="C1650" s="3" t="s">
        <v>856</v>
      </c>
      <c r="D1650" t="s">
        <v>859</v>
      </c>
      <c r="E1650" s="3" t="str">
        <f>RTD("ice.rtd",,$C1650 &amp; $D1650 &amp; ":" &amp; E$1)</f>
        <v>Nov26/Apr27</v>
      </c>
      <c r="F1650" s="3" t="str">
        <f>ICE[[#This Row],[Prod]]&amp;ICE[[#This Row],[Strip]]</f>
        <v>dubNov26/Apr27</v>
      </c>
      <c r="G1650" s="18" t="str">
        <f>RTD("ice.rtd",,$C1650 &amp; $D1650 &amp; ":" &amp; G$1)</f>
        <v/>
      </c>
      <c r="H1650" s="18" t="str">
        <f>RTD("ice.rtd",,$C1650 &amp; $D1650 &amp; ":" &amp; H$1)</f>
        <v/>
      </c>
      <c r="I1650" s="18" t="str">
        <f>RTD("ice.rtd",,$C1650 &amp; $D1650 &amp; ":" &amp; I$1)</f>
        <v/>
      </c>
      <c r="J1650" s="14" t="str">
        <f>IFERROR(MOD(RTD("ice.rtd",,$C1650 &amp; $D1650 &amp; ":" &amp; J$1), 1), "")</f>
        <v/>
      </c>
      <c r="K1650" s="18" t="str">
        <f>RTD("ice.rtd",,$C1650 &amp; $D1650 &amp; ":" &amp; K$1)</f>
        <v/>
      </c>
      <c r="L1650" s="36" t="str">
        <f>RTD("ice.rtd",,$C1650 &amp; $D1650 &amp; ":" &amp; L$1)</f>
        <v/>
      </c>
      <c r="M1650" s="14" t="str">
        <f>IFERROR(MOD(TIMEVALUE(RTD("ice.rtd",,$C1650 &amp; $D1650 &amp; ":" &amp; M$1)), 1), "")</f>
        <v/>
      </c>
      <c r="N1650" s="36">
        <f>RTD("ice.rtd",,$C1650 &amp; $D1650 &amp; ":" &amp; N$1)</f>
        <v>0</v>
      </c>
      <c r="O1650" s="36">
        <f>RTD("ice.rtd",,$C1650 &amp; $D1650 &amp; ":" &amp; O$1)</f>
        <v>0</v>
      </c>
      <c r="P16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0" s="14" t="str">
        <f>IF(ICE[[#This Row],[LastType]] = "Scrn", ICE[[#This Row],[LstDate]], IF(ICE[[#This Row],[LastType]] = "Blk", ICE[[#This Row],[LstBlkTime]], ""))</f>
        <v/>
      </c>
      <c r="R1650" s="41" t="str">
        <f>IF(ICE[[#This Row],[LastType]] = "Scrn", ICE[[#This Row],[LstPrc]], IF(ICE[[#This Row],[LastType]] = "Blk", ICE[[#This Row],[LstBlkPrc]], ""))</f>
        <v/>
      </c>
      <c r="S1650" s="36">
        <f>ICE[[#This Row],[Vol]]+ICE[[#This Row],[BlkVol]]</f>
        <v>0</v>
      </c>
      <c r="T1650" s="36">
        <f>RTD("ice.rtd",,$C1650 &amp; $D1650 &amp; ":" &amp; T$1)</f>
        <v>0</v>
      </c>
      <c r="U1650" s="18">
        <f>RTD("ice.rtd",,$C1650 &amp; $D1650 &amp; ":" &amp; U$1)</f>
        <v>8.097999999999999</v>
      </c>
      <c r="V16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0" s="18" t="str">
        <f>IFERROR(IF(LEFT(ICE[[#This Row],[Tenor]], 1) = "B", RTD("esrtd",,$B1650 &amp; " " &amp; ICE[[#This Row],[Tenor]] &amp; "-IEU", W$1), RTD("esrtd",,$B1650 &amp; " " &amp; VLOOKUP(MONTH(ICE[[#This Row],[Strip]]), MthRef[], 2, 0) &amp; RIGHT(YEAR(ICE[[#This Row],[Strip]]), 2) &amp; "-IEU", W$1)), "")</f>
        <v/>
      </c>
      <c r="X1650" s="36"/>
    </row>
    <row r="1651" spans="1:24" x14ac:dyDescent="0.25">
      <c r="A1651" s="37" t="s">
        <v>853</v>
      </c>
      <c r="B1651" s="88" t="str">
        <f>RTD("ice.rtd",,$C1651 &amp; $D1651 &amp; ":" &amp; B$1)</f>
        <v>DBI</v>
      </c>
      <c r="C1651" s="3" t="s">
        <v>856</v>
      </c>
      <c r="D1651" t="s">
        <v>857</v>
      </c>
      <c r="E1651" s="3" t="str">
        <f>RTD("ice.rtd",,$C1651 &amp; $D1651 &amp; ":" &amp; E$1)</f>
        <v>Sep26/Oct26</v>
      </c>
      <c r="F1651" s="3" t="str">
        <f>ICE[[#This Row],[Prod]]&amp;ICE[[#This Row],[Strip]]</f>
        <v>dubSep26/Oct26</v>
      </c>
      <c r="G1651" s="18">
        <f>RTD("ice.rtd",,$C1651 &amp; $D1651 &amp; ":" &amp; G$1)</f>
        <v>10.25</v>
      </c>
      <c r="H1651" s="18">
        <f>RTD("ice.rtd",,$C1651 &amp; $D1651 &amp; ":" &amp; H$1)</f>
        <v>11.88</v>
      </c>
      <c r="I1651" s="18">
        <f>RTD("ice.rtd",,$C1651 &amp; $D1651 &amp; ":" &amp; I$1)</f>
        <v>10.5</v>
      </c>
      <c r="J1651" s="14">
        <f>IFERROR(MOD(RTD("ice.rtd",,$C1651 &amp; $D1651 &amp; ":" &amp; J$1), 1), "")</f>
        <v>0.39586049768695375</v>
      </c>
      <c r="K1651" s="18">
        <f>RTD("ice.rtd",,$C1651 &amp; $D1651 &amp; ":" &amp; K$1)</f>
        <v>10</v>
      </c>
      <c r="L1651" s="36">
        <f>RTD("ice.rtd",,$C1651 &amp; $D1651 &amp; ":" &amp; L$1)</f>
        <v>80</v>
      </c>
      <c r="M1651" s="14">
        <f>IFERROR(MOD(TIMEVALUE(RTD("ice.rtd",,$C1651 &amp; $D1651 &amp; ":" &amp; M$1)), 1), "")</f>
        <v>0.36743055555555554</v>
      </c>
      <c r="N1651" s="36">
        <f>RTD("ice.rtd",,$C1651 &amp; $D1651 &amp; ":" &amp; N$1)</f>
        <v>112</v>
      </c>
      <c r="O1651" s="36">
        <f>RTD("ice.rtd",,$C1651 &amp; $D1651 &amp; ":" &amp; O$1)</f>
        <v>180</v>
      </c>
      <c r="P16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51" s="14">
        <f>IF(ICE[[#This Row],[LastType]] = "Scrn", ICE[[#This Row],[LstDate]], IF(ICE[[#This Row],[LastType]] = "Blk", ICE[[#This Row],[LstBlkTime]], ""))</f>
        <v>0.39586049768695375</v>
      </c>
      <c r="R1651" s="41">
        <f>IF(ICE[[#This Row],[LastType]] = "Scrn", ICE[[#This Row],[LstPrc]], IF(ICE[[#This Row],[LastType]] = "Blk", ICE[[#This Row],[LstBlkPrc]], ""))</f>
        <v>10.5</v>
      </c>
      <c r="S1651" s="36">
        <f>ICE[[#This Row],[Vol]]+ICE[[#This Row],[BlkVol]]</f>
        <v>292</v>
      </c>
      <c r="T1651" s="36">
        <f>RTD("ice.rtd",,$C1651 &amp; $D1651 &amp; ":" &amp; T$1)</f>
        <v>0</v>
      </c>
      <c r="U1651" s="18">
        <f>RTD("ice.rtd",,$C1651 &amp; $D1651 &amp; ":" &amp; U$1)</f>
        <v>9.4920000000000044</v>
      </c>
      <c r="V16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10.25 / 11.88 {10.50} |292x</v>
      </c>
      <c r="W1651" s="18" t="str">
        <f>IFERROR(IF(LEFT(ICE[[#This Row],[Tenor]], 1) = "B", RTD("esrtd",,$B1651 &amp; " " &amp; ICE[[#This Row],[Tenor]] &amp; "-IEU", W$1), RTD("esrtd",,$B1651 &amp; " " &amp; VLOOKUP(MONTH(ICE[[#This Row],[Strip]]), MthRef[], 2, 0) &amp; RIGHT(YEAR(ICE[[#This Row],[Strip]]), 2) &amp; "-IEU", W$1)), "")</f>
        <v/>
      </c>
      <c r="X1651" s="36"/>
    </row>
    <row r="1652" spans="1:24" x14ac:dyDescent="0.25">
      <c r="A1652" s="37" t="s">
        <v>853</v>
      </c>
      <c r="B1652" s="88" t="str">
        <f>RTD("ice.rtd",,$C1652 &amp; $D1652 &amp; ":" &amp; B$1)</f>
        <v>DBI</v>
      </c>
      <c r="C1652" s="3" t="s">
        <v>856</v>
      </c>
      <c r="D1652" t="s">
        <v>860</v>
      </c>
      <c r="E1652" s="3" t="str">
        <f>RTD("ice.rtd",,$C1652 &amp; $D1652 &amp; ":" &amp; E$1)</f>
        <v>Sep26/Nov26</v>
      </c>
      <c r="F1652" s="3" t="str">
        <f>ICE[[#This Row],[Prod]]&amp;ICE[[#This Row],[Strip]]</f>
        <v>dubSep26/Nov26</v>
      </c>
      <c r="G1652" s="18" t="str">
        <f>RTD("ice.rtd",,$C1652 &amp; $D1652 &amp; ":" &amp; G$1)</f>
        <v/>
      </c>
      <c r="H1652" s="18" t="str">
        <f>RTD("ice.rtd",,$C1652 &amp; $D1652 &amp; ":" &amp; H$1)</f>
        <v/>
      </c>
      <c r="I1652" s="18" t="str">
        <f>RTD("ice.rtd",,$C1652 &amp; $D1652 &amp; ":" &amp; I$1)</f>
        <v/>
      </c>
      <c r="J1652" s="14" t="str">
        <f>IFERROR(MOD(RTD("ice.rtd",,$C1652 &amp; $D1652 &amp; ":" &amp; J$1), 1), "")</f>
        <v/>
      </c>
      <c r="K1652" s="18" t="str">
        <f>RTD("ice.rtd",,$C1652 &amp; $D1652 &amp; ":" &amp; K$1)</f>
        <v/>
      </c>
      <c r="L1652" s="36" t="str">
        <f>RTD("ice.rtd",,$C1652 &amp; $D1652 &amp; ":" &amp; L$1)</f>
        <v/>
      </c>
      <c r="M1652" s="14" t="str">
        <f>IFERROR(MOD(TIMEVALUE(RTD("ice.rtd",,$C1652 &amp; $D1652 &amp; ":" &amp; M$1)), 1), "")</f>
        <v/>
      </c>
      <c r="N1652" s="36">
        <f>RTD("ice.rtd",,$C1652 &amp; $D1652 &amp; ":" &amp; N$1)</f>
        <v>0</v>
      </c>
      <c r="O1652" s="36">
        <f>RTD("ice.rtd",,$C1652 &amp; $D1652 &amp; ":" &amp; O$1)</f>
        <v>0</v>
      </c>
      <c r="P16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2" s="14" t="str">
        <f>IF(ICE[[#This Row],[LastType]] = "Scrn", ICE[[#This Row],[LstDate]], IF(ICE[[#This Row],[LastType]] = "Blk", ICE[[#This Row],[LstBlkTime]], ""))</f>
        <v/>
      </c>
      <c r="R1652" s="41" t="str">
        <f>IF(ICE[[#This Row],[LastType]] = "Scrn", ICE[[#This Row],[LstPrc]], IF(ICE[[#This Row],[LastType]] = "Blk", ICE[[#This Row],[LstBlkPrc]], ""))</f>
        <v/>
      </c>
      <c r="S1652" s="36">
        <f>ICE[[#This Row],[Vol]]+ICE[[#This Row],[BlkVol]]</f>
        <v>0</v>
      </c>
      <c r="T1652" s="36">
        <f>RTD("ice.rtd",,$C1652 &amp; $D1652 &amp; ":" &amp; T$1)</f>
        <v>0</v>
      </c>
      <c r="U1652" s="18">
        <f>RTD("ice.rtd",,$C1652 &amp; $D1652 &amp; ":" &amp; U$1)</f>
        <v>13.856000000000009</v>
      </c>
      <c r="V16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2" s="18" t="str">
        <f>IFERROR(IF(LEFT(ICE[[#This Row],[Tenor]], 1) = "B", RTD("esrtd",,$B1652 &amp; " " &amp; ICE[[#This Row],[Tenor]] &amp; "-IEU", W$1), RTD("esrtd",,$B1652 &amp; " " &amp; VLOOKUP(MONTH(ICE[[#This Row],[Strip]]), MthRef[], 2, 0) &amp; RIGHT(YEAR(ICE[[#This Row],[Strip]]), 2) &amp; "-IEU", W$1)), "")</f>
        <v/>
      </c>
      <c r="X1652" s="36"/>
    </row>
    <row r="1653" spans="1:24" x14ac:dyDescent="0.25">
      <c r="A1653" s="37" t="s">
        <v>853</v>
      </c>
      <c r="B1653" s="88" t="str">
        <f>RTD("ice.rtd",,$C1653 &amp; $D1653 &amp; ":" &amp; B$1)</f>
        <v>DBI</v>
      </c>
      <c r="C1653" s="3" t="s">
        <v>856</v>
      </c>
      <c r="D1653" t="s">
        <v>861</v>
      </c>
      <c r="E1653" s="3" t="str">
        <f>RTD("ice.rtd",,$C1653 &amp; $D1653 &amp; ":" &amp; E$1)</f>
        <v>Sep26/Dec26</v>
      </c>
      <c r="F1653" s="3" t="str">
        <f>ICE[[#This Row],[Prod]]&amp;ICE[[#This Row],[Strip]]</f>
        <v>dubSep26/Dec26</v>
      </c>
      <c r="G1653" s="18" t="str">
        <f>RTD("ice.rtd",,$C1653 &amp; $D1653 &amp; ":" &amp; G$1)</f>
        <v/>
      </c>
      <c r="H1653" s="18" t="str">
        <f>RTD("ice.rtd",,$C1653 &amp; $D1653 &amp; ":" &amp; H$1)</f>
        <v/>
      </c>
      <c r="I1653" s="18" t="str">
        <f>RTD("ice.rtd",,$C1653 &amp; $D1653 &amp; ":" &amp; I$1)</f>
        <v/>
      </c>
      <c r="J1653" s="14" t="str">
        <f>IFERROR(MOD(RTD("ice.rtd",,$C1653 &amp; $D1653 &amp; ":" &amp; J$1), 1), "")</f>
        <v/>
      </c>
      <c r="K1653" s="18" t="str">
        <f>RTD("ice.rtd",,$C1653 &amp; $D1653 &amp; ":" &amp; K$1)</f>
        <v/>
      </c>
      <c r="L1653" s="36" t="str">
        <f>RTD("ice.rtd",,$C1653 &amp; $D1653 &amp; ":" &amp; L$1)</f>
        <v/>
      </c>
      <c r="M1653" s="14" t="str">
        <f>IFERROR(MOD(TIMEVALUE(RTD("ice.rtd",,$C1653 &amp; $D1653 &amp; ":" &amp; M$1)), 1), "")</f>
        <v/>
      </c>
      <c r="N1653" s="36">
        <f>RTD("ice.rtd",,$C1653 &amp; $D1653 &amp; ":" &amp; N$1)</f>
        <v>0</v>
      </c>
      <c r="O1653" s="36">
        <f>RTD("ice.rtd",,$C1653 &amp; $D1653 &amp; ":" &amp; O$1)</f>
        <v>0</v>
      </c>
      <c r="P16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3" s="14" t="str">
        <f>IF(ICE[[#This Row],[LastType]] = "Scrn", ICE[[#This Row],[LstDate]], IF(ICE[[#This Row],[LastType]] = "Blk", ICE[[#This Row],[LstBlkTime]], ""))</f>
        <v/>
      </c>
      <c r="R1653" s="41" t="str">
        <f>IF(ICE[[#This Row],[LastType]] = "Scrn", ICE[[#This Row],[LstPrc]], IF(ICE[[#This Row],[LastType]] = "Blk", ICE[[#This Row],[LstBlkPrc]], ""))</f>
        <v/>
      </c>
      <c r="S1653" s="36">
        <f>ICE[[#This Row],[Vol]]+ICE[[#This Row],[BlkVol]]</f>
        <v>0</v>
      </c>
      <c r="T1653" s="36">
        <f>RTD("ice.rtd",,$C1653 &amp; $D1653 &amp; ":" &amp; T$1)</f>
        <v>0</v>
      </c>
      <c r="U1653" s="18">
        <f>RTD("ice.rtd",,$C1653 &amp; $D1653 &amp; ":" &amp; U$1)</f>
        <v>16.670000000000002</v>
      </c>
      <c r="V16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3" s="18" t="str">
        <f>IFERROR(IF(LEFT(ICE[[#This Row],[Tenor]], 1) = "B", RTD("esrtd",,$B1653 &amp; " " &amp; ICE[[#This Row],[Tenor]] &amp; "-IEU", W$1), RTD("esrtd",,$B1653 &amp; " " &amp; VLOOKUP(MONTH(ICE[[#This Row],[Strip]]), MthRef[], 2, 0) &amp; RIGHT(YEAR(ICE[[#This Row],[Strip]]), 2) &amp; "-IEU", W$1)), "")</f>
        <v/>
      </c>
      <c r="X1653" s="36"/>
    </row>
    <row r="1654" spans="1:24" x14ac:dyDescent="0.25">
      <c r="A1654" s="37" t="s">
        <v>853</v>
      </c>
      <c r="B1654" s="88" t="str">
        <f>RTD("ice.rtd",,$C1654 &amp; $D1654 &amp; ":" &amp; B$1)</f>
        <v>DBI</v>
      </c>
      <c r="C1654" s="3" t="s">
        <v>856</v>
      </c>
      <c r="D1654" t="s">
        <v>862</v>
      </c>
      <c r="E1654" s="3" t="str">
        <f>RTD("ice.rtd",,$C1654 &amp; $D1654 &amp; ":" &amp; E$1)</f>
        <v>Sep26/Jan27</v>
      </c>
      <c r="F1654" s="3" t="str">
        <f>ICE[[#This Row],[Prod]]&amp;ICE[[#This Row],[Strip]]</f>
        <v>dubSep26/Jan27</v>
      </c>
      <c r="G1654" s="18" t="str">
        <f>RTD("ice.rtd",,$C1654 &amp; $D1654 &amp; ":" &amp; G$1)</f>
        <v/>
      </c>
      <c r="H1654" s="18" t="str">
        <f>RTD("ice.rtd",,$C1654 &amp; $D1654 &amp; ":" &amp; H$1)</f>
        <v/>
      </c>
      <c r="I1654" s="18" t="str">
        <f>RTD("ice.rtd",,$C1654 &amp; $D1654 &amp; ":" &amp; I$1)</f>
        <v/>
      </c>
      <c r="J1654" s="14" t="str">
        <f>IFERROR(MOD(RTD("ice.rtd",,$C1654 &amp; $D1654 &amp; ":" &amp; J$1), 1), "")</f>
        <v/>
      </c>
      <c r="K1654" s="18" t="str">
        <f>RTD("ice.rtd",,$C1654 &amp; $D1654 &amp; ":" &amp; K$1)</f>
        <v/>
      </c>
      <c r="L1654" s="36" t="str">
        <f>RTD("ice.rtd",,$C1654 &amp; $D1654 &amp; ":" &amp; L$1)</f>
        <v/>
      </c>
      <c r="M1654" s="14" t="str">
        <f>IFERROR(MOD(TIMEVALUE(RTD("ice.rtd",,$C1654 &amp; $D1654 &amp; ":" &amp; M$1)), 1), "")</f>
        <v/>
      </c>
      <c r="N1654" s="36">
        <f>RTD("ice.rtd",,$C1654 &amp; $D1654 &amp; ":" &amp; N$1)</f>
        <v>0</v>
      </c>
      <c r="O1654" s="36">
        <f>RTD("ice.rtd",,$C1654 &amp; $D1654 &amp; ":" &amp; O$1)</f>
        <v>0</v>
      </c>
      <c r="P16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4" s="14" t="str">
        <f>IF(ICE[[#This Row],[LastType]] = "Scrn", ICE[[#This Row],[LstDate]], IF(ICE[[#This Row],[LastType]] = "Blk", ICE[[#This Row],[LstBlkTime]], ""))</f>
        <v/>
      </c>
      <c r="R1654" s="41" t="str">
        <f>IF(ICE[[#This Row],[LastType]] = "Scrn", ICE[[#This Row],[LstPrc]], IF(ICE[[#This Row],[LastType]] = "Blk", ICE[[#This Row],[LstBlkPrc]], ""))</f>
        <v/>
      </c>
      <c r="S1654" s="36">
        <f>ICE[[#This Row],[Vol]]+ICE[[#This Row],[BlkVol]]</f>
        <v>0</v>
      </c>
      <c r="T1654" s="36">
        <f>RTD("ice.rtd",,$C1654 &amp; $D1654 &amp; ":" &amp; T$1)</f>
        <v>0</v>
      </c>
      <c r="U1654" s="18">
        <f>RTD("ice.rtd",,$C1654 &amp; $D1654 &amp; ":" &amp; U$1)</f>
        <v>18.599000000000004</v>
      </c>
      <c r="V16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4" s="18" t="str">
        <f>IFERROR(IF(LEFT(ICE[[#This Row],[Tenor]], 1) = "B", RTD("esrtd",,$B1654 &amp; " " &amp; ICE[[#This Row],[Tenor]] &amp; "-IEU", W$1), RTD("esrtd",,$B1654 &amp; " " &amp; VLOOKUP(MONTH(ICE[[#This Row],[Strip]]), MthRef[], 2, 0) &amp; RIGHT(YEAR(ICE[[#This Row],[Strip]]), 2) &amp; "-IEU", W$1)), "")</f>
        <v/>
      </c>
      <c r="X1654" s="36"/>
    </row>
    <row r="1655" spans="1:24" x14ac:dyDescent="0.25">
      <c r="A1655" s="37" t="s">
        <v>853</v>
      </c>
      <c r="B1655" s="88" t="str">
        <f>RTD("ice.rtd",,$C1655 &amp; $D1655 &amp; ":" &amp; B$1)</f>
        <v>DBI</v>
      </c>
      <c r="C1655" s="3" t="s">
        <v>856</v>
      </c>
      <c r="D1655" t="s">
        <v>863</v>
      </c>
      <c r="E1655" s="3" t="str">
        <f>RTD("ice.rtd",,$C1655 &amp; $D1655 &amp; ":" &amp; E$1)</f>
        <v>Sep26/Feb27</v>
      </c>
      <c r="F1655" s="3" t="str">
        <f>ICE[[#This Row],[Prod]]&amp;ICE[[#This Row],[Strip]]</f>
        <v>dubSep26/Feb27</v>
      </c>
      <c r="G1655" s="18" t="str">
        <f>RTD("ice.rtd",,$C1655 &amp; $D1655 &amp; ":" &amp; G$1)</f>
        <v/>
      </c>
      <c r="H1655" s="18" t="str">
        <f>RTD("ice.rtd",,$C1655 &amp; $D1655 &amp; ":" &amp; H$1)</f>
        <v/>
      </c>
      <c r="I1655" s="18" t="str">
        <f>RTD("ice.rtd",,$C1655 &amp; $D1655 &amp; ":" &amp; I$1)</f>
        <v/>
      </c>
      <c r="J1655" s="14" t="str">
        <f>IFERROR(MOD(RTD("ice.rtd",,$C1655 &amp; $D1655 &amp; ":" &amp; J$1), 1), "")</f>
        <v/>
      </c>
      <c r="K1655" s="18" t="str">
        <f>RTD("ice.rtd",,$C1655 &amp; $D1655 &amp; ":" &amp; K$1)</f>
        <v/>
      </c>
      <c r="L1655" s="36" t="str">
        <f>RTD("ice.rtd",,$C1655 &amp; $D1655 &amp; ":" &amp; L$1)</f>
        <v/>
      </c>
      <c r="M1655" s="14" t="str">
        <f>IFERROR(MOD(TIMEVALUE(RTD("ice.rtd",,$C1655 &amp; $D1655 &amp; ":" &amp; M$1)), 1), "")</f>
        <v/>
      </c>
      <c r="N1655" s="36">
        <f>RTD("ice.rtd",,$C1655 &amp; $D1655 &amp; ":" &amp; N$1)</f>
        <v>0</v>
      </c>
      <c r="O1655" s="36">
        <f>RTD("ice.rtd",,$C1655 &amp; $D1655 &amp; ":" &amp; O$1)</f>
        <v>0</v>
      </c>
      <c r="P16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5" s="14" t="str">
        <f>IF(ICE[[#This Row],[LastType]] = "Scrn", ICE[[#This Row],[LstDate]], IF(ICE[[#This Row],[LastType]] = "Blk", ICE[[#This Row],[LstBlkTime]], ""))</f>
        <v/>
      </c>
      <c r="R1655" s="41" t="str">
        <f>IF(ICE[[#This Row],[LastType]] = "Scrn", ICE[[#This Row],[LstPrc]], IF(ICE[[#This Row],[LastType]] = "Blk", ICE[[#This Row],[LstBlkPrc]], ""))</f>
        <v/>
      </c>
      <c r="S1655" s="36">
        <f>ICE[[#This Row],[Vol]]+ICE[[#This Row],[BlkVol]]</f>
        <v>0</v>
      </c>
      <c r="T1655" s="36">
        <f>RTD("ice.rtd",,$C1655 &amp; $D1655 &amp; ":" &amp; T$1)</f>
        <v>0</v>
      </c>
      <c r="U1655" s="18">
        <f>RTD("ice.rtd",,$C1655 &amp; $D1655 &amp; ":" &amp; U$1)</f>
        <v>19.989000000000004</v>
      </c>
      <c r="V16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5" s="18" t="str">
        <f>IFERROR(IF(LEFT(ICE[[#This Row],[Tenor]], 1) = "B", RTD("esrtd",,$B1655 &amp; " " &amp; ICE[[#This Row],[Tenor]] &amp; "-IEU", W$1), RTD("esrtd",,$B1655 &amp; " " &amp; VLOOKUP(MONTH(ICE[[#This Row],[Strip]]), MthRef[], 2, 0) &amp; RIGHT(YEAR(ICE[[#This Row],[Strip]]), 2) &amp; "-IEU", W$1)), "")</f>
        <v/>
      </c>
      <c r="X1655" s="36"/>
    </row>
    <row r="1656" spans="1:24" x14ac:dyDescent="0.25">
      <c r="A1656" s="37" t="s">
        <v>853</v>
      </c>
      <c r="B1656" s="88" t="str">
        <f>RTD("ice.rtd",,$C1656 &amp; $D1656 &amp; ":" &amp; B$1)</f>
        <v>DBI</v>
      </c>
      <c r="C1656" s="3" t="s">
        <v>856</v>
      </c>
      <c r="D1656" t="s">
        <v>864</v>
      </c>
      <c r="E1656" s="3" t="str">
        <f>RTD("ice.rtd",,$C1656 &amp; $D1656 &amp; ":" &amp; E$1)</f>
        <v>Sep26/Mar27</v>
      </c>
      <c r="F1656" s="3" t="str">
        <f>ICE[[#This Row],[Prod]]&amp;ICE[[#This Row],[Strip]]</f>
        <v>dubSep26/Mar27</v>
      </c>
      <c r="G1656" s="18" t="str">
        <f>RTD("ice.rtd",,$C1656 &amp; $D1656 &amp; ":" &amp; G$1)</f>
        <v/>
      </c>
      <c r="H1656" s="18" t="str">
        <f>RTD("ice.rtd",,$C1656 &amp; $D1656 &amp; ":" &amp; H$1)</f>
        <v/>
      </c>
      <c r="I1656" s="18" t="str">
        <f>RTD("ice.rtd",,$C1656 &amp; $D1656 &amp; ":" &amp; I$1)</f>
        <v/>
      </c>
      <c r="J1656" s="14" t="str">
        <f>IFERROR(MOD(RTD("ice.rtd",,$C1656 &amp; $D1656 &amp; ":" &amp; J$1), 1), "")</f>
        <v/>
      </c>
      <c r="K1656" s="18" t="str">
        <f>RTD("ice.rtd",,$C1656 &amp; $D1656 &amp; ":" &amp; K$1)</f>
        <v/>
      </c>
      <c r="L1656" s="36" t="str">
        <f>RTD("ice.rtd",,$C1656 &amp; $D1656 &amp; ":" &amp; L$1)</f>
        <v/>
      </c>
      <c r="M1656" s="14" t="str">
        <f>IFERROR(MOD(TIMEVALUE(RTD("ice.rtd",,$C1656 &amp; $D1656 &amp; ":" &amp; M$1)), 1), "")</f>
        <v/>
      </c>
      <c r="N1656" s="36">
        <f>RTD("ice.rtd",,$C1656 &amp; $D1656 &amp; ":" &amp; N$1)</f>
        <v>0</v>
      </c>
      <c r="O1656" s="36">
        <f>RTD("ice.rtd",,$C1656 &amp; $D1656 &amp; ":" &amp; O$1)</f>
        <v>0</v>
      </c>
      <c r="P16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6" s="14" t="str">
        <f>IF(ICE[[#This Row],[LastType]] = "Scrn", ICE[[#This Row],[LstDate]], IF(ICE[[#This Row],[LastType]] = "Blk", ICE[[#This Row],[LstBlkTime]], ""))</f>
        <v/>
      </c>
      <c r="R1656" s="41" t="str">
        <f>IF(ICE[[#This Row],[LastType]] = "Scrn", ICE[[#This Row],[LstPrc]], IF(ICE[[#This Row],[LastType]] = "Blk", ICE[[#This Row],[LstBlkPrc]], ""))</f>
        <v/>
      </c>
      <c r="S1656" s="36">
        <f>ICE[[#This Row],[Vol]]+ICE[[#This Row],[BlkVol]]</f>
        <v>0</v>
      </c>
      <c r="T1656" s="36">
        <f>RTD("ice.rtd",,$C1656 &amp; $D1656 &amp; ":" &amp; T$1)</f>
        <v>0</v>
      </c>
      <c r="U1656" s="18">
        <f>RTD("ice.rtd",,$C1656 &amp; $D1656 &amp; ":" &amp; U$1)</f>
        <v>21.069000000000003</v>
      </c>
      <c r="V16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6" s="18" t="str">
        <f>IFERROR(IF(LEFT(ICE[[#This Row],[Tenor]], 1) = "B", RTD("esrtd",,$B1656 &amp; " " &amp; ICE[[#This Row],[Tenor]] &amp; "-IEU", W$1), RTD("esrtd",,$B1656 &amp; " " &amp; VLOOKUP(MONTH(ICE[[#This Row],[Strip]]), MthRef[], 2, 0) &amp; RIGHT(YEAR(ICE[[#This Row],[Strip]]), 2) &amp; "-IEU", W$1)), "")</f>
        <v/>
      </c>
      <c r="X1656" s="36"/>
    </row>
    <row r="1657" spans="1:24" x14ac:dyDescent="0.25">
      <c r="A1657" s="37" t="s">
        <v>853</v>
      </c>
      <c r="B1657" s="88" t="str">
        <f>RTD("ice.rtd",,$C1657 &amp; $D1657 &amp; ":" &amp; B$1)</f>
        <v>DBI</v>
      </c>
      <c r="C1657" s="3" t="s">
        <v>856</v>
      </c>
      <c r="D1657" t="s">
        <v>865</v>
      </c>
      <c r="E1657" s="3" t="str">
        <f>RTD("ice.rtd",,$C1657 &amp; $D1657 &amp; ":" &amp; E$1)</f>
        <v>Sep26/Apr27</v>
      </c>
      <c r="F1657" s="3" t="str">
        <f>ICE[[#This Row],[Prod]]&amp;ICE[[#This Row],[Strip]]</f>
        <v>dubSep26/Apr27</v>
      </c>
      <c r="G1657" s="18" t="str">
        <f>RTD("ice.rtd",,$C1657 &amp; $D1657 &amp; ":" &amp; G$1)</f>
        <v/>
      </c>
      <c r="H1657" s="18" t="str">
        <f>RTD("ice.rtd",,$C1657 &amp; $D1657 &amp; ":" &amp; H$1)</f>
        <v/>
      </c>
      <c r="I1657" s="18" t="str">
        <f>RTD("ice.rtd",,$C1657 &amp; $D1657 &amp; ":" &amp; I$1)</f>
        <v/>
      </c>
      <c r="J1657" s="14" t="str">
        <f>IFERROR(MOD(RTD("ice.rtd",,$C1657 &amp; $D1657 &amp; ":" &amp; J$1), 1), "")</f>
        <v/>
      </c>
      <c r="K1657" s="18" t="str">
        <f>RTD("ice.rtd",,$C1657 &amp; $D1657 &amp; ":" &amp; K$1)</f>
        <v/>
      </c>
      <c r="L1657" s="36" t="str">
        <f>RTD("ice.rtd",,$C1657 &amp; $D1657 &amp; ":" &amp; L$1)</f>
        <v/>
      </c>
      <c r="M1657" s="14" t="str">
        <f>IFERROR(MOD(TIMEVALUE(RTD("ice.rtd",,$C1657 &amp; $D1657 &amp; ":" &amp; M$1)), 1), "")</f>
        <v/>
      </c>
      <c r="N1657" s="36">
        <f>RTD("ice.rtd",,$C1657 &amp; $D1657 &amp; ":" &amp; N$1)</f>
        <v>0</v>
      </c>
      <c r="O1657" s="36">
        <f>RTD("ice.rtd",,$C1657 &amp; $D1657 &amp; ":" &amp; O$1)</f>
        <v>0</v>
      </c>
      <c r="P16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7" s="14" t="str">
        <f>IF(ICE[[#This Row],[LastType]] = "Scrn", ICE[[#This Row],[LstDate]], IF(ICE[[#This Row],[LastType]] = "Blk", ICE[[#This Row],[LstBlkTime]], ""))</f>
        <v/>
      </c>
      <c r="R1657" s="41" t="str">
        <f>IF(ICE[[#This Row],[LastType]] = "Scrn", ICE[[#This Row],[LstPrc]], IF(ICE[[#This Row],[LastType]] = "Blk", ICE[[#This Row],[LstBlkPrc]], ""))</f>
        <v/>
      </c>
      <c r="S1657" s="36">
        <f>ICE[[#This Row],[Vol]]+ICE[[#This Row],[BlkVol]]</f>
        <v>0</v>
      </c>
      <c r="T1657" s="36">
        <f>RTD("ice.rtd",,$C1657 &amp; $D1657 &amp; ":" &amp; T$1)</f>
        <v>0</v>
      </c>
      <c r="U1657" s="18">
        <f>RTD("ice.rtd",,$C1657 &amp; $D1657 &amp; ":" &amp; U$1)</f>
        <v>21.954000000000008</v>
      </c>
      <c r="V16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7" s="18" t="str">
        <f>IFERROR(IF(LEFT(ICE[[#This Row],[Tenor]], 1) = "B", RTD("esrtd",,$B1657 &amp; " " &amp; ICE[[#This Row],[Tenor]] &amp; "-IEU", W$1), RTD("esrtd",,$B1657 &amp; " " &amp; VLOOKUP(MONTH(ICE[[#This Row],[Strip]]), MthRef[], 2, 0) &amp; RIGHT(YEAR(ICE[[#This Row],[Strip]]), 2) &amp; "-IEU", W$1)), "")</f>
        <v/>
      </c>
      <c r="X1657" s="36"/>
    </row>
    <row r="1658" spans="1:24" x14ac:dyDescent="0.25">
      <c r="A1658" s="37" t="s">
        <v>853</v>
      </c>
      <c r="B1658" s="88" t="str">
        <f>RTD("ice.rtd",,$C1658 &amp; $D1658 &amp; ":" &amp; B$1)</f>
        <v>DBI</v>
      </c>
      <c r="C1658" s="3" t="s">
        <v>856</v>
      </c>
      <c r="D1658" t="s">
        <v>866</v>
      </c>
      <c r="E1658" s="3" t="str">
        <f>RTD("ice.rtd",,$C1658 &amp; $D1658 &amp; ":" &amp; E$1)</f>
        <v>Sep26/May27</v>
      </c>
      <c r="F1658" s="3" t="str">
        <f>ICE[[#This Row],[Prod]]&amp;ICE[[#This Row],[Strip]]</f>
        <v>dubSep26/May27</v>
      </c>
      <c r="G1658" s="18" t="str">
        <f>RTD("ice.rtd",,$C1658 &amp; $D1658 &amp; ":" &amp; G$1)</f>
        <v/>
      </c>
      <c r="H1658" s="18" t="str">
        <f>RTD("ice.rtd",,$C1658 &amp; $D1658 &amp; ":" &amp; H$1)</f>
        <v/>
      </c>
      <c r="I1658" s="18" t="str">
        <f>RTD("ice.rtd",,$C1658 &amp; $D1658 &amp; ":" &amp; I$1)</f>
        <v/>
      </c>
      <c r="J1658" s="14" t="str">
        <f>IFERROR(MOD(RTD("ice.rtd",,$C1658 &amp; $D1658 &amp; ":" &amp; J$1), 1), "")</f>
        <v/>
      </c>
      <c r="K1658" s="18" t="str">
        <f>RTD("ice.rtd",,$C1658 &amp; $D1658 &amp; ":" &amp; K$1)</f>
        <v/>
      </c>
      <c r="L1658" s="36" t="str">
        <f>RTD("ice.rtd",,$C1658 &amp; $D1658 &amp; ":" &amp; L$1)</f>
        <v/>
      </c>
      <c r="M1658" s="14" t="str">
        <f>IFERROR(MOD(TIMEVALUE(RTD("ice.rtd",,$C1658 &amp; $D1658 &amp; ":" &amp; M$1)), 1), "")</f>
        <v/>
      </c>
      <c r="N1658" s="36">
        <f>RTD("ice.rtd",,$C1658 &amp; $D1658 &amp; ":" &amp; N$1)</f>
        <v>0</v>
      </c>
      <c r="O1658" s="36">
        <f>RTD("ice.rtd",,$C1658 &amp; $D1658 &amp; ":" &amp; O$1)</f>
        <v>0</v>
      </c>
      <c r="P16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58" s="14" t="str">
        <f>IF(ICE[[#This Row],[LastType]] = "Scrn", ICE[[#This Row],[LstDate]], IF(ICE[[#This Row],[LastType]] = "Blk", ICE[[#This Row],[LstBlkTime]], ""))</f>
        <v/>
      </c>
      <c r="R1658" s="41" t="str">
        <f>IF(ICE[[#This Row],[LastType]] = "Scrn", ICE[[#This Row],[LstPrc]], IF(ICE[[#This Row],[LastType]] = "Blk", ICE[[#This Row],[LstBlkPrc]], ""))</f>
        <v/>
      </c>
      <c r="S1658" s="36">
        <f>ICE[[#This Row],[Vol]]+ICE[[#This Row],[BlkVol]]</f>
        <v>0</v>
      </c>
      <c r="T1658" s="36">
        <f>RTD("ice.rtd",,$C1658 &amp; $D1658 &amp; ":" &amp; T$1)</f>
        <v>0</v>
      </c>
      <c r="U1658" s="18">
        <f>RTD("ice.rtd",,$C1658 &amp; $D1658 &amp; ":" &amp; U$1)</f>
        <v>22.675000000000011</v>
      </c>
      <c r="V16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58" s="18" t="str">
        <f>IFERROR(IF(LEFT(ICE[[#This Row],[Tenor]], 1) = "B", RTD("esrtd",,$B1658 &amp; " " &amp; ICE[[#This Row],[Tenor]] &amp; "-IEU", W$1), RTD("esrtd",,$B1658 &amp; " " &amp; VLOOKUP(MONTH(ICE[[#This Row],[Strip]]), MthRef[], 2, 0) &amp; RIGHT(YEAR(ICE[[#This Row],[Strip]]), 2) &amp; "-IEU", W$1)), "")</f>
        <v/>
      </c>
      <c r="X1658" s="36"/>
    </row>
    <row r="1659" spans="1:24" x14ac:dyDescent="0.25">
      <c r="A1659" s="37" t="s">
        <v>853</v>
      </c>
      <c r="B1659" s="88" t="str">
        <f>RTD("ice.rtd",,$C1659 &amp; $D1659 &amp; ":" &amp; B$1)</f>
        <v>DBI</v>
      </c>
      <c r="C1659" s="3" t="s">
        <v>856</v>
      </c>
      <c r="D1659" t="s">
        <v>867</v>
      </c>
      <c r="E1659" s="3" t="str">
        <f>RTD("ice.rtd",,$C1659 &amp; $D1659 &amp; ":" &amp; E$1)</f>
        <v>Oct26/Nov26</v>
      </c>
      <c r="F1659" s="3" t="str">
        <f>ICE[[#This Row],[Prod]]&amp;ICE[[#This Row],[Strip]]</f>
        <v>dubOct26/Nov26</v>
      </c>
      <c r="G1659" s="18">
        <f>RTD("ice.rtd",,$C1659 &amp; $D1659 &amp; ":" &amp; G$1)</f>
        <v>4.71</v>
      </c>
      <c r="H1659" s="18">
        <f>RTD("ice.rtd",,$C1659 &amp; $D1659 &amp; ":" &amp; H$1)</f>
        <v>4.74</v>
      </c>
      <c r="I1659" s="18">
        <f>RTD("ice.rtd",,$C1659 &amp; $D1659 &amp; ":" &amp; I$1)</f>
        <v>4.7300000000000004</v>
      </c>
      <c r="J1659" s="14">
        <f>IFERROR(MOD(RTD("ice.rtd",,$C1659 &amp; $D1659 &amp; ":" &amp; J$1), 1), "")</f>
        <v>0.46369059028074844</v>
      </c>
      <c r="K1659" s="18" t="str">
        <f>RTD("ice.rtd",,$C1659 &amp; $D1659 &amp; ":" &amp; K$1)</f>
        <v/>
      </c>
      <c r="L1659" s="36" t="str">
        <f>RTD("ice.rtd",,$C1659 &amp; $D1659 &amp; ":" &amp; L$1)</f>
        <v/>
      </c>
      <c r="M1659" s="14" t="str">
        <f>IFERROR(MOD(TIMEVALUE(RTD("ice.rtd",,$C1659 &amp; $D1659 &amp; ":" &amp; M$1)), 1), "")</f>
        <v/>
      </c>
      <c r="N1659" s="36">
        <f>RTD("ice.rtd",,$C1659 &amp; $D1659 &amp; ":" &amp; N$1)</f>
        <v>7126</v>
      </c>
      <c r="O1659" s="36">
        <f>RTD("ice.rtd",,$C1659 &amp; $D1659 &amp; ":" &amp; O$1)</f>
        <v>100</v>
      </c>
      <c r="P16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59" s="14">
        <f>IF(ICE[[#This Row],[LastType]] = "Scrn", ICE[[#This Row],[LstDate]], IF(ICE[[#This Row],[LastType]] = "Blk", ICE[[#This Row],[LstBlkTime]], ""))</f>
        <v>0.46369059028074844</v>
      </c>
      <c r="R1659" s="41">
        <f>IF(ICE[[#This Row],[LastType]] = "Scrn", ICE[[#This Row],[LstPrc]], IF(ICE[[#This Row],[LastType]] = "Blk", ICE[[#This Row],[LstBlkPrc]], ""))</f>
        <v>4.7300000000000004</v>
      </c>
      <c r="S1659" s="36">
        <f>ICE[[#This Row],[Vol]]+ICE[[#This Row],[BlkVol]]</f>
        <v>7226</v>
      </c>
      <c r="T1659" s="36">
        <f>RTD("ice.rtd",,$C1659 &amp; $D1659 &amp; ":" &amp; T$1)</f>
        <v>0</v>
      </c>
      <c r="U1659" s="18">
        <f>RTD("ice.rtd",,$C1659 &amp; $D1659 &amp; ":" &amp; U$1)</f>
        <v>4.3640000000000043</v>
      </c>
      <c r="V16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4.71 / 4.74 {4.73} |7,226x</v>
      </c>
      <c r="W1659" s="18" t="str">
        <f>IFERROR(IF(LEFT(ICE[[#This Row],[Tenor]], 1) = "B", RTD("esrtd",,$B1659 &amp; " " &amp; ICE[[#This Row],[Tenor]] &amp; "-IEU", W$1), RTD("esrtd",,$B1659 &amp; " " &amp; VLOOKUP(MONTH(ICE[[#This Row],[Strip]]), MthRef[], 2, 0) &amp; RIGHT(YEAR(ICE[[#This Row],[Strip]]), 2) &amp; "-IEU", W$1)), "")</f>
        <v/>
      </c>
      <c r="X1659" s="36"/>
    </row>
    <row r="1660" spans="1:24" x14ac:dyDescent="0.25">
      <c r="A1660" s="37" t="s">
        <v>853</v>
      </c>
      <c r="B1660" s="88" t="str">
        <f>RTD("ice.rtd",,$C1660 &amp; $D1660 &amp; ":" &amp; B$1)</f>
        <v>DBI</v>
      </c>
      <c r="C1660" s="3" t="s">
        <v>856</v>
      </c>
      <c r="D1660" t="s">
        <v>868</v>
      </c>
      <c r="E1660" s="3" t="str">
        <f>RTD("ice.rtd",,$C1660 &amp; $D1660 &amp; ":" &amp; E$1)</f>
        <v>Oct26/Dec26</v>
      </c>
      <c r="F1660" s="3" t="str">
        <f>ICE[[#This Row],[Prod]]&amp;ICE[[#This Row],[Strip]]</f>
        <v>dubOct26/Dec26</v>
      </c>
      <c r="G1660" s="18">
        <f>RTD("ice.rtd",,$C1660 &amp; $D1660 &amp; ":" &amp; G$1)</f>
        <v>7.64</v>
      </c>
      <c r="H1660" s="18">
        <f>RTD("ice.rtd",,$C1660 &amp; $D1660 &amp; ":" &amp; H$1)</f>
        <v>7.67</v>
      </c>
      <c r="I1660" s="18">
        <f>RTD("ice.rtd",,$C1660 &amp; $D1660 &amp; ":" &amp; I$1)</f>
        <v>7.67</v>
      </c>
      <c r="J1660" s="14">
        <f>IFERROR(MOD(RTD("ice.rtd",,$C1660 &amp; $D1660 &amp; ":" &amp; J$1), 1), "")</f>
        <v>0.46369091435190057</v>
      </c>
      <c r="K1660" s="18">
        <f>RTD("ice.rtd",,$C1660 &amp; $D1660 &amp; ":" &amp; K$1)</f>
        <v>7.74</v>
      </c>
      <c r="L1660" s="36">
        <f>RTD("ice.rtd",,$C1660 &amp; $D1660 &amp; ":" &amp; L$1)</f>
        <v>750</v>
      </c>
      <c r="M1660" s="14">
        <f>IFERROR(MOD(TIMEVALUE(RTD("ice.rtd",,$C1660 &amp; $D1660 &amp; ":" &amp; M$1)), 1), "")</f>
        <v>0.41516203703703702</v>
      </c>
      <c r="N1660" s="36">
        <f>RTD("ice.rtd",,$C1660 &amp; $D1660 &amp; ":" &amp; N$1)</f>
        <v>343</v>
      </c>
      <c r="O1660" s="36">
        <f>RTD("ice.rtd",,$C1660 &amp; $D1660 &amp; ":" &amp; O$1)</f>
        <v>1250</v>
      </c>
      <c r="P16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60" s="14">
        <f>IF(ICE[[#This Row],[LastType]] = "Scrn", ICE[[#This Row],[LstDate]], IF(ICE[[#This Row],[LastType]] = "Blk", ICE[[#This Row],[LstBlkTime]], ""))</f>
        <v>0.46369091435190057</v>
      </c>
      <c r="R1660" s="41">
        <f>IF(ICE[[#This Row],[LastType]] = "Scrn", ICE[[#This Row],[LstPrc]], IF(ICE[[#This Row],[LastType]] = "Blk", ICE[[#This Row],[LstBlkPrc]], ""))</f>
        <v>7.67</v>
      </c>
      <c r="S1660" s="36">
        <f>ICE[[#This Row],[Vol]]+ICE[[#This Row],[BlkVol]]</f>
        <v>1593</v>
      </c>
      <c r="T1660" s="36">
        <f>RTD("ice.rtd",,$C1660 &amp; $D1660 &amp; ":" &amp; T$1)</f>
        <v>0</v>
      </c>
      <c r="U1660" s="18">
        <f>RTD("ice.rtd",,$C1660 &amp; $D1660 &amp; ":" &amp; U$1)</f>
        <v>7.1779999999999973</v>
      </c>
      <c r="V16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7.64 / 7.67 {7.67} |1,593x</v>
      </c>
      <c r="W1660" s="18" t="str">
        <f>IFERROR(IF(LEFT(ICE[[#This Row],[Tenor]], 1) = "B", RTD("esrtd",,$B1660 &amp; " " &amp; ICE[[#This Row],[Tenor]] &amp; "-IEU", W$1), RTD("esrtd",,$B1660 &amp; " " &amp; VLOOKUP(MONTH(ICE[[#This Row],[Strip]]), MthRef[], 2, 0) &amp; RIGHT(YEAR(ICE[[#This Row],[Strip]]), 2) &amp; "-IEU", W$1)), "")</f>
        <v/>
      </c>
      <c r="X1660" s="36"/>
    </row>
    <row r="1661" spans="1:24" x14ac:dyDescent="0.25">
      <c r="A1661" s="37" t="s">
        <v>853</v>
      </c>
      <c r="B1661" s="88" t="str">
        <f>RTD("ice.rtd",,$C1661 &amp; $D1661 &amp; ":" &amp; B$1)</f>
        <v>DBI</v>
      </c>
      <c r="C1661" s="3" t="s">
        <v>856</v>
      </c>
      <c r="D1661" t="s">
        <v>858</v>
      </c>
      <c r="E1661" s="3" t="str">
        <f>RTD("ice.rtd",,$C1661 &amp; $D1661 &amp; ":" &amp; E$1)</f>
        <v>Oct26/Jan27</v>
      </c>
      <c r="F1661" s="3" t="str">
        <f>ICE[[#This Row],[Prod]]&amp;ICE[[#This Row],[Strip]]</f>
        <v>dubOct26/Jan27</v>
      </c>
      <c r="G1661" s="18">
        <f>RTD("ice.rtd",,$C1661 &amp; $D1661 &amp; ":" &amp; G$1)</f>
        <v>9.5</v>
      </c>
      <c r="H1661" s="18">
        <f>RTD("ice.rtd",,$C1661 &amp; $D1661 &amp; ":" &amp; H$1)</f>
        <v>9.5500000000000007</v>
      </c>
      <c r="I1661" s="18">
        <f>RTD("ice.rtd",,$C1661 &amp; $D1661 &amp; ":" &amp; I$1)</f>
        <v>9.69</v>
      </c>
      <c r="J1661" s="14">
        <f>IFERROR(MOD(RTD("ice.rtd",,$C1661 &amp; $D1661 &amp; ":" &amp; J$1), 1), "")</f>
        <v>0.39196461805840954</v>
      </c>
      <c r="K1661" s="18" t="str">
        <f>RTD("ice.rtd",,$C1661 &amp; $D1661 &amp; ":" &amp; K$1)</f>
        <v/>
      </c>
      <c r="L1661" s="36" t="str">
        <f>RTD("ice.rtd",,$C1661 &amp; $D1661 &amp; ":" &amp; L$1)</f>
        <v/>
      </c>
      <c r="M1661" s="14" t="str">
        <f>IFERROR(MOD(TIMEVALUE(RTD("ice.rtd",,$C1661 &amp; $D1661 &amp; ":" &amp; M$1)), 1), "")</f>
        <v/>
      </c>
      <c r="N1661" s="36">
        <f>RTD("ice.rtd",,$C1661 &amp; $D1661 &amp; ":" &amp; N$1)</f>
        <v>7</v>
      </c>
      <c r="O1661" s="36">
        <f>RTD("ice.rtd",,$C1661 &amp; $D1661 &amp; ":" &amp; O$1)</f>
        <v>0</v>
      </c>
      <c r="P16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61" s="14">
        <f>IF(ICE[[#This Row],[LastType]] = "Scrn", ICE[[#This Row],[LstDate]], IF(ICE[[#This Row],[LastType]] = "Blk", ICE[[#This Row],[LstBlkTime]], ""))</f>
        <v>0.39196461805840954</v>
      </c>
      <c r="R1661" s="41">
        <f>IF(ICE[[#This Row],[LastType]] = "Scrn", ICE[[#This Row],[LstPrc]], IF(ICE[[#This Row],[LastType]] = "Blk", ICE[[#This Row],[LstBlkPrc]], ""))</f>
        <v>9.69</v>
      </c>
      <c r="S1661" s="36">
        <f>ICE[[#This Row],[Vol]]+ICE[[#This Row],[BlkVol]]</f>
        <v>7</v>
      </c>
      <c r="T1661" s="36">
        <f>RTD("ice.rtd",,$C1661 &amp; $D1661 &amp; ":" &amp; T$1)</f>
        <v>0</v>
      </c>
      <c r="U1661" s="18">
        <f>RTD("ice.rtd",,$C1661 &amp; $D1661 &amp; ":" &amp; U$1)</f>
        <v>9.1069999999999993</v>
      </c>
      <c r="V16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9.50 / 9.55 {9.69} |7x</v>
      </c>
      <c r="W1661" s="18" t="str">
        <f>IFERROR(IF(LEFT(ICE[[#This Row],[Tenor]], 1) = "B", RTD("esrtd",,$B1661 &amp; " " &amp; ICE[[#This Row],[Tenor]] &amp; "-IEU", W$1), RTD("esrtd",,$B1661 &amp; " " &amp; VLOOKUP(MONTH(ICE[[#This Row],[Strip]]), MthRef[], 2, 0) &amp; RIGHT(YEAR(ICE[[#This Row],[Strip]]), 2) &amp; "-IEU", W$1)), "")</f>
        <v/>
      </c>
      <c r="X1661" s="36"/>
    </row>
    <row r="1662" spans="1:24" x14ac:dyDescent="0.25">
      <c r="A1662" s="37" t="s">
        <v>853</v>
      </c>
      <c r="B1662" s="88" t="str">
        <f>RTD("ice.rtd",,$C1662 &amp; $D1662 &amp; ":" &amp; B$1)</f>
        <v>DBI</v>
      </c>
      <c r="C1662" s="3" t="s">
        <v>856</v>
      </c>
      <c r="D1662" t="s">
        <v>869</v>
      </c>
      <c r="E1662" s="3" t="str">
        <f>RTD("ice.rtd",,$C1662 &amp; $D1662 &amp; ":" &amp; E$1)</f>
        <v>Oct26/Feb27</v>
      </c>
      <c r="F1662" s="3" t="str">
        <f>ICE[[#This Row],[Prod]]&amp;ICE[[#This Row],[Strip]]</f>
        <v>dubOct26/Feb27</v>
      </c>
      <c r="G1662" s="18">
        <f>RTD("ice.rtd",,$C1662 &amp; $D1662 &amp; ":" &amp; G$1)</f>
        <v>10.81</v>
      </c>
      <c r="H1662" s="18">
        <f>RTD("ice.rtd",,$C1662 &amp; $D1662 &amp; ":" &amp; H$1)</f>
        <v>10.95</v>
      </c>
      <c r="I1662" s="18" t="str">
        <f>RTD("ice.rtd",,$C1662 &amp; $D1662 &amp; ":" &amp; I$1)</f>
        <v/>
      </c>
      <c r="J1662" s="14" t="str">
        <f>IFERROR(MOD(RTD("ice.rtd",,$C1662 &amp; $D1662 &amp; ":" &amp; J$1), 1), "")</f>
        <v/>
      </c>
      <c r="K1662" s="18" t="str">
        <f>RTD("ice.rtd",,$C1662 &amp; $D1662 &amp; ":" &amp; K$1)</f>
        <v/>
      </c>
      <c r="L1662" s="36" t="str">
        <f>RTD("ice.rtd",,$C1662 &amp; $D1662 &amp; ":" &amp; L$1)</f>
        <v/>
      </c>
      <c r="M1662" s="14" t="str">
        <f>IFERROR(MOD(TIMEVALUE(RTD("ice.rtd",,$C1662 &amp; $D1662 &amp; ":" &amp; M$1)), 1), "")</f>
        <v/>
      </c>
      <c r="N1662" s="36">
        <f>RTD("ice.rtd",,$C1662 &amp; $D1662 &amp; ":" &amp; N$1)</f>
        <v>0</v>
      </c>
      <c r="O1662" s="36">
        <f>RTD("ice.rtd",,$C1662 &amp; $D1662 &amp; ":" &amp; O$1)</f>
        <v>0</v>
      </c>
      <c r="P16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62" s="14" t="str">
        <f>IF(ICE[[#This Row],[LastType]] = "Scrn", ICE[[#This Row],[LstDate]], IF(ICE[[#This Row],[LastType]] = "Blk", ICE[[#This Row],[LstBlkTime]], ""))</f>
        <v/>
      </c>
      <c r="R1662" s="41" t="str">
        <f>IF(ICE[[#This Row],[LastType]] = "Scrn", ICE[[#This Row],[LstPrc]], IF(ICE[[#This Row],[LastType]] = "Blk", ICE[[#This Row],[LstBlkPrc]], ""))</f>
        <v/>
      </c>
      <c r="S1662" s="36">
        <f>ICE[[#This Row],[Vol]]+ICE[[#This Row],[BlkVol]]</f>
        <v>0</v>
      </c>
      <c r="T1662" s="36">
        <f>RTD("ice.rtd",,$C1662 &amp; $D1662 &amp; ":" &amp; T$1)</f>
        <v>0</v>
      </c>
      <c r="U1662" s="18">
        <f>RTD("ice.rtd",,$C1662 &amp; $D1662 &amp; ":" &amp; U$1)</f>
        <v>10.497</v>
      </c>
      <c r="V16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10.81 / 10.95 </v>
      </c>
      <c r="W1662" s="18" t="str">
        <f>IFERROR(IF(LEFT(ICE[[#This Row],[Tenor]], 1) = "B", RTD("esrtd",,$B1662 &amp; " " &amp; ICE[[#This Row],[Tenor]] &amp; "-IEU", W$1), RTD("esrtd",,$B1662 &amp; " " &amp; VLOOKUP(MONTH(ICE[[#This Row],[Strip]]), MthRef[], 2, 0) &amp; RIGHT(YEAR(ICE[[#This Row],[Strip]]), 2) &amp; "-IEU", W$1)), "")</f>
        <v/>
      </c>
      <c r="X1662" s="36"/>
    </row>
    <row r="1663" spans="1:24" x14ac:dyDescent="0.25">
      <c r="A1663" s="37" t="s">
        <v>853</v>
      </c>
      <c r="B1663" s="88" t="str">
        <f>RTD("ice.rtd",,$C1663 &amp; $D1663 &amp; ":" &amp; B$1)</f>
        <v>DBI</v>
      </c>
      <c r="C1663" s="3" t="s">
        <v>856</v>
      </c>
      <c r="D1663" t="s">
        <v>870</v>
      </c>
      <c r="E1663" s="3" t="str">
        <f>RTD("ice.rtd",,$C1663 &amp; $D1663 &amp; ":" &amp; E$1)</f>
        <v>Oct26/Mar27</v>
      </c>
      <c r="F1663" s="3" t="str">
        <f>ICE[[#This Row],[Prod]]&amp;ICE[[#This Row],[Strip]]</f>
        <v>dubOct26/Mar27</v>
      </c>
      <c r="G1663" s="18">
        <f>RTD("ice.rtd",,$C1663 &amp; $D1663 &amp; ":" &amp; G$1)</f>
        <v>11.86</v>
      </c>
      <c r="H1663" s="18">
        <f>RTD("ice.rtd",,$C1663 &amp; $D1663 &amp; ":" &amp; H$1)</f>
        <v>12.02</v>
      </c>
      <c r="I1663" s="18" t="str">
        <f>RTD("ice.rtd",,$C1663 &amp; $D1663 &amp; ":" &amp; I$1)</f>
        <v/>
      </c>
      <c r="J1663" s="14" t="str">
        <f>IFERROR(MOD(RTD("ice.rtd",,$C1663 &amp; $D1663 &amp; ":" &amp; J$1), 1), "")</f>
        <v/>
      </c>
      <c r="K1663" s="18" t="str">
        <f>RTD("ice.rtd",,$C1663 &amp; $D1663 &amp; ":" &amp; K$1)</f>
        <v/>
      </c>
      <c r="L1663" s="36" t="str">
        <f>RTD("ice.rtd",,$C1663 &amp; $D1663 &amp; ":" &amp; L$1)</f>
        <v/>
      </c>
      <c r="M1663" s="14" t="str">
        <f>IFERROR(MOD(TIMEVALUE(RTD("ice.rtd",,$C1663 &amp; $D1663 &amp; ":" &amp; M$1)), 1), "")</f>
        <v/>
      </c>
      <c r="N1663" s="36">
        <f>RTD("ice.rtd",,$C1663 &amp; $D1663 &amp; ":" &amp; N$1)</f>
        <v>0</v>
      </c>
      <c r="O1663" s="36">
        <f>RTD("ice.rtd",,$C1663 &amp; $D1663 &amp; ":" &amp; O$1)</f>
        <v>0</v>
      </c>
      <c r="P16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63" s="14" t="str">
        <f>IF(ICE[[#This Row],[LastType]] = "Scrn", ICE[[#This Row],[LstDate]], IF(ICE[[#This Row],[LastType]] = "Blk", ICE[[#This Row],[LstBlkTime]], ""))</f>
        <v/>
      </c>
      <c r="R1663" s="41" t="str">
        <f>IF(ICE[[#This Row],[LastType]] = "Scrn", ICE[[#This Row],[LstPrc]], IF(ICE[[#This Row],[LastType]] = "Blk", ICE[[#This Row],[LstBlkPrc]], ""))</f>
        <v/>
      </c>
      <c r="S1663" s="36">
        <f>ICE[[#This Row],[Vol]]+ICE[[#This Row],[BlkVol]]</f>
        <v>0</v>
      </c>
      <c r="T1663" s="36">
        <f>RTD("ice.rtd",,$C1663 &amp; $D1663 &amp; ":" &amp; T$1)</f>
        <v>0</v>
      </c>
      <c r="U1663" s="18">
        <f>RTD("ice.rtd",,$C1663 &amp; $D1663 &amp; ":" &amp; U$1)</f>
        <v>11.576999999999998</v>
      </c>
      <c r="V16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11.86 / 12.02 </v>
      </c>
      <c r="W1663" s="18" t="str">
        <f>IFERROR(IF(LEFT(ICE[[#This Row],[Tenor]], 1) = "B", RTD("esrtd",,$B1663 &amp; " " &amp; ICE[[#This Row],[Tenor]] &amp; "-IEU", W$1), RTD("esrtd",,$B1663 &amp; " " &amp; VLOOKUP(MONTH(ICE[[#This Row],[Strip]]), MthRef[], 2, 0) &amp; RIGHT(YEAR(ICE[[#This Row],[Strip]]), 2) &amp; "-IEU", W$1)), "")</f>
        <v/>
      </c>
      <c r="X1663" s="36"/>
    </row>
    <row r="1664" spans="1:24" x14ac:dyDescent="0.25">
      <c r="A1664" s="37" t="s">
        <v>853</v>
      </c>
      <c r="B1664" s="88" t="str">
        <f>RTD("ice.rtd",,$C1664 &amp; $D1664 &amp; ":" &amp; B$1)</f>
        <v>DBI</v>
      </c>
      <c r="C1664" s="3" t="s">
        <v>856</v>
      </c>
      <c r="D1664" t="s">
        <v>871</v>
      </c>
      <c r="E1664" s="3" t="str">
        <f>RTD("ice.rtd",,$C1664 &amp; $D1664 &amp; ":" &amp; E$1)</f>
        <v>Oct26/Apr27</v>
      </c>
      <c r="F1664" s="3" t="str">
        <f>ICE[[#This Row],[Prod]]&amp;ICE[[#This Row],[Strip]]</f>
        <v>dubOct26/Apr27</v>
      </c>
      <c r="G1664" s="18">
        <f>RTD("ice.rtd",,$C1664 &amp; $D1664 &amp; ":" &amp; G$1)</f>
        <v>12.68</v>
      </c>
      <c r="H1664" s="18">
        <f>RTD("ice.rtd",,$C1664 &amp; $D1664 &amp; ":" &amp; H$1)</f>
        <v>12.87</v>
      </c>
      <c r="I1664" s="18" t="str">
        <f>RTD("ice.rtd",,$C1664 &amp; $D1664 &amp; ":" &amp; I$1)</f>
        <v/>
      </c>
      <c r="J1664" s="14" t="str">
        <f>IFERROR(MOD(RTD("ice.rtd",,$C1664 &amp; $D1664 &amp; ":" &amp; J$1), 1), "")</f>
        <v/>
      </c>
      <c r="K1664" s="18" t="str">
        <f>RTD("ice.rtd",,$C1664 &amp; $D1664 &amp; ":" &amp; K$1)</f>
        <v/>
      </c>
      <c r="L1664" s="36" t="str">
        <f>RTD("ice.rtd",,$C1664 &amp; $D1664 &amp; ":" &amp; L$1)</f>
        <v/>
      </c>
      <c r="M1664" s="14" t="str">
        <f>IFERROR(MOD(TIMEVALUE(RTD("ice.rtd",,$C1664 &amp; $D1664 &amp; ":" &amp; M$1)), 1), "")</f>
        <v/>
      </c>
      <c r="N1664" s="36">
        <f>RTD("ice.rtd",,$C1664 &amp; $D1664 &amp; ":" &amp; N$1)</f>
        <v>0</v>
      </c>
      <c r="O1664" s="36">
        <f>RTD("ice.rtd",,$C1664 &amp; $D1664 &amp; ":" &amp; O$1)</f>
        <v>0</v>
      </c>
      <c r="P16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64" s="14" t="str">
        <f>IF(ICE[[#This Row],[LastType]] = "Scrn", ICE[[#This Row],[LstDate]], IF(ICE[[#This Row],[LastType]] = "Blk", ICE[[#This Row],[LstBlkTime]], ""))</f>
        <v/>
      </c>
      <c r="R1664" s="41" t="str">
        <f>IF(ICE[[#This Row],[LastType]] = "Scrn", ICE[[#This Row],[LstPrc]], IF(ICE[[#This Row],[LastType]] = "Blk", ICE[[#This Row],[LstBlkPrc]], ""))</f>
        <v/>
      </c>
      <c r="S1664" s="36">
        <f>ICE[[#This Row],[Vol]]+ICE[[#This Row],[BlkVol]]</f>
        <v>0</v>
      </c>
      <c r="T1664" s="36">
        <f>RTD("ice.rtd",,$C1664 &amp; $D1664 &amp; ":" &amp; T$1)</f>
        <v>0</v>
      </c>
      <c r="U1664" s="18">
        <f>RTD("ice.rtd",,$C1664 &amp; $D1664 &amp; ":" &amp; U$1)</f>
        <v>12.462000000000003</v>
      </c>
      <c r="V16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12.68 / 12.87 </v>
      </c>
      <c r="W1664" s="18" t="str">
        <f>IFERROR(IF(LEFT(ICE[[#This Row],[Tenor]], 1) = "B", RTD("esrtd",,$B1664 &amp; " " &amp; ICE[[#This Row],[Tenor]] &amp; "-IEU", W$1), RTD("esrtd",,$B1664 &amp; " " &amp; VLOOKUP(MONTH(ICE[[#This Row],[Strip]]), MthRef[], 2, 0) &amp; RIGHT(YEAR(ICE[[#This Row],[Strip]]), 2) &amp; "-IEU", W$1)), "")</f>
        <v/>
      </c>
      <c r="X1664" s="36"/>
    </row>
    <row r="1665" spans="1:24" x14ac:dyDescent="0.25">
      <c r="A1665" s="37" t="s">
        <v>853</v>
      </c>
      <c r="B1665" s="88" t="str">
        <f>RTD("ice.rtd",,$C1665 &amp; $D1665 &amp; ":" &amp; B$1)</f>
        <v>DBI</v>
      </c>
      <c r="C1665" s="3" t="s">
        <v>856</v>
      </c>
      <c r="D1665" t="s">
        <v>872</v>
      </c>
      <c r="E1665" s="3" t="str">
        <f>RTD("ice.rtd",,$C1665 &amp; $D1665 &amp; ":" &amp; E$1)</f>
        <v>Oct26/Jul27</v>
      </c>
      <c r="F1665" s="3" t="str">
        <f>ICE[[#This Row],[Prod]]&amp;ICE[[#This Row],[Strip]]</f>
        <v>dubOct26/Jul27</v>
      </c>
      <c r="G1665" s="18" t="str">
        <f>RTD("ice.rtd",,$C1665 &amp; $D1665 &amp; ":" &amp; G$1)</f>
        <v/>
      </c>
      <c r="H1665" s="18" t="str">
        <f>RTD("ice.rtd",,$C1665 &amp; $D1665 &amp; ":" &amp; H$1)</f>
        <v/>
      </c>
      <c r="I1665" s="18" t="str">
        <f>RTD("ice.rtd",,$C1665 &amp; $D1665 &amp; ":" &amp; I$1)</f>
        <v/>
      </c>
      <c r="J1665" s="14" t="str">
        <f>IFERROR(MOD(RTD("ice.rtd",,$C1665 &amp; $D1665 &amp; ":" &amp; J$1), 1), "")</f>
        <v/>
      </c>
      <c r="K1665" s="18" t="str">
        <f>RTD("ice.rtd",,$C1665 &amp; $D1665 &amp; ":" &amp; K$1)</f>
        <v/>
      </c>
      <c r="L1665" s="36" t="str">
        <f>RTD("ice.rtd",,$C1665 &amp; $D1665 &amp; ":" &amp; L$1)</f>
        <v/>
      </c>
      <c r="M1665" s="14" t="str">
        <f>IFERROR(MOD(TIMEVALUE(RTD("ice.rtd",,$C1665 &amp; $D1665 &amp; ":" &amp; M$1)), 1), "")</f>
        <v/>
      </c>
      <c r="N1665" s="36">
        <f>RTD("ice.rtd",,$C1665 &amp; $D1665 &amp; ":" &amp; N$1)</f>
        <v>0</v>
      </c>
      <c r="O1665" s="36">
        <f>RTD("ice.rtd",,$C1665 &amp; $D1665 &amp; ":" &amp; O$1)</f>
        <v>0</v>
      </c>
      <c r="P16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65" s="14" t="str">
        <f>IF(ICE[[#This Row],[LastType]] = "Scrn", ICE[[#This Row],[LstDate]], IF(ICE[[#This Row],[LastType]] = "Blk", ICE[[#This Row],[LstBlkTime]], ""))</f>
        <v/>
      </c>
      <c r="R1665" s="41" t="str">
        <f>IF(ICE[[#This Row],[LastType]] = "Scrn", ICE[[#This Row],[LstPrc]], IF(ICE[[#This Row],[LastType]] = "Blk", ICE[[#This Row],[LstBlkPrc]], ""))</f>
        <v/>
      </c>
      <c r="S1665" s="36">
        <f>ICE[[#This Row],[Vol]]+ICE[[#This Row],[BlkVol]]</f>
        <v>0</v>
      </c>
      <c r="T1665" s="36">
        <f>RTD("ice.rtd",,$C1665 &amp; $D1665 &amp; ":" &amp; T$1)</f>
        <v>0</v>
      </c>
      <c r="U1665" s="18">
        <f>RTD("ice.rtd",,$C1665 &amp; $D1665 &amp; ":" &amp; U$1)</f>
        <v>14.388000000000005</v>
      </c>
      <c r="V16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65" s="18" t="str">
        <f>IFERROR(IF(LEFT(ICE[[#This Row],[Tenor]], 1) = "B", RTD("esrtd",,$B1665 &amp; " " &amp; ICE[[#This Row],[Tenor]] &amp; "-IEU", W$1), RTD("esrtd",,$B1665 &amp; " " &amp; VLOOKUP(MONTH(ICE[[#This Row],[Strip]]), MthRef[], 2, 0) &amp; RIGHT(YEAR(ICE[[#This Row],[Strip]]), 2) &amp; "-IEU", W$1)), "")</f>
        <v/>
      </c>
      <c r="X1665" s="36"/>
    </row>
    <row r="1666" spans="1:24" x14ac:dyDescent="0.25">
      <c r="A1666" s="37" t="s">
        <v>853</v>
      </c>
      <c r="B1666" s="88" t="str">
        <f>RTD("ice.rtd",,$C1666 &amp; $D1666 &amp; ":" &amp; B$1)</f>
        <v>DBI</v>
      </c>
      <c r="C1666" s="3" t="s">
        <v>856</v>
      </c>
      <c r="D1666" t="s">
        <v>873</v>
      </c>
      <c r="E1666" s="3" t="str">
        <f>RTD("ice.rtd",,$C1666 &amp; $D1666 &amp; ":" &amp; E$1)</f>
        <v>Nov26/Dec26</v>
      </c>
      <c r="F1666" s="3" t="str">
        <f>ICE[[#This Row],[Prod]]&amp;ICE[[#This Row],[Strip]]</f>
        <v>dubNov26/Dec26</v>
      </c>
      <c r="G1666" s="18">
        <f>RTD("ice.rtd",,$C1666 &amp; $D1666 &amp; ":" &amp; G$1)</f>
        <v>2.92</v>
      </c>
      <c r="H1666" s="18">
        <f>RTD("ice.rtd",,$C1666 &amp; $D1666 &amp; ":" &amp; H$1)</f>
        <v>2.94</v>
      </c>
      <c r="I1666" s="18">
        <f>RTD("ice.rtd",,$C1666 &amp; $D1666 &amp; ":" &amp; I$1)</f>
        <v>2.96</v>
      </c>
      <c r="J1666" s="14">
        <f>IFERROR(MOD(RTD("ice.rtd",,$C1666 &amp; $D1666 &amp; ":" &amp; J$1), 1), "")</f>
        <v>0.46051755786902504</v>
      </c>
      <c r="K1666" s="18">
        <f>RTD("ice.rtd",,$C1666 &amp; $D1666 &amp; ":" &amp; K$1)</f>
        <v>2.96</v>
      </c>
      <c r="L1666" s="36">
        <f>RTD("ice.rtd",,$C1666 &amp; $D1666 &amp; ":" &amp; L$1)</f>
        <v>75</v>
      </c>
      <c r="M1666" s="14">
        <f>IFERROR(MOD(TIMEVALUE(RTD("ice.rtd",,$C1666 &amp; $D1666 &amp; ":" &amp; M$1)), 1), "")</f>
        <v>0.39861111111111114</v>
      </c>
      <c r="N1666" s="36">
        <f>RTD("ice.rtd",,$C1666 &amp; $D1666 &amp; ":" &amp; N$1)</f>
        <v>4199</v>
      </c>
      <c r="O1666" s="36">
        <f>RTD("ice.rtd",,$C1666 &amp; $D1666 &amp; ":" &amp; O$1)</f>
        <v>475</v>
      </c>
      <c r="P16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66" s="14">
        <f>IF(ICE[[#This Row],[LastType]] = "Scrn", ICE[[#This Row],[LstDate]], IF(ICE[[#This Row],[LastType]] = "Blk", ICE[[#This Row],[LstBlkTime]], ""))</f>
        <v>0.46051755786902504</v>
      </c>
      <c r="R1666" s="41">
        <f>IF(ICE[[#This Row],[LastType]] = "Scrn", ICE[[#This Row],[LstPrc]], IF(ICE[[#This Row],[LastType]] = "Blk", ICE[[#This Row],[LstBlkPrc]], ""))</f>
        <v>2.96</v>
      </c>
      <c r="S1666" s="36">
        <f>ICE[[#This Row],[Vol]]+ICE[[#This Row],[BlkVol]]</f>
        <v>4674</v>
      </c>
      <c r="T1666" s="36">
        <f>RTD("ice.rtd",,$C1666 &amp; $D1666 &amp; ":" &amp; T$1)</f>
        <v>0</v>
      </c>
      <c r="U1666" s="18">
        <f>RTD("ice.rtd",,$C1666 &amp; $D1666 &amp; ":" &amp; U$1)</f>
        <v>2.813999999999993</v>
      </c>
      <c r="V16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2.92 / 2.94 {2.96} |4,674x</v>
      </c>
      <c r="W1666" s="18" t="str">
        <f>IFERROR(IF(LEFT(ICE[[#This Row],[Tenor]], 1) = "B", RTD("esrtd",,$B1666 &amp; " " &amp; ICE[[#This Row],[Tenor]] &amp; "-IEU", W$1), RTD("esrtd",,$B1666 &amp; " " &amp; VLOOKUP(MONTH(ICE[[#This Row],[Strip]]), MthRef[], 2, 0) &amp; RIGHT(YEAR(ICE[[#This Row],[Strip]]), 2) &amp; "-IEU", W$1)), "")</f>
        <v/>
      </c>
      <c r="X1666" s="36"/>
    </row>
    <row r="1667" spans="1:24" x14ac:dyDescent="0.25">
      <c r="A1667" s="37" t="s">
        <v>853</v>
      </c>
      <c r="B1667" s="88" t="str">
        <f>RTD("ice.rtd",,$C1667 &amp; $D1667 &amp; ":" &amp; B$1)</f>
        <v>DBI</v>
      </c>
      <c r="C1667" s="3" t="s">
        <v>856</v>
      </c>
      <c r="D1667" t="s">
        <v>874</v>
      </c>
      <c r="E1667" s="3" t="str">
        <f>RTD("ice.rtd",,$C1667 &amp; $D1667 &amp; ":" &amp; E$1)</f>
        <v>Nov26/Jan27</v>
      </c>
      <c r="F1667" s="3" t="str">
        <f>ICE[[#This Row],[Prod]]&amp;ICE[[#This Row],[Strip]]</f>
        <v>dubNov26/Jan27</v>
      </c>
      <c r="G1667" s="18">
        <f>RTD("ice.rtd",,$C1667 &amp; $D1667 &amp; ":" &amp; G$1)</f>
        <v>4.78</v>
      </c>
      <c r="H1667" s="18">
        <f>RTD("ice.rtd",,$C1667 &amp; $D1667 &amp; ":" &amp; H$1)</f>
        <v>4.82</v>
      </c>
      <c r="I1667" s="18">
        <f>RTD("ice.rtd",,$C1667 &amp; $D1667 &amp; ":" &amp; I$1)</f>
        <v>4.84</v>
      </c>
      <c r="J1667" s="14">
        <f>IFERROR(MOD(RTD("ice.rtd",,$C1667 &amp; $D1667 &amp; ":" &amp; J$1), 1), "")</f>
        <v>0.39571400463319151</v>
      </c>
      <c r="K1667" s="18" t="str">
        <f>RTD("ice.rtd",,$C1667 &amp; $D1667 &amp; ":" &amp; K$1)</f>
        <v/>
      </c>
      <c r="L1667" s="36" t="str">
        <f>RTD("ice.rtd",,$C1667 &amp; $D1667 &amp; ":" &amp; L$1)</f>
        <v/>
      </c>
      <c r="M1667" s="14" t="str">
        <f>IFERROR(MOD(TIMEVALUE(RTD("ice.rtd",,$C1667 &amp; $D1667 &amp; ":" &amp; M$1)), 1), "")</f>
        <v/>
      </c>
      <c r="N1667" s="36">
        <f>RTD("ice.rtd",,$C1667 &amp; $D1667 &amp; ":" &amp; N$1)</f>
        <v>13</v>
      </c>
      <c r="O1667" s="36">
        <f>RTD("ice.rtd",,$C1667 &amp; $D1667 &amp; ":" &amp; O$1)</f>
        <v>0</v>
      </c>
      <c r="P16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67" s="14">
        <f>IF(ICE[[#This Row],[LastType]] = "Scrn", ICE[[#This Row],[LstDate]], IF(ICE[[#This Row],[LastType]] = "Blk", ICE[[#This Row],[LstBlkTime]], ""))</f>
        <v>0.39571400463319151</v>
      </c>
      <c r="R1667" s="41">
        <f>IF(ICE[[#This Row],[LastType]] = "Scrn", ICE[[#This Row],[LstPrc]], IF(ICE[[#This Row],[LastType]] = "Blk", ICE[[#This Row],[LstBlkPrc]], ""))</f>
        <v>4.84</v>
      </c>
      <c r="S1667" s="36">
        <f>ICE[[#This Row],[Vol]]+ICE[[#This Row],[BlkVol]]</f>
        <v>13</v>
      </c>
      <c r="T1667" s="36">
        <f>RTD("ice.rtd",,$C1667 &amp; $D1667 &amp; ":" &amp; T$1)</f>
        <v>0</v>
      </c>
      <c r="U1667" s="18">
        <f>RTD("ice.rtd",,$C1667 &amp; $D1667 &amp; ":" &amp; U$1)</f>
        <v>4.742999999999995</v>
      </c>
      <c r="V16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4.78 / 4.82 {4.84} |13x</v>
      </c>
      <c r="W1667" s="18" t="str">
        <f>IFERROR(IF(LEFT(ICE[[#This Row],[Tenor]], 1) = "B", RTD("esrtd",,$B1667 &amp; " " &amp; ICE[[#This Row],[Tenor]] &amp; "-IEU", W$1), RTD("esrtd",,$B1667 &amp; " " &amp; VLOOKUP(MONTH(ICE[[#This Row],[Strip]]), MthRef[], 2, 0) &amp; RIGHT(YEAR(ICE[[#This Row],[Strip]]), 2) &amp; "-IEU", W$1)), "")</f>
        <v/>
      </c>
      <c r="X1667" s="36"/>
    </row>
    <row r="1668" spans="1:24" x14ac:dyDescent="0.25">
      <c r="A1668" s="37" t="s">
        <v>853</v>
      </c>
      <c r="B1668" s="88" t="str">
        <f>RTD("ice.rtd",,$C1668 &amp; $D1668 &amp; ":" &amp; B$1)</f>
        <v>DBI</v>
      </c>
      <c r="C1668" s="3" t="s">
        <v>856</v>
      </c>
      <c r="D1668" t="s">
        <v>875</v>
      </c>
      <c r="E1668" s="3" t="str">
        <f>RTD("ice.rtd",,$C1668 &amp; $D1668 &amp; ":" &amp; E$1)</f>
        <v>Nov26/Feb27</v>
      </c>
      <c r="F1668" s="3" t="str">
        <f>ICE[[#This Row],[Prod]]&amp;ICE[[#This Row],[Strip]]</f>
        <v>dubNov26/Feb27</v>
      </c>
      <c r="G1668" s="18">
        <f>RTD("ice.rtd",,$C1668 &amp; $D1668 &amp; ":" &amp; G$1)</f>
        <v>6.11</v>
      </c>
      <c r="H1668" s="18">
        <f>RTD("ice.rtd",,$C1668 &amp; $D1668 &amp; ":" &amp; H$1)</f>
        <v>6.21</v>
      </c>
      <c r="I1668" s="18">
        <f>RTD("ice.rtd",,$C1668 &amp; $D1668 &amp; ":" &amp; I$1)</f>
        <v>6.3</v>
      </c>
      <c r="J1668" s="14">
        <f>IFERROR(MOD(RTD("ice.rtd",,$C1668 &amp; $D1668 &amp; ":" &amp; J$1), 1), "")</f>
        <v>0.39583248842245666</v>
      </c>
      <c r="K1668" s="18" t="str">
        <f>RTD("ice.rtd",,$C1668 &amp; $D1668 &amp; ":" &amp; K$1)</f>
        <v/>
      </c>
      <c r="L1668" s="36" t="str">
        <f>RTD("ice.rtd",,$C1668 &amp; $D1668 &amp; ":" &amp; L$1)</f>
        <v/>
      </c>
      <c r="M1668" s="14" t="str">
        <f>IFERROR(MOD(TIMEVALUE(RTD("ice.rtd",,$C1668 &amp; $D1668 &amp; ":" &amp; M$1)), 1), "")</f>
        <v/>
      </c>
      <c r="N1668" s="36">
        <f>RTD("ice.rtd",,$C1668 &amp; $D1668 &amp; ":" &amp; N$1)</f>
        <v>1</v>
      </c>
      <c r="O1668" s="36">
        <f>RTD("ice.rtd",,$C1668 &amp; $D1668 &amp; ":" &amp; O$1)</f>
        <v>0</v>
      </c>
      <c r="P16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68" s="14">
        <f>IF(ICE[[#This Row],[LastType]] = "Scrn", ICE[[#This Row],[LstDate]], IF(ICE[[#This Row],[LastType]] = "Blk", ICE[[#This Row],[LstBlkTime]], ""))</f>
        <v>0.39583248842245666</v>
      </c>
      <c r="R1668" s="41">
        <f>IF(ICE[[#This Row],[LastType]] = "Scrn", ICE[[#This Row],[LstPrc]], IF(ICE[[#This Row],[LastType]] = "Blk", ICE[[#This Row],[LstBlkPrc]], ""))</f>
        <v>6.3</v>
      </c>
      <c r="S1668" s="36">
        <f>ICE[[#This Row],[Vol]]+ICE[[#This Row],[BlkVol]]</f>
        <v>1</v>
      </c>
      <c r="T1668" s="36">
        <f>RTD("ice.rtd",,$C1668 &amp; $D1668 &amp; ":" &amp; T$1)</f>
        <v>0</v>
      </c>
      <c r="U1668" s="18">
        <f>RTD("ice.rtd",,$C1668 &amp; $D1668 &amp; ":" &amp; U$1)</f>
        <v>6.1329999999999956</v>
      </c>
      <c r="V16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6.11 / 6.21 {6.30} |1x</v>
      </c>
      <c r="W1668" s="18" t="str">
        <f>IFERROR(IF(LEFT(ICE[[#This Row],[Tenor]], 1) = "B", RTD("esrtd",,$B1668 &amp; " " &amp; ICE[[#This Row],[Tenor]] &amp; "-IEU", W$1), RTD("esrtd",,$B1668 &amp; " " &amp; VLOOKUP(MONTH(ICE[[#This Row],[Strip]]), MthRef[], 2, 0) &amp; RIGHT(YEAR(ICE[[#This Row],[Strip]]), 2) &amp; "-IEU", W$1)), "")</f>
        <v/>
      </c>
      <c r="X1668" s="36"/>
    </row>
    <row r="1669" spans="1:24" x14ac:dyDescent="0.25">
      <c r="A1669" s="37" t="s">
        <v>853</v>
      </c>
      <c r="B1669" s="88" t="str">
        <f>RTD("ice.rtd",,$C1669 &amp; $D1669 &amp; ":" &amp; B$1)</f>
        <v>DBI</v>
      </c>
      <c r="C1669" s="3" t="s">
        <v>856</v>
      </c>
      <c r="D1669" t="s">
        <v>876</v>
      </c>
      <c r="E1669" s="3" t="str">
        <f>RTD("ice.rtd",,$C1669 &amp; $D1669 &amp; ":" &amp; E$1)</f>
        <v>Nov26/Mar27</v>
      </c>
      <c r="F1669" s="3" t="str">
        <f>ICE[[#This Row],[Prod]]&amp;ICE[[#This Row],[Strip]]</f>
        <v>dubNov26/Mar27</v>
      </c>
      <c r="G1669" s="18">
        <f>RTD("ice.rtd",,$C1669 &amp; $D1669 &amp; ":" &amp; G$1)</f>
        <v>7.15</v>
      </c>
      <c r="H1669" s="18">
        <f>RTD("ice.rtd",,$C1669 &amp; $D1669 &amp; ":" &amp; H$1)</f>
        <v>7.29</v>
      </c>
      <c r="I1669" s="18" t="str">
        <f>RTD("ice.rtd",,$C1669 &amp; $D1669 &amp; ":" &amp; I$1)</f>
        <v/>
      </c>
      <c r="J1669" s="14" t="str">
        <f>IFERROR(MOD(RTD("ice.rtd",,$C1669 &amp; $D1669 &amp; ":" &amp; J$1), 1), "")</f>
        <v/>
      </c>
      <c r="K1669" s="18" t="str">
        <f>RTD("ice.rtd",,$C1669 &amp; $D1669 &amp; ":" &amp; K$1)</f>
        <v/>
      </c>
      <c r="L1669" s="36" t="str">
        <f>RTD("ice.rtd",,$C1669 &amp; $D1669 &amp; ":" &amp; L$1)</f>
        <v/>
      </c>
      <c r="M1669" s="14" t="str">
        <f>IFERROR(MOD(TIMEVALUE(RTD("ice.rtd",,$C1669 &amp; $D1669 &amp; ":" &amp; M$1)), 1), "")</f>
        <v/>
      </c>
      <c r="N1669" s="36">
        <f>RTD("ice.rtd",,$C1669 &amp; $D1669 &amp; ":" &amp; N$1)</f>
        <v>0</v>
      </c>
      <c r="O1669" s="36">
        <f>RTD("ice.rtd",,$C1669 &amp; $D1669 &amp; ":" &amp; O$1)</f>
        <v>0</v>
      </c>
      <c r="P16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69" s="14" t="str">
        <f>IF(ICE[[#This Row],[LastType]] = "Scrn", ICE[[#This Row],[LstDate]], IF(ICE[[#This Row],[LastType]] = "Blk", ICE[[#This Row],[LstBlkTime]], ""))</f>
        <v/>
      </c>
      <c r="R1669" s="41" t="str">
        <f>IF(ICE[[#This Row],[LastType]] = "Scrn", ICE[[#This Row],[LstPrc]], IF(ICE[[#This Row],[LastType]] = "Blk", ICE[[#This Row],[LstBlkPrc]], ""))</f>
        <v/>
      </c>
      <c r="S1669" s="36">
        <f>ICE[[#This Row],[Vol]]+ICE[[#This Row],[BlkVol]]</f>
        <v>0</v>
      </c>
      <c r="T1669" s="36">
        <f>RTD("ice.rtd",,$C1669 &amp; $D1669 &amp; ":" &amp; T$1)</f>
        <v>0</v>
      </c>
      <c r="U1669" s="18">
        <f>RTD("ice.rtd",,$C1669 &amp; $D1669 &amp; ":" &amp; U$1)</f>
        <v>7.2129999999999939</v>
      </c>
      <c r="V16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7.15 / 7.29 </v>
      </c>
      <c r="W1669" s="18" t="str">
        <f>IFERROR(IF(LEFT(ICE[[#This Row],[Tenor]], 1) = "B", RTD("esrtd",,$B1669 &amp; " " &amp; ICE[[#This Row],[Tenor]] &amp; "-IEU", W$1), RTD("esrtd",,$B1669 &amp; " " &amp; VLOOKUP(MONTH(ICE[[#This Row],[Strip]]), MthRef[], 2, 0) &amp; RIGHT(YEAR(ICE[[#This Row],[Strip]]), 2) &amp; "-IEU", W$1)), "")</f>
        <v/>
      </c>
      <c r="X1669" s="36"/>
    </row>
    <row r="1670" spans="1:24" x14ac:dyDescent="0.25">
      <c r="A1670" s="37" t="s">
        <v>853</v>
      </c>
      <c r="B1670" s="88" t="str">
        <f>RTD("ice.rtd",,$C1670 &amp; $D1670 &amp; ":" &amp; B$1)</f>
        <v>DBI</v>
      </c>
      <c r="C1670" s="3" t="s">
        <v>856</v>
      </c>
      <c r="D1670" t="s">
        <v>859</v>
      </c>
      <c r="E1670" s="3" t="str">
        <f>RTD("ice.rtd",,$C1670 &amp; $D1670 &amp; ":" &amp; E$1)</f>
        <v>Nov26/Apr27</v>
      </c>
      <c r="F1670" s="3" t="str">
        <f>ICE[[#This Row],[Prod]]&amp;ICE[[#This Row],[Strip]]</f>
        <v>dubNov26/Apr27</v>
      </c>
      <c r="G1670" s="18" t="str">
        <f>RTD("ice.rtd",,$C1670 &amp; $D1670 &amp; ":" &amp; G$1)</f>
        <v/>
      </c>
      <c r="H1670" s="18" t="str">
        <f>RTD("ice.rtd",,$C1670 &amp; $D1670 &amp; ":" &amp; H$1)</f>
        <v/>
      </c>
      <c r="I1670" s="18" t="str">
        <f>RTD("ice.rtd",,$C1670 &amp; $D1670 &amp; ":" &amp; I$1)</f>
        <v/>
      </c>
      <c r="J1670" s="14" t="str">
        <f>IFERROR(MOD(RTD("ice.rtd",,$C1670 &amp; $D1670 &amp; ":" &amp; J$1), 1), "")</f>
        <v/>
      </c>
      <c r="K1670" s="18" t="str">
        <f>RTD("ice.rtd",,$C1670 &amp; $D1670 &amp; ":" &amp; K$1)</f>
        <v/>
      </c>
      <c r="L1670" s="36" t="str">
        <f>RTD("ice.rtd",,$C1670 &amp; $D1670 &amp; ":" &amp; L$1)</f>
        <v/>
      </c>
      <c r="M1670" s="14" t="str">
        <f>IFERROR(MOD(TIMEVALUE(RTD("ice.rtd",,$C1670 &amp; $D1670 &amp; ":" &amp; M$1)), 1), "")</f>
        <v/>
      </c>
      <c r="N1670" s="36">
        <f>RTD("ice.rtd",,$C1670 &amp; $D1670 &amp; ":" &amp; N$1)</f>
        <v>0</v>
      </c>
      <c r="O1670" s="36">
        <f>RTD("ice.rtd",,$C1670 &amp; $D1670 &amp; ":" &amp; O$1)</f>
        <v>0</v>
      </c>
      <c r="P16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70" s="14" t="str">
        <f>IF(ICE[[#This Row],[LastType]] = "Scrn", ICE[[#This Row],[LstDate]], IF(ICE[[#This Row],[LastType]] = "Blk", ICE[[#This Row],[LstBlkTime]], ""))</f>
        <v/>
      </c>
      <c r="R1670" s="41" t="str">
        <f>IF(ICE[[#This Row],[LastType]] = "Scrn", ICE[[#This Row],[LstPrc]], IF(ICE[[#This Row],[LastType]] = "Blk", ICE[[#This Row],[LstBlkPrc]], ""))</f>
        <v/>
      </c>
      <c r="S1670" s="36">
        <f>ICE[[#This Row],[Vol]]+ICE[[#This Row],[BlkVol]]</f>
        <v>0</v>
      </c>
      <c r="T1670" s="36">
        <f>RTD("ice.rtd",,$C1670 &amp; $D1670 &amp; ":" &amp; T$1)</f>
        <v>0</v>
      </c>
      <c r="U1670" s="18">
        <f>RTD("ice.rtd",,$C1670 &amp; $D1670 &amp; ":" &amp; U$1)</f>
        <v>8.097999999999999</v>
      </c>
      <c r="V16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70" s="18" t="str">
        <f>IFERROR(IF(LEFT(ICE[[#This Row],[Tenor]], 1) = "B", RTD("esrtd",,$B1670 &amp; " " &amp; ICE[[#This Row],[Tenor]] &amp; "-IEU", W$1), RTD("esrtd",,$B1670 &amp; " " &amp; VLOOKUP(MONTH(ICE[[#This Row],[Strip]]), MthRef[], 2, 0) &amp; RIGHT(YEAR(ICE[[#This Row],[Strip]]), 2) &amp; "-IEU", W$1)), "")</f>
        <v/>
      </c>
      <c r="X1670" s="36"/>
    </row>
    <row r="1671" spans="1:24" x14ac:dyDescent="0.25">
      <c r="A1671" s="37" t="s">
        <v>853</v>
      </c>
      <c r="B1671" s="88" t="str">
        <f>RTD("ice.rtd",,$C1671 &amp; $D1671 &amp; ":" &amp; B$1)</f>
        <v>DBI</v>
      </c>
      <c r="C1671" s="3" t="s">
        <v>856</v>
      </c>
      <c r="D1671" t="s">
        <v>877</v>
      </c>
      <c r="E1671" s="3" t="str">
        <f>RTD("ice.rtd",,$C1671 &amp; $D1671 &amp; ":" &amp; E$1)</f>
        <v>Nov26/Jun27</v>
      </c>
      <c r="F1671" s="3" t="str">
        <f>ICE[[#This Row],[Prod]]&amp;ICE[[#This Row],[Strip]]</f>
        <v>dubNov26/Jun27</v>
      </c>
      <c r="G1671" s="18" t="str">
        <f>RTD("ice.rtd",,$C1671 &amp; $D1671 &amp; ":" &amp; G$1)</f>
        <v/>
      </c>
      <c r="H1671" s="18" t="str">
        <f>RTD("ice.rtd",,$C1671 &amp; $D1671 &amp; ":" &amp; H$1)</f>
        <v/>
      </c>
      <c r="I1671" s="18" t="str">
        <f>RTD("ice.rtd",,$C1671 &amp; $D1671 &amp; ":" &amp; I$1)</f>
        <v/>
      </c>
      <c r="J1671" s="14" t="str">
        <f>IFERROR(MOD(RTD("ice.rtd",,$C1671 &amp; $D1671 &amp; ":" &amp; J$1), 1), "")</f>
        <v/>
      </c>
      <c r="K1671" s="18" t="str">
        <f>RTD("ice.rtd",,$C1671 &amp; $D1671 &amp; ":" &amp; K$1)</f>
        <v/>
      </c>
      <c r="L1671" s="36" t="str">
        <f>RTD("ice.rtd",,$C1671 &amp; $D1671 &amp; ":" &amp; L$1)</f>
        <v/>
      </c>
      <c r="M1671" s="14" t="str">
        <f>IFERROR(MOD(TIMEVALUE(RTD("ice.rtd",,$C1671 &amp; $D1671 &amp; ":" &amp; M$1)), 1), "")</f>
        <v/>
      </c>
      <c r="N1671" s="36">
        <f>RTD("ice.rtd",,$C1671 &amp; $D1671 &amp; ":" &amp; N$1)</f>
        <v>0</v>
      </c>
      <c r="O1671" s="36">
        <f>RTD("ice.rtd",,$C1671 &amp; $D1671 &amp; ":" &amp; O$1)</f>
        <v>0</v>
      </c>
      <c r="P16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71" s="14" t="str">
        <f>IF(ICE[[#This Row],[LastType]] = "Scrn", ICE[[#This Row],[LstDate]], IF(ICE[[#This Row],[LastType]] = "Blk", ICE[[#This Row],[LstBlkTime]], ""))</f>
        <v/>
      </c>
      <c r="R1671" s="41" t="str">
        <f>IF(ICE[[#This Row],[LastType]] = "Scrn", ICE[[#This Row],[LstPrc]], IF(ICE[[#This Row],[LastType]] = "Blk", ICE[[#This Row],[LstBlkPrc]], ""))</f>
        <v/>
      </c>
      <c r="S1671" s="36">
        <f>ICE[[#This Row],[Vol]]+ICE[[#This Row],[BlkVol]]</f>
        <v>0</v>
      </c>
      <c r="T1671" s="36">
        <f>RTD("ice.rtd",,$C1671 &amp; $D1671 &amp; ":" &amp; T$1)</f>
        <v>0</v>
      </c>
      <c r="U1671" s="18">
        <f>RTD("ice.rtd",,$C1671 &amp; $D1671 &amp; ":" &amp; U$1)</f>
        <v>9.4189999999999969</v>
      </c>
      <c r="V16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71" s="18" t="str">
        <f>IFERROR(IF(LEFT(ICE[[#This Row],[Tenor]], 1) = "B", RTD("esrtd",,$B1671 &amp; " " &amp; ICE[[#This Row],[Tenor]] &amp; "-IEU", W$1), RTD("esrtd",,$B1671 &amp; " " &amp; VLOOKUP(MONTH(ICE[[#This Row],[Strip]]), MthRef[], 2, 0) &amp; RIGHT(YEAR(ICE[[#This Row],[Strip]]), 2) &amp; "-IEU", W$1)), "")</f>
        <v/>
      </c>
      <c r="X1671" s="36"/>
    </row>
    <row r="1672" spans="1:24" x14ac:dyDescent="0.25">
      <c r="A1672" s="37" t="s">
        <v>853</v>
      </c>
      <c r="B1672" s="88" t="str">
        <f>RTD("ice.rtd",,$C1672 &amp; $D1672 &amp; ":" &amp; B$1)</f>
        <v>DBI</v>
      </c>
      <c r="C1672" s="3" t="s">
        <v>856</v>
      </c>
      <c r="D1672" t="s">
        <v>878</v>
      </c>
      <c r="E1672" s="3" t="str">
        <f>RTD("ice.rtd",,$C1672 &amp; $D1672 &amp; ":" &amp; E$1)</f>
        <v>Nov26/Oct27</v>
      </c>
      <c r="F1672" s="3" t="str">
        <f>ICE[[#This Row],[Prod]]&amp;ICE[[#This Row],[Strip]]</f>
        <v>dubNov26/Oct27</v>
      </c>
      <c r="G1672" s="18" t="str">
        <f>RTD("ice.rtd",,$C1672 &amp; $D1672 &amp; ":" &amp; G$1)</f>
        <v/>
      </c>
      <c r="H1672" s="18" t="str">
        <f>RTD("ice.rtd",,$C1672 &amp; $D1672 &amp; ":" &amp; H$1)</f>
        <v/>
      </c>
      <c r="I1672" s="18" t="str">
        <f>RTD("ice.rtd",,$C1672 &amp; $D1672 &amp; ":" &amp; I$1)</f>
        <v/>
      </c>
      <c r="J1672" s="14" t="str">
        <f>IFERROR(MOD(RTD("ice.rtd",,$C1672 &amp; $D1672 &amp; ":" &amp; J$1), 1), "")</f>
        <v/>
      </c>
      <c r="K1672" s="18" t="str">
        <f>RTD("ice.rtd",,$C1672 &amp; $D1672 &amp; ":" &amp; K$1)</f>
        <v/>
      </c>
      <c r="L1672" s="36" t="str">
        <f>RTD("ice.rtd",,$C1672 &amp; $D1672 &amp; ":" &amp; L$1)</f>
        <v/>
      </c>
      <c r="M1672" s="14" t="str">
        <f>IFERROR(MOD(TIMEVALUE(RTD("ice.rtd",,$C1672 &amp; $D1672 &amp; ":" &amp; M$1)), 1), "")</f>
        <v/>
      </c>
      <c r="N1672" s="36">
        <f>RTD("ice.rtd",,$C1672 &amp; $D1672 &amp; ":" &amp; N$1)</f>
        <v>0</v>
      </c>
      <c r="O1672" s="36">
        <f>RTD("ice.rtd",,$C1672 &amp; $D1672 &amp; ":" &amp; O$1)</f>
        <v>0</v>
      </c>
      <c r="P16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72" s="14" t="str">
        <f>IF(ICE[[#This Row],[LastType]] = "Scrn", ICE[[#This Row],[LstDate]], IF(ICE[[#This Row],[LastType]] = "Blk", ICE[[#This Row],[LstBlkTime]], ""))</f>
        <v/>
      </c>
      <c r="R1672" s="41" t="str">
        <f>IF(ICE[[#This Row],[LastType]] = "Scrn", ICE[[#This Row],[LstPrc]], IF(ICE[[#This Row],[LastType]] = "Blk", ICE[[#This Row],[LstBlkPrc]], ""))</f>
        <v/>
      </c>
      <c r="S1672" s="36">
        <f>ICE[[#This Row],[Vol]]+ICE[[#This Row],[BlkVol]]</f>
        <v>0</v>
      </c>
      <c r="T1672" s="36">
        <f>RTD("ice.rtd",,$C1672 &amp; $D1672 &amp; ":" &amp; T$1)</f>
        <v>0</v>
      </c>
      <c r="U1672" s="18">
        <f>RTD("ice.rtd",,$C1672 &amp; $D1672 &amp; ":" &amp; U$1)</f>
        <v>11.305999999999997</v>
      </c>
      <c r="V16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72" s="18" t="str">
        <f>IFERROR(IF(LEFT(ICE[[#This Row],[Tenor]], 1) = "B", RTD("esrtd",,$B1672 &amp; " " &amp; ICE[[#This Row],[Tenor]] &amp; "-IEU", W$1), RTD("esrtd",,$B1672 &amp; " " &amp; VLOOKUP(MONTH(ICE[[#This Row],[Strip]]), MthRef[], 2, 0) &amp; RIGHT(YEAR(ICE[[#This Row],[Strip]]), 2) &amp; "-IEU", W$1)), "")</f>
        <v/>
      </c>
      <c r="X1672" s="36"/>
    </row>
    <row r="1673" spans="1:24" x14ac:dyDescent="0.25">
      <c r="A1673" s="37" t="s">
        <v>853</v>
      </c>
      <c r="B1673" s="88" t="str">
        <f>RTD("ice.rtd",,$C1673 &amp; $D1673 &amp; ":" &amp; B$1)</f>
        <v>DBI</v>
      </c>
      <c r="C1673" s="3" t="s">
        <v>856</v>
      </c>
      <c r="D1673" t="s">
        <v>879</v>
      </c>
      <c r="E1673" s="3" t="str">
        <f>RTD("ice.rtd",,$C1673 &amp; $D1673 &amp; ":" &amp; E$1)</f>
        <v>Nov26/Nov27</v>
      </c>
      <c r="F1673" s="3" t="str">
        <f>ICE[[#This Row],[Prod]]&amp;ICE[[#This Row],[Strip]]</f>
        <v>dubNov26/Nov27</v>
      </c>
      <c r="G1673" s="18" t="str">
        <f>RTD("ice.rtd",,$C1673 &amp; $D1673 &amp; ":" &amp; G$1)</f>
        <v/>
      </c>
      <c r="H1673" s="18" t="str">
        <f>RTD("ice.rtd",,$C1673 &amp; $D1673 &amp; ":" &amp; H$1)</f>
        <v/>
      </c>
      <c r="I1673" s="18" t="str">
        <f>RTD("ice.rtd",,$C1673 &amp; $D1673 &amp; ":" &amp; I$1)</f>
        <v/>
      </c>
      <c r="J1673" s="14" t="str">
        <f>IFERROR(MOD(RTD("ice.rtd",,$C1673 &amp; $D1673 &amp; ":" &amp; J$1), 1), "")</f>
        <v/>
      </c>
      <c r="K1673" s="18" t="str">
        <f>RTD("ice.rtd",,$C1673 &amp; $D1673 &amp; ":" &amp; K$1)</f>
        <v/>
      </c>
      <c r="L1673" s="36" t="str">
        <f>RTD("ice.rtd",,$C1673 &amp; $D1673 &amp; ":" &amp; L$1)</f>
        <v/>
      </c>
      <c r="M1673" s="14" t="str">
        <f>IFERROR(MOD(TIMEVALUE(RTD("ice.rtd",,$C1673 &amp; $D1673 &amp; ":" &amp; M$1)), 1), "")</f>
        <v/>
      </c>
      <c r="N1673" s="36">
        <f>RTD("ice.rtd",,$C1673 &amp; $D1673 &amp; ":" &amp; N$1)</f>
        <v>0</v>
      </c>
      <c r="O1673" s="36">
        <f>RTD("ice.rtd",,$C1673 &amp; $D1673 &amp; ":" &amp; O$1)</f>
        <v>0</v>
      </c>
      <c r="P16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73" s="14" t="str">
        <f>IF(ICE[[#This Row],[LastType]] = "Scrn", ICE[[#This Row],[LstDate]], IF(ICE[[#This Row],[LastType]] = "Blk", ICE[[#This Row],[LstBlkTime]], ""))</f>
        <v/>
      </c>
      <c r="R1673" s="41" t="str">
        <f>IF(ICE[[#This Row],[LastType]] = "Scrn", ICE[[#This Row],[LstPrc]], IF(ICE[[#This Row],[LastType]] = "Blk", ICE[[#This Row],[LstBlkPrc]], ""))</f>
        <v/>
      </c>
      <c r="S1673" s="36">
        <f>ICE[[#This Row],[Vol]]+ICE[[#This Row],[BlkVol]]</f>
        <v>0</v>
      </c>
      <c r="T1673" s="36">
        <f>RTD("ice.rtd",,$C1673 &amp; $D1673 &amp; ":" &amp; T$1)</f>
        <v>0</v>
      </c>
      <c r="U1673" s="18">
        <f>RTD("ice.rtd",,$C1673 &amp; $D1673 &amp; ":" &amp; U$1)</f>
        <v>11.646000000000001</v>
      </c>
      <c r="V16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73" s="18" t="str">
        <f>IFERROR(IF(LEFT(ICE[[#This Row],[Tenor]], 1) = "B", RTD("esrtd",,$B1673 &amp; " " &amp; ICE[[#This Row],[Tenor]] &amp; "-IEU", W$1), RTD("esrtd",,$B1673 &amp; " " &amp; VLOOKUP(MONTH(ICE[[#This Row],[Strip]]), MthRef[], 2, 0) &amp; RIGHT(YEAR(ICE[[#This Row],[Strip]]), 2) &amp; "-IEU", W$1)), "")</f>
        <v/>
      </c>
      <c r="X1673" s="36"/>
    </row>
    <row r="1674" spans="1:24" x14ac:dyDescent="0.25">
      <c r="A1674" s="37" t="s">
        <v>853</v>
      </c>
      <c r="B1674" s="88" t="str">
        <f>RTD("ice.rtd",,$C1674 &amp; $D1674 &amp; ":" &amp; B$1)</f>
        <v>DBI</v>
      </c>
      <c r="C1674" s="3" t="s">
        <v>856</v>
      </c>
      <c r="D1674" t="s">
        <v>880</v>
      </c>
      <c r="E1674" s="3" t="str">
        <f>RTD("ice.rtd",,$C1674 &amp; $D1674 &amp; ":" &amp; E$1)</f>
        <v>Dec26/Jan27</v>
      </c>
      <c r="F1674" s="3" t="str">
        <f>ICE[[#This Row],[Prod]]&amp;ICE[[#This Row],[Strip]]</f>
        <v>dubDec26/Jan27</v>
      </c>
      <c r="G1674" s="18">
        <f>RTD("ice.rtd",,$C1674 &amp; $D1674 &amp; ":" &amp; G$1)</f>
        <v>1.86</v>
      </c>
      <c r="H1674" s="18">
        <f>RTD("ice.rtd",,$C1674 &amp; $D1674 &amp; ":" &amp; H$1)</f>
        <v>1.88</v>
      </c>
      <c r="I1674" s="18">
        <f>RTD("ice.rtd",,$C1674 &amp; $D1674 &amp; ":" &amp; I$1)</f>
        <v>1.88</v>
      </c>
      <c r="J1674" s="14">
        <f>IFERROR(MOD(RTD("ice.rtd",,$C1674 &amp; $D1674 &amp; ":" &amp; J$1), 1), "")</f>
        <v>0.46346313657704741</v>
      </c>
      <c r="K1674" s="18">
        <f>RTD("ice.rtd",,$C1674 &amp; $D1674 &amp; ":" &amp; K$1)</f>
        <v>1.87</v>
      </c>
      <c r="L1674" s="36">
        <f>RTD("ice.rtd",,$C1674 &amp; $D1674 &amp; ":" &amp; L$1)</f>
        <v>140</v>
      </c>
      <c r="M1674" s="14">
        <f>IFERROR(MOD(TIMEVALUE(RTD("ice.rtd",,$C1674 &amp; $D1674 &amp; ":" &amp; M$1)), 1), "")</f>
        <v>0.38618055555555558</v>
      </c>
      <c r="N1674" s="36">
        <f>RTD("ice.rtd",,$C1674 &amp; $D1674 &amp; ":" &amp; N$1)</f>
        <v>1094</v>
      </c>
      <c r="O1674" s="36">
        <f>RTD("ice.rtd",,$C1674 &amp; $D1674 &amp; ":" &amp; O$1)</f>
        <v>240</v>
      </c>
      <c r="P16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74" s="14">
        <f>IF(ICE[[#This Row],[LastType]] = "Scrn", ICE[[#This Row],[LstDate]], IF(ICE[[#This Row],[LastType]] = "Blk", ICE[[#This Row],[LstBlkTime]], ""))</f>
        <v>0.46346313657704741</v>
      </c>
      <c r="R1674" s="41">
        <f>IF(ICE[[#This Row],[LastType]] = "Scrn", ICE[[#This Row],[LstPrc]], IF(ICE[[#This Row],[LastType]] = "Blk", ICE[[#This Row],[LstBlkPrc]], ""))</f>
        <v>1.88</v>
      </c>
      <c r="S1674" s="36">
        <f>ICE[[#This Row],[Vol]]+ICE[[#This Row],[BlkVol]]</f>
        <v>1334</v>
      </c>
      <c r="T1674" s="36">
        <f>RTD("ice.rtd",,$C1674 &amp; $D1674 &amp; ":" &amp; T$1)</f>
        <v>0</v>
      </c>
      <c r="U1674" s="18">
        <f>RTD("ice.rtd",,$C1674 &amp; $D1674 &amp; ":" &amp; U$1)</f>
        <v>1.929000000000002</v>
      </c>
      <c r="V16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1.86 / 1.88 {1.88} |1,334x</v>
      </c>
      <c r="W1674" s="18" t="str">
        <f>IFERROR(IF(LEFT(ICE[[#This Row],[Tenor]], 1) = "B", RTD("esrtd",,$B1674 &amp; " " &amp; ICE[[#This Row],[Tenor]] &amp; "-IEU", W$1), RTD("esrtd",,$B1674 &amp; " " &amp; VLOOKUP(MONTH(ICE[[#This Row],[Strip]]), MthRef[], 2, 0) &amp; RIGHT(YEAR(ICE[[#This Row],[Strip]]), 2) &amp; "-IEU", W$1)), "")</f>
        <v/>
      </c>
      <c r="X1674" s="36"/>
    </row>
    <row r="1675" spans="1:24" x14ac:dyDescent="0.25">
      <c r="A1675" s="37" t="s">
        <v>853</v>
      </c>
      <c r="B1675" s="88" t="str">
        <f>RTD("ice.rtd",,$C1675 &amp; $D1675 &amp; ":" &amp; B$1)</f>
        <v>DBI</v>
      </c>
      <c r="C1675" s="3" t="s">
        <v>856</v>
      </c>
      <c r="D1675" t="s">
        <v>881</v>
      </c>
      <c r="E1675" s="3" t="str">
        <f>RTD("ice.rtd",,$C1675 &amp; $D1675 &amp; ":" &amp; E$1)</f>
        <v>Dec26/Feb27</v>
      </c>
      <c r="F1675" s="3" t="str">
        <f>ICE[[#This Row],[Prod]]&amp;ICE[[#This Row],[Strip]]</f>
        <v>dubDec26/Feb27</v>
      </c>
      <c r="G1675" s="18">
        <f>RTD("ice.rtd",,$C1675 &amp; $D1675 &amp; ":" &amp; G$1)</f>
        <v>3.19</v>
      </c>
      <c r="H1675" s="18">
        <f>RTD("ice.rtd",,$C1675 &amp; $D1675 &amp; ":" &amp; H$1)</f>
        <v>3.27</v>
      </c>
      <c r="I1675" s="18">
        <f>RTD("ice.rtd",,$C1675 &amp; $D1675 &amp; ":" &amp; I$1)</f>
        <v>3.32</v>
      </c>
      <c r="J1675" s="14">
        <f>IFERROR(MOD(RTD("ice.rtd",,$C1675 &amp; $D1675 &amp; ":" &amp; J$1), 1), "")</f>
        <v>0.31192415509576676</v>
      </c>
      <c r="K1675" s="18" t="str">
        <f>RTD("ice.rtd",,$C1675 &amp; $D1675 &amp; ":" &amp; K$1)</f>
        <v/>
      </c>
      <c r="L1675" s="36" t="str">
        <f>RTD("ice.rtd",,$C1675 &amp; $D1675 &amp; ":" &amp; L$1)</f>
        <v/>
      </c>
      <c r="M1675" s="14" t="str">
        <f>IFERROR(MOD(TIMEVALUE(RTD("ice.rtd",,$C1675 &amp; $D1675 &amp; ":" &amp; M$1)), 1), "")</f>
        <v/>
      </c>
      <c r="N1675" s="36">
        <f>RTD("ice.rtd",,$C1675 &amp; $D1675 &amp; ":" &amp; N$1)</f>
        <v>3</v>
      </c>
      <c r="O1675" s="36">
        <f>RTD("ice.rtd",,$C1675 &amp; $D1675 &amp; ":" &amp; O$1)</f>
        <v>0</v>
      </c>
      <c r="P16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75" s="14">
        <f>IF(ICE[[#This Row],[LastType]] = "Scrn", ICE[[#This Row],[LstDate]], IF(ICE[[#This Row],[LastType]] = "Blk", ICE[[#This Row],[LstBlkTime]], ""))</f>
        <v>0.31192415509576676</v>
      </c>
      <c r="R1675" s="41">
        <f>IF(ICE[[#This Row],[LastType]] = "Scrn", ICE[[#This Row],[LstPrc]], IF(ICE[[#This Row],[LastType]] = "Blk", ICE[[#This Row],[LstBlkPrc]], ""))</f>
        <v>3.32</v>
      </c>
      <c r="S1675" s="36">
        <f>ICE[[#This Row],[Vol]]+ICE[[#This Row],[BlkVol]]</f>
        <v>3</v>
      </c>
      <c r="T1675" s="36">
        <f>RTD("ice.rtd",,$C1675 &amp; $D1675 &amp; ":" &amp; T$1)</f>
        <v>0</v>
      </c>
      <c r="U1675" s="18">
        <f>RTD("ice.rtd",,$C1675 &amp; $D1675 &amp; ":" &amp; U$1)</f>
        <v>3.3190000000000026</v>
      </c>
      <c r="V16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3.19 / 3.27 {3.32} |3x</v>
      </c>
      <c r="W1675" s="18" t="str">
        <f>IFERROR(IF(LEFT(ICE[[#This Row],[Tenor]], 1) = "B", RTD("esrtd",,$B1675 &amp; " " &amp; ICE[[#This Row],[Tenor]] &amp; "-IEU", W$1), RTD("esrtd",,$B1675 &amp; " " &amp; VLOOKUP(MONTH(ICE[[#This Row],[Strip]]), MthRef[], 2, 0) &amp; RIGHT(YEAR(ICE[[#This Row],[Strip]]), 2) &amp; "-IEU", W$1)), "")</f>
        <v/>
      </c>
      <c r="X1675" s="36"/>
    </row>
    <row r="1676" spans="1:24" x14ac:dyDescent="0.25">
      <c r="A1676" s="37" t="s">
        <v>853</v>
      </c>
      <c r="B1676" s="88" t="str">
        <f>RTD("ice.rtd",,$C1676 &amp; $D1676 &amp; ":" &amp; B$1)</f>
        <v>DBI</v>
      </c>
      <c r="C1676" s="3" t="s">
        <v>856</v>
      </c>
      <c r="D1676" t="s">
        <v>882</v>
      </c>
      <c r="E1676" s="3" t="str">
        <f>RTD("ice.rtd",,$C1676 &amp; $D1676 &amp; ":" &amp; E$1)</f>
        <v>Dec26/Mar27</v>
      </c>
      <c r="F1676" s="3" t="str">
        <f>ICE[[#This Row],[Prod]]&amp;ICE[[#This Row],[Strip]]</f>
        <v>dubDec26/Mar27</v>
      </c>
      <c r="G1676" s="18">
        <f>RTD("ice.rtd",,$C1676 &amp; $D1676 &amp; ":" &amp; G$1)</f>
        <v>4.25</v>
      </c>
      <c r="H1676" s="18">
        <f>RTD("ice.rtd",,$C1676 &amp; $D1676 &amp; ":" &amp; H$1)</f>
        <v>4.34</v>
      </c>
      <c r="I1676" s="18">
        <f>RTD("ice.rtd",,$C1676 &amp; $D1676 &amp; ":" &amp; I$1)</f>
        <v>4.4000000000000004</v>
      </c>
      <c r="J1676" s="14">
        <f>IFERROR(MOD(RTD("ice.rtd",,$C1676 &amp; $D1676 &amp; ":" &amp; J$1), 1), "")</f>
        <v>0.30853108796145534</v>
      </c>
      <c r="K1676" s="18" t="str">
        <f>RTD("ice.rtd",,$C1676 &amp; $D1676 &amp; ":" &amp; K$1)</f>
        <v/>
      </c>
      <c r="L1676" s="36" t="str">
        <f>RTD("ice.rtd",,$C1676 &amp; $D1676 &amp; ":" &amp; L$1)</f>
        <v/>
      </c>
      <c r="M1676" s="14" t="str">
        <f>IFERROR(MOD(TIMEVALUE(RTD("ice.rtd",,$C1676 &amp; $D1676 &amp; ":" &amp; M$1)), 1), "")</f>
        <v/>
      </c>
      <c r="N1676" s="36">
        <f>RTD("ice.rtd",,$C1676 &amp; $D1676 &amp; ":" &amp; N$1)</f>
        <v>3</v>
      </c>
      <c r="O1676" s="36">
        <f>RTD("ice.rtd",,$C1676 &amp; $D1676 &amp; ":" &amp; O$1)</f>
        <v>0</v>
      </c>
      <c r="P16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76" s="14">
        <f>IF(ICE[[#This Row],[LastType]] = "Scrn", ICE[[#This Row],[LstDate]], IF(ICE[[#This Row],[LastType]] = "Blk", ICE[[#This Row],[LstBlkTime]], ""))</f>
        <v>0.30853108796145534</v>
      </c>
      <c r="R1676" s="41">
        <f>IF(ICE[[#This Row],[LastType]] = "Scrn", ICE[[#This Row],[LstPrc]], IF(ICE[[#This Row],[LastType]] = "Blk", ICE[[#This Row],[LstBlkPrc]], ""))</f>
        <v>4.4000000000000004</v>
      </c>
      <c r="S1676" s="36">
        <f>ICE[[#This Row],[Vol]]+ICE[[#This Row],[BlkVol]]</f>
        <v>3</v>
      </c>
      <c r="T1676" s="36">
        <f>RTD("ice.rtd",,$C1676 &amp; $D1676 &amp; ":" &amp; T$1)</f>
        <v>0</v>
      </c>
      <c r="U1676" s="18">
        <f>RTD("ice.rtd",,$C1676 &amp; $D1676 &amp; ":" &amp; U$1)</f>
        <v>4.3990000000000009</v>
      </c>
      <c r="V16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4.25 / 4.34 {4.40} |3x</v>
      </c>
      <c r="W1676" s="18" t="str">
        <f>IFERROR(IF(LEFT(ICE[[#This Row],[Tenor]], 1) = "B", RTD("esrtd",,$B1676 &amp; " " &amp; ICE[[#This Row],[Tenor]] &amp; "-IEU", W$1), RTD("esrtd",,$B1676 &amp; " " &amp; VLOOKUP(MONTH(ICE[[#This Row],[Strip]]), MthRef[], 2, 0) &amp; RIGHT(YEAR(ICE[[#This Row],[Strip]]), 2) &amp; "-IEU", W$1)), "")</f>
        <v/>
      </c>
      <c r="X1676" s="36"/>
    </row>
    <row r="1677" spans="1:24" x14ac:dyDescent="0.25">
      <c r="A1677" s="37" t="s">
        <v>853</v>
      </c>
      <c r="B1677" s="88" t="str">
        <f>RTD("ice.rtd",,$C1677 &amp; $D1677 &amp; ":" &amp; B$1)</f>
        <v>DBI</v>
      </c>
      <c r="C1677" s="3" t="s">
        <v>856</v>
      </c>
      <c r="D1677" t="s">
        <v>883</v>
      </c>
      <c r="E1677" s="3" t="str">
        <f>RTD("ice.rtd",,$C1677 &amp; $D1677 &amp; ":" &amp; E$1)</f>
        <v>Dec26/Apr27</v>
      </c>
      <c r="F1677" s="3" t="str">
        <f>ICE[[#This Row],[Prod]]&amp;ICE[[#This Row],[Strip]]</f>
        <v>dubDec26/Apr27</v>
      </c>
      <c r="G1677" s="18">
        <f>RTD("ice.rtd",,$C1677 &amp; $D1677 &amp; ":" &amp; G$1)</f>
        <v>5.0599999999999996</v>
      </c>
      <c r="H1677" s="18">
        <f>RTD("ice.rtd",,$C1677 &amp; $D1677 &amp; ":" &amp; H$1)</f>
        <v>5.18</v>
      </c>
      <c r="I1677" s="18">
        <f>RTD("ice.rtd",,$C1677 &amp; $D1677 &amp; ":" &amp; I$1)</f>
        <v>5.12</v>
      </c>
      <c r="J1677" s="14">
        <f>IFERROR(MOD(RTD("ice.rtd",,$C1677 &amp; $D1677 &amp; ":" &amp; J$1), 1), "")</f>
        <v>0.42580449074011995</v>
      </c>
      <c r="K1677" s="18" t="str">
        <f>RTD("ice.rtd",,$C1677 &amp; $D1677 &amp; ":" &amp; K$1)</f>
        <v/>
      </c>
      <c r="L1677" s="36" t="str">
        <f>RTD("ice.rtd",,$C1677 &amp; $D1677 &amp; ":" &amp; L$1)</f>
        <v/>
      </c>
      <c r="M1677" s="14" t="str">
        <f>IFERROR(MOD(TIMEVALUE(RTD("ice.rtd",,$C1677 &amp; $D1677 &amp; ":" &amp; M$1)), 1), "")</f>
        <v/>
      </c>
      <c r="N1677" s="36">
        <f>RTD("ice.rtd",,$C1677 &amp; $D1677 &amp; ":" &amp; N$1)</f>
        <v>1</v>
      </c>
      <c r="O1677" s="36">
        <f>RTD("ice.rtd",,$C1677 &amp; $D1677 &amp; ":" &amp; O$1)</f>
        <v>0</v>
      </c>
      <c r="P16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677" s="14">
        <f>IF(ICE[[#This Row],[LastType]] = "Scrn", ICE[[#This Row],[LstDate]], IF(ICE[[#This Row],[LastType]] = "Blk", ICE[[#This Row],[LstBlkTime]], ""))</f>
        <v>0.42580449074011995</v>
      </c>
      <c r="R1677" s="41">
        <f>IF(ICE[[#This Row],[LastType]] = "Scrn", ICE[[#This Row],[LstPrc]], IF(ICE[[#This Row],[LastType]] = "Blk", ICE[[#This Row],[LstBlkPrc]], ""))</f>
        <v>5.12</v>
      </c>
      <c r="S1677" s="36">
        <f>ICE[[#This Row],[Vol]]+ICE[[#This Row],[BlkVol]]</f>
        <v>1</v>
      </c>
      <c r="T1677" s="36">
        <f>RTD("ice.rtd",,$C1677 &amp; $D1677 &amp; ":" &amp; T$1)</f>
        <v>0</v>
      </c>
      <c r="U1677" s="18">
        <f>RTD("ice.rtd",,$C1677 &amp; $D1677 &amp; ":" &amp; U$1)</f>
        <v>5.284000000000006</v>
      </c>
      <c r="V16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5.06 / 5.18 {5.12} |1x</v>
      </c>
      <c r="W1677" s="18" t="str">
        <f>IFERROR(IF(LEFT(ICE[[#This Row],[Tenor]], 1) = "B", RTD("esrtd",,$B1677 &amp; " " &amp; ICE[[#This Row],[Tenor]] &amp; "-IEU", W$1), RTD("esrtd",,$B1677 &amp; " " &amp; VLOOKUP(MONTH(ICE[[#This Row],[Strip]]), MthRef[], 2, 0) &amp; RIGHT(YEAR(ICE[[#This Row],[Strip]]), 2) &amp; "-IEU", W$1)), "")</f>
        <v/>
      </c>
      <c r="X1677" s="36"/>
    </row>
    <row r="1678" spans="1:24" x14ac:dyDescent="0.25">
      <c r="A1678" s="37" t="s">
        <v>853</v>
      </c>
      <c r="B1678" s="88" t="str">
        <f>RTD("ice.rtd",,$C1678 &amp; $D1678 &amp; ":" &amp; B$1)</f>
        <v>DBI</v>
      </c>
      <c r="C1678" s="3" t="s">
        <v>856</v>
      </c>
      <c r="D1678" t="s">
        <v>884</v>
      </c>
      <c r="E1678" s="3" t="str">
        <f>RTD("ice.rtd",,$C1678 &amp; $D1678 &amp; ":" &amp; E$1)</f>
        <v>Dec26/Jun27</v>
      </c>
      <c r="F1678" s="3" t="str">
        <f>ICE[[#This Row],[Prod]]&amp;ICE[[#This Row],[Strip]]</f>
        <v>dubDec26/Jun27</v>
      </c>
      <c r="G1678" s="18" t="str">
        <f>RTD("ice.rtd",,$C1678 &amp; $D1678 &amp; ":" &amp; G$1)</f>
        <v/>
      </c>
      <c r="H1678" s="18" t="str">
        <f>RTD("ice.rtd",,$C1678 &amp; $D1678 &amp; ":" &amp; H$1)</f>
        <v/>
      </c>
      <c r="I1678" s="18" t="str">
        <f>RTD("ice.rtd",,$C1678 &amp; $D1678 &amp; ":" &amp; I$1)</f>
        <v/>
      </c>
      <c r="J1678" s="14" t="str">
        <f>IFERROR(MOD(RTD("ice.rtd",,$C1678 &amp; $D1678 &amp; ":" &amp; J$1), 1), "")</f>
        <v/>
      </c>
      <c r="K1678" s="18" t="str">
        <f>RTD("ice.rtd",,$C1678 &amp; $D1678 &amp; ":" &amp; K$1)</f>
        <v/>
      </c>
      <c r="L1678" s="36" t="str">
        <f>RTD("ice.rtd",,$C1678 &amp; $D1678 &amp; ":" &amp; L$1)</f>
        <v/>
      </c>
      <c r="M1678" s="14" t="str">
        <f>IFERROR(MOD(TIMEVALUE(RTD("ice.rtd",,$C1678 &amp; $D1678 &amp; ":" &amp; M$1)), 1), "")</f>
        <v/>
      </c>
      <c r="N1678" s="36">
        <f>RTD("ice.rtd",,$C1678 &amp; $D1678 &amp; ":" &amp; N$1)</f>
        <v>0</v>
      </c>
      <c r="O1678" s="36">
        <f>RTD("ice.rtd",,$C1678 &amp; $D1678 &amp; ":" &amp; O$1)</f>
        <v>0</v>
      </c>
      <c r="P16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78" s="14" t="str">
        <f>IF(ICE[[#This Row],[LastType]] = "Scrn", ICE[[#This Row],[LstDate]], IF(ICE[[#This Row],[LastType]] = "Blk", ICE[[#This Row],[LstBlkTime]], ""))</f>
        <v/>
      </c>
      <c r="R1678" s="41" t="str">
        <f>IF(ICE[[#This Row],[LastType]] = "Scrn", ICE[[#This Row],[LstPrc]], IF(ICE[[#This Row],[LastType]] = "Blk", ICE[[#This Row],[LstBlkPrc]], ""))</f>
        <v/>
      </c>
      <c r="S1678" s="36">
        <f>ICE[[#This Row],[Vol]]+ICE[[#This Row],[BlkVol]]</f>
        <v>0</v>
      </c>
      <c r="T1678" s="36">
        <f>RTD("ice.rtd",,$C1678 &amp; $D1678 &amp; ":" &amp; T$1)</f>
        <v>0</v>
      </c>
      <c r="U1678" s="18">
        <f>RTD("ice.rtd",,$C1678 &amp; $D1678 &amp; ":" &amp; U$1)</f>
        <v>6.605000000000004</v>
      </c>
      <c r="V16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78" s="18" t="str">
        <f>IFERROR(IF(LEFT(ICE[[#This Row],[Tenor]], 1) = "B", RTD("esrtd",,$B1678 &amp; " " &amp; ICE[[#This Row],[Tenor]] &amp; "-IEU", W$1), RTD("esrtd",,$B1678 &amp; " " &amp; VLOOKUP(MONTH(ICE[[#This Row],[Strip]]), MthRef[], 2, 0) &amp; RIGHT(YEAR(ICE[[#This Row],[Strip]]), 2) &amp; "-IEU", W$1)), "")</f>
        <v/>
      </c>
      <c r="X1678" s="36"/>
    </row>
    <row r="1679" spans="1:24" x14ac:dyDescent="0.25">
      <c r="A1679" s="37" t="s">
        <v>853</v>
      </c>
      <c r="B1679" s="88" t="str">
        <f>RTD("ice.rtd",,$C1679 &amp; $D1679 &amp; ":" &amp; B$1)</f>
        <v>DBI</v>
      </c>
      <c r="C1679" s="3" t="s">
        <v>856</v>
      </c>
      <c r="D1679" t="s">
        <v>885</v>
      </c>
      <c r="E1679" s="3" t="str">
        <f>RTD("ice.rtd",,$C1679 &amp; $D1679 &amp; ":" &amp; E$1)</f>
        <v>Q4 26/Q1 27</v>
      </c>
      <c r="F1679" s="3" t="str">
        <f>ICE[[#This Row],[Prod]]&amp;ICE[[#This Row],[Strip]]</f>
        <v>dubQ4 26/Q1 27</v>
      </c>
      <c r="G1679" s="18" t="str">
        <f>RTD("ice.rtd",,$C1679 &amp; $D1679 &amp; ":" &amp; G$1)</f>
        <v/>
      </c>
      <c r="H1679" s="18" t="str">
        <f>RTD("ice.rtd",,$C1679 &amp; $D1679 &amp; ":" &amp; H$1)</f>
        <v/>
      </c>
      <c r="I1679" s="18" t="str">
        <f>RTD("ice.rtd",,$C1679 &amp; $D1679 &amp; ":" &amp; I$1)</f>
        <v/>
      </c>
      <c r="J1679" s="14" t="str">
        <f>IFERROR(MOD(RTD("ice.rtd",,$C1679 &amp; $D1679 &amp; ":" &amp; J$1), 1), "")</f>
        <v/>
      </c>
      <c r="K1679" s="18" t="str">
        <f>RTD("ice.rtd",,$C1679 &amp; $D1679 &amp; ":" &amp; K$1)</f>
        <v/>
      </c>
      <c r="L1679" s="36" t="str">
        <f>RTD("ice.rtd",,$C1679 &amp; $D1679 &amp; ":" &amp; L$1)</f>
        <v/>
      </c>
      <c r="M1679" s="14" t="str">
        <f>IFERROR(MOD(TIMEVALUE(RTD("ice.rtd",,$C1679 &amp; $D1679 &amp; ":" &amp; M$1)), 1), "")</f>
        <v/>
      </c>
      <c r="N1679" s="36">
        <f>RTD("ice.rtd",,$C1679 &amp; $D1679 &amp; ":" &amp; N$1)</f>
        <v>0</v>
      </c>
      <c r="O1679" s="36">
        <f>RTD("ice.rtd",,$C1679 &amp; $D1679 &amp; ":" &amp; O$1)</f>
        <v>0</v>
      </c>
      <c r="P16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79" s="14" t="str">
        <f>IF(ICE[[#This Row],[LastType]] = "Scrn", ICE[[#This Row],[LstDate]], IF(ICE[[#This Row],[LastType]] = "Blk", ICE[[#This Row],[LstBlkTime]], ""))</f>
        <v/>
      </c>
      <c r="R1679" s="41" t="str">
        <f>IF(ICE[[#This Row],[LastType]] = "Scrn", ICE[[#This Row],[LstPrc]], IF(ICE[[#This Row],[LastType]] = "Blk", ICE[[#This Row],[LstBlkPrc]], ""))</f>
        <v/>
      </c>
      <c r="S1679" s="36">
        <f>ICE[[#This Row],[Vol]]+ICE[[#This Row],[BlkVol]]</f>
        <v>0</v>
      </c>
      <c r="T1679" s="36">
        <f>RTD("ice.rtd",,$C1679 &amp; $D1679 &amp; ":" &amp; T$1)</f>
        <v>0</v>
      </c>
      <c r="U1679" s="18">
        <f>RTD("ice.rtd",,$C1679 &amp; $D1679 &amp; ":" &amp; U$1)</f>
        <v>6.5470000000000113</v>
      </c>
      <c r="V16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79" s="18" t="str">
        <f>IFERROR(IF(LEFT(ICE[[#This Row],[Tenor]], 1) = "B", RTD("esrtd",,$B1679 &amp; " " &amp; ICE[[#This Row],[Tenor]] &amp; "-IEU", W$1), RTD("esrtd",,$B1679 &amp; " " &amp; VLOOKUP(MONTH(ICE[[#This Row],[Strip]]), MthRef[], 2, 0) &amp; RIGHT(YEAR(ICE[[#This Row],[Strip]]), 2) &amp; "-IEU", W$1)), "")</f>
        <v/>
      </c>
      <c r="X1679" s="36"/>
    </row>
    <row r="1680" spans="1:24" x14ac:dyDescent="0.25">
      <c r="A1680" s="37" t="s">
        <v>853</v>
      </c>
      <c r="B1680" s="88" t="str">
        <f>RTD("ice.rtd",,$C1680 &amp; $D1680 &amp; ":" &amp; B$1)</f>
        <v>DBI</v>
      </c>
      <c r="C1680" s="3" t="s">
        <v>856</v>
      </c>
      <c r="D1680" t="s">
        <v>886</v>
      </c>
      <c r="E1680" s="3" t="str">
        <f>RTD("ice.rtd",,$C1680 &amp; $D1680 &amp; ":" &amp; E$1)</f>
        <v>Q1 27/Q2 27</v>
      </c>
      <c r="F1680" s="3" t="str">
        <f>ICE[[#This Row],[Prod]]&amp;ICE[[#This Row],[Strip]]</f>
        <v>dubQ1 27/Q2 27</v>
      </c>
      <c r="G1680" s="18" t="str">
        <f>RTD("ice.rtd",,$C1680 &amp; $D1680 &amp; ":" &amp; G$1)</f>
        <v/>
      </c>
      <c r="H1680" s="18" t="str">
        <f>RTD("ice.rtd",,$C1680 &amp; $D1680 &amp; ":" &amp; H$1)</f>
        <v/>
      </c>
      <c r="I1680" s="18" t="str">
        <f>RTD("ice.rtd",,$C1680 &amp; $D1680 &amp; ":" &amp; I$1)</f>
        <v/>
      </c>
      <c r="J1680" s="14" t="str">
        <f>IFERROR(MOD(RTD("ice.rtd",,$C1680 &amp; $D1680 &amp; ":" &amp; J$1), 1), "")</f>
        <v/>
      </c>
      <c r="K1680" s="18" t="str">
        <f>RTD("ice.rtd",,$C1680 &amp; $D1680 &amp; ":" &amp; K$1)</f>
        <v/>
      </c>
      <c r="L1680" s="36" t="str">
        <f>RTD("ice.rtd",,$C1680 &amp; $D1680 &amp; ":" &amp; L$1)</f>
        <v/>
      </c>
      <c r="M1680" s="14" t="str">
        <f>IFERROR(MOD(TIMEVALUE(RTD("ice.rtd",,$C1680 &amp; $D1680 &amp; ":" &amp; M$1)), 1), "")</f>
        <v/>
      </c>
      <c r="N1680" s="36">
        <f>RTD("ice.rtd",,$C1680 &amp; $D1680 &amp; ":" &amp; N$1)</f>
        <v>0</v>
      </c>
      <c r="O1680" s="36">
        <f>RTD("ice.rtd",,$C1680 &amp; $D1680 &amp; ":" &amp; O$1)</f>
        <v>0</v>
      </c>
      <c r="P16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0" s="14" t="str">
        <f>IF(ICE[[#This Row],[LastType]] = "Scrn", ICE[[#This Row],[LstDate]], IF(ICE[[#This Row],[LastType]] = "Blk", ICE[[#This Row],[LstBlkTime]], ""))</f>
        <v/>
      </c>
      <c r="R1680" s="41" t="str">
        <f>IF(ICE[[#This Row],[LastType]] = "Scrn", ICE[[#This Row],[LstPrc]], IF(ICE[[#This Row],[LastType]] = "Blk", ICE[[#This Row],[LstBlkPrc]], ""))</f>
        <v/>
      </c>
      <c r="S1680" s="36">
        <f>ICE[[#This Row],[Vol]]+ICE[[#This Row],[BlkVol]]</f>
        <v>0</v>
      </c>
      <c r="T1680" s="36">
        <f>RTD("ice.rtd",,$C1680 &amp; $D1680 &amp; ":" &amp; T$1)</f>
        <v>0</v>
      </c>
      <c r="U1680" s="18">
        <f>RTD("ice.rtd",,$C1680 &amp; $D1680 &amp; ":" &amp; U$1)</f>
        <v>2.7489999999999952</v>
      </c>
      <c r="V16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0" s="18" t="str">
        <f>IFERROR(IF(LEFT(ICE[[#This Row],[Tenor]], 1) = "B", RTD("esrtd",,$B1680 &amp; " " &amp; ICE[[#This Row],[Tenor]] &amp; "-IEU", W$1), RTD("esrtd",,$B1680 &amp; " " &amp; VLOOKUP(MONTH(ICE[[#This Row],[Strip]]), MthRef[], 2, 0) &amp; RIGHT(YEAR(ICE[[#This Row],[Strip]]), 2) &amp; "-IEU", W$1)), "")</f>
        <v/>
      </c>
      <c r="X1680" s="36"/>
    </row>
    <row r="1681" spans="1:24" x14ac:dyDescent="0.25">
      <c r="A1681" s="37" t="s">
        <v>853</v>
      </c>
      <c r="B1681" s="88" t="str">
        <f>RTD("ice.rtd",,$C1681 &amp; $D1681 &amp; ":" &amp; B$1)</f>
        <v>DBI</v>
      </c>
      <c r="C1681" s="3" t="s">
        <v>856</v>
      </c>
      <c r="D1681" t="s">
        <v>887</v>
      </c>
      <c r="E1681" s="3" t="str">
        <f>RTD("ice.rtd",,$C1681 &amp; $D1681 &amp; ":" &amp; E$1)</f>
        <v>Cal 27/Cal 28</v>
      </c>
      <c r="F1681" s="3" t="str">
        <f>ICE[[#This Row],[Prod]]&amp;ICE[[#This Row],[Strip]]</f>
        <v>dubCal 27/Cal 28</v>
      </c>
      <c r="G1681" s="18" t="str">
        <f>RTD("ice.rtd",,$C1681 &amp; $D1681 &amp; ":" &amp; G$1)</f>
        <v/>
      </c>
      <c r="H1681" s="18" t="str">
        <f>RTD("ice.rtd",,$C1681 &amp; $D1681 &amp; ":" &amp; H$1)</f>
        <v/>
      </c>
      <c r="I1681" s="18" t="str">
        <f>RTD("ice.rtd",,$C1681 &amp; $D1681 &amp; ":" &amp; I$1)</f>
        <v/>
      </c>
      <c r="J1681" s="14" t="str">
        <f>IFERROR(MOD(RTD("ice.rtd",,$C1681 &amp; $D1681 &amp; ":" &amp; J$1), 1), "")</f>
        <v/>
      </c>
      <c r="K1681" s="18" t="str">
        <f>RTD("ice.rtd",,$C1681 &amp; $D1681 &amp; ":" &amp; K$1)</f>
        <v/>
      </c>
      <c r="L1681" s="36" t="str">
        <f>RTD("ice.rtd",,$C1681 &amp; $D1681 &amp; ":" &amp; L$1)</f>
        <v/>
      </c>
      <c r="M1681" s="14" t="str">
        <f>IFERROR(MOD(TIMEVALUE(RTD("ice.rtd",,$C1681 &amp; $D1681 &amp; ":" &amp; M$1)), 1), "")</f>
        <v/>
      </c>
      <c r="N1681" s="36">
        <f>RTD("ice.rtd",,$C1681 &amp; $D1681 &amp; ":" &amp; N$1)</f>
        <v>0</v>
      </c>
      <c r="O1681" s="36">
        <f>RTD("ice.rtd",,$C1681 &amp; $D1681 &amp; ":" &amp; O$1)</f>
        <v>0</v>
      </c>
      <c r="P16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1" s="14" t="str">
        <f>IF(ICE[[#This Row],[LastType]] = "Scrn", ICE[[#This Row],[LstDate]], IF(ICE[[#This Row],[LastType]] = "Blk", ICE[[#This Row],[LstBlkTime]], ""))</f>
        <v/>
      </c>
      <c r="R1681" s="41" t="str">
        <f>IF(ICE[[#This Row],[LastType]] = "Scrn", ICE[[#This Row],[LstPrc]], IF(ICE[[#This Row],[LastType]] = "Blk", ICE[[#This Row],[LstBlkPrc]], ""))</f>
        <v/>
      </c>
      <c r="S1681" s="36">
        <f>ICE[[#This Row],[Vol]]+ICE[[#This Row],[BlkVol]]</f>
        <v>0</v>
      </c>
      <c r="T1681" s="36">
        <f>RTD("ice.rtd",,$C1681 &amp; $D1681 &amp; ":" &amp; T$1)</f>
        <v>0</v>
      </c>
      <c r="U1681" s="18">
        <f>RTD("ice.rtd",,$C1681 &amp; $D1681 &amp; ":" &amp; U$1)</f>
        <v>4.1269999999999953</v>
      </c>
      <c r="V16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1" s="18" t="str">
        <f>IFERROR(IF(LEFT(ICE[[#This Row],[Tenor]], 1) = "B", RTD("esrtd",,$B1681 &amp; " " &amp; ICE[[#This Row],[Tenor]] &amp; "-IEU", W$1), RTD("esrtd",,$B1681 &amp; " " &amp; VLOOKUP(MONTH(ICE[[#This Row],[Strip]]), MthRef[], 2, 0) &amp; RIGHT(YEAR(ICE[[#This Row],[Strip]]), 2) &amp; "-IEU", W$1)), "")</f>
        <v/>
      </c>
      <c r="X1681" s="36"/>
    </row>
    <row r="1682" spans="1:24" x14ac:dyDescent="0.25">
      <c r="A1682" s="37" t="s">
        <v>888</v>
      </c>
      <c r="B1682" s="88" t="str">
        <f>RTD("ice.rtd",,$C1682 &amp; $D1682 &amp; ":" &amp; B$1)</f>
        <v>CFS</v>
      </c>
      <c r="C1682" s="3">
        <v>3016030250</v>
      </c>
      <c r="D1682" t="s">
        <v>855</v>
      </c>
      <c r="E1682" s="3" t="str">
        <f>RTD("ice.rtd",,$C1682 &amp; $D1682 &amp; ":" &amp; E$1)</f>
        <v>Bal Month-ND/Oct26</v>
      </c>
      <c r="F1682" s="3" t="str">
        <f>ICE[[#This Row],[Prod]]&amp;ICE[[#This Row],[Strip]]</f>
        <v>dtdBal Month-ND/Oct26</v>
      </c>
      <c r="G1682" s="18" t="str">
        <f>RTD("ice.rtd",,$C1682 &amp; $D1682 &amp; ":" &amp; G$1)</f>
        <v/>
      </c>
      <c r="H1682" s="18" t="str">
        <f>RTD("ice.rtd",,$C1682 &amp; $D1682 &amp; ":" &amp; H$1)</f>
        <v/>
      </c>
      <c r="I1682" s="18" t="str">
        <f>RTD("ice.rtd",,$C1682 &amp; $D1682 &amp; ":" &amp; I$1)</f>
        <v/>
      </c>
      <c r="J1682" s="14" t="str">
        <f>IFERROR(MOD(RTD("ice.rtd",,$C1682 &amp; $D1682 &amp; ":" &amp; J$1), 1), "")</f>
        <v/>
      </c>
      <c r="K1682" s="18" t="str">
        <f>RTD("ice.rtd",,$C1682 &amp; $D1682 &amp; ":" &amp; K$1)</f>
        <v/>
      </c>
      <c r="L1682" s="36" t="str">
        <f>RTD("ice.rtd",,$C1682 &amp; $D1682 &amp; ":" &amp; L$1)</f>
        <v/>
      </c>
      <c r="M1682" s="14" t="str">
        <f>IFERROR(MOD(TIMEVALUE(RTD("ice.rtd",,$C1682 &amp; $D1682 &amp; ":" &amp; M$1)), 1), "")</f>
        <v/>
      </c>
      <c r="N1682" s="36">
        <f>RTD("ice.rtd",,$C1682 &amp; $D1682 &amp; ":" &amp; N$1)</f>
        <v>0</v>
      </c>
      <c r="O1682" s="36">
        <f>RTD("ice.rtd",,$C1682 &amp; $D1682 &amp; ":" &amp; O$1)</f>
        <v>0</v>
      </c>
      <c r="P16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2" s="14" t="str">
        <f>IF(ICE[[#This Row],[LastType]] = "Scrn", ICE[[#This Row],[LstDate]], IF(ICE[[#This Row],[LastType]] = "Blk", ICE[[#This Row],[LstBlkTime]], ""))</f>
        <v/>
      </c>
      <c r="R1682" s="41" t="str">
        <f>IF(ICE[[#This Row],[LastType]] = "Scrn", ICE[[#This Row],[LstPrc]], IF(ICE[[#This Row],[LastType]] = "Blk", ICE[[#This Row],[LstBlkPrc]], ""))</f>
        <v/>
      </c>
      <c r="S1682" s="36">
        <f>ICE[[#This Row],[Vol]]+ICE[[#This Row],[BlkVol]]</f>
        <v>0</v>
      </c>
      <c r="T1682" s="36">
        <f>RTD("ice.rtd",,$C1682 &amp; $D1682 &amp; ":" &amp; T$1)</f>
        <v>0</v>
      </c>
      <c r="U1682" s="18">
        <f>RTD("ice.rtd",,$C1682 &amp; $D1682 &amp; ":" &amp; U$1)</f>
        <v>2.4450000000000074</v>
      </c>
      <c r="V16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2" s="18" t="str">
        <f>IFERROR(IF(LEFT(ICE[[#This Row],[Tenor]], 1) = "B", RTD("esrtd",,$B1682 &amp; " " &amp; ICE[[#This Row],[Tenor]] &amp; "-IEU", W$1), RTD("esrtd",,$B1682 &amp; " " &amp; VLOOKUP(MONTH(ICE[[#This Row],[Strip]]), MthRef[], 2, 0) &amp; RIGHT(YEAR(ICE[[#This Row],[Strip]]), 2) &amp; "-IEU", W$1)), "")</f>
        <v/>
      </c>
      <c r="X1682" s="36"/>
    </row>
    <row r="1683" spans="1:24" x14ac:dyDescent="0.25">
      <c r="A1683" s="37" t="s">
        <v>888</v>
      </c>
      <c r="B1683" s="88" t="str">
        <f>RTD("ice.rtd",,$C1683 &amp; $D1683 &amp; ":" &amp; B$1)</f>
        <v>PDB</v>
      </c>
      <c r="C1683" s="3">
        <v>15061297</v>
      </c>
      <c r="D1683" t="s">
        <v>857</v>
      </c>
      <c r="E1683" s="3" t="str">
        <f>RTD("ice.rtd",,$C1683 &amp; $D1683 &amp; ":" &amp; E$1)</f>
        <v>Sep26/Oct26</v>
      </c>
      <c r="F1683" s="3" t="str">
        <f>ICE[[#This Row],[Prod]]&amp;ICE[[#This Row],[Strip]]</f>
        <v>dtdSep26/Oct26</v>
      </c>
      <c r="G1683" s="18">
        <f>RTD("ice.rtd",,$C1683 &amp; $D1683 &amp; ":" &amp; G$1)</f>
        <v>1.7</v>
      </c>
      <c r="H1683" s="18" t="str">
        <f>RTD("ice.rtd",,$C1683 &amp; $D1683 &amp; ":" &amp; H$1)</f>
        <v/>
      </c>
      <c r="I1683" s="18" t="str">
        <f>RTD("ice.rtd",,$C1683 &amp; $D1683 &amp; ":" &amp; I$1)</f>
        <v/>
      </c>
      <c r="J1683" s="14" t="str">
        <f>IFERROR(MOD(RTD("ice.rtd",,$C1683 &amp; $D1683 &amp; ":" &amp; J$1), 1), "")</f>
        <v/>
      </c>
      <c r="K1683" s="18" t="str">
        <f>RTD("ice.rtd",,$C1683 &amp; $D1683 &amp; ":" &amp; K$1)</f>
        <v/>
      </c>
      <c r="L1683" s="36" t="str">
        <f>RTD("ice.rtd",,$C1683 &amp; $D1683 &amp; ":" &amp; L$1)</f>
        <v/>
      </c>
      <c r="M1683" s="14" t="str">
        <f>IFERROR(MOD(TIMEVALUE(RTD("ice.rtd",,$C1683 &amp; $D1683 &amp; ":" &amp; M$1)), 1), "")</f>
        <v/>
      </c>
      <c r="N1683" s="36">
        <f>RTD("ice.rtd",,$C1683 &amp; $D1683 &amp; ":" &amp; N$1)</f>
        <v>0</v>
      </c>
      <c r="O1683" s="36">
        <f>RTD("ice.rtd",,$C1683 &amp; $D1683 &amp; ":" &amp; O$1)</f>
        <v>0</v>
      </c>
      <c r="P16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3" s="14" t="str">
        <f>IF(ICE[[#This Row],[LastType]] = "Scrn", ICE[[#This Row],[LstDate]], IF(ICE[[#This Row],[LastType]] = "Blk", ICE[[#This Row],[LstBlkTime]], ""))</f>
        <v/>
      </c>
      <c r="R1683" s="41" t="str">
        <f>IF(ICE[[#This Row],[LastType]] = "Scrn", ICE[[#This Row],[LstPrc]], IF(ICE[[#This Row],[LastType]] = "Blk", ICE[[#This Row],[LstBlkPrc]], ""))</f>
        <v/>
      </c>
      <c r="S1683" s="36">
        <f>ICE[[#This Row],[Vol]]+ICE[[#This Row],[BlkVol]]</f>
        <v>0</v>
      </c>
      <c r="T1683" s="36">
        <f>RTD("ice.rtd",,$C1683 &amp; $D1683 &amp; ":" &amp; T$1)</f>
        <v>0</v>
      </c>
      <c r="U1683" s="18">
        <f>RTD("ice.rtd",,$C1683 &amp; $D1683 &amp; ":" &amp; U$1)</f>
        <v>2.3020000000000067</v>
      </c>
      <c r="V16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1.70 /  </v>
      </c>
      <c r="W1683" s="18" t="str">
        <f>IFERROR(IF(LEFT(ICE[[#This Row],[Tenor]], 1) = "B", RTD("esrtd",,$B1683 &amp; " " &amp; ICE[[#This Row],[Tenor]] &amp; "-IEU", W$1), RTD("esrtd",,$B1683 &amp; " " &amp; VLOOKUP(MONTH(ICE[[#This Row],[Strip]]), MthRef[], 2, 0) &amp; RIGHT(YEAR(ICE[[#This Row],[Strip]]), 2) &amp; "-IEU", W$1)), "")</f>
        <v/>
      </c>
      <c r="X1683" s="36"/>
    </row>
    <row r="1684" spans="1:24" x14ac:dyDescent="0.25">
      <c r="A1684" s="37" t="s">
        <v>888</v>
      </c>
      <c r="B1684" s="88" t="str">
        <f>RTD("ice.rtd",,$C1684 &amp; $D1684 &amp; ":" &amp; B$1)</f>
        <v>PDB</v>
      </c>
      <c r="C1684" s="3">
        <v>15061297</v>
      </c>
      <c r="D1684" t="s">
        <v>860</v>
      </c>
      <c r="E1684" s="3" t="str">
        <f>RTD("ice.rtd",,$C1684 &amp; $D1684 &amp; ":" &amp; E$1)</f>
        <v>Sep26/Nov26</v>
      </c>
      <c r="F1684" s="3" t="str">
        <f>ICE[[#This Row],[Prod]]&amp;ICE[[#This Row],[Strip]]</f>
        <v>dtdSep26/Nov26</v>
      </c>
      <c r="G1684" s="18" t="str">
        <f>RTD("ice.rtd",,$C1684 &amp; $D1684 &amp; ":" &amp; G$1)</f>
        <v/>
      </c>
      <c r="H1684" s="18" t="str">
        <f>RTD("ice.rtd",,$C1684 &amp; $D1684 &amp; ":" &amp; H$1)</f>
        <v/>
      </c>
      <c r="I1684" s="18" t="str">
        <f>RTD("ice.rtd",,$C1684 &amp; $D1684 &amp; ":" &amp; I$1)</f>
        <v/>
      </c>
      <c r="J1684" s="14" t="str">
        <f>IFERROR(MOD(RTD("ice.rtd",,$C1684 &amp; $D1684 &amp; ":" &amp; J$1), 1), "")</f>
        <v/>
      </c>
      <c r="K1684" s="18" t="str">
        <f>RTD("ice.rtd",,$C1684 &amp; $D1684 &amp; ":" &amp; K$1)</f>
        <v/>
      </c>
      <c r="L1684" s="36" t="str">
        <f>RTD("ice.rtd",,$C1684 &amp; $D1684 &amp; ":" &amp; L$1)</f>
        <v/>
      </c>
      <c r="M1684" s="14" t="str">
        <f>IFERROR(MOD(TIMEVALUE(RTD("ice.rtd",,$C1684 &amp; $D1684 &amp; ":" &amp; M$1)), 1), "")</f>
        <v/>
      </c>
      <c r="N1684" s="36">
        <f>RTD("ice.rtd",,$C1684 &amp; $D1684 &amp; ":" &amp; N$1)</f>
        <v>0</v>
      </c>
      <c r="O1684" s="36">
        <f>RTD("ice.rtd",,$C1684 &amp; $D1684 &amp; ":" &amp; O$1)</f>
        <v>0</v>
      </c>
      <c r="P16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4" s="14" t="str">
        <f>IF(ICE[[#This Row],[LastType]] = "Scrn", ICE[[#This Row],[LstDate]], IF(ICE[[#This Row],[LastType]] = "Blk", ICE[[#This Row],[LstBlkTime]], ""))</f>
        <v/>
      </c>
      <c r="R1684" s="41" t="str">
        <f>IF(ICE[[#This Row],[LastType]] = "Scrn", ICE[[#This Row],[LstPrc]], IF(ICE[[#This Row],[LastType]] = "Blk", ICE[[#This Row],[LstBlkPrc]], ""))</f>
        <v/>
      </c>
      <c r="S1684" s="36">
        <f>ICE[[#This Row],[Vol]]+ICE[[#This Row],[BlkVol]]</f>
        <v>0</v>
      </c>
      <c r="T1684" s="36">
        <f>RTD("ice.rtd",,$C1684 &amp; $D1684 &amp; ":" &amp; T$1)</f>
        <v>0</v>
      </c>
      <c r="U1684" s="18">
        <f>RTD("ice.rtd",,$C1684 &amp; $D1684 &amp; ":" &amp; U$1)</f>
        <v>5.4050000000000011</v>
      </c>
      <c r="V16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4" s="18" t="str">
        <f>IFERROR(IF(LEFT(ICE[[#This Row],[Tenor]], 1) = "B", RTD("esrtd",,$B1684 &amp; " " &amp; ICE[[#This Row],[Tenor]] &amp; "-IEU", W$1), RTD("esrtd",,$B1684 &amp; " " &amp; VLOOKUP(MONTH(ICE[[#This Row],[Strip]]), MthRef[], 2, 0) &amp; RIGHT(YEAR(ICE[[#This Row],[Strip]]), 2) &amp; "-IEU", W$1)), "")</f>
        <v/>
      </c>
      <c r="X1684" s="36"/>
    </row>
    <row r="1685" spans="1:24" x14ac:dyDescent="0.25">
      <c r="A1685" s="37" t="s">
        <v>888</v>
      </c>
      <c r="B1685" s="88" t="str">
        <f>RTD("ice.rtd",,$C1685 &amp; $D1685 &amp; ":" &amp; B$1)</f>
        <v>PDB</v>
      </c>
      <c r="C1685" s="3">
        <v>15061297</v>
      </c>
      <c r="D1685" t="s">
        <v>861</v>
      </c>
      <c r="E1685" s="3" t="str">
        <f>RTD("ice.rtd",,$C1685 &amp; $D1685 &amp; ":" &amp; E$1)</f>
        <v>Sep26/Dec26</v>
      </c>
      <c r="F1685" s="3" t="str">
        <f>ICE[[#This Row],[Prod]]&amp;ICE[[#This Row],[Strip]]</f>
        <v>dtdSep26/Dec26</v>
      </c>
      <c r="G1685" s="18" t="str">
        <f>RTD("ice.rtd",,$C1685 &amp; $D1685 &amp; ":" &amp; G$1)</f>
        <v/>
      </c>
      <c r="H1685" s="18" t="str">
        <f>RTD("ice.rtd",,$C1685 &amp; $D1685 &amp; ":" &amp; H$1)</f>
        <v/>
      </c>
      <c r="I1685" s="18" t="str">
        <f>RTD("ice.rtd",,$C1685 &amp; $D1685 &amp; ":" &amp; I$1)</f>
        <v/>
      </c>
      <c r="J1685" s="14" t="str">
        <f>IFERROR(MOD(RTD("ice.rtd",,$C1685 &amp; $D1685 &amp; ":" &amp; J$1), 1), "")</f>
        <v/>
      </c>
      <c r="K1685" s="18" t="str">
        <f>RTD("ice.rtd",,$C1685 &amp; $D1685 &amp; ":" &amp; K$1)</f>
        <v/>
      </c>
      <c r="L1685" s="36" t="str">
        <f>RTD("ice.rtd",,$C1685 &amp; $D1685 &amp; ":" &amp; L$1)</f>
        <v/>
      </c>
      <c r="M1685" s="14" t="str">
        <f>IFERROR(MOD(TIMEVALUE(RTD("ice.rtd",,$C1685 &amp; $D1685 &amp; ":" &amp; M$1)), 1), "")</f>
        <v/>
      </c>
      <c r="N1685" s="36">
        <f>RTD("ice.rtd",,$C1685 &amp; $D1685 &amp; ":" &amp; N$1)</f>
        <v>0</v>
      </c>
      <c r="O1685" s="36">
        <f>RTD("ice.rtd",,$C1685 &amp; $D1685 &amp; ":" &amp; O$1)</f>
        <v>0</v>
      </c>
      <c r="P16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5" s="14" t="str">
        <f>IF(ICE[[#This Row],[LastType]] = "Scrn", ICE[[#This Row],[LstDate]], IF(ICE[[#This Row],[LastType]] = "Blk", ICE[[#This Row],[LstBlkTime]], ""))</f>
        <v/>
      </c>
      <c r="R1685" s="41" t="str">
        <f>IF(ICE[[#This Row],[LastType]] = "Scrn", ICE[[#This Row],[LstPrc]], IF(ICE[[#This Row],[LastType]] = "Blk", ICE[[#This Row],[LstBlkPrc]], ""))</f>
        <v/>
      </c>
      <c r="S1685" s="36">
        <f>ICE[[#This Row],[Vol]]+ICE[[#This Row],[BlkVol]]</f>
        <v>0</v>
      </c>
      <c r="T1685" s="36">
        <f>RTD("ice.rtd",,$C1685 &amp; $D1685 &amp; ":" &amp; T$1)</f>
        <v>0</v>
      </c>
      <c r="U1685" s="18">
        <f>RTD("ice.rtd",,$C1685 &amp; $D1685 &amp; ":" &amp; U$1)</f>
        <v>8.2490000000000094</v>
      </c>
      <c r="V16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5" s="18" t="str">
        <f>IFERROR(IF(LEFT(ICE[[#This Row],[Tenor]], 1) = "B", RTD("esrtd",,$B1685 &amp; " " &amp; ICE[[#This Row],[Tenor]] &amp; "-IEU", W$1), RTD("esrtd",,$B1685 &amp; " " &amp; VLOOKUP(MONTH(ICE[[#This Row],[Strip]]), MthRef[], 2, 0) &amp; RIGHT(YEAR(ICE[[#This Row],[Strip]]), 2) &amp; "-IEU", W$1)), "")</f>
        <v/>
      </c>
      <c r="X1685" s="36"/>
    </row>
    <row r="1686" spans="1:24" x14ac:dyDescent="0.25">
      <c r="A1686" s="37" t="s">
        <v>888</v>
      </c>
      <c r="B1686" s="88" t="str">
        <f>RTD("ice.rtd",,$C1686 &amp; $D1686 &amp; ":" &amp; B$1)</f>
        <v>PDB</v>
      </c>
      <c r="C1686" s="3">
        <v>15061297</v>
      </c>
      <c r="D1686" t="s">
        <v>862</v>
      </c>
      <c r="E1686" s="3" t="str">
        <f>RTD("ice.rtd",,$C1686 &amp; $D1686 &amp; ":" &amp; E$1)</f>
        <v>Sep26/Jan27</v>
      </c>
      <c r="F1686" s="3" t="str">
        <f>ICE[[#This Row],[Prod]]&amp;ICE[[#This Row],[Strip]]</f>
        <v>dtdSep26/Jan27</v>
      </c>
      <c r="G1686" s="18" t="str">
        <f>RTD("ice.rtd",,$C1686 &amp; $D1686 &amp; ":" &amp; G$1)</f>
        <v/>
      </c>
      <c r="H1686" s="18" t="str">
        <f>RTD("ice.rtd",,$C1686 &amp; $D1686 &amp; ":" &amp; H$1)</f>
        <v/>
      </c>
      <c r="I1686" s="18" t="str">
        <f>RTD("ice.rtd",,$C1686 &amp; $D1686 &amp; ":" &amp; I$1)</f>
        <v/>
      </c>
      <c r="J1686" s="14" t="str">
        <f>IFERROR(MOD(RTD("ice.rtd",,$C1686 &amp; $D1686 &amp; ":" &amp; J$1), 1), "")</f>
        <v/>
      </c>
      <c r="K1686" s="18" t="str">
        <f>RTD("ice.rtd",,$C1686 &amp; $D1686 &amp; ":" &amp; K$1)</f>
        <v/>
      </c>
      <c r="L1686" s="36" t="str">
        <f>RTD("ice.rtd",,$C1686 &amp; $D1686 &amp; ":" &amp; L$1)</f>
        <v/>
      </c>
      <c r="M1686" s="14" t="str">
        <f>IFERROR(MOD(TIMEVALUE(RTD("ice.rtd",,$C1686 &amp; $D1686 &amp; ":" &amp; M$1)), 1), "")</f>
        <v/>
      </c>
      <c r="N1686" s="36">
        <f>RTD("ice.rtd",,$C1686 &amp; $D1686 &amp; ":" &amp; N$1)</f>
        <v>0</v>
      </c>
      <c r="O1686" s="36">
        <f>RTD("ice.rtd",,$C1686 &amp; $D1686 &amp; ":" &amp; O$1)</f>
        <v>0</v>
      </c>
      <c r="P16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6" s="14" t="str">
        <f>IF(ICE[[#This Row],[LastType]] = "Scrn", ICE[[#This Row],[LstDate]], IF(ICE[[#This Row],[LastType]] = "Blk", ICE[[#This Row],[LstBlkTime]], ""))</f>
        <v/>
      </c>
      <c r="R1686" s="41" t="str">
        <f>IF(ICE[[#This Row],[LastType]] = "Scrn", ICE[[#This Row],[LstPrc]], IF(ICE[[#This Row],[LastType]] = "Blk", ICE[[#This Row],[LstBlkPrc]], ""))</f>
        <v/>
      </c>
      <c r="S1686" s="36">
        <f>ICE[[#This Row],[Vol]]+ICE[[#This Row],[BlkVol]]</f>
        <v>0</v>
      </c>
      <c r="T1686" s="36">
        <f>RTD("ice.rtd",,$C1686 &amp; $D1686 &amp; ":" &amp; T$1)</f>
        <v>0</v>
      </c>
      <c r="U1686" s="18">
        <f>RTD("ice.rtd",,$C1686 &amp; $D1686 &amp; ":" &amp; U$1)</f>
        <v>10.545000000000002</v>
      </c>
      <c r="V16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6" s="18" t="str">
        <f>IFERROR(IF(LEFT(ICE[[#This Row],[Tenor]], 1) = "B", RTD("esrtd",,$B1686 &amp; " " &amp; ICE[[#This Row],[Tenor]] &amp; "-IEU", W$1), RTD("esrtd",,$B1686 &amp; " " &amp; VLOOKUP(MONTH(ICE[[#This Row],[Strip]]), MthRef[], 2, 0) &amp; RIGHT(YEAR(ICE[[#This Row],[Strip]]), 2) &amp; "-IEU", W$1)), "")</f>
        <v/>
      </c>
      <c r="X1686" s="36"/>
    </row>
    <row r="1687" spans="1:24" x14ac:dyDescent="0.25">
      <c r="A1687" s="37" t="s">
        <v>888</v>
      </c>
      <c r="B1687" s="88" t="str">
        <f>RTD("ice.rtd",,$C1687 &amp; $D1687 &amp; ":" &amp; B$1)</f>
        <v>PDB</v>
      </c>
      <c r="C1687" s="3">
        <v>15061297</v>
      </c>
      <c r="D1687" t="s">
        <v>863</v>
      </c>
      <c r="E1687" s="3" t="str">
        <f>RTD("ice.rtd",,$C1687 &amp; $D1687 &amp; ":" &amp; E$1)</f>
        <v>Sep26/Feb27</v>
      </c>
      <c r="F1687" s="3" t="str">
        <f>ICE[[#This Row],[Prod]]&amp;ICE[[#This Row],[Strip]]</f>
        <v>dtdSep26/Feb27</v>
      </c>
      <c r="G1687" s="18" t="str">
        <f>RTD("ice.rtd",,$C1687 &amp; $D1687 &amp; ":" &amp; G$1)</f>
        <v/>
      </c>
      <c r="H1687" s="18" t="str">
        <f>RTD("ice.rtd",,$C1687 &amp; $D1687 &amp; ":" &amp; H$1)</f>
        <v/>
      </c>
      <c r="I1687" s="18" t="str">
        <f>RTD("ice.rtd",,$C1687 &amp; $D1687 &amp; ":" &amp; I$1)</f>
        <v/>
      </c>
      <c r="J1687" s="14" t="str">
        <f>IFERROR(MOD(RTD("ice.rtd",,$C1687 &amp; $D1687 &amp; ":" &amp; J$1), 1), "")</f>
        <v/>
      </c>
      <c r="K1687" s="18" t="str">
        <f>RTD("ice.rtd",,$C1687 &amp; $D1687 &amp; ":" &amp; K$1)</f>
        <v/>
      </c>
      <c r="L1687" s="36" t="str">
        <f>RTD("ice.rtd",,$C1687 &amp; $D1687 &amp; ":" &amp; L$1)</f>
        <v/>
      </c>
      <c r="M1687" s="14" t="str">
        <f>IFERROR(MOD(TIMEVALUE(RTD("ice.rtd",,$C1687 &amp; $D1687 &amp; ":" &amp; M$1)), 1), "")</f>
        <v/>
      </c>
      <c r="N1687" s="36">
        <f>RTD("ice.rtd",,$C1687 &amp; $D1687 &amp; ":" &amp; N$1)</f>
        <v>0</v>
      </c>
      <c r="O1687" s="36">
        <f>RTD("ice.rtd",,$C1687 &amp; $D1687 &amp; ":" &amp; O$1)</f>
        <v>0</v>
      </c>
      <c r="P16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7" s="14" t="str">
        <f>IF(ICE[[#This Row],[LastType]] = "Scrn", ICE[[#This Row],[LstDate]], IF(ICE[[#This Row],[LastType]] = "Blk", ICE[[#This Row],[LstBlkTime]], ""))</f>
        <v/>
      </c>
      <c r="R1687" s="41" t="str">
        <f>IF(ICE[[#This Row],[LastType]] = "Scrn", ICE[[#This Row],[LstPrc]], IF(ICE[[#This Row],[LastType]] = "Blk", ICE[[#This Row],[LstBlkPrc]], ""))</f>
        <v/>
      </c>
      <c r="S1687" s="36">
        <f>ICE[[#This Row],[Vol]]+ICE[[#This Row],[BlkVol]]</f>
        <v>0</v>
      </c>
      <c r="T1687" s="36">
        <f>RTD("ice.rtd",,$C1687 &amp; $D1687 &amp; ":" &amp; T$1)</f>
        <v>0</v>
      </c>
      <c r="U1687" s="18">
        <f>RTD("ice.rtd",,$C1687 &amp; $D1687 &amp; ":" &amp; U$1)</f>
        <v>12.570000000000007</v>
      </c>
      <c r="V16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7" s="18" t="str">
        <f>IFERROR(IF(LEFT(ICE[[#This Row],[Tenor]], 1) = "B", RTD("esrtd",,$B1687 &amp; " " &amp; ICE[[#This Row],[Tenor]] &amp; "-IEU", W$1), RTD("esrtd",,$B1687 &amp; " " &amp; VLOOKUP(MONTH(ICE[[#This Row],[Strip]]), MthRef[], 2, 0) &amp; RIGHT(YEAR(ICE[[#This Row],[Strip]]), 2) &amp; "-IEU", W$1)), "")</f>
        <v/>
      </c>
      <c r="X1687" s="36"/>
    </row>
    <row r="1688" spans="1:24" x14ac:dyDescent="0.25">
      <c r="A1688" s="37" t="s">
        <v>888</v>
      </c>
      <c r="B1688" s="88" t="str">
        <f>RTD("ice.rtd",,$C1688 &amp; $D1688 &amp; ":" &amp; B$1)</f>
        <v>PDB</v>
      </c>
      <c r="C1688" s="3">
        <v>15061297</v>
      </c>
      <c r="D1688" t="s">
        <v>864</v>
      </c>
      <c r="E1688" s="3" t="str">
        <f>RTD("ice.rtd",,$C1688 &amp; $D1688 &amp; ":" &amp; E$1)</f>
        <v>Sep26/Mar27</v>
      </c>
      <c r="F1688" s="3" t="str">
        <f>ICE[[#This Row],[Prod]]&amp;ICE[[#This Row],[Strip]]</f>
        <v>dtdSep26/Mar27</v>
      </c>
      <c r="G1688" s="18" t="str">
        <f>RTD("ice.rtd",,$C1688 &amp; $D1688 &amp; ":" &amp; G$1)</f>
        <v/>
      </c>
      <c r="H1688" s="18" t="str">
        <f>RTD("ice.rtd",,$C1688 &amp; $D1688 &amp; ":" &amp; H$1)</f>
        <v/>
      </c>
      <c r="I1688" s="18" t="str">
        <f>RTD("ice.rtd",,$C1688 &amp; $D1688 &amp; ":" &amp; I$1)</f>
        <v/>
      </c>
      <c r="J1688" s="14" t="str">
        <f>IFERROR(MOD(RTD("ice.rtd",,$C1688 &amp; $D1688 &amp; ":" &amp; J$1), 1), "")</f>
        <v/>
      </c>
      <c r="K1688" s="18" t="str">
        <f>RTD("ice.rtd",,$C1688 &amp; $D1688 &amp; ":" &amp; K$1)</f>
        <v/>
      </c>
      <c r="L1688" s="36" t="str">
        <f>RTD("ice.rtd",,$C1688 &amp; $D1688 &amp; ":" &amp; L$1)</f>
        <v/>
      </c>
      <c r="M1688" s="14" t="str">
        <f>IFERROR(MOD(TIMEVALUE(RTD("ice.rtd",,$C1688 &amp; $D1688 &amp; ":" &amp; M$1)), 1), "")</f>
        <v/>
      </c>
      <c r="N1688" s="36">
        <f>RTD("ice.rtd",,$C1688 &amp; $D1688 &amp; ":" &amp; N$1)</f>
        <v>0</v>
      </c>
      <c r="O1688" s="36">
        <f>RTD("ice.rtd",,$C1688 &amp; $D1688 &amp; ":" &amp; O$1)</f>
        <v>0</v>
      </c>
      <c r="P16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8" s="14" t="str">
        <f>IF(ICE[[#This Row],[LastType]] = "Scrn", ICE[[#This Row],[LstDate]], IF(ICE[[#This Row],[LastType]] = "Blk", ICE[[#This Row],[LstBlkTime]], ""))</f>
        <v/>
      </c>
      <c r="R1688" s="41" t="str">
        <f>IF(ICE[[#This Row],[LastType]] = "Scrn", ICE[[#This Row],[LstPrc]], IF(ICE[[#This Row],[LastType]] = "Blk", ICE[[#This Row],[LstBlkPrc]], ""))</f>
        <v/>
      </c>
      <c r="S1688" s="36">
        <f>ICE[[#This Row],[Vol]]+ICE[[#This Row],[BlkVol]]</f>
        <v>0</v>
      </c>
      <c r="T1688" s="36">
        <f>RTD("ice.rtd",,$C1688 &amp; $D1688 &amp; ":" &amp; T$1)</f>
        <v>0</v>
      </c>
      <c r="U1688" s="18">
        <f>RTD("ice.rtd",,$C1688 &amp; $D1688 &amp; ":" &amp; U$1)</f>
        <v>14.046999999999997</v>
      </c>
      <c r="V16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8" s="18" t="str">
        <f>IFERROR(IF(LEFT(ICE[[#This Row],[Tenor]], 1) = "B", RTD("esrtd",,$B1688 &amp; " " &amp; ICE[[#This Row],[Tenor]] &amp; "-IEU", W$1), RTD("esrtd",,$B1688 &amp; " " &amp; VLOOKUP(MONTH(ICE[[#This Row],[Strip]]), MthRef[], 2, 0) &amp; RIGHT(YEAR(ICE[[#This Row],[Strip]]), 2) &amp; "-IEU", W$1)), "")</f>
        <v/>
      </c>
      <c r="X1688" s="36"/>
    </row>
    <row r="1689" spans="1:24" x14ac:dyDescent="0.25">
      <c r="A1689" s="37" t="s">
        <v>888</v>
      </c>
      <c r="B1689" s="88" t="str">
        <f>RTD("ice.rtd",,$C1689 &amp; $D1689 &amp; ":" &amp; B$1)</f>
        <v>PDB</v>
      </c>
      <c r="C1689" s="3">
        <v>15061297</v>
      </c>
      <c r="D1689" t="s">
        <v>865</v>
      </c>
      <c r="E1689" s="3" t="str">
        <f>RTD("ice.rtd",,$C1689 &amp; $D1689 &amp; ":" &amp; E$1)</f>
        <v>Sep26/Aug27</v>
      </c>
      <c r="F1689" s="3" t="str">
        <f>ICE[[#This Row],[Prod]]&amp;ICE[[#This Row],[Strip]]</f>
        <v>dtdSep26/Aug27</v>
      </c>
      <c r="G1689" s="18" t="str">
        <f>RTD("ice.rtd",,$C1689 &amp; $D1689 &amp; ":" &amp; G$1)</f>
        <v/>
      </c>
      <c r="H1689" s="18" t="str">
        <f>RTD("ice.rtd",,$C1689 &amp; $D1689 &amp; ":" &amp; H$1)</f>
        <v/>
      </c>
      <c r="I1689" s="18" t="str">
        <f>RTD("ice.rtd",,$C1689 &amp; $D1689 &amp; ":" &amp; I$1)</f>
        <v/>
      </c>
      <c r="J1689" s="14" t="str">
        <f>IFERROR(MOD(RTD("ice.rtd",,$C1689 &amp; $D1689 &amp; ":" &amp; J$1), 1), "")</f>
        <v/>
      </c>
      <c r="K1689" s="18" t="str">
        <f>RTD("ice.rtd",,$C1689 &amp; $D1689 &amp; ":" &amp; K$1)</f>
        <v/>
      </c>
      <c r="L1689" s="36" t="str">
        <f>RTD("ice.rtd",,$C1689 &amp; $D1689 &amp; ":" &amp; L$1)</f>
        <v/>
      </c>
      <c r="M1689" s="14" t="str">
        <f>IFERROR(MOD(TIMEVALUE(RTD("ice.rtd",,$C1689 &amp; $D1689 &amp; ":" &amp; M$1)), 1), "")</f>
        <v/>
      </c>
      <c r="N1689" s="36">
        <f>RTD("ice.rtd",,$C1689 &amp; $D1689 &amp; ":" &amp; N$1)</f>
        <v>0</v>
      </c>
      <c r="O1689" s="36">
        <f>RTD("ice.rtd",,$C1689 &amp; $D1689 &amp; ":" &amp; O$1)</f>
        <v>0</v>
      </c>
      <c r="P16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89" s="14" t="str">
        <f>IF(ICE[[#This Row],[LastType]] = "Scrn", ICE[[#This Row],[LstDate]], IF(ICE[[#This Row],[LastType]] = "Blk", ICE[[#This Row],[LstBlkTime]], ""))</f>
        <v/>
      </c>
      <c r="R1689" s="41" t="str">
        <f>IF(ICE[[#This Row],[LastType]] = "Scrn", ICE[[#This Row],[LstPrc]], IF(ICE[[#This Row],[LastType]] = "Blk", ICE[[#This Row],[LstBlkPrc]], ""))</f>
        <v/>
      </c>
      <c r="S1689" s="36">
        <f>ICE[[#This Row],[Vol]]+ICE[[#This Row],[BlkVol]]</f>
        <v>0</v>
      </c>
      <c r="T1689" s="36">
        <f>RTD("ice.rtd",,$C1689 &amp; $D1689 &amp; ":" &amp; T$1)</f>
        <v>0</v>
      </c>
      <c r="U1689" s="18">
        <f>RTD("ice.rtd",,$C1689 &amp; $D1689 &amp; ":" &amp; U$1)</f>
        <v>18.393000000000001</v>
      </c>
      <c r="V16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89" s="18" t="str">
        <f>IFERROR(IF(LEFT(ICE[[#This Row],[Tenor]], 1) = "B", RTD("esrtd",,$B1689 &amp; " " &amp; ICE[[#This Row],[Tenor]] &amp; "-IEU", W$1), RTD("esrtd",,$B1689 &amp; " " &amp; VLOOKUP(MONTH(ICE[[#This Row],[Strip]]), MthRef[], 2, 0) &amp; RIGHT(YEAR(ICE[[#This Row],[Strip]]), 2) &amp; "-IEU", W$1)), "")</f>
        <v/>
      </c>
      <c r="X1689" s="36"/>
    </row>
    <row r="1690" spans="1:24" x14ac:dyDescent="0.25">
      <c r="A1690" s="37" t="s">
        <v>888</v>
      </c>
      <c r="B1690" s="88" t="str">
        <f>RTD("ice.rtd",,$C1690 &amp; $D1690 &amp; ":" &amp; B$1)</f>
        <v>PDB</v>
      </c>
      <c r="C1690" s="3">
        <v>15061297</v>
      </c>
      <c r="D1690" t="s">
        <v>866</v>
      </c>
      <c r="E1690" s="3" t="str">
        <f>RTD("ice.rtd",,$C1690 &amp; $D1690 &amp; ":" &amp; E$1)</f>
        <v>Sep26/Sep27</v>
      </c>
      <c r="F1690" s="3" t="str">
        <f>ICE[[#This Row],[Prod]]&amp;ICE[[#This Row],[Strip]]</f>
        <v>dtdSep26/Sep27</v>
      </c>
      <c r="G1690" s="18" t="str">
        <f>RTD("ice.rtd",,$C1690 &amp; $D1690 &amp; ":" &amp; G$1)</f>
        <v/>
      </c>
      <c r="H1690" s="18" t="str">
        <f>RTD("ice.rtd",,$C1690 &amp; $D1690 &amp; ":" &amp; H$1)</f>
        <v/>
      </c>
      <c r="I1690" s="18" t="str">
        <f>RTD("ice.rtd",,$C1690 &amp; $D1690 &amp; ":" &amp; I$1)</f>
        <v/>
      </c>
      <c r="J1690" s="14" t="str">
        <f>IFERROR(MOD(RTD("ice.rtd",,$C1690 &amp; $D1690 &amp; ":" &amp; J$1), 1), "")</f>
        <v/>
      </c>
      <c r="K1690" s="18" t="str">
        <f>RTD("ice.rtd",,$C1690 &amp; $D1690 &amp; ":" &amp; K$1)</f>
        <v/>
      </c>
      <c r="L1690" s="36" t="str">
        <f>RTD("ice.rtd",,$C1690 &amp; $D1690 &amp; ":" &amp; L$1)</f>
        <v/>
      </c>
      <c r="M1690" s="14" t="str">
        <f>IFERROR(MOD(TIMEVALUE(RTD("ice.rtd",,$C1690 &amp; $D1690 &amp; ":" &amp; M$1)), 1), "")</f>
        <v/>
      </c>
      <c r="N1690" s="36">
        <f>RTD("ice.rtd",,$C1690 &amp; $D1690 &amp; ":" &amp; N$1)</f>
        <v>0</v>
      </c>
      <c r="O1690" s="36">
        <f>RTD("ice.rtd",,$C1690 &amp; $D1690 &amp; ":" &amp; O$1)</f>
        <v>0</v>
      </c>
      <c r="P16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0" s="14" t="str">
        <f>IF(ICE[[#This Row],[LastType]] = "Scrn", ICE[[#This Row],[LstDate]], IF(ICE[[#This Row],[LastType]] = "Blk", ICE[[#This Row],[LstBlkTime]], ""))</f>
        <v/>
      </c>
      <c r="R1690" s="41" t="str">
        <f>IF(ICE[[#This Row],[LastType]] = "Scrn", ICE[[#This Row],[LstPrc]], IF(ICE[[#This Row],[LastType]] = "Blk", ICE[[#This Row],[LstBlkPrc]], ""))</f>
        <v/>
      </c>
      <c r="S1690" s="36">
        <f>ICE[[#This Row],[Vol]]+ICE[[#This Row],[BlkVol]]</f>
        <v>0</v>
      </c>
      <c r="T1690" s="36">
        <f>RTD("ice.rtd",,$C1690 &amp; $D1690 &amp; ":" &amp; T$1)</f>
        <v>0</v>
      </c>
      <c r="U1690" s="18">
        <f>RTD("ice.rtd",,$C1690 &amp; $D1690 &amp; ":" &amp; U$1)</f>
        <v>18.930000000000007</v>
      </c>
      <c r="V16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0" s="18" t="str">
        <f>IFERROR(IF(LEFT(ICE[[#This Row],[Tenor]], 1) = "B", RTD("esrtd",,$B1690 &amp; " " &amp; ICE[[#This Row],[Tenor]] &amp; "-IEU", W$1), RTD("esrtd",,$B1690 &amp; " " &amp; VLOOKUP(MONTH(ICE[[#This Row],[Strip]]), MthRef[], 2, 0) &amp; RIGHT(YEAR(ICE[[#This Row],[Strip]]), 2) &amp; "-IEU", W$1)), "")</f>
        <v/>
      </c>
      <c r="X1690" s="36"/>
    </row>
    <row r="1691" spans="1:24" x14ac:dyDescent="0.25">
      <c r="A1691" s="37" t="s">
        <v>888</v>
      </c>
      <c r="B1691" s="88" t="str">
        <f>RTD("ice.rtd",,$C1691 &amp; $D1691 &amp; ":" &amp; B$1)</f>
        <v>PDB</v>
      </c>
      <c r="C1691" s="3">
        <v>15061297</v>
      </c>
      <c r="D1691" t="s">
        <v>867</v>
      </c>
      <c r="E1691" s="3" t="str">
        <f>RTD("ice.rtd",,$C1691 &amp; $D1691 &amp; ":" &amp; E$1)</f>
        <v>Oct26/Nov26</v>
      </c>
      <c r="F1691" s="3" t="str">
        <f>ICE[[#This Row],[Prod]]&amp;ICE[[#This Row],[Strip]]</f>
        <v>dtdOct26/Nov26</v>
      </c>
      <c r="G1691" s="18">
        <f>RTD("ice.rtd",,$C1691 &amp; $D1691 &amp; ":" &amp; G$1)</f>
        <v>3.45</v>
      </c>
      <c r="H1691" s="18">
        <f>RTD("ice.rtd",,$C1691 &amp; $D1691 &amp; ":" &amp; H$1)</f>
        <v>3.68</v>
      </c>
      <c r="I1691" s="18" t="str">
        <f>RTD("ice.rtd",,$C1691 &amp; $D1691 &amp; ":" &amp; I$1)</f>
        <v/>
      </c>
      <c r="J1691" s="14" t="str">
        <f>IFERROR(MOD(RTD("ice.rtd",,$C1691 &amp; $D1691 &amp; ":" &amp; J$1), 1), "")</f>
        <v/>
      </c>
      <c r="K1691" s="18">
        <f>RTD("ice.rtd",,$C1691 &amp; $D1691 &amp; ":" &amp; K$1)</f>
        <v>3.43</v>
      </c>
      <c r="L1691" s="36">
        <f>RTD("ice.rtd",,$C1691 &amp; $D1691 &amp; ":" &amp; L$1)</f>
        <v>152</v>
      </c>
      <c r="M1691" s="14">
        <f>IFERROR(MOD(TIMEVALUE(RTD("ice.rtd",,$C1691 &amp; $D1691 &amp; ":" &amp; M$1)), 1), "")</f>
        <v>0.40626157407407409</v>
      </c>
      <c r="N1691" s="36">
        <f>RTD("ice.rtd",,$C1691 &amp; $D1691 &amp; ":" &amp; N$1)</f>
        <v>0</v>
      </c>
      <c r="O1691" s="36">
        <f>RTD("ice.rtd",,$C1691 &amp; $D1691 &amp; ":" &amp; O$1)</f>
        <v>152</v>
      </c>
      <c r="P16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691" s="14">
        <f>IF(ICE[[#This Row],[LastType]] = "Scrn", ICE[[#This Row],[LstDate]], IF(ICE[[#This Row],[LastType]] = "Blk", ICE[[#This Row],[LstBlkTime]], ""))</f>
        <v>0.40626157407407409</v>
      </c>
      <c r="R1691" s="41">
        <f>IF(ICE[[#This Row],[LastType]] = "Scrn", ICE[[#This Row],[LstPrc]], IF(ICE[[#This Row],[LastType]] = "Blk", ICE[[#This Row],[LstBlkPrc]], ""))</f>
        <v>3.43</v>
      </c>
      <c r="S1691" s="36">
        <f>ICE[[#This Row],[Vol]]+ICE[[#This Row],[BlkVol]]</f>
        <v>152</v>
      </c>
      <c r="T1691" s="36">
        <f>RTD("ice.rtd",,$C1691 &amp; $D1691 &amp; ":" &amp; T$1)</f>
        <v>0</v>
      </c>
      <c r="U1691" s="18">
        <f>RTD("ice.rtd",,$C1691 &amp; $D1691 &amp; ":" &amp; U$1)</f>
        <v>3.1029999999999944</v>
      </c>
      <c r="V16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3.45 / 3.68 {3.43} |152x</v>
      </c>
      <c r="W1691" s="18" t="str">
        <f>IFERROR(IF(LEFT(ICE[[#This Row],[Tenor]], 1) = "B", RTD("esrtd",,$B1691 &amp; " " &amp; ICE[[#This Row],[Tenor]] &amp; "-IEU", W$1), RTD("esrtd",,$B1691 &amp; " " &amp; VLOOKUP(MONTH(ICE[[#This Row],[Strip]]), MthRef[], 2, 0) &amp; RIGHT(YEAR(ICE[[#This Row],[Strip]]), 2) &amp; "-IEU", W$1)), "")</f>
        <v/>
      </c>
      <c r="X1691" s="36"/>
    </row>
    <row r="1692" spans="1:24" x14ac:dyDescent="0.25">
      <c r="A1692" s="37" t="s">
        <v>888</v>
      </c>
      <c r="B1692" s="88" t="str">
        <f>RTD("ice.rtd",,$C1692 &amp; $D1692 &amp; ":" &amp; B$1)</f>
        <v>PDB</v>
      </c>
      <c r="C1692" s="3">
        <v>15061297</v>
      </c>
      <c r="D1692" t="s">
        <v>868</v>
      </c>
      <c r="E1692" s="3" t="str">
        <f>RTD("ice.rtd",,$C1692 &amp; $D1692 &amp; ":" &amp; E$1)</f>
        <v>Oct26/Dec26</v>
      </c>
      <c r="F1692" s="3" t="str">
        <f>ICE[[#This Row],[Prod]]&amp;ICE[[#This Row],[Strip]]</f>
        <v>dtdOct26/Dec26</v>
      </c>
      <c r="G1692" s="18" t="str">
        <f>RTD("ice.rtd",,$C1692 &amp; $D1692 &amp; ":" &amp; G$1)</f>
        <v/>
      </c>
      <c r="H1692" s="18" t="str">
        <f>RTD("ice.rtd",,$C1692 &amp; $D1692 &amp; ":" &amp; H$1)</f>
        <v/>
      </c>
      <c r="I1692" s="18" t="str">
        <f>RTD("ice.rtd",,$C1692 &amp; $D1692 &amp; ":" &amp; I$1)</f>
        <v/>
      </c>
      <c r="J1692" s="14" t="str">
        <f>IFERROR(MOD(RTD("ice.rtd",,$C1692 &amp; $D1692 &amp; ":" &amp; J$1), 1), "")</f>
        <v/>
      </c>
      <c r="K1692" s="18" t="str">
        <f>RTD("ice.rtd",,$C1692 &amp; $D1692 &amp; ":" &amp; K$1)</f>
        <v/>
      </c>
      <c r="L1692" s="36" t="str">
        <f>RTD("ice.rtd",,$C1692 &amp; $D1692 &amp; ":" &amp; L$1)</f>
        <v/>
      </c>
      <c r="M1692" s="14" t="str">
        <f>IFERROR(MOD(TIMEVALUE(RTD("ice.rtd",,$C1692 &amp; $D1692 &amp; ":" &amp; M$1)), 1), "")</f>
        <v/>
      </c>
      <c r="N1692" s="36">
        <f>RTD("ice.rtd",,$C1692 &amp; $D1692 &amp; ":" &amp; N$1)</f>
        <v>0</v>
      </c>
      <c r="O1692" s="36">
        <f>RTD("ice.rtd",,$C1692 &amp; $D1692 &amp; ":" &amp; O$1)</f>
        <v>0</v>
      </c>
      <c r="P16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2" s="14" t="str">
        <f>IF(ICE[[#This Row],[LastType]] = "Scrn", ICE[[#This Row],[LstDate]], IF(ICE[[#This Row],[LastType]] = "Blk", ICE[[#This Row],[LstBlkTime]], ""))</f>
        <v/>
      </c>
      <c r="R1692" s="41" t="str">
        <f>IF(ICE[[#This Row],[LastType]] = "Scrn", ICE[[#This Row],[LstPrc]], IF(ICE[[#This Row],[LastType]] = "Blk", ICE[[#This Row],[LstBlkPrc]], ""))</f>
        <v/>
      </c>
      <c r="S1692" s="36">
        <f>ICE[[#This Row],[Vol]]+ICE[[#This Row],[BlkVol]]</f>
        <v>0</v>
      </c>
      <c r="T1692" s="36">
        <f>RTD("ice.rtd",,$C1692 &amp; $D1692 &amp; ":" &amp; T$1)</f>
        <v>0</v>
      </c>
      <c r="U1692" s="18">
        <f>RTD("ice.rtd",,$C1692 &amp; $D1692 &amp; ":" &amp; U$1)</f>
        <v>5.9470000000000027</v>
      </c>
      <c r="V16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2" s="18" t="str">
        <f>IFERROR(IF(LEFT(ICE[[#This Row],[Tenor]], 1) = "B", RTD("esrtd",,$B1692 &amp; " " &amp; ICE[[#This Row],[Tenor]] &amp; "-IEU", W$1), RTD("esrtd",,$B1692 &amp; " " &amp; VLOOKUP(MONTH(ICE[[#This Row],[Strip]]), MthRef[], 2, 0) &amp; RIGHT(YEAR(ICE[[#This Row],[Strip]]), 2) &amp; "-IEU", W$1)), "")</f>
        <v/>
      </c>
      <c r="X1692" s="36"/>
    </row>
    <row r="1693" spans="1:24" x14ac:dyDescent="0.25">
      <c r="A1693" s="37" t="s">
        <v>888</v>
      </c>
      <c r="B1693" s="88" t="str">
        <f>RTD("ice.rtd",,$C1693 &amp; $D1693 &amp; ":" &amp; B$1)</f>
        <v>PDB</v>
      </c>
      <c r="C1693" s="3">
        <v>15061297</v>
      </c>
      <c r="D1693" t="s">
        <v>858</v>
      </c>
      <c r="E1693" s="3" t="str">
        <f>RTD("ice.rtd",,$C1693 &amp; $D1693 &amp; ":" &amp; E$1)</f>
        <v>Oct26/Jan27</v>
      </c>
      <c r="F1693" s="3" t="str">
        <f>ICE[[#This Row],[Prod]]&amp;ICE[[#This Row],[Strip]]</f>
        <v>dtdOct26/Jan27</v>
      </c>
      <c r="G1693" s="18" t="str">
        <f>RTD("ice.rtd",,$C1693 &amp; $D1693 &amp; ":" &amp; G$1)</f>
        <v/>
      </c>
      <c r="H1693" s="18" t="str">
        <f>RTD("ice.rtd",,$C1693 &amp; $D1693 &amp; ":" &amp; H$1)</f>
        <v/>
      </c>
      <c r="I1693" s="18" t="str">
        <f>RTD("ice.rtd",,$C1693 &amp; $D1693 &amp; ":" &amp; I$1)</f>
        <v/>
      </c>
      <c r="J1693" s="14" t="str">
        <f>IFERROR(MOD(RTD("ice.rtd",,$C1693 &amp; $D1693 &amp; ":" &amp; J$1), 1), "")</f>
        <v/>
      </c>
      <c r="K1693" s="18" t="str">
        <f>RTD("ice.rtd",,$C1693 &amp; $D1693 &amp; ":" &amp; K$1)</f>
        <v/>
      </c>
      <c r="L1693" s="36" t="str">
        <f>RTD("ice.rtd",,$C1693 &amp; $D1693 &amp; ":" &amp; L$1)</f>
        <v/>
      </c>
      <c r="M1693" s="14" t="str">
        <f>IFERROR(MOD(TIMEVALUE(RTD("ice.rtd",,$C1693 &amp; $D1693 &amp; ":" &amp; M$1)), 1), "")</f>
        <v/>
      </c>
      <c r="N1693" s="36">
        <f>RTD("ice.rtd",,$C1693 &amp; $D1693 &amp; ":" &amp; N$1)</f>
        <v>0</v>
      </c>
      <c r="O1693" s="36">
        <f>RTD("ice.rtd",,$C1693 &amp; $D1693 &amp; ":" &amp; O$1)</f>
        <v>0</v>
      </c>
      <c r="P16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3" s="14" t="str">
        <f>IF(ICE[[#This Row],[LastType]] = "Scrn", ICE[[#This Row],[LstDate]], IF(ICE[[#This Row],[LastType]] = "Blk", ICE[[#This Row],[LstBlkTime]], ""))</f>
        <v/>
      </c>
      <c r="R1693" s="41" t="str">
        <f>IF(ICE[[#This Row],[LastType]] = "Scrn", ICE[[#This Row],[LstPrc]], IF(ICE[[#This Row],[LastType]] = "Blk", ICE[[#This Row],[LstBlkPrc]], ""))</f>
        <v/>
      </c>
      <c r="S1693" s="36">
        <f>ICE[[#This Row],[Vol]]+ICE[[#This Row],[BlkVol]]</f>
        <v>0</v>
      </c>
      <c r="T1693" s="36">
        <f>RTD("ice.rtd",,$C1693 &amp; $D1693 &amp; ":" &amp; T$1)</f>
        <v>0</v>
      </c>
      <c r="U1693" s="18">
        <f>RTD("ice.rtd",,$C1693 &amp; $D1693 &amp; ":" &amp; U$1)</f>
        <v>8.242999999999995</v>
      </c>
      <c r="V16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3" s="18" t="str">
        <f>IFERROR(IF(LEFT(ICE[[#This Row],[Tenor]], 1) = "B", RTD("esrtd",,$B1693 &amp; " " &amp; ICE[[#This Row],[Tenor]] &amp; "-IEU", W$1), RTD("esrtd",,$B1693 &amp; " " &amp; VLOOKUP(MONTH(ICE[[#This Row],[Strip]]), MthRef[], 2, 0) &amp; RIGHT(YEAR(ICE[[#This Row],[Strip]]), 2) &amp; "-IEU", W$1)), "")</f>
        <v/>
      </c>
      <c r="X1693" s="36"/>
    </row>
    <row r="1694" spans="1:24" x14ac:dyDescent="0.25">
      <c r="A1694" s="37" t="s">
        <v>888</v>
      </c>
      <c r="B1694" s="88" t="str">
        <f>RTD("ice.rtd",,$C1694 &amp; $D1694 &amp; ":" &amp; B$1)</f>
        <v>PDB</v>
      </c>
      <c r="C1694" s="3">
        <v>15061297</v>
      </c>
      <c r="D1694" t="s">
        <v>869</v>
      </c>
      <c r="E1694" s="3" t="str">
        <f>RTD("ice.rtd",,$C1694 &amp; $D1694 &amp; ":" &amp; E$1)</f>
        <v>Oct26/Feb27</v>
      </c>
      <c r="F1694" s="3" t="str">
        <f>ICE[[#This Row],[Prod]]&amp;ICE[[#This Row],[Strip]]</f>
        <v>dtdOct26/Feb27</v>
      </c>
      <c r="G1694" s="18" t="str">
        <f>RTD("ice.rtd",,$C1694 &amp; $D1694 &amp; ":" &amp; G$1)</f>
        <v/>
      </c>
      <c r="H1694" s="18" t="str">
        <f>RTD("ice.rtd",,$C1694 &amp; $D1694 &amp; ":" &amp; H$1)</f>
        <v/>
      </c>
      <c r="I1694" s="18" t="str">
        <f>RTD("ice.rtd",,$C1694 &amp; $D1694 &amp; ":" &amp; I$1)</f>
        <v/>
      </c>
      <c r="J1694" s="14" t="str">
        <f>IFERROR(MOD(RTD("ice.rtd",,$C1694 &amp; $D1694 &amp; ":" &amp; J$1), 1), "")</f>
        <v/>
      </c>
      <c r="K1694" s="18" t="str">
        <f>RTD("ice.rtd",,$C1694 &amp; $D1694 &amp; ":" &amp; K$1)</f>
        <v/>
      </c>
      <c r="L1694" s="36" t="str">
        <f>RTD("ice.rtd",,$C1694 &amp; $D1694 &amp; ":" &amp; L$1)</f>
        <v/>
      </c>
      <c r="M1694" s="14" t="str">
        <f>IFERROR(MOD(TIMEVALUE(RTD("ice.rtd",,$C1694 &amp; $D1694 &amp; ":" &amp; M$1)), 1), "")</f>
        <v/>
      </c>
      <c r="N1694" s="36">
        <f>RTD("ice.rtd",,$C1694 &amp; $D1694 &amp; ":" &amp; N$1)</f>
        <v>0</v>
      </c>
      <c r="O1694" s="36">
        <f>RTD("ice.rtd",,$C1694 &amp; $D1694 &amp; ":" &amp; O$1)</f>
        <v>0</v>
      </c>
      <c r="P16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4" s="14" t="str">
        <f>IF(ICE[[#This Row],[LastType]] = "Scrn", ICE[[#This Row],[LstDate]], IF(ICE[[#This Row],[LastType]] = "Blk", ICE[[#This Row],[LstBlkTime]], ""))</f>
        <v/>
      </c>
      <c r="R1694" s="41" t="str">
        <f>IF(ICE[[#This Row],[LastType]] = "Scrn", ICE[[#This Row],[LstPrc]], IF(ICE[[#This Row],[LastType]] = "Blk", ICE[[#This Row],[LstBlkPrc]], ""))</f>
        <v/>
      </c>
      <c r="S1694" s="36">
        <f>ICE[[#This Row],[Vol]]+ICE[[#This Row],[BlkVol]]</f>
        <v>0</v>
      </c>
      <c r="T1694" s="36">
        <f>RTD("ice.rtd",,$C1694 &amp; $D1694 &amp; ":" &amp; T$1)</f>
        <v>0</v>
      </c>
      <c r="U1694" s="18">
        <f>RTD("ice.rtd",,$C1694 &amp; $D1694 &amp; ":" &amp; U$1)</f>
        <v>10.268000000000001</v>
      </c>
      <c r="V16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4" s="18" t="str">
        <f>IFERROR(IF(LEFT(ICE[[#This Row],[Tenor]], 1) = "B", RTD("esrtd",,$B1694 &amp; " " &amp; ICE[[#This Row],[Tenor]] &amp; "-IEU", W$1), RTD("esrtd",,$B1694 &amp; " " &amp; VLOOKUP(MONTH(ICE[[#This Row],[Strip]]), MthRef[], 2, 0) &amp; RIGHT(YEAR(ICE[[#This Row],[Strip]]), 2) &amp; "-IEU", W$1)), "")</f>
        <v/>
      </c>
      <c r="X1694" s="36"/>
    </row>
    <row r="1695" spans="1:24" x14ac:dyDescent="0.25">
      <c r="A1695" s="37" t="s">
        <v>888</v>
      </c>
      <c r="B1695" s="88" t="str">
        <f>RTD("ice.rtd",,$C1695 &amp; $D1695 &amp; ":" &amp; B$1)</f>
        <v>PDB</v>
      </c>
      <c r="C1695" s="3">
        <v>15061297</v>
      </c>
      <c r="D1695" t="s">
        <v>870</v>
      </c>
      <c r="E1695" s="3" t="str">
        <f>RTD("ice.rtd",,$C1695 &amp; $D1695 &amp; ":" &amp; E$1)</f>
        <v>Oct26/Mar27</v>
      </c>
      <c r="F1695" s="3" t="str">
        <f>ICE[[#This Row],[Prod]]&amp;ICE[[#This Row],[Strip]]</f>
        <v>dtdOct26/Mar27</v>
      </c>
      <c r="G1695" s="18" t="str">
        <f>RTD("ice.rtd",,$C1695 &amp; $D1695 &amp; ":" &amp; G$1)</f>
        <v/>
      </c>
      <c r="H1695" s="18" t="str">
        <f>RTD("ice.rtd",,$C1695 &amp; $D1695 &amp; ":" &amp; H$1)</f>
        <v/>
      </c>
      <c r="I1695" s="18" t="str">
        <f>RTD("ice.rtd",,$C1695 &amp; $D1695 &amp; ":" &amp; I$1)</f>
        <v/>
      </c>
      <c r="J1695" s="14" t="str">
        <f>IFERROR(MOD(RTD("ice.rtd",,$C1695 &amp; $D1695 &amp; ":" &amp; J$1), 1), "")</f>
        <v/>
      </c>
      <c r="K1695" s="18" t="str">
        <f>RTD("ice.rtd",,$C1695 &amp; $D1695 &amp; ":" &amp; K$1)</f>
        <v/>
      </c>
      <c r="L1695" s="36" t="str">
        <f>RTD("ice.rtd",,$C1695 &amp; $D1695 &amp; ":" &amp; L$1)</f>
        <v/>
      </c>
      <c r="M1695" s="14" t="str">
        <f>IFERROR(MOD(TIMEVALUE(RTD("ice.rtd",,$C1695 &amp; $D1695 &amp; ":" &amp; M$1)), 1), "")</f>
        <v/>
      </c>
      <c r="N1695" s="36">
        <f>RTD("ice.rtd",,$C1695 &amp; $D1695 &amp; ":" &amp; N$1)</f>
        <v>0</v>
      </c>
      <c r="O1695" s="36">
        <f>RTD("ice.rtd",,$C1695 &amp; $D1695 &amp; ":" &amp; O$1)</f>
        <v>0</v>
      </c>
      <c r="P16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5" s="14" t="str">
        <f>IF(ICE[[#This Row],[LastType]] = "Scrn", ICE[[#This Row],[LstDate]], IF(ICE[[#This Row],[LastType]] = "Blk", ICE[[#This Row],[LstBlkTime]], ""))</f>
        <v/>
      </c>
      <c r="R1695" s="41" t="str">
        <f>IF(ICE[[#This Row],[LastType]] = "Scrn", ICE[[#This Row],[LstPrc]], IF(ICE[[#This Row],[LastType]] = "Blk", ICE[[#This Row],[LstBlkPrc]], ""))</f>
        <v/>
      </c>
      <c r="S1695" s="36">
        <f>ICE[[#This Row],[Vol]]+ICE[[#This Row],[BlkVol]]</f>
        <v>0</v>
      </c>
      <c r="T1695" s="36">
        <f>RTD("ice.rtd",,$C1695 &amp; $D1695 &amp; ":" &amp; T$1)</f>
        <v>0</v>
      </c>
      <c r="U1695" s="18">
        <f>RTD("ice.rtd",,$C1695 &amp; $D1695 &amp; ":" &amp; U$1)</f>
        <v>11.74499999999999</v>
      </c>
      <c r="V16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5" s="18" t="str">
        <f>IFERROR(IF(LEFT(ICE[[#This Row],[Tenor]], 1) = "B", RTD("esrtd",,$B1695 &amp; " " &amp; ICE[[#This Row],[Tenor]] &amp; "-IEU", W$1), RTD("esrtd",,$B1695 &amp; " " &amp; VLOOKUP(MONTH(ICE[[#This Row],[Strip]]), MthRef[], 2, 0) &amp; RIGHT(YEAR(ICE[[#This Row],[Strip]]), 2) &amp; "-IEU", W$1)), "")</f>
        <v/>
      </c>
      <c r="X1695" s="36"/>
    </row>
    <row r="1696" spans="1:24" x14ac:dyDescent="0.25">
      <c r="A1696" s="37" t="s">
        <v>888</v>
      </c>
      <c r="B1696" s="88" t="str">
        <f>RTD("ice.rtd",,$C1696 &amp; $D1696 &amp; ":" &amp; B$1)</f>
        <v>PDB</v>
      </c>
      <c r="C1696" s="3">
        <v>15061297</v>
      </c>
      <c r="D1696" t="s">
        <v>871</v>
      </c>
      <c r="E1696" s="3" t="str">
        <f>RTD("ice.rtd",,$C1696 &amp; $D1696 &amp; ":" &amp; E$1)</f>
        <v>Oct26/Jun27</v>
      </c>
      <c r="F1696" s="3" t="str">
        <f>ICE[[#This Row],[Prod]]&amp;ICE[[#This Row],[Strip]]</f>
        <v>dtdOct26/Jun27</v>
      </c>
      <c r="G1696" s="18" t="str">
        <f>RTD("ice.rtd",,$C1696 &amp; $D1696 &amp; ":" &amp; G$1)</f>
        <v/>
      </c>
      <c r="H1696" s="18" t="str">
        <f>RTD("ice.rtd",,$C1696 &amp; $D1696 &amp; ":" &amp; H$1)</f>
        <v/>
      </c>
      <c r="I1696" s="18" t="str">
        <f>RTD("ice.rtd",,$C1696 &amp; $D1696 &amp; ":" &amp; I$1)</f>
        <v/>
      </c>
      <c r="J1696" s="14" t="str">
        <f>IFERROR(MOD(RTD("ice.rtd",,$C1696 &amp; $D1696 &amp; ":" &amp; J$1), 1), "")</f>
        <v/>
      </c>
      <c r="K1696" s="18" t="str">
        <f>RTD("ice.rtd",,$C1696 &amp; $D1696 &amp; ":" &amp; K$1)</f>
        <v/>
      </c>
      <c r="L1696" s="36" t="str">
        <f>RTD("ice.rtd",,$C1696 &amp; $D1696 &amp; ":" &amp; L$1)</f>
        <v/>
      </c>
      <c r="M1696" s="14" t="str">
        <f>IFERROR(MOD(TIMEVALUE(RTD("ice.rtd",,$C1696 &amp; $D1696 &amp; ":" &amp; M$1)), 1), "")</f>
        <v/>
      </c>
      <c r="N1696" s="36">
        <f>RTD("ice.rtd",,$C1696 &amp; $D1696 &amp; ":" &amp; N$1)</f>
        <v>0</v>
      </c>
      <c r="O1696" s="36">
        <f>RTD("ice.rtd",,$C1696 &amp; $D1696 &amp; ":" &amp; O$1)</f>
        <v>0</v>
      </c>
      <c r="P16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6" s="14" t="str">
        <f>IF(ICE[[#This Row],[LastType]] = "Scrn", ICE[[#This Row],[LstDate]], IF(ICE[[#This Row],[LastType]] = "Blk", ICE[[#This Row],[LstBlkTime]], ""))</f>
        <v/>
      </c>
      <c r="R1696" s="41" t="str">
        <f>IF(ICE[[#This Row],[LastType]] = "Scrn", ICE[[#This Row],[LstPrc]], IF(ICE[[#This Row],[LastType]] = "Blk", ICE[[#This Row],[LstBlkPrc]], ""))</f>
        <v/>
      </c>
      <c r="S1696" s="36">
        <f>ICE[[#This Row],[Vol]]+ICE[[#This Row],[BlkVol]]</f>
        <v>0</v>
      </c>
      <c r="T1696" s="36">
        <f>RTD("ice.rtd",,$C1696 &amp; $D1696 &amp; ":" &amp; T$1)</f>
        <v>0</v>
      </c>
      <c r="U1696" s="18">
        <f>RTD("ice.rtd",,$C1696 &amp; $D1696 &amp; ":" &amp; U$1)</f>
        <v>14.756</v>
      </c>
      <c r="V16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6" s="18" t="str">
        <f>IFERROR(IF(LEFT(ICE[[#This Row],[Tenor]], 1) = "B", RTD("esrtd",,$B1696 &amp; " " &amp; ICE[[#This Row],[Tenor]] &amp; "-IEU", W$1), RTD("esrtd",,$B1696 &amp; " " &amp; VLOOKUP(MONTH(ICE[[#This Row],[Strip]]), MthRef[], 2, 0) &amp; RIGHT(YEAR(ICE[[#This Row],[Strip]]), 2) &amp; "-IEU", W$1)), "")</f>
        <v/>
      </c>
      <c r="X1696" s="36"/>
    </row>
    <row r="1697" spans="1:24" x14ac:dyDescent="0.25">
      <c r="A1697" s="37" t="s">
        <v>888</v>
      </c>
      <c r="B1697" s="88" t="str">
        <f>RTD("ice.rtd",,$C1697 &amp; $D1697 &amp; ":" &amp; B$1)</f>
        <v>PDB</v>
      </c>
      <c r="C1697" s="3">
        <v>15061297</v>
      </c>
      <c r="D1697" t="s">
        <v>872</v>
      </c>
      <c r="E1697" s="3" t="str">
        <f>RTD("ice.rtd",,$C1697 &amp; $D1697 &amp; ":" &amp; E$1)</f>
        <v>Oct26/Jul27</v>
      </c>
      <c r="F1697" s="3" t="str">
        <f>ICE[[#This Row],[Prod]]&amp;ICE[[#This Row],[Strip]]</f>
        <v>dtdOct26/Jul27</v>
      </c>
      <c r="G1697" s="18" t="str">
        <f>RTD("ice.rtd",,$C1697 &amp; $D1697 &amp; ":" &amp; G$1)</f>
        <v/>
      </c>
      <c r="H1697" s="18" t="str">
        <f>RTD("ice.rtd",,$C1697 &amp; $D1697 &amp; ":" &amp; H$1)</f>
        <v/>
      </c>
      <c r="I1697" s="18" t="str">
        <f>RTD("ice.rtd",,$C1697 &amp; $D1697 &amp; ":" &amp; I$1)</f>
        <v/>
      </c>
      <c r="J1697" s="14" t="str">
        <f>IFERROR(MOD(RTD("ice.rtd",,$C1697 &amp; $D1697 &amp; ":" &amp; J$1), 1), "")</f>
        <v/>
      </c>
      <c r="K1697" s="18" t="str">
        <f>RTD("ice.rtd",,$C1697 &amp; $D1697 &amp; ":" &amp; K$1)</f>
        <v/>
      </c>
      <c r="L1697" s="36" t="str">
        <f>RTD("ice.rtd",,$C1697 &amp; $D1697 &amp; ":" &amp; L$1)</f>
        <v/>
      </c>
      <c r="M1697" s="14" t="str">
        <f>IFERROR(MOD(TIMEVALUE(RTD("ice.rtd",,$C1697 &amp; $D1697 &amp; ":" &amp; M$1)), 1), "")</f>
        <v/>
      </c>
      <c r="N1697" s="36">
        <f>RTD("ice.rtd",,$C1697 &amp; $D1697 &amp; ":" &amp; N$1)</f>
        <v>0</v>
      </c>
      <c r="O1697" s="36">
        <f>RTD("ice.rtd",,$C1697 &amp; $D1697 &amp; ":" &amp; O$1)</f>
        <v>0</v>
      </c>
      <c r="P16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7" s="14" t="str">
        <f>IF(ICE[[#This Row],[LastType]] = "Scrn", ICE[[#This Row],[LstDate]], IF(ICE[[#This Row],[LastType]] = "Blk", ICE[[#This Row],[LstBlkTime]], ""))</f>
        <v/>
      </c>
      <c r="R1697" s="41" t="str">
        <f>IF(ICE[[#This Row],[LastType]] = "Scrn", ICE[[#This Row],[LstPrc]], IF(ICE[[#This Row],[LastType]] = "Blk", ICE[[#This Row],[LstBlkPrc]], ""))</f>
        <v/>
      </c>
      <c r="S1697" s="36">
        <f>ICE[[#This Row],[Vol]]+ICE[[#This Row],[BlkVol]]</f>
        <v>0</v>
      </c>
      <c r="T1697" s="36">
        <f>RTD("ice.rtd",,$C1697 &amp; $D1697 &amp; ":" &amp; T$1)</f>
        <v>0</v>
      </c>
      <c r="U1697" s="18">
        <f>RTD("ice.rtd",,$C1697 &amp; $D1697 &amp; ":" &amp; U$1)</f>
        <v>15.492999999999995</v>
      </c>
      <c r="V16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7" s="18" t="str">
        <f>IFERROR(IF(LEFT(ICE[[#This Row],[Tenor]], 1) = "B", RTD("esrtd",,$B1697 &amp; " " &amp; ICE[[#This Row],[Tenor]] &amp; "-IEU", W$1), RTD("esrtd",,$B1697 &amp; " " &amp; VLOOKUP(MONTH(ICE[[#This Row],[Strip]]), MthRef[], 2, 0) &amp; RIGHT(YEAR(ICE[[#This Row],[Strip]]), 2) &amp; "-IEU", W$1)), "")</f>
        <v/>
      </c>
      <c r="X1697" s="36"/>
    </row>
    <row r="1698" spans="1:24" x14ac:dyDescent="0.25">
      <c r="A1698" s="37" t="s">
        <v>888</v>
      </c>
      <c r="B1698" s="88" t="str">
        <f>RTD("ice.rtd",,$C1698 &amp; $D1698 &amp; ":" &amp; B$1)</f>
        <v>PDB</v>
      </c>
      <c r="C1698" s="3">
        <v>15061297</v>
      </c>
      <c r="D1698" t="s">
        <v>873</v>
      </c>
      <c r="E1698" s="3" t="str">
        <f>RTD("ice.rtd",,$C1698 &amp; $D1698 &amp; ":" &amp; E$1)</f>
        <v>Oct26/Sep27</v>
      </c>
      <c r="F1698" s="3" t="str">
        <f>ICE[[#This Row],[Prod]]&amp;ICE[[#This Row],[Strip]]</f>
        <v>dtdOct26/Sep27</v>
      </c>
      <c r="G1698" s="18" t="str">
        <f>RTD("ice.rtd",,$C1698 &amp; $D1698 &amp; ":" &amp; G$1)</f>
        <v/>
      </c>
      <c r="H1698" s="18" t="str">
        <f>RTD("ice.rtd",,$C1698 &amp; $D1698 &amp; ":" &amp; H$1)</f>
        <v/>
      </c>
      <c r="I1698" s="18" t="str">
        <f>RTD("ice.rtd",,$C1698 &amp; $D1698 &amp; ":" &amp; I$1)</f>
        <v/>
      </c>
      <c r="J1698" s="14" t="str">
        <f>IFERROR(MOD(RTD("ice.rtd",,$C1698 &amp; $D1698 &amp; ":" &amp; J$1), 1), "")</f>
        <v/>
      </c>
      <c r="K1698" s="18" t="str">
        <f>RTD("ice.rtd",,$C1698 &amp; $D1698 &amp; ":" &amp; K$1)</f>
        <v/>
      </c>
      <c r="L1698" s="36" t="str">
        <f>RTD("ice.rtd",,$C1698 &amp; $D1698 &amp; ":" &amp; L$1)</f>
        <v/>
      </c>
      <c r="M1698" s="14" t="str">
        <f>IFERROR(MOD(TIMEVALUE(RTD("ice.rtd",,$C1698 &amp; $D1698 &amp; ":" &amp; M$1)), 1), "")</f>
        <v/>
      </c>
      <c r="N1698" s="36">
        <f>RTD("ice.rtd",,$C1698 &amp; $D1698 &amp; ":" &amp; N$1)</f>
        <v>0</v>
      </c>
      <c r="O1698" s="36">
        <f>RTD("ice.rtd",,$C1698 &amp; $D1698 &amp; ":" &amp; O$1)</f>
        <v>0</v>
      </c>
      <c r="P16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8" s="14" t="str">
        <f>IF(ICE[[#This Row],[LastType]] = "Scrn", ICE[[#This Row],[LstDate]], IF(ICE[[#This Row],[LastType]] = "Blk", ICE[[#This Row],[LstBlkTime]], ""))</f>
        <v/>
      </c>
      <c r="R1698" s="41" t="str">
        <f>IF(ICE[[#This Row],[LastType]] = "Scrn", ICE[[#This Row],[LstPrc]], IF(ICE[[#This Row],[LastType]] = "Blk", ICE[[#This Row],[LstBlkPrc]], ""))</f>
        <v/>
      </c>
      <c r="S1698" s="36">
        <f>ICE[[#This Row],[Vol]]+ICE[[#This Row],[BlkVol]]</f>
        <v>0</v>
      </c>
      <c r="T1698" s="36">
        <f>RTD("ice.rtd",,$C1698 &amp; $D1698 &amp; ":" &amp; T$1)</f>
        <v>0</v>
      </c>
      <c r="U1698" s="18">
        <f>RTD("ice.rtd",,$C1698 &amp; $D1698 &amp; ":" &amp; U$1)</f>
        <v>16.628</v>
      </c>
      <c r="V16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8" s="18" t="str">
        <f>IFERROR(IF(LEFT(ICE[[#This Row],[Tenor]], 1) = "B", RTD("esrtd",,$B1698 &amp; " " &amp; ICE[[#This Row],[Tenor]] &amp; "-IEU", W$1), RTD("esrtd",,$B1698 &amp; " " &amp; VLOOKUP(MONTH(ICE[[#This Row],[Strip]]), MthRef[], 2, 0) &amp; RIGHT(YEAR(ICE[[#This Row],[Strip]]), 2) &amp; "-IEU", W$1)), "")</f>
        <v/>
      </c>
      <c r="X1698" s="36"/>
    </row>
    <row r="1699" spans="1:24" x14ac:dyDescent="0.25">
      <c r="A1699" s="37" t="s">
        <v>888</v>
      </c>
      <c r="B1699" s="88" t="str">
        <f>RTD("ice.rtd",,$C1699 &amp; $D1699 &amp; ":" &amp; B$1)</f>
        <v>PDB</v>
      </c>
      <c r="C1699" s="3">
        <v>15061297</v>
      </c>
      <c r="D1699" t="s">
        <v>874</v>
      </c>
      <c r="E1699" s="3" t="str">
        <f>RTD("ice.rtd",,$C1699 &amp; $D1699 &amp; ":" &amp; E$1)</f>
        <v>Oct26/Oct27</v>
      </c>
      <c r="F1699" s="3" t="str">
        <f>ICE[[#This Row],[Prod]]&amp;ICE[[#This Row],[Strip]]</f>
        <v>dtdOct26/Oct27</v>
      </c>
      <c r="G1699" s="18" t="str">
        <f>RTD("ice.rtd",,$C1699 &amp; $D1699 &amp; ":" &amp; G$1)</f>
        <v/>
      </c>
      <c r="H1699" s="18" t="str">
        <f>RTD("ice.rtd",,$C1699 &amp; $D1699 &amp; ":" &amp; H$1)</f>
        <v/>
      </c>
      <c r="I1699" s="18" t="str">
        <f>RTD("ice.rtd",,$C1699 &amp; $D1699 &amp; ":" &amp; I$1)</f>
        <v/>
      </c>
      <c r="J1699" s="14" t="str">
        <f>IFERROR(MOD(RTD("ice.rtd",,$C1699 &amp; $D1699 &amp; ":" &amp; J$1), 1), "")</f>
        <v/>
      </c>
      <c r="K1699" s="18" t="str">
        <f>RTD("ice.rtd",,$C1699 &amp; $D1699 &amp; ":" &amp; K$1)</f>
        <v/>
      </c>
      <c r="L1699" s="36" t="str">
        <f>RTD("ice.rtd",,$C1699 &amp; $D1699 &amp; ":" &amp; L$1)</f>
        <v/>
      </c>
      <c r="M1699" s="14" t="str">
        <f>IFERROR(MOD(TIMEVALUE(RTD("ice.rtd",,$C1699 &amp; $D1699 &amp; ":" &amp; M$1)), 1), "")</f>
        <v/>
      </c>
      <c r="N1699" s="36">
        <f>RTD("ice.rtd",,$C1699 &amp; $D1699 &amp; ":" &amp; N$1)</f>
        <v>0</v>
      </c>
      <c r="O1699" s="36">
        <f>RTD("ice.rtd",,$C1699 &amp; $D1699 &amp; ":" &amp; O$1)</f>
        <v>0</v>
      </c>
      <c r="P16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699" s="14" t="str">
        <f>IF(ICE[[#This Row],[LastType]] = "Scrn", ICE[[#This Row],[LstDate]], IF(ICE[[#This Row],[LastType]] = "Blk", ICE[[#This Row],[LstBlkTime]], ""))</f>
        <v/>
      </c>
      <c r="R1699" s="41" t="str">
        <f>IF(ICE[[#This Row],[LastType]] = "Scrn", ICE[[#This Row],[LstPrc]], IF(ICE[[#This Row],[LastType]] = "Blk", ICE[[#This Row],[LstBlkPrc]], ""))</f>
        <v/>
      </c>
      <c r="S1699" s="36">
        <f>ICE[[#This Row],[Vol]]+ICE[[#This Row],[BlkVol]]</f>
        <v>0</v>
      </c>
      <c r="T1699" s="36">
        <f>RTD("ice.rtd",,$C1699 &amp; $D1699 &amp; ":" &amp; T$1)</f>
        <v>0</v>
      </c>
      <c r="U1699" s="18">
        <f>RTD("ice.rtd",,$C1699 &amp; $D1699 &amp; ":" &amp; U$1)</f>
        <v>17.147999999999996</v>
      </c>
      <c r="V16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699" s="18" t="str">
        <f>IFERROR(IF(LEFT(ICE[[#This Row],[Tenor]], 1) = "B", RTD("esrtd",,$B1699 &amp; " " &amp; ICE[[#This Row],[Tenor]] &amp; "-IEU", W$1), RTD("esrtd",,$B1699 &amp; " " &amp; VLOOKUP(MONTH(ICE[[#This Row],[Strip]]), MthRef[], 2, 0) &amp; RIGHT(YEAR(ICE[[#This Row],[Strip]]), 2) &amp; "-IEU", W$1)), "")</f>
        <v/>
      </c>
      <c r="X1699" s="36"/>
    </row>
    <row r="1700" spans="1:24" x14ac:dyDescent="0.25">
      <c r="A1700" s="37" t="s">
        <v>888</v>
      </c>
      <c r="B1700" s="88" t="str">
        <f>RTD("ice.rtd",,$C1700 &amp; $D1700 &amp; ":" &amp; B$1)</f>
        <v>PDB</v>
      </c>
      <c r="C1700" s="3">
        <v>15061297</v>
      </c>
      <c r="D1700" t="s">
        <v>875</v>
      </c>
      <c r="E1700" s="3" t="str">
        <f>RTD("ice.rtd",,$C1700 &amp; $D1700 &amp; ":" &amp; E$1)</f>
        <v>Oct26/Jul28</v>
      </c>
      <c r="F1700" s="3" t="str">
        <f>ICE[[#This Row],[Prod]]&amp;ICE[[#This Row],[Strip]]</f>
        <v>dtdOct26/Jul28</v>
      </c>
      <c r="G1700" s="18" t="str">
        <f>RTD("ice.rtd",,$C1700 &amp; $D1700 &amp; ":" &amp; G$1)</f>
        <v/>
      </c>
      <c r="H1700" s="18" t="str">
        <f>RTD("ice.rtd",,$C1700 &amp; $D1700 &amp; ":" &amp; H$1)</f>
        <v/>
      </c>
      <c r="I1700" s="18" t="str">
        <f>RTD("ice.rtd",,$C1700 &amp; $D1700 &amp; ":" &amp; I$1)</f>
        <v/>
      </c>
      <c r="J1700" s="14" t="str">
        <f>IFERROR(MOD(RTD("ice.rtd",,$C1700 &amp; $D1700 &amp; ":" &amp; J$1), 1), "")</f>
        <v/>
      </c>
      <c r="K1700" s="18" t="str">
        <f>RTD("ice.rtd",,$C1700 &amp; $D1700 &amp; ":" &amp; K$1)</f>
        <v/>
      </c>
      <c r="L1700" s="36" t="str">
        <f>RTD("ice.rtd",,$C1700 &amp; $D1700 &amp; ":" &amp; L$1)</f>
        <v/>
      </c>
      <c r="M1700" s="14" t="str">
        <f>IFERROR(MOD(TIMEVALUE(RTD("ice.rtd",,$C1700 &amp; $D1700 &amp; ":" &amp; M$1)), 1), "")</f>
        <v/>
      </c>
      <c r="N1700" s="36">
        <f>RTD("ice.rtd",,$C1700 &amp; $D1700 &amp; ":" &amp; N$1)</f>
        <v>0</v>
      </c>
      <c r="O1700" s="36">
        <f>RTD("ice.rtd",,$C1700 &amp; $D1700 &amp; ":" &amp; O$1)</f>
        <v>0</v>
      </c>
      <c r="P17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0" s="14" t="str">
        <f>IF(ICE[[#This Row],[LastType]] = "Scrn", ICE[[#This Row],[LstDate]], IF(ICE[[#This Row],[LastType]] = "Blk", ICE[[#This Row],[LstBlkTime]], ""))</f>
        <v/>
      </c>
      <c r="R1700" s="41" t="str">
        <f>IF(ICE[[#This Row],[LastType]] = "Scrn", ICE[[#This Row],[LstPrc]], IF(ICE[[#This Row],[LastType]] = "Blk", ICE[[#This Row],[LstBlkPrc]], ""))</f>
        <v/>
      </c>
      <c r="S1700" s="36">
        <f>ICE[[#This Row],[Vol]]+ICE[[#This Row],[BlkVol]]</f>
        <v>0</v>
      </c>
      <c r="T1700" s="36">
        <f>RTD("ice.rtd",,$C1700 &amp; $D1700 &amp; ":" &amp; T$1)</f>
        <v>0</v>
      </c>
      <c r="U1700" s="18">
        <f>RTD("ice.rtd",,$C1700 &amp; $D1700 &amp; ":" &amp; U$1)</f>
        <v>20.078999999999994</v>
      </c>
      <c r="V17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0" s="18" t="str">
        <f>IFERROR(IF(LEFT(ICE[[#This Row],[Tenor]], 1) = "B", RTD("esrtd",,$B1700 &amp; " " &amp; ICE[[#This Row],[Tenor]] &amp; "-IEU", W$1), RTD("esrtd",,$B1700 &amp; " " &amp; VLOOKUP(MONTH(ICE[[#This Row],[Strip]]), MthRef[], 2, 0) &amp; RIGHT(YEAR(ICE[[#This Row],[Strip]]), 2) &amp; "-IEU", W$1)), "")</f>
        <v/>
      </c>
      <c r="X1700" s="36"/>
    </row>
    <row r="1701" spans="1:24" x14ac:dyDescent="0.25">
      <c r="A1701" s="37" t="s">
        <v>888</v>
      </c>
      <c r="B1701" s="88" t="str">
        <f>RTD("ice.rtd",,$C1701 &amp; $D1701 &amp; ":" &amp; B$1)</f>
        <v>PDB</v>
      </c>
      <c r="C1701" s="3">
        <v>15061297</v>
      </c>
      <c r="D1701" t="s">
        <v>876</v>
      </c>
      <c r="E1701" s="3" t="str">
        <f>RTD("ice.rtd",,$C1701 &amp; $D1701 &amp; ":" &amp; E$1)</f>
        <v>Nov26/Dec26</v>
      </c>
      <c r="F1701" s="3" t="str">
        <f>ICE[[#This Row],[Prod]]&amp;ICE[[#This Row],[Strip]]</f>
        <v>dtdNov26/Dec26</v>
      </c>
      <c r="G1701" s="18">
        <f>RTD("ice.rtd",,$C1701 &amp; $D1701 &amp; ":" &amp; G$1)</f>
        <v>2.88</v>
      </c>
      <c r="H1701" s="18">
        <f>RTD("ice.rtd",,$C1701 &amp; $D1701 &amp; ":" &amp; H$1)</f>
        <v>3.12</v>
      </c>
      <c r="I1701" s="18" t="str">
        <f>RTD("ice.rtd",,$C1701 &amp; $D1701 &amp; ":" &amp; I$1)</f>
        <v/>
      </c>
      <c r="J1701" s="14" t="str">
        <f>IFERROR(MOD(RTD("ice.rtd",,$C1701 &amp; $D1701 &amp; ":" &amp; J$1), 1), "")</f>
        <v/>
      </c>
      <c r="K1701" s="18" t="str">
        <f>RTD("ice.rtd",,$C1701 &amp; $D1701 &amp; ":" &amp; K$1)</f>
        <v/>
      </c>
      <c r="L1701" s="36" t="str">
        <f>RTD("ice.rtd",,$C1701 &amp; $D1701 &amp; ":" &amp; L$1)</f>
        <v/>
      </c>
      <c r="M1701" s="14" t="str">
        <f>IFERROR(MOD(TIMEVALUE(RTD("ice.rtd",,$C1701 &amp; $D1701 &amp; ":" &amp; M$1)), 1), "")</f>
        <v/>
      </c>
      <c r="N1701" s="36">
        <f>RTD("ice.rtd",,$C1701 &amp; $D1701 &amp; ":" &amp; N$1)</f>
        <v>0</v>
      </c>
      <c r="O1701" s="36">
        <f>RTD("ice.rtd",,$C1701 &amp; $D1701 &amp; ":" &amp; O$1)</f>
        <v>0</v>
      </c>
      <c r="P17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1" s="14" t="str">
        <f>IF(ICE[[#This Row],[LastType]] = "Scrn", ICE[[#This Row],[LstDate]], IF(ICE[[#This Row],[LastType]] = "Blk", ICE[[#This Row],[LstBlkTime]], ""))</f>
        <v/>
      </c>
      <c r="R1701" s="41" t="str">
        <f>IF(ICE[[#This Row],[LastType]] = "Scrn", ICE[[#This Row],[LstPrc]], IF(ICE[[#This Row],[LastType]] = "Blk", ICE[[#This Row],[LstBlkPrc]], ""))</f>
        <v/>
      </c>
      <c r="S1701" s="36">
        <f>ICE[[#This Row],[Vol]]+ICE[[#This Row],[BlkVol]]</f>
        <v>0</v>
      </c>
      <c r="T1701" s="36">
        <f>RTD("ice.rtd",,$C1701 &amp; $D1701 &amp; ":" &amp; T$1)</f>
        <v>0</v>
      </c>
      <c r="U1701" s="18">
        <f>RTD("ice.rtd",,$C1701 &amp; $D1701 &amp; ":" &amp; U$1)</f>
        <v>2.8440000000000083</v>
      </c>
      <c r="V17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2.88 / 3.12 </v>
      </c>
      <c r="W1701" s="18" t="str">
        <f>IFERROR(IF(LEFT(ICE[[#This Row],[Tenor]], 1) = "B", RTD("esrtd",,$B1701 &amp; " " &amp; ICE[[#This Row],[Tenor]] &amp; "-IEU", W$1), RTD("esrtd",,$B1701 &amp; " " &amp; VLOOKUP(MONTH(ICE[[#This Row],[Strip]]), MthRef[], 2, 0) &amp; RIGHT(YEAR(ICE[[#This Row],[Strip]]), 2) &amp; "-IEU", W$1)), "")</f>
        <v/>
      </c>
      <c r="X1701" s="36"/>
    </row>
    <row r="1702" spans="1:24" x14ac:dyDescent="0.25">
      <c r="A1702" s="37" t="s">
        <v>888</v>
      </c>
      <c r="B1702" s="88" t="str">
        <f>RTD("ice.rtd",,$C1702 &amp; $D1702 &amp; ":" &amp; B$1)</f>
        <v>PDB</v>
      </c>
      <c r="C1702" s="3">
        <v>15061297</v>
      </c>
      <c r="D1702" t="s">
        <v>859</v>
      </c>
      <c r="E1702" s="3" t="str">
        <f>RTD("ice.rtd",,$C1702 &amp; $D1702 &amp; ":" &amp; E$1)</f>
        <v>Nov26/Mar27</v>
      </c>
      <c r="F1702" s="3" t="str">
        <f>ICE[[#This Row],[Prod]]&amp;ICE[[#This Row],[Strip]]</f>
        <v>dtdNov26/Mar27</v>
      </c>
      <c r="G1702" s="18" t="str">
        <f>RTD("ice.rtd",,$C1702 &amp; $D1702 &amp; ":" &amp; G$1)</f>
        <v/>
      </c>
      <c r="H1702" s="18" t="str">
        <f>RTD("ice.rtd",,$C1702 &amp; $D1702 &amp; ":" &amp; H$1)</f>
        <v/>
      </c>
      <c r="I1702" s="18" t="str">
        <f>RTD("ice.rtd",,$C1702 &amp; $D1702 &amp; ":" &amp; I$1)</f>
        <v/>
      </c>
      <c r="J1702" s="14" t="str">
        <f>IFERROR(MOD(RTD("ice.rtd",,$C1702 &amp; $D1702 &amp; ":" &amp; J$1), 1), "")</f>
        <v/>
      </c>
      <c r="K1702" s="18" t="str">
        <f>RTD("ice.rtd",,$C1702 &amp; $D1702 &amp; ":" &amp; K$1)</f>
        <v/>
      </c>
      <c r="L1702" s="36" t="str">
        <f>RTD("ice.rtd",,$C1702 &amp; $D1702 &amp; ":" &amp; L$1)</f>
        <v/>
      </c>
      <c r="M1702" s="14" t="str">
        <f>IFERROR(MOD(TIMEVALUE(RTD("ice.rtd",,$C1702 &amp; $D1702 &amp; ":" &amp; M$1)), 1), "")</f>
        <v/>
      </c>
      <c r="N1702" s="36">
        <f>RTD("ice.rtd",,$C1702 &amp; $D1702 &amp; ":" &amp; N$1)</f>
        <v>0</v>
      </c>
      <c r="O1702" s="36">
        <f>RTD("ice.rtd",,$C1702 &amp; $D1702 &amp; ":" &amp; O$1)</f>
        <v>0</v>
      </c>
      <c r="P17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2" s="14" t="str">
        <f>IF(ICE[[#This Row],[LastType]] = "Scrn", ICE[[#This Row],[LstDate]], IF(ICE[[#This Row],[LastType]] = "Blk", ICE[[#This Row],[LstBlkTime]], ""))</f>
        <v/>
      </c>
      <c r="R1702" s="41" t="str">
        <f>IF(ICE[[#This Row],[LastType]] = "Scrn", ICE[[#This Row],[LstPrc]], IF(ICE[[#This Row],[LastType]] = "Blk", ICE[[#This Row],[LstBlkPrc]], ""))</f>
        <v/>
      </c>
      <c r="S1702" s="36">
        <f>ICE[[#This Row],[Vol]]+ICE[[#This Row],[BlkVol]]</f>
        <v>0</v>
      </c>
      <c r="T1702" s="36">
        <f>RTD("ice.rtd",,$C1702 &amp; $D1702 &amp; ":" &amp; T$1)</f>
        <v>0</v>
      </c>
      <c r="U1702" s="18">
        <f>RTD("ice.rtd",,$C1702 &amp; $D1702 &amp; ":" &amp; U$1)</f>
        <v>8.6419999999999959</v>
      </c>
      <c r="V17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2" s="18" t="str">
        <f>IFERROR(IF(LEFT(ICE[[#This Row],[Tenor]], 1) = "B", RTD("esrtd",,$B1702 &amp; " " &amp; ICE[[#This Row],[Tenor]] &amp; "-IEU", W$1), RTD("esrtd",,$B1702 &amp; " " &amp; VLOOKUP(MONTH(ICE[[#This Row],[Strip]]), MthRef[], 2, 0) &amp; RIGHT(YEAR(ICE[[#This Row],[Strip]]), 2) &amp; "-IEU", W$1)), "")</f>
        <v/>
      </c>
      <c r="X1702" s="36"/>
    </row>
    <row r="1703" spans="1:24" x14ac:dyDescent="0.25">
      <c r="A1703" s="37" t="s">
        <v>888</v>
      </c>
      <c r="B1703" s="88" t="str">
        <f>RTD("ice.rtd",,$C1703 &amp; $D1703 &amp; ":" &amp; B$1)</f>
        <v>PDB</v>
      </c>
      <c r="C1703" s="3">
        <v>15061297</v>
      </c>
      <c r="D1703" t="s">
        <v>877</v>
      </c>
      <c r="E1703" s="3" t="str">
        <f>RTD("ice.rtd",,$C1703 &amp; $D1703 &amp; ":" &amp; E$1)</f>
        <v>Nov26/Apr27</v>
      </c>
      <c r="F1703" s="3" t="str">
        <f>ICE[[#This Row],[Prod]]&amp;ICE[[#This Row],[Strip]]</f>
        <v>dtdNov26/Apr27</v>
      </c>
      <c r="G1703" s="18" t="str">
        <f>RTD("ice.rtd",,$C1703 &amp; $D1703 &amp; ":" &amp; G$1)</f>
        <v/>
      </c>
      <c r="H1703" s="18" t="str">
        <f>RTD("ice.rtd",,$C1703 &amp; $D1703 &amp; ":" &amp; H$1)</f>
        <v/>
      </c>
      <c r="I1703" s="18" t="str">
        <f>RTD("ice.rtd",,$C1703 &amp; $D1703 &amp; ":" &amp; I$1)</f>
        <v/>
      </c>
      <c r="J1703" s="14" t="str">
        <f>IFERROR(MOD(RTD("ice.rtd",,$C1703 &amp; $D1703 &amp; ":" &amp; J$1), 1), "")</f>
        <v/>
      </c>
      <c r="K1703" s="18" t="str">
        <f>RTD("ice.rtd",,$C1703 &amp; $D1703 &amp; ":" &amp; K$1)</f>
        <v/>
      </c>
      <c r="L1703" s="36" t="str">
        <f>RTD("ice.rtd",,$C1703 &amp; $D1703 &amp; ":" &amp; L$1)</f>
        <v/>
      </c>
      <c r="M1703" s="14" t="str">
        <f>IFERROR(MOD(TIMEVALUE(RTD("ice.rtd",,$C1703 &amp; $D1703 &amp; ":" &amp; M$1)), 1), "")</f>
        <v/>
      </c>
      <c r="N1703" s="36">
        <f>RTD("ice.rtd",,$C1703 &amp; $D1703 &amp; ":" &amp; N$1)</f>
        <v>0</v>
      </c>
      <c r="O1703" s="36">
        <f>RTD("ice.rtd",,$C1703 &amp; $D1703 &amp; ":" &amp; O$1)</f>
        <v>0</v>
      </c>
      <c r="P17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3" s="14" t="str">
        <f>IF(ICE[[#This Row],[LastType]] = "Scrn", ICE[[#This Row],[LstDate]], IF(ICE[[#This Row],[LastType]] = "Blk", ICE[[#This Row],[LstBlkTime]], ""))</f>
        <v/>
      </c>
      <c r="R1703" s="41" t="str">
        <f>IF(ICE[[#This Row],[LastType]] = "Scrn", ICE[[#This Row],[LstPrc]], IF(ICE[[#This Row],[LastType]] = "Blk", ICE[[#This Row],[LstBlkPrc]], ""))</f>
        <v/>
      </c>
      <c r="S1703" s="36">
        <f>ICE[[#This Row],[Vol]]+ICE[[#This Row],[BlkVol]]</f>
        <v>0</v>
      </c>
      <c r="T1703" s="36">
        <f>RTD("ice.rtd",,$C1703 &amp; $D1703 &amp; ":" &amp; T$1)</f>
        <v>0</v>
      </c>
      <c r="U1703" s="18">
        <f>RTD("ice.rtd",,$C1703 &amp; $D1703 &amp; ":" &amp; U$1)</f>
        <v>9.9030000000000058</v>
      </c>
      <c r="V17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3" s="18" t="str">
        <f>IFERROR(IF(LEFT(ICE[[#This Row],[Tenor]], 1) = "B", RTD("esrtd",,$B1703 &amp; " " &amp; ICE[[#This Row],[Tenor]] &amp; "-IEU", W$1), RTD("esrtd",,$B1703 &amp; " " &amp; VLOOKUP(MONTH(ICE[[#This Row],[Strip]]), MthRef[], 2, 0) &amp; RIGHT(YEAR(ICE[[#This Row],[Strip]]), 2) &amp; "-IEU", W$1)), "")</f>
        <v/>
      </c>
      <c r="X1703" s="36"/>
    </row>
    <row r="1704" spans="1:24" x14ac:dyDescent="0.25">
      <c r="A1704" s="37" t="s">
        <v>888</v>
      </c>
      <c r="B1704" s="88" t="str">
        <f>RTD("ice.rtd",,$C1704 &amp; $D1704 &amp; ":" &amp; B$1)</f>
        <v>PDB</v>
      </c>
      <c r="C1704" s="3">
        <v>15061297</v>
      </c>
      <c r="D1704" t="s">
        <v>878</v>
      </c>
      <c r="E1704" s="3" t="str">
        <f>RTD("ice.rtd",,$C1704 &amp; $D1704 &amp; ":" &amp; E$1)</f>
        <v>Nov26/May27</v>
      </c>
      <c r="F1704" s="3" t="str">
        <f>ICE[[#This Row],[Prod]]&amp;ICE[[#This Row],[Strip]]</f>
        <v>dtdNov26/May27</v>
      </c>
      <c r="G1704" s="18" t="str">
        <f>RTD("ice.rtd",,$C1704 &amp; $D1704 &amp; ":" &amp; G$1)</f>
        <v/>
      </c>
      <c r="H1704" s="18" t="str">
        <f>RTD("ice.rtd",,$C1704 &amp; $D1704 &amp; ":" &amp; H$1)</f>
        <v/>
      </c>
      <c r="I1704" s="18" t="str">
        <f>RTD("ice.rtd",,$C1704 &amp; $D1704 &amp; ":" &amp; I$1)</f>
        <v/>
      </c>
      <c r="J1704" s="14" t="str">
        <f>IFERROR(MOD(RTD("ice.rtd",,$C1704 &amp; $D1704 &amp; ":" &amp; J$1), 1), "")</f>
        <v/>
      </c>
      <c r="K1704" s="18" t="str">
        <f>RTD("ice.rtd",,$C1704 &amp; $D1704 &amp; ":" &amp; K$1)</f>
        <v/>
      </c>
      <c r="L1704" s="36" t="str">
        <f>RTD("ice.rtd",,$C1704 &amp; $D1704 &amp; ":" &amp; L$1)</f>
        <v/>
      </c>
      <c r="M1704" s="14" t="str">
        <f>IFERROR(MOD(TIMEVALUE(RTD("ice.rtd",,$C1704 &amp; $D1704 &amp; ":" &amp; M$1)), 1), "")</f>
        <v/>
      </c>
      <c r="N1704" s="36">
        <f>RTD("ice.rtd",,$C1704 &amp; $D1704 &amp; ":" &amp; N$1)</f>
        <v>0</v>
      </c>
      <c r="O1704" s="36">
        <f>RTD("ice.rtd",,$C1704 &amp; $D1704 &amp; ":" &amp; O$1)</f>
        <v>0</v>
      </c>
      <c r="P17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4" s="14" t="str">
        <f>IF(ICE[[#This Row],[LastType]] = "Scrn", ICE[[#This Row],[LstDate]], IF(ICE[[#This Row],[LastType]] = "Blk", ICE[[#This Row],[LstBlkTime]], ""))</f>
        <v/>
      </c>
      <c r="R1704" s="41" t="str">
        <f>IF(ICE[[#This Row],[LastType]] = "Scrn", ICE[[#This Row],[LstPrc]], IF(ICE[[#This Row],[LastType]] = "Blk", ICE[[#This Row],[LstBlkPrc]], ""))</f>
        <v/>
      </c>
      <c r="S1704" s="36">
        <f>ICE[[#This Row],[Vol]]+ICE[[#This Row],[BlkVol]]</f>
        <v>0</v>
      </c>
      <c r="T1704" s="36">
        <f>RTD("ice.rtd",,$C1704 &amp; $D1704 &amp; ":" &amp; T$1)</f>
        <v>0</v>
      </c>
      <c r="U1704" s="18">
        <f>RTD("ice.rtd",,$C1704 &amp; $D1704 &amp; ":" &amp; U$1)</f>
        <v>10.872</v>
      </c>
      <c r="V17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4" s="18" t="str">
        <f>IFERROR(IF(LEFT(ICE[[#This Row],[Tenor]], 1) = "B", RTD("esrtd",,$B1704 &amp; " " &amp; ICE[[#This Row],[Tenor]] &amp; "-IEU", W$1), RTD("esrtd",,$B1704 &amp; " " &amp; VLOOKUP(MONTH(ICE[[#This Row],[Strip]]), MthRef[], 2, 0) &amp; RIGHT(YEAR(ICE[[#This Row],[Strip]]), 2) &amp; "-IEU", W$1)), "")</f>
        <v/>
      </c>
      <c r="X1704" s="36"/>
    </row>
    <row r="1705" spans="1:24" x14ac:dyDescent="0.25">
      <c r="A1705" s="37" t="s">
        <v>888</v>
      </c>
      <c r="B1705" s="88" t="str">
        <f>RTD("ice.rtd",,$C1705 &amp; $D1705 &amp; ":" &amp; B$1)</f>
        <v>PDB</v>
      </c>
      <c r="C1705" s="3">
        <v>15061297</v>
      </c>
      <c r="D1705" t="s">
        <v>879</v>
      </c>
      <c r="E1705" s="3" t="str">
        <f>RTD("ice.rtd",,$C1705 &amp; $D1705 &amp; ":" &amp; E$1)</f>
        <v>Nov26/Nov27</v>
      </c>
      <c r="F1705" s="3" t="str">
        <f>ICE[[#This Row],[Prod]]&amp;ICE[[#This Row],[Strip]]</f>
        <v>dtdNov26/Nov27</v>
      </c>
      <c r="G1705" s="18" t="str">
        <f>RTD("ice.rtd",,$C1705 &amp; $D1705 &amp; ":" &amp; G$1)</f>
        <v/>
      </c>
      <c r="H1705" s="18" t="str">
        <f>RTD("ice.rtd",,$C1705 &amp; $D1705 &amp; ":" &amp; H$1)</f>
        <v/>
      </c>
      <c r="I1705" s="18" t="str">
        <f>RTD("ice.rtd",,$C1705 &amp; $D1705 &amp; ":" &amp; I$1)</f>
        <v/>
      </c>
      <c r="J1705" s="14" t="str">
        <f>IFERROR(MOD(RTD("ice.rtd",,$C1705 &amp; $D1705 &amp; ":" &amp; J$1), 1), "")</f>
        <v/>
      </c>
      <c r="K1705" s="18" t="str">
        <f>RTD("ice.rtd",,$C1705 &amp; $D1705 &amp; ":" &amp; K$1)</f>
        <v/>
      </c>
      <c r="L1705" s="36" t="str">
        <f>RTD("ice.rtd",,$C1705 &amp; $D1705 &amp; ":" &amp; L$1)</f>
        <v/>
      </c>
      <c r="M1705" s="14" t="str">
        <f>IFERROR(MOD(TIMEVALUE(RTD("ice.rtd",,$C1705 &amp; $D1705 &amp; ":" &amp; M$1)), 1), "")</f>
        <v/>
      </c>
      <c r="N1705" s="36">
        <f>RTD("ice.rtd",,$C1705 &amp; $D1705 &amp; ":" &amp; N$1)</f>
        <v>0</v>
      </c>
      <c r="O1705" s="36">
        <f>RTD("ice.rtd",,$C1705 &amp; $D1705 &amp; ":" &amp; O$1)</f>
        <v>0</v>
      </c>
      <c r="P17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5" s="14" t="str">
        <f>IF(ICE[[#This Row],[LastType]] = "Scrn", ICE[[#This Row],[LstDate]], IF(ICE[[#This Row],[LastType]] = "Blk", ICE[[#This Row],[LstBlkTime]], ""))</f>
        <v/>
      </c>
      <c r="R1705" s="41" t="str">
        <f>IF(ICE[[#This Row],[LastType]] = "Scrn", ICE[[#This Row],[LstPrc]], IF(ICE[[#This Row],[LastType]] = "Blk", ICE[[#This Row],[LstBlkPrc]], ""))</f>
        <v/>
      </c>
      <c r="S1705" s="36">
        <f>ICE[[#This Row],[Vol]]+ICE[[#This Row],[BlkVol]]</f>
        <v>0</v>
      </c>
      <c r="T1705" s="36">
        <f>RTD("ice.rtd",,$C1705 &amp; $D1705 &amp; ":" &amp; T$1)</f>
        <v>0</v>
      </c>
      <c r="U1705" s="18">
        <f>RTD("ice.rtd",,$C1705 &amp; $D1705 &amp; ":" &amp; U$1)</f>
        <v>14.483000000000004</v>
      </c>
      <c r="V17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5" s="18" t="str">
        <f>IFERROR(IF(LEFT(ICE[[#This Row],[Tenor]], 1) = "B", RTD("esrtd",,$B1705 &amp; " " &amp; ICE[[#This Row],[Tenor]] &amp; "-IEU", W$1), RTD("esrtd",,$B1705 &amp; " " &amp; VLOOKUP(MONTH(ICE[[#This Row],[Strip]]), MthRef[], 2, 0) &amp; RIGHT(YEAR(ICE[[#This Row],[Strip]]), 2) &amp; "-IEU", W$1)), "")</f>
        <v/>
      </c>
      <c r="X1705" s="36"/>
    </row>
    <row r="1706" spans="1:24" x14ac:dyDescent="0.25">
      <c r="A1706" s="37" t="s">
        <v>888</v>
      </c>
      <c r="B1706" s="88" t="str">
        <f>RTD("ice.rtd",,$C1706 &amp; $D1706 &amp; ":" &amp; B$1)</f>
        <v>PDB</v>
      </c>
      <c r="C1706" s="3">
        <v>15061297</v>
      </c>
      <c r="D1706" t="s">
        <v>880</v>
      </c>
      <c r="E1706" s="3" t="str">
        <f>RTD("ice.rtd",,$C1706 &amp; $D1706 &amp; ":" &amp; E$1)</f>
        <v>Dec26/Jan27</v>
      </c>
      <c r="F1706" s="3" t="str">
        <f>ICE[[#This Row],[Prod]]&amp;ICE[[#This Row],[Strip]]</f>
        <v>dtdDec26/Jan27</v>
      </c>
      <c r="G1706" s="18">
        <f>RTD("ice.rtd",,$C1706 &amp; $D1706 &amp; ":" &amp; G$1)</f>
        <v>2.38</v>
      </c>
      <c r="H1706" s="18">
        <f>RTD("ice.rtd",,$C1706 &amp; $D1706 &amp; ":" &amp; H$1)</f>
        <v>2.61</v>
      </c>
      <c r="I1706" s="18" t="str">
        <f>RTD("ice.rtd",,$C1706 &amp; $D1706 &amp; ":" &amp; I$1)</f>
        <v/>
      </c>
      <c r="J1706" s="14" t="str">
        <f>IFERROR(MOD(RTD("ice.rtd",,$C1706 &amp; $D1706 &amp; ":" &amp; J$1), 1), "")</f>
        <v/>
      </c>
      <c r="K1706" s="18">
        <f>RTD("ice.rtd",,$C1706 &amp; $D1706 &amp; ":" &amp; K$1)</f>
        <v>2.4</v>
      </c>
      <c r="L1706" s="36">
        <f>RTD("ice.rtd",,$C1706 &amp; $D1706 &amp; ":" &amp; L$1)</f>
        <v>28</v>
      </c>
      <c r="M1706" s="14">
        <f>IFERROR(MOD(TIMEVALUE(RTD("ice.rtd",,$C1706 &amp; $D1706 &amp; ":" &amp; M$1)), 1), "")</f>
        <v>0.36413194444444447</v>
      </c>
      <c r="N1706" s="36">
        <f>RTD("ice.rtd",,$C1706 &amp; $D1706 &amp; ":" &amp; N$1)</f>
        <v>0</v>
      </c>
      <c r="O1706" s="36">
        <f>RTD("ice.rtd",,$C1706 &amp; $D1706 &amp; ":" &amp; O$1)</f>
        <v>28</v>
      </c>
      <c r="P17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706" s="14">
        <f>IF(ICE[[#This Row],[LastType]] = "Scrn", ICE[[#This Row],[LstDate]], IF(ICE[[#This Row],[LastType]] = "Blk", ICE[[#This Row],[LstBlkTime]], ""))</f>
        <v>0.36413194444444447</v>
      </c>
      <c r="R1706" s="41">
        <f>IF(ICE[[#This Row],[LastType]] = "Scrn", ICE[[#This Row],[LstPrc]], IF(ICE[[#This Row],[LastType]] = "Blk", ICE[[#This Row],[LstBlkPrc]], ""))</f>
        <v>2.4</v>
      </c>
      <c r="S1706" s="36">
        <f>ICE[[#This Row],[Vol]]+ICE[[#This Row],[BlkVol]]</f>
        <v>28</v>
      </c>
      <c r="T1706" s="36">
        <f>RTD("ice.rtd",,$C1706 &amp; $D1706 &amp; ":" &amp; T$1)</f>
        <v>0</v>
      </c>
      <c r="U1706" s="18">
        <f>RTD("ice.rtd",,$C1706 &amp; $D1706 &amp; ":" &amp; U$1)</f>
        <v>2.2959999999999923</v>
      </c>
      <c r="V17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2.38 / 2.61 {2.40} |28x</v>
      </c>
      <c r="W1706" s="18" t="str">
        <f>IFERROR(IF(LEFT(ICE[[#This Row],[Tenor]], 1) = "B", RTD("esrtd",,$B1706 &amp; " " &amp; ICE[[#This Row],[Tenor]] &amp; "-IEU", W$1), RTD("esrtd",,$B1706 &amp; " " &amp; VLOOKUP(MONTH(ICE[[#This Row],[Strip]]), MthRef[], 2, 0) &amp; RIGHT(YEAR(ICE[[#This Row],[Strip]]), 2) &amp; "-IEU", W$1)), "")</f>
        <v/>
      </c>
      <c r="X1706" s="36"/>
    </row>
    <row r="1707" spans="1:24" x14ac:dyDescent="0.25">
      <c r="A1707" s="37" t="s">
        <v>888</v>
      </c>
      <c r="B1707" s="88" t="str">
        <f>RTD("ice.rtd",,$C1707 &amp; $D1707 &amp; ":" &amp; B$1)</f>
        <v>PDB</v>
      </c>
      <c r="C1707" s="3">
        <v>15061297</v>
      </c>
      <c r="D1707" t="s">
        <v>881</v>
      </c>
      <c r="E1707" s="3" t="str">
        <f>RTD("ice.rtd",,$C1707 &amp; $D1707 &amp; ":" &amp; E$1)</f>
        <v>Dec26/Feb27</v>
      </c>
      <c r="F1707" s="3" t="str">
        <f>ICE[[#This Row],[Prod]]&amp;ICE[[#This Row],[Strip]]</f>
        <v>dtdDec26/Feb27</v>
      </c>
      <c r="G1707" s="18" t="str">
        <f>RTD("ice.rtd",,$C1707 &amp; $D1707 &amp; ":" &amp; G$1)</f>
        <v/>
      </c>
      <c r="H1707" s="18" t="str">
        <f>RTD("ice.rtd",,$C1707 &amp; $D1707 &amp; ":" &amp; H$1)</f>
        <v/>
      </c>
      <c r="I1707" s="18" t="str">
        <f>RTD("ice.rtd",,$C1707 &amp; $D1707 &amp; ":" &amp; I$1)</f>
        <v/>
      </c>
      <c r="J1707" s="14" t="str">
        <f>IFERROR(MOD(RTD("ice.rtd",,$C1707 &amp; $D1707 &amp; ":" &amp; J$1), 1), "")</f>
        <v/>
      </c>
      <c r="K1707" s="18" t="str">
        <f>RTD("ice.rtd",,$C1707 &amp; $D1707 &amp; ":" &amp; K$1)</f>
        <v/>
      </c>
      <c r="L1707" s="36" t="str">
        <f>RTD("ice.rtd",,$C1707 &amp; $D1707 &amp; ":" &amp; L$1)</f>
        <v/>
      </c>
      <c r="M1707" s="14" t="str">
        <f>IFERROR(MOD(TIMEVALUE(RTD("ice.rtd",,$C1707 &amp; $D1707 &amp; ":" &amp; M$1)), 1), "")</f>
        <v/>
      </c>
      <c r="N1707" s="36">
        <f>RTD("ice.rtd",,$C1707 &amp; $D1707 &amp; ":" &amp; N$1)</f>
        <v>0</v>
      </c>
      <c r="O1707" s="36">
        <f>RTD("ice.rtd",,$C1707 &amp; $D1707 &amp; ":" &amp; O$1)</f>
        <v>0</v>
      </c>
      <c r="P17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7" s="14" t="str">
        <f>IF(ICE[[#This Row],[LastType]] = "Scrn", ICE[[#This Row],[LstDate]], IF(ICE[[#This Row],[LastType]] = "Blk", ICE[[#This Row],[LstBlkTime]], ""))</f>
        <v/>
      </c>
      <c r="R1707" s="41" t="str">
        <f>IF(ICE[[#This Row],[LastType]] = "Scrn", ICE[[#This Row],[LstPrc]], IF(ICE[[#This Row],[LastType]] = "Blk", ICE[[#This Row],[LstBlkPrc]], ""))</f>
        <v/>
      </c>
      <c r="S1707" s="36">
        <f>ICE[[#This Row],[Vol]]+ICE[[#This Row],[BlkVol]]</f>
        <v>0</v>
      </c>
      <c r="T1707" s="36">
        <f>RTD("ice.rtd",,$C1707 &amp; $D1707 &amp; ":" &amp; T$1)</f>
        <v>0</v>
      </c>
      <c r="U1707" s="18">
        <f>RTD("ice.rtd",,$C1707 &amp; $D1707 &amp; ":" &amp; U$1)</f>
        <v>4.320999999999998</v>
      </c>
      <c r="V17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7" s="18" t="str">
        <f>IFERROR(IF(LEFT(ICE[[#This Row],[Tenor]], 1) = "B", RTD("esrtd",,$B1707 &amp; " " &amp; ICE[[#This Row],[Tenor]] &amp; "-IEU", W$1), RTD("esrtd",,$B1707 &amp; " " &amp; VLOOKUP(MONTH(ICE[[#This Row],[Strip]]), MthRef[], 2, 0) &amp; RIGHT(YEAR(ICE[[#This Row],[Strip]]), 2) &amp; "-IEU", W$1)), "")</f>
        <v/>
      </c>
      <c r="X1707" s="36"/>
    </row>
    <row r="1708" spans="1:24" x14ac:dyDescent="0.25">
      <c r="A1708" s="37" t="s">
        <v>888</v>
      </c>
      <c r="B1708" s="88" t="str">
        <f>RTD("ice.rtd",,$C1708 &amp; $D1708 &amp; ":" &amp; B$1)</f>
        <v>PDB</v>
      </c>
      <c r="C1708" s="3">
        <v>15061297</v>
      </c>
      <c r="D1708" t="s">
        <v>882</v>
      </c>
      <c r="E1708" s="3" t="str">
        <f>RTD("ice.rtd",,$C1708 &amp; $D1708 &amp; ":" &amp; E$1)</f>
        <v>Dec26/Mar27</v>
      </c>
      <c r="F1708" s="3" t="str">
        <f>ICE[[#This Row],[Prod]]&amp;ICE[[#This Row],[Strip]]</f>
        <v>dtdDec26/Mar27</v>
      </c>
      <c r="G1708" s="18" t="str">
        <f>RTD("ice.rtd",,$C1708 &amp; $D1708 &amp; ":" &amp; G$1)</f>
        <v/>
      </c>
      <c r="H1708" s="18" t="str">
        <f>RTD("ice.rtd",,$C1708 &amp; $D1708 &amp; ":" &amp; H$1)</f>
        <v/>
      </c>
      <c r="I1708" s="18" t="str">
        <f>RTD("ice.rtd",,$C1708 &amp; $D1708 &amp; ":" &amp; I$1)</f>
        <v/>
      </c>
      <c r="J1708" s="14" t="str">
        <f>IFERROR(MOD(RTD("ice.rtd",,$C1708 &amp; $D1708 &amp; ":" &amp; J$1), 1), "")</f>
        <v/>
      </c>
      <c r="K1708" s="18" t="str">
        <f>RTD("ice.rtd",,$C1708 &amp; $D1708 &amp; ":" &amp; K$1)</f>
        <v/>
      </c>
      <c r="L1708" s="36" t="str">
        <f>RTD("ice.rtd",,$C1708 &amp; $D1708 &amp; ":" &amp; L$1)</f>
        <v/>
      </c>
      <c r="M1708" s="14" t="str">
        <f>IFERROR(MOD(TIMEVALUE(RTD("ice.rtd",,$C1708 &amp; $D1708 &amp; ":" &amp; M$1)), 1), "")</f>
        <v/>
      </c>
      <c r="N1708" s="36">
        <f>RTD("ice.rtd",,$C1708 &amp; $D1708 &amp; ":" &amp; N$1)</f>
        <v>0</v>
      </c>
      <c r="O1708" s="36">
        <f>RTD("ice.rtd",,$C1708 &amp; $D1708 &amp; ":" &amp; O$1)</f>
        <v>0</v>
      </c>
      <c r="P17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8" s="14" t="str">
        <f>IF(ICE[[#This Row],[LastType]] = "Scrn", ICE[[#This Row],[LstDate]], IF(ICE[[#This Row],[LastType]] = "Blk", ICE[[#This Row],[LstBlkTime]], ""))</f>
        <v/>
      </c>
      <c r="R1708" s="41" t="str">
        <f>IF(ICE[[#This Row],[LastType]] = "Scrn", ICE[[#This Row],[LstPrc]], IF(ICE[[#This Row],[LastType]] = "Blk", ICE[[#This Row],[LstBlkPrc]], ""))</f>
        <v/>
      </c>
      <c r="S1708" s="36">
        <f>ICE[[#This Row],[Vol]]+ICE[[#This Row],[BlkVol]]</f>
        <v>0</v>
      </c>
      <c r="T1708" s="36">
        <f>RTD("ice.rtd",,$C1708 &amp; $D1708 &amp; ":" &amp; T$1)</f>
        <v>0</v>
      </c>
      <c r="U1708" s="18">
        <f>RTD("ice.rtd",,$C1708 &amp; $D1708 &amp; ":" &amp; U$1)</f>
        <v>5.7979999999999876</v>
      </c>
      <c r="V17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8" s="18" t="str">
        <f>IFERROR(IF(LEFT(ICE[[#This Row],[Tenor]], 1) = "B", RTD("esrtd",,$B1708 &amp; " " &amp; ICE[[#This Row],[Tenor]] &amp; "-IEU", W$1), RTD("esrtd",,$B1708 &amp; " " &amp; VLOOKUP(MONTH(ICE[[#This Row],[Strip]]), MthRef[], 2, 0) &amp; RIGHT(YEAR(ICE[[#This Row],[Strip]]), 2) &amp; "-IEU", W$1)), "")</f>
        <v/>
      </c>
      <c r="X1708" s="36"/>
    </row>
    <row r="1709" spans="1:24" x14ac:dyDescent="0.25">
      <c r="A1709" s="37" t="s">
        <v>888</v>
      </c>
      <c r="B1709" s="88" t="str">
        <f>RTD("ice.rtd",,$C1709 &amp; $D1709 &amp; ":" &amp; B$1)</f>
        <v>PDB</v>
      </c>
      <c r="C1709" s="3">
        <v>15061297</v>
      </c>
      <c r="D1709" t="s">
        <v>883</v>
      </c>
      <c r="E1709" s="3" t="str">
        <f>RTD("ice.rtd",,$C1709 &amp; $D1709 &amp; ":" &amp; E$1)</f>
        <v>Dec26/Jun27</v>
      </c>
      <c r="F1709" s="3" t="str">
        <f>ICE[[#This Row],[Prod]]&amp;ICE[[#This Row],[Strip]]</f>
        <v>dtdDec26/Jun27</v>
      </c>
      <c r="G1709" s="18" t="str">
        <f>RTD("ice.rtd",,$C1709 &amp; $D1709 &amp; ":" &amp; G$1)</f>
        <v/>
      </c>
      <c r="H1709" s="18" t="str">
        <f>RTD("ice.rtd",,$C1709 &amp; $D1709 &amp; ":" &amp; H$1)</f>
        <v/>
      </c>
      <c r="I1709" s="18" t="str">
        <f>RTD("ice.rtd",,$C1709 &amp; $D1709 &amp; ":" &amp; I$1)</f>
        <v/>
      </c>
      <c r="J1709" s="14" t="str">
        <f>IFERROR(MOD(RTD("ice.rtd",,$C1709 &amp; $D1709 &amp; ":" &amp; J$1), 1), "")</f>
        <v/>
      </c>
      <c r="K1709" s="18" t="str">
        <f>RTD("ice.rtd",,$C1709 &amp; $D1709 &amp; ":" &amp; K$1)</f>
        <v/>
      </c>
      <c r="L1709" s="36" t="str">
        <f>RTD("ice.rtd",,$C1709 &amp; $D1709 &amp; ":" &amp; L$1)</f>
        <v/>
      </c>
      <c r="M1709" s="14" t="str">
        <f>IFERROR(MOD(TIMEVALUE(RTD("ice.rtd",,$C1709 &amp; $D1709 &amp; ":" &amp; M$1)), 1), "")</f>
        <v/>
      </c>
      <c r="N1709" s="36">
        <f>RTD("ice.rtd",,$C1709 &amp; $D1709 &amp; ":" &amp; N$1)</f>
        <v>0</v>
      </c>
      <c r="O1709" s="36">
        <f>RTD("ice.rtd",,$C1709 &amp; $D1709 &amp; ":" &amp; O$1)</f>
        <v>0</v>
      </c>
      <c r="P17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09" s="14" t="str">
        <f>IF(ICE[[#This Row],[LastType]] = "Scrn", ICE[[#This Row],[LstDate]], IF(ICE[[#This Row],[LastType]] = "Blk", ICE[[#This Row],[LstBlkTime]], ""))</f>
        <v/>
      </c>
      <c r="R1709" s="41" t="str">
        <f>IF(ICE[[#This Row],[LastType]] = "Scrn", ICE[[#This Row],[LstPrc]], IF(ICE[[#This Row],[LastType]] = "Blk", ICE[[#This Row],[LstBlkPrc]], ""))</f>
        <v/>
      </c>
      <c r="S1709" s="36">
        <f>ICE[[#This Row],[Vol]]+ICE[[#This Row],[BlkVol]]</f>
        <v>0</v>
      </c>
      <c r="T1709" s="36">
        <f>RTD("ice.rtd",,$C1709 &amp; $D1709 &amp; ":" &amp; T$1)</f>
        <v>0</v>
      </c>
      <c r="U1709" s="18">
        <f>RTD("ice.rtd",,$C1709 &amp; $D1709 &amp; ":" &amp; U$1)</f>
        <v>8.8089999999999975</v>
      </c>
      <c r="V17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09" s="18" t="str">
        <f>IFERROR(IF(LEFT(ICE[[#This Row],[Tenor]], 1) = "B", RTD("esrtd",,$B1709 &amp; " " &amp; ICE[[#This Row],[Tenor]] &amp; "-IEU", W$1), RTD("esrtd",,$B1709 &amp; " " &amp; VLOOKUP(MONTH(ICE[[#This Row],[Strip]]), MthRef[], 2, 0) &amp; RIGHT(YEAR(ICE[[#This Row],[Strip]]), 2) &amp; "-IEU", W$1)), "")</f>
        <v/>
      </c>
      <c r="X1709" s="36"/>
    </row>
    <row r="1710" spans="1:24" x14ac:dyDescent="0.25">
      <c r="A1710" s="37" t="s">
        <v>888</v>
      </c>
      <c r="B1710" s="88" t="str">
        <f>RTD("ice.rtd",,$C1710 &amp; $D1710 &amp; ":" &amp; B$1)</f>
        <v>PDB</v>
      </c>
      <c r="C1710" s="3">
        <v>15061297</v>
      </c>
      <c r="D1710" t="s">
        <v>884</v>
      </c>
      <c r="E1710" s="3" t="str">
        <f>RTD("ice.rtd",,$C1710 &amp; $D1710 &amp; ":" &amp; E$1)</f>
        <v>Dec26/Dec27</v>
      </c>
      <c r="F1710" s="3" t="str">
        <f>ICE[[#This Row],[Prod]]&amp;ICE[[#This Row],[Strip]]</f>
        <v>dtdDec26/Dec27</v>
      </c>
      <c r="G1710" s="18" t="str">
        <f>RTD("ice.rtd",,$C1710 &amp; $D1710 &amp; ":" &amp; G$1)</f>
        <v/>
      </c>
      <c r="H1710" s="18" t="str">
        <f>RTD("ice.rtd",,$C1710 &amp; $D1710 &amp; ":" &amp; H$1)</f>
        <v/>
      </c>
      <c r="I1710" s="18" t="str">
        <f>RTD("ice.rtd",,$C1710 &amp; $D1710 &amp; ":" &amp; I$1)</f>
        <v/>
      </c>
      <c r="J1710" s="14" t="str">
        <f>IFERROR(MOD(RTD("ice.rtd",,$C1710 &amp; $D1710 &amp; ":" &amp; J$1), 1), "")</f>
        <v/>
      </c>
      <c r="K1710" s="18" t="str">
        <f>RTD("ice.rtd",,$C1710 &amp; $D1710 &amp; ":" &amp; K$1)</f>
        <v/>
      </c>
      <c r="L1710" s="36" t="str">
        <f>RTD("ice.rtd",,$C1710 &amp; $D1710 &amp; ":" &amp; L$1)</f>
        <v/>
      </c>
      <c r="M1710" s="14" t="str">
        <f>IFERROR(MOD(TIMEVALUE(RTD("ice.rtd",,$C1710 &amp; $D1710 &amp; ":" &amp; M$1)), 1), "")</f>
        <v/>
      </c>
      <c r="N1710" s="36">
        <f>RTD("ice.rtd",,$C1710 &amp; $D1710 &amp; ":" &amp; N$1)</f>
        <v>0</v>
      </c>
      <c r="O1710" s="36">
        <f>RTD("ice.rtd",,$C1710 &amp; $D1710 &amp; ":" &amp; O$1)</f>
        <v>0</v>
      </c>
      <c r="P17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0" s="14" t="str">
        <f>IF(ICE[[#This Row],[LastType]] = "Scrn", ICE[[#This Row],[LstDate]], IF(ICE[[#This Row],[LastType]] = "Blk", ICE[[#This Row],[LstBlkTime]], ""))</f>
        <v/>
      </c>
      <c r="R1710" s="41" t="str">
        <f>IF(ICE[[#This Row],[LastType]] = "Scrn", ICE[[#This Row],[LstPrc]], IF(ICE[[#This Row],[LastType]] = "Blk", ICE[[#This Row],[LstBlkPrc]], ""))</f>
        <v/>
      </c>
      <c r="S1710" s="36">
        <f>ICE[[#This Row],[Vol]]+ICE[[#This Row],[BlkVol]]</f>
        <v>0</v>
      </c>
      <c r="T1710" s="36">
        <f>RTD("ice.rtd",,$C1710 &amp; $D1710 &amp; ":" &amp; T$1)</f>
        <v>0</v>
      </c>
      <c r="U1710" s="18">
        <f>RTD("ice.rtd",,$C1710 &amp; $D1710 &amp; ":" &amp; U$1)</f>
        <v>12.062999999999988</v>
      </c>
      <c r="V17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0" s="18" t="str">
        <f>IFERROR(IF(LEFT(ICE[[#This Row],[Tenor]], 1) = "B", RTD("esrtd",,$B1710 &amp; " " &amp; ICE[[#This Row],[Tenor]] &amp; "-IEU", W$1), RTD("esrtd",,$B1710 &amp; " " &amp; VLOOKUP(MONTH(ICE[[#This Row],[Strip]]), MthRef[], 2, 0) &amp; RIGHT(YEAR(ICE[[#This Row],[Strip]]), 2) &amp; "-IEU", W$1)), "")</f>
        <v/>
      </c>
      <c r="X1710" s="36"/>
    </row>
    <row r="1711" spans="1:24" x14ac:dyDescent="0.25">
      <c r="A1711" s="37" t="s">
        <v>888</v>
      </c>
      <c r="B1711" s="88" t="str">
        <f>RTD("ice.rtd",,$C1711 &amp; $D1711 &amp; ":" &amp; B$1)</f>
        <v>PDB</v>
      </c>
      <c r="C1711" s="3">
        <v>15061297</v>
      </c>
      <c r="D1711" t="s">
        <v>885</v>
      </c>
      <c r="E1711" s="3" t="str">
        <f>RTD("ice.rtd",,$C1711 &amp; $D1711 &amp; ":" &amp; E$1)</f>
        <v>Q4 26/Q1 27</v>
      </c>
      <c r="F1711" s="3" t="str">
        <f>ICE[[#This Row],[Prod]]&amp;ICE[[#This Row],[Strip]]</f>
        <v>dtdQ4 26/Q1 27</v>
      </c>
      <c r="G1711" s="18" t="str">
        <f>RTD("ice.rtd",,$C1711 &amp; $D1711 &amp; ":" &amp; G$1)</f>
        <v/>
      </c>
      <c r="H1711" s="18" t="str">
        <f>RTD("ice.rtd",,$C1711 &amp; $D1711 &amp; ":" &amp; H$1)</f>
        <v/>
      </c>
      <c r="I1711" s="18" t="str">
        <f>RTD("ice.rtd",,$C1711 &amp; $D1711 &amp; ":" &amp; I$1)</f>
        <v/>
      </c>
      <c r="J1711" s="14" t="str">
        <f>IFERROR(MOD(RTD("ice.rtd",,$C1711 &amp; $D1711 &amp; ":" &amp; J$1), 1), "")</f>
        <v/>
      </c>
      <c r="K1711" s="18" t="str">
        <f>RTD("ice.rtd",,$C1711 &amp; $D1711 &amp; ":" &amp; K$1)</f>
        <v/>
      </c>
      <c r="L1711" s="36" t="str">
        <f>RTD("ice.rtd",,$C1711 &amp; $D1711 &amp; ":" &amp; L$1)</f>
        <v/>
      </c>
      <c r="M1711" s="14" t="str">
        <f>IFERROR(MOD(TIMEVALUE(RTD("ice.rtd",,$C1711 &amp; $D1711 &amp; ":" &amp; M$1)), 1), "")</f>
        <v/>
      </c>
      <c r="N1711" s="36">
        <f>RTD("ice.rtd",,$C1711 &amp; $D1711 &amp; ":" &amp; N$1)</f>
        <v>0</v>
      </c>
      <c r="O1711" s="36">
        <f>RTD("ice.rtd",,$C1711 &amp; $D1711 &amp; ":" &amp; O$1)</f>
        <v>0</v>
      </c>
      <c r="P17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1" s="14" t="str">
        <f>IF(ICE[[#This Row],[LastType]] = "Scrn", ICE[[#This Row],[LstDate]], IF(ICE[[#This Row],[LastType]] = "Blk", ICE[[#This Row],[LstBlkTime]], ""))</f>
        <v/>
      </c>
      <c r="R1711" s="41" t="str">
        <f>IF(ICE[[#This Row],[LastType]] = "Scrn", ICE[[#This Row],[LstPrc]], IF(ICE[[#This Row],[LastType]] = "Blk", ICE[[#This Row],[LstBlkPrc]], ""))</f>
        <v/>
      </c>
      <c r="S1711" s="36">
        <f>ICE[[#This Row],[Vol]]+ICE[[#This Row],[BlkVol]]</f>
        <v>0</v>
      </c>
      <c r="T1711" s="36">
        <f>RTD("ice.rtd",,$C1711 &amp; $D1711 &amp; ":" &amp; T$1)</f>
        <v>0</v>
      </c>
      <c r="U1711" s="18">
        <f>RTD("ice.rtd",,$C1711 &amp; $D1711 &amp; ":" &amp; U$1)</f>
        <v>7.0679999999999978</v>
      </c>
      <c r="V17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1" s="18" t="str">
        <f>IFERROR(IF(LEFT(ICE[[#This Row],[Tenor]], 1) = "B", RTD("esrtd",,$B1711 &amp; " " &amp; ICE[[#This Row],[Tenor]] &amp; "-IEU", W$1), RTD("esrtd",,$B1711 &amp; " " &amp; VLOOKUP(MONTH(ICE[[#This Row],[Strip]]), MthRef[], 2, 0) &amp; RIGHT(YEAR(ICE[[#This Row],[Strip]]), 2) &amp; "-IEU", W$1)), "")</f>
        <v/>
      </c>
      <c r="X1711" s="36"/>
    </row>
    <row r="1712" spans="1:24" x14ac:dyDescent="0.25">
      <c r="A1712" s="37" t="s">
        <v>888</v>
      </c>
      <c r="B1712" s="88" t="str">
        <f>RTD("ice.rtd",,$C1712 &amp; $D1712 &amp; ":" &amp; B$1)</f>
        <v>PDB</v>
      </c>
      <c r="C1712" s="3">
        <v>15061297</v>
      </c>
      <c r="D1712" t="s">
        <v>886</v>
      </c>
      <c r="E1712" s="3" t="str">
        <f>RTD("ice.rtd",,$C1712 &amp; $D1712 &amp; ":" &amp; E$1)</f>
        <v>Q1 27/Q2 27</v>
      </c>
      <c r="F1712" s="3" t="str">
        <f>ICE[[#This Row],[Prod]]&amp;ICE[[#This Row],[Strip]]</f>
        <v>dtdQ1 27/Q2 27</v>
      </c>
      <c r="G1712" s="18" t="str">
        <f>RTD("ice.rtd",,$C1712 &amp; $D1712 &amp; ":" &amp; G$1)</f>
        <v/>
      </c>
      <c r="H1712" s="18" t="str">
        <f>RTD("ice.rtd",,$C1712 &amp; $D1712 &amp; ":" &amp; H$1)</f>
        <v/>
      </c>
      <c r="I1712" s="18" t="str">
        <f>RTD("ice.rtd",,$C1712 &amp; $D1712 &amp; ":" &amp; I$1)</f>
        <v/>
      </c>
      <c r="J1712" s="14" t="str">
        <f>IFERROR(MOD(RTD("ice.rtd",,$C1712 &amp; $D1712 &amp; ":" &amp; J$1), 1), "")</f>
        <v/>
      </c>
      <c r="K1712" s="18" t="str">
        <f>RTD("ice.rtd",,$C1712 &amp; $D1712 &amp; ":" &amp; K$1)</f>
        <v/>
      </c>
      <c r="L1712" s="36" t="str">
        <f>RTD("ice.rtd",,$C1712 &amp; $D1712 &amp; ":" &amp; L$1)</f>
        <v/>
      </c>
      <c r="M1712" s="14" t="str">
        <f>IFERROR(MOD(TIMEVALUE(RTD("ice.rtd",,$C1712 &amp; $D1712 &amp; ":" &amp; M$1)), 1), "")</f>
        <v/>
      </c>
      <c r="N1712" s="36">
        <f>RTD("ice.rtd",,$C1712 &amp; $D1712 &amp; ":" &amp; N$1)</f>
        <v>0</v>
      </c>
      <c r="O1712" s="36">
        <f>RTD("ice.rtd",,$C1712 &amp; $D1712 &amp; ":" &amp; O$1)</f>
        <v>0</v>
      </c>
      <c r="P17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2" s="14" t="str">
        <f>IF(ICE[[#This Row],[LastType]] = "Scrn", ICE[[#This Row],[LstDate]], IF(ICE[[#This Row],[LastType]] = "Blk", ICE[[#This Row],[LstBlkTime]], ""))</f>
        <v/>
      </c>
      <c r="R1712" s="41" t="str">
        <f>IF(ICE[[#This Row],[LastType]] = "Scrn", ICE[[#This Row],[LstPrc]], IF(ICE[[#This Row],[LastType]] = "Blk", ICE[[#This Row],[LstBlkPrc]], ""))</f>
        <v/>
      </c>
      <c r="S1712" s="36">
        <f>ICE[[#This Row],[Vol]]+ICE[[#This Row],[BlkVol]]</f>
        <v>0</v>
      </c>
      <c r="T1712" s="36">
        <f>RTD("ice.rtd",,$C1712 &amp; $D1712 &amp; ":" &amp; T$1)</f>
        <v>0</v>
      </c>
      <c r="U1712" s="18">
        <f>RTD("ice.rtd",,$C1712 &amp; $D1712 &amp; ":" &amp; U$1)</f>
        <v>3.8269999999999982</v>
      </c>
      <c r="V17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2" s="18" t="str">
        <f>IFERROR(IF(LEFT(ICE[[#This Row],[Tenor]], 1) = "B", RTD("esrtd",,$B1712 &amp; " " &amp; ICE[[#This Row],[Tenor]] &amp; "-IEU", W$1), RTD("esrtd",,$B1712 &amp; " " &amp; VLOOKUP(MONTH(ICE[[#This Row],[Strip]]), MthRef[], 2, 0) &amp; RIGHT(YEAR(ICE[[#This Row],[Strip]]), 2) &amp; "-IEU", W$1)), "")</f>
        <v/>
      </c>
      <c r="X1712" s="36"/>
    </row>
    <row r="1713" spans="1:24" x14ac:dyDescent="0.25">
      <c r="A1713" s="37" t="s">
        <v>888</v>
      </c>
      <c r="B1713" s="88" t="str">
        <f>RTD("ice.rtd",,$C1713 &amp; $D1713 &amp; ":" &amp; B$1)</f>
        <v>PDB</v>
      </c>
      <c r="C1713" s="3">
        <v>15061297</v>
      </c>
      <c r="D1713" t="s">
        <v>887</v>
      </c>
      <c r="E1713" s="3" t="str">
        <f>RTD("ice.rtd",,$C1713 &amp; $D1713 &amp; ":" &amp; E$1)</f>
        <v>Cal 27/Cal 28</v>
      </c>
      <c r="F1713" s="3" t="str">
        <f>ICE[[#This Row],[Prod]]&amp;ICE[[#This Row],[Strip]]</f>
        <v>dtdCal 27/Cal 28</v>
      </c>
      <c r="G1713" s="18" t="str">
        <f>RTD("ice.rtd",,$C1713 &amp; $D1713 &amp; ":" &amp; G$1)</f>
        <v/>
      </c>
      <c r="H1713" s="18" t="str">
        <f>RTD("ice.rtd",,$C1713 &amp; $D1713 &amp; ":" &amp; H$1)</f>
        <v/>
      </c>
      <c r="I1713" s="18" t="str">
        <f>RTD("ice.rtd",,$C1713 &amp; $D1713 &amp; ":" &amp; I$1)</f>
        <v/>
      </c>
      <c r="J1713" s="14" t="str">
        <f>IFERROR(MOD(RTD("ice.rtd",,$C1713 &amp; $D1713 &amp; ":" &amp; J$1), 1), "")</f>
        <v/>
      </c>
      <c r="K1713" s="18" t="str">
        <f>RTD("ice.rtd",,$C1713 &amp; $D1713 &amp; ":" &amp; K$1)</f>
        <v/>
      </c>
      <c r="L1713" s="36" t="str">
        <f>RTD("ice.rtd",,$C1713 &amp; $D1713 &amp; ":" &amp; L$1)</f>
        <v/>
      </c>
      <c r="M1713" s="14" t="str">
        <f>IFERROR(MOD(TIMEVALUE(RTD("ice.rtd",,$C1713 &amp; $D1713 &amp; ":" &amp; M$1)), 1), "")</f>
        <v/>
      </c>
      <c r="N1713" s="36">
        <f>RTD("ice.rtd",,$C1713 &amp; $D1713 &amp; ":" &amp; N$1)</f>
        <v>0</v>
      </c>
      <c r="O1713" s="36">
        <f>RTD("ice.rtd",,$C1713 &amp; $D1713 &amp; ":" &amp; O$1)</f>
        <v>0</v>
      </c>
      <c r="P17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3" s="14" t="str">
        <f>IF(ICE[[#This Row],[LastType]] = "Scrn", ICE[[#This Row],[LstDate]], IF(ICE[[#This Row],[LastType]] = "Blk", ICE[[#This Row],[LstBlkTime]], ""))</f>
        <v/>
      </c>
      <c r="R1713" s="41" t="str">
        <f>IF(ICE[[#This Row],[LastType]] = "Scrn", ICE[[#This Row],[LstPrc]], IF(ICE[[#This Row],[LastType]] = "Blk", ICE[[#This Row],[LstBlkPrc]], ""))</f>
        <v/>
      </c>
      <c r="S1713" s="36">
        <f>ICE[[#This Row],[Vol]]+ICE[[#This Row],[BlkVol]]</f>
        <v>0</v>
      </c>
      <c r="T1713" s="36">
        <f>RTD("ice.rtd",,$C1713 &amp; $D1713 &amp; ":" &amp; T$1)</f>
        <v>0</v>
      </c>
      <c r="U1713" s="18">
        <f>RTD("ice.rtd",,$C1713 &amp; $D1713 &amp; ":" &amp; U$1)</f>
        <v>5.4849999999999994</v>
      </c>
      <c r="V17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3" s="18" t="str">
        <f>IFERROR(IF(LEFT(ICE[[#This Row],[Tenor]], 1) = "B", RTD("esrtd",,$B1713 &amp; " " &amp; ICE[[#This Row],[Tenor]] &amp; "-IEU", W$1), RTD("esrtd",,$B1713 &amp; " " &amp; VLOOKUP(MONTH(ICE[[#This Row],[Strip]]), MthRef[], 2, 0) &amp; RIGHT(YEAR(ICE[[#This Row],[Strip]]), 2) &amp; "-IEU", W$1)), "")</f>
        <v/>
      </c>
      <c r="X1713" s="36"/>
    </row>
    <row r="1714" spans="1:24" x14ac:dyDescent="0.25">
      <c r="A1714" s="37" t="s">
        <v>889</v>
      </c>
      <c r="B1714" s="88" t="str">
        <f>RTD("ice.rtd",,$C1714 &amp; $D1714 &amp; ":" &amp; B$1)</f>
        <v>Invalid Market: 2972825746BM0</v>
      </c>
      <c r="C1714" s="3">
        <v>2972825746</v>
      </c>
      <c r="D1714" t="s">
        <v>855</v>
      </c>
      <c r="E1714" s="3" t="str">
        <f>RTD("ice.rtd",,$C1714 &amp; $D1714 &amp; ":" &amp; E$1)</f>
        <v>Invalid Market: 2972825746BM0</v>
      </c>
      <c r="F1714" s="3" t="str">
        <f>ICE[[#This Row],[Prod]]&amp;ICE[[#This Row],[Strip]]</f>
        <v>fo380Invalid Market: 2972825746BM0</v>
      </c>
      <c r="G1714" s="18" t="str">
        <f>RTD("ice.rtd",,$C1714 &amp; $D1714 &amp; ":" &amp; G$1)</f>
        <v>Invalid Market: 2972825746BM0</v>
      </c>
      <c r="H1714" s="18" t="str">
        <f>RTD("ice.rtd",,$C1714 &amp; $D1714 &amp; ":" &amp; H$1)</f>
        <v>Invalid Market: 2972825746BM0</v>
      </c>
      <c r="I1714" s="18" t="str">
        <f>RTD("ice.rtd",,$C1714 &amp; $D1714 &amp; ":" &amp; I$1)</f>
        <v>Invalid Market: 2972825746BM0</v>
      </c>
      <c r="J1714" s="14" t="str">
        <f>IFERROR(MOD(RTD("ice.rtd",,$C1714 &amp; $D1714 &amp; ":" &amp; J$1), 1), "")</f>
        <v/>
      </c>
      <c r="K1714" s="18" t="str">
        <f>RTD("ice.rtd",,$C1714 &amp; $D1714 &amp; ":" &amp; K$1)</f>
        <v>Invalid Market: 2972825746BM0</v>
      </c>
      <c r="L1714" s="36" t="str">
        <f>RTD("ice.rtd",,$C1714 &amp; $D1714 &amp; ":" &amp; L$1)</f>
        <v>Invalid Market: 2972825746BM0</v>
      </c>
      <c r="M1714" s="14" t="str">
        <f>IFERROR(MOD(TIMEVALUE(RTD("ice.rtd",,$C1714 &amp; $D1714 &amp; ":" &amp; M$1)), 1), "")</f>
        <v/>
      </c>
      <c r="N1714" s="36" t="str">
        <f>RTD("ice.rtd",,$C1714 &amp; $D1714 &amp; ":" &amp; N$1)</f>
        <v>Invalid Market: 2972825746BM0</v>
      </c>
      <c r="O1714" s="36" t="str">
        <f>RTD("ice.rtd",,$C1714 &amp; $D1714 &amp; ":" &amp; O$1)</f>
        <v>Invalid Market: 2972825746BM0</v>
      </c>
      <c r="P17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4" s="14" t="str">
        <f>IF(ICE[[#This Row],[LastType]] = "Scrn", ICE[[#This Row],[LstDate]], IF(ICE[[#This Row],[LastType]] = "Blk", ICE[[#This Row],[LstBlkTime]], ""))</f>
        <v/>
      </c>
      <c r="R1714" s="41" t="str">
        <f>IF(ICE[[#This Row],[LastType]] = "Scrn", ICE[[#This Row],[LstPrc]], IF(ICE[[#This Row],[LastType]] = "Blk", ICE[[#This Row],[LstBlkPrc]], ""))</f>
        <v/>
      </c>
      <c r="S1714" s="36" t="e">
        <f>ICE[[#This Row],[Vol]]+ICE[[#This Row],[BlkVol]]</f>
        <v>#VALUE!</v>
      </c>
      <c r="T1714" s="36" t="str">
        <f>RTD("ice.rtd",,$C1714 &amp; $D1714 &amp; ":" &amp; T$1)</f>
        <v>Invalid Market: 2972825746BM0</v>
      </c>
      <c r="U1714" s="18" t="str">
        <f>RTD("ice.rtd",,$C1714 &amp; $D1714 &amp; ":" &amp; U$1)</f>
        <v>Invalid Market: 2972825746BM0</v>
      </c>
      <c r="V17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14" s="18" t="str">
        <f>IFERROR(IF(LEFT(ICE[[#This Row],[Tenor]], 1) = "B", RTD("esrtd",,$B1714 &amp; " " &amp; ICE[[#This Row],[Tenor]] &amp; "-IEU", W$1), RTD("esrtd",,$B1714 &amp; " " &amp; VLOOKUP(MONTH(ICE[[#This Row],[Strip]]), MthRef[], 2, 0) &amp; RIGHT(YEAR(ICE[[#This Row],[Strip]]), 2) &amp; "-IEU", W$1)), "")</f>
        <v/>
      </c>
      <c r="X1714" s="36"/>
    </row>
    <row r="1715" spans="1:24" x14ac:dyDescent="0.25">
      <c r="A1715" s="37" t="s">
        <v>889</v>
      </c>
      <c r="B1715" s="88" t="str">
        <f>RTD("ice.rtd",,$C1715 &amp; $D1715 &amp; ":" &amp; B$1)</f>
        <v>SYS</v>
      </c>
      <c r="C1715" s="3">
        <v>366531</v>
      </c>
      <c r="D1715" t="s">
        <v>857</v>
      </c>
      <c r="E1715" s="3" t="str">
        <f>RTD("ice.rtd",,$C1715 &amp; $D1715 &amp; ":" &amp; E$1)</f>
        <v>Sep26/Oct26</v>
      </c>
      <c r="F1715" s="3" t="str">
        <f>ICE[[#This Row],[Prod]]&amp;ICE[[#This Row],[Strip]]</f>
        <v>fo380Sep26/Oct26</v>
      </c>
      <c r="G1715" s="18">
        <f>RTD("ice.rtd",,$C1715 &amp; $D1715 &amp; ":" &amp; G$1)</f>
        <v>15.5</v>
      </c>
      <c r="H1715" s="18">
        <f>RTD("ice.rtd",,$C1715 &amp; $D1715 &amp; ":" &amp; H$1)</f>
        <v>30</v>
      </c>
      <c r="I1715" s="18" t="str">
        <f>RTD("ice.rtd",,$C1715 &amp; $D1715 &amp; ":" &amp; I$1)</f>
        <v/>
      </c>
      <c r="J1715" s="14" t="str">
        <f>IFERROR(MOD(RTD("ice.rtd",,$C1715 &amp; $D1715 &amp; ":" &amp; J$1), 1), "")</f>
        <v/>
      </c>
      <c r="K1715" s="18">
        <f>RTD("ice.rtd",,$C1715 &amp; $D1715 &amp; ":" &amp; K$1)</f>
        <v>28.5</v>
      </c>
      <c r="L1715" s="36">
        <f>RTD("ice.rtd",,$C1715 &amp; $D1715 &amp; ":" &amp; L$1)</f>
        <v>20</v>
      </c>
      <c r="M1715" s="14">
        <f>IFERROR(MOD(TIMEVALUE(RTD("ice.rtd",,$C1715 &amp; $D1715 &amp; ":" &amp; M$1)), 1), "")</f>
        <v>0.39466435185185184</v>
      </c>
      <c r="N1715" s="36">
        <f>RTD("ice.rtd",,$C1715 &amp; $D1715 &amp; ":" &amp; N$1)</f>
        <v>0</v>
      </c>
      <c r="O1715" s="36">
        <f>RTD("ice.rtd",,$C1715 &amp; $D1715 &amp; ":" &amp; O$1)</f>
        <v>40</v>
      </c>
      <c r="P17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715" s="14">
        <f>IF(ICE[[#This Row],[LastType]] = "Scrn", ICE[[#This Row],[LstDate]], IF(ICE[[#This Row],[LastType]] = "Blk", ICE[[#This Row],[LstBlkTime]], ""))</f>
        <v>0.39466435185185184</v>
      </c>
      <c r="R1715" s="41">
        <f>IF(ICE[[#This Row],[LastType]] = "Scrn", ICE[[#This Row],[LstPrc]], IF(ICE[[#This Row],[LastType]] = "Blk", ICE[[#This Row],[LstBlkPrc]], ""))</f>
        <v>28.5</v>
      </c>
      <c r="S1715" s="36">
        <f>ICE[[#This Row],[Vol]]+ICE[[#This Row],[BlkVol]]</f>
        <v>40</v>
      </c>
      <c r="T1715" s="36">
        <f>RTD("ice.rtd",,$C1715 &amp; $D1715 &amp; ":" &amp; T$1)</f>
        <v>0</v>
      </c>
      <c r="U1715" s="18">
        <f>RTD("ice.rtd",,$C1715 &amp; $D1715 &amp; ":" &amp; U$1)</f>
        <v>30.874000000000024</v>
      </c>
      <c r="V17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15.50 / 30.00 {28.50} |40x</v>
      </c>
      <c r="W1715" s="18" t="str">
        <f>IFERROR(IF(LEFT(ICE[[#This Row],[Tenor]], 1) = "B", RTD("esrtd",,$B1715 &amp; " " &amp; ICE[[#This Row],[Tenor]] &amp; "-IEU", W$1), RTD("esrtd",,$B1715 &amp; " " &amp; VLOOKUP(MONTH(ICE[[#This Row],[Strip]]), MthRef[], 2, 0) &amp; RIGHT(YEAR(ICE[[#This Row],[Strip]]), 2) &amp; "-IEU", W$1)), "")</f>
        <v/>
      </c>
      <c r="X1715" s="36"/>
    </row>
    <row r="1716" spans="1:24" x14ac:dyDescent="0.25">
      <c r="A1716" s="37" t="s">
        <v>889</v>
      </c>
      <c r="B1716" s="88" t="str">
        <f>RTD("ice.rtd",,$C1716 &amp; $D1716 &amp; ":" &amp; B$1)</f>
        <v>SYS</v>
      </c>
      <c r="C1716" s="3">
        <v>366531</v>
      </c>
      <c r="D1716" t="s">
        <v>860</v>
      </c>
      <c r="E1716" s="3" t="str">
        <f>RTD("ice.rtd",,$C1716 &amp; $D1716 &amp; ":" &amp; E$1)</f>
        <v>Sep26/Nov26</v>
      </c>
      <c r="F1716" s="3" t="str">
        <f>ICE[[#This Row],[Prod]]&amp;ICE[[#This Row],[Strip]]</f>
        <v>fo380Sep26/Nov26</v>
      </c>
      <c r="G1716" s="18" t="str">
        <f>RTD("ice.rtd",,$C1716 &amp; $D1716 &amp; ":" &amp; G$1)</f>
        <v/>
      </c>
      <c r="H1716" s="18" t="str">
        <f>RTD("ice.rtd",,$C1716 &amp; $D1716 &amp; ":" &amp; H$1)</f>
        <v/>
      </c>
      <c r="I1716" s="18" t="str">
        <f>RTD("ice.rtd",,$C1716 &amp; $D1716 &amp; ":" &amp; I$1)</f>
        <v/>
      </c>
      <c r="J1716" s="14" t="str">
        <f>IFERROR(MOD(RTD("ice.rtd",,$C1716 &amp; $D1716 &amp; ":" &amp; J$1), 1), "")</f>
        <v/>
      </c>
      <c r="K1716" s="18" t="str">
        <f>RTD("ice.rtd",,$C1716 &amp; $D1716 &amp; ":" &amp; K$1)</f>
        <v/>
      </c>
      <c r="L1716" s="36" t="str">
        <f>RTD("ice.rtd",,$C1716 &amp; $D1716 &amp; ":" &amp; L$1)</f>
        <v/>
      </c>
      <c r="M1716" s="14" t="str">
        <f>IFERROR(MOD(TIMEVALUE(RTD("ice.rtd",,$C1716 &amp; $D1716 &amp; ":" &amp; M$1)), 1), "")</f>
        <v/>
      </c>
      <c r="N1716" s="36">
        <f>RTD("ice.rtd",,$C1716 &amp; $D1716 &amp; ":" &amp; N$1)</f>
        <v>0</v>
      </c>
      <c r="O1716" s="36">
        <f>RTD("ice.rtd",,$C1716 &amp; $D1716 &amp; ":" &amp; O$1)</f>
        <v>0</v>
      </c>
      <c r="P17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6" s="14" t="str">
        <f>IF(ICE[[#This Row],[LastType]] = "Scrn", ICE[[#This Row],[LstDate]], IF(ICE[[#This Row],[LastType]] = "Blk", ICE[[#This Row],[LstBlkTime]], ""))</f>
        <v/>
      </c>
      <c r="R1716" s="41" t="str">
        <f>IF(ICE[[#This Row],[LastType]] = "Scrn", ICE[[#This Row],[LstPrc]], IF(ICE[[#This Row],[LastType]] = "Blk", ICE[[#This Row],[LstBlkPrc]], ""))</f>
        <v/>
      </c>
      <c r="S1716" s="36">
        <f>ICE[[#This Row],[Vol]]+ICE[[#This Row],[BlkVol]]</f>
        <v>0</v>
      </c>
      <c r="T1716" s="36">
        <f>RTD("ice.rtd",,$C1716 &amp; $D1716 &amp; ":" &amp; T$1)</f>
        <v>0</v>
      </c>
      <c r="U1716" s="18">
        <f>RTD("ice.rtd",,$C1716 &amp; $D1716 &amp; ":" &amp; U$1)</f>
        <v>46.624000000000024</v>
      </c>
      <c r="V17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6" s="18" t="str">
        <f>IFERROR(IF(LEFT(ICE[[#This Row],[Tenor]], 1) = "B", RTD("esrtd",,$B1716 &amp; " " &amp; ICE[[#This Row],[Tenor]] &amp; "-IEU", W$1), RTD("esrtd",,$B1716 &amp; " " &amp; VLOOKUP(MONTH(ICE[[#This Row],[Strip]]), MthRef[], 2, 0) &amp; RIGHT(YEAR(ICE[[#This Row],[Strip]]), 2) &amp; "-IEU", W$1)), "")</f>
        <v/>
      </c>
      <c r="X1716" s="36"/>
    </row>
    <row r="1717" spans="1:24" x14ac:dyDescent="0.25">
      <c r="A1717" s="37" t="s">
        <v>889</v>
      </c>
      <c r="B1717" s="88" t="str">
        <f>RTD("ice.rtd",,$C1717 &amp; $D1717 &amp; ":" &amp; B$1)</f>
        <v>SYS</v>
      </c>
      <c r="C1717" s="3">
        <v>366531</v>
      </c>
      <c r="D1717" t="s">
        <v>861</v>
      </c>
      <c r="E1717" s="3" t="str">
        <f>RTD("ice.rtd",,$C1717 &amp; $D1717 &amp; ":" &amp; E$1)</f>
        <v>Sep26/Dec26</v>
      </c>
      <c r="F1717" s="3" t="str">
        <f>ICE[[#This Row],[Prod]]&amp;ICE[[#This Row],[Strip]]</f>
        <v>fo380Sep26/Dec26</v>
      </c>
      <c r="G1717" s="18" t="str">
        <f>RTD("ice.rtd",,$C1717 &amp; $D1717 &amp; ":" &amp; G$1)</f>
        <v/>
      </c>
      <c r="H1717" s="18" t="str">
        <f>RTD("ice.rtd",,$C1717 &amp; $D1717 &amp; ":" &amp; H$1)</f>
        <v/>
      </c>
      <c r="I1717" s="18" t="str">
        <f>RTD("ice.rtd",,$C1717 &amp; $D1717 &amp; ":" &amp; I$1)</f>
        <v/>
      </c>
      <c r="J1717" s="14" t="str">
        <f>IFERROR(MOD(RTD("ice.rtd",,$C1717 &amp; $D1717 &amp; ":" &amp; J$1), 1), "")</f>
        <v/>
      </c>
      <c r="K1717" s="18" t="str">
        <f>RTD("ice.rtd",,$C1717 &amp; $D1717 &amp; ":" &amp; K$1)</f>
        <v/>
      </c>
      <c r="L1717" s="36" t="str">
        <f>RTD("ice.rtd",,$C1717 &amp; $D1717 &amp; ":" &amp; L$1)</f>
        <v/>
      </c>
      <c r="M1717" s="14" t="str">
        <f>IFERROR(MOD(TIMEVALUE(RTD("ice.rtd",,$C1717 &amp; $D1717 &amp; ":" &amp; M$1)), 1), "")</f>
        <v/>
      </c>
      <c r="N1717" s="36">
        <f>RTD("ice.rtd",,$C1717 &amp; $D1717 &amp; ":" &amp; N$1)</f>
        <v>0</v>
      </c>
      <c r="O1717" s="36">
        <f>RTD("ice.rtd",,$C1717 &amp; $D1717 &amp; ":" &amp; O$1)</f>
        <v>0</v>
      </c>
      <c r="P17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7" s="14" t="str">
        <f>IF(ICE[[#This Row],[LastType]] = "Scrn", ICE[[#This Row],[LstDate]], IF(ICE[[#This Row],[LastType]] = "Blk", ICE[[#This Row],[LstBlkTime]], ""))</f>
        <v/>
      </c>
      <c r="R1717" s="41" t="str">
        <f>IF(ICE[[#This Row],[LastType]] = "Scrn", ICE[[#This Row],[LstPrc]], IF(ICE[[#This Row],[LastType]] = "Blk", ICE[[#This Row],[LstBlkPrc]], ""))</f>
        <v/>
      </c>
      <c r="S1717" s="36">
        <f>ICE[[#This Row],[Vol]]+ICE[[#This Row],[BlkVol]]</f>
        <v>0</v>
      </c>
      <c r="T1717" s="36">
        <f>RTD("ice.rtd",,$C1717 &amp; $D1717 &amp; ":" &amp; T$1)</f>
        <v>0</v>
      </c>
      <c r="U1717" s="18">
        <f>RTD("ice.rtd",,$C1717 &amp; $D1717 &amp; ":" &amp; U$1)</f>
        <v>58.874000000000024</v>
      </c>
      <c r="V17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7" s="18" t="str">
        <f>IFERROR(IF(LEFT(ICE[[#This Row],[Tenor]], 1) = "B", RTD("esrtd",,$B1717 &amp; " " &amp; ICE[[#This Row],[Tenor]] &amp; "-IEU", W$1), RTD("esrtd",,$B1717 &amp; " " &amp; VLOOKUP(MONTH(ICE[[#This Row],[Strip]]), MthRef[], 2, 0) &amp; RIGHT(YEAR(ICE[[#This Row],[Strip]]), 2) &amp; "-IEU", W$1)), "")</f>
        <v/>
      </c>
      <c r="X1717" s="36"/>
    </row>
    <row r="1718" spans="1:24" x14ac:dyDescent="0.25">
      <c r="A1718" s="37" t="s">
        <v>889</v>
      </c>
      <c r="B1718" s="88" t="str">
        <f>RTD("ice.rtd",,$C1718 &amp; $D1718 &amp; ":" &amp; B$1)</f>
        <v>SYS</v>
      </c>
      <c r="C1718" s="3">
        <v>366531</v>
      </c>
      <c r="D1718" t="s">
        <v>862</v>
      </c>
      <c r="E1718" s="3" t="str">
        <f>RTD("ice.rtd",,$C1718 &amp; $D1718 &amp; ":" &amp; E$1)</f>
        <v>Sep26/Jan27</v>
      </c>
      <c r="F1718" s="3" t="str">
        <f>ICE[[#This Row],[Prod]]&amp;ICE[[#This Row],[Strip]]</f>
        <v>fo380Sep26/Jan27</v>
      </c>
      <c r="G1718" s="18" t="str">
        <f>RTD("ice.rtd",,$C1718 &amp; $D1718 &amp; ":" &amp; G$1)</f>
        <v/>
      </c>
      <c r="H1718" s="18" t="str">
        <f>RTD("ice.rtd",,$C1718 &amp; $D1718 &amp; ":" &amp; H$1)</f>
        <v/>
      </c>
      <c r="I1718" s="18" t="str">
        <f>RTD("ice.rtd",,$C1718 &amp; $D1718 &amp; ":" &amp; I$1)</f>
        <v/>
      </c>
      <c r="J1718" s="14" t="str">
        <f>IFERROR(MOD(RTD("ice.rtd",,$C1718 &amp; $D1718 &amp; ":" &amp; J$1), 1), "")</f>
        <v/>
      </c>
      <c r="K1718" s="18" t="str">
        <f>RTD("ice.rtd",,$C1718 &amp; $D1718 &amp; ":" &amp; K$1)</f>
        <v/>
      </c>
      <c r="L1718" s="36" t="str">
        <f>RTD("ice.rtd",,$C1718 &amp; $D1718 &amp; ":" &amp; L$1)</f>
        <v/>
      </c>
      <c r="M1718" s="14" t="str">
        <f>IFERROR(MOD(TIMEVALUE(RTD("ice.rtd",,$C1718 &amp; $D1718 &amp; ":" &amp; M$1)), 1), "")</f>
        <v/>
      </c>
      <c r="N1718" s="36">
        <f>RTD("ice.rtd",,$C1718 &amp; $D1718 &amp; ":" &amp; N$1)</f>
        <v>0</v>
      </c>
      <c r="O1718" s="36">
        <f>RTD("ice.rtd",,$C1718 &amp; $D1718 &amp; ":" &amp; O$1)</f>
        <v>0</v>
      </c>
      <c r="P17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8" s="14" t="str">
        <f>IF(ICE[[#This Row],[LastType]] = "Scrn", ICE[[#This Row],[LstDate]], IF(ICE[[#This Row],[LastType]] = "Blk", ICE[[#This Row],[LstBlkTime]], ""))</f>
        <v/>
      </c>
      <c r="R1718" s="41" t="str">
        <f>IF(ICE[[#This Row],[LastType]] = "Scrn", ICE[[#This Row],[LstPrc]], IF(ICE[[#This Row],[LastType]] = "Blk", ICE[[#This Row],[LstBlkPrc]], ""))</f>
        <v/>
      </c>
      <c r="S1718" s="36">
        <f>ICE[[#This Row],[Vol]]+ICE[[#This Row],[BlkVol]]</f>
        <v>0</v>
      </c>
      <c r="T1718" s="36">
        <f>RTD("ice.rtd",,$C1718 &amp; $D1718 &amp; ":" &amp; T$1)</f>
        <v>0</v>
      </c>
      <c r="U1718" s="18">
        <f>RTD("ice.rtd",,$C1718 &amp; $D1718 &amp; ":" &amp; U$1)</f>
        <v>69.623999999999967</v>
      </c>
      <c r="V17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8" s="18" t="str">
        <f>IFERROR(IF(LEFT(ICE[[#This Row],[Tenor]], 1) = "B", RTD("esrtd",,$B1718 &amp; " " &amp; ICE[[#This Row],[Tenor]] &amp; "-IEU", W$1), RTD("esrtd",,$B1718 &amp; " " &amp; VLOOKUP(MONTH(ICE[[#This Row],[Strip]]), MthRef[], 2, 0) &amp; RIGHT(YEAR(ICE[[#This Row],[Strip]]), 2) &amp; "-IEU", W$1)), "")</f>
        <v/>
      </c>
      <c r="X1718" s="36"/>
    </row>
    <row r="1719" spans="1:24" x14ac:dyDescent="0.25">
      <c r="A1719" s="37" t="s">
        <v>889</v>
      </c>
      <c r="B1719" s="88" t="str">
        <f>RTD("ice.rtd",,$C1719 &amp; $D1719 &amp; ":" &amp; B$1)</f>
        <v>SYS</v>
      </c>
      <c r="C1719" s="3">
        <v>366531</v>
      </c>
      <c r="D1719" t="s">
        <v>863</v>
      </c>
      <c r="E1719" s="3" t="str">
        <f>RTD("ice.rtd",,$C1719 &amp; $D1719 &amp; ":" &amp; E$1)</f>
        <v>Sep26/Feb27</v>
      </c>
      <c r="F1719" s="3" t="str">
        <f>ICE[[#This Row],[Prod]]&amp;ICE[[#This Row],[Strip]]</f>
        <v>fo380Sep26/Feb27</v>
      </c>
      <c r="G1719" s="18" t="str">
        <f>RTD("ice.rtd",,$C1719 &amp; $D1719 &amp; ":" &amp; G$1)</f>
        <v/>
      </c>
      <c r="H1719" s="18" t="str">
        <f>RTD("ice.rtd",,$C1719 &amp; $D1719 &amp; ":" &amp; H$1)</f>
        <v/>
      </c>
      <c r="I1719" s="18" t="str">
        <f>RTD("ice.rtd",,$C1719 &amp; $D1719 &amp; ":" &amp; I$1)</f>
        <v/>
      </c>
      <c r="J1719" s="14" t="str">
        <f>IFERROR(MOD(RTD("ice.rtd",,$C1719 &amp; $D1719 &amp; ":" &amp; J$1), 1), "")</f>
        <v/>
      </c>
      <c r="K1719" s="18" t="str">
        <f>RTD("ice.rtd",,$C1719 &amp; $D1719 &amp; ":" &amp; K$1)</f>
        <v/>
      </c>
      <c r="L1719" s="36" t="str">
        <f>RTD("ice.rtd",,$C1719 &amp; $D1719 &amp; ":" &amp; L$1)</f>
        <v/>
      </c>
      <c r="M1719" s="14" t="str">
        <f>IFERROR(MOD(TIMEVALUE(RTD("ice.rtd",,$C1719 &amp; $D1719 &amp; ":" &amp; M$1)), 1), "")</f>
        <v/>
      </c>
      <c r="N1719" s="36">
        <f>RTD("ice.rtd",,$C1719 &amp; $D1719 &amp; ":" &amp; N$1)</f>
        <v>0</v>
      </c>
      <c r="O1719" s="36">
        <f>RTD("ice.rtd",,$C1719 &amp; $D1719 &amp; ":" &amp; O$1)</f>
        <v>0</v>
      </c>
      <c r="P17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19" s="14" t="str">
        <f>IF(ICE[[#This Row],[LastType]] = "Scrn", ICE[[#This Row],[LstDate]], IF(ICE[[#This Row],[LastType]] = "Blk", ICE[[#This Row],[LstBlkTime]], ""))</f>
        <v/>
      </c>
      <c r="R1719" s="41" t="str">
        <f>IF(ICE[[#This Row],[LastType]] = "Scrn", ICE[[#This Row],[LstPrc]], IF(ICE[[#This Row],[LastType]] = "Blk", ICE[[#This Row],[LstBlkPrc]], ""))</f>
        <v/>
      </c>
      <c r="S1719" s="36">
        <f>ICE[[#This Row],[Vol]]+ICE[[#This Row],[BlkVol]]</f>
        <v>0</v>
      </c>
      <c r="T1719" s="36">
        <f>RTD("ice.rtd",,$C1719 &amp; $D1719 &amp; ":" &amp; T$1)</f>
        <v>0</v>
      </c>
      <c r="U1719" s="18">
        <f>RTD("ice.rtd",,$C1719 &amp; $D1719 &amp; ":" &amp; U$1)</f>
        <v>78.373999999999967</v>
      </c>
      <c r="V17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19" s="18" t="str">
        <f>IFERROR(IF(LEFT(ICE[[#This Row],[Tenor]], 1) = "B", RTD("esrtd",,$B1719 &amp; " " &amp; ICE[[#This Row],[Tenor]] &amp; "-IEU", W$1), RTD("esrtd",,$B1719 &amp; " " &amp; VLOOKUP(MONTH(ICE[[#This Row],[Strip]]), MthRef[], 2, 0) &amp; RIGHT(YEAR(ICE[[#This Row],[Strip]]), 2) &amp; "-IEU", W$1)), "")</f>
        <v/>
      </c>
      <c r="X1719" s="36"/>
    </row>
    <row r="1720" spans="1:24" x14ac:dyDescent="0.25">
      <c r="A1720" s="37" t="s">
        <v>889</v>
      </c>
      <c r="B1720" s="88" t="str">
        <f>RTD("ice.rtd",,$C1720 &amp; $D1720 &amp; ":" &amp; B$1)</f>
        <v>SYS</v>
      </c>
      <c r="C1720" s="3">
        <v>366531</v>
      </c>
      <c r="D1720" t="s">
        <v>864</v>
      </c>
      <c r="E1720" s="3" t="str">
        <f>RTD("ice.rtd",,$C1720 &amp; $D1720 &amp; ":" &amp; E$1)</f>
        <v>Sep26/Mar27</v>
      </c>
      <c r="F1720" s="3" t="str">
        <f>ICE[[#This Row],[Prod]]&amp;ICE[[#This Row],[Strip]]</f>
        <v>fo380Sep26/Mar27</v>
      </c>
      <c r="G1720" s="18" t="str">
        <f>RTD("ice.rtd",,$C1720 &amp; $D1720 &amp; ":" &amp; G$1)</f>
        <v/>
      </c>
      <c r="H1720" s="18" t="str">
        <f>RTD("ice.rtd",,$C1720 &amp; $D1720 &amp; ":" &amp; H$1)</f>
        <v/>
      </c>
      <c r="I1720" s="18" t="str">
        <f>RTD("ice.rtd",,$C1720 &amp; $D1720 &amp; ":" &amp; I$1)</f>
        <v/>
      </c>
      <c r="J1720" s="14" t="str">
        <f>IFERROR(MOD(RTD("ice.rtd",,$C1720 &amp; $D1720 &amp; ":" &amp; J$1), 1), "")</f>
        <v/>
      </c>
      <c r="K1720" s="18" t="str">
        <f>RTD("ice.rtd",,$C1720 &amp; $D1720 &amp; ":" &amp; K$1)</f>
        <v/>
      </c>
      <c r="L1720" s="36" t="str">
        <f>RTD("ice.rtd",,$C1720 &amp; $D1720 &amp; ":" &amp; L$1)</f>
        <v/>
      </c>
      <c r="M1720" s="14" t="str">
        <f>IFERROR(MOD(TIMEVALUE(RTD("ice.rtd",,$C1720 &amp; $D1720 &amp; ":" &amp; M$1)), 1), "")</f>
        <v/>
      </c>
      <c r="N1720" s="36">
        <f>RTD("ice.rtd",,$C1720 &amp; $D1720 &amp; ":" &amp; N$1)</f>
        <v>0</v>
      </c>
      <c r="O1720" s="36">
        <f>RTD("ice.rtd",,$C1720 &amp; $D1720 &amp; ":" &amp; O$1)</f>
        <v>0</v>
      </c>
      <c r="P17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0" s="14" t="str">
        <f>IF(ICE[[#This Row],[LastType]] = "Scrn", ICE[[#This Row],[LstDate]], IF(ICE[[#This Row],[LastType]] = "Blk", ICE[[#This Row],[LstBlkTime]], ""))</f>
        <v/>
      </c>
      <c r="R1720" s="41" t="str">
        <f>IF(ICE[[#This Row],[LastType]] = "Scrn", ICE[[#This Row],[LstPrc]], IF(ICE[[#This Row],[LastType]] = "Blk", ICE[[#This Row],[LstBlkPrc]], ""))</f>
        <v/>
      </c>
      <c r="S1720" s="36">
        <f>ICE[[#This Row],[Vol]]+ICE[[#This Row],[BlkVol]]</f>
        <v>0</v>
      </c>
      <c r="T1720" s="36">
        <f>RTD("ice.rtd",,$C1720 &amp; $D1720 &amp; ":" &amp; T$1)</f>
        <v>0</v>
      </c>
      <c r="U1720" s="18">
        <f>RTD("ice.rtd",,$C1720 &amp; $D1720 &amp; ":" &amp; U$1)</f>
        <v>85.373999999999967</v>
      </c>
      <c r="V17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0" s="18" t="str">
        <f>IFERROR(IF(LEFT(ICE[[#This Row],[Tenor]], 1) = "B", RTD("esrtd",,$B1720 &amp; " " &amp; ICE[[#This Row],[Tenor]] &amp; "-IEU", W$1), RTD("esrtd",,$B1720 &amp; " " &amp; VLOOKUP(MONTH(ICE[[#This Row],[Strip]]), MthRef[], 2, 0) &amp; RIGHT(YEAR(ICE[[#This Row],[Strip]]), 2) &amp; "-IEU", W$1)), "")</f>
        <v/>
      </c>
      <c r="X1720" s="36"/>
    </row>
    <row r="1721" spans="1:24" x14ac:dyDescent="0.25">
      <c r="A1721" s="37" t="s">
        <v>889</v>
      </c>
      <c r="B1721" s="88" t="str">
        <f>RTD("ice.rtd",,$C1721 &amp; $D1721 &amp; ":" &amp; B$1)</f>
        <v>SYS</v>
      </c>
      <c r="C1721" s="3">
        <v>366531</v>
      </c>
      <c r="D1721" t="s">
        <v>865</v>
      </c>
      <c r="E1721" s="3" t="str">
        <f>RTD("ice.rtd",,$C1721 &amp; $D1721 &amp; ":" &amp; E$1)</f>
        <v>Sep26/Apr27</v>
      </c>
      <c r="F1721" s="3" t="str">
        <f>ICE[[#This Row],[Prod]]&amp;ICE[[#This Row],[Strip]]</f>
        <v>fo380Sep26/Apr27</v>
      </c>
      <c r="G1721" s="18" t="str">
        <f>RTD("ice.rtd",,$C1721 &amp; $D1721 &amp; ":" &amp; G$1)</f>
        <v/>
      </c>
      <c r="H1721" s="18" t="str">
        <f>RTD("ice.rtd",,$C1721 &amp; $D1721 &amp; ":" &amp; H$1)</f>
        <v/>
      </c>
      <c r="I1721" s="18" t="str">
        <f>RTD("ice.rtd",,$C1721 &amp; $D1721 &amp; ":" &amp; I$1)</f>
        <v/>
      </c>
      <c r="J1721" s="14" t="str">
        <f>IFERROR(MOD(RTD("ice.rtd",,$C1721 &amp; $D1721 &amp; ":" &amp; J$1), 1), "")</f>
        <v/>
      </c>
      <c r="K1721" s="18" t="str">
        <f>RTD("ice.rtd",,$C1721 &amp; $D1721 &amp; ":" &amp; K$1)</f>
        <v/>
      </c>
      <c r="L1721" s="36" t="str">
        <f>RTD("ice.rtd",,$C1721 &amp; $D1721 &amp; ":" &amp; L$1)</f>
        <v/>
      </c>
      <c r="M1721" s="14" t="str">
        <f>IFERROR(MOD(TIMEVALUE(RTD("ice.rtd",,$C1721 &amp; $D1721 &amp; ":" &amp; M$1)), 1), "")</f>
        <v/>
      </c>
      <c r="N1721" s="36">
        <f>RTD("ice.rtd",,$C1721 &amp; $D1721 &amp; ":" &amp; N$1)</f>
        <v>0</v>
      </c>
      <c r="O1721" s="36">
        <f>RTD("ice.rtd",,$C1721 &amp; $D1721 &amp; ":" &amp; O$1)</f>
        <v>0</v>
      </c>
      <c r="P17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1" s="14" t="str">
        <f>IF(ICE[[#This Row],[LastType]] = "Scrn", ICE[[#This Row],[LstDate]], IF(ICE[[#This Row],[LastType]] = "Blk", ICE[[#This Row],[LstBlkTime]], ""))</f>
        <v/>
      </c>
      <c r="R1721" s="41" t="str">
        <f>IF(ICE[[#This Row],[LastType]] = "Scrn", ICE[[#This Row],[LstPrc]], IF(ICE[[#This Row],[LastType]] = "Blk", ICE[[#This Row],[LstBlkPrc]], ""))</f>
        <v/>
      </c>
      <c r="S1721" s="36">
        <f>ICE[[#This Row],[Vol]]+ICE[[#This Row],[BlkVol]]</f>
        <v>0</v>
      </c>
      <c r="T1721" s="36">
        <f>RTD("ice.rtd",,$C1721 &amp; $D1721 &amp; ":" &amp; T$1)</f>
        <v>0</v>
      </c>
      <c r="U1721" s="18">
        <f>RTD("ice.rtd",,$C1721 &amp; $D1721 &amp; ":" &amp; U$1)</f>
        <v>90.873999999999967</v>
      </c>
      <c r="V17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1" s="18" t="str">
        <f>IFERROR(IF(LEFT(ICE[[#This Row],[Tenor]], 1) = "B", RTD("esrtd",,$B1721 &amp; " " &amp; ICE[[#This Row],[Tenor]] &amp; "-IEU", W$1), RTD("esrtd",,$B1721 &amp; " " &amp; VLOOKUP(MONTH(ICE[[#This Row],[Strip]]), MthRef[], 2, 0) &amp; RIGHT(YEAR(ICE[[#This Row],[Strip]]), 2) &amp; "-IEU", W$1)), "")</f>
        <v/>
      </c>
      <c r="X1721" s="36"/>
    </row>
    <row r="1722" spans="1:24" x14ac:dyDescent="0.25">
      <c r="A1722" s="37" t="s">
        <v>889</v>
      </c>
      <c r="B1722" s="88" t="str">
        <f>RTD("ice.rtd",,$C1722 &amp; $D1722 &amp; ":" &amp; B$1)</f>
        <v>SYS</v>
      </c>
      <c r="C1722" s="3">
        <v>366531</v>
      </c>
      <c r="D1722" t="s">
        <v>866</v>
      </c>
      <c r="E1722" s="3" t="str">
        <f>RTD("ice.rtd",,$C1722 &amp; $D1722 &amp; ":" &amp; E$1)</f>
        <v>Sep26/May27</v>
      </c>
      <c r="F1722" s="3" t="str">
        <f>ICE[[#This Row],[Prod]]&amp;ICE[[#This Row],[Strip]]</f>
        <v>fo380Sep26/May27</v>
      </c>
      <c r="G1722" s="18" t="str">
        <f>RTD("ice.rtd",,$C1722 &amp; $D1722 &amp; ":" &amp; G$1)</f>
        <v/>
      </c>
      <c r="H1722" s="18" t="str">
        <f>RTD("ice.rtd",,$C1722 &amp; $D1722 &amp; ":" &amp; H$1)</f>
        <v/>
      </c>
      <c r="I1722" s="18" t="str">
        <f>RTD("ice.rtd",,$C1722 &amp; $D1722 &amp; ":" &amp; I$1)</f>
        <v/>
      </c>
      <c r="J1722" s="14" t="str">
        <f>IFERROR(MOD(RTD("ice.rtd",,$C1722 &amp; $D1722 &amp; ":" &amp; J$1), 1), "")</f>
        <v/>
      </c>
      <c r="K1722" s="18" t="str">
        <f>RTD("ice.rtd",,$C1722 &amp; $D1722 &amp; ":" &amp; K$1)</f>
        <v/>
      </c>
      <c r="L1722" s="36" t="str">
        <f>RTD("ice.rtd",,$C1722 &amp; $D1722 &amp; ":" &amp; L$1)</f>
        <v/>
      </c>
      <c r="M1722" s="14" t="str">
        <f>IFERROR(MOD(TIMEVALUE(RTD("ice.rtd",,$C1722 &amp; $D1722 &amp; ":" &amp; M$1)), 1), "")</f>
        <v/>
      </c>
      <c r="N1722" s="36">
        <f>RTD("ice.rtd",,$C1722 &amp; $D1722 &amp; ":" &amp; N$1)</f>
        <v>0</v>
      </c>
      <c r="O1722" s="36">
        <f>RTD("ice.rtd",,$C1722 &amp; $D1722 &amp; ":" &amp; O$1)</f>
        <v>0</v>
      </c>
      <c r="P17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2" s="14" t="str">
        <f>IF(ICE[[#This Row],[LastType]] = "Scrn", ICE[[#This Row],[LstDate]], IF(ICE[[#This Row],[LastType]] = "Blk", ICE[[#This Row],[LstBlkTime]], ""))</f>
        <v/>
      </c>
      <c r="R1722" s="41" t="str">
        <f>IF(ICE[[#This Row],[LastType]] = "Scrn", ICE[[#This Row],[LstPrc]], IF(ICE[[#This Row],[LastType]] = "Blk", ICE[[#This Row],[LstBlkPrc]], ""))</f>
        <v/>
      </c>
      <c r="S1722" s="36">
        <f>ICE[[#This Row],[Vol]]+ICE[[#This Row],[BlkVol]]</f>
        <v>0</v>
      </c>
      <c r="T1722" s="36">
        <f>RTD("ice.rtd",,$C1722 &amp; $D1722 &amp; ":" &amp; T$1)</f>
        <v>0</v>
      </c>
      <c r="U1722" s="18">
        <f>RTD("ice.rtd",,$C1722 &amp; $D1722 &amp; ":" &amp; U$1)</f>
        <v>95.873999999999967</v>
      </c>
      <c r="V17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2" s="18" t="str">
        <f>IFERROR(IF(LEFT(ICE[[#This Row],[Tenor]], 1) = "B", RTD("esrtd",,$B1722 &amp; " " &amp; ICE[[#This Row],[Tenor]] &amp; "-IEU", W$1), RTD("esrtd",,$B1722 &amp; " " &amp; VLOOKUP(MONTH(ICE[[#This Row],[Strip]]), MthRef[], 2, 0) &amp; RIGHT(YEAR(ICE[[#This Row],[Strip]]), 2) &amp; "-IEU", W$1)), "")</f>
        <v/>
      </c>
      <c r="X1722" s="36"/>
    </row>
    <row r="1723" spans="1:24" x14ac:dyDescent="0.25">
      <c r="A1723" s="37" t="s">
        <v>889</v>
      </c>
      <c r="B1723" s="88" t="str">
        <f>RTD("ice.rtd",,$C1723 &amp; $D1723 &amp; ":" &amp; B$1)</f>
        <v>SYS</v>
      </c>
      <c r="C1723" s="3">
        <v>366531</v>
      </c>
      <c r="D1723" t="s">
        <v>867</v>
      </c>
      <c r="E1723" s="3" t="str">
        <f>RTD("ice.rtd",,$C1723 &amp; $D1723 &amp; ":" &amp; E$1)</f>
        <v>Sep26/Aug27</v>
      </c>
      <c r="F1723" s="3" t="str">
        <f>ICE[[#This Row],[Prod]]&amp;ICE[[#This Row],[Strip]]</f>
        <v>fo380Sep26/Aug27</v>
      </c>
      <c r="G1723" s="18" t="str">
        <f>RTD("ice.rtd",,$C1723 &amp; $D1723 &amp; ":" &amp; G$1)</f>
        <v/>
      </c>
      <c r="H1723" s="18" t="str">
        <f>RTD("ice.rtd",,$C1723 &amp; $D1723 &amp; ":" &amp; H$1)</f>
        <v/>
      </c>
      <c r="I1723" s="18" t="str">
        <f>RTD("ice.rtd",,$C1723 &amp; $D1723 &amp; ":" &amp; I$1)</f>
        <v/>
      </c>
      <c r="J1723" s="14" t="str">
        <f>IFERROR(MOD(RTD("ice.rtd",,$C1723 &amp; $D1723 &amp; ":" &amp; J$1), 1), "")</f>
        <v/>
      </c>
      <c r="K1723" s="18" t="str">
        <f>RTD("ice.rtd",,$C1723 &amp; $D1723 &amp; ":" &amp; K$1)</f>
        <v/>
      </c>
      <c r="L1723" s="36" t="str">
        <f>RTD("ice.rtd",,$C1723 &amp; $D1723 &amp; ":" &amp; L$1)</f>
        <v/>
      </c>
      <c r="M1723" s="14" t="str">
        <f>IFERROR(MOD(TIMEVALUE(RTD("ice.rtd",,$C1723 &amp; $D1723 &amp; ":" &amp; M$1)), 1), "")</f>
        <v/>
      </c>
      <c r="N1723" s="36">
        <f>RTD("ice.rtd",,$C1723 &amp; $D1723 &amp; ":" &amp; N$1)</f>
        <v>0</v>
      </c>
      <c r="O1723" s="36">
        <f>RTD("ice.rtd",,$C1723 &amp; $D1723 &amp; ":" &amp; O$1)</f>
        <v>0</v>
      </c>
      <c r="P17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3" s="14" t="str">
        <f>IF(ICE[[#This Row],[LastType]] = "Scrn", ICE[[#This Row],[LstDate]], IF(ICE[[#This Row],[LastType]] = "Blk", ICE[[#This Row],[LstBlkTime]], ""))</f>
        <v/>
      </c>
      <c r="R1723" s="41" t="str">
        <f>IF(ICE[[#This Row],[LastType]] = "Scrn", ICE[[#This Row],[LstPrc]], IF(ICE[[#This Row],[LastType]] = "Blk", ICE[[#This Row],[LstBlkPrc]], ""))</f>
        <v/>
      </c>
      <c r="S1723" s="36">
        <f>ICE[[#This Row],[Vol]]+ICE[[#This Row],[BlkVol]]</f>
        <v>0</v>
      </c>
      <c r="T1723" s="36">
        <f>RTD("ice.rtd",,$C1723 &amp; $D1723 &amp; ":" &amp; T$1)</f>
        <v>0</v>
      </c>
      <c r="U1723" s="18">
        <f>RTD("ice.rtd",,$C1723 &amp; $D1723 &amp; ":" &amp; U$1)</f>
        <v>111.87399999999997</v>
      </c>
      <c r="V17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3" s="18" t="str">
        <f>IFERROR(IF(LEFT(ICE[[#This Row],[Tenor]], 1) = "B", RTD("esrtd",,$B1723 &amp; " " &amp; ICE[[#This Row],[Tenor]] &amp; "-IEU", W$1), RTD("esrtd",,$B1723 &amp; " " &amp; VLOOKUP(MONTH(ICE[[#This Row],[Strip]]), MthRef[], 2, 0) &amp; RIGHT(YEAR(ICE[[#This Row],[Strip]]), 2) &amp; "-IEU", W$1)), "")</f>
        <v/>
      </c>
      <c r="X1723" s="36"/>
    </row>
    <row r="1724" spans="1:24" x14ac:dyDescent="0.25">
      <c r="A1724" s="37" t="s">
        <v>889</v>
      </c>
      <c r="B1724" s="88" t="str">
        <f>RTD("ice.rtd",,$C1724 &amp; $D1724 &amp; ":" &amp; B$1)</f>
        <v>SYS</v>
      </c>
      <c r="C1724" s="3">
        <v>366531</v>
      </c>
      <c r="D1724" t="s">
        <v>868</v>
      </c>
      <c r="E1724" s="3" t="str">
        <f>RTD("ice.rtd",,$C1724 &amp; $D1724 &amp; ":" &amp; E$1)</f>
        <v>Sep26/Nov27</v>
      </c>
      <c r="F1724" s="3" t="str">
        <f>ICE[[#This Row],[Prod]]&amp;ICE[[#This Row],[Strip]]</f>
        <v>fo380Sep26/Nov27</v>
      </c>
      <c r="G1724" s="18" t="str">
        <f>RTD("ice.rtd",,$C1724 &amp; $D1724 &amp; ":" &amp; G$1)</f>
        <v/>
      </c>
      <c r="H1724" s="18" t="str">
        <f>RTD("ice.rtd",,$C1724 &amp; $D1724 &amp; ":" &amp; H$1)</f>
        <v/>
      </c>
      <c r="I1724" s="18" t="str">
        <f>RTD("ice.rtd",,$C1724 &amp; $D1724 &amp; ":" &amp; I$1)</f>
        <v/>
      </c>
      <c r="J1724" s="14" t="str">
        <f>IFERROR(MOD(RTD("ice.rtd",,$C1724 &amp; $D1724 &amp; ":" &amp; J$1), 1), "")</f>
        <v/>
      </c>
      <c r="K1724" s="18" t="str">
        <f>RTD("ice.rtd",,$C1724 &amp; $D1724 &amp; ":" &amp; K$1)</f>
        <v/>
      </c>
      <c r="L1724" s="36" t="str">
        <f>RTD("ice.rtd",,$C1724 &amp; $D1724 &amp; ":" &amp; L$1)</f>
        <v/>
      </c>
      <c r="M1724" s="14" t="str">
        <f>IFERROR(MOD(TIMEVALUE(RTD("ice.rtd",,$C1724 &amp; $D1724 &amp; ":" &amp; M$1)), 1), "")</f>
        <v/>
      </c>
      <c r="N1724" s="36">
        <f>RTD("ice.rtd",,$C1724 &amp; $D1724 &amp; ":" &amp; N$1)</f>
        <v>0</v>
      </c>
      <c r="O1724" s="36">
        <f>RTD("ice.rtd",,$C1724 &amp; $D1724 &amp; ":" &amp; O$1)</f>
        <v>0</v>
      </c>
      <c r="P17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4" s="14" t="str">
        <f>IF(ICE[[#This Row],[LastType]] = "Scrn", ICE[[#This Row],[LstDate]], IF(ICE[[#This Row],[LastType]] = "Blk", ICE[[#This Row],[LstBlkTime]], ""))</f>
        <v/>
      </c>
      <c r="R1724" s="41" t="str">
        <f>IF(ICE[[#This Row],[LastType]] = "Scrn", ICE[[#This Row],[LstPrc]], IF(ICE[[#This Row],[LastType]] = "Blk", ICE[[#This Row],[LstBlkPrc]], ""))</f>
        <v/>
      </c>
      <c r="S1724" s="36">
        <f>ICE[[#This Row],[Vol]]+ICE[[#This Row],[BlkVol]]</f>
        <v>0</v>
      </c>
      <c r="T1724" s="36">
        <f>RTD("ice.rtd",,$C1724 &amp; $D1724 &amp; ":" &amp; T$1)</f>
        <v>0</v>
      </c>
      <c r="U1724" s="18">
        <f>RTD("ice.rtd",,$C1724 &amp; $D1724 &amp; ":" &amp; U$1)</f>
        <v>127.12399999999997</v>
      </c>
      <c r="V17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4" s="18" t="str">
        <f>IFERROR(IF(LEFT(ICE[[#This Row],[Tenor]], 1) = "B", RTD("esrtd",,$B1724 &amp; " " &amp; ICE[[#This Row],[Tenor]] &amp; "-IEU", W$1), RTD("esrtd",,$B1724 &amp; " " &amp; VLOOKUP(MONTH(ICE[[#This Row],[Strip]]), MthRef[], 2, 0) &amp; RIGHT(YEAR(ICE[[#This Row],[Strip]]), 2) &amp; "-IEU", W$1)), "")</f>
        <v/>
      </c>
      <c r="X1724" s="36"/>
    </row>
    <row r="1725" spans="1:24" x14ac:dyDescent="0.25">
      <c r="A1725" s="37" t="s">
        <v>889</v>
      </c>
      <c r="B1725" s="88" t="str">
        <f>RTD("ice.rtd",,$C1725 &amp; $D1725 &amp; ":" &amp; B$1)</f>
        <v>SYS</v>
      </c>
      <c r="C1725" s="3">
        <v>366531</v>
      </c>
      <c r="D1725" t="s">
        <v>858</v>
      </c>
      <c r="E1725" s="3" t="str">
        <f>RTD("ice.rtd",,$C1725 &amp; $D1725 &amp; ":" &amp; E$1)</f>
        <v>Oct26/Nov26</v>
      </c>
      <c r="F1725" s="3" t="str">
        <f>ICE[[#This Row],[Prod]]&amp;ICE[[#This Row],[Strip]]</f>
        <v>fo380Oct26/Nov26</v>
      </c>
      <c r="G1725" s="18">
        <f>RTD("ice.rtd",,$C1725 &amp; $D1725 &amp; ":" &amp; G$1)</f>
        <v>14.5</v>
      </c>
      <c r="H1725" s="18">
        <f>RTD("ice.rtd",,$C1725 &amp; $D1725 &amp; ":" &amp; H$1)</f>
        <v>15</v>
      </c>
      <c r="I1725" s="18">
        <f>RTD("ice.rtd",,$C1725 &amp; $D1725 &amp; ":" &amp; I$1)</f>
        <v>15</v>
      </c>
      <c r="J1725" s="14">
        <f>IFERROR(MOD(RTD("ice.rtd",,$C1725 &amp; $D1725 &amp; ":" &amp; J$1), 1), "")</f>
        <v>0.44194829861226026</v>
      </c>
      <c r="K1725" s="18">
        <f>RTD("ice.rtd",,$C1725 &amp; $D1725 &amp; ":" &amp; K$1)</f>
        <v>15.25</v>
      </c>
      <c r="L1725" s="36">
        <f>RTD("ice.rtd",,$C1725 &amp; $D1725 &amp; ":" &amp; L$1)</f>
        <v>20</v>
      </c>
      <c r="M1725" s="14">
        <f>IFERROR(MOD(TIMEVALUE(RTD("ice.rtd",,$C1725 &amp; $D1725 &amp; ":" &amp; M$1)), 1), "")</f>
        <v>0.44437500000000002</v>
      </c>
      <c r="N1725" s="36">
        <f>RTD("ice.rtd",,$C1725 &amp; $D1725 &amp; ":" &amp; N$1)</f>
        <v>90</v>
      </c>
      <c r="O1725" s="36">
        <f>RTD("ice.rtd",,$C1725 &amp; $D1725 &amp; ":" &amp; O$1)</f>
        <v>307</v>
      </c>
      <c r="P17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725" s="14">
        <f>IF(ICE[[#This Row],[LastType]] = "Scrn", ICE[[#This Row],[LstDate]], IF(ICE[[#This Row],[LastType]] = "Blk", ICE[[#This Row],[LstBlkTime]], ""))</f>
        <v>0.44437500000000002</v>
      </c>
      <c r="R1725" s="41">
        <f>IF(ICE[[#This Row],[LastType]] = "Scrn", ICE[[#This Row],[LstPrc]], IF(ICE[[#This Row],[LastType]] = "Blk", ICE[[#This Row],[LstBlkPrc]], ""))</f>
        <v>15.25</v>
      </c>
      <c r="S1725" s="36">
        <f>ICE[[#This Row],[Vol]]+ICE[[#This Row],[BlkVol]]</f>
        <v>397</v>
      </c>
      <c r="T1725" s="36">
        <f>RTD("ice.rtd",,$C1725 &amp; $D1725 &amp; ":" &amp; T$1)</f>
        <v>0</v>
      </c>
      <c r="U1725" s="18">
        <f>RTD("ice.rtd",,$C1725 &amp; $D1725 &amp; ":" &amp; U$1)</f>
        <v>15.75</v>
      </c>
      <c r="V17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14.50 / 15.00 {15.25} |397x</v>
      </c>
      <c r="W1725" s="18" t="str">
        <f>IFERROR(IF(LEFT(ICE[[#This Row],[Tenor]], 1) = "B", RTD("esrtd",,$B1725 &amp; " " &amp; ICE[[#This Row],[Tenor]] &amp; "-IEU", W$1), RTD("esrtd",,$B1725 &amp; " " &amp; VLOOKUP(MONTH(ICE[[#This Row],[Strip]]), MthRef[], 2, 0) &amp; RIGHT(YEAR(ICE[[#This Row],[Strip]]), 2) &amp; "-IEU", W$1)), "")</f>
        <v/>
      </c>
      <c r="X1725" s="36"/>
    </row>
    <row r="1726" spans="1:24" x14ac:dyDescent="0.25">
      <c r="A1726" s="37" t="s">
        <v>889</v>
      </c>
      <c r="B1726" s="88" t="str">
        <f>RTD("ice.rtd",,$C1726 &amp; $D1726 &amp; ":" &amp; B$1)</f>
        <v>SYS</v>
      </c>
      <c r="C1726" s="3">
        <v>366531</v>
      </c>
      <c r="D1726" t="s">
        <v>869</v>
      </c>
      <c r="E1726" s="3" t="str">
        <f>RTD("ice.rtd",,$C1726 &amp; $D1726 &amp; ":" &amp; E$1)</f>
        <v>Oct26/Dec26</v>
      </c>
      <c r="F1726" s="3" t="str">
        <f>ICE[[#This Row],[Prod]]&amp;ICE[[#This Row],[Strip]]</f>
        <v>fo380Oct26/Dec26</v>
      </c>
      <c r="G1726" s="18" t="str">
        <f>RTD("ice.rtd",,$C1726 &amp; $D1726 &amp; ":" &amp; G$1)</f>
        <v/>
      </c>
      <c r="H1726" s="18" t="str">
        <f>RTD("ice.rtd",,$C1726 &amp; $D1726 &amp; ":" &amp; H$1)</f>
        <v/>
      </c>
      <c r="I1726" s="18" t="str">
        <f>RTD("ice.rtd",,$C1726 &amp; $D1726 &amp; ":" &amp; I$1)</f>
        <v/>
      </c>
      <c r="J1726" s="14" t="str">
        <f>IFERROR(MOD(RTD("ice.rtd",,$C1726 &amp; $D1726 &amp; ":" &amp; J$1), 1), "")</f>
        <v/>
      </c>
      <c r="K1726" s="18">
        <f>RTD("ice.rtd",,$C1726 &amp; $D1726 &amp; ":" &amp; K$1)</f>
        <v>27.25</v>
      </c>
      <c r="L1726" s="36">
        <f>RTD("ice.rtd",,$C1726 &amp; $D1726 &amp; ":" &amp; L$1)</f>
        <v>10</v>
      </c>
      <c r="M1726" s="14">
        <f>IFERROR(MOD(TIMEVALUE(RTD("ice.rtd",,$C1726 &amp; $D1726 &amp; ":" &amp; M$1)), 1), "")</f>
        <v>0.44583333333333336</v>
      </c>
      <c r="N1726" s="36">
        <f>RTD("ice.rtd",,$C1726 &amp; $D1726 &amp; ":" &amp; N$1)</f>
        <v>0</v>
      </c>
      <c r="O1726" s="36">
        <f>RTD("ice.rtd",,$C1726 &amp; $D1726 &amp; ":" &amp; O$1)</f>
        <v>215</v>
      </c>
      <c r="P17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726" s="14">
        <f>IF(ICE[[#This Row],[LastType]] = "Scrn", ICE[[#This Row],[LstDate]], IF(ICE[[#This Row],[LastType]] = "Blk", ICE[[#This Row],[LstBlkTime]], ""))</f>
        <v>0.44583333333333336</v>
      </c>
      <c r="R1726" s="41">
        <f>IF(ICE[[#This Row],[LastType]] = "Scrn", ICE[[#This Row],[LstPrc]], IF(ICE[[#This Row],[LastType]] = "Blk", ICE[[#This Row],[LstBlkPrc]], ""))</f>
        <v>27.25</v>
      </c>
      <c r="S1726" s="36">
        <f>ICE[[#This Row],[Vol]]+ICE[[#This Row],[BlkVol]]</f>
        <v>215</v>
      </c>
      <c r="T1726" s="36">
        <f>RTD("ice.rtd",,$C1726 &amp; $D1726 &amp; ":" &amp; T$1)</f>
        <v>0</v>
      </c>
      <c r="U1726" s="18">
        <f>RTD("ice.rtd",,$C1726 &amp; $D1726 &amp; ":" &amp; U$1)</f>
        <v>28</v>
      </c>
      <c r="V17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{27.25} |215x</v>
      </c>
      <c r="W1726" s="18" t="str">
        <f>IFERROR(IF(LEFT(ICE[[#This Row],[Tenor]], 1) = "B", RTD("esrtd",,$B1726 &amp; " " &amp; ICE[[#This Row],[Tenor]] &amp; "-IEU", W$1), RTD("esrtd",,$B1726 &amp; " " &amp; VLOOKUP(MONTH(ICE[[#This Row],[Strip]]), MthRef[], 2, 0) &amp; RIGHT(YEAR(ICE[[#This Row],[Strip]]), 2) &amp; "-IEU", W$1)), "")</f>
        <v/>
      </c>
      <c r="X1726" s="36"/>
    </row>
    <row r="1727" spans="1:24" x14ac:dyDescent="0.25">
      <c r="A1727" s="37" t="s">
        <v>889</v>
      </c>
      <c r="B1727" s="88" t="str">
        <f>RTD("ice.rtd",,$C1727 &amp; $D1727 &amp; ":" &amp; B$1)</f>
        <v>SYS</v>
      </c>
      <c r="C1727" s="3">
        <v>366531</v>
      </c>
      <c r="D1727" t="s">
        <v>870</v>
      </c>
      <c r="E1727" s="3" t="str">
        <f>RTD("ice.rtd",,$C1727 &amp; $D1727 &amp; ":" &amp; E$1)</f>
        <v>Oct26/Jan27</v>
      </c>
      <c r="F1727" s="3" t="str">
        <f>ICE[[#This Row],[Prod]]&amp;ICE[[#This Row],[Strip]]</f>
        <v>fo380Oct26/Jan27</v>
      </c>
      <c r="G1727" s="18" t="str">
        <f>RTD("ice.rtd",,$C1727 &amp; $D1727 &amp; ":" &amp; G$1)</f>
        <v/>
      </c>
      <c r="H1727" s="18" t="str">
        <f>RTD("ice.rtd",,$C1727 &amp; $D1727 &amp; ":" &amp; H$1)</f>
        <v/>
      </c>
      <c r="I1727" s="18" t="str">
        <f>RTD("ice.rtd",,$C1727 &amp; $D1727 &amp; ":" &amp; I$1)</f>
        <v/>
      </c>
      <c r="J1727" s="14" t="str">
        <f>IFERROR(MOD(RTD("ice.rtd",,$C1727 &amp; $D1727 &amp; ":" &amp; J$1), 1), "")</f>
        <v/>
      </c>
      <c r="K1727" s="18" t="str">
        <f>RTD("ice.rtd",,$C1727 &amp; $D1727 &amp; ":" &amp; K$1)</f>
        <v/>
      </c>
      <c r="L1727" s="36" t="str">
        <f>RTD("ice.rtd",,$C1727 &amp; $D1727 &amp; ":" &amp; L$1)</f>
        <v/>
      </c>
      <c r="M1727" s="14" t="str">
        <f>IFERROR(MOD(TIMEVALUE(RTD("ice.rtd",,$C1727 &amp; $D1727 &amp; ":" &amp; M$1)), 1), "")</f>
        <v/>
      </c>
      <c r="N1727" s="36">
        <f>RTD("ice.rtd",,$C1727 &amp; $D1727 &amp; ":" &amp; N$1)</f>
        <v>0</v>
      </c>
      <c r="O1727" s="36">
        <f>RTD("ice.rtd",,$C1727 &amp; $D1727 &amp; ":" &amp; O$1)</f>
        <v>0</v>
      </c>
      <c r="P17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7" s="14" t="str">
        <f>IF(ICE[[#This Row],[LastType]] = "Scrn", ICE[[#This Row],[LstDate]], IF(ICE[[#This Row],[LastType]] = "Blk", ICE[[#This Row],[LstBlkTime]], ""))</f>
        <v/>
      </c>
      <c r="R1727" s="41" t="str">
        <f>IF(ICE[[#This Row],[LastType]] = "Scrn", ICE[[#This Row],[LstPrc]], IF(ICE[[#This Row],[LastType]] = "Blk", ICE[[#This Row],[LstBlkPrc]], ""))</f>
        <v/>
      </c>
      <c r="S1727" s="36">
        <f>ICE[[#This Row],[Vol]]+ICE[[#This Row],[BlkVol]]</f>
        <v>0</v>
      </c>
      <c r="T1727" s="36">
        <f>RTD("ice.rtd",,$C1727 &amp; $D1727 &amp; ":" &amp; T$1)</f>
        <v>0</v>
      </c>
      <c r="U1727" s="18">
        <f>RTD("ice.rtd",,$C1727 &amp; $D1727 &amp; ":" &amp; U$1)</f>
        <v>38.749999999999943</v>
      </c>
      <c r="V17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7" s="18" t="str">
        <f>IFERROR(IF(LEFT(ICE[[#This Row],[Tenor]], 1) = "B", RTD("esrtd",,$B1727 &amp; " " &amp; ICE[[#This Row],[Tenor]] &amp; "-IEU", W$1), RTD("esrtd",,$B1727 &amp; " " &amp; VLOOKUP(MONTH(ICE[[#This Row],[Strip]]), MthRef[], 2, 0) &amp; RIGHT(YEAR(ICE[[#This Row],[Strip]]), 2) &amp; "-IEU", W$1)), "")</f>
        <v/>
      </c>
      <c r="X1727" s="36"/>
    </row>
    <row r="1728" spans="1:24" x14ac:dyDescent="0.25">
      <c r="A1728" s="37" t="s">
        <v>889</v>
      </c>
      <c r="B1728" s="88" t="str">
        <f>RTD("ice.rtd",,$C1728 &amp; $D1728 &amp; ":" &amp; B$1)</f>
        <v>SYS</v>
      </c>
      <c r="C1728" s="3">
        <v>366531</v>
      </c>
      <c r="D1728" t="s">
        <v>871</v>
      </c>
      <c r="E1728" s="3" t="str">
        <f>RTD("ice.rtd",,$C1728 &amp; $D1728 &amp; ":" &amp; E$1)</f>
        <v>Oct26/Feb27</v>
      </c>
      <c r="F1728" s="3" t="str">
        <f>ICE[[#This Row],[Prod]]&amp;ICE[[#This Row],[Strip]]</f>
        <v>fo380Oct26/Feb27</v>
      </c>
      <c r="G1728" s="18" t="str">
        <f>RTD("ice.rtd",,$C1728 &amp; $D1728 &amp; ":" &amp; G$1)</f>
        <v/>
      </c>
      <c r="H1728" s="18" t="str">
        <f>RTD("ice.rtd",,$C1728 &amp; $D1728 &amp; ":" &amp; H$1)</f>
        <v/>
      </c>
      <c r="I1728" s="18" t="str">
        <f>RTD("ice.rtd",,$C1728 &amp; $D1728 &amp; ":" &amp; I$1)</f>
        <v/>
      </c>
      <c r="J1728" s="14" t="str">
        <f>IFERROR(MOD(RTD("ice.rtd",,$C1728 &amp; $D1728 &amp; ":" &amp; J$1), 1), "")</f>
        <v/>
      </c>
      <c r="K1728" s="18" t="str">
        <f>RTD("ice.rtd",,$C1728 &amp; $D1728 &amp; ":" &amp; K$1)</f>
        <v/>
      </c>
      <c r="L1728" s="36" t="str">
        <f>RTD("ice.rtd",,$C1728 &amp; $D1728 &amp; ":" &amp; L$1)</f>
        <v/>
      </c>
      <c r="M1728" s="14" t="str">
        <f>IFERROR(MOD(TIMEVALUE(RTD("ice.rtd",,$C1728 &amp; $D1728 &amp; ":" &amp; M$1)), 1), "")</f>
        <v/>
      </c>
      <c r="N1728" s="36">
        <f>RTD("ice.rtd",,$C1728 &amp; $D1728 &amp; ":" &amp; N$1)</f>
        <v>0</v>
      </c>
      <c r="O1728" s="36">
        <f>RTD("ice.rtd",,$C1728 &amp; $D1728 &amp; ":" &amp; O$1)</f>
        <v>0</v>
      </c>
      <c r="P17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8" s="14" t="str">
        <f>IF(ICE[[#This Row],[LastType]] = "Scrn", ICE[[#This Row],[LstDate]], IF(ICE[[#This Row],[LastType]] = "Blk", ICE[[#This Row],[LstBlkTime]], ""))</f>
        <v/>
      </c>
      <c r="R1728" s="41" t="str">
        <f>IF(ICE[[#This Row],[LastType]] = "Scrn", ICE[[#This Row],[LstPrc]], IF(ICE[[#This Row],[LastType]] = "Blk", ICE[[#This Row],[LstBlkPrc]], ""))</f>
        <v/>
      </c>
      <c r="S1728" s="36">
        <f>ICE[[#This Row],[Vol]]+ICE[[#This Row],[BlkVol]]</f>
        <v>0</v>
      </c>
      <c r="T1728" s="36">
        <f>RTD("ice.rtd",,$C1728 &amp; $D1728 &amp; ":" &amp; T$1)</f>
        <v>0</v>
      </c>
      <c r="U1728" s="18">
        <f>RTD("ice.rtd",,$C1728 &amp; $D1728 &amp; ":" &amp; U$1)</f>
        <v>47.499999999999943</v>
      </c>
      <c r="V17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8" s="18" t="str">
        <f>IFERROR(IF(LEFT(ICE[[#This Row],[Tenor]], 1) = "B", RTD("esrtd",,$B1728 &amp; " " &amp; ICE[[#This Row],[Tenor]] &amp; "-IEU", W$1), RTD("esrtd",,$B1728 &amp; " " &amp; VLOOKUP(MONTH(ICE[[#This Row],[Strip]]), MthRef[], 2, 0) &amp; RIGHT(YEAR(ICE[[#This Row],[Strip]]), 2) &amp; "-IEU", W$1)), "")</f>
        <v/>
      </c>
      <c r="X1728" s="36"/>
    </row>
    <row r="1729" spans="1:24" x14ac:dyDescent="0.25">
      <c r="A1729" s="37" t="s">
        <v>889</v>
      </c>
      <c r="B1729" s="88" t="str">
        <f>RTD("ice.rtd",,$C1729 &amp; $D1729 &amp; ":" &amp; B$1)</f>
        <v>SYS</v>
      </c>
      <c r="C1729" s="3">
        <v>366531</v>
      </c>
      <c r="D1729" t="s">
        <v>872</v>
      </c>
      <c r="E1729" s="3" t="str">
        <f>RTD("ice.rtd",,$C1729 &amp; $D1729 &amp; ":" &amp; E$1)</f>
        <v>Oct26/Mar27</v>
      </c>
      <c r="F1729" s="3" t="str">
        <f>ICE[[#This Row],[Prod]]&amp;ICE[[#This Row],[Strip]]</f>
        <v>fo380Oct26/Mar27</v>
      </c>
      <c r="G1729" s="18" t="str">
        <f>RTD("ice.rtd",,$C1729 &amp; $D1729 &amp; ":" &amp; G$1)</f>
        <v/>
      </c>
      <c r="H1729" s="18" t="str">
        <f>RTD("ice.rtd",,$C1729 &amp; $D1729 &amp; ":" &amp; H$1)</f>
        <v/>
      </c>
      <c r="I1729" s="18" t="str">
        <f>RTD("ice.rtd",,$C1729 &amp; $D1729 &amp; ":" &amp; I$1)</f>
        <v/>
      </c>
      <c r="J1729" s="14" t="str">
        <f>IFERROR(MOD(RTD("ice.rtd",,$C1729 &amp; $D1729 &amp; ":" &amp; J$1), 1), "")</f>
        <v/>
      </c>
      <c r="K1729" s="18" t="str">
        <f>RTD("ice.rtd",,$C1729 &amp; $D1729 &amp; ":" &amp; K$1)</f>
        <v/>
      </c>
      <c r="L1729" s="36" t="str">
        <f>RTD("ice.rtd",,$C1729 &amp; $D1729 &amp; ":" &amp; L$1)</f>
        <v/>
      </c>
      <c r="M1729" s="14" t="str">
        <f>IFERROR(MOD(TIMEVALUE(RTD("ice.rtd",,$C1729 &amp; $D1729 &amp; ":" &amp; M$1)), 1), "")</f>
        <v/>
      </c>
      <c r="N1729" s="36">
        <f>RTD("ice.rtd",,$C1729 &amp; $D1729 &amp; ":" &amp; N$1)</f>
        <v>0</v>
      </c>
      <c r="O1729" s="36">
        <f>RTD("ice.rtd",,$C1729 &amp; $D1729 &amp; ":" &amp; O$1)</f>
        <v>0</v>
      </c>
      <c r="P17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29" s="14" t="str">
        <f>IF(ICE[[#This Row],[LastType]] = "Scrn", ICE[[#This Row],[LstDate]], IF(ICE[[#This Row],[LastType]] = "Blk", ICE[[#This Row],[LstBlkTime]], ""))</f>
        <v/>
      </c>
      <c r="R1729" s="41" t="str">
        <f>IF(ICE[[#This Row],[LastType]] = "Scrn", ICE[[#This Row],[LstPrc]], IF(ICE[[#This Row],[LastType]] = "Blk", ICE[[#This Row],[LstBlkPrc]], ""))</f>
        <v/>
      </c>
      <c r="S1729" s="36">
        <f>ICE[[#This Row],[Vol]]+ICE[[#This Row],[BlkVol]]</f>
        <v>0</v>
      </c>
      <c r="T1729" s="36">
        <f>RTD("ice.rtd",,$C1729 &amp; $D1729 &amp; ":" &amp; T$1)</f>
        <v>0</v>
      </c>
      <c r="U1729" s="18">
        <f>RTD("ice.rtd",,$C1729 &amp; $D1729 &amp; ":" &amp; U$1)</f>
        <v>54.499999999999943</v>
      </c>
      <c r="V17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29" s="18" t="str">
        <f>IFERROR(IF(LEFT(ICE[[#This Row],[Tenor]], 1) = "B", RTD("esrtd",,$B1729 &amp; " " &amp; ICE[[#This Row],[Tenor]] &amp; "-IEU", W$1), RTD("esrtd",,$B1729 &amp; " " &amp; VLOOKUP(MONTH(ICE[[#This Row],[Strip]]), MthRef[], 2, 0) &amp; RIGHT(YEAR(ICE[[#This Row],[Strip]]), 2) &amp; "-IEU", W$1)), "")</f>
        <v/>
      </c>
      <c r="X1729" s="36"/>
    </row>
    <row r="1730" spans="1:24" x14ac:dyDescent="0.25">
      <c r="A1730" s="37" t="s">
        <v>889</v>
      </c>
      <c r="B1730" s="88" t="str">
        <f>RTD("ice.rtd",,$C1730 &amp; $D1730 &amp; ":" &amp; B$1)</f>
        <v>SYS</v>
      </c>
      <c r="C1730" s="3">
        <v>366531</v>
      </c>
      <c r="D1730" t="s">
        <v>873</v>
      </c>
      <c r="E1730" s="3" t="str">
        <f>RTD("ice.rtd",,$C1730 &amp; $D1730 &amp; ":" &amp; E$1)</f>
        <v>Oct26/Apr27</v>
      </c>
      <c r="F1730" s="3" t="str">
        <f>ICE[[#This Row],[Prod]]&amp;ICE[[#This Row],[Strip]]</f>
        <v>fo380Oct26/Apr27</v>
      </c>
      <c r="G1730" s="18" t="str">
        <f>RTD("ice.rtd",,$C1730 &amp; $D1730 &amp; ":" &amp; G$1)</f>
        <v/>
      </c>
      <c r="H1730" s="18" t="str">
        <f>RTD("ice.rtd",,$C1730 &amp; $D1730 &amp; ":" &amp; H$1)</f>
        <v/>
      </c>
      <c r="I1730" s="18" t="str">
        <f>RTD("ice.rtd",,$C1730 &amp; $D1730 &amp; ":" &amp; I$1)</f>
        <v/>
      </c>
      <c r="J1730" s="14" t="str">
        <f>IFERROR(MOD(RTD("ice.rtd",,$C1730 &amp; $D1730 &amp; ":" &amp; J$1), 1), "")</f>
        <v/>
      </c>
      <c r="K1730" s="18" t="str">
        <f>RTD("ice.rtd",,$C1730 &amp; $D1730 &amp; ":" &amp; K$1)</f>
        <v/>
      </c>
      <c r="L1730" s="36" t="str">
        <f>RTD("ice.rtd",,$C1730 &amp; $D1730 &amp; ":" &amp; L$1)</f>
        <v/>
      </c>
      <c r="M1730" s="14" t="str">
        <f>IFERROR(MOD(TIMEVALUE(RTD("ice.rtd",,$C1730 &amp; $D1730 &amp; ":" &amp; M$1)), 1), "")</f>
        <v/>
      </c>
      <c r="N1730" s="36">
        <f>RTD("ice.rtd",,$C1730 &amp; $D1730 &amp; ":" &amp; N$1)</f>
        <v>0</v>
      </c>
      <c r="O1730" s="36">
        <f>RTD("ice.rtd",,$C1730 &amp; $D1730 &amp; ":" &amp; O$1)</f>
        <v>0</v>
      </c>
      <c r="P17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0" s="14" t="str">
        <f>IF(ICE[[#This Row],[LastType]] = "Scrn", ICE[[#This Row],[LstDate]], IF(ICE[[#This Row],[LastType]] = "Blk", ICE[[#This Row],[LstBlkTime]], ""))</f>
        <v/>
      </c>
      <c r="R1730" s="41" t="str">
        <f>IF(ICE[[#This Row],[LastType]] = "Scrn", ICE[[#This Row],[LstPrc]], IF(ICE[[#This Row],[LastType]] = "Blk", ICE[[#This Row],[LstBlkPrc]], ""))</f>
        <v/>
      </c>
      <c r="S1730" s="36">
        <f>ICE[[#This Row],[Vol]]+ICE[[#This Row],[BlkVol]]</f>
        <v>0</v>
      </c>
      <c r="T1730" s="36">
        <f>RTD("ice.rtd",,$C1730 &amp; $D1730 &amp; ":" &amp; T$1)</f>
        <v>0</v>
      </c>
      <c r="U1730" s="18">
        <f>RTD("ice.rtd",,$C1730 &amp; $D1730 &amp; ":" &amp; U$1)</f>
        <v>59.999999999999943</v>
      </c>
      <c r="V17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0" s="18" t="str">
        <f>IFERROR(IF(LEFT(ICE[[#This Row],[Tenor]], 1) = "B", RTD("esrtd",,$B1730 &amp; " " &amp; ICE[[#This Row],[Tenor]] &amp; "-IEU", W$1), RTD("esrtd",,$B1730 &amp; " " &amp; VLOOKUP(MONTH(ICE[[#This Row],[Strip]]), MthRef[], 2, 0) &amp; RIGHT(YEAR(ICE[[#This Row],[Strip]]), 2) &amp; "-IEU", W$1)), "")</f>
        <v/>
      </c>
      <c r="X1730" s="36"/>
    </row>
    <row r="1731" spans="1:24" x14ac:dyDescent="0.25">
      <c r="A1731" s="37" t="s">
        <v>889</v>
      </c>
      <c r="B1731" s="88" t="str">
        <f>RTD("ice.rtd",,$C1731 &amp; $D1731 &amp; ":" &amp; B$1)</f>
        <v>SYS</v>
      </c>
      <c r="C1731" s="3">
        <v>366531</v>
      </c>
      <c r="D1731" t="s">
        <v>874</v>
      </c>
      <c r="E1731" s="3" t="str">
        <f>RTD("ice.rtd",,$C1731 &amp; $D1731 &amp; ":" &amp; E$1)</f>
        <v>Oct26/May27</v>
      </c>
      <c r="F1731" s="3" t="str">
        <f>ICE[[#This Row],[Prod]]&amp;ICE[[#This Row],[Strip]]</f>
        <v>fo380Oct26/May27</v>
      </c>
      <c r="G1731" s="18" t="str">
        <f>RTD("ice.rtd",,$C1731 &amp; $D1731 &amp; ":" &amp; G$1)</f>
        <v/>
      </c>
      <c r="H1731" s="18" t="str">
        <f>RTD("ice.rtd",,$C1731 &amp; $D1731 &amp; ":" &amp; H$1)</f>
        <v/>
      </c>
      <c r="I1731" s="18" t="str">
        <f>RTD("ice.rtd",,$C1731 &amp; $D1731 &amp; ":" &amp; I$1)</f>
        <v/>
      </c>
      <c r="J1731" s="14" t="str">
        <f>IFERROR(MOD(RTD("ice.rtd",,$C1731 &amp; $D1731 &amp; ":" &amp; J$1), 1), "")</f>
        <v/>
      </c>
      <c r="K1731" s="18" t="str">
        <f>RTD("ice.rtd",,$C1731 &amp; $D1731 &amp; ":" &amp; K$1)</f>
        <v/>
      </c>
      <c r="L1731" s="36" t="str">
        <f>RTD("ice.rtd",,$C1731 &amp; $D1731 &amp; ":" &amp; L$1)</f>
        <v/>
      </c>
      <c r="M1731" s="14" t="str">
        <f>IFERROR(MOD(TIMEVALUE(RTD("ice.rtd",,$C1731 &amp; $D1731 &amp; ":" &amp; M$1)), 1), "")</f>
        <v/>
      </c>
      <c r="N1731" s="36">
        <f>RTD("ice.rtd",,$C1731 &amp; $D1731 &amp; ":" &amp; N$1)</f>
        <v>0</v>
      </c>
      <c r="O1731" s="36">
        <f>RTD("ice.rtd",,$C1731 &amp; $D1731 &amp; ":" &amp; O$1)</f>
        <v>0</v>
      </c>
      <c r="P17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1" s="14" t="str">
        <f>IF(ICE[[#This Row],[LastType]] = "Scrn", ICE[[#This Row],[LstDate]], IF(ICE[[#This Row],[LastType]] = "Blk", ICE[[#This Row],[LstBlkTime]], ""))</f>
        <v/>
      </c>
      <c r="R1731" s="41" t="str">
        <f>IF(ICE[[#This Row],[LastType]] = "Scrn", ICE[[#This Row],[LstPrc]], IF(ICE[[#This Row],[LastType]] = "Blk", ICE[[#This Row],[LstBlkPrc]], ""))</f>
        <v/>
      </c>
      <c r="S1731" s="36">
        <f>ICE[[#This Row],[Vol]]+ICE[[#This Row],[BlkVol]]</f>
        <v>0</v>
      </c>
      <c r="T1731" s="36">
        <f>RTD("ice.rtd",,$C1731 &amp; $D1731 &amp; ":" &amp; T$1)</f>
        <v>0</v>
      </c>
      <c r="U1731" s="18">
        <f>RTD("ice.rtd",,$C1731 &amp; $D1731 &amp; ":" &amp; U$1)</f>
        <v>64.999999999999943</v>
      </c>
      <c r="V17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1" s="18" t="str">
        <f>IFERROR(IF(LEFT(ICE[[#This Row],[Tenor]], 1) = "B", RTD("esrtd",,$B1731 &amp; " " &amp; ICE[[#This Row],[Tenor]] &amp; "-IEU", W$1), RTD("esrtd",,$B1731 &amp; " " &amp; VLOOKUP(MONTH(ICE[[#This Row],[Strip]]), MthRef[], 2, 0) &amp; RIGHT(YEAR(ICE[[#This Row],[Strip]]), 2) &amp; "-IEU", W$1)), "")</f>
        <v/>
      </c>
      <c r="X1731" s="36"/>
    </row>
    <row r="1732" spans="1:24" x14ac:dyDescent="0.25">
      <c r="A1732" s="37" t="s">
        <v>889</v>
      </c>
      <c r="B1732" s="88" t="str">
        <f>RTD("ice.rtd",,$C1732 &amp; $D1732 &amp; ":" &amp; B$1)</f>
        <v>SYS</v>
      </c>
      <c r="C1732" s="3">
        <v>366531</v>
      </c>
      <c r="D1732" t="s">
        <v>875</v>
      </c>
      <c r="E1732" s="3" t="str">
        <f>RTD("ice.rtd",,$C1732 &amp; $D1732 &amp; ":" &amp; E$1)</f>
        <v>Nov26/Dec26</v>
      </c>
      <c r="F1732" s="3" t="str">
        <f>ICE[[#This Row],[Prod]]&amp;ICE[[#This Row],[Strip]]</f>
        <v>fo380Nov26/Dec26</v>
      </c>
      <c r="G1732" s="18">
        <f>RTD("ice.rtd",,$C1732 &amp; $D1732 &amp; ":" &amp; G$1)</f>
        <v>11.5</v>
      </c>
      <c r="H1732" s="18">
        <f>RTD("ice.rtd",,$C1732 &amp; $D1732 &amp; ":" &amp; H$1)</f>
        <v>12.75</v>
      </c>
      <c r="I1732" s="18" t="str">
        <f>RTD("ice.rtd",,$C1732 &amp; $D1732 &amp; ":" &amp; I$1)</f>
        <v/>
      </c>
      <c r="J1732" s="14" t="str">
        <f>IFERROR(MOD(RTD("ice.rtd",,$C1732 &amp; $D1732 &amp; ":" &amp; J$1), 1), "")</f>
        <v/>
      </c>
      <c r="K1732" s="18">
        <f>RTD("ice.rtd",,$C1732 &amp; $D1732 &amp; ":" &amp; K$1)</f>
        <v>12</v>
      </c>
      <c r="L1732" s="36">
        <f>RTD("ice.rtd",,$C1732 &amp; $D1732 &amp; ":" &amp; L$1)</f>
        <v>20</v>
      </c>
      <c r="M1732" s="14">
        <f>IFERROR(MOD(TIMEVALUE(RTD("ice.rtd",,$C1732 &amp; $D1732 &amp; ":" &amp; M$1)), 1), "")</f>
        <v>0.41225694444444444</v>
      </c>
      <c r="N1732" s="36">
        <f>RTD("ice.rtd",,$C1732 &amp; $D1732 &amp; ":" &amp; N$1)</f>
        <v>0</v>
      </c>
      <c r="O1732" s="36">
        <f>RTD("ice.rtd",,$C1732 &amp; $D1732 &amp; ":" &amp; O$1)</f>
        <v>80</v>
      </c>
      <c r="P17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732" s="14">
        <f>IF(ICE[[#This Row],[LastType]] = "Scrn", ICE[[#This Row],[LstDate]], IF(ICE[[#This Row],[LastType]] = "Blk", ICE[[#This Row],[LstBlkTime]], ""))</f>
        <v>0.41225694444444444</v>
      </c>
      <c r="R1732" s="41">
        <f>IF(ICE[[#This Row],[LastType]] = "Scrn", ICE[[#This Row],[LstPrc]], IF(ICE[[#This Row],[LastType]] = "Blk", ICE[[#This Row],[LstBlkPrc]], ""))</f>
        <v>12</v>
      </c>
      <c r="S1732" s="36">
        <f>ICE[[#This Row],[Vol]]+ICE[[#This Row],[BlkVol]]</f>
        <v>80</v>
      </c>
      <c r="T1732" s="36">
        <f>RTD("ice.rtd",,$C1732 &amp; $D1732 &amp; ":" &amp; T$1)</f>
        <v>0</v>
      </c>
      <c r="U1732" s="18">
        <f>RTD("ice.rtd",,$C1732 &amp; $D1732 &amp; ":" &amp; U$1)</f>
        <v>12.25</v>
      </c>
      <c r="V17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11.50 / 12.75 {12.00} |80x</v>
      </c>
      <c r="W1732" s="18" t="str">
        <f>IFERROR(IF(LEFT(ICE[[#This Row],[Tenor]], 1) = "B", RTD("esrtd",,$B1732 &amp; " " &amp; ICE[[#This Row],[Tenor]] &amp; "-IEU", W$1), RTD("esrtd",,$B1732 &amp; " " &amp; VLOOKUP(MONTH(ICE[[#This Row],[Strip]]), MthRef[], 2, 0) &amp; RIGHT(YEAR(ICE[[#This Row],[Strip]]), 2) &amp; "-IEU", W$1)), "")</f>
        <v/>
      </c>
      <c r="X1732" s="36"/>
    </row>
    <row r="1733" spans="1:24" x14ac:dyDescent="0.25">
      <c r="A1733" s="37" t="s">
        <v>889</v>
      </c>
      <c r="B1733" s="88" t="str">
        <f>RTD("ice.rtd",,$C1733 &amp; $D1733 &amp; ":" &amp; B$1)</f>
        <v>SYS</v>
      </c>
      <c r="C1733" s="3">
        <v>366531</v>
      </c>
      <c r="D1733" t="s">
        <v>876</v>
      </c>
      <c r="E1733" s="3" t="str">
        <f>RTD("ice.rtd",,$C1733 &amp; $D1733 &amp; ":" &amp; E$1)</f>
        <v>Nov26/Jan27</v>
      </c>
      <c r="F1733" s="3" t="str">
        <f>ICE[[#This Row],[Prod]]&amp;ICE[[#This Row],[Strip]]</f>
        <v>fo380Nov26/Jan27</v>
      </c>
      <c r="G1733" s="18" t="str">
        <f>RTD("ice.rtd",,$C1733 &amp; $D1733 &amp; ":" &amp; G$1)</f>
        <v/>
      </c>
      <c r="H1733" s="18" t="str">
        <f>RTD("ice.rtd",,$C1733 &amp; $D1733 &amp; ":" &amp; H$1)</f>
        <v/>
      </c>
      <c r="I1733" s="18" t="str">
        <f>RTD("ice.rtd",,$C1733 &amp; $D1733 &amp; ":" &amp; I$1)</f>
        <v/>
      </c>
      <c r="J1733" s="14" t="str">
        <f>IFERROR(MOD(RTD("ice.rtd",,$C1733 &amp; $D1733 &amp; ":" &amp; J$1), 1), "")</f>
        <v/>
      </c>
      <c r="K1733" s="18" t="str">
        <f>RTD("ice.rtd",,$C1733 &amp; $D1733 &amp; ":" &amp; K$1)</f>
        <v/>
      </c>
      <c r="L1733" s="36" t="str">
        <f>RTD("ice.rtd",,$C1733 &amp; $D1733 &amp; ":" &amp; L$1)</f>
        <v/>
      </c>
      <c r="M1733" s="14" t="str">
        <f>IFERROR(MOD(TIMEVALUE(RTD("ice.rtd",,$C1733 &amp; $D1733 &amp; ":" &amp; M$1)), 1), "")</f>
        <v/>
      </c>
      <c r="N1733" s="36">
        <f>RTD("ice.rtd",,$C1733 &amp; $D1733 &amp; ":" &amp; N$1)</f>
        <v>0</v>
      </c>
      <c r="O1733" s="36">
        <f>RTD("ice.rtd",,$C1733 &amp; $D1733 &amp; ":" &amp; O$1)</f>
        <v>0</v>
      </c>
      <c r="P17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3" s="14" t="str">
        <f>IF(ICE[[#This Row],[LastType]] = "Scrn", ICE[[#This Row],[LstDate]], IF(ICE[[#This Row],[LastType]] = "Blk", ICE[[#This Row],[LstBlkTime]], ""))</f>
        <v/>
      </c>
      <c r="R1733" s="41" t="str">
        <f>IF(ICE[[#This Row],[LastType]] = "Scrn", ICE[[#This Row],[LstPrc]], IF(ICE[[#This Row],[LastType]] = "Blk", ICE[[#This Row],[LstBlkPrc]], ""))</f>
        <v/>
      </c>
      <c r="S1733" s="36">
        <f>ICE[[#This Row],[Vol]]+ICE[[#This Row],[BlkVol]]</f>
        <v>0</v>
      </c>
      <c r="T1733" s="36">
        <f>RTD("ice.rtd",,$C1733 &amp; $D1733 &amp; ":" &amp; T$1)</f>
        <v>0</v>
      </c>
      <c r="U1733" s="18">
        <f>RTD("ice.rtd",,$C1733 &amp; $D1733 &amp; ":" &amp; U$1)</f>
        <v>22.999999999999943</v>
      </c>
      <c r="V17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3" s="18" t="str">
        <f>IFERROR(IF(LEFT(ICE[[#This Row],[Tenor]], 1) = "B", RTD("esrtd",,$B1733 &amp; " " &amp; ICE[[#This Row],[Tenor]] &amp; "-IEU", W$1), RTD("esrtd",,$B1733 &amp; " " &amp; VLOOKUP(MONTH(ICE[[#This Row],[Strip]]), MthRef[], 2, 0) &amp; RIGHT(YEAR(ICE[[#This Row],[Strip]]), 2) &amp; "-IEU", W$1)), "")</f>
        <v/>
      </c>
      <c r="X1733" s="36"/>
    </row>
    <row r="1734" spans="1:24" x14ac:dyDescent="0.25">
      <c r="A1734" s="37" t="s">
        <v>889</v>
      </c>
      <c r="B1734" s="88" t="str">
        <f>RTD("ice.rtd",,$C1734 &amp; $D1734 &amp; ":" &amp; B$1)</f>
        <v>SYS</v>
      </c>
      <c r="C1734" s="3">
        <v>366531</v>
      </c>
      <c r="D1734" t="s">
        <v>859</v>
      </c>
      <c r="E1734" s="3" t="str">
        <f>RTD("ice.rtd",,$C1734 &amp; $D1734 &amp; ":" &amp; E$1)</f>
        <v>Nov26/Feb27</v>
      </c>
      <c r="F1734" s="3" t="str">
        <f>ICE[[#This Row],[Prod]]&amp;ICE[[#This Row],[Strip]]</f>
        <v>fo380Nov26/Feb27</v>
      </c>
      <c r="G1734" s="18" t="str">
        <f>RTD("ice.rtd",,$C1734 &amp; $D1734 &amp; ":" &amp; G$1)</f>
        <v/>
      </c>
      <c r="H1734" s="18" t="str">
        <f>RTD("ice.rtd",,$C1734 &amp; $D1734 &amp; ":" &amp; H$1)</f>
        <v/>
      </c>
      <c r="I1734" s="18" t="str">
        <f>RTD("ice.rtd",,$C1734 &amp; $D1734 &amp; ":" &amp; I$1)</f>
        <v/>
      </c>
      <c r="J1734" s="14" t="str">
        <f>IFERROR(MOD(RTD("ice.rtd",,$C1734 &amp; $D1734 &amp; ":" &amp; J$1), 1), "")</f>
        <v/>
      </c>
      <c r="K1734" s="18" t="str">
        <f>RTD("ice.rtd",,$C1734 &amp; $D1734 &amp; ":" &amp; K$1)</f>
        <v/>
      </c>
      <c r="L1734" s="36" t="str">
        <f>RTD("ice.rtd",,$C1734 &amp; $D1734 &amp; ":" &amp; L$1)</f>
        <v/>
      </c>
      <c r="M1734" s="14" t="str">
        <f>IFERROR(MOD(TIMEVALUE(RTD("ice.rtd",,$C1734 &amp; $D1734 &amp; ":" &amp; M$1)), 1), "")</f>
        <v/>
      </c>
      <c r="N1734" s="36">
        <f>RTD("ice.rtd",,$C1734 &amp; $D1734 &amp; ":" &amp; N$1)</f>
        <v>0</v>
      </c>
      <c r="O1734" s="36">
        <f>RTD("ice.rtd",,$C1734 &amp; $D1734 &amp; ":" &amp; O$1)</f>
        <v>0</v>
      </c>
      <c r="P17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4" s="14" t="str">
        <f>IF(ICE[[#This Row],[LastType]] = "Scrn", ICE[[#This Row],[LstDate]], IF(ICE[[#This Row],[LastType]] = "Blk", ICE[[#This Row],[LstBlkTime]], ""))</f>
        <v/>
      </c>
      <c r="R1734" s="41" t="str">
        <f>IF(ICE[[#This Row],[LastType]] = "Scrn", ICE[[#This Row],[LstPrc]], IF(ICE[[#This Row],[LastType]] = "Blk", ICE[[#This Row],[LstBlkPrc]], ""))</f>
        <v/>
      </c>
      <c r="S1734" s="36">
        <f>ICE[[#This Row],[Vol]]+ICE[[#This Row],[BlkVol]]</f>
        <v>0</v>
      </c>
      <c r="T1734" s="36">
        <f>RTD("ice.rtd",,$C1734 &amp; $D1734 &amp; ":" &amp; T$1)</f>
        <v>0</v>
      </c>
      <c r="U1734" s="18">
        <f>RTD("ice.rtd",,$C1734 &amp; $D1734 &amp; ":" &amp; U$1)</f>
        <v>31.749999999999943</v>
      </c>
      <c r="V17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4" s="18" t="str">
        <f>IFERROR(IF(LEFT(ICE[[#This Row],[Tenor]], 1) = "B", RTD("esrtd",,$B1734 &amp; " " &amp; ICE[[#This Row],[Tenor]] &amp; "-IEU", W$1), RTD("esrtd",,$B1734 &amp; " " &amp; VLOOKUP(MONTH(ICE[[#This Row],[Strip]]), MthRef[], 2, 0) &amp; RIGHT(YEAR(ICE[[#This Row],[Strip]]), 2) &amp; "-IEU", W$1)), "")</f>
        <v/>
      </c>
      <c r="X1734" s="36"/>
    </row>
    <row r="1735" spans="1:24" x14ac:dyDescent="0.25">
      <c r="A1735" s="37" t="s">
        <v>889</v>
      </c>
      <c r="B1735" s="88" t="str">
        <f>RTD("ice.rtd",,$C1735 &amp; $D1735 &amp; ":" &amp; B$1)</f>
        <v>SYS</v>
      </c>
      <c r="C1735" s="3">
        <v>366531</v>
      </c>
      <c r="D1735" t="s">
        <v>877</v>
      </c>
      <c r="E1735" s="3" t="str">
        <f>RTD("ice.rtd",,$C1735 &amp; $D1735 &amp; ":" &amp; E$1)</f>
        <v>Nov26/Mar27</v>
      </c>
      <c r="F1735" s="3" t="str">
        <f>ICE[[#This Row],[Prod]]&amp;ICE[[#This Row],[Strip]]</f>
        <v>fo380Nov26/Mar27</v>
      </c>
      <c r="G1735" s="18" t="str">
        <f>RTD("ice.rtd",,$C1735 &amp; $D1735 &amp; ":" &amp; G$1)</f>
        <v/>
      </c>
      <c r="H1735" s="18" t="str">
        <f>RTD("ice.rtd",,$C1735 &amp; $D1735 &amp; ":" &amp; H$1)</f>
        <v/>
      </c>
      <c r="I1735" s="18" t="str">
        <f>RTD("ice.rtd",,$C1735 &amp; $D1735 &amp; ":" &amp; I$1)</f>
        <v/>
      </c>
      <c r="J1735" s="14" t="str">
        <f>IFERROR(MOD(RTD("ice.rtd",,$C1735 &amp; $D1735 &amp; ":" &amp; J$1), 1), "")</f>
        <v/>
      </c>
      <c r="K1735" s="18" t="str">
        <f>RTD("ice.rtd",,$C1735 &amp; $D1735 &amp; ":" &amp; K$1)</f>
        <v/>
      </c>
      <c r="L1735" s="36" t="str">
        <f>RTD("ice.rtd",,$C1735 &amp; $D1735 &amp; ":" &amp; L$1)</f>
        <v/>
      </c>
      <c r="M1735" s="14" t="str">
        <f>IFERROR(MOD(TIMEVALUE(RTD("ice.rtd",,$C1735 &amp; $D1735 &amp; ":" &amp; M$1)), 1), "")</f>
        <v/>
      </c>
      <c r="N1735" s="36">
        <f>RTD("ice.rtd",,$C1735 &amp; $D1735 &amp; ":" &amp; N$1)</f>
        <v>0</v>
      </c>
      <c r="O1735" s="36">
        <f>RTD("ice.rtd",,$C1735 &amp; $D1735 &amp; ":" &amp; O$1)</f>
        <v>0</v>
      </c>
      <c r="P17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5" s="14" t="str">
        <f>IF(ICE[[#This Row],[LastType]] = "Scrn", ICE[[#This Row],[LstDate]], IF(ICE[[#This Row],[LastType]] = "Blk", ICE[[#This Row],[LstBlkTime]], ""))</f>
        <v/>
      </c>
      <c r="R1735" s="41" t="str">
        <f>IF(ICE[[#This Row],[LastType]] = "Scrn", ICE[[#This Row],[LstPrc]], IF(ICE[[#This Row],[LastType]] = "Blk", ICE[[#This Row],[LstBlkPrc]], ""))</f>
        <v/>
      </c>
      <c r="S1735" s="36">
        <f>ICE[[#This Row],[Vol]]+ICE[[#This Row],[BlkVol]]</f>
        <v>0</v>
      </c>
      <c r="T1735" s="36">
        <f>RTD("ice.rtd",,$C1735 &amp; $D1735 &amp; ":" &amp; T$1)</f>
        <v>0</v>
      </c>
      <c r="U1735" s="18">
        <f>RTD("ice.rtd",,$C1735 &amp; $D1735 &amp; ":" &amp; U$1)</f>
        <v>38.749999999999943</v>
      </c>
      <c r="V17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5" s="18" t="str">
        <f>IFERROR(IF(LEFT(ICE[[#This Row],[Tenor]], 1) = "B", RTD("esrtd",,$B1735 &amp; " " &amp; ICE[[#This Row],[Tenor]] &amp; "-IEU", W$1), RTD("esrtd",,$B1735 &amp; " " &amp; VLOOKUP(MONTH(ICE[[#This Row],[Strip]]), MthRef[], 2, 0) &amp; RIGHT(YEAR(ICE[[#This Row],[Strip]]), 2) &amp; "-IEU", W$1)), "")</f>
        <v/>
      </c>
      <c r="X1735" s="36"/>
    </row>
    <row r="1736" spans="1:24" x14ac:dyDescent="0.25">
      <c r="A1736" s="37" t="s">
        <v>889</v>
      </c>
      <c r="B1736" s="88" t="str">
        <f>RTD("ice.rtd",,$C1736 &amp; $D1736 &amp; ":" &amp; B$1)</f>
        <v>SYS</v>
      </c>
      <c r="C1736" s="3">
        <v>366531</v>
      </c>
      <c r="D1736" t="s">
        <v>878</v>
      </c>
      <c r="E1736" s="3" t="str">
        <f>RTD("ice.rtd",,$C1736 &amp; $D1736 &amp; ":" &amp; E$1)</f>
        <v>Nov26/Apr27</v>
      </c>
      <c r="F1736" s="3" t="str">
        <f>ICE[[#This Row],[Prod]]&amp;ICE[[#This Row],[Strip]]</f>
        <v>fo380Nov26/Apr27</v>
      </c>
      <c r="G1736" s="18" t="str">
        <f>RTD("ice.rtd",,$C1736 &amp; $D1736 &amp; ":" &amp; G$1)</f>
        <v/>
      </c>
      <c r="H1736" s="18" t="str">
        <f>RTD("ice.rtd",,$C1736 &amp; $D1736 &amp; ":" &amp; H$1)</f>
        <v/>
      </c>
      <c r="I1736" s="18" t="str">
        <f>RTD("ice.rtd",,$C1736 &amp; $D1736 &amp; ":" &amp; I$1)</f>
        <v/>
      </c>
      <c r="J1736" s="14" t="str">
        <f>IFERROR(MOD(RTD("ice.rtd",,$C1736 &amp; $D1736 &amp; ":" &amp; J$1), 1), "")</f>
        <v/>
      </c>
      <c r="K1736" s="18" t="str">
        <f>RTD("ice.rtd",,$C1736 &amp; $D1736 &amp; ":" &amp; K$1)</f>
        <v/>
      </c>
      <c r="L1736" s="36" t="str">
        <f>RTD("ice.rtd",,$C1736 &amp; $D1736 &amp; ":" &amp; L$1)</f>
        <v/>
      </c>
      <c r="M1736" s="14" t="str">
        <f>IFERROR(MOD(TIMEVALUE(RTD("ice.rtd",,$C1736 &amp; $D1736 &amp; ":" &amp; M$1)), 1), "")</f>
        <v/>
      </c>
      <c r="N1736" s="36">
        <f>RTD("ice.rtd",,$C1736 &amp; $D1736 &amp; ":" &amp; N$1)</f>
        <v>0</v>
      </c>
      <c r="O1736" s="36">
        <f>RTD("ice.rtd",,$C1736 &amp; $D1736 &amp; ":" &amp; O$1)</f>
        <v>0</v>
      </c>
      <c r="P17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6" s="14" t="str">
        <f>IF(ICE[[#This Row],[LastType]] = "Scrn", ICE[[#This Row],[LstDate]], IF(ICE[[#This Row],[LastType]] = "Blk", ICE[[#This Row],[LstBlkTime]], ""))</f>
        <v/>
      </c>
      <c r="R1736" s="41" t="str">
        <f>IF(ICE[[#This Row],[LastType]] = "Scrn", ICE[[#This Row],[LstPrc]], IF(ICE[[#This Row],[LastType]] = "Blk", ICE[[#This Row],[LstBlkPrc]], ""))</f>
        <v/>
      </c>
      <c r="S1736" s="36">
        <f>ICE[[#This Row],[Vol]]+ICE[[#This Row],[BlkVol]]</f>
        <v>0</v>
      </c>
      <c r="T1736" s="36">
        <f>RTD("ice.rtd",,$C1736 &amp; $D1736 &amp; ":" &amp; T$1)</f>
        <v>0</v>
      </c>
      <c r="U1736" s="18">
        <f>RTD("ice.rtd",,$C1736 &amp; $D1736 &amp; ":" &amp; U$1)</f>
        <v>44.249999999999943</v>
      </c>
      <c r="V17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6" s="18" t="str">
        <f>IFERROR(IF(LEFT(ICE[[#This Row],[Tenor]], 1) = "B", RTD("esrtd",,$B1736 &amp; " " &amp; ICE[[#This Row],[Tenor]] &amp; "-IEU", W$1), RTD("esrtd",,$B1736 &amp; " " &amp; VLOOKUP(MONTH(ICE[[#This Row],[Strip]]), MthRef[], 2, 0) &amp; RIGHT(YEAR(ICE[[#This Row],[Strip]]), 2) &amp; "-IEU", W$1)), "")</f>
        <v/>
      </c>
      <c r="X1736" s="36"/>
    </row>
    <row r="1737" spans="1:24" x14ac:dyDescent="0.25">
      <c r="A1737" s="37" t="s">
        <v>889</v>
      </c>
      <c r="B1737" s="88" t="str">
        <f>RTD("ice.rtd",,$C1737 &amp; $D1737 &amp; ":" &amp; B$1)</f>
        <v>SYS</v>
      </c>
      <c r="C1737" s="3">
        <v>366531</v>
      </c>
      <c r="D1737" t="s">
        <v>879</v>
      </c>
      <c r="E1737" s="3" t="str">
        <f>RTD("ice.rtd",,$C1737 &amp; $D1737 &amp; ":" &amp; E$1)</f>
        <v>Nov26/May27</v>
      </c>
      <c r="F1737" s="3" t="str">
        <f>ICE[[#This Row],[Prod]]&amp;ICE[[#This Row],[Strip]]</f>
        <v>fo380Nov26/May27</v>
      </c>
      <c r="G1737" s="18" t="str">
        <f>RTD("ice.rtd",,$C1737 &amp; $D1737 &amp; ":" &amp; G$1)</f>
        <v/>
      </c>
      <c r="H1737" s="18" t="str">
        <f>RTD("ice.rtd",,$C1737 &amp; $D1737 &amp; ":" &amp; H$1)</f>
        <v/>
      </c>
      <c r="I1737" s="18" t="str">
        <f>RTD("ice.rtd",,$C1737 &amp; $D1737 &amp; ":" &amp; I$1)</f>
        <v/>
      </c>
      <c r="J1737" s="14" t="str">
        <f>IFERROR(MOD(RTD("ice.rtd",,$C1737 &amp; $D1737 &amp; ":" &amp; J$1), 1), "")</f>
        <v/>
      </c>
      <c r="K1737" s="18" t="str">
        <f>RTD("ice.rtd",,$C1737 &amp; $D1737 &amp; ":" &amp; K$1)</f>
        <v/>
      </c>
      <c r="L1737" s="36" t="str">
        <f>RTD("ice.rtd",,$C1737 &amp; $D1737 &amp; ":" &amp; L$1)</f>
        <v/>
      </c>
      <c r="M1737" s="14" t="str">
        <f>IFERROR(MOD(TIMEVALUE(RTD("ice.rtd",,$C1737 &amp; $D1737 &amp; ":" &amp; M$1)), 1), "")</f>
        <v/>
      </c>
      <c r="N1737" s="36">
        <f>RTD("ice.rtd",,$C1737 &amp; $D1737 &amp; ":" &amp; N$1)</f>
        <v>0</v>
      </c>
      <c r="O1737" s="36">
        <f>RTD("ice.rtd",,$C1737 &amp; $D1737 &amp; ":" &amp; O$1)</f>
        <v>0</v>
      </c>
      <c r="P17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7" s="14" t="str">
        <f>IF(ICE[[#This Row],[LastType]] = "Scrn", ICE[[#This Row],[LstDate]], IF(ICE[[#This Row],[LastType]] = "Blk", ICE[[#This Row],[LstBlkTime]], ""))</f>
        <v/>
      </c>
      <c r="R1737" s="41" t="str">
        <f>IF(ICE[[#This Row],[LastType]] = "Scrn", ICE[[#This Row],[LstPrc]], IF(ICE[[#This Row],[LastType]] = "Blk", ICE[[#This Row],[LstBlkPrc]], ""))</f>
        <v/>
      </c>
      <c r="S1737" s="36">
        <f>ICE[[#This Row],[Vol]]+ICE[[#This Row],[BlkVol]]</f>
        <v>0</v>
      </c>
      <c r="T1737" s="36">
        <f>RTD("ice.rtd",,$C1737 &amp; $D1737 &amp; ":" &amp; T$1)</f>
        <v>0</v>
      </c>
      <c r="U1737" s="18">
        <f>RTD("ice.rtd",,$C1737 &amp; $D1737 &amp; ":" &amp; U$1)</f>
        <v>49.249999999999943</v>
      </c>
      <c r="V17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7" s="18" t="str">
        <f>IFERROR(IF(LEFT(ICE[[#This Row],[Tenor]], 1) = "B", RTD("esrtd",,$B1737 &amp; " " &amp; ICE[[#This Row],[Tenor]] &amp; "-IEU", W$1), RTD("esrtd",,$B1737 &amp; " " &amp; VLOOKUP(MONTH(ICE[[#This Row],[Strip]]), MthRef[], 2, 0) &amp; RIGHT(YEAR(ICE[[#This Row],[Strip]]), 2) &amp; "-IEU", W$1)), "")</f>
        <v/>
      </c>
      <c r="X1737" s="36"/>
    </row>
    <row r="1738" spans="1:24" x14ac:dyDescent="0.25">
      <c r="A1738" s="37" t="s">
        <v>889</v>
      </c>
      <c r="B1738" s="88" t="str">
        <f>RTD("ice.rtd",,$C1738 &amp; $D1738 &amp; ":" &amp; B$1)</f>
        <v>SYS</v>
      </c>
      <c r="C1738" s="3">
        <v>366531</v>
      </c>
      <c r="D1738" t="s">
        <v>880</v>
      </c>
      <c r="E1738" s="3" t="str">
        <f>RTD("ice.rtd",,$C1738 &amp; $D1738 &amp; ":" &amp; E$1)</f>
        <v>Nov26/Jun27</v>
      </c>
      <c r="F1738" s="3" t="str">
        <f>ICE[[#This Row],[Prod]]&amp;ICE[[#This Row],[Strip]]</f>
        <v>fo380Nov26/Jun27</v>
      </c>
      <c r="G1738" s="18" t="str">
        <f>RTD("ice.rtd",,$C1738 &amp; $D1738 &amp; ":" &amp; G$1)</f>
        <v/>
      </c>
      <c r="H1738" s="18" t="str">
        <f>RTD("ice.rtd",,$C1738 &amp; $D1738 &amp; ":" &amp; H$1)</f>
        <v/>
      </c>
      <c r="I1738" s="18" t="str">
        <f>RTD("ice.rtd",,$C1738 &amp; $D1738 &amp; ":" &amp; I$1)</f>
        <v/>
      </c>
      <c r="J1738" s="14" t="str">
        <f>IFERROR(MOD(RTD("ice.rtd",,$C1738 &amp; $D1738 &amp; ":" &amp; J$1), 1), "")</f>
        <v/>
      </c>
      <c r="K1738" s="18" t="str">
        <f>RTD("ice.rtd",,$C1738 &amp; $D1738 &amp; ":" &amp; K$1)</f>
        <v/>
      </c>
      <c r="L1738" s="36" t="str">
        <f>RTD("ice.rtd",,$C1738 &amp; $D1738 &amp; ":" &amp; L$1)</f>
        <v/>
      </c>
      <c r="M1738" s="14" t="str">
        <f>IFERROR(MOD(TIMEVALUE(RTD("ice.rtd",,$C1738 &amp; $D1738 &amp; ":" &amp; M$1)), 1), "")</f>
        <v/>
      </c>
      <c r="N1738" s="36">
        <f>RTD("ice.rtd",,$C1738 &amp; $D1738 &amp; ":" &amp; N$1)</f>
        <v>0</v>
      </c>
      <c r="O1738" s="36">
        <f>RTD("ice.rtd",,$C1738 &amp; $D1738 &amp; ":" &amp; O$1)</f>
        <v>0</v>
      </c>
      <c r="P17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8" s="14" t="str">
        <f>IF(ICE[[#This Row],[LastType]] = "Scrn", ICE[[#This Row],[LstDate]], IF(ICE[[#This Row],[LastType]] = "Blk", ICE[[#This Row],[LstBlkTime]], ""))</f>
        <v/>
      </c>
      <c r="R1738" s="41" t="str">
        <f>IF(ICE[[#This Row],[LastType]] = "Scrn", ICE[[#This Row],[LstPrc]], IF(ICE[[#This Row],[LastType]] = "Blk", ICE[[#This Row],[LstBlkPrc]], ""))</f>
        <v/>
      </c>
      <c r="S1738" s="36">
        <f>ICE[[#This Row],[Vol]]+ICE[[#This Row],[BlkVol]]</f>
        <v>0</v>
      </c>
      <c r="T1738" s="36">
        <f>RTD("ice.rtd",,$C1738 &amp; $D1738 &amp; ":" &amp; T$1)</f>
        <v>0</v>
      </c>
      <c r="U1738" s="18">
        <f>RTD("ice.rtd",,$C1738 &amp; $D1738 &amp; ":" &amp; U$1)</f>
        <v>54.499999999999943</v>
      </c>
      <c r="V17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38" s="18" t="str">
        <f>IFERROR(IF(LEFT(ICE[[#This Row],[Tenor]], 1) = "B", RTD("esrtd",,$B1738 &amp; " " &amp; ICE[[#This Row],[Tenor]] &amp; "-IEU", W$1), RTD("esrtd",,$B1738 &amp; " " &amp; VLOOKUP(MONTH(ICE[[#This Row],[Strip]]), MthRef[], 2, 0) &amp; RIGHT(YEAR(ICE[[#This Row],[Strip]]), 2) &amp; "-IEU", W$1)), "")</f>
        <v/>
      </c>
      <c r="X1738" s="36"/>
    </row>
    <row r="1739" spans="1:24" x14ac:dyDescent="0.25">
      <c r="A1739" s="37" t="s">
        <v>889</v>
      </c>
      <c r="B1739" s="88" t="str">
        <f>RTD("ice.rtd",,$C1739 &amp; $D1739 &amp; ":" &amp; B$1)</f>
        <v>SYS</v>
      </c>
      <c r="C1739" s="3">
        <v>366531</v>
      </c>
      <c r="D1739" t="s">
        <v>881</v>
      </c>
      <c r="E1739" s="3" t="str">
        <f>RTD("ice.rtd",,$C1739 &amp; $D1739 &amp; ":" &amp; E$1)</f>
        <v>Dec26/Jan27</v>
      </c>
      <c r="F1739" s="3" t="str">
        <f>ICE[[#This Row],[Prod]]&amp;ICE[[#This Row],[Strip]]</f>
        <v>fo380Dec26/Jan27</v>
      </c>
      <c r="G1739" s="18">
        <f>RTD("ice.rtd",,$C1739 &amp; $D1739 &amp; ":" &amp; G$1)</f>
        <v>9.5</v>
      </c>
      <c r="H1739" s="18">
        <f>RTD("ice.rtd",,$C1739 &amp; $D1739 &amp; ":" &amp; H$1)</f>
        <v>11.5</v>
      </c>
      <c r="I1739" s="18" t="str">
        <f>RTD("ice.rtd",,$C1739 &amp; $D1739 &amp; ":" &amp; I$1)</f>
        <v/>
      </c>
      <c r="J1739" s="14" t="str">
        <f>IFERROR(MOD(RTD("ice.rtd",,$C1739 &amp; $D1739 &amp; ":" &amp; J$1), 1), "")</f>
        <v/>
      </c>
      <c r="K1739" s="18" t="str">
        <f>RTD("ice.rtd",,$C1739 &amp; $D1739 &amp; ":" &amp; K$1)</f>
        <v/>
      </c>
      <c r="L1739" s="36" t="str">
        <f>RTD("ice.rtd",,$C1739 &amp; $D1739 &amp; ":" &amp; L$1)</f>
        <v/>
      </c>
      <c r="M1739" s="14" t="str">
        <f>IFERROR(MOD(TIMEVALUE(RTD("ice.rtd",,$C1739 &amp; $D1739 &amp; ":" &amp; M$1)), 1), "")</f>
        <v/>
      </c>
      <c r="N1739" s="36">
        <f>RTD("ice.rtd",,$C1739 &amp; $D1739 &amp; ":" &amp; N$1)</f>
        <v>0</v>
      </c>
      <c r="O1739" s="36">
        <f>RTD("ice.rtd",,$C1739 &amp; $D1739 &amp; ":" &amp; O$1)</f>
        <v>0</v>
      </c>
      <c r="P17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39" s="14" t="str">
        <f>IF(ICE[[#This Row],[LastType]] = "Scrn", ICE[[#This Row],[LstDate]], IF(ICE[[#This Row],[LastType]] = "Blk", ICE[[#This Row],[LstBlkTime]], ""))</f>
        <v/>
      </c>
      <c r="R1739" s="41" t="str">
        <f>IF(ICE[[#This Row],[LastType]] = "Scrn", ICE[[#This Row],[LstPrc]], IF(ICE[[#This Row],[LastType]] = "Blk", ICE[[#This Row],[LstBlkPrc]], ""))</f>
        <v/>
      </c>
      <c r="S1739" s="36">
        <f>ICE[[#This Row],[Vol]]+ICE[[#This Row],[BlkVol]]</f>
        <v>0</v>
      </c>
      <c r="T1739" s="36">
        <f>RTD("ice.rtd",,$C1739 &amp; $D1739 &amp; ":" &amp; T$1)</f>
        <v>0</v>
      </c>
      <c r="U1739" s="18">
        <f>RTD("ice.rtd",,$C1739 &amp; $D1739 &amp; ":" &amp; U$1)</f>
        <v>10.749999999999943</v>
      </c>
      <c r="V17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9.50 / 11.50 </v>
      </c>
      <c r="W1739" s="18" t="str">
        <f>IFERROR(IF(LEFT(ICE[[#This Row],[Tenor]], 1) = "B", RTD("esrtd",,$B1739 &amp; " " &amp; ICE[[#This Row],[Tenor]] &amp; "-IEU", W$1), RTD("esrtd",,$B1739 &amp; " " &amp; VLOOKUP(MONTH(ICE[[#This Row],[Strip]]), MthRef[], 2, 0) &amp; RIGHT(YEAR(ICE[[#This Row],[Strip]]), 2) &amp; "-IEU", W$1)), "")</f>
        <v/>
      </c>
      <c r="X1739" s="36"/>
    </row>
    <row r="1740" spans="1:24" x14ac:dyDescent="0.25">
      <c r="A1740" s="37" t="s">
        <v>889</v>
      </c>
      <c r="B1740" s="88" t="str">
        <f>RTD("ice.rtd",,$C1740 &amp; $D1740 &amp; ":" &amp; B$1)</f>
        <v>SYS</v>
      </c>
      <c r="C1740" s="3">
        <v>366531</v>
      </c>
      <c r="D1740" t="s">
        <v>882</v>
      </c>
      <c r="E1740" s="3" t="str">
        <f>RTD("ice.rtd",,$C1740 &amp; $D1740 &amp; ":" &amp; E$1)</f>
        <v>Dec26/Feb27</v>
      </c>
      <c r="F1740" s="3" t="str">
        <f>ICE[[#This Row],[Prod]]&amp;ICE[[#This Row],[Strip]]</f>
        <v>fo380Dec26/Feb27</v>
      </c>
      <c r="G1740" s="18" t="str">
        <f>RTD("ice.rtd",,$C1740 &amp; $D1740 &amp; ":" &amp; G$1)</f>
        <v/>
      </c>
      <c r="H1740" s="18" t="str">
        <f>RTD("ice.rtd",,$C1740 &amp; $D1740 &amp; ":" &amp; H$1)</f>
        <v/>
      </c>
      <c r="I1740" s="18" t="str">
        <f>RTD("ice.rtd",,$C1740 &amp; $D1740 &amp; ":" &amp; I$1)</f>
        <v/>
      </c>
      <c r="J1740" s="14" t="str">
        <f>IFERROR(MOD(RTD("ice.rtd",,$C1740 &amp; $D1740 &amp; ":" &amp; J$1), 1), "")</f>
        <v/>
      </c>
      <c r="K1740" s="18" t="str">
        <f>RTD("ice.rtd",,$C1740 &amp; $D1740 &amp; ":" &amp; K$1)</f>
        <v/>
      </c>
      <c r="L1740" s="36" t="str">
        <f>RTD("ice.rtd",,$C1740 &amp; $D1740 &amp; ":" &amp; L$1)</f>
        <v/>
      </c>
      <c r="M1740" s="14" t="str">
        <f>IFERROR(MOD(TIMEVALUE(RTD("ice.rtd",,$C1740 &amp; $D1740 &amp; ":" &amp; M$1)), 1), "")</f>
        <v/>
      </c>
      <c r="N1740" s="36">
        <f>RTD("ice.rtd",,$C1740 &amp; $D1740 &amp; ":" &amp; N$1)</f>
        <v>0</v>
      </c>
      <c r="O1740" s="36">
        <f>RTD("ice.rtd",,$C1740 &amp; $D1740 &amp; ":" &amp; O$1)</f>
        <v>0</v>
      </c>
      <c r="P17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0" s="14" t="str">
        <f>IF(ICE[[#This Row],[LastType]] = "Scrn", ICE[[#This Row],[LstDate]], IF(ICE[[#This Row],[LastType]] = "Blk", ICE[[#This Row],[LstBlkTime]], ""))</f>
        <v/>
      </c>
      <c r="R1740" s="41" t="str">
        <f>IF(ICE[[#This Row],[LastType]] = "Scrn", ICE[[#This Row],[LstPrc]], IF(ICE[[#This Row],[LastType]] = "Blk", ICE[[#This Row],[LstBlkPrc]], ""))</f>
        <v/>
      </c>
      <c r="S1740" s="36">
        <f>ICE[[#This Row],[Vol]]+ICE[[#This Row],[BlkVol]]</f>
        <v>0</v>
      </c>
      <c r="T1740" s="36">
        <f>RTD("ice.rtd",,$C1740 &amp; $D1740 &amp; ":" &amp; T$1)</f>
        <v>0</v>
      </c>
      <c r="U1740" s="18">
        <f>RTD("ice.rtd",,$C1740 &amp; $D1740 &amp; ":" &amp; U$1)</f>
        <v>19.499999999999943</v>
      </c>
      <c r="V17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40" s="18" t="str">
        <f>IFERROR(IF(LEFT(ICE[[#This Row],[Tenor]], 1) = "B", RTD("esrtd",,$B1740 &amp; " " &amp; ICE[[#This Row],[Tenor]] &amp; "-IEU", W$1), RTD("esrtd",,$B1740 &amp; " " &amp; VLOOKUP(MONTH(ICE[[#This Row],[Strip]]), MthRef[], 2, 0) &amp; RIGHT(YEAR(ICE[[#This Row],[Strip]]), 2) &amp; "-IEU", W$1)), "")</f>
        <v/>
      </c>
      <c r="X1740" s="36"/>
    </row>
    <row r="1741" spans="1:24" x14ac:dyDescent="0.25">
      <c r="A1741" s="37" t="s">
        <v>889</v>
      </c>
      <c r="B1741" s="88" t="str">
        <f>RTD("ice.rtd",,$C1741 &amp; $D1741 &amp; ":" &amp; B$1)</f>
        <v>SYS</v>
      </c>
      <c r="C1741" s="3">
        <v>366531</v>
      </c>
      <c r="D1741" t="s">
        <v>883</v>
      </c>
      <c r="E1741" s="3" t="str">
        <f>RTD("ice.rtd",,$C1741 &amp; $D1741 &amp; ":" &amp; E$1)</f>
        <v>Dec26/Mar27</v>
      </c>
      <c r="F1741" s="3" t="str">
        <f>ICE[[#This Row],[Prod]]&amp;ICE[[#This Row],[Strip]]</f>
        <v>fo380Dec26/Mar27</v>
      </c>
      <c r="G1741" s="18">
        <f>RTD("ice.rtd",,$C1741 &amp; $D1741 &amp; ":" &amp; G$1)</f>
        <v>17.25</v>
      </c>
      <c r="H1741" s="18" t="str">
        <f>RTD("ice.rtd",,$C1741 &amp; $D1741 &amp; ":" &amp; H$1)</f>
        <v/>
      </c>
      <c r="I1741" s="18" t="str">
        <f>RTD("ice.rtd",,$C1741 &amp; $D1741 &amp; ":" &amp; I$1)</f>
        <v/>
      </c>
      <c r="J1741" s="14" t="str">
        <f>IFERROR(MOD(RTD("ice.rtd",,$C1741 &amp; $D1741 &amp; ":" &amp; J$1), 1), "")</f>
        <v/>
      </c>
      <c r="K1741" s="18" t="str">
        <f>RTD("ice.rtd",,$C1741 &amp; $D1741 &amp; ":" &amp; K$1)</f>
        <v/>
      </c>
      <c r="L1741" s="36" t="str">
        <f>RTD("ice.rtd",,$C1741 &amp; $D1741 &amp; ":" &amp; L$1)</f>
        <v/>
      </c>
      <c r="M1741" s="14" t="str">
        <f>IFERROR(MOD(TIMEVALUE(RTD("ice.rtd",,$C1741 &amp; $D1741 &amp; ":" &amp; M$1)), 1), "")</f>
        <v/>
      </c>
      <c r="N1741" s="36">
        <f>RTD("ice.rtd",,$C1741 &amp; $D1741 &amp; ":" &amp; N$1)</f>
        <v>0</v>
      </c>
      <c r="O1741" s="36">
        <f>RTD("ice.rtd",,$C1741 &amp; $D1741 &amp; ":" &amp; O$1)</f>
        <v>0</v>
      </c>
      <c r="P17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1" s="14" t="str">
        <f>IF(ICE[[#This Row],[LastType]] = "Scrn", ICE[[#This Row],[LstDate]], IF(ICE[[#This Row],[LastType]] = "Blk", ICE[[#This Row],[LstBlkTime]], ""))</f>
        <v/>
      </c>
      <c r="R1741" s="41" t="str">
        <f>IF(ICE[[#This Row],[LastType]] = "Scrn", ICE[[#This Row],[LstPrc]], IF(ICE[[#This Row],[LastType]] = "Blk", ICE[[#This Row],[LstBlkPrc]], ""))</f>
        <v/>
      </c>
      <c r="S1741" s="36">
        <f>ICE[[#This Row],[Vol]]+ICE[[#This Row],[BlkVol]]</f>
        <v>0</v>
      </c>
      <c r="T1741" s="36">
        <f>RTD("ice.rtd",,$C1741 &amp; $D1741 &amp; ":" &amp; T$1)</f>
        <v>0</v>
      </c>
      <c r="U1741" s="18">
        <f>RTD("ice.rtd",,$C1741 &amp; $D1741 &amp; ":" &amp; U$1)</f>
        <v>26.499999999999943</v>
      </c>
      <c r="V17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17.25 /  </v>
      </c>
      <c r="W1741" s="18" t="str">
        <f>IFERROR(IF(LEFT(ICE[[#This Row],[Tenor]], 1) = "B", RTD("esrtd",,$B1741 &amp; " " &amp; ICE[[#This Row],[Tenor]] &amp; "-IEU", W$1), RTD("esrtd",,$B1741 &amp; " " &amp; VLOOKUP(MONTH(ICE[[#This Row],[Strip]]), MthRef[], 2, 0) &amp; RIGHT(YEAR(ICE[[#This Row],[Strip]]), 2) &amp; "-IEU", W$1)), "")</f>
        <v/>
      </c>
      <c r="X1741" s="36"/>
    </row>
    <row r="1742" spans="1:24" x14ac:dyDescent="0.25">
      <c r="A1742" s="37" t="s">
        <v>889</v>
      </c>
      <c r="B1742" s="88" t="str">
        <f>RTD("ice.rtd",,$C1742 &amp; $D1742 &amp; ":" &amp; B$1)</f>
        <v>SYS</v>
      </c>
      <c r="C1742" s="3">
        <v>366531</v>
      </c>
      <c r="D1742" t="s">
        <v>884</v>
      </c>
      <c r="E1742" s="3" t="str">
        <f>RTD("ice.rtd",,$C1742 &amp; $D1742 &amp; ":" &amp; E$1)</f>
        <v>Dec26/Apr27</v>
      </c>
      <c r="F1742" s="3" t="str">
        <f>ICE[[#This Row],[Prod]]&amp;ICE[[#This Row],[Strip]]</f>
        <v>fo380Dec26/Apr27</v>
      </c>
      <c r="G1742" s="18" t="str">
        <f>RTD("ice.rtd",,$C1742 &amp; $D1742 &amp; ":" &amp; G$1)</f>
        <v/>
      </c>
      <c r="H1742" s="18" t="str">
        <f>RTD("ice.rtd",,$C1742 &amp; $D1742 &amp; ":" &amp; H$1)</f>
        <v/>
      </c>
      <c r="I1742" s="18" t="str">
        <f>RTD("ice.rtd",,$C1742 &amp; $D1742 &amp; ":" &amp; I$1)</f>
        <v/>
      </c>
      <c r="J1742" s="14" t="str">
        <f>IFERROR(MOD(RTD("ice.rtd",,$C1742 &amp; $D1742 &amp; ":" &amp; J$1), 1), "")</f>
        <v/>
      </c>
      <c r="K1742" s="18" t="str">
        <f>RTD("ice.rtd",,$C1742 &amp; $D1742 &amp; ":" &amp; K$1)</f>
        <v/>
      </c>
      <c r="L1742" s="36" t="str">
        <f>RTD("ice.rtd",,$C1742 &amp; $D1742 &amp; ":" &amp; L$1)</f>
        <v/>
      </c>
      <c r="M1742" s="14" t="str">
        <f>IFERROR(MOD(TIMEVALUE(RTD("ice.rtd",,$C1742 &amp; $D1742 &amp; ":" &amp; M$1)), 1), "")</f>
        <v/>
      </c>
      <c r="N1742" s="36">
        <f>RTD("ice.rtd",,$C1742 &amp; $D1742 &amp; ":" &amp; N$1)</f>
        <v>0</v>
      </c>
      <c r="O1742" s="36">
        <f>RTD("ice.rtd",,$C1742 &amp; $D1742 &amp; ":" &amp; O$1)</f>
        <v>0</v>
      </c>
      <c r="P17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2" s="14" t="str">
        <f>IF(ICE[[#This Row],[LastType]] = "Scrn", ICE[[#This Row],[LstDate]], IF(ICE[[#This Row],[LastType]] = "Blk", ICE[[#This Row],[LstBlkTime]], ""))</f>
        <v/>
      </c>
      <c r="R1742" s="41" t="str">
        <f>IF(ICE[[#This Row],[LastType]] = "Scrn", ICE[[#This Row],[LstPrc]], IF(ICE[[#This Row],[LastType]] = "Blk", ICE[[#This Row],[LstBlkPrc]], ""))</f>
        <v/>
      </c>
      <c r="S1742" s="36">
        <f>ICE[[#This Row],[Vol]]+ICE[[#This Row],[BlkVol]]</f>
        <v>0</v>
      </c>
      <c r="T1742" s="36">
        <f>RTD("ice.rtd",,$C1742 &amp; $D1742 &amp; ":" &amp; T$1)</f>
        <v>0</v>
      </c>
      <c r="U1742" s="18">
        <f>RTD("ice.rtd",,$C1742 &amp; $D1742 &amp; ":" &amp; U$1)</f>
        <v>31.999999999999943</v>
      </c>
      <c r="V17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42" s="18" t="str">
        <f>IFERROR(IF(LEFT(ICE[[#This Row],[Tenor]], 1) = "B", RTD("esrtd",,$B1742 &amp; " " &amp; ICE[[#This Row],[Tenor]] &amp; "-IEU", W$1), RTD("esrtd",,$B1742 &amp; " " &amp; VLOOKUP(MONTH(ICE[[#This Row],[Strip]]), MthRef[], 2, 0) &amp; RIGHT(YEAR(ICE[[#This Row],[Strip]]), 2) &amp; "-IEU", W$1)), "")</f>
        <v/>
      </c>
      <c r="X1742" s="36"/>
    </row>
    <row r="1743" spans="1:24" x14ac:dyDescent="0.25">
      <c r="A1743" s="37" t="s">
        <v>889</v>
      </c>
      <c r="B1743" s="88" t="str">
        <f>RTD("ice.rtd",,$C1743 &amp; $D1743 &amp; ":" &amp; B$1)</f>
        <v>SYS</v>
      </c>
      <c r="C1743" s="3">
        <v>366531</v>
      </c>
      <c r="D1743" t="s">
        <v>885</v>
      </c>
      <c r="E1743" s="3" t="str">
        <f>RTD("ice.rtd",,$C1743 &amp; $D1743 &amp; ":" &amp; E$1)</f>
        <v>Q4 26/Q1 27</v>
      </c>
      <c r="F1743" s="3" t="str">
        <f>ICE[[#This Row],[Prod]]&amp;ICE[[#This Row],[Strip]]</f>
        <v>fo380Q4 26/Q1 27</v>
      </c>
      <c r="G1743" s="18">
        <f>RTD("ice.rtd",,$C1743 &amp; $D1743 &amp; ":" &amp; G$1)</f>
        <v>0</v>
      </c>
      <c r="H1743" s="18" t="str">
        <f>RTD("ice.rtd",,$C1743 &amp; $D1743 &amp; ":" &amp; H$1)</f>
        <v/>
      </c>
      <c r="I1743" s="18" t="str">
        <f>RTD("ice.rtd",,$C1743 &amp; $D1743 &amp; ":" &amp; I$1)</f>
        <v/>
      </c>
      <c r="J1743" s="14" t="str">
        <f>IFERROR(MOD(RTD("ice.rtd",,$C1743 &amp; $D1743 &amp; ":" &amp; J$1), 1), "")</f>
        <v/>
      </c>
      <c r="K1743" s="18" t="str">
        <f>RTD("ice.rtd",,$C1743 &amp; $D1743 &amp; ":" &amp; K$1)</f>
        <v/>
      </c>
      <c r="L1743" s="36" t="str">
        <f>RTD("ice.rtd",,$C1743 &amp; $D1743 &amp; ":" &amp; L$1)</f>
        <v/>
      </c>
      <c r="M1743" s="14" t="str">
        <f>IFERROR(MOD(TIMEVALUE(RTD("ice.rtd",,$C1743 &amp; $D1743 &amp; ":" &amp; M$1)), 1), "")</f>
        <v/>
      </c>
      <c r="N1743" s="36">
        <f>RTD("ice.rtd",,$C1743 &amp; $D1743 &amp; ":" &amp; N$1)</f>
        <v>0</v>
      </c>
      <c r="O1743" s="36">
        <f>RTD("ice.rtd",,$C1743 &amp; $D1743 &amp; ":" &amp; O$1)</f>
        <v>0</v>
      </c>
      <c r="P17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3" s="14" t="str">
        <f>IF(ICE[[#This Row],[LastType]] = "Scrn", ICE[[#This Row],[LstDate]], IF(ICE[[#This Row],[LastType]] = "Blk", ICE[[#This Row],[LstBlkTime]], ""))</f>
        <v/>
      </c>
      <c r="R1743" s="41" t="str">
        <f>IF(ICE[[#This Row],[LastType]] = "Scrn", ICE[[#This Row],[LstPrc]], IF(ICE[[#This Row],[LastType]] = "Blk", ICE[[#This Row],[LstBlkPrc]], ""))</f>
        <v/>
      </c>
      <c r="S1743" s="36">
        <f>ICE[[#This Row],[Vol]]+ICE[[#This Row],[BlkVol]]</f>
        <v>0</v>
      </c>
      <c r="T1743" s="36">
        <f>RTD("ice.rtd",,$C1743 &amp; $D1743 &amp; ":" &amp; T$1)</f>
        <v>0</v>
      </c>
      <c r="U1743" s="18">
        <f>RTD("ice.rtd",,$C1743 &amp; $D1743 &amp; ":" &amp; U$1)</f>
        <v>32.334000000000003</v>
      </c>
      <c r="V17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0.00 /  </v>
      </c>
      <c r="W1743" s="18" t="str">
        <f>IFERROR(IF(LEFT(ICE[[#This Row],[Tenor]], 1) = "B", RTD("esrtd",,$B1743 &amp; " " &amp; ICE[[#This Row],[Tenor]] &amp; "-IEU", W$1), RTD("esrtd",,$B1743 &amp; " " &amp; VLOOKUP(MONTH(ICE[[#This Row],[Strip]]), MthRef[], 2, 0) &amp; RIGHT(YEAR(ICE[[#This Row],[Strip]]), 2) &amp; "-IEU", W$1)), "")</f>
        <v/>
      </c>
      <c r="X1743" s="36"/>
    </row>
    <row r="1744" spans="1:24" x14ac:dyDescent="0.25">
      <c r="A1744" s="37" t="s">
        <v>889</v>
      </c>
      <c r="B1744" s="88" t="str">
        <f>RTD("ice.rtd",,$C1744 &amp; $D1744 &amp; ":" &amp; B$1)</f>
        <v>SYS</v>
      </c>
      <c r="C1744" s="3">
        <v>366531</v>
      </c>
      <c r="D1744" t="s">
        <v>886</v>
      </c>
      <c r="E1744" s="3" t="str">
        <f>RTD("ice.rtd",,$C1744 &amp; $D1744 &amp; ":" &amp; E$1)</f>
        <v>Q1 27/Q2 27</v>
      </c>
      <c r="F1744" s="3" t="str">
        <f>ICE[[#This Row],[Prod]]&amp;ICE[[#This Row],[Strip]]</f>
        <v>fo380Q1 27/Q2 27</v>
      </c>
      <c r="G1744" s="18">
        <f>RTD("ice.rtd",,$C1744 &amp; $D1744 &amp; ":" &amp; G$1)</f>
        <v>0</v>
      </c>
      <c r="H1744" s="18" t="str">
        <f>RTD("ice.rtd",,$C1744 &amp; $D1744 &amp; ":" &amp; H$1)</f>
        <v/>
      </c>
      <c r="I1744" s="18" t="str">
        <f>RTD("ice.rtd",,$C1744 &amp; $D1744 &amp; ":" &amp; I$1)</f>
        <v/>
      </c>
      <c r="J1744" s="14" t="str">
        <f>IFERROR(MOD(RTD("ice.rtd",,$C1744 &amp; $D1744 &amp; ":" &amp; J$1), 1), "")</f>
        <v/>
      </c>
      <c r="K1744" s="18" t="str">
        <f>RTD("ice.rtd",,$C1744 &amp; $D1744 &amp; ":" &amp; K$1)</f>
        <v/>
      </c>
      <c r="L1744" s="36" t="str">
        <f>RTD("ice.rtd",,$C1744 &amp; $D1744 &amp; ":" &amp; L$1)</f>
        <v/>
      </c>
      <c r="M1744" s="14" t="str">
        <f>IFERROR(MOD(TIMEVALUE(RTD("ice.rtd",,$C1744 &amp; $D1744 &amp; ":" &amp; M$1)), 1), "")</f>
        <v/>
      </c>
      <c r="N1744" s="36">
        <f>RTD("ice.rtd",,$C1744 &amp; $D1744 &amp; ":" &amp; N$1)</f>
        <v>0</v>
      </c>
      <c r="O1744" s="36">
        <f>RTD("ice.rtd",,$C1744 &amp; $D1744 &amp; ":" &amp; O$1)</f>
        <v>0</v>
      </c>
      <c r="P17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4" s="14" t="str">
        <f>IF(ICE[[#This Row],[LastType]] = "Scrn", ICE[[#This Row],[LstDate]], IF(ICE[[#This Row],[LastType]] = "Blk", ICE[[#This Row],[LstBlkTime]], ""))</f>
        <v/>
      </c>
      <c r="R1744" s="41" t="str">
        <f>IF(ICE[[#This Row],[LastType]] = "Scrn", ICE[[#This Row],[LstPrc]], IF(ICE[[#This Row],[LastType]] = "Blk", ICE[[#This Row],[LstBlkPrc]], ""))</f>
        <v/>
      </c>
      <c r="S1744" s="36">
        <f>ICE[[#This Row],[Vol]]+ICE[[#This Row],[BlkVol]]</f>
        <v>0</v>
      </c>
      <c r="T1744" s="36">
        <f>RTD("ice.rtd",,$C1744 &amp; $D1744 &amp; ":" &amp; T$1)</f>
        <v>0</v>
      </c>
      <c r="U1744" s="18">
        <f>RTD("ice.rtd",,$C1744 &amp; $D1744 &amp; ":" &amp; U$1)</f>
        <v>18.165999999999997</v>
      </c>
      <c r="V17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0.00 /  </v>
      </c>
      <c r="W1744" s="18" t="str">
        <f>IFERROR(IF(LEFT(ICE[[#This Row],[Tenor]], 1) = "B", RTD("esrtd",,$B1744 &amp; " " &amp; ICE[[#This Row],[Tenor]] &amp; "-IEU", W$1), RTD("esrtd",,$B1744 &amp; " " &amp; VLOOKUP(MONTH(ICE[[#This Row],[Strip]]), MthRef[], 2, 0) &amp; RIGHT(YEAR(ICE[[#This Row],[Strip]]), 2) &amp; "-IEU", W$1)), "")</f>
        <v/>
      </c>
      <c r="X1744" s="36"/>
    </row>
    <row r="1745" spans="1:24" x14ac:dyDescent="0.25">
      <c r="A1745" s="37" t="s">
        <v>889</v>
      </c>
      <c r="B1745" s="88" t="str">
        <f>RTD("ice.rtd",,$C1745 &amp; $D1745 &amp; ":" &amp; B$1)</f>
        <v>SYS</v>
      </c>
      <c r="C1745" s="3">
        <v>366531</v>
      </c>
      <c r="D1745" t="s">
        <v>887</v>
      </c>
      <c r="E1745" s="3" t="str">
        <f>RTD("ice.rtd",,$C1745 &amp; $D1745 &amp; ":" &amp; E$1)</f>
        <v>Cal 27/Cal 28</v>
      </c>
      <c r="F1745" s="3" t="str">
        <f>ICE[[#This Row],[Prod]]&amp;ICE[[#This Row],[Strip]]</f>
        <v>fo380Cal 27/Cal 28</v>
      </c>
      <c r="G1745" s="18" t="str">
        <f>RTD("ice.rtd",,$C1745 &amp; $D1745 &amp; ":" &amp; G$1)</f>
        <v/>
      </c>
      <c r="H1745" s="18" t="str">
        <f>RTD("ice.rtd",,$C1745 &amp; $D1745 &amp; ":" &amp; H$1)</f>
        <v/>
      </c>
      <c r="I1745" s="18" t="str">
        <f>RTD("ice.rtd",,$C1745 &amp; $D1745 &amp; ":" &amp; I$1)</f>
        <v/>
      </c>
      <c r="J1745" s="14" t="str">
        <f>IFERROR(MOD(RTD("ice.rtd",,$C1745 &amp; $D1745 &amp; ":" &amp; J$1), 1), "")</f>
        <v/>
      </c>
      <c r="K1745" s="18" t="str">
        <f>RTD("ice.rtd",,$C1745 &amp; $D1745 &amp; ":" &amp; K$1)</f>
        <v/>
      </c>
      <c r="L1745" s="36" t="str">
        <f>RTD("ice.rtd",,$C1745 &amp; $D1745 &amp; ":" &amp; L$1)</f>
        <v/>
      </c>
      <c r="M1745" s="14" t="str">
        <f>IFERROR(MOD(TIMEVALUE(RTD("ice.rtd",,$C1745 &amp; $D1745 &amp; ":" &amp; M$1)), 1), "")</f>
        <v/>
      </c>
      <c r="N1745" s="36">
        <f>RTD("ice.rtd",,$C1745 &amp; $D1745 &amp; ":" &amp; N$1)</f>
        <v>0</v>
      </c>
      <c r="O1745" s="36">
        <f>RTD("ice.rtd",,$C1745 &amp; $D1745 &amp; ":" &amp; O$1)</f>
        <v>0</v>
      </c>
      <c r="P17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5" s="14" t="str">
        <f>IF(ICE[[#This Row],[LastType]] = "Scrn", ICE[[#This Row],[LstDate]], IF(ICE[[#This Row],[LastType]] = "Blk", ICE[[#This Row],[LstBlkTime]], ""))</f>
        <v/>
      </c>
      <c r="R1745" s="41" t="str">
        <f>IF(ICE[[#This Row],[LastType]] = "Scrn", ICE[[#This Row],[LstPrc]], IF(ICE[[#This Row],[LastType]] = "Blk", ICE[[#This Row],[LstBlkPrc]], ""))</f>
        <v/>
      </c>
      <c r="S1745" s="36">
        <f>ICE[[#This Row],[Vol]]+ICE[[#This Row],[BlkVol]]</f>
        <v>0</v>
      </c>
      <c r="T1745" s="36">
        <f>RTD("ice.rtd",,$C1745 &amp; $D1745 &amp; ":" &amp; T$1)</f>
        <v>0</v>
      </c>
      <c r="U1745" s="18">
        <f>RTD("ice.rtd",,$C1745 &amp; $D1745 &amp; ":" &amp; U$1)</f>
        <v>36.621000000000038</v>
      </c>
      <c r="V17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45" s="18" t="str">
        <f>IFERROR(IF(LEFT(ICE[[#This Row],[Tenor]], 1) = "B", RTD("esrtd",,$B1745 &amp; " " &amp; ICE[[#This Row],[Tenor]] &amp; "-IEU", W$1), RTD("esrtd",,$B1745 &amp; " " &amp; VLOOKUP(MONTH(ICE[[#This Row],[Strip]]), MthRef[], 2, 0) &amp; RIGHT(YEAR(ICE[[#This Row],[Strip]]), 2) &amp; "-IEU", W$1)), "")</f>
        <v/>
      </c>
      <c r="X1745" s="36"/>
    </row>
    <row r="1746" spans="1:24" x14ac:dyDescent="0.25">
      <c r="A1746" s="37" t="s">
        <v>355</v>
      </c>
      <c r="B1746" s="3" t="str">
        <f>RTD("ice.rtd",,$C1746 &amp; $D1746 &amp; ":" &amp; B$1)</f>
        <v>ASX</v>
      </c>
      <c r="C1746" s="3">
        <v>3126131030</v>
      </c>
      <c r="D1746" t="s">
        <v>792</v>
      </c>
      <c r="E1746" s="3" t="str">
        <f>RTD("ice.rtd",,$C1746 &amp; $D1746 &amp; ":" &amp; E$1)</f>
        <v>Bal Month Trade Month</v>
      </c>
      <c r="F1746" s="3" t="str">
        <f>ICE[[#This Row],[Prod]]&amp;ICE[[#This Row],[Strip]]</f>
        <v>icewcstitmaBal Month Trade Month</v>
      </c>
      <c r="G1746" s="18" t="str">
        <f>RTD("ice.rtd",,$C1746 &amp; $D1746 &amp; ":" &amp; G$1)</f>
        <v/>
      </c>
      <c r="H1746" s="18" t="str">
        <f>RTD("ice.rtd",,$C1746 &amp; $D1746 &amp; ":" &amp; H$1)</f>
        <v/>
      </c>
      <c r="I1746" s="18" t="str">
        <f>RTD("ice.rtd",,$C1746 &amp; $D1746 &amp; ":" &amp; I$1)</f>
        <v/>
      </c>
      <c r="J1746" s="14" t="str">
        <f>IFERROR(MOD(RTD("ice.rtd",,$C1746 &amp; $D1746 &amp; ":" &amp; J$1), 1), "")</f>
        <v/>
      </c>
      <c r="K1746" s="18" t="str">
        <f>RTD("ice.rtd",,$C1746 &amp; $D1746 &amp; ":" &amp; K$1)</f>
        <v/>
      </c>
      <c r="L1746" s="36" t="str">
        <f>RTD("ice.rtd",,$C1746 &amp; $D1746 &amp; ":" &amp; L$1)</f>
        <v/>
      </c>
      <c r="M1746" s="14" t="str">
        <f>IFERROR(MOD(TIMEVALUE(RTD("ice.rtd",,$C1746 &amp; $D1746 &amp; ":" &amp; M$1)), 1), "")</f>
        <v/>
      </c>
      <c r="N1746" s="36">
        <f>RTD("ice.rtd",,$C1746 &amp; $D1746 &amp; ":" &amp; N$1)</f>
        <v>0</v>
      </c>
      <c r="O1746" s="36">
        <f>RTD("ice.rtd",,$C1746 &amp; $D1746 &amp; ":" &amp; O$1)</f>
        <v>0</v>
      </c>
      <c r="P1746" s="14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6" s="14" t="str">
        <f>IF(ICE[[#This Row],[LastType]] = "Scrn", ICE[[#This Row],[LstDate]], IF(ICE[[#This Row],[LastType]] = "Blk", ICE[[#This Row],[LstBlkTime]], ""))</f>
        <v/>
      </c>
      <c r="R1746" s="41" t="str">
        <f>IF(ICE[[#This Row],[LastType]] = "Scrn", ICE[[#This Row],[LstPrc]], IF(ICE[[#This Row],[LastType]] = "Blk", ICE[[#This Row],[LstBlkPrc]], ""))</f>
        <v/>
      </c>
      <c r="S1746" s="36">
        <f>ICE[[#This Row],[Vol]]+ICE[[#This Row],[BlkVol]]</f>
        <v>0</v>
      </c>
      <c r="T1746" s="36">
        <f>RTD("ice.rtd",,$C1746 &amp; $D1746 &amp; ":" &amp; T$1)</f>
        <v>0</v>
      </c>
      <c r="U1746" s="18">
        <f>RTD("ice.rtd",,$C1746 &amp; $D1746 &amp; ":" &amp; U$1)</f>
        <v>-7.8</v>
      </c>
      <c r="V17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46" s="18" t="str">
        <f>IFERROR(IF(LEFT(ICE[[#This Row],[Tenor]], 1) = "B", RTD("esrtd",,$B1746 &amp; " " &amp; ICE[[#This Row],[Tenor]] &amp; "-IEU", W$1), RTD("esrtd",,$B1746 &amp; " " &amp; VLOOKUP(MONTH(ICE[[#This Row],[Strip]]), MthRef[], 2, 0) &amp; RIGHT(YEAR(ICE[[#This Row],[Strip]]), 2) &amp; "-IEU", W$1)), "")</f>
        <v/>
      </c>
      <c r="X1746" s="36"/>
    </row>
    <row r="1747" spans="1:24" x14ac:dyDescent="0.25">
      <c r="A1747" s="37" t="s">
        <v>355</v>
      </c>
      <c r="B1747" s="88" t="str">
        <f>RTD("ice.rtd",,$C1747 &amp; $D1747 &amp; ":" &amp; B$1)</f>
        <v>ARV</v>
      </c>
      <c r="C1747" s="3">
        <v>2044823525</v>
      </c>
      <c r="D1747" t="s">
        <v>793</v>
      </c>
      <c r="E1747" s="3" t="str">
        <f>RTD("ice.rtd",,$C1747 &amp; $D1747 &amp; ":" &amp; E$1)</f>
        <v>Oct26</v>
      </c>
      <c r="F1747" s="3" t="str">
        <f>ICE[[#This Row],[Prod]]&amp;ICE[[#This Row],[Strip]]</f>
        <v>icewcstitmaOct26</v>
      </c>
      <c r="G1747" s="18" t="str">
        <f>RTD("ice.rtd",,$C1747 &amp; $D1747 &amp; ":" &amp; G$1)</f>
        <v/>
      </c>
      <c r="H1747" s="18" t="str">
        <f>RTD("ice.rtd",,$C1747 &amp; $D1747 &amp; ":" &amp; H$1)</f>
        <v/>
      </c>
      <c r="I1747" s="18" t="str">
        <f>RTD("ice.rtd",,$C1747 &amp; $D1747 &amp; ":" &amp; I$1)</f>
        <v/>
      </c>
      <c r="J1747" s="14" t="str">
        <f>IFERROR(MOD(RTD("ice.rtd",,$C1747 &amp; $D1747 &amp; ":" &amp; J$1), 1), "")</f>
        <v/>
      </c>
      <c r="K1747" s="18" t="str">
        <f>RTD("ice.rtd",,$C1747 &amp; $D1747 &amp; ":" &amp; K$1)</f>
        <v/>
      </c>
      <c r="L1747" s="36" t="str">
        <f>RTD("ice.rtd",,$C1747 &amp; $D1747 &amp; ":" &amp; L$1)</f>
        <v/>
      </c>
      <c r="M1747" s="14" t="str">
        <f>IFERROR(MOD(TIMEVALUE(RTD("ice.rtd",,$C1747 &amp; $D1747 &amp; ":" &amp; M$1)), 1), "")</f>
        <v/>
      </c>
      <c r="N1747" s="36">
        <f>RTD("ice.rtd",,$C1747 &amp; $D1747 &amp; ":" &amp; N$1)</f>
        <v>0</v>
      </c>
      <c r="O1747" s="36">
        <f>RTD("ice.rtd",,$C1747 &amp; $D1747 &amp; ":" &amp; O$1)</f>
        <v>0</v>
      </c>
      <c r="P17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7" s="14" t="str">
        <f>IF(ICE[[#This Row],[LastType]] = "Scrn", ICE[[#This Row],[LstDate]], IF(ICE[[#This Row],[LastType]] = "Blk", ICE[[#This Row],[LstBlkTime]], ""))</f>
        <v/>
      </c>
      <c r="R1747" s="41" t="str">
        <f>IF(ICE[[#This Row],[LastType]] = "Scrn", ICE[[#This Row],[LstPrc]], IF(ICE[[#This Row],[LastType]] = "Blk", ICE[[#This Row],[LstBlkPrc]], ""))</f>
        <v/>
      </c>
      <c r="S1747" s="36">
        <f>ICE[[#This Row],[Vol]]+ICE[[#This Row],[BlkVol]]</f>
        <v>0</v>
      </c>
      <c r="T1747" s="36">
        <f>RTD("ice.rtd",,$C1747 &amp; $D1747 &amp; ":" &amp; T$1)</f>
        <v>13135</v>
      </c>
      <c r="U1747" s="18">
        <f>RTD("ice.rtd",,$C1747 &amp; $D1747 &amp; ":" &amp; U$1)</f>
        <v>-7.8520000000000003</v>
      </c>
      <c r="V17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47" s="18" t="str">
        <f>IFERROR(IF(LEFT(ICE[[#This Row],[Tenor]], 1) = "B", RTD("esrtd",,$B1747 &amp; " " &amp; ICE[[#This Row],[Tenor]] &amp; "-IEU", W$1), RTD("esrtd",,$B1747 &amp; " " &amp; VLOOKUP(MONTH(ICE[[#This Row],[Strip]]), MthRef[], 2, 0) &amp; RIGHT(YEAR(ICE[[#This Row],[Strip]]), 2) &amp; "-IEU", W$1)), "")</f>
        <v/>
      </c>
      <c r="X1747" s="36"/>
    </row>
    <row r="1748" spans="1:24" x14ac:dyDescent="0.25">
      <c r="A1748" s="37" t="s">
        <v>355</v>
      </c>
      <c r="B1748" s="88" t="str">
        <f>RTD("ice.rtd",,$C1748 &amp; $D1748 &amp; ":" &amp; B$1)</f>
        <v>ARV</v>
      </c>
      <c r="C1748" s="3">
        <v>2044823525</v>
      </c>
      <c r="D1748" t="s">
        <v>324</v>
      </c>
      <c r="E1748" s="3" t="str">
        <f>RTD("ice.rtd",,$C1748 &amp; $D1748 &amp; ":" &amp; E$1)</f>
        <v>Nov26</v>
      </c>
      <c r="F1748" s="3" t="str">
        <f>ICE[[#This Row],[Prod]]&amp;ICE[[#This Row],[Strip]]</f>
        <v>icewcstitmaNov26</v>
      </c>
      <c r="G1748" s="18" t="str">
        <f>RTD("ice.rtd",,$C1748 &amp; $D1748 &amp; ":" &amp; G$1)</f>
        <v/>
      </c>
      <c r="H1748" s="18" t="str">
        <f>RTD("ice.rtd",,$C1748 &amp; $D1748 &amp; ":" &amp; H$1)</f>
        <v/>
      </c>
      <c r="I1748" s="18" t="str">
        <f>RTD("ice.rtd",,$C1748 &amp; $D1748 &amp; ":" &amp; I$1)</f>
        <v/>
      </c>
      <c r="J1748" s="14" t="str">
        <f>IFERROR(MOD(RTD("ice.rtd",,$C1748 &amp; $D1748 &amp; ":" &amp; J$1), 1), "")</f>
        <v/>
      </c>
      <c r="K1748" s="18" t="str">
        <f>RTD("ice.rtd",,$C1748 &amp; $D1748 &amp; ":" &amp; K$1)</f>
        <v/>
      </c>
      <c r="L1748" s="36" t="str">
        <f>RTD("ice.rtd",,$C1748 &amp; $D1748 &amp; ":" &amp; L$1)</f>
        <v/>
      </c>
      <c r="M1748" s="14" t="str">
        <f>IFERROR(MOD(TIMEVALUE(RTD("ice.rtd",,$C1748 &amp; $D1748 &amp; ":" &amp; M$1)), 1), "")</f>
        <v/>
      </c>
      <c r="N1748" s="36">
        <f>RTD("ice.rtd",,$C1748 &amp; $D1748 &amp; ":" &amp; N$1)</f>
        <v>0</v>
      </c>
      <c r="O1748" s="36">
        <f>RTD("ice.rtd",,$C1748 &amp; $D1748 &amp; ":" &amp; O$1)</f>
        <v>0</v>
      </c>
      <c r="P17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8" s="14" t="str">
        <f>IF(ICE[[#This Row],[LastType]] = "Scrn", ICE[[#This Row],[LstDate]], IF(ICE[[#This Row],[LastType]] = "Blk", ICE[[#This Row],[LstBlkTime]], ""))</f>
        <v/>
      </c>
      <c r="R1748" s="41" t="str">
        <f>IF(ICE[[#This Row],[LastType]] = "Scrn", ICE[[#This Row],[LstPrc]], IF(ICE[[#This Row],[LastType]] = "Blk", ICE[[#This Row],[LstBlkPrc]], ""))</f>
        <v/>
      </c>
      <c r="S1748" s="36">
        <f>ICE[[#This Row],[Vol]]+ICE[[#This Row],[BlkVol]]</f>
        <v>0</v>
      </c>
      <c r="T1748" s="36">
        <f>RTD("ice.rtd",,$C1748 &amp; $D1748 &amp; ":" &amp; T$1)</f>
        <v>7465</v>
      </c>
      <c r="U1748" s="18">
        <f>RTD("ice.rtd",,$C1748 &amp; $D1748 &amp; ":" &amp; U$1)</f>
        <v>-7.6000000000000005</v>
      </c>
      <c r="V17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48" s="18" t="str">
        <f>IFERROR(IF(LEFT(ICE[[#This Row],[Tenor]], 1) = "B", RTD("esrtd",,$B1748 &amp; " " &amp; ICE[[#This Row],[Tenor]] &amp; "-IEU", W$1), RTD("esrtd",,$B1748 &amp; " " &amp; VLOOKUP(MONTH(ICE[[#This Row],[Strip]]), MthRef[], 2, 0) &amp; RIGHT(YEAR(ICE[[#This Row],[Strip]]), 2) &amp; "-IEU", W$1)), "")</f>
        <v/>
      </c>
      <c r="X1748" s="36"/>
    </row>
    <row r="1749" spans="1:24" x14ac:dyDescent="0.25">
      <c r="A1749" s="37" t="s">
        <v>355</v>
      </c>
      <c r="B1749" s="88" t="str">
        <f>RTD("ice.rtd",,$C1749 &amp; $D1749 &amp; ":" &amp; B$1)</f>
        <v>ARV</v>
      </c>
      <c r="C1749" s="3">
        <v>2044823525</v>
      </c>
      <c r="D1749" t="s">
        <v>325</v>
      </c>
      <c r="E1749" s="3" t="str">
        <f>RTD("ice.rtd",,$C1749 &amp; $D1749 &amp; ":" &amp; E$1)</f>
        <v>Dec26</v>
      </c>
      <c r="F1749" s="3" t="str">
        <f>ICE[[#This Row],[Prod]]&amp;ICE[[#This Row],[Strip]]</f>
        <v>icewcstitmaDec26</v>
      </c>
      <c r="G1749" s="18" t="str">
        <f>RTD("ice.rtd",,$C1749 &amp; $D1749 &amp; ":" &amp; G$1)</f>
        <v/>
      </c>
      <c r="H1749" s="18" t="str">
        <f>RTD("ice.rtd",,$C1749 &amp; $D1749 &amp; ":" &amp; H$1)</f>
        <v/>
      </c>
      <c r="I1749" s="18" t="str">
        <f>RTD("ice.rtd",,$C1749 &amp; $D1749 &amp; ":" &amp; I$1)</f>
        <v/>
      </c>
      <c r="J1749" s="14" t="str">
        <f>IFERROR(MOD(RTD("ice.rtd",,$C1749 &amp; $D1749 &amp; ":" &amp; J$1), 1), "")</f>
        <v/>
      </c>
      <c r="K1749" s="18" t="str">
        <f>RTD("ice.rtd",,$C1749 &amp; $D1749 &amp; ":" &amp; K$1)</f>
        <v/>
      </c>
      <c r="L1749" s="36" t="str">
        <f>RTD("ice.rtd",,$C1749 &amp; $D1749 &amp; ":" &amp; L$1)</f>
        <v/>
      </c>
      <c r="M1749" s="14" t="str">
        <f>IFERROR(MOD(TIMEVALUE(RTD("ice.rtd",,$C1749 &amp; $D1749 &amp; ":" &amp; M$1)), 1), "")</f>
        <v/>
      </c>
      <c r="N1749" s="36">
        <f>RTD("ice.rtd",,$C1749 &amp; $D1749 &amp; ":" &amp; N$1)</f>
        <v>0</v>
      </c>
      <c r="O1749" s="36">
        <f>RTD("ice.rtd",,$C1749 &amp; $D1749 &amp; ":" &amp; O$1)</f>
        <v>0</v>
      </c>
      <c r="P17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49" s="14" t="str">
        <f>IF(ICE[[#This Row],[LastType]] = "Scrn", ICE[[#This Row],[LstDate]], IF(ICE[[#This Row],[LastType]] = "Blk", ICE[[#This Row],[LstBlkTime]], ""))</f>
        <v/>
      </c>
      <c r="R1749" s="41" t="str">
        <f>IF(ICE[[#This Row],[LastType]] = "Scrn", ICE[[#This Row],[LstPrc]], IF(ICE[[#This Row],[LastType]] = "Blk", ICE[[#This Row],[LstBlkPrc]], ""))</f>
        <v/>
      </c>
      <c r="S1749" s="36">
        <f>ICE[[#This Row],[Vol]]+ICE[[#This Row],[BlkVol]]</f>
        <v>0</v>
      </c>
      <c r="T1749" s="36">
        <f>RTD("ice.rtd",,$C1749 &amp; $D1749 &amp; ":" &amp; T$1)</f>
        <v>7503</v>
      </c>
      <c r="U1749" s="18">
        <f>RTD("ice.rtd",,$C1749 &amp; $D1749 &amp; ":" &amp; U$1)</f>
        <v>-7.7</v>
      </c>
      <c r="V17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49" s="18" t="str">
        <f>IFERROR(IF(LEFT(ICE[[#This Row],[Tenor]], 1) = "B", RTD("esrtd",,$B1749 &amp; " " &amp; ICE[[#This Row],[Tenor]] &amp; "-IEU", W$1), RTD("esrtd",,$B1749 &amp; " " &amp; VLOOKUP(MONTH(ICE[[#This Row],[Strip]]), MthRef[], 2, 0) &amp; RIGHT(YEAR(ICE[[#This Row],[Strip]]), 2) &amp; "-IEU", W$1)), "")</f>
        <v/>
      </c>
      <c r="X1749" s="36"/>
    </row>
    <row r="1750" spans="1:24" x14ac:dyDescent="0.25">
      <c r="A1750" s="37" t="s">
        <v>355</v>
      </c>
      <c r="B1750" s="88" t="str">
        <f>RTD("ice.rtd",,$C1750 &amp; $D1750 &amp; ":" &amp; B$1)</f>
        <v>ARV</v>
      </c>
      <c r="C1750" s="3">
        <v>2044823525</v>
      </c>
      <c r="D1750" t="s">
        <v>326</v>
      </c>
      <c r="E1750" s="3" t="str">
        <f>RTD("ice.rtd",,$C1750 &amp; $D1750 &amp; ":" &amp; E$1)</f>
        <v>Jan27</v>
      </c>
      <c r="F1750" s="3" t="str">
        <f>ICE[[#This Row],[Prod]]&amp;ICE[[#This Row],[Strip]]</f>
        <v>icewcstitmaJan27</v>
      </c>
      <c r="G1750" s="18" t="str">
        <f>RTD("ice.rtd",,$C1750 &amp; $D1750 &amp; ":" &amp; G$1)</f>
        <v/>
      </c>
      <c r="H1750" s="18" t="str">
        <f>RTD("ice.rtd",,$C1750 &amp; $D1750 &amp; ":" &amp; H$1)</f>
        <v/>
      </c>
      <c r="I1750" s="18" t="str">
        <f>RTD("ice.rtd",,$C1750 &amp; $D1750 &amp; ":" &amp; I$1)</f>
        <v/>
      </c>
      <c r="J1750" s="14" t="str">
        <f>IFERROR(MOD(RTD("ice.rtd",,$C1750 &amp; $D1750 &amp; ":" &amp; J$1), 1), "")</f>
        <v/>
      </c>
      <c r="K1750" s="18" t="str">
        <f>RTD("ice.rtd",,$C1750 &amp; $D1750 &amp; ":" &amp; K$1)</f>
        <v/>
      </c>
      <c r="L1750" s="36" t="str">
        <f>RTD("ice.rtd",,$C1750 &amp; $D1750 &amp; ":" &amp; L$1)</f>
        <v/>
      </c>
      <c r="M1750" s="14" t="str">
        <f>IFERROR(MOD(TIMEVALUE(RTD("ice.rtd",,$C1750 &amp; $D1750 &amp; ":" &amp; M$1)), 1), "")</f>
        <v/>
      </c>
      <c r="N1750" s="36">
        <f>RTD("ice.rtd",,$C1750 &amp; $D1750 &amp; ":" &amp; N$1)</f>
        <v>0</v>
      </c>
      <c r="O1750" s="36">
        <f>RTD("ice.rtd",,$C1750 &amp; $D1750 &amp; ":" &amp; O$1)</f>
        <v>0</v>
      </c>
      <c r="P17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0" s="14" t="str">
        <f>IF(ICE[[#This Row],[LastType]] = "Scrn", ICE[[#This Row],[LstDate]], IF(ICE[[#This Row],[LastType]] = "Blk", ICE[[#This Row],[LstBlkTime]], ""))</f>
        <v/>
      </c>
      <c r="R1750" s="41" t="str">
        <f>IF(ICE[[#This Row],[LastType]] = "Scrn", ICE[[#This Row],[LstPrc]], IF(ICE[[#This Row],[LastType]] = "Blk", ICE[[#This Row],[LstBlkPrc]], ""))</f>
        <v/>
      </c>
      <c r="S1750" s="36">
        <f>ICE[[#This Row],[Vol]]+ICE[[#This Row],[BlkVol]]</f>
        <v>0</v>
      </c>
      <c r="T1750" s="36">
        <f>RTD("ice.rtd",,$C1750 &amp; $D1750 &amp; ":" &amp; T$1)</f>
        <v>6155</v>
      </c>
      <c r="U1750" s="18">
        <f>RTD("ice.rtd",,$C1750 &amp; $D1750 &amp; ":" &amp; U$1)</f>
        <v>-7.8500000000000005</v>
      </c>
      <c r="V17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0" s="18" t="str">
        <f>IFERROR(IF(LEFT(ICE[[#This Row],[Tenor]], 1) = "B", RTD("esrtd",,$B1750 &amp; " " &amp; ICE[[#This Row],[Tenor]] &amp; "-IEU", W$1), RTD("esrtd",,$B1750 &amp; " " &amp; VLOOKUP(MONTH(ICE[[#This Row],[Strip]]), MthRef[], 2, 0) &amp; RIGHT(YEAR(ICE[[#This Row],[Strip]]), 2) &amp; "-IEU", W$1)), "")</f>
        <v/>
      </c>
      <c r="X1750" s="36"/>
    </row>
    <row r="1751" spans="1:24" x14ac:dyDescent="0.25">
      <c r="A1751" s="37" t="s">
        <v>355</v>
      </c>
      <c r="B1751" s="88" t="str">
        <f>RTD("ice.rtd",,$C1751 &amp; $D1751 &amp; ":" &amp; B$1)</f>
        <v>ARV</v>
      </c>
      <c r="C1751" s="3">
        <v>2044823525</v>
      </c>
      <c r="D1751" t="s">
        <v>794</v>
      </c>
      <c r="E1751" s="3" t="str">
        <f>RTD("ice.rtd",,$C1751 &amp; $D1751 &amp; ":" &amp; E$1)</f>
        <v>Feb27</v>
      </c>
      <c r="F1751" s="3" t="str">
        <f>ICE[[#This Row],[Prod]]&amp;ICE[[#This Row],[Strip]]</f>
        <v>icewcstitmaFeb27</v>
      </c>
      <c r="G1751" s="18" t="str">
        <f>RTD("ice.rtd",,$C1751 &amp; $D1751 &amp; ":" &amp; G$1)</f>
        <v/>
      </c>
      <c r="H1751" s="18" t="str">
        <f>RTD("ice.rtd",,$C1751 &amp; $D1751 &amp; ":" &amp; H$1)</f>
        <v/>
      </c>
      <c r="I1751" s="18" t="str">
        <f>RTD("ice.rtd",,$C1751 &amp; $D1751 &amp; ":" &amp; I$1)</f>
        <v/>
      </c>
      <c r="J1751" s="14" t="str">
        <f>IFERROR(MOD(RTD("ice.rtd",,$C1751 &amp; $D1751 &amp; ":" &amp; J$1), 1), "")</f>
        <v/>
      </c>
      <c r="K1751" s="18" t="str">
        <f>RTD("ice.rtd",,$C1751 &amp; $D1751 &amp; ":" &amp; K$1)</f>
        <v/>
      </c>
      <c r="L1751" s="36" t="str">
        <f>RTD("ice.rtd",,$C1751 &amp; $D1751 &amp; ":" &amp; L$1)</f>
        <v/>
      </c>
      <c r="M1751" s="14" t="str">
        <f>IFERROR(MOD(TIMEVALUE(RTD("ice.rtd",,$C1751 &amp; $D1751 &amp; ":" &amp; M$1)), 1), "")</f>
        <v/>
      </c>
      <c r="N1751" s="36">
        <f>RTD("ice.rtd",,$C1751 &amp; $D1751 &amp; ":" &amp; N$1)</f>
        <v>0</v>
      </c>
      <c r="O1751" s="36">
        <f>RTD("ice.rtd",,$C1751 &amp; $D1751 &amp; ":" &amp; O$1)</f>
        <v>0</v>
      </c>
      <c r="P17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1" s="14" t="str">
        <f>IF(ICE[[#This Row],[LastType]] = "Scrn", ICE[[#This Row],[LstDate]], IF(ICE[[#This Row],[LastType]] = "Blk", ICE[[#This Row],[LstBlkTime]], ""))</f>
        <v/>
      </c>
      <c r="R1751" s="41" t="str">
        <f>IF(ICE[[#This Row],[LastType]] = "Scrn", ICE[[#This Row],[LstPrc]], IF(ICE[[#This Row],[LastType]] = "Blk", ICE[[#This Row],[LstBlkPrc]], ""))</f>
        <v/>
      </c>
      <c r="S1751" s="36">
        <f>ICE[[#This Row],[Vol]]+ICE[[#This Row],[BlkVol]]</f>
        <v>0</v>
      </c>
      <c r="T1751" s="36">
        <f>RTD("ice.rtd",,$C1751 &amp; $D1751 &amp; ":" &amp; T$1)</f>
        <v>6205</v>
      </c>
      <c r="U1751" s="18">
        <f>RTD("ice.rtd",,$C1751 &amp; $D1751 &amp; ":" &amp; U$1)</f>
        <v>-8.0500000000000007</v>
      </c>
      <c r="V17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1" s="18" t="str">
        <f>IFERROR(IF(LEFT(ICE[[#This Row],[Tenor]], 1) = "B", RTD("esrtd",,$B1751 &amp; " " &amp; ICE[[#This Row],[Tenor]] &amp; "-IEU", W$1), RTD("esrtd",,$B1751 &amp; " " &amp; VLOOKUP(MONTH(ICE[[#This Row],[Strip]]), MthRef[], 2, 0) &amp; RIGHT(YEAR(ICE[[#This Row],[Strip]]), 2) &amp; "-IEU", W$1)), "")</f>
        <v/>
      </c>
      <c r="X1751" s="36"/>
    </row>
    <row r="1752" spans="1:24" x14ac:dyDescent="0.25">
      <c r="A1752" s="37" t="s">
        <v>355</v>
      </c>
      <c r="B1752" s="88" t="str">
        <f>RTD("ice.rtd",,$C1752 &amp; $D1752 &amp; ":" &amp; B$1)</f>
        <v>ARV</v>
      </c>
      <c r="C1752" s="3">
        <v>2044823525</v>
      </c>
      <c r="D1752" t="s">
        <v>795</v>
      </c>
      <c r="E1752" s="3" t="str">
        <f>RTD("ice.rtd",,$C1752 &amp; $D1752 &amp; ":" &amp; E$1)</f>
        <v>Mar27</v>
      </c>
      <c r="F1752" s="3" t="str">
        <f>ICE[[#This Row],[Prod]]&amp;ICE[[#This Row],[Strip]]</f>
        <v>icewcstitmaMar27</v>
      </c>
      <c r="G1752" s="18" t="str">
        <f>RTD("ice.rtd",,$C1752 &amp; $D1752 &amp; ":" &amp; G$1)</f>
        <v/>
      </c>
      <c r="H1752" s="18" t="str">
        <f>RTD("ice.rtd",,$C1752 &amp; $D1752 &amp; ":" &amp; H$1)</f>
        <v/>
      </c>
      <c r="I1752" s="18" t="str">
        <f>RTD("ice.rtd",,$C1752 &amp; $D1752 &amp; ":" &amp; I$1)</f>
        <v/>
      </c>
      <c r="J1752" s="14" t="str">
        <f>IFERROR(MOD(RTD("ice.rtd",,$C1752 &amp; $D1752 &amp; ":" &amp; J$1), 1), "")</f>
        <v/>
      </c>
      <c r="K1752" s="18" t="str">
        <f>RTD("ice.rtd",,$C1752 &amp; $D1752 &amp; ":" &amp; K$1)</f>
        <v/>
      </c>
      <c r="L1752" s="36" t="str">
        <f>RTD("ice.rtd",,$C1752 &amp; $D1752 &amp; ":" &amp; L$1)</f>
        <v/>
      </c>
      <c r="M1752" s="14" t="str">
        <f>IFERROR(MOD(TIMEVALUE(RTD("ice.rtd",,$C1752 &amp; $D1752 &amp; ":" &amp; M$1)), 1), "")</f>
        <v/>
      </c>
      <c r="N1752" s="36">
        <f>RTD("ice.rtd",,$C1752 &amp; $D1752 &amp; ":" &amp; N$1)</f>
        <v>0</v>
      </c>
      <c r="O1752" s="36">
        <f>RTD("ice.rtd",,$C1752 &amp; $D1752 &amp; ":" &amp; O$1)</f>
        <v>0</v>
      </c>
      <c r="P17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2" s="14" t="str">
        <f>IF(ICE[[#This Row],[LastType]] = "Scrn", ICE[[#This Row],[LstDate]], IF(ICE[[#This Row],[LastType]] = "Blk", ICE[[#This Row],[LstBlkTime]], ""))</f>
        <v/>
      </c>
      <c r="R1752" s="41" t="str">
        <f>IF(ICE[[#This Row],[LastType]] = "Scrn", ICE[[#This Row],[LstPrc]], IF(ICE[[#This Row],[LastType]] = "Blk", ICE[[#This Row],[LstBlkPrc]], ""))</f>
        <v/>
      </c>
      <c r="S1752" s="36">
        <f>ICE[[#This Row],[Vol]]+ICE[[#This Row],[BlkVol]]</f>
        <v>0</v>
      </c>
      <c r="T1752" s="36">
        <f>RTD("ice.rtd",,$C1752 &amp; $D1752 &amp; ":" &amp; T$1)</f>
        <v>6205</v>
      </c>
      <c r="U1752" s="18">
        <f>RTD("ice.rtd",,$C1752 &amp; $D1752 &amp; ":" &amp; U$1)</f>
        <v>-8.3000000000000007</v>
      </c>
      <c r="V17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2" s="18" t="str">
        <f>IFERROR(IF(LEFT(ICE[[#This Row],[Tenor]], 1) = "B", RTD("esrtd",,$B1752 &amp; " " &amp; ICE[[#This Row],[Tenor]] &amp; "-IEU", W$1), RTD("esrtd",,$B1752 &amp; " " &amp; VLOOKUP(MONTH(ICE[[#This Row],[Strip]]), MthRef[], 2, 0) &amp; RIGHT(YEAR(ICE[[#This Row],[Strip]]), 2) &amp; "-IEU", W$1)), "")</f>
        <v/>
      </c>
      <c r="X1752" s="36"/>
    </row>
    <row r="1753" spans="1:24" x14ac:dyDescent="0.25">
      <c r="A1753" s="37" t="s">
        <v>355</v>
      </c>
      <c r="B1753" s="88" t="str">
        <f>RTD("ice.rtd",,$C1753 &amp; $D1753 &amp; ":" &amp; B$1)</f>
        <v>ARV</v>
      </c>
      <c r="C1753" s="3">
        <v>2044823525</v>
      </c>
      <c r="D1753" t="s">
        <v>113</v>
      </c>
      <c r="E1753" s="3" t="str">
        <f>RTD("ice.rtd",,$C1753 &amp; $D1753 &amp; ":" &amp; E$1)</f>
        <v>Apr27</v>
      </c>
      <c r="F1753" s="3" t="str">
        <f>ICE[[#This Row],[Prod]]&amp;ICE[[#This Row],[Strip]]</f>
        <v>icewcstitmaApr27</v>
      </c>
      <c r="G1753" s="18" t="str">
        <f>RTD("ice.rtd",,$C1753 &amp; $D1753 &amp; ":" &amp; G$1)</f>
        <v/>
      </c>
      <c r="H1753" s="18" t="str">
        <f>RTD("ice.rtd",,$C1753 &amp; $D1753 &amp; ":" &amp; H$1)</f>
        <v/>
      </c>
      <c r="I1753" s="18" t="str">
        <f>RTD("ice.rtd",,$C1753 &amp; $D1753 &amp; ":" &amp; I$1)</f>
        <v/>
      </c>
      <c r="J1753" s="14" t="str">
        <f>IFERROR(MOD(RTD("ice.rtd",,$C1753 &amp; $D1753 &amp; ":" &amp; J$1), 1), "")</f>
        <v/>
      </c>
      <c r="K1753" s="18" t="str">
        <f>RTD("ice.rtd",,$C1753 &amp; $D1753 &amp; ":" &amp; K$1)</f>
        <v/>
      </c>
      <c r="L1753" s="36" t="str">
        <f>RTD("ice.rtd",,$C1753 &amp; $D1753 &amp; ":" &amp; L$1)</f>
        <v/>
      </c>
      <c r="M1753" s="14" t="str">
        <f>IFERROR(MOD(TIMEVALUE(RTD("ice.rtd",,$C1753 &amp; $D1753 &amp; ":" &amp; M$1)), 1), "")</f>
        <v/>
      </c>
      <c r="N1753" s="36">
        <f>RTD("ice.rtd",,$C1753 &amp; $D1753 &amp; ":" &amp; N$1)</f>
        <v>0</v>
      </c>
      <c r="O1753" s="36">
        <f>RTD("ice.rtd",,$C1753 &amp; $D1753 &amp; ":" &amp; O$1)</f>
        <v>0</v>
      </c>
      <c r="P17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3" s="14" t="str">
        <f>IF(ICE[[#This Row],[LastType]] = "Scrn", ICE[[#This Row],[LstDate]], IF(ICE[[#This Row],[LastType]] = "Blk", ICE[[#This Row],[LstBlkTime]], ""))</f>
        <v/>
      </c>
      <c r="R1753" s="41" t="str">
        <f>IF(ICE[[#This Row],[LastType]] = "Scrn", ICE[[#This Row],[LstPrc]], IF(ICE[[#This Row],[LastType]] = "Blk", ICE[[#This Row],[LstBlkPrc]], ""))</f>
        <v/>
      </c>
      <c r="S1753" s="36">
        <f>ICE[[#This Row],[Vol]]+ICE[[#This Row],[BlkVol]]</f>
        <v>0</v>
      </c>
      <c r="T1753" s="36">
        <f>RTD("ice.rtd",,$C1753 &amp; $D1753 &amp; ":" &amp; T$1)</f>
        <v>2620</v>
      </c>
      <c r="U1753" s="18">
        <f>RTD("ice.rtd",,$C1753 &amp; $D1753 &amp; ":" &amp; U$1)</f>
        <v>-7.8</v>
      </c>
      <c r="V17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3" s="18" t="str">
        <f>IFERROR(IF(LEFT(ICE[[#This Row],[Tenor]], 1) = "B", RTD("esrtd",,$B1753 &amp; " " &amp; ICE[[#This Row],[Tenor]] &amp; "-IEU", W$1), RTD("esrtd",,$B1753 &amp; " " &amp; VLOOKUP(MONTH(ICE[[#This Row],[Strip]]), MthRef[], 2, 0) &amp; RIGHT(YEAR(ICE[[#This Row],[Strip]]), 2) &amp; "-IEU", W$1)), "")</f>
        <v/>
      </c>
      <c r="X1753" s="36"/>
    </row>
    <row r="1754" spans="1:24" x14ac:dyDescent="0.25">
      <c r="A1754" s="37" t="s">
        <v>355</v>
      </c>
      <c r="B1754" s="88" t="str">
        <f>RTD("ice.rtd",,$C1754 &amp; $D1754 &amp; ":" &amp; B$1)</f>
        <v>ARV</v>
      </c>
      <c r="C1754" s="3">
        <v>2044823525</v>
      </c>
      <c r="D1754" t="s">
        <v>796</v>
      </c>
      <c r="E1754" s="3" t="str">
        <f>RTD("ice.rtd",,$C1754 &amp; $D1754 &amp; ":" &amp; E$1)</f>
        <v>May27</v>
      </c>
      <c r="F1754" s="3" t="str">
        <f>ICE[[#This Row],[Prod]]&amp;ICE[[#This Row],[Strip]]</f>
        <v>icewcstitmaMay27</v>
      </c>
      <c r="G1754" s="18" t="str">
        <f>RTD("ice.rtd",,$C1754 &amp; $D1754 &amp; ":" &amp; G$1)</f>
        <v/>
      </c>
      <c r="H1754" s="18" t="str">
        <f>RTD("ice.rtd",,$C1754 &amp; $D1754 &amp; ":" &amp; H$1)</f>
        <v/>
      </c>
      <c r="I1754" s="18" t="str">
        <f>RTD("ice.rtd",,$C1754 &amp; $D1754 &amp; ":" &amp; I$1)</f>
        <v/>
      </c>
      <c r="J1754" s="14" t="str">
        <f>IFERROR(MOD(RTD("ice.rtd",,$C1754 &amp; $D1754 &amp; ":" &amp; J$1), 1), "")</f>
        <v/>
      </c>
      <c r="K1754" s="18" t="str">
        <f>RTD("ice.rtd",,$C1754 &amp; $D1754 &amp; ":" &amp; K$1)</f>
        <v/>
      </c>
      <c r="L1754" s="36" t="str">
        <f>RTD("ice.rtd",,$C1754 &amp; $D1754 &amp; ":" &amp; L$1)</f>
        <v/>
      </c>
      <c r="M1754" s="14" t="str">
        <f>IFERROR(MOD(TIMEVALUE(RTD("ice.rtd",,$C1754 &amp; $D1754 &amp; ":" &amp; M$1)), 1), "")</f>
        <v/>
      </c>
      <c r="N1754" s="36">
        <f>RTD("ice.rtd",,$C1754 &amp; $D1754 &amp; ":" &amp; N$1)</f>
        <v>0</v>
      </c>
      <c r="O1754" s="36">
        <f>RTD("ice.rtd",,$C1754 &amp; $D1754 &amp; ":" &amp; O$1)</f>
        <v>0</v>
      </c>
      <c r="P17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4" s="14" t="str">
        <f>IF(ICE[[#This Row],[LastType]] = "Scrn", ICE[[#This Row],[LstDate]], IF(ICE[[#This Row],[LastType]] = "Blk", ICE[[#This Row],[LstBlkTime]], ""))</f>
        <v/>
      </c>
      <c r="R1754" s="41" t="str">
        <f>IF(ICE[[#This Row],[LastType]] = "Scrn", ICE[[#This Row],[LstPrc]], IF(ICE[[#This Row],[LastType]] = "Blk", ICE[[#This Row],[LstBlkPrc]], ""))</f>
        <v/>
      </c>
      <c r="S1754" s="36">
        <f>ICE[[#This Row],[Vol]]+ICE[[#This Row],[BlkVol]]</f>
        <v>0</v>
      </c>
      <c r="T1754" s="36">
        <f>RTD("ice.rtd",,$C1754 &amp; $D1754 &amp; ":" &amp; T$1)</f>
        <v>2620</v>
      </c>
      <c r="U1754" s="18">
        <f>RTD("ice.rtd",,$C1754 &amp; $D1754 &amp; ":" &amp; U$1)</f>
        <v>-7.3500000000000005</v>
      </c>
      <c r="V17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4" s="18" t="str">
        <f>IFERROR(IF(LEFT(ICE[[#This Row],[Tenor]], 1) = "B", RTD("esrtd",,$B1754 &amp; " " &amp; ICE[[#This Row],[Tenor]] &amp; "-IEU", W$1), RTD("esrtd",,$B1754 &amp; " " &amp; VLOOKUP(MONTH(ICE[[#This Row],[Strip]]), MthRef[], 2, 0) &amp; RIGHT(YEAR(ICE[[#This Row],[Strip]]), 2) &amp; "-IEU", W$1)), "")</f>
        <v/>
      </c>
      <c r="X1754" s="36"/>
    </row>
    <row r="1755" spans="1:24" x14ac:dyDescent="0.25">
      <c r="A1755" s="37" t="s">
        <v>355</v>
      </c>
      <c r="B1755" s="88" t="str">
        <f>RTD("ice.rtd",,$C1755 &amp; $D1755 &amp; ":" &amp; B$1)</f>
        <v>ARV</v>
      </c>
      <c r="C1755" s="3">
        <v>2044823525</v>
      </c>
      <c r="D1755" t="s">
        <v>797</v>
      </c>
      <c r="E1755" s="3" t="str">
        <f>RTD("ice.rtd",,$C1755 &amp; $D1755 &amp; ":" &amp; E$1)</f>
        <v>Jun27</v>
      </c>
      <c r="F1755" s="3" t="str">
        <f>ICE[[#This Row],[Prod]]&amp;ICE[[#This Row],[Strip]]</f>
        <v>icewcstitmaJun27</v>
      </c>
      <c r="G1755" s="18" t="str">
        <f>RTD("ice.rtd",,$C1755 &amp; $D1755 &amp; ":" &amp; G$1)</f>
        <v/>
      </c>
      <c r="H1755" s="18" t="str">
        <f>RTD("ice.rtd",,$C1755 &amp; $D1755 &amp; ":" &amp; H$1)</f>
        <v/>
      </c>
      <c r="I1755" s="18" t="str">
        <f>RTD("ice.rtd",,$C1755 &amp; $D1755 &amp; ":" &amp; I$1)</f>
        <v/>
      </c>
      <c r="J1755" s="14" t="str">
        <f>IFERROR(MOD(RTD("ice.rtd",,$C1755 &amp; $D1755 &amp; ":" &amp; J$1), 1), "")</f>
        <v/>
      </c>
      <c r="K1755" s="18" t="str">
        <f>RTD("ice.rtd",,$C1755 &amp; $D1755 &amp; ":" &amp; K$1)</f>
        <v/>
      </c>
      <c r="L1755" s="36" t="str">
        <f>RTD("ice.rtd",,$C1755 &amp; $D1755 &amp; ":" &amp; L$1)</f>
        <v/>
      </c>
      <c r="M1755" s="14" t="str">
        <f>IFERROR(MOD(TIMEVALUE(RTD("ice.rtd",,$C1755 &amp; $D1755 &amp; ":" &amp; M$1)), 1), "")</f>
        <v/>
      </c>
      <c r="N1755" s="36">
        <f>RTD("ice.rtd",,$C1755 &amp; $D1755 &amp; ":" &amp; N$1)</f>
        <v>0</v>
      </c>
      <c r="O1755" s="36">
        <f>RTD("ice.rtd",,$C1755 &amp; $D1755 &amp; ":" &amp; O$1)</f>
        <v>0</v>
      </c>
      <c r="P17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5" s="14" t="str">
        <f>IF(ICE[[#This Row],[LastType]] = "Scrn", ICE[[#This Row],[LstDate]], IF(ICE[[#This Row],[LastType]] = "Blk", ICE[[#This Row],[LstBlkTime]], ""))</f>
        <v/>
      </c>
      <c r="R1755" s="41" t="str">
        <f>IF(ICE[[#This Row],[LastType]] = "Scrn", ICE[[#This Row],[LstPrc]], IF(ICE[[#This Row],[LastType]] = "Blk", ICE[[#This Row],[LstBlkPrc]], ""))</f>
        <v/>
      </c>
      <c r="S1755" s="36">
        <f>ICE[[#This Row],[Vol]]+ICE[[#This Row],[BlkVol]]</f>
        <v>0</v>
      </c>
      <c r="T1755" s="36">
        <f>RTD("ice.rtd",,$C1755 &amp; $D1755 &amp; ":" &amp; T$1)</f>
        <v>2620</v>
      </c>
      <c r="U1755" s="18">
        <f>RTD("ice.rtd",,$C1755 &amp; $D1755 &amp; ":" &amp; U$1)</f>
        <v>-6.9</v>
      </c>
      <c r="V17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5" s="18" t="str">
        <f>IFERROR(IF(LEFT(ICE[[#This Row],[Tenor]], 1) = "B", RTD("esrtd",,$B1755 &amp; " " &amp; ICE[[#This Row],[Tenor]] &amp; "-IEU", W$1), RTD("esrtd",,$B1755 &amp; " " &amp; VLOOKUP(MONTH(ICE[[#This Row],[Strip]]), MthRef[], 2, 0) &amp; RIGHT(YEAR(ICE[[#This Row],[Strip]]), 2) &amp; "-IEU", W$1)), "")</f>
        <v/>
      </c>
      <c r="X1755" s="36"/>
    </row>
    <row r="1756" spans="1:24" x14ac:dyDescent="0.25">
      <c r="A1756" s="37" t="s">
        <v>355</v>
      </c>
      <c r="B1756" s="88" t="str">
        <f>RTD("ice.rtd",,$C1756 &amp; $D1756 &amp; ":" &amp; B$1)</f>
        <v>ARV</v>
      </c>
      <c r="C1756" s="3">
        <v>2044823525</v>
      </c>
      <c r="D1756" t="s">
        <v>798</v>
      </c>
      <c r="E1756" s="3" t="str">
        <f>RTD("ice.rtd",,$C1756 &amp; $D1756 &amp; ":" &amp; E$1)</f>
        <v>Jul27</v>
      </c>
      <c r="F1756" s="3" t="str">
        <f>ICE[[#This Row],[Prod]]&amp;ICE[[#This Row],[Strip]]</f>
        <v>icewcstitmaJul27</v>
      </c>
      <c r="G1756" s="18" t="str">
        <f>RTD("ice.rtd",,$C1756 &amp; $D1756 &amp; ":" &amp; G$1)</f>
        <v/>
      </c>
      <c r="H1756" s="18" t="str">
        <f>RTD("ice.rtd",,$C1756 &amp; $D1756 &amp; ":" &amp; H$1)</f>
        <v/>
      </c>
      <c r="I1756" s="18" t="str">
        <f>RTD("ice.rtd",,$C1756 &amp; $D1756 &amp; ":" &amp; I$1)</f>
        <v/>
      </c>
      <c r="J1756" s="14" t="str">
        <f>IFERROR(MOD(RTD("ice.rtd",,$C1756 &amp; $D1756 &amp; ":" &amp; J$1), 1), "")</f>
        <v/>
      </c>
      <c r="K1756" s="18" t="str">
        <f>RTD("ice.rtd",,$C1756 &amp; $D1756 &amp; ":" &amp; K$1)</f>
        <v/>
      </c>
      <c r="L1756" s="36" t="str">
        <f>RTD("ice.rtd",,$C1756 &amp; $D1756 &amp; ":" &amp; L$1)</f>
        <v/>
      </c>
      <c r="M1756" s="14" t="str">
        <f>IFERROR(MOD(TIMEVALUE(RTD("ice.rtd",,$C1756 &amp; $D1756 &amp; ":" &amp; M$1)), 1), "")</f>
        <v/>
      </c>
      <c r="N1756" s="36">
        <f>RTD("ice.rtd",,$C1756 &amp; $D1756 &amp; ":" &amp; N$1)</f>
        <v>0</v>
      </c>
      <c r="O1756" s="36">
        <f>RTD("ice.rtd",,$C1756 &amp; $D1756 &amp; ":" &amp; O$1)</f>
        <v>0</v>
      </c>
      <c r="P17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6" s="14" t="str">
        <f>IF(ICE[[#This Row],[LastType]] = "Scrn", ICE[[#This Row],[LstDate]], IF(ICE[[#This Row],[LastType]] = "Blk", ICE[[#This Row],[LstBlkTime]], ""))</f>
        <v/>
      </c>
      <c r="R1756" s="41" t="str">
        <f>IF(ICE[[#This Row],[LastType]] = "Scrn", ICE[[#This Row],[LstPrc]], IF(ICE[[#This Row],[LastType]] = "Blk", ICE[[#This Row],[LstBlkPrc]], ""))</f>
        <v/>
      </c>
      <c r="S1756" s="36">
        <f>ICE[[#This Row],[Vol]]+ICE[[#This Row],[BlkVol]]</f>
        <v>0</v>
      </c>
      <c r="T1756" s="36">
        <f>RTD("ice.rtd",,$C1756 &amp; $D1756 &amp; ":" &amp; T$1)</f>
        <v>1230</v>
      </c>
      <c r="U1756" s="18">
        <f>RTD("ice.rtd",,$C1756 &amp; $D1756 &amp; ":" &amp; U$1)</f>
        <v>-7.3</v>
      </c>
      <c r="V17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6" s="18" t="str">
        <f>IFERROR(IF(LEFT(ICE[[#This Row],[Tenor]], 1) = "B", RTD("esrtd",,$B1756 &amp; " " &amp; ICE[[#This Row],[Tenor]] &amp; "-IEU", W$1), RTD("esrtd",,$B1756 &amp; " " &amp; VLOOKUP(MONTH(ICE[[#This Row],[Strip]]), MthRef[], 2, 0) &amp; RIGHT(YEAR(ICE[[#This Row],[Strip]]), 2) &amp; "-IEU", W$1)), "")</f>
        <v/>
      </c>
      <c r="X1756" s="36"/>
    </row>
    <row r="1757" spans="1:24" x14ac:dyDescent="0.25">
      <c r="A1757" s="37" t="s">
        <v>355</v>
      </c>
      <c r="B1757" s="88" t="str">
        <f>RTD("ice.rtd",,$C1757 &amp; $D1757 &amp; ":" &amp; B$1)</f>
        <v>ARV</v>
      </c>
      <c r="C1757" s="3">
        <v>2044823525</v>
      </c>
      <c r="D1757" t="s">
        <v>799</v>
      </c>
      <c r="E1757" s="3" t="str">
        <f>RTD("ice.rtd",,$C1757 &amp; $D1757 &amp; ":" &amp; E$1)</f>
        <v>Aug27</v>
      </c>
      <c r="F1757" s="3" t="str">
        <f>ICE[[#This Row],[Prod]]&amp;ICE[[#This Row],[Strip]]</f>
        <v>icewcstitmaAug27</v>
      </c>
      <c r="G1757" s="18" t="str">
        <f>RTD("ice.rtd",,$C1757 &amp; $D1757 &amp; ":" &amp; G$1)</f>
        <v/>
      </c>
      <c r="H1757" s="18" t="str">
        <f>RTD("ice.rtd",,$C1757 &amp; $D1757 &amp; ":" &amp; H$1)</f>
        <v/>
      </c>
      <c r="I1757" s="18" t="str">
        <f>RTD("ice.rtd",,$C1757 &amp; $D1757 &amp; ":" &amp; I$1)</f>
        <v/>
      </c>
      <c r="J1757" s="14" t="str">
        <f>IFERROR(MOD(RTD("ice.rtd",,$C1757 &amp; $D1757 &amp; ":" &amp; J$1), 1), "")</f>
        <v/>
      </c>
      <c r="K1757" s="18" t="str">
        <f>RTD("ice.rtd",,$C1757 &amp; $D1757 &amp; ":" &amp; K$1)</f>
        <v/>
      </c>
      <c r="L1757" s="36" t="str">
        <f>RTD("ice.rtd",,$C1757 &amp; $D1757 &amp; ":" &amp; L$1)</f>
        <v/>
      </c>
      <c r="M1757" s="14" t="str">
        <f>IFERROR(MOD(TIMEVALUE(RTD("ice.rtd",,$C1757 &amp; $D1757 &amp; ":" &amp; M$1)), 1), "")</f>
        <v/>
      </c>
      <c r="N1757" s="36">
        <f>RTD("ice.rtd",,$C1757 &amp; $D1757 &amp; ":" &amp; N$1)</f>
        <v>0</v>
      </c>
      <c r="O1757" s="36">
        <f>RTD("ice.rtd",,$C1757 &amp; $D1757 &amp; ":" &amp; O$1)</f>
        <v>0</v>
      </c>
      <c r="P17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7" s="14" t="str">
        <f>IF(ICE[[#This Row],[LastType]] = "Scrn", ICE[[#This Row],[LstDate]], IF(ICE[[#This Row],[LastType]] = "Blk", ICE[[#This Row],[LstBlkTime]], ""))</f>
        <v/>
      </c>
      <c r="R1757" s="41" t="str">
        <f>IF(ICE[[#This Row],[LastType]] = "Scrn", ICE[[#This Row],[LstPrc]], IF(ICE[[#This Row],[LastType]] = "Blk", ICE[[#This Row],[LstBlkPrc]], ""))</f>
        <v/>
      </c>
      <c r="S1757" s="36">
        <f>ICE[[#This Row],[Vol]]+ICE[[#This Row],[BlkVol]]</f>
        <v>0</v>
      </c>
      <c r="T1757" s="36">
        <f>RTD("ice.rtd",,$C1757 &amp; $D1757 &amp; ":" &amp; T$1)</f>
        <v>1230</v>
      </c>
      <c r="U1757" s="18">
        <f>RTD("ice.rtd",,$C1757 &amp; $D1757 &amp; ":" &amp; U$1)</f>
        <v>-7.75</v>
      </c>
      <c r="V17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7" s="18" t="str">
        <f>IFERROR(IF(LEFT(ICE[[#This Row],[Tenor]], 1) = "B", RTD("esrtd",,$B1757 &amp; " " &amp; ICE[[#This Row],[Tenor]] &amp; "-IEU", W$1), RTD("esrtd",,$B1757 &amp; " " &amp; VLOOKUP(MONTH(ICE[[#This Row],[Strip]]), MthRef[], 2, 0) &amp; RIGHT(YEAR(ICE[[#This Row],[Strip]]), 2) &amp; "-IEU", W$1)), "")</f>
        <v/>
      </c>
      <c r="X1757" s="36"/>
    </row>
    <row r="1758" spans="1:24" x14ac:dyDescent="0.25">
      <c r="A1758" s="37" t="s">
        <v>355</v>
      </c>
      <c r="B1758" s="88" t="str">
        <f>RTD("ice.rtd",,$C1758 &amp; $D1758 &amp; ":" &amp; B$1)</f>
        <v>ARV</v>
      </c>
      <c r="C1758" s="3">
        <v>2044823525</v>
      </c>
      <c r="D1758" t="s">
        <v>800</v>
      </c>
      <c r="E1758" s="3" t="str">
        <f>RTD("ice.rtd",,$C1758 &amp; $D1758 &amp; ":" &amp; E$1)</f>
        <v>Sep27</v>
      </c>
      <c r="F1758" s="3" t="str">
        <f>ICE[[#This Row],[Prod]]&amp;ICE[[#This Row],[Strip]]</f>
        <v>icewcstitmaSep27</v>
      </c>
      <c r="G1758" s="18" t="str">
        <f>RTD("ice.rtd",,$C1758 &amp; $D1758 &amp; ":" &amp; G$1)</f>
        <v/>
      </c>
      <c r="H1758" s="18" t="str">
        <f>RTD("ice.rtd",,$C1758 &amp; $D1758 &amp; ":" &amp; H$1)</f>
        <v/>
      </c>
      <c r="I1758" s="18" t="str">
        <f>RTD("ice.rtd",,$C1758 &amp; $D1758 &amp; ":" &amp; I$1)</f>
        <v/>
      </c>
      <c r="J1758" s="14" t="str">
        <f>IFERROR(MOD(RTD("ice.rtd",,$C1758 &amp; $D1758 &amp; ":" &amp; J$1), 1), "")</f>
        <v/>
      </c>
      <c r="K1758" s="18" t="str">
        <f>RTD("ice.rtd",,$C1758 &amp; $D1758 &amp; ":" &amp; K$1)</f>
        <v/>
      </c>
      <c r="L1758" s="36" t="str">
        <f>RTD("ice.rtd",,$C1758 &amp; $D1758 &amp; ":" &amp; L$1)</f>
        <v/>
      </c>
      <c r="M1758" s="14" t="str">
        <f>IFERROR(MOD(TIMEVALUE(RTD("ice.rtd",,$C1758 &amp; $D1758 &amp; ":" &amp; M$1)), 1), "")</f>
        <v/>
      </c>
      <c r="N1758" s="36">
        <f>RTD("ice.rtd",,$C1758 &amp; $D1758 &amp; ":" &amp; N$1)</f>
        <v>0</v>
      </c>
      <c r="O1758" s="36">
        <f>RTD("ice.rtd",,$C1758 &amp; $D1758 &amp; ":" &amp; O$1)</f>
        <v>0</v>
      </c>
      <c r="P17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8" s="14" t="str">
        <f>IF(ICE[[#This Row],[LastType]] = "Scrn", ICE[[#This Row],[LstDate]], IF(ICE[[#This Row],[LastType]] = "Blk", ICE[[#This Row],[LstBlkTime]], ""))</f>
        <v/>
      </c>
      <c r="R1758" s="41" t="str">
        <f>IF(ICE[[#This Row],[LastType]] = "Scrn", ICE[[#This Row],[LstPrc]], IF(ICE[[#This Row],[LastType]] = "Blk", ICE[[#This Row],[LstBlkPrc]], ""))</f>
        <v/>
      </c>
      <c r="S1758" s="36">
        <f>ICE[[#This Row],[Vol]]+ICE[[#This Row],[BlkVol]]</f>
        <v>0</v>
      </c>
      <c r="T1758" s="36">
        <f>RTD("ice.rtd",,$C1758 &amp; $D1758 &amp; ":" &amp; T$1)</f>
        <v>1230</v>
      </c>
      <c r="U1758" s="18">
        <f>RTD("ice.rtd",,$C1758 &amp; $D1758 &amp; ":" &amp; U$1)</f>
        <v>-8.1999999999999993</v>
      </c>
      <c r="V17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8" s="18" t="str">
        <f>IFERROR(IF(LEFT(ICE[[#This Row],[Tenor]], 1) = "B", RTD("esrtd",,$B1758 &amp; " " &amp; ICE[[#This Row],[Tenor]] &amp; "-IEU", W$1), RTD("esrtd",,$B1758 &amp; " " &amp; VLOOKUP(MONTH(ICE[[#This Row],[Strip]]), MthRef[], 2, 0) &amp; RIGHT(YEAR(ICE[[#This Row],[Strip]]), 2) &amp; "-IEU", W$1)), "")</f>
        <v/>
      </c>
      <c r="X1758" s="36"/>
    </row>
    <row r="1759" spans="1:24" x14ac:dyDescent="0.25">
      <c r="A1759" s="37" t="s">
        <v>355</v>
      </c>
      <c r="B1759" s="88" t="str">
        <f>RTD("ice.rtd",,$C1759 &amp; $D1759 &amp; ":" &amp; B$1)</f>
        <v>ARV</v>
      </c>
      <c r="C1759" s="3">
        <v>2044823525</v>
      </c>
      <c r="D1759" t="s">
        <v>801</v>
      </c>
      <c r="E1759" s="3" t="str">
        <f>RTD("ice.rtd",,$C1759 &amp; $D1759 &amp; ":" &amp; E$1)</f>
        <v>Oct27</v>
      </c>
      <c r="F1759" s="3" t="str">
        <f>ICE[[#This Row],[Prod]]&amp;ICE[[#This Row],[Strip]]</f>
        <v>icewcstitmaOct27</v>
      </c>
      <c r="G1759" s="18" t="str">
        <f>RTD("ice.rtd",,$C1759 &amp; $D1759 &amp; ":" &amp; G$1)</f>
        <v/>
      </c>
      <c r="H1759" s="18" t="str">
        <f>RTD("ice.rtd",,$C1759 &amp; $D1759 &amp; ":" &amp; H$1)</f>
        <v/>
      </c>
      <c r="I1759" s="18" t="str">
        <f>RTD("ice.rtd",,$C1759 &amp; $D1759 &amp; ":" &amp; I$1)</f>
        <v/>
      </c>
      <c r="J1759" s="14" t="str">
        <f>IFERROR(MOD(RTD("ice.rtd",,$C1759 &amp; $D1759 &amp; ":" &amp; J$1), 1), "")</f>
        <v/>
      </c>
      <c r="K1759" s="18" t="str">
        <f>RTD("ice.rtd",,$C1759 &amp; $D1759 &amp; ":" &amp; K$1)</f>
        <v/>
      </c>
      <c r="L1759" s="36" t="str">
        <f>RTD("ice.rtd",,$C1759 &amp; $D1759 &amp; ":" &amp; L$1)</f>
        <v/>
      </c>
      <c r="M1759" s="14" t="str">
        <f>IFERROR(MOD(TIMEVALUE(RTD("ice.rtd",,$C1759 &amp; $D1759 &amp; ":" &amp; M$1)), 1), "")</f>
        <v/>
      </c>
      <c r="N1759" s="36">
        <f>RTD("ice.rtd",,$C1759 &amp; $D1759 &amp; ":" &amp; N$1)</f>
        <v>0</v>
      </c>
      <c r="O1759" s="36">
        <f>RTD("ice.rtd",,$C1759 &amp; $D1759 &amp; ":" &amp; O$1)</f>
        <v>0</v>
      </c>
      <c r="P17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59" s="14" t="str">
        <f>IF(ICE[[#This Row],[LastType]] = "Scrn", ICE[[#This Row],[LstDate]], IF(ICE[[#This Row],[LastType]] = "Blk", ICE[[#This Row],[LstBlkTime]], ""))</f>
        <v/>
      </c>
      <c r="R1759" s="41" t="str">
        <f>IF(ICE[[#This Row],[LastType]] = "Scrn", ICE[[#This Row],[LstPrc]], IF(ICE[[#This Row],[LastType]] = "Blk", ICE[[#This Row],[LstBlkPrc]], ""))</f>
        <v/>
      </c>
      <c r="S1759" s="36">
        <f>ICE[[#This Row],[Vol]]+ICE[[#This Row],[BlkVol]]</f>
        <v>0</v>
      </c>
      <c r="T1759" s="36">
        <f>RTD("ice.rtd",,$C1759 &amp; $D1759 &amp; ":" &amp; T$1)</f>
        <v>1030</v>
      </c>
      <c r="U1759" s="18">
        <f>RTD("ice.rtd",,$C1759 &amp; $D1759 &amp; ":" &amp; U$1)</f>
        <v>-8.1999999999999993</v>
      </c>
      <c r="V17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59" s="18" t="str">
        <f>IFERROR(IF(LEFT(ICE[[#This Row],[Tenor]], 1) = "B", RTD("esrtd",,$B1759 &amp; " " &amp; ICE[[#This Row],[Tenor]] &amp; "-IEU", W$1), RTD("esrtd",,$B1759 &amp; " " &amp; VLOOKUP(MONTH(ICE[[#This Row],[Strip]]), MthRef[], 2, 0) &amp; RIGHT(YEAR(ICE[[#This Row],[Strip]]), 2) &amp; "-IEU", W$1)), "")</f>
        <v/>
      </c>
      <c r="X1759" s="36"/>
    </row>
    <row r="1760" spans="1:24" x14ac:dyDescent="0.25">
      <c r="A1760" s="37" t="s">
        <v>355</v>
      </c>
      <c r="B1760" s="88" t="str">
        <f>RTD("ice.rtd",,$C1760 &amp; $D1760 &amp; ":" &amp; B$1)</f>
        <v>ARV</v>
      </c>
      <c r="C1760" s="3">
        <v>2044823525</v>
      </c>
      <c r="D1760" t="s">
        <v>802</v>
      </c>
      <c r="E1760" s="3" t="str">
        <f>RTD("ice.rtd",,$C1760 &amp; $D1760 &amp; ":" &amp; E$1)</f>
        <v>Nov27</v>
      </c>
      <c r="F1760" s="3" t="str">
        <f>ICE[[#This Row],[Prod]]&amp;ICE[[#This Row],[Strip]]</f>
        <v>icewcstitmaNov27</v>
      </c>
      <c r="G1760" s="18" t="str">
        <f>RTD("ice.rtd",,$C1760 &amp; $D1760 &amp; ":" &amp; G$1)</f>
        <v/>
      </c>
      <c r="H1760" s="18" t="str">
        <f>RTD("ice.rtd",,$C1760 &amp; $D1760 &amp; ":" &amp; H$1)</f>
        <v/>
      </c>
      <c r="I1760" s="18" t="str">
        <f>RTD("ice.rtd",,$C1760 &amp; $D1760 &amp; ":" &amp; I$1)</f>
        <v/>
      </c>
      <c r="J1760" s="14" t="str">
        <f>IFERROR(MOD(RTD("ice.rtd",,$C1760 &amp; $D1760 &amp; ":" &amp; J$1), 1), "")</f>
        <v/>
      </c>
      <c r="K1760" s="18" t="str">
        <f>RTD("ice.rtd",,$C1760 &amp; $D1760 &amp; ":" &amp; K$1)</f>
        <v/>
      </c>
      <c r="L1760" s="36" t="str">
        <f>RTD("ice.rtd",,$C1760 &amp; $D1760 &amp; ":" &amp; L$1)</f>
        <v/>
      </c>
      <c r="M1760" s="14" t="str">
        <f>IFERROR(MOD(TIMEVALUE(RTD("ice.rtd",,$C1760 &amp; $D1760 &amp; ":" &amp; M$1)), 1), "")</f>
        <v/>
      </c>
      <c r="N1760" s="36">
        <f>RTD("ice.rtd",,$C1760 &amp; $D1760 &amp; ":" &amp; N$1)</f>
        <v>0</v>
      </c>
      <c r="O1760" s="36">
        <f>RTD("ice.rtd",,$C1760 &amp; $D1760 &amp; ":" &amp; O$1)</f>
        <v>0</v>
      </c>
      <c r="P17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0" s="14" t="str">
        <f>IF(ICE[[#This Row],[LastType]] = "Scrn", ICE[[#This Row],[LstDate]], IF(ICE[[#This Row],[LastType]] = "Blk", ICE[[#This Row],[LstBlkTime]], ""))</f>
        <v/>
      </c>
      <c r="R1760" s="41" t="str">
        <f>IF(ICE[[#This Row],[LastType]] = "Scrn", ICE[[#This Row],[LstPrc]], IF(ICE[[#This Row],[LastType]] = "Blk", ICE[[#This Row],[LstBlkPrc]], ""))</f>
        <v/>
      </c>
      <c r="S1760" s="36">
        <f>ICE[[#This Row],[Vol]]+ICE[[#This Row],[BlkVol]]</f>
        <v>0</v>
      </c>
      <c r="T1760" s="36">
        <f>RTD("ice.rtd",,$C1760 &amp; $D1760 &amp; ":" &amp; T$1)</f>
        <v>1030</v>
      </c>
      <c r="U1760" s="18">
        <f>RTD("ice.rtd",,$C1760 &amp; $D1760 &amp; ":" &amp; U$1)</f>
        <v>-8.1999999999999993</v>
      </c>
      <c r="V17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60" s="18" t="str">
        <f>IFERROR(IF(LEFT(ICE[[#This Row],[Tenor]], 1) = "B", RTD("esrtd",,$B1760 &amp; " " &amp; ICE[[#This Row],[Tenor]] &amp; "-IEU", W$1), RTD("esrtd",,$B1760 &amp; " " &amp; VLOOKUP(MONTH(ICE[[#This Row],[Strip]]), MthRef[], 2, 0) &amp; RIGHT(YEAR(ICE[[#This Row],[Strip]]), 2) &amp; "-IEU", W$1)), "")</f>
        <v/>
      </c>
      <c r="X1760" s="36"/>
    </row>
    <row r="1761" spans="1:24" x14ac:dyDescent="0.25">
      <c r="A1761" s="37" t="s">
        <v>355</v>
      </c>
      <c r="B1761" s="88" t="str">
        <f>RTD("ice.rtd",,$C1761 &amp; $D1761 &amp; ":" &amp; B$1)</f>
        <v>ARV</v>
      </c>
      <c r="C1761" s="3">
        <v>2044823525</v>
      </c>
      <c r="D1761" t="s">
        <v>803</v>
      </c>
      <c r="E1761" s="3" t="str">
        <f>RTD("ice.rtd",,$C1761 &amp; $D1761 &amp; ":" &amp; E$1)</f>
        <v>Dec27</v>
      </c>
      <c r="F1761" s="3" t="str">
        <f>ICE[[#This Row],[Prod]]&amp;ICE[[#This Row],[Strip]]</f>
        <v>icewcstitmaDec27</v>
      </c>
      <c r="G1761" s="18" t="str">
        <f>RTD("ice.rtd",,$C1761 &amp; $D1761 &amp; ":" &amp; G$1)</f>
        <v/>
      </c>
      <c r="H1761" s="18" t="str">
        <f>RTD("ice.rtd",,$C1761 &amp; $D1761 &amp; ":" &amp; H$1)</f>
        <v/>
      </c>
      <c r="I1761" s="18" t="str">
        <f>RTD("ice.rtd",,$C1761 &amp; $D1761 &amp; ":" &amp; I$1)</f>
        <v/>
      </c>
      <c r="J1761" s="14" t="str">
        <f>IFERROR(MOD(RTD("ice.rtd",,$C1761 &amp; $D1761 &amp; ":" &amp; J$1), 1), "")</f>
        <v/>
      </c>
      <c r="K1761" s="18" t="str">
        <f>RTD("ice.rtd",,$C1761 &amp; $D1761 &amp; ":" &amp; K$1)</f>
        <v/>
      </c>
      <c r="L1761" s="36" t="str">
        <f>RTD("ice.rtd",,$C1761 &amp; $D1761 &amp; ":" &amp; L$1)</f>
        <v/>
      </c>
      <c r="M1761" s="14" t="str">
        <f>IFERROR(MOD(TIMEVALUE(RTD("ice.rtd",,$C1761 &amp; $D1761 &amp; ":" &amp; M$1)), 1), "")</f>
        <v/>
      </c>
      <c r="N1761" s="36">
        <f>RTD("ice.rtd",,$C1761 &amp; $D1761 &amp; ":" &amp; N$1)</f>
        <v>0</v>
      </c>
      <c r="O1761" s="36">
        <f>RTD("ice.rtd",,$C1761 &amp; $D1761 &amp; ":" &amp; O$1)</f>
        <v>0</v>
      </c>
      <c r="P17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1" s="14" t="str">
        <f>IF(ICE[[#This Row],[LastType]] = "Scrn", ICE[[#This Row],[LstDate]], IF(ICE[[#This Row],[LastType]] = "Blk", ICE[[#This Row],[LstBlkTime]], ""))</f>
        <v/>
      </c>
      <c r="R1761" s="41" t="str">
        <f>IF(ICE[[#This Row],[LastType]] = "Scrn", ICE[[#This Row],[LstPrc]], IF(ICE[[#This Row],[LastType]] = "Blk", ICE[[#This Row],[LstBlkPrc]], ""))</f>
        <v/>
      </c>
      <c r="S1761" s="36">
        <f>ICE[[#This Row],[Vol]]+ICE[[#This Row],[BlkVol]]</f>
        <v>0</v>
      </c>
      <c r="T1761" s="36">
        <f>RTD("ice.rtd",,$C1761 &amp; $D1761 &amp; ":" &amp; T$1)</f>
        <v>1030</v>
      </c>
      <c r="U1761" s="18">
        <f>RTD("ice.rtd",,$C1761 &amp; $D1761 &amp; ":" &amp; U$1)</f>
        <v>-8.1999999999999993</v>
      </c>
      <c r="V17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61" s="18" t="str">
        <f>IFERROR(IF(LEFT(ICE[[#This Row],[Tenor]], 1) = "B", RTD("esrtd",,$B1761 &amp; " " &amp; ICE[[#This Row],[Tenor]] &amp; "-IEU", W$1), RTD("esrtd",,$B1761 &amp; " " &amp; VLOOKUP(MONTH(ICE[[#This Row],[Strip]]), MthRef[], 2, 0) &amp; RIGHT(YEAR(ICE[[#This Row],[Strip]]), 2) &amp; "-IEU", W$1)), "")</f>
        <v/>
      </c>
      <c r="X1761" s="36"/>
    </row>
    <row r="1762" spans="1:24" x14ac:dyDescent="0.25">
      <c r="A1762" s="37" t="s">
        <v>355</v>
      </c>
      <c r="B1762" s="88" t="str">
        <f>RTD("ice.rtd",,$C1762 &amp; $D1762 &amp; ":" &amp; B$1)</f>
        <v>Invalid Market: 2044823525M15</v>
      </c>
      <c r="C1762" s="3">
        <v>2044823525</v>
      </c>
      <c r="D1762" t="s">
        <v>804</v>
      </c>
      <c r="E1762" s="3" t="str">
        <f>RTD("ice.rtd",,$C1762 &amp; $D1762 &amp; ":" &amp; E$1)</f>
        <v>Invalid Market: 2044823525M15</v>
      </c>
      <c r="F1762" s="3" t="str">
        <f>ICE[[#This Row],[Prod]]&amp;ICE[[#This Row],[Strip]]</f>
        <v>icewcstitmaInvalid Market: 2044823525M15</v>
      </c>
      <c r="G1762" s="18" t="str">
        <f>RTD("ice.rtd",,$C1762 &amp; $D1762 &amp; ":" &amp; G$1)</f>
        <v>Invalid Market: 2044823525M15</v>
      </c>
      <c r="H1762" s="18" t="str">
        <f>RTD("ice.rtd",,$C1762 &amp; $D1762 &amp; ":" &amp; H$1)</f>
        <v>Invalid Market: 2044823525M15</v>
      </c>
      <c r="I1762" s="18" t="str">
        <f>RTD("ice.rtd",,$C1762 &amp; $D1762 &amp; ":" &amp; I$1)</f>
        <v>Invalid Market: 2044823525M15</v>
      </c>
      <c r="J1762" s="14" t="str">
        <f>IFERROR(MOD(RTD("ice.rtd",,$C1762 &amp; $D1762 &amp; ":" &amp; J$1), 1), "")</f>
        <v/>
      </c>
      <c r="K1762" s="18" t="str">
        <f>RTD("ice.rtd",,$C1762 &amp; $D1762 &amp; ":" &amp; K$1)</f>
        <v>Invalid Market: 2044823525M15</v>
      </c>
      <c r="L1762" s="36" t="str">
        <f>RTD("ice.rtd",,$C1762 &amp; $D1762 &amp; ":" &amp; L$1)</f>
        <v>Invalid Market: 2044823525M15</v>
      </c>
      <c r="M1762" s="14" t="str">
        <f>IFERROR(MOD(TIMEVALUE(RTD("ice.rtd",,$C1762 &amp; $D1762 &amp; ":" &amp; M$1)), 1), "")</f>
        <v/>
      </c>
      <c r="N1762" s="36" t="str">
        <f>RTD("ice.rtd",,$C1762 &amp; $D1762 &amp; ":" &amp; N$1)</f>
        <v>Invalid Market: 2044823525M15</v>
      </c>
      <c r="O1762" s="36" t="str">
        <f>RTD("ice.rtd",,$C1762 &amp; $D1762 &amp; ":" &amp; O$1)</f>
        <v>Invalid Market: 2044823525M15</v>
      </c>
      <c r="P17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2" s="14" t="str">
        <f>IF(ICE[[#This Row],[LastType]] = "Scrn", ICE[[#This Row],[LstDate]], IF(ICE[[#This Row],[LastType]] = "Blk", ICE[[#This Row],[LstBlkTime]], ""))</f>
        <v/>
      </c>
      <c r="R1762" s="41" t="str">
        <f>IF(ICE[[#This Row],[LastType]] = "Scrn", ICE[[#This Row],[LstPrc]], IF(ICE[[#This Row],[LastType]] = "Blk", ICE[[#This Row],[LstBlkPrc]], ""))</f>
        <v/>
      </c>
      <c r="S1762" s="36" t="e">
        <f>ICE[[#This Row],[Vol]]+ICE[[#This Row],[BlkVol]]</f>
        <v>#VALUE!</v>
      </c>
      <c r="T1762" s="36" t="str">
        <f>RTD("ice.rtd",,$C1762 &amp; $D1762 &amp; ":" &amp; T$1)</f>
        <v>Invalid Market: 2044823525M15</v>
      </c>
      <c r="U1762" s="18" t="str">
        <f>RTD("ice.rtd",,$C1762 &amp; $D1762 &amp; ":" &amp; U$1)</f>
        <v>Invalid Market: 2044823525M15</v>
      </c>
      <c r="V17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62" s="18" t="str">
        <f>IFERROR(IF(LEFT(ICE[[#This Row],[Tenor]], 1) = "B", RTD("esrtd",,$B1762 &amp; " " &amp; ICE[[#This Row],[Tenor]] &amp; "-IEU", W$1), RTD("esrtd",,$B1762 &amp; " " &amp; VLOOKUP(MONTH(ICE[[#This Row],[Strip]]), MthRef[], 2, 0) &amp; RIGHT(YEAR(ICE[[#This Row],[Strip]]), 2) &amp; "-IEU", W$1)), "")</f>
        <v/>
      </c>
      <c r="X1762" s="36"/>
    </row>
    <row r="1763" spans="1:24" x14ac:dyDescent="0.25">
      <c r="A1763" s="37" t="s">
        <v>355</v>
      </c>
      <c r="B1763" s="88" t="str">
        <f>RTD("ice.rtd",,$C1763 &amp; $D1763 &amp; ":" &amp; B$1)</f>
        <v>Invalid Market: 2044823525M16</v>
      </c>
      <c r="C1763" s="3">
        <v>2044823525</v>
      </c>
      <c r="D1763" t="s">
        <v>805</v>
      </c>
      <c r="E1763" s="3" t="str">
        <f>RTD("ice.rtd",,$C1763 &amp; $D1763 &amp; ":" &amp; E$1)</f>
        <v>Invalid Market: 2044823525M16</v>
      </c>
      <c r="F1763" s="3" t="str">
        <f>ICE[[#This Row],[Prod]]&amp;ICE[[#This Row],[Strip]]</f>
        <v>icewcstitmaInvalid Market: 2044823525M16</v>
      </c>
      <c r="G1763" s="18" t="str">
        <f>RTD("ice.rtd",,$C1763 &amp; $D1763 &amp; ":" &amp; G$1)</f>
        <v>Invalid Market: 2044823525M16</v>
      </c>
      <c r="H1763" s="18" t="str">
        <f>RTD("ice.rtd",,$C1763 &amp; $D1763 &amp; ":" &amp; H$1)</f>
        <v>Invalid Market: 2044823525M16</v>
      </c>
      <c r="I1763" s="18" t="str">
        <f>RTD("ice.rtd",,$C1763 &amp; $D1763 &amp; ":" &amp; I$1)</f>
        <v>Invalid Market: 2044823525M16</v>
      </c>
      <c r="J1763" s="14" t="str">
        <f>IFERROR(MOD(RTD("ice.rtd",,$C1763 &amp; $D1763 &amp; ":" &amp; J$1), 1), "")</f>
        <v/>
      </c>
      <c r="K1763" s="18" t="str">
        <f>RTD("ice.rtd",,$C1763 &amp; $D1763 &amp; ":" &amp; K$1)</f>
        <v>Invalid Market: 2044823525M16</v>
      </c>
      <c r="L1763" s="36" t="str">
        <f>RTD("ice.rtd",,$C1763 &amp; $D1763 &amp; ":" &amp; L$1)</f>
        <v>Invalid Market: 2044823525M16</v>
      </c>
      <c r="M1763" s="14" t="str">
        <f>IFERROR(MOD(TIMEVALUE(RTD("ice.rtd",,$C1763 &amp; $D1763 &amp; ":" &amp; M$1)), 1), "")</f>
        <v/>
      </c>
      <c r="N1763" s="36" t="str">
        <f>RTD("ice.rtd",,$C1763 &amp; $D1763 &amp; ":" &amp; N$1)</f>
        <v>Invalid Market: 2044823525M16</v>
      </c>
      <c r="O1763" s="36" t="str">
        <f>RTD("ice.rtd",,$C1763 &amp; $D1763 &amp; ":" &amp; O$1)</f>
        <v>Invalid Market: 2044823525M16</v>
      </c>
      <c r="P17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3" s="14" t="str">
        <f>IF(ICE[[#This Row],[LastType]] = "Scrn", ICE[[#This Row],[LstDate]], IF(ICE[[#This Row],[LastType]] = "Blk", ICE[[#This Row],[LstBlkTime]], ""))</f>
        <v/>
      </c>
      <c r="R1763" s="41" t="str">
        <f>IF(ICE[[#This Row],[LastType]] = "Scrn", ICE[[#This Row],[LstPrc]], IF(ICE[[#This Row],[LastType]] = "Blk", ICE[[#This Row],[LstBlkPrc]], ""))</f>
        <v/>
      </c>
      <c r="S1763" s="36" t="e">
        <f>ICE[[#This Row],[Vol]]+ICE[[#This Row],[BlkVol]]</f>
        <v>#VALUE!</v>
      </c>
      <c r="T1763" s="36" t="str">
        <f>RTD("ice.rtd",,$C1763 &amp; $D1763 &amp; ":" &amp; T$1)</f>
        <v>Invalid Market: 2044823525M16</v>
      </c>
      <c r="U1763" s="18" t="str">
        <f>RTD("ice.rtd",,$C1763 &amp; $D1763 &amp; ":" &amp; U$1)</f>
        <v>Invalid Market: 2044823525M16</v>
      </c>
      <c r="V17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63" s="18" t="str">
        <f>IFERROR(IF(LEFT(ICE[[#This Row],[Tenor]], 1) = "B", RTD("esrtd",,$B1763 &amp; " " &amp; ICE[[#This Row],[Tenor]] &amp; "-IEU", W$1), RTD("esrtd",,$B1763 &amp; " " &amp; VLOOKUP(MONTH(ICE[[#This Row],[Strip]]), MthRef[], 2, 0) &amp; RIGHT(YEAR(ICE[[#This Row],[Strip]]), 2) &amp; "-IEU", W$1)), "")</f>
        <v/>
      </c>
      <c r="X1763" s="36"/>
    </row>
    <row r="1764" spans="1:24" x14ac:dyDescent="0.25">
      <c r="A1764" s="37" t="s">
        <v>355</v>
      </c>
      <c r="B1764" s="88" t="str">
        <f>RTD("ice.rtd",,$C1764 &amp; $D1764 &amp; ":" &amp; B$1)</f>
        <v>Invalid Market: 2044823525M17</v>
      </c>
      <c r="C1764" s="3">
        <v>2044823525</v>
      </c>
      <c r="D1764" t="s">
        <v>806</v>
      </c>
      <c r="E1764" s="3" t="str">
        <f>RTD("ice.rtd",,$C1764 &amp; $D1764 &amp; ":" &amp; E$1)</f>
        <v>Invalid Market: 2044823525M17</v>
      </c>
      <c r="F1764" s="3" t="str">
        <f>ICE[[#This Row],[Prod]]&amp;ICE[[#This Row],[Strip]]</f>
        <v>icewcstitmaInvalid Market: 2044823525M17</v>
      </c>
      <c r="G1764" s="18" t="str">
        <f>RTD("ice.rtd",,$C1764 &amp; $D1764 &amp; ":" &amp; G$1)</f>
        <v>Invalid Market: 2044823525M17</v>
      </c>
      <c r="H1764" s="18" t="str">
        <f>RTD("ice.rtd",,$C1764 &amp; $D1764 &amp; ":" &amp; H$1)</f>
        <v>Invalid Market: 2044823525M17</v>
      </c>
      <c r="I1764" s="18" t="str">
        <f>RTD("ice.rtd",,$C1764 &amp; $D1764 &amp; ":" &amp; I$1)</f>
        <v>Invalid Market: 2044823525M17</v>
      </c>
      <c r="J1764" s="14" t="str">
        <f>IFERROR(MOD(RTD("ice.rtd",,$C1764 &amp; $D1764 &amp; ":" &amp; J$1), 1), "")</f>
        <v/>
      </c>
      <c r="K1764" s="18" t="str">
        <f>RTD("ice.rtd",,$C1764 &amp; $D1764 &amp; ":" &amp; K$1)</f>
        <v>Invalid Market: 2044823525M17</v>
      </c>
      <c r="L1764" s="36" t="str">
        <f>RTD("ice.rtd",,$C1764 &amp; $D1764 &amp; ":" &amp; L$1)</f>
        <v>Invalid Market: 2044823525M17</v>
      </c>
      <c r="M1764" s="14" t="str">
        <f>IFERROR(MOD(TIMEVALUE(RTD("ice.rtd",,$C1764 &amp; $D1764 &amp; ":" &amp; M$1)), 1), "")</f>
        <v/>
      </c>
      <c r="N1764" s="36" t="str">
        <f>RTD("ice.rtd",,$C1764 &amp; $D1764 &amp; ":" &amp; N$1)</f>
        <v>Invalid Market: 2044823525M17</v>
      </c>
      <c r="O1764" s="36" t="str">
        <f>RTD("ice.rtd",,$C1764 &amp; $D1764 &amp; ":" &amp; O$1)</f>
        <v>Invalid Market: 2044823525M17</v>
      </c>
      <c r="P17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4" s="14" t="str">
        <f>IF(ICE[[#This Row],[LastType]] = "Scrn", ICE[[#This Row],[LstDate]], IF(ICE[[#This Row],[LastType]] = "Blk", ICE[[#This Row],[LstBlkTime]], ""))</f>
        <v/>
      </c>
      <c r="R1764" s="41" t="str">
        <f>IF(ICE[[#This Row],[LastType]] = "Scrn", ICE[[#This Row],[LstPrc]], IF(ICE[[#This Row],[LastType]] = "Blk", ICE[[#This Row],[LstBlkPrc]], ""))</f>
        <v/>
      </c>
      <c r="S1764" s="36" t="e">
        <f>ICE[[#This Row],[Vol]]+ICE[[#This Row],[BlkVol]]</f>
        <v>#VALUE!</v>
      </c>
      <c r="T1764" s="36" t="str">
        <f>RTD("ice.rtd",,$C1764 &amp; $D1764 &amp; ":" &amp; T$1)</f>
        <v>Invalid Market: 2044823525M17</v>
      </c>
      <c r="U1764" s="18" t="str">
        <f>RTD("ice.rtd",,$C1764 &amp; $D1764 &amp; ":" &amp; U$1)</f>
        <v>Invalid Market: 2044823525M17</v>
      </c>
      <c r="V17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64" s="18" t="str">
        <f>IFERROR(IF(LEFT(ICE[[#This Row],[Tenor]], 1) = "B", RTD("esrtd",,$B1764 &amp; " " &amp; ICE[[#This Row],[Tenor]] &amp; "-IEU", W$1), RTD("esrtd",,$B1764 &amp; " " &amp; VLOOKUP(MONTH(ICE[[#This Row],[Strip]]), MthRef[], 2, 0) &amp; RIGHT(YEAR(ICE[[#This Row],[Strip]]), 2) &amp; "-IEU", W$1)), "")</f>
        <v/>
      </c>
      <c r="X1764" s="36"/>
    </row>
    <row r="1765" spans="1:24" x14ac:dyDescent="0.25">
      <c r="A1765" s="37" t="s">
        <v>355</v>
      </c>
      <c r="B1765" s="88" t="str">
        <f>RTD("ice.rtd",,$C1765 &amp; $D1765 &amp; ":" &amp; B$1)</f>
        <v>Invalid Market: 2044823525M18</v>
      </c>
      <c r="C1765" s="3">
        <v>2044823525</v>
      </c>
      <c r="D1765" t="s">
        <v>807</v>
      </c>
      <c r="E1765" s="3" t="str">
        <f>RTD("ice.rtd",,$C1765 &amp; $D1765 &amp; ":" &amp; E$1)</f>
        <v>Invalid Market: 2044823525M18</v>
      </c>
      <c r="F1765" s="3" t="str">
        <f>ICE[[#This Row],[Prod]]&amp;ICE[[#This Row],[Strip]]</f>
        <v>icewcstitmaInvalid Market: 2044823525M18</v>
      </c>
      <c r="G1765" s="18" t="str">
        <f>RTD("ice.rtd",,$C1765 &amp; $D1765 &amp; ":" &amp; G$1)</f>
        <v>Invalid Market: 2044823525M18</v>
      </c>
      <c r="H1765" s="18" t="str">
        <f>RTD("ice.rtd",,$C1765 &amp; $D1765 &amp; ":" &amp; H$1)</f>
        <v>Invalid Market: 2044823525M18</v>
      </c>
      <c r="I1765" s="18" t="str">
        <f>RTD("ice.rtd",,$C1765 &amp; $D1765 &amp; ":" &amp; I$1)</f>
        <v>Invalid Market: 2044823525M18</v>
      </c>
      <c r="J1765" s="14" t="str">
        <f>IFERROR(MOD(RTD("ice.rtd",,$C1765 &amp; $D1765 &amp; ":" &amp; J$1), 1), "")</f>
        <v/>
      </c>
      <c r="K1765" s="18" t="str">
        <f>RTD("ice.rtd",,$C1765 &amp; $D1765 &amp; ":" &amp; K$1)</f>
        <v>Invalid Market: 2044823525M18</v>
      </c>
      <c r="L1765" s="36" t="str">
        <f>RTD("ice.rtd",,$C1765 &amp; $D1765 &amp; ":" &amp; L$1)</f>
        <v>Invalid Market: 2044823525M18</v>
      </c>
      <c r="M1765" s="14" t="str">
        <f>IFERROR(MOD(TIMEVALUE(RTD("ice.rtd",,$C1765 &amp; $D1765 &amp; ":" &amp; M$1)), 1), "")</f>
        <v/>
      </c>
      <c r="N1765" s="36" t="str">
        <f>RTD("ice.rtd",,$C1765 &amp; $D1765 &amp; ":" &amp; N$1)</f>
        <v>Invalid Market: 2044823525M18</v>
      </c>
      <c r="O1765" s="36" t="str">
        <f>RTD("ice.rtd",,$C1765 &amp; $D1765 &amp; ":" &amp; O$1)</f>
        <v>Invalid Market: 2044823525M18</v>
      </c>
      <c r="P17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5" s="14" t="str">
        <f>IF(ICE[[#This Row],[LastType]] = "Scrn", ICE[[#This Row],[LstDate]], IF(ICE[[#This Row],[LastType]] = "Blk", ICE[[#This Row],[LstBlkTime]], ""))</f>
        <v/>
      </c>
      <c r="R1765" s="41" t="str">
        <f>IF(ICE[[#This Row],[LastType]] = "Scrn", ICE[[#This Row],[LstPrc]], IF(ICE[[#This Row],[LastType]] = "Blk", ICE[[#This Row],[LstBlkPrc]], ""))</f>
        <v/>
      </c>
      <c r="S1765" s="36" t="e">
        <f>ICE[[#This Row],[Vol]]+ICE[[#This Row],[BlkVol]]</f>
        <v>#VALUE!</v>
      </c>
      <c r="T1765" s="36" t="str">
        <f>RTD("ice.rtd",,$C1765 &amp; $D1765 &amp; ":" &amp; T$1)</f>
        <v>Invalid Market: 2044823525M18</v>
      </c>
      <c r="U1765" s="18" t="str">
        <f>RTD("ice.rtd",,$C1765 &amp; $D1765 &amp; ":" &amp; U$1)</f>
        <v>Invalid Market: 2044823525M18</v>
      </c>
      <c r="V17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65" s="18" t="str">
        <f>IFERROR(IF(LEFT(ICE[[#This Row],[Tenor]], 1) = "B", RTD("esrtd",,$B1765 &amp; " " &amp; ICE[[#This Row],[Tenor]] &amp; "-IEU", W$1), RTD("esrtd",,$B1765 &amp; " " &amp; VLOOKUP(MONTH(ICE[[#This Row],[Strip]]), MthRef[], 2, 0) &amp; RIGHT(YEAR(ICE[[#This Row],[Strip]]), 2) &amp; "-IEU", W$1)), "")</f>
        <v/>
      </c>
      <c r="X1765" s="36"/>
    </row>
    <row r="1766" spans="1:24" x14ac:dyDescent="0.25">
      <c r="A1766" s="37" t="s">
        <v>355</v>
      </c>
      <c r="B1766" s="88" t="str">
        <f>RTD("ice.rtd",,$C1766 &amp; $D1766 &amp; ":" &amp; B$1)</f>
        <v>Invalid Market: 2044823525M19</v>
      </c>
      <c r="C1766" s="3">
        <v>2044823525</v>
      </c>
      <c r="D1766" t="s">
        <v>808</v>
      </c>
      <c r="E1766" s="3" t="str">
        <f>RTD("ice.rtd",,$C1766 &amp; $D1766 &amp; ":" &amp; E$1)</f>
        <v>Invalid Market: 2044823525M19</v>
      </c>
      <c r="F1766" s="3" t="str">
        <f>ICE[[#This Row],[Prod]]&amp;ICE[[#This Row],[Strip]]</f>
        <v>icewcstitmaInvalid Market: 2044823525M19</v>
      </c>
      <c r="G1766" s="18" t="str">
        <f>RTD("ice.rtd",,$C1766 &amp; $D1766 &amp; ":" &amp; G$1)</f>
        <v>Invalid Market: 2044823525M19</v>
      </c>
      <c r="H1766" s="18" t="str">
        <f>RTD("ice.rtd",,$C1766 &amp; $D1766 &amp; ":" &amp; H$1)</f>
        <v>Invalid Market: 2044823525M19</v>
      </c>
      <c r="I1766" s="18" t="str">
        <f>RTD("ice.rtd",,$C1766 &amp; $D1766 &amp; ":" &amp; I$1)</f>
        <v>Invalid Market: 2044823525M19</v>
      </c>
      <c r="J1766" s="14" t="str">
        <f>IFERROR(MOD(RTD("ice.rtd",,$C1766 &amp; $D1766 &amp; ":" &amp; J$1), 1), "")</f>
        <v/>
      </c>
      <c r="K1766" s="18" t="str">
        <f>RTD("ice.rtd",,$C1766 &amp; $D1766 &amp; ":" &amp; K$1)</f>
        <v>Invalid Market: 2044823525M19</v>
      </c>
      <c r="L1766" s="36" t="str">
        <f>RTD("ice.rtd",,$C1766 &amp; $D1766 &amp; ":" &amp; L$1)</f>
        <v>Invalid Market: 2044823525M19</v>
      </c>
      <c r="M1766" s="14" t="str">
        <f>IFERROR(MOD(TIMEVALUE(RTD("ice.rtd",,$C1766 &amp; $D1766 &amp; ":" &amp; M$1)), 1), "")</f>
        <v/>
      </c>
      <c r="N1766" s="36" t="str">
        <f>RTD("ice.rtd",,$C1766 &amp; $D1766 &amp; ":" &amp; N$1)</f>
        <v>Invalid Market: 2044823525M19</v>
      </c>
      <c r="O1766" s="36" t="str">
        <f>RTD("ice.rtd",,$C1766 &amp; $D1766 &amp; ":" &amp; O$1)</f>
        <v>Invalid Market: 2044823525M19</v>
      </c>
      <c r="P17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6" s="14" t="str">
        <f>IF(ICE[[#This Row],[LastType]] = "Scrn", ICE[[#This Row],[LstDate]], IF(ICE[[#This Row],[LastType]] = "Blk", ICE[[#This Row],[LstBlkTime]], ""))</f>
        <v/>
      </c>
      <c r="R1766" s="41" t="str">
        <f>IF(ICE[[#This Row],[LastType]] = "Scrn", ICE[[#This Row],[LstPrc]], IF(ICE[[#This Row],[LastType]] = "Blk", ICE[[#This Row],[LstBlkPrc]], ""))</f>
        <v/>
      </c>
      <c r="S1766" s="36" t="e">
        <f>ICE[[#This Row],[Vol]]+ICE[[#This Row],[BlkVol]]</f>
        <v>#VALUE!</v>
      </c>
      <c r="T1766" s="36" t="str">
        <f>RTD("ice.rtd",,$C1766 &amp; $D1766 &amp; ":" &amp; T$1)</f>
        <v>Invalid Market: 2044823525M19</v>
      </c>
      <c r="U1766" s="18" t="str">
        <f>RTD("ice.rtd",,$C1766 &amp; $D1766 &amp; ":" &amp; U$1)</f>
        <v>Invalid Market: 2044823525M19</v>
      </c>
      <c r="V17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66" s="18" t="str">
        <f>IFERROR(IF(LEFT(ICE[[#This Row],[Tenor]], 1) = "B", RTD("esrtd",,$B1766 &amp; " " &amp; ICE[[#This Row],[Tenor]] &amp; "-IEU", W$1), RTD("esrtd",,$B1766 &amp; " " &amp; VLOOKUP(MONTH(ICE[[#This Row],[Strip]]), MthRef[], 2, 0) &amp; RIGHT(YEAR(ICE[[#This Row],[Strip]]), 2) &amp; "-IEU", W$1)), "")</f>
        <v/>
      </c>
      <c r="X1766" s="36"/>
    </row>
    <row r="1767" spans="1:24" x14ac:dyDescent="0.25">
      <c r="A1767" s="37" t="s">
        <v>355</v>
      </c>
      <c r="B1767" s="88" t="str">
        <f>RTD("ice.rtd",,$C1767 &amp; $D1767 &amp; ":" &amp; B$1)</f>
        <v>Invalid Market: 2044823525M20</v>
      </c>
      <c r="C1767" s="3">
        <v>2044823525</v>
      </c>
      <c r="D1767" t="s">
        <v>809</v>
      </c>
      <c r="E1767" s="3" t="str">
        <f>RTD("ice.rtd",,$C1767 &amp; $D1767 &amp; ":" &amp; E$1)</f>
        <v>Invalid Market: 2044823525M20</v>
      </c>
      <c r="F1767" s="3" t="str">
        <f>ICE[[#This Row],[Prod]]&amp;ICE[[#This Row],[Strip]]</f>
        <v>icewcstitmaInvalid Market: 2044823525M20</v>
      </c>
      <c r="G1767" s="18" t="str">
        <f>RTD("ice.rtd",,$C1767 &amp; $D1767 &amp; ":" &amp; G$1)</f>
        <v>Invalid Market: 2044823525M20</v>
      </c>
      <c r="H1767" s="18" t="str">
        <f>RTD("ice.rtd",,$C1767 &amp; $D1767 &amp; ":" &amp; H$1)</f>
        <v>Invalid Market: 2044823525M20</v>
      </c>
      <c r="I1767" s="18" t="str">
        <f>RTD("ice.rtd",,$C1767 &amp; $D1767 &amp; ":" &amp; I$1)</f>
        <v>Invalid Market: 2044823525M20</v>
      </c>
      <c r="J1767" s="14" t="str">
        <f>IFERROR(MOD(RTD("ice.rtd",,$C1767 &amp; $D1767 &amp; ":" &amp; J$1), 1), "")</f>
        <v/>
      </c>
      <c r="K1767" s="18" t="str">
        <f>RTD("ice.rtd",,$C1767 &amp; $D1767 &amp; ":" &amp; K$1)</f>
        <v>Invalid Market: 2044823525M20</v>
      </c>
      <c r="L1767" s="36" t="str">
        <f>RTD("ice.rtd",,$C1767 &amp; $D1767 &amp; ":" &amp; L$1)</f>
        <v>Invalid Market: 2044823525M20</v>
      </c>
      <c r="M1767" s="14" t="str">
        <f>IFERROR(MOD(TIMEVALUE(RTD("ice.rtd",,$C1767 &amp; $D1767 &amp; ":" &amp; M$1)), 1), "")</f>
        <v/>
      </c>
      <c r="N1767" s="36" t="str">
        <f>RTD("ice.rtd",,$C1767 &amp; $D1767 &amp; ":" &amp; N$1)</f>
        <v>Invalid Market: 2044823525M20</v>
      </c>
      <c r="O1767" s="36" t="str">
        <f>RTD("ice.rtd",,$C1767 &amp; $D1767 &amp; ":" &amp; O$1)</f>
        <v>Invalid Market: 2044823525M20</v>
      </c>
      <c r="P17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7" s="14" t="str">
        <f>IF(ICE[[#This Row],[LastType]] = "Scrn", ICE[[#This Row],[LstDate]], IF(ICE[[#This Row],[LastType]] = "Blk", ICE[[#This Row],[LstBlkTime]], ""))</f>
        <v/>
      </c>
      <c r="R1767" s="41" t="str">
        <f>IF(ICE[[#This Row],[LastType]] = "Scrn", ICE[[#This Row],[LstPrc]], IF(ICE[[#This Row],[LastType]] = "Blk", ICE[[#This Row],[LstBlkPrc]], ""))</f>
        <v/>
      </c>
      <c r="S1767" s="36" t="e">
        <f>ICE[[#This Row],[Vol]]+ICE[[#This Row],[BlkVol]]</f>
        <v>#VALUE!</v>
      </c>
      <c r="T1767" s="36" t="str">
        <f>RTD("ice.rtd",,$C1767 &amp; $D1767 &amp; ":" &amp; T$1)</f>
        <v>Invalid Market: 2044823525M20</v>
      </c>
      <c r="U1767" s="18" t="str">
        <f>RTD("ice.rtd",,$C1767 &amp; $D1767 &amp; ":" &amp; U$1)</f>
        <v>Invalid Market: 2044823525M20</v>
      </c>
      <c r="V17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67" s="18" t="str">
        <f>IFERROR(IF(LEFT(ICE[[#This Row],[Tenor]], 1) = "B", RTD("esrtd",,$B1767 &amp; " " &amp; ICE[[#This Row],[Tenor]] &amp; "-IEU", W$1), RTD("esrtd",,$B1767 &amp; " " &amp; VLOOKUP(MONTH(ICE[[#This Row],[Strip]]), MthRef[], 2, 0) &amp; RIGHT(YEAR(ICE[[#This Row],[Strip]]), 2) &amp; "-IEU", W$1)), "")</f>
        <v/>
      </c>
      <c r="X1767" s="36"/>
    </row>
    <row r="1768" spans="1:24" x14ac:dyDescent="0.25">
      <c r="A1768" s="37" t="s">
        <v>355</v>
      </c>
      <c r="B1768" s="88" t="str">
        <f>RTD("ice.rtd",,$C1768 &amp; $D1768 &amp; ":" &amp; B$1)</f>
        <v>Invalid Market: 2044823525M21</v>
      </c>
      <c r="C1768" s="3">
        <v>2044823525</v>
      </c>
      <c r="D1768" t="s">
        <v>810</v>
      </c>
      <c r="E1768" s="3" t="str">
        <f>RTD("ice.rtd",,$C1768 &amp; $D1768 &amp; ":" &amp; E$1)</f>
        <v>Invalid Market: 2044823525M21</v>
      </c>
      <c r="F1768" s="3" t="str">
        <f>ICE[[#This Row],[Prod]]&amp;ICE[[#This Row],[Strip]]</f>
        <v>icewcstitmaInvalid Market: 2044823525M21</v>
      </c>
      <c r="G1768" s="18" t="str">
        <f>RTD("ice.rtd",,$C1768 &amp; $D1768 &amp; ":" &amp; G$1)</f>
        <v>Invalid Market: 2044823525M21</v>
      </c>
      <c r="H1768" s="18" t="str">
        <f>RTD("ice.rtd",,$C1768 &amp; $D1768 &amp; ":" &amp; H$1)</f>
        <v>Invalid Market: 2044823525M21</v>
      </c>
      <c r="I1768" s="18" t="str">
        <f>RTD("ice.rtd",,$C1768 &amp; $D1768 &amp; ":" &amp; I$1)</f>
        <v>Invalid Market: 2044823525M21</v>
      </c>
      <c r="J1768" s="14" t="str">
        <f>IFERROR(MOD(RTD("ice.rtd",,$C1768 &amp; $D1768 &amp; ":" &amp; J$1), 1), "")</f>
        <v/>
      </c>
      <c r="K1768" s="18" t="str">
        <f>RTD("ice.rtd",,$C1768 &amp; $D1768 &amp; ":" &amp; K$1)</f>
        <v>Invalid Market: 2044823525M21</v>
      </c>
      <c r="L1768" s="36" t="str">
        <f>RTD("ice.rtd",,$C1768 &amp; $D1768 &amp; ":" &amp; L$1)</f>
        <v>Invalid Market: 2044823525M21</v>
      </c>
      <c r="M1768" s="14" t="str">
        <f>IFERROR(MOD(TIMEVALUE(RTD("ice.rtd",,$C1768 &amp; $D1768 &amp; ":" &amp; M$1)), 1), "")</f>
        <v/>
      </c>
      <c r="N1768" s="36" t="str">
        <f>RTD("ice.rtd",,$C1768 &amp; $D1768 &amp; ":" &amp; N$1)</f>
        <v>Invalid Market: 2044823525M21</v>
      </c>
      <c r="O1768" s="36" t="str">
        <f>RTD("ice.rtd",,$C1768 &amp; $D1768 &amp; ":" &amp; O$1)</f>
        <v>Invalid Market: 2044823525M21</v>
      </c>
      <c r="P17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8" s="14" t="str">
        <f>IF(ICE[[#This Row],[LastType]] = "Scrn", ICE[[#This Row],[LstDate]], IF(ICE[[#This Row],[LastType]] = "Blk", ICE[[#This Row],[LstBlkTime]], ""))</f>
        <v/>
      </c>
      <c r="R1768" s="41" t="str">
        <f>IF(ICE[[#This Row],[LastType]] = "Scrn", ICE[[#This Row],[LstPrc]], IF(ICE[[#This Row],[LastType]] = "Blk", ICE[[#This Row],[LstBlkPrc]], ""))</f>
        <v/>
      </c>
      <c r="S1768" s="36" t="e">
        <f>ICE[[#This Row],[Vol]]+ICE[[#This Row],[BlkVol]]</f>
        <v>#VALUE!</v>
      </c>
      <c r="T1768" s="36" t="str">
        <f>RTD("ice.rtd",,$C1768 &amp; $D1768 &amp; ":" &amp; T$1)</f>
        <v>Invalid Market: 2044823525M21</v>
      </c>
      <c r="U1768" s="18" t="str">
        <f>RTD("ice.rtd",,$C1768 &amp; $D1768 &amp; ":" &amp; U$1)</f>
        <v>Invalid Market: 2044823525M21</v>
      </c>
      <c r="V17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68" s="18" t="str">
        <f>IFERROR(IF(LEFT(ICE[[#This Row],[Tenor]], 1) = "B", RTD("esrtd",,$B1768 &amp; " " &amp; ICE[[#This Row],[Tenor]] &amp; "-IEU", W$1), RTD("esrtd",,$B1768 &amp; " " &amp; VLOOKUP(MONTH(ICE[[#This Row],[Strip]]), MthRef[], 2, 0) &amp; RIGHT(YEAR(ICE[[#This Row],[Strip]]), 2) &amp; "-IEU", W$1)), "")</f>
        <v/>
      </c>
      <c r="X1768" s="36"/>
    </row>
    <row r="1769" spans="1:24" x14ac:dyDescent="0.25">
      <c r="A1769" s="37" t="s">
        <v>355</v>
      </c>
      <c r="B1769" s="88" t="str">
        <f>RTD("ice.rtd",,$C1769 &amp; $D1769 &amp; ":" &amp; B$1)</f>
        <v>Invalid Market: 2044823525M22</v>
      </c>
      <c r="C1769" s="3">
        <v>2044823525</v>
      </c>
      <c r="D1769" t="s">
        <v>811</v>
      </c>
      <c r="E1769" s="3" t="str">
        <f>RTD("ice.rtd",,$C1769 &amp; $D1769 &amp; ":" &amp; E$1)</f>
        <v>Invalid Market: 2044823525M22</v>
      </c>
      <c r="F1769" s="3" t="str">
        <f>ICE[[#This Row],[Prod]]&amp;ICE[[#This Row],[Strip]]</f>
        <v>icewcstitmaInvalid Market: 2044823525M22</v>
      </c>
      <c r="G1769" s="18" t="str">
        <f>RTD("ice.rtd",,$C1769 &amp; $D1769 &amp; ":" &amp; G$1)</f>
        <v>Invalid Market: 2044823525M22</v>
      </c>
      <c r="H1769" s="18" t="str">
        <f>RTD("ice.rtd",,$C1769 &amp; $D1769 &amp; ":" &amp; H$1)</f>
        <v>Invalid Market: 2044823525M22</v>
      </c>
      <c r="I1769" s="18" t="str">
        <f>RTD("ice.rtd",,$C1769 &amp; $D1769 &amp; ":" &amp; I$1)</f>
        <v>Invalid Market: 2044823525M22</v>
      </c>
      <c r="J1769" s="14" t="str">
        <f>IFERROR(MOD(RTD("ice.rtd",,$C1769 &amp; $D1769 &amp; ":" &amp; J$1), 1), "")</f>
        <v/>
      </c>
      <c r="K1769" s="18" t="str">
        <f>RTD("ice.rtd",,$C1769 &amp; $D1769 &amp; ":" &amp; K$1)</f>
        <v>Invalid Market: 2044823525M22</v>
      </c>
      <c r="L1769" s="36" t="str">
        <f>RTD("ice.rtd",,$C1769 &amp; $D1769 &amp; ":" &amp; L$1)</f>
        <v>Invalid Market: 2044823525M22</v>
      </c>
      <c r="M1769" s="14" t="str">
        <f>IFERROR(MOD(TIMEVALUE(RTD("ice.rtd",,$C1769 &amp; $D1769 &amp; ":" &amp; M$1)), 1), "")</f>
        <v/>
      </c>
      <c r="N1769" s="36" t="str">
        <f>RTD("ice.rtd",,$C1769 &amp; $D1769 &amp; ":" &amp; N$1)</f>
        <v>Invalid Market: 2044823525M22</v>
      </c>
      <c r="O1769" s="36" t="str">
        <f>RTD("ice.rtd",,$C1769 &amp; $D1769 &amp; ":" &amp; O$1)</f>
        <v>Invalid Market: 2044823525M22</v>
      </c>
      <c r="P17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69" s="14" t="str">
        <f>IF(ICE[[#This Row],[LastType]] = "Scrn", ICE[[#This Row],[LstDate]], IF(ICE[[#This Row],[LastType]] = "Blk", ICE[[#This Row],[LstBlkTime]], ""))</f>
        <v/>
      </c>
      <c r="R1769" s="41" t="str">
        <f>IF(ICE[[#This Row],[LastType]] = "Scrn", ICE[[#This Row],[LstPrc]], IF(ICE[[#This Row],[LastType]] = "Blk", ICE[[#This Row],[LstBlkPrc]], ""))</f>
        <v/>
      </c>
      <c r="S1769" s="36" t="e">
        <f>ICE[[#This Row],[Vol]]+ICE[[#This Row],[BlkVol]]</f>
        <v>#VALUE!</v>
      </c>
      <c r="T1769" s="36" t="str">
        <f>RTD("ice.rtd",,$C1769 &amp; $D1769 &amp; ":" &amp; T$1)</f>
        <v>Invalid Market: 2044823525M22</v>
      </c>
      <c r="U1769" s="18" t="str">
        <f>RTD("ice.rtd",,$C1769 &amp; $D1769 &amp; ":" &amp; U$1)</f>
        <v>Invalid Market: 2044823525M22</v>
      </c>
      <c r="V17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69" s="18" t="str">
        <f>IFERROR(IF(LEFT(ICE[[#This Row],[Tenor]], 1) = "B", RTD("esrtd",,$B1769 &amp; " " &amp; ICE[[#This Row],[Tenor]] &amp; "-IEU", W$1), RTD("esrtd",,$B1769 &amp; " " &amp; VLOOKUP(MONTH(ICE[[#This Row],[Strip]]), MthRef[], 2, 0) &amp; RIGHT(YEAR(ICE[[#This Row],[Strip]]), 2) &amp; "-IEU", W$1)), "")</f>
        <v/>
      </c>
      <c r="X1769" s="36"/>
    </row>
    <row r="1770" spans="1:24" x14ac:dyDescent="0.25">
      <c r="A1770" s="37" t="s">
        <v>355</v>
      </c>
      <c r="B1770" s="88" t="str">
        <f>RTD("ice.rtd",,$C1770 &amp; $D1770 &amp; ":" &amp; B$1)</f>
        <v>ARV</v>
      </c>
      <c r="C1770" s="3">
        <v>2044823525</v>
      </c>
      <c r="D1770" t="s">
        <v>814</v>
      </c>
      <c r="E1770" s="3" t="str">
        <f>RTD("ice.rtd",,$C1770 &amp; $D1770 &amp; ":" &amp; E$1)</f>
        <v>Q4 26</v>
      </c>
      <c r="F1770" s="3" t="str">
        <f>ICE[[#This Row],[Prod]]&amp;ICE[[#This Row],[Strip]]</f>
        <v>icewcstitmaQ4 26</v>
      </c>
      <c r="G1770" s="18" t="str">
        <f>RTD("ice.rtd",,$C1770 &amp; $D1770 &amp; ":" &amp; G$1)</f>
        <v/>
      </c>
      <c r="H1770" s="18" t="str">
        <f>RTD("ice.rtd",,$C1770 &amp; $D1770 &amp; ":" &amp; H$1)</f>
        <v/>
      </c>
      <c r="I1770" s="18" t="str">
        <f>RTD("ice.rtd",,$C1770 &amp; $D1770 &amp; ":" &amp; I$1)</f>
        <v/>
      </c>
      <c r="J1770" s="14" t="str">
        <f>IFERROR(MOD(RTD("ice.rtd",,$C1770 &amp; $D1770 &amp; ":" &amp; J$1), 1), "")</f>
        <v/>
      </c>
      <c r="K1770" s="18" t="str">
        <f>RTD("ice.rtd",,$C1770 &amp; $D1770 &amp; ":" &amp; K$1)</f>
        <v/>
      </c>
      <c r="L1770" s="36" t="str">
        <f>RTD("ice.rtd",,$C1770 &amp; $D1770 &amp; ":" &amp; L$1)</f>
        <v/>
      </c>
      <c r="M1770" s="14" t="str">
        <f>IFERROR(MOD(TIMEVALUE(RTD("ice.rtd",,$C1770 &amp; $D1770 &amp; ":" &amp; M$1)), 1), "")</f>
        <v/>
      </c>
      <c r="N1770" s="36">
        <f>RTD("ice.rtd",,$C1770 &amp; $D1770 &amp; ":" &amp; N$1)</f>
        <v>0</v>
      </c>
      <c r="O1770" s="36">
        <f>RTD("ice.rtd",,$C1770 &amp; $D1770 &amp; ":" &amp; O$1)</f>
        <v>0</v>
      </c>
      <c r="P17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0" s="14" t="str">
        <f>IF(ICE[[#This Row],[LastType]] = "Scrn", ICE[[#This Row],[LstDate]], IF(ICE[[#This Row],[LastType]] = "Blk", ICE[[#This Row],[LstBlkTime]], ""))</f>
        <v/>
      </c>
      <c r="R1770" s="41" t="str">
        <f>IF(ICE[[#This Row],[LastType]] = "Scrn", ICE[[#This Row],[LstPrc]], IF(ICE[[#This Row],[LastType]] = "Blk", ICE[[#This Row],[LstBlkPrc]], ""))</f>
        <v/>
      </c>
      <c r="S1770" s="36">
        <f>ICE[[#This Row],[Vol]]+ICE[[#This Row],[BlkVol]]</f>
        <v>0</v>
      </c>
      <c r="T1770" s="36">
        <f>RTD("ice.rtd",,$C1770 &amp; $D1770 &amp; ":" &amp; T$1)</f>
        <v>0</v>
      </c>
      <c r="U1770" s="18">
        <f>RTD("ice.rtd",,$C1770 &amp; $D1770 &amp; ":" &amp; U$1)</f>
        <v>-7.7170000000000005</v>
      </c>
      <c r="V17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70" s="18" t="str">
        <f>IFERROR(IF(LEFT(ICE[[#This Row],[Tenor]], 1) = "B", RTD("esrtd",,$B1770 &amp; " " &amp; ICE[[#This Row],[Tenor]] &amp; "-IEU", W$1), RTD("esrtd",,$B1770 &amp; " " &amp; VLOOKUP(MONTH(ICE[[#This Row],[Strip]]), MthRef[], 2, 0) &amp; RIGHT(YEAR(ICE[[#This Row],[Strip]]), 2) &amp; "-IEU", W$1)), "")</f>
        <v/>
      </c>
      <c r="X1770" s="36"/>
    </row>
    <row r="1771" spans="1:24" x14ac:dyDescent="0.25">
      <c r="A1771" s="37" t="s">
        <v>355</v>
      </c>
      <c r="B1771" s="88" t="str">
        <f>RTD("ice.rtd",,$C1771 &amp; $D1771 &amp; ":" &amp; B$1)</f>
        <v>ARV</v>
      </c>
      <c r="C1771" s="3">
        <v>2044823525</v>
      </c>
      <c r="D1771" t="s">
        <v>815</v>
      </c>
      <c r="E1771" s="3" t="str">
        <f>RTD("ice.rtd",,$C1771 &amp; $D1771 &amp; ":" &amp; E$1)</f>
        <v>Q1 27</v>
      </c>
      <c r="F1771" s="3" t="str">
        <f>ICE[[#This Row],[Prod]]&amp;ICE[[#This Row],[Strip]]</f>
        <v>icewcstitmaQ1 27</v>
      </c>
      <c r="G1771" s="18" t="str">
        <f>RTD("ice.rtd",,$C1771 &amp; $D1771 &amp; ":" &amp; G$1)</f>
        <v/>
      </c>
      <c r="H1771" s="18" t="str">
        <f>RTD("ice.rtd",,$C1771 &amp; $D1771 &amp; ":" &amp; H$1)</f>
        <v/>
      </c>
      <c r="I1771" s="18" t="str">
        <f>RTD("ice.rtd",,$C1771 &amp; $D1771 &amp; ":" &amp; I$1)</f>
        <v/>
      </c>
      <c r="J1771" s="14" t="str">
        <f>IFERROR(MOD(RTD("ice.rtd",,$C1771 &amp; $D1771 &amp; ":" &amp; J$1), 1), "")</f>
        <v/>
      </c>
      <c r="K1771" s="18" t="str">
        <f>RTD("ice.rtd",,$C1771 &amp; $D1771 &amp; ":" &amp; K$1)</f>
        <v/>
      </c>
      <c r="L1771" s="36" t="str">
        <f>RTD("ice.rtd",,$C1771 &amp; $D1771 &amp; ":" &amp; L$1)</f>
        <v/>
      </c>
      <c r="M1771" s="14" t="str">
        <f>IFERROR(MOD(TIMEVALUE(RTD("ice.rtd",,$C1771 &amp; $D1771 &amp; ":" &amp; M$1)), 1), "")</f>
        <v/>
      </c>
      <c r="N1771" s="36">
        <f>RTD("ice.rtd",,$C1771 &amp; $D1771 &amp; ":" &amp; N$1)</f>
        <v>0</v>
      </c>
      <c r="O1771" s="36">
        <f>RTD("ice.rtd",,$C1771 &amp; $D1771 &amp; ":" &amp; O$1)</f>
        <v>0</v>
      </c>
      <c r="P17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1" s="14" t="str">
        <f>IF(ICE[[#This Row],[LastType]] = "Scrn", ICE[[#This Row],[LstDate]], IF(ICE[[#This Row],[LastType]] = "Blk", ICE[[#This Row],[LstBlkTime]], ""))</f>
        <v/>
      </c>
      <c r="R1771" s="41" t="str">
        <f>IF(ICE[[#This Row],[LastType]] = "Scrn", ICE[[#This Row],[LstPrc]], IF(ICE[[#This Row],[LastType]] = "Blk", ICE[[#This Row],[LstBlkPrc]], ""))</f>
        <v/>
      </c>
      <c r="S1771" s="36">
        <f>ICE[[#This Row],[Vol]]+ICE[[#This Row],[BlkVol]]</f>
        <v>0</v>
      </c>
      <c r="T1771" s="36">
        <f>RTD("ice.rtd",,$C1771 &amp; $D1771 &amp; ":" &amp; T$1)</f>
        <v>0</v>
      </c>
      <c r="U1771" s="18">
        <f>RTD("ice.rtd",,$C1771 &amp; $D1771 &amp; ":" &amp; U$1)</f>
        <v>-8.0670000000000002</v>
      </c>
      <c r="V17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71" s="18" t="str">
        <f>IFERROR(IF(LEFT(ICE[[#This Row],[Tenor]], 1) = "B", RTD("esrtd",,$B1771 &amp; " " &amp; ICE[[#This Row],[Tenor]] &amp; "-IEU", W$1), RTD("esrtd",,$B1771 &amp; " " &amp; VLOOKUP(MONTH(ICE[[#This Row],[Strip]]), MthRef[], 2, 0) &amp; RIGHT(YEAR(ICE[[#This Row],[Strip]]), 2) &amp; "-IEU", W$1)), "")</f>
        <v/>
      </c>
      <c r="X1771" s="36"/>
    </row>
    <row r="1772" spans="1:24" x14ac:dyDescent="0.25">
      <c r="A1772" s="37" t="s">
        <v>355</v>
      </c>
      <c r="B1772" s="88" t="str">
        <f>RTD("ice.rtd",,$C1772 &amp; $D1772 &amp; ":" &amp; B$1)</f>
        <v>ARV</v>
      </c>
      <c r="C1772" s="3">
        <v>2044823525</v>
      </c>
      <c r="D1772" t="s">
        <v>816</v>
      </c>
      <c r="E1772" s="3" t="str">
        <f>RTD("ice.rtd",,$C1772 &amp; $D1772 &amp; ":" &amp; E$1)</f>
        <v>Q2 27</v>
      </c>
      <c r="F1772" s="3" t="str">
        <f>ICE[[#This Row],[Prod]]&amp;ICE[[#This Row],[Strip]]</f>
        <v>icewcstitmaQ2 27</v>
      </c>
      <c r="G1772" s="18" t="str">
        <f>RTD("ice.rtd",,$C1772 &amp; $D1772 &amp; ":" &amp; G$1)</f>
        <v/>
      </c>
      <c r="H1772" s="18" t="str">
        <f>RTD("ice.rtd",,$C1772 &amp; $D1772 &amp; ":" &amp; H$1)</f>
        <v/>
      </c>
      <c r="I1772" s="18" t="str">
        <f>RTD("ice.rtd",,$C1772 &amp; $D1772 &amp; ":" &amp; I$1)</f>
        <v/>
      </c>
      <c r="J1772" s="14" t="str">
        <f>IFERROR(MOD(RTD("ice.rtd",,$C1772 &amp; $D1772 &amp; ":" &amp; J$1), 1), "")</f>
        <v/>
      </c>
      <c r="K1772" s="18" t="str">
        <f>RTD("ice.rtd",,$C1772 &amp; $D1772 &amp; ":" &amp; K$1)</f>
        <v/>
      </c>
      <c r="L1772" s="36" t="str">
        <f>RTD("ice.rtd",,$C1772 &amp; $D1772 &amp; ":" &amp; L$1)</f>
        <v/>
      </c>
      <c r="M1772" s="14" t="str">
        <f>IFERROR(MOD(TIMEVALUE(RTD("ice.rtd",,$C1772 &amp; $D1772 &amp; ":" &amp; M$1)), 1), "")</f>
        <v/>
      </c>
      <c r="N1772" s="36">
        <f>RTD("ice.rtd",,$C1772 &amp; $D1772 &amp; ":" &amp; N$1)</f>
        <v>0</v>
      </c>
      <c r="O1772" s="36">
        <f>RTD("ice.rtd",,$C1772 &amp; $D1772 &amp; ":" &amp; O$1)</f>
        <v>0</v>
      </c>
      <c r="P17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2" s="14" t="str">
        <f>IF(ICE[[#This Row],[LastType]] = "Scrn", ICE[[#This Row],[LstDate]], IF(ICE[[#This Row],[LastType]] = "Blk", ICE[[#This Row],[LstBlkTime]], ""))</f>
        <v/>
      </c>
      <c r="R1772" s="41" t="str">
        <f>IF(ICE[[#This Row],[LastType]] = "Scrn", ICE[[#This Row],[LstPrc]], IF(ICE[[#This Row],[LastType]] = "Blk", ICE[[#This Row],[LstBlkPrc]], ""))</f>
        <v/>
      </c>
      <c r="S1772" s="36">
        <f>ICE[[#This Row],[Vol]]+ICE[[#This Row],[BlkVol]]</f>
        <v>0</v>
      </c>
      <c r="T1772" s="36">
        <f>RTD("ice.rtd",,$C1772 &amp; $D1772 &amp; ":" &amp; T$1)</f>
        <v>0</v>
      </c>
      <c r="U1772" s="18">
        <f>RTD("ice.rtd",,$C1772 &amp; $D1772 &amp; ":" &amp; U$1)</f>
        <v>-7.3500000000000005</v>
      </c>
      <c r="V17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72" s="18" t="str">
        <f>IFERROR(IF(LEFT(ICE[[#This Row],[Tenor]], 1) = "B", RTD("esrtd",,$B1772 &amp; " " &amp; ICE[[#This Row],[Tenor]] &amp; "-IEU", W$1), RTD("esrtd",,$B1772 &amp; " " &amp; VLOOKUP(MONTH(ICE[[#This Row],[Strip]]), MthRef[], 2, 0) &amp; RIGHT(YEAR(ICE[[#This Row],[Strip]]), 2) &amp; "-IEU", W$1)), "")</f>
        <v/>
      </c>
      <c r="X1772" s="36"/>
    </row>
    <row r="1773" spans="1:24" x14ac:dyDescent="0.25">
      <c r="A1773" s="37" t="s">
        <v>355</v>
      </c>
      <c r="B1773" s="88" t="str">
        <f>RTD("ice.rtd",,$C1773 &amp; $D1773 &amp; ":" &amp; B$1)</f>
        <v>ARV</v>
      </c>
      <c r="C1773" s="3">
        <v>2044823525</v>
      </c>
      <c r="D1773" t="s">
        <v>817</v>
      </c>
      <c r="E1773" s="3" t="str">
        <f>RTD("ice.rtd",,$C1773 &amp; $D1773 &amp; ":" &amp; E$1)</f>
        <v>Q3 27</v>
      </c>
      <c r="F1773" s="3" t="str">
        <f>ICE[[#This Row],[Prod]]&amp;ICE[[#This Row],[Strip]]</f>
        <v>icewcstitmaQ3 27</v>
      </c>
      <c r="G1773" s="18" t="str">
        <f>RTD("ice.rtd",,$C1773 &amp; $D1773 &amp; ":" &amp; G$1)</f>
        <v/>
      </c>
      <c r="H1773" s="18" t="str">
        <f>RTD("ice.rtd",,$C1773 &amp; $D1773 &amp; ":" &amp; H$1)</f>
        <v/>
      </c>
      <c r="I1773" s="18" t="str">
        <f>RTD("ice.rtd",,$C1773 &amp; $D1773 &amp; ":" &amp; I$1)</f>
        <v/>
      </c>
      <c r="J1773" s="14" t="str">
        <f>IFERROR(MOD(RTD("ice.rtd",,$C1773 &amp; $D1773 &amp; ":" &amp; J$1), 1), "")</f>
        <v/>
      </c>
      <c r="K1773" s="18" t="str">
        <f>RTD("ice.rtd",,$C1773 &amp; $D1773 &amp; ":" &amp; K$1)</f>
        <v/>
      </c>
      <c r="L1773" s="36" t="str">
        <f>RTD("ice.rtd",,$C1773 &amp; $D1773 &amp; ":" &amp; L$1)</f>
        <v/>
      </c>
      <c r="M1773" s="14" t="str">
        <f>IFERROR(MOD(TIMEVALUE(RTD("ice.rtd",,$C1773 &amp; $D1773 &amp; ":" &amp; M$1)), 1), "")</f>
        <v/>
      </c>
      <c r="N1773" s="36">
        <f>RTD("ice.rtd",,$C1773 &amp; $D1773 &amp; ":" &amp; N$1)</f>
        <v>0</v>
      </c>
      <c r="O1773" s="36">
        <f>RTD("ice.rtd",,$C1773 &amp; $D1773 &amp; ":" &amp; O$1)</f>
        <v>0</v>
      </c>
      <c r="P17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3" s="14" t="str">
        <f>IF(ICE[[#This Row],[LastType]] = "Scrn", ICE[[#This Row],[LstDate]], IF(ICE[[#This Row],[LastType]] = "Blk", ICE[[#This Row],[LstBlkTime]], ""))</f>
        <v/>
      </c>
      <c r="R1773" s="41" t="str">
        <f>IF(ICE[[#This Row],[LastType]] = "Scrn", ICE[[#This Row],[LstPrc]], IF(ICE[[#This Row],[LastType]] = "Blk", ICE[[#This Row],[LstBlkPrc]], ""))</f>
        <v/>
      </c>
      <c r="S1773" s="36">
        <f>ICE[[#This Row],[Vol]]+ICE[[#This Row],[BlkVol]]</f>
        <v>0</v>
      </c>
      <c r="T1773" s="36">
        <f>RTD("ice.rtd",,$C1773 &amp; $D1773 &amp; ":" &amp; T$1)</f>
        <v>0</v>
      </c>
      <c r="U1773" s="18">
        <f>RTD("ice.rtd",,$C1773 &amp; $D1773 &amp; ":" &amp; U$1)</f>
        <v>-7.75</v>
      </c>
      <c r="V17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73" s="18" t="str">
        <f>IFERROR(IF(LEFT(ICE[[#This Row],[Tenor]], 1) = "B", RTD("esrtd",,$B1773 &amp; " " &amp; ICE[[#This Row],[Tenor]] &amp; "-IEU", W$1), RTD("esrtd",,$B1773 &amp; " " &amp; VLOOKUP(MONTH(ICE[[#This Row],[Strip]]), MthRef[], 2, 0) &amp; RIGHT(YEAR(ICE[[#This Row],[Strip]]), 2) &amp; "-IEU", W$1)), "")</f>
        <v/>
      </c>
      <c r="X1773" s="36"/>
    </row>
    <row r="1774" spans="1:24" x14ac:dyDescent="0.25">
      <c r="A1774" s="37" t="s">
        <v>355</v>
      </c>
      <c r="B1774" s="88" t="str">
        <f>RTD("ice.rtd",,$C1774 &amp; $D1774 &amp; ":" &amp; B$1)</f>
        <v>ARV</v>
      </c>
      <c r="C1774" s="3">
        <v>2044823525</v>
      </c>
      <c r="D1774" t="s">
        <v>818</v>
      </c>
      <c r="E1774" s="3" t="str">
        <f>RTD("ice.rtd",,$C1774 &amp; $D1774 &amp; ":" &amp; E$1)</f>
        <v>Q4 27</v>
      </c>
      <c r="F1774" s="3" t="str">
        <f>ICE[[#This Row],[Prod]]&amp;ICE[[#This Row],[Strip]]</f>
        <v>icewcstitmaQ4 27</v>
      </c>
      <c r="G1774" s="18" t="str">
        <f>RTD("ice.rtd",,$C1774 &amp; $D1774 &amp; ":" &amp; G$1)</f>
        <v/>
      </c>
      <c r="H1774" s="18" t="str">
        <f>RTD("ice.rtd",,$C1774 &amp; $D1774 &amp; ":" &amp; H$1)</f>
        <v/>
      </c>
      <c r="I1774" s="18" t="str">
        <f>RTD("ice.rtd",,$C1774 &amp; $D1774 &amp; ":" &amp; I$1)</f>
        <v/>
      </c>
      <c r="J1774" s="14" t="str">
        <f>IFERROR(MOD(RTD("ice.rtd",,$C1774 &amp; $D1774 &amp; ":" &amp; J$1), 1), "")</f>
        <v/>
      </c>
      <c r="K1774" s="18" t="str">
        <f>RTD("ice.rtd",,$C1774 &amp; $D1774 &amp; ":" &amp; K$1)</f>
        <v/>
      </c>
      <c r="L1774" s="36" t="str">
        <f>RTD("ice.rtd",,$C1774 &amp; $D1774 &amp; ":" &amp; L$1)</f>
        <v/>
      </c>
      <c r="M1774" s="14" t="str">
        <f>IFERROR(MOD(TIMEVALUE(RTD("ice.rtd",,$C1774 &amp; $D1774 &amp; ":" &amp; M$1)), 1), "")</f>
        <v/>
      </c>
      <c r="N1774" s="36">
        <f>RTD("ice.rtd",,$C1774 &amp; $D1774 &amp; ":" &amp; N$1)</f>
        <v>0</v>
      </c>
      <c r="O1774" s="36">
        <f>RTD("ice.rtd",,$C1774 &amp; $D1774 &amp; ":" &amp; O$1)</f>
        <v>0</v>
      </c>
      <c r="P17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4" s="14" t="str">
        <f>IF(ICE[[#This Row],[LastType]] = "Scrn", ICE[[#This Row],[LstDate]], IF(ICE[[#This Row],[LastType]] = "Blk", ICE[[#This Row],[LstBlkTime]], ""))</f>
        <v/>
      </c>
      <c r="R1774" s="41" t="str">
        <f>IF(ICE[[#This Row],[LastType]] = "Scrn", ICE[[#This Row],[LstPrc]], IF(ICE[[#This Row],[LastType]] = "Blk", ICE[[#This Row],[LstBlkPrc]], ""))</f>
        <v/>
      </c>
      <c r="S1774" s="36">
        <f>ICE[[#This Row],[Vol]]+ICE[[#This Row],[BlkVol]]</f>
        <v>0</v>
      </c>
      <c r="T1774" s="36">
        <f>RTD("ice.rtd",,$C1774 &amp; $D1774 &amp; ":" &amp; T$1)</f>
        <v>0</v>
      </c>
      <c r="U1774" s="18">
        <f>RTD("ice.rtd",,$C1774 &amp; $D1774 &amp; ":" &amp; U$1)</f>
        <v>-8.1999999999999993</v>
      </c>
      <c r="V17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74" s="18" t="str">
        <f>IFERROR(IF(LEFT(ICE[[#This Row],[Tenor]], 1) = "B", RTD("esrtd",,$B1774 &amp; " " &amp; ICE[[#This Row],[Tenor]] &amp; "-IEU", W$1), RTD("esrtd",,$B1774 &amp; " " &amp; VLOOKUP(MONTH(ICE[[#This Row],[Strip]]), MthRef[], 2, 0) &amp; RIGHT(YEAR(ICE[[#This Row],[Strip]]), 2) &amp; "-IEU", W$1)), "")</f>
        <v/>
      </c>
      <c r="X1774" s="36"/>
    </row>
    <row r="1775" spans="1:24" x14ac:dyDescent="0.25">
      <c r="A1775" s="37" t="s">
        <v>355</v>
      </c>
      <c r="B1775" s="88" t="str">
        <f>RTD("ice.rtd",,$C1775 &amp; $D1775 &amp; ":" &amp; B$1)</f>
        <v>Invalid Market: 2044823525Q5</v>
      </c>
      <c r="C1775" s="3">
        <v>2044823525</v>
      </c>
      <c r="D1775" t="s">
        <v>819</v>
      </c>
      <c r="E1775" s="3" t="str">
        <f>RTD("ice.rtd",,$C1775 &amp; $D1775 &amp; ":" &amp; E$1)</f>
        <v>Invalid Market: 2044823525Q5</v>
      </c>
      <c r="F1775" s="3" t="str">
        <f>ICE[[#This Row],[Prod]]&amp;ICE[[#This Row],[Strip]]</f>
        <v>icewcstitmaInvalid Market: 2044823525Q5</v>
      </c>
      <c r="G1775" s="18" t="str">
        <f>RTD("ice.rtd",,$C1775 &amp; $D1775 &amp; ":" &amp; G$1)</f>
        <v>Invalid Market: 2044823525Q5</v>
      </c>
      <c r="H1775" s="18" t="str">
        <f>RTD("ice.rtd",,$C1775 &amp; $D1775 &amp; ":" &amp; H$1)</f>
        <v>Invalid Market: 2044823525Q5</v>
      </c>
      <c r="I1775" s="18" t="str">
        <f>RTD("ice.rtd",,$C1775 &amp; $D1775 &amp; ":" &amp; I$1)</f>
        <v>Invalid Market: 2044823525Q5</v>
      </c>
      <c r="J1775" s="14" t="str">
        <f>IFERROR(MOD(RTD("ice.rtd",,$C1775 &amp; $D1775 &amp; ":" &amp; J$1), 1), "")</f>
        <v/>
      </c>
      <c r="K1775" s="18" t="str">
        <f>RTD("ice.rtd",,$C1775 &amp; $D1775 &amp; ":" &amp; K$1)</f>
        <v>Invalid Market: 2044823525Q5</v>
      </c>
      <c r="L1775" s="36" t="str">
        <f>RTD("ice.rtd",,$C1775 &amp; $D1775 &amp; ":" &amp; L$1)</f>
        <v>Invalid Market: 2044823525Q5</v>
      </c>
      <c r="M1775" s="14" t="str">
        <f>IFERROR(MOD(TIMEVALUE(RTD("ice.rtd",,$C1775 &amp; $D1775 &amp; ":" &amp; M$1)), 1), "")</f>
        <v/>
      </c>
      <c r="N1775" s="36" t="str">
        <f>RTD("ice.rtd",,$C1775 &amp; $D1775 &amp; ":" &amp; N$1)</f>
        <v>Invalid Market: 2044823525Q5</v>
      </c>
      <c r="O1775" s="36" t="str">
        <f>RTD("ice.rtd",,$C1775 &amp; $D1775 &amp; ":" &amp; O$1)</f>
        <v>Invalid Market: 2044823525Q5</v>
      </c>
      <c r="P17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5" s="14" t="str">
        <f>IF(ICE[[#This Row],[LastType]] = "Scrn", ICE[[#This Row],[LstDate]], IF(ICE[[#This Row],[LastType]] = "Blk", ICE[[#This Row],[LstBlkTime]], ""))</f>
        <v/>
      </c>
      <c r="R1775" s="41" t="str">
        <f>IF(ICE[[#This Row],[LastType]] = "Scrn", ICE[[#This Row],[LstPrc]], IF(ICE[[#This Row],[LastType]] = "Blk", ICE[[#This Row],[LstBlkPrc]], ""))</f>
        <v/>
      </c>
      <c r="S1775" s="36" t="e">
        <f>ICE[[#This Row],[Vol]]+ICE[[#This Row],[BlkVol]]</f>
        <v>#VALUE!</v>
      </c>
      <c r="T1775" s="36" t="str">
        <f>RTD("ice.rtd",,$C1775 &amp; $D1775 &amp; ":" &amp; T$1)</f>
        <v>Invalid Market: 2044823525Q5</v>
      </c>
      <c r="U1775" s="18" t="str">
        <f>RTD("ice.rtd",,$C1775 &amp; $D1775 &amp; ":" &amp; U$1)</f>
        <v>Invalid Market: 2044823525Q5</v>
      </c>
      <c r="V17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75" s="18" t="str">
        <f>IFERROR(IF(LEFT(ICE[[#This Row],[Tenor]], 1) = "B", RTD("esrtd",,$B1775 &amp; " " &amp; ICE[[#This Row],[Tenor]] &amp; "-IEU", W$1), RTD("esrtd",,$B1775 &amp; " " &amp; VLOOKUP(MONTH(ICE[[#This Row],[Strip]]), MthRef[], 2, 0) &amp; RIGHT(YEAR(ICE[[#This Row],[Strip]]), 2) &amp; "-IEU", W$1)), "")</f>
        <v/>
      </c>
      <c r="X1775" s="36"/>
    </row>
    <row r="1776" spans="1:24" x14ac:dyDescent="0.25">
      <c r="A1776" s="37" t="s">
        <v>355</v>
      </c>
      <c r="B1776" s="88" t="str">
        <f>RTD("ice.rtd",,$C1776 &amp; $D1776 &amp; ":" &amp; B$1)</f>
        <v>Invalid Market: 2044823525Q6</v>
      </c>
      <c r="C1776" s="3">
        <v>2044823525</v>
      </c>
      <c r="D1776" t="s">
        <v>229</v>
      </c>
      <c r="E1776" s="3" t="str">
        <f>RTD("ice.rtd",,$C1776 &amp; $D1776 &amp; ":" &amp; E$1)</f>
        <v>Invalid Market: 2044823525Q6</v>
      </c>
      <c r="F1776" s="3" t="str">
        <f>ICE[[#This Row],[Prod]]&amp;ICE[[#This Row],[Strip]]</f>
        <v>icewcstitmaInvalid Market: 2044823525Q6</v>
      </c>
      <c r="G1776" s="18" t="str">
        <f>RTD("ice.rtd",,$C1776 &amp; $D1776 &amp; ":" &amp; G$1)</f>
        <v>Invalid Market: 2044823525Q6</v>
      </c>
      <c r="H1776" s="18" t="str">
        <f>RTD("ice.rtd",,$C1776 &amp; $D1776 &amp; ":" &amp; H$1)</f>
        <v>Invalid Market: 2044823525Q6</v>
      </c>
      <c r="I1776" s="18" t="str">
        <f>RTD("ice.rtd",,$C1776 &amp; $D1776 &amp; ":" &amp; I$1)</f>
        <v>Invalid Market: 2044823525Q6</v>
      </c>
      <c r="J1776" s="14" t="str">
        <f>IFERROR(MOD(RTD("ice.rtd",,$C1776 &amp; $D1776 &amp; ":" &amp; J$1), 1), "")</f>
        <v/>
      </c>
      <c r="K1776" s="18" t="str">
        <f>RTD("ice.rtd",,$C1776 &amp; $D1776 &amp; ":" &amp; K$1)</f>
        <v>Invalid Market: 2044823525Q6</v>
      </c>
      <c r="L1776" s="36" t="str">
        <f>RTD("ice.rtd",,$C1776 &amp; $D1776 &amp; ":" &amp; L$1)</f>
        <v>Invalid Market: 2044823525Q6</v>
      </c>
      <c r="M1776" s="14" t="str">
        <f>IFERROR(MOD(TIMEVALUE(RTD("ice.rtd",,$C1776 &amp; $D1776 &amp; ":" &amp; M$1)), 1), "")</f>
        <v/>
      </c>
      <c r="N1776" s="36" t="str">
        <f>RTD("ice.rtd",,$C1776 &amp; $D1776 &amp; ":" &amp; N$1)</f>
        <v>Invalid Market: 2044823525Q6</v>
      </c>
      <c r="O1776" s="36" t="str">
        <f>RTD("ice.rtd",,$C1776 &amp; $D1776 &amp; ":" &amp; O$1)</f>
        <v>Invalid Market: 2044823525Q6</v>
      </c>
      <c r="P17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6" s="14" t="str">
        <f>IF(ICE[[#This Row],[LastType]] = "Scrn", ICE[[#This Row],[LstDate]], IF(ICE[[#This Row],[LastType]] = "Blk", ICE[[#This Row],[LstBlkTime]], ""))</f>
        <v/>
      </c>
      <c r="R1776" s="41" t="str">
        <f>IF(ICE[[#This Row],[LastType]] = "Scrn", ICE[[#This Row],[LstPrc]], IF(ICE[[#This Row],[LastType]] = "Blk", ICE[[#This Row],[LstBlkPrc]], ""))</f>
        <v/>
      </c>
      <c r="S1776" s="36" t="e">
        <f>ICE[[#This Row],[Vol]]+ICE[[#This Row],[BlkVol]]</f>
        <v>#VALUE!</v>
      </c>
      <c r="T1776" s="36" t="str">
        <f>RTD("ice.rtd",,$C1776 &amp; $D1776 &amp; ":" &amp; T$1)</f>
        <v>Invalid Market: 2044823525Q6</v>
      </c>
      <c r="U1776" s="18" t="str">
        <f>RTD("ice.rtd",,$C1776 &amp; $D1776 &amp; ":" &amp; U$1)</f>
        <v>Invalid Market: 2044823525Q6</v>
      </c>
      <c r="V17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76" s="18" t="str">
        <f>IFERROR(IF(LEFT(ICE[[#This Row],[Tenor]], 1) = "B", RTD("esrtd",,$B1776 &amp; " " &amp; ICE[[#This Row],[Tenor]] &amp; "-IEU", W$1), RTD("esrtd",,$B1776 &amp; " " &amp; VLOOKUP(MONTH(ICE[[#This Row],[Strip]]), MthRef[], 2, 0) &amp; RIGHT(YEAR(ICE[[#This Row],[Strip]]), 2) &amp; "-IEU", W$1)), "")</f>
        <v/>
      </c>
      <c r="X1776" s="36"/>
    </row>
    <row r="1777" spans="1:24" x14ac:dyDescent="0.25">
      <c r="A1777" s="37" t="s">
        <v>355</v>
      </c>
      <c r="B1777" s="88" t="str">
        <f>RTD("ice.rtd",,$C1777 &amp; $D1777 &amp; ":" &amp; B$1)</f>
        <v>ARV</v>
      </c>
      <c r="C1777" s="3">
        <v>2044823525</v>
      </c>
      <c r="D1777" t="s">
        <v>822</v>
      </c>
      <c r="E1777" s="3" t="str">
        <f>RTD("ice.rtd",,$C1777 &amp; $D1777 &amp; ":" &amp; E$1)</f>
        <v>Cal 27</v>
      </c>
      <c r="F1777" s="3" t="str">
        <f>ICE[[#This Row],[Prod]]&amp;ICE[[#This Row],[Strip]]</f>
        <v>icewcstitmaCal 27</v>
      </c>
      <c r="G1777" s="18" t="str">
        <f>RTD("ice.rtd",,$C1777 &amp; $D1777 &amp; ":" &amp; G$1)</f>
        <v/>
      </c>
      <c r="H1777" s="18" t="str">
        <f>RTD("ice.rtd",,$C1777 &amp; $D1777 &amp; ":" &amp; H$1)</f>
        <v/>
      </c>
      <c r="I1777" s="18" t="str">
        <f>RTD("ice.rtd",,$C1777 &amp; $D1777 &amp; ":" &amp; I$1)</f>
        <v/>
      </c>
      <c r="J1777" s="14" t="str">
        <f>IFERROR(MOD(RTD("ice.rtd",,$C1777 &amp; $D1777 &amp; ":" &amp; J$1), 1), "")</f>
        <v/>
      </c>
      <c r="K1777" s="18" t="str">
        <f>RTD("ice.rtd",,$C1777 &amp; $D1777 &amp; ":" &amp; K$1)</f>
        <v/>
      </c>
      <c r="L1777" s="36" t="str">
        <f>RTD("ice.rtd",,$C1777 &amp; $D1777 &amp; ":" &amp; L$1)</f>
        <v/>
      </c>
      <c r="M1777" s="14" t="str">
        <f>IFERROR(MOD(TIMEVALUE(RTD("ice.rtd",,$C1777 &amp; $D1777 &amp; ":" &amp; M$1)), 1), "")</f>
        <v/>
      </c>
      <c r="N1777" s="36">
        <f>RTD("ice.rtd",,$C1777 &amp; $D1777 &amp; ":" &amp; N$1)</f>
        <v>0</v>
      </c>
      <c r="O1777" s="36">
        <f>RTD("ice.rtd",,$C1777 &amp; $D1777 &amp; ":" &amp; O$1)</f>
        <v>0</v>
      </c>
      <c r="P17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7" s="14" t="str">
        <f>IF(ICE[[#This Row],[LastType]] = "Scrn", ICE[[#This Row],[LstDate]], IF(ICE[[#This Row],[LastType]] = "Blk", ICE[[#This Row],[LstBlkTime]], ""))</f>
        <v/>
      </c>
      <c r="R1777" s="41" t="str">
        <f>IF(ICE[[#This Row],[LastType]] = "Scrn", ICE[[#This Row],[LstPrc]], IF(ICE[[#This Row],[LastType]] = "Blk", ICE[[#This Row],[LstBlkPrc]], ""))</f>
        <v/>
      </c>
      <c r="S1777" s="36">
        <f>ICE[[#This Row],[Vol]]+ICE[[#This Row],[BlkVol]]</f>
        <v>0</v>
      </c>
      <c r="T1777" s="36">
        <f>RTD("ice.rtd",,$C1777 &amp; $D1777 &amp; ":" &amp; T$1)</f>
        <v>0</v>
      </c>
      <c r="U1777" s="18">
        <f>RTD("ice.rtd",,$C1777 &amp; $D1777 &amp; ":" &amp; U$1)</f>
        <v>-7.8420000000000005</v>
      </c>
      <c r="V17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777" s="18" t="str">
        <f>IFERROR(IF(LEFT(ICE[[#This Row],[Tenor]], 1) = "B", RTD("esrtd",,$B1777 &amp; " " &amp; ICE[[#This Row],[Tenor]] &amp; "-IEU", W$1), RTD("esrtd",,$B1777 &amp; " " &amp; VLOOKUP(MONTH(ICE[[#This Row],[Strip]]), MthRef[], 2, 0) &amp; RIGHT(YEAR(ICE[[#This Row],[Strip]]), 2) &amp; "-IEU", W$1)), "")</f>
        <v/>
      </c>
      <c r="X1777" s="36"/>
    </row>
    <row r="1778" spans="1:24" x14ac:dyDescent="0.25">
      <c r="A1778" s="669" t="s">
        <v>448</v>
      </c>
      <c r="B1778" s="669" t="s">
        <v>890</v>
      </c>
      <c r="C1778" s="670">
        <v>3045330435</v>
      </c>
      <c r="D1778" s="671" t="s">
        <v>793</v>
      </c>
      <c r="E1778" s="672" t="str">
        <f>RTD("esrtd",,ICE[[#This Row],[PCC]] &amp; " " &amp; ICE[[#This Row],[Rolling]] &amp; "-IEU", "Strip")</f>
        <v/>
      </c>
      <c r="F1778" s="670" t="str">
        <f>ICE[[#This Row],[Prod]]&amp;ICE[[#This Row],[Strip]]</f>
        <v>afra</v>
      </c>
      <c r="G1778" s="672" t="str">
        <f>RTD("esrtd",,ICE[[#This Row],[PCC]] &amp; " " &amp; ICE[[#This Row],[Rolling]] &amp; "-IEU", "Bid")</f>
        <v/>
      </c>
      <c r="H1778" s="672" t="str">
        <f>RTD("esrtd",,ICE[[#This Row],[PCC]] &amp; " " &amp; ICE[[#This Row],[Rolling]] &amp; "-IEU", "Ask")</f>
        <v/>
      </c>
      <c r="I1778" s="672" t="str">
        <f>RTD("esrtd",,ICE[[#This Row],[PCC]] &amp; " " &amp; ICE[[#This Row],[Rolling]] &amp; "-IEU", "Last")</f>
        <v/>
      </c>
      <c r="J1778" s="672" t="str">
        <f>RTD("esrtd",,ICE[[#This Row],[PCC]] &amp; " " &amp; ICE[[#This Row],[Rolling]] &amp; "-IEU", "Last Trade Time")</f>
        <v/>
      </c>
      <c r="K1778" s="672" t="str">
        <f>RTD("esrtd",,ICE[[#This Row],[PCC]] &amp; " " &amp; ICE[[#This Row],[Rolling]] &amp; "-IEU", "Block Price")</f>
        <v/>
      </c>
      <c r="L1778" s="672"/>
      <c r="M1778" s="674" t="str">
        <f>RTD("esrtd",,ICE[[#This Row],[PCC]] &amp; " " &amp; ICE[[#This Row],[Rolling]] &amp; "-IEU", "Block Price DT")</f>
        <v/>
      </c>
      <c r="N1778" s="673" t="str">
        <f>RTD("esrtd",,ICE[[#This Row],[PCC]] &amp; " " &amp; ICE[[#This Row],[Rolling]] &amp; "-IEU", "Volume")</f>
        <v/>
      </c>
      <c r="O1778" s="673" t="str">
        <f>RTD("esrtd",,ICE[[#This Row],[PCC]] &amp; " " &amp; ICE[[#This Row],[Rolling]] &amp; "-IEU", "Block Volume")</f>
        <v/>
      </c>
      <c r="P177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8" s="674" t="str">
        <f>IF(ICE[[#This Row],[LastType]] = "Scrn", ICE[[#This Row],[LstDate]], IF(ICE[[#This Row],[LastType]] = "Blk", ICE[[#This Row],[LstBlkTime]], ""))</f>
        <v/>
      </c>
      <c r="R1778" s="675" t="str">
        <f>IF(ICE[[#This Row],[LastType]] = "Scrn", ICE[[#This Row],[LstPrc]], IF(ICE[[#This Row],[LastType]] = "Blk", ICE[[#This Row],[LstBlkPrc]], ""))</f>
        <v/>
      </c>
      <c r="S1778" s="673" t="e">
        <f>ICE[[#This Row],[Vol]]+ICE[[#This Row],[BlkVol]]</f>
        <v>#VALUE!</v>
      </c>
      <c r="T1778" s="673" t="str">
        <f>RTD("esrtd",,ICE[[#This Row],[PCC]] &amp; " " &amp; ICE[[#This Row],[Rolling]] &amp; "-IEU", "Open Interest")</f>
        <v/>
      </c>
      <c r="U1778" s="672" t="str">
        <f>RTD("esrtd",,ICE[[#This Row],[PCC]] &amp; " " &amp; ICE[[#This Row],[Rolling]] &amp; "-IEU", "Recent Settlement")</f>
        <v/>
      </c>
      <c r="V177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78" s="672" t="str">
        <f>RTD("esrtd",,ICE[[#This Row],[PCC]] &amp; " " &amp; ICE[[#This Row],[Rolling]] &amp; "-IEU", "ICE Theoretical Price")</f>
        <v/>
      </c>
      <c r="X1778" s="673" t="s">
        <v>891</v>
      </c>
    </row>
    <row r="1779" spans="1:24" x14ac:dyDescent="0.25">
      <c r="A1779" s="669" t="s">
        <v>448</v>
      </c>
      <c r="B1779" s="669" t="s">
        <v>890</v>
      </c>
      <c r="C1779" s="670">
        <v>3045330435</v>
      </c>
      <c r="D1779" s="671" t="s">
        <v>324</v>
      </c>
      <c r="E1779" s="672" t="str">
        <f>RTD("esrtd",,ICE[[#This Row],[PCC]] &amp; " " &amp; ICE[[#This Row],[Rolling]] &amp; "-IEU", "Strip")</f>
        <v/>
      </c>
      <c r="F1779" s="670" t="str">
        <f>ICE[[#This Row],[Prod]]&amp;ICE[[#This Row],[Strip]]</f>
        <v>afra</v>
      </c>
      <c r="G1779" s="672" t="str">
        <f>RTD("esrtd",,ICE[[#This Row],[PCC]] &amp; " " &amp; ICE[[#This Row],[Rolling]] &amp; "-IEU", "Bid")</f>
        <v/>
      </c>
      <c r="H1779" s="672" t="str">
        <f>RTD("esrtd",,ICE[[#This Row],[PCC]] &amp; " " &amp; ICE[[#This Row],[Rolling]] &amp; "-IEU", "Ask")</f>
        <v/>
      </c>
      <c r="I1779" s="672" t="str">
        <f>RTD("esrtd",,ICE[[#This Row],[PCC]] &amp; " " &amp; ICE[[#This Row],[Rolling]] &amp; "-IEU", "Last")</f>
        <v/>
      </c>
      <c r="J1779" s="672" t="str">
        <f>RTD("esrtd",,ICE[[#This Row],[PCC]] &amp; " " &amp; ICE[[#This Row],[Rolling]] &amp; "-IEU", "Last Trade Time")</f>
        <v/>
      </c>
      <c r="K1779" s="672" t="str">
        <f>RTD("esrtd",,ICE[[#This Row],[PCC]] &amp; " " &amp; ICE[[#This Row],[Rolling]] &amp; "-IEU", "Block Price")</f>
        <v/>
      </c>
      <c r="L1779" s="672"/>
      <c r="M1779" s="674" t="str">
        <f>RTD("esrtd",,ICE[[#This Row],[PCC]] &amp; " " &amp; ICE[[#This Row],[Rolling]] &amp; "-IEU", "Block Price DT")</f>
        <v/>
      </c>
      <c r="N1779" s="673" t="str">
        <f>RTD("esrtd",,ICE[[#This Row],[PCC]] &amp; " " &amp; ICE[[#This Row],[Rolling]] &amp; "-IEU", "Volume")</f>
        <v/>
      </c>
      <c r="O1779" s="673" t="str">
        <f>RTD("esrtd",,ICE[[#This Row],[PCC]] &amp; " " &amp; ICE[[#This Row],[Rolling]] &amp; "-IEU", "Block Volume")</f>
        <v/>
      </c>
      <c r="P177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79" s="674" t="str">
        <f>IF(ICE[[#This Row],[LastType]] = "Scrn", ICE[[#This Row],[LstDate]], IF(ICE[[#This Row],[LastType]] = "Blk", ICE[[#This Row],[LstBlkTime]], ""))</f>
        <v/>
      </c>
      <c r="R1779" s="675" t="str">
        <f>IF(ICE[[#This Row],[LastType]] = "Scrn", ICE[[#This Row],[LstPrc]], IF(ICE[[#This Row],[LastType]] = "Blk", ICE[[#This Row],[LstBlkPrc]], ""))</f>
        <v/>
      </c>
      <c r="S1779" s="673" t="e">
        <f>ICE[[#This Row],[Vol]]+ICE[[#This Row],[BlkVol]]</f>
        <v>#VALUE!</v>
      </c>
      <c r="T1779" s="673" t="str">
        <f>RTD("esrtd",,ICE[[#This Row],[PCC]] &amp; " " &amp; ICE[[#This Row],[Rolling]] &amp; "-IEU", "Open Interest")</f>
        <v/>
      </c>
      <c r="U1779" s="672" t="str">
        <f>RTD("esrtd",,ICE[[#This Row],[PCC]] &amp; " " &amp; ICE[[#This Row],[Rolling]] &amp; "-IEU", "Recent Settlement")</f>
        <v/>
      </c>
      <c r="V177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79" s="672" t="str">
        <f>RTD("esrtd",,ICE[[#This Row],[PCC]] &amp; " " &amp; ICE[[#This Row],[Rolling]] &amp; "-IEU", "ICE Theoretical Price")</f>
        <v/>
      </c>
      <c r="X1779" s="673" t="s">
        <v>892</v>
      </c>
    </row>
    <row r="1780" spans="1:24" x14ac:dyDescent="0.25">
      <c r="A1780" s="669" t="s">
        <v>448</v>
      </c>
      <c r="B1780" s="669" t="s">
        <v>890</v>
      </c>
      <c r="C1780" s="670">
        <v>3045330435</v>
      </c>
      <c r="D1780" s="671" t="s">
        <v>325</v>
      </c>
      <c r="E1780" s="672" t="str">
        <f>RTD("esrtd",,ICE[[#This Row],[PCC]] &amp; " " &amp; ICE[[#This Row],[Rolling]] &amp; "-IEU", "Strip")</f>
        <v/>
      </c>
      <c r="F1780" s="670" t="str">
        <f>ICE[[#This Row],[Prod]]&amp;ICE[[#This Row],[Strip]]</f>
        <v>afra</v>
      </c>
      <c r="G1780" s="672" t="str">
        <f>RTD("esrtd",,ICE[[#This Row],[PCC]] &amp; " " &amp; ICE[[#This Row],[Rolling]] &amp; "-IEU", "Bid")</f>
        <v/>
      </c>
      <c r="H1780" s="672" t="str">
        <f>RTD("esrtd",,ICE[[#This Row],[PCC]] &amp; " " &amp; ICE[[#This Row],[Rolling]] &amp; "-IEU", "Ask")</f>
        <v/>
      </c>
      <c r="I1780" s="672" t="str">
        <f>RTD("esrtd",,ICE[[#This Row],[PCC]] &amp; " " &amp; ICE[[#This Row],[Rolling]] &amp; "-IEU", "Last")</f>
        <v/>
      </c>
      <c r="J1780" s="672" t="str">
        <f>RTD("esrtd",,ICE[[#This Row],[PCC]] &amp; " " &amp; ICE[[#This Row],[Rolling]] &amp; "-IEU", "Last Trade Time")</f>
        <v/>
      </c>
      <c r="K1780" s="672" t="str">
        <f>RTD("esrtd",,ICE[[#This Row],[PCC]] &amp; " " &amp; ICE[[#This Row],[Rolling]] &amp; "-IEU", "Block Price")</f>
        <v/>
      </c>
      <c r="L1780" s="672"/>
      <c r="M1780" s="674" t="str">
        <f>RTD("esrtd",,ICE[[#This Row],[PCC]] &amp; " " &amp; ICE[[#This Row],[Rolling]] &amp; "-IEU", "Block Price DT")</f>
        <v/>
      </c>
      <c r="N1780" s="673" t="str">
        <f>RTD("esrtd",,ICE[[#This Row],[PCC]] &amp; " " &amp; ICE[[#This Row],[Rolling]] &amp; "-IEU", "Volume")</f>
        <v/>
      </c>
      <c r="O1780" s="673" t="str">
        <f>RTD("esrtd",,ICE[[#This Row],[PCC]] &amp; " " &amp; ICE[[#This Row],[Rolling]] &amp; "-IEU", "Block Volume")</f>
        <v/>
      </c>
      <c r="P178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0" s="674" t="str">
        <f>IF(ICE[[#This Row],[LastType]] = "Scrn", ICE[[#This Row],[LstDate]], IF(ICE[[#This Row],[LastType]] = "Blk", ICE[[#This Row],[LstBlkTime]], ""))</f>
        <v/>
      </c>
      <c r="R1780" s="675" t="str">
        <f>IF(ICE[[#This Row],[LastType]] = "Scrn", ICE[[#This Row],[LstPrc]], IF(ICE[[#This Row],[LastType]] = "Blk", ICE[[#This Row],[LstBlkPrc]], ""))</f>
        <v/>
      </c>
      <c r="S1780" s="673" t="e">
        <f>ICE[[#This Row],[Vol]]+ICE[[#This Row],[BlkVol]]</f>
        <v>#VALUE!</v>
      </c>
      <c r="T1780" s="673" t="str">
        <f>RTD("esrtd",,ICE[[#This Row],[PCC]] &amp; " " &amp; ICE[[#This Row],[Rolling]] &amp; "-IEU", "Open Interest")</f>
        <v/>
      </c>
      <c r="U1780" s="672" t="str">
        <f>RTD("esrtd",,ICE[[#This Row],[PCC]] &amp; " " &amp; ICE[[#This Row],[Rolling]] &amp; "-IEU", "Recent Settlement")</f>
        <v/>
      </c>
      <c r="V178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0" s="672" t="str">
        <f>RTD("esrtd",,ICE[[#This Row],[PCC]] &amp; " " &amp; ICE[[#This Row],[Rolling]] &amp; "-IEU", "ICE Theoretical Price")</f>
        <v/>
      </c>
      <c r="X1780" s="673" t="s">
        <v>893</v>
      </c>
    </row>
    <row r="1781" spans="1:24" x14ac:dyDescent="0.25">
      <c r="A1781" s="669" t="s">
        <v>448</v>
      </c>
      <c r="B1781" s="669" t="s">
        <v>890</v>
      </c>
      <c r="C1781" s="670">
        <v>3045330435</v>
      </c>
      <c r="D1781" s="671" t="s">
        <v>326</v>
      </c>
      <c r="E1781" s="672" t="str">
        <f>RTD("esrtd",,ICE[[#This Row],[PCC]] &amp; " " &amp; ICE[[#This Row],[Rolling]] &amp; "-IEU", "Strip")</f>
        <v/>
      </c>
      <c r="F1781" s="670" t="str">
        <f>ICE[[#This Row],[Prod]]&amp;ICE[[#This Row],[Strip]]</f>
        <v>afra</v>
      </c>
      <c r="G1781" s="672" t="str">
        <f>RTD("esrtd",,ICE[[#This Row],[PCC]] &amp; " " &amp; ICE[[#This Row],[Rolling]] &amp; "-IEU", "Bid")</f>
        <v/>
      </c>
      <c r="H1781" s="672" t="str">
        <f>RTD("esrtd",,ICE[[#This Row],[PCC]] &amp; " " &amp; ICE[[#This Row],[Rolling]] &amp; "-IEU", "Ask")</f>
        <v/>
      </c>
      <c r="I1781" s="672" t="str">
        <f>RTD("esrtd",,ICE[[#This Row],[PCC]] &amp; " " &amp; ICE[[#This Row],[Rolling]] &amp; "-IEU", "Last")</f>
        <v/>
      </c>
      <c r="J1781" s="672" t="str">
        <f>RTD("esrtd",,ICE[[#This Row],[PCC]] &amp; " " &amp; ICE[[#This Row],[Rolling]] &amp; "-IEU", "Last Trade Time")</f>
        <v/>
      </c>
      <c r="K1781" s="672" t="str">
        <f>RTD("esrtd",,ICE[[#This Row],[PCC]] &amp; " " &amp; ICE[[#This Row],[Rolling]] &amp; "-IEU", "Block Price")</f>
        <v/>
      </c>
      <c r="L1781" s="672"/>
      <c r="M1781" s="674" t="str">
        <f>RTD("esrtd",,ICE[[#This Row],[PCC]] &amp; " " &amp; ICE[[#This Row],[Rolling]] &amp; "-IEU", "Block Price DT")</f>
        <v/>
      </c>
      <c r="N1781" s="673" t="str">
        <f>RTD("esrtd",,ICE[[#This Row],[PCC]] &amp; " " &amp; ICE[[#This Row],[Rolling]] &amp; "-IEU", "Volume")</f>
        <v/>
      </c>
      <c r="O1781" s="673" t="str">
        <f>RTD("esrtd",,ICE[[#This Row],[PCC]] &amp; " " &amp; ICE[[#This Row],[Rolling]] &amp; "-IEU", "Block Volume")</f>
        <v/>
      </c>
      <c r="P178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1" s="674" t="str">
        <f>IF(ICE[[#This Row],[LastType]] = "Scrn", ICE[[#This Row],[LstDate]], IF(ICE[[#This Row],[LastType]] = "Blk", ICE[[#This Row],[LstBlkTime]], ""))</f>
        <v/>
      </c>
      <c r="R1781" s="675" t="str">
        <f>IF(ICE[[#This Row],[LastType]] = "Scrn", ICE[[#This Row],[LstPrc]], IF(ICE[[#This Row],[LastType]] = "Blk", ICE[[#This Row],[LstBlkPrc]], ""))</f>
        <v/>
      </c>
      <c r="S1781" s="673" t="e">
        <f>ICE[[#This Row],[Vol]]+ICE[[#This Row],[BlkVol]]</f>
        <v>#VALUE!</v>
      </c>
      <c r="T1781" s="673" t="str">
        <f>RTD("esrtd",,ICE[[#This Row],[PCC]] &amp; " " &amp; ICE[[#This Row],[Rolling]] &amp; "-IEU", "Open Interest")</f>
        <v/>
      </c>
      <c r="U1781" s="672" t="str">
        <f>RTD("esrtd",,ICE[[#This Row],[PCC]] &amp; " " &amp; ICE[[#This Row],[Rolling]] &amp; "-IEU", "Recent Settlement")</f>
        <v/>
      </c>
      <c r="V178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1" s="672" t="str">
        <f>RTD("esrtd",,ICE[[#This Row],[PCC]] &amp; " " &amp; ICE[[#This Row],[Rolling]] &amp; "-IEU", "ICE Theoretical Price")</f>
        <v/>
      </c>
      <c r="X1781" s="673" t="s">
        <v>894</v>
      </c>
    </row>
    <row r="1782" spans="1:24" x14ac:dyDescent="0.25">
      <c r="A1782" s="669" t="s">
        <v>448</v>
      </c>
      <c r="B1782" s="669" t="s">
        <v>890</v>
      </c>
      <c r="C1782" s="670">
        <v>3045330435</v>
      </c>
      <c r="D1782" s="671" t="s">
        <v>794</v>
      </c>
      <c r="E1782" s="672" t="str">
        <f>RTD("esrtd",,ICE[[#This Row],[PCC]] &amp; " " &amp; ICE[[#This Row],[Rolling]] &amp; "-IEU", "Strip")</f>
        <v/>
      </c>
      <c r="F1782" s="670" t="str">
        <f>ICE[[#This Row],[Prod]]&amp;ICE[[#This Row],[Strip]]</f>
        <v>afra</v>
      </c>
      <c r="G1782" s="672" t="str">
        <f>RTD("esrtd",,ICE[[#This Row],[PCC]] &amp; " " &amp; ICE[[#This Row],[Rolling]] &amp; "-IEU", "Bid")</f>
        <v/>
      </c>
      <c r="H1782" s="672" t="str">
        <f>RTD("esrtd",,ICE[[#This Row],[PCC]] &amp; " " &amp; ICE[[#This Row],[Rolling]] &amp; "-IEU", "Ask")</f>
        <v/>
      </c>
      <c r="I1782" s="672" t="str">
        <f>RTD("esrtd",,ICE[[#This Row],[PCC]] &amp; " " &amp; ICE[[#This Row],[Rolling]] &amp; "-IEU", "Last")</f>
        <v/>
      </c>
      <c r="J1782" s="672" t="str">
        <f>RTD("esrtd",,ICE[[#This Row],[PCC]] &amp; " " &amp; ICE[[#This Row],[Rolling]] &amp; "-IEU", "Last Trade Time")</f>
        <v/>
      </c>
      <c r="K1782" s="672" t="str">
        <f>RTD("esrtd",,ICE[[#This Row],[PCC]] &amp; " " &amp; ICE[[#This Row],[Rolling]] &amp; "-IEU", "Block Price")</f>
        <v/>
      </c>
      <c r="L1782" s="672"/>
      <c r="M1782" s="674" t="str">
        <f>RTD("esrtd",,ICE[[#This Row],[PCC]] &amp; " " &amp; ICE[[#This Row],[Rolling]] &amp; "-IEU", "Block Price DT")</f>
        <v/>
      </c>
      <c r="N1782" s="673" t="str">
        <f>RTD("esrtd",,ICE[[#This Row],[PCC]] &amp; " " &amp; ICE[[#This Row],[Rolling]] &amp; "-IEU", "Volume")</f>
        <v/>
      </c>
      <c r="O1782" s="673" t="str">
        <f>RTD("esrtd",,ICE[[#This Row],[PCC]] &amp; " " &amp; ICE[[#This Row],[Rolling]] &amp; "-IEU", "Block Volume")</f>
        <v/>
      </c>
      <c r="P178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2" s="674" t="str">
        <f>IF(ICE[[#This Row],[LastType]] = "Scrn", ICE[[#This Row],[LstDate]], IF(ICE[[#This Row],[LastType]] = "Blk", ICE[[#This Row],[LstBlkTime]], ""))</f>
        <v/>
      </c>
      <c r="R1782" s="675" t="str">
        <f>IF(ICE[[#This Row],[LastType]] = "Scrn", ICE[[#This Row],[LstPrc]], IF(ICE[[#This Row],[LastType]] = "Blk", ICE[[#This Row],[LstBlkPrc]], ""))</f>
        <v/>
      </c>
      <c r="S1782" s="673" t="e">
        <f>ICE[[#This Row],[Vol]]+ICE[[#This Row],[BlkVol]]</f>
        <v>#VALUE!</v>
      </c>
      <c r="T1782" s="673" t="str">
        <f>RTD("esrtd",,ICE[[#This Row],[PCC]] &amp; " " &amp; ICE[[#This Row],[Rolling]] &amp; "-IEU", "Open Interest")</f>
        <v/>
      </c>
      <c r="U1782" s="672" t="str">
        <f>RTD("esrtd",,ICE[[#This Row],[PCC]] &amp; " " &amp; ICE[[#This Row],[Rolling]] &amp; "-IEU", "Recent Settlement")</f>
        <v/>
      </c>
      <c r="V178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2" s="672" t="str">
        <f>RTD("esrtd",,ICE[[#This Row],[PCC]] &amp; " " &amp; ICE[[#This Row],[Rolling]] &amp; "-IEU", "ICE Theoretical Price")</f>
        <v/>
      </c>
      <c r="X1782" s="673" t="s">
        <v>895</v>
      </c>
    </row>
    <row r="1783" spans="1:24" x14ac:dyDescent="0.25">
      <c r="A1783" s="669" t="s">
        <v>448</v>
      </c>
      <c r="B1783" s="669" t="s">
        <v>890</v>
      </c>
      <c r="C1783" s="670">
        <v>3045330435</v>
      </c>
      <c r="D1783" s="671" t="s">
        <v>795</v>
      </c>
      <c r="E1783" s="672" t="str">
        <f>RTD("esrtd",,ICE[[#This Row],[PCC]] &amp; " " &amp; ICE[[#This Row],[Rolling]] &amp; "-IEU", "Strip")</f>
        <v/>
      </c>
      <c r="F1783" s="670" t="str">
        <f>ICE[[#This Row],[Prod]]&amp;ICE[[#This Row],[Strip]]</f>
        <v>afra</v>
      </c>
      <c r="G1783" s="672" t="str">
        <f>RTD("esrtd",,ICE[[#This Row],[PCC]] &amp; " " &amp; ICE[[#This Row],[Rolling]] &amp; "-IEU", "Bid")</f>
        <v/>
      </c>
      <c r="H1783" s="672" t="str">
        <f>RTD("esrtd",,ICE[[#This Row],[PCC]] &amp; " " &amp; ICE[[#This Row],[Rolling]] &amp; "-IEU", "Ask")</f>
        <v/>
      </c>
      <c r="I1783" s="672" t="str">
        <f>RTD("esrtd",,ICE[[#This Row],[PCC]] &amp; " " &amp; ICE[[#This Row],[Rolling]] &amp; "-IEU", "Last")</f>
        <v/>
      </c>
      <c r="J1783" s="672" t="str">
        <f>RTD("esrtd",,ICE[[#This Row],[PCC]] &amp; " " &amp; ICE[[#This Row],[Rolling]] &amp; "-IEU", "Last Trade Time")</f>
        <v/>
      </c>
      <c r="K1783" s="672" t="str">
        <f>RTD("esrtd",,ICE[[#This Row],[PCC]] &amp; " " &amp; ICE[[#This Row],[Rolling]] &amp; "-IEU", "Block Price")</f>
        <v/>
      </c>
      <c r="L1783" s="672"/>
      <c r="M1783" s="674" t="str">
        <f>RTD("esrtd",,ICE[[#This Row],[PCC]] &amp; " " &amp; ICE[[#This Row],[Rolling]] &amp; "-IEU", "Block Price DT")</f>
        <v/>
      </c>
      <c r="N1783" s="673" t="str">
        <f>RTD("esrtd",,ICE[[#This Row],[PCC]] &amp; " " &amp; ICE[[#This Row],[Rolling]] &amp; "-IEU", "Volume")</f>
        <v/>
      </c>
      <c r="O1783" s="673" t="str">
        <f>RTD("esrtd",,ICE[[#This Row],[PCC]] &amp; " " &amp; ICE[[#This Row],[Rolling]] &amp; "-IEU", "Block Volume")</f>
        <v/>
      </c>
      <c r="P178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3" s="674" t="str">
        <f>IF(ICE[[#This Row],[LastType]] = "Scrn", ICE[[#This Row],[LstDate]], IF(ICE[[#This Row],[LastType]] = "Blk", ICE[[#This Row],[LstBlkTime]], ""))</f>
        <v/>
      </c>
      <c r="R1783" s="675" t="str">
        <f>IF(ICE[[#This Row],[LastType]] = "Scrn", ICE[[#This Row],[LstPrc]], IF(ICE[[#This Row],[LastType]] = "Blk", ICE[[#This Row],[LstBlkPrc]], ""))</f>
        <v/>
      </c>
      <c r="S1783" s="673" t="e">
        <f>ICE[[#This Row],[Vol]]+ICE[[#This Row],[BlkVol]]</f>
        <v>#VALUE!</v>
      </c>
      <c r="T1783" s="673" t="str">
        <f>RTD("esrtd",,ICE[[#This Row],[PCC]] &amp; " " &amp; ICE[[#This Row],[Rolling]] &amp; "-IEU", "Open Interest")</f>
        <v/>
      </c>
      <c r="U1783" s="672" t="str">
        <f>RTD("esrtd",,ICE[[#This Row],[PCC]] &amp; " " &amp; ICE[[#This Row],[Rolling]] &amp; "-IEU", "Recent Settlement")</f>
        <v/>
      </c>
      <c r="V178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3" s="672" t="str">
        <f>RTD("esrtd",,ICE[[#This Row],[PCC]] &amp; " " &amp; ICE[[#This Row],[Rolling]] &amp; "-IEU", "ICE Theoretical Price")</f>
        <v/>
      </c>
      <c r="X1783" s="673" t="s">
        <v>896</v>
      </c>
    </row>
    <row r="1784" spans="1:24" x14ac:dyDescent="0.25">
      <c r="A1784" s="669" t="s">
        <v>448</v>
      </c>
      <c r="B1784" s="669" t="s">
        <v>890</v>
      </c>
      <c r="C1784" s="670">
        <v>3045330435</v>
      </c>
      <c r="D1784" s="671" t="s">
        <v>113</v>
      </c>
      <c r="E1784" s="672" t="str">
        <f>RTD("esrtd",,ICE[[#This Row],[PCC]] &amp; " " &amp; ICE[[#This Row],[Rolling]] &amp; "-IEU", "Strip")</f>
        <v/>
      </c>
      <c r="F1784" s="670" t="str">
        <f>ICE[[#This Row],[Prod]]&amp;ICE[[#This Row],[Strip]]</f>
        <v>afra</v>
      </c>
      <c r="G1784" s="672" t="str">
        <f>RTD("esrtd",,ICE[[#This Row],[PCC]] &amp; " " &amp; ICE[[#This Row],[Rolling]] &amp; "-IEU", "Bid")</f>
        <v/>
      </c>
      <c r="H1784" s="672" t="str">
        <f>RTD("esrtd",,ICE[[#This Row],[PCC]] &amp; " " &amp; ICE[[#This Row],[Rolling]] &amp; "-IEU", "Ask")</f>
        <v/>
      </c>
      <c r="I1784" s="672" t="str">
        <f>RTD("esrtd",,ICE[[#This Row],[PCC]] &amp; " " &amp; ICE[[#This Row],[Rolling]] &amp; "-IEU", "Last")</f>
        <v/>
      </c>
      <c r="J1784" s="672" t="str">
        <f>RTD("esrtd",,ICE[[#This Row],[PCC]] &amp; " " &amp; ICE[[#This Row],[Rolling]] &amp; "-IEU", "Last Trade Time")</f>
        <v/>
      </c>
      <c r="K1784" s="672" t="str">
        <f>RTD("esrtd",,ICE[[#This Row],[PCC]] &amp; " " &amp; ICE[[#This Row],[Rolling]] &amp; "-IEU", "Block Price")</f>
        <v/>
      </c>
      <c r="L1784" s="672"/>
      <c r="M1784" s="674" t="str">
        <f>RTD("esrtd",,ICE[[#This Row],[PCC]] &amp; " " &amp; ICE[[#This Row],[Rolling]] &amp; "-IEU", "Block Price DT")</f>
        <v/>
      </c>
      <c r="N1784" s="673" t="str">
        <f>RTD("esrtd",,ICE[[#This Row],[PCC]] &amp; " " &amp; ICE[[#This Row],[Rolling]] &amp; "-IEU", "Volume")</f>
        <v/>
      </c>
      <c r="O1784" s="673" t="str">
        <f>RTD("esrtd",,ICE[[#This Row],[PCC]] &amp; " " &amp; ICE[[#This Row],[Rolling]] &amp; "-IEU", "Block Volume")</f>
        <v/>
      </c>
      <c r="P178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4" s="674" t="str">
        <f>IF(ICE[[#This Row],[LastType]] = "Scrn", ICE[[#This Row],[LstDate]], IF(ICE[[#This Row],[LastType]] = "Blk", ICE[[#This Row],[LstBlkTime]], ""))</f>
        <v/>
      </c>
      <c r="R1784" s="675" t="str">
        <f>IF(ICE[[#This Row],[LastType]] = "Scrn", ICE[[#This Row],[LstPrc]], IF(ICE[[#This Row],[LastType]] = "Blk", ICE[[#This Row],[LstBlkPrc]], ""))</f>
        <v/>
      </c>
      <c r="S1784" s="673" t="e">
        <f>ICE[[#This Row],[Vol]]+ICE[[#This Row],[BlkVol]]</f>
        <v>#VALUE!</v>
      </c>
      <c r="T1784" s="673" t="str">
        <f>RTD("esrtd",,ICE[[#This Row],[PCC]] &amp; " " &amp; ICE[[#This Row],[Rolling]] &amp; "-IEU", "Open Interest")</f>
        <v/>
      </c>
      <c r="U1784" s="672" t="str">
        <f>RTD("esrtd",,ICE[[#This Row],[PCC]] &amp; " " &amp; ICE[[#This Row],[Rolling]] &amp; "-IEU", "Recent Settlement")</f>
        <v/>
      </c>
      <c r="V178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4" s="672" t="str">
        <f>RTD("esrtd",,ICE[[#This Row],[PCC]] &amp; " " &amp; ICE[[#This Row],[Rolling]] &amp; "-IEU", "ICE Theoretical Price")</f>
        <v/>
      </c>
      <c r="X1784" s="673" t="s">
        <v>897</v>
      </c>
    </row>
    <row r="1785" spans="1:24" x14ac:dyDescent="0.25">
      <c r="A1785" s="669" t="s">
        <v>448</v>
      </c>
      <c r="B1785" s="669" t="s">
        <v>890</v>
      </c>
      <c r="C1785" s="670">
        <v>3045330435</v>
      </c>
      <c r="D1785" s="671" t="s">
        <v>796</v>
      </c>
      <c r="E1785" s="672" t="str">
        <f>RTD("esrtd",,ICE[[#This Row],[PCC]] &amp; " " &amp; ICE[[#This Row],[Rolling]] &amp; "-IEU", "Strip")</f>
        <v/>
      </c>
      <c r="F1785" s="670" t="str">
        <f>ICE[[#This Row],[Prod]]&amp;ICE[[#This Row],[Strip]]</f>
        <v>afra</v>
      </c>
      <c r="G1785" s="672" t="str">
        <f>RTD("esrtd",,ICE[[#This Row],[PCC]] &amp; " " &amp; ICE[[#This Row],[Rolling]] &amp; "-IEU", "Bid")</f>
        <v/>
      </c>
      <c r="H1785" s="672" t="str">
        <f>RTD("esrtd",,ICE[[#This Row],[PCC]] &amp; " " &amp; ICE[[#This Row],[Rolling]] &amp; "-IEU", "Ask")</f>
        <v/>
      </c>
      <c r="I1785" s="672" t="str">
        <f>RTD("esrtd",,ICE[[#This Row],[PCC]] &amp; " " &amp; ICE[[#This Row],[Rolling]] &amp; "-IEU", "Last")</f>
        <v/>
      </c>
      <c r="J1785" s="672" t="str">
        <f>RTD("esrtd",,ICE[[#This Row],[PCC]] &amp; " " &amp; ICE[[#This Row],[Rolling]] &amp; "-IEU", "Last Trade Time")</f>
        <v/>
      </c>
      <c r="K1785" s="672" t="str">
        <f>RTD("esrtd",,ICE[[#This Row],[PCC]] &amp; " " &amp; ICE[[#This Row],[Rolling]] &amp; "-IEU", "Block Price")</f>
        <v/>
      </c>
      <c r="L1785" s="672"/>
      <c r="M1785" s="674" t="str">
        <f>RTD("esrtd",,ICE[[#This Row],[PCC]] &amp; " " &amp; ICE[[#This Row],[Rolling]] &amp; "-IEU", "Block Price DT")</f>
        <v/>
      </c>
      <c r="N1785" s="673" t="str">
        <f>RTD("esrtd",,ICE[[#This Row],[PCC]] &amp; " " &amp; ICE[[#This Row],[Rolling]] &amp; "-IEU", "Volume")</f>
        <v/>
      </c>
      <c r="O1785" s="673" t="str">
        <f>RTD("esrtd",,ICE[[#This Row],[PCC]] &amp; " " &amp; ICE[[#This Row],[Rolling]] &amp; "-IEU", "Block Volume")</f>
        <v/>
      </c>
      <c r="P178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5" s="674" t="str">
        <f>IF(ICE[[#This Row],[LastType]] = "Scrn", ICE[[#This Row],[LstDate]], IF(ICE[[#This Row],[LastType]] = "Blk", ICE[[#This Row],[LstBlkTime]], ""))</f>
        <v/>
      </c>
      <c r="R1785" s="675" t="str">
        <f>IF(ICE[[#This Row],[LastType]] = "Scrn", ICE[[#This Row],[LstPrc]], IF(ICE[[#This Row],[LastType]] = "Blk", ICE[[#This Row],[LstBlkPrc]], ""))</f>
        <v/>
      </c>
      <c r="S1785" s="673" t="e">
        <f>ICE[[#This Row],[Vol]]+ICE[[#This Row],[BlkVol]]</f>
        <v>#VALUE!</v>
      </c>
      <c r="T1785" s="673" t="str">
        <f>RTD("esrtd",,ICE[[#This Row],[PCC]] &amp; " " &amp; ICE[[#This Row],[Rolling]] &amp; "-IEU", "Open Interest")</f>
        <v/>
      </c>
      <c r="U1785" s="672" t="str">
        <f>RTD("esrtd",,ICE[[#This Row],[PCC]] &amp; " " &amp; ICE[[#This Row],[Rolling]] &amp; "-IEU", "Recent Settlement")</f>
        <v/>
      </c>
      <c r="V178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5" s="672" t="str">
        <f>RTD("esrtd",,ICE[[#This Row],[PCC]] &amp; " " &amp; ICE[[#This Row],[Rolling]] &amp; "-IEU", "ICE Theoretical Price")</f>
        <v/>
      </c>
      <c r="X1785" s="673" t="s">
        <v>898</v>
      </c>
    </row>
    <row r="1786" spans="1:24" x14ac:dyDescent="0.25">
      <c r="A1786" s="669" t="s">
        <v>448</v>
      </c>
      <c r="B1786" s="669" t="s">
        <v>890</v>
      </c>
      <c r="C1786" s="670">
        <v>3045330435</v>
      </c>
      <c r="D1786" s="671" t="s">
        <v>797</v>
      </c>
      <c r="E1786" s="672" t="str">
        <f>RTD("esrtd",,ICE[[#This Row],[PCC]] &amp; " " &amp; ICE[[#This Row],[Rolling]] &amp; "-IEU", "Strip")</f>
        <v/>
      </c>
      <c r="F1786" s="670" t="str">
        <f>ICE[[#This Row],[Prod]]&amp;ICE[[#This Row],[Strip]]</f>
        <v>afra</v>
      </c>
      <c r="G1786" s="672" t="str">
        <f>RTD("esrtd",,ICE[[#This Row],[PCC]] &amp; " " &amp; ICE[[#This Row],[Rolling]] &amp; "-IEU", "Bid")</f>
        <v/>
      </c>
      <c r="H1786" s="672" t="str">
        <f>RTD("esrtd",,ICE[[#This Row],[PCC]] &amp; " " &amp; ICE[[#This Row],[Rolling]] &amp; "-IEU", "Ask")</f>
        <v/>
      </c>
      <c r="I1786" s="672" t="str">
        <f>RTD("esrtd",,ICE[[#This Row],[PCC]] &amp; " " &amp; ICE[[#This Row],[Rolling]] &amp; "-IEU", "Last")</f>
        <v/>
      </c>
      <c r="J1786" s="672" t="str">
        <f>RTD("esrtd",,ICE[[#This Row],[PCC]] &amp; " " &amp; ICE[[#This Row],[Rolling]] &amp; "-IEU", "Last Trade Time")</f>
        <v/>
      </c>
      <c r="K1786" s="672" t="str">
        <f>RTD("esrtd",,ICE[[#This Row],[PCC]] &amp; " " &amp; ICE[[#This Row],[Rolling]] &amp; "-IEU", "Block Price")</f>
        <v/>
      </c>
      <c r="L1786" s="672"/>
      <c r="M1786" s="674" t="str">
        <f>RTD("esrtd",,ICE[[#This Row],[PCC]] &amp; " " &amp; ICE[[#This Row],[Rolling]] &amp; "-IEU", "Block Price DT")</f>
        <v/>
      </c>
      <c r="N1786" s="673" t="str">
        <f>RTD("esrtd",,ICE[[#This Row],[PCC]] &amp; " " &amp; ICE[[#This Row],[Rolling]] &amp; "-IEU", "Volume")</f>
        <v/>
      </c>
      <c r="O1786" s="673" t="str">
        <f>RTD("esrtd",,ICE[[#This Row],[PCC]] &amp; " " &amp; ICE[[#This Row],[Rolling]] &amp; "-IEU", "Block Volume")</f>
        <v/>
      </c>
      <c r="P178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6" s="674" t="str">
        <f>IF(ICE[[#This Row],[LastType]] = "Scrn", ICE[[#This Row],[LstDate]], IF(ICE[[#This Row],[LastType]] = "Blk", ICE[[#This Row],[LstBlkTime]], ""))</f>
        <v/>
      </c>
      <c r="R1786" s="675" t="str">
        <f>IF(ICE[[#This Row],[LastType]] = "Scrn", ICE[[#This Row],[LstPrc]], IF(ICE[[#This Row],[LastType]] = "Blk", ICE[[#This Row],[LstBlkPrc]], ""))</f>
        <v/>
      </c>
      <c r="S1786" s="673" t="e">
        <f>ICE[[#This Row],[Vol]]+ICE[[#This Row],[BlkVol]]</f>
        <v>#VALUE!</v>
      </c>
      <c r="T1786" s="673" t="str">
        <f>RTD("esrtd",,ICE[[#This Row],[PCC]] &amp; " " &amp; ICE[[#This Row],[Rolling]] &amp; "-IEU", "Open Interest")</f>
        <v/>
      </c>
      <c r="U1786" s="672" t="str">
        <f>RTD("esrtd",,ICE[[#This Row],[PCC]] &amp; " " &amp; ICE[[#This Row],[Rolling]] &amp; "-IEU", "Recent Settlement")</f>
        <v/>
      </c>
      <c r="V178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6" s="672" t="str">
        <f>RTD("esrtd",,ICE[[#This Row],[PCC]] &amp; " " &amp; ICE[[#This Row],[Rolling]] &amp; "-IEU", "ICE Theoretical Price")</f>
        <v/>
      </c>
      <c r="X1786" s="673" t="s">
        <v>899</v>
      </c>
    </row>
    <row r="1787" spans="1:24" x14ac:dyDescent="0.25">
      <c r="A1787" s="669" t="s">
        <v>448</v>
      </c>
      <c r="B1787" s="669" t="s">
        <v>890</v>
      </c>
      <c r="C1787" s="670">
        <v>3045330435</v>
      </c>
      <c r="D1787" s="671" t="s">
        <v>798</v>
      </c>
      <c r="E1787" s="672" t="str">
        <f>RTD("esrtd",,ICE[[#This Row],[PCC]] &amp; " " &amp; ICE[[#This Row],[Rolling]] &amp; "-IEU", "Strip")</f>
        <v/>
      </c>
      <c r="F1787" s="670" t="str">
        <f>ICE[[#This Row],[Prod]]&amp;ICE[[#This Row],[Strip]]</f>
        <v>afra</v>
      </c>
      <c r="G1787" s="672" t="str">
        <f>RTD("esrtd",,ICE[[#This Row],[PCC]] &amp; " " &amp; ICE[[#This Row],[Rolling]] &amp; "-IEU", "Bid")</f>
        <v/>
      </c>
      <c r="H1787" s="672" t="str">
        <f>RTD("esrtd",,ICE[[#This Row],[PCC]] &amp; " " &amp; ICE[[#This Row],[Rolling]] &amp; "-IEU", "Ask")</f>
        <v/>
      </c>
      <c r="I1787" s="672" t="str">
        <f>RTD("esrtd",,ICE[[#This Row],[PCC]] &amp; " " &amp; ICE[[#This Row],[Rolling]] &amp; "-IEU", "Last")</f>
        <v/>
      </c>
      <c r="J1787" s="672" t="str">
        <f>RTD("esrtd",,ICE[[#This Row],[PCC]] &amp; " " &amp; ICE[[#This Row],[Rolling]] &amp; "-IEU", "Last Trade Time")</f>
        <v/>
      </c>
      <c r="K1787" s="672" t="str">
        <f>RTD("esrtd",,ICE[[#This Row],[PCC]] &amp; " " &amp; ICE[[#This Row],[Rolling]] &amp; "-IEU", "Block Price")</f>
        <v/>
      </c>
      <c r="L1787" s="672"/>
      <c r="M1787" s="674" t="str">
        <f>RTD("esrtd",,ICE[[#This Row],[PCC]] &amp; " " &amp; ICE[[#This Row],[Rolling]] &amp; "-IEU", "Block Price DT")</f>
        <v/>
      </c>
      <c r="N1787" s="673" t="str">
        <f>RTD("esrtd",,ICE[[#This Row],[PCC]] &amp; " " &amp; ICE[[#This Row],[Rolling]] &amp; "-IEU", "Volume")</f>
        <v/>
      </c>
      <c r="O1787" s="673" t="str">
        <f>RTD("esrtd",,ICE[[#This Row],[PCC]] &amp; " " &amp; ICE[[#This Row],[Rolling]] &amp; "-IEU", "Block Volume")</f>
        <v/>
      </c>
      <c r="P178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7" s="674" t="str">
        <f>IF(ICE[[#This Row],[LastType]] = "Scrn", ICE[[#This Row],[LstDate]], IF(ICE[[#This Row],[LastType]] = "Blk", ICE[[#This Row],[LstBlkTime]], ""))</f>
        <v/>
      </c>
      <c r="R1787" s="675" t="str">
        <f>IF(ICE[[#This Row],[LastType]] = "Scrn", ICE[[#This Row],[LstPrc]], IF(ICE[[#This Row],[LastType]] = "Blk", ICE[[#This Row],[LstBlkPrc]], ""))</f>
        <v/>
      </c>
      <c r="S1787" s="673" t="e">
        <f>ICE[[#This Row],[Vol]]+ICE[[#This Row],[BlkVol]]</f>
        <v>#VALUE!</v>
      </c>
      <c r="T1787" s="673" t="str">
        <f>RTD("esrtd",,ICE[[#This Row],[PCC]] &amp; " " &amp; ICE[[#This Row],[Rolling]] &amp; "-IEU", "Open Interest")</f>
        <v/>
      </c>
      <c r="U1787" s="672" t="str">
        <f>RTD("esrtd",,ICE[[#This Row],[PCC]] &amp; " " &amp; ICE[[#This Row],[Rolling]] &amp; "-IEU", "Recent Settlement")</f>
        <v/>
      </c>
      <c r="V178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7" s="672" t="str">
        <f>RTD("esrtd",,ICE[[#This Row],[PCC]] &amp; " " &amp; ICE[[#This Row],[Rolling]] &amp; "-IEU", "ICE Theoretical Price")</f>
        <v/>
      </c>
      <c r="X1787" s="673" t="s">
        <v>900</v>
      </c>
    </row>
    <row r="1788" spans="1:24" x14ac:dyDescent="0.25">
      <c r="A1788" s="669" t="s">
        <v>448</v>
      </c>
      <c r="B1788" s="669" t="s">
        <v>890</v>
      </c>
      <c r="C1788" s="670">
        <v>3045330435</v>
      </c>
      <c r="D1788" s="671" t="s">
        <v>799</v>
      </c>
      <c r="E1788" s="672" t="str">
        <f>RTD("esrtd",,ICE[[#This Row],[PCC]] &amp; " " &amp; ICE[[#This Row],[Rolling]] &amp; "-IEU", "Strip")</f>
        <v/>
      </c>
      <c r="F1788" s="670" t="str">
        <f>ICE[[#This Row],[Prod]]&amp;ICE[[#This Row],[Strip]]</f>
        <v>afra</v>
      </c>
      <c r="G1788" s="672" t="str">
        <f>RTD("esrtd",,ICE[[#This Row],[PCC]] &amp; " " &amp; ICE[[#This Row],[Rolling]] &amp; "-IEU", "Bid")</f>
        <v/>
      </c>
      <c r="H1788" s="672" t="str">
        <f>RTD("esrtd",,ICE[[#This Row],[PCC]] &amp; " " &amp; ICE[[#This Row],[Rolling]] &amp; "-IEU", "Ask")</f>
        <v/>
      </c>
      <c r="I1788" s="672" t="str">
        <f>RTD("esrtd",,ICE[[#This Row],[PCC]] &amp; " " &amp; ICE[[#This Row],[Rolling]] &amp; "-IEU", "Last")</f>
        <v/>
      </c>
      <c r="J1788" s="672" t="str">
        <f>RTD("esrtd",,ICE[[#This Row],[PCC]] &amp; " " &amp; ICE[[#This Row],[Rolling]] &amp; "-IEU", "Last Trade Time")</f>
        <v/>
      </c>
      <c r="K1788" s="672" t="str">
        <f>RTD("esrtd",,ICE[[#This Row],[PCC]] &amp; " " &amp; ICE[[#This Row],[Rolling]] &amp; "-IEU", "Block Price")</f>
        <v/>
      </c>
      <c r="L1788" s="672"/>
      <c r="M1788" s="674" t="str">
        <f>RTD("esrtd",,ICE[[#This Row],[PCC]] &amp; " " &amp; ICE[[#This Row],[Rolling]] &amp; "-IEU", "Block Price DT")</f>
        <v/>
      </c>
      <c r="N1788" s="673" t="str">
        <f>RTD("esrtd",,ICE[[#This Row],[PCC]] &amp; " " &amp; ICE[[#This Row],[Rolling]] &amp; "-IEU", "Volume")</f>
        <v/>
      </c>
      <c r="O1788" s="673" t="str">
        <f>RTD("esrtd",,ICE[[#This Row],[PCC]] &amp; " " &amp; ICE[[#This Row],[Rolling]] &amp; "-IEU", "Block Volume")</f>
        <v/>
      </c>
      <c r="P178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8" s="674" t="str">
        <f>IF(ICE[[#This Row],[LastType]] = "Scrn", ICE[[#This Row],[LstDate]], IF(ICE[[#This Row],[LastType]] = "Blk", ICE[[#This Row],[LstBlkTime]], ""))</f>
        <v/>
      </c>
      <c r="R1788" s="675" t="str">
        <f>IF(ICE[[#This Row],[LastType]] = "Scrn", ICE[[#This Row],[LstPrc]], IF(ICE[[#This Row],[LastType]] = "Blk", ICE[[#This Row],[LstBlkPrc]], ""))</f>
        <v/>
      </c>
      <c r="S1788" s="673" t="e">
        <f>ICE[[#This Row],[Vol]]+ICE[[#This Row],[BlkVol]]</f>
        <v>#VALUE!</v>
      </c>
      <c r="T1788" s="673" t="str">
        <f>RTD("esrtd",,ICE[[#This Row],[PCC]] &amp; " " &amp; ICE[[#This Row],[Rolling]] &amp; "-IEU", "Open Interest")</f>
        <v/>
      </c>
      <c r="U1788" s="672" t="str">
        <f>RTD("esrtd",,ICE[[#This Row],[PCC]] &amp; " " &amp; ICE[[#This Row],[Rolling]] &amp; "-IEU", "Recent Settlement")</f>
        <v/>
      </c>
      <c r="V178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8" s="672" t="str">
        <f>RTD("esrtd",,ICE[[#This Row],[PCC]] &amp; " " &amp; ICE[[#This Row],[Rolling]] &amp; "-IEU", "ICE Theoretical Price")</f>
        <v/>
      </c>
      <c r="X1788" s="673" t="s">
        <v>901</v>
      </c>
    </row>
    <row r="1789" spans="1:24" x14ac:dyDescent="0.25">
      <c r="A1789" s="669" t="s">
        <v>448</v>
      </c>
      <c r="B1789" s="669" t="s">
        <v>890</v>
      </c>
      <c r="C1789" s="670">
        <v>3045330435</v>
      </c>
      <c r="D1789" s="671" t="s">
        <v>800</v>
      </c>
      <c r="E1789" s="672" t="str">
        <f>RTD("esrtd",,ICE[[#This Row],[PCC]] &amp; " " &amp; ICE[[#This Row],[Rolling]] &amp; "-IEU", "Strip")</f>
        <v/>
      </c>
      <c r="F1789" s="670" t="str">
        <f>ICE[[#This Row],[Prod]]&amp;ICE[[#This Row],[Strip]]</f>
        <v>afra</v>
      </c>
      <c r="G1789" s="672" t="str">
        <f>RTD("esrtd",,ICE[[#This Row],[PCC]] &amp; " " &amp; ICE[[#This Row],[Rolling]] &amp; "-IEU", "Bid")</f>
        <v/>
      </c>
      <c r="H1789" s="672" t="str">
        <f>RTD("esrtd",,ICE[[#This Row],[PCC]] &amp; " " &amp; ICE[[#This Row],[Rolling]] &amp; "-IEU", "Ask")</f>
        <v/>
      </c>
      <c r="I1789" s="672" t="str">
        <f>RTD("esrtd",,ICE[[#This Row],[PCC]] &amp; " " &amp; ICE[[#This Row],[Rolling]] &amp; "-IEU", "Last")</f>
        <v/>
      </c>
      <c r="J1789" s="672" t="str">
        <f>RTD("esrtd",,ICE[[#This Row],[PCC]] &amp; " " &amp; ICE[[#This Row],[Rolling]] &amp; "-IEU", "Last Trade Time")</f>
        <v/>
      </c>
      <c r="K1789" s="672" t="str">
        <f>RTD("esrtd",,ICE[[#This Row],[PCC]] &amp; " " &amp; ICE[[#This Row],[Rolling]] &amp; "-IEU", "Block Price")</f>
        <v/>
      </c>
      <c r="L1789" s="672"/>
      <c r="M1789" s="674" t="str">
        <f>RTD("esrtd",,ICE[[#This Row],[PCC]] &amp; " " &amp; ICE[[#This Row],[Rolling]] &amp; "-IEU", "Block Price DT")</f>
        <v/>
      </c>
      <c r="N1789" s="673" t="str">
        <f>RTD("esrtd",,ICE[[#This Row],[PCC]] &amp; " " &amp; ICE[[#This Row],[Rolling]] &amp; "-IEU", "Volume")</f>
        <v/>
      </c>
      <c r="O1789" s="673" t="str">
        <f>RTD("esrtd",,ICE[[#This Row],[PCC]] &amp; " " &amp; ICE[[#This Row],[Rolling]] &amp; "-IEU", "Block Volume")</f>
        <v/>
      </c>
      <c r="P178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89" s="674" t="str">
        <f>IF(ICE[[#This Row],[LastType]] = "Scrn", ICE[[#This Row],[LstDate]], IF(ICE[[#This Row],[LastType]] = "Blk", ICE[[#This Row],[LstBlkTime]], ""))</f>
        <v/>
      </c>
      <c r="R1789" s="675" t="str">
        <f>IF(ICE[[#This Row],[LastType]] = "Scrn", ICE[[#This Row],[LstPrc]], IF(ICE[[#This Row],[LastType]] = "Blk", ICE[[#This Row],[LstBlkPrc]], ""))</f>
        <v/>
      </c>
      <c r="S1789" s="673" t="e">
        <f>ICE[[#This Row],[Vol]]+ICE[[#This Row],[BlkVol]]</f>
        <v>#VALUE!</v>
      </c>
      <c r="T1789" s="673" t="str">
        <f>RTD("esrtd",,ICE[[#This Row],[PCC]] &amp; " " &amp; ICE[[#This Row],[Rolling]] &amp; "-IEU", "Open Interest")</f>
        <v/>
      </c>
      <c r="U1789" s="672" t="str">
        <f>RTD("esrtd",,ICE[[#This Row],[PCC]] &amp; " " &amp; ICE[[#This Row],[Rolling]] &amp; "-IEU", "Recent Settlement")</f>
        <v/>
      </c>
      <c r="V178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89" s="672" t="str">
        <f>RTD("esrtd",,ICE[[#This Row],[PCC]] &amp; " " &amp; ICE[[#This Row],[Rolling]] &amp; "-IEU", "ICE Theoretical Price")</f>
        <v/>
      </c>
      <c r="X1789" s="673" t="s">
        <v>902</v>
      </c>
    </row>
    <row r="1790" spans="1:24" x14ac:dyDescent="0.25">
      <c r="A1790" s="669" t="s">
        <v>448</v>
      </c>
      <c r="B1790" s="669" t="s">
        <v>890</v>
      </c>
      <c r="C1790" s="670">
        <v>3045330435</v>
      </c>
      <c r="D1790" s="671" t="s">
        <v>801</v>
      </c>
      <c r="E1790" s="672" t="str">
        <f>RTD("esrtd",,ICE[[#This Row],[PCC]] &amp; " " &amp; ICE[[#This Row],[Rolling]] &amp; "-IEU", "Strip")</f>
        <v/>
      </c>
      <c r="F1790" s="670" t="str">
        <f>ICE[[#This Row],[Prod]]&amp;ICE[[#This Row],[Strip]]</f>
        <v>afra</v>
      </c>
      <c r="G1790" s="672" t="str">
        <f>RTD("esrtd",,ICE[[#This Row],[PCC]] &amp; " " &amp; ICE[[#This Row],[Rolling]] &amp; "-IEU", "Bid")</f>
        <v/>
      </c>
      <c r="H1790" s="672" t="str">
        <f>RTD("esrtd",,ICE[[#This Row],[PCC]] &amp; " " &amp; ICE[[#This Row],[Rolling]] &amp; "-IEU", "Ask")</f>
        <v/>
      </c>
      <c r="I1790" s="672" t="str">
        <f>RTD("esrtd",,ICE[[#This Row],[PCC]] &amp; " " &amp; ICE[[#This Row],[Rolling]] &amp; "-IEU", "Last")</f>
        <v/>
      </c>
      <c r="J1790" s="672" t="str">
        <f>RTD("esrtd",,ICE[[#This Row],[PCC]] &amp; " " &amp; ICE[[#This Row],[Rolling]] &amp; "-IEU", "Last Trade Time")</f>
        <v/>
      </c>
      <c r="K1790" s="672" t="str">
        <f>RTD("esrtd",,ICE[[#This Row],[PCC]] &amp; " " &amp; ICE[[#This Row],[Rolling]] &amp; "-IEU", "Block Price")</f>
        <v/>
      </c>
      <c r="L1790" s="672"/>
      <c r="M1790" s="674" t="str">
        <f>RTD("esrtd",,ICE[[#This Row],[PCC]] &amp; " " &amp; ICE[[#This Row],[Rolling]] &amp; "-IEU", "Block Price DT")</f>
        <v/>
      </c>
      <c r="N1790" s="673" t="str">
        <f>RTD("esrtd",,ICE[[#This Row],[PCC]] &amp; " " &amp; ICE[[#This Row],[Rolling]] &amp; "-IEU", "Volume")</f>
        <v/>
      </c>
      <c r="O1790" s="673" t="str">
        <f>RTD("esrtd",,ICE[[#This Row],[PCC]] &amp; " " &amp; ICE[[#This Row],[Rolling]] &amp; "-IEU", "Block Volume")</f>
        <v/>
      </c>
      <c r="P179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0" s="674" t="str">
        <f>IF(ICE[[#This Row],[LastType]] = "Scrn", ICE[[#This Row],[LstDate]], IF(ICE[[#This Row],[LastType]] = "Blk", ICE[[#This Row],[LstBlkTime]], ""))</f>
        <v/>
      </c>
      <c r="R1790" s="675" t="str">
        <f>IF(ICE[[#This Row],[LastType]] = "Scrn", ICE[[#This Row],[LstPrc]], IF(ICE[[#This Row],[LastType]] = "Blk", ICE[[#This Row],[LstBlkPrc]], ""))</f>
        <v/>
      </c>
      <c r="S1790" s="673" t="e">
        <f>ICE[[#This Row],[Vol]]+ICE[[#This Row],[BlkVol]]</f>
        <v>#VALUE!</v>
      </c>
      <c r="T1790" s="673" t="str">
        <f>RTD("esrtd",,ICE[[#This Row],[PCC]] &amp; " " &amp; ICE[[#This Row],[Rolling]] &amp; "-IEU", "Open Interest")</f>
        <v/>
      </c>
      <c r="U1790" s="672" t="str">
        <f>RTD("esrtd",,ICE[[#This Row],[PCC]] &amp; " " &amp; ICE[[#This Row],[Rolling]] &amp; "-IEU", "Recent Settlement")</f>
        <v/>
      </c>
      <c r="V179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0" s="672" t="str">
        <f>RTD("esrtd",,ICE[[#This Row],[PCC]] &amp; " " &amp; ICE[[#This Row],[Rolling]] &amp; "-IEU", "ICE Theoretical Price")</f>
        <v/>
      </c>
      <c r="X1790" s="673" t="s">
        <v>903</v>
      </c>
    </row>
    <row r="1791" spans="1:24" x14ac:dyDescent="0.25">
      <c r="A1791" s="669" t="s">
        <v>448</v>
      </c>
      <c r="B1791" s="669" t="s">
        <v>890</v>
      </c>
      <c r="C1791" s="670">
        <v>3045330435</v>
      </c>
      <c r="D1791" s="671" t="s">
        <v>802</v>
      </c>
      <c r="E1791" s="672" t="str">
        <f>RTD("esrtd",,ICE[[#This Row],[PCC]] &amp; " " &amp; ICE[[#This Row],[Rolling]] &amp; "-IEU", "Strip")</f>
        <v/>
      </c>
      <c r="F1791" s="670" t="str">
        <f>ICE[[#This Row],[Prod]]&amp;ICE[[#This Row],[Strip]]</f>
        <v>afra</v>
      </c>
      <c r="G1791" s="672" t="str">
        <f>RTD("esrtd",,ICE[[#This Row],[PCC]] &amp; " " &amp; ICE[[#This Row],[Rolling]] &amp; "-IEU", "Bid")</f>
        <v/>
      </c>
      <c r="H1791" s="672" t="str">
        <f>RTD("esrtd",,ICE[[#This Row],[PCC]] &amp; " " &amp; ICE[[#This Row],[Rolling]] &amp; "-IEU", "Ask")</f>
        <v/>
      </c>
      <c r="I1791" s="672" t="str">
        <f>RTD("esrtd",,ICE[[#This Row],[PCC]] &amp; " " &amp; ICE[[#This Row],[Rolling]] &amp; "-IEU", "Last")</f>
        <v/>
      </c>
      <c r="J1791" s="672" t="str">
        <f>RTD("esrtd",,ICE[[#This Row],[PCC]] &amp; " " &amp; ICE[[#This Row],[Rolling]] &amp; "-IEU", "Last Trade Time")</f>
        <v/>
      </c>
      <c r="K1791" s="672" t="str">
        <f>RTD("esrtd",,ICE[[#This Row],[PCC]] &amp; " " &amp; ICE[[#This Row],[Rolling]] &amp; "-IEU", "Block Price")</f>
        <v/>
      </c>
      <c r="L1791" s="672"/>
      <c r="M1791" s="674" t="str">
        <f>RTD("esrtd",,ICE[[#This Row],[PCC]] &amp; " " &amp; ICE[[#This Row],[Rolling]] &amp; "-IEU", "Block Price DT")</f>
        <v/>
      </c>
      <c r="N1791" s="673" t="str">
        <f>RTD("esrtd",,ICE[[#This Row],[PCC]] &amp; " " &amp; ICE[[#This Row],[Rolling]] &amp; "-IEU", "Volume")</f>
        <v/>
      </c>
      <c r="O1791" s="673" t="str">
        <f>RTD("esrtd",,ICE[[#This Row],[PCC]] &amp; " " &amp; ICE[[#This Row],[Rolling]] &amp; "-IEU", "Block Volume")</f>
        <v/>
      </c>
      <c r="P179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1" s="674" t="str">
        <f>IF(ICE[[#This Row],[LastType]] = "Scrn", ICE[[#This Row],[LstDate]], IF(ICE[[#This Row],[LastType]] = "Blk", ICE[[#This Row],[LstBlkTime]], ""))</f>
        <v/>
      </c>
      <c r="R1791" s="675" t="str">
        <f>IF(ICE[[#This Row],[LastType]] = "Scrn", ICE[[#This Row],[LstPrc]], IF(ICE[[#This Row],[LastType]] = "Blk", ICE[[#This Row],[LstBlkPrc]], ""))</f>
        <v/>
      </c>
      <c r="S1791" s="673" t="e">
        <f>ICE[[#This Row],[Vol]]+ICE[[#This Row],[BlkVol]]</f>
        <v>#VALUE!</v>
      </c>
      <c r="T1791" s="673" t="str">
        <f>RTD("esrtd",,ICE[[#This Row],[PCC]] &amp; " " &amp; ICE[[#This Row],[Rolling]] &amp; "-IEU", "Open Interest")</f>
        <v/>
      </c>
      <c r="U1791" s="672" t="str">
        <f>RTD("esrtd",,ICE[[#This Row],[PCC]] &amp; " " &amp; ICE[[#This Row],[Rolling]] &amp; "-IEU", "Recent Settlement")</f>
        <v/>
      </c>
      <c r="V179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1" s="672" t="str">
        <f>RTD("esrtd",,ICE[[#This Row],[PCC]] &amp; " " &amp; ICE[[#This Row],[Rolling]] &amp; "-IEU", "ICE Theoretical Price")</f>
        <v/>
      </c>
      <c r="X1791" s="673" t="s">
        <v>904</v>
      </c>
    </row>
    <row r="1792" spans="1:24" x14ac:dyDescent="0.25">
      <c r="A1792" s="669" t="s">
        <v>448</v>
      </c>
      <c r="B1792" s="669" t="s">
        <v>890</v>
      </c>
      <c r="C1792" s="670">
        <v>3045330435</v>
      </c>
      <c r="D1792" s="671" t="s">
        <v>803</v>
      </c>
      <c r="E1792" s="672" t="str">
        <f>RTD("esrtd",,ICE[[#This Row],[PCC]] &amp; " " &amp; ICE[[#This Row],[Rolling]] &amp; "-IEU", "Strip")</f>
        <v/>
      </c>
      <c r="F1792" s="670" t="str">
        <f>ICE[[#This Row],[Prod]]&amp;ICE[[#This Row],[Strip]]</f>
        <v>afra</v>
      </c>
      <c r="G1792" s="672" t="str">
        <f>RTD("esrtd",,ICE[[#This Row],[PCC]] &amp; " " &amp; ICE[[#This Row],[Rolling]] &amp; "-IEU", "Bid")</f>
        <v/>
      </c>
      <c r="H1792" s="672" t="str">
        <f>RTD("esrtd",,ICE[[#This Row],[PCC]] &amp; " " &amp; ICE[[#This Row],[Rolling]] &amp; "-IEU", "Ask")</f>
        <v/>
      </c>
      <c r="I1792" s="672" t="str">
        <f>RTD("esrtd",,ICE[[#This Row],[PCC]] &amp; " " &amp; ICE[[#This Row],[Rolling]] &amp; "-IEU", "Last")</f>
        <v/>
      </c>
      <c r="J1792" s="672" t="str">
        <f>RTD("esrtd",,ICE[[#This Row],[PCC]] &amp; " " &amp; ICE[[#This Row],[Rolling]] &amp; "-IEU", "Last Trade Time")</f>
        <v/>
      </c>
      <c r="K1792" s="672" t="str">
        <f>RTD("esrtd",,ICE[[#This Row],[PCC]] &amp; " " &amp; ICE[[#This Row],[Rolling]] &amp; "-IEU", "Block Price")</f>
        <v/>
      </c>
      <c r="L1792" s="672"/>
      <c r="M1792" s="674" t="str">
        <f>RTD("esrtd",,ICE[[#This Row],[PCC]] &amp; " " &amp; ICE[[#This Row],[Rolling]] &amp; "-IEU", "Block Price DT")</f>
        <v/>
      </c>
      <c r="N1792" s="673" t="str">
        <f>RTD("esrtd",,ICE[[#This Row],[PCC]] &amp; " " &amp; ICE[[#This Row],[Rolling]] &amp; "-IEU", "Volume")</f>
        <v/>
      </c>
      <c r="O1792" s="673" t="str">
        <f>RTD("esrtd",,ICE[[#This Row],[PCC]] &amp; " " &amp; ICE[[#This Row],[Rolling]] &amp; "-IEU", "Block Volume")</f>
        <v/>
      </c>
      <c r="P179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2" s="674" t="str">
        <f>IF(ICE[[#This Row],[LastType]] = "Scrn", ICE[[#This Row],[LstDate]], IF(ICE[[#This Row],[LastType]] = "Blk", ICE[[#This Row],[LstBlkTime]], ""))</f>
        <v/>
      </c>
      <c r="R1792" s="675" t="str">
        <f>IF(ICE[[#This Row],[LastType]] = "Scrn", ICE[[#This Row],[LstPrc]], IF(ICE[[#This Row],[LastType]] = "Blk", ICE[[#This Row],[LstBlkPrc]], ""))</f>
        <v/>
      </c>
      <c r="S1792" s="673" t="e">
        <f>ICE[[#This Row],[Vol]]+ICE[[#This Row],[BlkVol]]</f>
        <v>#VALUE!</v>
      </c>
      <c r="T1792" s="673" t="str">
        <f>RTD("esrtd",,ICE[[#This Row],[PCC]] &amp; " " &amp; ICE[[#This Row],[Rolling]] &amp; "-IEU", "Open Interest")</f>
        <v/>
      </c>
      <c r="U1792" s="672" t="str">
        <f>RTD("esrtd",,ICE[[#This Row],[PCC]] &amp; " " &amp; ICE[[#This Row],[Rolling]] &amp; "-IEU", "Recent Settlement")</f>
        <v/>
      </c>
      <c r="V179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2" s="672" t="str">
        <f>RTD("esrtd",,ICE[[#This Row],[PCC]] &amp; " " &amp; ICE[[#This Row],[Rolling]] &amp; "-IEU", "ICE Theoretical Price")</f>
        <v/>
      </c>
      <c r="X1792" s="673" t="s">
        <v>905</v>
      </c>
    </row>
    <row r="1793" spans="1:24" x14ac:dyDescent="0.25">
      <c r="A1793" s="669" t="s">
        <v>448</v>
      </c>
      <c r="B1793" s="669" t="s">
        <v>890</v>
      </c>
      <c r="C1793" s="670">
        <v>3045330435</v>
      </c>
      <c r="D1793" s="671" t="s">
        <v>793</v>
      </c>
      <c r="E1793" s="672" t="str">
        <f>RTD("esrtd",,ICE[[#This Row],[PCC]] &amp; " " &amp; ICE[[#This Row],[Rolling]] &amp; "-IEU", "Strip")</f>
        <v/>
      </c>
      <c r="F1793" s="670" t="str">
        <f>ICE[[#This Row],[Prod]]&amp;ICE[[#This Row],[Strip]]</f>
        <v>afra</v>
      </c>
      <c r="G1793" s="672" t="str">
        <f>RTD("esrtd",,ICE[[#This Row],[PCC]] &amp; " " &amp; ICE[[#This Row],[Rolling]] &amp; "-IEU", "Bid")</f>
        <v/>
      </c>
      <c r="H1793" s="672" t="str">
        <f>RTD("esrtd",,ICE[[#This Row],[PCC]] &amp; " " &amp; ICE[[#This Row],[Rolling]] &amp; "-IEU", "Ask")</f>
        <v/>
      </c>
      <c r="I1793" s="672" t="str">
        <f>RTD("esrtd",,ICE[[#This Row],[PCC]] &amp; " " &amp; ICE[[#This Row],[Rolling]] &amp; "-IEU", "Last")</f>
        <v/>
      </c>
      <c r="J1793" s="672" t="str">
        <f>RTD("esrtd",,ICE[[#This Row],[PCC]] &amp; " " &amp; ICE[[#This Row],[Rolling]] &amp; "-IEU", "Last Trade Time")</f>
        <v/>
      </c>
      <c r="K1793" s="672" t="str">
        <f>RTD("esrtd",,ICE[[#This Row],[PCC]] &amp; " " &amp; ICE[[#This Row],[Rolling]] &amp; "-IEU", "Block Price")</f>
        <v/>
      </c>
      <c r="L1793" s="672"/>
      <c r="M1793" s="674" t="str">
        <f>RTD("esrtd",,ICE[[#This Row],[PCC]] &amp; " " &amp; ICE[[#This Row],[Rolling]] &amp; "-IEU", "Block Price DT")</f>
        <v/>
      </c>
      <c r="N1793" s="673" t="str">
        <f>RTD("esrtd",,ICE[[#This Row],[PCC]] &amp; " " &amp; ICE[[#This Row],[Rolling]] &amp; "-IEU", "Volume")</f>
        <v/>
      </c>
      <c r="O1793" s="673" t="str">
        <f>RTD("esrtd",,ICE[[#This Row],[PCC]] &amp; " " &amp; ICE[[#This Row],[Rolling]] &amp; "-IEU", "Block Volume")</f>
        <v/>
      </c>
      <c r="P179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3" s="674" t="str">
        <f>IF(ICE[[#This Row],[LastType]] = "Scrn", ICE[[#This Row],[LstDate]], IF(ICE[[#This Row],[LastType]] = "Blk", ICE[[#This Row],[LstBlkTime]], ""))</f>
        <v/>
      </c>
      <c r="R1793" s="675" t="str">
        <f>IF(ICE[[#This Row],[LastType]] = "Scrn", ICE[[#This Row],[LstPrc]], IF(ICE[[#This Row],[LastType]] = "Blk", ICE[[#This Row],[LstBlkPrc]], ""))</f>
        <v/>
      </c>
      <c r="S1793" s="673" t="e">
        <f>ICE[[#This Row],[Vol]]+ICE[[#This Row],[BlkVol]]</f>
        <v>#VALUE!</v>
      </c>
      <c r="T1793" s="673" t="str">
        <f>RTD("esrtd",,ICE[[#This Row],[PCC]] &amp; " " &amp; ICE[[#This Row],[Rolling]] &amp; "-IEU", "Open Interest")</f>
        <v/>
      </c>
      <c r="U1793" s="672" t="str">
        <f>RTD("esrtd",,ICE[[#This Row],[PCC]] &amp; " " &amp; ICE[[#This Row],[Rolling]] &amp; "-IEU", "Recent Settlement")</f>
        <v/>
      </c>
      <c r="V179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3" s="672" t="str">
        <f>RTD("esrtd",,ICE[[#This Row],[PCC]] &amp; " " &amp; ICE[[#This Row],[Rolling]] &amp; "-IEU", "ICE Theoretical Price")</f>
        <v/>
      </c>
      <c r="X1793" s="673" t="s">
        <v>906</v>
      </c>
    </row>
    <row r="1794" spans="1:24" x14ac:dyDescent="0.25">
      <c r="A1794" s="669" t="s">
        <v>448</v>
      </c>
      <c r="B1794" s="669" t="s">
        <v>890</v>
      </c>
      <c r="C1794" s="670">
        <v>3045330435</v>
      </c>
      <c r="D1794" s="671" t="s">
        <v>324</v>
      </c>
      <c r="E1794" s="672" t="str">
        <f>RTD("esrtd",,ICE[[#This Row],[PCC]] &amp; " " &amp; ICE[[#This Row],[Rolling]] &amp; "-IEU", "Strip")</f>
        <v/>
      </c>
      <c r="F1794" s="670" t="str">
        <f>ICE[[#This Row],[Prod]]&amp;ICE[[#This Row],[Strip]]</f>
        <v>afra</v>
      </c>
      <c r="G1794" s="672" t="str">
        <f>RTD("esrtd",,ICE[[#This Row],[PCC]] &amp; " " &amp; ICE[[#This Row],[Rolling]] &amp; "-IEU", "Bid")</f>
        <v/>
      </c>
      <c r="H1794" s="672" t="str">
        <f>RTD("esrtd",,ICE[[#This Row],[PCC]] &amp; " " &amp; ICE[[#This Row],[Rolling]] &amp; "-IEU", "Ask")</f>
        <v/>
      </c>
      <c r="I1794" s="672" t="str">
        <f>RTD("esrtd",,ICE[[#This Row],[PCC]] &amp; " " &amp; ICE[[#This Row],[Rolling]] &amp; "-IEU", "Last")</f>
        <v/>
      </c>
      <c r="J1794" s="672" t="str">
        <f>RTD("esrtd",,ICE[[#This Row],[PCC]] &amp; " " &amp; ICE[[#This Row],[Rolling]] &amp; "-IEU", "Last Trade Time")</f>
        <v/>
      </c>
      <c r="K1794" s="672" t="str">
        <f>RTD("esrtd",,ICE[[#This Row],[PCC]] &amp; " " &amp; ICE[[#This Row],[Rolling]] &amp; "-IEU", "Block Price")</f>
        <v/>
      </c>
      <c r="L1794" s="672"/>
      <c r="M1794" s="674" t="str">
        <f>RTD("esrtd",,ICE[[#This Row],[PCC]] &amp; " " &amp; ICE[[#This Row],[Rolling]] &amp; "-IEU", "Block Price DT")</f>
        <v/>
      </c>
      <c r="N1794" s="673" t="str">
        <f>RTD("esrtd",,ICE[[#This Row],[PCC]] &amp; " " &amp; ICE[[#This Row],[Rolling]] &amp; "-IEU", "Volume")</f>
        <v/>
      </c>
      <c r="O1794" s="673" t="str">
        <f>RTD("esrtd",,ICE[[#This Row],[PCC]] &amp; " " &amp; ICE[[#This Row],[Rolling]] &amp; "-IEU", "Block Volume")</f>
        <v/>
      </c>
      <c r="P179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4" s="674" t="str">
        <f>IF(ICE[[#This Row],[LastType]] = "Scrn", ICE[[#This Row],[LstDate]], IF(ICE[[#This Row],[LastType]] = "Blk", ICE[[#This Row],[LstBlkTime]], ""))</f>
        <v/>
      </c>
      <c r="R1794" s="675" t="str">
        <f>IF(ICE[[#This Row],[LastType]] = "Scrn", ICE[[#This Row],[LstPrc]], IF(ICE[[#This Row],[LastType]] = "Blk", ICE[[#This Row],[LstBlkPrc]], ""))</f>
        <v/>
      </c>
      <c r="S1794" s="673" t="e">
        <f>ICE[[#This Row],[Vol]]+ICE[[#This Row],[BlkVol]]</f>
        <v>#VALUE!</v>
      </c>
      <c r="T1794" s="673" t="str">
        <f>RTD("esrtd",,ICE[[#This Row],[PCC]] &amp; " " &amp; ICE[[#This Row],[Rolling]] &amp; "-IEU", "Open Interest")</f>
        <v/>
      </c>
      <c r="U1794" s="672" t="str">
        <f>RTD("esrtd",,ICE[[#This Row],[PCC]] &amp; " " &amp; ICE[[#This Row],[Rolling]] &amp; "-IEU", "Recent Settlement")</f>
        <v/>
      </c>
      <c r="V179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4" s="672" t="str">
        <f>RTD("esrtd",,ICE[[#This Row],[PCC]] &amp; " " &amp; ICE[[#This Row],[Rolling]] &amp; "-IEU", "ICE Theoretical Price")</f>
        <v/>
      </c>
      <c r="X1794" s="673" t="s">
        <v>907</v>
      </c>
    </row>
    <row r="1795" spans="1:24" x14ac:dyDescent="0.25">
      <c r="A1795" s="669" t="s">
        <v>448</v>
      </c>
      <c r="B1795" s="669" t="s">
        <v>890</v>
      </c>
      <c r="C1795" s="670">
        <v>3045330435</v>
      </c>
      <c r="D1795" s="671" t="s">
        <v>325</v>
      </c>
      <c r="E1795" s="672" t="str">
        <f>RTD("esrtd",,ICE[[#This Row],[PCC]] &amp; " " &amp; ICE[[#This Row],[Rolling]] &amp; "-IEU", "Strip")</f>
        <v/>
      </c>
      <c r="F1795" s="670" t="str">
        <f>ICE[[#This Row],[Prod]]&amp;ICE[[#This Row],[Strip]]</f>
        <v>afra</v>
      </c>
      <c r="G1795" s="672" t="str">
        <f>RTD("esrtd",,ICE[[#This Row],[PCC]] &amp; " " &amp; ICE[[#This Row],[Rolling]] &amp; "-IEU", "Bid")</f>
        <v/>
      </c>
      <c r="H1795" s="672" t="str">
        <f>RTD("esrtd",,ICE[[#This Row],[PCC]] &amp; " " &amp; ICE[[#This Row],[Rolling]] &amp; "-IEU", "Ask")</f>
        <v/>
      </c>
      <c r="I1795" s="672" t="str">
        <f>RTD("esrtd",,ICE[[#This Row],[PCC]] &amp; " " &amp; ICE[[#This Row],[Rolling]] &amp; "-IEU", "Last")</f>
        <v/>
      </c>
      <c r="J1795" s="672" t="str">
        <f>RTD("esrtd",,ICE[[#This Row],[PCC]] &amp; " " &amp; ICE[[#This Row],[Rolling]] &amp; "-IEU", "Last Trade Time")</f>
        <v/>
      </c>
      <c r="K1795" s="672" t="str">
        <f>RTD("esrtd",,ICE[[#This Row],[PCC]] &amp; " " &amp; ICE[[#This Row],[Rolling]] &amp; "-IEU", "Block Price")</f>
        <v/>
      </c>
      <c r="L1795" s="672"/>
      <c r="M1795" s="674" t="str">
        <f>RTD("esrtd",,ICE[[#This Row],[PCC]] &amp; " " &amp; ICE[[#This Row],[Rolling]] &amp; "-IEU", "Block Price DT")</f>
        <v/>
      </c>
      <c r="N1795" s="673" t="str">
        <f>RTD("esrtd",,ICE[[#This Row],[PCC]] &amp; " " &amp; ICE[[#This Row],[Rolling]] &amp; "-IEU", "Volume")</f>
        <v/>
      </c>
      <c r="O1795" s="673" t="str">
        <f>RTD("esrtd",,ICE[[#This Row],[PCC]] &amp; " " &amp; ICE[[#This Row],[Rolling]] &amp; "-IEU", "Block Volume")</f>
        <v/>
      </c>
      <c r="P179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5" s="674" t="str">
        <f>IF(ICE[[#This Row],[LastType]] = "Scrn", ICE[[#This Row],[LstDate]], IF(ICE[[#This Row],[LastType]] = "Blk", ICE[[#This Row],[LstBlkTime]], ""))</f>
        <v/>
      </c>
      <c r="R1795" s="675" t="str">
        <f>IF(ICE[[#This Row],[LastType]] = "Scrn", ICE[[#This Row],[LstPrc]], IF(ICE[[#This Row],[LastType]] = "Blk", ICE[[#This Row],[LstBlkPrc]], ""))</f>
        <v/>
      </c>
      <c r="S1795" s="673" t="e">
        <f>ICE[[#This Row],[Vol]]+ICE[[#This Row],[BlkVol]]</f>
        <v>#VALUE!</v>
      </c>
      <c r="T1795" s="673" t="str">
        <f>RTD("esrtd",,ICE[[#This Row],[PCC]] &amp; " " &amp; ICE[[#This Row],[Rolling]] &amp; "-IEU", "Open Interest")</f>
        <v/>
      </c>
      <c r="U1795" s="672" t="str">
        <f>RTD("esrtd",,ICE[[#This Row],[PCC]] &amp; " " &amp; ICE[[#This Row],[Rolling]] &amp; "-IEU", "Recent Settlement")</f>
        <v/>
      </c>
      <c r="V179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5" s="672" t="str">
        <f>RTD("esrtd",,ICE[[#This Row],[PCC]] &amp; " " &amp; ICE[[#This Row],[Rolling]] &amp; "-IEU", "ICE Theoretical Price")</f>
        <v/>
      </c>
      <c r="X1795" s="673" t="s">
        <v>908</v>
      </c>
    </row>
    <row r="1796" spans="1:24" x14ac:dyDescent="0.25">
      <c r="A1796" s="669" t="s">
        <v>448</v>
      </c>
      <c r="B1796" s="669" t="s">
        <v>890</v>
      </c>
      <c r="C1796" s="670">
        <v>3045330435</v>
      </c>
      <c r="D1796" s="671" t="s">
        <v>326</v>
      </c>
      <c r="E1796" s="672" t="str">
        <f>RTD("esrtd",,ICE[[#This Row],[PCC]] &amp; " " &amp; ICE[[#This Row],[Rolling]] &amp; "-IEU", "Strip")</f>
        <v/>
      </c>
      <c r="F1796" s="670" t="str">
        <f>ICE[[#This Row],[Prod]]&amp;ICE[[#This Row],[Strip]]</f>
        <v>afra</v>
      </c>
      <c r="G1796" s="672" t="str">
        <f>RTD("esrtd",,ICE[[#This Row],[PCC]] &amp; " " &amp; ICE[[#This Row],[Rolling]] &amp; "-IEU", "Bid")</f>
        <v/>
      </c>
      <c r="H1796" s="672" t="str">
        <f>RTD("esrtd",,ICE[[#This Row],[PCC]] &amp; " " &amp; ICE[[#This Row],[Rolling]] &amp; "-IEU", "Ask")</f>
        <v/>
      </c>
      <c r="I1796" s="672" t="str">
        <f>RTD("esrtd",,ICE[[#This Row],[PCC]] &amp; " " &amp; ICE[[#This Row],[Rolling]] &amp; "-IEU", "Last")</f>
        <v/>
      </c>
      <c r="J1796" s="672" t="str">
        <f>RTD("esrtd",,ICE[[#This Row],[PCC]] &amp; " " &amp; ICE[[#This Row],[Rolling]] &amp; "-IEU", "Last Trade Time")</f>
        <v/>
      </c>
      <c r="K1796" s="672" t="str">
        <f>RTD("esrtd",,ICE[[#This Row],[PCC]] &amp; " " &amp; ICE[[#This Row],[Rolling]] &amp; "-IEU", "Block Price")</f>
        <v/>
      </c>
      <c r="L1796" s="672"/>
      <c r="M1796" s="674" t="str">
        <f>RTD("esrtd",,ICE[[#This Row],[PCC]] &amp; " " &amp; ICE[[#This Row],[Rolling]] &amp; "-IEU", "Block Price DT")</f>
        <v/>
      </c>
      <c r="N1796" s="673" t="str">
        <f>RTD("esrtd",,ICE[[#This Row],[PCC]] &amp; " " &amp; ICE[[#This Row],[Rolling]] &amp; "-IEU", "Volume")</f>
        <v/>
      </c>
      <c r="O1796" s="673" t="str">
        <f>RTD("esrtd",,ICE[[#This Row],[PCC]] &amp; " " &amp; ICE[[#This Row],[Rolling]] &amp; "-IEU", "Block Volume")</f>
        <v/>
      </c>
      <c r="P179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6" s="674" t="str">
        <f>IF(ICE[[#This Row],[LastType]] = "Scrn", ICE[[#This Row],[LstDate]], IF(ICE[[#This Row],[LastType]] = "Blk", ICE[[#This Row],[LstBlkTime]], ""))</f>
        <v/>
      </c>
      <c r="R1796" s="675" t="str">
        <f>IF(ICE[[#This Row],[LastType]] = "Scrn", ICE[[#This Row],[LstPrc]], IF(ICE[[#This Row],[LastType]] = "Blk", ICE[[#This Row],[LstBlkPrc]], ""))</f>
        <v/>
      </c>
      <c r="S1796" s="673" t="e">
        <f>ICE[[#This Row],[Vol]]+ICE[[#This Row],[BlkVol]]</f>
        <v>#VALUE!</v>
      </c>
      <c r="T1796" s="673" t="str">
        <f>RTD("esrtd",,ICE[[#This Row],[PCC]] &amp; " " &amp; ICE[[#This Row],[Rolling]] &amp; "-IEU", "Open Interest")</f>
        <v/>
      </c>
      <c r="U1796" s="672" t="str">
        <f>RTD("esrtd",,ICE[[#This Row],[PCC]] &amp; " " &amp; ICE[[#This Row],[Rolling]] &amp; "-IEU", "Recent Settlement")</f>
        <v/>
      </c>
      <c r="V179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6" s="672" t="str">
        <f>RTD("esrtd",,ICE[[#This Row],[PCC]] &amp; " " &amp; ICE[[#This Row],[Rolling]] &amp; "-IEU", "ICE Theoretical Price")</f>
        <v/>
      </c>
      <c r="X1796" s="673" t="s">
        <v>909</v>
      </c>
    </row>
    <row r="1797" spans="1:24" x14ac:dyDescent="0.25">
      <c r="A1797" s="669" t="s">
        <v>448</v>
      </c>
      <c r="B1797" s="669" t="s">
        <v>890</v>
      </c>
      <c r="C1797" s="670">
        <v>3045330435</v>
      </c>
      <c r="D1797" s="671" t="s">
        <v>794</v>
      </c>
      <c r="E1797" s="672" t="str">
        <f>RTD("esrtd",,ICE[[#This Row],[PCC]] &amp; " " &amp; ICE[[#This Row],[Rolling]] &amp; "-IEU", "Strip")</f>
        <v/>
      </c>
      <c r="F1797" s="670" t="str">
        <f>ICE[[#This Row],[Prod]]&amp;ICE[[#This Row],[Strip]]</f>
        <v>afra</v>
      </c>
      <c r="G1797" s="672" t="str">
        <f>RTD("esrtd",,ICE[[#This Row],[PCC]] &amp; " " &amp; ICE[[#This Row],[Rolling]] &amp; "-IEU", "Bid")</f>
        <v/>
      </c>
      <c r="H1797" s="672" t="str">
        <f>RTD("esrtd",,ICE[[#This Row],[PCC]] &amp; " " &amp; ICE[[#This Row],[Rolling]] &amp; "-IEU", "Ask")</f>
        <v/>
      </c>
      <c r="I1797" s="672" t="str">
        <f>RTD("esrtd",,ICE[[#This Row],[PCC]] &amp; " " &amp; ICE[[#This Row],[Rolling]] &amp; "-IEU", "Last")</f>
        <v/>
      </c>
      <c r="J1797" s="672" t="str">
        <f>RTD("esrtd",,ICE[[#This Row],[PCC]] &amp; " " &amp; ICE[[#This Row],[Rolling]] &amp; "-IEU", "Last Trade Time")</f>
        <v/>
      </c>
      <c r="K1797" s="672" t="str">
        <f>RTD("esrtd",,ICE[[#This Row],[PCC]] &amp; " " &amp; ICE[[#This Row],[Rolling]] &amp; "-IEU", "Block Price")</f>
        <v/>
      </c>
      <c r="L1797" s="672"/>
      <c r="M1797" s="674" t="str">
        <f>RTD("esrtd",,ICE[[#This Row],[PCC]] &amp; " " &amp; ICE[[#This Row],[Rolling]] &amp; "-IEU", "Block Price DT")</f>
        <v/>
      </c>
      <c r="N1797" s="673" t="str">
        <f>RTD("esrtd",,ICE[[#This Row],[PCC]] &amp; " " &amp; ICE[[#This Row],[Rolling]] &amp; "-IEU", "Volume")</f>
        <v/>
      </c>
      <c r="O1797" s="673" t="str">
        <f>RTD("esrtd",,ICE[[#This Row],[PCC]] &amp; " " &amp; ICE[[#This Row],[Rolling]] &amp; "-IEU", "Block Volume")</f>
        <v/>
      </c>
      <c r="P179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7" s="674" t="str">
        <f>IF(ICE[[#This Row],[LastType]] = "Scrn", ICE[[#This Row],[LstDate]], IF(ICE[[#This Row],[LastType]] = "Blk", ICE[[#This Row],[LstBlkTime]], ""))</f>
        <v/>
      </c>
      <c r="R1797" s="675" t="str">
        <f>IF(ICE[[#This Row],[LastType]] = "Scrn", ICE[[#This Row],[LstPrc]], IF(ICE[[#This Row],[LastType]] = "Blk", ICE[[#This Row],[LstBlkPrc]], ""))</f>
        <v/>
      </c>
      <c r="S1797" s="673" t="e">
        <f>ICE[[#This Row],[Vol]]+ICE[[#This Row],[BlkVol]]</f>
        <v>#VALUE!</v>
      </c>
      <c r="T1797" s="673" t="str">
        <f>RTD("esrtd",,ICE[[#This Row],[PCC]] &amp; " " &amp; ICE[[#This Row],[Rolling]] &amp; "-IEU", "Open Interest")</f>
        <v/>
      </c>
      <c r="U1797" s="672" t="str">
        <f>RTD("esrtd",,ICE[[#This Row],[PCC]] &amp; " " &amp; ICE[[#This Row],[Rolling]] &amp; "-IEU", "Recent Settlement")</f>
        <v/>
      </c>
      <c r="V179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7" s="672" t="str">
        <f>RTD("esrtd",,ICE[[#This Row],[PCC]] &amp; " " &amp; ICE[[#This Row],[Rolling]] &amp; "-IEU", "ICE Theoretical Price")</f>
        <v/>
      </c>
      <c r="X1797" s="673" t="s">
        <v>910</v>
      </c>
    </row>
    <row r="1798" spans="1:24" x14ac:dyDescent="0.25">
      <c r="A1798" s="669" t="s">
        <v>448</v>
      </c>
      <c r="B1798" s="669" t="s">
        <v>890</v>
      </c>
      <c r="C1798" s="670">
        <v>3045330435</v>
      </c>
      <c r="D1798" s="671" t="s">
        <v>795</v>
      </c>
      <c r="E1798" s="672" t="str">
        <f>RTD("esrtd",,ICE[[#This Row],[PCC]] &amp; " " &amp; ICE[[#This Row],[Rolling]] &amp; "-IEU", "Strip")</f>
        <v/>
      </c>
      <c r="F1798" s="670" t="str">
        <f>ICE[[#This Row],[Prod]]&amp;ICE[[#This Row],[Strip]]</f>
        <v>afra</v>
      </c>
      <c r="G1798" s="672" t="str">
        <f>RTD("esrtd",,ICE[[#This Row],[PCC]] &amp; " " &amp; ICE[[#This Row],[Rolling]] &amp; "-IEU", "Bid")</f>
        <v/>
      </c>
      <c r="H1798" s="672" t="str">
        <f>RTD("esrtd",,ICE[[#This Row],[PCC]] &amp; " " &amp; ICE[[#This Row],[Rolling]] &amp; "-IEU", "Ask")</f>
        <v/>
      </c>
      <c r="I1798" s="672" t="str">
        <f>RTD("esrtd",,ICE[[#This Row],[PCC]] &amp; " " &amp; ICE[[#This Row],[Rolling]] &amp; "-IEU", "Last")</f>
        <v/>
      </c>
      <c r="J1798" s="672" t="str">
        <f>RTD("esrtd",,ICE[[#This Row],[PCC]] &amp; " " &amp; ICE[[#This Row],[Rolling]] &amp; "-IEU", "Last Trade Time")</f>
        <v/>
      </c>
      <c r="K1798" s="672" t="str">
        <f>RTD("esrtd",,ICE[[#This Row],[PCC]] &amp; " " &amp; ICE[[#This Row],[Rolling]] &amp; "-IEU", "Block Price")</f>
        <v/>
      </c>
      <c r="L1798" s="672"/>
      <c r="M1798" s="674" t="str">
        <f>RTD("esrtd",,ICE[[#This Row],[PCC]] &amp; " " &amp; ICE[[#This Row],[Rolling]] &amp; "-IEU", "Block Price DT")</f>
        <v/>
      </c>
      <c r="N1798" s="673" t="str">
        <f>RTD("esrtd",,ICE[[#This Row],[PCC]] &amp; " " &amp; ICE[[#This Row],[Rolling]] &amp; "-IEU", "Volume")</f>
        <v/>
      </c>
      <c r="O1798" s="673" t="str">
        <f>RTD("esrtd",,ICE[[#This Row],[PCC]] &amp; " " &amp; ICE[[#This Row],[Rolling]] &amp; "-IEU", "Block Volume")</f>
        <v/>
      </c>
      <c r="P179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8" s="674" t="str">
        <f>IF(ICE[[#This Row],[LastType]] = "Scrn", ICE[[#This Row],[LstDate]], IF(ICE[[#This Row],[LastType]] = "Blk", ICE[[#This Row],[LstBlkTime]], ""))</f>
        <v/>
      </c>
      <c r="R1798" s="675" t="str">
        <f>IF(ICE[[#This Row],[LastType]] = "Scrn", ICE[[#This Row],[LstPrc]], IF(ICE[[#This Row],[LastType]] = "Blk", ICE[[#This Row],[LstBlkPrc]], ""))</f>
        <v/>
      </c>
      <c r="S1798" s="673" t="e">
        <f>ICE[[#This Row],[Vol]]+ICE[[#This Row],[BlkVol]]</f>
        <v>#VALUE!</v>
      </c>
      <c r="T1798" s="673" t="str">
        <f>RTD("esrtd",,ICE[[#This Row],[PCC]] &amp; " " &amp; ICE[[#This Row],[Rolling]] &amp; "-IEU", "Open Interest")</f>
        <v/>
      </c>
      <c r="U1798" s="672" t="str">
        <f>RTD("esrtd",,ICE[[#This Row],[PCC]] &amp; " " &amp; ICE[[#This Row],[Rolling]] &amp; "-IEU", "Recent Settlement")</f>
        <v/>
      </c>
      <c r="V179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8" s="672" t="str">
        <f>RTD("esrtd",,ICE[[#This Row],[PCC]] &amp; " " &amp; ICE[[#This Row],[Rolling]] &amp; "-IEU", "ICE Theoretical Price")</f>
        <v/>
      </c>
      <c r="X1798" s="673" t="s">
        <v>911</v>
      </c>
    </row>
    <row r="1799" spans="1:24" x14ac:dyDescent="0.25">
      <c r="A1799" s="669" t="s">
        <v>448</v>
      </c>
      <c r="B1799" s="669" t="s">
        <v>890</v>
      </c>
      <c r="C1799" s="670">
        <v>3045330435</v>
      </c>
      <c r="D1799" s="671" t="s">
        <v>113</v>
      </c>
      <c r="E1799" s="672" t="str">
        <f>RTD("esrtd",,ICE[[#This Row],[PCC]] &amp; " " &amp; ICE[[#This Row],[Rolling]] &amp; "-IEU", "Strip")</f>
        <v/>
      </c>
      <c r="F1799" s="670" t="str">
        <f>ICE[[#This Row],[Prod]]&amp;ICE[[#This Row],[Strip]]</f>
        <v>afra</v>
      </c>
      <c r="G1799" s="672" t="str">
        <f>RTD("esrtd",,ICE[[#This Row],[PCC]] &amp; " " &amp; ICE[[#This Row],[Rolling]] &amp; "-IEU", "Bid")</f>
        <v/>
      </c>
      <c r="H1799" s="672" t="str">
        <f>RTD("esrtd",,ICE[[#This Row],[PCC]] &amp; " " &amp; ICE[[#This Row],[Rolling]] &amp; "-IEU", "Ask")</f>
        <v/>
      </c>
      <c r="I1799" s="672" t="str">
        <f>RTD("esrtd",,ICE[[#This Row],[PCC]] &amp; " " &amp; ICE[[#This Row],[Rolling]] &amp; "-IEU", "Last")</f>
        <v/>
      </c>
      <c r="J1799" s="672" t="str">
        <f>RTD("esrtd",,ICE[[#This Row],[PCC]] &amp; " " &amp; ICE[[#This Row],[Rolling]] &amp; "-IEU", "Last Trade Time")</f>
        <v/>
      </c>
      <c r="K1799" s="672" t="str">
        <f>RTD("esrtd",,ICE[[#This Row],[PCC]] &amp; " " &amp; ICE[[#This Row],[Rolling]] &amp; "-IEU", "Block Price")</f>
        <v/>
      </c>
      <c r="L1799" s="672"/>
      <c r="M1799" s="674" t="str">
        <f>RTD("esrtd",,ICE[[#This Row],[PCC]] &amp; " " &amp; ICE[[#This Row],[Rolling]] &amp; "-IEU", "Block Price DT")</f>
        <v/>
      </c>
      <c r="N1799" s="673" t="str">
        <f>RTD("esrtd",,ICE[[#This Row],[PCC]] &amp; " " &amp; ICE[[#This Row],[Rolling]] &amp; "-IEU", "Volume")</f>
        <v/>
      </c>
      <c r="O1799" s="673" t="str">
        <f>RTD("esrtd",,ICE[[#This Row],[PCC]] &amp; " " &amp; ICE[[#This Row],[Rolling]] &amp; "-IEU", "Block Volume")</f>
        <v/>
      </c>
      <c r="P179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799" s="674" t="str">
        <f>IF(ICE[[#This Row],[LastType]] = "Scrn", ICE[[#This Row],[LstDate]], IF(ICE[[#This Row],[LastType]] = "Blk", ICE[[#This Row],[LstBlkTime]], ""))</f>
        <v/>
      </c>
      <c r="R1799" s="675" t="str">
        <f>IF(ICE[[#This Row],[LastType]] = "Scrn", ICE[[#This Row],[LstPrc]], IF(ICE[[#This Row],[LastType]] = "Blk", ICE[[#This Row],[LstBlkPrc]], ""))</f>
        <v/>
      </c>
      <c r="S1799" s="673" t="e">
        <f>ICE[[#This Row],[Vol]]+ICE[[#This Row],[BlkVol]]</f>
        <v>#VALUE!</v>
      </c>
      <c r="T1799" s="673" t="str">
        <f>RTD("esrtd",,ICE[[#This Row],[PCC]] &amp; " " &amp; ICE[[#This Row],[Rolling]] &amp; "-IEU", "Open Interest")</f>
        <v/>
      </c>
      <c r="U1799" s="672" t="str">
        <f>RTD("esrtd",,ICE[[#This Row],[PCC]] &amp; " " &amp; ICE[[#This Row],[Rolling]] &amp; "-IEU", "Recent Settlement")</f>
        <v/>
      </c>
      <c r="V179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799" s="672" t="str">
        <f>RTD("esrtd",,ICE[[#This Row],[PCC]] &amp; " " &amp; ICE[[#This Row],[Rolling]] &amp; "-IEU", "ICE Theoretical Price")</f>
        <v/>
      </c>
      <c r="X1799" s="673" t="s">
        <v>912</v>
      </c>
    </row>
    <row r="1800" spans="1:24" x14ac:dyDescent="0.25">
      <c r="A1800" s="669" t="s">
        <v>448</v>
      </c>
      <c r="B1800" s="669" t="s">
        <v>890</v>
      </c>
      <c r="C1800" s="670">
        <v>3045330435</v>
      </c>
      <c r="D1800" s="671" t="s">
        <v>796</v>
      </c>
      <c r="E1800" s="672" t="str">
        <f>RTD("esrtd",,ICE[[#This Row],[PCC]] &amp; " " &amp; ICE[[#This Row],[Rolling]] &amp; "-IEU", "Strip")</f>
        <v/>
      </c>
      <c r="F1800" s="670" t="str">
        <f>ICE[[#This Row],[Prod]]&amp;ICE[[#This Row],[Strip]]</f>
        <v>afra</v>
      </c>
      <c r="G1800" s="672" t="str">
        <f>RTD("esrtd",,ICE[[#This Row],[PCC]] &amp; " " &amp; ICE[[#This Row],[Rolling]] &amp; "-IEU", "Bid")</f>
        <v/>
      </c>
      <c r="H1800" s="672" t="str">
        <f>RTD("esrtd",,ICE[[#This Row],[PCC]] &amp; " " &amp; ICE[[#This Row],[Rolling]] &amp; "-IEU", "Ask")</f>
        <v/>
      </c>
      <c r="I1800" s="672" t="str">
        <f>RTD("esrtd",,ICE[[#This Row],[PCC]] &amp; " " &amp; ICE[[#This Row],[Rolling]] &amp; "-IEU", "Last")</f>
        <v/>
      </c>
      <c r="J1800" s="672" t="str">
        <f>RTD("esrtd",,ICE[[#This Row],[PCC]] &amp; " " &amp; ICE[[#This Row],[Rolling]] &amp; "-IEU", "Last Trade Time")</f>
        <v/>
      </c>
      <c r="K1800" s="672" t="str">
        <f>RTD("esrtd",,ICE[[#This Row],[PCC]] &amp; " " &amp; ICE[[#This Row],[Rolling]] &amp; "-IEU", "Block Price")</f>
        <v/>
      </c>
      <c r="L1800" s="672"/>
      <c r="M1800" s="674" t="str">
        <f>RTD("esrtd",,ICE[[#This Row],[PCC]] &amp; " " &amp; ICE[[#This Row],[Rolling]] &amp; "-IEU", "Block Price DT")</f>
        <v/>
      </c>
      <c r="N1800" s="673" t="str">
        <f>RTD("esrtd",,ICE[[#This Row],[PCC]] &amp; " " &amp; ICE[[#This Row],[Rolling]] &amp; "-IEU", "Volume")</f>
        <v/>
      </c>
      <c r="O1800" s="673" t="str">
        <f>RTD("esrtd",,ICE[[#This Row],[PCC]] &amp; " " &amp; ICE[[#This Row],[Rolling]] &amp; "-IEU", "Block Volume")</f>
        <v/>
      </c>
      <c r="P180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0" s="674" t="str">
        <f>IF(ICE[[#This Row],[LastType]] = "Scrn", ICE[[#This Row],[LstDate]], IF(ICE[[#This Row],[LastType]] = "Blk", ICE[[#This Row],[LstBlkTime]], ""))</f>
        <v/>
      </c>
      <c r="R1800" s="675" t="str">
        <f>IF(ICE[[#This Row],[LastType]] = "Scrn", ICE[[#This Row],[LstPrc]], IF(ICE[[#This Row],[LastType]] = "Blk", ICE[[#This Row],[LstBlkPrc]], ""))</f>
        <v/>
      </c>
      <c r="S1800" s="673" t="e">
        <f>ICE[[#This Row],[Vol]]+ICE[[#This Row],[BlkVol]]</f>
        <v>#VALUE!</v>
      </c>
      <c r="T1800" s="673" t="str">
        <f>RTD("esrtd",,ICE[[#This Row],[PCC]] &amp; " " &amp; ICE[[#This Row],[Rolling]] &amp; "-IEU", "Open Interest")</f>
        <v/>
      </c>
      <c r="U1800" s="672" t="str">
        <f>RTD("esrtd",,ICE[[#This Row],[PCC]] &amp; " " &amp; ICE[[#This Row],[Rolling]] &amp; "-IEU", "Recent Settlement")</f>
        <v/>
      </c>
      <c r="V180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0" s="672" t="str">
        <f>RTD("esrtd",,ICE[[#This Row],[PCC]] &amp; " " &amp; ICE[[#This Row],[Rolling]] &amp; "-IEU", "ICE Theoretical Price")</f>
        <v/>
      </c>
      <c r="X1800" s="673" t="s">
        <v>913</v>
      </c>
    </row>
    <row r="1801" spans="1:24" x14ac:dyDescent="0.25">
      <c r="A1801" s="669" t="s">
        <v>448</v>
      </c>
      <c r="B1801" s="669" t="s">
        <v>890</v>
      </c>
      <c r="C1801" s="670">
        <v>3045330435</v>
      </c>
      <c r="D1801" s="671" t="s">
        <v>797</v>
      </c>
      <c r="E1801" s="672" t="str">
        <f>RTD("esrtd",,ICE[[#This Row],[PCC]] &amp; " " &amp; ICE[[#This Row],[Rolling]] &amp; "-IEU", "Strip")</f>
        <v/>
      </c>
      <c r="F1801" s="670" t="str">
        <f>ICE[[#This Row],[Prod]]&amp;ICE[[#This Row],[Strip]]</f>
        <v>afra</v>
      </c>
      <c r="G1801" s="672" t="str">
        <f>RTD("esrtd",,ICE[[#This Row],[PCC]] &amp; " " &amp; ICE[[#This Row],[Rolling]] &amp; "-IEU", "Bid")</f>
        <v/>
      </c>
      <c r="H1801" s="672" t="str">
        <f>RTD("esrtd",,ICE[[#This Row],[PCC]] &amp; " " &amp; ICE[[#This Row],[Rolling]] &amp; "-IEU", "Ask")</f>
        <v/>
      </c>
      <c r="I1801" s="672" t="str">
        <f>RTD("esrtd",,ICE[[#This Row],[PCC]] &amp; " " &amp; ICE[[#This Row],[Rolling]] &amp; "-IEU", "Last")</f>
        <v/>
      </c>
      <c r="J1801" s="672" t="str">
        <f>RTD("esrtd",,ICE[[#This Row],[PCC]] &amp; " " &amp; ICE[[#This Row],[Rolling]] &amp; "-IEU", "Last Trade Time")</f>
        <v/>
      </c>
      <c r="K1801" s="672" t="str">
        <f>RTD("esrtd",,ICE[[#This Row],[PCC]] &amp; " " &amp; ICE[[#This Row],[Rolling]] &amp; "-IEU", "Block Price")</f>
        <v/>
      </c>
      <c r="L1801" s="672"/>
      <c r="M1801" s="674" t="str">
        <f>RTD("esrtd",,ICE[[#This Row],[PCC]] &amp; " " &amp; ICE[[#This Row],[Rolling]] &amp; "-IEU", "Block Price DT")</f>
        <v/>
      </c>
      <c r="N1801" s="673" t="str">
        <f>RTD("esrtd",,ICE[[#This Row],[PCC]] &amp; " " &amp; ICE[[#This Row],[Rolling]] &amp; "-IEU", "Volume")</f>
        <v/>
      </c>
      <c r="O1801" s="673" t="str">
        <f>RTD("esrtd",,ICE[[#This Row],[PCC]] &amp; " " &amp; ICE[[#This Row],[Rolling]] &amp; "-IEU", "Block Volume")</f>
        <v/>
      </c>
      <c r="P180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1" s="674" t="str">
        <f>IF(ICE[[#This Row],[LastType]] = "Scrn", ICE[[#This Row],[LstDate]], IF(ICE[[#This Row],[LastType]] = "Blk", ICE[[#This Row],[LstBlkTime]], ""))</f>
        <v/>
      </c>
      <c r="R1801" s="675" t="str">
        <f>IF(ICE[[#This Row],[LastType]] = "Scrn", ICE[[#This Row],[LstPrc]], IF(ICE[[#This Row],[LastType]] = "Blk", ICE[[#This Row],[LstBlkPrc]], ""))</f>
        <v/>
      </c>
      <c r="S1801" s="673" t="e">
        <f>ICE[[#This Row],[Vol]]+ICE[[#This Row],[BlkVol]]</f>
        <v>#VALUE!</v>
      </c>
      <c r="T1801" s="673" t="str">
        <f>RTD("esrtd",,ICE[[#This Row],[PCC]] &amp; " " &amp; ICE[[#This Row],[Rolling]] &amp; "-IEU", "Open Interest")</f>
        <v/>
      </c>
      <c r="U1801" s="672" t="str">
        <f>RTD("esrtd",,ICE[[#This Row],[PCC]] &amp; " " &amp; ICE[[#This Row],[Rolling]] &amp; "-IEU", "Recent Settlement")</f>
        <v/>
      </c>
      <c r="V180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1" s="672" t="str">
        <f>RTD("esrtd",,ICE[[#This Row],[PCC]] &amp; " " &amp; ICE[[#This Row],[Rolling]] &amp; "-IEU", "ICE Theoretical Price")</f>
        <v/>
      </c>
      <c r="X1801" s="673" t="s">
        <v>914</v>
      </c>
    </row>
    <row r="1802" spans="1:24" x14ac:dyDescent="0.25">
      <c r="A1802" s="669" t="s">
        <v>448</v>
      </c>
      <c r="B1802" s="669" t="s">
        <v>890</v>
      </c>
      <c r="C1802" s="670">
        <v>3045330435</v>
      </c>
      <c r="D1802" s="671" t="s">
        <v>798</v>
      </c>
      <c r="E1802" s="672" t="str">
        <f>RTD("esrtd",,ICE[[#This Row],[PCC]] &amp; " " &amp; ICE[[#This Row],[Rolling]] &amp; "-IEU", "Strip")</f>
        <v/>
      </c>
      <c r="F1802" s="670" t="str">
        <f>ICE[[#This Row],[Prod]]&amp;ICE[[#This Row],[Strip]]</f>
        <v>afra</v>
      </c>
      <c r="G1802" s="672" t="str">
        <f>RTD("esrtd",,ICE[[#This Row],[PCC]] &amp; " " &amp; ICE[[#This Row],[Rolling]] &amp; "-IEU", "Bid")</f>
        <v/>
      </c>
      <c r="H1802" s="672" t="str">
        <f>RTD("esrtd",,ICE[[#This Row],[PCC]] &amp; " " &amp; ICE[[#This Row],[Rolling]] &amp; "-IEU", "Ask")</f>
        <v/>
      </c>
      <c r="I1802" s="672" t="str">
        <f>RTD("esrtd",,ICE[[#This Row],[PCC]] &amp; " " &amp; ICE[[#This Row],[Rolling]] &amp; "-IEU", "Last")</f>
        <v/>
      </c>
      <c r="J1802" s="672" t="str">
        <f>RTD("esrtd",,ICE[[#This Row],[PCC]] &amp; " " &amp; ICE[[#This Row],[Rolling]] &amp; "-IEU", "Last Trade Time")</f>
        <v/>
      </c>
      <c r="K1802" s="672" t="str">
        <f>RTD("esrtd",,ICE[[#This Row],[PCC]] &amp; " " &amp; ICE[[#This Row],[Rolling]] &amp; "-IEU", "Block Price")</f>
        <v/>
      </c>
      <c r="L1802" s="672"/>
      <c r="M1802" s="674" t="str">
        <f>RTD("esrtd",,ICE[[#This Row],[PCC]] &amp; " " &amp; ICE[[#This Row],[Rolling]] &amp; "-IEU", "Block Price DT")</f>
        <v/>
      </c>
      <c r="N1802" s="673" t="str">
        <f>RTD("esrtd",,ICE[[#This Row],[PCC]] &amp; " " &amp; ICE[[#This Row],[Rolling]] &amp; "-IEU", "Volume")</f>
        <v/>
      </c>
      <c r="O1802" s="673" t="str">
        <f>RTD("esrtd",,ICE[[#This Row],[PCC]] &amp; " " &amp; ICE[[#This Row],[Rolling]] &amp; "-IEU", "Block Volume")</f>
        <v/>
      </c>
      <c r="P180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2" s="674" t="str">
        <f>IF(ICE[[#This Row],[LastType]] = "Scrn", ICE[[#This Row],[LstDate]], IF(ICE[[#This Row],[LastType]] = "Blk", ICE[[#This Row],[LstBlkTime]], ""))</f>
        <v/>
      </c>
      <c r="R1802" s="675" t="str">
        <f>IF(ICE[[#This Row],[LastType]] = "Scrn", ICE[[#This Row],[LstPrc]], IF(ICE[[#This Row],[LastType]] = "Blk", ICE[[#This Row],[LstBlkPrc]], ""))</f>
        <v/>
      </c>
      <c r="S1802" s="673" t="e">
        <f>ICE[[#This Row],[Vol]]+ICE[[#This Row],[BlkVol]]</f>
        <v>#VALUE!</v>
      </c>
      <c r="T1802" s="673" t="str">
        <f>RTD("esrtd",,ICE[[#This Row],[PCC]] &amp; " " &amp; ICE[[#This Row],[Rolling]] &amp; "-IEU", "Open Interest")</f>
        <v/>
      </c>
      <c r="U1802" s="672" t="str">
        <f>RTD("esrtd",,ICE[[#This Row],[PCC]] &amp; " " &amp; ICE[[#This Row],[Rolling]] &amp; "-IEU", "Recent Settlement")</f>
        <v/>
      </c>
      <c r="V180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2" s="672" t="str">
        <f>RTD("esrtd",,ICE[[#This Row],[PCC]] &amp; " " &amp; ICE[[#This Row],[Rolling]] &amp; "-IEU", "ICE Theoretical Price")</f>
        <v/>
      </c>
      <c r="X1802" s="673" t="s">
        <v>915</v>
      </c>
    </row>
    <row r="1803" spans="1:24" x14ac:dyDescent="0.25">
      <c r="A1803" s="669" t="s">
        <v>448</v>
      </c>
      <c r="B1803" s="669" t="s">
        <v>890</v>
      </c>
      <c r="C1803" s="670">
        <v>3045330435</v>
      </c>
      <c r="D1803" s="671" t="s">
        <v>799</v>
      </c>
      <c r="E1803" s="672" t="str">
        <f>RTD("esrtd",,ICE[[#This Row],[PCC]] &amp; " " &amp; ICE[[#This Row],[Rolling]] &amp; "-IEU", "Strip")</f>
        <v/>
      </c>
      <c r="F1803" s="670" t="str">
        <f>ICE[[#This Row],[Prod]]&amp;ICE[[#This Row],[Strip]]</f>
        <v>afra</v>
      </c>
      <c r="G1803" s="672" t="str">
        <f>RTD("esrtd",,ICE[[#This Row],[PCC]] &amp; " " &amp; ICE[[#This Row],[Rolling]] &amp; "-IEU", "Bid")</f>
        <v/>
      </c>
      <c r="H1803" s="672" t="str">
        <f>RTD("esrtd",,ICE[[#This Row],[PCC]] &amp; " " &amp; ICE[[#This Row],[Rolling]] &amp; "-IEU", "Ask")</f>
        <v/>
      </c>
      <c r="I1803" s="672" t="str">
        <f>RTD("esrtd",,ICE[[#This Row],[PCC]] &amp; " " &amp; ICE[[#This Row],[Rolling]] &amp; "-IEU", "Last")</f>
        <v/>
      </c>
      <c r="J1803" s="672" t="str">
        <f>RTD("esrtd",,ICE[[#This Row],[PCC]] &amp; " " &amp; ICE[[#This Row],[Rolling]] &amp; "-IEU", "Last Trade Time")</f>
        <v/>
      </c>
      <c r="K1803" s="672" t="str">
        <f>RTD("esrtd",,ICE[[#This Row],[PCC]] &amp; " " &amp; ICE[[#This Row],[Rolling]] &amp; "-IEU", "Block Price")</f>
        <v/>
      </c>
      <c r="L1803" s="672"/>
      <c r="M1803" s="674" t="str">
        <f>RTD("esrtd",,ICE[[#This Row],[PCC]] &amp; " " &amp; ICE[[#This Row],[Rolling]] &amp; "-IEU", "Block Price DT")</f>
        <v/>
      </c>
      <c r="N1803" s="673" t="str">
        <f>RTD("esrtd",,ICE[[#This Row],[PCC]] &amp; " " &amp; ICE[[#This Row],[Rolling]] &amp; "-IEU", "Volume")</f>
        <v/>
      </c>
      <c r="O1803" s="673" t="str">
        <f>RTD("esrtd",,ICE[[#This Row],[PCC]] &amp; " " &amp; ICE[[#This Row],[Rolling]] &amp; "-IEU", "Block Volume")</f>
        <v/>
      </c>
      <c r="P180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3" s="674" t="str">
        <f>IF(ICE[[#This Row],[LastType]] = "Scrn", ICE[[#This Row],[LstDate]], IF(ICE[[#This Row],[LastType]] = "Blk", ICE[[#This Row],[LstBlkTime]], ""))</f>
        <v/>
      </c>
      <c r="R1803" s="675" t="str">
        <f>IF(ICE[[#This Row],[LastType]] = "Scrn", ICE[[#This Row],[LstPrc]], IF(ICE[[#This Row],[LastType]] = "Blk", ICE[[#This Row],[LstBlkPrc]], ""))</f>
        <v/>
      </c>
      <c r="S1803" s="673" t="e">
        <f>ICE[[#This Row],[Vol]]+ICE[[#This Row],[BlkVol]]</f>
        <v>#VALUE!</v>
      </c>
      <c r="T1803" s="673" t="str">
        <f>RTD("esrtd",,ICE[[#This Row],[PCC]] &amp; " " &amp; ICE[[#This Row],[Rolling]] &amp; "-IEU", "Open Interest")</f>
        <v/>
      </c>
      <c r="U1803" s="672" t="str">
        <f>RTD("esrtd",,ICE[[#This Row],[PCC]] &amp; " " &amp; ICE[[#This Row],[Rolling]] &amp; "-IEU", "Recent Settlement")</f>
        <v/>
      </c>
      <c r="V180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3" s="672" t="str">
        <f>RTD("esrtd",,ICE[[#This Row],[PCC]] &amp; " " &amp; ICE[[#This Row],[Rolling]] &amp; "-IEU", "ICE Theoretical Price")</f>
        <v/>
      </c>
      <c r="X1803" s="673" t="s">
        <v>916</v>
      </c>
    </row>
    <row r="1804" spans="1:24" x14ac:dyDescent="0.25">
      <c r="A1804" s="669" t="s">
        <v>448</v>
      </c>
      <c r="B1804" s="669" t="s">
        <v>890</v>
      </c>
      <c r="C1804" s="670">
        <v>3045330435</v>
      </c>
      <c r="D1804" s="671" t="s">
        <v>800</v>
      </c>
      <c r="E1804" s="672" t="str">
        <f>RTD("esrtd",,ICE[[#This Row],[PCC]] &amp; " " &amp; ICE[[#This Row],[Rolling]] &amp; "-IEU", "Strip")</f>
        <v/>
      </c>
      <c r="F1804" s="670" t="str">
        <f>ICE[[#This Row],[Prod]]&amp;ICE[[#This Row],[Strip]]</f>
        <v>afra</v>
      </c>
      <c r="G1804" s="672" t="str">
        <f>RTD("esrtd",,ICE[[#This Row],[PCC]] &amp; " " &amp; ICE[[#This Row],[Rolling]] &amp; "-IEU", "Bid")</f>
        <v/>
      </c>
      <c r="H1804" s="672" t="str">
        <f>RTD("esrtd",,ICE[[#This Row],[PCC]] &amp; " " &amp; ICE[[#This Row],[Rolling]] &amp; "-IEU", "Ask")</f>
        <v/>
      </c>
      <c r="I1804" s="672" t="str">
        <f>RTD("esrtd",,ICE[[#This Row],[PCC]] &amp; " " &amp; ICE[[#This Row],[Rolling]] &amp; "-IEU", "Last")</f>
        <v/>
      </c>
      <c r="J1804" s="672" t="str">
        <f>RTD("esrtd",,ICE[[#This Row],[PCC]] &amp; " " &amp; ICE[[#This Row],[Rolling]] &amp; "-IEU", "Last Trade Time")</f>
        <v/>
      </c>
      <c r="K1804" s="672" t="str">
        <f>RTD("esrtd",,ICE[[#This Row],[PCC]] &amp; " " &amp; ICE[[#This Row],[Rolling]] &amp; "-IEU", "Block Price")</f>
        <v/>
      </c>
      <c r="L1804" s="672"/>
      <c r="M1804" s="674" t="str">
        <f>RTD("esrtd",,ICE[[#This Row],[PCC]] &amp; " " &amp; ICE[[#This Row],[Rolling]] &amp; "-IEU", "Block Price DT")</f>
        <v/>
      </c>
      <c r="N1804" s="673" t="str">
        <f>RTD("esrtd",,ICE[[#This Row],[PCC]] &amp; " " &amp; ICE[[#This Row],[Rolling]] &amp; "-IEU", "Volume")</f>
        <v/>
      </c>
      <c r="O1804" s="673" t="str">
        <f>RTD("esrtd",,ICE[[#This Row],[PCC]] &amp; " " &amp; ICE[[#This Row],[Rolling]] &amp; "-IEU", "Block Volume")</f>
        <v/>
      </c>
      <c r="P180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4" s="674" t="str">
        <f>IF(ICE[[#This Row],[LastType]] = "Scrn", ICE[[#This Row],[LstDate]], IF(ICE[[#This Row],[LastType]] = "Blk", ICE[[#This Row],[LstBlkTime]], ""))</f>
        <v/>
      </c>
      <c r="R1804" s="675" t="str">
        <f>IF(ICE[[#This Row],[LastType]] = "Scrn", ICE[[#This Row],[LstPrc]], IF(ICE[[#This Row],[LastType]] = "Blk", ICE[[#This Row],[LstBlkPrc]], ""))</f>
        <v/>
      </c>
      <c r="S1804" s="673" t="e">
        <f>ICE[[#This Row],[Vol]]+ICE[[#This Row],[BlkVol]]</f>
        <v>#VALUE!</v>
      </c>
      <c r="T1804" s="673" t="str">
        <f>RTD("esrtd",,ICE[[#This Row],[PCC]] &amp; " " &amp; ICE[[#This Row],[Rolling]] &amp; "-IEU", "Open Interest")</f>
        <v/>
      </c>
      <c r="U1804" s="672" t="str">
        <f>RTD("esrtd",,ICE[[#This Row],[PCC]] &amp; " " &amp; ICE[[#This Row],[Rolling]] &amp; "-IEU", "Recent Settlement")</f>
        <v/>
      </c>
      <c r="V180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4" s="672" t="str">
        <f>RTD("esrtd",,ICE[[#This Row],[PCC]] &amp; " " &amp; ICE[[#This Row],[Rolling]] &amp; "-IEU", "ICE Theoretical Price")</f>
        <v/>
      </c>
      <c r="X1804" s="673" t="s">
        <v>917</v>
      </c>
    </row>
    <row r="1805" spans="1:24" x14ac:dyDescent="0.25">
      <c r="A1805" s="669" t="s">
        <v>448</v>
      </c>
      <c r="B1805" s="669" t="s">
        <v>890</v>
      </c>
      <c r="C1805" s="670">
        <v>3045330435</v>
      </c>
      <c r="D1805" s="671" t="s">
        <v>801</v>
      </c>
      <c r="E1805" s="672" t="str">
        <f>RTD("esrtd",,ICE[[#This Row],[PCC]] &amp; " " &amp; ICE[[#This Row],[Rolling]] &amp; "-IEU", "Strip")</f>
        <v/>
      </c>
      <c r="F1805" s="670" t="str">
        <f>ICE[[#This Row],[Prod]]&amp;ICE[[#This Row],[Strip]]</f>
        <v>afra</v>
      </c>
      <c r="G1805" s="672" t="str">
        <f>RTD("esrtd",,ICE[[#This Row],[PCC]] &amp; " " &amp; ICE[[#This Row],[Rolling]] &amp; "-IEU", "Bid")</f>
        <v/>
      </c>
      <c r="H1805" s="672" t="str">
        <f>RTD("esrtd",,ICE[[#This Row],[PCC]] &amp; " " &amp; ICE[[#This Row],[Rolling]] &amp; "-IEU", "Ask")</f>
        <v/>
      </c>
      <c r="I1805" s="672" t="str">
        <f>RTD("esrtd",,ICE[[#This Row],[PCC]] &amp; " " &amp; ICE[[#This Row],[Rolling]] &amp; "-IEU", "Last")</f>
        <v/>
      </c>
      <c r="J1805" s="672" t="str">
        <f>RTD("esrtd",,ICE[[#This Row],[PCC]] &amp; " " &amp; ICE[[#This Row],[Rolling]] &amp; "-IEU", "Last Trade Time")</f>
        <v/>
      </c>
      <c r="K1805" s="672" t="str">
        <f>RTD("esrtd",,ICE[[#This Row],[PCC]] &amp; " " &amp; ICE[[#This Row],[Rolling]] &amp; "-IEU", "Block Price")</f>
        <v/>
      </c>
      <c r="L1805" s="672"/>
      <c r="M1805" s="674" t="str">
        <f>RTD("esrtd",,ICE[[#This Row],[PCC]] &amp; " " &amp; ICE[[#This Row],[Rolling]] &amp; "-IEU", "Block Price DT")</f>
        <v/>
      </c>
      <c r="N1805" s="673" t="str">
        <f>RTD("esrtd",,ICE[[#This Row],[PCC]] &amp; " " &amp; ICE[[#This Row],[Rolling]] &amp; "-IEU", "Volume")</f>
        <v/>
      </c>
      <c r="O1805" s="673" t="str">
        <f>RTD("esrtd",,ICE[[#This Row],[PCC]] &amp; " " &amp; ICE[[#This Row],[Rolling]] &amp; "-IEU", "Block Volume")</f>
        <v/>
      </c>
      <c r="P180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5" s="674" t="str">
        <f>IF(ICE[[#This Row],[LastType]] = "Scrn", ICE[[#This Row],[LstDate]], IF(ICE[[#This Row],[LastType]] = "Blk", ICE[[#This Row],[LstBlkTime]], ""))</f>
        <v/>
      </c>
      <c r="R1805" s="675" t="str">
        <f>IF(ICE[[#This Row],[LastType]] = "Scrn", ICE[[#This Row],[LstPrc]], IF(ICE[[#This Row],[LastType]] = "Blk", ICE[[#This Row],[LstBlkPrc]], ""))</f>
        <v/>
      </c>
      <c r="S1805" s="673" t="e">
        <f>ICE[[#This Row],[Vol]]+ICE[[#This Row],[BlkVol]]</f>
        <v>#VALUE!</v>
      </c>
      <c r="T1805" s="673" t="str">
        <f>RTD("esrtd",,ICE[[#This Row],[PCC]] &amp; " " &amp; ICE[[#This Row],[Rolling]] &amp; "-IEU", "Open Interest")</f>
        <v/>
      </c>
      <c r="U1805" s="672" t="str">
        <f>RTD("esrtd",,ICE[[#This Row],[PCC]] &amp; " " &amp; ICE[[#This Row],[Rolling]] &amp; "-IEU", "Recent Settlement")</f>
        <v/>
      </c>
      <c r="V180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5" s="672" t="str">
        <f>RTD("esrtd",,ICE[[#This Row],[PCC]] &amp; " " &amp; ICE[[#This Row],[Rolling]] &amp; "-IEU", "ICE Theoretical Price")</f>
        <v/>
      </c>
      <c r="X1805" s="673" t="s">
        <v>918</v>
      </c>
    </row>
    <row r="1806" spans="1:24" x14ac:dyDescent="0.25">
      <c r="A1806" s="669" t="s">
        <v>448</v>
      </c>
      <c r="B1806" s="669" t="s">
        <v>890</v>
      </c>
      <c r="C1806" s="670">
        <v>3045330435</v>
      </c>
      <c r="D1806" s="671" t="s">
        <v>802</v>
      </c>
      <c r="E1806" s="672" t="str">
        <f>RTD("esrtd",,ICE[[#This Row],[PCC]] &amp; " " &amp; ICE[[#This Row],[Rolling]] &amp; "-IEU", "Strip")</f>
        <v/>
      </c>
      <c r="F1806" s="670" t="str">
        <f>ICE[[#This Row],[Prod]]&amp;ICE[[#This Row],[Strip]]</f>
        <v>afra</v>
      </c>
      <c r="G1806" s="672" t="str">
        <f>RTD("esrtd",,ICE[[#This Row],[PCC]] &amp; " " &amp; ICE[[#This Row],[Rolling]] &amp; "-IEU", "Bid")</f>
        <v/>
      </c>
      <c r="H1806" s="672" t="str">
        <f>RTD("esrtd",,ICE[[#This Row],[PCC]] &amp; " " &amp; ICE[[#This Row],[Rolling]] &amp; "-IEU", "Ask")</f>
        <v/>
      </c>
      <c r="I1806" s="672" t="str">
        <f>RTD("esrtd",,ICE[[#This Row],[PCC]] &amp; " " &amp; ICE[[#This Row],[Rolling]] &amp; "-IEU", "Last")</f>
        <v/>
      </c>
      <c r="J1806" s="672" t="str">
        <f>RTD("esrtd",,ICE[[#This Row],[PCC]] &amp; " " &amp; ICE[[#This Row],[Rolling]] &amp; "-IEU", "Last Trade Time")</f>
        <v/>
      </c>
      <c r="K1806" s="672" t="str">
        <f>RTD("esrtd",,ICE[[#This Row],[PCC]] &amp; " " &amp; ICE[[#This Row],[Rolling]] &amp; "-IEU", "Block Price")</f>
        <v/>
      </c>
      <c r="L1806" s="672"/>
      <c r="M1806" s="674" t="str">
        <f>RTD("esrtd",,ICE[[#This Row],[PCC]] &amp; " " &amp; ICE[[#This Row],[Rolling]] &amp; "-IEU", "Block Price DT")</f>
        <v/>
      </c>
      <c r="N1806" s="673" t="str">
        <f>RTD("esrtd",,ICE[[#This Row],[PCC]] &amp; " " &amp; ICE[[#This Row],[Rolling]] &amp; "-IEU", "Volume")</f>
        <v/>
      </c>
      <c r="O1806" s="673" t="str">
        <f>RTD("esrtd",,ICE[[#This Row],[PCC]] &amp; " " &amp; ICE[[#This Row],[Rolling]] &amp; "-IEU", "Block Volume")</f>
        <v/>
      </c>
      <c r="P180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6" s="674" t="str">
        <f>IF(ICE[[#This Row],[LastType]] = "Scrn", ICE[[#This Row],[LstDate]], IF(ICE[[#This Row],[LastType]] = "Blk", ICE[[#This Row],[LstBlkTime]], ""))</f>
        <v/>
      </c>
      <c r="R1806" s="675" t="str">
        <f>IF(ICE[[#This Row],[LastType]] = "Scrn", ICE[[#This Row],[LstPrc]], IF(ICE[[#This Row],[LastType]] = "Blk", ICE[[#This Row],[LstBlkPrc]], ""))</f>
        <v/>
      </c>
      <c r="S1806" s="673" t="e">
        <f>ICE[[#This Row],[Vol]]+ICE[[#This Row],[BlkVol]]</f>
        <v>#VALUE!</v>
      </c>
      <c r="T1806" s="673" t="str">
        <f>RTD("esrtd",,ICE[[#This Row],[PCC]] &amp; " " &amp; ICE[[#This Row],[Rolling]] &amp; "-IEU", "Open Interest")</f>
        <v/>
      </c>
      <c r="U1806" s="672" t="str">
        <f>RTD("esrtd",,ICE[[#This Row],[PCC]] &amp; " " &amp; ICE[[#This Row],[Rolling]] &amp; "-IEU", "Recent Settlement")</f>
        <v/>
      </c>
      <c r="V180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6" s="672" t="str">
        <f>RTD("esrtd",,ICE[[#This Row],[PCC]] &amp; " " &amp; ICE[[#This Row],[Rolling]] &amp; "-IEU", "ICE Theoretical Price")</f>
        <v/>
      </c>
      <c r="X1806" s="673" t="s">
        <v>919</v>
      </c>
    </row>
    <row r="1807" spans="1:24" x14ac:dyDescent="0.25">
      <c r="A1807" s="669" t="s">
        <v>448</v>
      </c>
      <c r="B1807" s="669" t="s">
        <v>890</v>
      </c>
      <c r="C1807" s="670">
        <v>3045330435</v>
      </c>
      <c r="D1807" s="671" t="s">
        <v>803</v>
      </c>
      <c r="E1807" s="672" t="str">
        <f>RTD("esrtd",,ICE[[#This Row],[PCC]] &amp; " " &amp; ICE[[#This Row],[Rolling]] &amp; "-IEU", "Strip")</f>
        <v/>
      </c>
      <c r="F1807" s="670" t="str">
        <f>ICE[[#This Row],[Prod]]&amp;ICE[[#This Row],[Strip]]</f>
        <v>afra</v>
      </c>
      <c r="G1807" s="672" t="str">
        <f>RTD("esrtd",,ICE[[#This Row],[PCC]] &amp; " " &amp; ICE[[#This Row],[Rolling]] &amp; "-IEU", "Bid")</f>
        <v/>
      </c>
      <c r="H1807" s="672" t="str">
        <f>RTD("esrtd",,ICE[[#This Row],[PCC]] &amp; " " &amp; ICE[[#This Row],[Rolling]] &amp; "-IEU", "Ask")</f>
        <v/>
      </c>
      <c r="I1807" s="672" t="str">
        <f>RTD("esrtd",,ICE[[#This Row],[PCC]] &amp; " " &amp; ICE[[#This Row],[Rolling]] &amp; "-IEU", "Last")</f>
        <v/>
      </c>
      <c r="J1807" s="672" t="str">
        <f>RTD("esrtd",,ICE[[#This Row],[PCC]] &amp; " " &amp; ICE[[#This Row],[Rolling]] &amp; "-IEU", "Last Trade Time")</f>
        <v/>
      </c>
      <c r="K1807" s="672" t="str">
        <f>RTD("esrtd",,ICE[[#This Row],[PCC]] &amp; " " &amp; ICE[[#This Row],[Rolling]] &amp; "-IEU", "Block Price")</f>
        <v/>
      </c>
      <c r="L1807" s="672"/>
      <c r="M1807" s="674" t="str">
        <f>RTD("esrtd",,ICE[[#This Row],[PCC]] &amp; " " &amp; ICE[[#This Row],[Rolling]] &amp; "-IEU", "Block Price DT")</f>
        <v/>
      </c>
      <c r="N1807" s="673" t="str">
        <f>RTD("esrtd",,ICE[[#This Row],[PCC]] &amp; " " &amp; ICE[[#This Row],[Rolling]] &amp; "-IEU", "Volume")</f>
        <v/>
      </c>
      <c r="O1807" s="673" t="str">
        <f>RTD("esrtd",,ICE[[#This Row],[PCC]] &amp; " " &amp; ICE[[#This Row],[Rolling]] &amp; "-IEU", "Block Volume")</f>
        <v/>
      </c>
      <c r="P180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7" s="674" t="str">
        <f>IF(ICE[[#This Row],[LastType]] = "Scrn", ICE[[#This Row],[LstDate]], IF(ICE[[#This Row],[LastType]] = "Blk", ICE[[#This Row],[LstBlkTime]], ""))</f>
        <v/>
      </c>
      <c r="R1807" s="675" t="str">
        <f>IF(ICE[[#This Row],[LastType]] = "Scrn", ICE[[#This Row],[LstPrc]], IF(ICE[[#This Row],[LastType]] = "Blk", ICE[[#This Row],[LstBlkPrc]], ""))</f>
        <v/>
      </c>
      <c r="S1807" s="673" t="e">
        <f>ICE[[#This Row],[Vol]]+ICE[[#This Row],[BlkVol]]</f>
        <v>#VALUE!</v>
      </c>
      <c r="T1807" s="673" t="str">
        <f>RTD("esrtd",,ICE[[#This Row],[PCC]] &amp; " " &amp; ICE[[#This Row],[Rolling]] &amp; "-IEU", "Open Interest")</f>
        <v/>
      </c>
      <c r="U1807" s="672" t="str">
        <f>RTD("esrtd",,ICE[[#This Row],[PCC]] &amp; " " &amp; ICE[[#This Row],[Rolling]] &amp; "-IEU", "Recent Settlement")</f>
        <v/>
      </c>
      <c r="V180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7" s="672" t="str">
        <f>RTD("esrtd",,ICE[[#This Row],[PCC]] &amp; " " &amp; ICE[[#This Row],[Rolling]] &amp; "-IEU", "ICE Theoretical Price")</f>
        <v/>
      </c>
      <c r="X1807" s="673" t="s">
        <v>920</v>
      </c>
    </row>
    <row r="1808" spans="1:24" x14ac:dyDescent="0.25">
      <c r="A1808" s="669" t="s">
        <v>448</v>
      </c>
      <c r="B1808" s="669" t="s">
        <v>890</v>
      </c>
      <c r="C1808" s="670">
        <v>3045330435</v>
      </c>
      <c r="D1808" s="671" t="s">
        <v>814</v>
      </c>
      <c r="E1808" s="672" t="str">
        <f>RTD("esrtd",,ICE[[#This Row],[PCC]] &amp; " " &amp; ICE[[#This Row],[Rolling]] &amp; "-IEU", "Strip")</f>
        <v/>
      </c>
      <c r="F1808" s="670" t="str">
        <f>ICE[[#This Row],[Prod]]&amp;ICE[[#This Row],[Strip]]</f>
        <v>afra</v>
      </c>
      <c r="G1808" s="672" t="str">
        <f>RTD("esrtd",,ICE[[#This Row],[PCC]] &amp; " " &amp; ICE[[#This Row],[Rolling]] &amp; "-IEU", "Bid")</f>
        <v/>
      </c>
      <c r="H1808" s="672" t="str">
        <f>RTD("esrtd",,ICE[[#This Row],[PCC]] &amp; " " &amp; ICE[[#This Row],[Rolling]] &amp; "-IEU", "Ask")</f>
        <v/>
      </c>
      <c r="I1808" s="672" t="str">
        <f>RTD("esrtd",,ICE[[#This Row],[PCC]] &amp; " " &amp; ICE[[#This Row],[Rolling]] &amp; "-IEU", "Last")</f>
        <v/>
      </c>
      <c r="J1808" s="672" t="str">
        <f>RTD("esrtd",,ICE[[#This Row],[PCC]] &amp; " " &amp; ICE[[#This Row],[Rolling]] &amp; "-IEU", "Last Trade Time")</f>
        <v/>
      </c>
      <c r="K1808" s="672" t="str">
        <f>RTD("esrtd",,ICE[[#This Row],[PCC]] &amp; " " &amp; ICE[[#This Row],[Rolling]] &amp; "-IEU", "Block Price")</f>
        <v/>
      </c>
      <c r="L1808" s="672"/>
      <c r="M1808" s="674" t="str">
        <f>RTD("esrtd",,ICE[[#This Row],[PCC]] &amp; " " &amp; ICE[[#This Row],[Rolling]] &amp; "-IEU", "Block Price DT")</f>
        <v/>
      </c>
      <c r="N1808" s="673" t="str">
        <f>RTD("esrtd",,ICE[[#This Row],[PCC]] &amp; " " &amp; ICE[[#This Row],[Rolling]] &amp; "-IEU", "Volume")</f>
        <v/>
      </c>
      <c r="O1808" s="673" t="str">
        <f>RTD("esrtd",,ICE[[#This Row],[PCC]] &amp; " " &amp; ICE[[#This Row],[Rolling]] &amp; "-IEU", "Block Volume")</f>
        <v/>
      </c>
      <c r="P180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8" s="674" t="str">
        <f>IF(ICE[[#This Row],[LastType]] = "Scrn", ICE[[#This Row],[LstDate]], IF(ICE[[#This Row],[LastType]] = "Blk", ICE[[#This Row],[LstBlkTime]], ""))</f>
        <v/>
      </c>
      <c r="R1808" s="675" t="str">
        <f>IF(ICE[[#This Row],[LastType]] = "Scrn", ICE[[#This Row],[LstPrc]], IF(ICE[[#This Row],[LastType]] = "Blk", ICE[[#This Row],[LstBlkPrc]], ""))</f>
        <v/>
      </c>
      <c r="S1808" s="673" t="e">
        <f>ICE[[#This Row],[Vol]]+ICE[[#This Row],[BlkVol]]</f>
        <v>#VALUE!</v>
      </c>
      <c r="T1808" s="673" t="str">
        <f>RTD("esrtd",,ICE[[#This Row],[PCC]] &amp; " " &amp; ICE[[#This Row],[Rolling]] &amp; "-IEU", "Open Interest")</f>
        <v/>
      </c>
      <c r="U1808" s="672" t="str">
        <f>RTD("esrtd",,ICE[[#This Row],[PCC]] &amp; " " &amp; ICE[[#This Row],[Rolling]] &amp; "-IEU", "Recent Settlement")</f>
        <v/>
      </c>
      <c r="V180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8" s="672" t="str">
        <f>RTD("esrtd",,ICE[[#This Row],[PCC]] &amp; " " &amp; ICE[[#This Row],[Rolling]] &amp; "-IEU", "ICE Theoretical Price")</f>
        <v/>
      </c>
      <c r="X1808" s="673" t="s">
        <v>921</v>
      </c>
    </row>
    <row r="1809" spans="1:24" x14ac:dyDescent="0.25">
      <c r="A1809" s="669" t="s">
        <v>448</v>
      </c>
      <c r="B1809" s="669" t="s">
        <v>890</v>
      </c>
      <c r="C1809" s="670">
        <v>3045330435</v>
      </c>
      <c r="D1809" s="671" t="s">
        <v>815</v>
      </c>
      <c r="E1809" s="672" t="str">
        <f>RTD("esrtd",,ICE[[#This Row],[PCC]] &amp; " " &amp; ICE[[#This Row],[Rolling]] &amp; "-IEU", "Strip")</f>
        <v/>
      </c>
      <c r="F1809" s="670" t="str">
        <f>ICE[[#This Row],[Prod]]&amp;ICE[[#This Row],[Strip]]</f>
        <v>afra</v>
      </c>
      <c r="G1809" s="672" t="str">
        <f>RTD("esrtd",,ICE[[#This Row],[PCC]] &amp; " " &amp; ICE[[#This Row],[Rolling]] &amp; "-IEU", "Bid")</f>
        <v/>
      </c>
      <c r="H1809" s="672" t="str">
        <f>RTD("esrtd",,ICE[[#This Row],[PCC]] &amp; " " &amp; ICE[[#This Row],[Rolling]] &amp; "-IEU", "Ask")</f>
        <v/>
      </c>
      <c r="I1809" s="672" t="str">
        <f>RTD("esrtd",,ICE[[#This Row],[PCC]] &amp; " " &amp; ICE[[#This Row],[Rolling]] &amp; "-IEU", "Last")</f>
        <v/>
      </c>
      <c r="J1809" s="672" t="str">
        <f>RTD("esrtd",,ICE[[#This Row],[PCC]] &amp; " " &amp; ICE[[#This Row],[Rolling]] &amp; "-IEU", "Last Trade Time")</f>
        <v/>
      </c>
      <c r="K1809" s="672" t="str">
        <f>RTD("esrtd",,ICE[[#This Row],[PCC]] &amp; " " &amp; ICE[[#This Row],[Rolling]] &amp; "-IEU", "Block Price")</f>
        <v/>
      </c>
      <c r="L1809" s="672"/>
      <c r="M1809" s="674" t="str">
        <f>RTD("esrtd",,ICE[[#This Row],[PCC]] &amp; " " &amp; ICE[[#This Row],[Rolling]] &amp; "-IEU", "Block Price DT")</f>
        <v/>
      </c>
      <c r="N1809" s="673" t="str">
        <f>RTD("esrtd",,ICE[[#This Row],[PCC]] &amp; " " &amp; ICE[[#This Row],[Rolling]] &amp; "-IEU", "Volume")</f>
        <v/>
      </c>
      <c r="O1809" s="673" t="str">
        <f>RTD("esrtd",,ICE[[#This Row],[PCC]] &amp; " " &amp; ICE[[#This Row],[Rolling]] &amp; "-IEU", "Block Volume")</f>
        <v/>
      </c>
      <c r="P180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09" s="674" t="str">
        <f>IF(ICE[[#This Row],[LastType]] = "Scrn", ICE[[#This Row],[LstDate]], IF(ICE[[#This Row],[LastType]] = "Blk", ICE[[#This Row],[LstBlkTime]], ""))</f>
        <v/>
      </c>
      <c r="R1809" s="675" t="str">
        <f>IF(ICE[[#This Row],[LastType]] = "Scrn", ICE[[#This Row],[LstPrc]], IF(ICE[[#This Row],[LastType]] = "Blk", ICE[[#This Row],[LstBlkPrc]], ""))</f>
        <v/>
      </c>
      <c r="S1809" s="673" t="e">
        <f>ICE[[#This Row],[Vol]]+ICE[[#This Row],[BlkVol]]</f>
        <v>#VALUE!</v>
      </c>
      <c r="T1809" s="673" t="str">
        <f>RTD("esrtd",,ICE[[#This Row],[PCC]] &amp; " " &amp; ICE[[#This Row],[Rolling]] &amp; "-IEU", "Open Interest")</f>
        <v/>
      </c>
      <c r="U1809" s="672" t="str">
        <f>RTD("esrtd",,ICE[[#This Row],[PCC]] &amp; " " &amp; ICE[[#This Row],[Rolling]] &amp; "-IEU", "Recent Settlement")</f>
        <v/>
      </c>
      <c r="V180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09" s="672" t="str">
        <f>RTD("esrtd",,ICE[[#This Row],[PCC]] &amp; " " &amp; ICE[[#This Row],[Rolling]] &amp; "-IEU", "ICE Theoretical Price")</f>
        <v/>
      </c>
      <c r="X1809" s="673" t="s">
        <v>922</v>
      </c>
    </row>
    <row r="1810" spans="1:24" x14ac:dyDescent="0.25">
      <c r="A1810" s="669" t="s">
        <v>448</v>
      </c>
      <c r="B1810" s="669" t="s">
        <v>890</v>
      </c>
      <c r="C1810" s="670">
        <v>3045330435</v>
      </c>
      <c r="D1810" s="671" t="s">
        <v>816</v>
      </c>
      <c r="E1810" s="672" t="str">
        <f>RTD("esrtd",,ICE[[#This Row],[PCC]] &amp; " " &amp; ICE[[#This Row],[Rolling]] &amp; "-IEU", "Strip")</f>
        <v/>
      </c>
      <c r="F1810" s="670" t="str">
        <f>ICE[[#This Row],[Prod]]&amp;ICE[[#This Row],[Strip]]</f>
        <v>afra</v>
      </c>
      <c r="G1810" s="672" t="str">
        <f>RTD("esrtd",,ICE[[#This Row],[PCC]] &amp; " " &amp; ICE[[#This Row],[Rolling]] &amp; "-IEU", "Bid")</f>
        <v/>
      </c>
      <c r="H1810" s="672" t="str">
        <f>RTD("esrtd",,ICE[[#This Row],[PCC]] &amp; " " &amp; ICE[[#This Row],[Rolling]] &amp; "-IEU", "Ask")</f>
        <v/>
      </c>
      <c r="I1810" s="672" t="str">
        <f>RTD("esrtd",,ICE[[#This Row],[PCC]] &amp; " " &amp; ICE[[#This Row],[Rolling]] &amp; "-IEU", "Last")</f>
        <v/>
      </c>
      <c r="J1810" s="672" t="str">
        <f>RTD("esrtd",,ICE[[#This Row],[PCC]] &amp; " " &amp; ICE[[#This Row],[Rolling]] &amp; "-IEU", "Last Trade Time")</f>
        <v/>
      </c>
      <c r="K1810" s="672" t="str">
        <f>RTD("esrtd",,ICE[[#This Row],[PCC]] &amp; " " &amp; ICE[[#This Row],[Rolling]] &amp; "-IEU", "Block Price")</f>
        <v/>
      </c>
      <c r="L1810" s="672"/>
      <c r="M1810" s="674" t="str">
        <f>RTD("esrtd",,ICE[[#This Row],[PCC]] &amp; " " &amp; ICE[[#This Row],[Rolling]] &amp; "-IEU", "Block Price DT")</f>
        <v/>
      </c>
      <c r="N1810" s="673" t="str">
        <f>RTD("esrtd",,ICE[[#This Row],[PCC]] &amp; " " &amp; ICE[[#This Row],[Rolling]] &amp; "-IEU", "Volume")</f>
        <v/>
      </c>
      <c r="O1810" s="673" t="str">
        <f>RTD("esrtd",,ICE[[#This Row],[PCC]] &amp; " " &amp; ICE[[#This Row],[Rolling]] &amp; "-IEU", "Block Volume")</f>
        <v/>
      </c>
      <c r="P181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0" s="674" t="str">
        <f>IF(ICE[[#This Row],[LastType]] = "Scrn", ICE[[#This Row],[LstDate]], IF(ICE[[#This Row],[LastType]] = "Blk", ICE[[#This Row],[LstBlkTime]], ""))</f>
        <v/>
      </c>
      <c r="R1810" s="675" t="str">
        <f>IF(ICE[[#This Row],[LastType]] = "Scrn", ICE[[#This Row],[LstPrc]], IF(ICE[[#This Row],[LastType]] = "Blk", ICE[[#This Row],[LstBlkPrc]], ""))</f>
        <v/>
      </c>
      <c r="S1810" s="673" t="e">
        <f>ICE[[#This Row],[Vol]]+ICE[[#This Row],[BlkVol]]</f>
        <v>#VALUE!</v>
      </c>
      <c r="T1810" s="673" t="str">
        <f>RTD("esrtd",,ICE[[#This Row],[PCC]] &amp; " " &amp; ICE[[#This Row],[Rolling]] &amp; "-IEU", "Open Interest")</f>
        <v/>
      </c>
      <c r="U1810" s="672" t="str">
        <f>RTD("esrtd",,ICE[[#This Row],[PCC]] &amp; " " &amp; ICE[[#This Row],[Rolling]] &amp; "-IEU", "Recent Settlement")</f>
        <v/>
      </c>
      <c r="V181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0" s="672" t="str">
        <f>RTD("esrtd",,ICE[[#This Row],[PCC]] &amp; " " &amp; ICE[[#This Row],[Rolling]] &amp; "-IEU", "ICE Theoretical Price")</f>
        <v/>
      </c>
      <c r="X1810" s="673" t="s">
        <v>923</v>
      </c>
    </row>
    <row r="1811" spans="1:24" x14ac:dyDescent="0.25">
      <c r="A1811" s="669" t="s">
        <v>448</v>
      </c>
      <c r="B1811" s="669" t="s">
        <v>890</v>
      </c>
      <c r="C1811" s="670">
        <v>3045330435</v>
      </c>
      <c r="D1811" s="671" t="s">
        <v>817</v>
      </c>
      <c r="E1811" s="672" t="str">
        <f>RTD("esrtd",,ICE[[#This Row],[PCC]] &amp; " " &amp; ICE[[#This Row],[Rolling]] &amp; "-IEU", "Strip")</f>
        <v/>
      </c>
      <c r="F1811" s="670" t="str">
        <f>ICE[[#This Row],[Prod]]&amp;ICE[[#This Row],[Strip]]</f>
        <v>afra</v>
      </c>
      <c r="G1811" s="672" t="str">
        <f>RTD("esrtd",,ICE[[#This Row],[PCC]] &amp; " " &amp; ICE[[#This Row],[Rolling]] &amp; "-IEU", "Bid")</f>
        <v/>
      </c>
      <c r="H1811" s="672" t="str">
        <f>RTD("esrtd",,ICE[[#This Row],[PCC]] &amp; " " &amp; ICE[[#This Row],[Rolling]] &amp; "-IEU", "Ask")</f>
        <v/>
      </c>
      <c r="I1811" s="672" t="str">
        <f>RTD("esrtd",,ICE[[#This Row],[PCC]] &amp; " " &amp; ICE[[#This Row],[Rolling]] &amp; "-IEU", "Last")</f>
        <v/>
      </c>
      <c r="J1811" s="672" t="str">
        <f>RTD("esrtd",,ICE[[#This Row],[PCC]] &amp; " " &amp; ICE[[#This Row],[Rolling]] &amp; "-IEU", "Last Trade Time")</f>
        <v/>
      </c>
      <c r="K1811" s="672" t="str">
        <f>RTD("esrtd",,ICE[[#This Row],[PCC]] &amp; " " &amp; ICE[[#This Row],[Rolling]] &amp; "-IEU", "Block Price")</f>
        <v/>
      </c>
      <c r="L1811" s="672"/>
      <c r="M1811" s="674" t="str">
        <f>RTD("esrtd",,ICE[[#This Row],[PCC]] &amp; " " &amp; ICE[[#This Row],[Rolling]] &amp; "-IEU", "Block Price DT")</f>
        <v/>
      </c>
      <c r="N1811" s="673" t="str">
        <f>RTD("esrtd",,ICE[[#This Row],[PCC]] &amp; " " &amp; ICE[[#This Row],[Rolling]] &amp; "-IEU", "Volume")</f>
        <v/>
      </c>
      <c r="O1811" s="673" t="str">
        <f>RTD("esrtd",,ICE[[#This Row],[PCC]] &amp; " " &amp; ICE[[#This Row],[Rolling]] &amp; "-IEU", "Block Volume")</f>
        <v/>
      </c>
      <c r="P181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1" s="674" t="str">
        <f>IF(ICE[[#This Row],[LastType]] = "Scrn", ICE[[#This Row],[LstDate]], IF(ICE[[#This Row],[LastType]] = "Blk", ICE[[#This Row],[LstBlkTime]], ""))</f>
        <v/>
      </c>
      <c r="R1811" s="675" t="str">
        <f>IF(ICE[[#This Row],[LastType]] = "Scrn", ICE[[#This Row],[LstPrc]], IF(ICE[[#This Row],[LastType]] = "Blk", ICE[[#This Row],[LstBlkPrc]], ""))</f>
        <v/>
      </c>
      <c r="S1811" s="673" t="e">
        <f>ICE[[#This Row],[Vol]]+ICE[[#This Row],[BlkVol]]</f>
        <v>#VALUE!</v>
      </c>
      <c r="T1811" s="673" t="str">
        <f>RTD("esrtd",,ICE[[#This Row],[PCC]] &amp; " " &amp; ICE[[#This Row],[Rolling]] &amp; "-IEU", "Open Interest")</f>
        <v/>
      </c>
      <c r="U1811" s="672" t="str">
        <f>RTD("esrtd",,ICE[[#This Row],[PCC]] &amp; " " &amp; ICE[[#This Row],[Rolling]] &amp; "-IEU", "Recent Settlement")</f>
        <v/>
      </c>
      <c r="V181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1" s="672" t="str">
        <f>RTD("esrtd",,ICE[[#This Row],[PCC]] &amp; " " &amp; ICE[[#This Row],[Rolling]] &amp; "-IEU", "ICE Theoretical Price")</f>
        <v/>
      </c>
      <c r="X1811" s="673" t="s">
        <v>924</v>
      </c>
    </row>
    <row r="1812" spans="1:24" x14ac:dyDescent="0.25">
      <c r="A1812" s="669" t="s">
        <v>448</v>
      </c>
      <c r="B1812" s="669" t="s">
        <v>890</v>
      </c>
      <c r="C1812" s="670">
        <v>3045330435</v>
      </c>
      <c r="D1812" s="671" t="s">
        <v>822</v>
      </c>
      <c r="E1812" s="672" t="str">
        <f>RTD("esrtd",,ICE[[#This Row],[PCC]] &amp; " " &amp; ICE[[#This Row],[Rolling]] &amp; "-IEU", "Strip")</f>
        <v/>
      </c>
      <c r="F1812" s="670" t="str">
        <f>ICE[[#This Row],[Prod]]&amp;ICE[[#This Row],[Strip]]</f>
        <v>afra</v>
      </c>
      <c r="G1812" s="672" t="str">
        <f>RTD("esrtd",,ICE[[#This Row],[PCC]] &amp; " " &amp; ICE[[#This Row],[Rolling]] &amp; "-IEU", "Bid")</f>
        <v/>
      </c>
      <c r="H1812" s="672" t="str">
        <f>RTD("esrtd",,ICE[[#This Row],[PCC]] &amp; " " &amp; ICE[[#This Row],[Rolling]] &amp; "-IEU", "Ask")</f>
        <v/>
      </c>
      <c r="I1812" s="672" t="str">
        <f>RTD("esrtd",,ICE[[#This Row],[PCC]] &amp; " " &amp; ICE[[#This Row],[Rolling]] &amp; "-IEU", "Last")</f>
        <v/>
      </c>
      <c r="J1812" s="672" t="str">
        <f>RTD("esrtd",,ICE[[#This Row],[PCC]] &amp; " " &amp; ICE[[#This Row],[Rolling]] &amp; "-IEU", "Last Trade Time")</f>
        <v/>
      </c>
      <c r="K1812" s="672" t="str">
        <f>RTD("esrtd",,ICE[[#This Row],[PCC]] &amp; " " &amp; ICE[[#This Row],[Rolling]] &amp; "-IEU", "Block Price")</f>
        <v/>
      </c>
      <c r="L1812" s="672"/>
      <c r="M1812" s="674" t="str">
        <f>RTD("esrtd",,ICE[[#This Row],[PCC]] &amp; " " &amp; ICE[[#This Row],[Rolling]] &amp; "-IEU", "Block Price DT")</f>
        <v/>
      </c>
      <c r="N1812" s="673" t="str">
        <f>RTD("esrtd",,ICE[[#This Row],[PCC]] &amp; " " &amp; ICE[[#This Row],[Rolling]] &amp; "-IEU", "Volume")</f>
        <v/>
      </c>
      <c r="O1812" s="673" t="str">
        <f>RTD("esrtd",,ICE[[#This Row],[PCC]] &amp; " " &amp; ICE[[#This Row],[Rolling]] &amp; "-IEU", "Block Volume")</f>
        <v/>
      </c>
      <c r="P181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2" s="674" t="str">
        <f>IF(ICE[[#This Row],[LastType]] = "Scrn", ICE[[#This Row],[LstDate]], IF(ICE[[#This Row],[LastType]] = "Blk", ICE[[#This Row],[LstBlkTime]], ""))</f>
        <v/>
      </c>
      <c r="R1812" s="675" t="str">
        <f>IF(ICE[[#This Row],[LastType]] = "Scrn", ICE[[#This Row],[LstPrc]], IF(ICE[[#This Row],[LastType]] = "Blk", ICE[[#This Row],[LstBlkPrc]], ""))</f>
        <v/>
      </c>
      <c r="S1812" s="673" t="e">
        <f>ICE[[#This Row],[Vol]]+ICE[[#This Row],[BlkVol]]</f>
        <v>#VALUE!</v>
      </c>
      <c r="T1812" s="673" t="str">
        <f>RTD("esrtd",,ICE[[#This Row],[PCC]] &amp; " " &amp; ICE[[#This Row],[Rolling]] &amp; "-IEU", "Open Interest")</f>
        <v/>
      </c>
      <c r="U1812" s="672" t="str">
        <f>RTD("esrtd",,ICE[[#This Row],[PCC]] &amp; " " &amp; ICE[[#This Row],[Rolling]] &amp; "-IEU", "Recent Settlement")</f>
        <v/>
      </c>
      <c r="V181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2" s="672" t="str">
        <f>RTD("esrtd",,ICE[[#This Row],[PCC]] &amp; " " &amp; ICE[[#This Row],[Rolling]] &amp; "-IEU", "ICE Theoretical Price")</f>
        <v/>
      </c>
      <c r="X1812" s="673" t="s">
        <v>925</v>
      </c>
    </row>
    <row r="1813" spans="1:24" x14ac:dyDescent="0.25">
      <c r="A1813" s="669" t="s">
        <v>447</v>
      </c>
      <c r="B1813" s="669" t="s">
        <v>926</v>
      </c>
      <c r="C1813" s="670">
        <v>3045330435</v>
      </c>
      <c r="D1813" s="671" t="s">
        <v>793</v>
      </c>
      <c r="E1813" s="672" t="str">
        <f>RTD("esrtd",,ICE[[#This Row],[PCC]] &amp; " " &amp; ICE[[#This Row],[Rolling]] &amp; "-IEU", "Strip")</f>
        <v/>
      </c>
      <c r="F1813" s="670" t="str">
        <f>ICE[[#This Row],[Prod]]&amp;ICE[[#This Row],[Strip]]</f>
        <v>td3c</v>
      </c>
      <c r="G1813" s="672" t="str">
        <f>RTD("esrtd",,ICE[[#This Row],[PCC]] &amp; " " &amp; ICE[[#This Row],[Rolling]] &amp; "-IEU", "Bid")</f>
        <v/>
      </c>
      <c r="H1813" s="672" t="str">
        <f>RTD("esrtd",,ICE[[#This Row],[PCC]] &amp; " " &amp; ICE[[#This Row],[Rolling]] &amp; "-IEU", "Ask")</f>
        <v/>
      </c>
      <c r="I1813" s="672" t="str">
        <f>RTD("esrtd",,ICE[[#This Row],[PCC]] &amp; " " &amp; ICE[[#This Row],[Rolling]] &amp; "-IEU", "Last")</f>
        <v/>
      </c>
      <c r="J1813" s="672" t="str">
        <f>RTD("esrtd",,ICE[[#This Row],[PCC]] &amp; " " &amp; ICE[[#This Row],[Rolling]] &amp; "-IEU", "Last Trade Time")</f>
        <v/>
      </c>
      <c r="K1813" s="672" t="str">
        <f>RTD("esrtd",,ICE[[#This Row],[PCC]] &amp; " " &amp; ICE[[#This Row],[Rolling]] &amp; "-IEU", "Block Price")</f>
        <v/>
      </c>
      <c r="L1813" s="672"/>
      <c r="M1813" s="674" t="str">
        <f>RTD("esrtd",,ICE[[#This Row],[PCC]] &amp; " " &amp; ICE[[#This Row],[Rolling]] &amp; "-IEU", "Block Price DT")</f>
        <v/>
      </c>
      <c r="N1813" s="673" t="str">
        <f>RTD("esrtd",,ICE[[#This Row],[PCC]] &amp; " " &amp; ICE[[#This Row],[Rolling]] &amp; "-IEU", "Volume")</f>
        <v/>
      </c>
      <c r="O1813" s="673" t="str">
        <f>RTD("esrtd",,ICE[[#This Row],[PCC]] &amp; " " &amp; ICE[[#This Row],[Rolling]] &amp; "-IEU", "Block Volume")</f>
        <v/>
      </c>
      <c r="P181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3" s="674" t="str">
        <f>IF(ICE[[#This Row],[LastType]] = "Scrn", ICE[[#This Row],[LstDate]], IF(ICE[[#This Row],[LastType]] = "Blk", ICE[[#This Row],[LstBlkTime]], ""))</f>
        <v/>
      </c>
      <c r="R1813" s="675" t="str">
        <f>IF(ICE[[#This Row],[LastType]] = "Scrn", ICE[[#This Row],[LstPrc]], IF(ICE[[#This Row],[LastType]] = "Blk", ICE[[#This Row],[LstBlkPrc]], ""))</f>
        <v/>
      </c>
      <c r="S1813" s="673" t="e">
        <f>ICE[[#This Row],[Vol]]+ICE[[#This Row],[BlkVol]]</f>
        <v>#VALUE!</v>
      </c>
      <c r="T1813" s="673" t="str">
        <f>RTD("esrtd",,ICE[[#This Row],[PCC]] &amp; " " &amp; ICE[[#This Row],[Rolling]] &amp; "-IEU", "Open Interest")</f>
        <v/>
      </c>
      <c r="U1813" s="672" t="str">
        <f>RTD("esrtd",,ICE[[#This Row],[PCC]] &amp; " " &amp; ICE[[#This Row],[Rolling]] &amp; "-IEU", "Recent Settlement")</f>
        <v/>
      </c>
      <c r="V181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3" s="672" t="str">
        <f>RTD("esrtd",,ICE[[#This Row],[PCC]] &amp; " " &amp; ICE[[#This Row],[Rolling]] &amp; "-IEU", "ICE Theoretical Price")</f>
        <v/>
      </c>
      <c r="X1813" s="673" t="s">
        <v>891</v>
      </c>
    </row>
    <row r="1814" spans="1:24" x14ac:dyDescent="0.25">
      <c r="A1814" s="669" t="s">
        <v>447</v>
      </c>
      <c r="B1814" s="669" t="s">
        <v>926</v>
      </c>
      <c r="C1814" s="670">
        <v>3045330435</v>
      </c>
      <c r="D1814" s="671" t="s">
        <v>324</v>
      </c>
      <c r="E1814" s="672" t="str">
        <f>RTD("esrtd",,ICE[[#This Row],[PCC]] &amp; " " &amp; ICE[[#This Row],[Rolling]] &amp; "-IEU", "Strip")</f>
        <v/>
      </c>
      <c r="F1814" s="670" t="str">
        <f>ICE[[#This Row],[Prod]]&amp;ICE[[#This Row],[Strip]]</f>
        <v>td3c</v>
      </c>
      <c r="G1814" s="672" t="str">
        <f>RTD("esrtd",,ICE[[#This Row],[PCC]] &amp; " " &amp; ICE[[#This Row],[Rolling]] &amp; "-IEU", "Bid")</f>
        <v/>
      </c>
      <c r="H1814" s="672" t="str">
        <f>RTD("esrtd",,ICE[[#This Row],[PCC]] &amp; " " &amp; ICE[[#This Row],[Rolling]] &amp; "-IEU", "Ask")</f>
        <v/>
      </c>
      <c r="I1814" s="672" t="str">
        <f>RTD("esrtd",,ICE[[#This Row],[PCC]] &amp; " " &amp; ICE[[#This Row],[Rolling]] &amp; "-IEU", "Last")</f>
        <v/>
      </c>
      <c r="J1814" s="672" t="str">
        <f>RTD("esrtd",,ICE[[#This Row],[PCC]] &amp; " " &amp; ICE[[#This Row],[Rolling]] &amp; "-IEU", "Last Trade Time")</f>
        <v/>
      </c>
      <c r="K1814" s="672" t="str">
        <f>RTD("esrtd",,ICE[[#This Row],[PCC]] &amp; " " &amp; ICE[[#This Row],[Rolling]] &amp; "-IEU", "Block Price")</f>
        <v/>
      </c>
      <c r="L1814" s="672"/>
      <c r="M1814" s="674" t="str">
        <f>RTD("esrtd",,ICE[[#This Row],[PCC]] &amp; " " &amp; ICE[[#This Row],[Rolling]] &amp; "-IEU", "Block Price DT")</f>
        <v/>
      </c>
      <c r="N1814" s="673" t="str">
        <f>RTD("esrtd",,ICE[[#This Row],[PCC]] &amp; " " &amp; ICE[[#This Row],[Rolling]] &amp; "-IEU", "Volume")</f>
        <v/>
      </c>
      <c r="O1814" s="673" t="str">
        <f>RTD("esrtd",,ICE[[#This Row],[PCC]] &amp; " " &amp; ICE[[#This Row],[Rolling]] &amp; "-IEU", "Block Volume")</f>
        <v/>
      </c>
      <c r="P181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4" s="674" t="str">
        <f>IF(ICE[[#This Row],[LastType]] = "Scrn", ICE[[#This Row],[LstDate]], IF(ICE[[#This Row],[LastType]] = "Blk", ICE[[#This Row],[LstBlkTime]], ""))</f>
        <v/>
      </c>
      <c r="R1814" s="675" t="str">
        <f>IF(ICE[[#This Row],[LastType]] = "Scrn", ICE[[#This Row],[LstPrc]], IF(ICE[[#This Row],[LastType]] = "Blk", ICE[[#This Row],[LstBlkPrc]], ""))</f>
        <v/>
      </c>
      <c r="S1814" s="673" t="e">
        <f>ICE[[#This Row],[Vol]]+ICE[[#This Row],[BlkVol]]</f>
        <v>#VALUE!</v>
      </c>
      <c r="T1814" s="673" t="str">
        <f>RTD("esrtd",,ICE[[#This Row],[PCC]] &amp; " " &amp; ICE[[#This Row],[Rolling]] &amp; "-IEU", "Open Interest")</f>
        <v/>
      </c>
      <c r="U1814" s="672" t="str">
        <f>RTD("esrtd",,ICE[[#This Row],[PCC]] &amp; " " &amp; ICE[[#This Row],[Rolling]] &amp; "-IEU", "Recent Settlement")</f>
        <v/>
      </c>
      <c r="V181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4" s="672" t="str">
        <f>RTD("esrtd",,ICE[[#This Row],[PCC]] &amp; " " &amp; ICE[[#This Row],[Rolling]] &amp; "-IEU", "ICE Theoretical Price")</f>
        <v/>
      </c>
      <c r="X1814" s="673" t="s">
        <v>892</v>
      </c>
    </row>
    <row r="1815" spans="1:24" x14ac:dyDescent="0.25">
      <c r="A1815" s="669" t="s">
        <v>447</v>
      </c>
      <c r="B1815" s="669" t="s">
        <v>926</v>
      </c>
      <c r="C1815" s="670">
        <v>3045330435</v>
      </c>
      <c r="D1815" s="671" t="s">
        <v>325</v>
      </c>
      <c r="E1815" s="672" t="str">
        <f>RTD("esrtd",,ICE[[#This Row],[PCC]] &amp; " " &amp; ICE[[#This Row],[Rolling]] &amp; "-IEU", "Strip")</f>
        <v/>
      </c>
      <c r="F1815" s="670" t="str">
        <f>ICE[[#This Row],[Prod]]&amp;ICE[[#This Row],[Strip]]</f>
        <v>td3c</v>
      </c>
      <c r="G1815" s="672" t="str">
        <f>RTD("esrtd",,ICE[[#This Row],[PCC]] &amp; " " &amp; ICE[[#This Row],[Rolling]] &amp; "-IEU", "Bid")</f>
        <v/>
      </c>
      <c r="H1815" s="672" t="str">
        <f>RTD("esrtd",,ICE[[#This Row],[PCC]] &amp; " " &amp; ICE[[#This Row],[Rolling]] &amp; "-IEU", "Ask")</f>
        <v/>
      </c>
      <c r="I1815" s="672" t="str">
        <f>RTD("esrtd",,ICE[[#This Row],[PCC]] &amp; " " &amp; ICE[[#This Row],[Rolling]] &amp; "-IEU", "Last")</f>
        <v/>
      </c>
      <c r="J1815" s="672" t="str">
        <f>RTD("esrtd",,ICE[[#This Row],[PCC]] &amp; " " &amp; ICE[[#This Row],[Rolling]] &amp; "-IEU", "Last Trade Time")</f>
        <v/>
      </c>
      <c r="K1815" s="672" t="str">
        <f>RTD("esrtd",,ICE[[#This Row],[PCC]] &amp; " " &amp; ICE[[#This Row],[Rolling]] &amp; "-IEU", "Block Price")</f>
        <v/>
      </c>
      <c r="L1815" s="672"/>
      <c r="M1815" s="674" t="str">
        <f>RTD("esrtd",,ICE[[#This Row],[PCC]] &amp; " " &amp; ICE[[#This Row],[Rolling]] &amp; "-IEU", "Block Price DT")</f>
        <v/>
      </c>
      <c r="N1815" s="673" t="str">
        <f>RTD("esrtd",,ICE[[#This Row],[PCC]] &amp; " " &amp; ICE[[#This Row],[Rolling]] &amp; "-IEU", "Volume")</f>
        <v/>
      </c>
      <c r="O1815" s="673" t="str">
        <f>RTD("esrtd",,ICE[[#This Row],[PCC]] &amp; " " &amp; ICE[[#This Row],[Rolling]] &amp; "-IEU", "Block Volume")</f>
        <v/>
      </c>
      <c r="P181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5" s="674" t="str">
        <f>IF(ICE[[#This Row],[LastType]] = "Scrn", ICE[[#This Row],[LstDate]], IF(ICE[[#This Row],[LastType]] = "Blk", ICE[[#This Row],[LstBlkTime]], ""))</f>
        <v/>
      </c>
      <c r="R1815" s="675" t="str">
        <f>IF(ICE[[#This Row],[LastType]] = "Scrn", ICE[[#This Row],[LstPrc]], IF(ICE[[#This Row],[LastType]] = "Blk", ICE[[#This Row],[LstBlkPrc]], ""))</f>
        <v/>
      </c>
      <c r="S1815" s="673" t="e">
        <f>ICE[[#This Row],[Vol]]+ICE[[#This Row],[BlkVol]]</f>
        <v>#VALUE!</v>
      </c>
      <c r="T1815" s="673" t="str">
        <f>RTD("esrtd",,ICE[[#This Row],[PCC]] &amp; " " &amp; ICE[[#This Row],[Rolling]] &amp; "-IEU", "Open Interest")</f>
        <v/>
      </c>
      <c r="U1815" s="672" t="str">
        <f>RTD("esrtd",,ICE[[#This Row],[PCC]] &amp; " " &amp; ICE[[#This Row],[Rolling]] &amp; "-IEU", "Recent Settlement")</f>
        <v/>
      </c>
      <c r="V181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5" s="672" t="str">
        <f>RTD("esrtd",,ICE[[#This Row],[PCC]] &amp; " " &amp; ICE[[#This Row],[Rolling]] &amp; "-IEU", "ICE Theoretical Price")</f>
        <v/>
      </c>
      <c r="X1815" s="673" t="s">
        <v>893</v>
      </c>
    </row>
    <row r="1816" spans="1:24" x14ac:dyDescent="0.25">
      <c r="A1816" s="669" t="s">
        <v>447</v>
      </c>
      <c r="B1816" s="669" t="s">
        <v>926</v>
      </c>
      <c r="C1816" s="670">
        <v>3045330435</v>
      </c>
      <c r="D1816" s="671" t="s">
        <v>326</v>
      </c>
      <c r="E1816" s="672" t="str">
        <f>RTD("esrtd",,ICE[[#This Row],[PCC]] &amp; " " &amp; ICE[[#This Row],[Rolling]] &amp; "-IEU", "Strip")</f>
        <v/>
      </c>
      <c r="F1816" s="670" t="str">
        <f>ICE[[#This Row],[Prod]]&amp;ICE[[#This Row],[Strip]]</f>
        <v>td3c</v>
      </c>
      <c r="G1816" s="672" t="str">
        <f>RTD("esrtd",,ICE[[#This Row],[PCC]] &amp; " " &amp; ICE[[#This Row],[Rolling]] &amp; "-IEU", "Bid")</f>
        <v/>
      </c>
      <c r="H1816" s="672" t="str">
        <f>RTD("esrtd",,ICE[[#This Row],[PCC]] &amp; " " &amp; ICE[[#This Row],[Rolling]] &amp; "-IEU", "Ask")</f>
        <v/>
      </c>
      <c r="I1816" s="672" t="str">
        <f>RTD("esrtd",,ICE[[#This Row],[PCC]] &amp; " " &amp; ICE[[#This Row],[Rolling]] &amp; "-IEU", "Last")</f>
        <v/>
      </c>
      <c r="J1816" s="672" t="str">
        <f>RTD("esrtd",,ICE[[#This Row],[PCC]] &amp; " " &amp; ICE[[#This Row],[Rolling]] &amp; "-IEU", "Last Trade Time")</f>
        <v/>
      </c>
      <c r="K1816" s="672" t="str">
        <f>RTD("esrtd",,ICE[[#This Row],[PCC]] &amp; " " &amp; ICE[[#This Row],[Rolling]] &amp; "-IEU", "Block Price")</f>
        <v/>
      </c>
      <c r="L1816" s="672"/>
      <c r="M1816" s="674" t="str">
        <f>RTD("esrtd",,ICE[[#This Row],[PCC]] &amp; " " &amp; ICE[[#This Row],[Rolling]] &amp; "-IEU", "Block Price DT")</f>
        <v/>
      </c>
      <c r="N1816" s="673" t="str">
        <f>RTD("esrtd",,ICE[[#This Row],[PCC]] &amp; " " &amp; ICE[[#This Row],[Rolling]] &amp; "-IEU", "Volume")</f>
        <v/>
      </c>
      <c r="O1816" s="673" t="str">
        <f>RTD("esrtd",,ICE[[#This Row],[PCC]] &amp; " " &amp; ICE[[#This Row],[Rolling]] &amp; "-IEU", "Block Volume")</f>
        <v/>
      </c>
      <c r="P181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6" s="674" t="str">
        <f>IF(ICE[[#This Row],[LastType]] = "Scrn", ICE[[#This Row],[LstDate]], IF(ICE[[#This Row],[LastType]] = "Blk", ICE[[#This Row],[LstBlkTime]], ""))</f>
        <v/>
      </c>
      <c r="R1816" s="675" t="str">
        <f>IF(ICE[[#This Row],[LastType]] = "Scrn", ICE[[#This Row],[LstPrc]], IF(ICE[[#This Row],[LastType]] = "Blk", ICE[[#This Row],[LstBlkPrc]], ""))</f>
        <v/>
      </c>
      <c r="S1816" s="673" t="e">
        <f>ICE[[#This Row],[Vol]]+ICE[[#This Row],[BlkVol]]</f>
        <v>#VALUE!</v>
      </c>
      <c r="T1816" s="673" t="str">
        <f>RTD("esrtd",,ICE[[#This Row],[PCC]] &amp; " " &amp; ICE[[#This Row],[Rolling]] &amp; "-IEU", "Open Interest")</f>
        <v/>
      </c>
      <c r="U1816" s="672" t="str">
        <f>RTD("esrtd",,ICE[[#This Row],[PCC]] &amp; " " &amp; ICE[[#This Row],[Rolling]] &amp; "-IEU", "Recent Settlement")</f>
        <v/>
      </c>
      <c r="V181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6" s="672" t="str">
        <f>RTD("esrtd",,ICE[[#This Row],[PCC]] &amp; " " &amp; ICE[[#This Row],[Rolling]] &amp; "-IEU", "ICE Theoretical Price")</f>
        <v/>
      </c>
      <c r="X1816" s="673" t="s">
        <v>894</v>
      </c>
    </row>
    <row r="1817" spans="1:24" x14ac:dyDescent="0.25">
      <c r="A1817" s="669" t="s">
        <v>447</v>
      </c>
      <c r="B1817" s="669" t="s">
        <v>926</v>
      </c>
      <c r="C1817" s="670">
        <v>3045330435</v>
      </c>
      <c r="D1817" s="671" t="s">
        <v>794</v>
      </c>
      <c r="E1817" s="672" t="str">
        <f>RTD("esrtd",,ICE[[#This Row],[PCC]] &amp; " " &amp; ICE[[#This Row],[Rolling]] &amp; "-IEU", "Strip")</f>
        <v/>
      </c>
      <c r="F1817" s="670" t="str">
        <f>ICE[[#This Row],[Prod]]&amp;ICE[[#This Row],[Strip]]</f>
        <v>td3c</v>
      </c>
      <c r="G1817" s="672" t="str">
        <f>RTD("esrtd",,ICE[[#This Row],[PCC]] &amp; " " &amp; ICE[[#This Row],[Rolling]] &amp; "-IEU", "Bid")</f>
        <v/>
      </c>
      <c r="H1817" s="672" t="str">
        <f>RTD("esrtd",,ICE[[#This Row],[PCC]] &amp; " " &amp; ICE[[#This Row],[Rolling]] &amp; "-IEU", "Ask")</f>
        <v/>
      </c>
      <c r="I1817" s="672" t="str">
        <f>RTD("esrtd",,ICE[[#This Row],[PCC]] &amp; " " &amp; ICE[[#This Row],[Rolling]] &amp; "-IEU", "Last")</f>
        <v/>
      </c>
      <c r="J1817" s="672" t="str">
        <f>RTD("esrtd",,ICE[[#This Row],[PCC]] &amp; " " &amp; ICE[[#This Row],[Rolling]] &amp; "-IEU", "Last Trade Time")</f>
        <v/>
      </c>
      <c r="K1817" s="672" t="str">
        <f>RTD("esrtd",,ICE[[#This Row],[PCC]] &amp; " " &amp; ICE[[#This Row],[Rolling]] &amp; "-IEU", "Block Price")</f>
        <v/>
      </c>
      <c r="L1817" s="672"/>
      <c r="M1817" s="674" t="str">
        <f>RTD("esrtd",,ICE[[#This Row],[PCC]] &amp; " " &amp; ICE[[#This Row],[Rolling]] &amp; "-IEU", "Block Price DT")</f>
        <v/>
      </c>
      <c r="N1817" s="673" t="str">
        <f>RTD("esrtd",,ICE[[#This Row],[PCC]] &amp; " " &amp; ICE[[#This Row],[Rolling]] &amp; "-IEU", "Volume")</f>
        <v/>
      </c>
      <c r="O1817" s="673" t="str">
        <f>RTD("esrtd",,ICE[[#This Row],[PCC]] &amp; " " &amp; ICE[[#This Row],[Rolling]] &amp; "-IEU", "Block Volume")</f>
        <v/>
      </c>
      <c r="P181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7" s="674" t="str">
        <f>IF(ICE[[#This Row],[LastType]] = "Scrn", ICE[[#This Row],[LstDate]], IF(ICE[[#This Row],[LastType]] = "Blk", ICE[[#This Row],[LstBlkTime]], ""))</f>
        <v/>
      </c>
      <c r="R1817" s="675" t="str">
        <f>IF(ICE[[#This Row],[LastType]] = "Scrn", ICE[[#This Row],[LstPrc]], IF(ICE[[#This Row],[LastType]] = "Blk", ICE[[#This Row],[LstBlkPrc]], ""))</f>
        <v/>
      </c>
      <c r="S1817" s="673" t="e">
        <f>ICE[[#This Row],[Vol]]+ICE[[#This Row],[BlkVol]]</f>
        <v>#VALUE!</v>
      </c>
      <c r="T1817" s="673" t="str">
        <f>RTD("esrtd",,ICE[[#This Row],[PCC]] &amp; " " &amp; ICE[[#This Row],[Rolling]] &amp; "-IEU", "Open Interest")</f>
        <v/>
      </c>
      <c r="U1817" s="672" t="str">
        <f>RTD("esrtd",,ICE[[#This Row],[PCC]] &amp; " " &amp; ICE[[#This Row],[Rolling]] &amp; "-IEU", "Recent Settlement")</f>
        <v/>
      </c>
      <c r="V181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7" s="672" t="str">
        <f>RTD("esrtd",,ICE[[#This Row],[PCC]] &amp; " " &amp; ICE[[#This Row],[Rolling]] &amp; "-IEU", "ICE Theoretical Price")</f>
        <v/>
      </c>
      <c r="X1817" s="673" t="s">
        <v>895</v>
      </c>
    </row>
    <row r="1818" spans="1:24" x14ac:dyDescent="0.25">
      <c r="A1818" s="669" t="s">
        <v>447</v>
      </c>
      <c r="B1818" s="669" t="s">
        <v>926</v>
      </c>
      <c r="C1818" s="670">
        <v>3045330435</v>
      </c>
      <c r="D1818" s="671" t="s">
        <v>795</v>
      </c>
      <c r="E1818" s="672" t="str">
        <f>RTD("esrtd",,ICE[[#This Row],[PCC]] &amp; " " &amp; ICE[[#This Row],[Rolling]] &amp; "-IEU", "Strip")</f>
        <v/>
      </c>
      <c r="F1818" s="670" t="str">
        <f>ICE[[#This Row],[Prod]]&amp;ICE[[#This Row],[Strip]]</f>
        <v>td3c</v>
      </c>
      <c r="G1818" s="672" t="str">
        <f>RTD("esrtd",,ICE[[#This Row],[PCC]] &amp; " " &amp; ICE[[#This Row],[Rolling]] &amp; "-IEU", "Bid")</f>
        <v/>
      </c>
      <c r="H1818" s="672" t="str">
        <f>RTD("esrtd",,ICE[[#This Row],[PCC]] &amp; " " &amp; ICE[[#This Row],[Rolling]] &amp; "-IEU", "Ask")</f>
        <v/>
      </c>
      <c r="I1818" s="672" t="str">
        <f>RTD("esrtd",,ICE[[#This Row],[PCC]] &amp; " " &amp; ICE[[#This Row],[Rolling]] &amp; "-IEU", "Last")</f>
        <v/>
      </c>
      <c r="J1818" s="672" t="str">
        <f>RTD("esrtd",,ICE[[#This Row],[PCC]] &amp; " " &amp; ICE[[#This Row],[Rolling]] &amp; "-IEU", "Last Trade Time")</f>
        <v/>
      </c>
      <c r="K1818" s="672" t="str">
        <f>RTD("esrtd",,ICE[[#This Row],[PCC]] &amp; " " &amp; ICE[[#This Row],[Rolling]] &amp; "-IEU", "Block Price")</f>
        <v/>
      </c>
      <c r="L1818" s="672"/>
      <c r="M1818" s="674" t="str">
        <f>RTD("esrtd",,ICE[[#This Row],[PCC]] &amp; " " &amp; ICE[[#This Row],[Rolling]] &amp; "-IEU", "Block Price DT")</f>
        <v/>
      </c>
      <c r="N1818" s="673" t="str">
        <f>RTD("esrtd",,ICE[[#This Row],[PCC]] &amp; " " &amp; ICE[[#This Row],[Rolling]] &amp; "-IEU", "Volume")</f>
        <v/>
      </c>
      <c r="O1818" s="673" t="str">
        <f>RTD("esrtd",,ICE[[#This Row],[PCC]] &amp; " " &amp; ICE[[#This Row],[Rolling]] &amp; "-IEU", "Block Volume")</f>
        <v/>
      </c>
      <c r="P181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8" s="674" t="str">
        <f>IF(ICE[[#This Row],[LastType]] = "Scrn", ICE[[#This Row],[LstDate]], IF(ICE[[#This Row],[LastType]] = "Blk", ICE[[#This Row],[LstBlkTime]], ""))</f>
        <v/>
      </c>
      <c r="R1818" s="675" t="str">
        <f>IF(ICE[[#This Row],[LastType]] = "Scrn", ICE[[#This Row],[LstPrc]], IF(ICE[[#This Row],[LastType]] = "Blk", ICE[[#This Row],[LstBlkPrc]], ""))</f>
        <v/>
      </c>
      <c r="S1818" s="673" t="e">
        <f>ICE[[#This Row],[Vol]]+ICE[[#This Row],[BlkVol]]</f>
        <v>#VALUE!</v>
      </c>
      <c r="T1818" s="673" t="str">
        <f>RTD("esrtd",,ICE[[#This Row],[PCC]] &amp; " " &amp; ICE[[#This Row],[Rolling]] &amp; "-IEU", "Open Interest")</f>
        <v/>
      </c>
      <c r="U1818" s="672" t="str">
        <f>RTD("esrtd",,ICE[[#This Row],[PCC]] &amp; " " &amp; ICE[[#This Row],[Rolling]] &amp; "-IEU", "Recent Settlement")</f>
        <v/>
      </c>
      <c r="V181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8" s="672" t="str">
        <f>RTD("esrtd",,ICE[[#This Row],[PCC]] &amp; " " &amp; ICE[[#This Row],[Rolling]] &amp; "-IEU", "ICE Theoretical Price")</f>
        <v/>
      </c>
      <c r="X1818" s="673" t="s">
        <v>896</v>
      </c>
    </row>
    <row r="1819" spans="1:24" x14ac:dyDescent="0.25">
      <c r="A1819" s="669" t="s">
        <v>447</v>
      </c>
      <c r="B1819" s="669" t="s">
        <v>926</v>
      </c>
      <c r="C1819" s="670">
        <v>3045330435</v>
      </c>
      <c r="D1819" s="671" t="s">
        <v>113</v>
      </c>
      <c r="E1819" s="672" t="str">
        <f>RTD("esrtd",,ICE[[#This Row],[PCC]] &amp; " " &amp; ICE[[#This Row],[Rolling]] &amp; "-IEU", "Strip")</f>
        <v/>
      </c>
      <c r="F1819" s="670" t="str">
        <f>ICE[[#This Row],[Prod]]&amp;ICE[[#This Row],[Strip]]</f>
        <v>td3c</v>
      </c>
      <c r="G1819" s="672" t="str">
        <f>RTD("esrtd",,ICE[[#This Row],[PCC]] &amp; " " &amp; ICE[[#This Row],[Rolling]] &amp; "-IEU", "Bid")</f>
        <v/>
      </c>
      <c r="H1819" s="672" t="str">
        <f>RTD("esrtd",,ICE[[#This Row],[PCC]] &amp; " " &amp; ICE[[#This Row],[Rolling]] &amp; "-IEU", "Ask")</f>
        <v/>
      </c>
      <c r="I1819" s="672" t="str">
        <f>RTD("esrtd",,ICE[[#This Row],[PCC]] &amp; " " &amp; ICE[[#This Row],[Rolling]] &amp; "-IEU", "Last")</f>
        <v/>
      </c>
      <c r="J1819" s="672" t="str">
        <f>RTD("esrtd",,ICE[[#This Row],[PCC]] &amp; " " &amp; ICE[[#This Row],[Rolling]] &amp; "-IEU", "Last Trade Time")</f>
        <v/>
      </c>
      <c r="K1819" s="672" t="str">
        <f>RTD("esrtd",,ICE[[#This Row],[PCC]] &amp; " " &amp; ICE[[#This Row],[Rolling]] &amp; "-IEU", "Block Price")</f>
        <v/>
      </c>
      <c r="L1819" s="672"/>
      <c r="M1819" s="674" t="str">
        <f>RTD("esrtd",,ICE[[#This Row],[PCC]] &amp; " " &amp; ICE[[#This Row],[Rolling]] &amp; "-IEU", "Block Price DT")</f>
        <v/>
      </c>
      <c r="N1819" s="673" t="str">
        <f>RTD("esrtd",,ICE[[#This Row],[PCC]] &amp; " " &amp; ICE[[#This Row],[Rolling]] &amp; "-IEU", "Volume")</f>
        <v/>
      </c>
      <c r="O1819" s="673" t="str">
        <f>RTD("esrtd",,ICE[[#This Row],[PCC]] &amp; " " &amp; ICE[[#This Row],[Rolling]] &amp; "-IEU", "Block Volume")</f>
        <v/>
      </c>
      <c r="P181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19" s="674" t="str">
        <f>IF(ICE[[#This Row],[LastType]] = "Scrn", ICE[[#This Row],[LstDate]], IF(ICE[[#This Row],[LastType]] = "Blk", ICE[[#This Row],[LstBlkTime]], ""))</f>
        <v/>
      </c>
      <c r="R1819" s="675" t="str">
        <f>IF(ICE[[#This Row],[LastType]] = "Scrn", ICE[[#This Row],[LstPrc]], IF(ICE[[#This Row],[LastType]] = "Blk", ICE[[#This Row],[LstBlkPrc]], ""))</f>
        <v/>
      </c>
      <c r="S1819" s="673" t="e">
        <f>ICE[[#This Row],[Vol]]+ICE[[#This Row],[BlkVol]]</f>
        <v>#VALUE!</v>
      </c>
      <c r="T1819" s="673" t="str">
        <f>RTD("esrtd",,ICE[[#This Row],[PCC]] &amp; " " &amp; ICE[[#This Row],[Rolling]] &amp; "-IEU", "Open Interest")</f>
        <v/>
      </c>
      <c r="U1819" s="672" t="str">
        <f>RTD("esrtd",,ICE[[#This Row],[PCC]] &amp; " " &amp; ICE[[#This Row],[Rolling]] &amp; "-IEU", "Recent Settlement")</f>
        <v/>
      </c>
      <c r="V181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19" s="672" t="str">
        <f>RTD("esrtd",,ICE[[#This Row],[PCC]] &amp; " " &amp; ICE[[#This Row],[Rolling]] &amp; "-IEU", "ICE Theoretical Price")</f>
        <v/>
      </c>
      <c r="X1819" s="673" t="s">
        <v>897</v>
      </c>
    </row>
    <row r="1820" spans="1:24" x14ac:dyDescent="0.25">
      <c r="A1820" s="669" t="s">
        <v>447</v>
      </c>
      <c r="B1820" s="669" t="s">
        <v>926</v>
      </c>
      <c r="C1820" s="670">
        <v>3045330435</v>
      </c>
      <c r="D1820" s="671" t="s">
        <v>796</v>
      </c>
      <c r="E1820" s="672" t="str">
        <f>RTD("esrtd",,ICE[[#This Row],[PCC]] &amp; " " &amp; ICE[[#This Row],[Rolling]] &amp; "-IEU", "Strip")</f>
        <v/>
      </c>
      <c r="F1820" s="670" t="str">
        <f>ICE[[#This Row],[Prod]]&amp;ICE[[#This Row],[Strip]]</f>
        <v>td3c</v>
      </c>
      <c r="G1820" s="672" t="str">
        <f>RTD("esrtd",,ICE[[#This Row],[PCC]] &amp; " " &amp; ICE[[#This Row],[Rolling]] &amp; "-IEU", "Bid")</f>
        <v/>
      </c>
      <c r="H1820" s="672" t="str">
        <f>RTD("esrtd",,ICE[[#This Row],[PCC]] &amp; " " &amp; ICE[[#This Row],[Rolling]] &amp; "-IEU", "Ask")</f>
        <v/>
      </c>
      <c r="I1820" s="672" t="str">
        <f>RTD("esrtd",,ICE[[#This Row],[PCC]] &amp; " " &amp; ICE[[#This Row],[Rolling]] &amp; "-IEU", "Last")</f>
        <v/>
      </c>
      <c r="J1820" s="672" t="str">
        <f>RTD("esrtd",,ICE[[#This Row],[PCC]] &amp; " " &amp; ICE[[#This Row],[Rolling]] &amp; "-IEU", "Last Trade Time")</f>
        <v/>
      </c>
      <c r="K1820" s="672" t="str">
        <f>RTD("esrtd",,ICE[[#This Row],[PCC]] &amp; " " &amp; ICE[[#This Row],[Rolling]] &amp; "-IEU", "Block Price")</f>
        <v/>
      </c>
      <c r="L1820" s="672"/>
      <c r="M1820" s="674" t="str">
        <f>RTD("esrtd",,ICE[[#This Row],[PCC]] &amp; " " &amp; ICE[[#This Row],[Rolling]] &amp; "-IEU", "Block Price DT")</f>
        <v/>
      </c>
      <c r="N1820" s="673" t="str">
        <f>RTD("esrtd",,ICE[[#This Row],[PCC]] &amp; " " &amp; ICE[[#This Row],[Rolling]] &amp; "-IEU", "Volume")</f>
        <v/>
      </c>
      <c r="O1820" s="673" t="str">
        <f>RTD("esrtd",,ICE[[#This Row],[PCC]] &amp; " " &amp; ICE[[#This Row],[Rolling]] &amp; "-IEU", "Block Volume")</f>
        <v/>
      </c>
      <c r="P182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0" s="674" t="str">
        <f>IF(ICE[[#This Row],[LastType]] = "Scrn", ICE[[#This Row],[LstDate]], IF(ICE[[#This Row],[LastType]] = "Blk", ICE[[#This Row],[LstBlkTime]], ""))</f>
        <v/>
      </c>
      <c r="R1820" s="675" t="str">
        <f>IF(ICE[[#This Row],[LastType]] = "Scrn", ICE[[#This Row],[LstPrc]], IF(ICE[[#This Row],[LastType]] = "Blk", ICE[[#This Row],[LstBlkPrc]], ""))</f>
        <v/>
      </c>
      <c r="S1820" s="673" t="e">
        <f>ICE[[#This Row],[Vol]]+ICE[[#This Row],[BlkVol]]</f>
        <v>#VALUE!</v>
      </c>
      <c r="T1820" s="673" t="str">
        <f>RTD("esrtd",,ICE[[#This Row],[PCC]] &amp; " " &amp; ICE[[#This Row],[Rolling]] &amp; "-IEU", "Open Interest")</f>
        <v/>
      </c>
      <c r="U1820" s="672" t="str">
        <f>RTD("esrtd",,ICE[[#This Row],[PCC]] &amp; " " &amp; ICE[[#This Row],[Rolling]] &amp; "-IEU", "Recent Settlement")</f>
        <v/>
      </c>
      <c r="V182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0" s="672" t="str">
        <f>RTD("esrtd",,ICE[[#This Row],[PCC]] &amp; " " &amp; ICE[[#This Row],[Rolling]] &amp; "-IEU", "ICE Theoretical Price")</f>
        <v/>
      </c>
      <c r="X1820" s="673" t="s">
        <v>898</v>
      </c>
    </row>
    <row r="1821" spans="1:24" x14ac:dyDescent="0.25">
      <c r="A1821" s="669" t="s">
        <v>447</v>
      </c>
      <c r="B1821" s="669" t="s">
        <v>926</v>
      </c>
      <c r="C1821" s="670">
        <v>3045330435</v>
      </c>
      <c r="D1821" s="671" t="s">
        <v>797</v>
      </c>
      <c r="E1821" s="672" t="str">
        <f>RTD("esrtd",,ICE[[#This Row],[PCC]] &amp; " " &amp; ICE[[#This Row],[Rolling]] &amp; "-IEU", "Strip")</f>
        <v/>
      </c>
      <c r="F1821" s="670" t="str">
        <f>ICE[[#This Row],[Prod]]&amp;ICE[[#This Row],[Strip]]</f>
        <v>td3c</v>
      </c>
      <c r="G1821" s="672" t="str">
        <f>RTD("esrtd",,ICE[[#This Row],[PCC]] &amp; " " &amp; ICE[[#This Row],[Rolling]] &amp; "-IEU", "Bid")</f>
        <v/>
      </c>
      <c r="H1821" s="672" t="str">
        <f>RTD("esrtd",,ICE[[#This Row],[PCC]] &amp; " " &amp; ICE[[#This Row],[Rolling]] &amp; "-IEU", "Ask")</f>
        <v/>
      </c>
      <c r="I1821" s="672" t="str">
        <f>RTD("esrtd",,ICE[[#This Row],[PCC]] &amp; " " &amp; ICE[[#This Row],[Rolling]] &amp; "-IEU", "Last")</f>
        <v/>
      </c>
      <c r="J1821" s="672" t="str">
        <f>RTD("esrtd",,ICE[[#This Row],[PCC]] &amp; " " &amp; ICE[[#This Row],[Rolling]] &amp; "-IEU", "Last Trade Time")</f>
        <v/>
      </c>
      <c r="K1821" s="672" t="str">
        <f>RTD("esrtd",,ICE[[#This Row],[PCC]] &amp; " " &amp; ICE[[#This Row],[Rolling]] &amp; "-IEU", "Block Price")</f>
        <v/>
      </c>
      <c r="L1821" s="672"/>
      <c r="M1821" s="674" t="str">
        <f>RTD("esrtd",,ICE[[#This Row],[PCC]] &amp; " " &amp; ICE[[#This Row],[Rolling]] &amp; "-IEU", "Block Price DT")</f>
        <v/>
      </c>
      <c r="N1821" s="673" t="str">
        <f>RTD("esrtd",,ICE[[#This Row],[PCC]] &amp; " " &amp; ICE[[#This Row],[Rolling]] &amp; "-IEU", "Volume")</f>
        <v/>
      </c>
      <c r="O1821" s="673" t="str">
        <f>RTD("esrtd",,ICE[[#This Row],[PCC]] &amp; " " &amp; ICE[[#This Row],[Rolling]] &amp; "-IEU", "Block Volume")</f>
        <v/>
      </c>
      <c r="P182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1" s="674" t="str">
        <f>IF(ICE[[#This Row],[LastType]] = "Scrn", ICE[[#This Row],[LstDate]], IF(ICE[[#This Row],[LastType]] = "Blk", ICE[[#This Row],[LstBlkTime]], ""))</f>
        <v/>
      </c>
      <c r="R1821" s="675" t="str">
        <f>IF(ICE[[#This Row],[LastType]] = "Scrn", ICE[[#This Row],[LstPrc]], IF(ICE[[#This Row],[LastType]] = "Blk", ICE[[#This Row],[LstBlkPrc]], ""))</f>
        <v/>
      </c>
      <c r="S1821" s="673" t="e">
        <f>ICE[[#This Row],[Vol]]+ICE[[#This Row],[BlkVol]]</f>
        <v>#VALUE!</v>
      </c>
      <c r="T1821" s="673" t="str">
        <f>RTD("esrtd",,ICE[[#This Row],[PCC]] &amp; " " &amp; ICE[[#This Row],[Rolling]] &amp; "-IEU", "Open Interest")</f>
        <v/>
      </c>
      <c r="U1821" s="672" t="str">
        <f>RTD("esrtd",,ICE[[#This Row],[PCC]] &amp; " " &amp; ICE[[#This Row],[Rolling]] &amp; "-IEU", "Recent Settlement")</f>
        <v/>
      </c>
      <c r="V182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1" s="672" t="str">
        <f>RTD("esrtd",,ICE[[#This Row],[PCC]] &amp; " " &amp; ICE[[#This Row],[Rolling]] &amp; "-IEU", "ICE Theoretical Price")</f>
        <v/>
      </c>
      <c r="X1821" s="673" t="s">
        <v>899</v>
      </c>
    </row>
    <row r="1822" spans="1:24" x14ac:dyDescent="0.25">
      <c r="A1822" s="669" t="s">
        <v>447</v>
      </c>
      <c r="B1822" s="669" t="s">
        <v>926</v>
      </c>
      <c r="C1822" s="670">
        <v>3045330435</v>
      </c>
      <c r="D1822" s="671" t="s">
        <v>798</v>
      </c>
      <c r="E1822" s="672" t="str">
        <f>RTD("esrtd",,ICE[[#This Row],[PCC]] &amp; " " &amp; ICE[[#This Row],[Rolling]] &amp; "-IEU", "Strip")</f>
        <v/>
      </c>
      <c r="F1822" s="670" t="str">
        <f>ICE[[#This Row],[Prod]]&amp;ICE[[#This Row],[Strip]]</f>
        <v>td3c</v>
      </c>
      <c r="G1822" s="672" t="str">
        <f>RTD("esrtd",,ICE[[#This Row],[PCC]] &amp; " " &amp; ICE[[#This Row],[Rolling]] &amp; "-IEU", "Bid")</f>
        <v/>
      </c>
      <c r="H1822" s="672" t="str">
        <f>RTD("esrtd",,ICE[[#This Row],[PCC]] &amp; " " &amp; ICE[[#This Row],[Rolling]] &amp; "-IEU", "Ask")</f>
        <v/>
      </c>
      <c r="I1822" s="672" t="str">
        <f>RTD("esrtd",,ICE[[#This Row],[PCC]] &amp; " " &amp; ICE[[#This Row],[Rolling]] &amp; "-IEU", "Last")</f>
        <v/>
      </c>
      <c r="J1822" s="672" t="str">
        <f>RTD("esrtd",,ICE[[#This Row],[PCC]] &amp; " " &amp; ICE[[#This Row],[Rolling]] &amp; "-IEU", "Last Trade Time")</f>
        <v/>
      </c>
      <c r="K1822" s="672" t="str">
        <f>RTD("esrtd",,ICE[[#This Row],[PCC]] &amp; " " &amp; ICE[[#This Row],[Rolling]] &amp; "-IEU", "Block Price")</f>
        <v/>
      </c>
      <c r="L1822" s="672"/>
      <c r="M1822" s="674" t="str">
        <f>RTD("esrtd",,ICE[[#This Row],[PCC]] &amp; " " &amp; ICE[[#This Row],[Rolling]] &amp; "-IEU", "Block Price DT")</f>
        <v/>
      </c>
      <c r="N1822" s="673" t="str">
        <f>RTD("esrtd",,ICE[[#This Row],[PCC]] &amp; " " &amp; ICE[[#This Row],[Rolling]] &amp; "-IEU", "Volume")</f>
        <v/>
      </c>
      <c r="O1822" s="673" t="str">
        <f>RTD("esrtd",,ICE[[#This Row],[PCC]] &amp; " " &amp; ICE[[#This Row],[Rolling]] &amp; "-IEU", "Block Volume")</f>
        <v/>
      </c>
      <c r="P182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2" s="674" t="str">
        <f>IF(ICE[[#This Row],[LastType]] = "Scrn", ICE[[#This Row],[LstDate]], IF(ICE[[#This Row],[LastType]] = "Blk", ICE[[#This Row],[LstBlkTime]], ""))</f>
        <v/>
      </c>
      <c r="R1822" s="675" t="str">
        <f>IF(ICE[[#This Row],[LastType]] = "Scrn", ICE[[#This Row],[LstPrc]], IF(ICE[[#This Row],[LastType]] = "Blk", ICE[[#This Row],[LstBlkPrc]], ""))</f>
        <v/>
      </c>
      <c r="S1822" s="673" t="e">
        <f>ICE[[#This Row],[Vol]]+ICE[[#This Row],[BlkVol]]</f>
        <v>#VALUE!</v>
      </c>
      <c r="T1822" s="673" t="str">
        <f>RTD("esrtd",,ICE[[#This Row],[PCC]] &amp; " " &amp; ICE[[#This Row],[Rolling]] &amp; "-IEU", "Open Interest")</f>
        <v/>
      </c>
      <c r="U1822" s="672" t="str">
        <f>RTD("esrtd",,ICE[[#This Row],[PCC]] &amp; " " &amp; ICE[[#This Row],[Rolling]] &amp; "-IEU", "Recent Settlement")</f>
        <v/>
      </c>
      <c r="V182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2" s="672" t="str">
        <f>RTD("esrtd",,ICE[[#This Row],[PCC]] &amp; " " &amp; ICE[[#This Row],[Rolling]] &amp; "-IEU", "ICE Theoretical Price")</f>
        <v/>
      </c>
      <c r="X1822" s="673" t="s">
        <v>900</v>
      </c>
    </row>
    <row r="1823" spans="1:24" x14ac:dyDescent="0.25">
      <c r="A1823" s="669" t="s">
        <v>447</v>
      </c>
      <c r="B1823" s="669" t="s">
        <v>926</v>
      </c>
      <c r="C1823" s="670">
        <v>3045330435</v>
      </c>
      <c r="D1823" s="671" t="s">
        <v>799</v>
      </c>
      <c r="E1823" s="672" t="str">
        <f>RTD("esrtd",,ICE[[#This Row],[PCC]] &amp; " " &amp; ICE[[#This Row],[Rolling]] &amp; "-IEU", "Strip")</f>
        <v/>
      </c>
      <c r="F1823" s="670" t="str">
        <f>ICE[[#This Row],[Prod]]&amp;ICE[[#This Row],[Strip]]</f>
        <v>td3c</v>
      </c>
      <c r="G1823" s="672" t="str">
        <f>RTD("esrtd",,ICE[[#This Row],[PCC]] &amp; " " &amp; ICE[[#This Row],[Rolling]] &amp; "-IEU", "Bid")</f>
        <v/>
      </c>
      <c r="H1823" s="672" t="str">
        <f>RTD("esrtd",,ICE[[#This Row],[PCC]] &amp; " " &amp; ICE[[#This Row],[Rolling]] &amp; "-IEU", "Ask")</f>
        <v/>
      </c>
      <c r="I1823" s="672" t="str">
        <f>RTD("esrtd",,ICE[[#This Row],[PCC]] &amp; " " &amp; ICE[[#This Row],[Rolling]] &amp; "-IEU", "Last")</f>
        <v/>
      </c>
      <c r="J1823" s="672" t="str">
        <f>RTD("esrtd",,ICE[[#This Row],[PCC]] &amp; " " &amp; ICE[[#This Row],[Rolling]] &amp; "-IEU", "Last Trade Time")</f>
        <v/>
      </c>
      <c r="K1823" s="672" t="str">
        <f>RTD("esrtd",,ICE[[#This Row],[PCC]] &amp; " " &amp; ICE[[#This Row],[Rolling]] &amp; "-IEU", "Block Price")</f>
        <v/>
      </c>
      <c r="L1823" s="672"/>
      <c r="M1823" s="674" t="str">
        <f>RTD("esrtd",,ICE[[#This Row],[PCC]] &amp; " " &amp; ICE[[#This Row],[Rolling]] &amp; "-IEU", "Block Price DT")</f>
        <v/>
      </c>
      <c r="N1823" s="673" t="str">
        <f>RTD("esrtd",,ICE[[#This Row],[PCC]] &amp; " " &amp; ICE[[#This Row],[Rolling]] &amp; "-IEU", "Volume")</f>
        <v/>
      </c>
      <c r="O1823" s="673" t="str">
        <f>RTD("esrtd",,ICE[[#This Row],[PCC]] &amp; " " &amp; ICE[[#This Row],[Rolling]] &amp; "-IEU", "Block Volume")</f>
        <v/>
      </c>
      <c r="P182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3" s="674" t="str">
        <f>IF(ICE[[#This Row],[LastType]] = "Scrn", ICE[[#This Row],[LstDate]], IF(ICE[[#This Row],[LastType]] = "Blk", ICE[[#This Row],[LstBlkTime]], ""))</f>
        <v/>
      </c>
      <c r="R1823" s="675" t="str">
        <f>IF(ICE[[#This Row],[LastType]] = "Scrn", ICE[[#This Row],[LstPrc]], IF(ICE[[#This Row],[LastType]] = "Blk", ICE[[#This Row],[LstBlkPrc]], ""))</f>
        <v/>
      </c>
      <c r="S1823" s="673" t="e">
        <f>ICE[[#This Row],[Vol]]+ICE[[#This Row],[BlkVol]]</f>
        <v>#VALUE!</v>
      </c>
      <c r="T1823" s="673" t="str">
        <f>RTD("esrtd",,ICE[[#This Row],[PCC]] &amp; " " &amp; ICE[[#This Row],[Rolling]] &amp; "-IEU", "Open Interest")</f>
        <v/>
      </c>
      <c r="U1823" s="672" t="str">
        <f>RTD("esrtd",,ICE[[#This Row],[PCC]] &amp; " " &amp; ICE[[#This Row],[Rolling]] &amp; "-IEU", "Recent Settlement")</f>
        <v/>
      </c>
      <c r="V182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3" s="672" t="str">
        <f>RTD("esrtd",,ICE[[#This Row],[PCC]] &amp; " " &amp; ICE[[#This Row],[Rolling]] &amp; "-IEU", "ICE Theoretical Price")</f>
        <v/>
      </c>
      <c r="X1823" s="673" t="s">
        <v>901</v>
      </c>
    </row>
    <row r="1824" spans="1:24" x14ac:dyDescent="0.25">
      <c r="A1824" s="669" t="s">
        <v>447</v>
      </c>
      <c r="B1824" s="669" t="s">
        <v>926</v>
      </c>
      <c r="C1824" s="670">
        <v>3045330435</v>
      </c>
      <c r="D1824" s="671" t="s">
        <v>800</v>
      </c>
      <c r="E1824" s="672" t="str">
        <f>RTD("esrtd",,ICE[[#This Row],[PCC]] &amp; " " &amp; ICE[[#This Row],[Rolling]] &amp; "-IEU", "Strip")</f>
        <v/>
      </c>
      <c r="F1824" s="670" t="str">
        <f>ICE[[#This Row],[Prod]]&amp;ICE[[#This Row],[Strip]]</f>
        <v>td3c</v>
      </c>
      <c r="G1824" s="672" t="str">
        <f>RTD("esrtd",,ICE[[#This Row],[PCC]] &amp; " " &amp; ICE[[#This Row],[Rolling]] &amp; "-IEU", "Bid")</f>
        <v/>
      </c>
      <c r="H1824" s="672" t="str">
        <f>RTD("esrtd",,ICE[[#This Row],[PCC]] &amp; " " &amp; ICE[[#This Row],[Rolling]] &amp; "-IEU", "Ask")</f>
        <v/>
      </c>
      <c r="I1824" s="672" t="str">
        <f>RTD("esrtd",,ICE[[#This Row],[PCC]] &amp; " " &amp; ICE[[#This Row],[Rolling]] &amp; "-IEU", "Last")</f>
        <v/>
      </c>
      <c r="J1824" s="672" t="str">
        <f>RTD("esrtd",,ICE[[#This Row],[PCC]] &amp; " " &amp; ICE[[#This Row],[Rolling]] &amp; "-IEU", "Last Trade Time")</f>
        <v/>
      </c>
      <c r="K1824" s="672" t="str">
        <f>RTD("esrtd",,ICE[[#This Row],[PCC]] &amp; " " &amp; ICE[[#This Row],[Rolling]] &amp; "-IEU", "Block Price")</f>
        <v/>
      </c>
      <c r="L1824" s="672"/>
      <c r="M1824" s="674" t="str">
        <f>RTD("esrtd",,ICE[[#This Row],[PCC]] &amp; " " &amp; ICE[[#This Row],[Rolling]] &amp; "-IEU", "Block Price DT")</f>
        <v/>
      </c>
      <c r="N1824" s="673" t="str">
        <f>RTD("esrtd",,ICE[[#This Row],[PCC]] &amp; " " &amp; ICE[[#This Row],[Rolling]] &amp; "-IEU", "Volume")</f>
        <v/>
      </c>
      <c r="O1824" s="673" t="str">
        <f>RTD("esrtd",,ICE[[#This Row],[PCC]] &amp; " " &amp; ICE[[#This Row],[Rolling]] &amp; "-IEU", "Block Volume")</f>
        <v/>
      </c>
      <c r="P182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4" s="674" t="str">
        <f>IF(ICE[[#This Row],[LastType]] = "Scrn", ICE[[#This Row],[LstDate]], IF(ICE[[#This Row],[LastType]] = "Blk", ICE[[#This Row],[LstBlkTime]], ""))</f>
        <v/>
      </c>
      <c r="R1824" s="675" t="str">
        <f>IF(ICE[[#This Row],[LastType]] = "Scrn", ICE[[#This Row],[LstPrc]], IF(ICE[[#This Row],[LastType]] = "Blk", ICE[[#This Row],[LstBlkPrc]], ""))</f>
        <v/>
      </c>
      <c r="S1824" s="673" t="e">
        <f>ICE[[#This Row],[Vol]]+ICE[[#This Row],[BlkVol]]</f>
        <v>#VALUE!</v>
      </c>
      <c r="T1824" s="673" t="str">
        <f>RTD("esrtd",,ICE[[#This Row],[PCC]] &amp; " " &amp; ICE[[#This Row],[Rolling]] &amp; "-IEU", "Open Interest")</f>
        <v/>
      </c>
      <c r="U1824" s="672" t="str">
        <f>RTD("esrtd",,ICE[[#This Row],[PCC]] &amp; " " &amp; ICE[[#This Row],[Rolling]] &amp; "-IEU", "Recent Settlement")</f>
        <v/>
      </c>
      <c r="V182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4" s="672" t="str">
        <f>RTD("esrtd",,ICE[[#This Row],[PCC]] &amp; " " &amp; ICE[[#This Row],[Rolling]] &amp; "-IEU", "ICE Theoretical Price")</f>
        <v/>
      </c>
      <c r="X1824" s="673" t="s">
        <v>902</v>
      </c>
    </row>
    <row r="1825" spans="1:24" x14ac:dyDescent="0.25">
      <c r="A1825" s="669" t="s">
        <v>447</v>
      </c>
      <c r="B1825" s="669" t="s">
        <v>926</v>
      </c>
      <c r="C1825" s="670">
        <v>3045330435</v>
      </c>
      <c r="D1825" s="671" t="s">
        <v>801</v>
      </c>
      <c r="E1825" s="672" t="str">
        <f>RTD("esrtd",,ICE[[#This Row],[PCC]] &amp; " " &amp; ICE[[#This Row],[Rolling]] &amp; "-IEU", "Strip")</f>
        <v/>
      </c>
      <c r="F1825" s="670" t="str">
        <f>ICE[[#This Row],[Prod]]&amp;ICE[[#This Row],[Strip]]</f>
        <v>td3c</v>
      </c>
      <c r="G1825" s="672" t="str">
        <f>RTD("esrtd",,ICE[[#This Row],[PCC]] &amp; " " &amp; ICE[[#This Row],[Rolling]] &amp; "-IEU", "Bid")</f>
        <v/>
      </c>
      <c r="H1825" s="672" t="str">
        <f>RTD("esrtd",,ICE[[#This Row],[PCC]] &amp; " " &amp; ICE[[#This Row],[Rolling]] &amp; "-IEU", "Ask")</f>
        <v/>
      </c>
      <c r="I1825" s="672" t="str">
        <f>RTD("esrtd",,ICE[[#This Row],[PCC]] &amp; " " &amp; ICE[[#This Row],[Rolling]] &amp; "-IEU", "Last")</f>
        <v/>
      </c>
      <c r="J1825" s="672" t="str">
        <f>RTD("esrtd",,ICE[[#This Row],[PCC]] &amp; " " &amp; ICE[[#This Row],[Rolling]] &amp; "-IEU", "Last Trade Time")</f>
        <v/>
      </c>
      <c r="K1825" s="672" t="str">
        <f>RTD("esrtd",,ICE[[#This Row],[PCC]] &amp; " " &amp; ICE[[#This Row],[Rolling]] &amp; "-IEU", "Block Price")</f>
        <v/>
      </c>
      <c r="L1825" s="672"/>
      <c r="M1825" s="674" t="str">
        <f>RTD("esrtd",,ICE[[#This Row],[PCC]] &amp; " " &amp; ICE[[#This Row],[Rolling]] &amp; "-IEU", "Block Price DT")</f>
        <v/>
      </c>
      <c r="N1825" s="673" t="str">
        <f>RTD("esrtd",,ICE[[#This Row],[PCC]] &amp; " " &amp; ICE[[#This Row],[Rolling]] &amp; "-IEU", "Volume")</f>
        <v/>
      </c>
      <c r="O1825" s="673" t="str">
        <f>RTD("esrtd",,ICE[[#This Row],[PCC]] &amp; " " &amp; ICE[[#This Row],[Rolling]] &amp; "-IEU", "Block Volume")</f>
        <v/>
      </c>
      <c r="P182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5" s="674" t="str">
        <f>IF(ICE[[#This Row],[LastType]] = "Scrn", ICE[[#This Row],[LstDate]], IF(ICE[[#This Row],[LastType]] = "Blk", ICE[[#This Row],[LstBlkTime]], ""))</f>
        <v/>
      </c>
      <c r="R1825" s="675" t="str">
        <f>IF(ICE[[#This Row],[LastType]] = "Scrn", ICE[[#This Row],[LstPrc]], IF(ICE[[#This Row],[LastType]] = "Blk", ICE[[#This Row],[LstBlkPrc]], ""))</f>
        <v/>
      </c>
      <c r="S1825" s="673" t="e">
        <f>ICE[[#This Row],[Vol]]+ICE[[#This Row],[BlkVol]]</f>
        <v>#VALUE!</v>
      </c>
      <c r="T1825" s="673" t="str">
        <f>RTD("esrtd",,ICE[[#This Row],[PCC]] &amp; " " &amp; ICE[[#This Row],[Rolling]] &amp; "-IEU", "Open Interest")</f>
        <v/>
      </c>
      <c r="U1825" s="672" t="str">
        <f>RTD("esrtd",,ICE[[#This Row],[PCC]] &amp; " " &amp; ICE[[#This Row],[Rolling]] &amp; "-IEU", "Recent Settlement")</f>
        <v/>
      </c>
      <c r="V182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5" s="672" t="str">
        <f>RTD("esrtd",,ICE[[#This Row],[PCC]] &amp; " " &amp; ICE[[#This Row],[Rolling]] &amp; "-IEU", "ICE Theoretical Price")</f>
        <v/>
      </c>
      <c r="X1825" s="673" t="s">
        <v>903</v>
      </c>
    </row>
    <row r="1826" spans="1:24" x14ac:dyDescent="0.25">
      <c r="A1826" s="669" t="s">
        <v>447</v>
      </c>
      <c r="B1826" s="669" t="s">
        <v>926</v>
      </c>
      <c r="C1826" s="670">
        <v>3045330435</v>
      </c>
      <c r="D1826" s="671" t="s">
        <v>802</v>
      </c>
      <c r="E1826" s="672" t="str">
        <f>RTD("esrtd",,ICE[[#This Row],[PCC]] &amp; " " &amp; ICE[[#This Row],[Rolling]] &amp; "-IEU", "Strip")</f>
        <v/>
      </c>
      <c r="F1826" s="670" t="str">
        <f>ICE[[#This Row],[Prod]]&amp;ICE[[#This Row],[Strip]]</f>
        <v>td3c</v>
      </c>
      <c r="G1826" s="672" t="str">
        <f>RTD("esrtd",,ICE[[#This Row],[PCC]] &amp; " " &amp; ICE[[#This Row],[Rolling]] &amp; "-IEU", "Bid")</f>
        <v/>
      </c>
      <c r="H1826" s="672" t="str">
        <f>RTD("esrtd",,ICE[[#This Row],[PCC]] &amp; " " &amp; ICE[[#This Row],[Rolling]] &amp; "-IEU", "Ask")</f>
        <v/>
      </c>
      <c r="I1826" s="672" t="str">
        <f>RTD("esrtd",,ICE[[#This Row],[PCC]] &amp; " " &amp; ICE[[#This Row],[Rolling]] &amp; "-IEU", "Last")</f>
        <v/>
      </c>
      <c r="J1826" s="672" t="str">
        <f>RTD("esrtd",,ICE[[#This Row],[PCC]] &amp; " " &amp; ICE[[#This Row],[Rolling]] &amp; "-IEU", "Last Trade Time")</f>
        <v/>
      </c>
      <c r="K1826" s="672" t="str">
        <f>RTD("esrtd",,ICE[[#This Row],[PCC]] &amp; " " &amp; ICE[[#This Row],[Rolling]] &amp; "-IEU", "Block Price")</f>
        <v/>
      </c>
      <c r="L1826" s="672"/>
      <c r="M1826" s="674" t="str">
        <f>RTD("esrtd",,ICE[[#This Row],[PCC]] &amp; " " &amp; ICE[[#This Row],[Rolling]] &amp; "-IEU", "Block Price DT")</f>
        <v/>
      </c>
      <c r="N1826" s="673" t="str">
        <f>RTD("esrtd",,ICE[[#This Row],[PCC]] &amp; " " &amp; ICE[[#This Row],[Rolling]] &amp; "-IEU", "Volume")</f>
        <v/>
      </c>
      <c r="O1826" s="673" t="str">
        <f>RTD("esrtd",,ICE[[#This Row],[PCC]] &amp; " " &amp; ICE[[#This Row],[Rolling]] &amp; "-IEU", "Block Volume")</f>
        <v/>
      </c>
      <c r="P182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6" s="674" t="str">
        <f>IF(ICE[[#This Row],[LastType]] = "Scrn", ICE[[#This Row],[LstDate]], IF(ICE[[#This Row],[LastType]] = "Blk", ICE[[#This Row],[LstBlkTime]], ""))</f>
        <v/>
      </c>
      <c r="R1826" s="675" t="str">
        <f>IF(ICE[[#This Row],[LastType]] = "Scrn", ICE[[#This Row],[LstPrc]], IF(ICE[[#This Row],[LastType]] = "Blk", ICE[[#This Row],[LstBlkPrc]], ""))</f>
        <v/>
      </c>
      <c r="S1826" s="673" t="e">
        <f>ICE[[#This Row],[Vol]]+ICE[[#This Row],[BlkVol]]</f>
        <v>#VALUE!</v>
      </c>
      <c r="T1826" s="673" t="str">
        <f>RTD("esrtd",,ICE[[#This Row],[PCC]] &amp; " " &amp; ICE[[#This Row],[Rolling]] &amp; "-IEU", "Open Interest")</f>
        <v/>
      </c>
      <c r="U1826" s="672" t="str">
        <f>RTD("esrtd",,ICE[[#This Row],[PCC]] &amp; " " &amp; ICE[[#This Row],[Rolling]] &amp; "-IEU", "Recent Settlement")</f>
        <v/>
      </c>
      <c r="V182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6" s="672" t="str">
        <f>RTD("esrtd",,ICE[[#This Row],[PCC]] &amp; " " &amp; ICE[[#This Row],[Rolling]] &amp; "-IEU", "ICE Theoretical Price")</f>
        <v/>
      </c>
      <c r="X1826" s="673" t="s">
        <v>904</v>
      </c>
    </row>
    <row r="1827" spans="1:24" x14ac:dyDescent="0.25">
      <c r="A1827" s="669" t="s">
        <v>447</v>
      </c>
      <c r="B1827" s="669" t="s">
        <v>926</v>
      </c>
      <c r="C1827" s="670">
        <v>3045330435</v>
      </c>
      <c r="D1827" s="671" t="s">
        <v>803</v>
      </c>
      <c r="E1827" s="672" t="str">
        <f>RTD("esrtd",,ICE[[#This Row],[PCC]] &amp; " " &amp; ICE[[#This Row],[Rolling]] &amp; "-IEU", "Strip")</f>
        <v/>
      </c>
      <c r="F1827" s="670" t="str">
        <f>ICE[[#This Row],[Prod]]&amp;ICE[[#This Row],[Strip]]</f>
        <v>td3c</v>
      </c>
      <c r="G1827" s="672" t="str">
        <f>RTD("esrtd",,ICE[[#This Row],[PCC]] &amp; " " &amp; ICE[[#This Row],[Rolling]] &amp; "-IEU", "Bid")</f>
        <v/>
      </c>
      <c r="H1827" s="672" t="str">
        <f>RTD("esrtd",,ICE[[#This Row],[PCC]] &amp; " " &amp; ICE[[#This Row],[Rolling]] &amp; "-IEU", "Ask")</f>
        <v/>
      </c>
      <c r="I1827" s="672" t="str">
        <f>RTD("esrtd",,ICE[[#This Row],[PCC]] &amp; " " &amp; ICE[[#This Row],[Rolling]] &amp; "-IEU", "Last")</f>
        <v/>
      </c>
      <c r="J1827" s="672" t="str">
        <f>RTD("esrtd",,ICE[[#This Row],[PCC]] &amp; " " &amp; ICE[[#This Row],[Rolling]] &amp; "-IEU", "Last Trade Time")</f>
        <v/>
      </c>
      <c r="K1827" s="672" t="str">
        <f>RTD("esrtd",,ICE[[#This Row],[PCC]] &amp; " " &amp; ICE[[#This Row],[Rolling]] &amp; "-IEU", "Block Price")</f>
        <v/>
      </c>
      <c r="L1827" s="672"/>
      <c r="M1827" s="674" t="str">
        <f>RTD("esrtd",,ICE[[#This Row],[PCC]] &amp; " " &amp; ICE[[#This Row],[Rolling]] &amp; "-IEU", "Block Price DT")</f>
        <v/>
      </c>
      <c r="N1827" s="673" t="str">
        <f>RTD("esrtd",,ICE[[#This Row],[PCC]] &amp; " " &amp; ICE[[#This Row],[Rolling]] &amp; "-IEU", "Volume")</f>
        <v/>
      </c>
      <c r="O1827" s="673" t="str">
        <f>RTD("esrtd",,ICE[[#This Row],[PCC]] &amp; " " &amp; ICE[[#This Row],[Rolling]] &amp; "-IEU", "Block Volume")</f>
        <v/>
      </c>
      <c r="P182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7" s="674" t="str">
        <f>IF(ICE[[#This Row],[LastType]] = "Scrn", ICE[[#This Row],[LstDate]], IF(ICE[[#This Row],[LastType]] = "Blk", ICE[[#This Row],[LstBlkTime]], ""))</f>
        <v/>
      </c>
      <c r="R1827" s="675" t="str">
        <f>IF(ICE[[#This Row],[LastType]] = "Scrn", ICE[[#This Row],[LstPrc]], IF(ICE[[#This Row],[LastType]] = "Blk", ICE[[#This Row],[LstBlkPrc]], ""))</f>
        <v/>
      </c>
      <c r="S1827" s="673" t="e">
        <f>ICE[[#This Row],[Vol]]+ICE[[#This Row],[BlkVol]]</f>
        <v>#VALUE!</v>
      </c>
      <c r="T1827" s="673" t="str">
        <f>RTD("esrtd",,ICE[[#This Row],[PCC]] &amp; " " &amp; ICE[[#This Row],[Rolling]] &amp; "-IEU", "Open Interest")</f>
        <v/>
      </c>
      <c r="U1827" s="672" t="str">
        <f>RTD("esrtd",,ICE[[#This Row],[PCC]] &amp; " " &amp; ICE[[#This Row],[Rolling]] &amp; "-IEU", "Recent Settlement")</f>
        <v/>
      </c>
      <c r="V182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7" s="672" t="str">
        <f>RTD("esrtd",,ICE[[#This Row],[PCC]] &amp; " " &amp; ICE[[#This Row],[Rolling]] &amp; "-IEU", "ICE Theoretical Price")</f>
        <v/>
      </c>
      <c r="X1827" s="673" t="s">
        <v>905</v>
      </c>
    </row>
    <row r="1828" spans="1:24" x14ac:dyDescent="0.25">
      <c r="A1828" s="669" t="s">
        <v>447</v>
      </c>
      <c r="B1828" s="669" t="s">
        <v>926</v>
      </c>
      <c r="C1828" s="670">
        <v>3045330435</v>
      </c>
      <c r="D1828" s="671" t="s">
        <v>793</v>
      </c>
      <c r="E1828" s="672" t="str">
        <f>RTD("esrtd",,ICE[[#This Row],[PCC]] &amp; " " &amp; ICE[[#This Row],[Rolling]] &amp; "-IEU", "Strip")</f>
        <v/>
      </c>
      <c r="F1828" s="670" t="str">
        <f>ICE[[#This Row],[Prod]]&amp;ICE[[#This Row],[Strip]]</f>
        <v>td3c</v>
      </c>
      <c r="G1828" s="672" t="str">
        <f>RTD("esrtd",,ICE[[#This Row],[PCC]] &amp; " " &amp; ICE[[#This Row],[Rolling]] &amp; "-IEU", "Bid")</f>
        <v/>
      </c>
      <c r="H1828" s="672" t="str">
        <f>RTD("esrtd",,ICE[[#This Row],[PCC]] &amp; " " &amp; ICE[[#This Row],[Rolling]] &amp; "-IEU", "Ask")</f>
        <v/>
      </c>
      <c r="I1828" s="672" t="str">
        <f>RTD("esrtd",,ICE[[#This Row],[PCC]] &amp; " " &amp; ICE[[#This Row],[Rolling]] &amp; "-IEU", "Last")</f>
        <v/>
      </c>
      <c r="J1828" s="672" t="str">
        <f>RTD("esrtd",,ICE[[#This Row],[PCC]] &amp; " " &amp; ICE[[#This Row],[Rolling]] &amp; "-IEU", "Last Trade Time")</f>
        <v/>
      </c>
      <c r="K1828" s="672" t="str">
        <f>RTD("esrtd",,ICE[[#This Row],[PCC]] &amp; " " &amp; ICE[[#This Row],[Rolling]] &amp; "-IEU", "Block Price")</f>
        <v/>
      </c>
      <c r="L1828" s="672"/>
      <c r="M1828" s="674" t="str">
        <f>RTD("esrtd",,ICE[[#This Row],[PCC]] &amp; " " &amp; ICE[[#This Row],[Rolling]] &amp; "-IEU", "Block Price DT")</f>
        <v/>
      </c>
      <c r="N1828" s="673" t="str">
        <f>RTD("esrtd",,ICE[[#This Row],[PCC]] &amp; " " &amp; ICE[[#This Row],[Rolling]] &amp; "-IEU", "Volume")</f>
        <v/>
      </c>
      <c r="O1828" s="673" t="str">
        <f>RTD("esrtd",,ICE[[#This Row],[PCC]] &amp; " " &amp; ICE[[#This Row],[Rolling]] &amp; "-IEU", "Block Volume")</f>
        <v/>
      </c>
      <c r="P182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8" s="674" t="str">
        <f>IF(ICE[[#This Row],[LastType]] = "Scrn", ICE[[#This Row],[LstDate]], IF(ICE[[#This Row],[LastType]] = "Blk", ICE[[#This Row],[LstBlkTime]], ""))</f>
        <v/>
      </c>
      <c r="R1828" s="675" t="str">
        <f>IF(ICE[[#This Row],[LastType]] = "Scrn", ICE[[#This Row],[LstPrc]], IF(ICE[[#This Row],[LastType]] = "Blk", ICE[[#This Row],[LstBlkPrc]], ""))</f>
        <v/>
      </c>
      <c r="S1828" s="673" t="e">
        <f>ICE[[#This Row],[Vol]]+ICE[[#This Row],[BlkVol]]</f>
        <v>#VALUE!</v>
      </c>
      <c r="T1828" s="673" t="str">
        <f>RTD("esrtd",,ICE[[#This Row],[PCC]] &amp; " " &amp; ICE[[#This Row],[Rolling]] &amp; "-IEU", "Open Interest")</f>
        <v/>
      </c>
      <c r="U1828" s="672" t="str">
        <f>RTD("esrtd",,ICE[[#This Row],[PCC]] &amp; " " &amp; ICE[[#This Row],[Rolling]] &amp; "-IEU", "Recent Settlement")</f>
        <v/>
      </c>
      <c r="V182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8" s="672" t="str">
        <f>RTD("esrtd",,ICE[[#This Row],[PCC]] &amp; " " &amp; ICE[[#This Row],[Rolling]] &amp; "-IEU", "ICE Theoretical Price")</f>
        <v/>
      </c>
      <c r="X1828" s="673" t="s">
        <v>906</v>
      </c>
    </row>
    <row r="1829" spans="1:24" x14ac:dyDescent="0.25">
      <c r="A1829" s="669" t="s">
        <v>447</v>
      </c>
      <c r="B1829" s="669" t="s">
        <v>926</v>
      </c>
      <c r="C1829" s="670">
        <v>3045330435</v>
      </c>
      <c r="D1829" s="671" t="s">
        <v>324</v>
      </c>
      <c r="E1829" s="672" t="str">
        <f>RTD("esrtd",,ICE[[#This Row],[PCC]] &amp; " " &amp; ICE[[#This Row],[Rolling]] &amp; "-IEU", "Strip")</f>
        <v/>
      </c>
      <c r="F1829" s="670" t="str">
        <f>ICE[[#This Row],[Prod]]&amp;ICE[[#This Row],[Strip]]</f>
        <v>td3c</v>
      </c>
      <c r="G1829" s="672" t="str">
        <f>RTD("esrtd",,ICE[[#This Row],[PCC]] &amp; " " &amp; ICE[[#This Row],[Rolling]] &amp; "-IEU", "Bid")</f>
        <v/>
      </c>
      <c r="H1829" s="672" t="str">
        <f>RTD("esrtd",,ICE[[#This Row],[PCC]] &amp; " " &amp; ICE[[#This Row],[Rolling]] &amp; "-IEU", "Ask")</f>
        <v/>
      </c>
      <c r="I1829" s="672" t="str">
        <f>RTD("esrtd",,ICE[[#This Row],[PCC]] &amp; " " &amp; ICE[[#This Row],[Rolling]] &amp; "-IEU", "Last")</f>
        <v/>
      </c>
      <c r="J1829" s="672" t="str">
        <f>RTD("esrtd",,ICE[[#This Row],[PCC]] &amp; " " &amp; ICE[[#This Row],[Rolling]] &amp; "-IEU", "Last Trade Time")</f>
        <v/>
      </c>
      <c r="K1829" s="672" t="str">
        <f>RTD("esrtd",,ICE[[#This Row],[PCC]] &amp; " " &amp; ICE[[#This Row],[Rolling]] &amp; "-IEU", "Block Price")</f>
        <v/>
      </c>
      <c r="L1829" s="672"/>
      <c r="M1829" s="674" t="str">
        <f>RTD("esrtd",,ICE[[#This Row],[PCC]] &amp; " " &amp; ICE[[#This Row],[Rolling]] &amp; "-IEU", "Block Price DT")</f>
        <v/>
      </c>
      <c r="N1829" s="673" t="str">
        <f>RTD("esrtd",,ICE[[#This Row],[PCC]] &amp; " " &amp; ICE[[#This Row],[Rolling]] &amp; "-IEU", "Volume")</f>
        <v/>
      </c>
      <c r="O1829" s="673" t="str">
        <f>RTD("esrtd",,ICE[[#This Row],[PCC]] &amp; " " &amp; ICE[[#This Row],[Rolling]] &amp; "-IEU", "Block Volume")</f>
        <v/>
      </c>
      <c r="P182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29" s="674" t="str">
        <f>IF(ICE[[#This Row],[LastType]] = "Scrn", ICE[[#This Row],[LstDate]], IF(ICE[[#This Row],[LastType]] = "Blk", ICE[[#This Row],[LstBlkTime]], ""))</f>
        <v/>
      </c>
      <c r="R1829" s="675" t="str">
        <f>IF(ICE[[#This Row],[LastType]] = "Scrn", ICE[[#This Row],[LstPrc]], IF(ICE[[#This Row],[LastType]] = "Blk", ICE[[#This Row],[LstBlkPrc]], ""))</f>
        <v/>
      </c>
      <c r="S1829" s="673" t="e">
        <f>ICE[[#This Row],[Vol]]+ICE[[#This Row],[BlkVol]]</f>
        <v>#VALUE!</v>
      </c>
      <c r="T1829" s="673" t="str">
        <f>RTD("esrtd",,ICE[[#This Row],[PCC]] &amp; " " &amp; ICE[[#This Row],[Rolling]] &amp; "-IEU", "Open Interest")</f>
        <v/>
      </c>
      <c r="U1829" s="672" t="str">
        <f>RTD("esrtd",,ICE[[#This Row],[PCC]] &amp; " " &amp; ICE[[#This Row],[Rolling]] &amp; "-IEU", "Recent Settlement")</f>
        <v/>
      </c>
      <c r="V182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29" s="672" t="str">
        <f>RTD("esrtd",,ICE[[#This Row],[PCC]] &amp; " " &amp; ICE[[#This Row],[Rolling]] &amp; "-IEU", "ICE Theoretical Price")</f>
        <v/>
      </c>
      <c r="X1829" s="673" t="s">
        <v>907</v>
      </c>
    </row>
    <row r="1830" spans="1:24" x14ac:dyDescent="0.25">
      <c r="A1830" s="669" t="s">
        <v>447</v>
      </c>
      <c r="B1830" s="669" t="s">
        <v>926</v>
      </c>
      <c r="C1830" s="670">
        <v>3045330435</v>
      </c>
      <c r="D1830" s="671" t="s">
        <v>325</v>
      </c>
      <c r="E1830" s="672" t="str">
        <f>RTD("esrtd",,ICE[[#This Row],[PCC]] &amp; " " &amp; ICE[[#This Row],[Rolling]] &amp; "-IEU", "Strip")</f>
        <v/>
      </c>
      <c r="F1830" s="670" t="str">
        <f>ICE[[#This Row],[Prod]]&amp;ICE[[#This Row],[Strip]]</f>
        <v>td3c</v>
      </c>
      <c r="G1830" s="672" t="str">
        <f>RTD("esrtd",,ICE[[#This Row],[PCC]] &amp; " " &amp; ICE[[#This Row],[Rolling]] &amp; "-IEU", "Bid")</f>
        <v/>
      </c>
      <c r="H1830" s="672" t="str">
        <f>RTD("esrtd",,ICE[[#This Row],[PCC]] &amp; " " &amp; ICE[[#This Row],[Rolling]] &amp; "-IEU", "Ask")</f>
        <v/>
      </c>
      <c r="I1830" s="672" t="str">
        <f>RTD("esrtd",,ICE[[#This Row],[PCC]] &amp; " " &amp; ICE[[#This Row],[Rolling]] &amp; "-IEU", "Last")</f>
        <v/>
      </c>
      <c r="J1830" s="672" t="str">
        <f>RTD("esrtd",,ICE[[#This Row],[PCC]] &amp; " " &amp; ICE[[#This Row],[Rolling]] &amp; "-IEU", "Last Trade Time")</f>
        <v/>
      </c>
      <c r="K1830" s="672" t="str">
        <f>RTD("esrtd",,ICE[[#This Row],[PCC]] &amp; " " &amp; ICE[[#This Row],[Rolling]] &amp; "-IEU", "Block Price")</f>
        <v/>
      </c>
      <c r="L1830" s="672"/>
      <c r="M1830" s="674" t="str">
        <f>RTD("esrtd",,ICE[[#This Row],[PCC]] &amp; " " &amp; ICE[[#This Row],[Rolling]] &amp; "-IEU", "Block Price DT")</f>
        <v/>
      </c>
      <c r="N1830" s="673" t="str">
        <f>RTD("esrtd",,ICE[[#This Row],[PCC]] &amp; " " &amp; ICE[[#This Row],[Rolling]] &amp; "-IEU", "Volume")</f>
        <v/>
      </c>
      <c r="O1830" s="673" t="str">
        <f>RTD("esrtd",,ICE[[#This Row],[PCC]] &amp; " " &amp; ICE[[#This Row],[Rolling]] &amp; "-IEU", "Block Volume")</f>
        <v/>
      </c>
      <c r="P183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0" s="674" t="str">
        <f>IF(ICE[[#This Row],[LastType]] = "Scrn", ICE[[#This Row],[LstDate]], IF(ICE[[#This Row],[LastType]] = "Blk", ICE[[#This Row],[LstBlkTime]], ""))</f>
        <v/>
      </c>
      <c r="R1830" s="675" t="str">
        <f>IF(ICE[[#This Row],[LastType]] = "Scrn", ICE[[#This Row],[LstPrc]], IF(ICE[[#This Row],[LastType]] = "Blk", ICE[[#This Row],[LstBlkPrc]], ""))</f>
        <v/>
      </c>
      <c r="S1830" s="673" t="e">
        <f>ICE[[#This Row],[Vol]]+ICE[[#This Row],[BlkVol]]</f>
        <v>#VALUE!</v>
      </c>
      <c r="T1830" s="673" t="str">
        <f>RTD("esrtd",,ICE[[#This Row],[PCC]] &amp; " " &amp; ICE[[#This Row],[Rolling]] &amp; "-IEU", "Open Interest")</f>
        <v/>
      </c>
      <c r="U1830" s="672" t="str">
        <f>RTD("esrtd",,ICE[[#This Row],[PCC]] &amp; " " &amp; ICE[[#This Row],[Rolling]] &amp; "-IEU", "Recent Settlement")</f>
        <v/>
      </c>
      <c r="V183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0" s="672" t="str">
        <f>RTD("esrtd",,ICE[[#This Row],[PCC]] &amp; " " &amp; ICE[[#This Row],[Rolling]] &amp; "-IEU", "ICE Theoretical Price")</f>
        <v/>
      </c>
      <c r="X1830" s="673" t="s">
        <v>908</v>
      </c>
    </row>
    <row r="1831" spans="1:24" x14ac:dyDescent="0.25">
      <c r="A1831" s="669" t="s">
        <v>447</v>
      </c>
      <c r="B1831" s="669" t="s">
        <v>926</v>
      </c>
      <c r="C1831" s="670">
        <v>3045330435</v>
      </c>
      <c r="D1831" s="671" t="s">
        <v>326</v>
      </c>
      <c r="E1831" s="672" t="str">
        <f>RTD("esrtd",,ICE[[#This Row],[PCC]] &amp; " " &amp; ICE[[#This Row],[Rolling]] &amp; "-IEU", "Strip")</f>
        <v/>
      </c>
      <c r="F1831" s="670" t="str">
        <f>ICE[[#This Row],[Prod]]&amp;ICE[[#This Row],[Strip]]</f>
        <v>td3c</v>
      </c>
      <c r="G1831" s="672" t="str">
        <f>RTD("esrtd",,ICE[[#This Row],[PCC]] &amp; " " &amp; ICE[[#This Row],[Rolling]] &amp; "-IEU", "Bid")</f>
        <v/>
      </c>
      <c r="H1831" s="672" t="str">
        <f>RTD("esrtd",,ICE[[#This Row],[PCC]] &amp; " " &amp; ICE[[#This Row],[Rolling]] &amp; "-IEU", "Ask")</f>
        <v/>
      </c>
      <c r="I1831" s="672" t="str">
        <f>RTD("esrtd",,ICE[[#This Row],[PCC]] &amp; " " &amp; ICE[[#This Row],[Rolling]] &amp; "-IEU", "Last")</f>
        <v/>
      </c>
      <c r="J1831" s="672" t="str">
        <f>RTD("esrtd",,ICE[[#This Row],[PCC]] &amp; " " &amp; ICE[[#This Row],[Rolling]] &amp; "-IEU", "Last Trade Time")</f>
        <v/>
      </c>
      <c r="K1831" s="672" t="str">
        <f>RTD("esrtd",,ICE[[#This Row],[PCC]] &amp; " " &amp; ICE[[#This Row],[Rolling]] &amp; "-IEU", "Block Price")</f>
        <v/>
      </c>
      <c r="L1831" s="672"/>
      <c r="M1831" s="674" t="str">
        <f>RTD("esrtd",,ICE[[#This Row],[PCC]] &amp; " " &amp; ICE[[#This Row],[Rolling]] &amp; "-IEU", "Block Price DT")</f>
        <v/>
      </c>
      <c r="N1831" s="673" t="str">
        <f>RTD("esrtd",,ICE[[#This Row],[PCC]] &amp; " " &amp; ICE[[#This Row],[Rolling]] &amp; "-IEU", "Volume")</f>
        <v/>
      </c>
      <c r="O1831" s="673" t="str">
        <f>RTD("esrtd",,ICE[[#This Row],[PCC]] &amp; " " &amp; ICE[[#This Row],[Rolling]] &amp; "-IEU", "Block Volume")</f>
        <v/>
      </c>
      <c r="P183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1" s="674" t="str">
        <f>IF(ICE[[#This Row],[LastType]] = "Scrn", ICE[[#This Row],[LstDate]], IF(ICE[[#This Row],[LastType]] = "Blk", ICE[[#This Row],[LstBlkTime]], ""))</f>
        <v/>
      </c>
      <c r="R1831" s="675" t="str">
        <f>IF(ICE[[#This Row],[LastType]] = "Scrn", ICE[[#This Row],[LstPrc]], IF(ICE[[#This Row],[LastType]] = "Blk", ICE[[#This Row],[LstBlkPrc]], ""))</f>
        <v/>
      </c>
      <c r="S1831" s="673" t="e">
        <f>ICE[[#This Row],[Vol]]+ICE[[#This Row],[BlkVol]]</f>
        <v>#VALUE!</v>
      </c>
      <c r="T1831" s="673" t="str">
        <f>RTD("esrtd",,ICE[[#This Row],[PCC]] &amp; " " &amp; ICE[[#This Row],[Rolling]] &amp; "-IEU", "Open Interest")</f>
        <v/>
      </c>
      <c r="U1831" s="672" t="str">
        <f>RTD("esrtd",,ICE[[#This Row],[PCC]] &amp; " " &amp; ICE[[#This Row],[Rolling]] &amp; "-IEU", "Recent Settlement")</f>
        <v/>
      </c>
      <c r="V183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1" s="672" t="str">
        <f>RTD("esrtd",,ICE[[#This Row],[PCC]] &amp; " " &amp; ICE[[#This Row],[Rolling]] &amp; "-IEU", "ICE Theoretical Price")</f>
        <v/>
      </c>
      <c r="X1831" s="673" t="s">
        <v>909</v>
      </c>
    </row>
    <row r="1832" spans="1:24" x14ac:dyDescent="0.25">
      <c r="A1832" s="669" t="s">
        <v>447</v>
      </c>
      <c r="B1832" s="669" t="s">
        <v>926</v>
      </c>
      <c r="C1832" s="670">
        <v>3045330435</v>
      </c>
      <c r="D1832" s="671" t="s">
        <v>794</v>
      </c>
      <c r="E1832" s="672" t="str">
        <f>RTD("esrtd",,ICE[[#This Row],[PCC]] &amp; " " &amp; ICE[[#This Row],[Rolling]] &amp; "-IEU", "Strip")</f>
        <v/>
      </c>
      <c r="F1832" s="670" t="str">
        <f>ICE[[#This Row],[Prod]]&amp;ICE[[#This Row],[Strip]]</f>
        <v>td3c</v>
      </c>
      <c r="G1832" s="672" t="str">
        <f>RTD("esrtd",,ICE[[#This Row],[PCC]] &amp; " " &amp; ICE[[#This Row],[Rolling]] &amp; "-IEU", "Bid")</f>
        <v/>
      </c>
      <c r="H1832" s="672" t="str">
        <f>RTD("esrtd",,ICE[[#This Row],[PCC]] &amp; " " &amp; ICE[[#This Row],[Rolling]] &amp; "-IEU", "Ask")</f>
        <v/>
      </c>
      <c r="I1832" s="672" t="str">
        <f>RTD("esrtd",,ICE[[#This Row],[PCC]] &amp; " " &amp; ICE[[#This Row],[Rolling]] &amp; "-IEU", "Last")</f>
        <v/>
      </c>
      <c r="J1832" s="672" t="str">
        <f>RTD("esrtd",,ICE[[#This Row],[PCC]] &amp; " " &amp; ICE[[#This Row],[Rolling]] &amp; "-IEU", "Last Trade Time")</f>
        <v/>
      </c>
      <c r="K1832" s="672" t="str">
        <f>RTD("esrtd",,ICE[[#This Row],[PCC]] &amp; " " &amp; ICE[[#This Row],[Rolling]] &amp; "-IEU", "Block Price")</f>
        <v/>
      </c>
      <c r="L1832" s="672"/>
      <c r="M1832" s="674" t="str">
        <f>RTD("esrtd",,ICE[[#This Row],[PCC]] &amp; " " &amp; ICE[[#This Row],[Rolling]] &amp; "-IEU", "Block Price DT")</f>
        <v/>
      </c>
      <c r="N1832" s="673" t="str">
        <f>RTD("esrtd",,ICE[[#This Row],[PCC]] &amp; " " &amp; ICE[[#This Row],[Rolling]] &amp; "-IEU", "Volume")</f>
        <v/>
      </c>
      <c r="O1832" s="673" t="str">
        <f>RTD("esrtd",,ICE[[#This Row],[PCC]] &amp; " " &amp; ICE[[#This Row],[Rolling]] &amp; "-IEU", "Block Volume")</f>
        <v/>
      </c>
      <c r="P183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2" s="674" t="str">
        <f>IF(ICE[[#This Row],[LastType]] = "Scrn", ICE[[#This Row],[LstDate]], IF(ICE[[#This Row],[LastType]] = "Blk", ICE[[#This Row],[LstBlkTime]], ""))</f>
        <v/>
      </c>
      <c r="R1832" s="675" t="str">
        <f>IF(ICE[[#This Row],[LastType]] = "Scrn", ICE[[#This Row],[LstPrc]], IF(ICE[[#This Row],[LastType]] = "Blk", ICE[[#This Row],[LstBlkPrc]], ""))</f>
        <v/>
      </c>
      <c r="S1832" s="673" t="e">
        <f>ICE[[#This Row],[Vol]]+ICE[[#This Row],[BlkVol]]</f>
        <v>#VALUE!</v>
      </c>
      <c r="T1832" s="673" t="str">
        <f>RTD("esrtd",,ICE[[#This Row],[PCC]] &amp; " " &amp; ICE[[#This Row],[Rolling]] &amp; "-IEU", "Open Interest")</f>
        <v/>
      </c>
      <c r="U1832" s="672" t="str">
        <f>RTD("esrtd",,ICE[[#This Row],[PCC]] &amp; " " &amp; ICE[[#This Row],[Rolling]] &amp; "-IEU", "Recent Settlement")</f>
        <v/>
      </c>
      <c r="V183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2" s="672" t="str">
        <f>RTD("esrtd",,ICE[[#This Row],[PCC]] &amp; " " &amp; ICE[[#This Row],[Rolling]] &amp; "-IEU", "ICE Theoretical Price")</f>
        <v/>
      </c>
      <c r="X1832" s="673" t="s">
        <v>910</v>
      </c>
    </row>
    <row r="1833" spans="1:24" x14ac:dyDescent="0.25">
      <c r="A1833" s="669" t="s">
        <v>447</v>
      </c>
      <c r="B1833" s="669" t="s">
        <v>926</v>
      </c>
      <c r="C1833" s="670">
        <v>3045330435</v>
      </c>
      <c r="D1833" s="671" t="s">
        <v>795</v>
      </c>
      <c r="E1833" s="672" t="str">
        <f>RTD("esrtd",,ICE[[#This Row],[PCC]] &amp; " " &amp; ICE[[#This Row],[Rolling]] &amp; "-IEU", "Strip")</f>
        <v/>
      </c>
      <c r="F1833" s="670" t="str">
        <f>ICE[[#This Row],[Prod]]&amp;ICE[[#This Row],[Strip]]</f>
        <v>td3c</v>
      </c>
      <c r="G1833" s="672" t="str">
        <f>RTD("esrtd",,ICE[[#This Row],[PCC]] &amp; " " &amp; ICE[[#This Row],[Rolling]] &amp; "-IEU", "Bid")</f>
        <v/>
      </c>
      <c r="H1833" s="672" t="str">
        <f>RTD("esrtd",,ICE[[#This Row],[PCC]] &amp; " " &amp; ICE[[#This Row],[Rolling]] &amp; "-IEU", "Ask")</f>
        <v/>
      </c>
      <c r="I1833" s="672" t="str">
        <f>RTD("esrtd",,ICE[[#This Row],[PCC]] &amp; " " &amp; ICE[[#This Row],[Rolling]] &amp; "-IEU", "Last")</f>
        <v/>
      </c>
      <c r="J1833" s="672" t="str">
        <f>RTD("esrtd",,ICE[[#This Row],[PCC]] &amp; " " &amp; ICE[[#This Row],[Rolling]] &amp; "-IEU", "Last Trade Time")</f>
        <v/>
      </c>
      <c r="K1833" s="672" t="str">
        <f>RTD("esrtd",,ICE[[#This Row],[PCC]] &amp; " " &amp; ICE[[#This Row],[Rolling]] &amp; "-IEU", "Block Price")</f>
        <v/>
      </c>
      <c r="L1833" s="672"/>
      <c r="M1833" s="674" t="str">
        <f>RTD("esrtd",,ICE[[#This Row],[PCC]] &amp; " " &amp; ICE[[#This Row],[Rolling]] &amp; "-IEU", "Block Price DT")</f>
        <v/>
      </c>
      <c r="N1833" s="673" t="str">
        <f>RTD("esrtd",,ICE[[#This Row],[PCC]] &amp; " " &amp; ICE[[#This Row],[Rolling]] &amp; "-IEU", "Volume")</f>
        <v/>
      </c>
      <c r="O1833" s="673" t="str">
        <f>RTD("esrtd",,ICE[[#This Row],[PCC]] &amp; " " &amp; ICE[[#This Row],[Rolling]] &amp; "-IEU", "Block Volume")</f>
        <v/>
      </c>
      <c r="P183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3" s="674" t="str">
        <f>IF(ICE[[#This Row],[LastType]] = "Scrn", ICE[[#This Row],[LstDate]], IF(ICE[[#This Row],[LastType]] = "Blk", ICE[[#This Row],[LstBlkTime]], ""))</f>
        <v/>
      </c>
      <c r="R1833" s="675" t="str">
        <f>IF(ICE[[#This Row],[LastType]] = "Scrn", ICE[[#This Row],[LstPrc]], IF(ICE[[#This Row],[LastType]] = "Blk", ICE[[#This Row],[LstBlkPrc]], ""))</f>
        <v/>
      </c>
      <c r="S1833" s="673" t="e">
        <f>ICE[[#This Row],[Vol]]+ICE[[#This Row],[BlkVol]]</f>
        <v>#VALUE!</v>
      </c>
      <c r="T1833" s="673" t="str">
        <f>RTD("esrtd",,ICE[[#This Row],[PCC]] &amp; " " &amp; ICE[[#This Row],[Rolling]] &amp; "-IEU", "Open Interest")</f>
        <v/>
      </c>
      <c r="U1833" s="672" t="str">
        <f>RTD("esrtd",,ICE[[#This Row],[PCC]] &amp; " " &amp; ICE[[#This Row],[Rolling]] &amp; "-IEU", "Recent Settlement")</f>
        <v/>
      </c>
      <c r="V183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3" s="672" t="str">
        <f>RTD("esrtd",,ICE[[#This Row],[PCC]] &amp; " " &amp; ICE[[#This Row],[Rolling]] &amp; "-IEU", "ICE Theoretical Price")</f>
        <v/>
      </c>
      <c r="X1833" s="673" t="s">
        <v>911</v>
      </c>
    </row>
    <row r="1834" spans="1:24" x14ac:dyDescent="0.25">
      <c r="A1834" s="669" t="s">
        <v>447</v>
      </c>
      <c r="B1834" s="669" t="s">
        <v>926</v>
      </c>
      <c r="C1834" s="670">
        <v>3045330435</v>
      </c>
      <c r="D1834" s="671" t="s">
        <v>113</v>
      </c>
      <c r="E1834" s="672" t="str">
        <f>RTD("esrtd",,ICE[[#This Row],[PCC]] &amp; " " &amp; ICE[[#This Row],[Rolling]] &amp; "-IEU", "Strip")</f>
        <v/>
      </c>
      <c r="F1834" s="670" t="str">
        <f>ICE[[#This Row],[Prod]]&amp;ICE[[#This Row],[Strip]]</f>
        <v>td3c</v>
      </c>
      <c r="G1834" s="672" t="str">
        <f>RTD("esrtd",,ICE[[#This Row],[PCC]] &amp; " " &amp; ICE[[#This Row],[Rolling]] &amp; "-IEU", "Bid")</f>
        <v/>
      </c>
      <c r="H1834" s="672" t="str">
        <f>RTD("esrtd",,ICE[[#This Row],[PCC]] &amp; " " &amp; ICE[[#This Row],[Rolling]] &amp; "-IEU", "Ask")</f>
        <v/>
      </c>
      <c r="I1834" s="672" t="str">
        <f>RTD("esrtd",,ICE[[#This Row],[PCC]] &amp; " " &amp; ICE[[#This Row],[Rolling]] &amp; "-IEU", "Last")</f>
        <v/>
      </c>
      <c r="J1834" s="672" t="str">
        <f>RTD("esrtd",,ICE[[#This Row],[PCC]] &amp; " " &amp; ICE[[#This Row],[Rolling]] &amp; "-IEU", "Last Trade Time")</f>
        <v/>
      </c>
      <c r="K1834" s="672" t="str">
        <f>RTD("esrtd",,ICE[[#This Row],[PCC]] &amp; " " &amp; ICE[[#This Row],[Rolling]] &amp; "-IEU", "Block Price")</f>
        <v/>
      </c>
      <c r="L1834" s="672"/>
      <c r="M1834" s="674" t="str">
        <f>RTD("esrtd",,ICE[[#This Row],[PCC]] &amp; " " &amp; ICE[[#This Row],[Rolling]] &amp; "-IEU", "Block Price DT")</f>
        <v/>
      </c>
      <c r="N1834" s="673" t="str">
        <f>RTD("esrtd",,ICE[[#This Row],[PCC]] &amp; " " &amp; ICE[[#This Row],[Rolling]] &amp; "-IEU", "Volume")</f>
        <v/>
      </c>
      <c r="O1834" s="673" t="str">
        <f>RTD("esrtd",,ICE[[#This Row],[PCC]] &amp; " " &amp; ICE[[#This Row],[Rolling]] &amp; "-IEU", "Block Volume")</f>
        <v/>
      </c>
      <c r="P183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4" s="674" t="str">
        <f>IF(ICE[[#This Row],[LastType]] = "Scrn", ICE[[#This Row],[LstDate]], IF(ICE[[#This Row],[LastType]] = "Blk", ICE[[#This Row],[LstBlkTime]], ""))</f>
        <v/>
      </c>
      <c r="R1834" s="675" t="str">
        <f>IF(ICE[[#This Row],[LastType]] = "Scrn", ICE[[#This Row],[LstPrc]], IF(ICE[[#This Row],[LastType]] = "Blk", ICE[[#This Row],[LstBlkPrc]], ""))</f>
        <v/>
      </c>
      <c r="S1834" s="673" t="e">
        <f>ICE[[#This Row],[Vol]]+ICE[[#This Row],[BlkVol]]</f>
        <v>#VALUE!</v>
      </c>
      <c r="T1834" s="673" t="str">
        <f>RTD("esrtd",,ICE[[#This Row],[PCC]] &amp; " " &amp; ICE[[#This Row],[Rolling]] &amp; "-IEU", "Open Interest")</f>
        <v/>
      </c>
      <c r="U1834" s="672" t="str">
        <f>RTD("esrtd",,ICE[[#This Row],[PCC]] &amp; " " &amp; ICE[[#This Row],[Rolling]] &amp; "-IEU", "Recent Settlement")</f>
        <v/>
      </c>
      <c r="V183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4" s="672" t="str">
        <f>RTD("esrtd",,ICE[[#This Row],[PCC]] &amp; " " &amp; ICE[[#This Row],[Rolling]] &amp; "-IEU", "ICE Theoretical Price")</f>
        <v/>
      </c>
      <c r="X1834" s="673" t="s">
        <v>912</v>
      </c>
    </row>
    <row r="1835" spans="1:24" x14ac:dyDescent="0.25">
      <c r="A1835" s="669" t="s">
        <v>447</v>
      </c>
      <c r="B1835" s="669" t="s">
        <v>926</v>
      </c>
      <c r="C1835" s="670">
        <v>3045330435</v>
      </c>
      <c r="D1835" s="671" t="s">
        <v>796</v>
      </c>
      <c r="E1835" s="672" t="str">
        <f>RTD("esrtd",,ICE[[#This Row],[PCC]] &amp; " " &amp; ICE[[#This Row],[Rolling]] &amp; "-IEU", "Strip")</f>
        <v/>
      </c>
      <c r="F1835" s="670" t="str">
        <f>ICE[[#This Row],[Prod]]&amp;ICE[[#This Row],[Strip]]</f>
        <v>td3c</v>
      </c>
      <c r="G1835" s="672" t="str">
        <f>RTD("esrtd",,ICE[[#This Row],[PCC]] &amp; " " &amp; ICE[[#This Row],[Rolling]] &amp; "-IEU", "Bid")</f>
        <v/>
      </c>
      <c r="H1835" s="672" t="str">
        <f>RTD("esrtd",,ICE[[#This Row],[PCC]] &amp; " " &amp; ICE[[#This Row],[Rolling]] &amp; "-IEU", "Ask")</f>
        <v/>
      </c>
      <c r="I1835" s="672" t="str">
        <f>RTD("esrtd",,ICE[[#This Row],[PCC]] &amp; " " &amp; ICE[[#This Row],[Rolling]] &amp; "-IEU", "Last")</f>
        <v/>
      </c>
      <c r="J1835" s="672" t="str">
        <f>RTD("esrtd",,ICE[[#This Row],[PCC]] &amp; " " &amp; ICE[[#This Row],[Rolling]] &amp; "-IEU", "Last Trade Time")</f>
        <v/>
      </c>
      <c r="K1835" s="672" t="str">
        <f>RTD("esrtd",,ICE[[#This Row],[PCC]] &amp; " " &amp; ICE[[#This Row],[Rolling]] &amp; "-IEU", "Block Price")</f>
        <v/>
      </c>
      <c r="L1835" s="672"/>
      <c r="M1835" s="674" t="str">
        <f>RTD("esrtd",,ICE[[#This Row],[PCC]] &amp; " " &amp; ICE[[#This Row],[Rolling]] &amp; "-IEU", "Block Price DT")</f>
        <v/>
      </c>
      <c r="N1835" s="673" t="str">
        <f>RTD("esrtd",,ICE[[#This Row],[PCC]] &amp; " " &amp; ICE[[#This Row],[Rolling]] &amp; "-IEU", "Volume")</f>
        <v/>
      </c>
      <c r="O1835" s="673" t="str">
        <f>RTD("esrtd",,ICE[[#This Row],[PCC]] &amp; " " &amp; ICE[[#This Row],[Rolling]] &amp; "-IEU", "Block Volume")</f>
        <v/>
      </c>
      <c r="P183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5" s="674" t="str">
        <f>IF(ICE[[#This Row],[LastType]] = "Scrn", ICE[[#This Row],[LstDate]], IF(ICE[[#This Row],[LastType]] = "Blk", ICE[[#This Row],[LstBlkTime]], ""))</f>
        <v/>
      </c>
      <c r="R1835" s="675" t="str">
        <f>IF(ICE[[#This Row],[LastType]] = "Scrn", ICE[[#This Row],[LstPrc]], IF(ICE[[#This Row],[LastType]] = "Blk", ICE[[#This Row],[LstBlkPrc]], ""))</f>
        <v/>
      </c>
      <c r="S1835" s="673" t="e">
        <f>ICE[[#This Row],[Vol]]+ICE[[#This Row],[BlkVol]]</f>
        <v>#VALUE!</v>
      </c>
      <c r="T1835" s="673" t="str">
        <f>RTD("esrtd",,ICE[[#This Row],[PCC]] &amp; " " &amp; ICE[[#This Row],[Rolling]] &amp; "-IEU", "Open Interest")</f>
        <v/>
      </c>
      <c r="U1835" s="672" t="str">
        <f>RTD("esrtd",,ICE[[#This Row],[PCC]] &amp; " " &amp; ICE[[#This Row],[Rolling]] &amp; "-IEU", "Recent Settlement")</f>
        <v/>
      </c>
      <c r="V183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5" s="672" t="str">
        <f>RTD("esrtd",,ICE[[#This Row],[PCC]] &amp; " " &amp; ICE[[#This Row],[Rolling]] &amp; "-IEU", "ICE Theoretical Price")</f>
        <v/>
      </c>
      <c r="X1835" s="673" t="s">
        <v>913</v>
      </c>
    </row>
    <row r="1836" spans="1:24" x14ac:dyDescent="0.25">
      <c r="A1836" s="669" t="s">
        <v>447</v>
      </c>
      <c r="B1836" s="669" t="s">
        <v>926</v>
      </c>
      <c r="C1836" s="670">
        <v>3045330435</v>
      </c>
      <c r="D1836" s="671" t="s">
        <v>797</v>
      </c>
      <c r="E1836" s="672" t="str">
        <f>RTD("esrtd",,ICE[[#This Row],[PCC]] &amp; " " &amp; ICE[[#This Row],[Rolling]] &amp; "-IEU", "Strip")</f>
        <v/>
      </c>
      <c r="F1836" s="670" t="str">
        <f>ICE[[#This Row],[Prod]]&amp;ICE[[#This Row],[Strip]]</f>
        <v>td3c</v>
      </c>
      <c r="G1836" s="672" t="str">
        <f>RTD("esrtd",,ICE[[#This Row],[PCC]] &amp; " " &amp; ICE[[#This Row],[Rolling]] &amp; "-IEU", "Bid")</f>
        <v/>
      </c>
      <c r="H1836" s="672" t="str">
        <f>RTD("esrtd",,ICE[[#This Row],[PCC]] &amp; " " &amp; ICE[[#This Row],[Rolling]] &amp; "-IEU", "Ask")</f>
        <v/>
      </c>
      <c r="I1836" s="672" t="str">
        <f>RTD("esrtd",,ICE[[#This Row],[PCC]] &amp; " " &amp; ICE[[#This Row],[Rolling]] &amp; "-IEU", "Last")</f>
        <v/>
      </c>
      <c r="J1836" s="672" t="str">
        <f>RTD("esrtd",,ICE[[#This Row],[PCC]] &amp; " " &amp; ICE[[#This Row],[Rolling]] &amp; "-IEU", "Last Trade Time")</f>
        <v/>
      </c>
      <c r="K1836" s="672" t="str">
        <f>RTD("esrtd",,ICE[[#This Row],[PCC]] &amp; " " &amp; ICE[[#This Row],[Rolling]] &amp; "-IEU", "Block Price")</f>
        <v/>
      </c>
      <c r="L1836" s="672"/>
      <c r="M1836" s="674" t="str">
        <f>RTD("esrtd",,ICE[[#This Row],[PCC]] &amp; " " &amp; ICE[[#This Row],[Rolling]] &amp; "-IEU", "Block Price DT")</f>
        <v/>
      </c>
      <c r="N1836" s="673" t="str">
        <f>RTD("esrtd",,ICE[[#This Row],[PCC]] &amp; " " &amp; ICE[[#This Row],[Rolling]] &amp; "-IEU", "Volume")</f>
        <v/>
      </c>
      <c r="O1836" s="673" t="str">
        <f>RTD("esrtd",,ICE[[#This Row],[PCC]] &amp; " " &amp; ICE[[#This Row],[Rolling]] &amp; "-IEU", "Block Volume")</f>
        <v/>
      </c>
      <c r="P183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6" s="674" t="str">
        <f>IF(ICE[[#This Row],[LastType]] = "Scrn", ICE[[#This Row],[LstDate]], IF(ICE[[#This Row],[LastType]] = "Blk", ICE[[#This Row],[LstBlkTime]], ""))</f>
        <v/>
      </c>
      <c r="R1836" s="675" t="str">
        <f>IF(ICE[[#This Row],[LastType]] = "Scrn", ICE[[#This Row],[LstPrc]], IF(ICE[[#This Row],[LastType]] = "Blk", ICE[[#This Row],[LstBlkPrc]], ""))</f>
        <v/>
      </c>
      <c r="S1836" s="673" t="e">
        <f>ICE[[#This Row],[Vol]]+ICE[[#This Row],[BlkVol]]</f>
        <v>#VALUE!</v>
      </c>
      <c r="T1836" s="673" t="str">
        <f>RTD("esrtd",,ICE[[#This Row],[PCC]] &amp; " " &amp; ICE[[#This Row],[Rolling]] &amp; "-IEU", "Open Interest")</f>
        <v/>
      </c>
      <c r="U1836" s="672" t="str">
        <f>RTD("esrtd",,ICE[[#This Row],[PCC]] &amp; " " &amp; ICE[[#This Row],[Rolling]] &amp; "-IEU", "Recent Settlement")</f>
        <v/>
      </c>
      <c r="V183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6" s="672" t="str">
        <f>RTD("esrtd",,ICE[[#This Row],[PCC]] &amp; " " &amp; ICE[[#This Row],[Rolling]] &amp; "-IEU", "ICE Theoretical Price")</f>
        <v/>
      </c>
      <c r="X1836" s="673" t="s">
        <v>914</v>
      </c>
    </row>
    <row r="1837" spans="1:24" x14ac:dyDescent="0.25">
      <c r="A1837" s="669" t="s">
        <v>447</v>
      </c>
      <c r="B1837" s="669" t="s">
        <v>926</v>
      </c>
      <c r="C1837" s="670">
        <v>3045330435</v>
      </c>
      <c r="D1837" s="671" t="s">
        <v>798</v>
      </c>
      <c r="E1837" s="672" t="str">
        <f>RTD("esrtd",,ICE[[#This Row],[PCC]] &amp; " " &amp; ICE[[#This Row],[Rolling]] &amp; "-IEU", "Strip")</f>
        <v/>
      </c>
      <c r="F1837" s="670" t="str">
        <f>ICE[[#This Row],[Prod]]&amp;ICE[[#This Row],[Strip]]</f>
        <v>td3c</v>
      </c>
      <c r="G1837" s="672" t="str">
        <f>RTD("esrtd",,ICE[[#This Row],[PCC]] &amp; " " &amp; ICE[[#This Row],[Rolling]] &amp; "-IEU", "Bid")</f>
        <v/>
      </c>
      <c r="H1837" s="672" t="str">
        <f>RTD("esrtd",,ICE[[#This Row],[PCC]] &amp; " " &amp; ICE[[#This Row],[Rolling]] &amp; "-IEU", "Ask")</f>
        <v/>
      </c>
      <c r="I1837" s="672" t="str">
        <f>RTD("esrtd",,ICE[[#This Row],[PCC]] &amp; " " &amp; ICE[[#This Row],[Rolling]] &amp; "-IEU", "Last")</f>
        <v/>
      </c>
      <c r="J1837" s="672" t="str">
        <f>RTD("esrtd",,ICE[[#This Row],[PCC]] &amp; " " &amp; ICE[[#This Row],[Rolling]] &amp; "-IEU", "Last Trade Time")</f>
        <v/>
      </c>
      <c r="K1837" s="672" t="str">
        <f>RTD("esrtd",,ICE[[#This Row],[PCC]] &amp; " " &amp; ICE[[#This Row],[Rolling]] &amp; "-IEU", "Block Price")</f>
        <v/>
      </c>
      <c r="L1837" s="672"/>
      <c r="M1837" s="674" t="str">
        <f>RTD("esrtd",,ICE[[#This Row],[PCC]] &amp; " " &amp; ICE[[#This Row],[Rolling]] &amp; "-IEU", "Block Price DT")</f>
        <v/>
      </c>
      <c r="N1837" s="673" t="str">
        <f>RTD("esrtd",,ICE[[#This Row],[PCC]] &amp; " " &amp; ICE[[#This Row],[Rolling]] &amp; "-IEU", "Volume")</f>
        <v/>
      </c>
      <c r="O1837" s="673" t="str">
        <f>RTD("esrtd",,ICE[[#This Row],[PCC]] &amp; " " &amp; ICE[[#This Row],[Rolling]] &amp; "-IEU", "Block Volume")</f>
        <v/>
      </c>
      <c r="P183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7" s="674" t="str">
        <f>IF(ICE[[#This Row],[LastType]] = "Scrn", ICE[[#This Row],[LstDate]], IF(ICE[[#This Row],[LastType]] = "Blk", ICE[[#This Row],[LstBlkTime]], ""))</f>
        <v/>
      </c>
      <c r="R1837" s="675" t="str">
        <f>IF(ICE[[#This Row],[LastType]] = "Scrn", ICE[[#This Row],[LstPrc]], IF(ICE[[#This Row],[LastType]] = "Blk", ICE[[#This Row],[LstBlkPrc]], ""))</f>
        <v/>
      </c>
      <c r="S1837" s="673" t="e">
        <f>ICE[[#This Row],[Vol]]+ICE[[#This Row],[BlkVol]]</f>
        <v>#VALUE!</v>
      </c>
      <c r="T1837" s="673" t="str">
        <f>RTD("esrtd",,ICE[[#This Row],[PCC]] &amp; " " &amp; ICE[[#This Row],[Rolling]] &amp; "-IEU", "Open Interest")</f>
        <v/>
      </c>
      <c r="U1837" s="672" t="str">
        <f>RTD("esrtd",,ICE[[#This Row],[PCC]] &amp; " " &amp; ICE[[#This Row],[Rolling]] &amp; "-IEU", "Recent Settlement")</f>
        <v/>
      </c>
      <c r="V183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7" s="672" t="str">
        <f>RTD("esrtd",,ICE[[#This Row],[PCC]] &amp; " " &amp; ICE[[#This Row],[Rolling]] &amp; "-IEU", "ICE Theoretical Price")</f>
        <v/>
      </c>
      <c r="X1837" s="673" t="s">
        <v>915</v>
      </c>
    </row>
    <row r="1838" spans="1:24" x14ac:dyDescent="0.25">
      <c r="A1838" s="669" t="s">
        <v>447</v>
      </c>
      <c r="B1838" s="669" t="s">
        <v>926</v>
      </c>
      <c r="C1838" s="670">
        <v>3045330435</v>
      </c>
      <c r="D1838" s="671" t="s">
        <v>799</v>
      </c>
      <c r="E1838" s="672" t="str">
        <f>RTD("esrtd",,ICE[[#This Row],[PCC]] &amp; " " &amp; ICE[[#This Row],[Rolling]] &amp; "-IEU", "Strip")</f>
        <v/>
      </c>
      <c r="F1838" s="670" t="str">
        <f>ICE[[#This Row],[Prod]]&amp;ICE[[#This Row],[Strip]]</f>
        <v>td3c</v>
      </c>
      <c r="G1838" s="672" t="str">
        <f>RTD("esrtd",,ICE[[#This Row],[PCC]] &amp; " " &amp; ICE[[#This Row],[Rolling]] &amp; "-IEU", "Bid")</f>
        <v/>
      </c>
      <c r="H1838" s="672" t="str">
        <f>RTD("esrtd",,ICE[[#This Row],[PCC]] &amp; " " &amp; ICE[[#This Row],[Rolling]] &amp; "-IEU", "Ask")</f>
        <v/>
      </c>
      <c r="I1838" s="672" t="str">
        <f>RTD("esrtd",,ICE[[#This Row],[PCC]] &amp; " " &amp; ICE[[#This Row],[Rolling]] &amp; "-IEU", "Last")</f>
        <v/>
      </c>
      <c r="J1838" s="672" t="str">
        <f>RTD("esrtd",,ICE[[#This Row],[PCC]] &amp; " " &amp; ICE[[#This Row],[Rolling]] &amp; "-IEU", "Last Trade Time")</f>
        <v/>
      </c>
      <c r="K1838" s="672" t="str">
        <f>RTD("esrtd",,ICE[[#This Row],[PCC]] &amp; " " &amp; ICE[[#This Row],[Rolling]] &amp; "-IEU", "Block Price")</f>
        <v/>
      </c>
      <c r="L1838" s="672"/>
      <c r="M1838" s="674" t="str">
        <f>RTD("esrtd",,ICE[[#This Row],[PCC]] &amp; " " &amp; ICE[[#This Row],[Rolling]] &amp; "-IEU", "Block Price DT")</f>
        <v/>
      </c>
      <c r="N1838" s="673" t="str">
        <f>RTD("esrtd",,ICE[[#This Row],[PCC]] &amp; " " &amp; ICE[[#This Row],[Rolling]] &amp; "-IEU", "Volume")</f>
        <v/>
      </c>
      <c r="O1838" s="673" t="str">
        <f>RTD("esrtd",,ICE[[#This Row],[PCC]] &amp; " " &amp; ICE[[#This Row],[Rolling]] &amp; "-IEU", "Block Volume")</f>
        <v/>
      </c>
      <c r="P183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8" s="674" t="str">
        <f>IF(ICE[[#This Row],[LastType]] = "Scrn", ICE[[#This Row],[LstDate]], IF(ICE[[#This Row],[LastType]] = "Blk", ICE[[#This Row],[LstBlkTime]], ""))</f>
        <v/>
      </c>
      <c r="R1838" s="675" t="str">
        <f>IF(ICE[[#This Row],[LastType]] = "Scrn", ICE[[#This Row],[LstPrc]], IF(ICE[[#This Row],[LastType]] = "Blk", ICE[[#This Row],[LstBlkPrc]], ""))</f>
        <v/>
      </c>
      <c r="S1838" s="673" t="e">
        <f>ICE[[#This Row],[Vol]]+ICE[[#This Row],[BlkVol]]</f>
        <v>#VALUE!</v>
      </c>
      <c r="T1838" s="673" t="str">
        <f>RTD("esrtd",,ICE[[#This Row],[PCC]] &amp; " " &amp; ICE[[#This Row],[Rolling]] &amp; "-IEU", "Open Interest")</f>
        <v/>
      </c>
      <c r="U1838" s="672" t="str">
        <f>RTD("esrtd",,ICE[[#This Row],[PCC]] &amp; " " &amp; ICE[[#This Row],[Rolling]] &amp; "-IEU", "Recent Settlement")</f>
        <v/>
      </c>
      <c r="V183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8" s="672" t="str">
        <f>RTD("esrtd",,ICE[[#This Row],[PCC]] &amp; " " &amp; ICE[[#This Row],[Rolling]] &amp; "-IEU", "ICE Theoretical Price")</f>
        <v/>
      </c>
      <c r="X1838" s="673" t="s">
        <v>916</v>
      </c>
    </row>
    <row r="1839" spans="1:24" x14ac:dyDescent="0.25">
      <c r="A1839" s="669" t="s">
        <v>447</v>
      </c>
      <c r="B1839" s="669" t="s">
        <v>926</v>
      </c>
      <c r="C1839" s="670">
        <v>3045330435</v>
      </c>
      <c r="D1839" s="671" t="s">
        <v>800</v>
      </c>
      <c r="E1839" s="672" t="str">
        <f>RTD("esrtd",,ICE[[#This Row],[PCC]] &amp; " " &amp; ICE[[#This Row],[Rolling]] &amp; "-IEU", "Strip")</f>
        <v/>
      </c>
      <c r="F1839" s="670" t="str">
        <f>ICE[[#This Row],[Prod]]&amp;ICE[[#This Row],[Strip]]</f>
        <v>td3c</v>
      </c>
      <c r="G1839" s="672" t="str">
        <f>RTD("esrtd",,ICE[[#This Row],[PCC]] &amp; " " &amp; ICE[[#This Row],[Rolling]] &amp; "-IEU", "Bid")</f>
        <v/>
      </c>
      <c r="H1839" s="672" t="str">
        <f>RTD("esrtd",,ICE[[#This Row],[PCC]] &amp; " " &amp; ICE[[#This Row],[Rolling]] &amp; "-IEU", "Ask")</f>
        <v/>
      </c>
      <c r="I1839" s="672" t="str">
        <f>RTD("esrtd",,ICE[[#This Row],[PCC]] &amp; " " &amp; ICE[[#This Row],[Rolling]] &amp; "-IEU", "Last")</f>
        <v/>
      </c>
      <c r="J1839" s="672" t="str">
        <f>RTD("esrtd",,ICE[[#This Row],[PCC]] &amp; " " &amp; ICE[[#This Row],[Rolling]] &amp; "-IEU", "Last Trade Time")</f>
        <v/>
      </c>
      <c r="K1839" s="672" t="str">
        <f>RTD("esrtd",,ICE[[#This Row],[PCC]] &amp; " " &amp; ICE[[#This Row],[Rolling]] &amp; "-IEU", "Block Price")</f>
        <v/>
      </c>
      <c r="L1839" s="672"/>
      <c r="M1839" s="674" t="str">
        <f>RTD("esrtd",,ICE[[#This Row],[PCC]] &amp; " " &amp; ICE[[#This Row],[Rolling]] &amp; "-IEU", "Block Price DT")</f>
        <v/>
      </c>
      <c r="N1839" s="673" t="str">
        <f>RTD("esrtd",,ICE[[#This Row],[PCC]] &amp; " " &amp; ICE[[#This Row],[Rolling]] &amp; "-IEU", "Volume")</f>
        <v/>
      </c>
      <c r="O1839" s="673" t="str">
        <f>RTD("esrtd",,ICE[[#This Row],[PCC]] &amp; " " &amp; ICE[[#This Row],[Rolling]] &amp; "-IEU", "Block Volume")</f>
        <v/>
      </c>
      <c r="P183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39" s="674" t="str">
        <f>IF(ICE[[#This Row],[LastType]] = "Scrn", ICE[[#This Row],[LstDate]], IF(ICE[[#This Row],[LastType]] = "Blk", ICE[[#This Row],[LstBlkTime]], ""))</f>
        <v/>
      </c>
      <c r="R1839" s="675" t="str">
        <f>IF(ICE[[#This Row],[LastType]] = "Scrn", ICE[[#This Row],[LstPrc]], IF(ICE[[#This Row],[LastType]] = "Blk", ICE[[#This Row],[LstBlkPrc]], ""))</f>
        <v/>
      </c>
      <c r="S1839" s="673" t="e">
        <f>ICE[[#This Row],[Vol]]+ICE[[#This Row],[BlkVol]]</f>
        <v>#VALUE!</v>
      </c>
      <c r="T1839" s="673" t="str">
        <f>RTD("esrtd",,ICE[[#This Row],[PCC]] &amp; " " &amp; ICE[[#This Row],[Rolling]] &amp; "-IEU", "Open Interest")</f>
        <v/>
      </c>
      <c r="U1839" s="672" t="str">
        <f>RTD("esrtd",,ICE[[#This Row],[PCC]] &amp; " " &amp; ICE[[#This Row],[Rolling]] &amp; "-IEU", "Recent Settlement")</f>
        <v/>
      </c>
      <c r="V183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39" s="672" t="str">
        <f>RTD("esrtd",,ICE[[#This Row],[PCC]] &amp; " " &amp; ICE[[#This Row],[Rolling]] &amp; "-IEU", "ICE Theoretical Price")</f>
        <v/>
      </c>
      <c r="X1839" s="673" t="s">
        <v>917</v>
      </c>
    </row>
    <row r="1840" spans="1:24" x14ac:dyDescent="0.25">
      <c r="A1840" s="669" t="s">
        <v>447</v>
      </c>
      <c r="B1840" s="669" t="s">
        <v>926</v>
      </c>
      <c r="C1840" s="670">
        <v>3045330435</v>
      </c>
      <c r="D1840" s="671" t="s">
        <v>801</v>
      </c>
      <c r="E1840" s="672" t="str">
        <f>RTD("esrtd",,ICE[[#This Row],[PCC]] &amp; " " &amp; ICE[[#This Row],[Rolling]] &amp; "-IEU", "Strip")</f>
        <v/>
      </c>
      <c r="F1840" s="670" t="str">
        <f>ICE[[#This Row],[Prod]]&amp;ICE[[#This Row],[Strip]]</f>
        <v>td3c</v>
      </c>
      <c r="G1840" s="672" t="str">
        <f>RTD("esrtd",,ICE[[#This Row],[PCC]] &amp; " " &amp; ICE[[#This Row],[Rolling]] &amp; "-IEU", "Bid")</f>
        <v/>
      </c>
      <c r="H1840" s="672" t="str">
        <f>RTD("esrtd",,ICE[[#This Row],[PCC]] &amp; " " &amp; ICE[[#This Row],[Rolling]] &amp; "-IEU", "Ask")</f>
        <v/>
      </c>
      <c r="I1840" s="672" t="str">
        <f>RTD("esrtd",,ICE[[#This Row],[PCC]] &amp; " " &amp; ICE[[#This Row],[Rolling]] &amp; "-IEU", "Last")</f>
        <v/>
      </c>
      <c r="J1840" s="672" t="str">
        <f>RTD("esrtd",,ICE[[#This Row],[PCC]] &amp; " " &amp; ICE[[#This Row],[Rolling]] &amp; "-IEU", "Last Trade Time")</f>
        <v/>
      </c>
      <c r="K1840" s="672" t="str">
        <f>RTD("esrtd",,ICE[[#This Row],[PCC]] &amp; " " &amp; ICE[[#This Row],[Rolling]] &amp; "-IEU", "Block Price")</f>
        <v/>
      </c>
      <c r="L1840" s="672"/>
      <c r="M1840" s="674" t="str">
        <f>RTD("esrtd",,ICE[[#This Row],[PCC]] &amp; " " &amp; ICE[[#This Row],[Rolling]] &amp; "-IEU", "Block Price DT")</f>
        <v/>
      </c>
      <c r="N1840" s="673" t="str">
        <f>RTD("esrtd",,ICE[[#This Row],[PCC]] &amp; " " &amp; ICE[[#This Row],[Rolling]] &amp; "-IEU", "Volume")</f>
        <v/>
      </c>
      <c r="O1840" s="673" t="str">
        <f>RTD("esrtd",,ICE[[#This Row],[PCC]] &amp; " " &amp; ICE[[#This Row],[Rolling]] &amp; "-IEU", "Block Volume")</f>
        <v/>
      </c>
      <c r="P184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0" s="674" t="str">
        <f>IF(ICE[[#This Row],[LastType]] = "Scrn", ICE[[#This Row],[LstDate]], IF(ICE[[#This Row],[LastType]] = "Blk", ICE[[#This Row],[LstBlkTime]], ""))</f>
        <v/>
      </c>
      <c r="R1840" s="675" t="str">
        <f>IF(ICE[[#This Row],[LastType]] = "Scrn", ICE[[#This Row],[LstPrc]], IF(ICE[[#This Row],[LastType]] = "Blk", ICE[[#This Row],[LstBlkPrc]], ""))</f>
        <v/>
      </c>
      <c r="S1840" s="673" t="e">
        <f>ICE[[#This Row],[Vol]]+ICE[[#This Row],[BlkVol]]</f>
        <v>#VALUE!</v>
      </c>
      <c r="T1840" s="673" t="str">
        <f>RTD("esrtd",,ICE[[#This Row],[PCC]] &amp; " " &amp; ICE[[#This Row],[Rolling]] &amp; "-IEU", "Open Interest")</f>
        <v/>
      </c>
      <c r="U1840" s="672" t="str">
        <f>RTD("esrtd",,ICE[[#This Row],[PCC]] &amp; " " &amp; ICE[[#This Row],[Rolling]] &amp; "-IEU", "Recent Settlement")</f>
        <v/>
      </c>
      <c r="V184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0" s="672" t="str">
        <f>RTD("esrtd",,ICE[[#This Row],[PCC]] &amp; " " &amp; ICE[[#This Row],[Rolling]] &amp; "-IEU", "ICE Theoretical Price")</f>
        <v/>
      </c>
      <c r="X1840" s="673" t="s">
        <v>918</v>
      </c>
    </row>
    <row r="1841" spans="1:24" x14ac:dyDescent="0.25">
      <c r="A1841" s="669" t="s">
        <v>447</v>
      </c>
      <c r="B1841" s="669" t="s">
        <v>926</v>
      </c>
      <c r="C1841" s="670">
        <v>3045330435</v>
      </c>
      <c r="D1841" s="671" t="s">
        <v>802</v>
      </c>
      <c r="E1841" s="672" t="str">
        <f>RTD("esrtd",,ICE[[#This Row],[PCC]] &amp; " " &amp; ICE[[#This Row],[Rolling]] &amp; "-IEU", "Strip")</f>
        <v/>
      </c>
      <c r="F1841" s="670" t="str">
        <f>ICE[[#This Row],[Prod]]&amp;ICE[[#This Row],[Strip]]</f>
        <v>td3c</v>
      </c>
      <c r="G1841" s="672" t="str">
        <f>RTD("esrtd",,ICE[[#This Row],[PCC]] &amp; " " &amp; ICE[[#This Row],[Rolling]] &amp; "-IEU", "Bid")</f>
        <v/>
      </c>
      <c r="H1841" s="672" t="str">
        <f>RTD("esrtd",,ICE[[#This Row],[PCC]] &amp; " " &amp; ICE[[#This Row],[Rolling]] &amp; "-IEU", "Ask")</f>
        <v/>
      </c>
      <c r="I1841" s="672" t="str">
        <f>RTD("esrtd",,ICE[[#This Row],[PCC]] &amp; " " &amp; ICE[[#This Row],[Rolling]] &amp; "-IEU", "Last")</f>
        <v/>
      </c>
      <c r="J1841" s="672" t="str">
        <f>RTD("esrtd",,ICE[[#This Row],[PCC]] &amp; " " &amp; ICE[[#This Row],[Rolling]] &amp; "-IEU", "Last Trade Time")</f>
        <v/>
      </c>
      <c r="K1841" s="672" t="str">
        <f>RTD("esrtd",,ICE[[#This Row],[PCC]] &amp; " " &amp; ICE[[#This Row],[Rolling]] &amp; "-IEU", "Block Price")</f>
        <v/>
      </c>
      <c r="L1841" s="672"/>
      <c r="M1841" s="674" t="str">
        <f>RTD("esrtd",,ICE[[#This Row],[PCC]] &amp; " " &amp; ICE[[#This Row],[Rolling]] &amp; "-IEU", "Block Price DT")</f>
        <v/>
      </c>
      <c r="N1841" s="673" t="str">
        <f>RTD("esrtd",,ICE[[#This Row],[PCC]] &amp; " " &amp; ICE[[#This Row],[Rolling]] &amp; "-IEU", "Volume")</f>
        <v/>
      </c>
      <c r="O1841" s="673" t="str">
        <f>RTD("esrtd",,ICE[[#This Row],[PCC]] &amp; " " &amp; ICE[[#This Row],[Rolling]] &amp; "-IEU", "Block Volume")</f>
        <v/>
      </c>
      <c r="P184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1" s="674" t="str">
        <f>IF(ICE[[#This Row],[LastType]] = "Scrn", ICE[[#This Row],[LstDate]], IF(ICE[[#This Row],[LastType]] = "Blk", ICE[[#This Row],[LstBlkTime]], ""))</f>
        <v/>
      </c>
      <c r="R1841" s="675" t="str">
        <f>IF(ICE[[#This Row],[LastType]] = "Scrn", ICE[[#This Row],[LstPrc]], IF(ICE[[#This Row],[LastType]] = "Blk", ICE[[#This Row],[LstBlkPrc]], ""))</f>
        <v/>
      </c>
      <c r="S1841" s="673" t="e">
        <f>ICE[[#This Row],[Vol]]+ICE[[#This Row],[BlkVol]]</f>
        <v>#VALUE!</v>
      </c>
      <c r="T1841" s="673" t="str">
        <f>RTD("esrtd",,ICE[[#This Row],[PCC]] &amp; " " &amp; ICE[[#This Row],[Rolling]] &amp; "-IEU", "Open Interest")</f>
        <v/>
      </c>
      <c r="U1841" s="672" t="str">
        <f>RTD("esrtd",,ICE[[#This Row],[PCC]] &amp; " " &amp; ICE[[#This Row],[Rolling]] &amp; "-IEU", "Recent Settlement")</f>
        <v/>
      </c>
      <c r="V184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1" s="672" t="str">
        <f>RTD("esrtd",,ICE[[#This Row],[PCC]] &amp; " " &amp; ICE[[#This Row],[Rolling]] &amp; "-IEU", "ICE Theoretical Price")</f>
        <v/>
      </c>
      <c r="X1841" s="673" t="s">
        <v>919</v>
      </c>
    </row>
    <row r="1842" spans="1:24" x14ac:dyDescent="0.25">
      <c r="A1842" s="669" t="s">
        <v>447</v>
      </c>
      <c r="B1842" s="669" t="s">
        <v>926</v>
      </c>
      <c r="C1842" s="670">
        <v>3045330435</v>
      </c>
      <c r="D1842" s="671" t="s">
        <v>803</v>
      </c>
      <c r="E1842" s="672" t="str">
        <f>RTD("esrtd",,ICE[[#This Row],[PCC]] &amp; " " &amp; ICE[[#This Row],[Rolling]] &amp; "-IEU", "Strip")</f>
        <v/>
      </c>
      <c r="F1842" s="670" t="str">
        <f>ICE[[#This Row],[Prod]]&amp;ICE[[#This Row],[Strip]]</f>
        <v>td3c</v>
      </c>
      <c r="G1842" s="672" t="str">
        <f>RTD("esrtd",,ICE[[#This Row],[PCC]] &amp; " " &amp; ICE[[#This Row],[Rolling]] &amp; "-IEU", "Bid")</f>
        <v/>
      </c>
      <c r="H1842" s="672" t="str">
        <f>RTD("esrtd",,ICE[[#This Row],[PCC]] &amp; " " &amp; ICE[[#This Row],[Rolling]] &amp; "-IEU", "Ask")</f>
        <v/>
      </c>
      <c r="I1842" s="672" t="str">
        <f>RTD("esrtd",,ICE[[#This Row],[PCC]] &amp; " " &amp; ICE[[#This Row],[Rolling]] &amp; "-IEU", "Last")</f>
        <v/>
      </c>
      <c r="J1842" s="672" t="str">
        <f>RTD("esrtd",,ICE[[#This Row],[PCC]] &amp; " " &amp; ICE[[#This Row],[Rolling]] &amp; "-IEU", "Last Trade Time")</f>
        <v/>
      </c>
      <c r="K1842" s="672" t="str">
        <f>RTD("esrtd",,ICE[[#This Row],[PCC]] &amp; " " &amp; ICE[[#This Row],[Rolling]] &amp; "-IEU", "Block Price")</f>
        <v/>
      </c>
      <c r="L1842" s="672"/>
      <c r="M1842" s="674" t="str">
        <f>RTD("esrtd",,ICE[[#This Row],[PCC]] &amp; " " &amp; ICE[[#This Row],[Rolling]] &amp; "-IEU", "Block Price DT")</f>
        <v/>
      </c>
      <c r="N1842" s="673" t="str">
        <f>RTD("esrtd",,ICE[[#This Row],[PCC]] &amp; " " &amp; ICE[[#This Row],[Rolling]] &amp; "-IEU", "Volume")</f>
        <v/>
      </c>
      <c r="O1842" s="673" t="str">
        <f>RTD("esrtd",,ICE[[#This Row],[PCC]] &amp; " " &amp; ICE[[#This Row],[Rolling]] &amp; "-IEU", "Block Volume")</f>
        <v/>
      </c>
      <c r="P184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2" s="674" t="str">
        <f>IF(ICE[[#This Row],[LastType]] = "Scrn", ICE[[#This Row],[LstDate]], IF(ICE[[#This Row],[LastType]] = "Blk", ICE[[#This Row],[LstBlkTime]], ""))</f>
        <v/>
      </c>
      <c r="R1842" s="675" t="str">
        <f>IF(ICE[[#This Row],[LastType]] = "Scrn", ICE[[#This Row],[LstPrc]], IF(ICE[[#This Row],[LastType]] = "Blk", ICE[[#This Row],[LstBlkPrc]], ""))</f>
        <v/>
      </c>
      <c r="S1842" s="673" t="e">
        <f>ICE[[#This Row],[Vol]]+ICE[[#This Row],[BlkVol]]</f>
        <v>#VALUE!</v>
      </c>
      <c r="T1842" s="673" t="str">
        <f>RTD("esrtd",,ICE[[#This Row],[PCC]] &amp; " " &amp; ICE[[#This Row],[Rolling]] &amp; "-IEU", "Open Interest")</f>
        <v/>
      </c>
      <c r="U1842" s="672" t="str">
        <f>RTD("esrtd",,ICE[[#This Row],[PCC]] &amp; " " &amp; ICE[[#This Row],[Rolling]] &amp; "-IEU", "Recent Settlement")</f>
        <v/>
      </c>
      <c r="V184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2" s="672" t="str">
        <f>RTD("esrtd",,ICE[[#This Row],[PCC]] &amp; " " &amp; ICE[[#This Row],[Rolling]] &amp; "-IEU", "ICE Theoretical Price")</f>
        <v/>
      </c>
      <c r="X1842" s="673" t="s">
        <v>920</v>
      </c>
    </row>
    <row r="1843" spans="1:24" x14ac:dyDescent="0.25">
      <c r="A1843" s="669" t="s">
        <v>447</v>
      </c>
      <c r="B1843" s="669" t="s">
        <v>926</v>
      </c>
      <c r="C1843" s="670">
        <v>3045330435</v>
      </c>
      <c r="D1843" s="671" t="s">
        <v>814</v>
      </c>
      <c r="E1843" s="672" t="str">
        <f>RTD("esrtd",,ICE[[#This Row],[PCC]] &amp; " " &amp; ICE[[#This Row],[Rolling]] &amp; "-IEU", "Strip")</f>
        <v/>
      </c>
      <c r="F1843" s="670" t="str">
        <f>ICE[[#This Row],[Prod]]&amp;ICE[[#This Row],[Strip]]</f>
        <v>td3c</v>
      </c>
      <c r="G1843" s="672" t="str">
        <f>RTD("esrtd",,ICE[[#This Row],[PCC]] &amp; " " &amp; ICE[[#This Row],[Rolling]] &amp; "-IEU", "Bid")</f>
        <v/>
      </c>
      <c r="H1843" s="672" t="str">
        <f>RTD("esrtd",,ICE[[#This Row],[PCC]] &amp; " " &amp; ICE[[#This Row],[Rolling]] &amp; "-IEU", "Ask")</f>
        <v/>
      </c>
      <c r="I1843" s="672" t="str">
        <f>RTD("esrtd",,ICE[[#This Row],[PCC]] &amp; " " &amp; ICE[[#This Row],[Rolling]] &amp; "-IEU", "Last")</f>
        <v/>
      </c>
      <c r="J1843" s="672" t="str">
        <f>RTD("esrtd",,ICE[[#This Row],[PCC]] &amp; " " &amp; ICE[[#This Row],[Rolling]] &amp; "-IEU", "Last Trade Time")</f>
        <v/>
      </c>
      <c r="K1843" s="672" t="str">
        <f>RTD("esrtd",,ICE[[#This Row],[PCC]] &amp; " " &amp; ICE[[#This Row],[Rolling]] &amp; "-IEU", "Block Price")</f>
        <v/>
      </c>
      <c r="L1843" s="672"/>
      <c r="M1843" s="674" t="str">
        <f>RTD("esrtd",,ICE[[#This Row],[PCC]] &amp; " " &amp; ICE[[#This Row],[Rolling]] &amp; "-IEU", "Block Price DT")</f>
        <v/>
      </c>
      <c r="N1843" s="673" t="str">
        <f>RTD("esrtd",,ICE[[#This Row],[PCC]] &amp; " " &amp; ICE[[#This Row],[Rolling]] &amp; "-IEU", "Volume")</f>
        <v/>
      </c>
      <c r="O1843" s="673" t="str">
        <f>RTD("esrtd",,ICE[[#This Row],[PCC]] &amp; " " &amp; ICE[[#This Row],[Rolling]] &amp; "-IEU", "Block Volume")</f>
        <v/>
      </c>
      <c r="P184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3" s="674" t="str">
        <f>IF(ICE[[#This Row],[LastType]] = "Scrn", ICE[[#This Row],[LstDate]], IF(ICE[[#This Row],[LastType]] = "Blk", ICE[[#This Row],[LstBlkTime]], ""))</f>
        <v/>
      </c>
      <c r="R1843" s="675" t="str">
        <f>IF(ICE[[#This Row],[LastType]] = "Scrn", ICE[[#This Row],[LstPrc]], IF(ICE[[#This Row],[LastType]] = "Blk", ICE[[#This Row],[LstBlkPrc]], ""))</f>
        <v/>
      </c>
      <c r="S1843" s="673" t="e">
        <f>ICE[[#This Row],[Vol]]+ICE[[#This Row],[BlkVol]]</f>
        <v>#VALUE!</v>
      </c>
      <c r="T1843" s="673" t="str">
        <f>RTD("esrtd",,ICE[[#This Row],[PCC]] &amp; " " &amp; ICE[[#This Row],[Rolling]] &amp; "-IEU", "Open Interest")</f>
        <v/>
      </c>
      <c r="U1843" s="672" t="str">
        <f>RTD("esrtd",,ICE[[#This Row],[PCC]] &amp; " " &amp; ICE[[#This Row],[Rolling]] &amp; "-IEU", "Recent Settlement")</f>
        <v/>
      </c>
      <c r="V184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3" s="672" t="str">
        <f>RTD("esrtd",,ICE[[#This Row],[PCC]] &amp; " " &amp; ICE[[#This Row],[Rolling]] &amp; "-IEU", "ICE Theoretical Price")</f>
        <v/>
      </c>
      <c r="X1843" s="673" t="s">
        <v>921</v>
      </c>
    </row>
    <row r="1844" spans="1:24" x14ac:dyDescent="0.25">
      <c r="A1844" s="669" t="s">
        <v>447</v>
      </c>
      <c r="B1844" s="669" t="s">
        <v>926</v>
      </c>
      <c r="C1844" s="670">
        <v>3045330435</v>
      </c>
      <c r="D1844" s="671" t="s">
        <v>815</v>
      </c>
      <c r="E1844" s="672" t="str">
        <f>RTD("esrtd",,ICE[[#This Row],[PCC]] &amp; " " &amp; ICE[[#This Row],[Rolling]] &amp; "-IEU", "Strip")</f>
        <v/>
      </c>
      <c r="F1844" s="670" t="str">
        <f>ICE[[#This Row],[Prod]]&amp;ICE[[#This Row],[Strip]]</f>
        <v>td3c</v>
      </c>
      <c r="G1844" s="672" t="str">
        <f>RTD("esrtd",,ICE[[#This Row],[PCC]] &amp; " " &amp; ICE[[#This Row],[Rolling]] &amp; "-IEU", "Bid")</f>
        <v/>
      </c>
      <c r="H1844" s="672" t="str">
        <f>RTD("esrtd",,ICE[[#This Row],[PCC]] &amp; " " &amp; ICE[[#This Row],[Rolling]] &amp; "-IEU", "Ask")</f>
        <v/>
      </c>
      <c r="I1844" s="672" t="str">
        <f>RTD("esrtd",,ICE[[#This Row],[PCC]] &amp; " " &amp; ICE[[#This Row],[Rolling]] &amp; "-IEU", "Last")</f>
        <v/>
      </c>
      <c r="J1844" s="672" t="str">
        <f>RTD("esrtd",,ICE[[#This Row],[PCC]] &amp; " " &amp; ICE[[#This Row],[Rolling]] &amp; "-IEU", "Last Trade Time")</f>
        <v/>
      </c>
      <c r="K1844" s="672" t="str">
        <f>RTD("esrtd",,ICE[[#This Row],[PCC]] &amp; " " &amp; ICE[[#This Row],[Rolling]] &amp; "-IEU", "Block Price")</f>
        <v/>
      </c>
      <c r="L1844" s="672"/>
      <c r="M1844" s="674" t="str">
        <f>RTD("esrtd",,ICE[[#This Row],[PCC]] &amp; " " &amp; ICE[[#This Row],[Rolling]] &amp; "-IEU", "Block Price DT")</f>
        <v/>
      </c>
      <c r="N1844" s="673" t="str">
        <f>RTD("esrtd",,ICE[[#This Row],[PCC]] &amp; " " &amp; ICE[[#This Row],[Rolling]] &amp; "-IEU", "Volume")</f>
        <v/>
      </c>
      <c r="O1844" s="673" t="str">
        <f>RTD("esrtd",,ICE[[#This Row],[PCC]] &amp; " " &amp; ICE[[#This Row],[Rolling]] &amp; "-IEU", "Block Volume")</f>
        <v/>
      </c>
      <c r="P184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4" s="674" t="str">
        <f>IF(ICE[[#This Row],[LastType]] = "Scrn", ICE[[#This Row],[LstDate]], IF(ICE[[#This Row],[LastType]] = "Blk", ICE[[#This Row],[LstBlkTime]], ""))</f>
        <v/>
      </c>
      <c r="R1844" s="675" t="str">
        <f>IF(ICE[[#This Row],[LastType]] = "Scrn", ICE[[#This Row],[LstPrc]], IF(ICE[[#This Row],[LastType]] = "Blk", ICE[[#This Row],[LstBlkPrc]], ""))</f>
        <v/>
      </c>
      <c r="S1844" s="673" t="e">
        <f>ICE[[#This Row],[Vol]]+ICE[[#This Row],[BlkVol]]</f>
        <v>#VALUE!</v>
      </c>
      <c r="T1844" s="673" t="str">
        <f>RTD("esrtd",,ICE[[#This Row],[PCC]] &amp; " " &amp; ICE[[#This Row],[Rolling]] &amp; "-IEU", "Open Interest")</f>
        <v/>
      </c>
      <c r="U1844" s="672" t="str">
        <f>RTD("esrtd",,ICE[[#This Row],[PCC]] &amp; " " &amp; ICE[[#This Row],[Rolling]] &amp; "-IEU", "Recent Settlement")</f>
        <v/>
      </c>
      <c r="V184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4" s="672" t="str">
        <f>RTD("esrtd",,ICE[[#This Row],[PCC]] &amp; " " &amp; ICE[[#This Row],[Rolling]] &amp; "-IEU", "ICE Theoretical Price")</f>
        <v/>
      </c>
      <c r="X1844" s="673" t="s">
        <v>922</v>
      </c>
    </row>
    <row r="1845" spans="1:24" x14ac:dyDescent="0.25">
      <c r="A1845" s="669" t="s">
        <v>447</v>
      </c>
      <c r="B1845" s="669" t="s">
        <v>926</v>
      </c>
      <c r="C1845" s="670">
        <v>3045330435</v>
      </c>
      <c r="D1845" s="671" t="s">
        <v>816</v>
      </c>
      <c r="E1845" s="672" t="str">
        <f>RTD("esrtd",,ICE[[#This Row],[PCC]] &amp; " " &amp; ICE[[#This Row],[Rolling]] &amp; "-IEU", "Strip")</f>
        <v/>
      </c>
      <c r="F1845" s="670" t="str">
        <f>ICE[[#This Row],[Prod]]&amp;ICE[[#This Row],[Strip]]</f>
        <v>td3c</v>
      </c>
      <c r="G1845" s="672" t="str">
        <f>RTD("esrtd",,ICE[[#This Row],[PCC]] &amp; " " &amp; ICE[[#This Row],[Rolling]] &amp; "-IEU", "Bid")</f>
        <v/>
      </c>
      <c r="H1845" s="672" t="str">
        <f>RTD("esrtd",,ICE[[#This Row],[PCC]] &amp; " " &amp; ICE[[#This Row],[Rolling]] &amp; "-IEU", "Ask")</f>
        <v/>
      </c>
      <c r="I1845" s="672" t="str">
        <f>RTD("esrtd",,ICE[[#This Row],[PCC]] &amp; " " &amp; ICE[[#This Row],[Rolling]] &amp; "-IEU", "Last")</f>
        <v/>
      </c>
      <c r="J1845" s="672" t="str">
        <f>RTD("esrtd",,ICE[[#This Row],[PCC]] &amp; " " &amp; ICE[[#This Row],[Rolling]] &amp; "-IEU", "Last Trade Time")</f>
        <v/>
      </c>
      <c r="K1845" s="672" t="str">
        <f>RTD("esrtd",,ICE[[#This Row],[PCC]] &amp; " " &amp; ICE[[#This Row],[Rolling]] &amp; "-IEU", "Block Price")</f>
        <v/>
      </c>
      <c r="L1845" s="672"/>
      <c r="M1845" s="674" t="str">
        <f>RTD("esrtd",,ICE[[#This Row],[PCC]] &amp; " " &amp; ICE[[#This Row],[Rolling]] &amp; "-IEU", "Block Price DT")</f>
        <v/>
      </c>
      <c r="N1845" s="673" t="str">
        <f>RTD("esrtd",,ICE[[#This Row],[PCC]] &amp; " " &amp; ICE[[#This Row],[Rolling]] &amp; "-IEU", "Volume")</f>
        <v/>
      </c>
      <c r="O1845" s="673" t="str">
        <f>RTD("esrtd",,ICE[[#This Row],[PCC]] &amp; " " &amp; ICE[[#This Row],[Rolling]] &amp; "-IEU", "Block Volume")</f>
        <v/>
      </c>
      <c r="P184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5" s="674" t="str">
        <f>IF(ICE[[#This Row],[LastType]] = "Scrn", ICE[[#This Row],[LstDate]], IF(ICE[[#This Row],[LastType]] = "Blk", ICE[[#This Row],[LstBlkTime]], ""))</f>
        <v/>
      </c>
      <c r="R1845" s="675" t="str">
        <f>IF(ICE[[#This Row],[LastType]] = "Scrn", ICE[[#This Row],[LstPrc]], IF(ICE[[#This Row],[LastType]] = "Blk", ICE[[#This Row],[LstBlkPrc]], ""))</f>
        <v/>
      </c>
      <c r="S1845" s="673" t="e">
        <f>ICE[[#This Row],[Vol]]+ICE[[#This Row],[BlkVol]]</f>
        <v>#VALUE!</v>
      </c>
      <c r="T1845" s="673" t="str">
        <f>RTD("esrtd",,ICE[[#This Row],[PCC]] &amp; " " &amp; ICE[[#This Row],[Rolling]] &amp; "-IEU", "Open Interest")</f>
        <v/>
      </c>
      <c r="U1845" s="672" t="str">
        <f>RTD("esrtd",,ICE[[#This Row],[PCC]] &amp; " " &amp; ICE[[#This Row],[Rolling]] &amp; "-IEU", "Recent Settlement")</f>
        <v/>
      </c>
      <c r="V184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5" s="672" t="str">
        <f>RTD("esrtd",,ICE[[#This Row],[PCC]] &amp; " " &amp; ICE[[#This Row],[Rolling]] &amp; "-IEU", "ICE Theoretical Price")</f>
        <v/>
      </c>
      <c r="X1845" s="673" t="s">
        <v>923</v>
      </c>
    </row>
    <row r="1846" spans="1:24" x14ac:dyDescent="0.25">
      <c r="A1846" s="669" t="s">
        <v>447</v>
      </c>
      <c r="B1846" s="669" t="s">
        <v>926</v>
      </c>
      <c r="C1846" s="670">
        <v>3045330435</v>
      </c>
      <c r="D1846" s="671" t="s">
        <v>817</v>
      </c>
      <c r="E1846" s="672" t="str">
        <f>RTD("esrtd",,ICE[[#This Row],[PCC]] &amp; " " &amp; ICE[[#This Row],[Rolling]] &amp; "-IEU", "Strip")</f>
        <v/>
      </c>
      <c r="F1846" s="670" t="str">
        <f>ICE[[#This Row],[Prod]]&amp;ICE[[#This Row],[Strip]]</f>
        <v>td3c</v>
      </c>
      <c r="G1846" s="672" t="str">
        <f>RTD("esrtd",,ICE[[#This Row],[PCC]] &amp; " " &amp; ICE[[#This Row],[Rolling]] &amp; "-IEU", "Bid")</f>
        <v/>
      </c>
      <c r="H1846" s="672" t="str">
        <f>RTD("esrtd",,ICE[[#This Row],[PCC]] &amp; " " &amp; ICE[[#This Row],[Rolling]] &amp; "-IEU", "Ask")</f>
        <v/>
      </c>
      <c r="I1846" s="672" t="str">
        <f>RTD("esrtd",,ICE[[#This Row],[PCC]] &amp; " " &amp; ICE[[#This Row],[Rolling]] &amp; "-IEU", "Last")</f>
        <v/>
      </c>
      <c r="J1846" s="672" t="str">
        <f>RTD("esrtd",,ICE[[#This Row],[PCC]] &amp; " " &amp; ICE[[#This Row],[Rolling]] &amp; "-IEU", "Last Trade Time")</f>
        <v/>
      </c>
      <c r="K1846" s="672" t="str">
        <f>RTD("esrtd",,ICE[[#This Row],[PCC]] &amp; " " &amp; ICE[[#This Row],[Rolling]] &amp; "-IEU", "Block Price")</f>
        <v/>
      </c>
      <c r="L1846" s="672"/>
      <c r="M1846" s="674" t="str">
        <f>RTD("esrtd",,ICE[[#This Row],[PCC]] &amp; " " &amp; ICE[[#This Row],[Rolling]] &amp; "-IEU", "Block Price DT")</f>
        <v/>
      </c>
      <c r="N1846" s="673" t="str">
        <f>RTD("esrtd",,ICE[[#This Row],[PCC]] &amp; " " &amp; ICE[[#This Row],[Rolling]] &amp; "-IEU", "Volume")</f>
        <v/>
      </c>
      <c r="O1846" s="673" t="str">
        <f>RTD("esrtd",,ICE[[#This Row],[PCC]] &amp; " " &amp; ICE[[#This Row],[Rolling]] &amp; "-IEU", "Block Volume")</f>
        <v/>
      </c>
      <c r="P184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6" s="674" t="str">
        <f>IF(ICE[[#This Row],[LastType]] = "Scrn", ICE[[#This Row],[LstDate]], IF(ICE[[#This Row],[LastType]] = "Blk", ICE[[#This Row],[LstBlkTime]], ""))</f>
        <v/>
      </c>
      <c r="R1846" s="675" t="str">
        <f>IF(ICE[[#This Row],[LastType]] = "Scrn", ICE[[#This Row],[LstPrc]], IF(ICE[[#This Row],[LastType]] = "Blk", ICE[[#This Row],[LstBlkPrc]], ""))</f>
        <v/>
      </c>
      <c r="S1846" s="673" t="e">
        <f>ICE[[#This Row],[Vol]]+ICE[[#This Row],[BlkVol]]</f>
        <v>#VALUE!</v>
      </c>
      <c r="T1846" s="673" t="str">
        <f>RTD("esrtd",,ICE[[#This Row],[PCC]] &amp; " " &amp; ICE[[#This Row],[Rolling]] &amp; "-IEU", "Open Interest")</f>
        <v/>
      </c>
      <c r="U1846" s="672" t="str">
        <f>RTD("esrtd",,ICE[[#This Row],[PCC]] &amp; " " &amp; ICE[[#This Row],[Rolling]] &amp; "-IEU", "Recent Settlement")</f>
        <v/>
      </c>
      <c r="V184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6" s="672" t="str">
        <f>RTD("esrtd",,ICE[[#This Row],[PCC]] &amp; " " &amp; ICE[[#This Row],[Rolling]] &amp; "-IEU", "ICE Theoretical Price")</f>
        <v/>
      </c>
      <c r="X1846" s="673" t="s">
        <v>924</v>
      </c>
    </row>
    <row r="1847" spans="1:24" x14ac:dyDescent="0.25">
      <c r="A1847" s="669" t="s">
        <v>447</v>
      </c>
      <c r="B1847" s="669" t="s">
        <v>926</v>
      </c>
      <c r="C1847" s="670">
        <v>3045330435</v>
      </c>
      <c r="D1847" s="671" t="s">
        <v>822</v>
      </c>
      <c r="E1847" s="672" t="str">
        <f>RTD("esrtd",,ICE[[#This Row],[PCC]] &amp; " " &amp; ICE[[#This Row],[Rolling]] &amp; "-IEU", "Strip")</f>
        <v/>
      </c>
      <c r="F1847" s="670" t="str">
        <f>ICE[[#This Row],[Prod]]&amp;ICE[[#This Row],[Strip]]</f>
        <v>td3c</v>
      </c>
      <c r="G1847" s="672" t="str">
        <f>RTD("esrtd",,ICE[[#This Row],[PCC]] &amp; " " &amp; ICE[[#This Row],[Rolling]] &amp; "-IEU", "Bid")</f>
        <v/>
      </c>
      <c r="H1847" s="672" t="str">
        <f>RTD("esrtd",,ICE[[#This Row],[PCC]] &amp; " " &amp; ICE[[#This Row],[Rolling]] &amp; "-IEU", "Ask")</f>
        <v/>
      </c>
      <c r="I1847" s="672" t="str">
        <f>RTD("esrtd",,ICE[[#This Row],[PCC]] &amp; " " &amp; ICE[[#This Row],[Rolling]] &amp; "-IEU", "Last")</f>
        <v/>
      </c>
      <c r="J1847" s="672" t="str">
        <f>RTD("esrtd",,ICE[[#This Row],[PCC]] &amp; " " &amp; ICE[[#This Row],[Rolling]] &amp; "-IEU", "Last Trade Time")</f>
        <v/>
      </c>
      <c r="K1847" s="672" t="str">
        <f>RTD("esrtd",,ICE[[#This Row],[PCC]] &amp; " " &amp; ICE[[#This Row],[Rolling]] &amp; "-IEU", "Block Price")</f>
        <v/>
      </c>
      <c r="L1847" s="672"/>
      <c r="M1847" s="674" t="str">
        <f>RTD("esrtd",,ICE[[#This Row],[PCC]] &amp; " " &amp; ICE[[#This Row],[Rolling]] &amp; "-IEU", "Block Price DT")</f>
        <v/>
      </c>
      <c r="N1847" s="673" t="str">
        <f>RTD("esrtd",,ICE[[#This Row],[PCC]] &amp; " " &amp; ICE[[#This Row],[Rolling]] &amp; "-IEU", "Volume")</f>
        <v/>
      </c>
      <c r="O1847" s="673" t="str">
        <f>RTD("esrtd",,ICE[[#This Row],[PCC]] &amp; " " &amp; ICE[[#This Row],[Rolling]] &amp; "-IEU", "Block Volume")</f>
        <v/>
      </c>
      <c r="P184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7" s="674" t="str">
        <f>IF(ICE[[#This Row],[LastType]] = "Scrn", ICE[[#This Row],[LstDate]], IF(ICE[[#This Row],[LastType]] = "Blk", ICE[[#This Row],[LstBlkTime]], ""))</f>
        <v/>
      </c>
      <c r="R1847" s="675" t="str">
        <f>IF(ICE[[#This Row],[LastType]] = "Scrn", ICE[[#This Row],[LstPrc]], IF(ICE[[#This Row],[LastType]] = "Blk", ICE[[#This Row],[LstBlkPrc]], ""))</f>
        <v/>
      </c>
      <c r="S1847" s="673" t="e">
        <f>ICE[[#This Row],[Vol]]+ICE[[#This Row],[BlkVol]]</f>
        <v>#VALUE!</v>
      </c>
      <c r="T1847" s="673" t="str">
        <f>RTD("esrtd",,ICE[[#This Row],[PCC]] &amp; " " &amp; ICE[[#This Row],[Rolling]] &amp; "-IEU", "Open Interest")</f>
        <v/>
      </c>
      <c r="U1847" s="672" t="str">
        <f>RTD("esrtd",,ICE[[#This Row],[PCC]] &amp; " " &amp; ICE[[#This Row],[Rolling]] &amp; "-IEU", "Recent Settlement")</f>
        <v/>
      </c>
      <c r="V184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7" s="672" t="str">
        <f>RTD("esrtd",,ICE[[#This Row],[PCC]] &amp; " " &amp; ICE[[#This Row],[Rolling]] &amp; "-IEU", "ICE Theoretical Price")</f>
        <v/>
      </c>
      <c r="X1847" s="673" t="s">
        <v>925</v>
      </c>
    </row>
    <row r="1848" spans="1:24" x14ac:dyDescent="0.25">
      <c r="A1848" s="669" t="s">
        <v>450</v>
      </c>
      <c r="B1848" s="669" t="s">
        <v>927</v>
      </c>
      <c r="C1848" s="670">
        <v>3045330435</v>
      </c>
      <c r="D1848" s="671" t="s">
        <v>793</v>
      </c>
      <c r="E1848" s="670" t="str">
        <f>RTD("esrtd",,ICE[[#This Row],[PCC]] &amp; " " &amp; ICE[[#This Row],[Rolling]] &amp; "-IEU", "Strip")</f>
        <v/>
      </c>
      <c r="F1848" s="670" t="str">
        <f>ICE[[#This Row],[Prod]]&amp;ICE[[#This Row],[Strip]]</f>
        <v>tc2</v>
      </c>
      <c r="G1848" s="672" t="str">
        <f>RTD("esrtd",,ICE[[#This Row],[PCC]] &amp; " " &amp; ICE[[#This Row],[Rolling]] &amp; "-IEU", "Bid")</f>
        <v/>
      </c>
      <c r="H1848" s="672" t="str">
        <f>RTD("esrtd",,ICE[[#This Row],[PCC]] &amp; " " &amp; ICE[[#This Row],[Rolling]] &amp; "-IEU", "Ask")</f>
        <v/>
      </c>
      <c r="I1848" s="672" t="str">
        <f>RTD("esrtd",,ICE[[#This Row],[PCC]] &amp; " " &amp; ICE[[#This Row],[Rolling]] &amp; "-IEU", "Last")</f>
        <v/>
      </c>
      <c r="J1848" s="674" t="str">
        <f>RTD("esrtd",,ICE[[#This Row],[PCC]] &amp; " " &amp; ICE[[#This Row],[Rolling]] &amp; "-IEU", "Last Trade Time")</f>
        <v/>
      </c>
      <c r="K1848" s="672" t="str">
        <f>RTD("esrtd",,ICE[[#This Row],[PCC]] &amp; " " &amp; ICE[[#This Row],[Rolling]] &amp; "-IEU", "Block Price")</f>
        <v/>
      </c>
      <c r="L1848" s="673"/>
      <c r="M1848" s="674" t="str">
        <f>RTD("esrtd",,ICE[[#This Row],[PCC]] &amp; " " &amp; ICE[[#This Row],[Rolling]] &amp; "-IEU", "Block Price DT")</f>
        <v/>
      </c>
      <c r="N1848" s="673" t="str">
        <f>RTD("esrtd",,ICE[[#This Row],[PCC]] &amp; " " &amp; ICE[[#This Row],[Rolling]] &amp; "-IEU", "Volume")</f>
        <v/>
      </c>
      <c r="O1848" s="673" t="str">
        <f>RTD("esrtd",,ICE[[#This Row],[PCC]] &amp; " " &amp; ICE[[#This Row],[Rolling]] &amp; "-IEU", "Block Volume")</f>
        <v/>
      </c>
      <c r="P184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8" s="674" t="str">
        <f>IF(ICE[[#This Row],[LastType]] = "Scrn", ICE[[#This Row],[LstDate]], IF(ICE[[#This Row],[LastType]] = "Blk", ICE[[#This Row],[LstBlkTime]], ""))</f>
        <v/>
      </c>
      <c r="R1848" s="675" t="str">
        <f>IF(ICE[[#This Row],[LastType]] = "Scrn", ICE[[#This Row],[LstPrc]], IF(ICE[[#This Row],[LastType]] = "Blk", ICE[[#This Row],[LstBlkPrc]], ""))</f>
        <v/>
      </c>
      <c r="S1848" s="673" t="e">
        <f>ICE[[#This Row],[Vol]]+ICE[[#This Row],[BlkVol]]</f>
        <v>#VALUE!</v>
      </c>
      <c r="T1848" s="673" t="str">
        <f>RTD("esrtd",,ICE[[#This Row],[PCC]] &amp; " " &amp; ICE[[#This Row],[Rolling]] &amp; "-IEU", "Open Interest")</f>
        <v/>
      </c>
      <c r="U1848" s="672" t="str">
        <f>RTD("esrtd",,ICE[[#This Row],[PCC]] &amp; " " &amp; ICE[[#This Row],[Rolling]] &amp; "-IEU", "Recent Settlement")</f>
        <v/>
      </c>
      <c r="V184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8" s="672" t="str">
        <f>RTD("esrtd",,ICE[[#This Row],[PCC]] &amp; " " &amp; ICE[[#This Row],[Rolling]] &amp; "-IEU", "ICE Theoretical Price")</f>
        <v/>
      </c>
      <c r="X1848" s="673" t="s">
        <v>891</v>
      </c>
    </row>
    <row r="1849" spans="1:24" x14ac:dyDescent="0.25">
      <c r="A1849" s="669" t="s">
        <v>450</v>
      </c>
      <c r="B1849" s="669" t="s">
        <v>927</v>
      </c>
      <c r="C1849" s="670">
        <v>3045330435</v>
      </c>
      <c r="D1849" s="671" t="s">
        <v>324</v>
      </c>
      <c r="E1849" s="670" t="str">
        <f>RTD("esrtd",,ICE[[#This Row],[PCC]] &amp; " " &amp; ICE[[#This Row],[Rolling]] &amp; "-IEU", "Strip")</f>
        <v/>
      </c>
      <c r="F1849" s="670" t="str">
        <f>ICE[[#This Row],[Prod]]&amp;ICE[[#This Row],[Strip]]</f>
        <v>tc2</v>
      </c>
      <c r="G1849" s="672" t="str">
        <f>RTD("esrtd",,ICE[[#This Row],[PCC]] &amp; " " &amp; ICE[[#This Row],[Rolling]] &amp; "-IEU", "Bid")</f>
        <v/>
      </c>
      <c r="H1849" s="672" t="str">
        <f>RTD("esrtd",,ICE[[#This Row],[PCC]] &amp; " " &amp; ICE[[#This Row],[Rolling]] &amp; "-IEU", "Ask")</f>
        <v/>
      </c>
      <c r="I1849" s="672" t="str">
        <f>RTD("esrtd",,ICE[[#This Row],[PCC]] &amp; " " &amp; ICE[[#This Row],[Rolling]] &amp; "-IEU", "Last")</f>
        <v/>
      </c>
      <c r="J1849" s="674" t="str">
        <f>RTD("esrtd",,ICE[[#This Row],[PCC]] &amp; " " &amp; ICE[[#This Row],[Rolling]] &amp; "-IEU", "Last Trade Time")</f>
        <v/>
      </c>
      <c r="K1849" s="672" t="str">
        <f>RTD("esrtd",,ICE[[#This Row],[PCC]] &amp; " " &amp; ICE[[#This Row],[Rolling]] &amp; "-IEU", "Block Price")</f>
        <v/>
      </c>
      <c r="L1849" s="673"/>
      <c r="M1849" s="674" t="str">
        <f>RTD("esrtd",,ICE[[#This Row],[PCC]] &amp; " " &amp; ICE[[#This Row],[Rolling]] &amp; "-IEU", "Block Price DT")</f>
        <v/>
      </c>
      <c r="N1849" s="673" t="str">
        <f>RTD("esrtd",,ICE[[#This Row],[PCC]] &amp; " " &amp; ICE[[#This Row],[Rolling]] &amp; "-IEU", "Volume")</f>
        <v/>
      </c>
      <c r="O1849" s="673" t="str">
        <f>RTD("esrtd",,ICE[[#This Row],[PCC]] &amp; " " &amp; ICE[[#This Row],[Rolling]] &amp; "-IEU", "Block Volume")</f>
        <v/>
      </c>
      <c r="P184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49" s="674" t="str">
        <f>IF(ICE[[#This Row],[LastType]] = "Scrn", ICE[[#This Row],[LstDate]], IF(ICE[[#This Row],[LastType]] = "Blk", ICE[[#This Row],[LstBlkTime]], ""))</f>
        <v/>
      </c>
      <c r="R1849" s="675" t="str">
        <f>IF(ICE[[#This Row],[LastType]] = "Scrn", ICE[[#This Row],[LstPrc]], IF(ICE[[#This Row],[LastType]] = "Blk", ICE[[#This Row],[LstBlkPrc]], ""))</f>
        <v/>
      </c>
      <c r="S1849" s="673" t="e">
        <f>ICE[[#This Row],[Vol]]+ICE[[#This Row],[BlkVol]]</f>
        <v>#VALUE!</v>
      </c>
      <c r="T1849" s="673" t="str">
        <f>RTD("esrtd",,ICE[[#This Row],[PCC]] &amp; " " &amp; ICE[[#This Row],[Rolling]] &amp; "-IEU", "Open Interest")</f>
        <v/>
      </c>
      <c r="U1849" s="672" t="str">
        <f>RTD("esrtd",,ICE[[#This Row],[PCC]] &amp; " " &amp; ICE[[#This Row],[Rolling]] &amp; "-IEU", "Recent Settlement")</f>
        <v/>
      </c>
      <c r="V184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49" s="672" t="str">
        <f>RTD("esrtd",,ICE[[#This Row],[PCC]] &amp; " " &amp; ICE[[#This Row],[Rolling]] &amp; "-IEU", "ICE Theoretical Price")</f>
        <v/>
      </c>
      <c r="X1849" s="673" t="s">
        <v>892</v>
      </c>
    </row>
    <row r="1850" spans="1:24" x14ac:dyDescent="0.25">
      <c r="A1850" s="669" t="s">
        <v>450</v>
      </c>
      <c r="B1850" s="669" t="s">
        <v>927</v>
      </c>
      <c r="C1850" s="670">
        <v>3045330435</v>
      </c>
      <c r="D1850" s="671" t="s">
        <v>325</v>
      </c>
      <c r="E1850" s="670" t="str">
        <f>RTD("esrtd",,ICE[[#This Row],[PCC]] &amp; " " &amp; ICE[[#This Row],[Rolling]] &amp; "-IEU", "Strip")</f>
        <v/>
      </c>
      <c r="F1850" s="670" t="str">
        <f>ICE[[#This Row],[Prod]]&amp;ICE[[#This Row],[Strip]]</f>
        <v>tc2</v>
      </c>
      <c r="G1850" s="672" t="str">
        <f>RTD("esrtd",,ICE[[#This Row],[PCC]] &amp; " " &amp; ICE[[#This Row],[Rolling]] &amp; "-IEU", "Bid")</f>
        <v/>
      </c>
      <c r="H1850" s="672" t="str">
        <f>RTD("esrtd",,ICE[[#This Row],[PCC]] &amp; " " &amp; ICE[[#This Row],[Rolling]] &amp; "-IEU", "Ask")</f>
        <v/>
      </c>
      <c r="I1850" s="672" t="str">
        <f>RTD("esrtd",,ICE[[#This Row],[PCC]] &amp; " " &amp; ICE[[#This Row],[Rolling]] &amp; "-IEU", "Last")</f>
        <v/>
      </c>
      <c r="J1850" s="674" t="str">
        <f>RTD("esrtd",,ICE[[#This Row],[PCC]] &amp; " " &amp; ICE[[#This Row],[Rolling]] &amp; "-IEU", "Last Trade Time")</f>
        <v/>
      </c>
      <c r="K1850" s="672" t="str">
        <f>RTD("esrtd",,ICE[[#This Row],[PCC]] &amp; " " &amp; ICE[[#This Row],[Rolling]] &amp; "-IEU", "Block Price")</f>
        <v/>
      </c>
      <c r="L1850" s="673"/>
      <c r="M1850" s="674" t="str">
        <f>RTD("esrtd",,ICE[[#This Row],[PCC]] &amp; " " &amp; ICE[[#This Row],[Rolling]] &amp; "-IEU", "Block Price DT")</f>
        <v/>
      </c>
      <c r="N1850" s="673" t="str">
        <f>RTD("esrtd",,ICE[[#This Row],[PCC]] &amp; " " &amp; ICE[[#This Row],[Rolling]] &amp; "-IEU", "Volume")</f>
        <v/>
      </c>
      <c r="O1850" s="673" t="str">
        <f>RTD("esrtd",,ICE[[#This Row],[PCC]] &amp; " " &amp; ICE[[#This Row],[Rolling]] &amp; "-IEU", "Block Volume")</f>
        <v/>
      </c>
      <c r="P185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0" s="674" t="str">
        <f>IF(ICE[[#This Row],[LastType]] = "Scrn", ICE[[#This Row],[LstDate]], IF(ICE[[#This Row],[LastType]] = "Blk", ICE[[#This Row],[LstBlkTime]], ""))</f>
        <v/>
      </c>
      <c r="R1850" s="675" t="str">
        <f>IF(ICE[[#This Row],[LastType]] = "Scrn", ICE[[#This Row],[LstPrc]], IF(ICE[[#This Row],[LastType]] = "Blk", ICE[[#This Row],[LstBlkPrc]], ""))</f>
        <v/>
      </c>
      <c r="S1850" s="673" t="e">
        <f>ICE[[#This Row],[Vol]]+ICE[[#This Row],[BlkVol]]</f>
        <v>#VALUE!</v>
      </c>
      <c r="T1850" s="673" t="str">
        <f>RTD("esrtd",,ICE[[#This Row],[PCC]] &amp; " " &amp; ICE[[#This Row],[Rolling]] &amp; "-IEU", "Open Interest")</f>
        <v/>
      </c>
      <c r="U1850" s="672" t="str">
        <f>RTD("esrtd",,ICE[[#This Row],[PCC]] &amp; " " &amp; ICE[[#This Row],[Rolling]] &amp; "-IEU", "Recent Settlement")</f>
        <v/>
      </c>
      <c r="V185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0" s="672" t="str">
        <f>RTD("esrtd",,ICE[[#This Row],[PCC]] &amp; " " &amp; ICE[[#This Row],[Rolling]] &amp; "-IEU", "ICE Theoretical Price")</f>
        <v/>
      </c>
      <c r="X1850" s="673" t="s">
        <v>893</v>
      </c>
    </row>
    <row r="1851" spans="1:24" x14ac:dyDescent="0.25">
      <c r="A1851" s="669" t="s">
        <v>450</v>
      </c>
      <c r="B1851" s="669" t="s">
        <v>927</v>
      </c>
      <c r="C1851" s="670">
        <v>3045330435</v>
      </c>
      <c r="D1851" s="671" t="s">
        <v>326</v>
      </c>
      <c r="E1851" s="670" t="str">
        <f>RTD("esrtd",,ICE[[#This Row],[PCC]] &amp; " " &amp; ICE[[#This Row],[Rolling]] &amp; "-IEU", "Strip")</f>
        <v/>
      </c>
      <c r="F1851" s="670" t="str">
        <f>ICE[[#This Row],[Prod]]&amp;ICE[[#This Row],[Strip]]</f>
        <v>tc2</v>
      </c>
      <c r="G1851" s="672" t="str">
        <f>RTD("esrtd",,ICE[[#This Row],[PCC]] &amp; " " &amp; ICE[[#This Row],[Rolling]] &amp; "-IEU", "Bid")</f>
        <v/>
      </c>
      <c r="H1851" s="672" t="str">
        <f>RTD("esrtd",,ICE[[#This Row],[PCC]] &amp; " " &amp; ICE[[#This Row],[Rolling]] &amp; "-IEU", "Ask")</f>
        <v/>
      </c>
      <c r="I1851" s="672" t="str">
        <f>RTD("esrtd",,ICE[[#This Row],[PCC]] &amp; " " &amp; ICE[[#This Row],[Rolling]] &amp; "-IEU", "Last")</f>
        <v/>
      </c>
      <c r="J1851" s="674" t="str">
        <f>RTD("esrtd",,ICE[[#This Row],[PCC]] &amp; " " &amp; ICE[[#This Row],[Rolling]] &amp; "-IEU", "Last Trade Time")</f>
        <v/>
      </c>
      <c r="K1851" s="672" t="str">
        <f>RTD("esrtd",,ICE[[#This Row],[PCC]] &amp; " " &amp; ICE[[#This Row],[Rolling]] &amp; "-IEU", "Block Price")</f>
        <v/>
      </c>
      <c r="L1851" s="673"/>
      <c r="M1851" s="674" t="str">
        <f>RTD("esrtd",,ICE[[#This Row],[PCC]] &amp; " " &amp; ICE[[#This Row],[Rolling]] &amp; "-IEU", "Block Price DT")</f>
        <v/>
      </c>
      <c r="N1851" s="673" t="str">
        <f>RTD("esrtd",,ICE[[#This Row],[PCC]] &amp; " " &amp; ICE[[#This Row],[Rolling]] &amp; "-IEU", "Volume")</f>
        <v/>
      </c>
      <c r="O1851" s="673" t="str">
        <f>RTD("esrtd",,ICE[[#This Row],[PCC]] &amp; " " &amp; ICE[[#This Row],[Rolling]] &amp; "-IEU", "Block Volume")</f>
        <v/>
      </c>
      <c r="P185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1" s="674" t="str">
        <f>IF(ICE[[#This Row],[LastType]] = "Scrn", ICE[[#This Row],[LstDate]], IF(ICE[[#This Row],[LastType]] = "Blk", ICE[[#This Row],[LstBlkTime]], ""))</f>
        <v/>
      </c>
      <c r="R1851" s="675" t="str">
        <f>IF(ICE[[#This Row],[LastType]] = "Scrn", ICE[[#This Row],[LstPrc]], IF(ICE[[#This Row],[LastType]] = "Blk", ICE[[#This Row],[LstBlkPrc]], ""))</f>
        <v/>
      </c>
      <c r="S1851" s="673" t="e">
        <f>ICE[[#This Row],[Vol]]+ICE[[#This Row],[BlkVol]]</f>
        <v>#VALUE!</v>
      </c>
      <c r="T1851" s="673" t="str">
        <f>RTD("esrtd",,ICE[[#This Row],[PCC]] &amp; " " &amp; ICE[[#This Row],[Rolling]] &amp; "-IEU", "Open Interest")</f>
        <v/>
      </c>
      <c r="U1851" s="672" t="str">
        <f>RTD("esrtd",,ICE[[#This Row],[PCC]] &amp; " " &amp; ICE[[#This Row],[Rolling]] &amp; "-IEU", "Recent Settlement")</f>
        <v/>
      </c>
      <c r="V185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1" s="672" t="str">
        <f>RTD("esrtd",,ICE[[#This Row],[PCC]] &amp; " " &amp; ICE[[#This Row],[Rolling]] &amp; "-IEU", "ICE Theoretical Price")</f>
        <v/>
      </c>
      <c r="X1851" s="673" t="s">
        <v>894</v>
      </c>
    </row>
    <row r="1852" spans="1:24" x14ac:dyDescent="0.25">
      <c r="A1852" s="669" t="s">
        <v>450</v>
      </c>
      <c r="B1852" s="669" t="s">
        <v>927</v>
      </c>
      <c r="C1852" s="670">
        <v>3045330435</v>
      </c>
      <c r="D1852" s="671" t="s">
        <v>794</v>
      </c>
      <c r="E1852" s="670" t="str">
        <f>RTD("esrtd",,ICE[[#This Row],[PCC]] &amp; " " &amp; ICE[[#This Row],[Rolling]] &amp; "-IEU", "Strip")</f>
        <v/>
      </c>
      <c r="F1852" s="670" t="str">
        <f>ICE[[#This Row],[Prod]]&amp;ICE[[#This Row],[Strip]]</f>
        <v>tc2</v>
      </c>
      <c r="G1852" s="672" t="str">
        <f>RTD("esrtd",,ICE[[#This Row],[PCC]] &amp; " " &amp; ICE[[#This Row],[Rolling]] &amp; "-IEU", "Bid")</f>
        <v/>
      </c>
      <c r="H1852" s="672" t="str">
        <f>RTD("esrtd",,ICE[[#This Row],[PCC]] &amp; " " &amp; ICE[[#This Row],[Rolling]] &amp; "-IEU", "Ask")</f>
        <v/>
      </c>
      <c r="I1852" s="672" t="str">
        <f>RTD("esrtd",,ICE[[#This Row],[PCC]] &amp; " " &amp; ICE[[#This Row],[Rolling]] &amp; "-IEU", "Last")</f>
        <v/>
      </c>
      <c r="J1852" s="674" t="str">
        <f>RTD("esrtd",,ICE[[#This Row],[PCC]] &amp; " " &amp; ICE[[#This Row],[Rolling]] &amp; "-IEU", "Last Trade Time")</f>
        <v/>
      </c>
      <c r="K1852" s="672" t="str">
        <f>RTD("esrtd",,ICE[[#This Row],[PCC]] &amp; " " &amp; ICE[[#This Row],[Rolling]] &amp; "-IEU", "Block Price")</f>
        <v/>
      </c>
      <c r="L1852" s="673"/>
      <c r="M1852" s="674" t="str">
        <f>RTD("esrtd",,ICE[[#This Row],[PCC]] &amp; " " &amp; ICE[[#This Row],[Rolling]] &amp; "-IEU", "Block Price DT")</f>
        <v/>
      </c>
      <c r="N1852" s="673" t="str">
        <f>RTD("esrtd",,ICE[[#This Row],[PCC]] &amp; " " &amp; ICE[[#This Row],[Rolling]] &amp; "-IEU", "Volume")</f>
        <v/>
      </c>
      <c r="O1852" s="673" t="str">
        <f>RTD("esrtd",,ICE[[#This Row],[PCC]] &amp; " " &amp; ICE[[#This Row],[Rolling]] &amp; "-IEU", "Block Volume")</f>
        <v/>
      </c>
      <c r="P185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2" s="674" t="str">
        <f>IF(ICE[[#This Row],[LastType]] = "Scrn", ICE[[#This Row],[LstDate]], IF(ICE[[#This Row],[LastType]] = "Blk", ICE[[#This Row],[LstBlkTime]], ""))</f>
        <v/>
      </c>
      <c r="R1852" s="675" t="str">
        <f>IF(ICE[[#This Row],[LastType]] = "Scrn", ICE[[#This Row],[LstPrc]], IF(ICE[[#This Row],[LastType]] = "Blk", ICE[[#This Row],[LstBlkPrc]], ""))</f>
        <v/>
      </c>
      <c r="S1852" s="673" t="e">
        <f>ICE[[#This Row],[Vol]]+ICE[[#This Row],[BlkVol]]</f>
        <v>#VALUE!</v>
      </c>
      <c r="T1852" s="673" t="str">
        <f>RTD("esrtd",,ICE[[#This Row],[PCC]] &amp; " " &amp; ICE[[#This Row],[Rolling]] &amp; "-IEU", "Open Interest")</f>
        <v/>
      </c>
      <c r="U1852" s="672" t="str">
        <f>RTD("esrtd",,ICE[[#This Row],[PCC]] &amp; " " &amp; ICE[[#This Row],[Rolling]] &amp; "-IEU", "Recent Settlement")</f>
        <v/>
      </c>
      <c r="V185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2" s="672" t="str">
        <f>RTD("esrtd",,ICE[[#This Row],[PCC]] &amp; " " &amp; ICE[[#This Row],[Rolling]] &amp; "-IEU", "ICE Theoretical Price")</f>
        <v/>
      </c>
      <c r="X1852" s="673" t="s">
        <v>895</v>
      </c>
    </row>
    <row r="1853" spans="1:24" x14ac:dyDescent="0.25">
      <c r="A1853" s="669" t="s">
        <v>450</v>
      </c>
      <c r="B1853" s="669" t="s">
        <v>927</v>
      </c>
      <c r="C1853" s="670">
        <v>3045330435</v>
      </c>
      <c r="D1853" s="671" t="s">
        <v>795</v>
      </c>
      <c r="E1853" s="670" t="str">
        <f>RTD("esrtd",,ICE[[#This Row],[PCC]] &amp; " " &amp; ICE[[#This Row],[Rolling]] &amp; "-IEU", "Strip")</f>
        <v/>
      </c>
      <c r="F1853" s="670" t="str">
        <f>ICE[[#This Row],[Prod]]&amp;ICE[[#This Row],[Strip]]</f>
        <v>tc2</v>
      </c>
      <c r="G1853" s="672" t="str">
        <f>RTD("esrtd",,ICE[[#This Row],[PCC]] &amp; " " &amp; ICE[[#This Row],[Rolling]] &amp; "-IEU", "Bid")</f>
        <v/>
      </c>
      <c r="H1853" s="672" t="str">
        <f>RTD("esrtd",,ICE[[#This Row],[PCC]] &amp; " " &amp; ICE[[#This Row],[Rolling]] &amp; "-IEU", "Ask")</f>
        <v/>
      </c>
      <c r="I1853" s="672" t="str">
        <f>RTD("esrtd",,ICE[[#This Row],[PCC]] &amp; " " &amp; ICE[[#This Row],[Rolling]] &amp; "-IEU", "Last")</f>
        <v/>
      </c>
      <c r="J1853" s="674" t="str">
        <f>RTD("esrtd",,ICE[[#This Row],[PCC]] &amp; " " &amp; ICE[[#This Row],[Rolling]] &amp; "-IEU", "Last Trade Time")</f>
        <v/>
      </c>
      <c r="K1853" s="672" t="str">
        <f>RTD("esrtd",,ICE[[#This Row],[PCC]] &amp; " " &amp; ICE[[#This Row],[Rolling]] &amp; "-IEU", "Block Price")</f>
        <v/>
      </c>
      <c r="L1853" s="673"/>
      <c r="M1853" s="674" t="str">
        <f>RTD("esrtd",,ICE[[#This Row],[PCC]] &amp; " " &amp; ICE[[#This Row],[Rolling]] &amp; "-IEU", "Block Price DT")</f>
        <v/>
      </c>
      <c r="N1853" s="673" t="str">
        <f>RTD("esrtd",,ICE[[#This Row],[PCC]] &amp; " " &amp; ICE[[#This Row],[Rolling]] &amp; "-IEU", "Volume")</f>
        <v/>
      </c>
      <c r="O1853" s="673" t="str">
        <f>RTD("esrtd",,ICE[[#This Row],[PCC]] &amp; " " &amp; ICE[[#This Row],[Rolling]] &amp; "-IEU", "Block Volume")</f>
        <v/>
      </c>
      <c r="P185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3" s="674" t="str">
        <f>IF(ICE[[#This Row],[LastType]] = "Scrn", ICE[[#This Row],[LstDate]], IF(ICE[[#This Row],[LastType]] = "Blk", ICE[[#This Row],[LstBlkTime]], ""))</f>
        <v/>
      </c>
      <c r="R1853" s="675" t="str">
        <f>IF(ICE[[#This Row],[LastType]] = "Scrn", ICE[[#This Row],[LstPrc]], IF(ICE[[#This Row],[LastType]] = "Blk", ICE[[#This Row],[LstBlkPrc]], ""))</f>
        <v/>
      </c>
      <c r="S1853" s="673" t="e">
        <f>ICE[[#This Row],[Vol]]+ICE[[#This Row],[BlkVol]]</f>
        <v>#VALUE!</v>
      </c>
      <c r="T1853" s="673" t="str">
        <f>RTD("esrtd",,ICE[[#This Row],[PCC]] &amp; " " &amp; ICE[[#This Row],[Rolling]] &amp; "-IEU", "Open Interest")</f>
        <v/>
      </c>
      <c r="U1853" s="672" t="str">
        <f>RTD("esrtd",,ICE[[#This Row],[PCC]] &amp; " " &amp; ICE[[#This Row],[Rolling]] &amp; "-IEU", "Recent Settlement")</f>
        <v/>
      </c>
      <c r="V185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3" s="672" t="str">
        <f>RTD("esrtd",,ICE[[#This Row],[PCC]] &amp; " " &amp; ICE[[#This Row],[Rolling]] &amp; "-IEU", "ICE Theoretical Price")</f>
        <v/>
      </c>
      <c r="X1853" s="673" t="s">
        <v>896</v>
      </c>
    </row>
    <row r="1854" spans="1:24" x14ac:dyDescent="0.25">
      <c r="A1854" s="669" t="s">
        <v>450</v>
      </c>
      <c r="B1854" s="669" t="s">
        <v>927</v>
      </c>
      <c r="C1854" s="670">
        <v>3045330435</v>
      </c>
      <c r="D1854" s="671" t="s">
        <v>113</v>
      </c>
      <c r="E1854" s="670" t="str">
        <f>RTD("esrtd",,ICE[[#This Row],[PCC]] &amp; " " &amp; ICE[[#This Row],[Rolling]] &amp; "-IEU", "Strip")</f>
        <v/>
      </c>
      <c r="F1854" s="670" t="str">
        <f>ICE[[#This Row],[Prod]]&amp;ICE[[#This Row],[Strip]]</f>
        <v>tc2</v>
      </c>
      <c r="G1854" s="672" t="str">
        <f>RTD("esrtd",,ICE[[#This Row],[PCC]] &amp; " " &amp; ICE[[#This Row],[Rolling]] &amp; "-IEU", "Bid")</f>
        <v/>
      </c>
      <c r="H1854" s="672" t="str">
        <f>RTD("esrtd",,ICE[[#This Row],[PCC]] &amp; " " &amp; ICE[[#This Row],[Rolling]] &amp; "-IEU", "Ask")</f>
        <v/>
      </c>
      <c r="I1854" s="672" t="str">
        <f>RTD("esrtd",,ICE[[#This Row],[PCC]] &amp; " " &amp; ICE[[#This Row],[Rolling]] &amp; "-IEU", "Last")</f>
        <v/>
      </c>
      <c r="J1854" s="674" t="str">
        <f>RTD("esrtd",,ICE[[#This Row],[PCC]] &amp; " " &amp; ICE[[#This Row],[Rolling]] &amp; "-IEU", "Last Trade Time")</f>
        <v/>
      </c>
      <c r="K1854" s="672" t="str">
        <f>RTD("esrtd",,ICE[[#This Row],[PCC]] &amp; " " &amp; ICE[[#This Row],[Rolling]] &amp; "-IEU", "Block Price")</f>
        <v/>
      </c>
      <c r="L1854" s="673"/>
      <c r="M1854" s="674" t="str">
        <f>RTD("esrtd",,ICE[[#This Row],[PCC]] &amp; " " &amp; ICE[[#This Row],[Rolling]] &amp; "-IEU", "Block Price DT")</f>
        <v/>
      </c>
      <c r="N1854" s="673" t="str">
        <f>RTD("esrtd",,ICE[[#This Row],[PCC]] &amp; " " &amp; ICE[[#This Row],[Rolling]] &amp; "-IEU", "Volume")</f>
        <v/>
      </c>
      <c r="O1854" s="673" t="str">
        <f>RTD("esrtd",,ICE[[#This Row],[PCC]] &amp; " " &amp; ICE[[#This Row],[Rolling]] &amp; "-IEU", "Block Volume")</f>
        <v/>
      </c>
      <c r="P185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4" s="674" t="str">
        <f>IF(ICE[[#This Row],[LastType]] = "Scrn", ICE[[#This Row],[LstDate]], IF(ICE[[#This Row],[LastType]] = "Blk", ICE[[#This Row],[LstBlkTime]], ""))</f>
        <v/>
      </c>
      <c r="R1854" s="675" t="str">
        <f>IF(ICE[[#This Row],[LastType]] = "Scrn", ICE[[#This Row],[LstPrc]], IF(ICE[[#This Row],[LastType]] = "Blk", ICE[[#This Row],[LstBlkPrc]], ""))</f>
        <v/>
      </c>
      <c r="S1854" s="673" t="e">
        <f>ICE[[#This Row],[Vol]]+ICE[[#This Row],[BlkVol]]</f>
        <v>#VALUE!</v>
      </c>
      <c r="T1854" s="673" t="str">
        <f>RTD("esrtd",,ICE[[#This Row],[PCC]] &amp; " " &amp; ICE[[#This Row],[Rolling]] &amp; "-IEU", "Open Interest")</f>
        <v/>
      </c>
      <c r="U1854" s="672" t="str">
        <f>RTD("esrtd",,ICE[[#This Row],[PCC]] &amp; " " &amp; ICE[[#This Row],[Rolling]] &amp; "-IEU", "Recent Settlement")</f>
        <v/>
      </c>
      <c r="V185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4" s="672" t="str">
        <f>RTD("esrtd",,ICE[[#This Row],[PCC]] &amp; " " &amp; ICE[[#This Row],[Rolling]] &amp; "-IEU", "ICE Theoretical Price")</f>
        <v/>
      </c>
      <c r="X1854" s="673" t="s">
        <v>897</v>
      </c>
    </row>
    <row r="1855" spans="1:24" x14ac:dyDescent="0.25">
      <c r="A1855" s="669" t="s">
        <v>450</v>
      </c>
      <c r="B1855" s="669" t="s">
        <v>927</v>
      </c>
      <c r="C1855" s="670">
        <v>3045330435</v>
      </c>
      <c r="D1855" s="671" t="s">
        <v>796</v>
      </c>
      <c r="E1855" s="670" t="str">
        <f>RTD("esrtd",,ICE[[#This Row],[PCC]] &amp; " " &amp; ICE[[#This Row],[Rolling]] &amp; "-IEU", "Strip")</f>
        <v/>
      </c>
      <c r="F1855" s="670" t="str">
        <f>ICE[[#This Row],[Prod]]&amp;ICE[[#This Row],[Strip]]</f>
        <v>tc2</v>
      </c>
      <c r="G1855" s="672" t="str">
        <f>RTD("esrtd",,ICE[[#This Row],[PCC]] &amp; " " &amp; ICE[[#This Row],[Rolling]] &amp; "-IEU", "Bid")</f>
        <v/>
      </c>
      <c r="H1855" s="672" t="str">
        <f>RTD("esrtd",,ICE[[#This Row],[PCC]] &amp; " " &amp; ICE[[#This Row],[Rolling]] &amp; "-IEU", "Ask")</f>
        <v/>
      </c>
      <c r="I1855" s="672" t="str">
        <f>RTD("esrtd",,ICE[[#This Row],[PCC]] &amp; " " &amp; ICE[[#This Row],[Rolling]] &amp; "-IEU", "Last")</f>
        <v/>
      </c>
      <c r="J1855" s="674" t="str">
        <f>RTD("esrtd",,ICE[[#This Row],[PCC]] &amp; " " &amp; ICE[[#This Row],[Rolling]] &amp; "-IEU", "Last Trade Time")</f>
        <v/>
      </c>
      <c r="K1855" s="672" t="str">
        <f>RTD("esrtd",,ICE[[#This Row],[PCC]] &amp; " " &amp; ICE[[#This Row],[Rolling]] &amp; "-IEU", "Block Price")</f>
        <v/>
      </c>
      <c r="L1855" s="673"/>
      <c r="M1855" s="674" t="str">
        <f>RTD("esrtd",,ICE[[#This Row],[PCC]] &amp; " " &amp; ICE[[#This Row],[Rolling]] &amp; "-IEU", "Block Price DT")</f>
        <v/>
      </c>
      <c r="N1855" s="673" t="str">
        <f>RTD("esrtd",,ICE[[#This Row],[PCC]] &amp; " " &amp; ICE[[#This Row],[Rolling]] &amp; "-IEU", "Volume")</f>
        <v/>
      </c>
      <c r="O1855" s="673" t="str">
        <f>RTD("esrtd",,ICE[[#This Row],[PCC]] &amp; " " &amp; ICE[[#This Row],[Rolling]] &amp; "-IEU", "Block Volume")</f>
        <v/>
      </c>
      <c r="P185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5" s="674" t="str">
        <f>IF(ICE[[#This Row],[LastType]] = "Scrn", ICE[[#This Row],[LstDate]], IF(ICE[[#This Row],[LastType]] = "Blk", ICE[[#This Row],[LstBlkTime]], ""))</f>
        <v/>
      </c>
      <c r="R1855" s="675" t="str">
        <f>IF(ICE[[#This Row],[LastType]] = "Scrn", ICE[[#This Row],[LstPrc]], IF(ICE[[#This Row],[LastType]] = "Blk", ICE[[#This Row],[LstBlkPrc]], ""))</f>
        <v/>
      </c>
      <c r="S1855" s="673" t="e">
        <f>ICE[[#This Row],[Vol]]+ICE[[#This Row],[BlkVol]]</f>
        <v>#VALUE!</v>
      </c>
      <c r="T1855" s="673" t="str">
        <f>RTD("esrtd",,ICE[[#This Row],[PCC]] &amp; " " &amp; ICE[[#This Row],[Rolling]] &amp; "-IEU", "Open Interest")</f>
        <v/>
      </c>
      <c r="U1855" s="672" t="str">
        <f>RTD("esrtd",,ICE[[#This Row],[PCC]] &amp; " " &amp; ICE[[#This Row],[Rolling]] &amp; "-IEU", "Recent Settlement")</f>
        <v/>
      </c>
      <c r="V185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5" s="672" t="str">
        <f>RTD("esrtd",,ICE[[#This Row],[PCC]] &amp; " " &amp; ICE[[#This Row],[Rolling]] &amp; "-IEU", "ICE Theoretical Price")</f>
        <v/>
      </c>
      <c r="X1855" s="673" t="s">
        <v>898</v>
      </c>
    </row>
    <row r="1856" spans="1:24" x14ac:dyDescent="0.25">
      <c r="A1856" s="669" t="s">
        <v>450</v>
      </c>
      <c r="B1856" s="669" t="s">
        <v>927</v>
      </c>
      <c r="C1856" s="670">
        <v>3045330435</v>
      </c>
      <c r="D1856" s="671" t="s">
        <v>797</v>
      </c>
      <c r="E1856" s="670" t="str">
        <f>RTD("esrtd",,ICE[[#This Row],[PCC]] &amp; " " &amp; ICE[[#This Row],[Rolling]] &amp; "-IEU", "Strip")</f>
        <v/>
      </c>
      <c r="F1856" s="670" t="str">
        <f>ICE[[#This Row],[Prod]]&amp;ICE[[#This Row],[Strip]]</f>
        <v>tc2</v>
      </c>
      <c r="G1856" s="672" t="str">
        <f>RTD("esrtd",,ICE[[#This Row],[PCC]] &amp; " " &amp; ICE[[#This Row],[Rolling]] &amp; "-IEU", "Bid")</f>
        <v/>
      </c>
      <c r="H1856" s="672" t="str">
        <f>RTD("esrtd",,ICE[[#This Row],[PCC]] &amp; " " &amp; ICE[[#This Row],[Rolling]] &amp; "-IEU", "Ask")</f>
        <v/>
      </c>
      <c r="I1856" s="672" t="str">
        <f>RTD("esrtd",,ICE[[#This Row],[PCC]] &amp; " " &amp; ICE[[#This Row],[Rolling]] &amp; "-IEU", "Last")</f>
        <v/>
      </c>
      <c r="J1856" s="674" t="str">
        <f>RTD("esrtd",,ICE[[#This Row],[PCC]] &amp; " " &amp; ICE[[#This Row],[Rolling]] &amp; "-IEU", "Last Trade Time")</f>
        <v/>
      </c>
      <c r="K1856" s="672" t="str">
        <f>RTD("esrtd",,ICE[[#This Row],[PCC]] &amp; " " &amp; ICE[[#This Row],[Rolling]] &amp; "-IEU", "Block Price")</f>
        <v/>
      </c>
      <c r="L1856" s="673"/>
      <c r="M1856" s="674" t="str">
        <f>RTD("esrtd",,ICE[[#This Row],[PCC]] &amp; " " &amp; ICE[[#This Row],[Rolling]] &amp; "-IEU", "Block Price DT")</f>
        <v/>
      </c>
      <c r="N1856" s="673" t="str">
        <f>RTD("esrtd",,ICE[[#This Row],[PCC]] &amp; " " &amp; ICE[[#This Row],[Rolling]] &amp; "-IEU", "Volume")</f>
        <v/>
      </c>
      <c r="O1856" s="673" t="str">
        <f>RTD("esrtd",,ICE[[#This Row],[PCC]] &amp; " " &amp; ICE[[#This Row],[Rolling]] &amp; "-IEU", "Block Volume")</f>
        <v/>
      </c>
      <c r="P185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6" s="674" t="str">
        <f>IF(ICE[[#This Row],[LastType]] = "Scrn", ICE[[#This Row],[LstDate]], IF(ICE[[#This Row],[LastType]] = "Blk", ICE[[#This Row],[LstBlkTime]], ""))</f>
        <v/>
      </c>
      <c r="R1856" s="675" t="str">
        <f>IF(ICE[[#This Row],[LastType]] = "Scrn", ICE[[#This Row],[LstPrc]], IF(ICE[[#This Row],[LastType]] = "Blk", ICE[[#This Row],[LstBlkPrc]], ""))</f>
        <v/>
      </c>
      <c r="S1856" s="673" t="e">
        <f>ICE[[#This Row],[Vol]]+ICE[[#This Row],[BlkVol]]</f>
        <v>#VALUE!</v>
      </c>
      <c r="T1856" s="673" t="str">
        <f>RTD("esrtd",,ICE[[#This Row],[PCC]] &amp; " " &amp; ICE[[#This Row],[Rolling]] &amp; "-IEU", "Open Interest")</f>
        <v/>
      </c>
      <c r="U1856" s="672" t="str">
        <f>RTD("esrtd",,ICE[[#This Row],[PCC]] &amp; " " &amp; ICE[[#This Row],[Rolling]] &amp; "-IEU", "Recent Settlement")</f>
        <v/>
      </c>
      <c r="V185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6" s="672" t="str">
        <f>RTD("esrtd",,ICE[[#This Row],[PCC]] &amp; " " &amp; ICE[[#This Row],[Rolling]] &amp; "-IEU", "ICE Theoretical Price")</f>
        <v/>
      </c>
      <c r="X1856" s="673" t="s">
        <v>899</v>
      </c>
    </row>
    <row r="1857" spans="1:24" x14ac:dyDescent="0.25">
      <c r="A1857" s="669" t="s">
        <v>450</v>
      </c>
      <c r="B1857" s="669" t="s">
        <v>927</v>
      </c>
      <c r="C1857" s="670">
        <v>3045330435</v>
      </c>
      <c r="D1857" s="671" t="s">
        <v>798</v>
      </c>
      <c r="E1857" s="670" t="str">
        <f>RTD("esrtd",,ICE[[#This Row],[PCC]] &amp; " " &amp; ICE[[#This Row],[Rolling]] &amp; "-IEU", "Strip")</f>
        <v/>
      </c>
      <c r="F1857" s="670" t="str">
        <f>ICE[[#This Row],[Prod]]&amp;ICE[[#This Row],[Strip]]</f>
        <v>tc2</v>
      </c>
      <c r="G1857" s="672" t="str">
        <f>RTD("esrtd",,ICE[[#This Row],[PCC]] &amp; " " &amp; ICE[[#This Row],[Rolling]] &amp; "-IEU", "Bid")</f>
        <v/>
      </c>
      <c r="H1857" s="672" t="str">
        <f>RTD("esrtd",,ICE[[#This Row],[PCC]] &amp; " " &amp; ICE[[#This Row],[Rolling]] &amp; "-IEU", "Ask")</f>
        <v/>
      </c>
      <c r="I1857" s="672" t="str">
        <f>RTD("esrtd",,ICE[[#This Row],[PCC]] &amp; " " &amp; ICE[[#This Row],[Rolling]] &amp; "-IEU", "Last")</f>
        <v/>
      </c>
      <c r="J1857" s="674" t="str">
        <f>RTD("esrtd",,ICE[[#This Row],[PCC]] &amp; " " &amp; ICE[[#This Row],[Rolling]] &amp; "-IEU", "Last Trade Time")</f>
        <v/>
      </c>
      <c r="K1857" s="672" t="str">
        <f>RTD("esrtd",,ICE[[#This Row],[PCC]] &amp; " " &amp; ICE[[#This Row],[Rolling]] &amp; "-IEU", "Block Price")</f>
        <v/>
      </c>
      <c r="L1857" s="673"/>
      <c r="M1857" s="674" t="str">
        <f>RTD("esrtd",,ICE[[#This Row],[PCC]] &amp; " " &amp; ICE[[#This Row],[Rolling]] &amp; "-IEU", "Block Price DT")</f>
        <v/>
      </c>
      <c r="N1857" s="673" t="str">
        <f>RTD("esrtd",,ICE[[#This Row],[PCC]] &amp; " " &amp; ICE[[#This Row],[Rolling]] &amp; "-IEU", "Volume")</f>
        <v/>
      </c>
      <c r="O1857" s="673" t="str">
        <f>RTD("esrtd",,ICE[[#This Row],[PCC]] &amp; " " &amp; ICE[[#This Row],[Rolling]] &amp; "-IEU", "Block Volume")</f>
        <v/>
      </c>
      <c r="P185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7" s="674" t="str">
        <f>IF(ICE[[#This Row],[LastType]] = "Scrn", ICE[[#This Row],[LstDate]], IF(ICE[[#This Row],[LastType]] = "Blk", ICE[[#This Row],[LstBlkTime]], ""))</f>
        <v/>
      </c>
      <c r="R1857" s="675" t="str">
        <f>IF(ICE[[#This Row],[LastType]] = "Scrn", ICE[[#This Row],[LstPrc]], IF(ICE[[#This Row],[LastType]] = "Blk", ICE[[#This Row],[LstBlkPrc]], ""))</f>
        <v/>
      </c>
      <c r="S1857" s="673" t="e">
        <f>ICE[[#This Row],[Vol]]+ICE[[#This Row],[BlkVol]]</f>
        <v>#VALUE!</v>
      </c>
      <c r="T1857" s="673" t="str">
        <f>RTD("esrtd",,ICE[[#This Row],[PCC]] &amp; " " &amp; ICE[[#This Row],[Rolling]] &amp; "-IEU", "Open Interest")</f>
        <v/>
      </c>
      <c r="U1857" s="672" t="str">
        <f>RTD("esrtd",,ICE[[#This Row],[PCC]] &amp; " " &amp; ICE[[#This Row],[Rolling]] &amp; "-IEU", "Recent Settlement")</f>
        <v/>
      </c>
      <c r="V185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7" s="672" t="str">
        <f>RTD("esrtd",,ICE[[#This Row],[PCC]] &amp; " " &amp; ICE[[#This Row],[Rolling]] &amp; "-IEU", "ICE Theoretical Price")</f>
        <v/>
      </c>
      <c r="X1857" s="673" t="s">
        <v>900</v>
      </c>
    </row>
    <row r="1858" spans="1:24" x14ac:dyDescent="0.25">
      <c r="A1858" s="669" t="s">
        <v>450</v>
      </c>
      <c r="B1858" s="669" t="s">
        <v>927</v>
      </c>
      <c r="C1858" s="670">
        <v>3045330435</v>
      </c>
      <c r="D1858" s="671" t="s">
        <v>799</v>
      </c>
      <c r="E1858" s="670" t="str">
        <f>RTD("esrtd",,ICE[[#This Row],[PCC]] &amp; " " &amp; ICE[[#This Row],[Rolling]] &amp; "-IEU", "Strip")</f>
        <v/>
      </c>
      <c r="F1858" s="670" t="str">
        <f>ICE[[#This Row],[Prod]]&amp;ICE[[#This Row],[Strip]]</f>
        <v>tc2</v>
      </c>
      <c r="G1858" s="672" t="str">
        <f>RTD("esrtd",,ICE[[#This Row],[PCC]] &amp; " " &amp; ICE[[#This Row],[Rolling]] &amp; "-IEU", "Bid")</f>
        <v/>
      </c>
      <c r="H1858" s="672" t="str">
        <f>RTD("esrtd",,ICE[[#This Row],[PCC]] &amp; " " &amp; ICE[[#This Row],[Rolling]] &amp; "-IEU", "Ask")</f>
        <v/>
      </c>
      <c r="I1858" s="672" t="str">
        <f>RTD("esrtd",,ICE[[#This Row],[PCC]] &amp; " " &amp; ICE[[#This Row],[Rolling]] &amp; "-IEU", "Last")</f>
        <v/>
      </c>
      <c r="J1858" s="674" t="str">
        <f>RTD("esrtd",,ICE[[#This Row],[PCC]] &amp; " " &amp; ICE[[#This Row],[Rolling]] &amp; "-IEU", "Last Trade Time")</f>
        <v/>
      </c>
      <c r="K1858" s="672" t="str">
        <f>RTD("esrtd",,ICE[[#This Row],[PCC]] &amp; " " &amp; ICE[[#This Row],[Rolling]] &amp; "-IEU", "Block Price")</f>
        <v/>
      </c>
      <c r="L1858" s="673"/>
      <c r="M1858" s="674" t="str">
        <f>RTD("esrtd",,ICE[[#This Row],[PCC]] &amp; " " &amp; ICE[[#This Row],[Rolling]] &amp; "-IEU", "Block Price DT")</f>
        <v/>
      </c>
      <c r="N1858" s="673" t="str">
        <f>RTD("esrtd",,ICE[[#This Row],[PCC]] &amp; " " &amp; ICE[[#This Row],[Rolling]] &amp; "-IEU", "Volume")</f>
        <v/>
      </c>
      <c r="O1858" s="673" t="str">
        <f>RTD("esrtd",,ICE[[#This Row],[PCC]] &amp; " " &amp; ICE[[#This Row],[Rolling]] &amp; "-IEU", "Block Volume")</f>
        <v/>
      </c>
      <c r="P185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8" s="674" t="str">
        <f>IF(ICE[[#This Row],[LastType]] = "Scrn", ICE[[#This Row],[LstDate]], IF(ICE[[#This Row],[LastType]] = "Blk", ICE[[#This Row],[LstBlkTime]], ""))</f>
        <v/>
      </c>
      <c r="R1858" s="675" t="str">
        <f>IF(ICE[[#This Row],[LastType]] = "Scrn", ICE[[#This Row],[LstPrc]], IF(ICE[[#This Row],[LastType]] = "Blk", ICE[[#This Row],[LstBlkPrc]], ""))</f>
        <v/>
      </c>
      <c r="S1858" s="673" t="e">
        <f>ICE[[#This Row],[Vol]]+ICE[[#This Row],[BlkVol]]</f>
        <v>#VALUE!</v>
      </c>
      <c r="T1858" s="673" t="str">
        <f>RTD("esrtd",,ICE[[#This Row],[PCC]] &amp; " " &amp; ICE[[#This Row],[Rolling]] &amp; "-IEU", "Open Interest")</f>
        <v/>
      </c>
      <c r="U1858" s="672" t="str">
        <f>RTD("esrtd",,ICE[[#This Row],[PCC]] &amp; " " &amp; ICE[[#This Row],[Rolling]] &amp; "-IEU", "Recent Settlement")</f>
        <v/>
      </c>
      <c r="V185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8" s="672" t="str">
        <f>RTD("esrtd",,ICE[[#This Row],[PCC]] &amp; " " &amp; ICE[[#This Row],[Rolling]] &amp; "-IEU", "ICE Theoretical Price")</f>
        <v/>
      </c>
      <c r="X1858" s="673" t="s">
        <v>901</v>
      </c>
    </row>
    <row r="1859" spans="1:24" x14ac:dyDescent="0.25">
      <c r="A1859" s="669" t="s">
        <v>450</v>
      </c>
      <c r="B1859" s="669" t="s">
        <v>927</v>
      </c>
      <c r="C1859" s="670">
        <v>3045330435</v>
      </c>
      <c r="D1859" s="671" t="s">
        <v>800</v>
      </c>
      <c r="E1859" s="670" t="str">
        <f>RTD("esrtd",,ICE[[#This Row],[PCC]] &amp; " " &amp; ICE[[#This Row],[Rolling]] &amp; "-IEU", "Strip")</f>
        <v/>
      </c>
      <c r="F1859" s="670" t="str">
        <f>ICE[[#This Row],[Prod]]&amp;ICE[[#This Row],[Strip]]</f>
        <v>tc2</v>
      </c>
      <c r="G1859" s="672" t="str">
        <f>RTD("esrtd",,ICE[[#This Row],[PCC]] &amp; " " &amp; ICE[[#This Row],[Rolling]] &amp; "-IEU", "Bid")</f>
        <v/>
      </c>
      <c r="H1859" s="672" t="str">
        <f>RTD("esrtd",,ICE[[#This Row],[PCC]] &amp; " " &amp; ICE[[#This Row],[Rolling]] &amp; "-IEU", "Ask")</f>
        <v/>
      </c>
      <c r="I1859" s="672" t="str">
        <f>RTD("esrtd",,ICE[[#This Row],[PCC]] &amp; " " &amp; ICE[[#This Row],[Rolling]] &amp; "-IEU", "Last")</f>
        <v/>
      </c>
      <c r="J1859" s="674" t="str">
        <f>RTD("esrtd",,ICE[[#This Row],[PCC]] &amp; " " &amp; ICE[[#This Row],[Rolling]] &amp; "-IEU", "Last Trade Time")</f>
        <v/>
      </c>
      <c r="K1859" s="672" t="str">
        <f>RTD("esrtd",,ICE[[#This Row],[PCC]] &amp; " " &amp; ICE[[#This Row],[Rolling]] &amp; "-IEU", "Block Price")</f>
        <v/>
      </c>
      <c r="L1859" s="673"/>
      <c r="M1859" s="674" t="str">
        <f>RTD("esrtd",,ICE[[#This Row],[PCC]] &amp; " " &amp; ICE[[#This Row],[Rolling]] &amp; "-IEU", "Block Price DT")</f>
        <v/>
      </c>
      <c r="N1859" s="673" t="str">
        <f>RTD("esrtd",,ICE[[#This Row],[PCC]] &amp; " " &amp; ICE[[#This Row],[Rolling]] &amp; "-IEU", "Volume")</f>
        <v/>
      </c>
      <c r="O1859" s="673" t="str">
        <f>RTD("esrtd",,ICE[[#This Row],[PCC]] &amp; " " &amp; ICE[[#This Row],[Rolling]] &amp; "-IEU", "Block Volume")</f>
        <v/>
      </c>
      <c r="P185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59" s="674" t="str">
        <f>IF(ICE[[#This Row],[LastType]] = "Scrn", ICE[[#This Row],[LstDate]], IF(ICE[[#This Row],[LastType]] = "Blk", ICE[[#This Row],[LstBlkTime]], ""))</f>
        <v/>
      </c>
      <c r="R1859" s="675" t="str">
        <f>IF(ICE[[#This Row],[LastType]] = "Scrn", ICE[[#This Row],[LstPrc]], IF(ICE[[#This Row],[LastType]] = "Blk", ICE[[#This Row],[LstBlkPrc]], ""))</f>
        <v/>
      </c>
      <c r="S1859" s="673" t="e">
        <f>ICE[[#This Row],[Vol]]+ICE[[#This Row],[BlkVol]]</f>
        <v>#VALUE!</v>
      </c>
      <c r="T1859" s="673" t="str">
        <f>RTD("esrtd",,ICE[[#This Row],[PCC]] &amp; " " &amp; ICE[[#This Row],[Rolling]] &amp; "-IEU", "Open Interest")</f>
        <v/>
      </c>
      <c r="U1859" s="672" t="str">
        <f>RTD("esrtd",,ICE[[#This Row],[PCC]] &amp; " " &amp; ICE[[#This Row],[Rolling]] &amp; "-IEU", "Recent Settlement")</f>
        <v/>
      </c>
      <c r="V185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59" s="672" t="str">
        <f>RTD("esrtd",,ICE[[#This Row],[PCC]] &amp; " " &amp; ICE[[#This Row],[Rolling]] &amp; "-IEU", "ICE Theoretical Price")</f>
        <v/>
      </c>
      <c r="X1859" s="673" t="s">
        <v>902</v>
      </c>
    </row>
    <row r="1860" spans="1:24" x14ac:dyDescent="0.25">
      <c r="A1860" s="669" t="s">
        <v>450</v>
      </c>
      <c r="B1860" s="669" t="s">
        <v>927</v>
      </c>
      <c r="C1860" s="670">
        <v>3045330435</v>
      </c>
      <c r="D1860" s="671" t="s">
        <v>801</v>
      </c>
      <c r="E1860" s="670" t="str">
        <f>RTD("esrtd",,ICE[[#This Row],[PCC]] &amp; " " &amp; ICE[[#This Row],[Rolling]] &amp; "-IEU", "Strip")</f>
        <v/>
      </c>
      <c r="F1860" s="670" t="str">
        <f>ICE[[#This Row],[Prod]]&amp;ICE[[#This Row],[Strip]]</f>
        <v>tc2</v>
      </c>
      <c r="G1860" s="672" t="str">
        <f>RTD("esrtd",,ICE[[#This Row],[PCC]] &amp; " " &amp; ICE[[#This Row],[Rolling]] &amp; "-IEU", "Bid")</f>
        <v/>
      </c>
      <c r="H1860" s="672" t="str">
        <f>RTD("esrtd",,ICE[[#This Row],[PCC]] &amp; " " &amp; ICE[[#This Row],[Rolling]] &amp; "-IEU", "Ask")</f>
        <v/>
      </c>
      <c r="I1860" s="672" t="str">
        <f>RTD("esrtd",,ICE[[#This Row],[PCC]] &amp; " " &amp; ICE[[#This Row],[Rolling]] &amp; "-IEU", "Last")</f>
        <v/>
      </c>
      <c r="J1860" s="674" t="str">
        <f>RTD("esrtd",,ICE[[#This Row],[PCC]] &amp; " " &amp; ICE[[#This Row],[Rolling]] &amp; "-IEU", "Last Trade Time")</f>
        <v/>
      </c>
      <c r="K1860" s="672" t="str">
        <f>RTD("esrtd",,ICE[[#This Row],[PCC]] &amp; " " &amp; ICE[[#This Row],[Rolling]] &amp; "-IEU", "Block Price")</f>
        <v/>
      </c>
      <c r="L1860" s="673"/>
      <c r="M1860" s="674" t="str">
        <f>RTD("esrtd",,ICE[[#This Row],[PCC]] &amp; " " &amp; ICE[[#This Row],[Rolling]] &amp; "-IEU", "Block Price DT")</f>
        <v/>
      </c>
      <c r="N1860" s="673" t="str">
        <f>RTD("esrtd",,ICE[[#This Row],[PCC]] &amp; " " &amp; ICE[[#This Row],[Rolling]] &amp; "-IEU", "Volume")</f>
        <v/>
      </c>
      <c r="O1860" s="673" t="str">
        <f>RTD("esrtd",,ICE[[#This Row],[PCC]] &amp; " " &amp; ICE[[#This Row],[Rolling]] &amp; "-IEU", "Block Volume")</f>
        <v/>
      </c>
      <c r="P186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0" s="674" t="str">
        <f>IF(ICE[[#This Row],[LastType]] = "Scrn", ICE[[#This Row],[LstDate]], IF(ICE[[#This Row],[LastType]] = "Blk", ICE[[#This Row],[LstBlkTime]], ""))</f>
        <v/>
      </c>
      <c r="R1860" s="675" t="str">
        <f>IF(ICE[[#This Row],[LastType]] = "Scrn", ICE[[#This Row],[LstPrc]], IF(ICE[[#This Row],[LastType]] = "Blk", ICE[[#This Row],[LstBlkPrc]], ""))</f>
        <v/>
      </c>
      <c r="S1860" s="673" t="e">
        <f>ICE[[#This Row],[Vol]]+ICE[[#This Row],[BlkVol]]</f>
        <v>#VALUE!</v>
      </c>
      <c r="T1860" s="673" t="str">
        <f>RTD("esrtd",,ICE[[#This Row],[PCC]] &amp; " " &amp; ICE[[#This Row],[Rolling]] &amp; "-IEU", "Open Interest")</f>
        <v/>
      </c>
      <c r="U1860" s="672" t="str">
        <f>RTD("esrtd",,ICE[[#This Row],[PCC]] &amp; " " &amp; ICE[[#This Row],[Rolling]] &amp; "-IEU", "Recent Settlement")</f>
        <v/>
      </c>
      <c r="V186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0" s="672" t="str">
        <f>RTD("esrtd",,ICE[[#This Row],[PCC]] &amp; " " &amp; ICE[[#This Row],[Rolling]] &amp; "-IEU", "ICE Theoretical Price")</f>
        <v/>
      </c>
      <c r="X1860" s="673" t="s">
        <v>903</v>
      </c>
    </row>
    <row r="1861" spans="1:24" x14ac:dyDescent="0.25">
      <c r="A1861" s="669" t="s">
        <v>450</v>
      </c>
      <c r="B1861" s="669" t="s">
        <v>927</v>
      </c>
      <c r="C1861" s="670">
        <v>3045330435</v>
      </c>
      <c r="D1861" s="671" t="s">
        <v>802</v>
      </c>
      <c r="E1861" s="670" t="str">
        <f>RTD("esrtd",,ICE[[#This Row],[PCC]] &amp; " " &amp; ICE[[#This Row],[Rolling]] &amp; "-IEU", "Strip")</f>
        <v/>
      </c>
      <c r="F1861" s="670" t="str">
        <f>ICE[[#This Row],[Prod]]&amp;ICE[[#This Row],[Strip]]</f>
        <v>tc2</v>
      </c>
      <c r="G1861" s="672" t="str">
        <f>RTD("esrtd",,ICE[[#This Row],[PCC]] &amp; " " &amp; ICE[[#This Row],[Rolling]] &amp; "-IEU", "Bid")</f>
        <v/>
      </c>
      <c r="H1861" s="672" t="str">
        <f>RTD("esrtd",,ICE[[#This Row],[PCC]] &amp; " " &amp; ICE[[#This Row],[Rolling]] &amp; "-IEU", "Ask")</f>
        <v/>
      </c>
      <c r="I1861" s="672" t="str">
        <f>RTD("esrtd",,ICE[[#This Row],[PCC]] &amp; " " &amp; ICE[[#This Row],[Rolling]] &amp; "-IEU", "Last")</f>
        <v/>
      </c>
      <c r="J1861" s="674" t="str">
        <f>RTD("esrtd",,ICE[[#This Row],[PCC]] &amp; " " &amp; ICE[[#This Row],[Rolling]] &amp; "-IEU", "Last Trade Time")</f>
        <v/>
      </c>
      <c r="K1861" s="672" t="str">
        <f>RTD("esrtd",,ICE[[#This Row],[PCC]] &amp; " " &amp; ICE[[#This Row],[Rolling]] &amp; "-IEU", "Block Price")</f>
        <v/>
      </c>
      <c r="L1861" s="673"/>
      <c r="M1861" s="674" t="str">
        <f>RTD("esrtd",,ICE[[#This Row],[PCC]] &amp; " " &amp; ICE[[#This Row],[Rolling]] &amp; "-IEU", "Block Price DT")</f>
        <v/>
      </c>
      <c r="N1861" s="673" t="str">
        <f>RTD("esrtd",,ICE[[#This Row],[PCC]] &amp; " " &amp; ICE[[#This Row],[Rolling]] &amp; "-IEU", "Volume")</f>
        <v/>
      </c>
      <c r="O1861" s="673" t="str">
        <f>RTD("esrtd",,ICE[[#This Row],[PCC]] &amp; " " &amp; ICE[[#This Row],[Rolling]] &amp; "-IEU", "Block Volume")</f>
        <v/>
      </c>
      <c r="P186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1" s="674" t="str">
        <f>IF(ICE[[#This Row],[LastType]] = "Scrn", ICE[[#This Row],[LstDate]], IF(ICE[[#This Row],[LastType]] = "Blk", ICE[[#This Row],[LstBlkTime]], ""))</f>
        <v/>
      </c>
      <c r="R1861" s="675" t="str">
        <f>IF(ICE[[#This Row],[LastType]] = "Scrn", ICE[[#This Row],[LstPrc]], IF(ICE[[#This Row],[LastType]] = "Blk", ICE[[#This Row],[LstBlkPrc]], ""))</f>
        <v/>
      </c>
      <c r="S1861" s="673" t="e">
        <f>ICE[[#This Row],[Vol]]+ICE[[#This Row],[BlkVol]]</f>
        <v>#VALUE!</v>
      </c>
      <c r="T1861" s="673" t="str">
        <f>RTD("esrtd",,ICE[[#This Row],[PCC]] &amp; " " &amp; ICE[[#This Row],[Rolling]] &amp; "-IEU", "Open Interest")</f>
        <v/>
      </c>
      <c r="U1861" s="672" t="str">
        <f>RTD("esrtd",,ICE[[#This Row],[PCC]] &amp; " " &amp; ICE[[#This Row],[Rolling]] &amp; "-IEU", "Recent Settlement")</f>
        <v/>
      </c>
      <c r="V186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1" s="672" t="str">
        <f>RTD("esrtd",,ICE[[#This Row],[PCC]] &amp; " " &amp; ICE[[#This Row],[Rolling]] &amp; "-IEU", "ICE Theoretical Price")</f>
        <v/>
      </c>
      <c r="X1861" s="673" t="s">
        <v>904</v>
      </c>
    </row>
    <row r="1862" spans="1:24" x14ac:dyDescent="0.25">
      <c r="A1862" s="669" t="s">
        <v>450</v>
      </c>
      <c r="B1862" s="669" t="s">
        <v>927</v>
      </c>
      <c r="C1862" s="670">
        <v>3045330435</v>
      </c>
      <c r="D1862" s="671" t="s">
        <v>803</v>
      </c>
      <c r="E1862" s="670" t="str">
        <f>RTD("esrtd",,ICE[[#This Row],[PCC]] &amp; " " &amp; ICE[[#This Row],[Rolling]] &amp; "-IEU", "Strip")</f>
        <v/>
      </c>
      <c r="F1862" s="670" t="str">
        <f>ICE[[#This Row],[Prod]]&amp;ICE[[#This Row],[Strip]]</f>
        <v>tc2</v>
      </c>
      <c r="G1862" s="672" t="str">
        <f>RTD("esrtd",,ICE[[#This Row],[PCC]] &amp; " " &amp; ICE[[#This Row],[Rolling]] &amp; "-IEU", "Bid")</f>
        <v/>
      </c>
      <c r="H1862" s="672" t="str">
        <f>RTD("esrtd",,ICE[[#This Row],[PCC]] &amp; " " &amp; ICE[[#This Row],[Rolling]] &amp; "-IEU", "Ask")</f>
        <v/>
      </c>
      <c r="I1862" s="672" t="str">
        <f>RTD("esrtd",,ICE[[#This Row],[PCC]] &amp; " " &amp; ICE[[#This Row],[Rolling]] &amp; "-IEU", "Last")</f>
        <v/>
      </c>
      <c r="J1862" s="674" t="str">
        <f>RTD("esrtd",,ICE[[#This Row],[PCC]] &amp; " " &amp; ICE[[#This Row],[Rolling]] &amp; "-IEU", "Last Trade Time")</f>
        <v/>
      </c>
      <c r="K1862" s="672" t="str">
        <f>RTD("esrtd",,ICE[[#This Row],[PCC]] &amp; " " &amp; ICE[[#This Row],[Rolling]] &amp; "-IEU", "Block Price")</f>
        <v/>
      </c>
      <c r="L1862" s="673"/>
      <c r="M1862" s="674" t="str">
        <f>RTD("esrtd",,ICE[[#This Row],[PCC]] &amp; " " &amp; ICE[[#This Row],[Rolling]] &amp; "-IEU", "Block Price DT")</f>
        <v/>
      </c>
      <c r="N1862" s="673" t="str">
        <f>RTD("esrtd",,ICE[[#This Row],[PCC]] &amp; " " &amp; ICE[[#This Row],[Rolling]] &amp; "-IEU", "Volume")</f>
        <v/>
      </c>
      <c r="O1862" s="673" t="str">
        <f>RTD("esrtd",,ICE[[#This Row],[PCC]] &amp; " " &amp; ICE[[#This Row],[Rolling]] &amp; "-IEU", "Block Volume")</f>
        <v/>
      </c>
      <c r="P186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2" s="674" t="str">
        <f>IF(ICE[[#This Row],[LastType]] = "Scrn", ICE[[#This Row],[LstDate]], IF(ICE[[#This Row],[LastType]] = "Blk", ICE[[#This Row],[LstBlkTime]], ""))</f>
        <v/>
      </c>
      <c r="R1862" s="675" t="str">
        <f>IF(ICE[[#This Row],[LastType]] = "Scrn", ICE[[#This Row],[LstPrc]], IF(ICE[[#This Row],[LastType]] = "Blk", ICE[[#This Row],[LstBlkPrc]], ""))</f>
        <v/>
      </c>
      <c r="S1862" s="673" t="e">
        <f>ICE[[#This Row],[Vol]]+ICE[[#This Row],[BlkVol]]</f>
        <v>#VALUE!</v>
      </c>
      <c r="T1862" s="673" t="str">
        <f>RTD("esrtd",,ICE[[#This Row],[PCC]] &amp; " " &amp; ICE[[#This Row],[Rolling]] &amp; "-IEU", "Open Interest")</f>
        <v/>
      </c>
      <c r="U1862" s="672" t="str">
        <f>RTD("esrtd",,ICE[[#This Row],[PCC]] &amp; " " &amp; ICE[[#This Row],[Rolling]] &amp; "-IEU", "Recent Settlement")</f>
        <v/>
      </c>
      <c r="V186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2" s="672" t="str">
        <f>RTD("esrtd",,ICE[[#This Row],[PCC]] &amp; " " &amp; ICE[[#This Row],[Rolling]] &amp; "-IEU", "ICE Theoretical Price")</f>
        <v/>
      </c>
      <c r="X1862" s="673" t="s">
        <v>905</v>
      </c>
    </row>
    <row r="1863" spans="1:24" x14ac:dyDescent="0.25">
      <c r="A1863" s="669" t="s">
        <v>450</v>
      </c>
      <c r="B1863" s="669" t="s">
        <v>927</v>
      </c>
      <c r="C1863" s="670">
        <v>3045330435</v>
      </c>
      <c r="D1863" s="671" t="s">
        <v>793</v>
      </c>
      <c r="E1863" s="670" t="str">
        <f>RTD("esrtd",,ICE[[#This Row],[PCC]] &amp; " " &amp; ICE[[#This Row],[Rolling]] &amp; "-IEU", "Strip")</f>
        <v/>
      </c>
      <c r="F1863" s="670" t="str">
        <f>ICE[[#This Row],[Prod]]&amp;ICE[[#This Row],[Strip]]</f>
        <v>tc2</v>
      </c>
      <c r="G1863" s="672" t="str">
        <f>RTD("esrtd",,ICE[[#This Row],[PCC]] &amp; " " &amp; ICE[[#This Row],[Rolling]] &amp; "-IEU", "Bid")</f>
        <v/>
      </c>
      <c r="H1863" s="672" t="str">
        <f>RTD("esrtd",,ICE[[#This Row],[PCC]] &amp; " " &amp; ICE[[#This Row],[Rolling]] &amp; "-IEU", "Ask")</f>
        <v/>
      </c>
      <c r="I1863" s="672" t="str">
        <f>RTD("esrtd",,ICE[[#This Row],[PCC]] &amp; " " &amp; ICE[[#This Row],[Rolling]] &amp; "-IEU", "Last")</f>
        <v/>
      </c>
      <c r="J1863" s="674" t="str">
        <f>RTD("esrtd",,ICE[[#This Row],[PCC]] &amp; " " &amp; ICE[[#This Row],[Rolling]] &amp; "-IEU", "Last Trade Time")</f>
        <v/>
      </c>
      <c r="K1863" s="672" t="str">
        <f>RTD("esrtd",,ICE[[#This Row],[PCC]] &amp; " " &amp; ICE[[#This Row],[Rolling]] &amp; "-IEU", "Block Price")</f>
        <v/>
      </c>
      <c r="L1863" s="673"/>
      <c r="M1863" s="674" t="str">
        <f>RTD("esrtd",,ICE[[#This Row],[PCC]] &amp; " " &amp; ICE[[#This Row],[Rolling]] &amp; "-IEU", "Block Price DT")</f>
        <v/>
      </c>
      <c r="N1863" s="673" t="str">
        <f>RTD("esrtd",,ICE[[#This Row],[PCC]] &amp; " " &amp; ICE[[#This Row],[Rolling]] &amp; "-IEU", "Volume")</f>
        <v/>
      </c>
      <c r="O1863" s="673" t="str">
        <f>RTD("esrtd",,ICE[[#This Row],[PCC]] &amp; " " &amp; ICE[[#This Row],[Rolling]] &amp; "-IEU", "Block Volume")</f>
        <v/>
      </c>
      <c r="P186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3" s="674" t="str">
        <f>IF(ICE[[#This Row],[LastType]] = "Scrn", ICE[[#This Row],[LstDate]], IF(ICE[[#This Row],[LastType]] = "Blk", ICE[[#This Row],[LstBlkTime]], ""))</f>
        <v/>
      </c>
      <c r="R1863" s="675" t="str">
        <f>IF(ICE[[#This Row],[LastType]] = "Scrn", ICE[[#This Row],[LstPrc]], IF(ICE[[#This Row],[LastType]] = "Blk", ICE[[#This Row],[LstBlkPrc]], ""))</f>
        <v/>
      </c>
      <c r="S1863" s="673" t="e">
        <f>ICE[[#This Row],[Vol]]+ICE[[#This Row],[BlkVol]]</f>
        <v>#VALUE!</v>
      </c>
      <c r="T1863" s="673" t="str">
        <f>RTD("esrtd",,ICE[[#This Row],[PCC]] &amp; " " &amp; ICE[[#This Row],[Rolling]] &amp; "-IEU", "Open Interest")</f>
        <v/>
      </c>
      <c r="U1863" s="672" t="str">
        <f>RTD("esrtd",,ICE[[#This Row],[PCC]] &amp; " " &amp; ICE[[#This Row],[Rolling]] &amp; "-IEU", "Recent Settlement")</f>
        <v/>
      </c>
      <c r="V186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3" s="672" t="str">
        <f>RTD("esrtd",,ICE[[#This Row],[PCC]] &amp; " " &amp; ICE[[#This Row],[Rolling]] &amp; "-IEU", "ICE Theoretical Price")</f>
        <v/>
      </c>
      <c r="X1863" s="673" t="s">
        <v>906</v>
      </c>
    </row>
    <row r="1864" spans="1:24" x14ac:dyDescent="0.25">
      <c r="A1864" s="669" t="s">
        <v>450</v>
      </c>
      <c r="B1864" s="669" t="s">
        <v>927</v>
      </c>
      <c r="C1864" s="670">
        <v>3045330435</v>
      </c>
      <c r="D1864" s="671" t="s">
        <v>324</v>
      </c>
      <c r="E1864" s="670" t="str">
        <f>RTD("esrtd",,ICE[[#This Row],[PCC]] &amp; " " &amp; ICE[[#This Row],[Rolling]] &amp; "-IEU", "Strip")</f>
        <v/>
      </c>
      <c r="F1864" s="670" t="str">
        <f>ICE[[#This Row],[Prod]]&amp;ICE[[#This Row],[Strip]]</f>
        <v>tc2</v>
      </c>
      <c r="G1864" s="672" t="str">
        <f>RTD("esrtd",,ICE[[#This Row],[PCC]] &amp; " " &amp; ICE[[#This Row],[Rolling]] &amp; "-IEU", "Bid")</f>
        <v/>
      </c>
      <c r="H1864" s="672" t="str">
        <f>RTD("esrtd",,ICE[[#This Row],[PCC]] &amp; " " &amp; ICE[[#This Row],[Rolling]] &amp; "-IEU", "Ask")</f>
        <v/>
      </c>
      <c r="I1864" s="672" t="str">
        <f>RTD("esrtd",,ICE[[#This Row],[PCC]] &amp; " " &amp; ICE[[#This Row],[Rolling]] &amp; "-IEU", "Last")</f>
        <v/>
      </c>
      <c r="J1864" s="674" t="str">
        <f>RTD("esrtd",,ICE[[#This Row],[PCC]] &amp; " " &amp; ICE[[#This Row],[Rolling]] &amp; "-IEU", "Last Trade Time")</f>
        <v/>
      </c>
      <c r="K1864" s="672" t="str">
        <f>RTD("esrtd",,ICE[[#This Row],[PCC]] &amp; " " &amp; ICE[[#This Row],[Rolling]] &amp; "-IEU", "Block Price")</f>
        <v/>
      </c>
      <c r="L1864" s="673"/>
      <c r="M1864" s="674" t="str">
        <f>RTD("esrtd",,ICE[[#This Row],[PCC]] &amp; " " &amp; ICE[[#This Row],[Rolling]] &amp; "-IEU", "Block Price DT")</f>
        <v/>
      </c>
      <c r="N1864" s="673" t="str">
        <f>RTD("esrtd",,ICE[[#This Row],[PCC]] &amp; " " &amp; ICE[[#This Row],[Rolling]] &amp; "-IEU", "Volume")</f>
        <v/>
      </c>
      <c r="O1864" s="673" t="str">
        <f>RTD("esrtd",,ICE[[#This Row],[PCC]] &amp; " " &amp; ICE[[#This Row],[Rolling]] &amp; "-IEU", "Block Volume")</f>
        <v/>
      </c>
      <c r="P186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4" s="674" t="str">
        <f>IF(ICE[[#This Row],[LastType]] = "Scrn", ICE[[#This Row],[LstDate]], IF(ICE[[#This Row],[LastType]] = "Blk", ICE[[#This Row],[LstBlkTime]], ""))</f>
        <v/>
      </c>
      <c r="R1864" s="675" t="str">
        <f>IF(ICE[[#This Row],[LastType]] = "Scrn", ICE[[#This Row],[LstPrc]], IF(ICE[[#This Row],[LastType]] = "Blk", ICE[[#This Row],[LstBlkPrc]], ""))</f>
        <v/>
      </c>
      <c r="S1864" s="673" t="e">
        <f>ICE[[#This Row],[Vol]]+ICE[[#This Row],[BlkVol]]</f>
        <v>#VALUE!</v>
      </c>
      <c r="T1864" s="673" t="str">
        <f>RTD("esrtd",,ICE[[#This Row],[PCC]] &amp; " " &amp; ICE[[#This Row],[Rolling]] &amp; "-IEU", "Open Interest")</f>
        <v/>
      </c>
      <c r="U1864" s="672" t="str">
        <f>RTD("esrtd",,ICE[[#This Row],[PCC]] &amp; " " &amp; ICE[[#This Row],[Rolling]] &amp; "-IEU", "Recent Settlement")</f>
        <v/>
      </c>
      <c r="V186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4" s="672" t="str">
        <f>RTD("esrtd",,ICE[[#This Row],[PCC]] &amp; " " &amp; ICE[[#This Row],[Rolling]] &amp; "-IEU", "ICE Theoretical Price")</f>
        <v/>
      </c>
      <c r="X1864" s="673" t="s">
        <v>907</v>
      </c>
    </row>
    <row r="1865" spans="1:24" x14ac:dyDescent="0.25">
      <c r="A1865" s="669" t="s">
        <v>450</v>
      </c>
      <c r="B1865" s="669" t="s">
        <v>927</v>
      </c>
      <c r="C1865" s="670">
        <v>3045330435</v>
      </c>
      <c r="D1865" s="671" t="s">
        <v>325</v>
      </c>
      <c r="E1865" s="670" t="str">
        <f>RTD("esrtd",,ICE[[#This Row],[PCC]] &amp; " " &amp; ICE[[#This Row],[Rolling]] &amp; "-IEU", "Strip")</f>
        <v/>
      </c>
      <c r="F1865" s="670" t="str">
        <f>ICE[[#This Row],[Prod]]&amp;ICE[[#This Row],[Strip]]</f>
        <v>tc2</v>
      </c>
      <c r="G1865" s="672" t="str">
        <f>RTD("esrtd",,ICE[[#This Row],[PCC]] &amp; " " &amp; ICE[[#This Row],[Rolling]] &amp; "-IEU", "Bid")</f>
        <v/>
      </c>
      <c r="H1865" s="672" t="str">
        <f>RTD("esrtd",,ICE[[#This Row],[PCC]] &amp; " " &amp; ICE[[#This Row],[Rolling]] &amp; "-IEU", "Ask")</f>
        <v/>
      </c>
      <c r="I1865" s="672" t="str">
        <f>RTD("esrtd",,ICE[[#This Row],[PCC]] &amp; " " &amp; ICE[[#This Row],[Rolling]] &amp; "-IEU", "Last")</f>
        <v/>
      </c>
      <c r="J1865" s="674" t="str">
        <f>RTD("esrtd",,ICE[[#This Row],[PCC]] &amp; " " &amp; ICE[[#This Row],[Rolling]] &amp; "-IEU", "Last Trade Time")</f>
        <v/>
      </c>
      <c r="K1865" s="672" t="str">
        <f>RTD("esrtd",,ICE[[#This Row],[PCC]] &amp; " " &amp; ICE[[#This Row],[Rolling]] &amp; "-IEU", "Block Price")</f>
        <v/>
      </c>
      <c r="L1865" s="673"/>
      <c r="M1865" s="674" t="str">
        <f>RTD("esrtd",,ICE[[#This Row],[PCC]] &amp; " " &amp; ICE[[#This Row],[Rolling]] &amp; "-IEU", "Block Price DT")</f>
        <v/>
      </c>
      <c r="N1865" s="673" t="str">
        <f>RTD("esrtd",,ICE[[#This Row],[PCC]] &amp; " " &amp; ICE[[#This Row],[Rolling]] &amp; "-IEU", "Volume")</f>
        <v/>
      </c>
      <c r="O1865" s="673" t="str">
        <f>RTD("esrtd",,ICE[[#This Row],[PCC]] &amp; " " &amp; ICE[[#This Row],[Rolling]] &amp; "-IEU", "Block Volume")</f>
        <v/>
      </c>
      <c r="P186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5" s="674" t="str">
        <f>IF(ICE[[#This Row],[LastType]] = "Scrn", ICE[[#This Row],[LstDate]], IF(ICE[[#This Row],[LastType]] = "Blk", ICE[[#This Row],[LstBlkTime]], ""))</f>
        <v/>
      </c>
      <c r="R1865" s="675" t="str">
        <f>IF(ICE[[#This Row],[LastType]] = "Scrn", ICE[[#This Row],[LstPrc]], IF(ICE[[#This Row],[LastType]] = "Blk", ICE[[#This Row],[LstBlkPrc]], ""))</f>
        <v/>
      </c>
      <c r="S1865" s="673" t="e">
        <f>ICE[[#This Row],[Vol]]+ICE[[#This Row],[BlkVol]]</f>
        <v>#VALUE!</v>
      </c>
      <c r="T1865" s="673" t="str">
        <f>RTD("esrtd",,ICE[[#This Row],[PCC]] &amp; " " &amp; ICE[[#This Row],[Rolling]] &amp; "-IEU", "Open Interest")</f>
        <v/>
      </c>
      <c r="U1865" s="672" t="str">
        <f>RTD("esrtd",,ICE[[#This Row],[PCC]] &amp; " " &amp; ICE[[#This Row],[Rolling]] &amp; "-IEU", "Recent Settlement")</f>
        <v/>
      </c>
      <c r="V186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5" s="672" t="str">
        <f>RTD("esrtd",,ICE[[#This Row],[PCC]] &amp; " " &amp; ICE[[#This Row],[Rolling]] &amp; "-IEU", "ICE Theoretical Price")</f>
        <v/>
      </c>
      <c r="X1865" s="673" t="s">
        <v>908</v>
      </c>
    </row>
    <row r="1866" spans="1:24" x14ac:dyDescent="0.25">
      <c r="A1866" s="669" t="s">
        <v>450</v>
      </c>
      <c r="B1866" s="669" t="s">
        <v>927</v>
      </c>
      <c r="C1866" s="670">
        <v>3045330435</v>
      </c>
      <c r="D1866" s="671" t="s">
        <v>326</v>
      </c>
      <c r="E1866" s="670" t="str">
        <f>RTD("esrtd",,ICE[[#This Row],[PCC]] &amp; " " &amp; ICE[[#This Row],[Rolling]] &amp; "-IEU", "Strip")</f>
        <v/>
      </c>
      <c r="F1866" s="670" t="str">
        <f>ICE[[#This Row],[Prod]]&amp;ICE[[#This Row],[Strip]]</f>
        <v>tc2</v>
      </c>
      <c r="G1866" s="672" t="str">
        <f>RTD("esrtd",,ICE[[#This Row],[PCC]] &amp; " " &amp; ICE[[#This Row],[Rolling]] &amp; "-IEU", "Bid")</f>
        <v/>
      </c>
      <c r="H1866" s="672" t="str">
        <f>RTD("esrtd",,ICE[[#This Row],[PCC]] &amp; " " &amp; ICE[[#This Row],[Rolling]] &amp; "-IEU", "Ask")</f>
        <v/>
      </c>
      <c r="I1866" s="672" t="str">
        <f>RTD("esrtd",,ICE[[#This Row],[PCC]] &amp; " " &amp; ICE[[#This Row],[Rolling]] &amp; "-IEU", "Last")</f>
        <v/>
      </c>
      <c r="J1866" s="674" t="str">
        <f>RTD("esrtd",,ICE[[#This Row],[PCC]] &amp; " " &amp; ICE[[#This Row],[Rolling]] &amp; "-IEU", "Last Trade Time")</f>
        <v/>
      </c>
      <c r="K1866" s="672" t="str">
        <f>RTD("esrtd",,ICE[[#This Row],[PCC]] &amp; " " &amp; ICE[[#This Row],[Rolling]] &amp; "-IEU", "Block Price")</f>
        <v/>
      </c>
      <c r="L1866" s="673"/>
      <c r="M1866" s="674" t="str">
        <f>RTD("esrtd",,ICE[[#This Row],[PCC]] &amp; " " &amp; ICE[[#This Row],[Rolling]] &amp; "-IEU", "Block Price DT")</f>
        <v/>
      </c>
      <c r="N1866" s="673" t="str">
        <f>RTD("esrtd",,ICE[[#This Row],[PCC]] &amp; " " &amp; ICE[[#This Row],[Rolling]] &amp; "-IEU", "Volume")</f>
        <v/>
      </c>
      <c r="O1866" s="673" t="str">
        <f>RTD("esrtd",,ICE[[#This Row],[PCC]] &amp; " " &amp; ICE[[#This Row],[Rolling]] &amp; "-IEU", "Block Volume")</f>
        <v/>
      </c>
      <c r="P186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6" s="674" t="str">
        <f>IF(ICE[[#This Row],[LastType]] = "Scrn", ICE[[#This Row],[LstDate]], IF(ICE[[#This Row],[LastType]] = "Blk", ICE[[#This Row],[LstBlkTime]], ""))</f>
        <v/>
      </c>
      <c r="R1866" s="675" t="str">
        <f>IF(ICE[[#This Row],[LastType]] = "Scrn", ICE[[#This Row],[LstPrc]], IF(ICE[[#This Row],[LastType]] = "Blk", ICE[[#This Row],[LstBlkPrc]], ""))</f>
        <v/>
      </c>
      <c r="S1866" s="673" t="e">
        <f>ICE[[#This Row],[Vol]]+ICE[[#This Row],[BlkVol]]</f>
        <v>#VALUE!</v>
      </c>
      <c r="T1866" s="673" t="str">
        <f>RTD("esrtd",,ICE[[#This Row],[PCC]] &amp; " " &amp; ICE[[#This Row],[Rolling]] &amp; "-IEU", "Open Interest")</f>
        <v/>
      </c>
      <c r="U1866" s="672" t="str">
        <f>RTD("esrtd",,ICE[[#This Row],[PCC]] &amp; " " &amp; ICE[[#This Row],[Rolling]] &amp; "-IEU", "Recent Settlement")</f>
        <v/>
      </c>
      <c r="V186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6" s="672" t="str">
        <f>RTD("esrtd",,ICE[[#This Row],[PCC]] &amp; " " &amp; ICE[[#This Row],[Rolling]] &amp; "-IEU", "ICE Theoretical Price")</f>
        <v/>
      </c>
      <c r="X1866" s="673" t="s">
        <v>909</v>
      </c>
    </row>
    <row r="1867" spans="1:24" x14ac:dyDescent="0.25">
      <c r="A1867" s="669" t="s">
        <v>450</v>
      </c>
      <c r="B1867" s="669" t="s">
        <v>927</v>
      </c>
      <c r="C1867" s="670">
        <v>3045330435</v>
      </c>
      <c r="D1867" s="671" t="s">
        <v>794</v>
      </c>
      <c r="E1867" s="670" t="str">
        <f>RTD("esrtd",,ICE[[#This Row],[PCC]] &amp; " " &amp; ICE[[#This Row],[Rolling]] &amp; "-IEU", "Strip")</f>
        <v/>
      </c>
      <c r="F1867" s="670" t="str">
        <f>ICE[[#This Row],[Prod]]&amp;ICE[[#This Row],[Strip]]</f>
        <v>tc2</v>
      </c>
      <c r="G1867" s="672" t="str">
        <f>RTD("esrtd",,ICE[[#This Row],[PCC]] &amp; " " &amp; ICE[[#This Row],[Rolling]] &amp; "-IEU", "Bid")</f>
        <v/>
      </c>
      <c r="H1867" s="672" t="str">
        <f>RTD("esrtd",,ICE[[#This Row],[PCC]] &amp; " " &amp; ICE[[#This Row],[Rolling]] &amp; "-IEU", "Ask")</f>
        <v/>
      </c>
      <c r="I1867" s="672" t="str">
        <f>RTD("esrtd",,ICE[[#This Row],[PCC]] &amp; " " &amp; ICE[[#This Row],[Rolling]] &amp; "-IEU", "Last")</f>
        <v/>
      </c>
      <c r="J1867" s="674" t="str">
        <f>RTD("esrtd",,ICE[[#This Row],[PCC]] &amp; " " &amp; ICE[[#This Row],[Rolling]] &amp; "-IEU", "Last Trade Time")</f>
        <v/>
      </c>
      <c r="K1867" s="672" t="str">
        <f>RTD("esrtd",,ICE[[#This Row],[PCC]] &amp; " " &amp; ICE[[#This Row],[Rolling]] &amp; "-IEU", "Block Price")</f>
        <v/>
      </c>
      <c r="L1867" s="673"/>
      <c r="M1867" s="674" t="str">
        <f>RTD("esrtd",,ICE[[#This Row],[PCC]] &amp; " " &amp; ICE[[#This Row],[Rolling]] &amp; "-IEU", "Block Price DT")</f>
        <v/>
      </c>
      <c r="N1867" s="673" t="str">
        <f>RTD("esrtd",,ICE[[#This Row],[PCC]] &amp; " " &amp; ICE[[#This Row],[Rolling]] &amp; "-IEU", "Volume")</f>
        <v/>
      </c>
      <c r="O1867" s="673" t="str">
        <f>RTD("esrtd",,ICE[[#This Row],[PCC]] &amp; " " &amp; ICE[[#This Row],[Rolling]] &amp; "-IEU", "Block Volume")</f>
        <v/>
      </c>
      <c r="P186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7" s="674" t="str">
        <f>IF(ICE[[#This Row],[LastType]] = "Scrn", ICE[[#This Row],[LstDate]], IF(ICE[[#This Row],[LastType]] = "Blk", ICE[[#This Row],[LstBlkTime]], ""))</f>
        <v/>
      </c>
      <c r="R1867" s="675" t="str">
        <f>IF(ICE[[#This Row],[LastType]] = "Scrn", ICE[[#This Row],[LstPrc]], IF(ICE[[#This Row],[LastType]] = "Blk", ICE[[#This Row],[LstBlkPrc]], ""))</f>
        <v/>
      </c>
      <c r="S1867" s="673" t="e">
        <f>ICE[[#This Row],[Vol]]+ICE[[#This Row],[BlkVol]]</f>
        <v>#VALUE!</v>
      </c>
      <c r="T1867" s="673" t="str">
        <f>RTD("esrtd",,ICE[[#This Row],[PCC]] &amp; " " &amp; ICE[[#This Row],[Rolling]] &amp; "-IEU", "Open Interest")</f>
        <v/>
      </c>
      <c r="U1867" s="672" t="str">
        <f>RTD("esrtd",,ICE[[#This Row],[PCC]] &amp; " " &amp; ICE[[#This Row],[Rolling]] &amp; "-IEU", "Recent Settlement")</f>
        <v/>
      </c>
      <c r="V186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7" s="672" t="str">
        <f>RTD("esrtd",,ICE[[#This Row],[PCC]] &amp; " " &amp; ICE[[#This Row],[Rolling]] &amp; "-IEU", "ICE Theoretical Price")</f>
        <v/>
      </c>
      <c r="X1867" s="673" t="s">
        <v>910</v>
      </c>
    </row>
    <row r="1868" spans="1:24" x14ac:dyDescent="0.25">
      <c r="A1868" s="669" t="s">
        <v>450</v>
      </c>
      <c r="B1868" s="669" t="s">
        <v>927</v>
      </c>
      <c r="C1868" s="670">
        <v>3045330435</v>
      </c>
      <c r="D1868" s="671" t="s">
        <v>795</v>
      </c>
      <c r="E1868" s="670" t="str">
        <f>RTD("esrtd",,ICE[[#This Row],[PCC]] &amp; " " &amp; ICE[[#This Row],[Rolling]] &amp; "-IEU", "Strip")</f>
        <v/>
      </c>
      <c r="F1868" s="670" t="str">
        <f>ICE[[#This Row],[Prod]]&amp;ICE[[#This Row],[Strip]]</f>
        <v>tc2</v>
      </c>
      <c r="G1868" s="672" t="str">
        <f>RTD("esrtd",,ICE[[#This Row],[PCC]] &amp; " " &amp; ICE[[#This Row],[Rolling]] &amp; "-IEU", "Bid")</f>
        <v/>
      </c>
      <c r="H1868" s="672" t="str">
        <f>RTD("esrtd",,ICE[[#This Row],[PCC]] &amp; " " &amp; ICE[[#This Row],[Rolling]] &amp; "-IEU", "Ask")</f>
        <v/>
      </c>
      <c r="I1868" s="672" t="str">
        <f>RTD("esrtd",,ICE[[#This Row],[PCC]] &amp; " " &amp; ICE[[#This Row],[Rolling]] &amp; "-IEU", "Last")</f>
        <v/>
      </c>
      <c r="J1868" s="674" t="str">
        <f>RTD("esrtd",,ICE[[#This Row],[PCC]] &amp; " " &amp; ICE[[#This Row],[Rolling]] &amp; "-IEU", "Last Trade Time")</f>
        <v/>
      </c>
      <c r="K1868" s="672" t="str">
        <f>RTD("esrtd",,ICE[[#This Row],[PCC]] &amp; " " &amp; ICE[[#This Row],[Rolling]] &amp; "-IEU", "Block Price")</f>
        <v/>
      </c>
      <c r="L1868" s="673"/>
      <c r="M1868" s="674" t="str">
        <f>RTD("esrtd",,ICE[[#This Row],[PCC]] &amp; " " &amp; ICE[[#This Row],[Rolling]] &amp; "-IEU", "Block Price DT")</f>
        <v/>
      </c>
      <c r="N1868" s="673" t="str">
        <f>RTD("esrtd",,ICE[[#This Row],[PCC]] &amp; " " &amp; ICE[[#This Row],[Rolling]] &amp; "-IEU", "Volume")</f>
        <v/>
      </c>
      <c r="O1868" s="673" t="str">
        <f>RTD("esrtd",,ICE[[#This Row],[PCC]] &amp; " " &amp; ICE[[#This Row],[Rolling]] &amp; "-IEU", "Block Volume")</f>
        <v/>
      </c>
      <c r="P186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8" s="674" t="str">
        <f>IF(ICE[[#This Row],[LastType]] = "Scrn", ICE[[#This Row],[LstDate]], IF(ICE[[#This Row],[LastType]] = "Blk", ICE[[#This Row],[LstBlkTime]], ""))</f>
        <v/>
      </c>
      <c r="R1868" s="675" t="str">
        <f>IF(ICE[[#This Row],[LastType]] = "Scrn", ICE[[#This Row],[LstPrc]], IF(ICE[[#This Row],[LastType]] = "Blk", ICE[[#This Row],[LstBlkPrc]], ""))</f>
        <v/>
      </c>
      <c r="S1868" s="673" t="e">
        <f>ICE[[#This Row],[Vol]]+ICE[[#This Row],[BlkVol]]</f>
        <v>#VALUE!</v>
      </c>
      <c r="T1868" s="673" t="str">
        <f>RTD("esrtd",,ICE[[#This Row],[PCC]] &amp; " " &amp; ICE[[#This Row],[Rolling]] &amp; "-IEU", "Open Interest")</f>
        <v/>
      </c>
      <c r="U1868" s="672" t="str">
        <f>RTD("esrtd",,ICE[[#This Row],[PCC]] &amp; " " &amp; ICE[[#This Row],[Rolling]] &amp; "-IEU", "Recent Settlement")</f>
        <v/>
      </c>
      <c r="V186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8" s="672" t="str">
        <f>RTD("esrtd",,ICE[[#This Row],[PCC]] &amp; " " &amp; ICE[[#This Row],[Rolling]] &amp; "-IEU", "ICE Theoretical Price")</f>
        <v/>
      </c>
      <c r="X1868" s="673" t="s">
        <v>911</v>
      </c>
    </row>
    <row r="1869" spans="1:24" x14ac:dyDescent="0.25">
      <c r="A1869" s="669" t="s">
        <v>450</v>
      </c>
      <c r="B1869" s="669" t="s">
        <v>927</v>
      </c>
      <c r="C1869" s="670">
        <v>3045330435</v>
      </c>
      <c r="D1869" s="671" t="s">
        <v>113</v>
      </c>
      <c r="E1869" s="670" t="str">
        <f>RTD("esrtd",,ICE[[#This Row],[PCC]] &amp; " " &amp; ICE[[#This Row],[Rolling]] &amp; "-IEU", "Strip")</f>
        <v/>
      </c>
      <c r="F1869" s="670" t="str">
        <f>ICE[[#This Row],[Prod]]&amp;ICE[[#This Row],[Strip]]</f>
        <v>tc2</v>
      </c>
      <c r="G1869" s="672" t="str">
        <f>RTD("esrtd",,ICE[[#This Row],[PCC]] &amp; " " &amp; ICE[[#This Row],[Rolling]] &amp; "-IEU", "Bid")</f>
        <v/>
      </c>
      <c r="H1869" s="672" t="str">
        <f>RTD("esrtd",,ICE[[#This Row],[PCC]] &amp; " " &amp; ICE[[#This Row],[Rolling]] &amp; "-IEU", "Ask")</f>
        <v/>
      </c>
      <c r="I1869" s="672" t="str">
        <f>RTD("esrtd",,ICE[[#This Row],[PCC]] &amp; " " &amp; ICE[[#This Row],[Rolling]] &amp; "-IEU", "Last")</f>
        <v/>
      </c>
      <c r="J1869" s="674" t="str">
        <f>RTD("esrtd",,ICE[[#This Row],[PCC]] &amp; " " &amp; ICE[[#This Row],[Rolling]] &amp; "-IEU", "Last Trade Time")</f>
        <v/>
      </c>
      <c r="K1869" s="672" t="str">
        <f>RTD("esrtd",,ICE[[#This Row],[PCC]] &amp; " " &amp; ICE[[#This Row],[Rolling]] &amp; "-IEU", "Block Price")</f>
        <v/>
      </c>
      <c r="L1869" s="673"/>
      <c r="M1869" s="674" t="str">
        <f>RTD("esrtd",,ICE[[#This Row],[PCC]] &amp; " " &amp; ICE[[#This Row],[Rolling]] &amp; "-IEU", "Block Price DT")</f>
        <v/>
      </c>
      <c r="N1869" s="673" t="str">
        <f>RTD("esrtd",,ICE[[#This Row],[PCC]] &amp; " " &amp; ICE[[#This Row],[Rolling]] &amp; "-IEU", "Volume")</f>
        <v/>
      </c>
      <c r="O1869" s="673" t="str">
        <f>RTD("esrtd",,ICE[[#This Row],[PCC]] &amp; " " &amp; ICE[[#This Row],[Rolling]] &amp; "-IEU", "Block Volume")</f>
        <v/>
      </c>
      <c r="P186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69" s="674" t="str">
        <f>IF(ICE[[#This Row],[LastType]] = "Scrn", ICE[[#This Row],[LstDate]], IF(ICE[[#This Row],[LastType]] = "Blk", ICE[[#This Row],[LstBlkTime]], ""))</f>
        <v/>
      </c>
      <c r="R1869" s="675" t="str">
        <f>IF(ICE[[#This Row],[LastType]] = "Scrn", ICE[[#This Row],[LstPrc]], IF(ICE[[#This Row],[LastType]] = "Blk", ICE[[#This Row],[LstBlkPrc]], ""))</f>
        <v/>
      </c>
      <c r="S1869" s="673" t="e">
        <f>ICE[[#This Row],[Vol]]+ICE[[#This Row],[BlkVol]]</f>
        <v>#VALUE!</v>
      </c>
      <c r="T1869" s="673" t="str">
        <f>RTD("esrtd",,ICE[[#This Row],[PCC]] &amp; " " &amp; ICE[[#This Row],[Rolling]] &amp; "-IEU", "Open Interest")</f>
        <v/>
      </c>
      <c r="U1869" s="672" t="str">
        <f>RTD("esrtd",,ICE[[#This Row],[PCC]] &amp; " " &amp; ICE[[#This Row],[Rolling]] &amp; "-IEU", "Recent Settlement")</f>
        <v/>
      </c>
      <c r="V186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69" s="672" t="str">
        <f>RTD("esrtd",,ICE[[#This Row],[PCC]] &amp; " " &amp; ICE[[#This Row],[Rolling]] &amp; "-IEU", "ICE Theoretical Price")</f>
        <v/>
      </c>
      <c r="X1869" s="673" t="s">
        <v>912</v>
      </c>
    </row>
    <row r="1870" spans="1:24" x14ac:dyDescent="0.25">
      <c r="A1870" s="669" t="s">
        <v>450</v>
      </c>
      <c r="B1870" s="669" t="s">
        <v>927</v>
      </c>
      <c r="C1870" s="670">
        <v>3045330435</v>
      </c>
      <c r="D1870" s="671" t="s">
        <v>796</v>
      </c>
      <c r="E1870" s="670" t="str">
        <f>RTD("esrtd",,ICE[[#This Row],[PCC]] &amp; " " &amp; ICE[[#This Row],[Rolling]] &amp; "-IEU", "Strip")</f>
        <v/>
      </c>
      <c r="F1870" s="670" t="str">
        <f>ICE[[#This Row],[Prod]]&amp;ICE[[#This Row],[Strip]]</f>
        <v>tc2</v>
      </c>
      <c r="G1870" s="672" t="str">
        <f>RTD("esrtd",,ICE[[#This Row],[PCC]] &amp; " " &amp; ICE[[#This Row],[Rolling]] &amp; "-IEU", "Bid")</f>
        <v/>
      </c>
      <c r="H1870" s="672" t="str">
        <f>RTD("esrtd",,ICE[[#This Row],[PCC]] &amp; " " &amp; ICE[[#This Row],[Rolling]] &amp; "-IEU", "Ask")</f>
        <v/>
      </c>
      <c r="I1870" s="672" t="str">
        <f>RTD("esrtd",,ICE[[#This Row],[PCC]] &amp; " " &amp; ICE[[#This Row],[Rolling]] &amp; "-IEU", "Last")</f>
        <v/>
      </c>
      <c r="J1870" s="674" t="str">
        <f>RTD("esrtd",,ICE[[#This Row],[PCC]] &amp; " " &amp; ICE[[#This Row],[Rolling]] &amp; "-IEU", "Last Trade Time")</f>
        <v/>
      </c>
      <c r="K1870" s="672" t="str">
        <f>RTD("esrtd",,ICE[[#This Row],[PCC]] &amp; " " &amp; ICE[[#This Row],[Rolling]] &amp; "-IEU", "Block Price")</f>
        <v/>
      </c>
      <c r="L1870" s="673"/>
      <c r="M1870" s="674" t="str">
        <f>RTD("esrtd",,ICE[[#This Row],[PCC]] &amp; " " &amp; ICE[[#This Row],[Rolling]] &amp; "-IEU", "Block Price DT")</f>
        <v/>
      </c>
      <c r="N1870" s="673" t="str">
        <f>RTD("esrtd",,ICE[[#This Row],[PCC]] &amp; " " &amp; ICE[[#This Row],[Rolling]] &amp; "-IEU", "Volume")</f>
        <v/>
      </c>
      <c r="O1870" s="673" t="str">
        <f>RTD("esrtd",,ICE[[#This Row],[PCC]] &amp; " " &amp; ICE[[#This Row],[Rolling]] &amp; "-IEU", "Block Volume")</f>
        <v/>
      </c>
      <c r="P187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0" s="674" t="str">
        <f>IF(ICE[[#This Row],[LastType]] = "Scrn", ICE[[#This Row],[LstDate]], IF(ICE[[#This Row],[LastType]] = "Blk", ICE[[#This Row],[LstBlkTime]], ""))</f>
        <v/>
      </c>
      <c r="R1870" s="675" t="str">
        <f>IF(ICE[[#This Row],[LastType]] = "Scrn", ICE[[#This Row],[LstPrc]], IF(ICE[[#This Row],[LastType]] = "Blk", ICE[[#This Row],[LstBlkPrc]], ""))</f>
        <v/>
      </c>
      <c r="S1870" s="673" t="e">
        <f>ICE[[#This Row],[Vol]]+ICE[[#This Row],[BlkVol]]</f>
        <v>#VALUE!</v>
      </c>
      <c r="T1870" s="673" t="str">
        <f>RTD("esrtd",,ICE[[#This Row],[PCC]] &amp; " " &amp; ICE[[#This Row],[Rolling]] &amp; "-IEU", "Open Interest")</f>
        <v/>
      </c>
      <c r="U1870" s="672" t="str">
        <f>RTD("esrtd",,ICE[[#This Row],[PCC]] &amp; " " &amp; ICE[[#This Row],[Rolling]] &amp; "-IEU", "Recent Settlement")</f>
        <v/>
      </c>
      <c r="V187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0" s="672" t="str">
        <f>RTD("esrtd",,ICE[[#This Row],[PCC]] &amp; " " &amp; ICE[[#This Row],[Rolling]] &amp; "-IEU", "ICE Theoretical Price")</f>
        <v/>
      </c>
      <c r="X1870" s="673" t="s">
        <v>913</v>
      </c>
    </row>
    <row r="1871" spans="1:24" x14ac:dyDescent="0.25">
      <c r="A1871" s="669" t="s">
        <v>450</v>
      </c>
      <c r="B1871" s="669" t="s">
        <v>927</v>
      </c>
      <c r="C1871" s="670">
        <v>3045330435</v>
      </c>
      <c r="D1871" s="671" t="s">
        <v>797</v>
      </c>
      <c r="E1871" s="670" t="str">
        <f>RTD("esrtd",,ICE[[#This Row],[PCC]] &amp; " " &amp; ICE[[#This Row],[Rolling]] &amp; "-IEU", "Strip")</f>
        <v/>
      </c>
      <c r="F1871" s="670" t="str">
        <f>ICE[[#This Row],[Prod]]&amp;ICE[[#This Row],[Strip]]</f>
        <v>tc2</v>
      </c>
      <c r="G1871" s="672" t="str">
        <f>RTD("esrtd",,ICE[[#This Row],[PCC]] &amp; " " &amp; ICE[[#This Row],[Rolling]] &amp; "-IEU", "Bid")</f>
        <v/>
      </c>
      <c r="H1871" s="672" t="str">
        <f>RTD("esrtd",,ICE[[#This Row],[PCC]] &amp; " " &amp; ICE[[#This Row],[Rolling]] &amp; "-IEU", "Ask")</f>
        <v/>
      </c>
      <c r="I1871" s="672" t="str">
        <f>RTD("esrtd",,ICE[[#This Row],[PCC]] &amp; " " &amp; ICE[[#This Row],[Rolling]] &amp; "-IEU", "Last")</f>
        <v/>
      </c>
      <c r="J1871" s="674" t="str">
        <f>RTD("esrtd",,ICE[[#This Row],[PCC]] &amp; " " &amp; ICE[[#This Row],[Rolling]] &amp; "-IEU", "Last Trade Time")</f>
        <v/>
      </c>
      <c r="K1871" s="672" t="str">
        <f>RTD("esrtd",,ICE[[#This Row],[PCC]] &amp; " " &amp; ICE[[#This Row],[Rolling]] &amp; "-IEU", "Block Price")</f>
        <v/>
      </c>
      <c r="L1871" s="673"/>
      <c r="M1871" s="674" t="str">
        <f>RTD("esrtd",,ICE[[#This Row],[PCC]] &amp; " " &amp; ICE[[#This Row],[Rolling]] &amp; "-IEU", "Block Price DT")</f>
        <v/>
      </c>
      <c r="N1871" s="673" t="str">
        <f>RTD("esrtd",,ICE[[#This Row],[PCC]] &amp; " " &amp; ICE[[#This Row],[Rolling]] &amp; "-IEU", "Volume")</f>
        <v/>
      </c>
      <c r="O1871" s="673" t="str">
        <f>RTD("esrtd",,ICE[[#This Row],[PCC]] &amp; " " &amp; ICE[[#This Row],[Rolling]] &amp; "-IEU", "Block Volume")</f>
        <v/>
      </c>
      <c r="P187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1" s="674" t="str">
        <f>IF(ICE[[#This Row],[LastType]] = "Scrn", ICE[[#This Row],[LstDate]], IF(ICE[[#This Row],[LastType]] = "Blk", ICE[[#This Row],[LstBlkTime]], ""))</f>
        <v/>
      </c>
      <c r="R1871" s="675" t="str">
        <f>IF(ICE[[#This Row],[LastType]] = "Scrn", ICE[[#This Row],[LstPrc]], IF(ICE[[#This Row],[LastType]] = "Blk", ICE[[#This Row],[LstBlkPrc]], ""))</f>
        <v/>
      </c>
      <c r="S1871" s="673" t="e">
        <f>ICE[[#This Row],[Vol]]+ICE[[#This Row],[BlkVol]]</f>
        <v>#VALUE!</v>
      </c>
      <c r="T1871" s="673" t="str">
        <f>RTD("esrtd",,ICE[[#This Row],[PCC]] &amp; " " &amp; ICE[[#This Row],[Rolling]] &amp; "-IEU", "Open Interest")</f>
        <v/>
      </c>
      <c r="U1871" s="672" t="str">
        <f>RTD("esrtd",,ICE[[#This Row],[PCC]] &amp; " " &amp; ICE[[#This Row],[Rolling]] &amp; "-IEU", "Recent Settlement")</f>
        <v/>
      </c>
      <c r="V187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1" s="672" t="str">
        <f>RTD("esrtd",,ICE[[#This Row],[PCC]] &amp; " " &amp; ICE[[#This Row],[Rolling]] &amp; "-IEU", "ICE Theoretical Price")</f>
        <v/>
      </c>
      <c r="X1871" s="673" t="s">
        <v>914</v>
      </c>
    </row>
    <row r="1872" spans="1:24" x14ac:dyDescent="0.25">
      <c r="A1872" s="669" t="s">
        <v>450</v>
      </c>
      <c r="B1872" s="669" t="s">
        <v>927</v>
      </c>
      <c r="C1872" s="670">
        <v>3045330435</v>
      </c>
      <c r="D1872" s="671" t="s">
        <v>798</v>
      </c>
      <c r="E1872" s="670" t="str">
        <f>RTD("esrtd",,ICE[[#This Row],[PCC]] &amp; " " &amp; ICE[[#This Row],[Rolling]] &amp; "-IEU", "Strip")</f>
        <v/>
      </c>
      <c r="F1872" s="670" t="str">
        <f>ICE[[#This Row],[Prod]]&amp;ICE[[#This Row],[Strip]]</f>
        <v>tc2</v>
      </c>
      <c r="G1872" s="672" t="str">
        <f>RTD("esrtd",,ICE[[#This Row],[PCC]] &amp; " " &amp; ICE[[#This Row],[Rolling]] &amp; "-IEU", "Bid")</f>
        <v/>
      </c>
      <c r="H1872" s="672" t="str">
        <f>RTD("esrtd",,ICE[[#This Row],[PCC]] &amp; " " &amp; ICE[[#This Row],[Rolling]] &amp; "-IEU", "Ask")</f>
        <v/>
      </c>
      <c r="I1872" s="672" t="str">
        <f>RTD("esrtd",,ICE[[#This Row],[PCC]] &amp; " " &amp; ICE[[#This Row],[Rolling]] &amp; "-IEU", "Last")</f>
        <v/>
      </c>
      <c r="J1872" s="674" t="str">
        <f>RTD("esrtd",,ICE[[#This Row],[PCC]] &amp; " " &amp; ICE[[#This Row],[Rolling]] &amp; "-IEU", "Last Trade Time")</f>
        <v/>
      </c>
      <c r="K1872" s="672" t="str">
        <f>RTD("esrtd",,ICE[[#This Row],[PCC]] &amp; " " &amp; ICE[[#This Row],[Rolling]] &amp; "-IEU", "Block Price")</f>
        <v/>
      </c>
      <c r="L1872" s="673"/>
      <c r="M1872" s="674" t="str">
        <f>RTD("esrtd",,ICE[[#This Row],[PCC]] &amp; " " &amp; ICE[[#This Row],[Rolling]] &amp; "-IEU", "Block Price DT")</f>
        <v/>
      </c>
      <c r="N1872" s="673" t="str">
        <f>RTD("esrtd",,ICE[[#This Row],[PCC]] &amp; " " &amp; ICE[[#This Row],[Rolling]] &amp; "-IEU", "Volume")</f>
        <v/>
      </c>
      <c r="O1872" s="673" t="str">
        <f>RTD("esrtd",,ICE[[#This Row],[PCC]] &amp; " " &amp; ICE[[#This Row],[Rolling]] &amp; "-IEU", "Block Volume")</f>
        <v/>
      </c>
      <c r="P187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2" s="674" t="str">
        <f>IF(ICE[[#This Row],[LastType]] = "Scrn", ICE[[#This Row],[LstDate]], IF(ICE[[#This Row],[LastType]] = "Blk", ICE[[#This Row],[LstBlkTime]], ""))</f>
        <v/>
      </c>
      <c r="R1872" s="675" t="str">
        <f>IF(ICE[[#This Row],[LastType]] = "Scrn", ICE[[#This Row],[LstPrc]], IF(ICE[[#This Row],[LastType]] = "Blk", ICE[[#This Row],[LstBlkPrc]], ""))</f>
        <v/>
      </c>
      <c r="S1872" s="673" t="e">
        <f>ICE[[#This Row],[Vol]]+ICE[[#This Row],[BlkVol]]</f>
        <v>#VALUE!</v>
      </c>
      <c r="T1872" s="673" t="str">
        <f>RTD("esrtd",,ICE[[#This Row],[PCC]] &amp; " " &amp; ICE[[#This Row],[Rolling]] &amp; "-IEU", "Open Interest")</f>
        <v/>
      </c>
      <c r="U1872" s="672" t="str">
        <f>RTD("esrtd",,ICE[[#This Row],[PCC]] &amp; " " &amp; ICE[[#This Row],[Rolling]] &amp; "-IEU", "Recent Settlement")</f>
        <v/>
      </c>
      <c r="V187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2" s="672" t="str">
        <f>RTD("esrtd",,ICE[[#This Row],[PCC]] &amp; " " &amp; ICE[[#This Row],[Rolling]] &amp; "-IEU", "ICE Theoretical Price")</f>
        <v/>
      </c>
      <c r="X1872" s="673" t="s">
        <v>915</v>
      </c>
    </row>
    <row r="1873" spans="1:24" x14ac:dyDescent="0.25">
      <c r="A1873" s="669" t="s">
        <v>450</v>
      </c>
      <c r="B1873" s="669" t="s">
        <v>927</v>
      </c>
      <c r="C1873" s="670">
        <v>3045330435</v>
      </c>
      <c r="D1873" s="671" t="s">
        <v>799</v>
      </c>
      <c r="E1873" s="670" t="str">
        <f>RTD("esrtd",,ICE[[#This Row],[PCC]] &amp; " " &amp; ICE[[#This Row],[Rolling]] &amp; "-IEU", "Strip")</f>
        <v/>
      </c>
      <c r="F1873" s="670" t="str">
        <f>ICE[[#This Row],[Prod]]&amp;ICE[[#This Row],[Strip]]</f>
        <v>tc2</v>
      </c>
      <c r="G1873" s="672" t="str">
        <f>RTD("esrtd",,ICE[[#This Row],[PCC]] &amp; " " &amp; ICE[[#This Row],[Rolling]] &amp; "-IEU", "Bid")</f>
        <v/>
      </c>
      <c r="H1873" s="672" t="str">
        <f>RTD("esrtd",,ICE[[#This Row],[PCC]] &amp; " " &amp; ICE[[#This Row],[Rolling]] &amp; "-IEU", "Ask")</f>
        <v/>
      </c>
      <c r="I1873" s="672" t="str">
        <f>RTD("esrtd",,ICE[[#This Row],[PCC]] &amp; " " &amp; ICE[[#This Row],[Rolling]] &amp; "-IEU", "Last")</f>
        <v/>
      </c>
      <c r="J1873" s="674" t="str">
        <f>RTD("esrtd",,ICE[[#This Row],[PCC]] &amp; " " &amp; ICE[[#This Row],[Rolling]] &amp; "-IEU", "Last Trade Time")</f>
        <v/>
      </c>
      <c r="K1873" s="672" t="str">
        <f>RTD("esrtd",,ICE[[#This Row],[PCC]] &amp; " " &amp; ICE[[#This Row],[Rolling]] &amp; "-IEU", "Block Price")</f>
        <v/>
      </c>
      <c r="L1873" s="673"/>
      <c r="M1873" s="674" t="str">
        <f>RTD("esrtd",,ICE[[#This Row],[PCC]] &amp; " " &amp; ICE[[#This Row],[Rolling]] &amp; "-IEU", "Block Price DT")</f>
        <v/>
      </c>
      <c r="N1873" s="673" t="str">
        <f>RTD("esrtd",,ICE[[#This Row],[PCC]] &amp; " " &amp; ICE[[#This Row],[Rolling]] &amp; "-IEU", "Volume")</f>
        <v/>
      </c>
      <c r="O1873" s="673" t="str">
        <f>RTD("esrtd",,ICE[[#This Row],[PCC]] &amp; " " &amp; ICE[[#This Row],[Rolling]] &amp; "-IEU", "Block Volume")</f>
        <v/>
      </c>
      <c r="P187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3" s="674" t="str">
        <f>IF(ICE[[#This Row],[LastType]] = "Scrn", ICE[[#This Row],[LstDate]], IF(ICE[[#This Row],[LastType]] = "Blk", ICE[[#This Row],[LstBlkTime]], ""))</f>
        <v/>
      </c>
      <c r="R1873" s="675" t="str">
        <f>IF(ICE[[#This Row],[LastType]] = "Scrn", ICE[[#This Row],[LstPrc]], IF(ICE[[#This Row],[LastType]] = "Blk", ICE[[#This Row],[LstBlkPrc]], ""))</f>
        <v/>
      </c>
      <c r="S1873" s="673" t="e">
        <f>ICE[[#This Row],[Vol]]+ICE[[#This Row],[BlkVol]]</f>
        <v>#VALUE!</v>
      </c>
      <c r="T1873" s="673" t="str">
        <f>RTD("esrtd",,ICE[[#This Row],[PCC]] &amp; " " &amp; ICE[[#This Row],[Rolling]] &amp; "-IEU", "Open Interest")</f>
        <v/>
      </c>
      <c r="U1873" s="672" t="str">
        <f>RTD("esrtd",,ICE[[#This Row],[PCC]] &amp; " " &amp; ICE[[#This Row],[Rolling]] &amp; "-IEU", "Recent Settlement")</f>
        <v/>
      </c>
      <c r="V187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3" s="672" t="str">
        <f>RTD("esrtd",,ICE[[#This Row],[PCC]] &amp; " " &amp; ICE[[#This Row],[Rolling]] &amp; "-IEU", "ICE Theoretical Price")</f>
        <v/>
      </c>
      <c r="X1873" s="673" t="s">
        <v>916</v>
      </c>
    </row>
    <row r="1874" spans="1:24" x14ac:dyDescent="0.25">
      <c r="A1874" s="669" t="s">
        <v>450</v>
      </c>
      <c r="B1874" s="669" t="s">
        <v>927</v>
      </c>
      <c r="C1874" s="670">
        <v>3045330435</v>
      </c>
      <c r="D1874" s="671" t="s">
        <v>800</v>
      </c>
      <c r="E1874" s="670" t="str">
        <f>RTD("esrtd",,ICE[[#This Row],[PCC]] &amp; " " &amp; ICE[[#This Row],[Rolling]] &amp; "-IEU", "Strip")</f>
        <v/>
      </c>
      <c r="F1874" s="670" t="str">
        <f>ICE[[#This Row],[Prod]]&amp;ICE[[#This Row],[Strip]]</f>
        <v>tc2</v>
      </c>
      <c r="G1874" s="672" t="str">
        <f>RTD("esrtd",,ICE[[#This Row],[PCC]] &amp; " " &amp; ICE[[#This Row],[Rolling]] &amp; "-IEU", "Bid")</f>
        <v/>
      </c>
      <c r="H1874" s="672" t="str">
        <f>RTD("esrtd",,ICE[[#This Row],[PCC]] &amp; " " &amp; ICE[[#This Row],[Rolling]] &amp; "-IEU", "Ask")</f>
        <v/>
      </c>
      <c r="I1874" s="672" t="str">
        <f>RTD("esrtd",,ICE[[#This Row],[PCC]] &amp; " " &amp; ICE[[#This Row],[Rolling]] &amp; "-IEU", "Last")</f>
        <v/>
      </c>
      <c r="J1874" s="674" t="str">
        <f>RTD("esrtd",,ICE[[#This Row],[PCC]] &amp; " " &amp; ICE[[#This Row],[Rolling]] &amp; "-IEU", "Last Trade Time")</f>
        <v/>
      </c>
      <c r="K1874" s="672" t="str">
        <f>RTD("esrtd",,ICE[[#This Row],[PCC]] &amp; " " &amp; ICE[[#This Row],[Rolling]] &amp; "-IEU", "Block Price")</f>
        <v/>
      </c>
      <c r="L1874" s="673"/>
      <c r="M1874" s="674" t="str">
        <f>RTD("esrtd",,ICE[[#This Row],[PCC]] &amp; " " &amp; ICE[[#This Row],[Rolling]] &amp; "-IEU", "Block Price DT")</f>
        <v/>
      </c>
      <c r="N1874" s="673" t="str">
        <f>RTD("esrtd",,ICE[[#This Row],[PCC]] &amp; " " &amp; ICE[[#This Row],[Rolling]] &amp; "-IEU", "Volume")</f>
        <v/>
      </c>
      <c r="O1874" s="673" t="str">
        <f>RTD("esrtd",,ICE[[#This Row],[PCC]] &amp; " " &amp; ICE[[#This Row],[Rolling]] &amp; "-IEU", "Block Volume")</f>
        <v/>
      </c>
      <c r="P187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4" s="674" t="str">
        <f>IF(ICE[[#This Row],[LastType]] = "Scrn", ICE[[#This Row],[LstDate]], IF(ICE[[#This Row],[LastType]] = "Blk", ICE[[#This Row],[LstBlkTime]], ""))</f>
        <v/>
      </c>
      <c r="R1874" s="675" t="str">
        <f>IF(ICE[[#This Row],[LastType]] = "Scrn", ICE[[#This Row],[LstPrc]], IF(ICE[[#This Row],[LastType]] = "Blk", ICE[[#This Row],[LstBlkPrc]], ""))</f>
        <v/>
      </c>
      <c r="S1874" s="673" t="e">
        <f>ICE[[#This Row],[Vol]]+ICE[[#This Row],[BlkVol]]</f>
        <v>#VALUE!</v>
      </c>
      <c r="T1874" s="673" t="str">
        <f>RTD("esrtd",,ICE[[#This Row],[PCC]] &amp; " " &amp; ICE[[#This Row],[Rolling]] &amp; "-IEU", "Open Interest")</f>
        <v/>
      </c>
      <c r="U1874" s="672" t="str">
        <f>RTD("esrtd",,ICE[[#This Row],[PCC]] &amp; " " &amp; ICE[[#This Row],[Rolling]] &amp; "-IEU", "Recent Settlement")</f>
        <v/>
      </c>
      <c r="V187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4" s="672" t="str">
        <f>RTD("esrtd",,ICE[[#This Row],[PCC]] &amp; " " &amp; ICE[[#This Row],[Rolling]] &amp; "-IEU", "ICE Theoretical Price")</f>
        <v/>
      </c>
      <c r="X1874" s="673" t="s">
        <v>917</v>
      </c>
    </row>
    <row r="1875" spans="1:24" x14ac:dyDescent="0.25">
      <c r="A1875" s="669" t="s">
        <v>450</v>
      </c>
      <c r="B1875" s="669" t="s">
        <v>927</v>
      </c>
      <c r="C1875" s="670">
        <v>3045330435</v>
      </c>
      <c r="D1875" s="671" t="s">
        <v>801</v>
      </c>
      <c r="E1875" s="670" t="str">
        <f>RTD("esrtd",,ICE[[#This Row],[PCC]] &amp; " " &amp; ICE[[#This Row],[Rolling]] &amp; "-IEU", "Strip")</f>
        <v/>
      </c>
      <c r="F1875" s="670" t="str">
        <f>ICE[[#This Row],[Prod]]&amp;ICE[[#This Row],[Strip]]</f>
        <v>tc2</v>
      </c>
      <c r="G1875" s="672" t="str">
        <f>RTD("esrtd",,ICE[[#This Row],[PCC]] &amp; " " &amp; ICE[[#This Row],[Rolling]] &amp; "-IEU", "Bid")</f>
        <v/>
      </c>
      <c r="H1875" s="672" t="str">
        <f>RTD("esrtd",,ICE[[#This Row],[PCC]] &amp; " " &amp; ICE[[#This Row],[Rolling]] &amp; "-IEU", "Ask")</f>
        <v/>
      </c>
      <c r="I1875" s="672" t="str">
        <f>RTD("esrtd",,ICE[[#This Row],[PCC]] &amp; " " &amp; ICE[[#This Row],[Rolling]] &amp; "-IEU", "Last")</f>
        <v/>
      </c>
      <c r="J1875" s="674" t="str">
        <f>RTD("esrtd",,ICE[[#This Row],[PCC]] &amp; " " &amp; ICE[[#This Row],[Rolling]] &amp; "-IEU", "Last Trade Time")</f>
        <v/>
      </c>
      <c r="K1875" s="672" t="str">
        <f>RTD("esrtd",,ICE[[#This Row],[PCC]] &amp; " " &amp; ICE[[#This Row],[Rolling]] &amp; "-IEU", "Block Price")</f>
        <v/>
      </c>
      <c r="L1875" s="673"/>
      <c r="M1875" s="674" t="str">
        <f>RTD("esrtd",,ICE[[#This Row],[PCC]] &amp; " " &amp; ICE[[#This Row],[Rolling]] &amp; "-IEU", "Block Price DT")</f>
        <v/>
      </c>
      <c r="N1875" s="673" t="str">
        <f>RTD("esrtd",,ICE[[#This Row],[PCC]] &amp; " " &amp; ICE[[#This Row],[Rolling]] &amp; "-IEU", "Volume")</f>
        <v/>
      </c>
      <c r="O1875" s="673" t="str">
        <f>RTD("esrtd",,ICE[[#This Row],[PCC]] &amp; " " &amp; ICE[[#This Row],[Rolling]] &amp; "-IEU", "Block Volume")</f>
        <v/>
      </c>
      <c r="P187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5" s="674" t="str">
        <f>IF(ICE[[#This Row],[LastType]] = "Scrn", ICE[[#This Row],[LstDate]], IF(ICE[[#This Row],[LastType]] = "Blk", ICE[[#This Row],[LstBlkTime]], ""))</f>
        <v/>
      </c>
      <c r="R1875" s="675" t="str">
        <f>IF(ICE[[#This Row],[LastType]] = "Scrn", ICE[[#This Row],[LstPrc]], IF(ICE[[#This Row],[LastType]] = "Blk", ICE[[#This Row],[LstBlkPrc]], ""))</f>
        <v/>
      </c>
      <c r="S1875" s="673" t="e">
        <f>ICE[[#This Row],[Vol]]+ICE[[#This Row],[BlkVol]]</f>
        <v>#VALUE!</v>
      </c>
      <c r="T1875" s="673" t="str">
        <f>RTD("esrtd",,ICE[[#This Row],[PCC]] &amp; " " &amp; ICE[[#This Row],[Rolling]] &amp; "-IEU", "Open Interest")</f>
        <v/>
      </c>
      <c r="U1875" s="672" t="str">
        <f>RTD("esrtd",,ICE[[#This Row],[PCC]] &amp; " " &amp; ICE[[#This Row],[Rolling]] &amp; "-IEU", "Recent Settlement")</f>
        <v/>
      </c>
      <c r="V187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5" s="672" t="str">
        <f>RTD("esrtd",,ICE[[#This Row],[PCC]] &amp; " " &amp; ICE[[#This Row],[Rolling]] &amp; "-IEU", "ICE Theoretical Price")</f>
        <v/>
      </c>
      <c r="X1875" s="673" t="s">
        <v>918</v>
      </c>
    </row>
    <row r="1876" spans="1:24" x14ac:dyDescent="0.25">
      <c r="A1876" s="669" t="s">
        <v>450</v>
      </c>
      <c r="B1876" s="669" t="s">
        <v>927</v>
      </c>
      <c r="C1876" s="670">
        <v>3045330435</v>
      </c>
      <c r="D1876" s="671" t="s">
        <v>802</v>
      </c>
      <c r="E1876" s="670" t="str">
        <f>RTD("esrtd",,ICE[[#This Row],[PCC]] &amp; " " &amp; ICE[[#This Row],[Rolling]] &amp; "-IEU", "Strip")</f>
        <v/>
      </c>
      <c r="F1876" s="670" t="str">
        <f>ICE[[#This Row],[Prod]]&amp;ICE[[#This Row],[Strip]]</f>
        <v>tc2</v>
      </c>
      <c r="G1876" s="672" t="str">
        <f>RTD("esrtd",,ICE[[#This Row],[PCC]] &amp; " " &amp; ICE[[#This Row],[Rolling]] &amp; "-IEU", "Bid")</f>
        <v/>
      </c>
      <c r="H1876" s="672" t="str">
        <f>RTD("esrtd",,ICE[[#This Row],[PCC]] &amp; " " &amp; ICE[[#This Row],[Rolling]] &amp; "-IEU", "Ask")</f>
        <v/>
      </c>
      <c r="I1876" s="672" t="str">
        <f>RTD("esrtd",,ICE[[#This Row],[PCC]] &amp; " " &amp; ICE[[#This Row],[Rolling]] &amp; "-IEU", "Last")</f>
        <v/>
      </c>
      <c r="J1876" s="674" t="str">
        <f>RTD("esrtd",,ICE[[#This Row],[PCC]] &amp; " " &amp; ICE[[#This Row],[Rolling]] &amp; "-IEU", "Last Trade Time")</f>
        <v/>
      </c>
      <c r="K1876" s="672" t="str">
        <f>RTD("esrtd",,ICE[[#This Row],[PCC]] &amp; " " &amp; ICE[[#This Row],[Rolling]] &amp; "-IEU", "Block Price")</f>
        <v/>
      </c>
      <c r="L1876" s="673"/>
      <c r="M1876" s="674" t="str">
        <f>RTD("esrtd",,ICE[[#This Row],[PCC]] &amp; " " &amp; ICE[[#This Row],[Rolling]] &amp; "-IEU", "Block Price DT")</f>
        <v/>
      </c>
      <c r="N1876" s="673" t="str">
        <f>RTD("esrtd",,ICE[[#This Row],[PCC]] &amp; " " &amp; ICE[[#This Row],[Rolling]] &amp; "-IEU", "Volume")</f>
        <v/>
      </c>
      <c r="O1876" s="673" t="str">
        <f>RTD("esrtd",,ICE[[#This Row],[PCC]] &amp; " " &amp; ICE[[#This Row],[Rolling]] &amp; "-IEU", "Block Volume")</f>
        <v/>
      </c>
      <c r="P187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6" s="674" t="str">
        <f>IF(ICE[[#This Row],[LastType]] = "Scrn", ICE[[#This Row],[LstDate]], IF(ICE[[#This Row],[LastType]] = "Blk", ICE[[#This Row],[LstBlkTime]], ""))</f>
        <v/>
      </c>
      <c r="R1876" s="675" t="str">
        <f>IF(ICE[[#This Row],[LastType]] = "Scrn", ICE[[#This Row],[LstPrc]], IF(ICE[[#This Row],[LastType]] = "Blk", ICE[[#This Row],[LstBlkPrc]], ""))</f>
        <v/>
      </c>
      <c r="S1876" s="673" t="e">
        <f>ICE[[#This Row],[Vol]]+ICE[[#This Row],[BlkVol]]</f>
        <v>#VALUE!</v>
      </c>
      <c r="T1876" s="673" t="str">
        <f>RTD("esrtd",,ICE[[#This Row],[PCC]] &amp; " " &amp; ICE[[#This Row],[Rolling]] &amp; "-IEU", "Open Interest")</f>
        <v/>
      </c>
      <c r="U1876" s="672" t="str">
        <f>RTD("esrtd",,ICE[[#This Row],[PCC]] &amp; " " &amp; ICE[[#This Row],[Rolling]] &amp; "-IEU", "Recent Settlement")</f>
        <v/>
      </c>
      <c r="V187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6" s="672" t="str">
        <f>RTD("esrtd",,ICE[[#This Row],[PCC]] &amp; " " &amp; ICE[[#This Row],[Rolling]] &amp; "-IEU", "ICE Theoretical Price")</f>
        <v/>
      </c>
      <c r="X1876" s="673" t="s">
        <v>919</v>
      </c>
    </row>
    <row r="1877" spans="1:24" x14ac:dyDescent="0.25">
      <c r="A1877" s="669" t="s">
        <v>450</v>
      </c>
      <c r="B1877" s="669" t="s">
        <v>927</v>
      </c>
      <c r="C1877" s="670">
        <v>3045330435</v>
      </c>
      <c r="D1877" s="671" t="s">
        <v>803</v>
      </c>
      <c r="E1877" s="670" t="str">
        <f>RTD("esrtd",,ICE[[#This Row],[PCC]] &amp; " " &amp; ICE[[#This Row],[Rolling]] &amp; "-IEU", "Strip")</f>
        <v/>
      </c>
      <c r="F1877" s="670" t="str">
        <f>ICE[[#This Row],[Prod]]&amp;ICE[[#This Row],[Strip]]</f>
        <v>tc2</v>
      </c>
      <c r="G1877" s="672" t="str">
        <f>RTD("esrtd",,ICE[[#This Row],[PCC]] &amp; " " &amp; ICE[[#This Row],[Rolling]] &amp; "-IEU", "Bid")</f>
        <v/>
      </c>
      <c r="H1877" s="672" t="str">
        <f>RTD("esrtd",,ICE[[#This Row],[PCC]] &amp; " " &amp; ICE[[#This Row],[Rolling]] &amp; "-IEU", "Ask")</f>
        <v/>
      </c>
      <c r="I1877" s="672" t="str">
        <f>RTD("esrtd",,ICE[[#This Row],[PCC]] &amp; " " &amp; ICE[[#This Row],[Rolling]] &amp; "-IEU", "Last")</f>
        <v/>
      </c>
      <c r="J1877" s="674" t="str">
        <f>RTD("esrtd",,ICE[[#This Row],[PCC]] &amp; " " &amp; ICE[[#This Row],[Rolling]] &amp; "-IEU", "Last Trade Time")</f>
        <v/>
      </c>
      <c r="K1877" s="672" t="str">
        <f>RTD("esrtd",,ICE[[#This Row],[PCC]] &amp; " " &amp; ICE[[#This Row],[Rolling]] &amp; "-IEU", "Block Price")</f>
        <v/>
      </c>
      <c r="L1877" s="673"/>
      <c r="M1877" s="674" t="str">
        <f>RTD("esrtd",,ICE[[#This Row],[PCC]] &amp; " " &amp; ICE[[#This Row],[Rolling]] &amp; "-IEU", "Block Price DT")</f>
        <v/>
      </c>
      <c r="N1877" s="673" t="str">
        <f>RTD("esrtd",,ICE[[#This Row],[PCC]] &amp; " " &amp; ICE[[#This Row],[Rolling]] &amp; "-IEU", "Volume")</f>
        <v/>
      </c>
      <c r="O1877" s="673" t="str">
        <f>RTD("esrtd",,ICE[[#This Row],[PCC]] &amp; " " &amp; ICE[[#This Row],[Rolling]] &amp; "-IEU", "Block Volume")</f>
        <v/>
      </c>
      <c r="P187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7" s="674" t="str">
        <f>IF(ICE[[#This Row],[LastType]] = "Scrn", ICE[[#This Row],[LstDate]], IF(ICE[[#This Row],[LastType]] = "Blk", ICE[[#This Row],[LstBlkTime]], ""))</f>
        <v/>
      </c>
      <c r="R1877" s="675" t="str">
        <f>IF(ICE[[#This Row],[LastType]] = "Scrn", ICE[[#This Row],[LstPrc]], IF(ICE[[#This Row],[LastType]] = "Blk", ICE[[#This Row],[LstBlkPrc]], ""))</f>
        <v/>
      </c>
      <c r="S1877" s="673" t="e">
        <f>ICE[[#This Row],[Vol]]+ICE[[#This Row],[BlkVol]]</f>
        <v>#VALUE!</v>
      </c>
      <c r="T1877" s="673" t="str">
        <f>RTD("esrtd",,ICE[[#This Row],[PCC]] &amp; " " &amp; ICE[[#This Row],[Rolling]] &amp; "-IEU", "Open Interest")</f>
        <v/>
      </c>
      <c r="U1877" s="672" t="str">
        <f>RTD("esrtd",,ICE[[#This Row],[PCC]] &amp; " " &amp; ICE[[#This Row],[Rolling]] &amp; "-IEU", "Recent Settlement")</f>
        <v/>
      </c>
      <c r="V187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7" s="672" t="str">
        <f>RTD("esrtd",,ICE[[#This Row],[PCC]] &amp; " " &amp; ICE[[#This Row],[Rolling]] &amp; "-IEU", "ICE Theoretical Price")</f>
        <v/>
      </c>
      <c r="X1877" s="673" t="s">
        <v>920</v>
      </c>
    </row>
    <row r="1878" spans="1:24" x14ac:dyDescent="0.25">
      <c r="A1878" s="669" t="s">
        <v>450</v>
      </c>
      <c r="B1878" s="669" t="s">
        <v>927</v>
      </c>
      <c r="C1878" s="670">
        <v>3045330435</v>
      </c>
      <c r="D1878" s="671" t="s">
        <v>814</v>
      </c>
      <c r="E1878" s="670" t="str">
        <f>RTD("esrtd",,ICE[[#This Row],[PCC]] &amp; " " &amp; ICE[[#This Row],[Rolling]] &amp; "-IEU", "Strip")</f>
        <v/>
      </c>
      <c r="F1878" s="670" t="str">
        <f>ICE[[#This Row],[Prod]]&amp;ICE[[#This Row],[Strip]]</f>
        <v>tc2</v>
      </c>
      <c r="G1878" s="672" t="str">
        <f>RTD("esrtd",,ICE[[#This Row],[PCC]] &amp; " " &amp; ICE[[#This Row],[Rolling]] &amp; "-IEU", "Bid")</f>
        <v/>
      </c>
      <c r="H1878" s="672" t="str">
        <f>RTD("esrtd",,ICE[[#This Row],[PCC]] &amp; " " &amp; ICE[[#This Row],[Rolling]] &amp; "-IEU", "Ask")</f>
        <v/>
      </c>
      <c r="I1878" s="672" t="str">
        <f>RTD("esrtd",,ICE[[#This Row],[PCC]] &amp; " " &amp; ICE[[#This Row],[Rolling]] &amp; "-IEU", "Last")</f>
        <v/>
      </c>
      <c r="J1878" s="674" t="str">
        <f>RTD("esrtd",,ICE[[#This Row],[PCC]] &amp; " " &amp; ICE[[#This Row],[Rolling]] &amp; "-IEU", "Last Trade Time")</f>
        <v/>
      </c>
      <c r="K1878" s="672" t="str">
        <f>RTD("esrtd",,ICE[[#This Row],[PCC]] &amp; " " &amp; ICE[[#This Row],[Rolling]] &amp; "-IEU", "Block Price")</f>
        <v/>
      </c>
      <c r="L1878" s="673"/>
      <c r="M1878" s="674" t="str">
        <f>RTD("esrtd",,ICE[[#This Row],[PCC]] &amp; " " &amp; ICE[[#This Row],[Rolling]] &amp; "-IEU", "Block Price DT")</f>
        <v/>
      </c>
      <c r="N1878" s="673" t="str">
        <f>RTD("esrtd",,ICE[[#This Row],[PCC]] &amp; " " &amp; ICE[[#This Row],[Rolling]] &amp; "-IEU", "Volume")</f>
        <v/>
      </c>
      <c r="O1878" s="673" t="str">
        <f>RTD("esrtd",,ICE[[#This Row],[PCC]] &amp; " " &amp; ICE[[#This Row],[Rolling]] &amp; "-IEU", "Block Volume")</f>
        <v/>
      </c>
      <c r="P187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8" s="674" t="str">
        <f>IF(ICE[[#This Row],[LastType]] = "Scrn", ICE[[#This Row],[LstDate]], IF(ICE[[#This Row],[LastType]] = "Blk", ICE[[#This Row],[LstBlkTime]], ""))</f>
        <v/>
      </c>
      <c r="R1878" s="675" t="str">
        <f>IF(ICE[[#This Row],[LastType]] = "Scrn", ICE[[#This Row],[LstPrc]], IF(ICE[[#This Row],[LastType]] = "Blk", ICE[[#This Row],[LstBlkPrc]], ""))</f>
        <v/>
      </c>
      <c r="S1878" s="673" t="e">
        <f>ICE[[#This Row],[Vol]]+ICE[[#This Row],[BlkVol]]</f>
        <v>#VALUE!</v>
      </c>
      <c r="T1878" s="673" t="str">
        <f>RTD("esrtd",,ICE[[#This Row],[PCC]] &amp; " " &amp; ICE[[#This Row],[Rolling]] &amp; "-IEU", "Open Interest")</f>
        <v/>
      </c>
      <c r="U1878" s="672" t="str">
        <f>RTD("esrtd",,ICE[[#This Row],[PCC]] &amp; " " &amp; ICE[[#This Row],[Rolling]] &amp; "-IEU", "Recent Settlement")</f>
        <v/>
      </c>
      <c r="V187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8" s="672" t="str">
        <f>RTD("esrtd",,ICE[[#This Row],[PCC]] &amp; " " &amp; ICE[[#This Row],[Rolling]] &amp; "-IEU", "ICE Theoretical Price")</f>
        <v/>
      </c>
      <c r="X1878" s="673" t="s">
        <v>921</v>
      </c>
    </row>
    <row r="1879" spans="1:24" x14ac:dyDescent="0.25">
      <c r="A1879" s="669" t="s">
        <v>450</v>
      </c>
      <c r="B1879" s="669" t="s">
        <v>927</v>
      </c>
      <c r="C1879" s="670">
        <v>3045330435</v>
      </c>
      <c r="D1879" s="671" t="s">
        <v>815</v>
      </c>
      <c r="E1879" s="670" t="str">
        <f>RTD("esrtd",,ICE[[#This Row],[PCC]] &amp; " " &amp; ICE[[#This Row],[Rolling]] &amp; "-IEU", "Strip")</f>
        <v/>
      </c>
      <c r="F1879" s="670" t="str">
        <f>ICE[[#This Row],[Prod]]&amp;ICE[[#This Row],[Strip]]</f>
        <v>tc2</v>
      </c>
      <c r="G1879" s="672" t="str">
        <f>RTD("esrtd",,ICE[[#This Row],[PCC]] &amp; " " &amp; ICE[[#This Row],[Rolling]] &amp; "-IEU", "Bid")</f>
        <v/>
      </c>
      <c r="H1879" s="672" t="str">
        <f>RTD("esrtd",,ICE[[#This Row],[PCC]] &amp; " " &amp; ICE[[#This Row],[Rolling]] &amp; "-IEU", "Ask")</f>
        <v/>
      </c>
      <c r="I1879" s="672" t="str">
        <f>RTD("esrtd",,ICE[[#This Row],[PCC]] &amp; " " &amp; ICE[[#This Row],[Rolling]] &amp; "-IEU", "Last")</f>
        <v/>
      </c>
      <c r="J1879" s="674" t="str">
        <f>RTD("esrtd",,ICE[[#This Row],[PCC]] &amp; " " &amp; ICE[[#This Row],[Rolling]] &amp; "-IEU", "Last Trade Time")</f>
        <v/>
      </c>
      <c r="K1879" s="672" t="str">
        <f>RTD("esrtd",,ICE[[#This Row],[PCC]] &amp; " " &amp; ICE[[#This Row],[Rolling]] &amp; "-IEU", "Block Price")</f>
        <v/>
      </c>
      <c r="L1879" s="673"/>
      <c r="M1879" s="674" t="str">
        <f>RTD("esrtd",,ICE[[#This Row],[PCC]] &amp; " " &amp; ICE[[#This Row],[Rolling]] &amp; "-IEU", "Block Price DT")</f>
        <v/>
      </c>
      <c r="N1879" s="673" t="str">
        <f>RTD("esrtd",,ICE[[#This Row],[PCC]] &amp; " " &amp; ICE[[#This Row],[Rolling]] &amp; "-IEU", "Volume")</f>
        <v/>
      </c>
      <c r="O1879" s="673" t="str">
        <f>RTD("esrtd",,ICE[[#This Row],[PCC]] &amp; " " &amp; ICE[[#This Row],[Rolling]] &amp; "-IEU", "Block Volume")</f>
        <v/>
      </c>
      <c r="P187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79" s="674" t="str">
        <f>IF(ICE[[#This Row],[LastType]] = "Scrn", ICE[[#This Row],[LstDate]], IF(ICE[[#This Row],[LastType]] = "Blk", ICE[[#This Row],[LstBlkTime]], ""))</f>
        <v/>
      </c>
      <c r="R1879" s="675" t="str">
        <f>IF(ICE[[#This Row],[LastType]] = "Scrn", ICE[[#This Row],[LstPrc]], IF(ICE[[#This Row],[LastType]] = "Blk", ICE[[#This Row],[LstBlkPrc]], ""))</f>
        <v/>
      </c>
      <c r="S1879" s="673" t="e">
        <f>ICE[[#This Row],[Vol]]+ICE[[#This Row],[BlkVol]]</f>
        <v>#VALUE!</v>
      </c>
      <c r="T1879" s="673" t="str">
        <f>RTD("esrtd",,ICE[[#This Row],[PCC]] &amp; " " &amp; ICE[[#This Row],[Rolling]] &amp; "-IEU", "Open Interest")</f>
        <v/>
      </c>
      <c r="U1879" s="672" t="str">
        <f>RTD("esrtd",,ICE[[#This Row],[PCC]] &amp; " " &amp; ICE[[#This Row],[Rolling]] &amp; "-IEU", "Recent Settlement")</f>
        <v/>
      </c>
      <c r="V187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79" s="672" t="str">
        <f>RTD("esrtd",,ICE[[#This Row],[PCC]] &amp; " " &amp; ICE[[#This Row],[Rolling]] &amp; "-IEU", "ICE Theoretical Price")</f>
        <v/>
      </c>
      <c r="X1879" s="673" t="s">
        <v>922</v>
      </c>
    </row>
    <row r="1880" spans="1:24" x14ac:dyDescent="0.25">
      <c r="A1880" s="669" t="s">
        <v>450</v>
      </c>
      <c r="B1880" s="669" t="s">
        <v>927</v>
      </c>
      <c r="C1880" s="670">
        <v>3045330435</v>
      </c>
      <c r="D1880" s="671" t="s">
        <v>816</v>
      </c>
      <c r="E1880" s="670" t="str">
        <f>RTD("esrtd",,ICE[[#This Row],[PCC]] &amp; " " &amp; ICE[[#This Row],[Rolling]] &amp; "-IEU", "Strip")</f>
        <v/>
      </c>
      <c r="F1880" s="670" t="str">
        <f>ICE[[#This Row],[Prod]]&amp;ICE[[#This Row],[Strip]]</f>
        <v>tc2</v>
      </c>
      <c r="G1880" s="672" t="str">
        <f>RTD("esrtd",,ICE[[#This Row],[PCC]] &amp; " " &amp; ICE[[#This Row],[Rolling]] &amp; "-IEU", "Bid")</f>
        <v/>
      </c>
      <c r="H1880" s="672" t="str">
        <f>RTD("esrtd",,ICE[[#This Row],[PCC]] &amp; " " &amp; ICE[[#This Row],[Rolling]] &amp; "-IEU", "Ask")</f>
        <v/>
      </c>
      <c r="I1880" s="672" t="str">
        <f>RTD("esrtd",,ICE[[#This Row],[PCC]] &amp; " " &amp; ICE[[#This Row],[Rolling]] &amp; "-IEU", "Last")</f>
        <v/>
      </c>
      <c r="J1880" s="674" t="str">
        <f>RTD("esrtd",,ICE[[#This Row],[PCC]] &amp; " " &amp; ICE[[#This Row],[Rolling]] &amp; "-IEU", "Last Trade Time")</f>
        <v/>
      </c>
      <c r="K1880" s="672" t="str">
        <f>RTD("esrtd",,ICE[[#This Row],[PCC]] &amp; " " &amp; ICE[[#This Row],[Rolling]] &amp; "-IEU", "Block Price")</f>
        <v/>
      </c>
      <c r="L1880" s="673"/>
      <c r="M1880" s="674" t="str">
        <f>RTD("esrtd",,ICE[[#This Row],[PCC]] &amp; " " &amp; ICE[[#This Row],[Rolling]] &amp; "-IEU", "Block Price DT")</f>
        <v/>
      </c>
      <c r="N1880" s="673" t="str">
        <f>RTD("esrtd",,ICE[[#This Row],[PCC]] &amp; " " &amp; ICE[[#This Row],[Rolling]] &amp; "-IEU", "Volume")</f>
        <v/>
      </c>
      <c r="O1880" s="673" t="str">
        <f>RTD("esrtd",,ICE[[#This Row],[PCC]] &amp; " " &amp; ICE[[#This Row],[Rolling]] &amp; "-IEU", "Block Volume")</f>
        <v/>
      </c>
      <c r="P188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0" s="674" t="str">
        <f>IF(ICE[[#This Row],[LastType]] = "Scrn", ICE[[#This Row],[LstDate]], IF(ICE[[#This Row],[LastType]] = "Blk", ICE[[#This Row],[LstBlkTime]], ""))</f>
        <v/>
      </c>
      <c r="R1880" s="675" t="str">
        <f>IF(ICE[[#This Row],[LastType]] = "Scrn", ICE[[#This Row],[LstPrc]], IF(ICE[[#This Row],[LastType]] = "Blk", ICE[[#This Row],[LstBlkPrc]], ""))</f>
        <v/>
      </c>
      <c r="S1880" s="673" t="e">
        <f>ICE[[#This Row],[Vol]]+ICE[[#This Row],[BlkVol]]</f>
        <v>#VALUE!</v>
      </c>
      <c r="T1880" s="673" t="str">
        <f>RTD("esrtd",,ICE[[#This Row],[PCC]] &amp; " " &amp; ICE[[#This Row],[Rolling]] &amp; "-IEU", "Open Interest")</f>
        <v/>
      </c>
      <c r="U1880" s="672" t="str">
        <f>RTD("esrtd",,ICE[[#This Row],[PCC]] &amp; " " &amp; ICE[[#This Row],[Rolling]] &amp; "-IEU", "Recent Settlement")</f>
        <v/>
      </c>
      <c r="V188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0" s="672" t="str">
        <f>RTD("esrtd",,ICE[[#This Row],[PCC]] &amp; " " &amp; ICE[[#This Row],[Rolling]] &amp; "-IEU", "ICE Theoretical Price")</f>
        <v/>
      </c>
      <c r="X1880" s="673" t="s">
        <v>923</v>
      </c>
    </row>
    <row r="1881" spans="1:24" x14ac:dyDescent="0.25">
      <c r="A1881" s="669" t="s">
        <v>450</v>
      </c>
      <c r="B1881" s="669" t="s">
        <v>927</v>
      </c>
      <c r="C1881" s="670">
        <v>3045330435</v>
      </c>
      <c r="D1881" s="671" t="s">
        <v>817</v>
      </c>
      <c r="E1881" s="670" t="str">
        <f>RTD("esrtd",,ICE[[#This Row],[PCC]] &amp; " " &amp; ICE[[#This Row],[Rolling]] &amp; "-IEU", "Strip")</f>
        <v/>
      </c>
      <c r="F1881" s="670" t="str">
        <f>ICE[[#This Row],[Prod]]&amp;ICE[[#This Row],[Strip]]</f>
        <v>tc2</v>
      </c>
      <c r="G1881" s="672" t="str">
        <f>RTD("esrtd",,ICE[[#This Row],[PCC]] &amp; " " &amp; ICE[[#This Row],[Rolling]] &amp; "-IEU", "Bid")</f>
        <v/>
      </c>
      <c r="H1881" s="672" t="str">
        <f>RTD("esrtd",,ICE[[#This Row],[PCC]] &amp; " " &amp; ICE[[#This Row],[Rolling]] &amp; "-IEU", "Ask")</f>
        <v/>
      </c>
      <c r="I1881" s="672" t="str">
        <f>RTD("esrtd",,ICE[[#This Row],[PCC]] &amp; " " &amp; ICE[[#This Row],[Rolling]] &amp; "-IEU", "Last")</f>
        <v/>
      </c>
      <c r="J1881" s="674" t="str">
        <f>RTD("esrtd",,ICE[[#This Row],[PCC]] &amp; " " &amp; ICE[[#This Row],[Rolling]] &amp; "-IEU", "Last Trade Time")</f>
        <v/>
      </c>
      <c r="K1881" s="672" t="str">
        <f>RTD("esrtd",,ICE[[#This Row],[PCC]] &amp; " " &amp; ICE[[#This Row],[Rolling]] &amp; "-IEU", "Block Price")</f>
        <v/>
      </c>
      <c r="L1881" s="673"/>
      <c r="M1881" s="674" t="str">
        <f>RTD("esrtd",,ICE[[#This Row],[PCC]] &amp; " " &amp; ICE[[#This Row],[Rolling]] &amp; "-IEU", "Block Price DT")</f>
        <v/>
      </c>
      <c r="N1881" s="673" t="str">
        <f>RTD("esrtd",,ICE[[#This Row],[PCC]] &amp; " " &amp; ICE[[#This Row],[Rolling]] &amp; "-IEU", "Volume")</f>
        <v/>
      </c>
      <c r="O1881" s="673" t="str">
        <f>RTD("esrtd",,ICE[[#This Row],[PCC]] &amp; " " &amp; ICE[[#This Row],[Rolling]] &amp; "-IEU", "Block Volume")</f>
        <v/>
      </c>
      <c r="P188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1" s="674" t="str">
        <f>IF(ICE[[#This Row],[LastType]] = "Scrn", ICE[[#This Row],[LstDate]], IF(ICE[[#This Row],[LastType]] = "Blk", ICE[[#This Row],[LstBlkTime]], ""))</f>
        <v/>
      </c>
      <c r="R1881" s="675" t="str">
        <f>IF(ICE[[#This Row],[LastType]] = "Scrn", ICE[[#This Row],[LstPrc]], IF(ICE[[#This Row],[LastType]] = "Blk", ICE[[#This Row],[LstBlkPrc]], ""))</f>
        <v/>
      </c>
      <c r="S1881" s="673" t="e">
        <f>ICE[[#This Row],[Vol]]+ICE[[#This Row],[BlkVol]]</f>
        <v>#VALUE!</v>
      </c>
      <c r="T1881" s="673" t="str">
        <f>RTD("esrtd",,ICE[[#This Row],[PCC]] &amp; " " &amp; ICE[[#This Row],[Rolling]] &amp; "-IEU", "Open Interest")</f>
        <v/>
      </c>
      <c r="U1881" s="672" t="str">
        <f>RTD("esrtd",,ICE[[#This Row],[PCC]] &amp; " " &amp; ICE[[#This Row],[Rolling]] &amp; "-IEU", "Recent Settlement")</f>
        <v/>
      </c>
      <c r="V188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1" s="672" t="str">
        <f>RTD("esrtd",,ICE[[#This Row],[PCC]] &amp; " " &amp; ICE[[#This Row],[Rolling]] &amp; "-IEU", "ICE Theoretical Price")</f>
        <v/>
      </c>
      <c r="X1881" s="673" t="s">
        <v>924</v>
      </c>
    </row>
    <row r="1882" spans="1:24" x14ac:dyDescent="0.25">
      <c r="A1882" s="669" t="s">
        <v>450</v>
      </c>
      <c r="B1882" s="669" t="s">
        <v>927</v>
      </c>
      <c r="C1882" s="670">
        <v>3045330435</v>
      </c>
      <c r="D1882" s="671" t="s">
        <v>822</v>
      </c>
      <c r="E1882" s="670" t="str">
        <f>RTD("esrtd",,ICE[[#This Row],[PCC]] &amp; " " &amp; ICE[[#This Row],[Rolling]] &amp; "-IEU", "Strip")</f>
        <v/>
      </c>
      <c r="F1882" s="670" t="str">
        <f>ICE[[#This Row],[Prod]]&amp;ICE[[#This Row],[Strip]]</f>
        <v>tc2</v>
      </c>
      <c r="G1882" s="672" t="str">
        <f>RTD("esrtd",,ICE[[#This Row],[PCC]] &amp; " " &amp; ICE[[#This Row],[Rolling]] &amp; "-IEU", "Bid")</f>
        <v/>
      </c>
      <c r="H1882" s="672" t="str">
        <f>RTD("esrtd",,ICE[[#This Row],[PCC]] &amp; " " &amp; ICE[[#This Row],[Rolling]] &amp; "-IEU", "Ask")</f>
        <v/>
      </c>
      <c r="I1882" s="672" t="str">
        <f>RTD("esrtd",,ICE[[#This Row],[PCC]] &amp; " " &amp; ICE[[#This Row],[Rolling]] &amp; "-IEU", "Last")</f>
        <v/>
      </c>
      <c r="J1882" s="674" t="str">
        <f>RTD("esrtd",,ICE[[#This Row],[PCC]] &amp; " " &amp; ICE[[#This Row],[Rolling]] &amp; "-IEU", "Last Trade Time")</f>
        <v/>
      </c>
      <c r="K1882" s="672" t="str">
        <f>RTD("esrtd",,ICE[[#This Row],[PCC]] &amp; " " &amp; ICE[[#This Row],[Rolling]] &amp; "-IEU", "Block Price")</f>
        <v/>
      </c>
      <c r="L1882" s="673"/>
      <c r="M1882" s="674" t="str">
        <f>RTD("esrtd",,ICE[[#This Row],[PCC]] &amp; " " &amp; ICE[[#This Row],[Rolling]] &amp; "-IEU", "Block Price DT")</f>
        <v/>
      </c>
      <c r="N1882" s="673" t="str">
        <f>RTD("esrtd",,ICE[[#This Row],[PCC]] &amp; " " &amp; ICE[[#This Row],[Rolling]] &amp; "-IEU", "Volume")</f>
        <v/>
      </c>
      <c r="O1882" s="673" t="str">
        <f>RTD("esrtd",,ICE[[#This Row],[PCC]] &amp; " " &amp; ICE[[#This Row],[Rolling]] &amp; "-IEU", "Block Volume")</f>
        <v/>
      </c>
      <c r="P188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2" s="674" t="str">
        <f>IF(ICE[[#This Row],[LastType]] = "Scrn", ICE[[#This Row],[LstDate]], IF(ICE[[#This Row],[LastType]] = "Blk", ICE[[#This Row],[LstBlkTime]], ""))</f>
        <v/>
      </c>
      <c r="R1882" s="675" t="str">
        <f>IF(ICE[[#This Row],[LastType]] = "Scrn", ICE[[#This Row],[LstPrc]], IF(ICE[[#This Row],[LastType]] = "Blk", ICE[[#This Row],[LstBlkPrc]], ""))</f>
        <v/>
      </c>
      <c r="S1882" s="673" t="e">
        <f>ICE[[#This Row],[Vol]]+ICE[[#This Row],[BlkVol]]</f>
        <v>#VALUE!</v>
      </c>
      <c r="T1882" s="673" t="str">
        <f>RTD("esrtd",,ICE[[#This Row],[PCC]] &amp; " " &amp; ICE[[#This Row],[Rolling]] &amp; "-IEU", "Open Interest")</f>
        <v/>
      </c>
      <c r="U1882" s="672" t="str">
        <f>RTD("esrtd",,ICE[[#This Row],[PCC]] &amp; " " &amp; ICE[[#This Row],[Rolling]] &amp; "-IEU", "Recent Settlement")</f>
        <v/>
      </c>
      <c r="V188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2" s="672" t="str">
        <f>RTD("esrtd",,ICE[[#This Row],[PCC]] &amp; " " &amp; ICE[[#This Row],[Rolling]] &amp; "-IEU", "ICE Theoretical Price")</f>
        <v/>
      </c>
      <c r="X1882" s="673" t="s">
        <v>925</v>
      </c>
    </row>
    <row r="1883" spans="1:24" x14ac:dyDescent="0.25">
      <c r="A1883" s="669" t="s">
        <v>449</v>
      </c>
      <c r="B1883" s="669" t="s">
        <v>928</v>
      </c>
      <c r="C1883" s="670">
        <v>3045330435</v>
      </c>
      <c r="D1883" s="671" t="s">
        <v>793</v>
      </c>
      <c r="E1883" s="670" t="str">
        <f>RTD("esrtd",,ICE[[#This Row],[PCC]] &amp; " " &amp; ICE[[#This Row],[Rolling]] &amp; "-IEU", "Strip")</f>
        <v/>
      </c>
      <c r="F1883" s="670" t="str">
        <f>ICE[[#This Row],[Prod]]&amp;ICE[[#This Row],[Strip]]</f>
        <v>tc5</v>
      </c>
      <c r="G1883" s="672" t="str">
        <f>RTD("esrtd",,ICE[[#This Row],[PCC]] &amp; " " &amp; ICE[[#This Row],[Rolling]] &amp; "-IEU", "Bid")</f>
        <v/>
      </c>
      <c r="H1883" s="672" t="str">
        <f>RTD("esrtd",,ICE[[#This Row],[PCC]] &amp; " " &amp; ICE[[#This Row],[Rolling]] &amp; "-IEU", "Ask")</f>
        <v/>
      </c>
      <c r="I1883" s="672" t="str">
        <f>RTD("esrtd",,ICE[[#This Row],[PCC]] &amp; " " &amp; ICE[[#This Row],[Rolling]] &amp; "-IEU", "Last")</f>
        <v/>
      </c>
      <c r="J1883" s="674" t="str">
        <f>RTD("esrtd",,ICE[[#This Row],[PCC]] &amp; " " &amp; ICE[[#This Row],[Rolling]] &amp; "-IEU", "Last Trade Time")</f>
        <v/>
      </c>
      <c r="K1883" s="672" t="str">
        <f>RTD("esrtd",,ICE[[#This Row],[PCC]] &amp; " " &amp; ICE[[#This Row],[Rolling]] &amp; "-IEU", "Block Price")</f>
        <v/>
      </c>
      <c r="L1883" s="673"/>
      <c r="M1883" s="674" t="str">
        <f>RTD("esrtd",,ICE[[#This Row],[PCC]] &amp; " " &amp; ICE[[#This Row],[Rolling]] &amp; "-IEU", "Block Price DT")</f>
        <v/>
      </c>
      <c r="N1883" s="673" t="str">
        <f>RTD("esrtd",,ICE[[#This Row],[PCC]] &amp; " " &amp; ICE[[#This Row],[Rolling]] &amp; "-IEU", "Volume")</f>
        <v/>
      </c>
      <c r="O1883" s="673" t="str">
        <f>RTD("esrtd",,ICE[[#This Row],[PCC]] &amp; " " &amp; ICE[[#This Row],[Rolling]] &amp; "-IEU", "Block Volume")</f>
        <v/>
      </c>
      <c r="P188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3" s="674" t="str">
        <f>IF(ICE[[#This Row],[LastType]] = "Scrn", ICE[[#This Row],[LstDate]], IF(ICE[[#This Row],[LastType]] = "Blk", ICE[[#This Row],[LstBlkTime]], ""))</f>
        <v/>
      </c>
      <c r="R1883" s="675" t="str">
        <f>IF(ICE[[#This Row],[LastType]] = "Scrn", ICE[[#This Row],[LstPrc]], IF(ICE[[#This Row],[LastType]] = "Blk", ICE[[#This Row],[LstBlkPrc]], ""))</f>
        <v/>
      </c>
      <c r="S1883" s="673" t="e">
        <f>ICE[[#This Row],[Vol]]+ICE[[#This Row],[BlkVol]]</f>
        <v>#VALUE!</v>
      </c>
      <c r="T1883" s="673" t="str">
        <f>RTD("esrtd",,ICE[[#This Row],[PCC]] &amp; " " &amp; ICE[[#This Row],[Rolling]] &amp; "-IEU", "Open Interest")</f>
        <v/>
      </c>
      <c r="U1883" s="672" t="str">
        <f>RTD("esrtd",,ICE[[#This Row],[PCC]] &amp; " " &amp; ICE[[#This Row],[Rolling]] &amp; "-IEU", "Recent Settlement")</f>
        <v/>
      </c>
      <c r="V188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3" s="672" t="str">
        <f>RTD("esrtd",,ICE[[#This Row],[PCC]] &amp; " " &amp; ICE[[#This Row],[Rolling]] &amp; "-IEU", "ICE Theoretical Price")</f>
        <v/>
      </c>
      <c r="X1883" s="673" t="s">
        <v>891</v>
      </c>
    </row>
    <row r="1884" spans="1:24" x14ac:dyDescent="0.25">
      <c r="A1884" s="669" t="s">
        <v>449</v>
      </c>
      <c r="B1884" s="669" t="s">
        <v>928</v>
      </c>
      <c r="C1884" s="670">
        <v>3045330435</v>
      </c>
      <c r="D1884" s="671" t="s">
        <v>324</v>
      </c>
      <c r="E1884" s="670" t="str">
        <f>RTD("esrtd",,ICE[[#This Row],[PCC]] &amp; " " &amp; ICE[[#This Row],[Rolling]] &amp; "-IEU", "Strip")</f>
        <v/>
      </c>
      <c r="F1884" s="670" t="str">
        <f>ICE[[#This Row],[Prod]]&amp;ICE[[#This Row],[Strip]]</f>
        <v>tc5</v>
      </c>
      <c r="G1884" s="672" t="str">
        <f>RTD("esrtd",,ICE[[#This Row],[PCC]] &amp; " " &amp; ICE[[#This Row],[Rolling]] &amp; "-IEU", "Bid")</f>
        <v/>
      </c>
      <c r="H1884" s="672" t="str">
        <f>RTD("esrtd",,ICE[[#This Row],[PCC]] &amp; " " &amp; ICE[[#This Row],[Rolling]] &amp; "-IEU", "Ask")</f>
        <v/>
      </c>
      <c r="I1884" s="672" t="str">
        <f>RTD("esrtd",,ICE[[#This Row],[PCC]] &amp; " " &amp; ICE[[#This Row],[Rolling]] &amp; "-IEU", "Last")</f>
        <v/>
      </c>
      <c r="J1884" s="674" t="str">
        <f>RTD("esrtd",,ICE[[#This Row],[PCC]] &amp; " " &amp; ICE[[#This Row],[Rolling]] &amp; "-IEU", "Last Trade Time")</f>
        <v/>
      </c>
      <c r="K1884" s="672" t="str">
        <f>RTD("esrtd",,ICE[[#This Row],[PCC]] &amp; " " &amp; ICE[[#This Row],[Rolling]] &amp; "-IEU", "Block Price")</f>
        <v/>
      </c>
      <c r="L1884" s="673"/>
      <c r="M1884" s="674" t="str">
        <f>RTD("esrtd",,ICE[[#This Row],[PCC]] &amp; " " &amp; ICE[[#This Row],[Rolling]] &amp; "-IEU", "Block Price DT")</f>
        <v/>
      </c>
      <c r="N1884" s="673" t="str">
        <f>RTD("esrtd",,ICE[[#This Row],[PCC]] &amp; " " &amp; ICE[[#This Row],[Rolling]] &amp; "-IEU", "Volume")</f>
        <v/>
      </c>
      <c r="O1884" s="673" t="str">
        <f>RTD("esrtd",,ICE[[#This Row],[PCC]] &amp; " " &amp; ICE[[#This Row],[Rolling]] &amp; "-IEU", "Block Volume")</f>
        <v/>
      </c>
      <c r="P188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4" s="674" t="str">
        <f>IF(ICE[[#This Row],[LastType]] = "Scrn", ICE[[#This Row],[LstDate]], IF(ICE[[#This Row],[LastType]] = "Blk", ICE[[#This Row],[LstBlkTime]], ""))</f>
        <v/>
      </c>
      <c r="R1884" s="675" t="str">
        <f>IF(ICE[[#This Row],[LastType]] = "Scrn", ICE[[#This Row],[LstPrc]], IF(ICE[[#This Row],[LastType]] = "Blk", ICE[[#This Row],[LstBlkPrc]], ""))</f>
        <v/>
      </c>
      <c r="S1884" s="673" t="e">
        <f>ICE[[#This Row],[Vol]]+ICE[[#This Row],[BlkVol]]</f>
        <v>#VALUE!</v>
      </c>
      <c r="T1884" s="673" t="str">
        <f>RTD("esrtd",,ICE[[#This Row],[PCC]] &amp; " " &amp; ICE[[#This Row],[Rolling]] &amp; "-IEU", "Open Interest")</f>
        <v/>
      </c>
      <c r="U1884" s="672" t="str">
        <f>RTD("esrtd",,ICE[[#This Row],[PCC]] &amp; " " &amp; ICE[[#This Row],[Rolling]] &amp; "-IEU", "Recent Settlement")</f>
        <v/>
      </c>
      <c r="V188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4" s="672" t="str">
        <f>RTD("esrtd",,ICE[[#This Row],[PCC]] &amp; " " &amp; ICE[[#This Row],[Rolling]] &amp; "-IEU", "ICE Theoretical Price")</f>
        <v/>
      </c>
      <c r="X1884" s="673" t="s">
        <v>892</v>
      </c>
    </row>
    <row r="1885" spans="1:24" x14ac:dyDescent="0.25">
      <c r="A1885" s="669" t="s">
        <v>449</v>
      </c>
      <c r="B1885" s="669" t="s">
        <v>928</v>
      </c>
      <c r="C1885" s="670">
        <v>3045330435</v>
      </c>
      <c r="D1885" s="671" t="s">
        <v>325</v>
      </c>
      <c r="E1885" s="670" t="str">
        <f>RTD("esrtd",,ICE[[#This Row],[PCC]] &amp; " " &amp; ICE[[#This Row],[Rolling]] &amp; "-IEU", "Strip")</f>
        <v/>
      </c>
      <c r="F1885" s="670" t="str">
        <f>ICE[[#This Row],[Prod]]&amp;ICE[[#This Row],[Strip]]</f>
        <v>tc5</v>
      </c>
      <c r="G1885" s="672" t="str">
        <f>RTD("esrtd",,ICE[[#This Row],[PCC]] &amp; " " &amp; ICE[[#This Row],[Rolling]] &amp; "-IEU", "Bid")</f>
        <v/>
      </c>
      <c r="H1885" s="672" t="str">
        <f>RTD("esrtd",,ICE[[#This Row],[PCC]] &amp; " " &amp; ICE[[#This Row],[Rolling]] &amp; "-IEU", "Ask")</f>
        <v/>
      </c>
      <c r="I1885" s="672" t="str">
        <f>RTD("esrtd",,ICE[[#This Row],[PCC]] &amp; " " &amp; ICE[[#This Row],[Rolling]] &amp; "-IEU", "Last")</f>
        <v/>
      </c>
      <c r="J1885" s="674" t="str">
        <f>RTD("esrtd",,ICE[[#This Row],[PCC]] &amp; " " &amp; ICE[[#This Row],[Rolling]] &amp; "-IEU", "Last Trade Time")</f>
        <v/>
      </c>
      <c r="K1885" s="672" t="str">
        <f>RTD("esrtd",,ICE[[#This Row],[PCC]] &amp; " " &amp; ICE[[#This Row],[Rolling]] &amp; "-IEU", "Block Price")</f>
        <v/>
      </c>
      <c r="L1885" s="673"/>
      <c r="M1885" s="674" t="str">
        <f>RTD("esrtd",,ICE[[#This Row],[PCC]] &amp; " " &amp; ICE[[#This Row],[Rolling]] &amp; "-IEU", "Block Price DT")</f>
        <v/>
      </c>
      <c r="N1885" s="673" t="str">
        <f>RTD("esrtd",,ICE[[#This Row],[PCC]] &amp; " " &amp; ICE[[#This Row],[Rolling]] &amp; "-IEU", "Volume")</f>
        <v/>
      </c>
      <c r="O1885" s="673" t="str">
        <f>RTD("esrtd",,ICE[[#This Row],[PCC]] &amp; " " &amp; ICE[[#This Row],[Rolling]] &amp; "-IEU", "Block Volume")</f>
        <v/>
      </c>
      <c r="P188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5" s="674" t="str">
        <f>IF(ICE[[#This Row],[LastType]] = "Scrn", ICE[[#This Row],[LstDate]], IF(ICE[[#This Row],[LastType]] = "Blk", ICE[[#This Row],[LstBlkTime]], ""))</f>
        <v/>
      </c>
      <c r="R1885" s="675" t="str">
        <f>IF(ICE[[#This Row],[LastType]] = "Scrn", ICE[[#This Row],[LstPrc]], IF(ICE[[#This Row],[LastType]] = "Blk", ICE[[#This Row],[LstBlkPrc]], ""))</f>
        <v/>
      </c>
      <c r="S1885" s="673" t="e">
        <f>ICE[[#This Row],[Vol]]+ICE[[#This Row],[BlkVol]]</f>
        <v>#VALUE!</v>
      </c>
      <c r="T1885" s="673" t="str">
        <f>RTD("esrtd",,ICE[[#This Row],[PCC]] &amp; " " &amp; ICE[[#This Row],[Rolling]] &amp; "-IEU", "Open Interest")</f>
        <v/>
      </c>
      <c r="U1885" s="672" t="str">
        <f>RTD("esrtd",,ICE[[#This Row],[PCC]] &amp; " " &amp; ICE[[#This Row],[Rolling]] &amp; "-IEU", "Recent Settlement")</f>
        <v/>
      </c>
      <c r="V188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5" s="672" t="str">
        <f>RTD("esrtd",,ICE[[#This Row],[PCC]] &amp; " " &amp; ICE[[#This Row],[Rolling]] &amp; "-IEU", "ICE Theoretical Price")</f>
        <v/>
      </c>
      <c r="X1885" s="673" t="s">
        <v>893</v>
      </c>
    </row>
    <row r="1886" spans="1:24" x14ac:dyDescent="0.25">
      <c r="A1886" s="669" t="s">
        <v>449</v>
      </c>
      <c r="B1886" s="669" t="s">
        <v>928</v>
      </c>
      <c r="C1886" s="670">
        <v>3045330435</v>
      </c>
      <c r="D1886" s="671" t="s">
        <v>326</v>
      </c>
      <c r="E1886" s="670" t="str">
        <f>RTD("esrtd",,ICE[[#This Row],[PCC]] &amp; " " &amp; ICE[[#This Row],[Rolling]] &amp; "-IEU", "Strip")</f>
        <v/>
      </c>
      <c r="F1886" s="670" t="str">
        <f>ICE[[#This Row],[Prod]]&amp;ICE[[#This Row],[Strip]]</f>
        <v>tc5</v>
      </c>
      <c r="G1886" s="672" t="str">
        <f>RTD("esrtd",,ICE[[#This Row],[PCC]] &amp; " " &amp; ICE[[#This Row],[Rolling]] &amp; "-IEU", "Bid")</f>
        <v/>
      </c>
      <c r="H1886" s="672" t="str">
        <f>RTD("esrtd",,ICE[[#This Row],[PCC]] &amp; " " &amp; ICE[[#This Row],[Rolling]] &amp; "-IEU", "Ask")</f>
        <v/>
      </c>
      <c r="I1886" s="672" t="str">
        <f>RTD("esrtd",,ICE[[#This Row],[PCC]] &amp; " " &amp; ICE[[#This Row],[Rolling]] &amp; "-IEU", "Last")</f>
        <v/>
      </c>
      <c r="J1886" s="674" t="str">
        <f>RTD("esrtd",,ICE[[#This Row],[PCC]] &amp; " " &amp; ICE[[#This Row],[Rolling]] &amp; "-IEU", "Last Trade Time")</f>
        <v/>
      </c>
      <c r="K1886" s="672" t="str">
        <f>RTD("esrtd",,ICE[[#This Row],[PCC]] &amp; " " &amp; ICE[[#This Row],[Rolling]] &amp; "-IEU", "Block Price")</f>
        <v/>
      </c>
      <c r="L1886" s="673"/>
      <c r="M1886" s="674" t="str">
        <f>RTD("esrtd",,ICE[[#This Row],[PCC]] &amp; " " &amp; ICE[[#This Row],[Rolling]] &amp; "-IEU", "Block Price DT")</f>
        <v/>
      </c>
      <c r="N1886" s="673" t="str">
        <f>RTD("esrtd",,ICE[[#This Row],[PCC]] &amp; " " &amp; ICE[[#This Row],[Rolling]] &amp; "-IEU", "Volume")</f>
        <v/>
      </c>
      <c r="O1886" s="673" t="str">
        <f>RTD("esrtd",,ICE[[#This Row],[PCC]] &amp; " " &amp; ICE[[#This Row],[Rolling]] &amp; "-IEU", "Block Volume")</f>
        <v/>
      </c>
      <c r="P188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6" s="674" t="str">
        <f>IF(ICE[[#This Row],[LastType]] = "Scrn", ICE[[#This Row],[LstDate]], IF(ICE[[#This Row],[LastType]] = "Blk", ICE[[#This Row],[LstBlkTime]], ""))</f>
        <v/>
      </c>
      <c r="R1886" s="675" t="str">
        <f>IF(ICE[[#This Row],[LastType]] = "Scrn", ICE[[#This Row],[LstPrc]], IF(ICE[[#This Row],[LastType]] = "Blk", ICE[[#This Row],[LstBlkPrc]], ""))</f>
        <v/>
      </c>
      <c r="S1886" s="673" t="e">
        <f>ICE[[#This Row],[Vol]]+ICE[[#This Row],[BlkVol]]</f>
        <v>#VALUE!</v>
      </c>
      <c r="T1886" s="673" t="str">
        <f>RTD("esrtd",,ICE[[#This Row],[PCC]] &amp; " " &amp; ICE[[#This Row],[Rolling]] &amp; "-IEU", "Open Interest")</f>
        <v/>
      </c>
      <c r="U1886" s="672" t="str">
        <f>RTD("esrtd",,ICE[[#This Row],[PCC]] &amp; " " &amp; ICE[[#This Row],[Rolling]] &amp; "-IEU", "Recent Settlement")</f>
        <v/>
      </c>
      <c r="V188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6" s="672" t="str">
        <f>RTD("esrtd",,ICE[[#This Row],[PCC]] &amp; " " &amp; ICE[[#This Row],[Rolling]] &amp; "-IEU", "ICE Theoretical Price")</f>
        <v/>
      </c>
      <c r="X1886" s="673" t="s">
        <v>894</v>
      </c>
    </row>
    <row r="1887" spans="1:24" x14ac:dyDescent="0.25">
      <c r="A1887" s="669" t="s">
        <v>449</v>
      </c>
      <c r="B1887" s="669" t="s">
        <v>928</v>
      </c>
      <c r="C1887" s="670">
        <v>3045330435</v>
      </c>
      <c r="D1887" s="671" t="s">
        <v>794</v>
      </c>
      <c r="E1887" s="670" t="str">
        <f>RTD("esrtd",,ICE[[#This Row],[PCC]] &amp; " " &amp; ICE[[#This Row],[Rolling]] &amp; "-IEU", "Strip")</f>
        <v/>
      </c>
      <c r="F1887" s="670" t="str">
        <f>ICE[[#This Row],[Prod]]&amp;ICE[[#This Row],[Strip]]</f>
        <v>tc5</v>
      </c>
      <c r="G1887" s="672" t="str">
        <f>RTD("esrtd",,ICE[[#This Row],[PCC]] &amp; " " &amp; ICE[[#This Row],[Rolling]] &amp; "-IEU", "Bid")</f>
        <v/>
      </c>
      <c r="H1887" s="672" t="str">
        <f>RTD("esrtd",,ICE[[#This Row],[PCC]] &amp; " " &amp; ICE[[#This Row],[Rolling]] &amp; "-IEU", "Ask")</f>
        <v/>
      </c>
      <c r="I1887" s="672" t="str">
        <f>RTD("esrtd",,ICE[[#This Row],[PCC]] &amp; " " &amp; ICE[[#This Row],[Rolling]] &amp; "-IEU", "Last")</f>
        <v/>
      </c>
      <c r="J1887" s="674" t="str">
        <f>RTD("esrtd",,ICE[[#This Row],[PCC]] &amp; " " &amp; ICE[[#This Row],[Rolling]] &amp; "-IEU", "Last Trade Time")</f>
        <v/>
      </c>
      <c r="K1887" s="672" t="str">
        <f>RTD("esrtd",,ICE[[#This Row],[PCC]] &amp; " " &amp; ICE[[#This Row],[Rolling]] &amp; "-IEU", "Block Price")</f>
        <v/>
      </c>
      <c r="L1887" s="673"/>
      <c r="M1887" s="674" t="str">
        <f>RTD("esrtd",,ICE[[#This Row],[PCC]] &amp; " " &amp; ICE[[#This Row],[Rolling]] &amp; "-IEU", "Block Price DT")</f>
        <v/>
      </c>
      <c r="N1887" s="673" t="str">
        <f>RTD("esrtd",,ICE[[#This Row],[PCC]] &amp; " " &amp; ICE[[#This Row],[Rolling]] &amp; "-IEU", "Volume")</f>
        <v/>
      </c>
      <c r="O1887" s="673" t="str">
        <f>RTD("esrtd",,ICE[[#This Row],[PCC]] &amp; " " &amp; ICE[[#This Row],[Rolling]] &amp; "-IEU", "Block Volume")</f>
        <v/>
      </c>
      <c r="P188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7" s="674" t="str">
        <f>IF(ICE[[#This Row],[LastType]] = "Scrn", ICE[[#This Row],[LstDate]], IF(ICE[[#This Row],[LastType]] = "Blk", ICE[[#This Row],[LstBlkTime]], ""))</f>
        <v/>
      </c>
      <c r="R1887" s="675" t="str">
        <f>IF(ICE[[#This Row],[LastType]] = "Scrn", ICE[[#This Row],[LstPrc]], IF(ICE[[#This Row],[LastType]] = "Blk", ICE[[#This Row],[LstBlkPrc]], ""))</f>
        <v/>
      </c>
      <c r="S1887" s="673" t="e">
        <f>ICE[[#This Row],[Vol]]+ICE[[#This Row],[BlkVol]]</f>
        <v>#VALUE!</v>
      </c>
      <c r="T1887" s="673" t="str">
        <f>RTD("esrtd",,ICE[[#This Row],[PCC]] &amp; " " &amp; ICE[[#This Row],[Rolling]] &amp; "-IEU", "Open Interest")</f>
        <v/>
      </c>
      <c r="U1887" s="672" t="str">
        <f>RTD("esrtd",,ICE[[#This Row],[PCC]] &amp; " " &amp; ICE[[#This Row],[Rolling]] &amp; "-IEU", "Recent Settlement")</f>
        <v/>
      </c>
      <c r="V188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7" s="672" t="str">
        <f>RTD("esrtd",,ICE[[#This Row],[PCC]] &amp; " " &amp; ICE[[#This Row],[Rolling]] &amp; "-IEU", "ICE Theoretical Price")</f>
        <v/>
      </c>
      <c r="X1887" s="673" t="s">
        <v>895</v>
      </c>
    </row>
    <row r="1888" spans="1:24" x14ac:dyDescent="0.25">
      <c r="A1888" s="669" t="s">
        <v>449</v>
      </c>
      <c r="B1888" s="669" t="s">
        <v>928</v>
      </c>
      <c r="C1888" s="670">
        <v>3045330435</v>
      </c>
      <c r="D1888" s="671" t="s">
        <v>795</v>
      </c>
      <c r="E1888" s="670" t="str">
        <f>RTD("esrtd",,ICE[[#This Row],[PCC]] &amp; " " &amp; ICE[[#This Row],[Rolling]] &amp; "-IEU", "Strip")</f>
        <v/>
      </c>
      <c r="F1888" s="670" t="str">
        <f>ICE[[#This Row],[Prod]]&amp;ICE[[#This Row],[Strip]]</f>
        <v>tc5</v>
      </c>
      <c r="G1888" s="672" t="str">
        <f>RTD("esrtd",,ICE[[#This Row],[PCC]] &amp; " " &amp; ICE[[#This Row],[Rolling]] &amp; "-IEU", "Bid")</f>
        <v/>
      </c>
      <c r="H1888" s="672" t="str">
        <f>RTD("esrtd",,ICE[[#This Row],[PCC]] &amp; " " &amp; ICE[[#This Row],[Rolling]] &amp; "-IEU", "Ask")</f>
        <v/>
      </c>
      <c r="I1888" s="672" t="str">
        <f>RTD("esrtd",,ICE[[#This Row],[PCC]] &amp; " " &amp; ICE[[#This Row],[Rolling]] &amp; "-IEU", "Last")</f>
        <v/>
      </c>
      <c r="J1888" s="674" t="str">
        <f>RTD("esrtd",,ICE[[#This Row],[PCC]] &amp; " " &amp; ICE[[#This Row],[Rolling]] &amp; "-IEU", "Last Trade Time")</f>
        <v/>
      </c>
      <c r="K1888" s="672" t="str">
        <f>RTD("esrtd",,ICE[[#This Row],[PCC]] &amp; " " &amp; ICE[[#This Row],[Rolling]] &amp; "-IEU", "Block Price")</f>
        <v/>
      </c>
      <c r="L1888" s="673"/>
      <c r="M1888" s="674" t="str">
        <f>RTD("esrtd",,ICE[[#This Row],[PCC]] &amp; " " &amp; ICE[[#This Row],[Rolling]] &amp; "-IEU", "Block Price DT")</f>
        <v/>
      </c>
      <c r="N1888" s="673" t="str">
        <f>RTD("esrtd",,ICE[[#This Row],[PCC]] &amp; " " &amp; ICE[[#This Row],[Rolling]] &amp; "-IEU", "Volume")</f>
        <v/>
      </c>
      <c r="O1888" s="673" t="str">
        <f>RTD("esrtd",,ICE[[#This Row],[PCC]] &amp; " " &amp; ICE[[#This Row],[Rolling]] &amp; "-IEU", "Block Volume")</f>
        <v/>
      </c>
      <c r="P188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8" s="674" t="str">
        <f>IF(ICE[[#This Row],[LastType]] = "Scrn", ICE[[#This Row],[LstDate]], IF(ICE[[#This Row],[LastType]] = "Blk", ICE[[#This Row],[LstBlkTime]], ""))</f>
        <v/>
      </c>
      <c r="R1888" s="675" t="str">
        <f>IF(ICE[[#This Row],[LastType]] = "Scrn", ICE[[#This Row],[LstPrc]], IF(ICE[[#This Row],[LastType]] = "Blk", ICE[[#This Row],[LstBlkPrc]], ""))</f>
        <v/>
      </c>
      <c r="S1888" s="673" t="e">
        <f>ICE[[#This Row],[Vol]]+ICE[[#This Row],[BlkVol]]</f>
        <v>#VALUE!</v>
      </c>
      <c r="T1888" s="673" t="str">
        <f>RTD("esrtd",,ICE[[#This Row],[PCC]] &amp; " " &amp; ICE[[#This Row],[Rolling]] &amp; "-IEU", "Open Interest")</f>
        <v/>
      </c>
      <c r="U1888" s="672" t="str">
        <f>RTD("esrtd",,ICE[[#This Row],[PCC]] &amp; " " &amp; ICE[[#This Row],[Rolling]] &amp; "-IEU", "Recent Settlement")</f>
        <v/>
      </c>
      <c r="V188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8" s="672" t="str">
        <f>RTD("esrtd",,ICE[[#This Row],[PCC]] &amp; " " &amp; ICE[[#This Row],[Rolling]] &amp; "-IEU", "ICE Theoretical Price")</f>
        <v/>
      </c>
      <c r="X1888" s="673" t="s">
        <v>896</v>
      </c>
    </row>
    <row r="1889" spans="1:24" x14ac:dyDescent="0.25">
      <c r="A1889" s="669" t="s">
        <v>449</v>
      </c>
      <c r="B1889" s="669" t="s">
        <v>928</v>
      </c>
      <c r="C1889" s="670">
        <v>3045330435</v>
      </c>
      <c r="D1889" s="671" t="s">
        <v>113</v>
      </c>
      <c r="E1889" s="670" t="str">
        <f>RTD("esrtd",,ICE[[#This Row],[PCC]] &amp; " " &amp; ICE[[#This Row],[Rolling]] &amp; "-IEU", "Strip")</f>
        <v/>
      </c>
      <c r="F1889" s="670" t="str">
        <f>ICE[[#This Row],[Prod]]&amp;ICE[[#This Row],[Strip]]</f>
        <v>tc5</v>
      </c>
      <c r="G1889" s="672" t="str">
        <f>RTD("esrtd",,ICE[[#This Row],[PCC]] &amp; " " &amp; ICE[[#This Row],[Rolling]] &amp; "-IEU", "Bid")</f>
        <v/>
      </c>
      <c r="H1889" s="672" t="str">
        <f>RTD("esrtd",,ICE[[#This Row],[PCC]] &amp; " " &amp; ICE[[#This Row],[Rolling]] &amp; "-IEU", "Ask")</f>
        <v/>
      </c>
      <c r="I1889" s="672" t="str">
        <f>RTD("esrtd",,ICE[[#This Row],[PCC]] &amp; " " &amp; ICE[[#This Row],[Rolling]] &amp; "-IEU", "Last")</f>
        <v/>
      </c>
      <c r="J1889" s="674" t="str">
        <f>RTD("esrtd",,ICE[[#This Row],[PCC]] &amp; " " &amp; ICE[[#This Row],[Rolling]] &amp; "-IEU", "Last Trade Time")</f>
        <v/>
      </c>
      <c r="K1889" s="672" t="str">
        <f>RTD("esrtd",,ICE[[#This Row],[PCC]] &amp; " " &amp; ICE[[#This Row],[Rolling]] &amp; "-IEU", "Block Price")</f>
        <v/>
      </c>
      <c r="L1889" s="673"/>
      <c r="M1889" s="674" t="str">
        <f>RTD("esrtd",,ICE[[#This Row],[PCC]] &amp; " " &amp; ICE[[#This Row],[Rolling]] &amp; "-IEU", "Block Price DT")</f>
        <v/>
      </c>
      <c r="N1889" s="673" t="str">
        <f>RTD("esrtd",,ICE[[#This Row],[PCC]] &amp; " " &amp; ICE[[#This Row],[Rolling]] &amp; "-IEU", "Volume")</f>
        <v/>
      </c>
      <c r="O1889" s="673" t="str">
        <f>RTD("esrtd",,ICE[[#This Row],[PCC]] &amp; " " &amp; ICE[[#This Row],[Rolling]] &amp; "-IEU", "Block Volume")</f>
        <v/>
      </c>
      <c r="P188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89" s="674" t="str">
        <f>IF(ICE[[#This Row],[LastType]] = "Scrn", ICE[[#This Row],[LstDate]], IF(ICE[[#This Row],[LastType]] = "Blk", ICE[[#This Row],[LstBlkTime]], ""))</f>
        <v/>
      </c>
      <c r="R1889" s="675" t="str">
        <f>IF(ICE[[#This Row],[LastType]] = "Scrn", ICE[[#This Row],[LstPrc]], IF(ICE[[#This Row],[LastType]] = "Blk", ICE[[#This Row],[LstBlkPrc]], ""))</f>
        <v/>
      </c>
      <c r="S1889" s="673" t="e">
        <f>ICE[[#This Row],[Vol]]+ICE[[#This Row],[BlkVol]]</f>
        <v>#VALUE!</v>
      </c>
      <c r="T1889" s="673" t="str">
        <f>RTD("esrtd",,ICE[[#This Row],[PCC]] &amp; " " &amp; ICE[[#This Row],[Rolling]] &amp; "-IEU", "Open Interest")</f>
        <v/>
      </c>
      <c r="U1889" s="672" t="str">
        <f>RTD("esrtd",,ICE[[#This Row],[PCC]] &amp; " " &amp; ICE[[#This Row],[Rolling]] &amp; "-IEU", "Recent Settlement")</f>
        <v/>
      </c>
      <c r="V188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89" s="672" t="str">
        <f>RTD("esrtd",,ICE[[#This Row],[PCC]] &amp; " " &amp; ICE[[#This Row],[Rolling]] &amp; "-IEU", "ICE Theoretical Price")</f>
        <v/>
      </c>
      <c r="X1889" s="673" t="s">
        <v>897</v>
      </c>
    </row>
    <row r="1890" spans="1:24" x14ac:dyDescent="0.25">
      <c r="A1890" s="669" t="s">
        <v>449</v>
      </c>
      <c r="B1890" s="669" t="s">
        <v>928</v>
      </c>
      <c r="C1890" s="670">
        <v>3045330435</v>
      </c>
      <c r="D1890" s="671" t="s">
        <v>796</v>
      </c>
      <c r="E1890" s="670" t="str">
        <f>RTD("esrtd",,ICE[[#This Row],[PCC]] &amp; " " &amp; ICE[[#This Row],[Rolling]] &amp; "-IEU", "Strip")</f>
        <v/>
      </c>
      <c r="F1890" s="670" t="str">
        <f>ICE[[#This Row],[Prod]]&amp;ICE[[#This Row],[Strip]]</f>
        <v>tc5</v>
      </c>
      <c r="G1890" s="672" t="str">
        <f>RTD("esrtd",,ICE[[#This Row],[PCC]] &amp; " " &amp; ICE[[#This Row],[Rolling]] &amp; "-IEU", "Bid")</f>
        <v/>
      </c>
      <c r="H1890" s="672" t="str">
        <f>RTD("esrtd",,ICE[[#This Row],[PCC]] &amp; " " &amp; ICE[[#This Row],[Rolling]] &amp; "-IEU", "Ask")</f>
        <v/>
      </c>
      <c r="I1890" s="672" t="str">
        <f>RTD("esrtd",,ICE[[#This Row],[PCC]] &amp; " " &amp; ICE[[#This Row],[Rolling]] &amp; "-IEU", "Last")</f>
        <v/>
      </c>
      <c r="J1890" s="674" t="str">
        <f>RTD("esrtd",,ICE[[#This Row],[PCC]] &amp; " " &amp; ICE[[#This Row],[Rolling]] &amp; "-IEU", "Last Trade Time")</f>
        <v/>
      </c>
      <c r="K1890" s="672" t="str">
        <f>RTD("esrtd",,ICE[[#This Row],[PCC]] &amp; " " &amp; ICE[[#This Row],[Rolling]] &amp; "-IEU", "Block Price")</f>
        <v/>
      </c>
      <c r="L1890" s="673"/>
      <c r="M1890" s="674" t="str">
        <f>RTD("esrtd",,ICE[[#This Row],[PCC]] &amp; " " &amp; ICE[[#This Row],[Rolling]] &amp; "-IEU", "Block Price DT")</f>
        <v/>
      </c>
      <c r="N1890" s="673" t="str">
        <f>RTD("esrtd",,ICE[[#This Row],[PCC]] &amp; " " &amp; ICE[[#This Row],[Rolling]] &amp; "-IEU", "Volume")</f>
        <v/>
      </c>
      <c r="O1890" s="673" t="str">
        <f>RTD("esrtd",,ICE[[#This Row],[PCC]] &amp; " " &amp; ICE[[#This Row],[Rolling]] &amp; "-IEU", "Block Volume")</f>
        <v/>
      </c>
      <c r="P189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0" s="674" t="str">
        <f>IF(ICE[[#This Row],[LastType]] = "Scrn", ICE[[#This Row],[LstDate]], IF(ICE[[#This Row],[LastType]] = "Blk", ICE[[#This Row],[LstBlkTime]], ""))</f>
        <v/>
      </c>
      <c r="R1890" s="675" t="str">
        <f>IF(ICE[[#This Row],[LastType]] = "Scrn", ICE[[#This Row],[LstPrc]], IF(ICE[[#This Row],[LastType]] = "Blk", ICE[[#This Row],[LstBlkPrc]], ""))</f>
        <v/>
      </c>
      <c r="S1890" s="673" t="e">
        <f>ICE[[#This Row],[Vol]]+ICE[[#This Row],[BlkVol]]</f>
        <v>#VALUE!</v>
      </c>
      <c r="T1890" s="673" t="str">
        <f>RTD("esrtd",,ICE[[#This Row],[PCC]] &amp; " " &amp; ICE[[#This Row],[Rolling]] &amp; "-IEU", "Open Interest")</f>
        <v/>
      </c>
      <c r="U1890" s="672" t="str">
        <f>RTD("esrtd",,ICE[[#This Row],[PCC]] &amp; " " &amp; ICE[[#This Row],[Rolling]] &amp; "-IEU", "Recent Settlement")</f>
        <v/>
      </c>
      <c r="V189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0" s="672" t="str">
        <f>RTD("esrtd",,ICE[[#This Row],[PCC]] &amp; " " &amp; ICE[[#This Row],[Rolling]] &amp; "-IEU", "ICE Theoretical Price")</f>
        <v/>
      </c>
      <c r="X1890" s="673" t="s">
        <v>898</v>
      </c>
    </row>
    <row r="1891" spans="1:24" x14ac:dyDescent="0.25">
      <c r="A1891" s="669" t="s">
        <v>449</v>
      </c>
      <c r="B1891" s="669" t="s">
        <v>928</v>
      </c>
      <c r="C1891" s="670">
        <v>3045330435</v>
      </c>
      <c r="D1891" s="671" t="s">
        <v>797</v>
      </c>
      <c r="E1891" s="670" t="str">
        <f>RTD("esrtd",,ICE[[#This Row],[PCC]] &amp; " " &amp; ICE[[#This Row],[Rolling]] &amp; "-IEU", "Strip")</f>
        <v/>
      </c>
      <c r="F1891" s="670" t="str">
        <f>ICE[[#This Row],[Prod]]&amp;ICE[[#This Row],[Strip]]</f>
        <v>tc5</v>
      </c>
      <c r="G1891" s="672" t="str">
        <f>RTD("esrtd",,ICE[[#This Row],[PCC]] &amp; " " &amp; ICE[[#This Row],[Rolling]] &amp; "-IEU", "Bid")</f>
        <v/>
      </c>
      <c r="H1891" s="672" t="str">
        <f>RTD("esrtd",,ICE[[#This Row],[PCC]] &amp; " " &amp; ICE[[#This Row],[Rolling]] &amp; "-IEU", "Ask")</f>
        <v/>
      </c>
      <c r="I1891" s="672" t="str">
        <f>RTD("esrtd",,ICE[[#This Row],[PCC]] &amp; " " &amp; ICE[[#This Row],[Rolling]] &amp; "-IEU", "Last")</f>
        <v/>
      </c>
      <c r="J1891" s="674" t="str">
        <f>RTD("esrtd",,ICE[[#This Row],[PCC]] &amp; " " &amp; ICE[[#This Row],[Rolling]] &amp; "-IEU", "Last Trade Time")</f>
        <v/>
      </c>
      <c r="K1891" s="672" t="str">
        <f>RTD("esrtd",,ICE[[#This Row],[PCC]] &amp; " " &amp; ICE[[#This Row],[Rolling]] &amp; "-IEU", "Block Price")</f>
        <v/>
      </c>
      <c r="L1891" s="673"/>
      <c r="M1891" s="674" t="str">
        <f>RTD("esrtd",,ICE[[#This Row],[PCC]] &amp; " " &amp; ICE[[#This Row],[Rolling]] &amp; "-IEU", "Block Price DT")</f>
        <v/>
      </c>
      <c r="N1891" s="673" t="str">
        <f>RTD("esrtd",,ICE[[#This Row],[PCC]] &amp; " " &amp; ICE[[#This Row],[Rolling]] &amp; "-IEU", "Volume")</f>
        <v/>
      </c>
      <c r="O1891" s="673" t="str">
        <f>RTD("esrtd",,ICE[[#This Row],[PCC]] &amp; " " &amp; ICE[[#This Row],[Rolling]] &amp; "-IEU", "Block Volume")</f>
        <v/>
      </c>
      <c r="P189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1" s="674" t="str">
        <f>IF(ICE[[#This Row],[LastType]] = "Scrn", ICE[[#This Row],[LstDate]], IF(ICE[[#This Row],[LastType]] = "Blk", ICE[[#This Row],[LstBlkTime]], ""))</f>
        <v/>
      </c>
      <c r="R1891" s="675" t="str">
        <f>IF(ICE[[#This Row],[LastType]] = "Scrn", ICE[[#This Row],[LstPrc]], IF(ICE[[#This Row],[LastType]] = "Blk", ICE[[#This Row],[LstBlkPrc]], ""))</f>
        <v/>
      </c>
      <c r="S1891" s="673" t="e">
        <f>ICE[[#This Row],[Vol]]+ICE[[#This Row],[BlkVol]]</f>
        <v>#VALUE!</v>
      </c>
      <c r="T1891" s="673" t="str">
        <f>RTD("esrtd",,ICE[[#This Row],[PCC]] &amp; " " &amp; ICE[[#This Row],[Rolling]] &amp; "-IEU", "Open Interest")</f>
        <v/>
      </c>
      <c r="U1891" s="672" t="str">
        <f>RTD("esrtd",,ICE[[#This Row],[PCC]] &amp; " " &amp; ICE[[#This Row],[Rolling]] &amp; "-IEU", "Recent Settlement")</f>
        <v/>
      </c>
      <c r="V189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1" s="672" t="str">
        <f>RTD("esrtd",,ICE[[#This Row],[PCC]] &amp; " " &amp; ICE[[#This Row],[Rolling]] &amp; "-IEU", "ICE Theoretical Price")</f>
        <v/>
      </c>
      <c r="X1891" s="673" t="s">
        <v>899</v>
      </c>
    </row>
    <row r="1892" spans="1:24" x14ac:dyDescent="0.25">
      <c r="A1892" s="669" t="s">
        <v>449</v>
      </c>
      <c r="B1892" s="669" t="s">
        <v>928</v>
      </c>
      <c r="C1892" s="670">
        <v>3045330435</v>
      </c>
      <c r="D1892" s="671" t="s">
        <v>798</v>
      </c>
      <c r="E1892" s="670" t="str">
        <f>RTD("esrtd",,ICE[[#This Row],[PCC]] &amp; " " &amp; ICE[[#This Row],[Rolling]] &amp; "-IEU", "Strip")</f>
        <v/>
      </c>
      <c r="F1892" s="670" t="str">
        <f>ICE[[#This Row],[Prod]]&amp;ICE[[#This Row],[Strip]]</f>
        <v>tc5</v>
      </c>
      <c r="G1892" s="672" t="str">
        <f>RTD("esrtd",,ICE[[#This Row],[PCC]] &amp; " " &amp; ICE[[#This Row],[Rolling]] &amp; "-IEU", "Bid")</f>
        <v/>
      </c>
      <c r="H1892" s="672" t="str">
        <f>RTD("esrtd",,ICE[[#This Row],[PCC]] &amp; " " &amp; ICE[[#This Row],[Rolling]] &amp; "-IEU", "Ask")</f>
        <v/>
      </c>
      <c r="I1892" s="672" t="str">
        <f>RTD("esrtd",,ICE[[#This Row],[PCC]] &amp; " " &amp; ICE[[#This Row],[Rolling]] &amp; "-IEU", "Last")</f>
        <v/>
      </c>
      <c r="J1892" s="674" t="str">
        <f>RTD("esrtd",,ICE[[#This Row],[PCC]] &amp; " " &amp; ICE[[#This Row],[Rolling]] &amp; "-IEU", "Last Trade Time")</f>
        <v/>
      </c>
      <c r="K1892" s="672" t="str">
        <f>RTD("esrtd",,ICE[[#This Row],[PCC]] &amp; " " &amp; ICE[[#This Row],[Rolling]] &amp; "-IEU", "Block Price")</f>
        <v/>
      </c>
      <c r="L1892" s="673"/>
      <c r="M1892" s="674" t="str">
        <f>RTD("esrtd",,ICE[[#This Row],[PCC]] &amp; " " &amp; ICE[[#This Row],[Rolling]] &amp; "-IEU", "Block Price DT")</f>
        <v/>
      </c>
      <c r="N1892" s="673" t="str">
        <f>RTD("esrtd",,ICE[[#This Row],[PCC]] &amp; " " &amp; ICE[[#This Row],[Rolling]] &amp; "-IEU", "Volume")</f>
        <v/>
      </c>
      <c r="O1892" s="673" t="str">
        <f>RTD("esrtd",,ICE[[#This Row],[PCC]] &amp; " " &amp; ICE[[#This Row],[Rolling]] &amp; "-IEU", "Block Volume")</f>
        <v/>
      </c>
      <c r="P189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2" s="674" t="str">
        <f>IF(ICE[[#This Row],[LastType]] = "Scrn", ICE[[#This Row],[LstDate]], IF(ICE[[#This Row],[LastType]] = "Blk", ICE[[#This Row],[LstBlkTime]], ""))</f>
        <v/>
      </c>
      <c r="R1892" s="675" t="str">
        <f>IF(ICE[[#This Row],[LastType]] = "Scrn", ICE[[#This Row],[LstPrc]], IF(ICE[[#This Row],[LastType]] = "Blk", ICE[[#This Row],[LstBlkPrc]], ""))</f>
        <v/>
      </c>
      <c r="S1892" s="673" t="e">
        <f>ICE[[#This Row],[Vol]]+ICE[[#This Row],[BlkVol]]</f>
        <v>#VALUE!</v>
      </c>
      <c r="T1892" s="673" t="str">
        <f>RTD("esrtd",,ICE[[#This Row],[PCC]] &amp; " " &amp; ICE[[#This Row],[Rolling]] &amp; "-IEU", "Open Interest")</f>
        <v/>
      </c>
      <c r="U1892" s="672" t="str">
        <f>RTD("esrtd",,ICE[[#This Row],[PCC]] &amp; " " &amp; ICE[[#This Row],[Rolling]] &amp; "-IEU", "Recent Settlement")</f>
        <v/>
      </c>
      <c r="V189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2" s="672" t="str">
        <f>RTD("esrtd",,ICE[[#This Row],[PCC]] &amp; " " &amp; ICE[[#This Row],[Rolling]] &amp; "-IEU", "ICE Theoretical Price")</f>
        <v/>
      </c>
      <c r="X1892" s="673" t="s">
        <v>900</v>
      </c>
    </row>
    <row r="1893" spans="1:24" x14ac:dyDescent="0.25">
      <c r="A1893" s="669" t="s">
        <v>449</v>
      </c>
      <c r="B1893" s="669" t="s">
        <v>928</v>
      </c>
      <c r="C1893" s="670">
        <v>3045330435</v>
      </c>
      <c r="D1893" s="671" t="s">
        <v>799</v>
      </c>
      <c r="E1893" s="670" t="str">
        <f>RTD("esrtd",,ICE[[#This Row],[PCC]] &amp; " " &amp; ICE[[#This Row],[Rolling]] &amp; "-IEU", "Strip")</f>
        <v/>
      </c>
      <c r="F1893" s="670" t="str">
        <f>ICE[[#This Row],[Prod]]&amp;ICE[[#This Row],[Strip]]</f>
        <v>tc5</v>
      </c>
      <c r="G1893" s="672" t="str">
        <f>RTD("esrtd",,ICE[[#This Row],[PCC]] &amp; " " &amp; ICE[[#This Row],[Rolling]] &amp; "-IEU", "Bid")</f>
        <v/>
      </c>
      <c r="H1893" s="672" t="str">
        <f>RTD("esrtd",,ICE[[#This Row],[PCC]] &amp; " " &amp; ICE[[#This Row],[Rolling]] &amp; "-IEU", "Ask")</f>
        <v/>
      </c>
      <c r="I1893" s="672" t="str">
        <f>RTD("esrtd",,ICE[[#This Row],[PCC]] &amp; " " &amp; ICE[[#This Row],[Rolling]] &amp; "-IEU", "Last")</f>
        <v/>
      </c>
      <c r="J1893" s="674" t="str">
        <f>RTD("esrtd",,ICE[[#This Row],[PCC]] &amp; " " &amp; ICE[[#This Row],[Rolling]] &amp; "-IEU", "Last Trade Time")</f>
        <v/>
      </c>
      <c r="K1893" s="672" t="str">
        <f>RTD("esrtd",,ICE[[#This Row],[PCC]] &amp; " " &amp; ICE[[#This Row],[Rolling]] &amp; "-IEU", "Block Price")</f>
        <v/>
      </c>
      <c r="L1893" s="673"/>
      <c r="M1893" s="674" t="str">
        <f>RTD("esrtd",,ICE[[#This Row],[PCC]] &amp; " " &amp; ICE[[#This Row],[Rolling]] &amp; "-IEU", "Block Price DT")</f>
        <v/>
      </c>
      <c r="N1893" s="673" t="str">
        <f>RTD("esrtd",,ICE[[#This Row],[PCC]] &amp; " " &amp; ICE[[#This Row],[Rolling]] &amp; "-IEU", "Volume")</f>
        <v/>
      </c>
      <c r="O1893" s="673" t="str">
        <f>RTD("esrtd",,ICE[[#This Row],[PCC]] &amp; " " &amp; ICE[[#This Row],[Rolling]] &amp; "-IEU", "Block Volume")</f>
        <v/>
      </c>
      <c r="P189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3" s="674" t="str">
        <f>IF(ICE[[#This Row],[LastType]] = "Scrn", ICE[[#This Row],[LstDate]], IF(ICE[[#This Row],[LastType]] = "Blk", ICE[[#This Row],[LstBlkTime]], ""))</f>
        <v/>
      </c>
      <c r="R1893" s="675" t="str">
        <f>IF(ICE[[#This Row],[LastType]] = "Scrn", ICE[[#This Row],[LstPrc]], IF(ICE[[#This Row],[LastType]] = "Blk", ICE[[#This Row],[LstBlkPrc]], ""))</f>
        <v/>
      </c>
      <c r="S1893" s="673" t="e">
        <f>ICE[[#This Row],[Vol]]+ICE[[#This Row],[BlkVol]]</f>
        <v>#VALUE!</v>
      </c>
      <c r="T1893" s="673" t="str">
        <f>RTD("esrtd",,ICE[[#This Row],[PCC]] &amp; " " &amp; ICE[[#This Row],[Rolling]] &amp; "-IEU", "Open Interest")</f>
        <v/>
      </c>
      <c r="U1893" s="672" t="str">
        <f>RTD("esrtd",,ICE[[#This Row],[PCC]] &amp; " " &amp; ICE[[#This Row],[Rolling]] &amp; "-IEU", "Recent Settlement")</f>
        <v/>
      </c>
      <c r="V189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3" s="672" t="str">
        <f>RTD("esrtd",,ICE[[#This Row],[PCC]] &amp; " " &amp; ICE[[#This Row],[Rolling]] &amp; "-IEU", "ICE Theoretical Price")</f>
        <v/>
      </c>
      <c r="X1893" s="673" t="s">
        <v>901</v>
      </c>
    </row>
    <row r="1894" spans="1:24" x14ac:dyDescent="0.25">
      <c r="A1894" s="669" t="s">
        <v>449</v>
      </c>
      <c r="B1894" s="669" t="s">
        <v>928</v>
      </c>
      <c r="C1894" s="670">
        <v>3045330435</v>
      </c>
      <c r="D1894" s="671" t="s">
        <v>800</v>
      </c>
      <c r="E1894" s="670" t="str">
        <f>RTD("esrtd",,ICE[[#This Row],[PCC]] &amp; " " &amp; ICE[[#This Row],[Rolling]] &amp; "-IEU", "Strip")</f>
        <v/>
      </c>
      <c r="F1894" s="670" t="str">
        <f>ICE[[#This Row],[Prod]]&amp;ICE[[#This Row],[Strip]]</f>
        <v>tc5</v>
      </c>
      <c r="G1894" s="672" t="str">
        <f>RTD("esrtd",,ICE[[#This Row],[PCC]] &amp; " " &amp; ICE[[#This Row],[Rolling]] &amp; "-IEU", "Bid")</f>
        <v/>
      </c>
      <c r="H1894" s="672" t="str">
        <f>RTD("esrtd",,ICE[[#This Row],[PCC]] &amp; " " &amp; ICE[[#This Row],[Rolling]] &amp; "-IEU", "Ask")</f>
        <v/>
      </c>
      <c r="I1894" s="672" t="str">
        <f>RTD("esrtd",,ICE[[#This Row],[PCC]] &amp; " " &amp; ICE[[#This Row],[Rolling]] &amp; "-IEU", "Last")</f>
        <v/>
      </c>
      <c r="J1894" s="674" t="str">
        <f>RTD("esrtd",,ICE[[#This Row],[PCC]] &amp; " " &amp; ICE[[#This Row],[Rolling]] &amp; "-IEU", "Last Trade Time")</f>
        <v/>
      </c>
      <c r="K1894" s="672" t="str">
        <f>RTD("esrtd",,ICE[[#This Row],[PCC]] &amp; " " &amp; ICE[[#This Row],[Rolling]] &amp; "-IEU", "Block Price")</f>
        <v/>
      </c>
      <c r="L1894" s="673"/>
      <c r="M1894" s="674" t="str">
        <f>RTD("esrtd",,ICE[[#This Row],[PCC]] &amp; " " &amp; ICE[[#This Row],[Rolling]] &amp; "-IEU", "Block Price DT")</f>
        <v/>
      </c>
      <c r="N1894" s="673" t="str">
        <f>RTD("esrtd",,ICE[[#This Row],[PCC]] &amp; " " &amp; ICE[[#This Row],[Rolling]] &amp; "-IEU", "Volume")</f>
        <v/>
      </c>
      <c r="O1894" s="673" t="str">
        <f>RTD("esrtd",,ICE[[#This Row],[PCC]] &amp; " " &amp; ICE[[#This Row],[Rolling]] &amp; "-IEU", "Block Volume")</f>
        <v/>
      </c>
      <c r="P189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4" s="674" t="str">
        <f>IF(ICE[[#This Row],[LastType]] = "Scrn", ICE[[#This Row],[LstDate]], IF(ICE[[#This Row],[LastType]] = "Blk", ICE[[#This Row],[LstBlkTime]], ""))</f>
        <v/>
      </c>
      <c r="R1894" s="675" t="str">
        <f>IF(ICE[[#This Row],[LastType]] = "Scrn", ICE[[#This Row],[LstPrc]], IF(ICE[[#This Row],[LastType]] = "Blk", ICE[[#This Row],[LstBlkPrc]], ""))</f>
        <v/>
      </c>
      <c r="S1894" s="673" t="e">
        <f>ICE[[#This Row],[Vol]]+ICE[[#This Row],[BlkVol]]</f>
        <v>#VALUE!</v>
      </c>
      <c r="T1894" s="673" t="str">
        <f>RTD("esrtd",,ICE[[#This Row],[PCC]] &amp; " " &amp; ICE[[#This Row],[Rolling]] &amp; "-IEU", "Open Interest")</f>
        <v/>
      </c>
      <c r="U1894" s="672" t="str">
        <f>RTD("esrtd",,ICE[[#This Row],[PCC]] &amp; " " &amp; ICE[[#This Row],[Rolling]] &amp; "-IEU", "Recent Settlement")</f>
        <v/>
      </c>
      <c r="V189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4" s="672" t="str">
        <f>RTD("esrtd",,ICE[[#This Row],[PCC]] &amp; " " &amp; ICE[[#This Row],[Rolling]] &amp; "-IEU", "ICE Theoretical Price")</f>
        <v/>
      </c>
      <c r="X1894" s="673" t="s">
        <v>902</v>
      </c>
    </row>
    <row r="1895" spans="1:24" x14ac:dyDescent="0.25">
      <c r="A1895" s="669" t="s">
        <v>449</v>
      </c>
      <c r="B1895" s="669" t="s">
        <v>928</v>
      </c>
      <c r="C1895" s="670">
        <v>3045330435</v>
      </c>
      <c r="D1895" s="671" t="s">
        <v>801</v>
      </c>
      <c r="E1895" s="670" t="str">
        <f>RTD("esrtd",,ICE[[#This Row],[PCC]] &amp; " " &amp; ICE[[#This Row],[Rolling]] &amp; "-IEU", "Strip")</f>
        <v/>
      </c>
      <c r="F1895" s="670" t="str">
        <f>ICE[[#This Row],[Prod]]&amp;ICE[[#This Row],[Strip]]</f>
        <v>tc5</v>
      </c>
      <c r="G1895" s="672" t="str">
        <f>RTD("esrtd",,ICE[[#This Row],[PCC]] &amp; " " &amp; ICE[[#This Row],[Rolling]] &amp; "-IEU", "Bid")</f>
        <v/>
      </c>
      <c r="H1895" s="672" t="str">
        <f>RTD("esrtd",,ICE[[#This Row],[PCC]] &amp; " " &amp; ICE[[#This Row],[Rolling]] &amp; "-IEU", "Ask")</f>
        <v/>
      </c>
      <c r="I1895" s="672" t="str">
        <f>RTD("esrtd",,ICE[[#This Row],[PCC]] &amp; " " &amp; ICE[[#This Row],[Rolling]] &amp; "-IEU", "Last")</f>
        <v/>
      </c>
      <c r="J1895" s="674" t="str">
        <f>RTD("esrtd",,ICE[[#This Row],[PCC]] &amp; " " &amp; ICE[[#This Row],[Rolling]] &amp; "-IEU", "Last Trade Time")</f>
        <v/>
      </c>
      <c r="K1895" s="672" t="str">
        <f>RTD("esrtd",,ICE[[#This Row],[PCC]] &amp; " " &amp; ICE[[#This Row],[Rolling]] &amp; "-IEU", "Block Price")</f>
        <v/>
      </c>
      <c r="L1895" s="673"/>
      <c r="M1895" s="674" t="str">
        <f>RTD("esrtd",,ICE[[#This Row],[PCC]] &amp; " " &amp; ICE[[#This Row],[Rolling]] &amp; "-IEU", "Block Price DT")</f>
        <v/>
      </c>
      <c r="N1895" s="673" t="str">
        <f>RTD("esrtd",,ICE[[#This Row],[PCC]] &amp; " " &amp; ICE[[#This Row],[Rolling]] &amp; "-IEU", "Volume")</f>
        <v/>
      </c>
      <c r="O1895" s="673" t="str">
        <f>RTD("esrtd",,ICE[[#This Row],[PCC]] &amp; " " &amp; ICE[[#This Row],[Rolling]] &amp; "-IEU", "Block Volume")</f>
        <v/>
      </c>
      <c r="P189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5" s="674" t="str">
        <f>IF(ICE[[#This Row],[LastType]] = "Scrn", ICE[[#This Row],[LstDate]], IF(ICE[[#This Row],[LastType]] = "Blk", ICE[[#This Row],[LstBlkTime]], ""))</f>
        <v/>
      </c>
      <c r="R1895" s="675" t="str">
        <f>IF(ICE[[#This Row],[LastType]] = "Scrn", ICE[[#This Row],[LstPrc]], IF(ICE[[#This Row],[LastType]] = "Blk", ICE[[#This Row],[LstBlkPrc]], ""))</f>
        <v/>
      </c>
      <c r="S1895" s="673" t="e">
        <f>ICE[[#This Row],[Vol]]+ICE[[#This Row],[BlkVol]]</f>
        <v>#VALUE!</v>
      </c>
      <c r="T1895" s="673" t="str">
        <f>RTD("esrtd",,ICE[[#This Row],[PCC]] &amp; " " &amp; ICE[[#This Row],[Rolling]] &amp; "-IEU", "Open Interest")</f>
        <v/>
      </c>
      <c r="U1895" s="672" t="str">
        <f>RTD("esrtd",,ICE[[#This Row],[PCC]] &amp; " " &amp; ICE[[#This Row],[Rolling]] &amp; "-IEU", "Recent Settlement")</f>
        <v/>
      </c>
      <c r="V189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5" s="672" t="str">
        <f>RTD("esrtd",,ICE[[#This Row],[PCC]] &amp; " " &amp; ICE[[#This Row],[Rolling]] &amp; "-IEU", "ICE Theoretical Price")</f>
        <v/>
      </c>
      <c r="X1895" s="673" t="s">
        <v>903</v>
      </c>
    </row>
    <row r="1896" spans="1:24" x14ac:dyDescent="0.25">
      <c r="A1896" s="669" t="s">
        <v>449</v>
      </c>
      <c r="B1896" s="669" t="s">
        <v>928</v>
      </c>
      <c r="C1896" s="670">
        <v>3045330435</v>
      </c>
      <c r="D1896" s="671" t="s">
        <v>802</v>
      </c>
      <c r="E1896" s="670" t="str">
        <f>RTD("esrtd",,ICE[[#This Row],[PCC]] &amp; " " &amp; ICE[[#This Row],[Rolling]] &amp; "-IEU", "Strip")</f>
        <v/>
      </c>
      <c r="F1896" s="670" t="str">
        <f>ICE[[#This Row],[Prod]]&amp;ICE[[#This Row],[Strip]]</f>
        <v>tc5</v>
      </c>
      <c r="G1896" s="672" t="str">
        <f>RTD("esrtd",,ICE[[#This Row],[PCC]] &amp; " " &amp; ICE[[#This Row],[Rolling]] &amp; "-IEU", "Bid")</f>
        <v/>
      </c>
      <c r="H1896" s="672" t="str">
        <f>RTD("esrtd",,ICE[[#This Row],[PCC]] &amp; " " &amp; ICE[[#This Row],[Rolling]] &amp; "-IEU", "Ask")</f>
        <v/>
      </c>
      <c r="I1896" s="672" t="str">
        <f>RTD("esrtd",,ICE[[#This Row],[PCC]] &amp; " " &amp; ICE[[#This Row],[Rolling]] &amp; "-IEU", "Last")</f>
        <v/>
      </c>
      <c r="J1896" s="674" t="str">
        <f>RTD("esrtd",,ICE[[#This Row],[PCC]] &amp; " " &amp; ICE[[#This Row],[Rolling]] &amp; "-IEU", "Last Trade Time")</f>
        <v/>
      </c>
      <c r="K1896" s="672" t="str">
        <f>RTD("esrtd",,ICE[[#This Row],[PCC]] &amp; " " &amp; ICE[[#This Row],[Rolling]] &amp; "-IEU", "Block Price")</f>
        <v/>
      </c>
      <c r="L1896" s="673"/>
      <c r="M1896" s="674" t="str">
        <f>RTD("esrtd",,ICE[[#This Row],[PCC]] &amp; " " &amp; ICE[[#This Row],[Rolling]] &amp; "-IEU", "Block Price DT")</f>
        <v/>
      </c>
      <c r="N1896" s="673" t="str">
        <f>RTD("esrtd",,ICE[[#This Row],[PCC]] &amp; " " &amp; ICE[[#This Row],[Rolling]] &amp; "-IEU", "Volume")</f>
        <v/>
      </c>
      <c r="O1896" s="673" t="str">
        <f>RTD("esrtd",,ICE[[#This Row],[PCC]] &amp; " " &amp; ICE[[#This Row],[Rolling]] &amp; "-IEU", "Block Volume")</f>
        <v/>
      </c>
      <c r="P189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6" s="674" t="str">
        <f>IF(ICE[[#This Row],[LastType]] = "Scrn", ICE[[#This Row],[LstDate]], IF(ICE[[#This Row],[LastType]] = "Blk", ICE[[#This Row],[LstBlkTime]], ""))</f>
        <v/>
      </c>
      <c r="R1896" s="675" t="str">
        <f>IF(ICE[[#This Row],[LastType]] = "Scrn", ICE[[#This Row],[LstPrc]], IF(ICE[[#This Row],[LastType]] = "Blk", ICE[[#This Row],[LstBlkPrc]], ""))</f>
        <v/>
      </c>
      <c r="S1896" s="673" t="e">
        <f>ICE[[#This Row],[Vol]]+ICE[[#This Row],[BlkVol]]</f>
        <v>#VALUE!</v>
      </c>
      <c r="T1896" s="673" t="str">
        <f>RTD("esrtd",,ICE[[#This Row],[PCC]] &amp; " " &amp; ICE[[#This Row],[Rolling]] &amp; "-IEU", "Open Interest")</f>
        <v/>
      </c>
      <c r="U1896" s="672" t="str">
        <f>RTD("esrtd",,ICE[[#This Row],[PCC]] &amp; " " &amp; ICE[[#This Row],[Rolling]] &amp; "-IEU", "Recent Settlement")</f>
        <v/>
      </c>
      <c r="V189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6" s="672" t="str">
        <f>RTD("esrtd",,ICE[[#This Row],[PCC]] &amp; " " &amp; ICE[[#This Row],[Rolling]] &amp; "-IEU", "ICE Theoretical Price")</f>
        <v/>
      </c>
      <c r="X1896" s="673" t="s">
        <v>904</v>
      </c>
    </row>
    <row r="1897" spans="1:24" x14ac:dyDescent="0.25">
      <c r="A1897" s="669" t="s">
        <v>449</v>
      </c>
      <c r="B1897" s="669" t="s">
        <v>928</v>
      </c>
      <c r="C1897" s="670">
        <v>3045330435</v>
      </c>
      <c r="D1897" s="671" t="s">
        <v>803</v>
      </c>
      <c r="E1897" s="670" t="str">
        <f>RTD("esrtd",,ICE[[#This Row],[PCC]] &amp; " " &amp; ICE[[#This Row],[Rolling]] &amp; "-IEU", "Strip")</f>
        <v/>
      </c>
      <c r="F1897" s="670" t="str">
        <f>ICE[[#This Row],[Prod]]&amp;ICE[[#This Row],[Strip]]</f>
        <v>tc5</v>
      </c>
      <c r="G1897" s="672" t="str">
        <f>RTD("esrtd",,ICE[[#This Row],[PCC]] &amp; " " &amp; ICE[[#This Row],[Rolling]] &amp; "-IEU", "Bid")</f>
        <v/>
      </c>
      <c r="H1897" s="672" t="str">
        <f>RTD("esrtd",,ICE[[#This Row],[PCC]] &amp; " " &amp; ICE[[#This Row],[Rolling]] &amp; "-IEU", "Ask")</f>
        <v/>
      </c>
      <c r="I1897" s="672" t="str">
        <f>RTD("esrtd",,ICE[[#This Row],[PCC]] &amp; " " &amp; ICE[[#This Row],[Rolling]] &amp; "-IEU", "Last")</f>
        <v/>
      </c>
      <c r="J1897" s="674" t="str">
        <f>RTD("esrtd",,ICE[[#This Row],[PCC]] &amp; " " &amp; ICE[[#This Row],[Rolling]] &amp; "-IEU", "Last Trade Time")</f>
        <v/>
      </c>
      <c r="K1897" s="672" t="str">
        <f>RTD("esrtd",,ICE[[#This Row],[PCC]] &amp; " " &amp; ICE[[#This Row],[Rolling]] &amp; "-IEU", "Block Price")</f>
        <v/>
      </c>
      <c r="L1897" s="673"/>
      <c r="M1897" s="674" t="str">
        <f>RTD("esrtd",,ICE[[#This Row],[PCC]] &amp; " " &amp; ICE[[#This Row],[Rolling]] &amp; "-IEU", "Block Price DT")</f>
        <v/>
      </c>
      <c r="N1897" s="673" t="str">
        <f>RTD("esrtd",,ICE[[#This Row],[PCC]] &amp; " " &amp; ICE[[#This Row],[Rolling]] &amp; "-IEU", "Volume")</f>
        <v/>
      </c>
      <c r="O1897" s="673" t="str">
        <f>RTD("esrtd",,ICE[[#This Row],[PCC]] &amp; " " &amp; ICE[[#This Row],[Rolling]] &amp; "-IEU", "Block Volume")</f>
        <v/>
      </c>
      <c r="P189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7" s="674" t="str">
        <f>IF(ICE[[#This Row],[LastType]] = "Scrn", ICE[[#This Row],[LstDate]], IF(ICE[[#This Row],[LastType]] = "Blk", ICE[[#This Row],[LstBlkTime]], ""))</f>
        <v/>
      </c>
      <c r="R1897" s="675" t="str">
        <f>IF(ICE[[#This Row],[LastType]] = "Scrn", ICE[[#This Row],[LstPrc]], IF(ICE[[#This Row],[LastType]] = "Blk", ICE[[#This Row],[LstBlkPrc]], ""))</f>
        <v/>
      </c>
      <c r="S1897" s="673" t="e">
        <f>ICE[[#This Row],[Vol]]+ICE[[#This Row],[BlkVol]]</f>
        <v>#VALUE!</v>
      </c>
      <c r="T1897" s="673" t="str">
        <f>RTD("esrtd",,ICE[[#This Row],[PCC]] &amp; " " &amp; ICE[[#This Row],[Rolling]] &amp; "-IEU", "Open Interest")</f>
        <v/>
      </c>
      <c r="U1897" s="672" t="str">
        <f>RTD("esrtd",,ICE[[#This Row],[PCC]] &amp; " " &amp; ICE[[#This Row],[Rolling]] &amp; "-IEU", "Recent Settlement")</f>
        <v/>
      </c>
      <c r="V189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7" s="672" t="str">
        <f>RTD("esrtd",,ICE[[#This Row],[PCC]] &amp; " " &amp; ICE[[#This Row],[Rolling]] &amp; "-IEU", "ICE Theoretical Price")</f>
        <v/>
      </c>
      <c r="X1897" s="673" t="s">
        <v>905</v>
      </c>
    </row>
    <row r="1898" spans="1:24" x14ac:dyDescent="0.25">
      <c r="A1898" s="669" t="s">
        <v>449</v>
      </c>
      <c r="B1898" s="669" t="s">
        <v>928</v>
      </c>
      <c r="C1898" s="670">
        <v>3045330435</v>
      </c>
      <c r="D1898" s="671" t="s">
        <v>793</v>
      </c>
      <c r="E1898" s="670" t="str">
        <f>RTD("esrtd",,ICE[[#This Row],[PCC]] &amp; " " &amp; ICE[[#This Row],[Rolling]] &amp; "-IEU", "Strip")</f>
        <v/>
      </c>
      <c r="F1898" s="670" t="str">
        <f>ICE[[#This Row],[Prod]]&amp;ICE[[#This Row],[Strip]]</f>
        <v>tc5</v>
      </c>
      <c r="G1898" s="672" t="str">
        <f>RTD("esrtd",,ICE[[#This Row],[PCC]] &amp; " " &amp; ICE[[#This Row],[Rolling]] &amp; "-IEU", "Bid")</f>
        <v/>
      </c>
      <c r="H1898" s="672" t="str">
        <f>RTD("esrtd",,ICE[[#This Row],[PCC]] &amp; " " &amp; ICE[[#This Row],[Rolling]] &amp; "-IEU", "Ask")</f>
        <v/>
      </c>
      <c r="I1898" s="672" t="str">
        <f>RTD("esrtd",,ICE[[#This Row],[PCC]] &amp; " " &amp; ICE[[#This Row],[Rolling]] &amp; "-IEU", "Last")</f>
        <v/>
      </c>
      <c r="J1898" s="674" t="str">
        <f>RTD("esrtd",,ICE[[#This Row],[PCC]] &amp; " " &amp; ICE[[#This Row],[Rolling]] &amp; "-IEU", "Last Trade Time")</f>
        <v/>
      </c>
      <c r="K1898" s="672" t="str">
        <f>RTD("esrtd",,ICE[[#This Row],[PCC]] &amp; " " &amp; ICE[[#This Row],[Rolling]] &amp; "-IEU", "Block Price")</f>
        <v/>
      </c>
      <c r="L1898" s="673"/>
      <c r="M1898" s="674" t="str">
        <f>RTD("esrtd",,ICE[[#This Row],[PCC]] &amp; " " &amp; ICE[[#This Row],[Rolling]] &amp; "-IEU", "Block Price DT")</f>
        <v/>
      </c>
      <c r="N1898" s="673" t="str">
        <f>RTD("esrtd",,ICE[[#This Row],[PCC]] &amp; " " &amp; ICE[[#This Row],[Rolling]] &amp; "-IEU", "Volume")</f>
        <v/>
      </c>
      <c r="O1898" s="673" t="str">
        <f>RTD("esrtd",,ICE[[#This Row],[PCC]] &amp; " " &amp; ICE[[#This Row],[Rolling]] &amp; "-IEU", "Block Volume")</f>
        <v/>
      </c>
      <c r="P189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8" s="674" t="str">
        <f>IF(ICE[[#This Row],[LastType]] = "Scrn", ICE[[#This Row],[LstDate]], IF(ICE[[#This Row],[LastType]] = "Blk", ICE[[#This Row],[LstBlkTime]], ""))</f>
        <v/>
      </c>
      <c r="R1898" s="675" t="str">
        <f>IF(ICE[[#This Row],[LastType]] = "Scrn", ICE[[#This Row],[LstPrc]], IF(ICE[[#This Row],[LastType]] = "Blk", ICE[[#This Row],[LstBlkPrc]], ""))</f>
        <v/>
      </c>
      <c r="S1898" s="673" t="e">
        <f>ICE[[#This Row],[Vol]]+ICE[[#This Row],[BlkVol]]</f>
        <v>#VALUE!</v>
      </c>
      <c r="T1898" s="673" t="str">
        <f>RTD("esrtd",,ICE[[#This Row],[PCC]] &amp; " " &amp; ICE[[#This Row],[Rolling]] &amp; "-IEU", "Open Interest")</f>
        <v/>
      </c>
      <c r="U1898" s="672" t="str">
        <f>RTD("esrtd",,ICE[[#This Row],[PCC]] &amp; " " &amp; ICE[[#This Row],[Rolling]] &amp; "-IEU", "Recent Settlement")</f>
        <v/>
      </c>
      <c r="V189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8" s="672" t="str">
        <f>RTD("esrtd",,ICE[[#This Row],[PCC]] &amp; " " &amp; ICE[[#This Row],[Rolling]] &amp; "-IEU", "ICE Theoretical Price")</f>
        <v/>
      </c>
      <c r="X1898" s="673" t="s">
        <v>906</v>
      </c>
    </row>
    <row r="1899" spans="1:24" x14ac:dyDescent="0.25">
      <c r="A1899" s="669" t="s">
        <v>449</v>
      </c>
      <c r="B1899" s="669" t="s">
        <v>928</v>
      </c>
      <c r="C1899" s="670">
        <v>3045330435</v>
      </c>
      <c r="D1899" s="671" t="s">
        <v>324</v>
      </c>
      <c r="E1899" s="670" t="str">
        <f>RTD("esrtd",,ICE[[#This Row],[PCC]] &amp; " " &amp; ICE[[#This Row],[Rolling]] &amp; "-IEU", "Strip")</f>
        <v/>
      </c>
      <c r="F1899" s="670" t="str">
        <f>ICE[[#This Row],[Prod]]&amp;ICE[[#This Row],[Strip]]</f>
        <v>tc5</v>
      </c>
      <c r="G1899" s="672" t="str">
        <f>RTD("esrtd",,ICE[[#This Row],[PCC]] &amp; " " &amp; ICE[[#This Row],[Rolling]] &amp; "-IEU", "Bid")</f>
        <v/>
      </c>
      <c r="H1899" s="672" t="str">
        <f>RTD("esrtd",,ICE[[#This Row],[PCC]] &amp; " " &amp; ICE[[#This Row],[Rolling]] &amp; "-IEU", "Ask")</f>
        <v/>
      </c>
      <c r="I1899" s="672" t="str">
        <f>RTD("esrtd",,ICE[[#This Row],[PCC]] &amp; " " &amp; ICE[[#This Row],[Rolling]] &amp; "-IEU", "Last")</f>
        <v/>
      </c>
      <c r="J1899" s="674" t="str">
        <f>RTD("esrtd",,ICE[[#This Row],[PCC]] &amp; " " &amp; ICE[[#This Row],[Rolling]] &amp; "-IEU", "Last Trade Time")</f>
        <v/>
      </c>
      <c r="K1899" s="672" t="str">
        <f>RTD("esrtd",,ICE[[#This Row],[PCC]] &amp; " " &amp; ICE[[#This Row],[Rolling]] &amp; "-IEU", "Block Price")</f>
        <v/>
      </c>
      <c r="L1899" s="673"/>
      <c r="M1899" s="674" t="str">
        <f>RTD("esrtd",,ICE[[#This Row],[PCC]] &amp; " " &amp; ICE[[#This Row],[Rolling]] &amp; "-IEU", "Block Price DT")</f>
        <v/>
      </c>
      <c r="N1899" s="673" t="str">
        <f>RTD("esrtd",,ICE[[#This Row],[PCC]] &amp; " " &amp; ICE[[#This Row],[Rolling]] &amp; "-IEU", "Volume")</f>
        <v/>
      </c>
      <c r="O1899" s="673" t="str">
        <f>RTD("esrtd",,ICE[[#This Row],[PCC]] &amp; " " &amp; ICE[[#This Row],[Rolling]] &amp; "-IEU", "Block Volume")</f>
        <v/>
      </c>
      <c r="P189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899" s="674" t="str">
        <f>IF(ICE[[#This Row],[LastType]] = "Scrn", ICE[[#This Row],[LstDate]], IF(ICE[[#This Row],[LastType]] = "Blk", ICE[[#This Row],[LstBlkTime]], ""))</f>
        <v/>
      </c>
      <c r="R1899" s="675" t="str">
        <f>IF(ICE[[#This Row],[LastType]] = "Scrn", ICE[[#This Row],[LstPrc]], IF(ICE[[#This Row],[LastType]] = "Blk", ICE[[#This Row],[LstBlkPrc]], ""))</f>
        <v/>
      </c>
      <c r="S1899" s="673" t="e">
        <f>ICE[[#This Row],[Vol]]+ICE[[#This Row],[BlkVol]]</f>
        <v>#VALUE!</v>
      </c>
      <c r="T1899" s="673" t="str">
        <f>RTD("esrtd",,ICE[[#This Row],[PCC]] &amp; " " &amp; ICE[[#This Row],[Rolling]] &amp; "-IEU", "Open Interest")</f>
        <v/>
      </c>
      <c r="U1899" s="672" t="str">
        <f>RTD("esrtd",,ICE[[#This Row],[PCC]] &amp; " " &amp; ICE[[#This Row],[Rolling]] &amp; "-IEU", "Recent Settlement")</f>
        <v/>
      </c>
      <c r="V189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899" s="672" t="str">
        <f>RTD("esrtd",,ICE[[#This Row],[PCC]] &amp; " " &amp; ICE[[#This Row],[Rolling]] &amp; "-IEU", "ICE Theoretical Price")</f>
        <v/>
      </c>
      <c r="X1899" s="673" t="s">
        <v>907</v>
      </c>
    </row>
    <row r="1900" spans="1:24" x14ac:dyDescent="0.25">
      <c r="A1900" s="669" t="s">
        <v>449</v>
      </c>
      <c r="B1900" s="669" t="s">
        <v>928</v>
      </c>
      <c r="C1900" s="670">
        <v>3045330435</v>
      </c>
      <c r="D1900" s="671" t="s">
        <v>325</v>
      </c>
      <c r="E1900" s="670" t="str">
        <f>RTD("esrtd",,ICE[[#This Row],[PCC]] &amp; " " &amp; ICE[[#This Row],[Rolling]] &amp; "-IEU", "Strip")</f>
        <v/>
      </c>
      <c r="F1900" s="670" t="str">
        <f>ICE[[#This Row],[Prod]]&amp;ICE[[#This Row],[Strip]]</f>
        <v>tc5</v>
      </c>
      <c r="G1900" s="672" t="str">
        <f>RTD("esrtd",,ICE[[#This Row],[PCC]] &amp; " " &amp; ICE[[#This Row],[Rolling]] &amp; "-IEU", "Bid")</f>
        <v/>
      </c>
      <c r="H1900" s="672" t="str">
        <f>RTD("esrtd",,ICE[[#This Row],[PCC]] &amp; " " &amp; ICE[[#This Row],[Rolling]] &amp; "-IEU", "Ask")</f>
        <v/>
      </c>
      <c r="I1900" s="672" t="str">
        <f>RTD("esrtd",,ICE[[#This Row],[PCC]] &amp; " " &amp; ICE[[#This Row],[Rolling]] &amp; "-IEU", "Last")</f>
        <v/>
      </c>
      <c r="J1900" s="674" t="str">
        <f>RTD("esrtd",,ICE[[#This Row],[PCC]] &amp; " " &amp; ICE[[#This Row],[Rolling]] &amp; "-IEU", "Last Trade Time")</f>
        <v/>
      </c>
      <c r="K1900" s="672" t="str">
        <f>RTD("esrtd",,ICE[[#This Row],[PCC]] &amp; " " &amp; ICE[[#This Row],[Rolling]] &amp; "-IEU", "Block Price")</f>
        <v/>
      </c>
      <c r="L1900" s="673"/>
      <c r="M1900" s="674" t="str">
        <f>RTD("esrtd",,ICE[[#This Row],[PCC]] &amp; " " &amp; ICE[[#This Row],[Rolling]] &amp; "-IEU", "Block Price DT")</f>
        <v/>
      </c>
      <c r="N1900" s="673" t="str">
        <f>RTD("esrtd",,ICE[[#This Row],[PCC]] &amp; " " &amp; ICE[[#This Row],[Rolling]] &amp; "-IEU", "Volume")</f>
        <v/>
      </c>
      <c r="O1900" s="673" t="str">
        <f>RTD("esrtd",,ICE[[#This Row],[PCC]] &amp; " " &amp; ICE[[#This Row],[Rolling]] &amp; "-IEU", "Block Volume")</f>
        <v/>
      </c>
      <c r="P190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0" s="674" t="str">
        <f>IF(ICE[[#This Row],[LastType]] = "Scrn", ICE[[#This Row],[LstDate]], IF(ICE[[#This Row],[LastType]] = "Blk", ICE[[#This Row],[LstBlkTime]], ""))</f>
        <v/>
      </c>
      <c r="R1900" s="675" t="str">
        <f>IF(ICE[[#This Row],[LastType]] = "Scrn", ICE[[#This Row],[LstPrc]], IF(ICE[[#This Row],[LastType]] = "Blk", ICE[[#This Row],[LstBlkPrc]], ""))</f>
        <v/>
      </c>
      <c r="S1900" s="673" t="e">
        <f>ICE[[#This Row],[Vol]]+ICE[[#This Row],[BlkVol]]</f>
        <v>#VALUE!</v>
      </c>
      <c r="T1900" s="673" t="str">
        <f>RTD("esrtd",,ICE[[#This Row],[PCC]] &amp; " " &amp; ICE[[#This Row],[Rolling]] &amp; "-IEU", "Open Interest")</f>
        <v/>
      </c>
      <c r="U1900" s="672" t="str">
        <f>RTD("esrtd",,ICE[[#This Row],[PCC]] &amp; " " &amp; ICE[[#This Row],[Rolling]] &amp; "-IEU", "Recent Settlement")</f>
        <v/>
      </c>
      <c r="V190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0" s="672" t="str">
        <f>RTD("esrtd",,ICE[[#This Row],[PCC]] &amp; " " &amp; ICE[[#This Row],[Rolling]] &amp; "-IEU", "ICE Theoretical Price")</f>
        <v/>
      </c>
      <c r="X1900" s="673" t="s">
        <v>908</v>
      </c>
    </row>
    <row r="1901" spans="1:24" x14ac:dyDescent="0.25">
      <c r="A1901" s="669" t="s">
        <v>449</v>
      </c>
      <c r="B1901" s="669" t="s">
        <v>928</v>
      </c>
      <c r="C1901" s="670">
        <v>3045330435</v>
      </c>
      <c r="D1901" s="671" t="s">
        <v>326</v>
      </c>
      <c r="E1901" s="670" t="str">
        <f>RTD("esrtd",,ICE[[#This Row],[PCC]] &amp; " " &amp; ICE[[#This Row],[Rolling]] &amp; "-IEU", "Strip")</f>
        <v/>
      </c>
      <c r="F1901" s="670" t="str">
        <f>ICE[[#This Row],[Prod]]&amp;ICE[[#This Row],[Strip]]</f>
        <v>tc5</v>
      </c>
      <c r="G1901" s="672" t="str">
        <f>RTD("esrtd",,ICE[[#This Row],[PCC]] &amp; " " &amp; ICE[[#This Row],[Rolling]] &amp; "-IEU", "Bid")</f>
        <v/>
      </c>
      <c r="H1901" s="672" t="str">
        <f>RTD("esrtd",,ICE[[#This Row],[PCC]] &amp; " " &amp; ICE[[#This Row],[Rolling]] &amp; "-IEU", "Ask")</f>
        <v/>
      </c>
      <c r="I1901" s="672" t="str">
        <f>RTD("esrtd",,ICE[[#This Row],[PCC]] &amp; " " &amp; ICE[[#This Row],[Rolling]] &amp; "-IEU", "Last")</f>
        <v/>
      </c>
      <c r="J1901" s="674" t="str">
        <f>RTD("esrtd",,ICE[[#This Row],[PCC]] &amp; " " &amp; ICE[[#This Row],[Rolling]] &amp; "-IEU", "Last Trade Time")</f>
        <v/>
      </c>
      <c r="K1901" s="672" t="str">
        <f>RTD("esrtd",,ICE[[#This Row],[PCC]] &amp; " " &amp; ICE[[#This Row],[Rolling]] &amp; "-IEU", "Block Price")</f>
        <v/>
      </c>
      <c r="L1901" s="673"/>
      <c r="M1901" s="674" t="str">
        <f>RTD("esrtd",,ICE[[#This Row],[PCC]] &amp; " " &amp; ICE[[#This Row],[Rolling]] &amp; "-IEU", "Block Price DT")</f>
        <v/>
      </c>
      <c r="N1901" s="673" t="str">
        <f>RTD("esrtd",,ICE[[#This Row],[PCC]] &amp; " " &amp; ICE[[#This Row],[Rolling]] &amp; "-IEU", "Volume")</f>
        <v/>
      </c>
      <c r="O1901" s="673" t="str">
        <f>RTD("esrtd",,ICE[[#This Row],[PCC]] &amp; " " &amp; ICE[[#This Row],[Rolling]] &amp; "-IEU", "Block Volume")</f>
        <v/>
      </c>
      <c r="P190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1" s="674" t="str">
        <f>IF(ICE[[#This Row],[LastType]] = "Scrn", ICE[[#This Row],[LstDate]], IF(ICE[[#This Row],[LastType]] = "Blk", ICE[[#This Row],[LstBlkTime]], ""))</f>
        <v/>
      </c>
      <c r="R1901" s="675" t="str">
        <f>IF(ICE[[#This Row],[LastType]] = "Scrn", ICE[[#This Row],[LstPrc]], IF(ICE[[#This Row],[LastType]] = "Blk", ICE[[#This Row],[LstBlkPrc]], ""))</f>
        <v/>
      </c>
      <c r="S1901" s="673" t="e">
        <f>ICE[[#This Row],[Vol]]+ICE[[#This Row],[BlkVol]]</f>
        <v>#VALUE!</v>
      </c>
      <c r="T1901" s="673" t="str">
        <f>RTD("esrtd",,ICE[[#This Row],[PCC]] &amp; " " &amp; ICE[[#This Row],[Rolling]] &amp; "-IEU", "Open Interest")</f>
        <v/>
      </c>
      <c r="U1901" s="672" t="str">
        <f>RTD("esrtd",,ICE[[#This Row],[PCC]] &amp; " " &amp; ICE[[#This Row],[Rolling]] &amp; "-IEU", "Recent Settlement")</f>
        <v/>
      </c>
      <c r="V190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1" s="672" t="str">
        <f>RTD("esrtd",,ICE[[#This Row],[PCC]] &amp; " " &amp; ICE[[#This Row],[Rolling]] &amp; "-IEU", "ICE Theoretical Price")</f>
        <v/>
      </c>
      <c r="X1901" s="673" t="s">
        <v>909</v>
      </c>
    </row>
    <row r="1902" spans="1:24" x14ac:dyDescent="0.25">
      <c r="A1902" s="669" t="s">
        <v>449</v>
      </c>
      <c r="B1902" s="669" t="s">
        <v>928</v>
      </c>
      <c r="C1902" s="670">
        <v>3045330435</v>
      </c>
      <c r="D1902" s="671" t="s">
        <v>794</v>
      </c>
      <c r="E1902" s="670" t="str">
        <f>RTD("esrtd",,ICE[[#This Row],[PCC]] &amp; " " &amp; ICE[[#This Row],[Rolling]] &amp; "-IEU", "Strip")</f>
        <v/>
      </c>
      <c r="F1902" s="670" t="str">
        <f>ICE[[#This Row],[Prod]]&amp;ICE[[#This Row],[Strip]]</f>
        <v>tc5</v>
      </c>
      <c r="G1902" s="672" t="str">
        <f>RTD("esrtd",,ICE[[#This Row],[PCC]] &amp; " " &amp; ICE[[#This Row],[Rolling]] &amp; "-IEU", "Bid")</f>
        <v/>
      </c>
      <c r="H1902" s="672" t="str">
        <f>RTD("esrtd",,ICE[[#This Row],[PCC]] &amp; " " &amp; ICE[[#This Row],[Rolling]] &amp; "-IEU", "Ask")</f>
        <v/>
      </c>
      <c r="I1902" s="672" t="str">
        <f>RTD("esrtd",,ICE[[#This Row],[PCC]] &amp; " " &amp; ICE[[#This Row],[Rolling]] &amp; "-IEU", "Last")</f>
        <v/>
      </c>
      <c r="J1902" s="674" t="str">
        <f>RTD("esrtd",,ICE[[#This Row],[PCC]] &amp; " " &amp; ICE[[#This Row],[Rolling]] &amp; "-IEU", "Last Trade Time")</f>
        <v/>
      </c>
      <c r="K1902" s="672" t="str">
        <f>RTD("esrtd",,ICE[[#This Row],[PCC]] &amp; " " &amp; ICE[[#This Row],[Rolling]] &amp; "-IEU", "Block Price")</f>
        <v/>
      </c>
      <c r="L1902" s="673"/>
      <c r="M1902" s="674" t="str">
        <f>RTD("esrtd",,ICE[[#This Row],[PCC]] &amp; " " &amp; ICE[[#This Row],[Rolling]] &amp; "-IEU", "Block Price DT")</f>
        <v/>
      </c>
      <c r="N1902" s="673" t="str">
        <f>RTD("esrtd",,ICE[[#This Row],[PCC]] &amp; " " &amp; ICE[[#This Row],[Rolling]] &amp; "-IEU", "Volume")</f>
        <v/>
      </c>
      <c r="O1902" s="673" t="str">
        <f>RTD("esrtd",,ICE[[#This Row],[PCC]] &amp; " " &amp; ICE[[#This Row],[Rolling]] &amp; "-IEU", "Block Volume")</f>
        <v/>
      </c>
      <c r="P190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2" s="674" t="str">
        <f>IF(ICE[[#This Row],[LastType]] = "Scrn", ICE[[#This Row],[LstDate]], IF(ICE[[#This Row],[LastType]] = "Blk", ICE[[#This Row],[LstBlkTime]], ""))</f>
        <v/>
      </c>
      <c r="R1902" s="675" t="str">
        <f>IF(ICE[[#This Row],[LastType]] = "Scrn", ICE[[#This Row],[LstPrc]], IF(ICE[[#This Row],[LastType]] = "Blk", ICE[[#This Row],[LstBlkPrc]], ""))</f>
        <v/>
      </c>
      <c r="S1902" s="673" t="e">
        <f>ICE[[#This Row],[Vol]]+ICE[[#This Row],[BlkVol]]</f>
        <v>#VALUE!</v>
      </c>
      <c r="T1902" s="673" t="str">
        <f>RTD("esrtd",,ICE[[#This Row],[PCC]] &amp; " " &amp; ICE[[#This Row],[Rolling]] &amp; "-IEU", "Open Interest")</f>
        <v/>
      </c>
      <c r="U1902" s="672" t="str">
        <f>RTD("esrtd",,ICE[[#This Row],[PCC]] &amp; " " &amp; ICE[[#This Row],[Rolling]] &amp; "-IEU", "Recent Settlement")</f>
        <v/>
      </c>
      <c r="V190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2" s="672" t="str">
        <f>RTD("esrtd",,ICE[[#This Row],[PCC]] &amp; " " &amp; ICE[[#This Row],[Rolling]] &amp; "-IEU", "ICE Theoretical Price")</f>
        <v/>
      </c>
      <c r="X1902" s="673" t="s">
        <v>910</v>
      </c>
    </row>
    <row r="1903" spans="1:24" x14ac:dyDescent="0.25">
      <c r="A1903" s="669" t="s">
        <v>449</v>
      </c>
      <c r="B1903" s="669" t="s">
        <v>928</v>
      </c>
      <c r="C1903" s="670">
        <v>3045330435</v>
      </c>
      <c r="D1903" s="671" t="s">
        <v>795</v>
      </c>
      <c r="E1903" s="670" t="str">
        <f>RTD("esrtd",,ICE[[#This Row],[PCC]] &amp; " " &amp; ICE[[#This Row],[Rolling]] &amp; "-IEU", "Strip")</f>
        <v/>
      </c>
      <c r="F1903" s="670" t="str">
        <f>ICE[[#This Row],[Prod]]&amp;ICE[[#This Row],[Strip]]</f>
        <v>tc5</v>
      </c>
      <c r="G1903" s="672" t="str">
        <f>RTD("esrtd",,ICE[[#This Row],[PCC]] &amp; " " &amp; ICE[[#This Row],[Rolling]] &amp; "-IEU", "Bid")</f>
        <v/>
      </c>
      <c r="H1903" s="672" t="str">
        <f>RTD("esrtd",,ICE[[#This Row],[PCC]] &amp; " " &amp; ICE[[#This Row],[Rolling]] &amp; "-IEU", "Ask")</f>
        <v/>
      </c>
      <c r="I1903" s="672" t="str">
        <f>RTD("esrtd",,ICE[[#This Row],[PCC]] &amp; " " &amp; ICE[[#This Row],[Rolling]] &amp; "-IEU", "Last")</f>
        <v/>
      </c>
      <c r="J1903" s="674" t="str">
        <f>RTD("esrtd",,ICE[[#This Row],[PCC]] &amp; " " &amp; ICE[[#This Row],[Rolling]] &amp; "-IEU", "Last Trade Time")</f>
        <v/>
      </c>
      <c r="K1903" s="672" t="str">
        <f>RTD("esrtd",,ICE[[#This Row],[PCC]] &amp; " " &amp; ICE[[#This Row],[Rolling]] &amp; "-IEU", "Block Price")</f>
        <v/>
      </c>
      <c r="L1903" s="673"/>
      <c r="M1903" s="674" t="str">
        <f>RTD("esrtd",,ICE[[#This Row],[PCC]] &amp; " " &amp; ICE[[#This Row],[Rolling]] &amp; "-IEU", "Block Price DT")</f>
        <v/>
      </c>
      <c r="N1903" s="673" t="str">
        <f>RTD("esrtd",,ICE[[#This Row],[PCC]] &amp; " " &amp; ICE[[#This Row],[Rolling]] &amp; "-IEU", "Volume")</f>
        <v/>
      </c>
      <c r="O1903" s="673" t="str">
        <f>RTD("esrtd",,ICE[[#This Row],[PCC]] &amp; " " &amp; ICE[[#This Row],[Rolling]] &amp; "-IEU", "Block Volume")</f>
        <v/>
      </c>
      <c r="P190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3" s="674" t="str">
        <f>IF(ICE[[#This Row],[LastType]] = "Scrn", ICE[[#This Row],[LstDate]], IF(ICE[[#This Row],[LastType]] = "Blk", ICE[[#This Row],[LstBlkTime]], ""))</f>
        <v/>
      </c>
      <c r="R1903" s="675" t="str">
        <f>IF(ICE[[#This Row],[LastType]] = "Scrn", ICE[[#This Row],[LstPrc]], IF(ICE[[#This Row],[LastType]] = "Blk", ICE[[#This Row],[LstBlkPrc]], ""))</f>
        <v/>
      </c>
      <c r="S1903" s="673" t="e">
        <f>ICE[[#This Row],[Vol]]+ICE[[#This Row],[BlkVol]]</f>
        <v>#VALUE!</v>
      </c>
      <c r="T1903" s="673" t="str">
        <f>RTD("esrtd",,ICE[[#This Row],[PCC]] &amp; " " &amp; ICE[[#This Row],[Rolling]] &amp; "-IEU", "Open Interest")</f>
        <v/>
      </c>
      <c r="U1903" s="672" t="str">
        <f>RTD("esrtd",,ICE[[#This Row],[PCC]] &amp; " " &amp; ICE[[#This Row],[Rolling]] &amp; "-IEU", "Recent Settlement")</f>
        <v/>
      </c>
      <c r="V190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3" s="672" t="str">
        <f>RTD("esrtd",,ICE[[#This Row],[PCC]] &amp; " " &amp; ICE[[#This Row],[Rolling]] &amp; "-IEU", "ICE Theoretical Price")</f>
        <v/>
      </c>
      <c r="X1903" s="673" t="s">
        <v>911</v>
      </c>
    </row>
    <row r="1904" spans="1:24" x14ac:dyDescent="0.25">
      <c r="A1904" s="669" t="s">
        <v>449</v>
      </c>
      <c r="B1904" s="669" t="s">
        <v>928</v>
      </c>
      <c r="C1904" s="670">
        <v>3045330435</v>
      </c>
      <c r="D1904" s="671" t="s">
        <v>113</v>
      </c>
      <c r="E1904" s="670" t="str">
        <f>RTD("esrtd",,ICE[[#This Row],[PCC]] &amp; " " &amp; ICE[[#This Row],[Rolling]] &amp; "-IEU", "Strip")</f>
        <v/>
      </c>
      <c r="F1904" s="670" t="str">
        <f>ICE[[#This Row],[Prod]]&amp;ICE[[#This Row],[Strip]]</f>
        <v>tc5</v>
      </c>
      <c r="G1904" s="672" t="str">
        <f>RTD("esrtd",,ICE[[#This Row],[PCC]] &amp; " " &amp; ICE[[#This Row],[Rolling]] &amp; "-IEU", "Bid")</f>
        <v/>
      </c>
      <c r="H1904" s="672" t="str">
        <f>RTD("esrtd",,ICE[[#This Row],[PCC]] &amp; " " &amp; ICE[[#This Row],[Rolling]] &amp; "-IEU", "Ask")</f>
        <v/>
      </c>
      <c r="I1904" s="672" t="str">
        <f>RTD("esrtd",,ICE[[#This Row],[PCC]] &amp; " " &amp; ICE[[#This Row],[Rolling]] &amp; "-IEU", "Last")</f>
        <v/>
      </c>
      <c r="J1904" s="674" t="str">
        <f>RTD("esrtd",,ICE[[#This Row],[PCC]] &amp; " " &amp; ICE[[#This Row],[Rolling]] &amp; "-IEU", "Last Trade Time")</f>
        <v/>
      </c>
      <c r="K1904" s="672" t="str">
        <f>RTD("esrtd",,ICE[[#This Row],[PCC]] &amp; " " &amp; ICE[[#This Row],[Rolling]] &amp; "-IEU", "Block Price")</f>
        <v/>
      </c>
      <c r="L1904" s="673"/>
      <c r="M1904" s="674" t="str">
        <f>RTD("esrtd",,ICE[[#This Row],[PCC]] &amp; " " &amp; ICE[[#This Row],[Rolling]] &amp; "-IEU", "Block Price DT")</f>
        <v/>
      </c>
      <c r="N1904" s="673" t="str">
        <f>RTD("esrtd",,ICE[[#This Row],[PCC]] &amp; " " &amp; ICE[[#This Row],[Rolling]] &amp; "-IEU", "Volume")</f>
        <v/>
      </c>
      <c r="O1904" s="673" t="str">
        <f>RTD("esrtd",,ICE[[#This Row],[PCC]] &amp; " " &amp; ICE[[#This Row],[Rolling]] &amp; "-IEU", "Block Volume")</f>
        <v/>
      </c>
      <c r="P190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4" s="674" t="str">
        <f>IF(ICE[[#This Row],[LastType]] = "Scrn", ICE[[#This Row],[LstDate]], IF(ICE[[#This Row],[LastType]] = "Blk", ICE[[#This Row],[LstBlkTime]], ""))</f>
        <v/>
      </c>
      <c r="R1904" s="675" t="str">
        <f>IF(ICE[[#This Row],[LastType]] = "Scrn", ICE[[#This Row],[LstPrc]], IF(ICE[[#This Row],[LastType]] = "Blk", ICE[[#This Row],[LstBlkPrc]], ""))</f>
        <v/>
      </c>
      <c r="S1904" s="673" t="e">
        <f>ICE[[#This Row],[Vol]]+ICE[[#This Row],[BlkVol]]</f>
        <v>#VALUE!</v>
      </c>
      <c r="T1904" s="673" t="str">
        <f>RTD("esrtd",,ICE[[#This Row],[PCC]] &amp; " " &amp; ICE[[#This Row],[Rolling]] &amp; "-IEU", "Open Interest")</f>
        <v/>
      </c>
      <c r="U1904" s="672" t="str">
        <f>RTD("esrtd",,ICE[[#This Row],[PCC]] &amp; " " &amp; ICE[[#This Row],[Rolling]] &amp; "-IEU", "Recent Settlement")</f>
        <v/>
      </c>
      <c r="V190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4" s="672" t="str">
        <f>RTD("esrtd",,ICE[[#This Row],[PCC]] &amp; " " &amp; ICE[[#This Row],[Rolling]] &amp; "-IEU", "ICE Theoretical Price")</f>
        <v/>
      </c>
      <c r="X1904" s="673" t="s">
        <v>912</v>
      </c>
    </row>
    <row r="1905" spans="1:24" x14ac:dyDescent="0.25">
      <c r="A1905" s="669" t="s">
        <v>449</v>
      </c>
      <c r="B1905" s="669" t="s">
        <v>928</v>
      </c>
      <c r="C1905" s="670">
        <v>3045330435</v>
      </c>
      <c r="D1905" s="671" t="s">
        <v>796</v>
      </c>
      <c r="E1905" s="670" t="str">
        <f>RTD("esrtd",,ICE[[#This Row],[PCC]] &amp; " " &amp; ICE[[#This Row],[Rolling]] &amp; "-IEU", "Strip")</f>
        <v/>
      </c>
      <c r="F1905" s="670" t="str">
        <f>ICE[[#This Row],[Prod]]&amp;ICE[[#This Row],[Strip]]</f>
        <v>tc5</v>
      </c>
      <c r="G1905" s="672" t="str">
        <f>RTD("esrtd",,ICE[[#This Row],[PCC]] &amp; " " &amp; ICE[[#This Row],[Rolling]] &amp; "-IEU", "Bid")</f>
        <v/>
      </c>
      <c r="H1905" s="672" t="str">
        <f>RTD("esrtd",,ICE[[#This Row],[PCC]] &amp; " " &amp; ICE[[#This Row],[Rolling]] &amp; "-IEU", "Ask")</f>
        <v/>
      </c>
      <c r="I1905" s="672" t="str">
        <f>RTD("esrtd",,ICE[[#This Row],[PCC]] &amp; " " &amp; ICE[[#This Row],[Rolling]] &amp; "-IEU", "Last")</f>
        <v/>
      </c>
      <c r="J1905" s="674" t="str">
        <f>RTD("esrtd",,ICE[[#This Row],[PCC]] &amp; " " &amp; ICE[[#This Row],[Rolling]] &amp; "-IEU", "Last Trade Time")</f>
        <v/>
      </c>
      <c r="K1905" s="672" t="str">
        <f>RTD("esrtd",,ICE[[#This Row],[PCC]] &amp; " " &amp; ICE[[#This Row],[Rolling]] &amp; "-IEU", "Block Price")</f>
        <v/>
      </c>
      <c r="L1905" s="673"/>
      <c r="M1905" s="674" t="str">
        <f>RTD("esrtd",,ICE[[#This Row],[PCC]] &amp; " " &amp; ICE[[#This Row],[Rolling]] &amp; "-IEU", "Block Price DT")</f>
        <v/>
      </c>
      <c r="N1905" s="673" t="str">
        <f>RTD("esrtd",,ICE[[#This Row],[PCC]] &amp; " " &amp; ICE[[#This Row],[Rolling]] &amp; "-IEU", "Volume")</f>
        <v/>
      </c>
      <c r="O1905" s="673" t="str">
        <f>RTD("esrtd",,ICE[[#This Row],[PCC]] &amp; " " &amp; ICE[[#This Row],[Rolling]] &amp; "-IEU", "Block Volume")</f>
        <v/>
      </c>
      <c r="P190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5" s="674" t="str">
        <f>IF(ICE[[#This Row],[LastType]] = "Scrn", ICE[[#This Row],[LstDate]], IF(ICE[[#This Row],[LastType]] = "Blk", ICE[[#This Row],[LstBlkTime]], ""))</f>
        <v/>
      </c>
      <c r="R1905" s="675" t="str">
        <f>IF(ICE[[#This Row],[LastType]] = "Scrn", ICE[[#This Row],[LstPrc]], IF(ICE[[#This Row],[LastType]] = "Blk", ICE[[#This Row],[LstBlkPrc]], ""))</f>
        <v/>
      </c>
      <c r="S1905" s="673" t="e">
        <f>ICE[[#This Row],[Vol]]+ICE[[#This Row],[BlkVol]]</f>
        <v>#VALUE!</v>
      </c>
      <c r="T1905" s="673" t="str">
        <f>RTD("esrtd",,ICE[[#This Row],[PCC]] &amp; " " &amp; ICE[[#This Row],[Rolling]] &amp; "-IEU", "Open Interest")</f>
        <v/>
      </c>
      <c r="U1905" s="672" t="str">
        <f>RTD("esrtd",,ICE[[#This Row],[PCC]] &amp; " " &amp; ICE[[#This Row],[Rolling]] &amp; "-IEU", "Recent Settlement")</f>
        <v/>
      </c>
      <c r="V190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5" s="672" t="str">
        <f>RTD("esrtd",,ICE[[#This Row],[PCC]] &amp; " " &amp; ICE[[#This Row],[Rolling]] &amp; "-IEU", "ICE Theoretical Price")</f>
        <v/>
      </c>
      <c r="X1905" s="673" t="s">
        <v>913</v>
      </c>
    </row>
    <row r="1906" spans="1:24" x14ac:dyDescent="0.25">
      <c r="A1906" s="669" t="s">
        <v>449</v>
      </c>
      <c r="B1906" s="669" t="s">
        <v>928</v>
      </c>
      <c r="C1906" s="670">
        <v>3045330435</v>
      </c>
      <c r="D1906" s="671" t="s">
        <v>797</v>
      </c>
      <c r="E1906" s="670" t="str">
        <f>RTD("esrtd",,ICE[[#This Row],[PCC]] &amp; " " &amp; ICE[[#This Row],[Rolling]] &amp; "-IEU", "Strip")</f>
        <v/>
      </c>
      <c r="F1906" s="670" t="str">
        <f>ICE[[#This Row],[Prod]]&amp;ICE[[#This Row],[Strip]]</f>
        <v>tc5</v>
      </c>
      <c r="G1906" s="672" t="str">
        <f>RTD("esrtd",,ICE[[#This Row],[PCC]] &amp; " " &amp; ICE[[#This Row],[Rolling]] &amp; "-IEU", "Bid")</f>
        <v/>
      </c>
      <c r="H1906" s="672" t="str">
        <f>RTD("esrtd",,ICE[[#This Row],[PCC]] &amp; " " &amp; ICE[[#This Row],[Rolling]] &amp; "-IEU", "Ask")</f>
        <v/>
      </c>
      <c r="I1906" s="672" t="str">
        <f>RTD("esrtd",,ICE[[#This Row],[PCC]] &amp; " " &amp; ICE[[#This Row],[Rolling]] &amp; "-IEU", "Last")</f>
        <v/>
      </c>
      <c r="J1906" s="674" t="str">
        <f>RTD("esrtd",,ICE[[#This Row],[PCC]] &amp; " " &amp; ICE[[#This Row],[Rolling]] &amp; "-IEU", "Last Trade Time")</f>
        <v/>
      </c>
      <c r="K1906" s="672" t="str">
        <f>RTD("esrtd",,ICE[[#This Row],[PCC]] &amp; " " &amp; ICE[[#This Row],[Rolling]] &amp; "-IEU", "Block Price")</f>
        <v/>
      </c>
      <c r="L1906" s="673"/>
      <c r="M1906" s="674" t="str">
        <f>RTD("esrtd",,ICE[[#This Row],[PCC]] &amp; " " &amp; ICE[[#This Row],[Rolling]] &amp; "-IEU", "Block Price DT")</f>
        <v/>
      </c>
      <c r="N1906" s="673" t="str">
        <f>RTD("esrtd",,ICE[[#This Row],[PCC]] &amp; " " &amp; ICE[[#This Row],[Rolling]] &amp; "-IEU", "Volume")</f>
        <v/>
      </c>
      <c r="O1906" s="673" t="str">
        <f>RTD("esrtd",,ICE[[#This Row],[PCC]] &amp; " " &amp; ICE[[#This Row],[Rolling]] &amp; "-IEU", "Block Volume")</f>
        <v/>
      </c>
      <c r="P190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6" s="674" t="str">
        <f>IF(ICE[[#This Row],[LastType]] = "Scrn", ICE[[#This Row],[LstDate]], IF(ICE[[#This Row],[LastType]] = "Blk", ICE[[#This Row],[LstBlkTime]], ""))</f>
        <v/>
      </c>
      <c r="R1906" s="675" t="str">
        <f>IF(ICE[[#This Row],[LastType]] = "Scrn", ICE[[#This Row],[LstPrc]], IF(ICE[[#This Row],[LastType]] = "Blk", ICE[[#This Row],[LstBlkPrc]], ""))</f>
        <v/>
      </c>
      <c r="S1906" s="673" t="e">
        <f>ICE[[#This Row],[Vol]]+ICE[[#This Row],[BlkVol]]</f>
        <v>#VALUE!</v>
      </c>
      <c r="T1906" s="673" t="str">
        <f>RTD("esrtd",,ICE[[#This Row],[PCC]] &amp; " " &amp; ICE[[#This Row],[Rolling]] &amp; "-IEU", "Open Interest")</f>
        <v/>
      </c>
      <c r="U1906" s="672" t="str">
        <f>RTD("esrtd",,ICE[[#This Row],[PCC]] &amp; " " &amp; ICE[[#This Row],[Rolling]] &amp; "-IEU", "Recent Settlement")</f>
        <v/>
      </c>
      <c r="V190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6" s="672" t="str">
        <f>RTD("esrtd",,ICE[[#This Row],[PCC]] &amp; " " &amp; ICE[[#This Row],[Rolling]] &amp; "-IEU", "ICE Theoretical Price")</f>
        <v/>
      </c>
      <c r="X1906" s="673" t="s">
        <v>914</v>
      </c>
    </row>
    <row r="1907" spans="1:24" x14ac:dyDescent="0.25">
      <c r="A1907" s="669" t="s">
        <v>449</v>
      </c>
      <c r="B1907" s="669" t="s">
        <v>928</v>
      </c>
      <c r="C1907" s="670">
        <v>3045330435</v>
      </c>
      <c r="D1907" s="671" t="s">
        <v>798</v>
      </c>
      <c r="E1907" s="670" t="str">
        <f>RTD("esrtd",,ICE[[#This Row],[PCC]] &amp; " " &amp; ICE[[#This Row],[Rolling]] &amp; "-IEU", "Strip")</f>
        <v/>
      </c>
      <c r="F1907" s="670" t="str">
        <f>ICE[[#This Row],[Prod]]&amp;ICE[[#This Row],[Strip]]</f>
        <v>tc5</v>
      </c>
      <c r="G1907" s="672" t="str">
        <f>RTD("esrtd",,ICE[[#This Row],[PCC]] &amp; " " &amp; ICE[[#This Row],[Rolling]] &amp; "-IEU", "Bid")</f>
        <v/>
      </c>
      <c r="H1907" s="672" t="str">
        <f>RTD("esrtd",,ICE[[#This Row],[PCC]] &amp; " " &amp; ICE[[#This Row],[Rolling]] &amp; "-IEU", "Ask")</f>
        <v/>
      </c>
      <c r="I1907" s="672" t="str">
        <f>RTD("esrtd",,ICE[[#This Row],[PCC]] &amp; " " &amp; ICE[[#This Row],[Rolling]] &amp; "-IEU", "Last")</f>
        <v/>
      </c>
      <c r="J1907" s="674" t="str">
        <f>RTD("esrtd",,ICE[[#This Row],[PCC]] &amp; " " &amp; ICE[[#This Row],[Rolling]] &amp; "-IEU", "Last Trade Time")</f>
        <v/>
      </c>
      <c r="K1907" s="672" t="str">
        <f>RTD("esrtd",,ICE[[#This Row],[PCC]] &amp; " " &amp; ICE[[#This Row],[Rolling]] &amp; "-IEU", "Block Price")</f>
        <v/>
      </c>
      <c r="L1907" s="673"/>
      <c r="M1907" s="674" t="str">
        <f>RTD("esrtd",,ICE[[#This Row],[PCC]] &amp; " " &amp; ICE[[#This Row],[Rolling]] &amp; "-IEU", "Block Price DT")</f>
        <v/>
      </c>
      <c r="N1907" s="673" t="str">
        <f>RTD("esrtd",,ICE[[#This Row],[PCC]] &amp; " " &amp; ICE[[#This Row],[Rolling]] &amp; "-IEU", "Volume")</f>
        <v/>
      </c>
      <c r="O1907" s="673" t="str">
        <f>RTD("esrtd",,ICE[[#This Row],[PCC]] &amp; " " &amp; ICE[[#This Row],[Rolling]] &amp; "-IEU", "Block Volume")</f>
        <v/>
      </c>
      <c r="P190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7" s="674" t="str">
        <f>IF(ICE[[#This Row],[LastType]] = "Scrn", ICE[[#This Row],[LstDate]], IF(ICE[[#This Row],[LastType]] = "Blk", ICE[[#This Row],[LstBlkTime]], ""))</f>
        <v/>
      </c>
      <c r="R1907" s="675" t="str">
        <f>IF(ICE[[#This Row],[LastType]] = "Scrn", ICE[[#This Row],[LstPrc]], IF(ICE[[#This Row],[LastType]] = "Blk", ICE[[#This Row],[LstBlkPrc]], ""))</f>
        <v/>
      </c>
      <c r="S1907" s="673" t="e">
        <f>ICE[[#This Row],[Vol]]+ICE[[#This Row],[BlkVol]]</f>
        <v>#VALUE!</v>
      </c>
      <c r="T1907" s="673" t="str">
        <f>RTD("esrtd",,ICE[[#This Row],[PCC]] &amp; " " &amp; ICE[[#This Row],[Rolling]] &amp; "-IEU", "Open Interest")</f>
        <v/>
      </c>
      <c r="U1907" s="672" t="str">
        <f>RTD("esrtd",,ICE[[#This Row],[PCC]] &amp; " " &amp; ICE[[#This Row],[Rolling]] &amp; "-IEU", "Recent Settlement")</f>
        <v/>
      </c>
      <c r="V190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7" s="672" t="str">
        <f>RTD("esrtd",,ICE[[#This Row],[PCC]] &amp; " " &amp; ICE[[#This Row],[Rolling]] &amp; "-IEU", "ICE Theoretical Price")</f>
        <v/>
      </c>
      <c r="X1907" s="673" t="s">
        <v>915</v>
      </c>
    </row>
    <row r="1908" spans="1:24" x14ac:dyDescent="0.25">
      <c r="A1908" s="669" t="s">
        <v>449</v>
      </c>
      <c r="B1908" s="669" t="s">
        <v>928</v>
      </c>
      <c r="C1908" s="670">
        <v>3045330435</v>
      </c>
      <c r="D1908" s="671" t="s">
        <v>799</v>
      </c>
      <c r="E1908" s="670" t="str">
        <f>RTD("esrtd",,ICE[[#This Row],[PCC]] &amp; " " &amp; ICE[[#This Row],[Rolling]] &amp; "-IEU", "Strip")</f>
        <v/>
      </c>
      <c r="F1908" s="670" t="str">
        <f>ICE[[#This Row],[Prod]]&amp;ICE[[#This Row],[Strip]]</f>
        <v>tc5</v>
      </c>
      <c r="G1908" s="672" t="str">
        <f>RTD("esrtd",,ICE[[#This Row],[PCC]] &amp; " " &amp; ICE[[#This Row],[Rolling]] &amp; "-IEU", "Bid")</f>
        <v/>
      </c>
      <c r="H1908" s="672" t="str">
        <f>RTD("esrtd",,ICE[[#This Row],[PCC]] &amp; " " &amp; ICE[[#This Row],[Rolling]] &amp; "-IEU", "Ask")</f>
        <v/>
      </c>
      <c r="I1908" s="672" t="str">
        <f>RTD("esrtd",,ICE[[#This Row],[PCC]] &amp; " " &amp; ICE[[#This Row],[Rolling]] &amp; "-IEU", "Last")</f>
        <v/>
      </c>
      <c r="J1908" s="674" t="str">
        <f>RTD("esrtd",,ICE[[#This Row],[PCC]] &amp; " " &amp; ICE[[#This Row],[Rolling]] &amp; "-IEU", "Last Trade Time")</f>
        <v/>
      </c>
      <c r="K1908" s="672" t="str">
        <f>RTD("esrtd",,ICE[[#This Row],[PCC]] &amp; " " &amp; ICE[[#This Row],[Rolling]] &amp; "-IEU", "Block Price")</f>
        <v/>
      </c>
      <c r="L1908" s="673"/>
      <c r="M1908" s="674" t="str">
        <f>RTD("esrtd",,ICE[[#This Row],[PCC]] &amp; " " &amp; ICE[[#This Row],[Rolling]] &amp; "-IEU", "Block Price DT")</f>
        <v/>
      </c>
      <c r="N1908" s="673" t="str">
        <f>RTD("esrtd",,ICE[[#This Row],[PCC]] &amp; " " &amp; ICE[[#This Row],[Rolling]] &amp; "-IEU", "Volume")</f>
        <v/>
      </c>
      <c r="O1908" s="673" t="str">
        <f>RTD("esrtd",,ICE[[#This Row],[PCC]] &amp; " " &amp; ICE[[#This Row],[Rolling]] &amp; "-IEU", "Block Volume")</f>
        <v/>
      </c>
      <c r="P190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8" s="674" t="str">
        <f>IF(ICE[[#This Row],[LastType]] = "Scrn", ICE[[#This Row],[LstDate]], IF(ICE[[#This Row],[LastType]] = "Blk", ICE[[#This Row],[LstBlkTime]], ""))</f>
        <v/>
      </c>
      <c r="R1908" s="675" t="str">
        <f>IF(ICE[[#This Row],[LastType]] = "Scrn", ICE[[#This Row],[LstPrc]], IF(ICE[[#This Row],[LastType]] = "Blk", ICE[[#This Row],[LstBlkPrc]], ""))</f>
        <v/>
      </c>
      <c r="S1908" s="673" t="e">
        <f>ICE[[#This Row],[Vol]]+ICE[[#This Row],[BlkVol]]</f>
        <v>#VALUE!</v>
      </c>
      <c r="T1908" s="673" t="str">
        <f>RTD("esrtd",,ICE[[#This Row],[PCC]] &amp; " " &amp; ICE[[#This Row],[Rolling]] &amp; "-IEU", "Open Interest")</f>
        <v/>
      </c>
      <c r="U1908" s="672" t="str">
        <f>RTD("esrtd",,ICE[[#This Row],[PCC]] &amp; " " &amp; ICE[[#This Row],[Rolling]] &amp; "-IEU", "Recent Settlement")</f>
        <v/>
      </c>
      <c r="V190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8" s="672" t="str">
        <f>RTD("esrtd",,ICE[[#This Row],[PCC]] &amp; " " &amp; ICE[[#This Row],[Rolling]] &amp; "-IEU", "ICE Theoretical Price")</f>
        <v/>
      </c>
      <c r="X1908" s="673" t="s">
        <v>916</v>
      </c>
    </row>
    <row r="1909" spans="1:24" x14ac:dyDescent="0.25">
      <c r="A1909" s="669" t="s">
        <v>449</v>
      </c>
      <c r="B1909" s="669" t="s">
        <v>928</v>
      </c>
      <c r="C1909" s="670">
        <v>3045330435</v>
      </c>
      <c r="D1909" s="671" t="s">
        <v>800</v>
      </c>
      <c r="E1909" s="670" t="str">
        <f>RTD("esrtd",,ICE[[#This Row],[PCC]] &amp; " " &amp; ICE[[#This Row],[Rolling]] &amp; "-IEU", "Strip")</f>
        <v/>
      </c>
      <c r="F1909" s="670" t="str">
        <f>ICE[[#This Row],[Prod]]&amp;ICE[[#This Row],[Strip]]</f>
        <v>tc5</v>
      </c>
      <c r="G1909" s="672" t="str">
        <f>RTD("esrtd",,ICE[[#This Row],[PCC]] &amp; " " &amp; ICE[[#This Row],[Rolling]] &amp; "-IEU", "Bid")</f>
        <v/>
      </c>
      <c r="H1909" s="672" t="str">
        <f>RTD("esrtd",,ICE[[#This Row],[PCC]] &amp; " " &amp; ICE[[#This Row],[Rolling]] &amp; "-IEU", "Ask")</f>
        <v/>
      </c>
      <c r="I1909" s="672" t="str">
        <f>RTD("esrtd",,ICE[[#This Row],[PCC]] &amp; " " &amp; ICE[[#This Row],[Rolling]] &amp; "-IEU", "Last")</f>
        <v/>
      </c>
      <c r="J1909" s="674" t="str">
        <f>RTD("esrtd",,ICE[[#This Row],[PCC]] &amp; " " &amp; ICE[[#This Row],[Rolling]] &amp; "-IEU", "Last Trade Time")</f>
        <v/>
      </c>
      <c r="K1909" s="672" t="str">
        <f>RTD("esrtd",,ICE[[#This Row],[PCC]] &amp; " " &amp; ICE[[#This Row],[Rolling]] &amp; "-IEU", "Block Price")</f>
        <v/>
      </c>
      <c r="L1909" s="673"/>
      <c r="M1909" s="674" t="str">
        <f>RTD("esrtd",,ICE[[#This Row],[PCC]] &amp; " " &amp; ICE[[#This Row],[Rolling]] &amp; "-IEU", "Block Price DT")</f>
        <v/>
      </c>
      <c r="N1909" s="673" t="str">
        <f>RTD("esrtd",,ICE[[#This Row],[PCC]] &amp; " " &amp; ICE[[#This Row],[Rolling]] &amp; "-IEU", "Volume")</f>
        <v/>
      </c>
      <c r="O1909" s="673" t="str">
        <f>RTD("esrtd",,ICE[[#This Row],[PCC]] &amp; " " &amp; ICE[[#This Row],[Rolling]] &amp; "-IEU", "Block Volume")</f>
        <v/>
      </c>
      <c r="P190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09" s="674" t="str">
        <f>IF(ICE[[#This Row],[LastType]] = "Scrn", ICE[[#This Row],[LstDate]], IF(ICE[[#This Row],[LastType]] = "Blk", ICE[[#This Row],[LstBlkTime]], ""))</f>
        <v/>
      </c>
      <c r="R1909" s="675" t="str">
        <f>IF(ICE[[#This Row],[LastType]] = "Scrn", ICE[[#This Row],[LstPrc]], IF(ICE[[#This Row],[LastType]] = "Blk", ICE[[#This Row],[LstBlkPrc]], ""))</f>
        <v/>
      </c>
      <c r="S1909" s="673" t="e">
        <f>ICE[[#This Row],[Vol]]+ICE[[#This Row],[BlkVol]]</f>
        <v>#VALUE!</v>
      </c>
      <c r="T1909" s="673" t="str">
        <f>RTD("esrtd",,ICE[[#This Row],[PCC]] &amp; " " &amp; ICE[[#This Row],[Rolling]] &amp; "-IEU", "Open Interest")</f>
        <v/>
      </c>
      <c r="U1909" s="672" t="str">
        <f>RTD("esrtd",,ICE[[#This Row],[PCC]] &amp; " " &amp; ICE[[#This Row],[Rolling]] &amp; "-IEU", "Recent Settlement")</f>
        <v/>
      </c>
      <c r="V190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09" s="672" t="str">
        <f>RTD("esrtd",,ICE[[#This Row],[PCC]] &amp; " " &amp; ICE[[#This Row],[Rolling]] &amp; "-IEU", "ICE Theoretical Price")</f>
        <v/>
      </c>
      <c r="X1909" s="673" t="s">
        <v>917</v>
      </c>
    </row>
    <row r="1910" spans="1:24" x14ac:dyDescent="0.25">
      <c r="A1910" s="669" t="s">
        <v>449</v>
      </c>
      <c r="B1910" s="669" t="s">
        <v>928</v>
      </c>
      <c r="C1910" s="670">
        <v>3045330435</v>
      </c>
      <c r="D1910" s="671" t="s">
        <v>801</v>
      </c>
      <c r="E1910" s="670" t="str">
        <f>RTD("esrtd",,ICE[[#This Row],[PCC]] &amp; " " &amp; ICE[[#This Row],[Rolling]] &amp; "-IEU", "Strip")</f>
        <v/>
      </c>
      <c r="F1910" s="670" t="str">
        <f>ICE[[#This Row],[Prod]]&amp;ICE[[#This Row],[Strip]]</f>
        <v>tc5</v>
      </c>
      <c r="G1910" s="672" t="str">
        <f>RTD("esrtd",,ICE[[#This Row],[PCC]] &amp; " " &amp; ICE[[#This Row],[Rolling]] &amp; "-IEU", "Bid")</f>
        <v/>
      </c>
      <c r="H1910" s="672" t="str">
        <f>RTD("esrtd",,ICE[[#This Row],[PCC]] &amp; " " &amp; ICE[[#This Row],[Rolling]] &amp; "-IEU", "Ask")</f>
        <v/>
      </c>
      <c r="I1910" s="672" t="str">
        <f>RTD("esrtd",,ICE[[#This Row],[PCC]] &amp; " " &amp; ICE[[#This Row],[Rolling]] &amp; "-IEU", "Last")</f>
        <v/>
      </c>
      <c r="J1910" s="674" t="str">
        <f>RTD("esrtd",,ICE[[#This Row],[PCC]] &amp; " " &amp; ICE[[#This Row],[Rolling]] &amp; "-IEU", "Last Trade Time")</f>
        <v/>
      </c>
      <c r="K1910" s="672" t="str">
        <f>RTD("esrtd",,ICE[[#This Row],[PCC]] &amp; " " &amp; ICE[[#This Row],[Rolling]] &amp; "-IEU", "Block Price")</f>
        <v/>
      </c>
      <c r="L1910" s="673"/>
      <c r="M1910" s="674" t="str">
        <f>RTD("esrtd",,ICE[[#This Row],[PCC]] &amp; " " &amp; ICE[[#This Row],[Rolling]] &amp; "-IEU", "Block Price DT")</f>
        <v/>
      </c>
      <c r="N1910" s="673" t="str">
        <f>RTD("esrtd",,ICE[[#This Row],[PCC]] &amp; " " &amp; ICE[[#This Row],[Rolling]] &amp; "-IEU", "Volume")</f>
        <v/>
      </c>
      <c r="O1910" s="673" t="str">
        <f>RTD("esrtd",,ICE[[#This Row],[PCC]] &amp; " " &amp; ICE[[#This Row],[Rolling]] &amp; "-IEU", "Block Volume")</f>
        <v/>
      </c>
      <c r="P191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0" s="674" t="str">
        <f>IF(ICE[[#This Row],[LastType]] = "Scrn", ICE[[#This Row],[LstDate]], IF(ICE[[#This Row],[LastType]] = "Blk", ICE[[#This Row],[LstBlkTime]], ""))</f>
        <v/>
      </c>
      <c r="R1910" s="675" t="str">
        <f>IF(ICE[[#This Row],[LastType]] = "Scrn", ICE[[#This Row],[LstPrc]], IF(ICE[[#This Row],[LastType]] = "Blk", ICE[[#This Row],[LstBlkPrc]], ""))</f>
        <v/>
      </c>
      <c r="S1910" s="673" t="e">
        <f>ICE[[#This Row],[Vol]]+ICE[[#This Row],[BlkVol]]</f>
        <v>#VALUE!</v>
      </c>
      <c r="T1910" s="673" t="str">
        <f>RTD("esrtd",,ICE[[#This Row],[PCC]] &amp; " " &amp; ICE[[#This Row],[Rolling]] &amp; "-IEU", "Open Interest")</f>
        <v/>
      </c>
      <c r="U1910" s="672" t="str">
        <f>RTD("esrtd",,ICE[[#This Row],[PCC]] &amp; " " &amp; ICE[[#This Row],[Rolling]] &amp; "-IEU", "Recent Settlement")</f>
        <v/>
      </c>
      <c r="V191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0" s="672" t="str">
        <f>RTD("esrtd",,ICE[[#This Row],[PCC]] &amp; " " &amp; ICE[[#This Row],[Rolling]] &amp; "-IEU", "ICE Theoretical Price")</f>
        <v/>
      </c>
      <c r="X1910" s="673" t="s">
        <v>918</v>
      </c>
    </row>
    <row r="1911" spans="1:24" x14ac:dyDescent="0.25">
      <c r="A1911" s="669" t="s">
        <v>449</v>
      </c>
      <c r="B1911" s="669" t="s">
        <v>928</v>
      </c>
      <c r="C1911" s="670">
        <v>3045330435</v>
      </c>
      <c r="D1911" s="671" t="s">
        <v>802</v>
      </c>
      <c r="E1911" s="670" t="str">
        <f>RTD("esrtd",,ICE[[#This Row],[PCC]] &amp; " " &amp; ICE[[#This Row],[Rolling]] &amp; "-IEU", "Strip")</f>
        <v/>
      </c>
      <c r="F1911" s="670" t="str">
        <f>ICE[[#This Row],[Prod]]&amp;ICE[[#This Row],[Strip]]</f>
        <v>tc5</v>
      </c>
      <c r="G1911" s="672" t="str">
        <f>RTD("esrtd",,ICE[[#This Row],[PCC]] &amp; " " &amp; ICE[[#This Row],[Rolling]] &amp; "-IEU", "Bid")</f>
        <v/>
      </c>
      <c r="H1911" s="672" t="str">
        <f>RTD("esrtd",,ICE[[#This Row],[PCC]] &amp; " " &amp; ICE[[#This Row],[Rolling]] &amp; "-IEU", "Ask")</f>
        <v/>
      </c>
      <c r="I1911" s="672" t="str">
        <f>RTD("esrtd",,ICE[[#This Row],[PCC]] &amp; " " &amp; ICE[[#This Row],[Rolling]] &amp; "-IEU", "Last")</f>
        <v/>
      </c>
      <c r="J1911" s="674" t="str">
        <f>RTD("esrtd",,ICE[[#This Row],[PCC]] &amp; " " &amp; ICE[[#This Row],[Rolling]] &amp; "-IEU", "Last Trade Time")</f>
        <v/>
      </c>
      <c r="K1911" s="672" t="str">
        <f>RTD("esrtd",,ICE[[#This Row],[PCC]] &amp; " " &amp; ICE[[#This Row],[Rolling]] &amp; "-IEU", "Block Price")</f>
        <v/>
      </c>
      <c r="L1911" s="673"/>
      <c r="M1911" s="674" t="str">
        <f>RTD("esrtd",,ICE[[#This Row],[PCC]] &amp; " " &amp; ICE[[#This Row],[Rolling]] &amp; "-IEU", "Block Price DT")</f>
        <v/>
      </c>
      <c r="N1911" s="673" t="str">
        <f>RTD("esrtd",,ICE[[#This Row],[PCC]] &amp; " " &amp; ICE[[#This Row],[Rolling]] &amp; "-IEU", "Volume")</f>
        <v/>
      </c>
      <c r="O1911" s="673" t="str">
        <f>RTD("esrtd",,ICE[[#This Row],[PCC]] &amp; " " &amp; ICE[[#This Row],[Rolling]] &amp; "-IEU", "Block Volume")</f>
        <v/>
      </c>
      <c r="P191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1" s="674" t="str">
        <f>IF(ICE[[#This Row],[LastType]] = "Scrn", ICE[[#This Row],[LstDate]], IF(ICE[[#This Row],[LastType]] = "Blk", ICE[[#This Row],[LstBlkTime]], ""))</f>
        <v/>
      </c>
      <c r="R1911" s="675" t="str">
        <f>IF(ICE[[#This Row],[LastType]] = "Scrn", ICE[[#This Row],[LstPrc]], IF(ICE[[#This Row],[LastType]] = "Blk", ICE[[#This Row],[LstBlkPrc]], ""))</f>
        <v/>
      </c>
      <c r="S1911" s="673" t="e">
        <f>ICE[[#This Row],[Vol]]+ICE[[#This Row],[BlkVol]]</f>
        <v>#VALUE!</v>
      </c>
      <c r="T1911" s="673" t="str">
        <f>RTD("esrtd",,ICE[[#This Row],[PCC]] &amp; " " &amp; ICE[[#This Row],[Rolling]] &amp; "-IEU", "Open Interest")</f>
        <v/>
      </c>
      <c r="U1911" s="672" t="str">
        <f>RTD("esrtd",,ICE[[#This Row],[PCC]] &amp; " " &amp; ICE[[#This Row],[Rolling]] &amp; "-IEU", "Recent Settlement")</f>
        <v/>
      </c>
      <c r="V191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1" s="672" t="str">
        <f>RTD("esrtd",,ICE[[#This Row],[PCC]] &amp; " " &amp; ICE[[#This Row],[Rolling]] &amp; "-IEU", "ICE Theoretical Price")</f>
        <v/>
      </c>
      <c r="X1911" s="673" t="s">
        <v>919</v>
      </c>
    </row>
    <row r="1912" spans="1:24" x14ac:dyDescent="0.25">
      <c r="A1912" s="669" t="s">
        <v>449</v>
      </c>
      <c r="B1912" s="669" t="s">
        <v>928</v>
      </c>
      <c r="C1912" s="670">
        <v>3045330435</v>
      </c>
      <c r="D1912" s="671" t="s">
        <v>803</v>
      </c>
      <c r="E1912" s="670" t="str">
        <f>RTD("esrtd",,ICE[[#This Row],[PCC]] &amp; " " &amp; ICE[[#This Row],[Rolling]] &amp; "-IEU", "Strip")</f>
        <v/>
      </c>
      <c r="F1912" s="670" t="str">
        <f>ICE[[#This Row],[Prod]]&amp;ICE[[#This Row],[Strip]]</f>
        <v>tc5</v>
      </c>
      <c r="G1912" s="672" t="str">
        <f>RTD("esrtd",,ICE[[#This Row],[PCC]] &amp; " " &amp; ICE[[#This Row],[Rolling]] &amp; "-IEU", "Bid")</f>
        <v/>
      </c>
      <c r="H1912" s="672" t="str">
        <f>RTD("esrtd",,ICE[[#This Row],[PCC]] &amp; " " &amp; ICE[[#This Row],[Rolling]] &amp; "-IEU", "Ask")</f>
        <v/>
      </c>
      <c r="I1912" s="672" t="str">
        <f>RTD("esrtd",,ICE[[#This Row],[PCC]] &amp; " " &amp; ICE[[#This Row],[Rolling]] &amp; "-IEU", "Last")</f>
        <v/>
      </c>
      <c r="J1912" s="674" t="str">
        <f>RTD("esrtd",,ICE[[#This Row],[PCC]] &amp; " " &amp; ICE[[#This Row],[Rolling]] &amp; "-IEU", "Last Trade Time")</f>
        <v/>
      </c>
      <c r="K1912" s="672" t="str">
        <f>RTD("esrtd",,ICE[[#This Row],[PCC]] &amp; " " &amp; ICE[[#This Row],[Rolling]] &amp; "-IEU", "Block Price")</f>
        <v/>
      </c>
      <c r="L1912" s="673"/>
      <c r="M1912" s="674" t="str">
        <f>RTD("esrtd",,ICE[[#This Row],[PCC]] &amp; " " &amp; ICE[[#This Row],[Rolling]] &amp; "-IEU", "Block Price DT")</f>
        <v/>
      </c>
      <c r="N1912" s="673" t="str">
        <f>RTD("esrtd",,ICE[[#This Row],[PCC]] &amp; " " &amp; ICE[[#This Row],[Rolling]] &amp; "-IEU", "Volume")</f>
        <v/>
      </c>
      <c r="O1912" s="673" t="str">
        <f>RTD("esrtd",,ICE[[#This Row],[PCC]] &amp; " " &amp; ICE[[#This Row],[Rolling]] &amp; "-IEU", "Block Volume")</f>
        <v/>
      </c>
      <c r="P191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2" s="674" t="str">
        <f>IF(ICE[[#This Row],[LastType]] = "Scrn", ICE[[#This Row],[LstDate]], IF(ICE[[#This Row],[LastType]] = "Blk", ICE[[#This Row],[LstBlkTime]], ""))</f>
        <v/>
      </c>
      <c r="R1912" s="675" t="str">
        <f>IF(ICE[[#This Row],[LastType]] = "Scrn", ICE[[#This Row],[LstPrc]], IF(ICE[[#This Row],[LastType]] = "Blk", ICE[[#This Row],[LstBlkPrc]], ""))</f>
        <v/>
      </c>
      <c r="S1912" s="673" t="e">
        <f>ICE[[#This Row],[Vol]]+ICE[[#This Row],[BlkVol]]</f>
        <v>#VALUE!</v>
      </c>
      <c r="T1912" s="673" t="str">
        <f>RTD("esrtd",,ICE[[#This Row],[PCC]] &amp; " " &amp; ICE[[#This Row],[Rolling]] &amp; "-IEU", "Open Interest")</f>
        <v/>
      </c>
      <c r="U1912" s="672" t="str">
        <f>RTD("esrtd",,ICE[[#This Row],[PCC]] &amp; " " &amp; ICE[[#This Row],[Rolling]] &amp; "-IEU", "Recent Settlement")</f>
        <v/>
      </c>
      <c r="V191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2" s="672" t="str">
        <f>RTD("esrtd",,ICE[[#This Row],[PCC]] &amp; " " &amp; ICE[[#This Row],[Rolling]] &amp; "-IEU", "ICE Theoretical Price")</f>
        <v/>
      </c>
      <c r="X1912" s="673" t="s">
        <v>920</v>
      </c>
    </row>
    <row r="1913" spans="1:24" x14ac:dyDescent="0.25">
      <c r="A1913" s="669" t="s">
        <v>449</v>
      </c>
      <c r="B1913" s="669" t="s">
        <v>928</v>
      </c>
      <c r="C1913" s="670">
        <v>3045330435</v>
      </c>
      <c r="D1913" s="671" t="s">
        <v>814</v>
      </c>
      <c r="E1913" s="670" t="str">
        <f>RTD("esrtd",,ICE[[#This Row],[PCC]] &amp; " " &amp; ICE[[#This Row],[Rolling]] &amp; "-IEU", "Strip")</f>
        <v/>
      </c>
      <c r="F1913" s="670" t="str">
        <f>ICE[[#This Row],[Prod]]&amp;ICE[[#This Row],[Strip]]</f>
        <v>tc5</v>
      </c>
      <c r="G1913" s="672" t="str">
        <f>RTD("esrtd",,ICE[[#This Row],[PCC]] &amp; " " &amp; ICE[[#This Row],[Rolling]] &amp; "-IEU", "Bid")</f>
        <v/>
      </c>
      <c r="H1913" s="672" t="str">
        <f>RTD("esrtd",,ICE[[#This Row],[PCC]] &amp; " " &amp; ICE[[#This Row],[Rolling]] &amp; "-IEU", "Ask")</f>
        <v/>
      </c>
      <c r="I1913" s="672" t="str">
        <f>RTD("esrtd",,ICE[[#This Row],[PCC]] &amp; " " &amp; ICE[[#This Row],[Rolling]] &amp; "-IEU", "Last")</f>
        <v/>
      </c>
      <c r="J1913" s="674" t="str">
        <f>RTD("esrtd",,ICE[[#This Row],[PCC]] &amp; " " &amp; ICE[[#This Row],[Rolling]] &amp; "-IEU", "Last Trade Time")</f>
        <v/>
      </c>
      <c r="K1913" s="672" t="str">
        <f>RTD("esrtd",,ICE[[#This Row],[PCC]] &amp; " " &amp; ICE[[#This Row],[Rolling]] &amp; "-IEU", "Block Price")</f>
        <v/>
      </c>
      <c r="L1913" s="673"/>
      <c r="M1913" s="674" t="str">
        <f>RTD("esrtd",,ICE[[#This Row],[PCC]] &amp; " " &amp; ICE[[#This Row],[Rolling]] &amp; "-IEU", "Block Price DT")</f>
        <v/>
      </c>
      <c r="N1913" s="673" t="str">
        <f>RTD("esrtd",,ICE[[#This Row],[PCC]] &amp; " " &amp; ICE[[#This Row],[Rolling]] &amp; "-IEU", "Volume")</f>
        <v/>
      </c>
      <c r="O1913" s="673" t="str">
        <f>RTD("esrtd",,ICE[[#This Row],[PCC]] &amp; " " &amp; ICE[[#This Row],[Rolling]] &amp; "-IEU", "Block Volume")</f>
        <v/>
      </c>
      <c r="P191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3" s="674" t="str">
        <f>IF(ICE[[#This Row],[LastType]] = "Scrn", ICE[[#This Row],[LstDate]], IF(ICE[[#This Row],[LastType]] = "Blk", ICE[[#This Row],[LstBlkTime]], ""))</f>
        <v/>
      </c>
      <c r="R1913" s="675" t="str">
        <f>IF(ICE[[#This Row],[LastType]] = "Scrn", ICE[[#This Row],[LstPrc]], IF(ICE[[#This Row],[LastType]] = "Blk", ICE[[#This Row],[LstBlkPrc]], ""))</f>
        <v/>
      </c>
      <c r="S1913" s="673" t="e">
        <f>ICE[[#This Row],[Vol]]+ICE[[#This Row],[BlkVol]]</f>
        <v>#VALUE!</v>
      </c>
      <c r="T1913" s="673" t="str">
        <f>RTD("esrtd",,ICE[[#This Row],[PCC]] &amp; " " &amp; ICE[[#This Row],[Rolling]] &amp; "-IEU", "Open Interest")</f>
        <v/>
      </c>
      <c r="U1913" s="672" t="str">
        <f>RTD("esrtd",,ICE[[#This Row],[PCC]] &amp; " " &amp; ICE[[#This Row],[Rolling]] &amp; "-IEU", "Recent Settlement")</f>
        <v/>
      </c>
      <c r="V191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3" s="672" t="str">
        <f>RTD("esrtd",,ICE[[#This Row],[PCC]] &amp; " " &amp; ICE[[#This Row],[Rolling]] &amp; "-IEU", "ICE Theoretical Price")</f>
        <v/>
      </c>
      <c r="X1913" s="673" t="s">
        <v>921</v>
      </c>
    </row>
    <row r="1914" spans="1:24" x14ac:dyDescent="0.25">
      <c r="A1914" s="669" t="s">
        <v>449</v>
      </c>
      <c r="B1914" s="669" t="s">
        <v>928</v>
      </c>
      <c r="C1914" s="670">
        <v>3045330435</v>
      </c>
      <c r="D1914" s="671" t="s">
        <v>815</v>
      </c>
      <c r="E1914" s="670" t="str">
        <f>RTD("esrtd",,ICE[[#This Row],[PCC]] &amp; " " &amp; ICE[[#This Row],[Rolling]] &amp; "-IEU", "Strip")</f>
        <v/>
      </c>
      <c r="F1914" s="670" t="str">
        <f>ICE[[#This Row],[Prod]]&amp;ICE[[#This Row],[Strip]]</f>
        <v>tc5</v>
      </c>
      <c r="G1914" s="672" t="str">
        <f>RTD("esrtd",,ICE[[#This Row],[PCC]] &amp; " " &amp; ICE[[#This Row],[Rolling]] &amp; "-IEU", "Bid")</f>
        <v/>
      </c>
      <c r="H1914" s="672" t="str">
        <f>RTD("esrtd",,ICE[[#This Row],[PCC]] &amp; " " &amp; ICE[[#This Row],[Rolling]] &amp; "-IEU", "Ask")</f>
        <v/>
      </c>
      <c r="I1914" s="672" t="str">
        <f>RTD("esrtd",,ICE[[#This Row],[PCC]] &amp; " " &amp; ICE[[#This Row],[Rolling]] &amp; "-IEU", "Last")</f>
        <v/>
      </c>
      <c r="J1914" s="674" t="str">
        <f>RTD("esrtd",,ICE[[#This Row],[PCC]] &amp; " " &amp; ICE[[#This Row],[Rolling]] &amp; "-IEU", "Last Trade Time")</f>
        <v/>
      </c>
      <c r="K1914" s="672" t="str">
        <f>RTD("esrtd",,ICE[[#This Row],[PCC]] &amp; " " &amp; ICE[[#This Row],[Rolling]] &amp; "-IEU", "Block Price")</f>
        <v/>
      </c>
      <c r="L1914" s="673"/>
      <c r="M1914" s="674" t="str">
        <f>RTD("esrtd",,ICE[[#This Row],[PCC]] &amp; " " &amp; ICE[[#This Row],[Rolling]] &amp; "-IEU", "Block Price DT")</f>
        <v/>
      </c>
      <c r="N1914" s="673" t="str">
        <f>RTD("esrtd",,ICE[[#This Row],[PCC]] &amp; " " &amp; ICE[[#This Row],[Rolling]] &amp; "-IEU", "Volume")</f>
        <v/>
      </c>
      <c r="O1914" s="673" t="str">
        <f>RTD("esrtd",,ICE[[#This Row],[PCC]] &amp; " " &amp; ICE[[#This Row],[Rolling]] &amp; "-IEU", "Block Volume")</f>
        <v/>
      </c>
      <c r="P191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4" s="674" t="str">
        <f>IF(ICE[[#This Row],[LastType]] = "Scrn", ICE[[#This Row],[LstDate]], IF(ICE[[#This Row],[LastType]] = "Blk", ICE[[#This Row],[LstBlkTime]], ""))</f>
        <v/>
      </c>
      <c r="R1914" s="675" t="str">
        <f>IF(ICE[[#This Row],[LastType]] = "Scrn", ICE[[#This Row],[LstPrc]], IF(ICE[[#This Row],[LastType]] = "Blk", ICE[[#This Row],[LstBlkPrc]], ""))</f>
        <v/>
      </c>
      <c r="S1914" s="673" t="e">
        <f>ICE[[#This Row],[Vol]]+ICE[[#This Row],[BlkVol]]</f>
        <v>#VALUE!</v>
      </c>
      <c r="T1914" s="673" t="str">
        <f>RTD("esrtd",,ICE[[#This Row],[PCC]] &amp; " " &amp; ICE[[#This Row],[Rolling]] &amp; "-IEU", "Open Interest")</f>
        <v/>
      </c>
      <c r="U1914" s="672" t="str">
        <f>RTD("esrtd",,ICE[[#This Row],[PCC]] &amp; " " &amp; ICE[[#This Row],[Rolling]] &amp; "-IEU", "Recent Settlement")</f>
        <v/>
      </c>
      <c r="V191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4" s="672" t="str">
        <f>RTD("esrtd",,ICE[[#This Row],[PCC]] &amp; " " &amp; ICE[[#This Row],[Rolling]] &amp; "-IEU", "ICE Theoretical Price")</f>
        <v/>
      </c>
      <c r="X1914" s="673" t="s">
        <v>922</v>
      </c>
    </row>
    <row r="1915" spans="1:24" x14ac:dyDescent="0.25">
      <c r="A1915" s="669" t="s">
        <v>449</v>
      </c>
      <c r="B1915" s="669" t="s">
        <v>928</v>
      </c>
      <c r="C1915" s="670">
        <v>3045330435</v>
      </c>
      <c r="D1915" s="671" t="s">
        <v>816</v>
      </c>
      <c r="E1915" s="670" t="str">
        <f>RTD("esrtd",,ICE[[#This Row],[PCC]] &amp; " " &amp; ICE[[#This Row],[Rolling]] &amp; "-IEU", "Strip")</f>
        <v/>
      </c>
      <c r="F1915" s="670" t="str">
        <f>ICE[[#This Row],[Prod]]&amp;ICE[[#This Row],[Strip]]</f>
        <v>tc5</v>
      </c>
      <c r="G1915" s="672" t="str">
        <f>RTD("esrtd",,ICE[[#This Row],[PCC]] &amp; " " &amp; ICE[[#This Row],[Rolling]] &amp; "-IEU", "Bid")</f>
        <v/>
      </c>
      <c r="H1915" s="672" t="str">
        <f>RTD("esrtd",,ICE[[#This Row],[PCC]] &amp; " " &amp; ICE[[#This Row],[Rolling]] &amp; "-IEU", "Ask")</f>
        <v/>
      </c>
      <c r="I1915" s="672" t="str">
        <f>RTD("esrtd",,ICE[[#This Row],[PCC]] &amp; " " &amp; ICE[[#This Row],[Rolling]] &amp; "-IEU", "Last")</f>
        <v/>
      </c>
      <c r="J1915" s="674" t="str">
        <f>RTD("esrtd",,ICE[[#This Row],[PCC]] &amp; " " &amp; ICE[[#This Row],[Rolling]] &amp; "-IEU", "Last Trade Time")</f>
        <v/>
      </c>
      <c r="K1915" s="672" t="str">
        <f>RTD("esrtd",,ICE[[#This Row],[PCC]] &amp; " " &amp; ICE[[#This Row],[Rolling]] &amp; "-IEU", "Block Price")</f>
        <v/>
      </c>
      <c r="L1915" s="673"/>
      <c r="M1915" s="674" t="str">
        <f>RTD("esrtd",,ICE[[#This Row],[PCC]] &amp; " " &amp; ICE[[#This Row],[Rolling]] &amp; "-IEU", "Block Price DT")</f>
        <v/>
      </c>
      <c r="N1915" s="673" t="str">
        <f>RTD("esrtd",,ICE[[#This Row],[PCC]] &amp; " " &amp; ICE[[#This Row],[Rolling]] &amp; "-IEU", "Volume")</f>
        <v/>
      </c>
      <c r="O1915" s="673" t="str">
        <f>RTD("esrtd",,ICE[[#This Row],[PCC]] &amp; " " &amp; ICE[[#This Row],[Rolling]] &amp; "-IEU", "Block Volume")</f>
        <v/>
      </c>
      <c r="P191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5" s="674" t="str">
        <f>IF(ICE[[#This Row],[LastType]] = "Scrn", ICE[[#This Row],[LstDate]], IF(ICE[[#This Row],[LastType]] = "Blk", ICE[[#This Row],[LstBlkTime]], ""))</f>
        <v/>
      </c>
      <c r="R1915" s="675" t="str">
        <f>IF(ICE[[#This Row],[LastType]] = "Scrn", ICE[[#This Row],[LstPrc]], IF(ICE[[#This Row],[LastType]] = "Blk", ICE[[#This Row],[LstBlkPrc]], ""))</f>
        <v/>
      </c>
      <c r="S1915" s="673" t="e">
        <f>ICE[[#This Row],[Vol]]+ICE[[#This Row],[BlkVol]]</f>
        <v>#VALUE!</v>
      </c>
      <c r="T1915" s="673" t="str">
        <f>RTD("esrtd",,ICE[[#This Row],[PCC]] &amp; " " &amp; ICE[[#This Row],[Rolling]] &amp; "-IEU", "Open Interest")</f>
        <v/>
      </c>
      <c r="U1915" s="672" t="str">
        <f>RTD("esrtd",,ICE[[#This Row],[PCC]] &amp; " " &amp; ICE[[#This Row],[Rolling]] &amp; "-IEU", "Recent Settlement")</f>
        <v/>
      </c>
      <c r="V191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5" s="672" t="str">
        <f>RTD("esrtd",,ICE[[#This Row],[PCC]] &amp; " " &amp; ICE[[#This Row],[Rolling]] &amp; "-IEU", "ICE Theoretical Price")</f>
        <v/>
      </c>
      <c r="X1915" s="673" t="s">
        <v>923</v>
      </c>
    </row>
    <row r="1916" spans="1:24" x14ac:dyDescent="0.25">
      <c r="A1916" s="669" t="s">
        <v>449</v>
      </c>
      <c r="B1916" s="669" t="s">
        <v>928</v>
      </c>
      <c r="C1916" s="670">
        <v>3045330435</v>
      </c>
      <c r="D1916" s="671" t="s">
        <v>817</v>
      </c>
      <c r="E1916" s="670" t="str">
        <f>RTD("esrtd",,ICE[[#This Row],[PCC]] &amp; " " &amp; ICE[[#This Row],[Rolling]] &amp; "-IEU", "Strip")</f>
        <v/>
      </c>
      <c r="F1916" s="670" t="str">
        <f>ICE[[#This Row],[Prod]]&amp;ICE[[#This Row],[Strip]]</f>
        <v>tc5</v>
      </c>
      <c r="G1916" s="672" t="str">
        <f>RTD("esrtd",,ICE[[#This Row],[PCC]] &amp; " " &amp; ICE[[#This Row],[Rolling]] &amp; "-IEU", "Bid")</f>
        <v/>
      </c>
      <c r="H1916" s="672" t="str">
        <f>RTD("esrtd",,ICE[[#This Row],[PCC]] &amp; " " &amp; ICE[[#This Row],[Rolling]] &amp; "-IEU", "Ask")</f>
        <v/>
      </c>
      <c r="I1916" s="672" t="str">
        <f>RTD("esrtd",,ICE[[#This Row],[PCC]] &amp; " " &amp; ICE[[#This Row],[Rolling]] &amp; "-IEU", "Last")</f>
        <v/>
      </c>
      <c r="J1916" s="674" t="str">
        <f>RTD("esrtd",,ICE[[#This Row],[PCC]] &amp; " " &amp; ICE[[#This Row],[Rolling]] &amp; "-IEU", "Last Trade Time")</f>
        <v/>
      </c>
      <c r="K1916" s="672" t="str">
        <f>RTD("esrtd",,ICE[[#This Row],[PCC]] &amp; " " &amp; ICE[[#This Row],[Rolling]] &amp; "-IEU", "Block Price")</f>
        <v/>
      </c>
      <c r="L1916" s="673"/>
      <c r="M1916" s="674" t="str">
        <f>RTD("esrtd",,ICE[[#This Row],[PCC]] &amp; " " &amp; ICE[[#This Row],[Rolling]] &amp; "-IEU", "Block Price DT")</f>
        <v/>
      </c>
      <c r="N1916" s="673" t="str">
        <f>RTD("esrtd",,ICE[[#This Row],[PCC]] &amp; " " &amp; ICE[[#This Row],[Rolling]] &amp; "-IEU", "Volume")</f>
        <v/>
      </c>
      <c r="O1916" s="673" t="str">
        <f>RTD("esrtd",,ICE[[#This Row],[PCC]] &amp; " " &amp; ICE[[#This Row],[Rolling]] &amp; "-IEU", "Block Volume")</f>
        <v/>
      </c>
      <c r="P191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6" s="674" t="str">
        <f>IF(ICE[[#This Row],[LastType]] = "Scrn", ICE[[#This Row],[LstDate]], IF(ICE[[#This Row],[LastType]] = "Blk", ICE[[#This Row],[LstBlkTime]], ""))</f>
        <v/>
      </c>
      <c r="R1916" s="675" t="str">
        <f>IF(ICE[[#This Row],[LastType]] = "Scrn", ICE[[#This Row],[LstPrc]], IF(ICE[[#This Row],[LastType]] = "Blk", ICE[[#This Row],[LstBlkPrc]], ""))</f>
        <v/>
      </c>
      <c r="S1916" s="673" t="e">
        <f>ICE[[#This Row],[Vol]]+ICE[[#This Row],[BlkVol]]</f>
        <v>#VALUE!</v>
      </c>
      <c r="T1916" s="673" t="str">
        <f>RTD("esrtd",,ICE[[#This Row],[PCC]] &amp; " " &amp; ICE[[#This Row],[Rolling]] &amp; "-IEU", "Open Interest")</f>
        <v/>
      </c>
      <c r="U1916" s="672" t="str">
        <f>RTD("esrtd",,ICE[[#This Row],[PCC]] &amp; " " &amp; ICE[[#This Row],[Rolling]] &amp; "-IEU", "Recent Settlement")</f>
        <v/>
      </c>
      <c r="V191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6" s="672" t="str">
        <f>RTD("esrtd",,ICE[[#This Row],[PCC]] &amp; " " &amp; ICE[[#This Row],[Rolling]] &amp; "-IEU", "ICE Theoretical Price")</f>
        <v/>
      </c>
      <c r="X1916" s="673" t="s">
        <v>924</v>
      </c>
    </row>
    <row r="1917" spans="1:24" x14ac:dyDescent="0.25">
      <c r="A1917" s="669" t="s">
        <v>449</v>
      </c>
      <c r="B1917" s="669" t="s">
        <v>928</v>
      </c>
      <c r="C1917" s="670">
        <v>3045330435</v>
      </c>
      <c r="D1917" s="671" t="s">
        <v>822</v>
      </c>
      <c r="E1917" s="670" t="str">
        <f>RTD("esrtd",,ICE[[#This Row],[PCC]] &amp; " " &amp; ICE[[#This Row],[Rolling]] &amp; "-IEU", "Strip")</f>
        <v/>
      </c>
      <c r="F1917" s="670" t="str">
        <f>ICE[[#This Row],[Prod]]&amp;ICE[[#This Row],[Strip]]</f>
        <v>tc5</v>
      </c>
      <c r="G1917" s="672" t="str">
        <f>RTD("esrtd",,ICE[[#This Row],[PCC]] &amp; " " &amp; ICE[[#This Row],[Rolling]] &amp; "-IEU", "Bid")</f>
        <v/>
      </c>
      <c r="H1917" s="672" t="str">
        <f>RTD("esrtd",,ICE[[#This Row],[PCC]] &amp; " " &amp; ICE[[#This Row],[Rolling]] &amp; "-IEU", "Ask")</f>
        <v/>
      </c>
      <c r="I1917" s="672" t="str">
        <f>RTD("esrtd",,ICE[[#This Row],[PCC]] &amp; " " &amp; ICE[[#This Row],[Rolling]] &amp; "-IEU", "Last")</f>
        <v/>
      </c>
      <c r="J1917" s="674" t="str">
        <f>RTD("esrtd",,ICE[[#This Row],[PCC]] &amp; " " &amp; ICE[[#This Row],[Rolling]] &amp; "-IEU", "Last Trade Time")</f>
        <v/>
      </c>
      <c r="K1917" s="672" t="str">
        <f>RTD("esrtd",,ICE[[#This Row],[PCC]] &amp; " " &amp; ICE[[#This Row],[Rolling]] &amp; "-IEU", "Block Price")</f>
        <v/>
      </c>
      <c r="L1917" s="673"/>
      <c r="M1917" s="674" t="str">
        <f>RTD("esrtd",,ICE[[#This Row],[PCC]] &amp; " " &amp; ICE[[#This Row],[Rolling]] &amp; "-IEU", "Block Price DT")</f>
        <v/>
      </c>
      <c r="N1917" s="673" t="str">
        <f>RTD("esrtd",,ICE[[#This Row],[PCC]] &amp; " " &amp; ICE[[#This Row],[Rolling]] &amp; "-IEU", "Volume")</f>
        <v/>
      </c>
      <c r="O1917" s="673" t="str">
        <f>RTD("esrtd",,ICE[[#This Row],[PCC]] &amp; " " &amp; ICE[[#This Row],[Rolling]] &amp; "-IEU", "Block Volume")</f>
        <v/>
      </c>
      <c r="P191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7" s="674" t="str">
        <f>IF(ICE[[#This Row],[LastType]] = "Scrn", ICE[[#This Row],[LstDate]], IF(ICE[[#This Row],[LastType]] = "Blk", ICE[[#This Row],[LstBlkTime]], ""))</f>
        <v/>
      </c>
      <c r="R1917" s="675" t="str">
        <f>IF(ICE[[#This Row],[LastType]] = "Scrn", ICE[[#This Row],[LstPrc]], IF(ICE[[#This Row],[LastType]] = "Blk", ICE[[#This Row],[LstBlkPrc]], ""))</f>
        <v/>
      </c>
      <c r="S1917" s="673" t="e">
        <f>ICE[[#This Row],[Vol]]+ICE[[#This Row],[BlkVol]]</f>
        <v>#VALUE!</v>
      </c>
      <c r="T1917" s="673" t="str">
        <f>RTD("esrtd",,ICE[[#This Row],[PCC]] &amp; " " &amp; ICE[[#This Row],[Rolling]] &amp; "-IEU", "Open Interest")</f>
        <v/>
      </c>
      <c r="U1917" s="672" t="str">
        <f>RTD("esrtd",,ICE[[#This Row],[PCC]] &amp; " " &amp; ICE[[#This Row],[Rolling]] &amp; "-IEU", "Recent Settlement")</f>
        <v/>
      </c>
      <c r="V191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7" s="672" t="str">
        <f>RTD("esrtd",,ICE[[#This Row],[PCC]] &amp; " " &amp; ICE[[#This Row],[Rolling]] &amp; "-IEU", "ICE Theoretical Price")</f>
        <v/>
      </c>
      <c r="X1917" s="673" t="s">
        <v>925</v>
      </c>
    </row>
    <row r="1918" spans="1:24" x14ac:dyDescent="0.25">
      <c r="A1918" s="669" t="s">
        <v>451</v>
      </c>
      <c r="B1918" s="669" t="s">
        <v>929</v>
      </c>
      <c r="C1918" s="670">
        <v>3045330435</v>
      </c>
      <c r="D1918" s="671" t="s">
        <v>793</v>
      </c>
      <c r="E1918" s="670" t="str">
        <f>RTD("esrtd",,ICE[[#This Row],[PCC]] &amp; " " &amp; ICE[[#This Row],[Rolling]] &amp; "-IEU", "Strip")</f>
        <v/>
      </c>
      <c r="F1918" s="670" t="str">
        <f>ICE[[#This Row],[Prod]]&amp;ICE[[#This Row],[Strip]]</f>
        <v>tc14</v>
      </c>
      <c r="G1918" s="672" t="str">
        <f>RTD("esrtd",,ICE[[#This Row],[PCC]] &amp; " " &amp; ICE[[#This Row],[Rolling]] &amp; "-IEU", "Bid")</f>
        <v/>
      </c>
      <c r="H1918" s="672" t="str">
        <f>RTD("esrtd",,ICE[[#This Row],[PCC]] &amp; " " &amp; ICE[[#This Row],[Rolling]] &amp; "-IEU", "Ask")</f>
        <v/>
      </c>
      <c r="I1918" s="672" t="str">
        <f>RTD("esrtd",,ICE[[#This Row],[PCC]] &amp; " " &amp; ICE[[#This Row],[Rolling]] &amp; "-IEU", "Last")</f>
        <v/>
      </c>
      <c r="J1918" s="674" t="str">
        <f>RTD("esrtd",,ICE[[#This Row],[PCC]] &amp; " " &amp; ICE[[#This Row],[Rolling]] &amp; "-IEU", "Last Trade Time")</f>
        <v/>
      </c>
      <c r="K1918" s="672" t="str">
        <f>RTD("esrtd",,ICE[[#This Row],[PCC]] &amp; " " &amp; ICE[[#This Row],[Rolling]] &amp; "-IEU", "Block Price")</f>
        <v/>
      </c>
      <c r="L1918" s="673"/>
      <c r="M1918" s="674" t="str">
        <f>RTD("esrtd",,ICE[[#This Row],[PCC]] &amp; " " &amp; ICE[[#This Row],[Rolling]] &amp; "-IEU", "Block Price DT")</f>
        <v/>
      </c>
      <c r="N1918" s="673" t="str">
        <f>RTD("esrtd",,ICE[[#This Row],[PCC]] &amp; " " &amp; ICE[[#This Row],[Rolling]] &amp; "-IEU", "Volume")</f>
        <v/>
      </c>
      <c r="O1918" s="673" t="str">
        <f>RTD("esrtd",,ICE[[#This Row],[PCC]] &amp; " " &amp; ICE[[#This Row],[Rolling]] &amp; "-IEU", "Block Volume")</f>
        <v/>
      </c>
      <c r="P191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8" s="674" t="str">
        <f>IF(ICE[[#This Row],[LastType]] = "Scrn", ICE[[#This Row],[LstDate]], IF(ICE[[#This Row],[LastType]] = "Blk", ICE[[#This Row],[LstBlkTime]], ""))</f>
        <v/>
      </c>
      <c r="R1918" s="675" t="str">
        <f>IF(ICE[[#This Row],[LastType]] = "Scrn", ICE[[#This Row],[LstPrc]], IF(ICE[[#This Row],[LastType]] = "Blk", ICE[[#This Row],[LstBlkPrc]], ""))</f>
        <v/>
      </c>
      <c r="S1918" s="673" t="e">
        <f>ICE[[#This Row],[Vol]]+ICE[[#This Row],[BlkVol]]</f>
        <v>#VALUE!</v>
      </c>
      <c r="T1918" s="673" t="str">
        <f>RTD("esrtd",,ICE[[#This Row],[PCC]] &amp; " " &amp; ICE[[#This Row],[Rolling]] &amp; "-IEU", "Open Interest")</f>
        <v/>
      </c>
      <c r="U1918" s="672" t="str">
        <f>RTD("esrtd",,ICE[[#This Row],[PCC]] &amp; " " &amp; ICE[[#This Row],[Rolling]] &amp; "-IEU", "Recent Settlement")</f>
        <v/>
      </c>
      <c r="V191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8" s="672" t="str">
        <f>RTD("esrtd",,ICE[[#This Row],[PCC]] &amp; " " &amp; ICE[[#This Row],[Rolling]] &amp; "-IEU", "ICE Theoretical Price")</f>
        <v/>
      </c>
      <c r="X1918" s="673" t="s">
        <v>891</v>
      </c>
    </row>
    <row r="1919" spans="1:24" x14ac:dyDescent="0.25">
      <c r="A1919" s="669" t="s">
        <v>451</v>
      </c>
      <c r="B1919" s="669" t="s">
        <v>929</v>
      </c>
      <c r="C1919" s="670">
        <v>3045330435</v>
      </c>
      <c r="D1919" s="671" t="s">
        <v>324</v>
      </c>
      <c r="E1919" s="670" t="str">
        <f>RTD("esrtd",,ICE[[#This Row],[PCC]] &amp; " " &amp; ICE[[#This Row],[Rolling]] &amp; "-IEU", "Strip")</f>
        <v/>
      </c>
      <c r="F1919" s="670" t="str">
        <f>ICE[[#This Row],[Prod]]&amp;ICE[[#This Row],[Strip]]</f>
        <v>tc14</v>
      </c>
      <c r="G1919" s="672" t="str">
        <f>RTD("esrtd",,ICE[[#This Row],[PCC]] &amp; " " &amp; ICE[[#This Row],[Rolling]] &amp; "-IEU", "Bid")</f>
        <v/>
      </c>
      <c r="H1919" s="672" t="str">
        <f>RTD("esrtd",,ICE[[#This Row],[PCC]] &amp; " " &amp; ICE[[#This Row],[Rolling]] &amp; "-IEU", "Ask")</f>
        <v/>
      </c>
      <c r="I1919" s="672" t="str">
        <f>RTD("esrtd",,ICE[[#This Row],[PCC]] &amp; " " &amp; ICE[[#This Row],[Rolling]] &amp; "-IEU", "Last")</f>
        <v/>
      </c>
      <c r="J1919" s="674" t="str">
        <f>RTD("esrtd",,ICE[[#This Row],[PCC]] &amp; " " &amp; ICE[[#This Row],[Rolling]] &amp; "-IEU", "Last Trade Time")</f>
        <v/>
      </c>
      <c r="K1919" s="672" t="str">
        <f>RTD("esrtd",,ICE[[#This Row],[PCC]] &amp; " " &amp; ICE[[#This Row],[Rolling]] &amp; "-IEU", "Block Price")</f>
        <v/>
      </c>
      <c r="L1919" s="673"/>
      <c r="M1919" s="674" t="str">
        <f>RTD("esrtd",,ICE[[#This Row],[PCC]] &amp; " " &amp; ICE[[#This Row],[Rolling]] &amp; "-IEU", "Block Price DT")</f>
        <v/>
      </c>
      <c r="N1919" s="673" t="str">
        <f>RTD("esrtd",,ICE[[#This Row],[PCC]] &amp; " " &amp; ICE[[#This Row],[Rolling]] &amp; "-IEU", "Volume")</f>
        <v/>
      </c>
      <c r="O1919" s="673" t="str">
        <f>RTD("esrtd",,ICE[[#This Row],[PCC]] &amp; " " &amp; ICE[[#This Row],[Rolling]] &amp; "-IEU", "Block Volume")</f>
        <v/>
      </c>
      <c r="P191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19" s="674" t="str">
        <f>IF(ICE[[#This Row],[LastType]] = "Scrn", ICE[[#This Row],[LstDate]], IF(ICE[[#This Row],[LastType]] = "Blk", ICE[[#This Row],[LstBlkTime]], ""))</f>
        <v/>
      </c>
      <c r="R1919" s="675" t="str">
        <f>IF(ICE[[#This Row],[LastType]] = "Scrn", ICE[[#This Row],[LstPrc]], IF(ICE[[#This Row],[LastType]] = "Blk", ICE[[#This Row],[LstBlkPrc]], ""))</f>
        <v/>
      </c>
      <c r="S1919" s="673" t="e">
        <f>ICE[[#This Row],[Vol]]+ICE[[#This Row],[BlkVol]]</f>
        <v>#VALUE!</v>
      </c>
      <c r="T1919" s="673" t="str">
        <f>RTD("esrtd",,ICE[[#This Row],[PCC]] &amp; " " &amp; ICE[[#This Row],[Rolling]] &amp; "-IEU", "Open Interest")</f>
        <v/>
      </c>
      <c r="U1919" s="672" t="str">
        <f>RTD("esrtd",,ICE[[#This Row],[PCC]] &amp; " " &amp; ICE[[#This Row],[Rolling]] &amp; "-IEU", "Recent Settlement")</f>
        <v/>
      </c>
      <c r="V191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19" s="672" t="str">
        <f>RTD("esrtd",,ICE[[#This Row],[PCC]] &amp; " " &amp; ICE[[#This Row],[Rolling]] &amp; "-IEU", "ICE Theoretical Price")</f>
        <v/>
      </c>
      <c r="X1919" s="673" t="s">
        <v>892</v>
      </c>
    </row>
    <row r="1920" spans="1:24" x14ac:dyDescent="0.25">
      <c r="A1920" s="669" t="s">
        <v>451</v>
      </c>
      <c r="B1920" s="669" t="s">
        <v>929</v>
      </c>
      <c r="C1920" s="670">
        <v>3045330435</v>
      </c>
      <c r="D1920" s="671" t="s">
        <v>325</v>
      </c>
      <c r="E1920" s="670" t="str">
        <f>RTD("esrtd",,ICE[[#This Row],[PCC]] &amp; " " &amp; ICE[[#This Row],[Rolling]] &amp; "-IEU", "Strip")</f>
        <v/>
      </c>
      <c r="F1920" s="670" t="str">
        <f>ICE[[#This Row],[Prod]]&amp;ICE[[#This Row],[Strip]]</f>
        <v>tc14</v>
      </c>
      <c r="G1920" s="672" t="str">
        <f>RTD("esrtd",,ICE[[#This Row],[PCC]] &amp; " " &amp; ICE[[#This Row],[Rolling]] &amp; "-IEU", "Bid")</f>
        <v/>
      </c>
      <c r="H1920" s="672" t="str">
        <f>RTD("esrtd",,ICE[[#This Row],[PCC]] &amp; " " &amp; ICE[[#This Row],[Rolling]] &amp; "-IEU", "Ask")</f>
        <v/>
      </c>
      <c r="I1920" s="672" t="str">
        <f>RTD("esrtd",,ICE[[#This Row],[PCC]] &amp; " " &amp; ICE[[#This Row],[Rolling]] &amp; "-IEU", "Last")</f>
        <v/>
      </c>
      <c r="J1920" s="674" t="str">
        <f>RTD("esrtd",,ICE[[#This Row],[PCC]] &amp; " " &amp; ICE[[#This Row],[Rolling]] &amp; "-IEU", "Last Trade Time")</f>
        <v/>
      </c>
      <c r="K1920" s="672" t="str">
        <f>RTD("esrtd",,ICE[[#This Row],[PCC]] &amp; " " &amp; ICE[[#This Row],[Rolling]] &amp; "-IEU", "Block Price")</f>
        <v/>
      </c>
      <c r="L1920" s="673"/>
      <c r="M1920" s="674" t="str">
        <f>RTD("esrtd",,ICE[[#This Row],[PCC]] &amp; " " &amp; ICE[[#This Row],[Rolling]] &amp; "-IEU", "Block Price DT")</f>
        <v/>
      </c>
      <c r="N1920" s="673" t="str">
        <f>RTD("esrtd",,ICE[[#This Row],[PCC]] &amp; " " &amp; ICE[[#This Row],[Rolling]] &amp; "-IEU", "Volume")</f>
        <v/>
      </c>
      <c r="O1920" s="673" t="str">
        <f>RTD("esrtd",,ICE[[#This Row],[PCC]] &amp; " " &amp; ICE[[#This Row],[Rolling]] &amp; "-IEU", "Block Volume")</f>
        <v/>
      </c>
      <c r="P192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0" s="674" t="str">
        <f>IF(ICE[[#This Row],[LastType]] = "Scrn", ICE[[#This Row],[LstDate]], IF(ICE[[#This Row],[LastType]] = "Blk", ICE[[#This Row],[LstBlkTime]], ""))</f>
        <v/>
      </c>
      <c r="R1920" s="675" t="str">
        <f>IF(ICE[[#This Row],[LastType]] = "Scrn", ICE[[#This Row],[LstPrc]], IF(ICE[[#This Row],[LastType]] = "Blk", ICE[[#This Row],[LstBlkPrc]], ""))</f>
        <v/>
      </c>
      <c r="S1920" s="673" t="e">
        <f>ICE[[#This Row],[Vol]]+ICE[[#This Row],[BlkVol]]</f>
        <v>#VALUE!</v>
      </c>
      <c r="T1920" s="673" t="str">
        <f>RTD("esrtd",,ICE[[#This Row],[PCC]] &amp; " " &amp; ICE[[#This Row],[Rolling]] &amp; "-IEU", "Open Interest")</f>
        <v/>
      </c>
      <c r="U1920" s="672" t="str">
        <f>RTD("esrtd",,ICE[[#This Row],[PCC]] &amp; " " &amp; ICE[[#This Row],[Rolling]] &amp; "-IEU", "Recent Settlement")</f>
        <v/>
      </c>
      <c r="V192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0" s="672" t="str">
        <f>RTD("esrtd",,ICE[[#This Row],[PCC]] &amp; " " &amp; ICE[[#This Row],[Rolling]] &amp; "-IEU", "ICE Theoretical Price")</f>
        <v/>
      </c>
      <c r="X1920" s="673" t="s">
        <v>893</v>
      </c>
    </row>
    <row r="1921" spans="1:24" x14ac:dyDescent="0.25">
      <c r="A1921" s="669" t="s">
        <v>451</v>
      </c>
      <c r="B1921" s="669" t="s">
        <v>929</v>
      </c>
      <c r="C1921" s="670">
        <v>3045330435</v>
      </c>
      <c r="D1921" s="671" t="s">
        <v>326</v>
      </c>
      <c r="E1921" s="670" t="str">
        <f>RTD("esrtd",,ICE[[#This Row],[PCC]] &amp; " " &amp; ICE[[#This Row],[Rolling]] &amp; "-IEU", "Strip")</f>
        <v/>
      </c>
      <c r="F1921" s="670" t="str">
        <f>ICE[[#This Row],[Prod]]&amp;ICE[[#This Row],[Strip]]</f>
        <v>tc14</v>
      </c>
      <c r="G1921" s="672" t="str">
        <f>RTD("esrtd",,ICE[[#This Row],[PCC]] &amp; " " &amp; ICE[[#This Row],[Rolling]] &amp; "-IEU", "Bid")</f>
        <v/>
      </c>
      <c r="H1921" s="672" t="str">
        <f>RTD("esrtd",,ICE[[#This Row],[PCC]] &amp; " " &amp; ICE[[#This Row],[Rolling]] &amp; "-IEU", "Ask")</f>
        <v/>
      </c>
      <c r="I1921" s="672" t="str">
        <f>RTD("esrtd",,ICE[[#This Row],[PCC]] &amp; " " &amp; ICE[[#This Row],[Rolling]] &amp; "-IEU", "Last")</f>
        <v/>
      </c>
      <c r="J1921" s="674" t="str">
        <f>RTD("esrtd",,ICE[[#This Row],[PCC]] &amp; " " &amp; ICE[[#This Row],[Rolling]] &amp; "-IEU", "Last Trade Time")</f>
        <v/>
      </c>
      <c r="K1921" s="672" t="str">
        <f>RTD("esrtd",,ICE[[#This Row],[PCC]] &amp; " " &amp; ICE[[#This Row],[Rolling]] &amp; "-IEU", "Block Price")</f>
        <v/>
      </c>
      <c r="L1921" s="673"/>
      <c r="M1921" s="674" t="str">
        <f>RTD("esrtd",,ICE[[#This Row],[PCC]] &amp; " " &amp; ICE[[#This Row],[Rolling]] &amp; "-IEU", "Block Price DT")</f>
        <v/>
      </c>
      <c r="N1921" s="673" t="str">
        <f>RTD("esrtd",,ICE[[#This Row],[PCC]] &amp; " " &amp; ICE[[#This Row],[Rolling]] &amp; "-IEU", "Volume")</f>
        <v/>
      </c>
      <c r="O1921" s="673" t="str">
        <f>RTD("esrtd",,ICE[[#This Row],[PCC]] &amp; " " &amp; ICE[[#This Row],[Rolling]] &amp; "-IEU", "Block Volume")</f>
        <v/>
      </c>
      <c r="P192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1" s="674" t="str">
        <f>IF(ICE[[#This Row],[LastType]] = "Scrn", ICE[[#This Row],[LstDate]], IF(ICE[[#This Row],[LastType]] = "Blk", ICE[[#This Row],[LstBlkTime]], ""))</f>
        <v/>
      </c>
      <c r="R1921" s="675" t="str">
        <f>IF(ICE[[#This Row],[LastType]] = "Scrn", ICE[[#This Row],[LstPrc]], IF(ICE[[#This Row],[LastType]] = "Blk", ICE[[#This Row],[LstBlkPrc]], ""))</f>
        <v/>
      </c>
      <c r="S1921" s="673" t="e">
        <f>ICE[[#This Row],[Vol]]+ICE[[#This Row],[BlkVol]]</f>
        <v>#VALUE!</v>
      </c>
      <c r="T1921" s="673" t="str">
        <f>RTD("esrtd",,ICE[[#This Row],[PCC]] &amp; " " &amp; ICE[[#This Row],[Rolling]] &amp; "-IEU", "Open Interest")</f>
        <v/>
      </c>
      <c r="U1921" s="672" t="str">
        <f>RTD("esrtd",,ICE[[#This Row],[PCC]] &amp; " " &amp; ICE[[#This Row],[Rolling]] &amp; "-IEU", "Recent Settlement")</f>
        <v/>
      </c>
      <c r="V192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1" s="672" t="str">
        <f>RTD("esrtd",,ICE[[#This Row],[PCC]] &amp; " " &amp; ICE[[#This Row],[Rolling]] &amp; "-IEU", "ICE Theoretical Price")</f>
        <v/>
      </c>
      <c r="X1921" s="673" t="s">
        <v>894</v>
      </c>
    </row>
    <row r="1922" spans="1:24" x14ac:dyDescent="0.25">
      <c r="A1922" s="669" t="s">
        <v>451</v>
      </c>
      <c r="B1922" s="669" t="s">
        <v>929</v>
      </c>
      <c r="C1922" s="670">
        <v>3045330435</v>
      </c>
      <c r="D1922" s="671" t="s">
        <v>794</v>
      </c>
      <c r="E1922" s="670" t="str">
        <f>RTD("esrtd",,ICE[[#This Row],[PCC]] &amp; " " &amp; ICE[[#This Row],[Rolling]] &amp; "-IEU", "Strip")</f>
        <v/>
      </c>
      <c r="F1922" s="670" t="str">
        <f>ICE[[#This Row],[Prod]]&amp;ICE[[#This Row],[Strip]]</f>
        <v>tc14</v>
      </c>
      <c r="G1922" s="672" t="str">
        <f>RTD("esrtd",,ICE[[#This Row],[PCC]] &amp; " " &amp; ICE[[#This Row],[Rolling]] &amp; "-IEU", "Bid")</f>
        <v/>
      </c>
      <c r="H1922" s="672" t="str">
        <f>RTD("esrtd",,ICE[[#This Row],[PCC]] &amp; " " &amp; ICE[[#This Row],[Rolling]] &amp; "-IEU", "Ask")</f>
        <v/>
      </c>
      <c r="I1922" s="672" t="str">
        <f>RTD("esrtd",,ICE[[#This Row],[PCC]] &amp; " " &amp; ICE[[#This Row],[Rolling]] &amp; "-IEU", "Last")</f>
        <v/>
      </c>
      <c r="J1922" s="674" t="str">
        <f>RTD("esrtd",,ICE[[#This Row],[PCC]] &amp; " " &amp; ICE[[#This Row],[Rolling]] &amp; "-IEU", "Last Trade Time")</f>
        <v/>
      </c>
      <c r="K1922" s="672" t="str">
        <f>RTD("esrtd",,ICE[[#This Row],[PCC]] &amp; " " &amp; ICE[[#This Row],[Rolling]] &amp; "-IEU", "Block Price")</f>
        <v/>
      </c>
      <c r="L1922" s="673"/>
      <c r="M1922" s="674" t="str">
        <f>RTD("esrtd",,ICE[[#This Row],[PCC]] &amp; " " &amp; ICE[[#This Row],[Rolling]] &amp; "-IEU", "Block Price DT")</f>
        <v/>
      </c>
      <c r="N1922" s="673" t="str">
        <f>RTD("esrtd",,ICE[[#This Row],[PCC]] &amp; " " &amp; ICE[[#This Row],[Rolling]] &amp; "-IEU", "Volume")</f>
        <v/>
      </c>
      <c r="O1922" s="673" t="str">
        <f>RTD("esrtd",,ICE[[#This Row],[PCC]] &amp; " " &amp; ICE[[#This Row],[Rolling]] &amp; "-IEU", "Block Volume")</f>
        <v/>
      </c>
      <c r="P192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2" s="674" t="str">
        <f>IF(ICE[[#This Row],[LastType]] = "Scrn", ICE[[#This Row],[LstDate]], IF(ICE[[#This Row],[LastType]] = "Blk", ICE[[#This Row],[LstBlkTime]], ""))</f>
        <v/>
      </c>
      <c r="R1922" s="675" t="str">
        <f>IF(ICE[[#This Row],[LastType]] = "Scrn", ICE[[#This Row],[LstPrc]], IF(ICE[[#This Row],[LastType]] = "Blk", ICE[[#This Row],[LstBlkPrc]], ""))</f>
        <v/>
      </c>
      <c r="S1922" s="673" t="e">
        <f>ICE[[#This Row],[Vol]]+ICE[[#This Row],[BlkVol]]</f>
        <v>#VALUE!</v>
      </c>
      <c r="T1922" s="673" t="str">
        <f>RTD("esrtd",,ICE[[#This Row],[PCC]] &amp; " " &amp; ICE[[#This Row],[Rolling]] &amp; "-IEU", "Open Interest")</f>
        <v/>
      </c>
      <c r="U1922" s="672" t="str">
        <f>RTD("esrtd",,ICE[[#This Row],[PCC]] &amp; " " &amp; ICE[[#This Row],[Rolling]] &amp; "-IEU", "Recent Settlement")</f>
        <v/>
      </c>
      <c r="V192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2" s="672" t="str">
        <f>RTD("esrtd",,ICE[[#This Row],[PCC]] &amp; " " &amp; ICE[[#This Row],[Rolling]] &amp; "-IEU", "ICE Theoretical Price")</f>
        <v/>
      </c>
      <c r="X1922" s="673" t="s">
        <v>895</v>
      </c>
    </row>
    <row r="1923" spans="1:24" x14ac:dyDescent="0.25">
      <c r="A1923" s="669" t="s">
        <v>451</v>
      </c>
      <c r="B1923" s="669" t="s">
        <v>929</v>
      </c>
      <c r="C1923" s="670">
        <v>3045330435</v>
      </c>
      <c r="D1923" s="671" t="s">
        <v>795</v>
      </c>
      <c r="E1923" s="670" t="str">
        <f>RTD("esrtd",,ICE[[#This Row],[PCC]] &amp; " " &amp; ICE[[#This Row],[Rolling]] &amp; "-IEU", "Strip")</f>
        <v/>
      </c>
      <c r="F1923" s="670" t="str">
        <f>ICE[[#This Row],[Prod]]&amp;ICE[[#This Row],[Strip]]</f>
        <v>tc14</v>
      </c>
      <c r="G1923" s="672" t="str">
        <f>RTD("esrtd",,ICE[[#This Row],[PCC]] &amp; " " &amp; ICE[[#This Row],[Rolling]] &amp; "-IEU", "Bid")</f>
        <v/>
      </c>
      <c r="H1923" s="672" t="str">
        <f>RTD("esrtd",,ICE[[#This Row],[PCC]] &amp; " " &amp; ICE[[#This Row],[Rolling]] &amp; "-IEU", "Ask")</f>
        <v/>
      </c>
      <c r="I1923" s="672" t="str">
        <f>RTD("esrtd",,ICE[[#This Row],[PCC]] &amp; " " &amp; ICE[[#This Row],[Rolling]] &amp; "-IEU", "Last")</f>
        <v/>
      </c>
      <c r="J1923" s="674" t="str">
        <f>RTD("esrtd",,ICE[[#This Row],[PCC]] &amp; " " &amp; ICE[[#This Row],[Rolling]] &amp; "-IEU", "Last Trade Time")</f>
        <v/>
      </c>
      <c r="K1923" s="672" t="str">
        <f>RTD("esrtd",,ICE[[#This Row],[PCC]] &amp; " " &amp; ICE[[#This Row],[Rolling]] &amp; "-IEU", "Block Price")</f>
        <v/>
      </c>
      <c r="L1923" s="673"/>
      <c r="M1923" s="674" t="str">
        <f>RTD("esrtd",,ICE[[#This Row],[PCC]] &amp; " " &amp; ICE[[#This Row],[Rolling]] &amp; "-IEU", "Block Price DT")</f>
        <v/>
      </c>
      <c r="N1923" s="673" t="str">
        <f>RTD("esrtd",,ICE[[#This Row],[PCC]] &amp; " " &amp; ICE[[#This Row],[Rolling]] &amp; "-IEU", "Volume")</f>
        <v/>
      </c>
      <c r="O1923" s="673" t="str">
        <f>RTD("esrtd",,ICE[[#This Row],[PCC]] &amp; " " &amp; ICE[[#This Row],[Rolling]] &amp; "-IEU", "Block Volume")</f>
        <v/>
      </c>
      <c r="P192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3" s="674" t="str">
        <f>IF(ICE[[#This Row],[LastType]] = "Scrn", ICE[[#This Row],[LstDate]], IF(ICE[[#This Row],[LastType]] = "Blk", ICE[[#This Row],[LstBlkTime]], ""))</f>
        <v/>
      </c>
      <c r="R1923" s="675" t="str">
        <f>IF(ICE[[#This Row],[LastType]] = "Scrn", ICE[[#This Row],[LstPrc]], IF(ICE[[#This Row],[LastType]] = "Blk", ICE[[#This Row],[LstBlkPrc]], ""))</f>
        <v/>
      </c>
      <c r="S1923" s="673" t="e">
        <f>ICE[[#This Row],[Vol]]+ICE[[#This Row],[BlkVol]]</f>
        <v>#VALUE!</v>
      </c>
      <c r="T1923" s="673" t="str">
        <f>RTD("esrtd",,ICE[[#This Row],[PCC]] &amp; " " &amp; ICE[[#This Row],[Rolling]] &amp; "-IEU", "Open Interest")</f>
        <v/>
      </c>
      <c r="U1923" s="672" t="str">
        <f>RTD("esrtd",,ICE[[#This Row],[PCC]] &amp; " " &amp; ICE[[#This Row],[Rolling]] &amp; "-IEU", "Recent Settlement")</f>
        <v/>
      </c>
      <c r="V192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3" s="672" t="str">
        <f>RTD("esrtd",,ICE[[#This Row],[PCC]] &amp; " " &amp; ICE[[#This Row],[Rolling]] &amp; "-IEU", "ICE Theoretical Price")</f>
        <v/>
      </c>
      <c r="X1923" s="673" t="s">
        <v>896</v>
      </c>
    </row>
    <row r="1924" spans="1:24" x14ac:dyDescent="0.25">
      <c r="A1924" s="669" t="s">
        <v>451</v>
      </c>
      <c r="B1924" s="669" t="s">
        <v>929</v>
      </c>
      <c r="C1924" s="670">
        <v>3045330435</v>
      </c>
      <c r="D1924" s="671" t="s">
        <v>113</v>
      </c>
      <c r="E1924" s="670" t="str">
        <f>RTD("esrtd",,ICE[[#This Row],[PCC]] &amp; " " &amp; ICE[[#This Row],[Rolling]] &amp; "-IEU", "Strip")</f>
        <v/>
      </c>
      <c r="F1924" s="670" t="str">
        <f>ICE[[#This Row],[Prod]]&amp;ICE[[#This Row],[Strip]]</f>
        <v>tc14</v>
      </c>
      <c r="G1924" s="672" t="str">
        <f>RTD("esrtd",,ICE[[#This Row],[PCC]] &amp; " " &amp; ICE[[#This Row],[Rolling]] &amp; "-IEU", "Bid")</f>
        <v/>
      </c>
      <c r="H1924" s="672" t="str">
        <f>RTD("esrtd",,ICE[[#This Row],[PCC]] &amp; " " &amp; ICE[[#This Row],[Rolling]] &amp; "-IEU", "Ask")</f>
        <v/>
      </c>
      <c r="I1924" s="672" t="str">
        <f>RTD("esrtd",,ICE[[#This Row],[PCC]] &amp; " " &amp; ICE[[#This Row],[Rolling]] &amp; "-IEU", "Last")</f>
        <v/>
      </c>
      <c r="J1924" s="674" t="str">
        <f>RTD("esrtd",,ICE[[#This Row],[PCC]] &amp; " " &amp; ICE[[#This Row],[Rolling]] &amp; "-IEU", "Last Trade Time")</f>
        <v/>
      </c>
      <c r="K1924" s="672" t="str">
        <f>RTD("esrtd",,ICE[[#This Row],[PCC]] &amp; " " &amp; ICE[[#This Row],[Rolling]] &amp; "-IEU", "Block Price")</f>
        <v/>
      </c>
      <c r="L1924" s="673"/>
      <c r="M1924" s="674" t="str">
        <f>RTD("esrtd",,ICE[[#This Row],[PCC]] &amp; " " &amp; ICE[[#This Row],[Rolling]] &amp; "-IEU", "Block Price DT")</f>
        <v/>
      </c>
      <c r="N1924" s="673" t="str">
        <f>RTD("esrtd",,ICE[[#This Row],[PCC]] &amp; " " &amp; ICE[[#This Row],[Rolling]] &amp; "-IEU", "Volume")</f>
        <v/>
      </c>
      <c r="O1924" s="673" t="str">
        <f>RTD("esrtd",,ICE[[#This Row],[PCC]] &amp; " " &amp; ICE[[#This Row],[Rolling]] &amp; "-IEU", "Block Volume")</f>
        <v/>
      </c>
      <c r="P192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4" s="674" t="str">
        <f>IF(ICE[[#This Row],[LastType]] = "Scrn", ICE[[#This Row],[LstDate]], IF(ICE[[#This Row],[LastType]] = "Blk", ICE[[#This Row],[LstBlkTime]], ""))</f>
        <v/>
      </c>
      <c r="R1924" s="675" t="str">
        <f>IF(ICE[[#This Row],[LastType]] = "Scrn", ICE[[#This Row],[LstPrc]], IF(ICE[[#This Row],[LastType]] = "Blk", ICE[[#This Row],[LstBlkPrc]], ""))</f>
        <v/>
      </c>
      <c r="S1924" s="673" t="e">
        <f>ICE[[#This Row],[Vol]]+ICE[[#This Row],[BlkVol]]</f>
        <v>#VALUE!</v>
      </c>
      <c r="T1924" s="673" t="str">
        <f>RTD("esrtd",,ICE[[#This Row],[PCC]] &amp; " " &amp; ICE[[#This Row],[Rolling]] &amp; "-IEU", "Open Interest")</f>
        <v/>
      </c>
      <c r="U1924" s="672" t="str">
        <f>RTD("esrtd",,ICE[[#This Row],[PCC]] &amp; " " &amp; ICE[[#This Row],[Rolling]] &amp; "-IEU", "Recent Settlement")</f>
        <v/>
      </c>
      <c r="V192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4" s="672" t="str">
        <f>RTD("esrtd",,ICE[[#This Row],[PCC]] &amp; " " &amp; ICE[[#This Row],[Rolling]] &amp; "-IEU", "ICE Theoretical Price")</f>
        <v/>
      </c>
      <c r="X1924" s="673" t="s">
        <v>897</v>
      </c>
    </row>
    <row r="1925" spans="1:24" x14ac:dyDescent="0.25">
      <c r="A1925" s="669" t="s">
        <v>451</v>
      </c>
      <c r="B1925" s="669" t="s">
        <v>929</v>
      </c>
      <c r="C1925" s="670">
        <v>3045330435</v>
      </c>
      <c r="D1925" s="671" t="s">
        <v>796</v>
      </c>
      <c r="E1925" s="670" t="str">
        <f>RTD("esrtd",,ICE[[#This Row],[PCC]] &amp; " " &amp; ICE[[#This Row],[Rolling]] &amp; "-IEU", "Strip")</f>
        <v/>
      </c>
      <c r="F1925" s="670" t="str">
        <f>ICE[[#This Row],[Prod]]&amp;ICE[[#This Row],[Strip]]</f>
        <v>tc14</v>
      </c>
      <c r="G1925" s="672" t="str">
        <f>RTD("esrtd",,ICE[[#This Row],[PCC]] &amp; " " &amp; ICE[[#This Row],[Rolling]] &amp; "-IEU", "Bid")</f>
        <v/>
      </c>
      <c r="H1925" s="672" t="str">
        <f>RTD("esrtd",,ICE[[#This Row],[PCC]] &amp; " " &amp; ICE[[#This Row],[Rolling]] &amp; "-IEU", "Ask")</f>
        <v/>
      </c>
      <c r="I1925" s="672" t="str">
        <f>RTD("esrtd",,ICE[[#This Row],[PCC]] &amp; " " &amp; ICE[[#This Row],[Rolling]] &amp; "-IEU", "Last")</f>
        <v/>
      </c>
      <c r="J1925" s="674" t="str">
        <f>RTD("esrtd",,ICE[[#This Row],[PCC]] &amp; " " &amp; ICE[[#This Row],[Rolling]] &amp; "-IEU", "Last Trade Time")</f>
        <v/>
      </c>
      <c r="K1925" s="672" t="str">
        <f>RTD("esrtd",,ICE[[#This Row],[PCC]] &amp; " " &amp; ICE[[#This Row],[Rolling]] &amp; "-IEU", "Block Price")</f>
        <v/>
      </c>
      <c r="L1925" s="673"/>
      <c r="M1925" s="674" t="str">
        <f>RTD("esrtd",,ICE[[#This Row],[PCC]] &amp; " " &amp; ICE[[#This Row],[Rolling]] &amp; "-IEU", "Block Price DT")</f>
        <v/>
      </c>
      <c r="N1925" s="673" t="str">
        <f>RTD("esrtd",,ICE[[#This Row],[PCC]] &amp; " " &amp; ICE[[#This Row],[Rolling]] &amp; "-IEU", "Volume")</f>
        <v/>
      </c>
      <c r="O1925" s="673" t="str">
        <f>RTD("esrtd",,ICE[[#This Row],[PCC]] &amp; " " &amp; ICE[[#This Row],[Rolling]] &amp; "-IEU", "Block Volume")</f>
        <v/>
      </c>
      <c r="P192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5" s="674" t="str">
        <f>IF(ICE[[#This Row],[LastType]] = "Scrn", ICE[[#This Row],[LstDate]], IF(ICE[[#This Row],[LastType]] = "Blk", ICE[[#This Row],[LstBlkTime]], ""))</f>
        <v/>
      </c>
      <c r="R1925" s="675" t="str">
        <f>IF(ICE[[#This Row],[LastType]] = "Scrn", ICE[[#This Row],[LstPrc]], IF(ICE[[#This Row],[LastType]] = "Blk", ICE[[#This Row],[LstBlkPrc]], ""))</f>
        <v/>
      </c>
      <c r="S1925" s="673" t="e">
        <f>ICE[[#This Row],[Vol]]+ICE[[#This Row],[BlkVol]]</f>
        <v>#VALUE!</v>
      </c>
      <c r="T1925" s="673" t="str">
        <f>RTD("esrtd",,ICE[[#This Row],[PCC]] &amp; " " &amp; ICE[[#This Row],[Rolling]] &amp; "-IEU", "Open Interest")</f>
        <v/>
      </c>
      <c r="U1925" s="672" t="str">
        <f>RTD("esrtd",,ICE[[#This Row],[PCC]] &amp; " " &amp; ICE[[#This Row],[Rolling]] &amp; "-IEU", "Recent Settlement")</f>
        <v/>
      </c>
      <c r="V192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5" s="672" t="str">
        <f>RTD("esrtd",,ICE[[#This Row],[PCC]] &amp; " " &amp; ICE[[#This Row],[Rolling]] &amp; "-IEU", "ICE Theoretical Price")</f>
        <v/>
      </c>
      <c r="X1925" s="673" t="s">
        <v>898</v>
      </c>
    </row>
    <row r="1926" spans="1:24" x14ac:dyDescent="0.25">
      <c r="A1926" s="669" t="s">
        <v>451</v>
      </c>
      <c r="B1926" s="669" t="s">
        <v>929</v>
      </c>
      <c r="C1926" s="670">
        <v>3045330435</v>
      </c>
      <c r="D1926" s="671" t="s">
        <v>797</v>
      </c>
      <c r="E1926" s="670" t="str">
        <f>RTD("esrtd",,ICE[[#This Row],[PCC]] &amp; " " &amp; ICE[[#This Row],[Rolling]] &amp; "-IEU", "Strip")</f>
        <v/>
      </c>
      <c r="F1926" s="670" t="str">
        <f>ICE[[#This Row],[Prod]]&amp;ICE[[#This Row],[Strip]]</f>
        <v>tc14</v>
      </c>
      <c r="G1926" s="672" t="str">
        <f>RTD("esrtd",,ICE[[#This Row],[PCC]] &amp; " " &amp; ICE[[#This Row],[Rolling]] &amp; "-IEU", "Bid")</f>
        <v/>
      </c>
      <c r="H1926" s="672" t="str">
        <f>RTD("esrtd",,ICE[[#This Row],[PCC]] &amp; " " &amp; ICE[[#This Row],[Rolling]] &amp; "-IEU", "Ask")</f>
        <v/>
      </c>
      <c r="I1926" s="672" t="str">
        <f>RTD("esrtd",,ICE[[#This Row],[PCC]] &amp; " " &amp; ICE[[#This Row],[Rolling]] &amp; "-IEU", "Last")</f>
        <v/>
      </c>
      <c r="J1926" s="674" t="str">
        <f>RTD("esrtd",,ICE[[#This Row],[PCC]] &amp; " " &amp; ICE[[#This Row],[Rolling]] &amp; "-IEU", "Last Trade Time")</f>
        <v/>
      </c>
      <c r="K1926" s="672" t="str">
        <f>RTD("esrtd",,ICE[[#This Row],[PCC]] &amp; " " &amp; ICE[[#This Row],[Rolling]] &amp; "-IEU", "Block Price")</f>
        <v/>
      </c>
      <c r="L1926" s="673"/>
      <c r="M1926" s="674" t="str">
        <f>RTD("esrtd",,ICE[[#This Row],[PCC]] &amp; " " &amp; ICE[[#This Row],[Rolling]] &amp; "-IEU", "Block Price DT")</f>
        <v/>
      </c>
      <c r="N1926" s="673" t="str">
        <f>RTD("esrtd",,ICE[[#This Row],[PCC]] &amp; " " &amp; ICE[[#This Row],[Rolling]] &amp; "-IEU", "Volume")</f>
        <v/>
      </c>
      <c r="O1926" s="673" t="str">
        <f>RTD("esrtd",,ICE[[#This Row],[PCC]] &amp; " " &amp; ICE[[#This Row],[Rolling]] &amp; "-IEU", "Block Volume")</f>
        <v/>
      </c>
      <c r="P192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6" s="674" t="str">
        <f>IF(ICE[[#This Row],[LastType]] = "Scrn", ICE[[#This Row],[LstDate]], IF(ICE[[#This Row],[LastType]] = "Blk", ICE[[#This Row],[LstBlkTime]], ""))</f>
        <v/>
      </c>
      <c r="R1926" s="675" t="str">
        <f>IF(ICE[[#This Row],[LastType]] = "Scrn", ICE[[#This Row],[LstPrc]], IF(ICE[[#This Row],[LastType]] = "Blk", ICE[[#This Row],[LstBlkPrc]], ""))</f>
        <v/>
      </c>
      <c r="S1926" s="673" t="e">
        <f>ICE[[#This Row],[Vol]]+ICE[[#This Row],[BlkVol]]</f>
        <v>#VALUE!</v>
      </c>
      <c r="T1926" s="673" t="str">
        <f>RTD("esrtd",,ICE[[#This Row],[PCC]] &amp; " " &amp; ICE[[#This Row],[Rolling]] &amp; "-IEU", "Open Interest")</f>
        <v/>
      </c>
      <c r="U1926" s="672" t="str">
        <f>RTD("esrtd",,ICE[[#This Row],[PCC]] &amp; " " &amp; ICE[[#This Row],[Rolling]] &amp; "-IEU", "Recent Settlement")</f>
        <v/>
      </c>
      <c r="V192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6" s="672" t="str">
        <f>RTD("esrtd",,ICE[[#This Row],[PCC]] &amp; " " &amp; ICE[[#This Row],[Rolling]] &amp; "-IEU", "ICE Theoretical Price")</f>
        <v/>
      </c>
      <c r="X1926" s="673" t="s">
        <v>899</v>
      </c>
    </row>
    <row r="1927" spans="1:24" x14ac:dyDescent="0.25">
      <c r="A1927" s="669" t="s">
        <v>451</v>
      </c>
      <c r="B1927" s="669" t="s">
        <v>929</v>
      </c>
      <c r="C1927" s="670">
        <v>3045330435</v>
      </c>
      <c r="D1927" s="671" t="s">
        <v>798</v>
      </c>
      <c r="E1927" s="670" t="str">
        <f>RTD("esrtd",,ICE[[#This Row],[PCC]] &amp; " " &amp; ICE[[#This Row],[Rolling]] &amp; "-IEU", "Strip")</f>
        <v/>
      </c>
      <c r="F1927" s="670" t="str">
        <f>ICE[[#This Row],[Prod]]&amp;ICE[[#This Row],[Strip]]</f>
        <v>tc14</v>
      </c>
      <c r="G1927" s="672" t="str">
        <f>RTD("esrtd",,ICE[[#This Row],[PCC]] &amp; " " &amp; ICE[[#This Row],[Rolling]] &amp; "-IEU", "Bid")</f>
        <v/>
      </c>
      <c r="H1927" s="672" t="str">
        <f>RTD("esrtd",,ICE[[#This Row],[PCC]] &amp; " " &amp; ICE[[#This Row],[Rolling]] &amp; "-IEU", "Ask")</f>
        <v/>
      </c>
      <c r="I1927" s="672" t="str">
        <f>RTD("esrtd",,ICE[[#This Row],[PCC]] &amp; " " &amp; ICE[[#This Row],[Rolling]] &amp; "-IEU", "Last")</f>
        <v/>
      </c>
      <c r="J1927" s="674" t="str">
        <f>RTD("esrtd",,ICE[[#This Row],[PCC]] &amp; " " &amp; ICE[[#This Row],[Rolling]] &amp; "-IEU", "Last Trade Time")</f>
        <v/>
      </c>
      <c r="K1927" s="672" t="str">
        <f>RTD("esrtd",,ICE[[#This Row],[PCC]] &amp; " " &amp; ICE[[#This Row],[Rolling]] &amp; "-IEU", "Block Price")</f>
        <v/>
      </c>
      <c r="L1927" s="673"/>
      <c r="M1927" s="674" t="str">
        <f>RTD("esrtd",,ICE[[#This Row],[PCC]] &amp; " " &amp; ICE[[#This Row],[Rolling]] &amp; "-IEU", "Block Price DT")</f>
        <v/>
      </c>
      <c r="N1927" s="673" t="str">
        <f>RTD("esrtd",,ICE[[#This Row],[PCC]] &amp; " " &amp; ICE[[#This Row],[Rolling]] &amp; "-IEU", "Volume")</f>
        <v/>
      </c>
      <c r="O1927" s="673" t="str">
        <f>RTD("esrtd",,ICE[[#This Row],[PCC]] &amp; " " &amp; ICE[[#This Row],[Rolling]] &amp; "-IEU", "Block Volume")</f>
        <v/>
      </c>
      <c r="P192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7" s="674" t="str">
        <f>IF(ICE[[#This Row],[LastType]] = "Scrn", ICE[[#This Row],[LstDate]], IF(ICE[[#This Row],[LastType]] = "Blk", ICE[[#This Row],[LstBlkTime]], ""))</f>
        <v/>
      </c>
      <c r="R1927" s="675" t="str">
        <f>IF(ICE[[#This Row],[LastType]] = "Scrn", ICE[[#This Row],[LstPrc]], IF(ICE[[#This Row],[LastType]] = "Blk", ICE[[#This Row],[LstBlkPrc]], ""))</f>
        <v/>
      </c>
      <c r="S1927" s="673" t="e">
        <f>ICE[[#This Row],[Vol]]+ICE[[#This Row],[BlkVol]]</f>
        <v>#VALUE!</v>
      </c>
      <c r="T1927" s="673" t="str">
        <f>RTD("esrtd",,ICE[[#This Row],[PCC]] &amp; " " &amp; ICE[[#This Row],[Rolling]] &amp; "-IEU", "Open Interest")</f>
        <v/>
      </c>
      <c r="U1927" s="672" t="str">
        <f>RTD("esrtd",,ICE[[#This Row],[PCC]] &amp; " " &amp; ICE[[#This Row],[Rolling]] &amp; "-IEU", "Recent Settlement")</f>
        <v/>
      </c>
      <c r="V192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7" s="672" t="str">
        <f>RTD("esrtd",,ICE[[#This Row],[PCC]] &amp; " " &amp; ICE[[#This Row],[Rolling]] &amp; "-IEU", "ICE Theoretical Price")</f>
        <v/>
      </c>
      <c r="X1927" s="673" t="s">
        <v>900</v>
      </c>
    </row>
    <row r="1928" spans="1:24" x14ac:dyDescent="0.25">
      <c r="A1928" s="669" t="s">
        <v>451</v>
      </c>
      <c r="B1928" s="669" t="s">
        <v>929</v>
      </c>
      <c r="C1928" s="670">
        <v>3045330435</v>
      </c>
      <c r="D1928" s="671" t="s">
        <v>799</v>
      </c>
      <c r="E1928" s="670" t="str">
        <f>RTD("esrtd",,ICE[[#This Row],[PCC]] &amp; " " &amp; ICE[[#This Row],[Rolling]] &amp; "-IEU", "Strip")</f>
        <v/>
      </c>
      <c r="F1928" s="670" t="str">
        <f>ICE[[#This Row],[Prod]]&amp;ICE[[#This Row],[Strip]]</f>
        <v>tc14</v>
      </c>
      <c r="G1928" s="672" t="str">
        <f>RTD("esrtd",,ICE[[#This Row],[PCC]] &amp; " " &amp; ICE[[#This Row],[Rolling]] &amp; "-IEU", "Bid")</f>
        <v/>
      </c>
      <c r="H1928" s="672" t="str">
        <f>RTD("esrtd",,ICE[[#This Row],[PCC]] &amp; " " &amp; ICE[[#This Row],[Rolling]] &amp; "-IEU", "Ask")</f>
        <v/>
      </c>
      <c r="I1928" s="672" t="str">
        <f>RTD("esrtd",,ICE[[#This Row],[PCC]] &amp; " " &amp; ICE[[#This Row],[Rolling]] &amp; "-IEU", "Last")</f>
        <v/>
      </c>
      <c r="J1928" s="674" t="str">
        <f>RTD("esrtd",,ICE[[#This Row],[PCC]] &amp; " " &amp; ICE[[#This Row],[Rolling]] &amp; "-IEU", "Last Trade Time")</f>
        <v/>
      </c>
      <c r="K1928" s="672" t="str">
        <f>RTD("esrtd",,ICE[[#This Row],[PCC]] &amp; " " &amp; ICE[[#This Row],[Rolling]] &amp; "-IEU", "Block Price")</f>
        <v/>
      </c>
      <c r="L1928" s="673"/>
      <c r="M1928" s="674" t="str">
        <f>RTD("esrtd",,ICE[[#This Row],[PCC]] &amp; " " &amp; ICE[[#This Row],[Rolling]] &amp; "-IEU", "Block Price DT")</f>
        <v/>
      </c>
      <c r="N1928" s="673" t="str">
        <f>RTD("esrtd",,ICE[[#This Row],[PCC]] &amp; " " &amp; ICE[[#This Row],[Rolling]] &amp; "-IEU", "Volume")</f>
        <v/>
      </c>
      <c r="O1928" s="673" t="str">
        <f>RTD("esrtd",,ICE[[#This Row],[PCC]] &amp; " " &amp; ICE[[#This Row],[Rolling]] &amp; "-IEU", "Block Volume")</f>
        <v/>
      </c>
      <c r="P192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8" s="674" t="str">
        <f>IF(ICE[[#This Row],[LastType]] = "Scrn", ICE[[#This Row],[LstDate]], IF(ICE[[#This Row],[LastType]] = "Blk", ICE[[#This Row],[LstBlkTime]], ""))</f>
        <v/>
      </c>
      <c r="R1928" s="675" t="str">
        <f>IF(ICE[[#This Row],[LastType]] = "Scrn", ICE[[#This Row],[LstPrc]], IF(ICE[[#This Row],[LastType]] = "Blk", ICE[[#This Row],[LstBlkPrc]], ""))</f>
        <v/>
      </c>
      <c r="S1928" s="673" t="e">
        <f>ICE[[#This Row],[Vol]]+ICE[[#This Row],[BlkVol]]</f>
        <v>#VALUE!</v>
      </c>
      <c r="T1928" s="673" t="str">
        <f>RTD("esrtd",,ICE[[#This Row],[PCC]] &amp; " " &amp; ICE[[#This Row],[Rolling]] &amp; "-IEU", "Open Interest")</f>
        <v/>
      </c>
      <c r="U1928" s="672" t="str">
        <f>RTD("esrtd",,ICE[[#This Row],[PCC]] &amp; " " &amp; ICE[[#This Row],[Rolling]] &amp; "-IEU", "Recent Settlement")</f>
        <v/>
      </c>
      <c r="V192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8" s="672" t="str">
        <f>RTD("esrtd",,ICE[[#This Row],[PCC]] &amp; " " &amp; ICE[[#This Row],[Rolling]] &amp; "-IEU", "ICE Theoretical Price")</f>
        <v/>
      </c>
      <c r="X1928" s="673" t="s">
        <v>901</v>
      </c>
    </row>
    <row r="1929" spans="1:24" x14ac:dyDescent="0.25">
      <c r="A1929" s="669" t="s">
        <v>451</v>
      </c>
      <c r="B1929" s="669" t="s">
        <v>929</v>
      </c>
      <c r="C1929" s="670">
        <v>3045330435</v>
      </c>
      <c r="D1929" s="671" t="s">
        <v>800</v>
      </c>
      <c r="E1929" s="670" t="str">
        <f>RTD("esrtd",,ICE[[#This Row],[PCC]] &amp; " " &amp; ICE[[#This Row],[Rolling]] &amp; "-IEU", "Strip")</f>
        <v/>
      </c>
      <c r="F1929" s="670" t="str">
        <f>ICE[[#This Row],[Prod]]&amp;ICE[[#This Row],[Strip]]</f>
        <v>tc14</v>
      </c>
      <c r="G1929" s="672" t="str">
        <f>RTD("esrtd",,ICE[[#This Row],[PCC]] &amp; " " &amp; ICE[[#This Row],[Rolling]] &amp; "-IEU", "Bid")</f>
        <v/>
      </c>
      <c r="H1929" s="672" t="str">
        <f>RTD("esrtd",,ICE[[#This Row],[PCC]] &amp; " " &amp; ICE[[#This Row],[Rolling]] &amp; "-IEU", "Ask")</f>
        <v/>
      </c>
      <c r="I1929" s="672" t="str">
        <f>RTD("esrtd",,ICE[[#This Row],[PCC]] &amp; " " &amp; ICE[[#This Row],[Rolling]] &amp; "-IEU", "Last")</f>
        <v/>
      </c>
      <c r="J1929" s="674" t="str">
        <f>RTD("esrtd",,ICE[[#This Row],[PCC]] &amp; " " &amp; ICE[[#This Row],[Rolling]] &amp; "-IEU", "Last Trade Time")</f>
        <v/>
      </c>
      <c r="K1929" s="672" t="str">
        <f>RTD("esrtd",,ICE[[#This Row],[PCC]] &amp; " " &amp; ICE[[#This Row],[Rolling]] &amp; "-IEU", "Block Price")</f>
        <v/>
      </c>
      <c r="L1929" s="673"/>
      <c r="M1929" s="674" t="str">
        <f>RTD("esrtd",,ICE[[#This Row],[PCC]] &amp; " " &amp; ICE[[#This Row],[Rolling]] &amp; "-IEU", "Block Price DT")</f>
        <v/>
      </c>
      <c r="N1929" s="673" t="str">
        <f>RTD("esrtd",,ICE[[#This Row],[PCC]] &amp; " " &amp; ICE[[#This Row],[Rolling]] &amp; "-IEU", "Volume")</f>
        <v/>
      </c>
      <c r="O1929" s="673" t="str">
        <f>RTD("esrtd",,ICE[[#This Row],[PCC]] &amp; " " &amp; ICE[[#This Row],[Rolling]] &amp; "-IEU", "Block Volume")</f>
        <v/>
      </c>
      <c r="P192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29" s="674" t="str">
        <f>IF(ICE[[#This Row],[LastType]] = "Scrn", ICE[[#This Row],[LstDate]], IF(ICE[[#This Row],[LastType]] = "Blk", ICE[[#This Row],[LstBlkTime]], ""))</f>
        <v/>
      </c>
      <c r="R1929" s="675" t="str">
        <f>IF(ICE[[#This Row],[LastType]] = "Scrn", ICE[[#This Row],[LstPrc]], IF(ICE[[#This Row],[LastType]] = "Blk", ICE[[#This Row],[LstBlkPrc]], ""))</f>
        <v/>
      </c>
      <c r="S1929" s="673" t="e">
        <f>ICE[[#This Row],[Vol]]+ICE[[#This Row],[BlkVol]]</f>
        <v>#VALUE!</v>
      </c>
      <c r="T1929" s="673" t="str">
        <f>RTD("esrtd",,ICE[[#This Row],[PCC]] &amp; " " &amp; ICE[[#This Row],[Rolling]] &amp; "-IEU", "Open Interest")</f>
        <v/>
      </c>
      <c r="U1929" s="672" t="str">
        <f>RTD("esrtd",,ICE[[#This Row],[PCC]] &amp; " " &amp; ICE[[#This Row],[Rolling]] &amp; "-IEU", "Recent Settlement")</f>
        <v/>
      </c>
      <c r="V192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29" s="672" t="str">
        <f>RTD("esrtd",,ICE[[#This Row],[PCC]] &amp; " " &amp; ICE[[#This Row],[Rolling]] &amp; "-IEU", "ICE Theoretical Price")</f>
        <v/>
      </c>
      <c r="X1929" s="673" t="s">
        <v>902</v>
      </c>
    </row>
    <row r="1930" spans="1:24" x14ac:dyDescent="0.25">
      <c r="A1930" s="669" t="s">
        <v>451</v>
      </c>
      <c r="B1930" s="669" t="s">
        <v>929</v>
      </c>
      <c r="C1930" s="670">
        <v>3045330435</v>
      </c>
      <c r="D1930" s="671" t="s">
        <v>801</v>
      </c>
      <c r="E1930" s="670" t="str">
        <f>RTD("esrtd",,ICE[[#This Row],[PCC]] &amp; " " &amp; ICE[[#This Row],[Rolling]] &amp; "-IEU", "Strip")</f>
        <v/>
      </c>
      <c r="F1930" s="670" t="str">
        <f>ICE[[#This Row],[Prod]]&amp;ICE[[#This Row],[Strip]]</f>
        <v>tc14</v>
      </c>
      <c r="G1930" s="672" t="str">
        <f>RTD("esrtd",,ICE[[#This Row],[PCC]] &amp; " " &amp; ICE[[#This Row],[Rolling]] &amp; "-IEU", "Bid")</f>
        <v/>
      </c>
      <c r="H1930" s="672" t="str">
        <f>RTD("esrtd",,ICE[[#This Row],[PCC]] &amp; " " &amp; ICE[[#This Row],[Rolling]] &amp; "-IEU", "Ask")</f>
        <v/>
      </c>
      <c r="I1930" s="672" t="str">
        <f>RTD("esrtd",,ICE[[#This Row],[PCC]] &amp; " " &amp; ICE[[#This Row],[Rolling]] &amp; "-IEU", "Last")</f>
        <v/>
      </c>
      <c r="J1930" s="674" t="str">
        <f>RTD("esrtd",,ICE[[#This Row],[PCC]] &amp; " " &amp; ICE[[#This Row],[Rolling]] &amp; "-IEU", "Last Trade Time")</f>
        <v/>
      </c>
      <c r="K1930" s="672" t="str">
        <f>RTD("esrtd",,ICE[[#This Row],[PCC]] &amp; " " &amp; ICE[[#This Row],[Rolling]] &amp; "-IEU", "Block Price")</f>
        <v/>
      </c>
      <c r="L1930" s="673"/>
      <c r="M1930" s="674" t="str">
        <f>RTD("esrtd",,ICE[[#This Row],[PCC]] &amp; " " &amp; ICE[[#This Row],[Rolling]] &amp; "-IEU", "Block Price DT")</f>
        <v/>
      </c>
      <c r="N1930" s="673" t="str">
        <f>RTD("esrtd",,ICE[[#This Row],[PCC]] &amp; " " &amp; ICE[[#This Row],[Rolling]] &amp; "-IEU", "Volume")</f>
        <v/>
      </c>
      <c r="O1930" s="673" t="str">
        <f>RTD("esrtd",,ICE[[#This Row],[PCC]] &amp; " " &amp; ICE[[#This Row],[Rolling]] &amp; "-IEU", "Block Volume")</f>
        <v/>
      </c>
      <c r="P193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0" s="674" t="str">
        <f>IF(ICE[[#This Row],[LastType]] = "Scrn", ICE[[#This Row],[LstDate]], IF(ICE[[#This Row],[LastType]] = "Blk", ICE[[#This Row],[LstBlkTime]], ""))</f>
        <v/>
      </c>
      <c r="R1930" s="675" t="str">
        <f>IF(ICE[[#This Row],[LastType]] = "Scrn", ICE[[#This Row],[LstPrc]], IF(ICE[[#This Row],[LastType]] = "Blk", ICE[[#This Row],[LstBlkPrc]], ""))</f>
        <v/>
      </c>
      <c r="S1930" s="673" t="e">
        <f>ICE[[#This Row],[Vol]]+ICE[[#This Row],[BlkVol]]</f>
        <v>#VALUE!</v>
      </c>
      <c r="T1930" s="673" t="str">
        <f>RTD("esrtd",,ICE[[#This Row],[PCC]] &amp; " " &amp; ICE[[#This Row],[Rolling]] &amp; "-IEU", "Open Interest")</f>
        <v/>
      </c>
      <c r="U1930" s="672" t="str">
        <f>RTD("esrtd",,ICE[[#This Row],[PCC]] &amp; " " &amp; ICE[[#This Row],[Rolling]] &amp; "-IEU", "Recent Settlement")</f>
        <v/>
      </c>
      <c r="V193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0" s="672" t="str">
        <f>RTD("esrtd",,ICE[[#This Row],[PCC]] &amp; " " &amp; ICE[[#This Row],[Rolling]] &amp; "-IEU", "ICE Theoretical Price")</f>
        <v/>
      </c>
      <c r="X1930" s="673" t="s">
        <v>903</v>
      </c>
    </row>
    <row r="1931" spans="1:24" x14ac:dyDescent="0.25">
      <c r="A1931" s="669" t="s">
        <v>451</v>
      </c>
      <c r="B1931" s="669" t="s">
        <v>929</v>
      </c>
      <c r="C1931" s="670">
        <v>3045330435</v>
      </c>
      <c r="D1931" s="671" t="s">
        <v>802</v>
      </c>
      <c r="E1931" s="670" t="str">
        <f>RTD("esrtd",,ICE[[#This Row],[PCC]] &amp; " " &amp; ICE[[#This Row],[Rolling]] &amp; "-IEU", "Strip")</f>
        <v/>
      </c>
      <c r="F1931" s="670" t="str">
        <f>ICE[[#This Row],[Prod]]&amp;ICE[[#This Row],[Strip]]</f>
        <v>tc14</v>
      </c>
      <c r="G1931" s="672" t="str">
        <f>RTD("esrtd",,ICE[[#This Row],[PCC]] &amp; " " &amp; ICE[[#This Row],[Rolling]] &amp; "-IEU", "Bid")</f>
        <v/>
      </c>
      <c r="H1931" s="672" t="str">
        <f>RTD("esrtd",,ICE[[#This Row],[PCC]] &amp; " " &amp; ICE[[#This Row],[Rolling]] &amp; "-IEU", "Ask")</f>
        <v/>
      </c>
      <c r="I1931" s="672" t="str">
        <f>RTD("esrtd",,ICE[[#This Row],[PCC]] &amp; " " &amp; ICE[[#This Row],[Rolling]] &amp; "-IEU", "Last")</f>
        <v/>
      </c>
      <c r="J1931" s="674" t="str">
        <f>RTD("esrtd",,ICE[[#This Row],[PCC]] &amp; " " &amp; ICE[[#This Row],[Rolling]] &amp; "-IEU", "Last Trade Time")</f>
        <v/>
      </c>
      <c r="K1931" s="672" t="str">
        <f>RTD("esrtd",,ICE[[#This Row],[PCC]] &amp; " " &amp; ICE[[#This Row],[Rolling]] &amp; "-IEU", "Block Price")</f>
        <v/>
      </c>
      <c r="L1931" s="673"/>
      <c r="M1931" s="674" t="str">
        <f>RTD("esrtd",,ICE[[#This Row],[PCC]] &amp; " " &amp; ICE[[#This Row],[Rolling]] &amp; "-IEU", "Block Price DT")</f>
        <v/>
      </c>
      <c r="N1931" s="673" t="str">
        <f>RTD("esrtd",,ICE[[#This Row],[PCC]] &amp; " " &amp; ICE[[#This Row],[Rolling]] &amp; "-IEU", "Volume")</f>
        <v/>
      </c>
      <c r="O1931" s="673" t="str">
        <f>RTD("esrtd",,ICE[[#This Row],[PCC]] &amp; " " &amp; ICE[[#This Row],[Rolling]] &amp; "-IEU", "Block Volume")</f>
        <v/>
      </c>
      <c r="P193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1" s="674" t="str">
        <f>IF(ICE[[#This Row],[LastType]] = "Scrn", ICE[[#This Row],[LstDate]], IF(ICE[[#This Row],[LastType]] = "Blk", ICE[[#This Row],[LstBlkTime]], ""))</f>
        <v/>
      </c>
      <c r="R1931" s="675" t="str">
        <f>IF(ICE[[#This Row],[LastType]] = "Scrn", ICE[[#This Row],[LstPrc]], IF(ICE[[#This Row],[LastType]] = "Blk", ICE[[#This Row],[LstBlkPrc]], ""))</f>
        <v/>
      </c>
      <c r="S1931" s="673" t="e">
        <f>ICE[[#This Row],[Vol]]+ICE[[#This Row],[BlkVol]]</f>
        <v>#VALUE!</v>
      </c>
      <c r="T1931" s="673" t="str">
        <f>RTD("esrtd",,ICE[[#This Row],[PCC]] &amp; " " &amp; ICE[[#This Row],[Rolling]] &amp; "-IEU", "Open Interest")</f>
        <v/>
      </c>
      <c r="U1931" s="672" t="str">
        <f>RTD("esrtd",,ICE[[#This Row],[PCC]] &amp; " " &amp; ICE[[#This Row],[Rolling]] &amp; "-IEU", "Recent Settlement")</f>
        <v/>
      </c>
      <c r="V193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1" s="672" t="str">
        <f>RTD("esrtd",,ICE[[#This Row],[PCC]] &amp; " " &amp; ICE[[#This Row],[Rolling]] &amp; "-IEU", "ICE Theoretical Price")</f>
        <v/>
      </c>
      <c r="X1931" s="673" t="s">
        <v>904</v>
      </c>
    </row>
    <row r="1932" spans="1:24" x14ac:dyDescent="0.25">
      <c r="A1932" s="669" t="s">
        <v>451</v>
      </c>
      <c r="B1932" s="669" t="s">
        <v>929</v>
      </c>
      <c r="C1932" s="670">
        <v>3045330435</v>
      </c>
      <c r="D1932" s="671" t="s">
        <v>803</v>
      </c>
      <c r="E1932" s="670" t="str">
        <f>RTD("esrtd",,ICE[[#This Row],[PCC]] &amp; " " &amp; ICE[[#This Row],[Rolling]] &amp; "-IEU", "Strip")</f>
        <v/>
      </c>
      <c r="F1932" s="670" t="str">
        <f>ICE[[#This Row],[Prod]]&amp;ICE[[#This Row],[Strip]]</f>
        <v>tc14</v>
      </c>
      <c r="G1932" s="672" t="str">
        <f>RTD("esrtd",,ICE[[#This Row],[PCC]] &amp; " " &amp; ICE[[#This Row],[Rolling]] &amp; "-IEU", "Bid")</f>
        <v/>
      </c>
      <c r="H1932" s="672" t="str">
        <f>RTD("esrtd",,ICE[[#This Row],[PCC]] &amp; " " &amp; ICE[[#This Row],[Rolling]] &amp; "-IEU", "Ask")</f>
        <v/>
      </c>
      <c r="I1932" s="672" t="str">
        <f>RTD("esrtd",,ICE[[#This Row],[PCC]] &amp; " " &amp; ICE[[#This Row],[Rolling]] &amp; "-IEU", "Last")</f>
        <v/>
      </c>
      <c r="J1932" s="674" t="str">
        <f>RTD("esrtd",,ICE[[#This Row],[PCC]] &amp; " " &amp; ICE[[#This Row],[Rolling]] &amp; "-IEU", "Last Trade Time")</f>
        <v/>
      </c>
      <c r="K1932" s="672" t="str">
        <f>RTD("esrtd",,ICE[[#This Row],[PCC]] &amp; " " &amp; ICE[[#This Row],[Rolling]] &amp; "-IEU", "Block Price")</f>
        <v/>
      </c>
      <c r="L1932" s="673"/>
      <c r="M1932" s="674" t="str">
        <f>RTD("esrtd",,ICE[[#This Row],[PCC]] &amp; " " &amp; ICE[[#This Row],[Rolling]] &amp; "-IEU", "Block Price DT")</f>
        <v/>
      </c>
      <c r="N1932" s="673" t="str">
        <f>RTD("esrtd",,ICE[[#This Row],[PCC]] &amp; " " &amp; ICE[[#This Row],[Rolling]] &amp; "-IEU", "Volume")</f>
        <v/>
      </c>
      <c r="O1932" s="673" t="str">
        <f>RTD("esrtd",,ICE[[#This Row],[PCC]] &amp; " " &amp; ICE[[#This Row],[Rolling]] &amp; "-IEU", "Block Volume")</f>
        <v/>
      </c>
      <c r="P193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2" s="674" t="str">
        <f>IF(ICE[[#This Row],[LastType]] = "Scrn", ICE[[#This Row],[LstDate]], IF(ICE[[#This Row],[LastType]] = "Blk", ICE[[#This Row],[LstBlkTime]], ""))</f>
        <v/>
      </c>
      <c r="R1932" s="675" t="str">
        <f>IF(ICE[[#This Row],[LastType]] = "Scrn", ICE[[#This Row],[LstPrc]], IF(ICE[[#This Row],[LastType]] = "Blk", ICE[[#This Row],[LstBlkPrc]], ""))</f>
        <v/>
      </c>
      <c r="S1932" s="673" t="e">
        <f>ICE[[#This Row],[Vol]]+ICE[[#This Row],[BlkVol]]</f>
        <v>#VALUE!</v>
      </c>
      <c r="T1932" s="673" t="str">
        <f>RTD("esrtd",,ICE[[#This Row],[PCC]] &amp; " " &amp; ICE[[#This Row],[Rolling]] &amp; "-IEU", "Open Interest")</f>
        <v/>
      </c>
      <c r="U1932" s="672" t="str">
        <f>RTD("esrtd",,ICE[[#This Row],[PCC]] &amp; " " &amp; ICE[[#This Row],[Rolling]] &amp; "-IEU", "Recent Settlement")</f>
        <v/>
      </c>
      <c r="V193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2" s="672" t="str">
        <f>RTD("esrtd",,ICE[[#This Row],[PCC]] &amp; " " &amp; ICE[[#This Row],[Rolling]] &amp; "-IEU", "ICE Theoretical Price")</f>
        <v/>
      </c>
      <c r="X1932" s="673" t="s">
        <v>905</v>
      </c>
    </row>
    <row r="1933" spans="1:24" x14ac:dyDescent="0.25">
      <c r="A1933" s="669" t="s">
        <v>451</v>
      </c>
      <c r="B1933" s="669" t="s">
        <v>929</v>
      </c>
      <c r="C1933" s="670">
        <v>3045330435</v>
      </c>
      <c r="D1933" s="671" t="s">
        <v>793</v>
      </c>
      <c r="E1933" s="670" t="str">
        <f>RTD("esrtd",,ICE[[#This Row],[PCC]] &amp; " " &amp; ICE[[#This Row],[Rolling]] &amp; "-IEU", "Strip")</f>
        <v/>
      </c>
      <c r="F1933" s="670" t="str">
        <f>ICE[[#This Row],[Prod]]&amp;ICE[[#This Row],[Strip]]</f>
        <v>tc14</v>
      </c>
      <c r="G1933" s="672" t="str">
        <f>RTD("esrtd",,ICE[[#This Row],[PCC]] &amp; " " &amp; ICE[[#This Row],[Rolling]] &amp; "-IEU", "Bid")</f>
        <v/>
      </c>
      <c r="H1933" s="672" t="str">
        <f>RTD("esrtd",,ICE[[#This Row],[PCC]] &amp; " " &amp; ICE[[#This Row],[Rolling]] &amp; "-IEU", "Ask")</f>
        <v/>
      </c>
      <c r="I1933" s="672" t="str">
        <f>RTD("esrtd",,ICE[[#This Row],[PCC]] &amp; " " &amp; ICE[[#This Row],[Rolling]] &amp; "-IEU", "Last")</f>
        <v/>
      </c>
      <c r="J1933" s="674" t="str">
        <f>RTD("esrtd",,ICE[[#This Row],[PCC]] &amp; " " &amp; ICE[[#This Row],[Rolling]] &amp; "-IEU", "Last Trade Time")</f>
        <v/>
      </c>
      <c r="K1933" s="672" t="str">
        <f>RTD("esrtd",,ICE[[#This Row],[PCC]] &amp; " " &amp; ICE[[#This Row],[Rolling]] &amp; "-IEU", "Block Price")</f>
        <v/>
      </c>
      <c r="L1933" s="673"/>
      <c r="M1933" s="674" t="str">
        <f>RTD("esrtd",,ICE[[#This Row],[PCC]] &amp; " " &amp; ICE[[#This Row],[Rolling]] &amp; "-IEU", "Block Price DT")</f>
        <v/>
      </c>
      <c r="N1933" s="673" t="str">
        <f>RTD("esrtd",,ICE[[#This Row],[PCC]] &amp; " " &amp; ICE[[#This Row],[Rolling]] &amp; "-IEU", "Volume")</f>
        <v/>
      </c>
      <c r="O1933" s="673" t="str">
        <f>RTD("esrtd",,ICE[[#This Row],[PCC]] &amp; " " &amp; ICE[[#This Row],[Rolling]] &amp; "-IEU", "Block Volume")</f>
        <v/>
      </c>
      <c r="P193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3" s="674" t="str">
        <f>IF(ICE[[#This Row],[LastType]] = "Scrn", ICE[[#This Row],[LstDate]], IF(ICE[[#This Row],[LastType]] = "Blk", ICE[[#This Row],[LstBlkTime]], ""))</f>
        <v/>
      </c>
      <c r="R1933" s="675" t="str">
        <f>IF(ICE[[#This Row],[LastType]] = "Scrn", ICE[[#This Row],[LstPrc]], IF(ICE[[#This Row],[LastType]] = "Blk", ICE[[#This Row],[LstBlkPrc]], ""))</f>
        <v/>
      </c>
      <c r="S1933" s="673" t="e">
        <f>ICE[[#This Row],[Vol]]+ICE[[#This Row],[BlkVol]]</f>
        <v>#VALUE!</v>
      </c>
      <c r="T1933" s="673" t="str">
        <f>RTD("esrtd",,ICE[[#This Row],[PCC]] &amp; " " &amp; ICE[[#This Row],[Rolling]] &amp; "-IEU", "Open Interest")</f>
        <v/>
      </c>
      <c r="U1933" s="672" t="str">
        <f>RTD("esrtd",,ICE[[#This Row],[PCC]] &amp; " " &amp; ICE[[#This Row],[Rolling]] &amp; "-IEU", "Recent Settlement")</f>
        <v/>
      </c>
      <c r="V193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3" s="672" t="str">
        <f>RTD("esrtd",,ICE[[#This Row],[PCC]] &amp; " " &amp; ICE[[#This Row],[Rolling]] &amp; "-IEU", "ICE Theoretical Price")</f>
        <v/>
      </c>
      <c r="X1933" s="673" t="s">
        <v>906</v>
      </c>
    </row>
    <row r="1934" spans="1:24" x14ac:dyDescent="0.25">
      <c r="A1934" s="669" t="s">
        <v>451</v>
      </c>
      <c r="B1934" s="669" t="s">
        <v>929</v>
      </c>
      <c r="C1934" s="670">
        <v>3045330435</v>
      </c>
      <c r="D1934" s="671" t="s">
        <v>324</v>
      </c>
      <c r="E1934" s="670" t="str">
        <f>RTD("esrtd",,ICE[[#This Row],[PCC]] &amp; " " &amp; ICE[[#This Row],[Rolling]] &amp; "-IEU", "Strip")</f>
        <v/>
      </c>
      <c r="F1934" s="670" t="str">
        <f>ICE[[#This Row],[Prod]]&amp;ICE[[#This Row],[Strip]]</f>
        <v>tc14</v>
      </c>
      <c r="G1934" s="672" t="str">
        <f>RTD("esrtd",,ICE[[#This Row],[PCC]] &amp; " " &amp; ICE[[#This Row],[Rolling]] &amp; "-IEU", "Bid")</f>
        <v/>
      </c>
      <c r="H1934" s="672" t="str">
        <f>RTD("esrtd",,ICE[[#This Row],[PCC]] &amp; " " &amp; ICE[[#This Row],[Rolling]] &amp; "-IEU", "Ask")</f>
        <v/>
      </c>
      <c r="I1934" s="672" t="str">
        <f>RTD("esrtd",,ICE[[#This Row],[PCC]] &amp; " " &amp; ICE[[#This Row],[Rolling]] &amp; "-IEU", "Last")</f>
        <v/>
      </c>
      <c r="J1934" s="674" t="str">
        <f>RTD("esrtd",,ICE[[#This Row],[PCC]] &amp; " " &amp; ICE[[#This Row],[Rolling]] &amp; "-IEU", "Last Trade Time")</f>
        <v/>
      </c>
      <c r="K1934" s="672" t="str">
        <f>RTD("esrtd",,ICE[[#This Row],[PCC]] &amp; " " &amp; ICE[[#This Row],[Rolling]] &amp; "-IEU", "Block Price")</f>
        <v/>
      </c>
      <c r="L1934" s="673"/>
      <c r="M1934" s="674" t="str">
        <f>RTD("esrtd",,ICE[[#This Row],[PCC]] &amp; " " &amp; ICE[[#This Row],[Rolling]] &amp; "-IEU", "Block Price DT")</f>
        <v/>
      </c>
      <c r="N1934" s="673" t="str">
        <f>RTD("esrtd",,ICE[[#This Row],[PCC]] &amp; " " &amp; ICE[[#This Row],[Rolling]] &amp; "-IEU", "Volume")</f>
        <v/>
      </c>
      <c r="O1934" s="673" t="str">
        <f>RTD("esrtd",,ICE[[#This Row],[PCC]] &amp; " " &amp; ICE[[#This Row],[Rolling]] &amp; "-IEU", "Block Volume")</f>
        <v/>
      </c>
      <c r="P193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4" s="674" t="str">
        <f>IF(ICE[[#This Row],[LastType]] = "Scrn", ICE[[#This Row],[LstDate]], IF(ICE[[#This Row],[LastType]] = "Blk", ICE[[#This Row],[LstBlkTime]], ""))</f>
        <v/>
      </c>
      <c r="R1934" s="675" t="str">
        <f>IF(ICE[[#This Row],[LastType]] = "Scrn", ICE[[#This Row],[LstPrc]], IF(ICE[[#This Row],[LastType]] = "Blk", ICE[[#This Row],[LstBlkPrc]], ""))</f>
        <v/>
      </c>
      <c r="S1934" s="673" t="e">
        <f>ICE[[#This Row],[Vol]]+ICE[[#This Row],[BlkVol]]</f>
        <v>#VALUE!</v>
      </c>
      <c r="T1934" s="673" t="str">
        <f>RTD("esrtd",,ICE[[#This Row],[PCC]] &amp; " " &amp; ICE[[#This Row],[Rolling]] &amp; "-IEU", "Open Interest")</f>
        <v/>
      </c>
      <c r="U1934" s="672" t="str">
        <f>RTD("esrtd",,ICE[[#This Row],[PCC]] &amp; " " &amp; ICE[[#This Row],[Rolling]] &amp; "-IEU", "Recent Settlement")</f>
        <v/>
      </c>
      <c r="V193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4" s="672" t="str">
        <f>RTD("esrtd",,ICE[[#This Row],[PCC]] &amp; " " &amp; ICE[[#This Row],[Rolling]] &amp; "-IEU", "ICE Theoretical Price")</f>
        <v/>
      </c>
      <c r="X1934" s="673" t="s">
        <v>907</v>
      </c>
    </row>
    <row r="1935" spans="1:24" x14ac:dyDescent="0.25">
      <c r="A1935" s="669" t="s">
        <v>451</v>
      </c>
      <c r="B1935" s="669" t="s">
        <v>929</v>
      </c>
      <c r="C1935" s="670">
        <v>3045330435</v>
      </c>
      <c r="D1935" s="671" t="s">
        <v>325</v>
      </c>
      <c r="E1935" s="670" t="str">
        <f>RTD("esrtd",,ICE[[#This Row],[PCC]] &amp; " " &amp; ICE[[#This Row],[Rolling]] &amp; "-IEU", "Strip")</f>
        <v/>
      </c>
      <c r="F1935" s="670" t="str">
        <f>ICE[[#This Row],[Prod]]&amp;ICE[[#This Row],[Strip]]</f>
        <v>tc14</v>
      </c>
      <c r="G1935" s="672" t="str">
        <f>RTD("esrtd",,ICE[[#This Row],[PCC]] &amp; " " &amp; ICE[[#This Row],[Rolling]] &amp; "-IEU", "Bid")</f>
        <v/>
      </c>
      <c r="H1935" s="672" t="str">
        <f>RTD("esrtd",,ICE[[#This Row],[PCC]] &amp; " " &amp; ICE[[#This Row],[Rolling]] &amp; "-IEU", "Ask")</f>
        <v/>
      </c>
      <c r="I1935" s="672" t="str">
        <f>RTD("esrtd",,ICE[[#This Row],[PCC]] &amp; " " &amp; ICE[[#This Row],[Rolling]] &amp; "-IEU", "Last")</f>
        <v/>
      </c>
      <c r="J1935" s="674" t="str">
        <f>RTD("esrtd",,ICE[[#This Row],[PCC]] &amp; " " &amp; ICE[[#This Row],[Rolling]] &amp; "-IEU", "Last Trade Time")</f>
        <v/>
      </c>
      <c r="K1935" s="672" t="str">
        <f>RTD("esrtd",,ICE[[#This Row],[PCC]] &amp; " " &amp; ICE[[#This Row],[Rolling]] &amp; "-IEU", "Block Price")</f>
        <v/>
      </c>
      <c r="L1935" s="673"/>
      <c r="M1935" s="674" t="str">
        <f>RTD("esrtd",,ICE[[#This Row],[PCC]] &amp; " " &amp; ICE[[#This Row],[Rolling]] &amp; "-IEU", "Block Price DT")</f>
        <v/>
      </c>
      <c r="N1935" s="673" t="str">
        <f>RTD("esrtd",,ICE[[#This Row],[PCC]] &amp; " " &amp; ICE[[#This Row],[Rolling]] &amp; "-IEU", "Volume")</f>
        <v/>
      </c>
      <c r="O1935" s="673" t="str">
        <f>RTD("esrtd",,ICE[[#This Row],[PCC]] &amp; " " &amp; ICE[[#This Row],[Rolling]] &amp; "-IEU", "Block Volume")</f>
        <v/>
      </c>
      <c r="P193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5" s="674" t="str">
        <f>IF(ICE[[#This Row],[LastType]] = "Scrn", ICE[[#This Row],[LstDate]], IF(ICE[[#This Row],[LastType]] = "Blk", ICE[[#This Row],[LstBlkTime]], ""))</f>
        <v/>
      </c>
      <c r="R1935" s="675" t="str">
        <f>IF(ICE[[#This Row],[LastType]] = "Scrn", ICE[[#This Row],[LstPrc]], IF(ICE[[#This Row],[LastType]] = "Blk", ICE[[#This Row],[LstBlkPrc]], ""))</f>
        <v/>
      </c>
      <c r="S1935" s="673" t="e">
        <f>ICE[[#This Row],[Vol]]+ICE[[#This Row],[BlkVol]]</f>
        <v>#VALUE!</v>
      </c>
      <c r="T1935" s="673" t="str">
        <f>RTD("esrtd",,ICE[[#This Row],[PCC]] &amp; " " &amp; ICE[[#This Row],[Rolling]] &amp; "-IEU", "Open Interest")</f>
        <v/>
      </c>
      <c r="U1935" s="672" t="str">
        <f>RTD("esrtd",,ICE[[#This Row],[PCC]] &amp; " " &amp; ICE[[#This Row],[Rolling]] &amp; "-IEU", "Recent Settlement")</f>
        <v/>
      </c>
      <c r="V193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5" s="672" t="str">
        <f>RTD("esrtd",,ICE[[#This Row],[PCC]] &amp; " " &amp; ICE[[#This Row],[Rolling]] &amp; "-IEU", "ICE Theoretical Price")</f>
        <v/>
      </c>
      <c r="X1935" s="673" t="s">
        <v>908</v>
      </c>
    </row>
    <row r="1936" spans="1:24" x14ac:dyDescent="0.25">
      <c r="A1936" s="669" t="s">
        <v>451</v>
      </c>
      <c r="B1936" s="669" t="s">
        <v>929</v>
      </c>
      <c r="C1936" s="670">
        <v>3045330435</v>
      </c>
      <c r="D1936" s="671" t="s">
        <v>326</v>
      </c>
      <c r="E1936" s="670" t="str">
        <f>RTD("esrtd",,ICE[[#This Row],[PCC]] &amp; " " &amp; ICE[[#This Row],[Rolling]] &amp; "-IEU", "Strip")</f>
        <v/>
      </c>
      <c r="F1936" s="670" t="str">
        <f>ICE[[#This Row],[Prod]]&amp;ICE[[#This Row],[Strip]]</f>
        <v>tc14</v>
      </c>
      <c r="G1936" s="672" t="str">
        <f>RTD("esrtd",,ICE[[#This Row],[PCC]] &amp; " " &amp; ICE[[#This Row],[Rolling]] &amp; "-IEU", "Bid")</f>
        <v/>
      </c>
      <c r="H1936" s="672" t="str">
        <f>RTD("esrtd",,ICE[[#This Row],[PCC]] &amp; " " &amp; ICE[[#This Row],[Rolling]] &amp; "-IEU", "Ask")</f>
        <v/>
      </c>
      <c r="I1936" s="672" t="str">
        <f>RTD("esrtd",,ICE[[#This Row],[PCC]] &amp; " " &amp; ICE[[#This Row],[Rolling]] &amp; "-IEU", "Last")</f>
        <v/>
      </c>
      <c r="J1936" s="674" t="str">
        <f>RTD("esrtd",,ICE[[#This Row],[PCC]] &amp; " " &amp; ICE[[#This Row],[Rolling]] &amp; "-IEU", "Last Trade Time")</f>
        <v/>
      </c>
      <c r="K1936" s="672" t="str">
        <f>RTD("esrtd",,ICE[[#This Row],[PCC]] &amp; " " &amp; ICE[[#This Row],[Rolling]] &amp; "-IEU", "Block Price")</f>
        <v/>
      </c>
      <c r="L1936" s="673"/>
      <c r="M1936" s="674" t="str">
        <f>RTD("esrtd",,ICE[[#This Row],[PCC]] &amp; " " &amp; ICE[[#This Row],[Rolling]] &amp; "-IEU", "Block Price DT")</f>
        <v/>
      </c>
      <c r="N1936" s="673" t="str">
        <f>RTD("esrtd",,ICE[[#This Row],[PCC]] &amp; " " &amp; ICE[[#This Row],[Rolling]] &amp; "-IEU", "Volume")</f>
        <v/>
      </c>
      <c r="O1936" s="673" t="str">
        <f>RTD("esrtd",,ICE[[#This Row],[PCC]] &amp; " " &amp; ICE[[#This Row],[Rolling]] &amp; "-IEU", "Block Volume")</f>
        <v/>
      </c>
      <c r="P193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6" s="674" t="str">
        <f>IF(ICE[[#This Row],[LastType]] = "Scrn", ICE[[#This Row],[LstDate]], IF(ICE[[#This Row],[LastType]] = "Blk", ICE[[#This Row],[LstBlkTime]], ""))</f>
        <v/>
      </c>
      <c r="R1936" s="675" t="str">
        <f>IF(ICE[[#This Row],[LastType]] = "Scrn", ICE[[#This Row],[LstPrc]], IF(ICE[[#This Row],[LastType]] = "Blk", ICE[[#This Row],[LstBlkPrc]], ""))</f>
        <v/>
      </c>
      <c r="S1936" s="673" t="e">
        <f>ICE[[#This Row],[Vol]]+ICE[[#This Row],[BlkVol]]</f>
        <v>#VALUE!</v>
      </c>
      <c r="T1936" s="673" t="str">
        <f>RTD("esrtd",,ICE[[#This Row],[PCC]] &amp; " " &amp; ICE[[#This Row],[Rolling]] &amp; "-IEU", "Open Interest")</f>
        <v/>
      </c>
      <c r="U1936" s="672" t="str">
        <f>RTD("esrtd",,ICE[[#This Row],[PCC]] &amp; " " &amp; ICE[[#This Row],[Rolling]] &amp; "-IEU", "Recent Settlement")</f>
        <v/>
      </c>
      <c r="V193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6" s="672" t="str">
        <f>RTD("esrtd",,ICE[[#This Row],[PCC]] &amp; " " &amp; ICE[[#This Row],[Rolling]] &amp; "-IEU", "ICE Theoretical Price")</f>
        <v/>
      </c>
      <c r="X1936" s="673" t="s">
        <v>909</v>
      </c>
    </row>
    <row r="1937" spans="1:24" x14ac:dyDescent="0.25">
      <c r="A1937" s="669" t="s">
        <v>451</v>
      </c>
      <c r="B1937" s="669" t="s">
        <v>929</v>
      </c>
      <c r="C1937" s="670">
        <v>3045330435</v>
      </c>
      <c r="D1937" s="671" t="s">
        <v>794</v>
      </c>
      <c r="E1937" s="670" t="str">
        <f>RTD("esrtd",,ICE[[#This Row],[PCC]] &amp; " " &amp; ICE[[#This Row],[Rolling]] &amp; "-IEU", "Strip")</f>
        <v/>
      </c>
      <c r="F1937" s="670" t="str">
        <f>ICE[[#This Row],[Prod]]&amp;ICE[[#This Row],[Strip]]</f>
        <v>tc14</v>
      </c>
      <c r="G1937" s="672" t="str">
        <f>RTD("esrtd",,ICE[[#This Row],[PCC]] &amp; " " &amp; ICE[[#This Row],[Rolling]] &amp; "-IEU", "Bid")</f>
        <v/>
      </c>
      <c r="H1937" s="672" t="str">
        <f>RTD("esrtd",,ICE[[#This Row],[PCC]] &amp; " " &amp; ICE[[#This Row],[Rolling]] &amp; "-IEU", "Ask")</f>
        <v/>
      </c>
      <c r="I1937" s="672" t="str">
        <f>RTD("esrtd",,ICE[[#This Row],[PCC]] &amp; " " &amp; ICE[[#This Row],[Rolling]] &amp; "-IEU", "Last")</f>
        <v/>
      </c>
      <c r="J1937" s="674" t="str">
        <f>RTD("esrtd",,ICE[[#This Row],[PCC]] &amp; " " &amp; ICE[[#This Row],[Rolling]] &amp; "-IEU", "Last Trade Time")</f>
        <v/>
      </c>
      <c r="K1937" s="672" t="str">
        <f>RTD("esrtd",,ICE[[#This Row],[PCC]] &amp; " " &amp; ICE[[#This Row],[Rolling]] &amp; "-IEU", "Block Price")</f>
        <v/>
      </c>
      <c r="L1937" s="673"/>
      <c r="M1937" s="674" t="str">
        <f>RTD("esrtd",,ICE[[#This Row],[PCC]] &amp; " " &amp; ICE[[#This Row],[Rolling]] &amp; "-IEU", "Block Price DT")</f>
        <v/>
      </c>
      <c r="N1937" s="673" t="str">
        <f>RTD("esrtd",,ICE[[#This Row],[PCC]] &amp; " " &amp; ICE[[#This Row],[Rolling]] &amp; "-IEU", "Volume")</f>
        <v/>
      </c>
      <c r="O1937" s="673" t="str">
        <f>RTD("esrtd",,ICE[[#This Row],[PCC]] &amp; " " &amp; ICE[[#This Row],[Rolling]] &amp; "-IEU", "Block Volume")</f>
        <v/>
      </c>
      <c r="P193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7" s="674" t="str">
        <f>IF(ICE[[#This Row],[LastType]] = "Scrn", ICE[[#This Row],[LstDate]], IF(ICE[[#This Row],[LastType]] = "Blk", ICE[[#This Row],[LstBlkTime]], ""))</f>
        <v/>
      </c>
      <c r="R1937" s="675" t="str">
        <f>IF(ICE[[#This Row],[LastType]] = "Scrn", ICE[[#This Row],[LstPrc]], IF(ICE[[#This Row],[LastType]] = "Blk", ICE[[#This Row],[LstBlkPrc]], ""))</f>
        <v/>
      </c>
      <c r="S1937" s="673" t="e">
        <f>ICE[[#This Row],[Vol]]+ICE[[#This Row],[BlkVol]]</f>
        <v>#VALUE!</v>
      </c>
      <c r="T1937" s="673" t="str">
        <f>RTD("esrtd",,ICE[[#This Row],[PCC]] &amp; " " &amp; ICE[[#This Row],[Rolling]] &amp; "-IEU", "Open Interest")</f>
        <v/>
      </c>
      <c r="U1937" s="672" t="str">
        <f>RTD("esrtd",,ICE[[#This Row],[PCC]] &amp; " " &amp; ICE[[#This Row],[Rolling]] &amp; "-IEU", "Recent Settlement")</f>
        <v/>
      </c>
      <c r="V193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7" s="672" t="str">
        <f>RTD("esrtd",,ICE[[#This Row],[PCC]] &amp; " " &amp; ICE[[#This Row],[Rolling]] &amp; "-IEU", "ICE Theoretical Price")</f>
        <v/>
      </c>
      <c r="X1937" s="673" t="s">
        <v>910</v>
      </c>
    </row>
    <row r="1938" spans="1:24" x14ac:dyDescent="0.25">
      <c r="A1938" s="669" t="s">
        <v>451</v>
      </c>
      <c r="B1938" s="669" t="s">
        <v>929</v>
      </c>
      <c r="C1938" s="670">
        <v>3045330435</v>
      </c>
      <c r="D1938" s="671" t="s">
        <v>795</v>
      </c>
      <c r="E1938" s="670" t="str">
        <f>RTD("esrtd",,ICE[[#This Row],[PCC]] &amp; " " &amp; ICE[[#This Row],[Rolling]] &amp; "-IEU", "Strip")</f>
        <v/>
      </c>
      <c r="F1938" s="670" t="str">
        <f>ICE[[#This Row],[Prod]]&amp;ICE[[#This Row],[Strip]]</f>
        <v>tc14</v>
      </c>
      <c r="G1938" s="672" t="str">
        <f>RTD("esrtd",,ICE[[#This Row],[PCC]] &amp; " " &amp; ICE[[#This Row],[Rolling]] &amp; "-IEU", "Bid")</f>
        <v/>
      </c>
      <c r="H1938" s="672" t="str">
        <f>RTD("esrtd",,ICE[[#This Row],[PCC]] &amp; " " &amp; ICE[[#This Row],[Rolling]] &amp; "-IEU", "Ask")</f>
        <v/>
      </c>
      <c r="I1938" s="672" t="str">
        <f>RTD("esrtd",,ICE[[#This Row],[PCC]] &amp; " " &amp; ICE[[#This Row],[Rolling]] &amp; "-IEU", "Last")</f>
        <v/>
      </c>
      <c r="J1938" s="674" t="str">
        <f>RTD("esrtd",,ICE[[#This Row],[PCC]] &amp; " " &amp; ICE[[#This Row],[Rolling]] &amp; "-IEU", "Last Trade Time")</f>
        <v/>
      </c>
      <c r="K1938" s="672" t="str">
        <f>RTD("esrtd",,ICE[[#This Row],[PCC]] &amp; " " &amp; ICE[[#This Row],[Rolling]] &amp; "-IEU", "Block Price")</f>
        <v/>
      </c>
      <c r="L1938" s="673"/>
      <c r="M1938" s="674" t="str">
        <f>RTD("esrtd",,ICE[[#This Row],[PCC]] &amp; " " &amp; ICE[[#This Row],[Rolling]] &amp; "-IEU", "Block Price DT")</f>
        <v/>
      </c>
      <c r="N1938" s="673" t="str">
        <f>RTD("esrtd",,ICE[[#This Row],[PCC]] &amp; " " &amp; ICE[[#This Row],[Rolling]] &amp; "-IEU", "Volume")</f>
        <v/>
      </c>
      <c r="O1938" s="673" t="str">
        <f>RTD("esrtd",,ICE[[#This Row],[PCC]] &amp; " " &amp; ICE[[#This Row],[Rolling]] &amp; "-IEU", "Block Volume")</f>
        <v/>
      </c>
      <c r="P193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8" s="674" t="str">
        <f>IF(ICE[[#This Row],[LastType]] = "Scrn", ICE[[#This Row],[LstDate]], IF(ICE[[#This Row],[LastType]] = "Blk", ICE[[#This Row],[LstBlkTime]], ""))</f>
        <v/>
      </c>
      <c r="R1938" s="675" t="str">
        <f>IF(ICE[[#This Row],[LastType]] = "Scrn", ICE[[#This Row],[LstPrc]], IF(ICE[[#This Row],[LastType]] = "Blk", ICE[[#This Row],[LstBlkPrc]], ""))</f>
        <v/>
      </c>
      <c r="S1938" s="673" t="e">
        <f>ICE[[#This Row],[Vol]]+ICE[[#This Row],[BlkVol]]</f>
        <v>#VALUE!</v>
      </c>
      <c r="T1938" s="673" t="str">
        <f>RTD("esrtd",,ICE[[#This Row],[PCC]] &amp; " " &amp; ICE[[#This Row],[Rolling]] &amp; "-IEU", "Open Interest")</f>
        <v/>
      </c>
      <c r="U1938" s="672" t="str">
        <f>RTD("esrtd",,ICE[[#This Row],[PCC]] &amp; " " &amp; ICE[[#This Row],[Rolling]] &amp; "-IEU", "Recent Settlement")</f>
        <v/>
      </c>
      <c r="V193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8" s="672" t="str">
        <f>RTD("esrtd",,ICE[[#This Row],[PCC]] &amp; " " &amp; ICE[[#This Row],[Rolling]] &amp; "-IEU", "ICE Theoretical Price")</f>
        <v/>
      </c>
      <c r="X1938" s="673" t="s">
        <v>911</v>
      </c>
    </row>
    <row r="1939" spans="1:24" x14ac:dyDescent="0.25">
      <c r="A1939" s="669" t="s">
        <v>451</v>
      </c>
      <c r="B1939" s="669" t="s">
        <v>929</v>
      </c>
      <c r="C1939" s="670">
        <v>3045330435</v>
      </c>
      <c r="D1939" s="671" t="s">
        <v>113</v>
      </c>
      <c r="E1939" s="670" t="str">
        <f>RTD("esrtd",,ICE[[#This Row],[PCC]] &amp; " " &amp; ICE[[#This Row],[Rolling]] &amp; "-IEU", "Strip")</f>
        <v/>
      </c>
      <c r="F1939" s="670" t="str">
        <f>ICE[[#This Row],[Prod]]&amp;ICE[[#This Row],[Strip]]</f>
        <v>tc14</v>
      </c>
      <c r="G1939" s="672" t="str">
        <f>RTD("esrtd",,ICE[[#This Row],[PCC]] &amp; " " &amp; ICE[[#This Row],[Rolling]] &amp; "-IEU", "Bid")</f>
        <v/>
      </c>
      <c r="H1939" s="672" t="str">
        <f>RTD("esrtd",,ICE[[#This Row],[PCC]] &amp; " " &amp; ICE[[#This Row],[Rolling]] &amp; "-IEU", "Ask")</f>
        <v/>
      </c>
      <c r="I1939" s="672" t="str">
        <f>RTD("esrtd",,ICE[[#This Row],[PCC]] &amp; " " &amp; ICE[[#This Row],[Rolling]] &amp; "-IEU", "Last")</f>
        <v/>
      </c>
      <c r="J1939" s="674" t="str">
        <f>RTD("esrtd",,ICE[[#This Row],[PCC]] &amp; " " &amp; ICE[[#This Row],[Rolling]] &amp; "-IEU", "Last Trade Time")</f>
        <v/>
      </c>
      <c r="K1939" s="672" t="str">
        <f>RTD("esrtd",,ICE[[#This Row],[PCC]] &amp; " " &amp; ICE[[#This Row],[Rolling]] &amp; "-IEU", "Block Price")</f>
        <v/>
      </c>
      <c r="L1939" s="673"/>
      <c r="M1939" s="674" t="str">
        <f>RTD("esrtd",,ICE[[#This Row],[PCC]] &amp; " " &amp; ICE[[#This Row],[Rolling]] &amp; "-IEU", "Block Price DT")</f>
        <v/>
      </c>
      <c r="N1939" s="673" t="str">
        <f>RTD("esrtd",,ICE[[#This Row],[PCC]] &amp; " " &amp; ICE[[#This Row],[Rolling]] &amp; "-IEU", "Volume")</f>
        <v/>
      </c>
      <c r="O1939" s="673" t="str">
        <f>RTD("esrtd",,ICE[[#This Row],[PCC]] &amp; " " &amp; ICE[[#This Row],[Rolling]] &amp; "-IEU", "Block Volume")</f>
        <v/>
      </c>
      <c r="P193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39" s="674" t="str">
        <f>IF(ICE[[#This Row],[LastType]] = "Scrn", ICE[[#This Row],[LstDate]], IF(ICE[[#This Row],[LastType]] = "Blk", ICE[[#This Row],[LstBlkTime]], ""))</f>
        <v/>
      </c>
      <c r="R1939" s="675" t="str">
        <f>IF(ICE[[#This Row],[LastType]] = "Scrn", ICE[[#This Row],[LstPrc]], IF(ICE[[#This Row],[LastType]] = "Blk", ICE[[#This Row],[LstBlkPrc]], ""))</f>
        <v/>
      </c>
      <c r="S1939" s="673" t="e">
        <f>ICE[[#This Row],[Vol]]+ICE[[#This Row],[BlkVol]]</f>
        <v>#VALUE!</v>
      </c>
      <c r="T1939" s="673" t="str">
        <f>RTD("esrtd",,ICE[[#This Row],[PCC]] &amp; " " &amp; ICE[[#This Row],[Rolling]] &amp; "-IEU", "Open Interest")</f>
        <v/>
      </c>
      <c r="U1939" s="672" t="str">
        <f>RTD("esrtd",,ICE[[#This Row],[PCC]] &amp; " " &amp; ICE[[#This Row],[Rolling]] &amp; "-IEU", "Recent Settlement")</f>
        <v/>
      </c>
      <c r="V193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39" s="672" t="str">
        <f>RTD("esrtd",,ICE[[#This Row],[PCC]] &amp; " " &amp; ICE[[#This Row],[Rolling]] &amp; "-IEU", "ICE Theoretical Price")</f>
        <v/>
      </c>
      <c r="X1939" s="673" t="s">
        <v>912</v>
      </c>
    </row>
    <row r="1940" spans="1:24" x14ac:dyDescent="0.25">
      <c r="A1940" s="669" t="s">
        <v>451</v>
      </c>
      <c r="B1940" s="669" t="s">
        <v>929</v>
      </c>
      <c r="C1940" s="670">
        <v>3045330435</v>
      </c>
      <c r="D1940" s="671" t="s">
        <v>796</v>
      </c>
      <c r="E1940" s="670" t="str">
        <f>RTD("esrtd",,ICE[[#This Row],[PCC]] &amp; " " &amp; ICE[[#This Row],[Rolling]] &amp; "-IEU", "Strip")</f>
        <v/>
      </c>
      <c r="F1940" s="670" t="str">
        <f>ICE[[#This Row],[Prod]]&amp;ICE[[#This Row],[Strip]]</f>
        <v>tc14</v>
      </c>
      <c r="G1940" s="672" t="str">
        <f>RTD("esrtd",,ICE[[#This Row],[PCC]] &amp; " " &amp; ICE[[#This Row],[Rolling]] &amp; "-IEU", "Bid")</f>
        <v/>
      </c>
      <c r="H1940" s="672" t="str">
        <f>RTD("esrtd",,ICE[[#This Row],[PCC]] &amp; " " &amp; ICE[[#This Row],[Rolling]] &amp; "-IEU", "Ask")</f>
        <v/>
      </c>
      <c r="I1940" s="672" t="str">
        <f>RTD("esrtd",,ICE[[#This Row],[PCC]] &amp; " " &amp; ICE[[#This Row],[Rolling]] &amp; "-IEU", "Last")</f>
        <v/>
      </c>
      <c r="J1940" s="674" t="str">
        <f>RTD("esrtd",,ICE[[#This Row],[PCC]] &amp; " " &amp; ICE[[#This Row],[Rolling]] &amp; "-IEU", "Last Trade Time")</f>
        <v/>
      </c>
      <c r="K1940" s="672" t="str">
        <f>RTD("esrtd",,ICE[[#This Row],[PCC]] &amp; " " &amp; ICE[[#This Row],[Rolling]] &amp; "-IEU", "Block Price")</f>
        <v/>
      </c>
      <c r="L1940" s="673"/>
      <c r="M1940" s="674" t="str">
        <f>RTD("esrtd",,ICE[[#This Row],[PCC]] &amp; " " &amp; ICE[[#This Row],[Rolling]] &amp; "-IEU", "Block Price DT")</f>
        <v/>
      </c>
      <c r="N1940" s="673" t="str">
        <f>RTD("esrtd",,ICE[[#This Row],[PCC]] &amp; " " &amp; ICE[[#This Row],[Rolling]] &amp; "-IEU", "Volume")</f>
        <v/>
      </c>
      <c r="O1940" s="673" t="str">
        <f>RTD("esrtd",,ICE[[#This Row],[PCC]] &amp; " " &amp; ICE[[#This Row],[Rolling]] &amp; "-IEU", "Block Volume")</f>
        <v/>
      </c>
      <c r="P194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0" s="674" t="str">
        <f>IF(ICE[[#This Row],[LastType]] = "Scrn", ICE[[#This Row],[LstDate]], IF(ICE[[#This Row],[LastType]] = "Blk", ICE[[#This Row],[LstBlkTime]], ""))</f>
        <v/>
      </c>
      <c r="R1940" s="675" t="str">
        <f>IF(ICE[[#This Row],[LastType]] = "Scrn", ICE[[#This Row],[LstPrc]], IF(ICE[[#This Row],[LastType]] = "Blk", ICE[[#This Row],[LstBlkPrc]], ""))</f>
        <v/>
      </c>
      <c r="S1940" s="673" t="e">
        <f>ICE[[#This Row],[Vol]]+ICE[[#This Row],[BlkVol]]</f>
        <v>#VALUE!</v>
      </c>
      <c r="T1940" s="673" t="str">
        <f>RTD("esrtd",,ICE[[#This Row],[PCC]] &amp; " " &amp; ICE[[#This Row],[Rolling]] &amp; "-IEU", "Open Interest")</f>
        <v/>
      </c>
      <c r="U1940" s="672" t="str">
        <f>RTD("esrtd",,ICE[[#This Row],[PCC]] &amp; " " &amp; ICE[[#This Row],[Rolling]] &amp; "-IEU", "Recent Settlement")</f>
        <v/>
      </c>
      <c r="V194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0" s="672" t="str">
        <f>RTD("esrtd",,ICE[[#This Row],[PCC]] &amp; " " &amp; ICE[[#This Row],[Rolling]] &amp; "-IEU", "ICE Theoretical Price")</f>
        <v/>
      </c>
      <c r="X1940" s="673" t="s">
        <v>913</v>
      </c>
    </row>
    <row r="1941" spans="1:24" x14ac:dyDescent="0.25">
      <c r="A1941" s="669" t="s">
        <v>451</v>
      </c>
      <c r="B1941" s="669" t="s">
        <v>929</v>
      </c>
      <c r="C1941" s="670">
        <v>3045330435</v>
      </c>
      <c r="D1941" s="671" t="s">
        <v>797</v>
      </c>
      <c r="E1941" s="670" t="str">
        <f>RTD("esrtd",,ICE[[#This Row],[PCC]] &amp; " " &amp; ICE[[#This Row],[Rolling]] &amp; "-IEU", "Strip")</f>
        <v/>
      </c>
      <c r="F1941" s="670" t="str">
        <f>ICE[[#This Row],[Prod]]&amp;ICE[[#This Row],[Strip]]</f>
        <v>tc14</v>
      </c>
      <c r="G1941" s="672" t="str">
        <f>RTD("esrtd",,ICE[[#This Row],[PCC]] &amp; " " &amp; ICE[[#This Row],[Rolling]] &amp; "-IEU", "Bid")</f>
        <v/>
      </c>
      <c r="H1941" s="672" t="str">
        <f>RTD("esrtd",,ICE[[#This Row],[PCC]] &amp; " " &amp; ICE[[#This Row],[Rolling]] &amp; "-IEU", "Ask")</f>
        <v/>
      </c>
      <c r="I1941" s="672" t="str">
        <f>RTD("esrtd",,ICE[[#This Row],[PCC]] &amp; " " &amp; ICE[[#This Row],[Rolling]] &amp; "-IEU", "Last")</f>
        <v/>
      </c>
      <c r="J1941" s="674" t="str">
        <f>RTD("esrtd",,ICE[[#This Row],[PCC]] &amp; " " &amp; ICE[[#This Row],[Rolling]] &amp; "-IEU", "Last Trade Time")</f>
        <v/>
      </c>
      <c r="K1941" s="672" t="str">
        <f>RTD("esrtd",,ICE[[#This Row],[PCC]] &amp; " " &amp; ICE[[#This Row],[Rolling]] &amp; "-IEU", "Block Price")</f>
        <v/>
      </c>
      <c r="L1941" s="673"/>
      <c r="M1941" s="674" t="str">
        <f>RTD("esrtd",,ICE[[#This Row],[PCC]] &amp; " " &amp; ICE[[#This Row],[Rolling]] &amp; "-IEU", "Block Price DT")</f>
        <v/>
      </c>
      <c r="N1941" s="673" t="str">
        <f>RTD("esrtd",,ICE[[#This Row],[PCC]] &amp; " " &amp; ICE[[#This Row],[Rolling]] &amp; "-IEU", "Volume")</f>
        <v/>
      </c>
      <c r="O1941" s="673" t="str">
        <f>RTD("esrtd",,ICE[[#This Row],[PCC]] &amp; " " &amp; ICE[[#This Row],[Rolling]] &amp; "-IEU", "Block Volume")</f>
        <v/>
      </c>
      <c r="P194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1" s="674" t="str">
        <f>IF(ICE[[#This Row],[LastType]] = "Scrn", ICE[[#This Row],[LstDate]], IF(ICE[[#This Row],[LastType]] = "Blk", ICE[[#This Row],[LstBlkTime]], ""))</f>
        <v/>
      </c>
      <c r="R1941" s="675" t="str">
        <f>IF(ICE[[#This Row],[LastType]] = "Scrn", ICE[[#This Row],[LstPrc]], IF(ICE[[#This Row],[LastType]] = "Blk", ICE[[#This Row],[LstBlkPrc]], ""))</f>
        <v/>
      </c>
      <c r="S1941" s="673" t="e">
        <f>ICE[[#This Row],[Vol]]+ICE[[#This Row],[BlkVol]]</f>
        <v>#VALUE!</v>
      </c>
      <c r="T1941" s="673" t="str">
        <f>RTD("esrtd",,ICE[[#This Row],[PCC]] &amp; " " &amp; ICE[[#This Row],[Rolling]] &amp; "-IEU", "Open Interest")</f>
        <v/>
      </c>
      <c r="U1941" s="672" t="str">
        <f>RTD("esrtd",,ICE[[#This Row],[PCC]] &amp; " " &amp; ICE[[#This Row],[Rolling]] &amp; "-IEU", "Recent Settlement")</f>
        <v/>
      </c>
      <c r="V194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1" s="672" t="str">
        <f>RTD("esrtd",,ICE[[#This Row],[PCC]] &amp; " " &amp; ICE[[#This Row],[Rolling]] &amp; "-IEU", "ICE Theoretical Price")</f>
        <v/>
      </c>
      <c r="X1941" s="673" t="s">
        <v>914</v>
      </c>
    </row>
    <row r="1942" spans="1:24" x14ac:dyDescent="0.25">
      <c r="A1942" s="669" t="s">
        <v>451</v>
      </c>
      <c r="B1942" s="669" t="s">
        <v>929</v>
      </c>
      <c r="C1942" s="670">
        <v>3045330435</v>
      </c>
      <c r="D1942" s="671" t="s">
        <v>798</v>
      </c>
      <c r="E1942" s="670" t="str">
        <f>RTD("esrtd",,ICE[[#This Row],[PCC]] &amp; " " &amp; ICE[[#This Row],[Rolling]] &amp; "-IEU", "Strip")</f>
        <v/>
      </c>
      <c r="F1942" s="670" t="str">
        <f>ICE[[#This Row],[Prod]]&amp;ICE[[#This Row],[Strip]]</f>
        <v>tc14</v>
      </c>
      <c r="G1942" s="672" t="str">
        <f>RTD("esrtd",,ICE[[#This Row],[PCC]] &amp; " " &amp; ICE[[#This Row],[Rolling]] &amp; "-IEU", "Bid")</f>
        <v/>
      </c>
      <c r="H1942" s="672" t="str">
        <f>RTD("esrtd",,ICE[[#This Row],[PCC]] &amp; " " &amp; ICE[[#This Row],[Rolling]] &amp; "-IEU", "Ask")</f>
        <v/>
      </c>
      <c r="I1942" s="672" t="str">
        <f>RTD("esrtd",,ICE[[#This Row],[PCC]] &amp; " " &amp; ICE[[#This Row],[Rolling]] &amp; "-IEU", "Last")</f>
        <v/>
      </c>
      <c r="J1942" s="674" t="str">
        <f>RTD("esrtd",,ICE[[#This Row],[PCC]] &amp; " " &amp; ICE[[#This Row],[Rolling]] &amp; "-IEU", "Last Trade Time")</f>
        <v/>
      </c>
      <c r="K1942" s="672" t="str">
        <f>RTD("esrtd",,ICE[[#This Row],[PCC]] &amp; " " &amp; ICE[[#This Row],[Rolling]] &amp; "-IEU", "Block Price")</f>
        <v/>
      </c>
      <c r="L1942" s="673"/>
      <c r="M1942" s="674" t="str">
        <f>RTD("esrtd",,ICE[[#This Row],[PCC]] &amp; " " &amp; ICE[[#This Row],[Rolling]] &amp; "-IEU", "Block Price DT")</f>
        <v/>
      </c>
      <c r="N1942" s="673" t="str">
        <f>RTD("esrtd",,ICE[[#This Row],[PCC]] &amp; " " &amp; ICE[[#This Row],[Rolling]] &amp; "-IEU", "Volume")</f>
        <v/>
      </c>
      <c r="O1942" s="673" t="str">
        <f>RTD("esrtd",,ICE[[#This Row],[PCC]] &amp; " " &amp; ICE[[#This Row],[Rolling]] &amp; "-IEU", "Block Volume")</f>
        <v/>
      </c>
      <c r="P194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2" s="674" t="str">
        <f>IF(ICE[[#This Row],[LastType]] = "Scrn", ICE[[#This Row],[LstDate]], IF(ICE[[#This Row],[LastType]] = "Blk", ICE[[#This Row],[LstBlkTime]], ""))</f>
        <v/>
      </c>
      <c r="R1942" s="675" t="str">
        <f>IF(ICE[[#This Row],[LastType]] = "Scrn", ICE[[#This Row],[LstPrc]], IF(ICE[[#This Row],[LastType]] = "Blk", ICE[[#This Row],[LstBlkPrc]], ""))</f>
        <v/>
      </c>
      <c r="S1942" s="673" t="e">
        <f>ICE[[#This Row],[Vol]]+ICE[[#This Row],[BlkVol]]</f>
        <v>#VALUE!</v>
      </c>
      <c r="T1942" s="673" t="str">
        <f>RTD("esrtd",,ICE[[#This Row],[PCC]] &amp; " " &amp; ICE[[#This Row],[Rolling]] &amp; "-IEU", "Open Interest")</f>
        <v/>
      </c>
      <c r="U1942" s="672" t="str">
        <f>RTD("esrtd",,ICE[[#This Row],[PCC]] &amp; " " &amp; ICE[[#This Row],[Rolling]] &amp; "-IEU", "Recent Settlement")</f>
        <v/>
      </c>
      <c r="V194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2" s="672" t="str">
        <f>RTD("esrtd",,ICE[[#This Row],[PCC]] &amp; " " &amp; ICE[[#This Row],[Rolling]] &amp; "-IEU", "ICE Theoretical Price")</f>
        <v/>
      </c>
      <c r="X1942" s="673" t="s">
        <v>915</v>
      </c>
    </row>
    <row r="1943" spans="1:24" x14ac:dyDescent="0.25">
      <c r="A1943" s="669" t="s">
        <v>451</v>
      </c>
      <c r="B1943" s="669" t="s">
        <v>929</v>
      </c>
      <c r="C1943" s="670">
        <v>3045330435</v>
      </c>
      <c r="D1943" s="671" t="s">
        <v>799</v>
      </c>
      <c r="E1943" s="670" t="str">
        <f>RTD("esrtd",,ICE[[#This Row],[PCC]] &amp; " " &amp; ICE[[#This Row],[Rolling]] &amp; "-IEU", "Strip")</f>
        <v/>
      </c>
      <c r="F1943" s="670" t="str">
        <f>ICE[[#This Row],[Prod]]&amp;ICE[[#This Row],[Strip]]</f>
        <v>tc14</v>
      </c>
      <c r="G1943" s="672" t="str">
        <f>RTD("esrtd",,ICE[[#This Row],[PCC]] &amp; " " &amp; ICE[[#This Row],[Rolling]] &amp; "-IEU", "Bid")</f>
        <v/>
      </c>
      <c r="H1943" s="672" t="str">
        <f>RTD("esrtd",,ICE[[#This Row],[PCC]] &amp; " " &amp; ICE[[#This Row],[Rolling]] &amp; "-IEU", "Ask")</f>
        <v/>
      </c>
      <c r="I1943" s="672" t="str">
        <f>RTD("esrtd",,ICE[[#This Row],[PCC]] &amp; " " &amp; ICE[[#This Row],[Rolling]] &amp; "-IEU", "Last")</f>
        <v/>
      </c>
      <c r="J1943" s="674" t="str">
        <f>RTD("esrtd",,ICE[[#This Row],[PCC]] &amp; " " &amp; ICE[[#This Row],[Rolling]] &amp; "-IEU", "Last Trade Time")</f>
        <v/>
      </c>
      <c r="K1943" s="672" t="str">
        <f>RTD("esrtd",,ICE[[#This Row],[PCC]] &amp; " " &amp; ICE[[#This Row],[Rolling]] &amp; "-IEU", "Block Price")</f>
        <v/>
      </c>
      <c r="L1943" s="673"/>
      <c r="M1943" s="674" t="str">
        <f>RTD("esrtd",,ICE[[#This Row],[PCC]] &amp; " " &amp; ICE[[#This Row],[Rolling]] &amp; "-IEU", "Block Price DT")</f>
        <v/>
      </c>
      <c r="N1943" s="673" t="str">
        <f>RTD("esrtd",,ICE[[#This Row],[PCC]] &amp; " " &amp; ICE[[#This Row],[Rolling]] &amp; "-IEU", "Volume")</f>
        <v/>
      </c>
      <c r="O1943" s="673" t="str">
        <f>RTD("esrtd",,ICE[[#This Row],[PCC]] &amp; " " &amp; ICE[[#This Row],[Rolling]] &amp; "-IEU", "Block Volume")</f>
        <v/>
      </c>
      <c r="P1943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3" s="674" t="str">
        <f>IF(ICE[[#This Row],[LastType]] = "Scrn", ICE[[#This Row],[LstDate]], IF(ICE[[#This Row],[LastType]] = "Blk", ICE[[#This Row],[LstBlkTime]], ""))</f>
        <v/>
      </c>
      <c r="R1943" s="675" t="str">
        <f>IF(ICE[[#This Row],[LastType]] = "Scrn", ICE[[#This Row],[LstPrc]], IF(ICE[[#This Row],[LastType]] = "Blk", ICE[[#This Row],[LstBlkPrc]], ""))</f>
        <v/>
      </c>
      <c r="S1943" s="673" t="e">
        <f>ICE[[#This Row],[Vol]]+ICE[[#This Row],[BlkVol]]</f>
        <v>#VALUE!</v>
      </c>
      <c r="T1943" s="673" t="str">
        <f>RTD("esrtd",,ICE[[#This Row],[PCC]] &amp; " " &amp; ICE[[#This Row],[Rolling]] &amp; "-IEU", "Open Interest")</f>
        <v/>
      </c>
      <c r="U1943" s="672" t="str">
        <f>RTD("esrtd",,ICE[[#This Row],[PCC]] &amp; " " &amp; ICE[[#This Row],[Rolling]] &amp; "-IEU", "Recent Settlement")</f>
        <v/>
      </c>
      <c r="V1943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3" s="672" t="str">
        <f>RTD("esrtd",,ICE[[#This Row],[PCC]] &amp; " " &amp; ICE[[#This Row],[Rolling]] &amp; "-IEU", "ICE Theoretical Price")</f>
        <v/>
      </c>
      <c r="X1943" s="673" t="s">
        <v>916</v>
      </c>
    </row>
    <row r="1944" spans="1:24" x14ac:dyDescent="0.25">
      <c r="A1944" s="669" t="s">
        <v>451</v>
      </c>
      <c r="B1944" s="669" t="s">
        <v>929</v>
      </c>
      <c r="C1944" s="670">
        <v>3045330435</v>
      </c>
      <c r="D1944" s="671" t="s">
        <v>800</v>
      </c>
      <c r="E1944" s="670" t="str">
        <f>RTD("esrtd",,ICE[[#This Row],[PCC]] &amp; " " &amp; ICE[[#This Row],[Rolling]] &amp; "-IEU", "Strip")</f>
        <v/>
      </c>
      <c r="F1944" s="670" t="str">
        <f>ICE[[#This Row],[Prod]]&amp;ICE[[#This Row],[Strip]]</f>
        <v>tc14</v>
      </c>
      <c r="G1944" s="672" t="str">
        <f>RTD("esrtd",,ICE[[#This Row],[PCC]] &amp; " " &amp; ICE[[#This Row],[Rolling]] &amp; "-IEU", "Bid")</f>
        <v/>
      </c>
      <c r="H1944" s="672" t="str">
        <f>RTD("esrtd",,ICE[[#This Row],[PCC]] &amp; " " &amp; ICE[[#This Row],[Rolling]] &amp; "-IEU", "Ask")</f>
        <v/>
      </c>
      <c r="I1944" s="672" t="str">
        <f>RTD("esrtd",,ICE[[#This Row],[PCC]] &amp; " " &amp; ICE[[#This Row],[Rolling]] &amp; "-IEU", "Last")</f>
        <v/>
      </c>
      <c r="J1944" s="674" t="str">
        <f>RTD("esrtd",,ICE[[#This Row],[PCC]] &amp; " " &amp; ICE[[#This Row],[Rolling]] &amp; "-IEU", "Last Trade Time")</f>
        <v/>
      </c>
      <c r="K1944" s="672" t="str">
        <f>RTD("esrtd",,ICE[[#This Row],[PCC]] &amp; " " &amp; ICE[[#This Row],[Rolling]] &amp; "-IEU", "Block Price")</f>
        <v/>
      </c>
      <c r="L1944" s="673"/>
      <c r="M1944" s="674" t="str">
        <f>RTD("esrtd",,ICE[[#This Row],[PCC]] &amp; " " &amp; ICE[[#This Row],[Rolling]] &amp; "-IEU", "Block Price DT")</f>
        <v/>
      </c>
      <c r="N1944" s="673" t="str">
        <f>RTD("esrtd",,ICE[[#This Row],[PCC]] &amp; " " &amp; ICE[[#This Row],[Rolling]] &amp; "-IEU", "Volume")</f>
        <v/>
      </c>
      <c r="O1944" s="673" t="str">
        <f>RTD("esrtd",,ICE[[#This Row],[PCC]] &amp; " " &amp; ICE[[#This Row],[Rolling]] &amp; "-IEU", "Block Volume")</f>
        <v/>
      </c>
      <c r="P1944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4" s="674" t="str">
        <f>IF(ICE[[#This Row],[LastType]] = "Scrn", ICE[[#This Row],[LstDate]], IF(ICE[[#This Row],[LastType]] = "Blk", ICE[[#This Row],[LstBlkTime]], ""))</f>
        <v/>
      </c>
      <c r="R1944" s="675" t="str">
        <f>IF(ICE[[#This Row],[LastType]] = "Scrn", ICE[[#This Row],[LstPrc]], IF(ICE[[#This Row],[LastType]] = "Blk", ICE[[#This Row],[LstBlkPrc]], ""))</f>
        <v/>
      </c>
      <c r="S1944" s="673" t="e">
        <f>ICE[[#This Row],[Vol]]+ICE[[#This Row],[BlkVol]]</f>
        <v>#VALUE!</v>
      </c>
      <c r="T1944" s="673" t="str">
        <f>RTD("esrtd",,ICE[[#This Row],[PCC]] &amp; " " &amp; ICE[[#This Row],[Rolling]] &amp; "-IEU", "Open Interest")</f>
        <v/>
      </c>
      <c r="U1944" s="672" t="str">
        <f>RTD("esrtd",,ICE[[#This Row],[PCC]] &amp; " " &amp; ICE[[#This Row],[Rolling]] &amp; "-IEU", "Recent Settlement")</f>
        <v/>
      </c>
      <c r="V1944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4" s="672" t="str">
        <f>RTD("esrtd",,ICE[[#This Row],[PCC]] &amp; " " &amp; ICE[[#This Row],[Rolling]] &amp; "-IEU", "ICE Theoretical Price")</f>
        <v/>
      </c>
      <c r="X1944" s="673" t="s">
        <v>917</v>
      </c>
    </row>
    <row r="1945" spans="1:24" x14ac:dyDescent="0.25">
      <c r="A1945" s="669" t="s">
        <v>451</v>
      </c>
      <c r="B1945" s="669" t="s">
        <v>929</v>
      </c>
      <c r="C1945" s="670">
        <v>3045330435</v>
      </c>
      <c r="D1945" s="671" t="s">
        <v>801</v>
      </c>
      <c r="E1945" s="670" t="str">
        <f>RTD("esrtd",,ICE[[#This Row],[PCC]] &amp; " " &amp; ICE[[#This Row],[Rolling]] &amp; "-IEU", "Strip")</f>
        <v/>
      </c>
      <c r="F1945" s="670" t="str">
        <f>ICE[[#This Row],[Prod]]&amp;ICE[[#This Row],[Strip]]</f>
        <v>tc14</v>
      </c>
      <c r="G1945" s="672" t="str">
        <f>RTD("esrtd",,ICE[[#This Row],[PCC]] &amp; " " &amp; ICE[[#This Row],[Rolling]] &amp; "-IEU", "Bid")</f>
        <v/>
      </c>
      <c r="H1945" s="672" t="str">
        <f>RTD("esrtd",,ICE[[#This Row],[PCC]] &amp; " " &amp; ICE[[#This Row],[Rolling]] &amp; "-IEU", "Ask")</f>
        <v/>
      </c>
      <c r="I1945" s="672" t="str">
        <f>RTD("esrtd",,ICE[[#This Row],[PCC]] &amp; " " &amp; ICE[[#This Row],[Rolling]] &amp; "-IEU", "Last")</f>
        <v/>
      </c>
      <c r="J1945" s="674" t="str">
        <f>RTD("esrtd",,ICE[[#This Row],[PCC]] &amp; " " &amp; ICE[[#This Row],[Rolling]] &amp; "-IEU", "Last Trade Time")</f>
        <v/>
      </c>
      <c r="K1945" s="672" t="str">
        <f>RTD("esrtd",,ICE[[#This Row],[PCC]] &amp; " " &amp; ICE[[#This Row],[Rolling]] &amp; "-IEU", "Block Price")</f>
        <v/>
      </c>
      <c r="L1945" s="673"/>
      <c r="M1945" s="674" t="str">
        <f>RTD("esrtd",,ICE[[#This Row],[PCC]] &amp; " " &amp; ICE[[#This Row],[Rolling]] &amp; "-IEU", "Block Price DT")</f>
        <v/>
      </c>
      <c r="N1945" s="673" t="str">
        <f>RTD("esrtd",,ICE[[#This Row],[PCC]] &amp; " " &amp; ICE[[#This Row],[Rolling]] &amp; "-IEU", "Volume")</f>
        <v/>
      </c>
      <c r="O1945" s="673" t="str">
        <f>RTD("esrtd",,ICE[[#This Row],[PCC]] &amp; " " &amp; ICE[[#This Row],[Rolling]] &amp; "-IEU", "Block Volume")</f>
        <v/>
      </c>
      <c r="P1945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5" s="674" t="str">
        <f>IF(ICE[[#This Row],[LastType]] = "Scrn", ICE[[#This Row],[LstDate]], IF(ICE[[#This Row],[LastType]] = "Blk", ICE[[#This Row],[LstBlkTime]], ""))</f>
        <v/>
      </c>
      <c r="R1945" s="675" t="str">
        <f>IF(ICE[[#This Row],[LastType]] = "Scrn", ICE[[#This Row],[LstPrc]], IF(ICE[[#This Row],[LastType]] = "Blk", ICE[[#This Row],[LstBlkPrc]], ""))</f>
        <v/>
      </c>
      <c r="S1945" s="673" t="e">
        <f>ICE[[#This Row],[Vol]]+ICE[[#This Row],[BlkVol]]</f>
        <v>#VALUE!</v>
      </c>
      <c r="T1945" s="673" t="str">
        <f>RTD("esrtd",,ICE[[#This Row],[PCC]] &amp; " " &amp; ICE[[#This Row],[Rolling]] &amp; "-IEU", "Open Interest")</f>
        <v/>
      </c>
      <c r="U1945" s="672" t="str">
        <f>RTD("esrtd",,ICE[[#This Row],[PCC]] &amp; " " &amp; ICE[[#This Row],[Rolling]] &amp; "-IEU", "Recent Settlement")</f>
        <v/>
      </c>
      <c r="V1945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5" s="672" t="str">
        <f>RTD("esrtd",,ICE[[#This Row],[PCC]] &amp; " " &amp; ICE[[#This Row],[Rolling]] &amp; "-IEU", "ICE Theoretical Price")</f>
        <v/>
      </c>
      <c r="X1945" s="673" t="s">
        <v>918</v>
      </c>
    </row>
    <row r="1946" spans="1:24" x14ac:dyDescent="0.25">
      <c r="A1946" s="669" t="s">
        <v>451</v>
      </c>
      <c r="B1946" s="669" t="s">
        <v>929</v>
      </c>
      <c r="C1946" s="670">
        <v>3045330435</v>
      </c>
      <c r="D1946" s="671" t="s">
        <v>802</v>
      </c>
      <c r="E1946" s="670" t="str">
        <f>RTD("esrtd",,ICE[[#This Row],[PCC]] &amp; " " &amp; ICE[[#This Row],[Rolling]] &amp; "-IEU", "Strip")</f>
        <v/>
      </c>
      <c r="F1946" s="670" t="str">
        <f>ICE[[#This Row],[Prod]]&amp;ICE[[#This Row],[Strip]]</f>
        <v>tc14</v>
      </c>
      <c r="G1946" s="672" t="str">
        <f>RTD("esrtd",,ICE[[#This Row],[PCC]] &amp; " " &amp; ICE[[#This Row],[Rolling]] &amp; "-IEU", "Bid")</f>
        <v/>
      </c>
      <c r="H1946" s="672" t="str">
        <f>RTD("esrtd",,ICE[[#This Row],[PCC]] &amp; " " &amp; ICE[[#This Row],[Rolling]] &amp; "-IEU", "Ask")</f>
        <v/>
      </c>
      <c r="I1946" s="672" t="str">
        <f>RTD("esrtd",,ICE[[#This Row],[PCC]] &amp; " " &amp; ICE[[#This Row],[Rolling]] &amp; "-IEU", "Last")</f>
        <v/>
      </c>
      <c r="J1946" s="674" t="str">
        <f>RTD("esrtd",,ICE[[#This Row],[PCC]] &amp; " " &amp; ICE[[#This Row],[Rolling]] &amp; "-IEU", "Last Trade Time")</f>
        <v/>
      </c>
      <c r="K1946" s="672" t="str">
        <f>RTD("esrtd",,ICE[[#This Row],[PCC]] &amp; " " &amp; ICE[[#This Row],[Rolling]] &amp; "-IEU", "Block Price")</f>
        <v/>
      </c>
      <c r="L1946" s="673"/>
      <c r="M1946" s="674" t="str">
        <f>RTD("esrtd",,ICE[[#This Row],[PCC]] &amp; " " &amp; ICE[[#This Row],[Rolling]] &amp; "-IEU", "Block Price DT")</f>
        <v/>
      </c>
      <c r="N1946" s="673" t="str">
        <f>RTD("esrtd",,ICE[[#This Row],[PCC]] &amp; " " &amp; ICE[[#This Row],[Rolling]] &amp; "-IEU", "Volume")</f>
        <v/>
      </c>
      <c r="O1946" s="673" t="str">
        <f>RTD("esrtd",,ICE[[#This Row],[PCC]] &amp; " " &amp; ICE[[#This Row],[Rolling]] &amp; "-IEU", "Block Volume")</f>
        <v/>
      </c>
      <c r="P1946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6" s="674" t="str">
        <f>IF(ICE[[#This Row],[LastType]] = "Scrn", ICE[[#This Row],[LstDate]], IF(ICE[[#This Row],[LastType]] = "Blk", ICE[[#This Row],[LstBlkTime]], ""))</f>
        <v/>
      </c>
      <c r="R1946" s="675" t="str">
        <f>IF(ICE[[#This Row],[LastType]] = "Scrn", ICE[[#This Row],[LstPrc]], IF(ICE[[#This Row],[LastType]] = "Blk", ICE[[#This Row],[LstBlkPrc]], ""))</f>
        <v/>
      </c>
      <c r="S1946" s="673" t="e">
        <f>ICE[[#This Row],[Vol]]+ICE[[#This Row],[BlkVol]]</f>
        <v>#VALUE!</v>
      </c>
      <c r="T1946" s="673" t="str">
        <f>RTD("esrtd",,ICE[[#This Row],[PCC]] &amp; " " &amp; ICE[[#This Row],[Rolling]] &amp; "-IEU", "Open Interest")</f>
        <v/>
      </c>
      <c r="U1946" s="672" t="str">
        <f>RTD("esrtd",,ICE[[#This Row],[PCC]] &amp; " " &amp; ICE[[#This Row],[Rolling]] &amp; "-IEU", "Recent Settlement")</f>
        <v/>
      </c>
      <c r="V1946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6" s="672" t="str">
        <f>RTD("esrtd",,ICE[[#This Row],[PCC]] &amp; " " &amp; ICE[[#This Row],[Rolling]] &amp; "-IEU", "ICE Theoretical Price")</f>
        <v/>
      </c>
      <c r="X1946" s="673" t="s">
        <v>919</v>
      </c>
    </row>
    <row r="1947" spans="1:24" x14ac:dyDescent="0.25">
      <c r="A1947" s="669" t="s">
        <v>451</v>
      </c>
      <c r="B1947" s="669" t="s">
        <v>929</v>
      </c>
      <c r="C1947" s="670">
        <v>3045330435</v>
      </c>
      <c r="D1947" s="671" t="s">
        <v>803</v>
      </c>
      <c r="E1947" s="670" t="str">
        <f>RTD("esrtd",,ICE[[#This Row],[PCC]] &amp; " " &amp; ICE[[#This Row],[Rolling]] &amp; "-IEU", "Strip")</f>
        <v/>
      </c>
      <c r="F1947" s="670" t="str">
        <f>ICE[[#This Row],[Prod]]&amp;ICE[[#This Row],[Strip]]</f>
        <v>tc14</v>
      </c>
      <c r="G1947" s="672" t="str">
        <f>RTD("esrtd",,ICE[[#This Row],[PCC]] &amp; " " &amp; ICE[[#This Row],[Rolling]] &amp; "-IEU", "Bid")</f>
        <v/>
      </c>
      <c r="H1947" s="672" t="str">
        <f>RTD("esrtd",,ICE[[#This Row],[PCC]] &amp; " " &amp; ICE[[#This Row],[Rolling]] &amp; "-IEU", "Ask")</f>
        <v/>
      </c>
      <c r="I1947" s="672" t="str">
        <f>RTD("esrtd",,ICE[[#This Row],[PCC]] &amp; " " &amp; ICE[[#This Row],[Rolling]] &amp; "-IEU", "Last")</f>
        <v/>
      </c>
      <c r="J1947" s="674" t="str">
        <f>RTD("esrtd",,ICE[[#This Row],[PCC]] &amp; " " &amp; ICE[[#This Row],[Rolling]] &amp; "-IEU", "Last Trade Time")</f>
        <v/>
      </c>
      <c r="K1947" s="672" t="str">
        <f>RTD("esrtd",,ICE[[#This Row],[PCC]] &amp; " " &amp; ICE[[#This Row],[Rolling]] &amp; "-IEU", "Block Price")</f>
        <v/>
      </c>
      <c r="L1947" s="673"/>
      <c r="M1947" s="674" t="str">
        <f>RTD("esrtd",,ICE[[#This Row],[PCC]] &amp; " " &amp; ICE[[#This Row],[Rolling]] &amp; "-IEU", "Block Price DT")</f>
        <v/>
      </c>
      <c r="N1947" s="673" t="str">
        <f>RTD("esrtd",,ICE[[#This Row],[PCC]] &amp; " " &amp; ICE[[#This Row],[Rolling]] &amp; "-IEU", "Volume")</f>
        <v/>
      </c>
      <c r="O1947" s="673" t="str">
        <f>RTD("esrtd",,ICE[[#This Row],[PCC]] &amp; " " &amp; ICE[[#This Row],[Rolling]] &amp; "-IEU", "Block Volume")</f>
        <v/>
      </c>
      <c r="P1947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7" s="674" t="str">
        <f>IF(ICE[[#This Row],[LastType]] = "Scrn", ICE[[#This Row],[LstDate]], IF(ICE[[#This Row],[LastType]] = "Blk", ICE[[#This Row],[LstBlkTime]], ""))</f>
        <v/>
      </c>
      <c r="R1947" s="675" t="str">
        <f>IF(ICE[[#This Row],[LastType]] = "Scrn", ICE[[#This Row],[LstPrc]], IF(ICE[[#This Row],[LastType]] = "Blk", ICE[[#This Row],[LstBlkPrc]], ""))</f>
        <v/>
      </c>
      <c r="S1947" s="673" t="e">
        <f>ICE[[#This Row],[Vol]]+ICE[[#This Row],[BlkVol]]</f>
        <v>#VALUE!</v>
      </c>
      <c r="T1947" s="673" t="str">
        <f>RTD("esrtd",,ICE[[#This Row],[PCC]] &amp; " " &amp; ICE[[#This Row],[Rolling]] &amp; "-IEU", "Open Interest")</f>
        <v/>
      </c>
      <c r="U1947" s="672" t="str">
        <f>RTD("esrtd",,ICE[[#This Row],[PCC]] &amp; " " &amp; ICE[[#This Row],[Rolling]] &amp; "-IEU", "Recent Settlement")</f>
        <v/>
      </c>
      <c r="V1947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7" s="672" t="str">
        <f>RTD("esrtd",,ICE[[#This Row],[PCC]] &amp; " " &amp; ICE[[#This Row],[Rolling]] &amp; "-IEU", "ICE Theoretical Price")</f>
        <v/>
      </c>
      <c r="X1947" s="673" t="s">
        <v>920</v>
      </c>
    </row>
    <row r="1948" spans="1:24" x14ac:dyDescent="0.25">
      <c r="A1948" s="669" t="s">
        <v>451</v>
      </c>
      <c r="B1948" s="669" t="s">
        <v>929</v>
      </c>
      <c r="C1948" s="670">
        <v>3045330435</v>
      </c>
      <c r="D1948" s="671" t="s">
        <v>814</v>
      </c>
      <c r="E1948" s="670" t="str">
        <f>RTD("esrtd",,ICE[[#This Row],[PCC]] &amp; " " &amp; ICE[[#This Row],[Rolling]] &amp; "-IEU", "Strip")</f>
        <v/>
      </c>
      <c r="F1948" s="670" t="str">
        <f>ICE[[#This Row],[Prod]]&amp;ICE[[#This Row],[Strip]]</f>
        <v>tc14</v>
      </c>
      <c r="G1948" s="672" t="str">
        <f>RTD("esrtd",,ICE[[#This Row],[PCC]] &amp; " " &amp; ICE[[#This Row],[Rolling]] &amp; "-IEU", "Bid")</f>
        <v/>
      </c>
      <c r="H1948" s="672" t="str">
        <f>RTD("esrtd",,ICE[[#This Row],[PCC]] &amp; " " &amp; ICE[[#This Row],[Rolling]] &amp; "-IEU", "Ask")</f>
        <v/>
      </c>
      <c r="I1948" s="672" t="str">
        <f>RTD("esrtd",,ICE[[#This Row],[PCC]] &amp; " " &amp; ICE[[#This Row],[Rolling]] &amp; "-IEU", "Last")</f>
        <v/>
      </c>
      <c r="J1948" s="674" t="str">
        <f>RTD("esrtd",,ICE[[#This Row],[PCC]] &amp; " " &amp; ICE[[#This Row],[Rolling]] &amp; "-IEU", "Last Trade Time")</f>
        <v/>
      </c>
      <c r="K1948" s="672" t="str">
        <f>RTD("esrtd",,ICE[[#This Row],[PCC]] &amp; " " &amp; ICE[[#This Row],[Rolling]] &amp; "-IEU", "Block Price")</f>
        <v/>
      </c>
      <c r="L1948" s="673"/>
      <c r="M1948" s="674" t="str">
        <f>RTD("esrtd",,ICE[[#This Row],[PCC]] &amp; " " &amp; ICE[[#This Row],[Rolling]] &amp; "-IEU", "Block Price DT")</f>
        <v/>
      </c>
      <c r="N1948" s="673" t="str">
        <f>RTD("esrtd",,ICE[[#This Row],[PCC]] &amp; " " &amp; ICE[[#This Row],[Rolling]] &amp; "-IEU", "Volume")</f>
        <v/>
      </c>
      <c r="O1948" s="673" t="str">
        <f>RTD("esrtd",,ICE[[#This Row],[PCC]] &amp; " " &amp; ICE[[#This Row],[Rolling]] &amp; "-IEU", "Block Volume")</f>
        <v/>
      </c>
      <c r="P1948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8" s="674" t="str">
        <f>IF(ICE[[#This Row],[LastType]] = "Scrn", ICE[[#This Row],[LstDate]], IF(ICE[[#This Row],[LastType]] = "Blk", ICE[[#This Row],[LstBlkTime]], ""))</f>
        <v/>
      </c>
      <c r="R1948" s="675" t="str">
        <f>IF(ICE[[#This Row],[LastType]] = "Scrn", ICE[[#This Row],[LstPrc]], IF(ICE[[#This Row],[LastType]] = "Blk", ICE[[#This Row],[LstBlkPrc]], ""))</f>
        <v/>
      </c>
      <c r="S1948" s="673" t="e">
        <f>ICE[[#This Row],[Vol]]+ICE[[#This Row],[BlkVol]]</f>
        <v>#VALUE!</v>
      </c>
      <c r="T1948" s="673" t="str">
        <f>RTD("esrtd",,ICE[[#This Row],[PCC]] &amp; " " &amp; ICE[[#This Row],[Rolling]] &amp; "-IEU", "Open Interest")</f>
        <v/>
      </c>
      <c r="U1948" s="672" t="str">
        <f>RTD("esrtd",,ICE[[#This Row],[PCC]] &amp; " " &amp; ICE[[#This Row],[Rolling]] &amp; "-IEU", "Recent Settlement")</f>
        <v/>
      </c>
      <c r="V1948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8" s="672" t="str">
        <f>RTD("esrtd",,ICE[[#This Row],[PCC]] &amp; " " &amp; ICE[[#This Row],[Rolling]] &amp; "-IEU", "ICE Theoretical Price")</f>
        <v/>
      </c>
      <c r="X1948" s="673" t="s">
        <v>921</v>
      </c>
    </row>
    <row r="1949" spans="1:24" x14ac:dyDescent="0.25">
      <c r="A1949" s="669" t="s">
        <v>451</v>
      </c>
      <c r="B1949" s="669" t="s">
        <v>929</v>
      </c>
      <c r="C1949" s="670">
        <v>3045330435</v>
      </c>
      <c r="D1949" s="671" t="s">
        <v>815</v>
      </c>
      <c r="E1949" s="670" t="str">
        <f>RTD("esrtd",,ICE[[#This Row],[PCC]] &amp; " " &amp; ICE[[#This Row],[Rolling]] &amp; "-IEU", "Strip")</f>
        <v/>
      </c>
      <c r="F1949" s="670" t="str">
        <f>ICE[[#This Row],[Prod]]&amp;ICE[[#This Row],[Strip]]</f>
        <v>tc14</v>
      </c>
      <c r="G1949" s="672" t="str">
        <f>RTD("esrtd",,ICE[[#This Row],[PCC]] &amp; " " &amp; ICE[[#This Row],[Rolling]] &amp; "-IEU", "Bid")</f>
        <v/>
      </c>
      <c r="H1949" s="672" t="str">
        <f>RTD("esrtd",,ICE[[#This Row],[PCC]] &amp; " " &amp; ICE[[#This Row],[Rolling]] &amp; "-IEU", "Ask")</f>
        <v/>
      </c>
      <c r="I1949" s="672" t="str">
        <f>RTD("esrtd",,ICE[[#This Row],[PCC]] &amp; " " &amp; ICE[[#This Row],[Rolling]] &amp; "-IEU", "Last")</f>
        <v/>
      </c>
      <c r="J1949" s="674" t="str">
        <f>RTD("esrtd",,ICE[[#This Row],[PCC]] &amp; " " &amp; ICE[[#This Row],[Rolling]] &amp; "-IEU", "Last Trade Time")</f>
        <v/>
      </c>
      <c r="K1949" s="672" t="str">
        <f>RTD("esrtd",,ICE[[#This Row],[PCC]] &amp; " " &amp; ICE[[#This Row],[Rolling]] &amp; "-IEU", "Block Price")</f>
        <v/>
      </c>
      <c r="L1949" s="673"/>
      <c r="M1949" s="674" t="str">
        <f>RTD("esrtd",,ICE[[#This Row],[PCC]] &amp; " " &amp; ICE[[#This Row],[Rolling]] &amp; "-IEU", "Block Price DT")</f>
        <v/>
      </c>
      <c r="N1949" s="673" t="str">
        <f>RTD("esrtd",,ICE[[#This Row],[PCC]] &amp; " " &amp; ICE[[#This Row],[Rolling]] &amp; "-IEU", "Volume")</f>
        <v/>
      </c>
      <c r="O1949" s="673" t="str">
        <f>RTD("esrtd",,ICE[[#This Row],[PCC]] &amp; " " &amp; ICE[[#This Row],[Rolling]] &amp; "-IEU", "Block Volume")</f>
        <v/>
      </c>
      <c r="P1949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49" s="674" t="str">
        <f>IF(ICE[[#This Row],[LastType]] = "Scrn", ICE[[#This Row],[LstDate]], IF(ICE[[#This Row],[LastType]] = "Blk", ICE[[#This Row],[LstBlkTime]], ""))</f>
        <v/>
      </c>
      <c r="R1949" s="675" t="str">
        <f>IF(ICE[[#This Row],[LastType]] = "Scrn", ICE[[#This Row],[LstPrc]], IF(ICE[[#This Row],[LastType]] = "Blk", ICE[[#This Row],[LstBlkPrc]], ""))</f>
        <v/>
      </c>
      <c r="S1949" s="673" t="e">
        <f>ICE[[#This Row],[Vol]]+ICE[[#This Row],[BlkVol]]</f>
        <v>#VALUE!</v>
      </c>
      <c r="T1949" s="673" t="str">
        <f>RTD("esrtd",,ICE[[#This Row],[PCC]] &amp; " " &amp; ICE[[#This Row],[Rolling]] &amp; "-IEU", "Open Interest")</f>
        <v/>
      </c>
      <c r="U1949" s="672" t="str">
        <f>RTD("esrtd",,ICE[[#This Row],[PCC]] &amp; " " &amp; ICE[[#This Row],[Rolling]] &amp; "-IEU", "Recent Settlement")</f>
        <v/>
      </c>
      <c r="V1949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49" s="672" t="str">
        <f>RTD("esrtd",,ICE[[#This Row],[PCC]] &amp; " " &amp; ICE[[#This Row],[Rolling]] &amp; "-IEU", "ICE Theoretical Price")</f>
        <v/>
      </c>
      <c r="X1949" s="673" t="s">
        <v>922</v>
      </c>
    </row>
    <row r="1950" spans="1:24" x14ac:dyDescent="0.25">
      <c r="A1950" s="669" t="s">
        <v>451</v>
      </c>
      <c r="B1950" s="669" t="s">
        <v>929</v>
      </c>
      <c r="C1950" s="670">
        <v>3045330435</v>
      </c>
      <c r="D1950" s="671" t="s">
        <v>816</v>
      </c>
      <c r="E1950" s="670" t="str">
        <f>RTD("esrtd",,ICE[[#This Row],[PCC]] &amp; " " &amp; ICE[[#This Row],[Rolling]] &amp; "-IEU", "Strip")</f>
        <v/>
      </c>
      <c r="F1950" s="670" t="str">
        <f>ICE[[#This Row],[Prod]]&amp;ICE[[#This Row],[Strip]]</f>
        <v>tc14</v>
      </c>
      <c r="G1950" s="672" t="str">
        <f>RTD("esrtd",,ICE[[#This Row],[PCC]] &amp; " " &amp; ICE[[#This Row],[Rolling]] &amp; "-IEU", "Bid")</f>
        <v/>
      </c>
      <c r="H1950" s="672" t="str">
        <f>RTD("esrtd",,ICE[[#This Row],[PCC]] &amp; " " &amp; ICE[[#This Row],[Rolling]] &amp; "-IEU", "Ask")</f>
        <v/>
      </c>
      <c r="I1950" s="672" t="str">
        <f>RTD("esrtd",,ICE[[#This Row],[PCC]] &amp; " " &amp; ICE[[#This Row],[Rolling]] &amp; "-IEU", "Last")</f>
        <v/>
      </c>
      <c r="J1950" s="674" t="str">
        <f>RTD("esrtd",,ICE[[#This Row],[PCC]] &amp; " " &amp; ICE[[#This Row],[Rolling]] &amp; "-IEU", "Last Trade Time")</f>
        <v/>
      </c>
      <c r="K1950" s="672" t="str">
        <f>RTD("esrtd",,ICE[[#This Row],[PCC]] &amp; " " &amp; ICE[[#This Row],[Rolling]] &amp; "-IEU", "Block Price")</f>
        <v/>
      </c>
      <c r="L1950" s="673"/>
      <c r="M1950" s="674" t="str">
        <f>RTD("esrtd",,ICE[[#This Row],[PCC]] &amp; " " &amp; ICE[[#This Row],[Rolling]] &amp; "-IEU", "Block Price DT")</f>
        <v/>
      </c>
      <c r="N1950" s="673" t="str">
        <f>RTD("esrtd",,ICE[[#This Row],[PCC]] &amp; " " &amp; ICE[[#This Row],[Rolling]] &amp; "-IEU", "Volume")</f>
        <v/>
      </c>
      <c r="O1950" s="673" t="str">
        <f>RTD("esrtd",,ICE[[#This Row],[PCC]] &amp; " " &amp; ICE[[#This Row],[Rolling]] &amp; "-IEU", "Block Volume")</f>
        <v/>
      </c>
      <c r="P1950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0" s="674" t="str">
        <f>IF(ICE[[#This Row],[LastType]] = "Scrn", ICE[[#This Row],[LstDate]], IF(ICE[[#This Row],[LastType]] = "Blk", ICE[[#This Row],[LstBlkTime]], ""))</f>
        <v/>
      </c>
      <c r="R1950" s="675" t="str">
        <f>IF(ICE[[#This Row],[LastType]] = "Scrn", ICE[[#This Row],[LstPrc]], IF(ICE[[#This Row],[LastType]] = "Blk", ICE[[#This Row],[LstBlkPrc]], ""))</f>
        <v/>
      </c>
      <c r="S1950" s="673" t="e">
        <f>ICE[[#This Row],[Vol]]+ICE[[#This Row],[BlkVol]]</f>
        <v>#VALUE!</v>
      </c>
      <c r="T1950" s="673" t="str">
        <f>RTD("esrtd",,ICE[[#This Row],[PCC]] &amp; " " &amp; ICE[[#This Row],[Rolling]] &amp; "-IEU", "Open Interest")</f>
        <v/>
      </c>
      <c r="U1950" s="672" t="str">
        <f>RTD("esrtd",,ICE[[#This Row],[PCC]] &amp; " " &amp; ICE[[#This Row],[Rolling]] &amp; "-IEU", "Recent Settlement")</f>
        <v/>
      </c>
      <c r="V1950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50" s="672" t="str">
        <f>RTD("esrtd",,ICE[[#This Row],[PCC]] &amp; " " &amp; ICE[[#This Row],[Rolling]] &amp; "-IEU", "ICE Theoretical Price")</f>
        <v/>
      </c>
      <c r="X1950" s="673" t="s">
        <v>923</v>
      </c>
    </row>
    <row r="1951" spans="1:24" x14ac:dyDescent="0.25">
      <c r="A1951" s="669" t="s">
        <v>451</v>
      </c>
      <c r="B1951" s="669" t="s">
        <v>929</v>
      </c>
      <c r="C1951" s="670">
        <v>3045330435</v>
      </c>
      <c r="D1951" s="671" t="s">
        <v>817</v>
      </c>
      <c r="E1951" s="670" t="str">
        <f>RTD("esrtd",,ICE[[#This Row],[PCC]] &amp; " " &amp; ICE[[#This Row],[Rolling]] &amp; "-IEU", "Strip")</f>
        <v/>
      </c>
      <c r="F1951" s="670" t="str">
        <f>ICE[[#This Row],[Prod]]&amp;ICE[[#This Row],[Strip]]</f>
        <v>tc14</v>
      </c>
      <c r="G1951" s="672" t="str">
        <f>RTD("esrtd",,ICE[[#This Row],[PCC]] &amp; " " &amp; ICE[[#This Row],[Rolling]] &amp; "-IEU", "Bid")</f>
        <v/>
      </c>
      <c r="H1951" s="672" t="str">
        <f>RTD("esrtd",,ICE[[#This Row],[PCC]] &amp; " " &amp; ICE[[#This Row],[Rolling]] &amp; "-IEU", "Ask")</f>
        <v/>
      </c>
      <c r="I1951" s="672" t="str">
        <f>RTD("esrtd",,ICE[[#This Row],[PCC]] &amp; " " &amp; ICE[[#This Row],[Rolling]] &amp; "-IEU", "Last")</f>
        <v/>
      </c>
      <c r="J1951" s="674" t="str">
        <f>RTD("esrtd",,ICE[[#This Row],[PCC]] &amp; " " &amp; ICE[[#This Row],[Rolling]] &amp; "-IEU", "Last Trade Time")</f>
        <v/>
      </c>
      <c r="K1951" s="672" t="str">
        <f>RTD("esrtd",,ICE[[#This Row],[PCC]] &amp; " " &amp; ICE[[#This Row],[Rolling]] &amp; "-IEU", "Block Price")</f>
        <v/>
      </c>
      <c r="L1951" s="673"/>
      <c r="M1951" s="674" t="str">
        <f>RTD("esrtd",,ICE[[#This Row],[PCC]] &amp; " " &amp; ICE[[#This Row],[Rolling]] &amp; "-IEU", "Block Price DT")</f>
        <v/>
      </c>
      <c r="N1951" s="673" t="str">
        <f>RTD("esrtd",,ICE[[#This Row],[PCC]] &amp; " " &amp; ICE[[#This Row],[Rolling]] &amp; "-IEU", "Volume")</f>
        <v/>
      </c>
      <c r="O1951" s="673" t="str">
        <f>RTD("esrtd",,ICE[[#This Row],[PCC]] &amp; " " &amp; ICE[[#This Row],[Rolling]] &amp; "-IEU", "Block Volume")</f>
        <v/>
      </c>
      <c r="P1951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1" s="674" t="str">
        <f>IF(ICE[[#This Row],[LastType]] = "Scrn", ICE[[#This Row],[LstDate]], IF(ICE[[#This Row],[LastType]] = "Blk", ICE[[#This Row],[LstBlkTime]], ""))</f>
        <v/>
      </c>
      <c r="R1951" s="675" t="str">
        <f>IF(ICE[[#This Row],[LastType]] = "Scrn", ICE[[#This Row],[LstPrc]], IF(ICE[[#This Row],[LastType]] = "Blk", ICE[[#This Row],[LstBlkPrc]], ""))</f>
        <v/>
      </c>
      <c r="S1951" s="673" t="e">
        <f>ICE[[#This Row],[Vol]]+ICE[[#This Row],[BlkVol]]</f>
        <v>#VALUE!</v>
      </c>
      <c r="T1951" s="673" t="str">
        <f>RTD("esrtd",,ICE[[#This Row],[PCC]] &amp; " " &amp; ICE[[#This Row],[Rolling]] &amp; "-IEU", "Open Interest")</f>
        <v/>
      </c>
      <c r="U1951" s="672" t="str">
        <f>RTD("esrtd",,ICE[[#This Row],[PCC]] &amp; " " &amp; ICE[[#This Row],[Rolling]] &amp; "-IEU", "Recent Settlement")</f>
        <v/>
      </c>
      <c r="V1951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51" s="672" t="str">
        <f>RTD("esrtd",,ICE[[#This Row],[PCC]] &amp; " " &amp; ICE[[#This Row],[Rolling]] &amp; "-IEU", "ICE Theoretical Price")</f>
        <v/>
      </c>
      <c r="X1951" s="673" t="s">
        <v>924</v>
      </c>
    </row>
    <row r="1952" spans="1:24" x14ac:dyDescent="0.25">
      <c r="A1952" s="669" t="s">
        <v>451</v>
      </c>
      <c r="B1952" s="669" t="s">
        <v>929</v>
      </c>
      <c r="C1952" s="670">
        <v>3045330435</v>
      </c>
      <c r="D1952" s="671" t="s">
        <v>822</v>
      </c>
      <c r="E1952" s="670" t="str">
        <f>RTD("esrtd",,ICE[[#This Row],[PCC]] &amp; " " &amp; ICE[[#This Row],[Rolling]] &amp; "-IEU", "Strip")</f>
        <v/>
      </c>
      <c r="F1952" s="670" t="str">
        <f>ICE[[#This Row],[Prod]]&amp;ICE[[#This Row],[Strip]]</f>
        <v>tc14</v>
      </c>
      <c r="G1952" s="672" t="str">
        <f>RTD("esrtd",,ICE[[#This Row],[PCC]] &amp; " " &amp; ICE[[#This Row],[Rolling]] &amp; "-IEU", "Bid")</f>
        <v/>
      </c>
      <c r="H1952" s="672" t="str">
        <f>RTD("esrtd",,ICE[[#This Row],[PCC]] &amp; " " &amp; ICE[[#This Row],[Rolling]] &amp; "-IEU", "Ask")</f>
        <v/>
      </c>
      <c r="I1952" s="672" t="str">
        <f>RTD("esrtd",,ICE[[#This Row],[PCC]] &amp; " " &amp; ICE[[#This Row],[Rolling]] &amp; "-IEU", "Last")</f>
        <v/>
      </c>
      <c r="J1952" s="674" t="str">
        <f>RTD("esrtd",,ICE[[#This Row],[PCC]] &amp; " " &amp; ICE[[#This Row],[Rolling]] &amp; "-IEU", "Last Trade Time")</f>
        <v/>
      </c>
      <c r="K1952" s="672" t="str">
        <f>RTD("esrtd",,ICE[[#This Row],[PCC]] &amp; " " &amp; ICE[[#This Row],[Rolling]] &amp; "-IEU", "Block Price")</f>
        <v/>
      </c>
      <c r="L1952" s="673"/>
      <c r="M1952" s="674" t="str">
        <f>RTD("esrtd",,ICE[[#This Row],[PCC]] &amp; " " &amp; ICE[[#This Row],[Rolling]] &amp; "-IEU", "Block Price DT")</f>
        <v/>
      </c>
      <c r="N1952" s="673" t="str">
        <f>RTD("esrtd",,ICE[[#This Row],[PCC]] &amp; " " &amp; ICE[[#This Row],[Rolling]] &amp; "-IEU", "Volume")</f>
        <v/>
      </c>
      <c r="O1952" s="673" t="str">
        <f>RTD("esrtd",,ICE[[#This Row],[PCC]] &amp; " " &amp; ICE[[#This Row],[Rolling]] &amp; "-IEU", "Block Volume")</f>
        <v/>
      </c>
      <c r="P1952" s="673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2" s="674" t="str">
        <f>IF(ICE[[#This Row],[LastType]] = "Scrn", ICE[[#This Row],[LstDate]], IF(ICE[[#This Row],[LastType]] = "Blk", ICE[[#This Row],[LstBlkTime]], ""))</f>
        <v/>
      </c>
      <c r="R1952" s="675" t="str">
        <f>IF(ICE[[#This Row],[LastType]] = "Scrn", ICE[[#This Row],[LstPrc]], IF(ICE[[#This Row],[LastType]] = "Blk", ICE[[#This Row],[LstBlkPrc]], ""))</f>
        <v/>
      </c>
      <c r="S1952" s="673" t="e">
        <f>ICE[[#This Row],[Vol]]+ICE[[#This Row],[BlkVol]]</f>
        <v>#VALUE!</v>
      </c>
      <c r="T1952" s="673" t="str">
        <f>RTD("esrtd",,ICE[[#This Row],[PCC]] &amp; " " &amp; ICE[[#This Row],[Rolling]] &amp; "-IEU", "Open Interest")</f>
        <v/>
      </c>
      <c r="U1952" s="672" t="str">
        <f>RTD("esrtd",,ICE[[#This Row],[PCC]] &amp; " " &amp; ICE[[#This Row],[Rolling]] &amp; "-IEU", "Recent Settlement")</f>
        <v/>
      </c>
      <c r="V1952" s="673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1952" s="672" t="str">
        <f>RTD("esrtd",,ICE[[#This Row],[PCC]] &amp; " " &amp; ICE[[#This Row],[Rolling]] &amp; "-IEU", "ICE Theoretical Price")</f>
        <v/>
      </c>
      <c r="X1952" s="673" t="s">
        <v>925</v>
      </c>
    </row>
    <row r="1953" spans="1:24" x14ac:dyDescent="0.25">
      <c r="A1953" s="37" t="s">
        <v>930</v>
      </c>
      <c r="B1953" s="88" t="str">
        <f>RTD("ice.rtd",,$C1953 &amp; $D1953 &amp; ":" &amp; B$1)</f>
        <v>SPS</v>
      </c>
      <c r="C1953" s="3">
        <v>30813691</v>
      </c>
      <c r="D1953" t="s">
        <v>793</v>
      </c>
      <c r="E1953" s="3" t="str">
        <f>RTD("ice.rtd",,$C1953 &amp; $D1953 &amp; ":" &amp; E$1)</f>
        <v>Sep26</v>
      </c>
      <c r="F1953" s="3" t="str">
        <f>ICE[[#This Row],[Prod]]&amp;ICE[[#This Row],[Strip]]</f>
        <v>fo380brxSep26</v>
      </c>
      <c r="G1953" s="18" t="str">
        <f>RTD("ice.rtd",,$C1953 &amp; $D1953 &amp; ":" &amp; G$1)</f>
        <v/>
      </c>
      <c r="H1953" s="18" t="str">
        <f>RTD("ice.rtd",,$C1953 &amp; $D1953 &amp; ":" &amp; H$1)</f>
        <v/>
      </c>
      <c r="I1953" s="18" t="str">
        <f>RTD("ice.rtd",,$C1953 &amp; $D1953 &amp; ":" &amp; I$1)</f>
        <v/>
      </c>
      <c r="J1953" s="14" t="str">
        <f>IFERROR(MOD(RTD("ice.rtd",,$C1953 &amp; $D1953 &amp; ":" &amp; J$1), 1), "")</f>
        <v/>
      </c>
      <c r="K1953" s="18" t="str">
        <f>RTD("ice.rtd",,$C1953 &amp; $D1953 &amp; ":" &amp; K$1)</f>
        <v/>
      </c>
      <c r="L1953" s="36" t="str">
        <f>RTD("ice.rtd",,$C1953 &amp; $D1953 &amp; ":" &amp; L$1)</f>
        <v/>
      </c>
      <c r="M1953" s="14" t="str">
        <f>IFERROR(MOD(TIMEVALUE(RTD("ice.rtd",,$C1953 &amp; $D1953 &amp; ":" &amp; M$1)), 1), "")</f>
        <v/>
      </c>
      <c r="N1953" s="36">
        <f>RTD("ice.rtd",,$C1953 &amp; $D1953 &amp; ":" &amp; N$1)</f>
        <v>0</v>
      </c>
      <c r="O1953" s="36">
        <f>RTD("ice.rtd",,$C1953 &amp; $D1953 &amp; ":" &amp; O$1)</f>
        <v>0</v>
      </c>
      <c r="P19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3" s="14" t="str">
        <f>IF(ICE[[#This Row],[LastType]] = "Scrn", ICE[[#This Row],[LstDate]], IF(ICE[[#This Row],[LastType]] = "Blk", ICE[[#This Row],[LstBlkTime]], ""))</f>
        <v/>
      </c>
      <c r="R1953" s="41" t="str">
        <f>IF(ICE[[#This Row],[LastType]] = "Scrn", ICE[[#This Row],[LstPrc]], IF(ICE[[#This Row],[LastType]] = "Blk", ICE[[#This Row],[LstBlkPrc]], ""))</f>
        <v/>
      </c>
      <c r="S1953" s="36">
        <f>ICE[[#This Row],[Vol]]+ICE[[#This Row],[BlkVol]]</f>
        <v>0</v>
      </c>
      <c r="T1953" s="36">
        <f>RTD("ice.rtd",,$C1953 &amp; $D1953 &amp; ":" &amp; T$1)</f>
        <v>2362</v>
      </c>
      <c r="U1953" s="18">
        <f>RTD("ice.rtd",,$C1953 &amp; $D1953 &amp; ":" &amp; U$1)</f>
        <v>-3.6757</v>
      </c>
      <c r="V19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53" s="18" t="str">
        <f>IFERROR(IF(LEFT(ICE[[#This Row],[Tenor]], 1) = "B", RTD("esrtd",,$B1953 &amp; " " &amp; ICE[[#This Row],[Tenor]] &amp; "-IEU", W$1), RTD("esrtd",,$B1953 &amp; " " &amp; VLOOKUP(MONTH(ICE[[#This Row],[Strip]]), MthRef[], 2, 0) &amp; RIGHT(YEAR(ICE[[#This Row],[Strip]]), 2) &amp; "-IEU", W$1)), "")</f>
        <v/>
      </c>
      <c r="X1953" s="36"/>
    </row>
    <row r="1954" spans="1:24" x14ac:dyDescent="0.25">
      <c r="A1954" s="37" t="s">
        <v>930</v>
      </c>
      <c r="B1954" s="88" t="str">
        <f>RTD("ice.rtd",,$C1954 &amp; $D1954 &amp; ":" &amp; B$1)</f>
        <v>SPS</v>
      </c>
      <c r="C1954" s="3">
        <v>30813691</v>
      </c>
      <c r="D1954" t="s">
        <v>324</v>
      </c>
      <c r="E1954" s="3" t="str">
        <f>RTD("ice.rtd",,$C1954 &amp; $D1954 &amp; ":" &amp; E$1)</f>
        <v>Oct26</v>
      </c>
      <c r="F1954" s="3" t="str">
        <f>ICE[[#This Row],[Prod]]&amp;ICE[[#This Row],[Strip]]</f>
        <v>fo380brxOct26</v>
      </c>
      <c r="G1954" s="18">
        <f>RTD("ice.rtd",,$C1954 &amp; $D1954 &amp; ":" &amp; G$1)</f>
        <v>-6</v>
      </c>
      <c r="H1954" s="18">
        <f>RTD("ice.rtd",,$C1954 &amp; $D1954 &amp; ":" &amp; H$1)</f>
        <v>-5.75</v>
      </c>
      <c r="I1954" s="18">
        <f>RTD("ice.rtd",,$C1954 &amp; $D1954 &amp; ":" &amp; I$1)</f>
        <v>-5.9</v>
      </c>
      <c r="J1954" s="14">
        <f>IFERROR(MOD(RTD("ice.rtd",,$C1954 &amp; $D1954 &amp; ":" &amp; J$1), 1), "")</f>
        <v>0.46009070601576241</v>
      </c>
      <c r="K1954" s="18">
        <f>RTD("ice.rtd",,$C1954 &amp; $D1954 &amp; ":" &amp; K$1)</f>
        <v>-5.85</v>
      </c>
      <c r="L1954" s="36">
        <f>RTD("ice.rtd",,$C1954 &amp; $D1954 &amp; ":" &amp; L$1)</f>
        <v>5</v>
      </c>
      <c r="M1954" s="14">
        <f>IFERROR(MOD(TIMEVALUE(RTD("ice.rtd",,$C1954 &amp; $D1954 &amp; ":" &amp; M$1)), 1), "")</f>
        <v>0.46033564814814815</v>
      </c>
      <c r="N1954" s="36">
        <f>RTD("ice.rtd",,$C1954 &amp; $D1954 &amp; ":" &amp; N$1)</f>
        <v>139</v>
      </c>
      <c r="O1954" s="36">
        <f>RTD("ice.rtd",,$C1954 &amp; $D1954 &amp; ":" &amp; O$1)</f>
        <v>120</v>
      </c>
      <c r="P19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954" s="14">
        <f>IF(ICE[[#This Row],[LastType]] = "Scrn", ICE[[#This Row],[LstDate]], IF(ICE[[#This Row],[LastType]] = "Blk", ICE[[#This Row],[LstBlkTime]], ""))</f>
        <v>0.46033564814814815</v>
      </c>
      <c r="R1954" s="41">
        <f>IF(ICE[[#This Row],[LastType]] = "Scrn", ICE[[#This Row],[LstPrc]], IF(ICE[[#This Row],[LastType]] = "Blk", ICE[[#This Row],[LstBlkPrc]], ""))</f>
        <v>-5.85</v>
      </c>
      <c r="S1954" s="36">
        <f>ICE[[#This Row],[Vol]]+ICE[[#This Row],[BlkVol]]</f>
        <v>259</v>
      </c>
      <c r="T1954" s="36">
        <f>RTD("ice.rtd",,$C1954 &amp; $D1954 &amp; ":" &amp; T$1)</f>
        <v>1182</v>
      </c>
      <c r="U1954" s="18">
        <f>RTD("ice.rtd",,$C1954 &amp; $D1954 &amp; ":" &amp; U$1)</f>
        <v>-5.4657</v>
      </c>
      <c r="V19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-6.00 / -5.75 {-5.85} |259x</v>
      </c>
      <c r="W1954" s="18" t="str">
        <f>IFERROR(IF(LEFT(ICE[[#This Row],[Tenor]], 1) = "B", RTD("esrtd",,$B1954 &amp; " " &amp; ICE[[#This Row],[Tenor]] &amp; "-IEU", W$1), RTD("esrtd",,$B1954 &amp; " " &amp; VLOOKUP(MONTH(ICE[[#This Row],[Strip]]), MthRef[], 2, 0) &amp; RIGHT(YEAR(ICE[[#This Row],[Strip]]), 2) &amp; "-IEU", W$1)), "")</f>
        <v/>
      </c>
      <c r="X1954" s="36"/>
    </row>
    <row r="1955" spans="1:24" x14ac:dyDescent="0.25">
      <c r="A1955" s="37" t="s">
        <v>930</v>
      </c>
      <c r="B1955" s="88" t="str">
        <f>RTD("ice.rtd",,$C1955 &amp; $D1955 &amp; ":" &amp; B$1)</f>
        <v>SPS</v>
      </c>
      <c r="C1955" s="3">
        <v>30813691</v>
      </c>
      <c r="D1955" t="s">
        <v>325</v>
      </c>
      <c r="E1955" s="3" t="str">
        <f>RTD("ice.rtd",,$C1955 &amp; $D1955 &amp; ":" &amp; E$1)</f>
        <v>Nov26</v>
      </c>
      <c r="F1955" s="3" t="str">
        <f>ICE[[#This Row],[Prod]]&amp;ICE[[#This Row],[Strip]]</f>
        <v>fo380brxNov26</v>
      </c>
      <c r="G1955" s="18">
        <f>RTD("ice.rtd",,$C1955 &amp; $D1955 &amp; ":" &amp; G$1)</f>
        <v>-5.8</v>
      </c>
      <c r="H1955" s="18" t="str">
        <f>RTD("ice.rtd",,$C1955 &amp; $D1955 &amp; ":" &amp; H$1)</f>
        <v/>
      </c>
      <c r="I1955" s="18" t="str">
        <f>RTD("ice.rtd",,$C1955 &amp; $D1955 &amp; ":" &amp; I$1)</f>
        <v/>
      </c>
      <c r="J1955" s="14" t="str">
        <f>IFERROR(MOD(RTD("ice.rtd",,$C1955 &amp; $D1955 &amp; ":" &amp; J$1), 1), "")</f>
        <v/>
      </c>
      <c r="K1955" s="18" t="str">
        <f>RTD("ice.rtd",,$C1955 &amp; $D1955 &amp; ":" &amp; K$1)</f>
        <v/>
      </c>
      <c r="L1955" s="36" t="str">
        <f>RTD("ice.rtd",,$C1955 &amp; $D1955 &amp; ":" &amp; L$1)</f>
        <v/>
      </c>
      <c r="M1955" s="14" t="str">
        <f>IFERROR(MOD(TIMEVALUE(RTD("ice.rtd",,$C1955 &amp; $D1955 &amp; ":" &amp; M$1)), 1), "")</f>
        <v/>
      </c>
      <c r="N1955" s="36">
        <f>RTD("ice.rtd",,$C1955 &amp; $D1955 &amp; ":" &amp; N$1)</f>
        <v>0</v>
      </c>
      <c r="O1955" s="36">
        <f>RTD("ice.rtd",,$C1955 &amp; $D1955 &amp; ":" &amp; O$1)</f>
        <v>2</v>
      </c>
      <c r="P19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5" s="14" t="str">
        <f>IF(ICE[[#This Row],[LastType]] = "Scrn", ICE[[#This Row],[LstDate]], IF(ICE[[#This Row],[LastType]] = "Blk", ICE[[#This Row],[LstBlkTime]], ""))</f>
        <v/>
      </c>
      <c r="R1955" s="41" t="str">
        <f>IF(ICE[[#This Row],[LastType]] = "Scrn", ICE[[#This Row],[LstPrc]], IF(ICE[[#This Row],[LastType]] = "Blk", ICE[[#This Row],[LstBlkPrc]], ""))</f>
        <v/>
      </c>
      <c r="S1955" s="36">
        <f>ICE[[#This Row],[Vol]]+ICE[[#This Row],[BlkVol]]</f>
        <v>2</v>
      </c>
      <c r="T1955" s="36">
        <f>RTD("ice.rtd",,$C1955 &amp; $D1955 &amp; ":" &amp; T$1)</f>
        <v>431</v>
      </c>
      <c r="U1955" s="18">
        <f>RTD("ice.rtd",,$C1955 &amp; $D1955 &amp; ":" &amp; U$1)</f>
        <v>-5.0630000000000006</v>
      </c>
      <c r="V19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-5.80 /   |2x</v>
      </c>
      <c r="W1955" s="18" t="str">
        <f>IFERROR(IF(LEFT(ICE[[#This Row],[Tenor]], 1) = "B", RTD("esrtd",,$B1955 &amp; " " &amp; ICE[[#This Row],[Tenor]] &amp; "-IEU", W$1), RTD("esrtd",,$B1955 &amp; " " &amp; VLOOKUP(MONTH(ICE[[#This Row],[Strip]]), MthRef[], 2, 0) &amp; RIGHT(YEAR(ICE[[#This Row],[Strip]]), 2) &amp; "-IEU", W$1)), "")</f>
        <v/>
      </c>
      <c r="X1955" s="36"/>
    </row>
    <row r="1956" spans="1:24" x14ac:dyDescent="0.25">
      <c r="A1956" s="37" t="s">
        <v>930</v>
      </c>
      <c r="B1956" s="88" t="str">
        <f>RTD("ice.rtd",,$C1956 &amp; $D1956 &amp; ":" &amp; B$1)</f>
        <v>SPS</v>
      </c>
      <c r="C1956" s="3">
        <v>30813691</v>
      </c>
      <c r="D1956" t="s">
        <v>326</v>
      </c>
      <c r="E1956" s="3" t="str">
        <f>RTD("ice.rtd",,$C1956 &amp; $D1956 &amp; ":" &amp; E$1)</f>
        <v>Dec26</v>
      </c>
      <c r="F1956" s="3" t="str">
        <f>ICE[[#This Row],[Prod]]&amp;ICE[[#This Row],[Strip]]</f>
        <v>fo380brxDec26</v>
      </c>
      <c r="G1956" s="18" t="str">
        <f>RTD("ice.rtd",,$C1956 &amp; $D1956 &amp; ":" &amp; G$1)</f>
        <v/>
      </c>
      <c r="H1956" s="18" t="str">
        <f>RTD("ice.rtd",,$C1956 &amp; $D1956 &amp; ":" &amp; H$1)</f>
        <v/>
      </c>
      <c r="I1956" s="18" t="str">
        <f>RTD("ice.rtd",,$C1956 &amp; $D1956 &amp; ":" &amp; I$1)</f>
        <v/>
      </c>
      <c r="J1956" s="14" t="str">
        <f>IFERROR(MOD(RTD("ice.rtd",,$C1956 &amp; $D1956 &amp; ":" &amp; J$1), 1), "")</f>
        <v/>
      </c>
      <c r="K1956" s="18">
        <f>RTD("ice.rtd",,$C1956 &amp; $D1956 &amp; ":" &amp; K$1)</f>
        <v>-4.5</v>
      </c>
      <c r="L1956" s="36">
        <f>RTD("ice.rtd",,$C1956 &amp; $D1956 &amp; ":" &amp; L$1)</f>
        <v>5</v>
      </c>
      <c r="M1956" s="14">
        <f>IFERROR(MOD(TIMEVALUE(RTD("ice.rtd",,$C1956 &amp; $D1956 &amp; ":" &amp; M$1)), 1), "")</f>
        <v>0.46033564814814815</v>
      </c>
      <c r="N1956" s="36">
        <f>RTD("ice.rtd",,$C1956 &amp; $D1956 &amp; ":" &amp; N$1)</f>
        <v>0</v>
      </c>
      <c r="O1956" s="36">
        <f>RTD("ice.rtd",,$C1956 &amp; $D1956 &amp; ":" &amp; O$1)</f>
        <v>77</v>
      </c>
      <c r="P19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956" s="14">
        <f>IF(ICE[[#This Row],[LastType]] = "Scrn", ICE[[#This Row],[LstDate]], IF(ICE[[#This Row],[LastType]] = "Blk", ICE[[#This Row],[LstBlkTime]], ""))</f>
        <v>0.46033564814814815</v>
      </c>
      <c r="R1956" s="41">
        <f>IF(ICE[[#This Row],[LastType]] = "Scrn", ICE[[#This Row],[LstPrc]], IF(ICE[[#This Row],[LastType]] = "Blk", ICE[[#This Row],[LstBlkPrc]], ""))</f>
        <v>-4.5</v>
      </c>
      <c r="S1956" s="36">
        <f>ICE[[#This Row],[Vol]]+ICE[[#This Row],[BlkVol]]</f>
        <v>77</v>
      </c>
      <c r="T1956" s="36">
        <f>RTD("ice.rtd",,$C1956 &amp; $D1956 &amp; ":" &amp; T$1)</f>
        <v>332</v>
      </c>
      <c r="U1956" s="18">
        <f>RTD("ice.rtd",,$C1956 &amp; $D1956 &amp; ":" &amp; U$1)</f>
        <v>-4.5162000000000004</v>
      </c>
      <c r="V19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{-4.50} |77x</v>
      </c>
      <c r="W1956" s="18" t="str">
        <f>IFERROR(IF(LEFT(ICE[[#This Row],[Tenor]], 1) = "B", RTD("esrtd",,$B1956 &amp; " " &amp; ICE[[#This Row],[Tenor]] &amp; "-IEU", W$1), RTD("esrtd",,$B1956 &amp; " " &amp; VLOOKUP(MONTH(ICE[[#This Row],[Strip]]), MthRef[], 2, 0) &amp; RIGHT(YEAR(ICE[[#This Row],[Strip]]), 2) &amp; "-IEU", W$1)), "")</f>
        <v/>
      </c>
      <c r="X1956" s="36"/>
    </row>
    <row r="1957" spans="1:24" x14ac:dyDescent="0.25">
      <c r="A1957" s="37" t="s">
        <v>930</v>
      </c>
      <c r="B1957" s="88" t="str">
        <f>RTD("ice.rtd",,$C1957 &amp; $D1957 &amp; ":" &amp; B$1)</f>
        <v>SPS</v>
      </c>
      <c r="C1957" s="3">
        <v>30813691</v>
      </c>
      <c r="D1957" t="s">
        <v>794</v>
      </c>
      <c r="E1957" s="3" t="str">
        <f>RTD("ice.rtd",,$C1957 &amp; $D1957 &amp; ":" &amp; E$1)</f>
        <v>Jan27</v>
      </c>
      <c r="F1957" s="3" t="str">
        <f>ICE[[#This Row],[Prod]]&amp;ICE[[#This Row],[Strip]]</f>
        <v>fo380brxJan27</v>
      </c>
      <c r="G1957" s="18" t="str">
        <f>RTD("ice.rtd",,$C1957 &amp; $D1957 &amp; ":" &amp; G$1)</f>
        <v/>
      </c>
      <c r="H1957" s="18" t="str">
        <f>RTD("ice.rtd",,$C1957 &amp; $D1957 &amp; ":" &amp; H$1)</f>
        <v/>
      </c>
      <c r="I1957" s="18" t="str">
        <f>RTD("ice.rtd",,$C1957 &amp; $D1957 &amp; ":" &amp; I$1)</f>
        <v/>
      </c>
      <c r="J1957" s="14" t="str">
        <f>IFERROR(MOD(RTD("ice.rtd",,$C1957 &amp; $D1957 &amp; ":" &amp; J$1), 1), "")</f>
        <v/>
      </c>
      <c r="K1957" s="18" t="str">
        <f>RTD("ice.rtd",,$C1957 &amp; $D1957 &amp; ":" &amp; K$1)</f>
        <v/>
      </c>
      <c r="L1957" s="36" t="str">
        <f>RTD("ice.rtd",,$C1957 &amp; $D1957 &amp; ":" &amp; L$1)</f>
        <v/>
      </c>
      <c r="M1957" s="14" t="str">
        <f>IFERROR(MOD(TIMEVALUE(RTD("ice.rtd",,$C1957 &amp; $D1957 &amp; ":" &amp; M$1)), 1), "")</f>
        <v/>
      </c>
      <c r="N1957" s="36">
        <f>RTD("ice.rtd",,$C1957 &amp; $D1957 &amp; ":" &amp; N$1)</f>
        <v>0</v>
      </c>
      <c r="O1957" s="36">
        <f>RTD("ice.rtd",,$C1957 &amp; $D1957 &amp; ":" &amp; O$1)</f>
        <v>0</v>
      </c>
      <c r="P19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7" s="14" t="str">
        <f>IF(ICE[[#This Row],[LastType]] = "Scrn", ICE[[#This Row],[LstDate]], IF(ICE[[#This Row],[LastType]] = "Blk", ICE[[#This Row],[LstBlkTime]], ""))</f>
        <v/>
      </c>
      <c r="R1957" s="41" t="str">
        <f>IF(ICE[[#This Row],[LastType]] = "Scrn", ICE[[#This Row],[LstPrc]], IF(ICE[[#This Row],[LastType]] = "Blk", ICE[[#This Row],[LstBlkPrc]], ""))</f>
        <v/>
      </c>
      <c r="S1957" s="36">
        <f>ICE[[#This Row],[Vol]]+ICE[[#This Row],[BlkVol]]</f>
        <v>0</v>
      </c>
      <c r="T1957" s="36">
        <f>RTD("ice.rtd",,$C1957 &amp; $D1957 &amp; ":" &amp; T$1)</f>
        <v>44</v>
      </c>
      <c r="U1957" s="18">
        <f>RTD("ice.rtd",,$C1957 &amp; $D1957 &amp; ":" &amp; U$1)</f>
        <v>-4.4251000000000005</v>
      </c>
      <c r="V19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57" s="18" t="str">
        <f>IFERROR(IF(LEFT(ICE[[#This Row],[Tenor]], 1) = "B", RTD("esrtd",,$B1957 &amp; " " &amp; ICE[[#This Row],[Tenor]] &amp; "-IEU", W$1), RTD("esrtd",,$B1957 &amp; " " &amp; VLOOKUP(MONTH(ICE[[#This Row],[Strip]]), MthRef[], 2, 0) &amp; RIGHT(YEAR(ICE[[#This Row],[Strip]]), 2) &amp; "-IEU", W$1)), "")</f>
        <v/>
      </c>
      <c r="X1957" s="36"/>
    </row>
    <row r="1958" spans="1:24" x14ac:dyDescent="0.25">
      <c r="A1958" s="37" t="s">
        <v>930</v>
      </c>
      <c r="B1958" s="88" t="str">
        <f>RTD("ice.rtd",,$C1958 &amp; $D1958 &amp; ":" &amp; B$1)</f>
        <v>SPS</v>
      </c>
      <c r="C1958" s="3">
        <v>30813691</v>
      </c>
      <c r="D1958" t="s">
        <v>795</v>
      </c>
      <c r="E1958" s="3" t="str">
        <f>RTD("ice.rtd",,$C1958 &amp; $D1958 &amp; ":" &amp; E$1)</f>
        <v>Feb27</v>
      </c>
      <c r="F1958" s="3" t="str">
        <f>ICE[[#This Row],[Prod]]&amp;ICE[[#This Row],[Strip]]</f>
        <v>fo380brxFeb27</v>
      </c>
      <c r="G1958" s="18" t="str">
        <f>RTD("ice.rtd",,$C1958 &amp; $D1958 &amp; ":" &amp; G$1)</f>
        <v/>
      </c>
      <c r="H1958" s="18" t="str">
        <f>RTD("ice.rtd",,$C1958 &amp; $D1958 &amp; ":" &amp; H$1)</f>
        <v/>
      </c>
      <c r="I1958" s="18" t="str">
        <f>RTD("ice.rtd",,$C1958 &amp; $D1958 &amp; ":" &amp; I$1)</f>
        <v/>
      </c>
      <c r="J1958" s="14" t="str">
        <f>IFERROR(MOD(RTD("ice.rtd",,$C1958 &amp; $D1958 &amp; ":" &amp; J$1), 1), "")</f>
        <v/>
      </c>
      <c r="K1958" s="18" t="str">
        <f>RTD("ice.rtd",,$C1958 &amp; $D1958 &amp; ":" &amp; K$1)</f>
        <v/>
      </c>
      <c r="L1958" s="36" t="str">
        <f>RTD("ice.rtd",,$C1958 &amp; $D1958 &amp; ":" &amp; L$1)</f>
        <v/>
      </c>
      <c r="M1958" s="14" t="str">
        <f>IFERROR(MOD(TIMEVALUE(RTD("ice.rtd",,$C1958 &amp; $D1958 &amp; ":" &amp; M$1)), 1), "")</f>
        <v/>
      </c>
      <c r="N1958" s="36">
        <f>RTD("ice.rtd",,$C1958 &amp; $D1958 &amp; ":" &amp; N$1)</f>
        <v>0</v>
      </c>
      <c r="O1958" s="36">
        <f>RTD("ice.rtd",,$C1958 &amp; $D1958 &amp; ":" &amp; O$1)</f>
        <v>0</v>
      </c>
      <c r="P195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8" s="14" t="str">
        <f>IF(ICE[[#This Row],[LastType]] = "Scrn", ICE[[#This Row],[LstDate]], IF(ICE[[#This Row],[LastType]] = "Blk", ICE[[#This Row],[LstBlkTime]], ""))</f>
        <v/>
      </c>
      <c r="R1958" s="41" t="str">
        <f>IF(ICE[[#This Row],[LastType]] = "Scrn", ICE[[#This Row],[LstPrc]], IF(ICE[[#This Row],[LastType]] = "Blk", ICE[[#This Row],[LstBlkPrc]], ""))</f>
        <v/>
      </c>
      <c r="S1958" s="36">
        <f>ICE[[#This Row],[Vol]]+ICE[[#This Row],[BlkVol]]</f>
        <v>0</v>
      </c>
      <c r="T1958" s="36">
        <f>RTD("ice.rtd",,$C1958 &amp; $D1958 &amp; ":" &amp; T$1)</f>
        <v>48</v>
      </c>
      <c r="U1958" s="18">
        <f>RTD("ice.rtd",,$C1958 &amp; $D1958 &amp; ":" &amp; U$1)</f>
        <v>-4.3180000000000005</v>
      </c>
      <c r="V195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58" s="18" t="str">
        <f>IFERROR(IF(LEFT(ICE[[#This Row],[Tenor]], 1) = "B", RTD("esrtd",,$B1958 &amp; " " &amp; ICE[[#This Row],[Tenor]] &amp; "-IEU", W$1), RTD("esrtd",,$B1958 &amp; " " &amp; VLOOKUP(MONTH(ICE[[#This Row],[Strip]]), MthRef[], 2, 0) &amp; RIGHT(YEAR(ICE[[#This Row],[Strip]]), 2) &amp; "-IEU", W$1)), "")</f>
        <v/>
      </c>
      <c r="X1958" s="36"/>
    </row>
    <row r="1959" spans="1:24" x14ac:dyDescent="0.25">
      <c r="A1959" s="37" t="s">
        <v>930</v>
      </c>
      <c r="B1959" s="88" t="str">
        <f>RTD("ice.rtd",,$C1959 &amp; $D1959 &amp; ":" &amp; B$1)</f>
        <v>SPS</v>
      </c>
      <c r="C1959" s="3">
        <v>30813691</v>
      </c>
      <c r="D1959" t="s">
        <v>113</v>
      </c>
      <c r="E1959" s="3" t="str">
        <f>RTD("ice.rtd",,$C1959 &amp; $D1959 &amp; ":" &amp; E$1)</f>
        <v>Mar27</v>
      </c>
      <c r="F1959" s="3" t="str">
        <f>ICE[[#This Row],[Prod]]&amp;ICE[[#This Row],[Strip]]</f>
        <v>fo380brxMar27</v>
      </c>
      <c r="G1959" s="18" t="str">
        <f>RTD("ice.rtd",,$C1959 &amp; $D1959 &amp; ":" &amp; G$1)</f>
        <v/>
      </c>
      <c r="H1959" s="18" t="str">
        <f>RTD("ice.rtd",,$C1959 &amp; $D1959 &amp; ":" &amp; H$1)</f>
        <v/>
      </c>
      <c r="I1959" s="18" t="str">
        <f>RTD("ice.rtd",,$C1959 &amp; $D1959 &amp; ":" &amp; I$1)</f>
        <v/>
      </c>
      <c r="J1959" s="14" t="str">
        <f>IFERROR(MOD(RTD("ice.rtd",,$C1959 &amp; $D1959 &amp; ":" &amp; J$1), 1), "")</f>
        <v/>
      </c>
      <c r="K1959" s="18" t="str">
        <f>RTD("ice.rtd",,$C1959 &amp; $D1959 &amp; ":" &amp; K$1)</f>
        <v/>
      </c>
      <c r="L1959" s="36" t="str">
        <f>RTD("ice.rtd",,$C1959 &amp; $D1959 &amp; ":" &amp; L$1)</f>
        <v/>
      </c>
      <c r="M1959" s="14" t="str">
        <f>IFERROR(MOD(TIMEVALUE(RTD("ice.rtd",,$C1959 &amp; $D1959 &amp; ":" &amp; M$1)), 1), "")</f>
        <v/>
      </c>
      <c r="N1959" s="36">
        <f>RTD("ice.rtd",,$C1959 &amp; $D1959 &amp; ":" &amp; N$1)</f>
        <v>0</v>
      </c>
      <c r="O1959" s="36">
        <f>RTD("ice.rtd",,$C1959 &amp; $D1959 &amp; ":" &amp; O$1)</f>
        <v>0</v>
      </c>
      <c r="P195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59" s="14" t="str">
        <f>IF(ICE[[#This Row],[LastType]] = "Scrn", ICE[[#This Row],[LstDate]], IF(ICE[[#This Row],[LastType]] = "Blk", ICE[[#This Row],[LstBlkTime]], ""))</f>
        <v/>
      </c>
      <c r="R1959" s="41" t="str">
        <f>IF(ICE[[#This Row],[LastType]] = "Scrn", ICE[[#This Row],[LstPrc]], IF(ICE[[#This Row],[LastType]] = "Blk", ICE[[#This Row],[LstBlkPrc]], ""))</f>
        <v/>
      </c>
      <c r="S1959" s="36">
        <f>ICE[[#This Row],[Vol]]+ICE[[#This Row],[BlkVol]]</f>
        <v>0</v>
      </c>
      <c r="T1959" s="36">
        <f>RTD("ice.rtd",,$C1959 &amp; $D1959 &amp; ":" &amp; T$1)</f>
        <v>39</v>
      </c>
      <c r="U1959" s="18">
        <f>RTD("ice.rtd",,$C1959 &amp; $D1959 &amp; ":" &amp; U$1)</f>
        <v>-4.2254000000000005</v>
      </c>
      <c r="V195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59" s="18" t="str">
        <f>IFERROR(IF(LEFT(ICE[[#This Row],[Tenor]], 1) = "B", RTD("esrtd",,$B1959 &amp; " " &amp; ICE[[#This Row],[Tenor]] &amp; "-IEU", W$1), RTD("esrtd",,$B1959 &amp; " " &amp; VLOOKUP(MONTH(ICE[[#This Row],[Strip]]), MthRef[], 2, 0) &amp; RIGHT(YEAR(ICE[[#This Row],[Strip]]), 2) &amp; "-IEU", W$1)), "")</f>
        <v/>
      </c>
      <c r="X1959" s="36"/>
    </row>
    <row r="1960" spans="1:24" x14ac:dyDescent="0.25">
      <c r="A1960" s="37" t="s">
        <v>930</v>
      </c>
      <c r="B1960" s="88" t="str">
        <f>RTD("ice.rtd",,$C1960 &amp; $D1960 &amp; ":" &amp; B$1)</f>
        <v>SPS</v>
      </c>
      <c r="C1960" s="3">
        <v>30813691</v>
      </c>
      <c r="D1960" t="s">
        <v>796</v>
      </c>
      <c r="E1960" s="3" t="str">
        <f>RTD("ice.rtd",,$C1960 &amp; $D1960 &amp; ":" &amp; E$1)</f>
        <v>Apr27</v>
      </c>
      <c r="F1960" s="3" t="str">
        <f>ICE[[#This Row],[Prod]]&amp;ICE[[#This Row],[Strip]]</f>
        <v>fo380brxApr27</v>
      </c>
      <c r="G1960" s="18" t="str">
        <f>RTD("ice.rtd",,$C1960 &amp; $D1960 &amp; ":" &amp; G$1)</f>
        <v/>
      </c>
      <c r="H1960" s="18" t="str">
        <f>RTD("ice.rtd",,$C1960 &amp; $D1960 &amp; ":" &amp; H$1)</f>
        <v/>
      </c>
      <c r="I1960" s="18" t="str">
        <f>RTD("ice.rtd",,$C1960 &amp; $D1960 &amp; ":" &amp; I$1)</f>
        <v/>
      </c>
      <c r="J1960" s="14" t="str">
        <f>IFERROR(MOD(RTD("ice.rtd",,$C1960 &amp; $D1960 &amp; ":" &amp; J$1), 1), "")</f>
        <v/>
      </c>
      <c r="K1960" s="18" t="str">
        <f>RTD("ice.rtd",,$C1960 &amp; $D1960 &amp; ":" &amp; K$1)</f>
        <v/>
      </c>
      <c r="L1960" s="36" t="str">
        <f>RTD("ice.rtd",,$C1960 &amp; $D1960 &amp; ":" &amp; L$1)</f>
        <v/>
      </c>
      <c r="M1960" s="14" t="str">
        <f>IFERROR(MOD(TIMEVALUE(RTD("ice.rtd",,$C1960 &amp; $D1960 &amp; ":" &amp; M$1)), 1), "")</f>
        <v/>
      </c>
      <c r="N1960" s="36">
        <f>RTD("ice.rtd",,$C1960 &amp; $D1960 &amp; ":" &amp; N$1)</f>
        <v>1</v>
      </c>
      <c r="O1960" s="36">
        <f>RTD("ice.rtd",,$C1960 &amp; $D1960 &amp; ":" &amp; O$1)</f>
        <v>0</v>
      </c>
      <c r="P196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0" s="14" t="str">
        <f>IF(ICE[[#This Row],[LastType]] = "Scrn", ICE[[#This Row],[LstDate]], IF(ICE[[#This Row],[LastType]] = "Blk", ICE[[#This Row],[LstBlkTime]], ""))</f>
        <v/>
      </c>
      <c r="R1960" s="41" t="str">
        <f>IF(ICE[[#This Row],[LastType]] = "Scrn", ICE[[#This Row],[LstPrc]], IF(ICE[[#This Row],[LastType]] = "Blk", ICE[[#This Row],[LstBlkPrc]], ""))</f>
        <v/>
      </c>
      <c r="S1960" s="36">
        <f>ICE[[#This Row],[Vol]]+ICE[[#This Row],[BlkVol]]</f>
        <v>1</v>
      </c>
      <c r="T1960" s="36">
        <f>RTD("ice.rtd",,$C1960 &amp; $D1960 &amp; ":" &amp; T$1)</f>
        <v>50</v>
      </c>
      <c r="U1960" s="18">
        <f>RTD("ice.rtd",,$C1960 &amp; $D1960 &amp; ":" &amp; U$1)</f>
        <v>-4.1085000000000003</v>
      </c>
      <c r="V196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|1x</v>
      </c>
      <c r="W1960" s="18" t="str">
        <f>IFERROR(IF(LEFT(ICE[[#This Row],[Tenor]], 1) = "B", RTD("esrtd",,$B1960 &amp; " " &amp; ICE[[#This Row],[Tenor]] &amp; "-IEU", W$1), RTD("esrtd",,$B1960 &amp; " " &amp; VLOOKUP(MONTH(ICE[[#This Row],[Strip]]), MthRef[], 2, 0) &amp; RIGHT(YEAR(ICE[[#This Row],[Strip]]), 2) &amp; "-IEU", W$1)), "")</f>
        <v/>
      </c>
      <c r="X1960" s="36"/>
    </row>
    <row r="1961" spans="1:24" x14ac:dyDescent="0.25">
      <c r="A1961" s="37" t="s">
        <v>930</v>
      </c>
      <c r="B1961" s="88" t="str">
        <f>RTD("ice.rtd",,$C1961 &amp; $D1961 &amp; ":" &amp; B$1)</f>
        <v>SPS</v>
      </c>
      <c r="C1961" s="3">
        <v>30813691</v>
      </c>
      <c r="D1961" t="s">
        <v>797</v>
      </c>
      <c r="E1961" s="3" t="str">
        <f>RTD("ice.rtd",,$C1961 &amp; $D1961 &amp; ":" &amp; E$1)</f>
        <v>May27</v>
      </c>
      <c r="F1961" s="3" t="str">
        <f>ICE[[#This Row],[Prod]]&amp;ICE[[#This Row],[Strip]]</f>
        <v>fo380brxMay27</v>
      </c>
      <c r="G1961" s="18" t="str">
        <f>RTD("ice.rtd",,$C1961 &amp; $D1961 &amp; ":" &amp; G$1)</f>
        <v/>
      </c>
      <c r="H1961" s="18" t="str">
        <f>RTD("ice.rtd",,$C1961 &amp; $D1961 &amp; ":" &amp; H$1)</f>
        <v/>
      </c>
      <c r="I1961" s="18" t="str">
        <f>RTD("ice.rtd",,$C1961 &amp; $D1961 &amp; ":" &amp; I$1)</f>
        <v/>
      </c>
      <c r="J1961" s="14" t="str">
        <f>IFERROR(MOD(RTD("ice.rtd",,$C1961 &amp; $D1961 &amp; ":" &amp; J$1), 1), "")</f>
        <v/>
      </c>
      <c r="K1961" s="18" t="str">
        <f>RTD("ice.rtd",,$C1961 &amp; $D1961 &amp; ":" &amp; K$1)</f>
        <v/>
      </c>
      <c r="L1961" s="36" t="str">
        <f>RTD("ice.rtd",,$C1961 &amp; $D1961 &amp; ":" &amp; L$1)</f>
        <v/>
      </c>
      <c r="M1961" s="14" t="str">
        <f>IFERROR(MOD(TIMEVALUE(RTD("ice.rtd",,$C1961 &amp; $D1961 &amp; ":" &amp; M$1)), 1), "")</f>
        <v/>
      </c>
      <c r="N1961" s="36">
        <f>RTD("ice.rtd",,$C1961 &amp; $D1961 &amp; ":" &amp; N$1)</f>
        <v>1</v>
      </c>
      <c r="O1961" s="36">
        <f>RTD("ice.rtd",,$C1961 &amp; $D1961 &amp; ":" &amp; O$1)</f>
        <v>0</v>
      </c>
      <c r="P196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1" s="14" t="str">
        <f>IF(ICE[[#This Row],[LastType]] = "Scrn", ICE[[#This Row],[LstDate]], IF(ICE[[#This Row],[LastType]] = "Blk", ICE[[#This Row],[LstBlkTime]], ""))</f>
        <v/>
      </c>
      <c r="R1961" s="41" t="str">
        <f>IF(ICE[[#This Row],[LastType]] = "Scrn", ICE[[#This Row],[LstPrc]], IF(ICE[[#This Row],[LastType]] = "Blk", ICE[[#This Row],[LstBlkPrc]], ""))</f>
        <v/>
      </c>
      <c r="S1961" s="36">
        <f>ICE[[#This Row],[Vol]]+ICE[[#This Row],[BlkVol]]</f>
        <v>1</v>
      </c>
      <c r="T1961" s="36">
        <f>RTD("ice.rtd",,$C1961 &amp; $D1961 &amp; ":" &amp; T$1)</f>
        <v>50</v>
      </c>
      <c r="U1961" s="18">
        <f>RTD("ice.rtd",,$C1961 &amp; $D1961 &amp; ":" &amp; U$1)</f>
        <v>-4.0358999999999998</v>
      </c>
      <c r="V196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|1x</v>
      </c>
      <c r="W1961" s="18" t="str">
        <f>IFERROR(IF(LEFT(ICE[[#This Row],[Tenor]], 1) = "B", RTD("esrtd",,$B1961 &amp; " " &amp; ICE[[#This Row],[Tenor]] &amp; "-IEU", W$1), RTD("esrtd",,$B1961 &amp; " " &amp; VLOOKUP(MONTH(ICE[[#This Row],[Strip]]), MthRef[], 2, 0) &amp; RIGHT(YEAR(ICE[[#This Row],[Strip]]), 2) &amp; "-IEU", W$1)), "")</f>
        <v/>
      </c>
      <c r="X1961" s="36"/>
    </row>
    <row r="1962" spans="1:24" x14ac:dyDescent="0.25">
      <c r="A1962" s="37" t="s">
        <v>930</v>
      </c>
      <c r="B1962" s="88" t="str">
        <f>RTD("ice.rtd",,$C1962 &amp; $D1962 &amp; ":" &amp; B$1)</f>
        <v>SPS</v>
      </c>
      <c r="C1962" s="3">
        <v>30813691</v>
      </c>
      <c r="D1962" t="s">
        <v>798</v>
      </c>
      <c r="E1962" s="3" t="str">
        <f>RTD("ice.rtd",,$C1962 &amp; $D1962 &amp; ":" &amp; E$1)</f>
        <v>Jun27</v>
      </c>
      <c r="F1962" s="3" t="str">
        <f>ICE[[#This Row],[Prod]]&amp;ICE[[#This Row],[Strip]]</f>
        <v>fo380brxJun27</v>
      </c>
      <c r="G1962" s="18" t="str">
        <f>RTD("ice.rtd",,$C1962 &amp; $D1962 &amp; ":" &amp; G$1)</f>
        <v/>
      </c>
      <c r="H1962" s="18" t="str">
        <f>RTD("ice.rtd",,$C1962 &amp; $D1962 &amp; ":" &amp; H$1)</f>
        <v/>
      </c>
      <c r="I1962" s="18" t="str">
        <f>RTD("ice.rtd",,$C1962 &amp; $D1962 &amp; ":" &amp; I$1)</f>
        <v/>
      </c>
      <c r="J1962" s="14" t="str">
        <f>IFERROR(MOD(RTD("ice.rtd",,$C1962 &amp; $D1962 &amp; ":" &amp; J$1), 1), "")</f>
        <v/>
      </c>
      <c r="K1962" s="18" t="str">
        <f>RTD("ice.rtd",,$C1962 &amp; $D1962 &amp; ":" &amp; K$1)</f>
        <v/>
      </c>
      <c r="L1962" s="36" t="str">
        <f>RTD("ice.rtd",,$C1962 &amp; $D1962 &amp; ":" &amp; L$1)</f>
        <v/>
      </c>
      <c r="M1962" s="14" t="str">
        <f>IFERROR(MOD(TIMEVALUE(RTD("ice.rtd",,$C1962 &amp; $D1962 &amp; ":" &amp; M$1)), 1), "")</f>
        <v/>
      </c>
      <c r="N1962" s="36">
        <f>RTD("ice.rtd",,$C1962 &amp; $D1962 &amp; ":" &amp; N$1)</f>
        <v>1</v>
      </c>
      <c r="O1962" s="36">
        <f>RTD("ice.rtd",,$C1962 &amp; $D1962 &amp; ":" &amp; O$1)</f>
        <v>0</v>
      </c>
      <c r="P196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2" s="14" t="str">
        <f>IF(ICE[[#This Row],[LastType]] = "Scrn", ICE[[#This Row],[LstDate]], IF(ICE[[#This Row],[LastType]] = "Blk", ICE[[#This Row],[LstBlkTime]], ""))</f>
        <v/>
      </c>
      <c r="R1962" s="41" t="str">
        <f>IF(ICE[[#This Row],[LastType]] = "Scrn", ICE[[#This Row],[LstPrc]], IF(ICE[[#This Row],[LastType]] = "Blk", ICE[[#This Row],[LstBlkPrc]], ""))</f>
        <v/>
      </c>
      <c r="S1962" s="36">
        <f>ICE[[#This Row],[Vol]]+ICE[[#This Row],[BlkVol]]</f>
        <v>1</v>
      </c>
      <c r="T1962" s="36">
        <f>RTD("ice.rtd",,$C1962 &amp; $D1962 &amp; ":" &amp; T$1)</f>
        <v>50</v>
      </c>
      <c r="U1962" s="18">
        <f>RTD("ice.rtd",,$C1962 &amp; $D1962 &amp; ":" &amp; U$1)</f>
        <v>-4.1927000000000003</v>
      </c>
      <c r="V196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|1x</v>
      </c>
      <c r="W1962" s="18" t="str">
        <f>IFERROR(IF(LEFT(ICE[[#This Row],[Tenor]], 1) = "B", RTD("esrtd",,$B1962 &amp; " " &amp; ICE[[#This Row],[Tenor]] &amp; "-IEU", W$1), RTD("esrtd",,$B1962 &amp; " " &amp; VLOOKUP(MONTH(ICE[[#This Row],[Strip]]), MthRef[], 2, 0) &amp; RIGHT(YEAR(ICE[[#This Row],[Strip]]), 2) &amp; "-IEU", W$1)), "")</f>
        <v/>
      </c>
      <c r="X1962" s="36"/>
    </row>
    <row r="1963" spans="1:24" x14ac:dyDescent="0.25">
      <c r="A1963" s="37" t="s">
        <v>930</v>
      </c>
      <c r="B1963" s="88" t="str">
        <f>RTD("ice.rtd",,$C1963 &amp; $D1963 &amp; ":" &amp; B$1)</f>
        <v>SPS</v>
      </c>
      <c r="C1963" s="3">
        <v>30813691</v>
      </c>
      <c r="D1963" t="s">
        <v>799</v>
      </c>
      <c r="E1963" s="3" t="str">
        <f>RTD("ice.rtd",,$C1963 &amp; $D1963 &amp; ":" &amp; E$1)</f>
        <v>Jul27</v>
      </c>
      <c r="F1963" s="3" t="str">
        <f>ICE[[#This Row],[Prod]]&amp;ICE[[#This Row],[Strip]]</f>
        <v>fo380brxJul27</v>
      </c>
      <c r="G1963" s="18" t="str">
        <f>RTD("ice.rtd",,$C1963 &amp; $D1963 &amp; ":" &amp; G$1)</f>
        <v/>
      </c>
      <c r="H1963" s="18" t="str">
        <f>RTD("ice.rtd",,$C1963 &amp; $D1963 &amp; ":" &amp; H$1)</f>
        <v/>
      </c>
      <c r="I1963" s="18" t="str">
        <f>RTD("ice.rtd",,$C1963 &amp; $D1963 &amp; ":" &amp; I$1)</f>
        <v/>
      </c>
      <c r="J1963" s="14" t="str">
        <f>IFERROR(MOD(RTD("ice.rtd",,$C1963 &amp; $D1963 &amp; ":" &amp; J$1), 1), "")</f>
        <v/>
      </c>
      <c r="K1963" s="18" t="str">
        <f>RTD("ice.rtd",,$C1963 &amp; $D1963 &amp; ":" &amp; K$1)</f>
        <v/>
      </c>
      <c r="L1963" s="36" t="str">
        <f>RTD("ice.rtd",,$C1963 &amp; $D1963 &amp; ":" &amp; L$1)</f>
        <v/>
      </c>
      <c r="M1963" s="14" t="str">
        <f>IFERROR(MOD(TIMEVALUE(RTD("ice.rtd",,$C1963 &amp; $D1963 &amp; ":" &amp; M$1)), 1), "")</f>
        <v/>
      </c>
      <c r="N1963" s="36">
        <f>RTD("ice.rtd",,$C1963 &amp; $D1963 &amp; ":" &amp; N$1)</f>
        <v>0</v>
      </c>
      <c r="O1963" s="36">
        <f>RTD("ice.rtd",,$C1963 &amp; $D1963 &amp; ":" &amp; O$1)</f>
        <v>0</v>
      </c>
      <c r="P196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3" s="14" t="str">
        <f>IF(ICE[[#This Row],[LastType]] = "Scrn", ICE[[#This Row],[LstDate]], IF(ICE[[#This Row],[LastType]] = "Blk", ICE[[#This Row],[LstBlkTime]], ""))</f>
        <v/>
      </c>
      <c r="R1963" s="41" t="str">
        <f>IF(ICE[[#This Row],[LastType]] = "Scrn", ICE[[#This Row],[LstPrc]], IF(ICE[[#This Row],[LastType]] = "Blk", ICE[[#This Row],[LstBlkPrc]], ""))</f>
        <v/>
      </c>
      <c r="S1963" s="36">
        <f>ICE[[#This Row],[Vol]]+ICE[[#This Row],[BlkVol]]</f>
        <v>0</v>
      </c>
      <c r="T1963" s="36">
        <f>RTD("ice.rtd",,$C1963 &amp; $D1963 &amp; ":" &amp; T$1)</f>
        <v>59</v>
      </c>
      <c r="U1963" s="18">
        <f>RTD("ice.rtd",,$C1963 &amp; $D1963 &amp; ":" &amp; U$1)</f>
        <v>-4.4024999999999999</v>
      </c>
      <c r="V196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63" s="18" t="str">
        <f>IFERROR(IF(LEFT(ICE[[#This Row],[Tenor]], 1) = "B", RTD("esrtd",,$B1963 &amp; " " &amp; ICE[[#This Row],[Tenor]] &amp; "-IEU", W$1), RTD("esrtd",,$B1963 &amp; " " &amp; VLOOKUP(MONTH(ICE[[#This Row],[Strip]]), MthRef[], 2, 0) &amp; RIGHT(YEAR(ICE[[#This Row],[Strip]]), 2) &amp; "-IEU", W$1)), "")</f>
        <v/>
      </c>
      <c r="X1963" s="36"/>
    </row>
    <row r="1964" spans="1:24" x14ac:dyDescent="0.25">
      <c r="A1964" s="37" t="s">
        <v>930</v>
      </c>
      <c r="B1964" s="88" t="str">
        <f>RTD("ice.rtd",,$C1964 &amp; $D1964 &amp; ":" &amp; B$1)</f>
        <v>SPS</v>
      </c>
      <c r="C1964" s="3">
        <v>30813691</v>
      </c>
      <c r="D1964" t="s">
        <v>800</v>
      </c>
      <c r="E1964" s="3" t="str">
        <f>RTD("ice.rtd",,$C1964 &amp; $D1964 &amp; ":" &amp; E$1)</f>
        <v>Aug27</v>
      </c>
      <c r="F1964" s="3" t="str">
        <f>ICE[[#This Row],[Prod]]&amp;ICE[[#This Row],[Strip]]</f>
        <v>fo380brxAug27</v>
      </c>
      <c r="G1964" s="18" t="str">
        <f>RTD("ice.rtd",,$C1964 &amp; $D1964 &amp; ":" &amp; G$1)</f>
        <v/>
      </c>
      <c r="H1964" s="18" t="str">
        <f>RTD("ice.rtd",,$C1964 &amp; $D1964 &amp; ":" &amp; H$1)</f>
        <v/>
      </c>
      <c r="I1964" s="18" t="str">
        <f>RTD("ice.rtd",,$C1964 &amp; $D1964 &amp; ":" &amp; I$1)</f>
        <v/>
      </c>
      <c r="J1964" s="14" t="str">
        <f>IFERROR(MOD(RTD("ice.rtd",,$C1964 &amp; $D1964 &amp; ":" &amp; J$1), 1), "")</f>
        <v/>
      </c>
      <c r="K1964" s="18" t="str">
        <f>RTD("ice.rtd",,$C1964 &amp; $D1964 &amp; ":" &amp; K$1)</f>
        <v/>
      </c>
      <c r="L1964" s="36" t="str">
        <f>RTD("ice.rtd",,$C1964 &amp; $D1964 &amp; ":" &amp; L$1)</f>
        <v/>
      </c>
      <c r="M1964" s="14" t="str">
        <f>IFERROR(MOD(TIMEVALUE(RTD("ice.rtd",,$C1964 &amp; $D1964 &amp; ":" &amp; M$1)), 1), "")</f>
        <v/>
      </c>
      <c r="N1964" s="36">
        <f>RTD("ice.rtd",,$C1964 &amp; $D1964 &amp; ":" &amp; N$1)</f>
        <v>0</v>
      </c>
      <c r="O1964" s="36">
        <f>RTD("ice.rtd",,$C1964 &amp; $D1964 &amp; ":" &amp; O$1)</f>
        <v>0</v>
      </c>
      <c r="P196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4" s="14" t="str">
        <f>IF(ICE[[#This Row],[LastType]] = "Scrn", ICE[[#This Row],[LstDate]], IF(ICE[[#This Row],[LastType]] = "Blk", ICE[[#This Row],[LstBlkTime]], ""))</f>
        <v/>
      </c>
      <c r="R1964" s="41" t="str">
        <f>IF(ICE[[#This Row],[LastType]] = "Scrn", ICE[[#This Row],[LstPrc]], IF(ICE[[#This Row],[LastType]] = "Blk", ICE[[#This Row],[LstBlkPrc]], ""))</f>
        <v/>
      </c>
      <c r="S1964" s="36">
        <f>ICE[[#This Row],[Vol]]+ICE[[#This Row],[BlkVol]]</f>
        <v>0</v>
      </c>
      <c r="T1964" s="36">
        <f>RTD("ice.rtd",,$C1964 &amp; $D1964 &amp; ":" &amp; T$1)</f>
        <v>59</v>
      </c>
      <c r="U1964" s="18">
        <f>RTD("ice.rtd",,$C1964 &amp; $D1964 &amp; ":" &amp; U$1)</f>
        <v>-4.7316000000000003</v>
      </c>
      <c r="V196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64" s="18" t="str">
        <f>IFERROR(IF(LEFT(ICE[[#This Row],[Tenor]], 1) = "B", RTD("esrtd",,$B1964 &amp; " " &amp; ICE[[#This Row],[Tenor]] &amp; "-IEU", W$1), RTD("esrtd",,$B1964 &amp; " " &amp; VLOOKUP(MONTH(ICE[[#This Row],[Strip]]), MthRef[], 2, 0) &amp; RIGHT(YEAR(ICE[[#This Row],[Strip]]), 2) &amp; "-IEU", W$1)), "")</f>
        <v/>
      </c>
      <c r="X1964" s="36"/>
    </row>
    <row r="1965" spans="1:24" x14ac:dyDescent="0.25">
      <c r="A1965" s="37" t="s">
        <v>930</v>
      </c>
      <c r="B1965" s="88" t="str">
        <f>RTD("ice.rtd",,$C1965 &amp; $D1965 &amp; ":" &amp; B$1)</f>
        <v>SPS</v>
      </c>
      <c r="C1965" s="3">
        <v>30813691</v>
      </c>
      <c r="D1965" t="s">
        <v>801</v>
      </c>
      <c r="E1965" s="3" t="str">
        <f>RTD("ice.rtd",,$C1965 &amp; $D1965 &amp; ":" &amp; E$1)</f>
        <v>Sep27</v>
      </c>
      <c r="F1965" s="3" t="str">
        <f>ICE[[#This Row],[Prod]]&amp;ICE[[#This Row],[Strip]]</f>
        <v>fo380brxSep27</v>
      </c>
      <c r="G1965" s="18" t="str">
        <f>RTD("ice.rtd",,$C1965 &amp; $D1965 &amp; ":" &amp; G$1)</f>
        <v/>
      </c>
      <c r="H1965" s="18" t="str">
        <f>RTD("ice.rtd",,$C1965 &amp; $D1965 &amp; ":" &amp; H$1)</f>
        <v/>
      </c>
      <c r="I1965" s="18" t="str">
        <f>RTD("ice.rtd",,$C1965 &amp; $D1965 &amp; ":" &amp; I$1)</f>
        <v/>
      </c>
      <c r="J1965" s="14" t="str">
        <f>IFERROR(MOD(RTD("ice.rtd",,$C1965 &amp; $D1965 &amp; ":" &amp; J$1), 1), "")</f>
        <v/>
      </c>
      <c r="K1965" s="18" t="str">
        <f>RTD("ice.rtd",,$C1965 &amp; $D1965 &amp; ":" &amp; K$1)</f>
        <v/>
      </c>
      <c r="L1965" s="36" t="str">
        <f>RTD("ice.rtd",,$C1965 &amp; $D1965 &amp; ":" &amp; L$1)</f>
        <v/>
      </c>
      <c r="M1965" s="14" t="str">
        <f>IFERROR(MOD(TIMEVALUE(RTD("ice.rtd",,$C1965 &amp; $D1965 &amp; ":" &amp; M$1)), 1), "")</f>
        <v/>
      </c>
      <c r="N1965" s="36">
        <f>RTD("ice.rtd",,$C1965 &amp; $D1965 &amp; ":" &amp; N$1)</f>
        <v>0</v>
      </c>
      <c r="O1965" s="36">
        <f>RTD("ice.rtd",,$C1965 &amp; $D1965 &amp; ":" &amp; O$1)</f>
        <v>0</v>
      </c>
      <c r="P196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5" s="14" t="str">
        <f>IF(ICE[[#This Row],[LastType]] = "Scrn", ICE[[#This Row],[LstDate]], IF(ICE[[#This Row],[LastType]] = "Blk", ICE[[#This Row],[LstBlkTime]], ""))</f>
        <v/>
      </c>
      <c r="R1965" s="41" t="str">
        <f>IF(ICE[[#This Row],[LastType]] = "Scrn", ICE[[#This Row],[LstPrc]], IF(ICE[[#This Row],[LastType]] = "Blk", ICE[[#This Row],[LstBlkPrc]], ""))</f>
        <v/>
      </c>
      <c r="S1965" s="36">
        <f>ICE[[#This Row],[Vol]]+ICE[[#This Row],[BlkVol]]</f>
        <v>0</v>
      </c>
      <c r="T1965" s="36">
        <f>RTD("ice.rtd",,$C1965 &amp; $D1965 &amp; ":" &amp; T$1)</f>
        <v>59</v>
      </c>
      <c r="U1965" s="18">
        <f>RTD("ice.rtd",,$C1965 &amp; $D1965 &amp; ":" &amp; U$1)</f>
        <v>-5.1591000000000005</v>
      </c>
      <c r="V196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65" s="18" t="str">
        <f>IFERROR(IF(LEFT(ICE[[#This Row],[Tenor]], 1) = "B", RTD("esrtd",,$B1965 &amp; " " &amp; ICE[[#This Row],[Tenor]] &amp; "-IEU", W$1), RTD("esrtd",,$B1965 &amp; " " &amp; VLOOKUP(MONTH(ICE[[#This Row],[Strip]]), MthRef[], 2, 0) &amp; RIGHT(YEAR(ICE[[#This Row],[Strip]]), 2) &amp; "-IEU", W$1)), "")</f>
        <v/>
      </c>
      <c r="X1965" s="36"/>
    </row>
    <row r="1966" spans="1:24" x14ac:dyDescent="0.25">
      <c r="A1966" s="37" t="s">
        <v>930</v>
      </c>
      <c r="B1966" s="88" t="str">
        <f>RTD("ice.rtd",,$C1966 &amp; $D1966 &amp; ":" &amp; B$1)</f>
        <v>SPS</v>
      </c>
      <c r="C1966" s="3">
        <v>30813691</v>
      </c>
      <c r="D1966" t="s">
        <v>802</v>
      </c>
      <c r="E1966" s="3" t="str">
        <f>RTD("ice.rtd",,$C1966 &amp; $D1966 &amp; ":" &amp; E$1)</f>
        <v>Oct27</v>
      </c>
      <c r="F1966" s="3" t="str">
        <f>ICE[[#This Row],[Prod]]&amp;ICE[[#This Row],[Strip]]</f>
        <v>fo380brxOct27</v>
      </c>
      <c r="G1966" s="18" t="str">
        <f>RTD("ice.rtd",,$C1966 &amp; $D1966 &amp; ":" &amp; G$1)</f>
        <v/>
      </c>
      <c r="H1966" s="18" t="str">
        <f>RTD("ice.rtd",,$C1966 &amp; $D1966 &amp; ":" &amp; H$1)</f>
        <v/>
      </c>
      <c r="I1966" s="18" t="str">
        <f>RTD("ice.rtd",,$C1966 &amp; $D1966 &amp; ":" &amp; I$1)</f>
        <v/>
      </c>
      <c r="J1966" s="14" t="str">
        <f>IFERROR(MOD(RTD("ice.rtd",,$C1966 &amp; $D1966 &amp; ":" &amp; J$1), 1), "")</f>
        <v/>
      </c>
      <c r="K1966" s="18" t="str">
        <f>RTD("ice.rtd",,$C1966 &amp; $D1966 &amp; ":" &amp; K$1)</f>
        <v/>
      </c>
      <c r="L1966" s="36" t="str">
        <f>RTD("ice.rtd",,$C1966 &amp; $D1966 &amp; ":" &amp; L$1)</f>
        <v/>
      </c>
      <c r="M1966" s="14" t="str">
        <f>IFERROR(MOD(TIMEVALUE(RTD("ice.rtd",,$C1966 &amp; $D1966 &amp; ":" &amp; M$1)), 1), "")</f>
        <v/>
      </c>
      <c r="N1966" s="36">
        <f>RTD("ice.rtd",,$C1966 &amp; $D1966 &amp; ":" &amp; N$1)</f>
        <v>0</v>
      </c>
      <c r="O1966" s="36">
        <f>RTD("ice.rtd",,$C1966 &amp; $D1966 &amp; ":" &amp; O$1)</f>
        <v>0</v>
      </c>
      <c r="P196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6" s="14" t="str">
        <f>IF(ICE[[#This Row],[LastType]] = "Scrn", ICE[[#This Row],[LstDate]], IF(ICE[[#This Row],[LastType]] = "Blk", ICE[[#This Row],[LstBlkTime]], ""))</f>
        <v/>
      </c>
      <c r="R1966" s="41" t="str">
        <f>IF(ICE[[#This Row],[LastType]] = "Scrn", ICE[[#This Row],[LstPrc]], IF(ICE[[#This Row],[LastType]] = "Blk", ICE[[#This Row],[LstBlkPrc]], ""))</f>
        <v/>
      </c>
      <c r="S1966" s="36">
        <f>ICE[[#This Row],[Vol]]+ICE[[#This Row],[BlkVol]]</f>
        <v>0</v>
      </c>
      <c r="T1966" s="36">
        <f>RTD("ice.rtd",,$C1966 &amp; $D1966 &amp; ":" &amp; T$1)</f>
        <v>60</v>
      </c>
      <c r="U1966" s="18">
        <f>RTD("ice.rtd",,$C1966 &amp; $D1966 &amp; ":" &amp; U$1)</f>
        <v>-5.6640000000000006</v>
      </c>
      <c r="V196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66" s="18" t="str">
        <f>IFERROR(IF(LEFT(ICE[[#This Row],[Tenor]], 1) = "B", RTD("esrtd",,$B1966 &amp; " " &amp; ICE[[#This Row],[Tenor]] &amp; "-IEU", W$1), RTD("esrtd",,$B1966 &amp; " " &amp; VLOOKUP(MONTH(ICE[[#This Row],[Strip]]), MthRef[], 2, 0) &amp; RIGHT(YEAR(ICE[[#This Row],[Strip]]), 2) &amp; "-IEU", W$1)), "")</f>
        <v/>
      </c>
      <c r="X1966" s="36"/>
    </row>
    <row r="1967" spans="1:24" x14ac:dyDescent="0.25">
      <c r="A1967" s="37" t="s">
        <v>930</v>
      </c>
      <c r="B1967" s="88" t="str">
        <f>RTD("ice.rtd",,$C1967 &amp; $D1967 &amp; ":" &amp; B$1)</f>
        <v>SPS</v>
      </c>
      <c r="C1967" s="3">
        <v>30813691</v>
      </c>
      <c r="D1967" t="s">
        <v>803</v>
      </c>
      <c r="E1967" s="3" t="str">
        <f>RTD("ice.rtd",,$C1967 &amp; $D1967 &amp; ":" &amp; E$1)</f>
        <v>Nov27</v>
      </c>
      <c r="F1967" s="3" t="str">
        <f>ICE[[#This Row],[Prod]]&amp;ICE[[#This Row],[Strip]]</f>
        <v>fo380brxNov27</v>
      </c>
      <c r="G1967" s="18" t="str">
        <f>RTD("ice.rtd",,$C1967 &amp; $D1967 &amp; ":" &amp; G$1)</f>
        <v/>
      </c>
      <c r="H1967" s="18" t="str">
        <f>RTD("ice.rtd",,$C1967 &amp; $D1967 &amp; ":" &amp; H$1)</f>
        <v/>
      </c>
      <c r="I1967" s="18" t="str">
        <f>RTD("ice.rtd",,$C1967 &amp; $D1967 &amp; ":" &amp; I$1)</f>
        <v/>
      </c>
      <c r="J1967" s="14" t="str">
        <f>IFERROR(MOD(RTD("ice.rtd",,$C1967 &amp; $D1967 &amp; ":" &amp; J$1), 1), "")</f>
        <v/>
      </c>
      <c r="K1967" s="18" t="str">
        <f>RTD("ice.rtd",,$C1967 &amp; $D1967 &amp; ":" &amp; K$1)</f>
        <v/>
      </c>
      <c r="L1967" s="36" t="str">
        <f>RTD("ice.rtd",,$C1967 &amp; $D1967 &amp; ":" &amp; L$1)</f>
        <v/>
      </c>
      <c r="M1967" s="14" t="str">
        <f>IFERROR(MOD(TIMEVALUE(RTD("ice.rtd",,$C1967 &amp; $D1967 &amp; ":" &amp; M$1)), 1), "")</f>
        <v/>
      </c>
      <c r="N1967" s="36">
        <f>RTD("ice.rtd",,$C1967 &amp; $D1967 &amp; ":" &amp; N$1)</f>
        <v>0</v>
      </c>
      <c r="O1967" s="36">
        <f>RTD("ice.rtd",,$C1967 &amp; $D1967 &amp; ":" &amp; O$1)</f>
        <v>0</v>
      </c>
      <c r="P196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7" s="14" t="str">
        <f>IF(ICE[[#This Row],[LastType]] = "Scrn", ICE[[#This Row],[LstDate]], IF(ICE[[#This Row],[LastType]] = "Blk", ICE[[#This Row],[LstBlkTime]], ""))</f>
        <v/>
      </c>
      <c r="R1967" s="41" t="str">
        <f>IF(ICE[[#This Row],[LastType]] = "Scrn", ICE[[#This Row],[LstPrc]], IF(ICE[[#This Row],[LastType]] = "Blk", ICE[[#This Row],[LstBlkPrc]], ""))</f>
        <v/>
      </c>
      <c r="S1967" s="36">
        <f>ICE[[#This Row],[Vol]]+ICE[[#This Row],[BlkVol]]</f>
        <v>0</v>
      </c>
      <c r="T1967" s="36">
        <f>RTD("ice.rtd",,$C1967 &amp; $D1967 &amp; ":" &amp; T$1)</f>
        <v>60</v>
      </c>
      <c r="U1967" s="18">
        <f>RTD("ice.rtd",,$C1967 &amp; $D1967 &amp; ":" &amp; U$1)</f>
        <v>-5.7972000000000001</v>
      </c>
      <c r="V196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67" s="18" t="str">
        <f>IFERROR(IF(LEFT(ICE[[#This Row],[Tenor]], 1) = "B", RTD("esrtd",,$B1967 &amp; " " &amp; ICE[[#This Row],[Tenor]] &amp; "-IEU", W$1), RTD("esrtd",,$B1967 &amp; " " &amp; VLOOKUP(MONTH(ICE[[#This Row],[Strip]]), MthRef[], 2, 0) &amp; RIGHT(YEAR(ICE[[#This Row],[Strip]]), 2) &amp; "-IEU", W$1)), "")</f>
        <v/>
      </c>
      <c r="X1967" s="36"/>
    </row>
    <row r="1968" spans="1:24" x14ac:dyDescent="0.25">
      <c r="A1968" s="37" t="s">
        <v>930</v>
      </c>
      <c r="B1968" s="88" t="str">
        <f>RTD("ice.rtd",,$C1968 &amp; $D1968 &amp; ":" &amp; B$1)</f>
        <v>SPS</v>
      </c>
      <c r="C1968" s="3">
        <v>30813691</v>
      </c>
      <c r="D1968" t="s">
        <v>804</v>
      </c>
      <c r="E1968" s="3" t="str">
        <f>RTD("ice.rtd",,$C1968 &amp; $D1968 &amp; ":" &amp; E$1)</f>
        <v>Dec27</v>
      </c>
      <c r="F1968" s="3" t="str">
        <f>ICE[[#This Row],[Prod]]&amp;ICE[[#This Row],[Strip]]</f>
        <v>fo380brxDec27</v>
      </c>
      <c r="G1968" s="18" t="str">
        <f>RTD("ice.rtd",,$C1968 &amp; $D1968 &amp; ":" &amp; G$1)</f>
        <v/>
      </c>
      <c r="H1968" s="18" t="str">
        <f>RTD("ice.rtd",,$C1968 &amp; $D1968 &amp; ":" &amp; H$1)</f>
        <v/>
      </c>
      <c r="I1968" s="18" t="str">
        <f>RTD("ice.rtd",,$C1968 &amp; $D1968 &amp; ":" &amp; I$1)</f>
        <v/>
      </c>
      <c r="J1968" s="14" t="str">
        <f>IFERROR(MOD(RTD("ice.rtd",,$C1968 &amp; $D1968 &amp; ":" &amp; J$1), 1), "")</f>
        <v/>
      </c>
      <c r="K1968" s="18" t="str">
        <f>RTD("ice.rtd",,$C1968 &amp; $D1968 &amp; ":" &amp; K$1)</f>
        <v/>
      </c>
      <c r="L1968" s="36" t="str">
        <f>RTD("ice.rtd",,$C1968 &amp; $D1968 &amp; ":" &amp; L$1)</f>
        <v/>
      </c>
      <c r="M1968" s="14" t="str">
        <f>IFERROR(MOD(TIMEVALUE(RTD("ice.rtd",,$C1968 &amp; $D1968 &amp; ":" &amp; M$1)), 1), "")</f>
        <v/>
      </c>
      <c r="N1968" s="36">
        <f>RTD("ice.rtd",,$C1968 &amp; $D1968 &amp; ":" &amp; N$1)</f>
        <v>0</v>
      </c>
      <c r="O1968" s="36">
        <f>RTD("ice.rtd",,$C1968 &amp; $D1968 &amp; ":" &amp; O$1)</f>
        <v>0</v>
      </c>
      <c r="P196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8" s="14" t="str">
        <f>IF(ICE[[#This Row],[LastType]] = "Scrn", ICE[[#This Row],[LstDate]], IF(ICE[[#This Row],[LastType]] = "Blk", ICE[[#This Row],[LstBlkTime]], ""))</f>
        <v/>
      </c>
      <c r="R1968" s="41" t="str">
        <f>IF(ICE[[#This Row],[LastType]] = "Scrn", ICE[[#This Row],[LstPrc]], IF(ICE[[#This Row],[LastType]] = "Blk", ICE[[#This Row],[LstBlkPrc]], ""))</f>
        <v/>
      </c>
      <c r="S1968" s="36">
        <f>ICE[[#This Row],[Vol]]+ICE[[#This Row],[BlkVol]]</f>
        <v>0</v>
      </c>
      <c r="T1968" s="36">
        <f>RTD("ice.rtd",,$C1968 &amp; $D1968 &amp; ":" &amp; T$1)</f>
        <v>60</v>
      </c>
      <c r="U1968" s="18">
        <f>RTD("ice.rtd",,$C1968 &amp; $D1968 &amp; ":" &amp; U$1)</f>
        <v>-5.7495000000000003</v>
      </c>
      <c r="V196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68" s="18" t="str">
        <f>IFERROR(IF(LEFT(ICE[[#This Row],[Tenor]], 1) = "B", RTD("esrtd",,$B1968 &amp; " " &amp; ICE[[#This Row],[Tenor]] &amp; "-IEU", W$1), RTD("esrtd",,$B1968 &amp; " " &amp; VLOOKUP(MONTH(ICE[[#This Row],[Strip]]), MthRef[], 2, 0) &amp; RIGHT(YEAR(ICE[[#This Row],[Strip]]), 2) &amp; "-IEU", W$1)), "")</f>
        <v/>
      </c>
      <c r="X1968" s="36"/>
    </row>
    <row r="1969" spans="1:24" x14ac:dyDescent="0.25">
      <c r="A1969" s="37" t="s">
        <v>930</v>
      </c>
      <c r="B1969" s="88" t="str">
        <f>RTD("ice.rtd",,$C1969 &amp; $D1969 &amp; ":" &amp; B$1)</f>
        <v>SPS</v>
      </c>
      <c r="C1969" s="3">
        <v>30813691</v>
      </c>
      <c r="D1969" t="s">
        <v>805</v>
      </c>
      <c r="E1969" s="3" t="str">
        <f>RTD("ice.rtd",,$C1969 &amp; $D1969 &amp; ":" &amp; E$1)</f>
        <v>Jan28</v>
      </c>
      <c r="F1969" s="3" t="str">
        <f>ICE[[#This Row],[Prod]]&amp;ICE[[#This Row],[Strip]]</f>
        <v>fo380brxJan28</v>
      </c>
      <c r="G1969" s="18" t="str">
        <f>RTD("ice.rtd",,$C1969 &amp; $D1969 &amp; ":" &amp; G$1)</f>
        <v/>
      </c>
      <c r="H1969" s="18" t="str">
        <f>RTD("ice.rtd",,$C1969 &amp; $D1969 &amp; ":" &amp; H$1)</f>
        <v/>
      </c>
      <c r="I1969" s="18" t="str">
        <f>RTD("ice.rtd",,$C1969 &amp; $D1969 &amp; ":" &amp; I$1)</f>
        <v/>
      </c>
      <c r="J1969" s="14" t="str">
        <f>IFERROR(MOD(RTD("ice.rtd",,$C1969 &amp; $D1969 &amp; ":" &amp; J$1), 1), "")</f>
        <v/>
      </c>
      <c r="K1969" s="18" t="str">
        <f>RTD("ice.rtd",,$C1969 &amp; $D1969 &amp; ":" &amp; K$1)</f>
        <v/>
      </c>
      <c r="L1969" s="36" t="str">
        <f>RTD("ice.rtd",,$C1969 &amp; $D1969 &amp; ":" &amp; L$1)</f>
        <v/>
      </c>
      <c r="M1969" s="14" t="str">
        <f>IFERROR(MOD(TIMEVALUE(RTD("ice.rtd",,$C1969 &amp; $D1969 &amp; ":" &amp; M$1)), 1), "")</f>
        <v/>
      </c>
      <c r="N1969" s="36">
        <f>RTD("ice.rtd",,$C1969 &amp; $D1969 &amp; ":" &amp; N$1)</f>
        <v>0</v>
      </c>
      <c r="O1969" s="36">
        <f>RTD("ice.rtd",,$C1969 &amp; $D1969 &amp; ":" &amp; O$1)</f>
        <v>0</v>
      </c>
      <c r="P196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69" s="14" t="str">
        <f>IF(ICE[[#This Row],[LastType]] = "Scrn", ICE[[#This Row],[LstDate]], IF(ICE[[#This Row],[LastType]] = "Blk", ICE[[#This Row],[LstBlkTime]], ""))</f>
        <v/>
      </c>
      <c r="R1969" s="41" t="str">
        <f>IF(ICE[[#This Row],[LastType]] = "Scrn", ICE[[#This Row],[LstPrc]], IF(ICE[[#This Row],[LastType]] = "Blk", ICE[[#This Row],[LstBlkPrc]], ""))</f>
        <v/>
      </c>
      <c r="S1969" s="36">
        <f>ICE[[#This Row],[Vol]]+ICE[[#This Row],[BlkVol]]</f>
        <v>0</v>
      </c>
      <c r="T1969" s="36">
        <f>RTD("ice.rtd",,$C1969 &amp; $D1969 &amp; ":" &amp; T$1)</f>
        <v>0</v>
      </c>
      <c r="U1969" s="18">
        <f>RTD("ice.rtd",,$C1969 &amp; $D1969 &amp; ":" &amp; U$1)</f>
        <v>-5.6607000000000003</v>
      </c>
      <c r="V196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69" s="18" t="str">
        <f>IFERROR(IF(LEFT(ICE[[#This Row],[Tenor]], 1) = "B", RTD("esrtd",,$B1969 &amp; " " &amp; ICE[[#This Row],[Tenor]] &amp; "-IEU", W$1), RTD("esrtd",,$B1969 &amp; " " &amp; VLOOKUP(MONTH(ICE[[#This Row],[Strip]]), MthRef[], 2, 0) &amp; RIGHT(YEAR(ICE[[#This Row],[Strip]]), 2) &amp; "-IEU", W$1)), "")</f>
        <v/>
      </c>
      <c r="X1969" s="36"/>
    </row>
    <row r="1970" spans="1:24" x14ac:dyDescent="0.25">
      <c r="A1970" s="37" t="s">
        <v>930</v>
      </c>
      <c r="B1970" s="88" t="str">
        <f>RTD("ice.rtd",,$C1970 &amp; $D1970 &amp; ":" &amp; B$1)</f>
        <v>SPS</v>
      </c>
      <c r="C1970" s="3">
        <v>30813691</v>
      </c>
      <c r="D1970" t="s">
        <v>806</v>
      </c>
      <c r="E1970" s="3" t="str">
        <f>RTD("ice.rtd",,$C1970 &amp; $D1970 &amp; ":" &amp; E$1)</f>
        <v>Feb28</v>
      </c>
      <c r="F1970" s="3" t="str">
        <f>ICE[[#This Row],[Prod]]&amp;ICE[[#This Row],[Strip]]</f>
        <v>fo380brxFeb28</v>
      </c>
      <c r="G1970" s="18" t="str">
        <f>RTD("ice.rtd",,$C1970 &amp; $D1970 &amp; ":" &amp; G$1)</f>
        <v/>
      </c>
      <c r="H1970" s="18" t="str">
        <f>RTD("ice.rtd",,$C1970 &amp; $D1970 &amp; ":" &amp; H$1)</f>
        <v/>
      </c>
      <c r="I1970" s="18" t="str">
        <f>RTD("ice.rtd",,$C1970 &amp; $D1970 &amp; ":" &amp; I$1)</f>
        <v/>
      </c>
      <c r="J1970" s="14" t="str">
        <f>IFERROR(MOD(RTD("ice.rtd",,$C1970 &amp; $D1970 &amp; ":" &amp; J$1), 1), "")</f>
        <v/>
      </c>
      <c r="K1970" s="18" t="str">
        <f>RTD("ice.rtd",,$C1970 &amp; $D1970 &amp; ":" &amp; K$1)</f>
        <v/>
      </c>
      <c r="L1970" s="36" t="str">
        <f>RTD("ice.rtd",,$C1970 &amp; $D1970 &amp; ":" &amp; L$1)</f>
        <v/>
      </c>
      <c r="M1970" s="14" t="str">
        <f>IFERROR(MOD(TIMEVALUE(RTD("ice.rtd",,$C1970 &amp; $D1970 &amp; ":" &amp; M$1)), 1), "")</f>
        <v/>
      </c>
      <c r="N1970" s="36">
        <f>RTD("ice.rtd",,$C1970 &amp; $D1970 &amp; ":" &amp; N$1)</f>
        <v>0</v>
      </c>
      <c r="O1970" s="36">
        <f>RTD("ice.rtd",,$C1970 &amp; $D1970 &amp; ":" &amp; O$1)</f>
        <v>0</v>
      </c>
      <c r="P197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0" s="14" t="str">
        <f>IF(ICE[[#This Row],[LastType]] = "Scrn", ICE[[#This Row],[LstDate]], IF(ICE[[#This Row],[LastType]] = "Blk", ICE[[#This Row],[LstBlkTime]], ""))</f>
        <v/>
      </c>
      <c r="R1970" s="41" t="str">
        <f>IF(ICE[[#This Row],[LastType]] = "Scrn", ICE[[#This Row],[LstPrc]], IF(ICE[[#This Row],[LastType]] = "Blk", ICE[[#This Row],[LstBlkPrc]], ""))</f>
        <v/>
      </c>
      <c r="S1970" s="36">
        <f>ICE[[#This Row],[Vol]]+ICE[[#This Row],[BlkVol]]</f>
        <v>0</v>
      </c>
      <c r="T1970" s="36">
        <f>RTD("ice.rtd",,$C1970 &amp; $D1970 &amp; ":" &amp; T$1)</f>
        <v>0</v>
      </c>
      <c r="U1970" s="18">
        <f>RTD("ice.rtd",,$C1970 &amp; $D1970 &amp; ":" &amp; U$1)</f>
        <v>-5.5880000000000001</v>
      </c>
      <c r="V197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0" s="18" t="str">
        <f>IFERROR(IF(LEFT(ICE[[#This Row],[Tenor]], 1) = "B", RTD("esrtd",,$B1970 &amp; " " &amp; ICE[[#This Row],[Tenor]] &amp; "-IEU", W$1), RTD("esrtd",,$B1970 &amp; " " &amp; VLOOKUP(MONTH(ICE[[#This Row],[Strip]]), MthRef[], 2, 0) &amp; RIGHT(YEAR(ICE[[#This Row],[Strip]]), 2) &amp; "-IEU", W$1)), "")</f>
        <v/>
      </c>
      <c r="X1970" s="36"/>
    </row>
    <row r="1971" spans="1:24" x14ac:dyDescent="0.25">
      <c r="A1971" s="37" t="s">
        <v>930</v>
      </c>
      <c r="B1971" s="88" t="str">
        <f>RTD("ice.rtd",,$C1971 &amp; $D1971 &amp; ":" &amp; B$1)</f>
        <v>SPS</v>
      </c>
      <c r="C1971" s="3">
        <v>30813691</v>
      </c>
      <c r="D1971" t="s">
        <v>807</v>
      </c>
      <c r="E1971" s="3" t="str">
        <f>RTD("ice.rtd",,$C1971 &amp; $D1971 &amp; ":" &amp; E$1)</f>
        <v>Mar28</v>
      </c>
      <c r="F1971" s="3" t="str">
        <f>ICE[[#This Row],[Prod]]&amp;ICE[[#This Row],[Strip]]</f>
        <v>fo380brxMar28</v>
      </c>
      <c r="G1971" s="18" t="str">
        <f>RTD("ice.rtd",,$C1971 &amp; $D1971 &amp; ":" &amp; G$1)</f>
        <v/>
      </c>
      <c r="H1971" s="18" t="str">
        <f>RTD("ice.rtd",,$C1971 &amp; $D1971 &amp; ":" &amp; H$1)</f>
        <v/>
      </c>
      <c r="I1971" s="18" t="str">
        <f>RTD("ice.rtd",,$C1971 &amp; $D1971 &amp; ":" &amp; I$1)</f>
        <v/>
      </c>
      <c r="J1971" s="14" t="str">
        <f>IFERROR(MOD(RTD("ice.rtd",,$C1971 &amp; $D1971 &amp; ":" &amp; J$1), 1), "")</f>
        <v/>
      </c>
      <c r="K1971" s="18" t="str">
        <f>RTD("ice.rtd",,$C1971 &amp; $D1971 &amp; ":" &amp; K$1)</f>
        <v/>
      </c>
      <c r="L1971" s="36" t="str">
        <f>RTD("ice.rtd",,$C1971 &amp; $D1971 &amp; ":" &amp; L$1)</f>
        <v/>
      </c>
      <c r="M1971" s="14" t="str">
        <f>IFERROR(MOD(TIMEVALUE(RTD("ice.rtd",,$C1971 &amp; $D1971 &amp; ":" &amp; M$1)), 1), "")</f>
        <v/>
      </c>
      <c r="N1971" s="36">
        <f>RTD("ice.rtd",,$C1971 &amp; $D1971 &amp; ":" &amp; N$1)</f>
        <v>0</v>
      </c>
      <c r="O1971" s="36">
        <f>RTD("ice.rtd",,$C1971 &amp; $D1971 &amp; ":" &amp; O$1)</f>
        <v>0</v>
      </c>
      <c r="P197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1" s="14" t="str">
        <f>IF(ICE[[#This Row],[LastType]] = "Scrn", ICE[[#This Row],[LstDate]], IF(ICE[[#This Row],[LastType]] = "Blk", ICE[[#This Row],[LstBlkTime]], ""))</f>
        <v/>
      </c>
      <c r="R1971" s="41" t="str">
        <f>IF(ICE[[#This Row],[LastType]] = "Scrn", ICE[[#This Row],[LstPrc]], IF(ICE[[#This Row],[LastType]] = "Blk", ICE[[#This Row],[LstBlkPrc]], ""))</f>
        <v/>
      </c>
      <c r="S1971" s="36">
        <f>ICE[[#This Row],[Vol]]+ICE[[#This Row],[BlkVol]]</f>
        <v>0</v>
      </c>
      <c r="T1971" s="36">
        <f>RTD("ice.rtd",,$C1971 &amp; $D1971 &amp; ":" &amp; T$1)</f>
        <v>0</v>
      </c>
      <c r="U1971" s="18">
        <f>RTD("ice.rtd",,$C1971 &amp; $D1971 &amp; ":" &amp; U$1)</f>
        <v>-5.5262000000000002</v>
      </c>
      <c r="V197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1" s="18" t="str">
        <f>IFERROR(IF(LEFT(ICE[[#This Row],[Tenor]], 1) = "B", RTD("esrtd",,$B1971 &amp; " " &amp; ICE[[#This Row],[Tenor]] &amp; "-IEU", W$1), RTD("esrtd",,$B1971 &amp; " " &amp; VLOOKUP(MONTH(ICE[[#This Row],[Strip]]), MthRef[], 2, 0) &amp; RIGHT(YEAR(ICE[[#This Row],[Strip]]), 2) &amp; "-IEU", W$1)), "")</f>
        <v/>
      </c>
      <c r="X1971" s="36"/>
    </row>
    <row r="1972" spans="1:24" x14ac:dyDescent="0.25">
      <c r="A1972" s="37" t="s">
        <v>930</v>
      </c>
      <c r="B1972" s="88" t="str">
        <f>RTD("ice.rtd",,$C1972 &amp; $D1972 &amp; ":" &amp; B$1)</f>
        <v>SPS</v>
      </c>
      <c r="C1972" s="3">
        <v>30813691</v>
      </c>
      <c r="D1972" t="s">
        <v>808</v>
      </c>
      <c r="E1972" s="3" t="str">
        <f>RTD("ice.rtd",,$C1972 &amp; $D1972 &amp; ":" &amp; E$1)</f>
        <v>Apr28</v>
      </c>
      <c r="F1972" s="3" t="str">
        <f>ICE[[#This Row],[Prod]]&amp;ICE[[#This Row],[Strip]]</f>
        <v>fo380brxApr28</v>
      </c>
      <c r="G1972" s="18" t="str">
        <f>RTD("ice.rtd",,$C1972 &amp; $D1972 &amp; ":" &amp; G$1)</f>
        <v/>
      </c>
      <c r="H1972" s="18" t="str">
        <f>RTD("ice.rtd",,$C1972 &amp; $D1972 &amp; ":" &amp; H$1)</f>
        <v/>
      </c>
      <c r="I1972" s="18" t="str">
        <f>RTD("ice.rtd",,$C1972 &amp; $D1972 &amp; ":" &amp; I$1)</f>
        <v/>
      </c>
      <c r="J1972" s="14" t="str">
        <f>IFERROR(MOD(RTD("ice.rtd",,$C1972 &amp; $D1972 &amp; ":" &amp; J$1), 1), "")</f>
        <v/>
      </c>
      <c r="K1972" s="18" t="str">
        <f>RTD("ice.rtd",,$C1972 &amp; $D1972 &amp; ":" &amp; K$1)</f>
        <v/>
      </c>
      <c r="L1972" s="36" t="str">
        <f>RTD("ice.rtd",,$C1972 &amp; $D1972 &amp; ":" &amp; L$1)</f>
        <v/>
      </c>
      <c r="M1972" s="14" t="str">
        <f>IFERROR(MOD(TIMEVALUE(RTD("ice.rtd",,$C1972 &amp; $D1972 &amp; ":" &amp; M$1)), 1), "")</f>
        <v/>
      </c>
      <c r="N1972" s="36">
        <f>RTD("ice.rtd",,$C1972 &amp; $D1972 &amp; ":" &amp; N$1)</f>
        <v>0</v>
      </c>
      <c r="O1972" s="36">
        <f>RTD("ice.rtd",,$C1972 &amp; $D1972 &amp; ":" &amp; O$1)</f>
        <v>0</v>
      </c>
      <c r="P197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2" s="14" t="str">
        <f>IF(ICE[[#This Row],[LastType]] = "Scrn", ICE[[#This Row],[LstDate]], IF(ICE[[#This Row],[LastType]] = "Blk", ICE[[#This Row],[LstBlkTime]], ""))</f>
        <v/>
      </c>
      <c r="R1972" s="41" t="str">
        <f>IF(ICE[[#This Row],[LastType]] = "Scrn", ICE[[#This Row],[LstPrc]], IF(ICE[[#This Row],[LastType]] = "Blk", ICE[[#This Row],[LstBlkPrc]], ""))</f>
        <v/>
      </c>
      <c r="S1972" s="36">
        <f>ICE[[#This Row],[Vol]]+ICE[[#This Row],[BlkVol]]</f>
        <v>0</v>
      </c>
      <c r="T1972" s="36">
        <f>RTD("ice.rtd",,$C1972 &amp; $D1972 &amp; ":" &amp; T$1)</f>
        <v>0</v>
      </c>
      <c r="U1972" s="18">
        <f>RTD("ice.rtd",,$C1972 &amp; $D1972 &amp; ":" &amp; U$1)</f>
        <v>-5.4794</v>
      </c>
      <c r="V197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2" s="18" t="str">
        <f>IFERROR(IF(LEFT(ICE[[#This Row],[Tenor]], 1) = "B", RTD("esrtd",,$B1972 &amp; " " &amp; ICE[[#This Row],[Tenor]] &amp; "-IEU", W$1), RTD("esrtd",,$B1972 &amp; " " &amp; VLOOKUP(MONTH(ICE[[#This Row],[Strip]]), MthRef[], 2, 0) &amp; RIGHT(YEAR(ICE[[#This Row],[Strip]]), 2) &amp; "-IEU", W$1)), "")</f>
        <v/>
      </c>
      <c r="X1972" s="36"/>
    </row>
    <row r="1973" spans="1:24" x14ac:dyDescent="0.25">
      <c r="A1973" s="37" t="s">
        <v>930</v>
      </c>
      <c r="B1973" s="88" t="str">
        <f>RTD("ice.rtd",,$C1973 &amp; $D1973 &amp; ":" &amp; B$1)</f>
        <v>SPS</v>
      </c>
      <c r="C1973" s="3">
        <v>30813691</v>
      </c>
      <c r="D1973" t="s">
        <v>809</v>
      </c>
      <c r="E1973" s="3" t="str">
        <f>RTD("ice.rtd",,$C1973 &amp; $D1973 &amp; ":" &amp; E$1)</f>
        <v>May28</v>
      </c>
      <c r="F1973" s="3" t="str">
        <f>ICE[[#This Row],[Prod]]&amp;ICE[[#This Row],[Strip]]</f>
        <v>fo380brxMay28</v>
      </c>
      <c r="G1973" s="18" t="str">
        <f>RTD("ice.rtd",,$C1973 &amp; $D1973 &amp; ":" &amp; G$1)</f>
        <v/>
      </c>
      <c r="H1973" s="18" t="str">
        <f>RTD("ice.rtd",,$C1973 &amp; $D1973 &amp; ":" &amp; H$1)</f>
        <v/>
      </c>
      <c r="I1973" s="18" t="str">
        <f>RTD("ice.rtd",,$C1973 &amp; $D1973 &amp; ":" &amp; I$1)</f>
        <v/>
      </c>
      <c r="J1973" s="14" t="str">
        <f>IFERROR(MOD(RTD("ice.rtd",,$C1973 &amp; $D1973 &amp; ":" &amp; J$1), 1), "")</f>
        <v/>
      </c>
      <c r="K1973" s="18" t="str">
        <f>RTD("ice.rtd",,$C1973 &amp; $D1973 &amp; ":" &amp; K$1)</f>
        <v/>
      </c>
      <c r="L1973" s="36" t="str">
        <f>RTD("ice.rtd",,$C1973 &amp; $D1973 &amp; ":" &amp; L$1)</f>
        <v/>
      </c>
      <c r="M1973" s="14" t="str">
        <f>IFERROR(MOD(TIMEVALUE(RTD("ice.rtd",,$C1973 &amp; $D1973 &amp; ":" &amp; M$1)), 1), "")</f>
        <v/>
      </c>
      <c r="N1973" s="36">
        <f>RTD("ice.rtd",,$C1973 &amp; $D1973 &amp; ":" &amp; N$1)</f>
        <v>0</v>
      </c>
      <c r="O1973" s="36">
        <f>RTD("ice.rtd",,$C1973 &amp; $D1973 &amp; ":" &amp; O$1)</f>
        <v>0</v>
      </c>
      <c r="P197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3" s="14" t="str">
        <f>IF(ICE[[#This Row],[LastType]] = "Scrn", ICE[[#This Row],[LstDate]], IF(ICE[[#This Row],[LastType]] = "Blk", ICE[[#This Row],[LstBlkTime]], ""))</f>
        <v/>
      </c>
      <c r="R1973" s="41" t="str">
        <f>IF(ICE[[#This Row],[LastType]] = "Scrn", ICE[[#This Row],[LstPrc]], IF(ICE[[#This Row],[LastType]] = "Blk", ICE[[#This Row],[LstBlkPrc]], ""))</f>
        <v/>
      </c>
      <c r="S1973" s="36">
        <f>ICE[[#This Row],[Vol]]+ICE[[#This Row],[BlkVol]]</f>
        <v>0</v>
      </c>
      <c r="T1973" s="36">
        <f>RTD("ice.rtd",,$C1973 &amp; $D1973 &amp; ":" &amp; T$1)</f>
        <v>0</v>
      </c>
      <c r="U1973" s="18">
        <f>RTD("ice.rtd",,$C1973 &amp; $D1973 &amp; ":" &amp; U$1)</f>
        <v>-5.4790000000000001</v>
      </c>
      <c r="V197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3" s="18" t="str">
        <f>IFERROR(IF(LEFT(ICE[[#This Row],[Tenor]], 1) = "B", RTD("esrtd",,$B1973 &amp; " " &amp; ICE[[#This Row],[Tenor]] &amp; "-IEU", W$1), RTD("esrtd",,$B1973 &amp; " " &amp; VLOOKUP(MONTH(ICE[[#This Row],[Strip]]), MthRef[], 2, 0) &amp; RIGHT(YEAR(ICE[[#This Row],[Strip]]), 2) &amp; "-IEU", W$1)), "")</f>
        <v/>
      </c>
      <c r="X1973" s="36"/>
    </row>
    <row r="1974" spans="1:24" x14ac:dyDescent="0.25">
      <c r="A1974" s="37" t="s">
        <v>930</v>
      </c>
      <c r="B1974" s="88" t="str">
        <f>RTD("ice.rtd",,$C1974 &amp; $D1974 &amp; ":" &amp; B$1)</f>
        <v>SPS</v>
      </c>
      <c r="C1974" s="3">
        <v>30813691</v>
      </c>
      <c r="D1974" t="s">
        <v>810</v>
      </c>
      <c r="E1974" s="3" t="str">
        <f>RTD("ice.rtd",,$C1974 &amp; $D1974 &amp; ":" &amp; E$1)</f>
        <v>Jun28</v>
      </c>
      <c r="F1974" s="3" t="str">
        <f>ICE[[#This Row],[Prod]]&amp;ICE[[#This Row],[Strip]]</f>
        <v>fo380brxJun28</v>
      </c>
      <c r="G1974" s="18" t="str">
        <f>RTD("ice.rtd",,$C1974 &amp; $D1974 &amp; ":" &amp; G$1)</f>
        <v/>
      </c>
      <c r="H1974" s="18" t="str">
        <f>RTD("ice.rtd",,$C1974 &amp; $D1974 &amp; ":" &amp; H$1)</f>
        <v/>
      </c>
      <c r="I1974" s="18" t="str">
        <f>RTD("ice.rtd",,$C1974 &amp; $D1974 &amp; ":" &amp; I$1)</f>
        <v/>
      </c>
      <c r="J1974" s="14" t="str">
        <f>IFERROR(MOD(RTD("ice.rtd",,$C1974 &amp; $D1974 &amp; ":" &amp; J$1), 1), "")</f>
        <v/>
      </c>
      <c r="K1974" s="18" t="str">
        <f>RTD("ice.rtd",,$C1974 &amp; $D1974 &amp; ":" &amp; K$1)</f>
        <v/>
      </c>
      <c r="L1974" s="36" t="str">
        <f>RTD("ice.rtd",,$C1974 &amp; $D1974 &amp; ":" &amp; L$1)</f>
        <v/>
      </c>
      <c r="M1974" s="14" t="str">
        <f>IFERROR(MOD(TIMEVALUE(RTD("ice.rtd",,$C1974 &amp; $D1974 &amp; ":" &amp; M$1)), 1), "")</f>
        <v/>
      </c>
      <c r="N1974" s="36">
        <f>RTD("ice.rtd",,$C1974 &amp; $D1974 &amp; ":" &amp; N$1)</f>
        <v>0</v>
      </c>
      <c r="O1974" s="36">
        <f>RTD("ice.rtd",,$C1974 &amp; $D1974 &amp; ":" &amp; O$1)</f>
        <v>0</v>
      </c>
      <c r="P197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4" s="14" t="str">
        <f>IF(ICE[[#This Row],[LastType]] = "Scrn", ICE[[#This Row],[LstDate]], IF(ICE[[#This Row],[LastType]] = "Blk", ICE[[#This Row],[LstBlkTime]], ""))</f>
        <v/>
      </c>
      <c r="R1974" s="41" t="str">
        <f>IF(ICE[[#This Row],[LastType]] = "Scrn", ICE[[#This Row],[LstPrc]], IF(ICE[[#This Row],[LastType]] = "Blk", ICE[[#This Row],[LstBlkPrc]], ""))</f>
        <v/>
      </c>
      <c r="S1974" s="36">
        <f>ICE[[#This Row],[Vol]]+ICE[[#This Row],[BlkVol]]</f>
        <v>0</v>
      </c>
      <c r="T1974" s="36">
        <f>RTD("ice.rtd",,$C1974 &amp; $D1974 &amp; ":" &amp; T$1)</f>
        <v>0</v>
      </c>
      <c r="U1974" s="18">
        <f>RTD("ice.rtd",,$C1974 &amp; $D1974 &amp; ":" &amp; U$1)</f>
        <v>-5.4946000000000002</v>
      </c>
      <c r="V197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4" s="18" t="str">
        <f>IFERROR(IF(LEFT(ICE[[#This Row],[Tenor]], 1) = "B", RTD("esrtd",,$B1974 &amp; " " &amp; ICE[[#This Row],[Tenor]] &amp; "-IEU", W$1), RTD("esrtd",,$B1974 &amp; " " &amp; VLOOKUP(MONTH(ICE[[#This Row],[Strip]]), MthRef[], 2, 0) &amp; RIGHT(YEAR(ICE[[#This Row],[Strip]]), 2) &amp; "-IEU", W$1)), "")</f>
        <v/>
      </c>
      <c r="X1974" s="36"/>
    </row>
    <row r="1975" spans="1:24" x14ac:dyDescent="0.25">
      <c r="A1975" s="37" t="s">
        <v>930</v>
      </c>
      <c r="B1975" s="88" t="str">
        <f>RTD("ice.rtd",,$C1975 &amp; $D1975 &amp; ":" &amp; B$1)</f>
        <v>SPS</v>
      </c>
      <c r="C1975" s="3">
        <v>30813691</v>
      </c>
      <c r="D1975" t="s">
        <v>811</v>
      </c>
      <c r="E1975" s="3" t="str">
        <f>RTD("ice.rtd",,$C1975 &amp; $D1975 &amp; ":" &amp; E$1)</f>
        <v>Jul28</v>
      </c>
      <c r="F1975" s="3" t="str">
        <f>ICE[[#This Row],[Prod]]&amp;ICE[[#This Row],[Strip]]</f>
        <v>fo380brxJul28</v>
      </c>
      <c r="G1975" s="18" t="str">
        <f>RTD("ice.rtd",,$C1975 &amp; $D1975 &amp; ":" &amp; G$1)</f>
        <v/>
      </c>
      <c r="H1975" s="18" t="str">
        <f>RTD("ice.rtd",,$C1975 &amp; $D1975 &amp; ":" &amp; H$1)</f>
        <v/>
      </c>
      <c r="I1975" s="18" t="str">
        <f>RTD("ice.rtd",,$C1975 &amp; $D1975 &amp; ":" &amp; I$1)</f>
        <v/>
      </c>
      <c r="J1975" s="14" t="str">
        <f>IFERROR(MOD(RTD("ice.rtd",,$C1975 &amp; $D1975 &amp; ":" &amp; J$1), 1), "")</f>
        <v/>
      </c>
      <c r="K1975" s="18" t="str">
        <f>RTD("ice.rtd",,$C1975 &amp; $D1975 &amp; ":" &amp; K$1)</f>
        <v/>
      </c>
      <c r="L1975" s="36" t="str">
        <f>RTD("ice.rtd",,$C1975 &amp; $D1975 &amp; ":" &amp; L$1)</f>
        <v/>
      </c>
      <c r="M1975" s="14" t="str">
        <f>IFERROR(MOD(TIMEVALUE(RTD("ice.rtd",,$C1975 &amp; $D1975 &amp; ":" &amp; M$1)), 1), "")</f>
        <v/>
      </c>
      <c r="N1975" s="36">
        <f>RTD("ice.rtd",,$C1975 &amp; $D1975 &amp; ":" &amp; N$1)</f>
        <v>0</v>
      </c>
      <c r="O1975" s="36">
        <f>RTD("ice.rtd",,$C1975 &amp; $D1975 &amp; ":" &amp; O$1)</f>
        <v>0</v>
      </c>
      <c r="P197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5" s="14" t="str">
        <f>IF(ICE[[#This Row],[LastType]] = "Scrn", ICE[[#This Row],[LstDate]], IF(ICE[[#This Row],[LastType]] = "Blk", ICE[[#This Row],[LstBlkTime]], ""))</f>
        <v/>
      </c>
      <c r="R1975" s="41" t="str">
        <f>IF(ICE[[#This Row],[LastType]] = "Scrn", ICE[[#This Row],[LstPrc]], IF(ICE[[#This Row],[LastType]] = "Blk", ICE[[#This Row],[LstBlkPrc]], ""))</f>
        <v/>
      </c>
      <c r="S1975" s="36">
        <f>ICE[[#This Row],[Vol]]+ICE[[#This Row],[BlkVol]]</f>
        <v>0</v>
      </c>
      <c r="T1975" s="36">
        <f>RTD("ice.rtd",,$C1975 &amp; $D1975 &amp; ":" &amp; T$1)</f>
        <v>0</v>
      </c>
      <c r="U1975" s="18">
        <f>RTD("ice.rtd",,$C1975 &amp; $D1975 &amp; ":" &amp; U$1)</f>
        <v>-5.5202</v>
      </c>
      <c r="V197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5" s="18" t="str">
        <f>IFERROR(IF(LEFT(ICE[[#This Row],[Tenor]], 1) = "B", RTD("esrtd",,$B1975 &amp; " " &amp; ICE[[#This Row],[Tenor]] &amp; "-IEU", W$1), RTD("esrtd",,$B1975 &amp; " " &amp; VLOOKUP(MONTH(ICE[[#This Row],[Strip]]), MthRef[], 2, 0) &amp; RIGHT(YEAR(ICE[[#This Row],[Strip]]), 2) &amp; "-IEU", W$1)), "")</f>
        <v/>
      </c>
      <c r="X1975" s="36"/>
    </row>
    <row r="1976" spans="1:24" x14ac:dyDescent="0.25">
      <c r="A1976" s="37" t="s">
        <v>930</v>
      </c>
      <c r="B1976" s="88" t="str">
        <f>RTD("ice.rtd",,$C1976 &amp; $D1976 &amp; ":" &amp; B$1)</f>
        <v>SPS</v>
      </c>
      <c r="C1976" s="3">
        <v>30813691</v>
      </c>
      <c r="D1976" t="s">
        <v>812</v>
      </c>
      <c r="E1976" s="3" t="str">
        <f>RTD("ice.rtd",,$C1976 &amp; $D1976 &amp; ":" &amp; E$1)</f>
        <v>Aug28</v>
      </c>
      <c r="F1976" s="3" t="str">
        <f>ICE[[#This Row],[Prod]]&amp;ICE[[#This Row],[Strip]]</f>
        <v>fo380brxAug28</v>
      </c>
      <c r="G1976" s="18" t="str">
        <f>RTD("ice.rtd",,$C1976 &amp; $D1976 &amp; ":" &amp; G$1)</f>
        <v/>
      </c>
      <c r="H1976" s="18" t="str">
        <f>RTD("ice.rtd",,$C1976 &amp; $D1976 &amp; ":" &amp; H$1)</f>
        <v/>
      </c>
      <c r="I1976" s="18" t="str">
        <f>RTD("ice.rtd",,$C1976 &amp; $D1976 &amp; ":" &amp; I$1)</f>
        <v/>
      </c>
      <c r="J1976" s="14" t="str">
        <f>IFERROR(MOD(RTD("ice.rtd",,$C1976 &amp; $D1976 &amp; ":" &amp; J$1), 1), "")</f>
        <v/>
      </c>
      <c r="K1976" s="18" t="str">
        <f>RTD("ice.rtd",,$C1976 &amp; $D1976 &amp; ":" &amp; K$1)</f>
        <v/>
      </c>
      <c r="L1976" s="36" t="str">
        <f>RTD("ice.rtd",,$C1976 &amp; $D1976 &amp; ":" &amp; L$1)</f>
        <v/>
      </c>
      <c r="M1976" s="14" t="str">
        <f>IFERROR(MOD(TIMEVALUE(RTD("ice.rtd",,$C1976 &amp; $D1976 &amp; ":" &amp; M$1)), 1), "")</f>
        <v/>
      </c>
      <c r="N1976" s="36">
        <f>RTD("ice.rtd",,$C1976 &amp; $D1976 &amp; ":" &amp; N$1)</f>
        <v>0</v>
      </c>
      <c r="O1976" s="36">
        <f>RTD("ice.rtd",,$C1976 &amp; $D1976 &amp; ":" &amp; O$1)</f>
        <v>0</v>
      </c>
      <c r="P197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6" s="14" t="str">
        <f>IF(ICE[[#This Row],[LastType]] = "Scrn", ICE[[#This Row],[LstDate]], IF(ICE[[#This Row],[LastType]] = "Blk", ICE[[#This Row],[LstBlkTime]], ""))</f>
        <v/>
      </c>
      <c r="R1976" s="41" t="str">
        <f>IF(ICE[[#This Row],[LastType]] = "Scrn", ICE[[#This Row],[LstPrc]], IF(ICE[[#This Row],[LastType]] = "Blk", ICE[[#This Row],[LstBlkPrc]], ""))</f>
        <v/>
      </c>
      <c r="S1976" s="36">
        <f>ICE[[#This Row],[Vol]]+ICE[[#This Row],[BlkVol]]</f>
        <v>0</v>
      </c>
      <c r="T1976" s="36">
        <f>RTD("ice.rtd",,$C1976 &amp; $D1976 &amp; ":" &amp; T$1)</f>
        <v>0</v>
      </c>
      <c r="U1976" s="18">
        <f>RTD("ice.rtd",,$C1976 &amp; $D1976 &amp; ":" &amp; U$1)</f>
        <v>-5.5960999999999999</v>
      </c>
      <c r="V197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6" s="18" t="str">
        <f>IFERROR(IF(LEFT(ICE[[#This Row],[Tenor]], 1) = "B", RTD("esrtd",,$B1976 &amp; " " &amp; ICE[[#This Row],[Tenor]] &amp; "-IEU", W$1), RTD("esrtd",,$B1976 &amp; " " &amp; VLOOKUP(MONTH(ICE[[#This Row],[Strip]]), MthRef[], 2, 0) &amp; RIGHT(YEAR(ICE[[#This Row],[Strip]]), 2) &amp; "-IEU", W$1)), "")</f>
        <v/>
      </c>
      <c r="X1976" s="36"/>
    </row>
    <row r="1977" spans="1:24" x14ac:dyDescent="0.25">
      <c r="A1977" s="37" t="s">
        <v>930</v>
      </c>
      <c r="B1977" s="88" t="str">
        <f>RTD("ice.rtd",,$C1977 &amp; $D1977 &amp; ":" &amp; B$1)</f>
        <v>SPS</v>
      </c>
      <c r="C1977" s="3">
        <v>30813691</v>
      </c>
      <c r="D1977" t="s">
        <v>813</v>
      </c>
      <c r="E1977" s="3" t="str">
        <f>RTD("ice.rtd",,$C1977 &amp; $D1977 &amp; ":" &amp; E$1)</f>
        <v>Sep28</v>
      </c>
      <c r="F1977" s="3" t="str">
        <f>ICE[[#This Row],[Prod]]&amp;ICE[[#This Row],[Strip]]</f>
        <v>fo380brxSep28</v>
      </c>
      <c r="G1977" s="18" t="str">
        <f>RTD("ice.rtd",,$C1977 &amp; $D1977 &amp; ":" &amp; G$1)</f>
        <v/>
      </c>
      <c r="H1977" s="18" t="str">
        <f>RTD("ice.rtd",,$C1977 &amp; $D1977 &amp; ":" &amp; H$1)</f>
        <v/>
      </c>
      <c r="I1977" s="18" t="str">
        <f>RTD("ice.rtd",,$C1977 &amp; $D1977 &amp; ":" &amp; I$1)</f>
        <v/>
      </c>
      <c r="J1977" s="14" t="str">
        <f>IFERROR(MOD(RTD("ice.rtd",,$C1977 &amp; $D1977 &amp; ":" &amp; J$1), 1), "")</f>
        <v/>
      </c>
      <c r="K1977" s="18" t="str">
        <f>RTD("ice.rtd",,$C1977 &amp; $D1977 &amp; ":" &amp; K$1)</f>
        <v/>
      </c>
      <c r="L1977" s="36" t="str">
        <f>RTD("ice.rtd",,$C1977 &amp; $D1977 &amp; ":" &amp; L$1)</f>
        <v/>
      </c>
      <c r="M1977" s="14" t="str">
        <f>IFERROR(MOD(TIMEVALUE(RTD("ice.rtd",,$C1977 &amp; $D1977 &amp; ":" &amp; M$1)), 1), "")</f>
        <v/>
      </c>
      <c r="N1977" s="36">
        <f>RTD("ice.rtd",,$C1977 &amp; $D1977 &amp; ":" &amp; N$1)</f>
        <v>0</v>
      </c>
      <c r="O1977" s="36">
        <f>RTD("ice.rtd",,$C1977 &amp; $D1977 &amp; ":" &amp; O$1)</f>
        <v>0</v>
      </c>
      <c r="P197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7" s="14" t="str">
        <f>IF(ICE[[#This Row],[LastType]] = "Scrn", ICE[[#This Row],[LstDate]], IF(ICE[[#This Row],[LastType]] = "Blk", ICE[[#This Row],[LstBlkTime]], ""))</f>
        <v/>
      </c>
      <c r="R1977" s="41" t="str">
        <f>IF(ICE[[#This Row],[LastType]] = "Scrn", ICE[[#This Row],[LstPrc]], IF(ICE[[#This Row],[LastType]] = "Blk", ICE[[#This Row],[LstBlkPrc]], ""))</f>
        <v/>
      </c>
      <c r="S1977" s="36">
        <f>ICE[[#This Row],[Vol]]+ICE[[#This Row],[BlkVol]]</f>
        <v>0</v>
      </c>
      <c r="T1977" s="36">
        <f>RTD("ice.rtd",,$C1977 &amp; $D1977 &amp; ":" &amp; T$1)</f>
        <v>0</v>
      </c>
      <c r="U1977" s="18">
        <f>RTD("ice.rtd",,$C1977 &amp; $D1977 &amp; ":" &amp; U$1)</f>
        <v>-5.6307</v>
      </c>
      <c r="V197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7" s="18" t="str">
        <f>IFERROR(IF(LEFT(ICE[[#This Row],[Tenor]], 1) = "B", RTD("esrtd",,$B1977 &amp; " " &amp; ICE[[#This Row],[Tenor]] &amp; "-IEU", W$1), RTD("esrtd",,$B1977 &amp; " " &amp; VLOOKUP(MONTH(ICE[[#This Row],[Strip]]), MthRef[], 2, 0) &amp; RIGHT(YEAR(ICE[[#This Row],[Strip]]), 2) &amp; "-IEU", W$1)), "")</f>
        <v/>
      </c>
      <c r="X1977" s="36"/>
    </row>
    <row r="1978" spans="1:24" x14ac:dyDescent="0.25">
      <c r="A1978" s="37" t="s">
        <v>930</v>
      </c>
      <c r="B1978" s="88" t="str">
        <f>RTD("ice.rtd",,$C1978 &amp; $D1978 &amp; ":" &amp; B$1)</f>
        <v>SPS</v>
      </c>
      <c r="C1978" s="3">
        <v>30813691</v>
      </c>
      <c r="D1978" t="s">
        <v>814</v>
      </c>
      <c r="E1978" s="3" t="str">
        <f>RTD("ice.rtd",,$C1978 &amp; $D1978 &amp; ":" &amp; E$1)</f>
        <v>Q4 26</v>
      </c>
      <c r="F1978" s="3" t="str">
        <f>ICE[[#This Row],[Prod]]&amp;ICE[[#This Row],[Strip]]</f>
        <v>fo380brxQ4 26</v>
      </c>
      <c r="G1978" s="18" t="str">
        <f>RTD("ice.rtd",,$C1978 &amp; $D1978 &amp; ":" &amp; G$1)</f>
        <v/>
      </c>
      <c r="H1978" s="18">
        <f>RTD("ice.rtd",,$C1978 &amp; $D1978 &amp; ":" &amp; H$1)</f>
        <v>-3.88</v>
      </c>
      <c r="I1978" s="18" t="str">
        <f>RTD("ice.rtd",,$C1978 &amp; $D1978 &amp; ":" &amp; I$1)</f>
        <v/>
      </c>
      <c r="J1978" s="14" t="str">
        <f>IFERROR(MOD(RTD("ice.rtd",,$C1978 &amp; $D1978 &amp; ":" &amp; J$1), 1), "")</f>
        <v/>
      </c>
      <c r="K1978" s="18">
        <f>RTD("ice.rtd",,$C1978 &amp; $D1978 &amp; ":" &amp; K$1)</f>
        <v>-5</v>
      </c>
      <c r="L1978" s="36">
        <f>RTD("ice.rtd",,$C1978 &amp; $D1978 &amp; ":" &amp; L$1)</f>
        <v>2</v>
      </c>
      <c r="M1978" s="14">
        <f>IFERROR(MOD(TIMEVALUE(RTD("ice.rtd",,$C1978 &amp; $D1978 &amp; ":" &amp; M$1)), 1), "")</f>
        <v>0.36496527777777776</v>
      </c>
      <c r="N1978" s="36">
        <f>RTD("ice.rtd",,$C1978 &amp; $D1978 &amp; ":" &amp; N$1)</f>
        <v>0</v>
      </c>
      <c r="O1978" s="36">
        <f>RTD("ice.rtd",,$C1978 &amp; $D1978 &amp; ":" &amp; O$1)</f>
        <v>2</v>
      </c>
      <c r="P197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978" s="14">
        <f>IF(ICE[[#This Row],[LastType]] = "Scrn", ICE[[#This Row],[LstDate]], IF(ICE[[#This Row],[LastType]] = "Blk", ICE[[#This Row],[LstBlkTime]], ""))</f>
        <v>0.36496527777777776</v>
      </c>
      <c r="R1978" s="41">
        <f>IF(ICE[[#This Row],[LastType]] = "Scrn", ICE[[#This Row],[LstPrc]], IF(ICE[[#This Row],[LastType]] = "Blk", ICE[[#This Row],[LstBlkPrc]], ""))</f>
        <v>-5</v>
      </c>
      <c r="S1978" s="36">
        <f>ICE[[#This Row],[Vol]]+ICE[[#This Row],[BlkVol]]</f>
        <v>2</v>
      </c>
      <c r="T1978" s="36">
        <f>RTD("ice.rtd",,$C1978 &amp; $D1978 &amp; ":" &amp; T$1)</f>
        <v>0</v>
      </c>
      <c r="U1978" s="18">
        <f>RTD("ice.rtd",,$C1978 &amp; $D1978 &amp; ":" &amp; U$1)</f>
        <v>-5.0150000000000006</v>
      </c>
      <c r="V197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-3.88 {-5.00} |2x</v>
      </c>
      <c r="W1978" s="18" t="str">
        <f>IFERROR(IF(LEFT(ICE[[#This Row],[Tenor]], 1) = "B", RTD("esrtd",,$B1978 &amp; " " &amp; ICE[[#This Row],[Tenor]] &amp; "-IEU", W$1), RTD("esrtd",,$B1978 &amp; " " &amp; VLOOKUP(MONTH(ICE[[#This Row],[Strip]]), MthRef[], 2, 0) &amp; RIGHT(YEAR(ICE[[#This Row],[Strip]]), 2) &amp; "-IEU", W$1)), "")</f>
        <v/>
      </c>
      <c r="X1978" s="36"/>
    </row>
    <row r="1979" spans="1:24" x14ac:dyDescent="0.25">
      <c r="A1979" s="37" t="s">
        <v>930</v>
      </c>
      <c r="B1979" s="88" t="str">
        <f>RTD("ice.rtd",,$C1979 &amp; $D1979 &amp; ":" &amp; B$1)</f>
        <v>SPS</v>
      </c>
      <c r="C1979" s="3">
        <v>30813691</v>
      </c>
      <c r="D1979" t="s">
        <v>815</v>
      </c>
      <c r="E1979" s="3" t="str">
        <f>RTD("ice.rtd",,$C1979 &amp; $D1979 &amp; ":" &amp; E$1)</f>
        <v>Q1 27</v>
      </c>
      <c r="F1979" s="3" t="str">
        <f>ICE[[#This Row],[Prod]]&amp;ICE[[#This Row],[Strip]]</f>
        <v>fo380brxQ1 27</v>
      </c>
      <c r="G1979" s="18" t="str">
        <f>RTD("ice.rtd",,$C1979 &amp; $D1979 &amp; ":" &amp; G$1)</f>
        <v/>
      </c>
      <c r="H1979" s="18" t="str">
        <f>RTD("ice.rtd",,$C1979 &amp; $D1979 &amp; ":" &amp; H$1)</f>
        <v/>
      </c>
      <c r="I1979" s="18" t="str">
        <f>RTD("ice.rtd",,$C1979 &amp; $D1979 &amp; ":" &amp; I$1)</f>
        <v/>
      </c>
      <c r="J1979" s="14" t="str">
        <f>IFERROR(MOD(RTD("ice.rtd",,$C1979 &amp; $D1979 &amp; ":" &amp; J$1), 1), "")</f>
        <v/>
      </c>
      <c r="K1979" s="18" t="str">
        <f>RTD("ice.rtd",,$C1979 &amp; $D1979 &amp; ":" &amp; K$1)</f>
        <v/>
      </c>
      <c r="L1979" s="36" t="str">
        <f>RTD("ice.rtd",,$C1979 &amp; $D1979 &amp; ":" &amp; L$1)</f>
        <v/>
      </c>
      <c r="M1979" s="14" t="str">
        <f>IFERROR(MOD(TIMEVALUE(RTD("ice.rtd",,$C1979 &amp; $D1979 &amp; ":" &amp; M$1)), 1), "")</f>
        <v/>
      </c>
      <c r="N1979" s="36">
        <f>RTD("ice.rtd",,$C1979 &amp; $D1979 &amp; ":" &amp; N$1)</f>
        <v>0</v>
      </c>
      <c r="O1979" s="36">
        <f>RTD("ice.rtd",,$C1979 &amp; $D1979 &amp; ":" &amp; O$1)</f>
        <v>0</v>
      </c>
      <c r="P197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79" s="14" t="str">
        <f>IF(ICE[[#This Row],[LastType]] = "Scrn", ICE[[#This Row],[LstDate]], IF(ICE[[#This Row],[LastType]] = "Blk", ICE[[#This Row],[LstBlkTime]], ""))</f>
        <v/>
      </c>
      <c r="R1979" s="41" t="str">
        <f>IF(ICE[[#This Row],[LastType]] = "Scrn", ICE[[#This Row],[LstPrc]], IF(ICE[[#This Row],[LastType]] = "Blk", ICE[[#This Row],[LstBlkPrc]], ""))</f>
        <v/>
      </c>
      <c r="S1979" s="36">
        <f>ICE[[#This Row],[Vol]]+ICE[[#This Row],[BlkVol]]</f>
        <v>0</v>
      </c>
      <c r="T1979" s="36">
        <f>RTD("ice.rtd",,$C1979 &amp; $D1979 &amp; ":" &amp; T$1)</f>
        <v>0</v>
      </c>
      <c r="U1979" s="18">
        <f>RTD("ice.rtd",,$C1979 &amp; $D1979 &amp; ":" &amp; U$1)</f>
        <v>-4.3228</v>
      </c>
      <c r="V197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79" s="18" t="str">
        <f>IFERROR(IF(LEFT(ICE[[#This Row],[Tenor]], 1) = "B", RTD("esrtd",,$B1979 &amp; " " &amp; ICE[[#This Row],[Tenor]] &amp; "-IEU", W$1), RTD("esrtd",,$B1979 &amp; " " &amp; VLOOKUP(MONTH(ICE[[#This Row],[Strip]]), MthRef[], 2, 0) &amp; RIGHT(YEAR(ICE[[#This Row],[Strip]]), 2) &amp; "-IEU", W$1)), "")</f>
        <v/>
      </c>
      <c r="X1979" s="36"/>
    </row>
    <row r="1980" spans="1:24" x14ac:dyDescent="0.25">
      <c r="A1980" s="37" t="s">
        <v>930</v>
      </c>
      <c r="B1980" s="88" t="str">
        <f>RTD("ice.rtd",,$C1980 &amp; $D1980 &amp; ":" &amp; B$1)</f>
        <v>SPS</v>
      </c>
      <c r="C1980" s="3">
        <v>30813691</v>
      </c>
      <c r="D1980" t="s">
        <v>816</v>
      </c>
      <c r="E1980" s="3" t="str">
        <f>RTD("ice.rtd",,$C1980 &amp; $D1980 &amp; ":" &amp; E$1)</f>
        <v>Q2 27</v>
      </c>
      <c r="F1980" s="3" t="str">
        <f>ICE[[#This Row],[Prod]]&amp;ICE[[#This Row],[Strip]]</f>
        <v>fo380brxQ2 27</v>
      </c>
      <c r="G1980" s="18" t="str">
        <f>RTD("ice.rtd",,$C1980 &amp; $D1980 &amp; ":" &amp; G$1)</f>
        <v/>
      </c>
      <c r="H1980" s="18">
        <f>RTD("ice.rtd",,$C1980 &amp; $D1980 &amp; ":" &amp; H$1)</f>
        <v>-3.5</v>
      </c>
      <c r="I1980" s="18">
        <f>RTD("ice.rtd",,$C1980 &amp; $D1980 &amp; ":" &amp; I$1)</f>
        <v>-4.3</v>
      </c>
      <c r="J1980" s="14">
        <f>IFERROR(MOD(RTD("ice.rtd",,$C1980 &amp; $D1980 &amp; ":" &amp; J$1), 1), "")</f>
        <v>0.44678414351801621</v>
      </c>
      <c r="K1980" s="18" t="str">
        <f>RTD("ice.rtd",,$C1980 &amp; $D1980 &amp; ":" &amp; K$1)</f>
        <v/>
      </c>
      <c r="L1980" s="36" t="str">
        <f>RTD("ice.rtd",,$C1980 &amp; $D1980 &amp; ":" &amp; L$1)</f>
        <v/>
      </c>
      <c r="M1980" s="14" t="str">
        <f>IFERROR(MOD(TIMEVALUE(RTD("ice.rtd",,$C1980 &amp; $D1980 &amp; ":" &amp; M$1)), 1), "")</f>
        <v/>
      </c>
      <c r="N1980" s="36">
        <f>RTD("ice.rtd",,$C1980 &amp; $D1980 &amp; ":" &amp; N$1)</f>
        <v>1</v>
      </c>
      <c r="O1980" s="36">
        <f>RTD("ice.rtd",,$C1980 &amp; $D1980 &amp; ":" &amp; O$1)</f>
        <v>0</v>
      </c>
      <c r="P198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Scrn</v>
      </c>
      <c r="Q1980" s="14">
        <f>IF(ICE[[#This Row],[LastType]] = "Scrn", ICE[[#This Row],[LstDate]], IF(ICE[[#This Row],[LastType]] = "Blk", ICE[[#This Row],[LstBlkTime]], ""))</f>
        <v>0.44678414351801621</v>
      </c>
      <c r="R1980" s="41">
        <f>IF(ICE[[#This Row],[LastType]] = "Scrn", ICE[[#This Row],[LstPrc]], IF(ICE[[#This Row],[LastType]] = "Blk", ICE[[#This Row],[LstBlkPrc]], ""))</f>
        <v>-4.3</v>
      </c>
      <c r="S1980" s="36">
        <f>ICE[[#This Row],[Vol]]+ICE[[#This Row],[BlkVol]]</f>
        <v>1</v>
      </c>
      <c r="T1980" s="36">
        <f>RTD("ice.rtd",,$C1980 &amp; $D1980 &amp; ":" &amp; T$1)</f>
        <v>0</v>
      </c>
      <c r="U1980" s="18">
        <f>RTD("ice.rtd",,$C1980 &amp; $D1980 &amp; ":" &amp; U$1)</f>
        <v>-4.1124000000000001</v>
      </c>
      <c r="V198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-3.50 {-4.30} |1x</v>
      </c>
      <c r="W1980" s="18" t="str">
        <f>IFERROR(IF(LEFT(ICE[[#This Row],[Tenor]], 1) = "B", RTD("esrtd",,$B1980 &amp; " " &amp; ICE[[#This Row],[Tenor]] &amp; "-IEU", W$1), RTD("esrtd",,$B1980 &amp; " " &amp; VLOOKUP(MONTH(ICE[[#This Row],[Strip]]), MthRef[], 2, 0) &amp; RIGHT(YEAR(ICE[[#This Row],[Strip]]), 2) &amp; "-IEU", W$1)), "")</f>
        <v/>
      </c>
      <c r="X1980" s="36"/>
    </row>
    <row r="1981" spans="1:24" x14ac:dyDescent="0.25">
      <c r="A1981" s="37" t="s">
        <v>930</v>
      </c>
      <c r="B1981" s="88" t="str">
        <f>RTD("ice.rtd",,$C1981 &amp; $D1981 &amp; ":" &amp; B$1)</f>
        <v>SPS</v>
      </c>
      <c r="C1981" s="3">
        <v>30813691</v>
      </c>
      <c r="D1981" t="s">
        <v>817</v>
      </c>
      <c r="E1981" s="3" t="str">
        <f>RTD("ice.rtd",,$C1981 &amp; $D1981 &amp; ":" &amp; E$1)</f>
        <v>Q3 27</v>
      </c>
      <c r="F1981" s="3" t="str">
        <f>ICE[[#This Row],[Prod]]&amp;ICE[[#This Row],[Strip]]</f>
        <v>fo380brxQ3 27</v>
      </c>
      <c r="G1981" s="18" t="str">
        <f>RTD("ice.rtd",,$C1981 &amp; $D1981 &amp; ":" &amp; G$1)</f>
        <v/>
      </c>
      <c r="H1981" s="18" t="str">
        <f>RTD("ice.rtd",,$C1981 &amp; $D1981 &amp; ":" &amp; H$1)</f>
        <v/>
      </c>
      <c r="I1981" s="18" t="str">
        <f>RTD("ice.rtd",,$C1981 &amp; $D1981 &amp; ":" &amp; I$1)</f>
        <v/>
      </c>
      <c r="J1981" s="14" t="str">
        <f>IFERROR(MOD(RTD("ice.rtd",,$C1981 &amp; $D1981 &amp; ":" &amp; J$1), 1), "")</f>
        <v/>
      </c>
      <c r="K1981" s="18" t="str">
        <f>RTD("ice.rtd",,$C1981 &amp; $D1981 &amp; ":" &amp; K$1)</f>
        <v/>
      </c>
      <c r="L1981" s="36" t="str">
        <f>RTD("ice.rtd",,$C1981 &amp; $D1981 &amp; ":" &amp; L$1)</f>
        <v/>
      </c>
      <c r="M1981" s="14" t="str">
        <f>IFERROR(MOD(TIMEVALUE(RTD("ice.rtd",,$C1981 &amp; $D1981 &amp; ":" &amp; M$1)), 1), "")</f>
        <v/>
      </c>
      <c r="N1981" s="36">
        <f>RTD("ice.rtd",,$C1981 &amp; $D1981 &amp; ":" &amp; N$1)</f>
        <v>0</v>
      </c>
      <c r="O1981" s="36">
        <f>RTD("ice.rtd",,$C1981 &amp; $D1981 &amp; ":" &amp; O$1)</f>
        <v>0</v>
      </c>
      <c r="P198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1" s="14" t="str">
        <f>IF(ICE[[#This Row],[LastType]] = "Scrn", ICE[[#This Row],[LstDate]], IF(ICE[[#This Row],[LastType]] = "Blk", ICE[[#This Row],[LstBlkTime]], ""))</f>
        <v/>
      </c>
      <c r="R1981" s="41" t="str">
        <f>IF(ICE[[#This Row],[LastType]] = "Scrn", ICE[[#This Row],[LstPrc]], IF(ICE[[#This Row],[LastType]] = "Blk", ICE[[#This Row],[LstBlkPrc]], ""))</f>
        <v/>
      </c>
      <c r="S1981" s="36">
        <f>ICE[[#This Row],[Vol]]+ICE[[#This Row],[BlkVol]]</f>
        <v>0</v>
      </c>
      <c r="T1981" s="36">
        <f>RTD("ice.rtd",,$C1981 &amp; $D1981 &amp; ":" &amp; T$1)</f>
        <v>0</v>
      </c>
      <c r="U1981" s="18">
        <f>RTD("ice.rtd",,$C1981 &amp; $D1981 &amp; ":" &amp; U$1)</f>
        <v>-4.7644000000000002</v>
      </c>
      <c r="V198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1" s="18" t="str">
        <f>IFERROR(IF(LEFT(ICE[[#This Row],[Tenor]], 1) = "B", RTD("esrtd",,$B1981 &amp; " " &amp; ICE[[#This Row],[Tenor]] &amp; "-IEU", W$1), RTD("esrtd",,$B1981 &amp; " " &amp; VLOOKUP(MONTH(ICE[[#This Row],[Strip]]), MthRef[], 2, 0) &amp; RIGHT(YEAR(ICE[[#This Row],[Strip]]), 2) &amp; "-IEU", W$1)), "")</f>
        <v/>
      </c>
      <c r="X1981" s="36"/>
    </row>
    <row r="1982" spans="1:24" x14ac:dyDescent="0.25">
      <c r="A1982" s="37" t="s">
        <v>930</v>
      </c>
      <c r="B1982" s="88" t="str">
        <f>RTD("ice.rtd",,$C1982 &amp; $D1982 &amp; ":" &amp; B$1)</f>
        <v>SPS</v>
      </c>
      <c r="C1982" s="3">
        <v>30813691</v>
      </c>
      <c r="D1982" t="s">
        <v>818</v>
      </c>
      <c r="E1982" s="3" t="str">
        <f>RTD("ice.rtd",,$C1982 &amp; $D1982 &amp; ":" &amp; E$1)</f>
        <v>Q4 27</v>
      </c>
      <c r="F1982" s="3" t="str">
        <f>ICE[[#This Row],[Prod]]&amp;ICE[[#This Row],[Strip]]</f>
        <v>fo380brxQ4 27</v>
      </c>
      <c r="G1982" s="18" t="str">
        <f>RTD("ice.rtd",,$C1982 &amp; $D1982 &amp; ":" &amp; G$1)</f>
        <v/>
      </c>
      <c r="H1982" s="18" t="str">
        <f>RTD("ice.rtd",,$C1982 &amp; $D1982 &amp; ":" &amp; H$1)</f>
        <v/>
      </c>
      <c r="I1982" s="18" t="str">
        <f>RTD("ice.rtd",,$C1982 &amp; $D1982 &amp; ":" &amp; I$1)</f>
        <v/>
      </c>
      <c r="J1982" s="14" t="str">
        <f>IFERROR(MOD(RTD("ice.rtd",,$C1982 &amp; $D1982 &amp; ":" &amp; J$1), 1), "")</f>
        <v/>
      </c>
      <c r="K1982" s="18" t="str">
        <f>RTD("ice.rtd",,$C1982 &amp; $D1982 &amp; ":" &amp; K$1)</f>
        <v/>
      </c>
      <c r="L1982" s="36" t="str">
        <f>RTD("ice.rtd",,$C1982 &amp; $D1982 &amp; ":" &amp; L$1)</f>
        <v/>
      </c>
      <c r="M1982" s="14" t="str">
        <f>IFERROR(MOD(TIMEVALUE(RTD("ice.rtd",,$C1982 &amp; $D1982 &amp; ":" &amp; M$1)), 1), "")</f>
        <v/>
      </c>
      <c r="N1982" s="36">
        <f>RTD("ice.rtd",,$C1982 &amp; $D1982 &amp; ":" &amp; N$1)</f>
        <v>0</v>
      </c>
      <c r="O1982" s="36">
        <f>RTD("ice.rtd",,$C1982 &amp; $D1982 &amp; ":" &amp; O$1)</f>
        <v>0</v>
      </c>
      <c r="P198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2" s="14" t="str">
        <f>IF(ICE[[#This Row],[LastType]] = "Scrn", ICE[[#This Row],[LstDate]], IF(ICE[[#This Row],[LastType]] = "Blk", ICE[[#This Row],[LstBlkTime]], ""))</f>
        <v/>
      </c>
      <c r="R1982" s="41" t="str">
        <f>IF(ICE[[#This Row],[LastType]] = "Scrn", ICE[[#This Row],[LstPrc]], IF(ICE[[#This Row],[LastType]] = "Blk", ICE[[#This Row],[LstBlkPrc]], ""))</f>
        <v/>
      </c>
      <c r="S1982" s="36">
        <f>ICE[[#This Row],[Vol]]+ICE[[#This Row],[BlkVol]]</f>
        <v>0</v>
      </c>
      <c r="T1982" s="36">
        <f>RTD("ice.rtd",,$C1982 &amp; $D1982 &amp; ":" &amp; T$1)</f>
        <v>0</v>
      </c>
      <c r="U1982" s="18">
        <f>RTD("ice.rtd",,$C1982 &amp; $D1982 &amp; ":" &amp; U$1)</f>
        <v>-5.7369000000000003</v>
      </c>
      <c r="V198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2" s="18" t="str">
        <f>IFERROR(IF(LEFT(ICE[[#This Row],[Tenor]], 1) = "B", RTD("esrtd",,$B1982 &amp; " " &amp; ICE[[#This Row],[Tenor]] &amp; "-IEU", W$1), RTD("esrtd",,$B1982 &amp; " " &amp; VLOOKUP(MONTH(ICE[[#This Row],[Strip]]), MthRef[], 2, 0) &amp; RIGHT(YEAR(ICE[[#This Row],[Strip]]), 2) &amp; "-IEU", W$1)), "")</f>
        <v/>
      </c>
      <c r="X1982" s="36"/>
    </row>
    <row r="1983" spans="1:24" x14ac:dyDescent="0.25">
      <c r="A1983" s="37" t="s">
        <v>930</v>
      </c>
      <c r="B1983" s="88" t="str">
        <f>RTD("ice.rtd",,$C1983 &amp; $D1983 &amp; ":" &amp; B$1)</f>
        <v>SPS</v>
      </c>
      <c r="C1983" s="3">
        <v>30813691</v>
      </c>
      <c r="D1983" t="s">
        <v>819</v>
      </c>
      <c r="E1983" s="3" t="str">
        <f>RTD("ice.rtd",,$C1983 &amp; $D1983 &amp; ":" &amp; E$1)</f>
        <v>Q1 28</v>
      </c>
      <c r="F1983" s="3" t="str">
        <f>ICE[[#This Row],[Prod]]&amp;ICE[[#This Row],[Strip]]</f>
        <v>fo380brxQ1 28</v>
      </c>
      <c r="G1983" s="18" t="str">
        <f>RTD("ice.rtd",,$C1983 &amp; $D1983 &amp; ":" &amp; G$1)</f>
        <v/>
      </c>
      <c r="H1983" s="18" t="str">
        <f>RTD("ice.rtd",,$C1983 &amp; $D1983 &amp; ":" &amp; H$1)</f>
        <v/>
      </c>
      <c r="I1983" s="18" t="str">
        <f>RTD("ice.rtd",,$C1983 &amp; $D1983 &amp; ":" &amp; I$1)</f>
        <v/>
      </c>
      <c r="J1983" s="14" t="str">
        <f>IFERROR(MOD(RTD("ice.rtd",,$C1983 &amp; $D1983 &amp; ":" &amp; J$1), 1), "")</f>
        <v/>
      </c>
      <c r="K1983" s="18" t="str">
        <f>RTD("ice.rtd",,$C1983 &amp; $D1983 &amp; ":" &amp; K$1)</f>
        <v/>
      </c>
      <c r="L1983" s="36" t="str">
        <f>RTD("ice.rtd",,$C1983 &amp; $D1983 &amp; ":" &amp; L$1)</f>
        <v/>
      </c>
      <c r="M1983" s="14" t="str">
        <f>IFERROR(MOD(TIMEVALUE(RTD("ice.rtd",,$C1983 &amp; $D1983 &amp; ":" &amp; M$1)), 1), "")</f>
        <v/>
      </c>
      <c r="N1983" s="36">
        <f>RTD("ice.rtd",,$C1983 &amp; $D1983 &amp; ":" &amp; N$1)</f>
        <v>0</v>
      </c>
      <c r="O1983" s="36">
        <f>RTD("ice.rtd",,$C1983 &amp; $D1983 &amp; ":" &amp; O$1)</f>
        <v>0</v>
      </c>
      <c r="P198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3" s="14" t="str">
        <f>IF(ICE[[#This Row],[LastType]] = "Scrn", ICE[[#This Row],[LstDate]], IF(ICE[[#This Row],[LastType]] = "Blk", ICE[[#This Row],[LstBlkTime]], ""))</f>
        <v/>
      </c>
      <c r="R1983" s="41" t="str">
        <f>IF(ICE[[#This Row],[LastType]] = "Scrn", ICE[[#This Row],[LstPrc]], IF(ICE[[#This Row],[LastType]] = "Blk", ICE[[#This Row],[LstBlkPrc]], ""))</f>
        <v/>
      </c>
      <c r="S1983" s="36">
        <f>ICE[[#This Row],[Vol]]+ICE[[#This Row],[BlkVol]]</f>
        <v>0</v>
      </c>
      <c r="T1983" s="36">
        <f>RTD("ice.rtd",,$C1983 &amp; $D1983 &amp; ":" &amp; T$1)</f>
        <v>0</v>
      </c>
      <c r="U1983" s="18">
        <f>RTD("ice.rtd",,$C1983 &amp; $D1983 &amp; ":" &amp; U$1)</f>
        <v>-5.5916000000000006</v>
      </c>
      <c r="V198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3" s="18" t="str">
        <f>IFERROR(IF(LEFT(ICE[[#This Row],[Tenor]], 1) = "B", RTD("esrtd",,$B1983 &amp; " " &amp; ICE[[#This Row],[Tenor]] &amp; "-IEU", W$1), RTD("esrtd",,$B1983 &amp; " " &amp; VLOOKUP(MONTH(ICE[[#This Row],[Strip]]), MthRef[], 2, 0) &amp; RIGHT(YEAR(ICE[[#This Row],[Strip]]), 2) &amp; "-IEU", W$1)), "")</f>
        <v/>
      </c>
      <c r="X1983" s="36"/>
    </row>
    <row r="1984" spans="1:24" x14ac:dyDescent="0.25">
      <c r="A1984" s="37" t="s">
        <v>930</v>
      </c>
      <c r="B1984" s="88" t="str">
        <f>RTD("ice.rtd",,$C1984 &amp; $D1984 &amp; ":" &amp; B$1)</f>
        <v>SPS</v>
      </c>
      <c r="C1984" s="3">
        <v>30813691</v>
      </c>
      <c r="D1984" t="s">
        <v>229</v>
      </c>
      <c r="E1984" s="3" t="str">
        <f>RTD("ice.rtd",,$C1984 &amp; $D1984 &amp; ":" &amp; E$1)</f>
        <v>Q2 28</v>
      </c>
      <c r="F1984" s="3" t="str">
        <f>ICE[[#This Row],[Prod]]&amp;ICE[[#This Row],[Strip]]</f>
        <v>fo380brxQ2 28</v>
      </c>
      <c r="G1984" s="18" t="str">
        <f>RTD("ice.rtd",,$C1984 &amp; $D1984 &amp; ":" &amp; G$1)</f>
        <v/>
      </c>
      <c r="H1984" s="18" t="str">
        <f>RTD("ice.rtd",,$C1984 &amp; $D1984 &amp; ":" &amp; H$1)</f>
        <v/>
      </c>
      <c r="I1984" s="18" t="str">
        <f>RTD("ice.rtd",,$C1984 &amp; $D1984 &amp; ":" &amp; I$1)</f>
        <v/>
      </c>
      <c r="J1984" s="14" t="str">
        <f>IFERROR(MOD(RTD("ice.rtd",,$C1984 &amp; $D1984 &amp; ":" &amp; J$1), 1), "")</f>
        <v/>
      </c>
      <c r="K1984" s="18" t="str">
        <f>RTD("ice.rtd",,$C1984 &amp; $D1984 &amp; ":" &amp; K$1)</f>
        <v/>
      </c>
      <c r="L1984" s="36" t="str">
        <f>RTD("ice.rtd",,$C1984 &amp; $D1984 &amp; ":" &amp; L$1)</f>
        <v/>
      </c>
      <c r="M1984" s="14" t="str">
        <f>IFERROR(MOD(TIMEVALUE(RTD("ice.rtd",,$C1984 &amp; $D1984 &amp; ":" &amp; M$1)), 1), "")</f>
        <v/>
      </c>
      <c r="N1984" s="36">
        <f>RTD("ice.rtd",,$C1984 &amp; $D1984 &amp; ":" &amp; N$1)</f>
        <v>0</v>
      </c>
      <c r="O1984" s="36">
        <f>RTD("ice.rtd",,$C1984 &amp; $D1984 &amp; ":" &amp; O$1)</f>
        <v>0</v>
      </c>
      <c r="P198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4" s="14" t="str">
        <f>IF(ICE[[#This Row],[LastType]] = "Scrn", ICE[[#This Row],[LstDate]], IF(ICE[[#This Row],[LastType]] = "Blk", ICE[[#This Row],[LstBlkTime]], ""))</f>
        <v/>
      </c>
      <c r="R1984" s="41" t="str">
        <f>IF(ICE[[#This Row],[LastType]] = "Scrn", ICE[[#This Row],[LstPrc]], IF(ICE[[#This Row],[LastType]] = "Blk", ICE[[#This Row],[LstBlkPrc]], ""))</f>
        <v/>
      </c>
      <c r="S1984" s="36">
        <f>ICE[[#This Row],[Vol]]+ICE[[#This Row],[BlkVol]]</f>
        <v>0</v>
      </c>
      <c r="T1984" s="36">
        <f>RTD("ice.rtd",,$C1984 &amp; $D1984 &amp; ":" &amp; T$1)</f>
        <v>0</v>
      </c>
      <c r="U1984" s="18">
        <f>RTD("ice.rtd",,$C1984 &amp; $D1984 &amp; ":" &amp; U$1)</f>
        <v>-5.4843000000000002</v>
      </c>
      <c r="V198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4" s="18" t="str">
        <f>IFERROR(IF(LEFT(ICE[[#This Row],[Tenor]], 1) = "B", RTD("esrtd",,$B1984 &amp; " " &amp; ICE[[#This Row],[Tenor]] &amp; "-IEU", W$1), RTD("esrtd",,$B1984 &amp; " " &amp; VLOOKUP(MONTH(ICE[[#This Row],[Strip]]), MthRef[], 2, 0) &amp; RIGHT(YEAR(ICE[[#This Row],[Strip]]), 2) &amp; "-IEU", W$1)), "")</f>
        <v/>
      </c>
      <c r="X1984" s="36"/>
    </row>
    <row r="1985" spans="1:24" x14ac:dyDescent="0.25">
      <c r="A1985" s="37" t="s">
        <v>930</v>
      </c>
      <c r="B1985" s="88" t="str">
        <f>RTD("ice.rtd",,$C1985 &amp; $D1985 &amp; ":" &amp; B$1)</f>
        <v>SPS</v>
      </c>
      <c r="C1985" s="3">
        <v>30813691</v>
      </c>
      <c r="D1985" t="s">
        <v>820</v>
      </c>
      <c r="E1985" s="3" t="str">
        <f>RTD("ice.rtd",,$C1985 &amp; $D1985 &amp; ":" &amp; E$1)</f>
        <v>Q3 28</v>
      </c>
      <c r="F1985" s="3" t="str">
        <f>ICE[[#This Row],[Prod]]&amp;ICE[[#This Row],[Strip]]</f>
        <v>fo380brxQ3 28</v>
      </c>
      <c r="G1985" s="18" t="str">
        <f>RTD("ice.rtd",,$C1985 &amp; $D1985 &amp; ":" &amp; G$1)</f>
        <v/>
      </c>
      <c r="H1985" s="18" t="str">
        <f>RTD("ice.rtd",,$C1985 &amp; $D1985 &amp; ":" &amp; H$1)</f>
        <v/>
      </c>
      <c r="I1985" s="18" t="str">
        <f>RTD("ice.rtd",,$C1985 &amp; $D1985 &amp; ":" &amp; I$1)</f>
        <v/>
      </c>
      <c r="J1985" s="14" t="str">
        <f>IFERROR(MOD(RTD("ice.rtd",,$C1985 &amp; $D1985 &amp; ":" &amp; J$1), 1), "")</f>
        <v/>
      </c>
      <c r="K1985" s="18" t="str">
        <f>RTD("ice.rtd",,$C1985 &amp; $D1985 &amp; ":" &amp; K$1)</f>
        <v/>
      </c>
      <c r="L1985" s="36" t="str">
        <f>RTD("ice.rtd",,$C1985 &amp; $D1985 &amp; ":" &amp; L$1)</f>
        <v/>
      </c>
      <c r="M1985" s="14" t="str">
        <f>IFERROR(MOD(TIMEVALUE(RTD("ice.rtd",,$C1985 &amp; $D1985 &amp; ":" &amp; M$1)), 1), "")</f>
        <v/>
      </c>
      <c r="N1985" s="36">
        <f>RTD("ice.rtd",,$C1985 &amp; $D1985 &amp; ":" &amp; N$1)</f>
        <v>0</v>
      </c>
      <c r="O1985" s="36">
        <f>RTD("ice.rtd",,$C1985 &amp; $D1985 &amp; ":" &amp; O$1)</f>
        <v>0</v>
      </c>
      <c r="P198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5" s="14" t="str">
        <f>IF(ICE[[#This Row],[LastType]] = "Scrn", ICE[[#This Row],[LstDate]], IF(ICE[[#This Row],[LastType]] = "Blk", ICE[[#This Row],[LstBlkTime]], ""))</f>
        <v/>
      </c>
      <c r="R1985" s="41" t="str">
        <f>IF(ICE[[#This Row],[LastType]] = "Scrn", ICE[[#This Row],[LstPrc]], IF(ICE[[#This Row],[LastType]] = "Blk", ICE[[#This Row],[LstBlkPrc]], ""))</f>
        <v/>
      </c>
      <c r="S1985" s="36">
        <f>ICE[[#This Row],[Vol]]+ICE[[#This Row],[BlkVol]]</f>
        <v>0</v>
      </c>
      <c r="T1985" s="36">
        <f>RTD("ice.rtd",,$C1985 &amp; $D1985 &amp; ":" &amp; T$1)</f>
        <v>0</v>
      </c>
      <c r="U1985" s="18">
        <f>RTD("ice.rtd",,$C1985 &amp; $D1985 &amp; ":" &amp; U$1)</f>
        <v>-5.5823</v>
      </c>
      <c r="V198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5" s="18" t="str">
        <f>IFERROR(IF(LEFT(ICE[[#This Row],[Tenor]], 1) = "B", RTD("esrtd",,$B1985 &amp; " " &amp; ICE[[#This Row],[Tenor]] &amp; "-IEU", W$1), RTD("esrtd",,$B1985 &amp; " " &amp; VLOOKUP(MONTH(ICE[[#This Row],[Strip]]), MthRef[], 2, 0) &amp; RIGHT(YEAR(ICE[[#This Row],[Strip]]), 2) &amp; "-IEU", W$1)), "")</f>
        <v/>
      </c>
      <c r="X1985" s="36"/>
    </row>
    <row r="1986" spans="1:24" x14ac:dyDescent="0.25">
      <c r="A1986" s="37" t="s">
        <v>930</v>
      </c>
      <c r="B1986" s="88" t="str">
        <f>RTD("ice.rtd",,$C1986 &amp; $D1986 &amp; ":" &amp; B$1)</f>
        <v>SPS</v>
      </c>
      <c r="C1986" s="3">
        <v>30813691</v>
      </c>
      <c r="D1986" t="s">
        <v>821</v>
      </c>
      <c r="E1986" s="3" t="str">
        <f>RTD("ice.rtd",,$C1986 &amp; $D1986 &amp; ":" &amp; E$1)</f>
        <v>Q4 28</v>
      </c>
      <c r="F1986" s="3" t="str">
        <f>ICE[[#This Row],[Prod]]&amp;ICE[[#This Row],[Strip]]</f>
        <v>fo380brxQ4 28</v>
      </c>
      <c r="G1986" s="18" t="str">
        <f>RTD("ice.rtd",,$C1986 &amp; $D1986 &amp; ":" &amp; G$1)</f>
        <v/>
      </c>
      <c r="H1986" s="18" t="str">
        <f>RTD("ice.rtd",,$C1986 &amp; $D1986 &amp; ":" &amp; H$1)</f>
        <v/>
      </c>
      <c r="I1986" s="18" t="str">
        <f>RTD("ice.rtd",,$C1986 &amp; $D1986 &amp; ":" &amp; I$1)</f>
        <v/>
      </c>
      <c r="J1986" s="14" t="str">
        <f>IFERROR(MOD(RTD("ice.rtd",,$C1986 &amp; $D1986 &amp; ":" &amp; J$1), 1), "")</f>
        <v/>
      </c>
      <c r="K1986" s="18" t="str">
        <f>RTD("ice.rtd",,$C1986 &amp; $D1986 &amp; ":" &amp; K$1)</f>
        <v/>
      </c>
      <c r="L1986" s="36" t="str">
        <f>RTD("ice.rtd",,$C1986 &amp; $D1986 &amp; ":" &amp; L$1)</f>
        <v/>
      </c>
      <c r="M1986" s="14" t="str">
        <f>IFERROR(MOD(TIMEVALUE(RTD("ice.rtd",,$C1986 &amp; $D1986 &amp; ":" &amp; M$1)), 1), "")</f>
        <v/>
      </c>
      <c r="N1986" s="36">
        <f>RTD("ice.rtd",,$C1986 &amp; $D1986 &amp; ":" &amp; N$1)</f>
        <v>0</v>
      </c>
      <c r="O1986" s="36">
        <f>RTD("ice.rtd",,$C1986 &amp; $D1986 &amp; ":" &amp; O$1)</f>
        <v>0</v>
      </c>
      <c r="P198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6" s="14" t="str">
        <f>IF(ICE[[#This Row],[LastType]] = "Scrn", ICE[[#This Row],[LstDate]], IF(ICE[[#This Row],[LastType]] = "Blk", ICE[[#This Row],[LstBlkTime]], ""))</f>
        <v/>
      </c>
      <c r="R1986" s="41" t="str">
        <f>IF(ICE[[#This Row],[LastType]] = "Scrn", ICE[[#This Row],[LstPrc]], IF(ICE[[#This Row],[LastType]] = "Blk", ICE[[#This Row],[LstBlkPrc]], ""))</f>
        <v/>
      </c>
      <c r="S1986" s="36">
        <f>ICE[[#This Row],[Vol]]+ICE[[#This Row],[BlkVol]]</f>
        <v>0</v>
      </c>
      <c r="T1986" s="36">
        <f>RTD("ice.rtd",,$C1986 &amp; $D1986 &amp; ":" &amp; T$1)</f>
        <v>0</v>
      </c>
      <c r="U1986" s="18">
        <f>RTD("ice.rtd",,$C1986 &amp; $D1986 &amp; ":" &amp; U$1)</f>
        <v>-5.5645000000000007</v>
      </c>
      <c r="V198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6" s="18" t="str">
        <f>IFERROR(IF(LEFT(ICE[[#This Row],[Tenor]], 1) = "B", RTD("esrtd",,$B1986 &amp; " " &amp; ICE[[#This Row],[Tenor]] &amp; "-IEU", W$1), RTD("esrtd",,$B1986 &amp; " " &amp; VLOOKUP(MONTH(ICE[[#This Row],[Strip]]), MthRef[], 2, 0) &amp; RIGHT(YEAR(ICE[[#This Row],[Strip]]), 2) &amp; "-IEU", W$1)), "")</f>
        <v/>
      </c>
      <c r="X1986" s="36"/>
    </row>
    <row r="1987" spans="1:24" x14ac:dyDescent="0.25">
      <c r="A1987" s="37" t="s">
        <v>930</v>
      </c>
      <c r="B1987" s="88" t="str">
        <f>RTD("ice.rtd",,$C1987 &amp; $D1987 &amp; ":" &amp; B$1)</f>
        <v>SPS</v>
      </c>
      <c r="C1987" s="3">
        <v>30813691</v>
      </c>
      <c r="D1987" t="s">
        <v>822</v>
      </c>
      <c r="E1987" s="3" t="str">
        <f>RTD("ice.rtd",,$C1987 &amp; $D1987 &amp; ":" &amp; E$1)</f>
        <v>Cal 27</v>
      </c>
      <c r="F1987" s="3" t="str">
        <f>ICE[[#This Row],[Prod]]&amp;ICE[[#This Row],[Strip]]</f>
        <v>fo380brxCal 27</v>
      </c>
      <c r="G1987" s="18" t="str">
        <f>RTD("ice.rtd",,$C1987 &amp; $D1987 &amp; ":" &amp; G$1)</f>
        <v/>
      </c>
      <c r="H1987" s="18" t="str">
        <f>RTD("ice.rtd",,$C1987 &amp; $D1987 &amp; ":" &amp; H$1)</f>
        <v/>
      </c>
      <c r="I1987" s="18" t="str">
        <f>RTD("ice.rtd",,$C1987 &amp; $D1987 &amp; ":" &amp; I$1)</f>
        <v/>
      </c>
      <c r="J1987" s="14" t="str">
        <f>IFERROR(MOD(RTD("ice.rtd",,$C1987 &amp; $D1987 &amp; ":" &amp; J$1), 1), "")</f>
        <v/>
      </c>
      <c r="K1987" s="18" t="str">
        <f>RTD("ice.rtd",,$C1987 &amp; $D1987 &amp; ":" &amp; K$1)</f>
        <v/>
      </c>
      <c r="L1987" s="36" t="str">
        <f>RTD("ice.rtd",,$C1987 &amp; $D1987 &amp; ":" &amp; L$1)</f>
        <v/>
      </c>
      <c r="M1987" s="14" t="str">
        <f>IFERROR(MOD(TIMEVALUE(RTD("ice.rtd",,$C1987 &amp; $D1987 &amp; ":" &amp; M$1)), 1), "")</f>
        <v/>
      </c>
      <c r="N1987" s="36">
        <f>RTD("ice.rtd",,$C1987 &amp; $D1987 &amp; ":" &amp; N$1)</f>
        <v>0</v>
      </c>
      <c r="O1987" s="36">
        <f>RTD("ice.rtd",,$C1987 &amp; $D1987 &amp; ":" &amp; O$1)</f>
        <v>0</v>
      </c>
      <c r="P198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7" s="14" t="str">
        <f>IF(ICE[[#This Row],[LastType]] = "Scrn", ICE[[#This Row],[LstDate]], IF(ICE[[#This Row],[LastType]] = "Blk", ICE[[#This Row],[LstBlkTime]], ""))</f>
        <v/>
      </c>
      <c r="R1987" s="41" t="str">
        <f>IF(ICE[[#This Row],[LastType]] = "Scrn", ICE[[#This Row],[LstPrc]], IF(ICE[[#This Row],[LastType]] = "Blk", ICE[[#This Row],[LstBlkPrc]], ""))</f>
        <v/>
      </c>
      <c r="S1987" s="36">
        <f>ICE[[#This Row],[Vol]]+ICE[[#This Row],[BlkVol]]</f>
        <v>0</v>
      </c>
      <c r="T1987" s="36">
        <f>RTD("ice.rtd",,$C1987 &amp; $D1987 &amp; ":" &amp; T$1)</f>
        <v>0</v>
      </c>
      <c r="U1987" s="18">
        <f>RTD("ice.rtd",,$C1987 &amp; $D1987 &amp; ":" &amp; U$1)</f>
        <v>-4.7341000000000006</v>
      </c>
      <c r="V198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7" s="18" t="str">
        <f>IFERROR(IF(LEFT(ICE[[#This Row],[Tenor]], 1) = "B", RTD("esrtd",,$B1987 &amp; " " &amp; ICE[[#This Row],[Tenor]] &amp; "-IEU", W$1), RTD("esrtd",,$B1987 &amp; " " &amp; VLOOKUP(MONTH(ICE[[#This Row],[Strip]]), MthRef[], 2, 0) &amp; RIGHT(YEAR(ICE[[#This Row],[Strip]]), 2) &amp; "-IEU", W$1)), "")</f>
        <v/>
      </c>
      <c r="X1987" s="36"/>
    </row>
    <row r="1988" spans="1:24" x14ac:dyDescent="0.25">
      <c r="A1988" s="37" t="s">
        <v>930</v>
      </c>
      <c r="B1988" s="88" t="str">
        <f>RTD("ice.rtd",,$C1988 &amp; $D1988 &amp; ":" &amp; B$1)</f>
        <v>SPS</v>
      </c>
      <c r="C1988" s="3">
        <v>30813691</v>
      </c>
      <c r="D1988" t="s">
        <v>823</v>
      </c>
      <c r="E1988" s="3" t="str">
        <f>RTD("ice.rtd",,$C1988 &amp; $D1988 &amp; ":" &amp; E$1)</f>
        <v>Cal 28</v>
      </c>
      <c r="F1988" s="3" t="str">
        <f>ICE[[#This Row],[Prod]]&amp;ICE[[#This Row],[Strip]]</f>
        <v>fo380brxCal 28</v>
      </c>
      <c r="G1988" s="18" t="str">
        <f>RTD("ice.rtd",,$C1988 &amp; $D1988 &amp; ":" &amp; G$1)</f>
        <v/>
      </c>
      <c r="H1988" s="18" t="str">
        <f>RTD("ice.rtd",,$C1988 &amp; $D1988 &amp; ":" &amp; H$1)</f>
        <v/>
      </c>
      <c r="I1988" s="18" t="str">
        <f>RTD("ice.rtd",,$C1988 &amp; $D1988 &amp; ":" &amp; I$1)</f>
        <v/>
      </c>
      <c r="J1988" s="14" t="str">
        <f>IFERROR(MOD(RTD("ice.rtd",,$C1988 &amp; $D1988 &amp; ":" &amp; J$1), 1), "")</f>
        <v/>
      </c>
      <c r="K1988" s="18" t="str">
        <f>RTD("ice.rtd",,$C1988 &amp; $D1988 &amp; ":" &amp; K$1)</f>
        <v/>
      </c>
      <c r="L1988" s="36" t="str">
        <f>RTD("ice.rtd",,$C1988 &amp; $D1988 &amp; ":" &amp; L$1)</f>
        <v/>
      </c>
      <c r="M1988" s="14" t="str">
        <f>IFERROR(MOD(TIMEVALUE(RTD("ice.rtd",,$C1988 &amp; $D1988 &amp; ":" &amp; M$1)), 1), "")</f>
        <v/>
      </c>
      <c r="N1988" s="36">
        <f>RTD("ice.rtd",,$C1988 &amp; $D1988 &amp; ":" &amp; N$1)</f>
        <v>0</v>
      </c>
      <c r="O1988" s="36">
        <f>RTD("ice.rtd",,$C1988 &amp; $D1988 &amp; ":" &amp; O$1)</f>
        <v>0</v>
      </c>
      <c r="P198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8" s="14" t="str">
        <f>IF(ICE[[#This Row],[LastType]] = "Scrn", ICE[[#This Row],[LstDate]], IF(ICE[[#This Row],[LastType]] = "Blk", ICE[[#This Row],[LstBlkTime]], ""))</f>
        <v/>
      </c>
      <c r="R1988" s="41" t="str">
        <f>IF(ICE[[#This Row],[LastType]] = "Scrn", ICE[[#This Row],[LstPrc]], IF(ICE[[#This Row],[LastType]] = "Blk", ICE[[#This Row],[LstBlkPrc]], ""))</f>
        <v/>
      </c>
      <c r="S1988" s="36">
        <f>ICE[[#This Row],[Vol]]+ICE[[#This Row],[BlkVol]]</f>
        <v>0</v>
      </c>
      <c r="T1988" s="36">
        <f>RTD("ice.rtd",,$C1988 &amp; $D1988 &amp; ":" &amp; T$1)</f>
        <v>0</v>
      </c>
      <c r="U1988" s="18">
        <f>RTD("ice.rtd",,$C1988 &amp; $D1988 &amp; ":" &amp; U$1)</f>
        <v>-5.5556999999999999</v>
      </c>
      <c r="V198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8" s="18" t="str">
        <f>IFERROR(IF(LEFT(ICE[[#This Row],[Tenor]], 1) = "B", RTD("esrtd",,$B1988 &amp; " " &amp; ICE[[#This Row],[Tenor]] &amp; "-IEU", W$1), RTD("esrtd",,$B1988 &amp; " " &amp; VLOOKUP(MONTH(ICE[[#This Row],[Strip]]), MthRef[], 2, 0) &amp; RIGHT(YEAR(ICE[[#This Row],[Strip]]), 2) &amp; "-IEU", W$1)), "")</f>
        <v/>
      </c>
      <c r="X1988" s="36"/>
    </row>
    <row r="1989" spans="1:24" x14ac:dyDescent="0.25">
      <c r="A1989" s="37" t="s">
        <v>930</v>
      </c>
      <c r="B1989" s="88" t="str">
        <f>RTD("ice.rtd",,$C1989 &amp; $D1989 &amp; ":" &amp; B$1)</f>
        <v>SPS</v>
      </c>
      <c r="C1989" s="3">
        <v>30813691</v>
      </c>
      <c r="D1989" t="s">
        <v>824</v>
      </c>
      <c r="E1989" s="3" t="str">
        <f>RTD("ice.rtd",,$C1989 &amp; $D1989 &amp; ":" &amp; E$1)</f>
        <v>Cal 29</v>
      </c>
      <c r="F1989" s="3" t="str">
        <f>ICE[[#This Row],[Prod]]&amp;ICE[[#This Row],[Strip]]</f>
        <v>fo380brxCal 29</v>
      </c>
      <c r="G1989" s="18" t="str">
        <f>RTD("ice.rtd",,$C1989 &amp; $D1989 &amp; ":" &amp; G$1)</f>
        <v/>
      </c>
      <c r="H1989" s="18" t="str">
        <f>RTD("ice.rtd",,$C1989 &amp; $D1989 &amp; ":" &amp; H$1)</f>
        <v/>
      </c>
      <c r="I1989" s="18" t="str">
        <f>RTD("ice.rtd",,$C1989 &amp; $D1989 &amp; ":" &amp; I$1)</f>
        <v/>
      </c>
      <c r="J1989" s="14" t="str">
        <f>IFERROR(MOD(RTD("ice.rtd",,$C1989 &amp; $D1989 &amp; ":" &amp; J$1), 1), "")</f>
        <v/>
      </c>
      <c r="K1989" s="18" t="str">
        <f>RTD("ice.rtd",,$C1989 &amp; $D1989 &amp; ":" &amp; K$1)</f>
        <v/>
      </c>
      <c r="L1989" s="36" t="str">
        <f>RTD("ice.rtd",,$C1989 &amp; $D1989 &amp; ":" &amp; L$1)</f>
        <v/>
      </c>
      <c r="M1989" s="14" t="str">
        <f>IFERROR(MOD(TIMEVALUE(RTD("ice.rtd",,$C1989 &amp; $D1989 &amp; ":" &amp; M$1)), 1), "")</f>
        <v/>
      </c>
      <c r="N1989" s="36">
        <f>RTD("ice.rtd",,$C1989 &amp; $D1989 &amp; ":" &amp; N$1)</f>
        <v>0</v>
      </c>
      <c r="O1989" s="36">
        <f>RTD("ice.rtd",,$C1989 &amp; $D1989 &amp; ":" &amp; O$1)</f>
        <v>0</v>
      </c>
      <c r="P198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89" s="14" t="str">
        <f>IF(ICE[[#This Row],[LastType]] = "Scrn", ICE[[#This Row],[LstDate]], IF(ICE[[#This Row],[LastType]] = "Blk", ICE[[#This Row],[LstBlkTime]], ""))</f>
        <v/>
      </c>
      <c r="R1989" s="41" t="str">
        <f>IF(ICE[[#This Row],[LastType]] = "Scrn", ICE[[#This Row],[LstPrc]], IF(ICE[[#This Row],[LastType]] = "Blk", ICE[[#This Row],[LstBlkPrc]], ""))</f>
        <v/>
      </c>
      <c r="S1989" s="36">
        <f>ICE[[#This Row],[Vol]]+ICE[[#This Row],[BlkVol]]</f>
        <v>0</v>
      </c>
      <c r="T1989" s="36">
        <f>RTD("ice.rtd",,$C1989 &amp; $D1989 &amp; ":" &amp; T$1)</f>
        <v>0</v>
      </c>
      <c r="U1989" s="18">
        <f>RTD("ice.rtd",,$C1989 &amp; $D1989 &amp; ":" &amp; U$1)</f>
        <v>-4.5890000000000004</v>
      </c>
      <c r="V198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89" s="18" t="str">
        <f>IFERROR(IF(LEFT(ICE[[#This Row],[Tenor]], 1) = "B", RTD("esrtd",,$B1989 &amp; " " &amp; ICE[[#This Row],[Tenor]] &amp; "-IEU", W$1), RTD("esrtd",,$B1989 &amp; " " &amp; VLOOKUP(MONTH(ICE[[#This Row],[Strip]]), MthRef[], 2, 0) &amp; RIGHT(YEAR(ICE[[#This Row],[Strip]]), 2) &amp; "-IEU", W$1)), "")</f>
        <v/>
      </c>
      <c r="X1989" s="36"/>
    </row>
    <row r="1990" spans="1:24" x14ac:dyDescent="0.25">
      <c r="A1990" s="37" t="s">
        <v>379</v>
      </c>
      <c r="B1990" s="88" t="str">
        <f>RTD("ice.rtd",,$C1990 &amp; $D1990 &amp; ":" &amp; B$1)</f>
        <v>EGE</v>
      </c>
      <c r="C1990" s="3">
        <v>2181024583</v>
      </c>
      <c r="D1990" t="s">
        <v>792</v>
      </c>
      <c r="E1990" s="3" t="str">
        <f>RTD("ice.rtd",,$C1990 &amp; $D1990 &amp; ":" &amp; E$1)</f>
        <v>Bal Month</v>
      </c>
      <c r="F1990" s="3" t="str">
        <f>ICE[[#This Row],[Prod]]&amp;ICE[[#This Row],[Strip]]</f>
        <v>c3ewBal Month</v>
      </c>
      <c r="G1990" s="18" t="str">
        <f>RTD("ice.rtd",,$C1990 &amp; $D1990 &amp; ":" &amp; G$1)</f>
        <v/>
      </c>
      <c r="H1990" s="18" t="str">
        <f>RTD("ice.rtd",,$C1990 &amp; $D1990 &amp; ":" &amp; H$1)</f>
        <v/>
      </c>
      <c r="I1990" s="18" t="str">
        <f>RTD("ice.rtd",,$C1990 &amp; $D1990 &amp; ":" &amp; I$1)</f>
        <v/>
      </c>
      <c r="J1990" s="14" t="str">
        <f>IFERROR(MOD(RTD("ice.rtd",,$C1990 &amp; $D1990 &amp; ":" &amp; J$1), 1), "")</f>
        <v/>
      </c>
      <c r="K1990" s="18" t="str">
        <f>RTD("ice.rtd",,$C1990 &amp; $D1990 &amp; ":" &amp; K$1)</f>
        <v/>
      </c>
      <c r="L1990" s="36" t="str">
        <f>RTD("ice.rtd",,$C1990 &amp; $D1990 &amp; ":" &amp; L$1)</f>
        <v/>
      </c>
      <c r="M1990" s="14" t="str">
        <f>IFERROR(MOD(TIMEVALUE(RTD("ice.rtd",,$C1990 &amp; $D1990 &amp; ":" &amp; M$1)), 1), "")</f>
        <v/>
      </c>
      <c r="N1990" s="36">
        <f>RTD("ice.rtd",,$C1990 &amp; $D1990 &amp; ":" &amp; N$1)</f>
        <v>0</v>
      </c>
      <c r="O1990" s="36">
        <f>RTD("ice.rtd",,$C1990 &amp; $D1990 &amp; ":" &amp; O$1)</f>
        <v>0</v>
      </c>
      <c r="P199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90" s="14" t="str">
        <f>IF(ICE[[#This Row],[LastType]] = "Scrn", ICE[[#This Row],[LstDate]], IF(ICE[[#This Row],[LastType]] = "Blk", ICE[[#This Row],[LstBlkTime]], ""))</f>
        <v/>
      </c>
      <c r="R1990" s="41" t="str">
        <f>IF(ICE[[#This Row],[LastType]] = "Scrn", ICE[[#This Row],[LstPrc]], IF(ICE[[#This Row],[LastType]] = "Blk", ICE[[#This Row],[LstBlkPrc]], ""))</f>
        <v/>
      </c>
      <c r="S1990" s="36">
        <f>ICE[[#This Row],[Vol]]+ICE[[#This Row],[BlkVol]]</f>
        <v>0</v>
      </c>
      <c r="T1990" s="36">
        <f>RTD("ice.rtd",,$C1990 &amp; $D1990 &amp; ":" &amp; T$1)</f>
        <v>0</v>
      </c>
      <c r="U1990" s="18">
        <f>RTD("ice.rtd",,$C1990 &amp; $D1990 &amp; ":" &amp; U$1)</f>
        <v>191.85</v>
      </c>
      <c r="V199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90" s="18" t="str">
        <f>IFERROR(IF(LEFT(ICE[[#This Row],[Tenor]], 1) = "B", RTD("esrtd",,$B1990 &amp; " " &amp; ICE[[#This Row],[Tenor]] &amp; "-IEU", W$1), RTD("esrtd",,$B1990 &amp; " " &amp; VLOOKUP(MONTH(ICE[[#This Row],[Strip]]), MthRef[], 2, 0) &amp; RIGHT(YEAR(ICE[[#This Row],[Strip]]), 2) &amp; "-IEU", W$1)), "")</f>
        <v/>
      </c>
      <c r="X1990" s="36"/>
    </row>
    <row r="1991" spans="1:24" x14ac:dyDescent="0.25">
      <c r="A1991" s="37" t="s">
        <v>379</v>
      </c>
      <c r="B1991" s="88" t="str">
        <f>RTD("ice.rtd",,$C1991 &amp; $D1991 &amp; ":" &amp; B$1)</f>
        <v>EGD</v>
      </c>
      <c r="C1991" s="3">
        <v>32623993</v>
      </c>
      <c r="D1991" t="s">
        <v>324</v>
      </c>
      <c r="E1991" s="3" t="str">
        <f>RTD("ice.rtd",,$C1991 &amp; $D1991 &amp; ":" &amp; E$1)</f>
        <v>Oct26</v>
      </c>
      <c r="F1991" s="3" t="str">
        <f>ICE[[#This Row],[Prod]]&amp;ICE[[#This Row],[Strip]]</f>
        <v>c3ewOct26</v>
      </c>
      <c r="G1991" s="18" t="str">
        <f>RTD("ice.rtd",,$C1991 &amp; $D1991 &amp; ":" &amp; G$1)</f>
        <v/>
      </c>
      <c r="H1991" s="18" t="str">
        <f>RTD("ice.rtd",,$C1991 &amp; $D1991 &amp; ":" &amp; H$1)</f>
        <v/>
      </c>
      <c r="I1991" s="18" t="str">
        <f>RTD("ice.rtd",,$C1991 &amp; $D1991 &amp; ":" &amp; I$1)</f>
        <v/>
      </c>
      <c r="J1991" s="14" t="str">
        <f>IFERROR(MOD(RTD("ice.rtd",,$C1991 &amp; $D1991 &amp; ":" &amp; J$1), 1), "")</f>
        <v/>
      </c>
      <c r="K1991" s="18">
        <f>RTD("ice.rtd",,$C1991 &amp; $D1991 &amp; ":" &amp; K$1)</f>
        <v>173</v>
      </c>
      <c r="L1991" s="36">
        <f>RTD("ice.rtd",,$C1991 &amp; $D1991 &amp; ":" &amp; L$1)</f>
        <v>3</v>
      </c>
      <c r="M1991" s="14">
        <f>IFERROR(MOD(TIMEVALUE(RTD("ice.rtd",,$C1991 &amp; $D1991 &amp; ":" &amp; M$1)), 1), "")</f>
        <v>0.41180555555555554</v>
      </c>
      <c r="N1991" s="36">
        <f>RTD("ice.rtd",,$C1991 &amp; $D1991 &amp; ":" &amp; N$1)</f>
        <v>0</v>
      </c>
      <c r="O1991" s="36">
        <f>RTD("ice.rtd",,$C1991 &amp; $D1991 &amp; ":" &amp; O$1)</f>
        <v>9</v>
      </c>
      <c r="P199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991" s="14">
        <f>IF(ICE[[#This Row],[LastType]] = "Scrn", ICE[[#This Row],[LstDate]], IF(ICE[[#This Row],[LastType]] = "Blk", ICE[[#This Row],[LstBlkTime]], ""))</f>
        <v>0.41180555555555554</v>
      </c>
      <c r="R1991" s="41">
        <f>IF(ICE[[#This Row],[LastType]] = "Scrn", ICE[[#This Row],[LstPrc]], IF(ICE[[#This Row],[LastType]] = "Blk", ICE[[#This Row],[LstBlkPrc]], ""))</f>
        <v>173</v>
      </c>
      <c r="S1991" s="36">
        <f>ICE[[#This Row],[Vol]]+ICE[[#This Row],[BlkVol]]</f>
        <v>9</v>
      </c>
      <c r="T1991" s="36">
        <f>RTD("ice.rtd",,$C1991 &amp; $D1991 &amp; ":" &amp; T$1)</f>
        <v>356</v>
      </c>
      <c r="U1991" s="18">
        <f>RTD("ice.rtd",,$C1991 &amp; $D1991 &amp; ":" &amp; U$1)</f>
        <v>170.25</v>
      </c>
      <c r="V199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{173.00} |9x</v>
      </c>
      <c r="W1991" s="18" t="str">
        <f>IFERROR(IF(LEFT(ICE[[#This Row],[Tenor]], 1) = "B", RTD("esrtd",,$B1991 &amp; " " &amp; ICE[[#This Row],[Tenor]] &amp; "-IEU", W$1), RTD("esrtd",,$B1991 &amp; " " &amp; VLOOKUP(MONTH(ICE[[#This Row],[Strip]]), MthRef[], 2, 0) &amp; RIGHT(YEAR(ICE[[#This Row],[Strip]]), 2) &amp; "-IEU", W$1)), "")</f>
        <v/>
      </c>
      <c r="X1991" s="36"/>
    </row>
    <row r="1992" spans="1:24" x14ac:dyDescent="0.25">
      <c r="A1992" s="37" t="s">
        <v>379</v>
      </c>
      <c r="B1992" s="88" t="str">
        <f>RTD("ice.rtd",,$C1992 &amp; $D1992 &amp; ":" &amp; B$1)</f>
        <v>EGD</v>
      </c>
      <c r="C1992" s="3">
        <v>32623993</v>
      </c>
      <c r="D1992" t="s">
        <v>325</v>
      </c>
      <c r="E1992" s="3" t="str">
        <f>RTD("ice.rtd",,$C1992 &amp; $D1992 &amp; ":" &amp; E$1)</f>
        <v>Nov26</v>
      </c>
      <c r="F1992" s="3" t="str">
        <f>ICE[[#This Row],[Prod]]&amp;ICE[[#This Row],[Strip]]</f>
        <v>c3ewNov26</v>
      </c>
      <c r="G1992" s="18" t="str">
        <f>RTD("ice.rtd",,$C1992 &amp; $D1992 &amp; ":" &amp; G$1)</f>
        <v/>
      </c>
      <c r="H1992" s="18" t="str">
        <f>RTD("ice.rtd",,$C1992 &amp; $D1992 &amp; ":" &amp; H$1)</f>
        <v/>
      </c>
      <c r="I1992" s="18" t="str">
        <f>RTD("ice.rtd",,$C1992 &amp; $D1992 &amp; ":" &amp; I$1)</f>
        <v/>
      </c>
      <c r="J1992" s="14" t="str">
        <f>IFERROR(MOD(RTD("ice.rtd",,$C1992 &amp; $D1992 &amp; ":" &amp; J$1), 1), "")</f>
        <v/>
      </c>
      <c r="K1992" s="18" t="str">
        <f>RTD("ice.rtd",,$C1992 &amp; $D1992 &amp; ":" &amp; K$1)</f>
        <v/>
      </c>
      <c r="L1992" s="36" t="str">
        <f>RTD("ice.rtd",,$C1992 &amp; $D1992 &amp; ":" &amp; L$1)</f>
        <v/>
      </c>
      <c r="M1992" s="14" t="str">
        <f>IFERROR(MOD(TIMEVALUE(RTD("ice.rtd",,$C1992 &amp; $D1992 &amp; ":" &amp; M$1)), 1), "")</f>
        <v/>
      </c>
      <c r="N1992" s="36">
        <f>RTD("ice.rtd",,$C1992 &amp; $D1992 &amp; ":" &amp; N$1)</f>
        <v>0</v>
      </c>
      <c r="O1992" s="36">
        <f>RTD("ice.rtd",,$C1992 &amp; $D1992 &amp; ":" &amp; O$1)</f>
        <v>0</v>
      </c>
      <c r="P199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92" s="14" t="str">
        <f>IF(ICE[[#This Row],[LastType]] = "Scrn", ICE[[#This Row],[LstDate]], IF(ICE[[#This Row],[LastType]] = "Blk", ICE[[#This Row],[LstBlkTime]], ""))</f>
        <v/>
      </c>
      <c r="R1992" s="41" t="str">
        <f>IF(ICE[[#This Row],[LastType]] = "Scrn", ICE[[#This Row],[LstPrc]], IF(ICE[[#This Row],[LastType]] = "Blk", ICE[[#This Row],[LstBlkPrc]], ""))</f>
        <v/>
      </c>
      <c r="S1992" s="36">
        <f>ICE[[#This Row],[Vol]]+ICE[[#This Row],[BlkVol]]</f>
        <v>0</v>
      </c>
      <c r="T1992" s="36">
        <f>RTD("ice.rtd",,$C1992 &amp; $D1992 &amp; ":" &amp; T$1)</f>
        <v>328</v>
      </c>
      <c r="U1992" s="18">
        <f>RTD("ice.rtd",,$C1992 &amp; $D1992 &amp; ":" &amp; U$1)</f>
        <v>152.4</v>
      </c>
      <c r="V199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92" s="18" t="str">
        <f>IFERROR(IF(LEFT(ICE[[#This Row],[Tenor]], 1) = "B", RTD("esrtd",,$B1992 &amp; " " &amp; ICE[[#This Row],[Tenor]] &amp; "-IEU", W$1), RTD("esrtd",,$B1992 &amp; " " &amp; VLOOKUP(MONTH(ICE[[#This Row],[Strip]]), MthRef[], 2, 0) &amp; RIGHT(YEAR(ICE[[#This Row],[Strip]]), 2) &amp; "-IEU", W$1)), "")</f>
        <v/>
      </c>
      <c r="X1992" s="36"/>
    </row>
    <row r="1993" spans="1:24" x14ac:dyDescent="0.25">
      <c r="A1993" s="37" t="s">
        <v>379</v>
      </c>
      <c r="B1993" s="88" t="str">
        <f>RTD("ice.rtd",,$C1993 &amp; $D1993 &amp; ":" &amp; B$1)</f>
        <v>EGD</v>
      </c>
      <c r="C1993" s="3">
        <v>32623993</v>
      </c>
      <c r="D1993" t="s">
        <v>326</v>
      </c>
      <c r="E1993" s="3" t="str">
        <f>RTD("ice.rtd",,$C1993 &amp; $D1993 &amp; ":" &amp; E$1)</f>
        <v>Dec26</v>
      </c>
      <c r="F1993" s="3" t="str">
        <f>ICE[[#This Row],[Prod]]&amp;ICE[[#This Row],[Strip]]</f>
        <v>c3ewDec26</v>
      </c>
      <c r="G1993" s="18" t="str">
        <f>RTD("ice.rtd",,$C1993 &amp; $D1993 &amp; ":" &amp; G$1)</f>
        <v/>
      </c>
      <c r="H1993" s="18" t="str">
        <f>RTD("ice.rtd",,$C1993 &amp; $D1993 &amp; ":" &amp; H$1)</f>
        <v/>
      </c>
      <c r="I1993" s="18" t="str">
        <f>RTD("ice.rtd",,$C1993 &amp; $D1993 &amp; ":" &amp; I$1)</f>
        <v/>
      </c>
      <c r="J1993" s="14" t="str">
        <f>IFERROR(MOD(RTD("ice.rtd",,$C1993 &amp; $D1993 &amp; ":" &amp; J$1), 1), "")</f>
        <v/>
      </c>
      <c r="K1993" s="18" t="str">
        <f>RTD("ice.rtd",,$C1993 &amp; $D1993 &amp; ":" &amp; K$1)</f>
        <v/>
      </c>
      <c r="L1993" s="36" t="str">
        <f>RTD("ice.rtd",,$C1993 &amp; $D1993 &amp; ":" &amp; L$1)</f>
        <v/>
      </c>
      <c r="M1993" s="14" t="str">
        <f>IFERROR(MOD(TIMEVALUE(RTD("ice.rtd",,$C1993 &amp; $D1993 &amp; ":" &amp; M$1)), 1), "")</f>
        <v/>
      </c>
      <c r="N1993" s="36">
        <f>RTD("ice.rtd",,$C1993 &amp; $D1993 &amp; ":" &amp; N$1)</f>
        <v>0</v>
      </c>
      <c r="O1993" s="36">
        <f>RTD("ice.rtd",,$C1993 &amp; $D1993 &amp; ":" &amp; O$1)</f>
        <v>0</v>
      </c>
      <c r="P199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93" s="14" t="str">
        <f>IF(ICE[[#This Row],[LastType]] = "Scrn", ICE[[#This Row],[LstDate]], IF(ICE[[#This Row],[LastType]] = "Blk", ICE[[#This Row],[LstBlkTime]], ""))</f>
        <v/>
      </c>
      <c r="R1993" s="41" t="str">
        <f>IF(ICE[[#This Row],[LastType]] = "Scrn", ICE[[#This Row],[LstPrc]], IF(ICE[[#This Row],[LastType]] = "Blk", ICE[[#This Row],[LstBlkPrc]], ""))</f>
        <v/>
      </c>
      <c r="S1993" s="36">
        <f>ICE[[#This Row],[Vol]]+ICE[[#This Row],[BlkVol]]</f>
        <v>0</v>
      </c>
      <c r="T1993" s="36">
        <f>RTD("ice.rtd",,$C1993 &amp; $D1993 &amp; ":" &amp; T$1)</f>
        <v>208</v>
      </c>
      <c r="U1993" s="18">
        <f>RTD("ice.rtd",,$C1993 &amp; $D1993 &amp; ":" &amp; U$1)</f>
        <v>139.05000000000001</v>
      </c>
      <c r="V199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1993" s="18" t="str">
        <f>IFERROR(IF(LEFT(ICE[[#This Row],[Tenor]], 1) = "B", RTD("esrtd",,$B1993 &amp; " " &amp; ICE[[#This Row],[Tenor]] &amp; "-IEU", W$1), RTD("esrtd",,$B1993 &amp; " " &amp; VLOOKUP(MONTH(ICE[[#This Row],[Strip]]), MthRef[], 2, 0) &amp; RIGHT(YEAR(ICE[[#This Row],[Strip]]), 2) &amp; "-IEU", W$1)), "")</f>
        <v/>
      </c>
      <c r="X1993" s="36"/>
    </row>
    <row r="1994" spans="1:24" x14ac:dyDescent="0.25">
      <c r="A1994" s="37" t="s">
        <v>379</v>
      </c>
      <c r="B1994" s="88" t="str">
        <f>RTD("ice.rtd",,$C1994 &amp; $D1994 &amp; ":" &amp; B$1)</f>
        <v>EGD</v>
      </c>
      <c r="C1994" s="3">
        <v>32623993</v>
      </c>
      <c r="D1994" t="s">
        <v>794</v>
      </c>
      <c r="E1994" s="3" t="str">
        <f>RTD("ice.rtd",,$C1994 &amp; $D1994 &amp; ":" &amp; E$1)</f>
        <v>Jan27</v>
      </c>
      <c r="F1994" s="3" t="str">
        <f>ICE[[#This Row],[Prod]]&amp;ICE[[#This Row],[Strip]]</f>
        <v>c3ewJan27</v>
      </c>
      <c r="G1994" s="18" t="str">
        <f>RTD("ice.rtd",,$C1994 &amp; $D1994 &amp; ":" &amp; G$1)</f>
        <v/>
      </c>
      <c r="H1994" s="18" t="str">
        <f>RTD("ice.rtd",,$C1994 &amp; $D1994 &amp; ":" &amp; H$1)</f>
        <v/>
      </c>
      <c r="I1994" s="18" t="str">
        <f>RTD("ice.rtd",,$C1994 &amp; $D1994 &amp; ":" &amp; I$1)</f>
        <v/>
      </c>
      <c r="J1994" s="14" t="str">
        <f>IFERROR(MOD(RTD("ice.rtd",,$C1994 &amp; $D1994 &amp; ":" &amp; J$1), 1), "")</f>
        <v/>
      </c>
      <c r="K1994" s="18" t="str">
        <f>RTD("ice.rtd",,$C1994 &amp; $D1994 &amp; ":" &amp; K$1)</f>
        <v/>
      </c>
      <c r="L1994" s="36" t="str">
        <f>RTD("ice.rtd",,$C1994 &amp; $D1994 &amp; ":" &amp; L$1)</f>
        <v/>
      </c>
      <c r="M1994" s="14" t="str">
        <f>IFERROR(MOD(TIMEVALUE(RTD("ice.rtd",,$C1994 &amp; $D1994 &amp; ":" &amp; M$1)), 1), "")</f>
        <v/>
      </c>
      <c r="N1994" s="36">
        <f>RTD("ice.rtd",,$C1994 &amp; $D1994 &amp; ":" &amp; N$1)</f>
        <v>0</v>
      </c>
      <c r="O1994" s="36">
        <f>RTD("ice.rtd",,$C1994 &amp; $D1994 &amp; ":" &amp; O$1)</f>
        <v>2</v>
      </c>
      <c r="P199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94" s="14" t="str">
        <f>IF(ICE[[#This Row],[LastType]] = "Scrn", ICE[[#This Row],[LstDate]], IF(ICE[[#This Row],[LastType]] = "Blk", ICE[[#This Row],[LstBlkTime]], ""))</f>
        <v/>
      </c>
      <c r="R1994" s="41" t="str">
        <f>IF(ICE[[#This Row],[LastType]] = "Scrn", ICE[[#This Row],[LstPrc]], IF(ICE[[#This Row],[LastType]] = "Blk", ICE[[#This Row],[LstBlkPrc]], ""))</f>
        <v/>
      </c>
      <c r="S1994" s="36">
        <f>ICE[[#This Row],[Vol]]+ICE[[#This Row],[BlkVol]]</f>
        <v>2</v>
      </c>
      <c r="T1994" s="36">
        <f>RTD("ice.rtd",,$C1994 &amp; $D1994 &amp; ":" &amp; T$1)</f>
        <v>125</v>
      </c>
      <c r="U1994" s="18">
        <f>RTD("ice.rtd",,$C1994 &amp; $D1994 &amp; ":" &amp; U$1)</f>
        <v>129.35</v>
      </c>
      <c r="V199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1994" s="18" t="str">
        <f>IFERROR(IF(LEFT(ICE[[#This Row],[Tenor]], 1) = "B", RTD("esrtd",,$B1994 &amp; " " &amp; ICE[[#This Row],[Tenor]] &amp; "-IEU", W$1), RTD("esrtd",,$B1994 &amp; " " &amp; VLOOKUP(MONTH(ICE[[#This Row],[Strip]]), MthRef[], 2, 0) &amp; RIGHT(YEAR(ICE[[#This Row],[Strip]]), 2) &amp; "-IEU", W$1)), "")</f>
        <v/>
      </c>
      <c r="X1994" s="36"/>
    </row>
    <row r="1995" spans="1:24" x14ac:dyDescent="0.25">
      <c r="A1995" s="37" t="s">
        <v>379</v>
      </c>
      <c r="B1995" s="88" t="str">
        <f>RTD("ice.rtd",,$C1995 &amp; $D1995 &amp; ":" &amp; B$1)</f>
        <v>EGD</v>
      </c>
      <c r="C1995" s="3">
        <v>32623993</v>
      </c>
      <c r="D1995" t="s">
        <v>795</v>
      </c>
      <c r="E1995" s="3" t="str">
        <f>RTD("ice.rtd",,$C1995 &amp; $D1995 &amp; ":" &amp; E$1)</f>
        <v>Feb27</v>
      </c>
      <c r="F1995" s="3" t="str">
        <f>ICE[[#This Row],[Prod]]&amp;ICE[[#This Row],[Strip]]</f>
        <v>c3ewFeb27</v>
      </c>
      <c r="G1995" s="18" t="str">
        <f>RTD("ice.rtd",,$C1995 &amp; $D1995 &amp; ":" &amp; G$1)</f>
        <v/>
      </c>
      <c r="H1995" s="18" t="str">
        <f>RTD("ice.rtd",,$C1995 &amp; $D1995 &amp; ":" &amp; H$1)</f>
        <v/>
      </c>
      <c r="I1995" s="18" t="str">
        <f>RTD("ice.rtd",,$C1995 &amp; $D1995 &amp; ":" &amp; I$1)</f>
        <v/>
      </c>
      <c r="J1995" s="14" t="str">
        <f>IFERROR(MOD(RTD("ice.rtd",,$C1995 &amp; $D1995 &amp; ":" &amp; J$1), 1), "")</f>
        <v/>
      </c>
      <c r="K1995" s="18" t="str">
        <f>RTD("ice.rtd",,$C1995 &amp; $D1995 &amp; ":" &amp; K$1)</f>
        <v/>
      </c>
      <c r="L1995" s="36" t="str">
        <f>RTD("ice.rtd",,$C1995 &amp; $D1995 &amp; ":" &amp; L$1)</f>
        <v/>
      </c>
      <c r="M1995" s="14" t="str">
        <f>IFERROR(MOD(TIMEVALUE(RTD("ice.rtd",,$C1995 &amp; $D1995 &amp; ":" &amp; M$1)), 1), "")</f>
        <v/>
      </c>
      <c r="N1995" s="36">
        <f>RTD("ice.rtd",,$C1995 &amp; $D1995 &amp; ":" &amp; N$1)</f>
        <v>0</v>
      </c>
      <c r="O1995" s="36">
        <f>RTD("ice.rtd",,$C1995 &amp; $D1995 &amp; ":" &amp; O$1)</f>
        <v>2</v>
      </c>
      <c r="P199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95" s="14" t="str">
        <f>IF(ICE[[#This Row],[LastType]] = "Scrn", ICE[[#This Row],[LstDate]], IF(ICE[[#This Row],[LastType]] = "Blk", ICE[[#This Row],[LstBlkTime]], ""))</f>
        <v/>
      </c>
      <c r="R1995" s="41" t="str">
        <f>IF(ICE[[#This Row],[LastType]] = "Scrn", ICE[[#This Row],[LstPrc]], IF(ICE[[#This Row],[LastType]] = "Blk", ICE[[#This Row],[LstBlkPrc]], ""))</f>
        <v/>
      </c>
      <c r="S1995" s="36">
        <f>ICE[[#This Row],[Vol]]+ICE[[#This Row],[BlkVol]]</f>
        <v>2</v>
      </c>
      <c r="T1995" s="36">
        <f>RTD("ice.rtd",,$C1995 &amp; $D1995 &amp; ":" &amp; T$1)</f>
        <v>109</v>
      </c>
      <c r="U1995" s="18">
        <f>RTD("ice.rtd",,$C1995 &amp; $D1995 &amp; ":" &amp; U$1)</f>
        <v>119.8</v>
      </c>
      <c r="V199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1995" s="18" t="str">
        <f>IFERROR(IF(LEFT(ICE[[#This Row],[Tenor]], 1) = "B", RTD("esrtd",,$B1995 &amp; " " &amp; ICE[[#This Row],[Tenor]] &amp; "-IEU", W$1), RTD("esrtd",,$B1995 &amp; " " &amp; VLOOKUP(MONTH(ICE[[#This Row],[Strip]]), MthRef[], 2, 0) &amp; RIGHT(YEAR(ICE[[#This Row],[Strip]]), 2) &amp; "-IEU", W$1)), "")</f>
        <v/>
      </c>
      <c r="X1995" s="36"/>
    </row>
    <row r="1996" spans="1:24" x14ac:dyDescent="0.25">
      <c r="A1996" s="37" t="s">
        <v>379</v>
      </c>
      <c r="B1996" s="88" t="str">
        <f>RTD("ice.rtd",,$C1996 &amp; $D1996 &amp; ":" &amp; B$1)</f>
        <v>EGD</v>
      </c>
      <c r="C1996" s="3">
        <v>32623993</v>
      </c>
      <c r="D1996" t="s">
        <v>113</v>
      </c>
      <c r="E1996" s="3" t="str">
        <f>RTD("ice.rtd",,$C1996 &amp; $D1996 &amp; ":" &amp; E$1)</f>
        <v>Mar27</v>
      </c>
      <c r="F1996" s="3" t="str">
        <f>ICE[[#This Row],[Prod]]&amp;ICE[[#This Row],[Strip]]</f>
        <v>c3ewMar27</v>
      </c>
      <c r="G1996" s="18" t="str">
        <f>RTD("ice.rtd",,$C1996 &amp; $D1996 &amp; ":" &amp; G$1)</f>
        <v/>
      </c>
      <c r="H1996" s="18" t="str">
        <f>RTD("ice.rtd",,$C1996 &amp; $D1996 &amp; ":" &amp; H$1)</f>
        <v/>
      </c>
      <c r="I1996" s="18" t="str">
        <f>RTD("ice.rtd",,$C1996 &amp; $D1996 &amp; ":" &amp; I$1)</f>
        <v/>
      </c>
      <c r="J1996" s="14" t="str">
        <f>IFERROR(MOD(RTD("ice.rtd",,$C1996 &amp; $D1996 &amp; ":" &amp; J$1), 1), "")</f>
        <v/>
      </c>
      <c r="K1996" s="18" t="str">
        <f>RTD("ice.rtd",,$C1996 &amp; $D1996 &amp; ":" &amp; K$1)</f>
        <v/>
      </c>
      <c r="L1996" s="36" t="str">
        <f>RTD("ice.rtd",,$C1996 &amp; $D1996 &amp; ":" &amp; L$1)</f>
        <v/>
      </c>
      <c r="M1996" s="14" t="str">
        <f>IFERROR(MOD(TIMEVALUE(RTD("ice.rtd",,$C1996 &amp; $D1996 &amp; ":" &amp; M$1)), 1), "")</f>
        <v/>
      </c>
      <c r="N1996" s="36">
        <f>RTD("ice.rtd",,$C1996 &amp; $D1996 &amp; ":" &amp; N$1)</f>
        <v>0</v>
      </c>
      <c r="O1996" s="36">
        <f>RTD("ice.rtd",,$C1996 &amp; $D1996 &amp; ":" &amp; O$1)</f>
        <v>2</v>
      </c>
      <c r="P199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96" s="14" t="str">
        <f>IF(ICE[[#This Row],[LastType]] = "Scrn", ICE[[#This Row],[LstDate]], IF(ICE[[#This Row],[LastType]] = "Blk", ICE[[#This Row],[LstBlkTime]], ""))</f>
        <v/>
      </c>
      <c r="R1996" s="41" t="str">
        <f>IF(ICE[[#This Row],[LastType]] = "Scrn", ICE[[#This Row],[LstPrc]], IF(ICE[[#This Row],[LastType]] = "Blk", ICE[[#This Row],[LstBlkPrc]], ""))</f>
        <v/>
      </c>
      <c r="S1996" s="36">
        <f>ICE[[#This Row],[Vol]]+ICE[[#This Row],[BlkVol]]</f>
        <v>2</v>
      </c>
      <c r="T1996" s="36">
        <f>RTD("ice.rtd",,$C1996 &amp; $D1996 &amp; ":" &amp; T$1)</f>
        <v>152</v>
      </c>
      <c r="U1996" s="18">
        <f>RTD("ice.rtd",,$C1996 &amp; $D1996 &amp; ":" &amp; U$1)</f>
        <v>112.65</v>
      </c>
      <c r="V199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1996" s="18" t="str">
        <f>IFERROR(IF(LEFT(ICE[[#This Row],[Tenor]], 1) = "B", RTD("esrtd",,$B1996 &amp; " " &amp; ICE[[#This Row],[Tenor]] &amp; "-IEU", W$1), RTD("esrtd",,$B1996 &amp; " " &amp; VLOOKUP(MONTH(ICE[[#This Row],[Strip]]), MthRef[], 2, 0) &amp; RIGHT(YEAR(ICE[[#This Row],[Strip]]), 2) &amp; "-IEU", W$1)), "")</f>
        <v/>
      </c>
      <c r="X1996" s="36"/>
    </row>
    <row r="1997" spans="1:24" x14ac:dyDescent="0.25">
      <c r="A1997" s="37" t="s">
        <v>379</v>
      </c>
      <c r="B1997" s="88" t="str">
        <f>RTD("ice.rtd",,$C1997 &amp; $D1997 &amp; ":" &amp; B$1)</f>
        <v>EGD</v>
      </c>
      <c r="C1997" s="3">
        <v>32623993</v>
      </c>
      <c r="D1997" t="s">
        <v>796</v>
      </c>
      <c r="E1997" s="3" t="str">
        <f>RTD("ice.rtd",,$C1997 &amp; $D1997 &amp; ":" &amp; E$1)</f>
        <v>Apr27</v>
      </c>
      <c r="F1997" s="3" t="str">
        <f>ICE[[#This Row],[Prod]]&amp;ICE[[#This Row],[Strip]]</f>
        <v>c3ewApr27</v>
      </c>
      <c r="G1997" s="18" t="str">
        <f>RTD("ice.rtd",,$C1997 &amp; $D1997 &amp; ":" &amp; G$1)</f>
        <v/>
      </c>
      <c r="H1997" s="18" t="str">
        <f>RTD("ice.rtd",,$C1997 &amp; $D1997 &amp; ":" &amp; H$1)</f>
        <v/>
      </c>
      <c r="I1997" s="18" t="str">
        <f>RTD("ice.rtd",,$C1997 &amp; $D1997 &amp; ":" &amp; I$1)</f>
        <v/>
      </c>
      <c r="J1997" s="14" t="str">
        <f>IFERROR(MOD(RTD("ice.rtd",,$C1997 &amp; $D1997 &amp; ":" &amp; J$1), 1), "")</f>
        <v/>
      </c>
      <c r="K1997" s="18" t="str">
        <f>RTD("ice.rtd",,$C1997 &amp; $D1997 &amp; ":" &amp; K$1)</f>
        <v/>
      </c>
      <c r="L1997" s="36" t="str">
        <f>RTD("ice.rtd",,$C1997 &amp; $D1997 &amp; ":" &amp; L$1)</f>
        <v/>
      </c>
      <c r="M1997" s="14" t="str">
        <f>IFERROR(MOD(TIMEVALUE(RTD("ice.rtd",,$C1997 &amp; $D1997 &amp; ":" &amp; M$1)), 1), "")</f>
        <v/>
      </c>
      <c r="N1997" s="36">
        <f>RTD("ice.rtd",,$C1997 &amp; $D1997 &amp; ":" &amp; N$1)</f>
        <v>0</v>
      </c>
      <c r="O1997" s="36">
        <f>RTD("ice.rtd",,$C1997 &amp; $D1997 &amp; ":" &amp; O$1)</f>
        <v>2</v>
      </c>
      <c r="P199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1997" s="14" t="str">
        <f>IF(ICE[[#This Row],[LastType]] = "Scrn", ICE[[#This Row],[LstDate]], IF(ICE[[#This Row],[LastType]] = "Blk", ICE[[#This Row],[LstBlkTime]], ""))</f>
        <v/>
      </c>
      <c r="R1997" s="41" t="str">
        <f>IF(ICE[[#This Row],[LastType]] = "Scrn", ICE[[#This Row],[LstPrc]], IF(ICE[[#This Row],[LastType]] = "Blk", ICE[[#This Row],[LstBlkPrc]], ""))</f>
        <v/>
      </c>
      <c r="S1997" s="36">
        <f>ICE[[#This Row],[Vol]]+ICE[[#This Row],[BlkVol]]</f>
        <v>2</v>
      </c>
      <c r="T1997" s="36">
        <f>RTD("ice.rtd",,$C1997 &amp; $D1997 &amp; ":" &amp; T$1)</f>
        <v>47</v>
      </c>
      <c r="U1997" s="18">
        <f>RTD("ice.rtd",,$C1997 &amp; $D1997 &amp; ":" &amp; U$1)</f>
        <v>105.45</v>
      </c>
      <c r="V199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1997" s="18" t="str">
        <f>IFERROR(IF(LEFT(ICE[[#This Row],[Tenor]], 1) = "B", RTD("esrtd",,$B1997 &amp; " " &amp; ICE[[#This Row],[Tenor]] &amp; "-IEU", W$1), RTD("esrtd",,$B1997 &amp; " " &amp; VLOOKUP(MONTH(ICE[[#This Row],[Strip]]), MthRef[], 2, 0) &amp; RIGHT(YEAR(ICE[[#This Row],[Strip]]), 2) &amp; "-IEU", W$1)), "")</f>
        <v/>
      </c>
      <c r="X1997" s="36"/>
    </row>
    <row r="1998" spans="1:24" x14ac:dyDescent="0.25">
      <c r="A1998" s="37" t="s">
        <v>379</v>
      </c>
      <c r="B1998" s="88" t="str">
        <f>RTD("ice.rtd",,$C1998 &amp; $D1998 &amp; ":" &amp; B$1)</f>
        <v>EGD</v>
      </c>
      <c r="C1998" s="3">
        <v>32623993</v>
      </c>
      <c r="D1998" t="s">
        <v>797</v>
      </c>
      <c r="E1998" s="3" t="str">
        <f>RTD("ice.rtd",,$C1998 &amp; $D1998 &amp; ":" &amp; E$1)</f>
        <v>May27</v>
      </c>
      <c r="F1998" s="3" t="str">
        <f>ICE[[#This Row],[Prod]]&amp;ICE[[#This Row],[Strip]]</f>
        <v>c3ewMay27</v>
      </c>
      <c r="G1998" s="18" t="str">
        <f>RTD("ice.rtd",,$C1998 &amp; $D1998 &amp; ":" &amp; G$1)</f>
        <v/>
      </c>
      <c r="H1998" s="18" t="str">
        <f>RTD("ice.rtd",,$C1998 &amp; $D1998 &amp; ":" &amp; H$1)</f>
        <v/>
      </c>
      <c r="I1998" s="18" t="str">
        <f>RTD("ice.rtd",,$C1998 &amp; $D1998 &amp; ":" &amp; I$1)</f>
        <v/>
      </c>
      <c r="J1998" s="14" t="str">
        <f>IFERROR(MOD(RTD("ice.rtd",,$C1998 &amp; $D1998 &amp; ":" &amp; J$1), 1), "")</f>
        <v/>
      </c>
      <c r="K1998" s="18">
        <f>RTD("ice.rtd",,$C1998 &amp; $D1998 &amp; ":" &amp; K$1)</f>
        <v>100.5</v>
      </c>
      <c r="L1998" s="36">
        <f>RTD("ice.rtd",,$C1998 &amp; $D1998 &amp; ":" &amp; L$1)</f>
        <v>10</v>
      </c>
      <c r="M1998" s="14">
        <f>IFERROR(MOD(TIMEVALUE(RTD("ice.rtd",,$C1998 &amp; $D1998 &amp; ":" &amp; M$1)), 1), "")</f>
        <v>0.42791666666666667</v>
      </c>
      <c r="N1998" s="36">
        <f>RTD("ice.rtd",,$C1998 &amp; $D1998 &amp; ":" &amp; N$1)</f>
        <v>0</v>
      </c>
      <c r="O1998" s="36">
        <f>RTD("ice.rtd",,$C1998 &amp; $D1998 &amp; ":" &amp; O$1)</f>
        <v>17</v>
      </c>
      <c r="P199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998" s="14">
        <f>IF(ICE[[#This Row],[LastType]] = "Scrn", ICE[[#This Row],[LstDate]], IF(ICE[[#This Row],[LastType]] = "Blk", ICE[[#This Row],[LstBlkTime]], ""))</f>
        <v>0.42791666666666667</v>
      </c>
      <c r="R1998" s="41">
        <f>IF(ICE[[#This Row],[LastType]] = "Scrn", ICE[[#This Row],[LstPrc]], IF(ICE[[#This Row],[LastType]] = "Blk", ICE[[#This Row],[LstBlkPrc]], ""))</f>
        <v>100.5</v>
      </c>
      <c r="S1998" s="36">
        <f>ICE[[#This Row],[Vol]]+ICE[[#This Row],[BlkVol]]</f>
        <v>17</v>
      </c>
      <c r="T1998" s="36">
        <f>RTD("ice.rtd",,$C1998 &amp; $D1998 &amp; ":" &amp; T$1)</f>
        <v>111</v>
      </c>
      <c r="U1998" s="18">
        <f>RTD("ice.rtd",,$C1998 &amp; $D1998 &amp; ":" &amp; U$1)</f>
        <v>97.65</v>
      </c>
      <c r="V199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{100.50} |17x</v>
      </c>
      <c r="W1998" s="18" t="str">
        <f>IFERROR(IF(LEFT(ICE[[#This Row],[Tenor]], 1) = "B", RTD("esrtd",,$B1998 &amp; " " &amp; ICE[[#This Row],[Tenor]] &amp; "-IEU", W$1), RTD("esrtd",,$B1998 &amp; " " &amp; VLOOKUP(MONTH(ICE[[#This Row],[Strip]]), MthRef[], 2, 0) &amp; RIGHT(YEAR(ICE[[#This Row],[Strip]]), 2) &amp; "-IEU", W$1)), "")</f>
        <v/>
      </c>
      <c r="X1998" s="36"/>
    </row>
    <row r="1999" spans="1:24" x14ac:dyDescent="0.25">
      <c r="A1999" s="37" t="s">
        <v>379</v>
      </c>
      <c r="B1999" s="88" t="str">
        <f>RTD("ice.rtd",,$C1999 &amp; $D1999 &amp; ":" &amp; B$1)</f>
        <v>EGD</v>
      </c>
      <c r="C1999" s="3">
        <v>32623993</v>
      </c>
      <c r="D1999" t="s">
        <v>798</v>
      </c>
      <c r="E1999" s="3" t="str">
        <f>RTD("ice.rtd",,$C1999 &amp; $D1999 &amp; ":" &amp; E$1)</f>
        <v>Jun27</v>
      </c>
      <c r="F1999" s="3" t="str">
        <f>ICE[[#This Row],[Prod]]&amp;ICE[[#This Row],[Strip]]</f>
        <v>c3ewJun27</v>
      </c>
      <c r="G1999" s="18" t="str">
        <f>RTD("ice.rtd",,$C1999 &amp; $D1999 &amp; ":" &amp; G$1)</f>
        <v/>
      </c>
      <c r="H1999" s="18" t="str">
        <f>RTD("ice.rtd",,$C1999 &amp; $D1999 &amp; ":" &amp; H$1)</f>
        <v/>
      </c>
      <c r="I1999" s="18" t="str">
        <f>RTD("ice.rtd",,$C1999 &amp; $D1999 &amp; ":" &amp; I$1)</f>
        <v/>
      </c>
      <c r="J1999" s="14" t="str">
        <f>IFERROR(MOD(RTD("ice.rtd",,$C1999 &amp; $D1999 &amp; ":" &amp; J$1), 1), "")</f>
        <v/>
      </c>
      <c r="K1999" s="18">
        <f>RTD("ice.rtd",,$C1999 &amp; $D1999 &amp; ":" &amp; K$1)</f>
        <v>92</v>
      </c>
      <c r="L1999" s="36">
        <f>RTD("ice.rtd",,$C1999 &amp; $D1999 &amp; ":" &amp; L$1)</f>
        <v>10</v>
      </c>
      <c r="M1999" s="14">
        <f>IFERROR(MOD(TIMEVALUE(RTD("ice.rtd",,$C1999 &amp; $D1999 &amp; ":" &amp; M$1)), 1), "")</f>
        <v>0.42791666666666667</v>
      </c>
      <c r="N1999" s="36">
        <f>RTD("ice.rtd",,$C1999 &amp; $D1999 &amp; ":" &amp; N$1)</f>
        <v>0</v>
      </c>
      <c r="O1999" s="36">
        <f>RTD("ice.rtd",,$C1999 &amp; $D1999 &amp; ":" &amp; O$1)</f>
        <v>17</v>
      </c>
      <c r="P199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1999" s="14">
        <f>IF(ICE[[#This Row],[LastType]] = "Scrn", ICE[[#This Row],[LstDate]], IF(ICE[[#This Row],[LastType]] = "Blk", ICE[[#This Row],[LstBlkTime]], ""))</f>
        <v>0.42791666666666667</v>
      </c>
      <c r="R1999" s="41">
        <f>IF(ICE[[#This Row],[LastType]] = "Scrn", ICE[[#This Row],[LstPrc]], IF(ICE[[#This Row],[LastType]] = "Blk", ICE[[#This Row],[LstBlkPrc]], ""))</f>
        <v>92</v>
      </c>
      <c r="S1999" s="36">
        <f>ICE[[#This Row],[Vol]]+ICE[[#This Row],[BlkVol]]</f>
        <v>17</v>
      </c>
      <c r="T1999" s="36">
        <f>RTD("ice.rtd",,$C1999 &amp; $D1999 &amp; ":" &amp; T$1)</f>
        <v>139</v>
      </c>
      <c r="U1999" s="18">
        <f>RTD("ice.rtd",,$C1999 &amp; $D1999 &amp; ":" &amp; U$1)</f>
        <v>89.95</v>
      </c>
      <c r="V199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{92.00} |17x</v>
      </c>
      <c r="W1999" s="18" t="str">
        <f>IFERROR(IF(LEFT(ICE[[#This Row],[Tenor]], 1) = "B", RTD("esrtd",,$B1999 &amp; " " &amp; ICE[[#This Row],[Tenor]] &amp; "-IEU", W$1), RTD("esrtd",,$B1999 &amp; " " &amp; VLOOKUP(MONTH(ICE[[#This Row],[Strip]]), MthRef[], 2, 0) &amp; RIGHT(YEAR(ICE[[#This Row],[Strip]]), 2) &amp; "-IEU", W$1)), "")</f>
        <v/>
      </c>
      <c r="X1999" s="36"/>
    </row>
    <row r="2000" spans="1:24" x14ac:dyDescent="0.25">
      <c r="A2000" s="37" t="s">
        <v>379</v>
      </c>
      <c r="B2000" s="88" t="str">
        <f>RTD("ice.rtd",,$C2000 &amp; $D2000 &amp; ":" &amp; B$1)</f>
        <v>EGD</v>
      </c>
      <c r="C2000" s="3">
        <v>32623993</v>
      </c>
      <c r="D2000" t="s">
        <v>799</v>
      </c>
      <c r="E2000" s="3" t="str">
        <f>RTD("ice.rtd",,$C2000 &amp; $D2000 &amp; ":" &amp; E$1)</f>
        <v>Jul27</v>
      </c>
      <c r="F2000" s="3" t="str">
        <f>ICE[[#This Row],[Prod]]&amp;ICE[[#This Row],[Strip]]</f>
        <v>c3ewJul27</v>
      </c>
      <c r="G2000" s="18" t="str">
        <f>RTD("ice.rtd",,$C2000 &amp; $D2000 &amp; ":" &amp; G$1)</f>
        <v/>
      </c>
      <c r="H2000" s="18" t="str">
        <f>RTD("ice.rtd",,$C2000 &amp; $D2000 &amp; ":" &amp; H$1)</f>
        <v/>
      </c>
      <c r="I2000" s="18" t="str">
        <f>RTD("ice.rtd",,$C2000 &amp; $D2000 &amp; ":" &amp; I$1)</f>
        <v/>
      </c>
      <c r="J2000" s="14" t="str">
        <f>IFERROR(MOD(RTD("ice.rtd",,$C2000 &amp; $D2000 &amp; ":" &amp; J$1), 1), "")</f>
        <v/>
      </c>
      <c r="K2000" s="18" t="str">
        <f>RTD("ice.rtd",,$C2000 &amp; $D2000 &amp; ":" &amp; K$1)</f>
        <v/>
      </c>
      <c r="L2000" s="36" t="str">
        <f>RTD("ice.rtd",,$C2000 &amp; $D2000 &amp; ":" &amp; L$1)</f>
        <v/>
      </c>
      <c r="M2000" s="14" t="str">
        <f>IFERROR(MOD(TIMEVALUE(RTD("ice.rtd",,$C2000 &amp; $D2000 &amp; ":" &amp; M$1)), 1), "")</f>
        <v/>
      </c>
      <c r="N2000" s="36">
        <f>RTD("ice.rtd",,$C2000 &amp; $D2000 &amp; ":" &amp; N$1)</f>
        <v>0</v>
      </c>
      <c r="O2000" s="36">
        <f>RTD("ice.rtd",,$C2000 &amp; $D2000 &amp; ":" &amp; O$1)</f>
        <v>2</v>
      </c>
      <c r="P200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0" s="14" t="str">
        <f>IF(ICE[[#This Row],[LastType]] = "Scrn", ICE[[#This Row],[LstDate]], IF(ICE[[#This Row],[LastType]] = "Blk", ICE[[#This Row],[LstBlkTime]], ""))</f>
        <v/>
      </c>
      <c r="R2000" s="41" t="str">
        <f>IF(ICE[[#This Row],[LastType]] = "Scrn", ICE[[#This Row],[LstPrc]], IF(ICE[[#This Row],[LastType]] = "Blk", ICE[[#This Row],[LstBlkPrc]], ""))</f>
        <v/>
      </c>
      <c r="S2000" s="36">
        <f>ICE[[#This Row],[Vol]]+ICE[[#This Row],[BlkVol]]</f>
        <v>2</v>
      </c>
      <c r="T2000" s="36">
        <f>RTD("ice.rtd",,$C2000 &amp; $D2000 &amp; ":" &amp; T$1)</f>
        <v>68</v>
      </c>
      <c r="U2000" s="18">
        <f>RTD("ice.rtd",,$C2000 &amp; $D2000 &amp; ":" &amp; U$1)</f>
        <v>85.45</v>
      </c>
      <c r="V200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2000" s="18" t="str">
        <f>IFERROR(IF(LEFT(ICE[[#This Row],[Tenor]], 1) = "B", RTD("esrtd",,$B2000 &amp; " " &amp; ICE[[#This Row],[Tenor]] &amp; "-IEU", W$1), RTD("esrtd",,$B2000 &amp; " " &amp; VLOOKUP(MONTH(ICE[[#This Row],[Strip]]), MthRef[], 2, 0) &amp; RIGHT(YEAR(ICE[[#This Row],[Strip]]), 2) &amp; "-IEU", W$1)), "")</f>
        <v/>
      </c>
      <c r="X2000" s="36"/>
    </row>
    <row r="2001" spans="1:24" x14ac:dyDescent="0.25">
      <c r="A2001" s="37" t="s">
        <v>379</v>
      </c>
      <c r="B2001" s="88" t="str">
        <f>RTD("ice.rtd",,$C2001 &amp; $D2001 &amp; ":" &amp; B$1)</f>
        <v>EGD</v>
      </c>
      <c r="C2001" s="3">
        <v>32623993</v>
      </c>
      <c r="D2001" t="s">
        <v>800</v>
      </c>
      <c r="E2001" s="3" t="str">
        <f>RTD("ice.rtd",,$C2001 &amp; $D2001 &amp; ":" &amp; E$1)</f>
        <v>Aug27</v>
      </c>
      <c r="F2001" s="3" t="str">
        <f>ICE[[#This Row],[Prod]]&amp;ICE[[#This Row],[Strip]]</f>
        <v>c3ewAug27</v>
      </c>
      <c r="G2001" s="18" t="str">
        <f>RTD("ice.rtd",,$C2001 &amp; $D2001 &amp; ":" &amp; G$1)</f>
        <v/>
      </c>
      <c r="H2001" s="18" t="str">
        <f>RTD("ice.rtd",,$C2001 &amp; $D2001 &amp; ":" &amp; H$1)</f>
        <v/>
      </c>
      <c r="I2001" s="18" t="str">
        <f>RTD("ice.rtd",,$C2001 &amp; $D2001 &amp; ":" &amp; I$1)</f>
        <v/>
      </c>
      <c r="J2001" s="14" t="str">
        <f>IFERROR(MOD(RTD("ice.rtd",,$C2001 &amp; $D2001 &amp; ":" &amp; J$1), 1), "")</f>
        <v/>
      </c>
      <c r="K2001" s="18" t="str">
        <f>RTD("ice.rtd",,$C2001 &amp; $D2001 &amp; ":" &amp; K$1)</f>
        <v/>
      </c>
      <c r="L2001" s="36" t="str">
        <f>RTD("ice.rtd",,$C2001 &amp; $D2001 &amp; ":" &amp; L$1)</f>
        <v/>
      </c>
      <c r="M2001" s="14" t="str">
        <f>IFERROR(MOD(TIMEVALUE(RTD("ice.rtd",,$C2001 &amp; $D2001 &amp; ":" &amp; M$1)), 1), "")</f>
        <v/>
      </c>
      <c r="N2001" s="36">
        <f>RTD("ice.rtd",,$C2001 &amp; $D2001 &amp; ":" &amp; N$1)</f>
        <v>0</v>
      </c>
      <c r="O2001" s="36">
        <f>RTD("ice.rtd",,$C2001 &amp; $D2001 &amp; ":" &amp; O$1)</f>
        <v>2</v>
      </c>
      <c r="P200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1" s="14" t="str">
        <f>IF(ICE[[#This Row],[LastType]] = "Scrn", ICE[[#This Row],[LstDate]], IF(ICE[[#This Row],[LastType]] = "Blk", ICE[[#This Row],[LstBlkTime]], ""))</f>
        <v/>
      </c>
      <c r="R2001" s="41" t="str">
        <f>IF(ICE[[#This Row],[LastType]] = "Scrn", ICE[[#This Row],[LstPrc]], IF(ICE[[#This Row],[LastType]] = "Blk", ICE[[#This Row],[LstBlkPrc]], ""))</f>
        <v/>
      </c>
      <c r="S2001" s="36">
        <f>ICE[[#This Row],[Vol]]+ICE[[#This Row],[BlkVol]]</f>
        <v>2</v>
      </c>
      <c r="T2001" s="36">
        <f>RTD("ice.rtd",,$C2001 &amp; $D2001 &amp; ":" &amp; T$1)</f>
        <v>51</v>
      </c>
      <c r="U2001" s="18">
        <f>RTD("ice.rtd",,$C2001 &amp; $D2001 &amp; ":" &amp; U$1)</f>
        <v>81.95</v>
      </c>
      <c r="V200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2001" s="18" t="str">
        <f>IFERROR(IF(LEFT(ICE[[#This Row],[Tenor]], 1) = "B", RTD("esrtd",,$B2001 &amp; " " &amp; ICE[[#This Row],[Tenor]] &amp; "-IEU", W$1), RTD("esrtd",,$B2001 &amp; " " &amp; VLOOKUP(MONTH(ICE[[#This Row],[Strip]]), MthRef[], 2, 0) &amp; RIGHT(YEAR(ICE[[#This Row],[Strip]]), 2) &amp; "-IEU", W$1)), "")</f>
        <v/>
      </c>
      <c r="X2001" s="36"/>
    </row>
    <row r="2002" spans="1:24" x14ac:dyDescent="0.25">
      <c r="A2002" s="37" t="s">
        <v>379</v>
      </c>
      <c r="B2002" s="88" t="str">
        <f>RTD("ice.rtd",,$C2002 &amp; $D2002 &amp; ":" &amp; B$1)</f>
        <v>EGD</v>
      </c>
      <c r="C2002" s="3">
        <v>32623993</v>
      </c>
      <c r="D2002" t="s">
        <v>801</v>
      </c>
      <c r="E2002" s="3" t="str">
        <f>RTD("ice.rtd",,$C2002 &amp; $D2002 &amp; ":" &amp; E$1)</f>
        <v>Sep27</v>
      </c>
      <c r="F2002" s="3" t="str">
        <f>ICE[[#This Row],[Prod]]&amp;ICE[[#This Row],[Strip]]</f>
        <v>c3ewSep27</v>
      </c>
      <c r="G2002" s="18" t="str">
        <f>RTD("ice.rtd",,$C2002 &amp; $D2002 &amp; ":" &amp; G$1)</f>
        <v/>
      </c>
      <c r="H2002" s="18" t="str">
        <f>RTD("ice.rtd",,$C2002 &amp; $D2002 &amp; ":" &amp; H$1)</f>
        <v/>
      </c>
      <c r="I2002" s="18" t="str">
        <f>RTD("ice.rtd",,$C2002 &amp; $D2002 &amp; ":" &amp; I$1)</f>
        <v/>
      </c>
      <c r="J2002" s="14" t="str">
        <f>IFERROR(MOD(RTD("ice.rtd",,$C2002 &amp; $D2002 &amp; ":" &amp; J$1), 1), "")</f>
        <v/>
      </c>
      <c r="K2002" s="18" t="str">
        <f>RTD("ice.rtd",,$C2002 &amp; $D2002 &amp; ":" &amp; K$1)</f>
        <v/>
      </c>
      <c r="L2002" s="36" t="str">
        <f>RTD("ice.rtd",,$C2002 &amp; $D2002 &amp; ":" &amp; L$1)</f>
        <v/>
      </c>
      <c r="M2002" s="14" t="str">
        <f>IFERROR(MOD(TIMEVALUE(RTD("ice.rtd",,$C2002 &amp; $D2002 &amp; ":" &amp; M$1)), 1), "")</f>
        <v/>
      </c>
      <c r="N2002" s="36">
        <f>RTD("ice.rtd",,$C2002 &amp; $D2002 &amp; ":" &amp; N$1)</f>
        <v>0</v>
      </c>
      <c r="O2002" s="36">
        <f>RTD("ice.rtd",,$C2002 &amp; $D2002 &amp; ":" &amp; O$1)</f>
        <v>2</v>
      </c>
      <c r="P200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2" s="14" t="str">
        <f>IF(ICE[[#This Row],[LastType]] = "Scrn", ICE[[#This Row],[LstDate]], IF(ICE[[#This Row],[LastType]] = "Blk", ICE[[#This Row],[LstBlkTime]], ""))</f>
        <v/>
      </c>
      <c r="R2002" s="41" t="str">
        <f>IF(ICE[[#This Row],[LastType]] = "Scrn", ICE[[#This Row],[LstPrc]], IF(ICE[[#This Row],[LastType]] = "Blk", ICE[[#This Row],[LstBlkPrc]], ""))</f>
        <v/>
      </c>
      <c r="S2002" s="36">
        <f>ICE[[#This Row],[Vol]]+ICE[[#This Row],[BlkVol]]</f>
        <v>2</v>
      </c>
      <c r="T2002" s="36">
        <f>RTD("ice.rtd",,$C2002 &amp; $D2002 &amp; ":" &amp; T$1)</f>
        <v>50</v>
      </c>
      <c r="U2002" s="18">
        <f>RTD("ice.rtd",,$C2002 &amp; $D2002 &amp; ":" &amp; U$1)</f>
        <v>80.75</v>
      </c>
      <c r="V200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2002" s="18" t="str">
        <f>IFERROR(IF(LEFT(ICE[[#This Row],[Tenor]], 1) = "B", RTD("esrtd",,$B2002 &amp; " " &amp; ICE[[#This Row],[Tenor]] &amp; "-IEU", W$1), RTD("esrtd",,$B2002 &amp; " " &amp; VLOOKUP(MONTH(ICE[[#This Row],[Strip]]), MthRef[], 2, 0) &amp; RIGHT(YEAR(ICE[[#This Row],[Strip]]), 2) &amp; "-IEU", W$1)), "")</f>
        <v/>
      </c>
      <c r="X2002" s="36"/>
    </row>
    <row r="2003" spans="1:24" x14ac:dyDescent="0.25">
      <c r="A2003" s="37" t="s">
        <v>379</v>
      </c>
      <c r="B2003" s="88" t="str">
        <f>RTD("ice.rtd",,$C2003 &amp; $D2003 &amp; ":" &amp; B$1)</f>
        <v>EGD</v>
      </c>
      <c r="C2003" s="3">
        <v>32623993</v>
      </c>
      <c r="D2003" t="s">
        <v>802</v>
      </c>
      <c r="E2003" s="3" t="str">
        <f>RTD("ice.rtd",,$C2003 &amp; $D2003 &amp; ":" &amp; E$1)</f>
        <v>Oct27</v>
      </c>
      <c r="F2003" s="3" t="str">
        <f>ICE[[#This Row],[Prod]]&amp;ICE[[#This Row],[Strip]]</f>
        <v>c3ewOct27</v>
      </c>
      <c r="G2003" s="18" t="str">
        <f>RTD("ice.rtd",,$C2003 &amp; $D2003 &amp; ":" &amp; G$1)</f>
        <v/>
      </c>
      <c r="H2003" s="18" t="str">
        <f>RTD("ice.rtd",,$C2003 &amp; $D2003 &amp; ":" &amp; H$1)</f>
        <v/>
      </c>
      <c r="I2003" s="18" t="str">
        <f>RTD("ice.rtd",,$C2003 &amp; $D2003 &amp; ":" &amp; I$1)</f>
        <v/>
      </c>
      <c r="J2003" s="14" t="str">
        <f>IFERROR(MOD(RTD("ice.rtd",,$C2003 &amp; $D2003 &amp; ":" &amp; J$1), 1), "")</f>
        <v/>
      </c>
      <c r="K2003" s="18" t="str">
        <f>RTD("ice.rtd",,$C2003 &amp; $D2003 &amp; ":" &amp; K$1)</f>
        <v/>
      </c>
      <c r="L2003" s="36" t="str">
        <f>RTD("ice.rtd",,$C2003 &amp; $D2003 &amp; ":" &amp; L$1)</f>
        <v/>
      </c>
      <c r="M2003" s="14" t="str">
        <f>IFERROR(MOD(TIMEVALUE(RTD("ice.rtd",,$C2003 &amp; $D2003 &amp; ":" &amp; M$1)), 1), "")</f>
        <v/>
      </c>
      <c r="N2003" s="36">
        <f>RTD("ice.rtd",,$C2003 &amp; $D2003 &amp; ":" &amp; N$1)</f>
        <v>0</v>
      </c>
      <c r="O2003" s="36">
        <f>RTD("ice.rtd",,$C2003 &amp; $D2003 &amp; ":" &amp; O$1)</f>
        <v>2</v>
      </c>
      <c r="P200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3" s="14" t="str">
        <f>IF(ICE[[#This Row],[LastType]] = "Scrn", ICE[[#This Row],[LstDate]], IF(ICE[[#This Row],[LastType]] = "Blk", ICE[[#This Row],[LstBlkTime]], ""))</f>
        <v/>
      </c>
      <c r="R2003" s="41" t="str">
        <f>IF(ICE[[#This Row],[LastType]] = "Scrn", ICE[[#This Row],[LstPrc]], IF(ICE[[#This Row],[LastType]] = "Blk", ICE[[#This Row],[LstBlkPrc]], ""))</f>
        <v/>
      </c>
      <c r="S2003" s="36">
        <f>ICE[[#This Row],[Vol]]+ICE[[#This Row],[BlkVol]]</f>
        <v>2</v>
      </c>
      <c r="T2003" s="36">
        <f>RTD("ice.rtd",,$C2003 &amp; $D2003 &amp; ":" &amp; T$1)</f>
        <v>98</v>
      </c>
      <c r="U2003" s="18">
        <f>RTD("ice.rtd",,$C2003 &amp; $D2003 &amp; ":" &amp; U$1)</f>
        <v>80.150000000000006</v>
      </c>
      <c r="V200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2003" s="18" t="str">
        <f>IFERROR(IF(LEFT(ICE[[#This Row],[Tenor]], 1) = "B", RTD("esrtd",,$B2003 &amp; " " &amp; ICE[[#This Row],[Tenor]] &amp; "-IEU", W$1), RTD("esrtd",,$B2003 &amp; " " &amp; VLOOKUP(MONTH(ICE[[#This Row],[Strip]]), MthRef[], 2, 0) &amp; RIGHT(YEAR(ICE[[#This Row],[Strip]]), 2) &amp; "-IEU", W$1)), "")</f>
        <v/>
      </c>
      <c r="X2003" s="36"/>
    </row>
    <row r="2004" spans="1:24" x14ac:dyDescent="0.25">
      <c r="A2004" s="37" t="s">
        <v>379</v>
      </c>
      <c r="B2004" s="88" t="str">
        <f>RTD("ice.rtd",,$C2004 &amp; $D2004 &amp; ":" &amp; B$1)</f>
        <v>EGD</v>
      </c>
      <c r="C2004" s="3">
        <v>32623993</v>
      </c>
      <c r="D2004" t="s">
        <v>803</v>
      </c>
      <c r="E2004" s="3" t="str">
        <f>RTD("ice.rtd",,$C2004 &amp; $D2004 &amp; ":" &amp; E$1)</f>
        <v>Nov27</v>
      </c>
      <c r="F2004" s="3" t="str">
        <f>ICE[[#This Row],[Prod]]&amp;ICE[[#This Row],[Strip]]</f>
        <v>c3ewNov27</v>
      </c>
      <c r="G2004" s="18" t="str">
        <f>RTD("ice.rtd",,$C2004 &amp; $D2004 &amp; ":" &amp; G$1)</f>
        <v/>
      </c>
      <c r="H2004" s="18" t="str">
        <f>RTD("ice.rtd",,$C2004 &amp; $D2004 &amp; ":" &amp; H$1)</f>
        <v/>
      </c>
      <c r="I2004" s="18" t="str">
        <f>RTD("ice.rtd",,$C2004 &amp; $D2004 &amp; ":" &amp; I$1)</f>
        <v/>
      </c>
      <c r="J2004" s="14" t="str">
        <f>IFERROR(MOD(RTD("ice.rtd",,$C2004 &amp; $D2004 &amp; ":" &amp; J$1), 1), "")</f>
        <v/>
      </c>
      <c r="K2004" s="18" t="str">
        <f>RTD("ice.rtd",,$C2004 &amp; $D2004 &amp; ":" &amp; K$1)</f>
        <v/>
      </c>
      <c r="L2004" s="36" t="str">
        <f>RTD("ice.rtd",,$C2004 &amp; $D2004 &amp; ":" &amp; L$1)</f>
        <v/>
      </c>
      <c r="M2004" s="14" t="str">
        <f>IFERROR(MOD(TIMEVALUE(RTD("ice.rtd",,$C2004 &amp; $D2004 &amp; ":" &amp; M$1)), 1), "")</f>
        <v/>
      </c>
      <c r="N2004" s="36">
        <f>RTD("ice.rtd",,$C2004 &amp; $D2004 &amp; ":" &amp; N$1)</f>
        <v>0</v>
      </c>
      <c r="O2004" s="36">
        <f>RTD("ice.rtd",,$C2004 &amp; $D2004 &amp; ":" &amp; O$1)</f>
        <v>2</v>
      </c>
      <c r="P200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4" s="14" t="str">
        <f>IF(ICE[[#This Row],[LastType]] = "Scrn", ICE[[#This Row],[LstDate]], IF(ICE[[#This Row],[LastType]] = "Blk", ICE[[#This Row],[LstBlkTime]], ""))</f>
        <v/>
      </c>
      <c r="R2004" s="41" t="str">
        <f>IF(ICE[[#This Row],[LastType]] = "Scrn", ICE[[#This Row],[LstPrc]], IF(ICE[[#This Row],[LastType]] = "Blk", ICE[[#This Row],[LstBlkPrc]], ""))</f>
        <v/>
      </c>
      <c r="S2004" s="36">
        <f>ICE[[#This Row],[Vol]]+ICE[[#This Row],[BlkVol]]</f>
        <v>2</v>
      </c>
      <c r="T2004" s="36">
        <f>RTD("ice.rtd",,$C2004 &amp; $D2004 &amp; ":" &amp; T$1)</f>
        <v>81</v>
      </c>
      <c r="U2004" s="18">
        <f>RTD("ice.rtd",,$C2004 &amp; $D2004 &amp; ":" &amp; U$1)</f>
        <v>79.25</v>
      </c>
      <c r="V200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2004" s="18" t="str">
        <f>IFERROR(IF(LEFT(ICE[[#This Row],[Tenor]], 1) = "B", RTD("esrtd",,$B2004 &amp; " " &amp; ICE[[#This Row],[Tenor]] &amp; "-IEU", W$1), RTD("esrtd",,$B2004 &amp; " " &amp; VLOOKUP(MONTH(ICE[[#This Row],[Strip]]), MthRef[], 2, 0) &amp; RIGHT(YEAR(ICE[[#This Row],[Strip]]), 2) &amp; "-IEU", W$1)), "")</f>
        <v/>
      </c>
      <c r="X2004" s="36"/>
    </row>
    <row r="2005" spans="1:24" x14ac:dyDescent="0.25">
      <c r="A2005" s="37" t="s">
        <v>379</v>
      </c>
      <c r="B2005" s="88" t="str">
        <f>RTD("ice.rtd",,$C2005 &amp; $D2005 &amp; ":" &amp; B$1)</f>
        <v>EGD</v>
      </c>
      <c r="C2005" s="3">
        <v>32623993</v>
      </c>
      <c r="D2005" t="s">
        <v>804</v>
      </c>
      <c r="E2005" s="3" t="str">
        <f>RTD("ice.rtd",,$C2005 &amp; $D2005 &amp; ":" &amp; E$1)</f>
        <v>Dec27</v>
      </c>
      <c r="F2005" s="3" t="str">
        <f>ICE[[#This Row],[Prod]]&amp;ICE[[#This Row],[Strip]]</f>
        <v>c3ewDec27</v>
      </c>
      <c r="G2005" s="18" t="str">
        <f>RTD("ice.rtd",,$C2005 &amp; $D2005 &amp; ":" &amp; G$1)</f>
        <v/>
      </c>
      <c r="H2005" s="18" t="str">
        <f>RTD("ice.rtd",,$C2005 &amp; $D2005 &amp; ":" &amp; H$1)</f>
        <v/>
      </c>
      <c r="I2005" s="18" t="str">
        <f>RTD("ice.rtd",,$C2005 &amp; $D2005 &amp; ":" &amp; I$1)</f>
        <v/>
      </c>
      <c r="J2005" s="14" t="str">
        <f>IFERROR(MOD(RTD("ice.rtd",,$C2005 &amp; $D2005 &amp; ":" &amp; J$1), 1), "")</f>
        <v/>
      </c>
      <c r="K2005" s="18" t="str">
        <f>RTD("ice.rtd",,$C2005 &amp; $D2005 &amp; ":" &amp; K$1)</f>
        <v/>
      </c>
      <c r="L2005" s="36" t="str">
        <f>RTD("ice.rtd",,$C2005 &amp; $D2005 &amp; ":" &amp; L$1)</f>
        <v/>
      </c>
      <c r="M2005" s="14" t="str">
        <f>IFERROR(MOD(TIMEVALUE(RTD("ice.rtd",,$C2005 &amp; $D2005 &amp; ":" &amp; M$1)), 1), "")</f>
        <v/>
      </c>
      <c r="N2005" s="36">
        <f>RTD("ice.rtd",,$C2005 &amp; $D2005 &amp; ":" &amp; N$1)</f>
        <v>0</v>
      </c>
      <c r="O2005" s="36">
        <f>RTD("ice.rtd",,$C2005 &amp; $D2005 &amp; ":" &amp; O$1)</f>
        <v>2</v>
      </c>
      <c r="P200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5" s="14" t="str">
        <f>IF(ICE[[#This Row],[LastType]] = "Scrn", ICE[[#This Row],[LstDate]], IF(ICE[[#This Row],[LastType]] = "Blk", ICE[[#This Row],[LstBlkTime]], ""))</f>
        <v/>
      </c>
      <c r="R2005" s="41" t="str">
        <f>IF(ICE[[#This Row],[LastType]] = "Scrn", ICE[[#This Row],[LstPrc]], IF(ICE[[#This Row],[LastType]] = "Blk", ICE[[#This Row],[LstBlkPrc]], ""))</f>
        <v/>
      </c>
      <c r="S2005" s="36">
        <f>ICE[[#This Row],[Vol]]+ICE[[#This Row],[BlkVol]]</f>
        <v>2</v>
      </c>
      <c r="T2005" s="36">
        <f>RTD("ice.rtd",,$C2005 &amp; $D2005 &amp; ":" &amp; T$1)</f>
        <v>99</v>
      </c>
      <c r="U2005" s="18">
        <f>RTD("ice.rtd",,$C2005 &amp; $D2005 &amp; ":" &amp; U$1)</f>
        <v>77.55</v>
      </c>
      <c r="V200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 |2x</v>
      </c>
      <c r="W2005" s="18" t="str">
        <f>IFERROR(IF(LEFT(ICE[[#This Row],[Tenor]], 1) = "B", RTD("esrtd",,$B2005 &amp; " " &amp; ICE[[#This Row],[Tenor]] &amp; "-IEU", W$1), RTD("esrtd",,$B2005 &amp; " " &amp; VLOOKUP(MONTH(ICE[[#This Row],[Strip]]), MthRef[], 2, 0) &amp; RIGHT(YEAR(ICE[[#This Row],[Strip]]), 2) &amp; "-IEU", W$1)), "")</f>
        <v/>
      </c>
      <c r="X2005" s="36"/>
    </row>
    <row r="2006" spans="1:24" x14ac:dyDescent="0.25">
      <c r="A2006" s="37" t="s">
        <v>379</v>
      </c>
      <c r="B2006" s="88" t="str">
        <f>RTD("ice.rtd",,$C2006 &amp; $D2006 &amp; ":" &amp; B$1)</f>
        <v>EGD</v>
      </c>
      <c r="C2006" s="3">
        <v>32623993</v>
      </c>
      <c r="D2006" t="s">
        <v>805</v>
      </c>
      <c r="E2006" s="3" t="str">
        <f>RTD("ice.rtd",,$C2006 &amp; $D2006 &amp; ":" &amp; E$1)</f>
        <v>Jan28</v>
      </c>
      <c r="F2006" s="3" t="str">
        <f>ICE[[#This Row],[Prod]]&amp;ICE[[#This Row],[Strip]]</f>
        <v>c3ewJan28</v>
      </c>
      <c r="G2006" s="18" t="str">
        <f>RTD("ice.rtd",,$C2006 &amp; $D2006 &amp; ":" &amp; G$1)</f>
        <v/>
      </c>
      <c r="H2006" s="18" t="str">
        <f>RTD("ice.rtd",,$C2006 &amp; $D2006 &amp; ":" &amp; H$1)</f>
        <v/>
      </c>
      <c r="I2006" s="18" t="str">
        <f>RTD("ice.rtd",,$C2006 &amp; $D2006 &amp; ":" &amp; I$1)</f>
        <v/>
      </c>
      <c r="J2006" s="14" t="str">
        <f>IFERROR(MOD(RTD("ice.rtd",,$C2006 &amp; $D2006 &amp; ":" &amp; J$1), 1), "")</f>
        <v/>
      </c>
      <c r="K2006" s="18" t="str">
        <f>RTD("ice.rtd",,$C2006 &amp; $D2006 &amp; ":" &amp; K$1)</f>
        <v/>
      </c>
      <c r="L2006" s="36" t="str">
        <f>RTD("ice.rtd",,$C2006 &amp; $D2006 &amp; ":" &amp; L$1)</f>
        <v/>
      </c>
      <c r="M2006" s="14" t="str">
        <f>IFERROR(MOD(TIMEVALUE(RTD("ice.rtd",,$C2006 &amp; $D2006 &amp; ":" &amp; M$1)), 1), "")</f>
        <v/>
      </c>
      <c r="N2006" s="36">
        <f>RTD("ice.rtd",,$C2006 &amp; $D2006 &amp; ":" &amp; N$1)</f>
        <v>0</v>
      </c>
      <c r="O2006" s="36">
        <f>RTD("ice.rtd",,$C2006 &amp; $D2006 &amp; ":" &amp; O$1)</f>
        <v>0</v>
      </c>
      <c r="P200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6" s="14" t="str">
        <f>IF(ICE[[#This Row],[LastType]] = "Scrn", ICE[[#This Row],[LstDate]], IF(ICE[[#This Row],[LastType]] = "Blk", ICE[[#This Row],[LstBlkTime]], ""))</f>
        <v/>
      </c>
      <c r="R2006" s="41" t="str">
        <f>IF(ICE[[#This Row],[LastType]] = "Scrn", ICE[[#This Row],[LstPrc]], IF(ICE[[#This Row],[LastType]] = "Blk", ICE[[#This Row],[LstBlkPrc]], ""))</f>
        <v/>
      </c>
      <c r="S2006" s="36">
        <f>ICE[[#This Row],[Vol]]+ICE[[#This Row],[BlkVol]]</f>
        <v>0</v>
      </c>
      <c r="T2006" s="36">
        <f>RTD("ice.rtd",,$C2006 &amp; $D2006 &amp; ":" &amp; T$1)</f>
        <v>1</v>
      </c>
      <c r="U2006" s="18">
        <f>RTD("ice.rtd",,$C2006 &amp; $D2006 &amp; ":" &amp; U$1)</f>
        <v>75.8</v>
      </c>
      <c r="V200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06" s="18" t="str">
        <f>IFERROR(IF(LEFT(ICE[[#This Row],[Tenor]], 1) = "B", RTD("esrtd",,$B2006 &amp; " " &amp; ICE[[#This Row],[Tenor]] &amp; "-IEU", W$1), RTD("esrtd",,$B2006 &amp; " " &amp; VLOOKUP(MONTH(ICE[[#This Row],[Strip]]), MthRef[], 2, 0) &amp; RIGHT(YEAR(ICE[[#This Row],[Strip]]), 2) &amp; "-IEU", W$1)), "")</f>
        <v/>
      </c>
      <c r="X2006" s="36"/>
    </row>
    <row r="2007" spans="1:24" x14ac:dyDescent="0.25">
      <c r="A2007" s="37" t="s">
        <v>379</v>
      </c>
      <c r="B2007" s="88" t="str">
        <f>RTD("ice.rtd",,$C2007 &amp; $D2007 &amp; ":" &amp; B$1)</f>
        <v>EGD</v>
      </c>
      <c r="C2007" s="3">
        <v>32623993</v>
      </c>
      <c r="D2007" t="s">
        <v>806</v>
      </c>
      <c r="E2007" s="3" t="str">
        <f>RTD("ice.rtd",,$C2007 &amp; $D2007 &amp; ":" &amp; E$1)</f>
        <v>Feb28</v>
      </c>
      <c r="F2007" s="3" t="str">
        <f>ICE[[#This Row],[Prod]]&amp;ICE[[#This Row],[Strip]]</f>
        <v>c3ewFeb28</v>
      </c>
      <c r="G2007" s="18" t="str">
        <f>RTD("ice.rtd",,$C2007 &amp; $D2007 &amp; ":" &amp; G$1)</f>
        <v/>
      </c>
      <c r="H2007" s="18" t="str">
        <f>RTD("ice.rtd",,$C2007 &amp; $D2007 &amp; ":" &amp; H$1)</f>
        <v/>
      </c>
      <c r="I2007" s="18" t="str">
        <f>RTD("ice.rtd",,$C2007 &amp; $D2007 &amp; ":" &amp; I$1)</f>
        <v/>
      </c>
      <c r="J2007" s="14" t="str">
        <f>IFERROR(MOD(RTD("ice.rtd",,$C2007 &amp; $D2007 &amp; ":" &amp; J$1), 1), "")</f>
        <v/>
      </c>
      <c r="K2007" s="18" t="str">
        <f>RTD("ice.rtd",,$C2007 &amp; $D2007 &amp; ":" &amp; K$1)</f>
        <v/>
      </c>
      <c r="L2007" s="36" t="str">
        <f>RTD("ice.rtd",,$C2007 &amp; $D2007 &amp; ":" &amp; L$1)</f>
        <v/>
      </c>
      <c r="M2007" s="14" t="str">
        <f>IFERROR(MOD(TIMEVALUE(RTD("ice.rtd",,$C2007 &amp; $D2007 &amp; ":" &amp; M$1)), 1), "")</f>
        <v/>
      </c>
      <c r="N2007" s="36">
        <f>RTD("ice.rtd",,$C2007 &amp; $D2007 &amp; ":" &amp; N$1)</f>
        <v>0</v>
      </c>
      <c r="O2007" s="36">
        <f>RTD("ice.rtd",,$C2007 &amp; $D2007 &amp; ":" &amp; O$1)</f>
        <v>0</v>
      </c>
      <c r="P200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7" s="14" t="str">
        <f>IF(ICE[[#This Row],[LastType]] = "Scrn", ICE[[#This Row],[LstDate]], IF(ICE[[#This Row],[LastType]] = "Blk", ICE[[#This Row],[LstBlkTime]], ""))</f>
        <v/>
      </c>
      <c r="R2007" s="41" t="str">
        <f>IF(ICE[[#This Row],[LastType]] = "Scrn", ICE[[#This Row],[LstPrc]], IF(ICE[[#This Row],[LastType]] = "Blk", ICE[[#This Row],[LstBlkPrc]], ""))</f>
        <v/>
      </c>
      <c r="S2007" s="36">
        <f>ICE[[#This Row],[Vol]]+ICE[[#This Row],[BlkVol]]</f>
        <v>0</v>
      </c>
      <c r="T2007" s="36">
        <f>RTD("ice.rtd",,$C2007 &amp; $D2007 &amp; ":" &amp; T$1)</f>
        <v>1</v>
      </c>
      <c r="U2007" s="18">
        <f>RTD("ice.rtd",,$C2007 &amp; $D2007 &amp; ":" &amp; U$1)</f>
        <v>72.3</v>
      </c>
      <c r="V200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07" s="18" t="str">
        <f>IFERROR(IF(LEFT(ICE[[#This Row],[Tenor]], 1) = "B", RTD("esrtd",,$B2007 &amp; " " &amp; ICE[[#This Row],[Tenor]] &amp; "-IEU", W$1), RTD("esrtd",,$B2007 &amp; " " &amp; VLOOKUP(MONTH(ICE[[#This Row],[Strip]]), MthRef[], 2, 0) &amp; RIGHT(YEAR(ICE[[#This Row],[Strip]]), 2) &amp; "-IEU", W$1)), "")</f>
        <v/>
      </c>
      <c r="X2007" s="36"/>
    </row>
    <row r="2008" spans="1:24" x14ac:dyDescent="0.25">
      <c r="A2008" s="37" t="s">
        <v>379</v>
      </c>
      <c r="B2008" s="88" t="str">
        <f>RTD("ice.rtd",,$C2008 &amp; $D2008 &amp; ":" &amp; B$1)</f>
        <v>EGD</v>
      </c>
      <c r="C2008" s="3">
        <v>32623993</v>
      </c>
      <c r="D2008" t="s">
        <v>807</v>
      </c>
      <c r="E2008" s="3" t="str">
        <f>RTD("ice.rtd",,$C2008 &amp; $D2008 &amp; ":" &amp; E$1)</f>
        <v>Mar28</v>
      </c>
      <c r="F2008" s="3" t="str">
        <f>ICE[[#This Row],[Prod]]&amp;ICE[[#This Row],[Strip]]</f>
        <v>c3ewMar28</v>
      </c>
      <c r="G2008" s="18" t="str">
        <f>RTD("ice.rtd",,$C2008 &amp; $D2008 &amp; ":" &amp; G$1)</f>
        <v/>
      </c>
      <c r="H2008" s="18" t="str">
        <f>RTD("ice.rtd",,$C2008 &amp; $D2008 &amp; ":" &amp; H$1)</f>
        <v/>
      </c>
      <c r="I2008" s="18" t="str">
        <f>RTD("ice.rtd",,$C2008 &amp; $D2008 &amp; ":" &amp; I$1)</f>
        <v/>
      </c>
      <c r="J2008" s="14" t="str">
        <f>IFERROR(MOD(RTD("ice.rtd",,$C2008 &amp; $D2008 &amp; ":" &amp; J$1), 1), "")</f>
        <v/>
      </c>
      <c r="K2008" s="18" t="str">
        <f>RTD("ice.rtd",,$C2008 &amp; $D2008 &amp; ":" &amp; K$1)</f>
        <v/>
      </c>
      <c r="L2008" s="36" t="str">
        <f>RTD("ice.rtd",,$C2008 &amp; $D2008 &amp; ":" &amp; L$1)</f>
        <v/>
      </c>
      <c r="M2008" s="14" t="str">
        <f>IFERROR(MOD(TIMEVALUE(RTD("ice.rtd",,$C2008 &amp; $D2008 &amp; ":" &amp; M$1)), 1), "")</f>
        <v/>
      </c>
      <c r="N2008" s="36">
        <f>RTD("ice.rtd",,$C2008 &amp; $D2008 &amp; ":" &amp; N$1)</f>
        <v>0</v>
      </c>
      <c r="O2008" s="36">
        <f>RTD("ice.rtd",,$C2008 &amp; $D2008 &amp; ":" &amp; O$1)</f>
        <v>0</v>
      </c>
      <c r="P200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8" s="14" t="str">
        <f>IF(ICE[[#This Row],[LastType]] = "Scrn", ICE[[#This Row],[LstDate]], IF(ICE[[#This Row],[LastType]] = "Blk", ICE[[#This Row],[LstBlkTime]], ""))</f>
        <v/>
      </c>
      <c r="R2008" s="41" t="str">
        <f>IF(ICE[[#This Row],[LastType]] = "Scrn", ICE[[#This Row],[LstPrc]], IF(ICE[[#This Row],[LastType]] = "Blk", ICE[[#This Row],[LstBlkPrc]], ""))</f>
        <v/>
      </c>
      <c r="S2008" s="36">
        <f>ICE[[#This Row],[Vol]]+ICE[[#This Row],[BlkVol]]</f>
        <v>0</v>
      </c>
      <c r="T2008" s="36">
        <f>RTD("ice.rtd",,$C2008 &amp; $D2008 &amp; ":" &amp; T$1)</f>
        <v>1</v>
      </c>
      <c r="U2008" s="18">
        <f>RTD("ice.rtd",,$C2008 &amp; $D2008 &amp; ":" &amp; U$1)</f>
        <v>67.05</v>
      </c>
      <c r="V200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08" s="18" t="str">
        <f>IFERROR(IF(LEFT(ICE[[#This Row],[Tenor]], 1) = "B", RTD("esrtd",,$B2008 &amp; " " &amp; ICE[[#This Row],[Tenor]] &amp; "-IEU", W$1), RTD("esrtd",,$B2008 &amp; " " &amp; VLOOKUP(MONTH(ICE[[#This Row],[Strip]]), MthRef[], 2, 0) &amp; RIGHT(YEAR(ICE[[#This Row],[Strip]]), 2) &amp; "-IEU", W$1)), "")</f>
        <v/>
      </c>
      <c r="X2008" s="36"/>
    </row>
    <row r="2009" spans="1:24" x14ac:dyDescent="0.25">
      <c r="A2009" s="37" t="s">
        <v>379</v>
      </c>
      <c r="B2009" s="88" t="str">
        <f>RTD("ice.rtd",,$C2009 &amp; $D2009 &amp; ":" &amp; B$1)</f>
        <v>EGD</v>
      </c>
      <c r="C2009" s="3">
        <v>32623993</v>
      </c>
      <c r="D2009" t="s">
        <v>808</v>
      </c>
      <c r="E2009" s="3" t="str">
        <f>RTD("ice.rtd",,$C2009 &amp; $D2009 &amp; ":" &amp; E$1)</f>
        <v>Apr28</v>
      </c>
      <c r="F2009" s="3" t="str">
        <f>ICE[[#This Row],[Prod]]&amp;ICE[[#This Row],[Strip]]</f>
        <v>c3ewApr28</v>
      </c>
      <c r="G2009" s="18" t="str">
        <f>RTD("ice.rtd",,$C2009 &amp; $D2009 &amp; ":" &amp; G$1)</f>
        <v/>
      </c>
      <c r="H2009" s="18" t="str">
        <f>RTD("ice.rtd",,$C2009 &amp; $D2009 &amp; ":" &amp; H$1)</f>
        <v/>
      </c>
      <c r="I2009" s="18" t="str">
        <f>RTD("ice.rtd",,$C2009 &amp; $D2009 &amp; ":" &amp; I$1)</f>
        <v/>
      </c>
      <c r="J2009" s="14" t="str">
        <f>IFERROR(MOD(RTD("ice.rtd",,$C2009 &amp; $D2009 &amp; ":" &amp; J$1), 1), "")</f>
        <v/>
      </c>
      <c r="K2009" s="18" t="str">
        <f>RTD("ice.rtd",,$C2009 &amp; $D2009 &amp; ":" &amp; K$1)</f>
        <v/>
      </c>
      <c r="L2009" s="36" t="str">
        <f>RTD("ice.rtd",,$C2009 &amp; $D2009 &amp; ":" &amp; L$1)</f>
        <v/>
      </c>
      <c r="M2009" s="14" t="str">
        <f>IFERROR(MOD(TIMEVALUE(RTD("ice.rtd",,$C2009 &amp; $D2009 &amp; ":" &amp; M$1)), 1), "")</f>
        <v/>
      </c>
      <c r="N2009" s="36">
        <f>RTD("ice.rtd",,$C2009 &amp; $D2009 &amp; ":" &amp; N$1)</f>
        <v>0</v>
      </c>
      <c r="O2009" s="36">
        <f>RTD("ice.rtd",,$C2009 &amp; $D2009 &amp; ":" &amp; O$1)</f>
        <v>0</v>
      </c>
      <c r="P200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09" s="14" t="str">
        <f>IF(ICE[[#This Row],[LastType]] = "Scrn", ICE[[#This Row],[LstDate]], IF(ICE[[#This Row],[LastType]] = "Blk", ICE[[#This Row],[LstBlkTime]], ""))</f>
        <v/>
      </c>
      <c r="R2009" s="41" t="str">
        <f>IF(ICE[[#This Row],[LastType]] = "Scrn", ICE[[#This Row],[LstPrc]], IF(ICE[[#This Row],[LastType]] = "Blk", ICE[[#This Row],[LstBlkPrc]], ""))</f>
        <v/>
      </c>
      <c r="S2009" s="36">
        <f>ICE[[#This Row],[Vol]]+ICE[[#This Row],[BlkVol]]</f>
        <v>0</v>
      </c>
      <c r="T2009" s="36">
        <f>RTD("ice.rtd",,$C2009 &amp; $D2009 &amp; ":" &amp; T$1)</f>
        <v>1</v>
      </c>
      <c r="U2009" s="18">
        <f>RTD("ice.rtd",,$C2009 &amp; $D2009 &amp; ":" &amp; U$1)</f>
        <v>61.550000000000004</v>
      </c>
      <c r="V200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09" s="18" t="str">
        <f>IFERROR(IF(LEFT(ICE[[#This Row],[Tenor]], 1) = "B", RTD("esrtd",,$B2009 &amp; " " &amp; ICE[[#This Row],[Tenor]] &amp; "-IEU", W$1), RTD("esrtd",,$B2009 &amp; " " &amp; VLOOKUP(MONTH(ICE[[#This Row],[Strip]]), MthRef[], 2, 0) &amp; RIGHT(YEAR(ICE[[#This Row],[Strip]]), 2) &amp; "-IEU", W$1)), "")</f>
        <v/>
      </c>
      <c r="X2009" s="36"/>
    </row>
    <row r="2010" spans="1:24" x14ac:dyDescent="0.25">
      <c r="A2010" s="37" t="s">
        <v>379</v>
      </c>
      <c r="B2010" s="88" t="str">
        <f>RTD("ice.rtd",,$C2010 &amp; $D2010 &amp; ":" &amp; B$1)</f>
        <v>EGD</v>
      </c>
      <c r="C2010" s="3">
        <v>32623993</v>
      </c>
      <c r="D2010" t="s">
        <v>809</v>
      </c>
      <c r="E2010" s="3" t="str">
        <f>RTD("ice.rtd",,$C2010 &amp; $D2010 &amp; ":" &amp; E$1)</f>
        <v>May28</v>
      </c>
      <c r="F2010" s="3" t="str">
        <f>ICE[[#This Row],[Prod]]&amp;ICE[[#This Row],[Strip]]</f>
        <v>c3ewMay28</v>
      </c>
      <c r="G2010" s="18" t="str">
        <f>RTD("ice.rtd",,$C2010 &amp; $D2010 &amp; ":" &amp; G$1)</f>
        <v/>
      </c>
      <c r="H2010" s="18" t="str">
        <f>RTD("ice.rtd",,$C2010 &amp; $D2010 &amp; ":" &amp; H$1)</f>
        <v/>
      </c>
      <c r="I2010" s="18" t="str">
        <f>RTD("ice.rtd",,$C2010 &amp; $D2010 &amp; ":" &amp; I$1)</f>
        <v/>
      </c>
      <c r="J2010" s="14" t="str">
        <f>IFERROR(MOD(RTD("ice.rtd",,$C2010 &amp; $D2010 &amp; ":" &amp; J$1), 1), "")</f>
        <v/>
      </c>
      <c r="K2010" s="18" t="str">
        <f>RTD("ice.rtd",,$C2010 &amp; $D2010 &amp; ":" &amp; K$1)</f>
        <v/>
      </c>
      <c r="L2010" s="36" t="str">
        <f>RTD("ice.rtd",,$C2010 &amp; $D2010 &amp; ":" &amp; L$1)</f>
        <v/>
      </c>
      <c r="M2010" s="14" t="str">
        <f>IFERROR(MOD(TIMEVALUE(RTD("ice.rtd",,$C2010 &amp; $D2010 &amp; ":" &amp; M$1)), 1), "")</f>
        <v/>
      </c>
      <c r="N2010" s="36">
        <f>RTD("ice.rtd",,$C2010 &amp; $D2010 &amp; ":" &amp; N$1)</f>
        <v>0</v>
      </c>
      <c r="O2010" s="36">
        <f>RTD("ice.rtd",,$C2010 &amp; $D2010 &amp; ":" &amp; O$1)</f>
        <v>0</v>
      </c>
      <c r="P201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0" s="14" t="str">
        <f>IF(ICE[[#This Row],[LastType]] = "Scrn", ICE[[#This Row],[LstDate]], IF(ICE[[#This Row],[LastType]] = "Blk", ICE[[#This Row],[LstBlkTime]], ""))</f>
        <v/>
      </c>
      <c r="R2010" s="41" t="str">
        <f>IF(ICE[[#This Row],[LastType]] = "Scrn", ICE[[#This Row],[LstPrc]], IF(ICE[[#This Row],[LastType]] = "Blk", ICE[[#This Row],[LstBlkPrc]], ""))</f>
        <v/>
      </c>
      <c r="S2010" s="36">
        <f>ICE[[#This Row],[Vol]]+ICE[[#This Row],[BlkVol]]</f>
        <v>0</v>
      </c>
      <c r="T2010" s="36">
        <f>RTD("ice.rtd",,$C2010 &amp; $D2010 &amp; ":" &amp; T$1)</f>
        <v>1</v>
      </c>
      <c r="U2010" s="18">
        <f>RTD("ice.rtd",,$C2010 &amp; $D2010 &amp; ":" &amp; U$1)</f>
        <v>59.800000000000004</v>
      </c>
      <c r="V201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0" s="18" t="str">
        <f>IFERROR(IF(LEFT(ICE[[#This Row],[Tenor]], 1) = "B", RTD("esrtd",,$B2010 &amp; " " &amp; ICE[[#This Row],[Tenor]] &amp; "-IEU", W$1), RTD("esrtd",,$B2010 &amp; " " &amp; VLOOKUP(MONTH(ICE[[#This Row],[Strip]]), MthRef[], 2, 0) &amp; RIGHT(YEAR(ICE[[#This Row],[Strip]]), 2) &amp; "-IEU", W$1)), "")</f>
        <v/>
      </c>
      <c r="X2010" s="36"/>
    </row>
    <row r="2011" spans="1:24" x14ac:dyDescent="0.25">
      <c r="A2011" s="37" t="s">
        <v>379</v>
      </c>
      <c r="B2011" s="88" t="str">
        <f>RTD("ice.rtd",,$C2011 &amp; $D2011 &amp; ":" &amp; B$1)</f>
        <v>EGD</v>
      </c>
      <c r="C2011" s="3">
        <v>32623993</v>
      </c>
      <c r="D2011" t="s">
        <v>810</v>
      </c>
      <c r="E2011" s="3" t="str">
        <f>RTD("ice.rtd",,$C2011 &amp; $D2011 &amp; ":" &amp; E$1)</f>
        <v>Jun28</v>
      </c>
      <c r="F2011" s="3" t="str">
        <f>ICE[[#This Row],[Prod]]&amp;ICE[[#This Row],[Strip]]</f>
        <v>c3ewJun28</v>
      </c>
      <c r="G2011" s="18" t="str">
        <f>RTD("ice.rtd",,$C2011 &amp; $D2011 &amp; ":" &amp; G$1)</f>
        <v/>
      </c>
      <c r="H2011" s="18" t="str">
        <f>RTD("ice.rtd",,$C2011 &amp; $D2011 &amp; ":" &amp; H$1)</f>
        <v/>
      </c>
      <c r="I2011" s="18" t="str">
        <f>RTD("ice.rtd",,$C2011 &amp; $D2011 &amp; ":" &amp; I$1)</f>
        <v/>
      </c>
      <c r="J2011" s="14" t="str">
        <f>IFERROR(MOD(RTD("ice.rtd",,$C2011 &amp; $D2011 &amp; ":" &amp; J$1), 1), "")</f>
        <v/>
      </c>
      <c r="K2011" s="18" t="str">
        <f>RTD("ice.rtd",,$C2011 &amp; $D2011 &amp; ":" &amp; K$1)</f>
        <v/>
      </c>
      <c r="L2011" s="36" t="str">
        <f>RTD("ice.rtd",,$C2011 &amp; $D2011 &amp; ":" &amp; L$1)</f>
        <v/>
      </c>
      <c r="M2011" s="14" t="str">
        <f>IFERROR(MOD(TIMEVALUE(RTD("ice.rtd",,$C2011 &amp; $D2011 &amp; ":" &amp; M$1)), 1), "")</f>
        <v/>
      </c>
      <c r="N2011" s="36">
        <f>RTD("ice.rtd",,$C2011 &amp; $D2011 &amp; ":" &amp; N$1)</f>
        <v>0</v>
      </c>
      <c r="O2011" s="36">
        <f>RTD("ice.rtd",,$C2011 &amp; $D2011 &amp; ":" &amp; O$1)</f>
        <v>0</v>
      </c>
      <c r="P201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1" s="14" t="str">
        <f>IF(ICE[[#This Row],[LastType]] = "Scrn", ICE[[#This Row],[LstDate]], IF(ICE[[#This Row],[LastType]] = "Blk", ICE[[#This Row],[LstBlkTime]], ""))</f>
        <v/>
      </c>
      <c r="R2011" s="41" t="str">
        <f>IF(ICE[[#This Row],[LastType]] = "Scrn", ICE[[#This Row],[LstPrc]], IF(ICE[[#This Row],[LastType]] = "Blk", ICE[[#This Row],[LstBlkPrc]], ""))</f>
        <v/>
      </c>
      <c r="S2011" s="36">
        <f>ICE[[#This Row],[Vol]]+ICE[[#This Row],[BlkVol]]</f>
        <v>0</v>
      </c>
      <c r="T2011" s="36">
        <f>RTD("ice.rtd",,$C2011 &amp; $D2011 &amp; ":" &amp; T$1)</f>
        <v>1</v>
      </c>
      <c r="U2011" s="18">
        <f>RTD("ice.rtd",,$C2011 &amp; $D2011 &amp; ":" &amp; U$1)</f>
        <v>58.800000000000004</v>
      </c>
      <c r="V201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1" s="18" t="str">
        <f>IFERROR(IF(LEFT(ICE[[#This Row],[Tenor]], 1) = "B", RTD("esrtd",,$B2011 &amp; " " &amp; ICE[[#This Row],[Tenor]] &amp; "-IEU", W$1), RTD("esrtd",,$B2011 &amp; " " &amp; VLOOKUP(MONTH(ICE[[#This Row],[Strip]]), MthRef[], 2, 0) &amp; RIGHT(YEAR(ICE[[#This Row],[Strip]]), 2) &amp; "-IEU", W$1)), "")</f>
        <v/>
      </c>
      <c r="X2011" s="36"/>
    </row>
    <row r="2012" spans="1:24" x14ac:dyDescent="0.25">
      <c r="A2012" s="37" t="s">
        <v>379</v>
      </c>
      <c r="B2012" s="88" t="str">
        <f>RTD("ice.rtd",,$C2012 &amp; $D2012 &amp; ":" &amp; B$1)</f>
        <v>EGD</v>
      </c>
      <c r="C2012" s="3">
        <v>32623993</v>
      </c>
      <c r="D2012" t="s">
        <v>811</v>
      </c>
      <c r="E2012" s="3" t="str">
        <f>RTD("ice.rtd",,$C2012 &amp; $D2012 &amp; ":" &amp; E$1)</f>
        <v>Jul28</v>
      </c>
      <c r="F2012" s="3" t="str">
        <f>ICE[[#This Row],[Prod]]&amp;ICE[[#This Row],[Strip]]</f>
        <v>c3ewJul28</v>
      </c>
      <c r="G2012" s="18" t="str">
        <f>RTD("ice.rtd",,$C2012 &amp; $D2012 &amp; ":" &amp; G$1)</f>
        <v/>
      </c>
      <c r="H2012" s="18" t="str">
        <f>RTD("ice.rtd",,$C2012 &amp; $D2012 &amp; ":" &amp; H$1)</f>
        <v/>
      </c>
      <c r="I2012" s="18" t="str">
        <f>RTD("ice.rtd",,$C2012 &amp; $D2012 &amp; ":" &amp; I$1)</f>
        <v/>
      </c>
      <c r="J2012" s="14" t="str">
        <f>IFERROR(MOD(RTD("ice.rtd",,$C2012 &amp; $D2012 &amp; ":" &amp; J$1), 1), "")</f>
        <v/>
      </c>
      <c r="K2012" s="18" t="str">
        <f>RTD("ice.rtd",,$C2012 &amp; $D2012 &amp; ":" &amp; K$1)</f>
        <v/>
      </c>
      <c r="L2012" s="36" t="str">
        <f>RTD("ice.rtd",,$C2012 &amp; $D2012 &amp; ":" &amp; L$1)</f>
        <v/>
      </c>
      <c r="M2012" s="14" t="str">
        <f>IFERROR(MOD(TIMEVALUE(RTD("ice.rtd",,$C2012 &amp; $D2012 &amp; ":" &amp; M$1)), 1), "")</f>
        <v/>
      </c>
      <c r="N2012" s="36">
        <f>RTD("ice.rtd",,$C2012 &amp; $D2012 &amp; ":" &amp; N$1)</f>
        <v>0</v>
      </c>
      <c r="O2012" s="36">
        <f>RTD("ice.rtd",,$C2012 &amp; $D2012 &amp; ":" &amp; O$1)</f>
        <v>0</v>
      </c>
      <c r="P201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2" s="14" t="str">
        <f>IF(ICE[[#This Row],[LastType]] = "Scrn", ICE[[#This Row],[LstDate]], IF(ICE[[#This Row],[LastType]] = "Blk", ICE[[#This Row],[LstBlkTime]], ""))</f>
        <v/>
      </c>
      <c r="R2012" s="41" t="str">
        <f>IF(ICE[[#This Row],[LastType]] = "Scrn", ICE[[#This Row],[LstPrc]], IF(ICE[[#This Row],[LastType]] = "Blk", ICE[[#This Row],[LstBlkPrc]], ""))</f>
        <v/>
      </c>
      <c r="S2012" s="36">
        <f>ICE[[#This Row],[Vol]]+ICE[[#This Row],[BlkVol]]</f>
        <v>0</v>
      </c>
      <c r="T2012" s="36">
        <f>RTD("ice.rtd",,$C2012 &amp; $D2012 &amp; ":" &amp; T$1)</f>
        <v>1</v>
      </c>
      <c r="U2012" s="18">
        <f>RTD("ice.rtd",,$C2012 &amp; $D2012 &amp; ":" &amp; U$1)</f>
        <v>56.800000000000004</v>
      </c>
      <c r="V201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2" s="18" t="str">
        <f>IFERROR(IF(LEFT(ICE[[#This Row],[Tenor]], 1) = "B", RTD("esrtd",,$B2012 &amp; " " &amp; ICE[[#This Row],[Tenor]] &amp; "-IEU", W$1), RTD("esrtd",,$B2012 &amp; " " &amp; VLOOKUP(MONTH(ICE[[#This Row],[Strip]]), MthRef[], 2, 0) &amp; RIGHT(YEAR(ICE[[#This Row],[Strip]]), 2) &amp; "-IEU", W$1)), "")</f>
        <v/>
      </c>
      <c r="X2012" s="36"/>
    </row>
    <row r="2013" spans="1:24" x14ac:dyDescent="0.25">
      <c r="A2013" s="37" t="s">
        <v>379</v>
      </c>
      <c r="B2013" s="88" t="str">
        <f>RTD("ice.rtd",,$C2013 &amp; $D2013 &amp; ":" &amp; B$1)</f>
        <v>EGD</v>
      </c>
      <c r="C2013" s="3">
        <v>32623993</v>
      </c>
      <c r="D2013" t="s">
        <v>812</v>
      </c>
      <c r="E2013" s="3" t="str">
        <f>RTD("ice.rtd",,$C2013 &amp; $D2013 &amp; ":" &amp; E$1)</f>
        <v>Aug28</v>
      </c>
      <c r="F2013" s="3" t="str">
        <f>ICE[[#This Row],[Prod]]&amp;ICE[[#This Row],[Strip]]</f>
        <v>c3ewAug28</v>
      </c>
      <c r="G2013" s="18" t="str">
        <f>RTD("ice.rtd",,$C2013 &amp; $D2013 &amp; ":" &amp; G$1)</f>
        <v/>
      </c>
      <c r="H2013" s="18" t="str">
        <f>RTD("ice.rtd",,$C2013 &amp; $D2013 &amp; ":" &amp; H$1)</f>
        <v/>
      </c>
      <c r="I2013" s="18" t="str">
        <f>RTD("ice.rtd",,$C2013 &amp; $D2013 &amp; ":" &amp; I$1)</f>
        <v/>
      </c>
      <c r="J2013" s="14" t="str">
        <f>IFERROR(MOD(RTD("ice.rtd",,$C2013 &amp; $D2013 &amp; ":" &amp; J$1), 1), "")</f>
        <v/>
      </c>
      <c r="K2013" s="18" t="str">
        <f>RTD("ice.rtd",,$C2013 &amp; $D2013 &amp; ":" &amp; K$1)</f>
        <v/>
      </c>
      <c r="L2013" s="36" t="str">
        <f>RTD("ice.rtd",,$C2013 &amp; $D2013 &amp; ":" &amp; L$1)</f>
        <v/>
      </c>
      <c r="M2013" s="14" t="str">
        <f>IFERROR(MOD(TIMEVALUE(RTD("ice.rtd",,$C2013 &amp; $D2013 &amp; ":" &amp; M$1)), 1), "")</f>
        <v/>
      </c>
      <c r="N2013" s="36">
        <f>RTD("ice.rtd",,$C2013 &amp; $D2013 &amp; ":" &amp; N$1)</f>
        <v>0</v>
      </c>
      <c r="O2013" s="36">
        <f>RTD("ice.rtd",,$C2013 &amp; $D2013 &amp; ":" &amp; O$1)</f>
        <v>0</v>
      </c>
      <c r="P201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3" s="14" t="str">
        <f>IF(ICE[[#This Row],[LastType]] = "Scrn", ICE[[#This Row],[LstDate]], IF(ICE[[#This Row],[LastType]] = "Blk", ICE[[#This Row],[LstBlkTime]], ""))</f>
        <v/>
      </c>
      <c r="R2013" s="41" t="str">
        <f>IF(ICE[[#This Row],[LastType]] = "Scrn", ICE[[#This Row],[LstPrc]], IF(ICE[[#This Row],[LastType]] = "Blk", ICE[[#This Row],[LstBlkPrc]], ""))</f>
        <v/>
      </c>
      <c r="S2013" s="36">
        <f>ICE[[#This Row],[Vol]]+ICE[[#This Row],[BlkVol]]</f>
        <v>0</v>
      </c>
      <c r="T2013" s="36">
        <f>RTD("ice.rtd",,$C2013 &amp; $D2013 &amp; ":" &amp; T$1)</f>
        <v>1</v>
      </c>
      <c r="U2013" s="18">
        <f>RTD("ice.rtd",,$C2013 &amp; $D2013 &amp; ":" &amp; U$1)</f>
        <v>55.800000000000004</v>
      </c>
      <c r="V201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3" s="18" t="str">
        <f>IFERROR(IF(LEFT(ICE[[#This Row],[Tenor]], 1) = "B", RTD("esrtd",,$B2013 &amp; " " &amp; ICE[[#This Row],[Tenor]] &amp; "-IEU", W$1), RTD("esrtd",,$B2013 &amp; " " &amp; VLOOKUP(MONTH(ICE[[#This Row],[Strip]]), MthRef[], 2, 0) &amp; RIGHT(YEAR(ICE[[#This Row],[Strip]]), 2) &amp; "-IEU", W$1)), "")</f>
        <v/>
      </c>
      <c r="X2013" s="36"/>
    </row>
    <row r="2014" spans="1:24" x14ac:dyDescent="0.25">
      <c r="A2014" s="37" t="s">
        <v>379</v>
      </c>
      <c r="B2014" s="88" t="str">
        <f>RTD("ice.rtd",,$C2014 &amp; $D2014 &amp; ":" &amp; B$1)</f>
        <v>EGD</v>
      </c>
      <c r="C2014" s="3">
        <v>32623993</v>
      </c>
      <c r="D2014" t="s">
        <v>813</v>
      </c>
      <c r="E2014" s="3" t="str">
        <f>RTD("ice.rtd",,$C2014 &amp; $D2014 &amp; ":" &amp; E$1)</f>
        <v>Sep28</v>
      </c>
      <c r="F2014" s="3" t="str">
        <f>ICE[[#This Row],[Prod]]&amp;ICE[[#This Row],[Strip]]</f>
        <v>c3ewSep28</v>
      </c>
      <c r="G2014" s="18" t="str">
        <f>RTD("ice.rtd",,$C2014 &amp; $D2014 &amp; ":" &amp; G$1)</f>
        <v/>
      </c>
      <c r="H2014" s="18" t="str">
        <f>RTD("ice.rtd",,$C2014 &amp; $D2014 &amp; ":" &amp; H$1)</f>
        <v/>
      </c>
      <c r="I2014" s="18" t="str">
        <f>RTD("ice.rtd",,$C2014 &amp; $D2014 &amp; ":" &amp; I$1)</f>
        <v/>
      </c>
      <c r="J2014" s="14" t="str">
        <f>IFERROR(MOD(RTD("ice.rtd",,$C2014 &amp; $D2014 &amp; ":" &amp; J$1), 1), "")</f>
        <v/>
      </c>
      <c r="K2014" s="18" t="str">
        <f>RTD("ice.rtd",,$C2014 &amp; $D2014 &amp; ":" &amp; K$1)</f>
        <v/>
      </c>
      <c r="L2014" s="36" t="str">
        <f>RTD("ice.rtd",,$C2014 &amp; $D2014 &amp; ":" &amp; L$1)</f>
        <v/>
      </c>
      <c r="M2014" s="14" t="str">
        <f>IFERROR(MOD(TIMEVALUE(RTD("ice.rtd",,$C2014 &amp; $D2014 &amp; ":" &amp; M$1)), 1), "")</f>
        <v/>
      </c>
      <c r="N2014" s="36">
        <f>RTD("ice.rtd",,$C2014 &amp; $D2014 &amp; ":" &amp; N$1)</f>
        <v>0</v>
      </c>
      <c r="O2014" s="36">
        <f>RTD("ice.rtd",,$C2014 &amp; $D2014 &amp; ":" &amp; O$1)</f>
        <v>0</v>
      </c>
      <c r="P201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4" s="14" t="str">
        <f>IF(ICE[[#This Row],[LastType]] = "Scrn", ICE[[#This Row],[LstDate]], IF(ICE[[#This Row],[LastType]] = "Blk", ICE[[#This Row],[LstBlkTime]], ""))</f>
        <v/>
      </c>
      <c r="R2014" s="41" t="str">
        <f>IF(ICE[[#This Row],[LastType]] = "Scrn", ICE[[#This Row],[LstPrc]], IF(ICE[[#This Row],[LastType]] = "Blk", ICE[[#This Row],[LstBlkPrc]], ""))</f>
        <v/>
      </c>
      <c r="S2014" s="36">
        <f>ICE[[#This Row],[Vol]]+ICE[[#This Row],[BlkVol]]</f>
        <v>0</v>
      </c>
      <c r="T2014" s="36">
        <f>RTD("ice.rtd",,$C2014 &amp; $D2014 &amp; ":" &amp; T$1)</f>
        <v>1</v>
      </c>
      <c r="U2014" s="18">
        <f>RTD("ice.rtd",,$C2014 &amp; $D2014 &amp; ":" &amp; U$1)</f>
        <v>54.800000000000004</v>
      </c>
      <c r="V201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4" s="18" t="str">
        <f>IFERROR(IF(LEFT(ICE[[#This Row],[Tenor]], 1) = "B", RTD("esrtd",,$B2014 &amp; " " &amp; ICE[[#This Row],[Tenor]] &amp; "-IEU", W$1), RTD("esrtd",,$B2014 &amp; " " &amp; VLOOKUP(MONTH(ICE[[#This Row],[Strip]]), MthRef[], 2, 0) &amp; RIGHT(YEAR(ICE[[#This Row],[Strip]]), 2) &amp; "-IEU", W$1)), "")</f>
        <v/>
      </c>
      <c r="X2014" s="36"/>
    </row>
    <row r="2015" spans="1:24" x14ac:dyDescent="0.25">
      <c r="A2015" s="37" t="s">
        <v>379</v>
      </c>
      <c r="B2015" s="88" t="str">
        <f>RTD("ice.rtd",,$C2015 &amp; $D2015 &amp; ":" &amp; B$1)</f>
        <v>EGD</v>
      </c>
      <c r="C2015" s="3">
        <v>32623993</v>
      </c>
      <c r="D2015" t="s">
        <v>814</v>
      </c>
      <c r="E2015" s="3" t="str">
        <f>RTD("ice.rtd",,$C2015 &amp; $D2015 &amp; ":" &amp; E$1)</f>
        <v>Q4 26</v>
      </c>
      <c r="F2015" s="3" t="str">
        <f>ICE[[#This Row],[Prod]]&amp;ICE[[#This Row],[Strip]]</f>
        <v>c3ewQ4 26</v>
      </c>
      <c r="G2015" s="18" t="str">
        <f>RTD("ice.rtd",,$C2015 &amp; $D2015 &amp; ":" &amp; G$1)</f>
        <v/>
      </c>
      <c r="H2015" s="18" t="str">
        <f>RTD("ice.rtd",,$C2015 &amp; $D2015 &amp; ":" &amp; H$1)</f>
        <v/>
      </c>
      <c r="I2015" s="18" t="str">
        <f>RTD("ice.rtd",,$C2015 &amp; $D2015 &amp; ":" &amp; I$1)</f>
        <v/>
      </c>
      <c r="J2015" s="14" t="str">
        <f>IFERROR(MOD(RTD("ice.rtd",,$C2015 &amp; $D2015 &amp; ":" &amp; J$1), 1), "")</f>
        <v/>
      </c>
      <c r="K2015" s="18" t="str">
        <f>RTD("ice.rtd",,$C2015 &amp; $D2015 &amp; ":" &amp; K$1)</f>
        <v/>
      </c>
      <c r="L2015" s="36" t="str">
        <f>RTD("ice.rtd",,$C2015 &amp; $D2015 &amp; ":" &amp; L$1)</f>
        <v/>
      </c>
      <c r="M2015" s="14" t="str">
        <f>IFERROR(MOD(TIMEVALUE(RTD("ice.rtd",,$C2015 &amp; $D2015 &amp; ":" &amp; M$1)), 1), "")</f>
        <v/>
      </c>
      <c r="N2015" s="36">
        <f>RTD("ice.rtd",,$C2015 &amp; $D2015 &amp; ":" &amp; N$1)</f>
        <v>0</v>
      </c>
      <c r="O2015" s="36">
        <f>RTD("ice.rtd",,$C2015 &amp; $D2015 &amp; ":" &amp; O$1)</f>
        <v>0</v>
      </c>
      <c r="P201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5" s="14" t="str">
        <f>IF(ICE[[#This Row],[LastType]] = "Scrn", ICE[[#This Row],[LstDate]], IF(ICE[[#This Row],[LastType]] = "Blk", ICE[[#This Row],[LstBlkTime]], ""))</f>
        <v/>
      </c>
      <c r="R2015" s="41" t="str">
        <f>IF(ICE[[#This Row],[LastType]] = "Scrn", ICE[[#This Row],[LstPrc]], IF(ICE[[#This Row],[LastType]] = "Blk", ICE[[#This Row],[LstBlkPrc]], ""))</f>
        <v/>
      </c>
      <c r="S2015" s="36">
        <f>ICE[[#This Row],[Vol]]+ICE[[#This Row],[BlkVol]]</f>
        <v>0</v>
      </c>
      <c r="T2015" s="36">
        <f>RTD("ice.rtd",,$C2015 &amp; $D2015 &amp; ":" &amp; T$1)</f>
        <v>0</v>
      </c>
      <c r="U2015" s="18">
        <f>RTD("ice.rtd",,$C2015 &amp; $D2015 &amp; ":" &amp; U$1)</f>
        <v>153.9</v>
      </c>
      <c r="V201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5" s="18" t="str">
        <f>IFERROR(IF(LEFT(ICE[[#This Row],[Tenor]], 1) = "B", RTD("esrtd",,$B2015 &amp; " " &amp; ICE[[#This Row],[Tenor]] &amp; "-IEU", W$1), RTD("esrtd",,$B2015 &amp; " " &amp; VLOOKUP(MONTH(ICE[[#This Row],[Strip]]), MthRef[], 2, 0) &amp; RIGHT(YEAR(ICE[[#This Row],[Strip]]), 2) &amp; "-IEU", W$1)), "")</f>
        <v/>
      </c>
      <c r="X2015" s="36"/>
    </row>
    <row r="2016" spans="1:24" x14ac:dyDescent="0.25">
      <c r="A2016" s="37" t="s">
        <v>379</v>
      </c>
      <c r="B2016" s="88" t="str">
        <f>RTD("ice.rtd",,$C2016 &amp; $D2016 &amp; ":" &amp; B$1)</f>
        <v>EGD</v>
      </c>
      <c r="C2016" s="3">
        <v>32623993</v>
      </c>
      <c r="D2016" t="s">
        <v>815</v>
      </c>
      <c r="E2016" s="3" t="str">
        <f>RTD("ice.rtd",,$C2016 &amp; $D2016 &amp; ":" &amp; E$1)</f>
        <v>Q1 27</v>
      </c>
      <c r="F2016" s="3" t="str">
        <f>ICE[[#This Row],[Prod]]&amp;ICE[[#This Row],[Strip]]</f>
        <v>c3ewQ1 27</v>
      </c>
      <c r="G2016" s="18" t="str">
        <f>RTD("ice.rtd",,$C2016 &amp; $D2016 &amp; ":" &amp; G$1)</f>
        <v/>
      </c>
      <c r="H2016" s="18" t="str">
        <f>RTD("ice.rtd",,$C2016 &amp; $D2016 &amp; ":" &amp; H$1)</f>
        <v/>
      </c>
      <c r="I2016" s="18" t="str">
        <f>RTD("ice.rtd",,$C2016 &amp; $D2016 &amp; ":" &amp; I$1)</f>
        <v/>
      </c>
      <c r="J2016" s="14" t="str">
        <f>IFERROR(MOD(RTD("ice.rtd",,$C2016 &amp; $D2016 &amp; ":" &amp; J$1), 1), "")</f>
        <v/>
      </c>
      <c r="K2016" s="18" t="str">
        <f>RTD("ice.rtd",,$C2016 &amp; $D2016 &amp; ":" &amp; K$1)</f>
        <v/>
      </c>
      <c r="L2016" s="36" t="str">
        <f>RTD("ice.rtd",,$C2016 &amp; $D2016 &amp; ":" &amp; L$1)</f>
        <v/>
      </c>
      <c r="M2016" s="14" t="str">
        <f>IFERROR(MOD(TIMEVALUE(RTD("ice.rtd",,$C2016 &amp; $D2016 &amp; ":" &amp; M$1)), 1), "")</f>
        <v/>
      </c>
      <c r="N2016" s="36">
        <f>RTD("ice.rtd",,$C2016 &amp; $D2016 &amp; ":" &amp; N$1)</f>
        <v>0</v>
      </c>
      <c r="O2016" s="36">
        <f>RTD("ice.rtd",,$C2016 &amp; $D2016 &amp; ":" &amp; O$1)</f>
        <v>0</v>
      </c>
      <c r="P201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6" s="14" t="str">
        <f>IF(ICE[[#This Row],[LastType]] = "Scrn", ICE[[#This Row],[LstDate]], IF(ICE[[#This Row],[LastType]] = "Blk", ICE[[#This Row],[LstBlkTime]], ""))</f>
        <v/>
      </c>
      <c r="R2016" s="41" t="str">
        <f>IF(ICE[[#This Row],[LastType]] = "Scrn", ICE[[#This Row],[LstPrc]], IF(ICE[[#This Row],[LastType]] = "Blk", ICE[[#This Row],[LstBlkPrc]], ""))</f>
        <v/>
      </c>
      <c r="S2016" s="36">
        <f>ICE[[#This Row],[Vol]]+ICE[[#This Row],[BlkVol]]</f>
        <v>0</v>
      </c>
      <c r="T2016" s="36">
        <f>RTD("ice.rtd",,$C2016 &amp; $D2016 &amp; ":" &amp; T$1)</f>
        <v>0</v>
      </c>
      <c r="U2016" s="18">
        <f>RTD("ice.rtd",,$C2016 &amp; $D2016 &amp; ":" &amp; U$1)</f>
        <v>120.60000000000001</v>
      </c>
      <c r="V201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6" s="18" t="str">
        <f>IFERROR(IF(LEFT(ICE[[#This Row],[Tenor]], 1) = "B", RTD("esrtd",,$B2016 &amp; " " &amp; ICE[[#This Row],[Tenor]] &amp; "-IEU", W$1), RTD("esrtd",,$B2016 &amp; " " &amp; VLOOKUP(MONTH(ICE[[#This Row],[Strip]]), MthRef[], 2, 0) &amp; RIGHT(YEAR(ICE[[#This Row],[Strip]]), 2) &amp; "-IEU", W$1)), "")</f>
        <v/>
      </c>
      <c r="X2016" s="36"/>
    </row>
    <row r="2017" spans="1:24" x14ac:dyDescent="0.25">
      <c r="A2017" s="37" t="s">
        <v>379</v>
      </c>
      <c r="B2017" s="88" t="str">
        <f>RTD("ice.rtd",,$C2017 &amp; $D2017 &amp; ":" &amp; B$1)</f>
        <v>EGD</v>
      </c>
      <c r="C2017" s="3">
        <v>32623993</v>
      </c>
      <c r="D2017" t="s">
        <v>816</v>
      </c>
      <c r="E2017" s="3" t="str">
        <f>RTD("ice.rtd",,$C2017 &amp; $D2017 &amp; ":" &amp; E$1)</f>
        <v>Q2 27</v>
      </c>
      <c r="F2017" s="3" t="str">
        <f>ICE[[#This Row],[Prod]]&amp;ICE[[#This Row],[Strip]]</f>
        <v>c3ewQ2 27</v>
      </c>
      <c r="G2017" s="18" t="str">
        <f>RTD("ice.rtd",,$C2017 &amp; $D2017 &amp; ":" &amp; G$1)</f>
        <v/>
      </c>
      <c r="H2017" s="18" t="str">
        <f>RTD("ice.rtd",,$C2017 &amp; $D2017 &amp; ":" &amp; H$1)</f>
        <v/>
      </c>
      <c r="I2017" s="18" t="str">
        <f>RTD("ice.rtd",,$C2017 &amp; $D2017 &amp; ":" &amp; I$1)</f>
        <v/>
      </c>
      <c r="J2017" s="14" t="str">
        <f>IFERROR(MOD(RTD("ice.rtd",,$C2017 &amp; $D2017 &amp; ":" &amp; J$1), 1), "")</f>
        <v/>
      </c>
      <c r="K2017" s="18" t="str">
        <f>RTD("ice.rtd",,$C2017 &amp; $D2017 &amp; ":" &amp; K$1)</f>
        <v/>
      </c>
      <c r="L2017" s="36" t="str">
        <f>RTD("ice.rtd",,$C2017 &amp; $D2017 &amp; ":" &amp; L$1)</f>
        <v/>
      </c>
      <c r="M2017" s="14" t="str">
        <f>IFERROR(MOD(TIMEVALUE(RTD("ice.rtd",,$C2017 &amp; $D2017 &amp; ":" &amp; M$1)), 1), "")</f>
        <v/>
      </c>
      <c r="N2017" s="36">
        <f>RTD("ice.rtd",,$C2017 &amp; $D2017 &amp; ":" &amp; N$1)</f>
        <v>0</v>
      </c>
      <c r="O2017" s="36">
        <f>RTD("ice.rtd",,$C2017 &amp; $D2017 &amp; ":" &amp; O$1)</f>
        <v>0</v>
      </c>
      <c r="P201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7" s="14" t="str">
        <f>IF(ICE[[#This Row],[LastType]] = "Scrn", ICE[[#This Row],[LstDate]], IF(ICE[[#This Row],[LastType]] = "Blk", ICE[[#This Row],[LstBlkTime]], ""))</f>
        <v/>
      </c>
      <c r="R2017" s="41" t="str">
        <f>IF(ICE[[#This Row],[LastType]] = "Scrn", ICE[[#This Row],[LstPrc]], IF(ICE[[#This Row],[LastType]] = "Blk", ICE[[#This Row],[LstBlkPrc]], ""))</f>
        <v/>
      </c>
      <c r="S2017" s="36">
        <f>ICE[[#This Row],[Vol]]+ICE[[#This Row],[BlkVol]]</f>
        <v>0</v>
      </c>
      <c r="T2017" s="36">
        <f>RTD("ice.rtd",,$C2017 &amp; $D2017 &amp; ":" &amp; T$1)</f>
        <v>0</v>
      </c>
      <c r="U2017" s="18">
        <f>RTD("ice.rtd",,$C2017 &amp; $D2017 &amp; ":" &amp; U$1)</f>
        <v>97.683000000000007</v>
      </c>
      <c r="V201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7" s="18" t="str">
        <f>IFERROR(IF(LEFT(ICE[[#This Row],[Tenor]], 1) = "B", RTD("esrtd",,$B2017 &amp; " " &amp; ICE[[#This Row],[Tenor]] &amp; "-IEU", W$1), RTD("esrtd",,$B2017 &amp; " " &amp; VLOOKUP(MONTH(ICE[[#This Row],[Strip]]), MthRef[], 2, 0) &amp; RIGHT(YEAR(ICE[[#This Row],[Strip]]), 2) &amp; "-IEU", W$1)), "")</f>
        <v/>
      </c>
      <c r="X2017" s="36"/>
    </row>
    <row r="2018" spans="1:24" x14ac:dyDescent="0.25">
      <c r="A2018" s="37" t="s">
        <v>379</v>
      </c>
      <c r="B2018" s="88" t="str">
        <f>RTD("ice.rtd",,$C2018 &amp; $D2018 &amp; ":" &amp; B$1)</f>
        <v>EGD</v>
      </c>
      <c r="C2018" s="3">
        <v>32623993</v>
      </c>
      <c r="D2018" t="s">
        <v>817</v>
      </c>
      <c r="E2018" s="3" t="str">
        <f>RTD("ice.rtd",,$C2018 &amp; $D2018 &amp; ":" &amp; E$1)</f>
        <v>Q3 27</v>
      </c>
      <c r="F2018" s="3" t="str">
        <f>ICE[[#This Row],[Prod]]&amp;ICE[[#This Row],[Strip]]</f>
        <v>c3ewQ3 27</v>
      </c>
      <c r="G2018" s="18" t="str">
        <f>RTD("ice.rtd",,$C2018 &amp; $D2018 &amp; ":" &amp; G$1)</f>
        <v/>
      </c>
      <c r="H2018" s="18" t="str">
        <f>RTD("ice.rtd",,$C2018 &amp; $D2018 &amp; ":" &amp; H$1)</f>
        <v/>
      </c>
      <c r="I2018" s="18" t="str">
        <f>RTD("ice.rtd",,$C2018 &amp; $D2018 &amp; ":" &amp; I$1)</f>
        <v/>
      </c>
      <c r="J2018" s="14" t="str">
        <f>IFERROR(MOD(RTD("ice.rtd",,$C2018 &amp; $D2018 &amp; ":" &amp; J$1), 1), "")</f>
        <v/>
      </c>
      <c r="K2018" s="18" t="str">
        <f>RTD("ice.rtd",,$C2018 &amp; $D2018 &amp; ":" &amp; K$1)</f>
        <v/>
      </c>
      <c r="L2018" s="36" t="str">
        <f>RTD("ice.rtd",,$C2018 &amp; $D2018 &amp; ":" &amp; L$1)</f>
        <v/>
      </c>
      <c r="M2018" s="14" t="str">
        <f>IFERROR(MOD(TIMEVALUE(RTD("ice.rtd",,$C2018 &amp; $D2018 &amp; ":" &amp; M$1)), 1), "")</f>
        <v/>
      </c>
      <c r="N2018" s="36">
        <f>RTD("ice.rtd",,$C2018 &amp; $D2018 &amp; ":" &amp; N$1)</f>
        <v>0</v>
      </c>
      <c r="O2018" s="36">
        <f>RTD("ice.rtd",,$C2018 &amp; $D2018 &amp; ":" &amp; O$1)</f>
        <v>0</v>
      </c>
      <c r="P201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8" s="14" t="str">
        <f>IF(ICE[[#This Row],[LastType]] = "Scrn", ICE[[#This Row],[LstDate]], IF(ICE[[#This Row],[LastType]] = "Blk", ICE[[#This Row],[LstBlkTime]], ""))</f>
        <v/>
      </c>
      <c r="R2018" s="41" t="str">
        <f>IF(ICE[[#This Row],[LastType]] = "Scrn", ICE[[#This Row],[LstPrc]], IF(ICE[[#This Row],[LastType]] = "Blk", ICE[[#This Row],[LstBlkPrc]], ""))</f>
        <v/>
      </c>
      <c r="S2018" s="36">
        <f>ICE[[#This Row],[Vol]]+ICE[[#This Row],[BlkVol]]</f>
        <v>0</v>
      </c>
      <c r="T2018" s="36">
        <f>RTD("ice.rtd",,$C2018 &amp; $D2018 &amp; ":" &amp; T$1)</f>
        <v>0</v>
      </c>
      <c r="U2018" s="18">
        <f>RTD("ice.rtd",,$C2018 &amp; $D2018 &amp; ":" &amp; U$1)</f>
        <v>82.716999999999999</v>
      </c>
      <c r="V201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8" s="18" t="str">
        <f>IFERROR(IF(LEFT(ICE[[#This Row],[Tenor]], 1) = "B", RTD("esrtd",,$B2018 &amp; " " &amp; ICE[[#This Row],[Tenor]] &amp; "-IEU", W$1), RTD("esrtd",,$B2018 &amp; " " &amp; VLOOKUP(MONTH(ICE[[#This Row],[Strip]]), MthRef[], 2, 0) &amp; RIGHT(YEAR(ICE[[#This Row],[Strip]]), 2) &amp; "-IEU", W$1)), "")</f>
        <v/>
      </c>
      <c r="X2018" s="36"/>
    </row>
    <row r="2019" spans="1:24" x14ac:dyDescent="0.25">
      <c r="A2019" s="37" t="s">
        <v>379</v>
      </c>
      <c r="B2019" s="88" t="str">
        <f>RTD("ice.rtd",,$C2019 &amp; $D2019 &amp; ":" &amp; B$1)</f>
        <v>EGD</v>
      </c>
      <c r="C2019" s="3">
        <v>32623993</v>
      </c>
      <c r="D2019" t="s">
        <v>818</v>
      </c>
      <c r="E2019" s="3" t="str">
        <f>RTD("ice.rtd",,$C2019 &amp; $D2019 &amp; ":" &amp; E$1)</f>
        <v>Q4 27</v>
      </c>
      <c r="F2019" s="3" t="str">
        <f>ICE[[#This Row],[Prod]]&amp;ICE[[#This Row],[Strip]]</f>
        <v>c3ewQ4 27</v>
      </c>
      <c r="G2019" s="18" t="str">
        <f>RTD("ice.rtd",,$C2019 &amp; $D2019 &amp; ":" &amp; G$1)</f>
        <v/>
      </c>
      <c r="H2019" s="18" t="str">
        <f>RTD("ice.rtd",,$C2019 &amp; $D2019 &amp; ":" &amp; H$1)</f>
        <v/>
      </c>
      <c r="I2019" s="18" t="str">
        <f>RTD("ice.rtd",,$C2019 &amp; $D2019 &amp; ":" &amp; I$1)</f>
        <v/>
      </c>
      <c r="J2019" s="14" t="str">
        <f>IFERROR(MOD(RTD("ice.rtd",,$C2019 &amp; $D2019 &amp; ":" &amp; J$1), 1), "")</f>
        <v/>
      </c>
      <c r="K2019" s="18" t="str">
        <f>RTD("ice.rtd",,$C2019 &amp; $D2019 &amp; ":" &amp; K$1)</f>
        <v/>
      </c>
      <c r="L2019" s="36" t="str">
        <f>RTD("ice.rtd",,$C2019 &amp; $D2019 &amp; ":" &amp; L$1)</f>
        <v/>
      </c>
      <c r="M2019" s="14" t="str">
        <f>IFERROR(MOD(TIMEVALUE(RTD("ice.rtd",,$C2019 &amp; $D2019 &amp; ":" &amp; M$1)), 1), "")</f>
        <v/>
      </c>
      <c r="N2019" s="36">
        <f>RTD("ice.rtd",,$C2019 &amp; $D2019 &amp; ":" &amp; N$1)</f>
        <v>0</v>
      </c>
      <c r="O2019" s="36">
        <f>RTD("ice.rtd",,$C2019 &amp; $D2019 &amp; ":" &amp; O$1)</f>
        <v>0</v>
      </c>
      <c r="P201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19" s="14" t="str">
        <f>IF(ICE[[#This Row],[LastType]] = "Scrn", ICE[[#This Row],[LstDate]], IF(ICE[[#This Row],[LastType]] = "Blk", ICE[[#This Row],[LstBlkTime]], ""))</f>
        <v/>
      </c>
      <c r="R2019" s="41" t="str">
        <f>IF(ICE[[#This Row],[LastType]] = "Scrn", ICE[[#This Row],[LstPrc]], IF(ICE[[#This Row],[LastType]] = "Blk", ICE[[#This Row],[LstBlkPrc]], ""))</f>
        <v/>
      </c>
      <c r="S2019" s="36">
        <f>ICE[[#This Row],[Vol]]+ICE[[#This Row],[BlkVol]]</f>
        <v>0</v>
      </c>
      <c r="T2019" s="36">
        <f>RTD("ice.rtd",,$C2019 &amp; $D2019 &amp; ":" &amp; T$1)</f>
        <v>0</v>
      </c>
      <c r="U2019" s="18">
        <f>RTD("ice.rtd",,$C2019 &amp; $D2019 &amp; ":" &amp; U$1)</f>
        <v>78.983000000000004</v>
      </c>
      <c r="V201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19" s="18" t="str">
        <f>IFERROR(IF(LEFT(ICE[[#This Row],[Tenor]], 1) = "B", RTD("esrtd",,$B2019 &amp; " " &amp; ICE[[#This Row],[Tenor]] &amp; "-IEU", W$1), RTD("esrtd",,$B2019 &amp; " " &amp; VLOOKUP(MONTH(ICE[[#This Row],[Strip]]), MthRef[], 2, 0) &amp; RIGHT(YEAR(ICE[[#This Row],[Strip]]), 2) &amp; "-IEU", W$1)), "")</f>
        <v/>
      </c>
      <c r="X2019" s="36"/>
    </row>
    <row r="2020" spans="1:24" x14ac:dyDescent="0.25">
      <c r="A2020" s="37" t="s">
        <v>379</v>
      </c>
      <c r="B2020" s="88" t="str">
        <f>RTD("ice.rtd",,$C2020 &amp; $D2020 &amp; ":" &amp; B$1)</f>
        <v>EGD</v>
      </c>
      <c r="C2020" s="3">
        <v>32623993</v>
      </c>
      <c r="D2020" t="s">
        <v>819</v>
      </c>
      <c r="E2020" s="3" t="str">
        <f>RTD("ice.rtd",,$C2020 &amp; $D2020 &amp; ":" &amp; E$1)</f>
        <v>Q1 28</v>
      </c>
      <c r="F2020" s="3" t="str">
        <f>ICE[[#This Row],[Prod]]&amp;ICE[[#This Row],[Strip]]</f>
        <v>c3ewQ1 28</v>
      </c>
      <c r="G2020" s="18" t="str">
        <f>RTD("ice.rtd",,$C2020 &amp; $D2020 &amp; ":" &amp; G$1)</f>
        <v/>
      </c>
      <c r="H2020" s="18" t="str">
        <f>RTD("ice.rtd",,$C2020 &amp; $D2020 &amp; ":" &amp; H$1)</f>
        <v/>
      </c>
      <c r="I2020" s="18" t="str">
        <f>RTD("ice.rtd",,$C2020 &amp; $D2020 &amp; ":" &amp; I$1)</f>
        <v/>
      </c>
      <c r="J2020" s="14" t="str">
        <f>IFERROR(MOD(RTD("ice.rtd",,$C2020 &amp; $D2020 &amp; ":" &amp; J$1), 1), "")</f>
        <v/>
      </c>
      <c r="K2020" s="18" t="str">
        <f>RTD("ice.rtd",,$C2020 &amp; $D2020 &amp; ":" &amp; K$1)</f>
        <v/>
      </c>
      <c r="L2020" s="36" t="str">
        <f>RTD("ice.rtd",,$C2020 &amp; $D2020 &amp; ":" &amp; L$1)</f>
        <v/>
      </c>
      <c r="M2020" s="14" t="str">
        <f>IFERROR(MOD(TIMEVALUE(RTD("ice.rtd",,$C2020 &amp; $D2020 &amp; ":" &amp; M$1)), 1), "")</f>
        <v/>
      </c>
      <c r="N2020" s="36">
        <f>RTD("ice.rtd",,$C2020 &amp; $D2020 &amp; ":" &amp; N$1)</f>
        <v>0</v>
      </c>
      <c r="O2020" s="36">
        <f>RTD("ice.rtd",,$C2020 &amp; $D2020 &amp; ":" &amp; O$1)</f>
        <v>0</v>
      </c>
      <c r="P202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0" s="14" t="str">
        <f>IF(ICE[[#This Row],[LastType]] = "Scrn", ICE[[#This Row],[LstDate]], IF(ICE[[#This Row],[LastType]] = "Blk", ICE[[#This Row],[LstBlkTime]], ""))</f>
        <v/>
      </c>
      <c r="R2020" s="41" t="str">
        <f>IF(ICE[[#This Row],[LastType]] = "Scrn", ICE[[#This Row],[LstPrc]], IF(ICE[[#This Row],[LastType]] = "Blk", ICE[[#This Row],[LstBlkPrc]], ""))</f>
        <v/>
      </c>
      <c r="S2020" s="36">
        <f>ICE[[#This Row],[Vol]]+ICE[[#This Row],[BlkVol]]</f>
        <v>0</v>
      </c>
      <c r="T2020" s="36">
        <f>RTD("ice.rtd",,$C2020 &amp; $D2020 &amp; ":" &amp; T$1)</f>
        <v>0</v>
      </c>
      <c r="U2020" s="18">
        <f>RTD("ice.rtd",,$C2020 &amp; $D2020 &amp; ":" &amp; U$1)</f>
        <v>71.716999999999999</v>
      </c>
      <c r="V202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20" s="18" t="str">
        <f>IFERROR(IF(LEFT(ICE[[#This Row],[Tenor]], 1) = "B", RTD("esrtd",,$B2020 &amp; " " &amp; ICE[[#This Row],[Tenor]] &amp; "-IEU", W$1), RTD("esrtd",,$B2020 &amp; " " &amp; VLOOKUP(MONTH(ICE[[#This Row],[Strip]]), MthRef[], 2, 0) &amp; RIGHT(YEAR(ICE[[#This Row],[Strip]]), 2) &amp; "-IEU", W$1)), "")</f>
        <v/>
      </c>
      <c r="X2020" s="36"/>
    </row>
    <row r="2021" spans="1:24" x14ac:dyDescent="0.25">
      <c r="A2021" s="37" t="s">
        <v>379</v>
      </c>
      <c r="B2021" s="88" t="str">
        <f>RTD("ice.rtd",,$C2021 &amp; $D2021 &amp; ":" &amp; B$1)</f>
        <v>EGD</v>
      </c>
      <c r="C2021" s="3">
        <v>32623993</v>
      </c>
      <c r="D2021" t="s">
        <v>229</v>
      </c>
      <c r="E2021" s="3" t="str">
        <f>RTD("ice.rtd",,$C2021 &amp; $D2021 &amp; ":" &amp; E$1)</f>
        <v>Q2 28</v>
      </c>
      <c r="F2021" s="3" t="str">
        <f>ICE[[#This Row],[Prod]]&amp;ICE[[#This Row],[Strip]]</f>
        <v>c3ewQ2 28</v>
      </c>
      <c r="G2021" s="18" t="str">
        <f>RTD("ice.rtd",,$C2021 &amp; $D2021 &amp; ":" &amp; G$1)</f>
        <v/>
      </c>
      <c r="H2021" s="18" t="str">
        <f>RTD("ice.rtd",,$C2021 &amp; $D2021 &amp; ":" &amp; H$1)</f>
        <v/>
      </c>
      <c r="I2021" s="18" t="str">
        <f>RTD("ice.rtd",,$C2021 &amp; $D2021 &amp; ":" &amp; I$1)</f>
        <v/>
      </c>
      <c r="J2021" s="14" t="str">
        <f>IFERROR(MOD(RTD("ice.rtd",,$C2021 &amp; $D2021 &amp; ":" &amp; J$1), 1), "")</f>
        <v/>
      </c>
      <c r="K2021" s="18" t="str">
        <f>RTD("ice.rtd",,$C2021 &amp; $D2021 &amp; ":" &amp; K$1)</f>
        <v/>
      </c>
      <c r="L2021" s="36" t="str">
        <f>RTD("ice.rtd",,$C2021 &amp; $D2021 &amp; ":" &amp; L$1)</f>
        <v/>
      </c>
      <c r="M2021" s="14" t="str">
        <f>IFERROR(MOD(TIMEVALUE(RTD("ice.rtd",,$C2021 &amp; $D2021 &amp; ":" &amp; M$1)), 1), "")</f>
        <v/>
      </c>
      <c r="N2021" s="36">
        <f>RTD("ice.rtd",,$C2021 &amp; $D2021 &amp; ":" &amp; N$1)</f>
        <v>0</v>
      </c>
      <c r="O2021" s="36">
        <f>RTD("ice.rtd",,$C2021 &amp; $D2021 &amp; ":" &amp; O$1)</f>
        <v>0</v>
      </c>
      <c r="P202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1" s="14" t="str">
        <f>IF(ICE[[#This Row],[LastType]] = "Scrn", ICE[[#This Row],[LstDate]], IF(ICE[[#This Row],[LastType]] = "Blk", ICE[[#This Row],[LstBlkTime]], ""))</f>
        <v/>
      </c>
      <c r="R2021" s="41" t="str">
        <f>IF(ICE[[#This Row],[LastType]] = "Scrn", ICE[[#This Row],[LstPrc]], IF(ICE[[#This Row],[LastType]] = "Blk", ICE[[#This Row],[LstBlkPrc]], ""))</f>
        <v/>
      </c>
      <c r="S2021" s="36">
        <f>ICE[[#This Row],[Vol]]+ICE[[#This Row],[BlkVol]]</f>
        <v>0</v>
      </c>
      <c r="T2021" s="36">
        <f>RTD("ice.rtd",,$C2021 &amp; $D2021 &amp; ":" &amp; T$1)</f>
        <v>0</v>
      </c>
      <c r="U2021" s="18">
        <f>RTD("ice.rtd",,$C2021 &amp; $D2021 &amp; ":" &amp; U$1)</f>
        <v>60.050000000000004</v>
      </c>
      <c r="V202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21" s="18" t="str">
        <f>IFERROR(IF(LEFT(ICE[[#This Row],[Tenor]], 1) = "B", RTD("esrtd",,$B2021 &amp; " " &amp; ICE[[#This Row],[Tenor]] &amp; "-IEU", W$1), RTD("esrtd",,$B2021 &amp; " " &amp; VLOOKUP(MONTH(ICE[[#This Row],[Strip]]), MthRef[], 2, 0) &amp; RIGHT(YEAR(ICE[[#This Row],[Strip]]), 2) &amp; "-IEU", W$1)), "")</f>
        <v/>
      </c>
      <c r="X2021" s="36"/>
    </row>
    <row r="2022" spans="1:24" x14ac:dyDescent="0.25">
      <c r="A2022" s="37" t="s">
        <v>379</v>
      </c>
      <c r="B2022" s="88" t="str">
        <f>RTD("ice.rtd",,$C2022 &amp; $D2022 &amp; ":" &amp; B$1)</f>
        <v>EGD</v>
      </c>
      <c r="C2022" s="3">
        <v>32623993</v>
      </c>
      <c r="D2022" t="s">
        <v>820</v>
      </c>
      <c r="E2022" s="3" t="str">
        <f>RTD("ice.rtd",,$C2022 &amp; $D2022 &amp; ":" &amp; E$1)</f>
        <v>Q3 28</v>
      </c>
      <c r="F2022" s="3" t="str">
        <f>ICE[[#This Row],[Prod]]&amp;ICE[[#This Row],[Strip]]</f>
        <v>c3ewQ3 28</v>
      </c>
      <c r="G2022" s="18" t="str">
        <f>RTD("ice.rtd",,$C2022 &amp; $D2022 &amp; ":" &amp; G$1)</f>
        <v/>
      </c>
      <c r="H2022" s="18" t="str">
        <f>RTD("ice.rtd",,$C2022 &amp; $D2022 &amp; ":" &amp; H$1)</f>
        <v/>
      </c>
      <c r="I2022" s="18" t="str">
        <f>RTD("ice.rtd",,$C2022 &amp; $D2022 &amp; ":" &amp; I$1)</f>
        <v/>
      </c>
      <c r="J2022" s="14" t="str">
        <f>IFERROR(MOD(RTD("ice.rtd",,$C2022 &amp; $D2022 &amp; ":" &amp; J$1), 1), "")</f>
        <v/>
      </c>
      <c r="K2022" s="18" t="str">
        <f>RTD("ice.rtd",,$C2022 &amp; $D2022 &amp; ":" &amp; K$1)</f>
        <v/>
      </c>
      <c r="L2022" s="36" t="str">
        <f>RTD("ice.rtd",,$C2022 &amp; $D2022 &amp; ":" &amp; L$1)</f>
        <v/>
      </c>
      <c r="M2022" s="14" t="str">
        <f>IFERROR(MOD(TIMEVALUE(RTD("ice.rtd",,$C2022 &amp; $D2022 &amp; ":" &amp; M$1)), 1), "")</f>
        <v/>
      </c>
      <c r="N2022" s="36">
        <f>RTD("ice.rtd",,$C2022 &amp; $D2022 &amp; ":" &amp; N$1)</f>
        <v>0</v>
      </c>
      <c r="O2022" s="36">
        <f>RTD("ice.rtd",,$C2022 &amp; $D2022 &amp; ":" &amp; O$1)</f>
        <v>0</v>
      </c>
      <c r="P202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2" s="14" t="str">
        <f>IF(ICE[[#This Row],[LastType]] = "Scrn", ICE[[#This Row],[LstDate]], IF(ICE[[#This Row],[LastType]] = "Blk", ICE[[#This Row],[LstBlkTime]], ""))</f>
        <v/>
      </c>
      <c r="R2022" s="41" t="str">
        <f>IF(ICE[[#This Row],[LastType]] = "Scrn", ICE[[#This Row],[LstPrc]], IF(ICE[[#This Row],[LastType]] = "Blk", ICE[[#This Row],[LstBlkPrc]], ""))</f>
        <v/>
      </c>
      <c r="S2022" s="36">
        <f>ICE[[#This Row],[Vol]]+ICE[[#This Row],[BlkVol]]</f>
        <v>0</v>
      </c>
      <c r="T2022" s="36">
        <f>RTD("ice.rtd",,$C2022 &amp; $D2022 &amp; ":" &amp; T$1)</f>
        <v>0</v>
      </c>
      <c r="U2022" s="18">
        <f>RTD("ice.rtd",,$C2022 &amp; $D2022 &amp; ":" &amp; U$1)</f>
        <v>55.800000000000004</v>
      </c>
      <c r="V202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22" s="18" t="str">
        <f>IFERROR(IF(LEFT(ICE[[#This Row],[Tenor]], 1) = "B", RTD("esrtd",,$B2022 &amp; " " &amp; ICE[[#This Row],[Tenor]] &amp; "-IEU", W$1), RTD("esrtd",,$B2022 &amp; " " &amp; VLOOKUP(MONTH(ICE[[#This Row],[Strip]]), MthRef[], 2, 0) &amp; RIGHT(YEAR(ICE[[#This Row],[Strip]]), 2) &amp; "-IEU", W$1)), "")</f>
        <v/>
      </c>
      <c r="X2022" s="36"/>
    </row>
    <row r="2023" spans="1:24" x14ac:dyDescent="0.25">
      <c r="A2023" s="37" t="s">
        <v>379</v>
      </c>
      <c r="B2023" s="88" t="str">
        <f>RTD("ice.rtd",,$C2023 &amp; $D2023 &amp; ":" &amp; B$1)</f>
        <v>EGD</v>
      </c>
      <c r="C2023" s="3">
        <v>32623993</v>
      </c>
      <c r="D2023" t="s">
        <v>821</v>
      </c>
      <c r="E2023" s="3" t="str">
        <f>RTD("ice.rtd",,$C2023 &amp; $D2023 &amp; ":" &amp; E$1)</f>
        <v>Q4 28</v>
      </c>
      <c r="F2023" s="3" t="str">
        <f>ICE[[#This Row],[Prod]]&amp;ICE[[#This Row],[Strip]]</f>
        <v>c3ewQ4 28</v>
      </c>
      <c r="G2023" s="18" t="str">
        <f>RTD("ice.rtd",,$C2023 &amp; $D2023 &amp; ":" &amp; G$1)</f>
        <v/>
      </c>
      <c r="H2023" s="18" t="str">
        <f>RTD("ice.rtd",,$C2023 &amp; $D2023 &amp; ":" &amp; H$1)</f>
        <v/>
      </c>
      <c r="I2023" s="18" t="str">
        <f>RTD("ice.rtd",,$C2023 &amp; $D2023 &amp; ":" &amp; I$1)</f>
        <v/>
      </c>
      <c r="J2023" s="14" t="str">
        <f>IFERROR(MOD(RTD("ice.rtd",,$C2023 &amp; $D2023 &amp; ":" &amp; J$1), 1), "")</f>
        <v/>
      </c>
      <c r="K2023" s="18" t="str">
        <f>RTD("ice.rtd",,$C2023 &amp; $D2023 &amp; ":" &amp; K$1)</f>
        <v/>
      </c>
      <c r="L2023" s="36" t="str">
        <f>RTD("ice.rtd",,$C2023 &amp; $D2023 &amp; ":" &amp; L$1)</f>
        <v/>
      </c>
      <c r="M2023" s="14" t="str">
        <f>IFERROR(MOD(TIMEVALUE(RTD("ice.rtd",,$C2023 &amp; $D2023 &amp; ":" &amp; M$1)), 1), "")</f>
        <v/>
      </c>
      <c r="N2023" s="36">
        <f>RTD("ice.rtd",,$C2023 &amp; $D2023 &amp; ":" &amp; N$1)</f>
        <v>0</v>
      </c>
      <c r="O2023" s="36">
        <f>RTD("ice.rtd",,$C2023 &amp; $D2023 &amp; ":" &amp; O$1)</f>
        <v>0</v>
      </c>
      <c r="P202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3" s="14" t="str">
        <f>IF(ICE[[#This Row],[LastType]] = "Scrn", ICE[[#This Row],[LstDate]], IF(ICE[[#This Row],[LastType]] = "Blk", ICE[[#This Row],[LstBlkTime]], ""))</f>
        <v/>
      </c>
      <c r="R2023" s="41" t="str">
        <f>IF(ICE[[#This Row],[LastType]] = "Scrn", ICE[[#This Row],[LstPrc]], IF(ICE[[#This Row],[LastType]] = "Blk", ICE[[#This Row],[LstBlkPrc]], ""))</f>
        <v/>
      </c>
      <c r="S2023" s="36">
        <f>ICE[[#This Row],[Vol]]+ICE[[#This Row],[BlkVol]]</f>
        <v>0</v>
      </c>
      <c r="T2023" s="36">
        <f>RTD("ice.rtd",,$C2023 &amp; $D2023 &amp; ":" &amp; T$1)</f>
        <v>0</v>
      </c>
      <c r="U2023" s="18">
        <f>RTD("ice.rtd",,$C2023 &amp; $D2023 &amp; ":" &amp; U$1)</f>
        <v>52.717000000000006</v>
      </c>
      <c r="V202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23" s="18" t="str">
        <f>IFERROR(IF(LEFT(ICE[[#This Row],[Tenor]], 1) = "B", RTD("esrtd",,$B2023 &amp; " " &amp; ICE[[#This Row],[Tenor]] &amp; "-IEU", W$1), RTD("esrtd",,$B2023 &amp; " " &amp; VLOOKUP(MONTH(ICE[[#This Row],[Strip]]), MthRef[], 2, 0) &amp; RIGHT(YEAR(ICE[[#This Row],[Strip]]), 2) &amp; "-IEU", W$1)), "")</f>
        <v/>
      </c>
      <c r="X2023" s="36"/>
    </row>
    <row r="2024" spans="1:24" x14ac:dyDescent="0.25">
      <c r="A2024" s="37" t="s">
        <v>379</v>
      </c>
      <c r="B2024" s="88" t="str">
        <f>RTD("ice.rtd",,$C2024 &amp; $D2024 &amp; ":" &amp; B$1)</f>
        <v>EGD</v>
      </c>
      <c r="C2024" s="3">
        <v>32623993</v>
      </c>
      <c r="D2024" t="s">
        <v>822</v>
      </c>
      <c r="E2024" s="3" t="str">
        <f>RTD("ice.rtd",,$C2024 &amp; $D2024 &amp; ":" &amp; E$1)</f>
        <v>Cal 27</v>
      </c>
      <c r="F2024" s="3" t="str">
        <f>ICE[[#This Row],[Prod]]&amp;ICE[[#This Row],[Strip]]</f>
        <v>c3ewCal 27</v>
      </c>
      <c r="G2024" s="18" t="str">
        <f>RTD("ice.rtd",,$C2024 &amp; $D2024 &amp; ":" &amp; G$1)</f>
        <v/>
      </c>
      <c r="H2024" s="18" t="str">
        <f>RTD("ice.rtd",,$C2024 &amp; $D2024 &amp; ":" &amp; H$1)</f>
        <v/>
      </c>
      <c r="I2024" s="18" t="str">
        <f>RTD("ice.rtd",,$C2024 &amp; $D2024 &amp; ":" &amp; I$1)</f>
        <v/>
      </c>
      <c r="J2024" s="14" t="str">
        <f>IFERROR(MOD(RTD("ice.rtd",,$C2024 &amp; $D2024 &amp; ":" &amp; J$1), 1), "")</f>
        <v/>
      </c>
      <c r="K2024" s="18">
        <f>RTD("ice.rtd",,$C2024 &amp; $D2024 &amp; ":" &amp; K$1)</f>
        <v>97</v>
      </c>
      <c r="L2024" s="36">
        <f>RTD("ice.rtd",,$C2024 &amp; $D2024 &amp; ":" &amp; L$1)</f>
        <v>1</v>
      </c>
      <c r="M2024" s="14">
        <f>IFERROR(MOD(TIMEVALUE(RTD("ice.rtd",,$C2024 &amp; $D2024 &amp; ":" &amp; M$1)), 1), "")</f>
        <v>0.38194444444444442</v>
      </c>
      <c r="N2024" s="36">
        <f>RTD("ice.rtd",,$C2024 &amp; $D2024 &amp; ":" &amp; N$1)</f>
        <v>0</v>
      </c>
      <c r="O2024" s="36">
        <f>RTD("ice.rtd",,$C2024 &amp; $D2024 &amp; ":" &amp; O$1)</f>
        <v>2</v>
      </c>
      <c r="P202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024" s="14">
        <f>IF(ICE[[#This Row],[LastType]] = "Scrn", ICE[[#This Row],[LstDate]], IF(ICE[[#This Row],[LastType]] = "Blk", ICE[[#This Row],[LstBlkTime]], ""))</f>
        <v>0.38194444444444442</v>
      </c>
      <c r="R2024" s="41">
        <f>IF(ICE[[#This Row],[LastType]] = "Scrn", ICE[[#This Row],[LstPrc]], IF(ICE[[#This Row],[LastType]] = "Blk", ICE[[#This Row],[LstBlkPrc]], ""))</f>
        <v>97</v>
      </c>
      <c r="S2024" s="36">
        <f>ICE[[#This Row],[Vol]]+ICE[[#This Row],[BlkVol]]</f>
        <v>2</v>
      </c>
      <c r="T2024" s="36">
        <f>RTD("ice.rtd",,$C2024 &amp; $D2024 &amp; ":" &amp; T$1)</f>
        <v>0</v>
      </c>
      <c r="U2024" s="18">
        <f>RTD("ice.rtd",,$C2024 &amp; $D2024 &amp; ":" &amp; U$1)</f>
        <v>94.996000000000009</v>
      </c>
      <c r="V202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{97.00} |2x</v>
      </c>
      <c r="W2024" s="18" t="str">
        <f>IFERROR(IF(LEFT(ICE[[#This Row],[Tenor]], 1) = "B", RTD("esrtd",,$B2024 &amp; " " &amp; ICE[[#This Row],[Tenor]] &amp; "-IEU", W$1), RTD("esrtd",,$B2024 &amp; " " &amp; VLOOKUP(MONTH(ICE[[#This Row],[Strip]]), MthRef[], 2, 0) &amp; RIGHT(YEAR(ICE[[#This Row],[Strip]]), 2) &amp; "-IEU", W$1)), "")</f>
        <v/>
      </c>
      <c r="X2024" s="36"/>
    </row>
    <row r="2025" spans="1:24" x14ac:dyDescent="0.25">
      <c r="A2025" s="37" t="s">
        <v>379</v>
      </c>
      <c r="B2025" s="88" t="str">
        <f>RTD("ice.rtd",,$C2025 &amp; $D2025 &amp; ":" &amp; B$1)</f>
        <v>EGD</v>
      </c>
      <c r="C2025" s="3">
        <v>32623993</v>
      </c>
      <c r="D2025" t="s">
        <v>823</v>
      </c>
      <c r="E2025" s="3" t="str">
        <f>RTD("ice.rtd",,$C2025 &amp; $D2025 &amp; ":" &amp; E$1)</f>
        <v>Cal 28</v>
      </c>
      <c r="F2025" s="3" t="str">
        <f>ICE[[#This Row],[Prod]]&amp;ICE[[#This Row],[Strip]]</f>
        <v>c3ewCal 28</v>
      </c>
      <c r="G2025" s="18" t="str">
        <f>RTD("ice.rtd",,$C2025 &amp; $D2025 &amp; ":" &amp; G$1)</f>
        <v/>
      </c>
      <c r="H2025" s="18" t="str">
        <f>RTD("ice.rtd",,$C2025 &amp; $D2025 &amp; ":" &amp; H$1)</f>
        <v/>
      </c>
      <c r="I2025" s="18" t="str">
        <f>RTD("ice.rtd",,$C2025 &amp; $D2025 &amp; ":" &amp; I$1)</f>
        <v/>
      </c>
      <c r="J2025" s="14" t="str">
        <f>IFERROR(MOD(RTD("ice.rtd",,$C2025 &amp; $D2025 &amp; ":" &amp; J$1), 1), "")</f>
        <v/>
      </c>
      <c r="K2025" s="18" t="str">
        <f>RTD("ice.rtd",,$C2025 &amp; $D2025 &amp; ":" &amp; K$1)</f>
        <v/>
      </c>
      <c r="L2025" s="36" t="str">
        <f>RTD("ice.rtd",,$C2025 &amp; $D2025 &amp; ":" &amp; L$1)</f>
        <v/>
      </c>
      <c r="M2025" s="14" t="str">
        <f>IFERROR(MOD(TIMEVALUE(RTD("ice.rtd",,$C2025 &amp; $D2025 &amp; ":" &amp; M$1)), 1), "")</f>
        <v/>
      </c>
      <c r="N2025" s="36">
        <f>RTD("ice.rtd",,$C2025 &amp; $D2025 &amp; ":" &amp; N$1)</f>
        <v>0</v>
      </c>
      <c r="O2025" s="36">
        <f>RTD("ice.rtd",,$C2025 &amp; $D2025 &amp; ":" &amp; O$1)</f>
        <v>0</v>
      </c>
      <c r="P202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5" s="14" t="str">
        <f>IF(ICE[[#This Row],[LastType]] = "Scrn", ICE[[#This Row],[LstDate]], IF(ICE[[#This Row],[LastType]] = "Blk", ICE[[#This Row],[LstBlkTime]], ""))</f>
        <v/>
      </c>
      <c r="R2025" s="41" t="str">
        <f>IF(ICE[[#This Row],[LastType]] = "Scrn", ICE[[#This Row],[LstPrc]], IF(ICE[[#This Row],[LastType]] = "Blk", ICE[[#This Row],[LstBlkPrc]], ""))</f>
        <v/>
      </c>
      <c r="S2025" s="36">
        <f>ICE[[#This Row],[Vol]]+ICE[[#This Row],[BlkVol]]</f>
        <v>0</v>
      </c>
      <c r="T2025" s="36">
        <f>RTD("ice.rtd",,$C2025 &amp; $D2025 &amp; ":" &amp; T$1)</f>
        <v>0</v>
      </c>
      <c r="U2025" s="18">
        <f>RTD("ice.rtd",,$C2025 &amp; $D2025 &amp; ":" &amp; U$1)</f>
        <v>60.071000000000005</v>
      </c>
      <c r="V202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25" s="18" t="str">
        <f>IFERROR(IF(LEFT(ICE[[#This Row],[Tenor]], 1) = "B", RTD("esrtd",,$B2025 &amp; " " &amp; ICE[[#This Row],[Tenor]] &amp; "-IEU", W$1), RTD("esrtd",,$B2025 &amp; " " &amp; VLOOKUP(MONTH(ICE[[#This Row],[Strip]]), MthRef[], 2, 0) &amp; RIGHT(YEAR(ICE[[#This Row],[Strip]]), 2) &amp; "-IEU", W$1)), "")</f>
        <v/>
      </c>
      <c r="X2025" s="36"/>
    </row>
    <row r="2026" spans="1:24" x14ac:dyDescent="0.25">
      <c r="A2026" s="37" t="s">
        <v>851</v>
      </c>
      <c r="B2026" s="88" t="str">
        <f>RTD("ice.rtd",,$C2026 &amp; $D2026 &amp; ":" &amp; B$1)</f>
        <v>Invalid Market: 297449133BM0</v>
      </c>
      <c r="C2026" s="3">
        <v>297449133</v>
      </c>
      <c r="D2026" t="s">
        <v>855</v>
      </c>
      <c r="E2026" s="3" t="str">
        <f>RTD("ice.rtd",,$C2026 &amp; $D2026 &amp; ":" &amp; E$1)</f>
        <v>Invalid Market: 297449133BM0</v>
      </c>
      <c r="F2026" s="3" t="str">
        <f>ICE[[#This Row],[Prod]]&amp;ICE[[#This Row],[Strip]]</f>
        <v>gosingInvalid Market: 297449133BM0</v>
      </c>
      <c r="G2026" s="18" t="str">
        <f>RTD("ice.rtd",,$C2026 &amp; $D2026 &amp; ":" &amp; G$1)</f>
        <v>Invalid Market: 297449133BM0</v>
      </c>
      <c r="H2026" s="18" t="str">
        <f>RTD("ice.rtd",,$C2026 &amp; $D2026 &amp; ":" &amp; H$1)</f>
        <v>Invalid Market: 297449133BM0</v>
      </c>
      <c r="I2026" s="18" t="str">
        <f>RTD("ice.rtd",,$C2026 &amp; $D2026 &amp; ":" &amp; I$1)</f>
        <v>Invalid Market: 297449133BM0</v>
      </c>
      <c r="J2026" s="14" t="str">
        <f>IFERROR(MOD(RTD("ice.rtd",,$C2026 &amp; $D2026 &amp; ":" &amp; J$1), 1), "")</f>
        <v/>
      </c>
      <c r="K2026" s="18" t="str">
        <f>RTD("ice.rtd",,$C2026 &amp; $D2026 &amp; ":" &amp; K$1)</f>
        <v>Invalid Market: 297449133BM0</v>
      </c>
      <c r="L2026" s="36" t="str">
        <f>RTD("ice.rtd",,$C2026 &amp; $D2026 &amp; ":" &amp; L$1)</f>
        <v>Invalid Market: 297449133BM0</v>
      </c>
      <c r="M2026" s="14" t="str">
        <f>IFERROR(MOD(TIMEVALUE(RTD("ice.rtd",,$C2026 &amp; $D2026 &amp; ":" &amp; M$1)), 1), "")</f>
        <v/>
      </c>
      <c r="N2026" s="36" t="str">
        <f>RTD("ice.rtd",,$C2026 &amp; $D2026 &amp; ":" &amp; N$1)</f>
        <v>Invalid Market: 297449133BM0</v>
      </c>
      <c r="O2026" s="36" t="str">
        <f>RTD("ice.rtd",,$C2026 &amp; $D2026 &amp; ":" &amp; O$1)</f>
        <v>Invalid Market: 297449133BM0</v>
      </c>
      <c r="P202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6" s="14" t="str">
        <f>IF(ICE[[#This Row],[LastType]] = "Scrn", ICE[[#This Row],[LstDate]], IF(ICE[[#This Row],[LastType]] = "Blk", ICE[[#This Row],[LstBlkTime]], ""))</f>
        <v/>
      </c>
      <c r="R2026" s="41" t="str">
        <f>IF(ICE[[#This Row],[LastType]] = "Scrn", ICE[[#This Row],[LstPrc]], IF(ICE[[#This Row],[LastType]] = "Blk", ICE[[#This Row],[LstBlkPrc]], ""))</f>
        <v/>
      </c>
      <c r="S2026" s="36" t="e">
        <f>ICE[[#This Row],[Vol]]+ICE[[#This Row],[BlkVol]]</f>
        <v>#VALUE!</v>
      </c>
      <c r="T2026" s="36" t="str">
        <f>RTD("ice.rtd",,$C2026 &amp; $D2026 &amp; ":" &amp; T$1)</f>
        <v>Invalid Market: 297449133BM0</v>
      </c>
      <c r="U2026" s="18" t="str">
        <f>RTD("ice.rtd",,$C2026 &amp; $D2026 &amp; ":" &amp; U$1)</f>
        <v>Invalid Market: 297449133BM0</v>
      </c>
      <c r="V202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/>
      </c>
      <c r="W2026" s="18" t="str">
        <f>IFERROR(IF(LEFT(ICE[[#This Row],[Tenor]], 1) = "B", RTD("esrtd",,$B2026 &amp; " " &amp; ICE[[#This Row],[Tenor]] &amp; "-IEU", W$1), RTD("esrtd",,$B2026 &amp; " " &amp; VLOOKUP(MONTH(ICE[[#This Row],[Strip]]), MthRef[], 2, 0) &amp; RIGHT(YEAR(ICE[[#This Row],[Strip]]), 2) &amp; "-IEU", W$1)), "")</f>
        <v/>
      </c>
      <c r="X2026" s="36"/>
    </row>
    <row r="2027" spans="1:24" x14ac:dyDescent="0.25">
      <c r="A2027" s="37" t="s">
        <v>851</v>
      </c>
      <c r="B2027" s="88" t="str">
        <f>RTD("ice.rtd",,$C2027 &amp; $D2027 &amp; ":" &amp; B$1)</f>
        <v>GST</v>
      </c>
      <c r="C2027" s="3">
        <v>161913535</v>
      </c>
      <c r="D2027" t="s">
        <v>857</v>
      </c>
      <c r="E2027" s="3" t="str">
        <f>RTD("ice.rtd",,$C2027 &amp; $D2027 &amp; ":" &amp; E$1)</f>
        <v>Sep26/Oct26</v>
      </c>
      <c r="F2027" s="3" t="str">
        <f>ICE[[#This Row],[Prod]]&amp;ICE[[#This Row],[Strip]]</f>
        <v>gosingSep26/Oct26</v>
      </c>
      <c r="G2027" s="18" t="str">
        <f>RTD("ice.rtd",,$C2027 &amp; $D2027 &amp; ":" &amp; G$1)</f>
        <v/>
      </c>
      <c r="H2027" s="18">
        <f>RTD("ice.rtd",,$C2027 &amp; $D2027 &amp; ":" &amp; H$1)</f>
        <v>6</v>
      </c>
      <c r="I2027" s="18" t="str">
        <f>RTD("ice.rtd",,$C2027 &amp; $D2027 &amp; ":" &amp; I$1)</f>
        <v/>
      </c>
      <c r="J2027" s="14" t="str">
        <f>IFERROR(MOD(RTD("ice.rtd",,$C2027 &amp; $D2027 &amp; ":" &amp; J$1), 1), "")</f>
        <v/>
      </c>
      <c r="K2027" s="18" t="str">
        <f>RTD("ice.rtd",,$C2027 &amp; $D2027 &amp; ":" &amp; K$1)</f>
        <v/>
      </c>
      <c r="L2027" s="36" t="str">
        <f>RTD("ice.rtd",,$C2027 &amp; $D2027 &amp; ":" &amp; L$1)</f>
        <v/>
      </c>
      <c r="M2027" s="14" t="str">
        <f>IFERROR(MOD(TIMEVALUE(RTD("ice.rtd",,$C2027 &amp; $D2027 &amp; ":" &amp; M$1)), 1), "")</f>
        <v/>
      </c>
      <c r="N2027" s="36">
        <f>RTD("ice.rtd",,$C2027 &amp; $D2027 &amp; ":" &amp; N$1)</f>
        <v>0</v>
      </c>
      <c r="O2027" s="36">
        <f>RTD("ice.rtd",,$C2027 &amp; $D2027 &amp; ":" &amp; O$1)</f>
        <v>0</v>
      </c>
      <c r="P202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7" s="14" t="str">
        <f>IF(ICE[[#This Row],[LastType]] = "Scrn", ICE[[#This Row],[LstDate]], IF(ICE[[#This Row],[LastType]] = "Blk", ICE[[#This Row],[LstBlkTime]], ""))</f>
        <v/>
      </c>
      <c r="R2027" s="41" t="str">
        <f>IF(ICE[[#This Row],[LastType]] = "Scrn", ICE[[#This Row],[LstPrc]], IF(ICE[[#This Row],[LastType]] = "Blk", ICE[[#This Row],[LstBlkPrc]], ""))</f>
        <v/>
      </c>
      <c r="S2027" s="36">
        <f>ICE[[#This Row],[Vol]]+ICE[[#This Row],[BlkVol]]</f>
        <v>0</v>
      </c>
      <c r="T2027" s="36">
        <f>RTD("ice.rtd",,$C2027 &amp; $D2027 &amp; ":" &amp; T$1)</f>
        <v>0</v>
      </c>
      <c r="U2027" s="18">
        <f>RTD("ice.rtd",,$C2027 &amp; $D2027 &amp; ":" &amp; U$1)</f>
        <v>5.0689999999999884</v>
      </c>
      <c r="V202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6.00 </v>
      </c>
      <c r="W2027" s="18" t="str">
        <f>IFERROR(IF(LEFT(ICE[[#This Row],[Tenor]], 1) = "B", RTD("esrtd",,$B2027 &amp; " " &amp; ICE[[#This Row],[Tenor]] &amp; "-IEU", W$1), RTD("esrtd",,$B2027 &amp; " " &amp; VLOOKUP(MONTH(ICE[[#This Row],[Strip]]), MthRef[], 2, 0) &amp; RIGHT(YEAR(ICE[[#This Row],[Strip]]), 2) &amp; "-IEU", W$1)), "")</f>
        <v/>
      </c>
      <c r="X2027" s="36"/>
    </row>
    <row r="2028" spans="1:24" x14ac:dyDescent="0.25">
      <c r="A2028" s="37" t="s">
        <v>851</v>
      </c>
      <c r="B2028" s="88" t="str">
        <f>RTD("ice.rtd",,$C2028 &amp; $D2028 &amp; ":" &amp; B$1)</f>
        <v>GST</v>
      </c>
      <c r="C2028" s="3">
        <v>161913535</v>
      </c>
      <c r="D2028" t="s">
        <v>860</v>
      </c>
      <c r="E2028" s="3" t="str">
        <f>RTD("ice.rtd",,$C2028 &amp; $D2028 &amp; ":" &amp; E$1)</f>
        <v>Sep26/Nov26</v>
      </c>
      <c r="F2028" s="3" t="str">
        <f>ICE[[#This Row],[Prod]]&amp;ICE[[#This Row],[Strip]]</f>
        <v>gosingSep26/Nov26</v>
      </c>
      <c r="G2028" s="18" t="str">
        <f>RTD("ice.rtd",,$C2028 &amp; $D2028 &amp; ":" &amp; G$1)</f>
        <v/>
      </c>
      <c r="H2028" s="18" t="str">
        <f>RTD("ice.rtd",,$C2028 &amp; $D2028 &amp; ":" &amp; H$1)</f>
        <v/>
      </c>
      <c r="I2028" s="18" t="str">
        <f>RTD("ice.rtd",,$C2028 &amp; $D2028 &amp; ":" &amp; I$1)</f>
        <v/>
      </c>
      <c r="J2028" s="14" t="str">
        <f>IFERROR(MOD(RTD("ice.rtd",,$C2028 &amp; $D2028 &amp; ":" &amp; J$1), 1), "")</f>
        <v/>
      </c>
      <c r="K2028" s="18" t="str">
        <f>RTD("ice.rtd",,$C2028 &amp; $D2028 &amp; ":" &amp; K$1)</f>
        <v/>
      </c>
      <c r="L2028" s="36" t="str">
        <f>RTD("ice.rtd",,$C2028 &amp; $D2028 &amp; ":" &amp; L$1)</f>
        <v/>
      </c>
      <c r="M2028" s="14" t="str">
        <f>IFERROR(MOD(TIMEVALUE(RTD("ice.rtd",,$C2028 &amp; $D2028 &amp; ":" &amp; M$1)), 1), "")</f>
        <v/>
      </c>
      <c r="N2028" s="36">
        <f>RTD("ice.rtd",,$C2028 &amp; $D2028 &amp; ":" &amp; N$1)</f>
        <v>0</v>
      </c>
      <c r="O2028" s="36">
        <f>RTD("ice.rtd",,$C2028 &amp; $D2028 &amp; ":" &amp; O$1)</f>
        <v>0</v>
      </c>
      <c r="P202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8" s="14" t="str">
        <f>IF(ICE[[#This Row],[LastType]] = "Scrn", ICE[[#This Row],[LstDate]], IF(ICE[[#This Row],[LastType]] = "Blk", ICE[[#This Row],[LstBlkTime]], ""))</f>
        <v/>
      </c>
      <c r="R2028" s="41" t="str">
        <f>IF(ICE[[#This Row],[LastType]] = "Scrn", ICE[[#This Row],[LstPrc]], IF(ICE[[#This Row],[LastType]] = "Blk", ICE[[#This Row],[LstBlkPrc]], ""))</f>
        <v/>
      </c>
      <c r="S2028" s="36">
        <f>ICE[[#This Row],[Vol]]+ICE[[#This Row],[BlkVol]]</f>
        <v>0</v>
      </c>
      <c r="T2028" s="36">
        <f>RTD("ice.rtd",,$C2028 &amp; $D2028 &amp; ":" &amp; T$1)</f>
        <v>0</v>
      </c>
      <c r="U2028" s="18">
        <f>RTD("ice.rtd",,$C2028 &amp; $D2028 &amp; ":" &amp; U$1)</f>
        <v>11.138999999999982</v>
      </c>
      <c r="V202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28" s="18" t="str">
        <f>IFERROR(IF(LEFT(ICE[[#This Row],[Tenor]], 1) = "B", RTD("esrtd",,$B2028 &amp; " " &amp; ICE[[#This Row],[Tenor]] &amp; "-IEU", W$1), RTD("esrtd",,$B2028 &amp; " " &amp; VLOOKUP(MONTH(ICE[[#This Row],[Strip]]), MthRef[], 2, 0) &amp; RIGHT(YEAR(ICE[[#This Row],[Strip]]), 2) &amp; "-IEU", W$1)), "")</f>
        <v/>
      </c>
      <c r="X2028" s="36"/>
    </row>
    <row r="2029" spans="1:24" x14ac:dyDescent="0.25">
      <c r="A2029" s="37" t="s">
        <v>851</v>
      </c>
      <c r="B2029" s="88" t="str">
        <f>RTD("ice.rtd",,$C2029 &amp; $D2029 &amp; ":" &amp; B$1)</f>
        <v>GST</v>
      </c>
      <c r="C2029" s="3">
        <v>161913535</v>
      </c>
      <c r="D2029" t="s">
        <v>861</v>
      </c>
      <c r="E2029" s="3" t="str">
        <f>RTD("ice.rtd",,$C2029 &amp; $D2029 &amp; ":" &amp; E$1)</f>
        <v>Sep26/Dec26</v>
      </c>
      <c r="F2029" s="3" t="str">
        <f>ICE[[#This Row],[Prod]]&amp;ICE[[#This Row],[Strip]]</f>
        <v>gosingSep26/Dec26</v>
      </c>
      <c r="G2029" s="18" t="str">
        <f>RTD("ice.rtd",,$C2029 &amp; $D2029 &amp; ":" &amp; G$1)</f>
        <v/>
      </c>
      <c r="H2029" s="18" t="str">
        <f>RTD("ice.rtd",,$C2029 &amp; $D2029 &amp; ":" &amp; H$1)</f>
        <v/>
      </c>
      <c r="I2029" s="18" t="str">
        <f>RTD("ice.rtd",,$C2029 &amp; $D2029 &amp; ":" &amp; I$1)</f>
        <v/>
      </c>
      <c r="J2029" s="14" t="str">
        <f>IFERROR(MOD(RTD("ice.rtd",,$C2029 &amp; $D2029 &amp; ":" &amp; J$1), 1), "")</f>
        <v/>
      </c>
      <c r="K2029" s="18" t="str">
        <f>RTD("ice.rtd",,$C2029 &amp; $D2029 &amp; ":" &amp; K$1)</f>
        <v/>
      </c>
      <c r="L2029" s="36" t="str">
        <f>RTD("ice.rtd",,$C2029 &amp; $D2029 &amp; ":" &amp; L$1)</f>
        <v/>
      </c>
      <c r="M2029" s="14" t="str">
        <f>IFERROR(MOD(TIMEVALUE(RTD("ice.rtd",,$C2029 &amp; $D2029 &amp; ":" &amp; M$1)), 1), "")</f>
        <v/>
      </c>
      <c r="N2029" s="36">
        <f>RTD("ice.rtd",,$C2029 &amp; $D2029 &amp; ":" &amp; N$1)</f>
        <v>0</v>
      </c>
      <c r="O2029" s="36">
        <f>RTD("ice.rtd",,$C2029 &amp; $D2029 &amp; ":" &amp; O$1)</f>
        <v>0</v>
      </c>
      <c r="P202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29" s="14" t="str">
        <f>IF(ICE[[#This Row],[LastType]] = "Scrn", ICE[[#This Row],[LstDate]], IF(ICE[[#This Row],[LastType]] = "Blk", ICE[[#This Row],[LstBlkTime]], ""))</f>
        <v/>
      </c>
      <c r="R2029" s="41" t="str">
        <f>IF(ICE[[#This Row],[LastType]] = "Scrn", ICE[[#This Row],[LstPrc]], IF(ICE[[#This Row],[LastType]] = "Blk", ICE[[#This Row],[LstBlkPrc]], ""))</f>
        <v/>
      </c>
      <c r="S2029" s="36">
        <f>ICE[[#This Row],[Vol]]+ICE[[#This Row],[BlkVol]]</f>
        <v>0</v>
      </c>
      <c r="T2029" s="36">
        <f>RTD("ice.rtd",,$C2029 &amp; $D2029 &amp; ":" &amp; T$1)</f>
        <v>0</v>
      </c>
      <c r="U2029" s="18">
        <f>RTD("ice.rtd",,$C2029 &amp; $D2029 &amp; ":" &amp; U$1)</f>
        <v>17.188999999999993</v>
      </c>
      <c r="V202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29" s="18" t="str">
        <f>IFERROR(IF(LEFT(ICE[[#This Row],[Tenor]], 1) = "B", RTD("esrtd",,$B2029 &amp; " " &amp; ICE[[#This Row],[Tenor]] &amp; "-IEU", W$1), RTD("esrtd",,$B2029 &amp; " " &amp; VLOOKUP(MONTH(ICE[[#This Row],[Strip]]), MthRef[], 2, 0) &amp; RIGHT(YEAR(ICE[[#This Row],[Strip]]), 2) &amp; "-IEU", W$1)), "")</f>
        <v/>
      </c>
      <c r="X2029" s="36"/>
    </row>
    <row r="2030" spans="1:24" x14ac:dyDescent="0.25">
      <c r="A2030" s="37" t="s">
        <v>851</v>
      </c>
      <c r="B2030" s="88" t="str">
        <f>RTD("ice.rtd",,$C2030 &amp; $D2030 &amp; ":" &amp; B$1)</f>
        <v>GST</v>
      </c>
      <c r="C2030" s="3">
        <v>161913535</v>
      </c>
      <c r="D2030" t="s">
        <v>862</v>
      </c>
      <c r="E2030" s="3" t="str">
        <f>RTD("ice.rtd",,$C2030 &amp; $D2030 &amp; ":" &amp; E$1)</f>
        <v>Sep26/Jan27</v>
      </c>
      <c r="F2030" s="3" t="str">
        <f>ICE[[#This Row],[Prod]]&amp;ICE[[#This Row],[Strip]]</f>
        <v>gosingSep26/Jan27</v>
      </c>
      <c r="G2030" s="18" t="str">
        <f>RTD("ice.rtd",,$C2030 &amp; $D2030 &amp; ":" &amp; G$1)</f>
        <v/>
      </c>
      <c r="H2030" s="18" t="str">
        <f>RTD("ice.rtd",,$C2030 &amp; $D2030 &amp; ":" &amp; H$1)</f>
        <v/>
      </c>
      <c r="I2030" s="18" t="str">
        <f>RTD("ice.rtd",,$C2030 &amp; $D2030 &amp; ":" &amp; I$1)</f>
        <v/>
      </c>
      <c r="J2030" s="14" t="str">
        <f>IFERROR(MOD(RTD("ice.rtd",,$C2030 &amp; $D2030 &amp; ":" &amp; J$1), 1), "")</f>
        <v/>
      </c>
      <c r="K2030" s="18" t="str">
        <f>RTD("ice.rtd",,$C2030 &amp; $D2030 &amp; ":" &amp; K$1)</f>
        <v/>
      </c>
      <c r="L2030" s="36" t="str">
        <f>RTD("ice.rtd",,$C2030 &amp; $D2030 &amp; ":" &amp; L$1)</f>
        <v/>
      </c>
      <c r="M2030" s="14" t="str">
        <f>IFERROR(MOD(TIMEVALUE(RTD("ice.rtd",,$C2030 &amp; $D2030 &amp; ":" &amp; M$1)), 1), "")</f>
        <v/>
      </c>
      <c r="N2030" s="36">
        <f>RTD("ice.rtd",,$C2030 &amp; $D2030 &amp; ":" &amp; N$1)</f>
        <v>0</v>
      </c>
      <c r="O2030" s="36">
        <f>RTD("ice.rtd",,$C2030 &amp; $D2030 &amp; ":" &amp; O$1)</f>
        <v>0</v>
      </c>
      <c r="P203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0" s="14" t="str">
        <f>IF(ICE[[#This Row],[LastType]] = "Scrn", ICE[[#This Row],[LstDate]], IF(ICE[[#This Row],[LastType]] = "Blk", ICE[[#This Row],[LstBlkTime]], ""))</f>
        <v/>
      </c>
      <c r="R2030" s="41" t="str">
        <f>IF(ICE[[#This Row],[LastType]] = "Scrn", ICE[[#This Row],[LstPrc]], IF(ICE[[#This Row],[LastType]] = "Blk", ICE[[#This Row],[LstBlkPrc]], ""))</f>
        <v/>
      </c>
      <c r="S2030" s="36">
        <f>ICE[[#This Row],[Vol]]+ICE[[#This Row],[BlkVol]]</f>
        <v>0</v>
      </c>
      <c r="T2030" s="36">
        <f>RTD("ice.rtd",,$C2030 &amp; $D2030 &amp; ":" &amp; T$1)</f>
        <v>0</v>
      </c>
      <c r="U2030" s="18">
        <f>RTD("ice.rtd",,$C2030 &amp; $D2030 &amp; ":" &amp; U$1)</f>
        <v>21.888999999999982</v>
      </c>
      <c r="V203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0" s="18" t="str">
        <f>IFERROR(IF(LEFT(ICE[[#This Row],[Tenor]], 1) = "B", RTD("esrtd",,$B2030 &amp; " " &amp; ICE[[#This Row],[Tenor]] &amp; "-IEU", W$1), RTD("esrtd",,$B2030 &amp; " " &amp; VLOOKUP(MONTH(ICE[[#This Row],[Strip]]), MthRef[], 2, 0) &amp; RIGHT(YEAR(ICE[[#This Row],[Strip]]), 2) &amp; "-IEU", W$1)), "")</f>
        <v/>
      </c>
      <c r="X2030" s="36"/>
    </row>
    <row r="2031" spans="1:24" x14ac:dyDescent="0.25">
      <c r="A2031" s="37" t="s">
        <v>851</v>
      </c>
      <c r="B2031" s="88" t="str">
        <f>RTD("ice.rtd",,$C2031 &amp; $D2031 &amp; ":" &amp; B$1)</f>
        <v>GST</v>
      </c>
      <c r="C2031" s="3">
        <v>161913535</v>
      </c>
      <c r="D2031" t="s">
        <v>863</v>
      </c>
      <c r="E2031" s="3" t="str">
        <f>RTD("ice.rtd",,$C2031 &amp; $D2031 &amp; ":" &amp; E$1)</f>
        <v>Sep26/Feb27</v>
      </c>
      <c r="F2031" s="3" t="str">
        <f>ICE[[#This Row],[Prod]]&amp;ICE[[#This Row],[Strip]]</f>
        <v>gosingSep26/Feb27</v>
      </c>
      <c r="G2031" s="18" t="str">
        <f>RTD("ice.rtd",,$C2031 &amp; $D2031 &amp; ":" &amp; G$1)</f>
        <v/>
      </c>
      <c r="H2031" s="18" t="str">
        <f>RTD("ice.rtd",,$C2031 &amp; $D2031 &amp; ":" &amp; H$1)</f>
        <v/>
      </c>
      <c r="I2031" s="18" t="str">
        <f>RTD("ice.rtd",,$C2031 &amp; $D2031 &amp; ":" &amp; I$1)</f>
        <v/>
      </c>
      <c r="J2031" s="14" t="str">
        <f>IFERROR(MOD(RTD("ice.rtd",,$C2031 &amp; $D2031 &amp; ":" &amp; J$1), 1), "")</f>
        <v/>
      </c>
      <c r="K2031" s="18" t="str">
        <f>RTD("ice.rtd",,$C2031 &amp; $D2031 &amp; ":" &amp; K$1)</f>
        <v/>
      </c>
      <c r="L2031" s="36" t="str">
        <f>RTD("ice.rtd",,$C2031 &amp; $D2031 &amp; ":" &amp; L$1)</f>
        <v/>
      </c>
      <c r="M2031" s="14" t="str">
        <f>IFERROR(MOD(TIMEVALUE(RTD("ice.rtd",,$C2031 &amp; $D2031 &amp; ":" &amp; M$1)), 1), "")</f>
        <v/>
      </c>
      <c r="N2031" s="36">
        <f>RTD("ice.rtd",,$C2031 &amp; $D2031 &amp; ":" &amp; N$1)</f>
        <v>0</v>
      </c>
      <c r="O2031" s="36">
        <f>RTD("ice.rtd",,$C2031 &amp; $D2031 &amp; ":" &amp; O$1)</f>
        <v>0</v>
      </c>
      <c r="P203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1" s="14" t="str">
        <f>IF(ICE[[#This Row],[LastType]] = "Scrn", ICE[[#This Row],[LstDate]], IF(ICE[[#This Row],[LastType]] = "Blk", ICE[[#This Row],[LstBlkTime]], ""))</f>
        <v/>
      </c>
      <c r="R2031" s="41" t="str">
        <f>IF(ICE[[#This Row],[LastType]] = "Scrn", ICE[[#This Row],[LstPrc]], IF(ICE[[#This Row],[LastType]] = "Blk", ICE[[#This Row],[LstBlkPrc]], ""))</f>
        <v/>
      </c>
      <c r="S2031" s="36">
        <f>ICE[[#This Row],[Vol]]+ICE[[#This Row],[BlkVol]]</f>
        <v>0</v>
      </c>
      <c r="T2031" s="36">
        <f>RTD("ice.rtd",,$C2031 &amp; $D2031 &amp; ":" &amp; T$1)</f>
        <v>0</v>
      </c>
      <c r="U2031" s="18">
        <f>RTD("ice.rtd",,$C2031 &amp; $D2031 &amp; ":" &amp; U$1)</f>
        <v>25.788999999999987</v>
      </c>
      <c r="V203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1" s="18" t="str">
        <f>IFERROR(IF(LEFT(ICE[[#This Row],[Tenor]], 1) = "B", RTD("esrtd",,$B2031 &amp; " " &amp; ICE[[#This Row],[Tenor]] &amp; "-IEU", W$1), RTD("esrtd",,$B2031 &amp; " " &amp; VLOOKUP(MONTH(ICE[[#This Row],[Strip]]), MthRef[], 2, 0) &amp; RIGHT(YEAR(ICE[[#This Row],[Strip]]), 2) &amp; "-IEU", W$1)), "")</f>
        <v/>
      </c>
      <c r="X2031" s="36"/>
    </row>
    <row r="2032" spans="1:24" x14ac:dyDescent="0.25">
      <c r="A2032" s="37" t="s">
        <v>851</v>
      </c>
      <c r="B2032" s="88" t="str">
        <f>RTD("ice.rtd",,$C2032 &amp; $D2032 &amp; ":" &amp; B$1)</f>
        <v>GST</v>
      </c>
      <c r="C2032" s="3">
        <v>161913535</v>
      </c>
      <c r="D2032" t="s">
        <v>864</v>
      </c>
      <c r="E2032" s="3" t="str">
        <f>RTD("ice.rtd",,$C2032 &amp; $D2032 &amp; ":" &amp; E$1)</f>
        <v>Sep26/Mar27</v>
      </c>
      <c r="F2032" s="3" t="str">
        <f>ICE[[#This Row],[Prod]]&amp;ICE[[#This Row],[Strip]]</f>
        <v>gosingSep26/Mar27</v>
      </c>
      <c r="G2032" s="18" t="str">
        <f>RTD("ice.rtd",,$C2032 &amp; $D2032 &amp; ":" &amp; G$1)</f>
        <v/>
      </c>
      <c r="H2032" s="18" t="str">
        <f>RTD("ice.rtd",,$C2032 &amp; $D2032 &amp; ":" &amp; H$1)</f>
        <v/>
      </c>
      <c r="I2032" s="18" t="str">
        <f>RTD("ice.rtd",,$C2032 &amp; $D2032 &amp; ":" &amp; I$1)</f>
        <v/>
      </c>
      <c r="J2032" s="14" t="str">
        <f>IFERROR(MOD(RTD("ice.rtd",,$C2032 &amp; $D2032 &amp; ":" &amp; J$1), 1), "")</f>
        <v/>
      </c>
      <c r="K2032" s="18" t="str">
        <f>RTD("ice.rtd",,$C2032 &amp; $D2032 &amp; ":" &amp; K$1)</f>
        <v/>
      </c>
      <c r="L2032" s="36" t="str">
        <f>RTD("ice.rtd",,$C2032 &amp; $D2032 &amp; ":" &amp; L$1)</f>
        <v/>
      </c>
      <c r="M2032" s="14" t="str">
        <f>IFERROR(MOD(TIMEVALUE(RTD("ice.rtd",,$C2032 &amp; $D2032 &amp; ":" &amp; M$1)), 1), "")</f>
        <v/>
      </c>
      <c r="N2032" s="36">
        <f>RTD("ice.rtd",,$C2032 &amp; $D2032 &amp; ":" &amp; N$1)</f>
        <v>0</v>
      </c>
      <c r="O2032" s="36">
        <f>RTD("ice.rtd",,$C2032 &amp; $D2032 &amp; ":" &amp; O$1)</f>
        <v>0</v>
      </c>
      <c r="P203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2" s="14" t="str">
        <f>IF(ICE[[#This Row],[LastType]] = "Scrn", ICE[[#This Row],[LstDate]], IF(ICE[[#This Row],[LastType]] = "Blk", ICE[[#This Row],[LstBlkTime]], ""))</f>
        <v/>
      </c>
      <c r="R2032" s="41" t="str">
        <f>IF(ICE[[#This Row],[LastType]] = "Scrn", ICE[[#This Row],[LstPrc]], IF(ICE[[#This Row],[LastType]] = "Blk", ICE[[#This Row],[LstBlkPrc]], ""))</f>
        <v/>
      </c>
      <c r="S2032" s="36">
        <f>ICE[[#This Row],[Vol]]+ICE[[#This Row],[BlkVol]]</f>
        <v>0</v>
      </c>
      <c r="T2032" s="36">
        <f>RTD("ice.rtd",,$C2032 &amp; $D2032 &amp; ":" &amp; T$1)</f>
        <v>0</v>
      </c>
      <c r="U2032" s="18">
        <f>RTD("ice.rtd",,$C2032 &amp; $D2032 &amp; ":" &amp; U$1)</f>
        <v>29.788999999999987</v>
      </c>
      <c r="V203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2" s="18" t="str">
        <f>IFERROR(IF(LEFT(ICE[[#This Row],[Tenor]], 1) = "B", RTD("esrtd",,$B2032 &amp; " " &amp; ICE[[#This Row],[Tenor]] &amp; "-IEU", W$1), RTD("esrtd",,$B2032 &amp; " " &amp; VLOOKUP(MONTH(ICE[[#This Row],[Strip]]), MthRef[], 2, 0) &amp; RIGHT(YEAR(ICE[[#This Row],[Strip]]), 2) &amp; "-IEU", W$1)), "")</f>
        <v/>
      </c>
      <c r="X2032" s="36"/>
    </row>
    <row r="2033" spans="1:24" x14ac:dyDescent="0.25">
      <c r="A2033" s="37" t="s">
        <v>851</v>
      </c>
      <c r="B2033" s="88" t="str">
        <f>RTD("ice.rtd",,$C2033 &amp; $D2033 &amp; ":" &amp; B$1)</f>
        <v>GST</v>
      </c>
      <c r="C2033" s="3">
        <v>161913535</v>
      </c>
      <c r="D2033" t="s">
        <v>865</v>
      </c>
      <c r="E2033" s="3" t="str">
        <f>RTD("ice.rtd",,$C2033 &amp; $D2033 &amp; ":" &amp; E$1)</f>
        <v>Sep26/Apr27</v>
      </c>
      <c r="F2033" s="3" t="str">
        <f>ICE[[#This Row],[Prod]]&amp;ICE[[#This Row],[Strip]]</f>
        <v>gosingSep26/Apr27</v>
      </c>
      <c r="G2033" s="18" t="str">
        <f>RTD("ice.rtd",,$C2033 &amp; $D2033 &amp; ":" &amp; G$1)</f>
        <v/>
      </c>
      <c r="H2033" s="18" t="str">
        <f>RTD("ice.rtd",,$C2033 &amp; $D2033 &amp; ":" &amp; H$1)</f>
        <v/>
      </c>
      <c r="I2033" s="18" t="str">
        <f>RTD("ice.rtd",,$C2033 &amp; $D2033 &amp; ":" &amp; I$1)</f>
        <v/>
      </c>
      <c r="J2033" s="14" t="str">
        <f>IFERROR(MOD(RTD("ice.rtd",,$C2033 &amp; $D2033 &amp; ":" &amp; J$1), 1), "")</f>
        <v/>
      </c>
      <c r="K2033" s="18" t="str">
        <f>RTD("ice.rtd",,$C2033 &amp; $D2033 &amp; ":" &amp; K$1)</f>
        <v/>
      </c>
      <c r="L2033" s="36" t="str">
        <f>RTD("ice.rtd",,$C2033 &amp; $D2033 &amp; ":" &amp; L$1)</f>
        <v/>
      </c>
      <c r="M2033" s="14" t="str">
        <f>IFERROR(MOD(TIMEVALUE(RTD("ice.rtd",,$C2033 &amp; $D2033 &amp; ":" &amp; M$1)), 1), "")</f>
        <v/>
      </c>
      <c r="N2033" s="36">
        <f>RTD("ice.rtd",,$C2033 &amp; $D2033 &amp; ":" &amp; N$1)</f>
        <v>0</v>
      </c>
      <c r="O2033" s="36">
        <f>RTD("ice.rtd",,$C2033 &amp; $D2033 &amp; ":" &amp; O$1)</f>
        <v>0</v>
      </c>
      <c r="P203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3" s="14" t="str">
        <f>IF(ICE[[#This Row],[LastType]] = "Scrn", ICE[[#This Row],[LstDate]], IF(ICE[[#This Row],[LastType]] = "Blk", ICE[[#This Row],[LstBlkTime]], ""))</f>
        <v/>
      </c>
      <c r="R2033" s="41" t="str">
        <f>IF(ICE[[#This Row],[LastType]] = "Scrn", ICE[[#This Row],[LstPrc]], IF(ICE[[#This Row],[LastType]] = "Blk", ICE[[#This Row],[LstBlkPrc]], ""))</f>
        <v/>
      </c>
      <c r="S2033" s="36">
        <f>ICE[[#This Row],[Vol]]+ICE[[#This Row],[BlkVol]]</f>
        <v>0</v>
      </c>
      <c r="T2033" s="36">
        <f>RTD("ice.rtd",,$C2033 &amp; $D2033 &amp; ":" &amp; T$1)</f>
        <v>0</v>
      </c>
      <c r="U2033" s="18">
        <f>RTD("ice.rtd",,$C2033 &amp; $D2033 &amp; ":" &amp; U$1)</f>
        <v>33.338999999999999</v>
      </c>
      <c r="V203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3" s="18" t="str">
        <f>IFERROR(IF(LEFT(ICE[[#This Row],[Tenor]], 1) = "B", RTD("esrtd",,$B2033 &amp; " " &amp; ICE[[#This Row],[Tenor]] &amp; "-IEU", W$1), RTD("esrtd",,$B2033 &amp; " " &amp; VLOOKUP(MONTH(ICE[[#This Row],[Strip]]), MthRef[], 2, 0) &amp; RIGHT(YEAR(ICE[[#This Row],[Strip]]), 2) &amp; "-IEU", W$1)), "")</f>
        <v/>
      </c>
      <c r="X2033" s="36"/>
    </row>
    <row r="2034" spans="1:24" x14ac:dyDescent="0.25">
      <c r="A2034" s="37" t="s">
        <v>851</v>
      </c>
      <c r="B2034" s="88" t="str">
        <f>RTD("ice.rtd",,$C2034 &amp; $D2034 &amp; ":" &amp; B$1)</f>
        <v>GST</v>
      </c>
      <c r="C2034" s="3">
        <v>161913535</v>
      </c>
      <c r="D2034" t="s">
        <v>866</v>
      </c>
      <c r="E2034" s="3" t="str">
        <f>RTD("ice.rtd",,$C2034 &amp; $D2034 &amp; ":" &amp; E$1)</f>
        <v>Sep26/Jun27</v>
      </c>
      <c r="F2034" s="3" t="str">
        <f>ICE[[#This Row],[Prod]]&amp;ICE[[#This Row],[Strip]]</f>
        <v>gosingSep26/Jun27</v>
      </c>
      <c r="G2034" s="18" t="str">
        <f>RTD("ice.rtd",,$C2034 &amp; $D2034 &amp; ":" &amp; G$1)</f>
        <v/>
      </c>
      <c r="H2034" s="18" t="str">
        <f>RTD("ice.rtd",,$C2034 &amp; $D2034 &amp; ":" &amp; H$1)</f>
        <v/>
      </c>
      <c r="I2034" s="18" t="str">
        <f>RTD("ice.rtd",,$C2034 &amp; $D2034 &amp; ":" &amp; I$1)</f>
        <v/>
      </c>
      <c r="J2034" s="14" t="str">
        <f>IFERROR(MOD(RTD("ice.rtd",,$C2034 &amp; $D2034 &amp; ":" &amp; J$1), 1), "")</f>
        <v/>
      </c>
      <c r="K2034" s="18" t="str">
        <f>RTD("ice.rtd",,$C2034 &amp; $D2034 &amp; ":" &amp; K$1)</f>
        <v/>
      </c>
      <c r="L2034" s="36" t="str">
        <f>RTD("ice.rtd",,$C2034 &amp; $D2034 &amp; ":" &amp; L$1)</f>
        <v/>
      </c>
      <c r="M2034" s="14" t="str">
        <f>IFERROR(MOD(TIMEVALUE(RTD("ice.rtd",,$C2034 &amp; $D2034 &amp; ":" &amp; M$1)), 1), "")</f>
        <v/>
      </c>
      <c r="N2034" s="36">
        <f>RTD("ice.rtd",,$C2034 &amp; $D2034 &amp; ":" &amp; N$1)</f>
        <v>0</v>
      </c>
      <c r="O2034" s="36">
        <f>RTD("ice.rtd",,$C2034 &amp; $D2034 &amp; ":" &amp; O$1)</f>
        <v>0</v>
      </c>
      <c r="P203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4" s="14" t="str">
        <f>IF(ICE[[#This Row],[LastType]] = "Scrn", ICE[[#This Row],[LstDate]], IF(ICE[[#This Row],[LastType]] = "Blk", ICE[[#This Row],[LstBlkTime]], ""))</f>
        <v/>
      </c>
      <c r="R2034" s="41" t="str">
        <f>IF(ICE[[#This Row],[LastType]] = "Scrn", ICE[[#This Row],[LstPrc]], IF(ICE[[#This Row],[LastType]] = "Blk", ICE[[#This Row],[LstBlkPrc]], ""))</f>
        <v/>
      </c>
      <c r="S2034" s="36">
        <f>ICE[[#This Row],[Vol]]+ICE[[#This Row],[BlkVol]]</f>
        <v>0</v>
      </c>
      <c r="T2034" s="36">
        <f>RTD("ice.rtd",,$C2034 &amp; $D2034 &amp; ":" &amp; T$1)</f>
        <v>0</v>
      </c>
      <c r="U2034" s="18">
        <f>RTD("ice.rtd",,$C2034 &amp; $D2034 &amp; ":" &amp; U$1)</f>
        <v>38.578999999999994</v>
      </c>
      <c r="V203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4" s="18" t="str">
        <f>IFERROR(IF(LEFT(ICE[[#This Row],[Tenor]], 1) = "B", RTD("esrtd",,$B2034 &amp; " " &amp; ICE[[#This Row],[Tenor]] &amp; "-IEU", W$1), RTD("esrtd",,$B2034 &amp; " " &amp; VLOOKUP(MONTH(ICE[[#This Row],[Strip]]), MthRef[], 2, 0) &amp; RIGHT(YEAR(ICE[[#This Row],[Strip]]), 2) &amp; "-IEU", W$1)), "")</f>
        <v/>
      </c>
      <c r="X2034" s="36"/>
    </row>
    <row r="2035" spans="1:24" x14ac:dyDescent="0.25">
      <c r="A2035" s="37" t="s">
        <v>851</v>
      </c>
      <c r="B2035" s="88" t="str">
        <f>RTD("ice.rtd",,$C2035 &amp; $D2035 &amp; ":" &amp; B$1)</f>
        <v>GST</v>
      </c>
      <c r="C2035" s="3">
        <v>161913535</v>
      </c>
      <c r="D2035" t="s">
        <v>867</v>
      </c>
      <c r="E2035" s="3" t="str">
        <f>RTD("ice.rtd",,$C2035 &amp; $D2035 &amp; ":" &amp; E$1)</f>
        <v>Sep26/Aug27</v>
      </c>
      <c r="F2035" s="3" t="str">
        <f>ICE[[#This Row],[Prod]]&amp;ICE[[#This Row],[Strip]]</f>
        <v>gosingSep26/Aug27</v>
      </c>
      <c r="G2035" s="18" t="str">
        <f>RTD("ice.rtd",,$C2035 &amp; $D2035 &amp; ":" &amp; G$1)</f>
        <v/>
      </c>
      <c r="H2035" s="18" t="str">
        <f>RTD("ice.rtd",,$C2035 &amp; $D2035 &amp; ":" &amp; H$1)</f>
        <v/>
      </c>
      <c r="I2035" s="18" t="str">
        <f>RTD("ice.rtd",,$C2035 &amp; $D2035 &amp; ":" &amp; I$1)</f>
        <v/>
      </c>
      <c r="J2035" s="14" t="str">
        <f>IFERROR(MOD(RTD("ice.rtd",,$C2035 &amp; $D2035 &amp; ":" &amp; J$1), 1), "")</f>
        <v/>
      </c>
      <c r="K2035" s="18" t="str">
        <f>RTD("ice.rtd",,$C2035 &amp; $D2035 &amp; ":" &amp; K$1)</f>
        <v/>
      </c>
      <c r="L2035" s="36" t="str">
        <f>RTD("ice.rtd",,$C2035 &amp; $D2035 &amp; ":" &amp; L$1)</f>
        <v/>
      </c>
      <c r="M2035" s="14" t="str">
        <f>IFERROR(MOD(TIMEVALUE(RTD("ice.rtd",,$C2035 &amp; $D2035 &amp; ":" &amp; M$1)), 1), "")</f>
        <v/>
      </c>
      <c r="N2035" s="36">
        <f>RTD("ice.rtd",,$C2035 &amp; $D2035 &amp; ":" &amp; N$1)</f>
        <v>0</v>
      </c>
      <c r="O2035" s="36">
        <f>RTD("ice.rtd",,$C2035 &amp; $D2035 &amp; ":" &amp; O$1)</f>
        <v>0</v>
      </c>
      <c r="P203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5" s="14" t="str">
        <f>IF(ICE[[#This Row],[LastType]] = "Scrn", ICE[[#This Row],[LstDate]], IF(ICE[[#This Row],[LastType]] = "Blk", ICE[[#This Row],[LstBlkTime]], ""))</f>
        <v/>
      </c>
      <c r="R2035" s="41" t="str">
        <f>IF(ICE[[#This Row],[LastType]] = "Scrn", ICE[[#This Row],[LstPrc]], IF(ICE[[#This Row],[LastType]] = "Blk", ICE[[#This Row],[LstBlkPrc]], ""))</f>
        <v/>
      </c>
      <c r="S2035" s="36">
        <f>ICE[[#This Row],[Vol]]+ICE[[#This Row],[BlkVol]]</f>
        <v>0</v>
      </c>
      <c r="T2035" s="36">
        <f>RTD("ice.rtd",,$C2035 &amp; $D2035 &amp; ":" &amp; T$1)</f>
        <v>0</v>
      </c>
      <c r="U2035" s="18">
        <f>RTD("ice.rtd",,$C2035 &amp; $D2035 &amp; ":" &amp; U$1)</f>
        <v>42.228999999999999</v>
      </c>
      <c r="V203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5" s="18" t="str">
        <f>IFERROR(IF(LEFT(ICE[[#This Row],[Tenor]], 1) = "B", RTD("esrtd",,$B2035 &amp; " " &amp; ICE[[#This Row],[Tenor]] &amp; "-IEU", W$1), RTD("esrtd",,$B2035 &amp; " " &amp; VLOOKUP(MONTH(ICE[[#This Row],[Strip]]), MthRef[], 2, 0) &amp; RIGHT(YEAR(ICE[[#This Row],[Strip]]), 2) &amp; "-IEU", W$1)), "")</f>
        <v/>
      </c>
      <c r="X2035" s="36"/>
    </row>
    <row r="2036" spans="1:24" x14ac:dyDescent="0.25">
      <c r="A2036" s="37" t="s">
        <v>851</v>
      </c>
      <c r="B2036" s="88" t="str">
        <f>RTD("ice.rtd",,$C2036 &amp; $D2036 &amp; ":" &amp; B$1)</f>
        <v>GST</v>
      </c>
      <c r="C2036" s="3">
        <v>161913535</v>
      </c>
      <c r="D2036" t="s">
        <v>868</v>
      </c>
      <c r="E2036" s="3" t="str">
        <f>RTD("ice.rtd",,$C2036 &amp; $D2036 &amp; ":" &amp; E$1)</f>
        <v>Sep26/Sep27</v>
      </c>
      <c r="F2036" s="3" t="str">
        <f>ICE[[#This Row],[Prod]]&amp;ICE[[#This Row],[Strip]]</f>
        <v>gosingSep26/Sep27</v>
      </c>
      <c r="G2036" s="18" t="str">
        <f>RTD("ice.rtd",,$C2036 &amp; $D2036 &amp; ":" &amp; G$1)</f>
        <v/>
      </c>
      <c r="H2036" s="18" t="str">
        <f>RTD("ice.rtd",,$C2036 &amp; $D2036 &amp; ":" &amp; H$1)</f>
        <v/>
      </c>
      <c r="I2036" s="18" t="str">
        <f>RTD("ice.rtd",,$C2036 &amp; $D2036 &amp; ":" &amp; I$1)</f>
        <v/>
      </c>
      <c r="J2036" s="14" t="str">
        <f>IFERROR(MOD(RTD("ice.rtd",,$C2036 &amp; $D2036 &amp; ":" &amp; J$1), 1), "")</f>
        <v/>
      </c>
      <c r="K2036" s="18" t="str">
        <f>RTD("ice.rtd",,$C2036 &amp; $D2036 &amp; ":" &amp; K$1)</f>
        <v/>
      </c>
      <c r="L2036" s="36" t="str">
        <f>RTD("ice.rtd",,$C2036 &amp; $D2036 &amp; ":" &amp; L$1)</f>
        <v/>
      </c>
      <c r="M2036" s="14" t="str">
        <f>IFERROR(MOD(TIMEVALUE(RTD("ice.rtd",,$C2036 &amp; $D2036 &amp; ":" &amp; M$1)), 1), "")</f>
        <v/>
      </c>
      <c r="N2036" s="36">
        <f>RTD("ice.rtd",,$C2036 &amp; $D2036 &amp; ":" &amp; N$1)</f>
        <v>0</v>
      </c>
      <c r="O2036" s="36">
        <f>RTD("ice.rtd",,$C2036 &amp; $D2036 &amp; ":" &amp; O$1)</f>
        <v>0</v>
      </c>
      <c r="P203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6" s="14" t="str">
        <f>IF(ICE[[#This Row],[LastType]] = "Scrn", ICE[[#This Row],[LstDate]], IF(ICE[[#This Row],[LastType]] = "Blk", ICE[[#This Row],[LstBlkTime]], ""))</f>
        <v/>
      </c>
      <c r="R2036" s="41" t="str">
        <f>IF(ICE[[#This Row],[LastType]] = "Scrn", ICE[[#This Row],[LstPrc]], IF(ICE[[#This Row],[LastType]] = "Blk", ICE[[#This Row],[LstBlkPrc]], ""))</f>
        <v/>
      </c>
      <c r="S2036" s="36">
        <f>ICE[[#This Row],[Vol]]+ICE[[#This Row],[BlkVol]]</f>
        <v>0</v>
      </c>
      <c r="T2036" s="36">
        <f>RTD("ice.rtd",,$C2036 &amp; $D2036 &amp; ":" &amp; T$1)</f>
        <v>0</v>
      </c>
      <c r="U2036" s="18">
        <f>RTD("ice.rtd",,$C2036 &amp; $D2036 &amp; ":" &amp; U$1)</f>
        <v>43.978999999999999</v>
      </c>
      <c r="V203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6" s="18" t="str">
        <f>IFERROR(IF(LEFT(ICE[[#This Row],[Tenor]], 1) = "B", RTD("esrtd",,$B2036 &amp; " " &amp; ICE[[#This Row],[Tenor]] &amp; "-IEU", W$1), RTD("esrtd",,$B2036 &amp; " " &amp; VLOOKUP(MONTH(ICE[[#This Row],[Strip]]), MthRef[], 2, 0) &amp; RIGHT(YEAR(ICE[[#This Row],[Strip]]), 2) &amp; "-IEU", W$1)), "")</f>
        <v/>
      </c>
      <c r="X2036" s="36"/>
    </row>
    <row r="2037" spans="1:24" x14ac:dyDescent="0.25">
      <c r="A2037" s="37" t="s">
        <v>851</v>
      </c>
      <c r="B2037" s="88" t="str">
        <f>RTD("ice.rtd",,$C2037 &amp; $D2037 &amp; ":" &amp; B$1)</f>
        <v>GST</v>
      </c>
      <c r="C2037" s="3">
        <v>161913535</v>
      </c>
      <c r="D2037" t="s">
        <v>858</v>
      </c>
      <c r="E2037" s="3" t="str">
        <f>RTD("ice.rtd",,$C2037 &amp; $D2037 &amp; ":" &amp; E$1)</f>
        <v>Sep26/Oct27</v>
      </c>
      <c r="F2037" s="3" t="str">
        <f>ICE[[#This Row],[Prod]]&amp;ICE[[#This Row],[Strip]]</f>
        <v>gosingSep26/Oct27</v>
      </c>
      <c r="G2037" s="18" t="str">
        <f>RTD("ice.rtd",,$C2037 &amp; $D2037 &amp; ":" &amp; G$1)</f>
        <v/>
      </c>
      <c r="H2037" s="18" t="str">
        <f>RTD("ice.rtd",,$C2037 &amp; $D2037 &amp; ":" &amp; H$1)</f>
        <v/>
      </c>
      <c r="I2037" s="18" t="str">
        <f>RTD("ice.rtd",,$C2037 &amp; $D2037 &amp; ":" &amp; I$1)</f>
        <v/>
      </c>
      <c r="J2037" s="14" t="str">
        <f>IFERROR(MOD(RTD("ice.rtd",,$C2037 &amp; $D2037 &amp; ":" &amp; J$1), 1), "")</f>
        <v/>
      </c>
      <c r="K2037" s="18" t="str">
        <f>RTD("ice.rtd",,$C2037 &amp; $D2037 &amp; ":" &amp; K$1)</f>
        <v/>
      </c>
      <c r="L2037" s="36" t="str">
        <f>RTD("ice.rtd",,$C2037 &amp; $D2037 &amp; ":" &amp; L$1)</f>
        <v/>
      </c>
      <c r="M2037" s="14" t="str">
        <f>IFERROR(MOD(TIMEVALUE(RTD("ice.rtd",,$C2037 &amp; $D2037 &amp; ":" &amp; M$1)), 1), "")</f>
        <v/>
      </c>
      <c r="N2037" s="36">
        <f>RTD("ice.rtd",,$C2037 &amp; $D2037 &amp; ":" &amp; N$1)</f>
        <v>0</v>
      </c>
      <c r="O2037" s="36">
        <f>RTD("ice.rtd",,$C2037 &amp; $D2037 &amp; ":" &amp; O$1)</f>
        <v>0</v>
      </c>
      <c r="P203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7" s="14" t="str">
        <f>IF(ICE[[#This Row],[LastType]] = "Scrn", ICE[[#This Row],[LstDate]], IF(ICE[[#This Row],[LastType]] = "Blk", ICE[[#This Row],[LstBlkTime]], ""))</f>
        <v/>
      </c>
      <c r="R2037" s="41" t="str">
        <f>IF(ICE[[#This Row],[LastType]] = "Scrn", ICE[[#This Row],[LstPrc]], IF(ICE[[#This Row],[LastType]] = "Blk", ICE[[#This Row],[LstBlkPrc]], ""))</f>
        <v/>
      </c>
      <c r="S2037" s="36">
        <f>ICE[[#This Row],[Vol]]+ICE[[#This Row],[BlkVol]]</f>
        <v>0</v>
      </c>
      <c r="T2037" s="36">
        <f>RTD("ice.rtd",,$C2037 &amp; $D2037 &amp; ":" &amp; T$1)</f>
        <v>0</v>
      </c>
      <c r="U2037" s="18">
        <f>RTD("ice.rtd",,$C2037 &amp; $D2037 &amp; ":" &amp; U$1)</f>
        <v>45.728999999999999</v>
      </c>
      <c r="V203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7" s="18" t="str">
        <f>IFERROR(IF(LEFT(ICE[[#This Row],[Tenor]], 1) = "B", RTD("esrtd",,$B2037 &amp; " " &amp; ICE[[#This Row],[Tenor]] &amp; "-IEU", W$1), RTD("esrtd",,$B2037 &amp; " " &amp; VLOOKUP(MONTH(ICE[[#This Row],[Strip]]), MthRef[], 2, 0) &amp; RIGHT(YEAR(ICE[[#This Row],[Strip]]), 2) &amp; "-IEU", W$1)), "")</f>
        <v/>
      </c>
      <c r="X2037" s="36"/>
    </row>
    <row r="2038" spans="1:24" x14ac:dyDescent="0.25">
      <c r="A2038" s="37" t="s">
        <v>851</v>
      </c>
      <c r="B2038" s="88" t="str">
        <f>RTD("ice.rtd",,$C2038 &amp; $D2038 &amp; ":" &amp; B$1)</f>
        <v>GST</v>
      </c>
      <c r="C2038" s="3">
        <v>161913535</v>
      </c>
      <c r="D2038" t="s">
        <v>869</v>
      </c>
      <c r="E2038" s="3" t="str">
        <f>RTD("ice.rtd",,$C2038 &amp; $D2038 &amp; ":" &amp; E$1)</f>
        <v>Sep26/Aug28</v>
      </c>
      <c r="F2038" s="3" t="str">
        <f>ICE[[#This Row],[Prod]]&amp;ICE[[#This Row],[Strip]]</f>
        <v>gosingSep26/Aug28</v>
      </c>
      <c r="G2038" s="18" t="str">
        <f>RTD("ice.rtd",,$C2038 &amp; $D2038 &amp; ":" &amp; G$1)</f>
        <v/>
      </c>
      <c r="H2038" s="18" t="str">
        <f>RTD("ice.rtd",,$C2038 &amp; $D2038 &amp; ":" &amp; H$1)</f>
        <v/>
      </c>
      <c r="I2038" s="18" t="str">
        <f>RTD("ice.rtd",,$C2038 &amp; $D2038 &amp; ":" &amp; I$1)</f>
        <v/>
      </c>
      <c r="J2038" s="14" t="str">
        <f>IFERROR(MOD(RTD("ice.rtd",,$C2038 &amp; $D2038 &amp; ":" &amp; J$1), 1), "")</f>
        <v/>
      </c>
      <c r="K2038" s="18" t="str">
        <f>RTD("ice.rtd",,$C2038 &amp; $D2038 &amp; ":" &amp; K$1)</f>
        <v/>
      </c>
      <c r="L2038" s="36" t="str">
        <f>RTD("ice.rtd",,$C2038 &amp; $D2038 &amp; ":" &amp; L$1)</f>
        <v/>
      </c>
      <c r="M2038" s="14" t="str">
        <f>IFERROR(MOD(TIMEVALUE(RTD("ice.rtd",,$C2038 &amp; $D2038 &amp; ":" &amp; M$1)), 1), "")</f>
        <v/>
      </c>
      <c r="N2038" s="36">
        <f>RTD("ice.rtd",,$C2038 &amp; $D2038 &amp; ":" &amp; N$1)</f>
        <v>0</v>
      </c>
      <c r="O2038" s="36">
        <f>RTD("ice.rtd",,$C2038 &amp; $D2038 &amp; ":" &amp; O$1)</f>
        <v>0</v>
      </c>
      <c r="P203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38" s="14" t="str">
        <f>IF(ICE[[#This Row],[LastType]] = "Scrn", ICE[[#This Row],[LstDate]], IF(ICE[[#This Row],[LastType]] = "Blk", ICE[[#This Row],[LstBlkTime]], ""))</f>
        <v/>
      </c>
      <c r="R2038" s="41" t="str">
        <f>IF(ICE[[#This Row],[LastType]] = "Scrn", ICE[[#This Row],[LstPrc]], IF(ICE[[#This Row],[LastType]] = "Blk", ICE[[#This Row],[LstBlkPrc]], ""))</f>
        <v/>
      </c>
      <c r="S2038" s="36">
        <f>ICE[[#This Row],[Vol]]+ICE[[#This Row],[BlkVol]]</f>
        <v>0</v>
      </c>
      <c r="T2038" s="36">
        <f>RTD("ice.rtd",,$C2038 &amp; $D2038 &amp; ":" &amp; T$1)</f>
        <v>0</v>
      </c>
      <c r="U2038" s="18">
        <f>RTD("ice.rtd",,$C2038 &amp; $D2038 &amp; ":" &amp; U$1)</f>
        <v>58.328999999999994</v>
      </c>
      <c r="V203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38" s="18" t="str">
        <f>IFERROR(IF(LEFT(ICE[[#This Row],[Tenor]], 1) = "B", RTD("esrtd",,$B2038 &amp; " " &amp; ICE[[#This Row],[Tenor]] &amp; "-IEU", W$1), RTD("esrtd",,$B2038 &amp; " " &amp; VLOOKUP(MONTH(ICE[[#This Row],[Strip]]), MthRef[], 2, 0) &amp; RIGHT(YEAR(ICE[[#This Row],[Strip]]), 2) &amp; "-IEU", W$1)), "")</f>
        <v/>
      </c>
      <c r="X2038" s="36"/>
    </row>
    <row r="2039" spans="1:24" x14ac:dyDescent="0.25">
      <c r="A2039" s="37" t="s">
        <v>851</v>
      </c>
      <c r="B2039" s="88" t="str">
        <f>RTD("ice.rtd",,$C2039 &amp; $D2039 &amp; ":" &amp; B$1)</f>
        <v>GST</v>
      </c>
      <c r="C2039" s="3">
        <v>161913535</v>
      </c>
      <c r="D2039" t="s">
        <v>870</v>
      </c>
      <c r="E2039" s="3" t="str">
        <f>RTD("ice.rtd",,$C2039 &amp; $D2039 &amp; ":" &amp; E$1)</f>
        <v>Oct26/Nov26</v>
      </c>
      <c r="F2039" s="3" t="str">
        <f>ICE[[#This Row],[Prod]]&amp;ICE[[#This Row],[Strip]]</f>
        <v>gosingOct26/Nov26</v>
      </c>
      <c r="G2039" s="18">
        <f>RTD("ice.rtd",,$C2039 &amp; $D2039 &amp; ":" &amp; G$1)</f>
        <v>6.25</v>
      </c>
      <c r="H2039" s="18">
        <f>RTD("ice.rtd",,$C2039 &amp; $D2039 &amp; ":" &amp; H$1)</f>
        <v>6.4</v>
      </c>
      <c r="I2039" s="18">
        <f>RTD("ice.rtd",,$C2039 &amp; $D2039 &amp; ":" &amp; I$1)</f>
        <v>6.3</v>
      </c>
      <c r="J2039" s="14">
        <f>IFERROR(MOD(RTD("ice.rtd",,$C2039 &amp; $D2039 &amp; ":" &amp; J$1), 1), "")</f>
        <v>0.40510479166550795</v>
      </c>
      <c r="K2039" s="18">
        <f>RTD("ice.rtd",,$C2039 &amp; $D2039 &amp; ":" &amp; K$1)</f>
        <v>6.3</v>
      </c>
      <c r="L2039" s="36">
        <f>RTD("ice.rtd",,$C2039 &amp; $D2039 &amp; ":" &amp; L$1)</f>
        <v>60</v>
      </c>
      <c r="M2039" s="14">
        <f>IFERROR(MOD(TIMEVALUE(RTD("ice.rtd",,$C2039 &amp; $D2039 &amp; ":" &amp; M$1)), 1), "")</f>
        <v>0.43344907407407407</v>
      </c>
      <c r="N2039" s="36">
        <f>RTD("ice.rtd",,$C2039 &amp; $D2039 &amp; ":" &amp; N$1)</f>
        <v>150</v>
      </c>
      <c r="O2039" s="36">
        <f>RTD("ice.rtd",,$C2039 &amp; $D2039 &amp; ":" &amp; O$1)</f>
        <v>735</v>
      </c>
      <c r="P203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039" s="14">
        <f>IF(ICE[[#This Row],[LastType]] = "Scrn", ICE[[#This Row],[LstDate]], IF(ICE[[#This Row],[LastType]] = "Blk", ICE[[#This Row],[LstBlkTime]], ""))</f>
        <v>0.43344907407407407</v>
      </c>
      <c r="R2039" s="41">
        <f>IF(ICE[[#This Row],[LastType]] = "Scrn", ICE[[#This Row],[LstPrc]], IF(ICE[[#This Row],[LastType]] = "Blk", ICE[[#This Row],[LstBlkPrc]], ""))</f>
        <v>6.3</v>
      </c>
      <c r="S2039" s="36">
        <f>ICE[[#This Row],[Vol]]+ICE[[#This Row],[BlkVol]]</f>
        <v>885</v>
      </c>
      <c r="T2039" s="36">
        <f>RTD("ice.rtd",,$C2039 &amp; $D2039 &amp; ":" &amp; T$1)</f>
        <v>0</v>
      </c>
      <c r="U2039" s="18">
        <f>RTD("ice.rtd",,$C2039 &amp; $D2039 &amp; ":" &amp; U$1)</f>
        <v>6.0699999999999932</v>
      </c>
      <c r="V203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6.25 / 6.40 {6.30} |885x</v>
      </c>
      <c r="W2039" s="18" t="str">
        <f>IFERROR(IF(LEFT(ICE[[#This Row],[Tenor]], 1) = "B", RTD("esrtd",,$B2039 &amp; " " &amp; ICE[[#This Row],[Tenor]] &amp; "-IEU", W$1), RTD("esrtd",,$B2039 &amp; " " &amp; VLOOKUP(MONTH(ICE[[#This Row],[Strip]]), MthRef[], 2, 0) &amp; RIGHT(YEAR(ICE[[#This Row],[Strip]]), 2) &amp; "-IEU", W$1)), "")</f>
        <v/>
      </c>
      <c r="X2039" s="36"/>
    </row>
    <row r="2040" spans="1:24" x14ac:dyDescent="0.25">
      <c r="A2040" s="37" t="s">
        <v>851</v>
      </c>
      <c r="B2040" s="88" t="str">
        <f>RTD("ice.rtd",,$C2040 &amp; $D2040 &amp; ":" &amp; B$1)</f>
        <v>GST</v>
      </c>
      <c r="C2040" s="3">
        <v>161913535</v>
      </c>
      <c r="D2040" t="s">
        <v>871</v>
      </c>
      <c r="E2040" s="3" t="str">
        <f>RTD("ice.rtd",,$C2040 &amp; $D2040 &amp; ":" &amp; E$1)</f>
        <v>Oct26/Dec26</v>
      </c>
      <c r="F2040" s="3" t="str">
        <f>ICE[[#This Row],[Prod]]&amp;ICE[[#This Row],[Strip]]</f>
        <v>gosingOct26/Dec26</v>
      </c>
      <c r="G2040" s="18" t="str">
        <f>RTD("ice.rtd",,$C2040 &amp; $D2040 &amp; ":" &amp; G$1)</f>
        <v/>
      </c>
      <c r="H2040" s="18" t="str">
        <f>RTD("ice.rtd",,$C2040 &amp; $D2040 &amp; ":" &amp; H$1)</f>
        <v/>
      </c>
      <c r="I2040" s="18" t="str">
        <f>RTD("ice.rtd",,$C2040 &amp; $D2040 &amp; ":" &amp; I$1)</f>
        <v/>
      </c>
      <c r="J2040" s="14" t="str">
        <f>IFERROR(MOD(RTD("ice.rtd",,$C2040 &amp; $D2040 &amp; ":" &amp; J$1), 1), "")</f>
        <v/>
      </c>
      <c r="K2040" s="18" t="str">
        <f>RTD("ice.rtd",,$C2040 &amp; $D2040 &amp; ":" &amp; K$1)</f>
        <v/>
      </c>
      <c r="L2040" s="36" t="str">
        <f>RTD("ice.rtd",,$C2040 &amp; $D2040 &amp; ":" &amp; L$1)</f>
        <v/>
      </c>
      <c r="M2040" s="14" t="str">
        <f>IFERROR(MOD(TIMEVALUE(RTD("ice.rtd",,$C2040 &amp; $D2040 &amp; ":" &amp; M$1)), 1), "")</f>
        <v/>
      </c>
      <c r="N2040" s="36">
        <f>RTD("ice.rtd",,$C2040 &amp; $D2040 &amp; ":" &amp; N$1)</f>
        <v>0</v>
      </c>
      <c r="O2040" s="36">
        <f>RTD("ice.rtd",,$C2040 &amp; $D2040 &amp; ":" &amp; O$1)</f>
        <v>0</v>
      </c>
      <c r="P204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0" s="14" t="str">
        <f>IF(ICE[[#This Row],[LastType]] = "Scrn", ICE[[#This Row],[LstDate]], IF(ICE[[#This Row],[LastType]] = "Blk", ICE[[#This Row],[LstBlkTime]], ""))</f>
        <v/>
      </c>
      <c r="R2040" s="41" t="str">
        <f>IF(ICE[[#This Row],[LastType]] = "Scrn", ICE[[#This Row],[LstPrc]], IF(ICE[[#This Row],[LastType]] = "Blk", ICE[[#This Row],[LstBlkPrc]], ""))</f>
        <v/>
      </c>
      <c r="S2040" s="36">
        <f>ICE[[#This Row],[Vol]]+ICE[[#This Row],[BlkVol]]</f>
        <v>0</v>
      </c>
      <c r="T2040" s="36">
        <f>RTD("ice.rtd",,$C2040 &amp; $D2040 &amp; ":" &amp; T$1)</f>
        <v>0</v>
      </c>
      <c r="U2040" s="18">
        <f>RTD("ice.rtd",,$C2040 &amp; $D2040 &amp; ":" &amp; U$1)</f>
        <v>12.120000000000005</v>
      </c>
      <c r="V204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0" s="18" t="str">
        <f>IFERROR(IF(LEFT(ICE[[#This Row],[Tenor]], 1) = "B", RTD("esrtd",,$B2040 &amp; " " &amp; ICE[[#This Row],[Tenor]] &amp; "-IEU", W$1), RTD("esrtd",,$B2040 &amp; " " &amp; VLOOKUP(MONTH(ICE[[#This Row],[Strip]]), MthRef[], 2, 0) &amp; RIGHT(YEAR(ICE[[#This Row],[Strip]]), 2) &amp; "-IEU", W$1)), "")</f>
        <v/>
      </c>
      <c r="X2040" s="36"/>
    </row>
    <row r="2041" spans="1:24" x14ac:dyDescent="0.25">
      <c r="A2041" s="37" t="s">
        <v>851</v>
      </c>
      <c r="B2041" s="88" t="str">
        <f>RTD("ice.rtd",,$C2041 &amp; $D2041 &amp; ":" &amp; B$1)</f>
        <v>GST</v>
      </c>
      <c r="C2041" s="3">
        <v>161913535</v>
      </c>
      <c r="D2041" t="s">
        <v>872</v>
      </c>
      <c r="E2041" s="3" t="str">
        <f>RTD("ice.rtd",,$C2041 &amp; $D2041 &amp; ":" &amp; E$1)</f>
        <v>Oct26/Jan27</v>
      </c>
      <c r="F2041" s="3" t="str">
        <f>ICE[[#This Row],[Prod]]&amp;ICE[[#This Row],[Strip]]</f>
        <v>gosingOct26/Jan27</v>
      </c>
      <c r="G2041" s="18" t="str">
        <f>RTD("ice.rtd",,$C2041 &amp; $D2041 &amp; ":" &amp; G$1)</f>
        <v/>
      </c>
      <c r="H2041" s="18" t="str">
        <f>RTD("ice.rtd",,$C2041 &amp; $D2041 &amp; ":" &amp; H$1)</f>
        <v/>
      </c>
      <c r="I2041" s="18" t="str">
        <f>RTD("ice.rtd",,$C2041 &amp; $D2041 &amp; ":" &amp; I$1)</f>
        <v/>
      </c>
      <c r="J2041" s="14" t="str">
        <f>IFERROR(MOD(RTD("ice.rtd",,$C2041 &amp; $D2041 &amp; ":" &amp; J$1), 1), "")</f>
        <v/>
      </c>
      <c r="K2041" s="18" t="str">
        <f>RTD("ice.rtd",,$C2041 &amp; $D2041 &amp; ":" &amp; K$1)</f>
        <v/>
      </c>
      <c r="L2041" s="36" t="str">
        <f>RTD("ice.rtd",,$C2041 &amp; $D2041 &amp; ":" &amp; L$1)</f>
        <v/>
      </c>
      <c r="M2041" s="14" t="str">
        <f>IFERROR(MOD(TIMEVALUE(RTD("ice.rtd",,$C2041 &amp; $D2041 &amp; ":" &amp; M$1)), 1), "")</f>
        <v/>
      </c>
      <c r="N2041" s="36">
        <f>RTD("ice.rtd",,$C2041 &amp; $D2041 &amp; ":" &amp; N$1)</f>
        <v>0</v>
      </c>
      <c r="O2041" s="36">
        <f>RTD("ice.rtd",,$C2041 &amp; $D2041 &amp; ":" &amp; O$1)</f>
        <v>0</v>
      </c>
      <c r="P204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1" s="14" t="str">
        <f>IF(ICE[[#This Row],[LastType]] = "Scrn", ICE[[#This Row],[LstDate]], IF(ICE[[#This Row],[LastType]] = "Blk", ICE[[#This Row],[LstBlkTime]], ""))</f>
        <v/>
      </c>
      <c r="R2041" s="41" t="str">
        <f>IF(ICE[[#This Row],[LastType]] = "Scrn", ICE[[#This Row],[LstPrc]], IF(ICE[[#This Row],[LastType]] = "Blk", ICE[[#This Row],[LstBlkPrc]], ""))</f>
        <v/>
      </c>
      <c r="S2041" s="36">
        <f>ICE[[#This Row],[Vol]]+ICE[[#This Row],[BlkVol]]</f>
        <v>0</v>
      </c>
      <c r="T2041" s="36">
        <f>RTD("ice.rtd",,$C2041 &amp; $D2041 &amp; ":" &amp; T$1)</f>
        <v>0</v>
      </c>
      <c r="U2041" s="18">
        <f>RTD("ice.rtd",,$C2041 &amp; $D2041 &amp; ":" &amp; U$1)</f>
        <v>16.819999999999993</v>
      </c>
      <c r="V204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1" s="18" t="str">
        <f>IFERROR(IF(LEFT(ICE[[#This Row],[Tenor]], 1) = "B", RTD("esrtd",,$B2041 &amp; " " &amp; ICE[[#This Row],[Tenor]] &amp; "-IEU", W$1), RTD("esrtd",,$B2041 &amp; " " &amp; VLOOKUP(MONTH(ICE[[#This Row],[Strip]]), MthRef[], 2, 0) &amp; RIGHT(YEAR(ICE[[#This Row],[Strip]]), 2) &amp; "-IEU", W$1)), "")</f>
        <v/>
      </c>
      <c r="X2041" s="36"/>
    </row>
    <row r="2042" spans="1:24" x14ac:dyDescent="0.25">
      <c r="A2042" s="37" t="s">
        <v>851</v>
      </c>
      <c r="B2042" s="88" t="str">
        <f>RTD("ice.rtd",,$C2042 &amp; $D2042 &amp; ":" &amp; B$1)</f>
        <v>GST</v>
      </c>
      <c r="C2042" s="3">
        <v>161913535</v>
      </c>
      <c r="D2042" t="s">
        <v>873</v>
      </c>
      <c r="E2042" s="3" t="str">
        <f>RTD("ice.rtd",,$C2042 &amp; $D2042 &amp; ":" &amp; E$1)</f>
        <v>Oct26/Feb27</v>
      </c>
      <c r="F2042" s="3" t="str">
        <f>ICE[[#This Row],[Prod]]&amp;ICE[[#This Row],[Strip]]</f>
        <v>gosingOct26/Feb27</v>
      </c>
      <c r="G2042" s="18" t="str">
        <f>RTD("ice.rtd",,$C2042 &amp; $D2042 &amp; ":" &amp; G$1)</f>
        <v/>
      </c>
      <c r="H2042" s="18" t="str">
        <f>RTD("ice.rtd",,$C2042 &amp; $D2042 &amp; ":" &amp; H$1)</f>
        <v/>
      </c>
      <c r="I2042" s="18" t="str">
        <f>RTD("ice.rtd",,$C2042 &amp; $D2042 &amp; ":" &amp; I$1)</f>
        <v/>
      </c>
      <c r="J2042" s="14" t="str">
        <f>IFERROR(MOD(RTD("ice.rtd",,$C2042 &amp; $D2042 &amp; ":" &amp; J$1), 1), "")</f>
        <v/>
      </c>
      <c r="K2042" s="18" t="str">
        <f>RTD("ice.rtd",,$C2042 &amp; $D2042 &amp; ":" &amp; K$1)</f>
        <v/>
      </c>
      <c r="L2042" s="36" t="str">
        <f>RTD("ice.rtd",,$C2042 &amp; $D2042 &amp; ":" &amp; L$1)</f>
        <v/>
      </c>
      <c r="M2042" s="14" t="str">
        <f>IFERROR(MOD(TIMEVALUE(RTD("ice.rtd",,$C2042 &amp; $D2042 &amp; ":" &amp; M$1)), 1), "")</f>
        <v/>
      </c>
      <c r="N2042" s="36">
        <f>RTD("ice.rtd",,$C2042 &amp; $D2042 &amp; ":" &amp; N$1)</f>
        <v>0</v>
      </c>
      <c r="O2042" s="36">
        <f>RTD("ice.rtd",,$C2042 &amp; $D2042 &amp; ":" &amp; O$1)</f>
        <v>0</v>
      </c>
      <c r="P204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2" s="14" t="str">
        <f>IF(ICE[[#This Row],[LastType]] = "Scrn", ICE[[#This Row],[LstDate]], IF(ICE[[#This Row],[LastType]] = "Blk", ICE[[#This Row],[LstBlkTime]], ""))</f>
        <v/>
      </c>
      <c r="R2042" s="41" t="str">
        <f>IF(ICE[[#This Row],[LastType]] = "Scrn", ICE[[#This Row],[LstPrc]], IF(ICE[[#This Row],[LastType]] = "Blk", ICE[[#This Row],[LstBlkPrc]], ""))</f>
        <v/>
      </c>
      <c r="S2042" s="36">
        <f>ICE[[#This Row],[Vol]]+ICE[[#This Row],[BlkVol]]</f>
        <v>0</v>
      </c>
      <c r="T2042" s="36">
        <f>RTD("ice.rtd",,$C2042 &amp; $D2042 &amp; ":" &amp; T$1)</f>
        <v>0</v>
      </c>
      <c r="U2042" s="18">
        <f>RTD("ice.rtd",,$C2042 &amp; $D2042 &amp; ":" &amp; U$1)</f>
        <v>20.72</v>
      </c>
      <c r="V204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2" s="18" t="str">
        <f>IFERROR(IF(LEFT(ICE[[#This Row],[Tenor]], 1) = "B", RTD("esrtd",,$B2042 &amp; " " &amp; ICE[[#This Row],[Tenor]] &amp; "-IEU", W$1), RTD("esrtd",,$B2042 &amp; " " &amp; VLOOKUP(MONTH(ICE[[#This Row],[Strip]]), MthRef[], 2, 0) &amp; RIGHT(YEAR(ICE[[#This Row],[Strip]]), 2) &amp; "-IEU", W$1)), "")</f>
        <v/>
      </c>
      <c r="X2042" s="36"/>
    </row>
    <row r="2043" spans="1:24" x14ac:dyDescent="0.25">
      <c r="A2043" s="37" t="s">
        <v>851</v>
      </c>
      <c r="B2043" s="88" t="str">
        <f>RTD("ice.rtd",,$C2043 &amp; $D2043 &amp; ":" &amp; B$1)</f>
        <v>GST</v>
      </c>
      <c r="C2043" s="3">
        <v>161913535</v>
      </c>
      <c r="D2043" t="s">
        <v>874</v>
      </c>
      <c r="E2043" s="3" t="str">
        <f>RTD("ice.rtd",,$C2043 &amp; $D2043 &amp; ":" &amp; E$1)</f>
        <v>Oct26/Mar27</v>
      </c>
      <c r="F2043" s="3" t="str">
        <f>ICE[[#This Row],[Prod]]&amp;ICE[[#This Row],[Strip]]</f>
        <v>gosingOct26/Mar27</v>
      </c>
      <c r="G2043" s="18" t="str">
        <f>RTD("ice.rtd",,$C2043 &amp; $D2043 &amp; ":" &amp; G$1)</f>
        <v/>
      </c>
      <c r="H2043" s="18" t="str">
        <f>RTD("ice.rtd",,$C2043 &amp; $D2043 &amp; ":" &amp; H$1)</f>
        <v/>
      </c>
      <c r="I2043" s="18" t="str">
        <f>RTD("ice.rtd",,$C2043 &amp; $D2043 &amp; ":" &amp; I$1)</f>
        <v/>
      </c>
      <c r="J2043" s="14" t="str">
        <f>IFERROR(MOD(RTD("ice.rtd",,$C2043 &amp; $D2043 &amp; ":" &amp; J$1), 1), "")</f>
        <v/>
      </c>
      <c r="K2043" s="18" t="str">
        <f>RTD("ice.rtd",,$C2043 &amp; $D2043 &amp; ":" &amp; K$1)</f>
        <v/>
      </c>
      <c r="L2043" s="36" t="str">
        <f>RTD("ice.rtd",,$C2043 &amp; $D2043 &amp; ":" &amp; L$1)</f>
        <v/>
      </c>
      <c r="M2043" s="14" t="str">
        <f>IFERROR(MOD(TIMEVALUE(RTD("ice.rtd",,$C2043 &amp; $D2043 &amp; ":" &amp; M$1)), 1), "")</f>
        <v/>
      </c>
      <c r="N2043" s="36">
        <f>RTD("ice.rtd",,$C2043 &amp; $D2043 &amp; ":" &amp; N$1)</f>
        <v>0</v>
      </c>
      <c r="O2043" s="36">
        <f>RTD("ice.rtd",,$C2043 &amp; $D2043 &amp; ":" &amp; O$1)</f>
        <v>0</v>
      </c>
      <c r="P204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3" s="14" t="str">
        <f>IF(ICE[[#This Row],[LastType]] = "Scrn", ICE[[#This Row],[LstDate]], IF(ICE[[#This Row],[LastType]] = "Blk", ICE[[#This Row],[LstBlkTime]], ""))</f>
        <v/>
      </c>
      <c r="R2043" s="41" t="str">
        <f>IF(ICE[[#This Row],[LastType]] = "Scrn", ICE[[#This Row],[LstPrc]], IF(ICE[[#This Row],[LastType]] = "Blk", ICE[[#This Row],[LstBlkPrc]], ""))</f>
        <v/>
      </c>
      <c r="S2043" s="36">
        <f>ICE[[#This Row],[Vol]]+ICE[[#This Row],[BlkVol]]</f>
        <v>0</v>
      </c>
      <c r="T2043" s="36">
        <f>RTD("ice.rtd",,$C2043 &amp; $D2043 &amp; ":" &amp; T$1)</f>
        <v>0</v>
      </c>
      <c r="U2043" s="18">
        <f>RTD("ice.rtd",,$C2043 &amp; $D2043 &amp; ":" &amp; U$1)</f>
        <v>24.72</v>
      </c>
      <c r="V204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3" s="18" t="str">
        <f>IFERROR(IF(LEFT(ICE[[#This Row],[Tenor]], 1) = "B", RTD("esrtd",,$B2043 &amp; " " &amp; ICE[[#This Row],[Tenor]] &amp; "-IEU", W$1), RTD("esrtd",,$B2043 &amp; " " &amp; VLOOKUP(MONTH(ICE[[#This Row],[Strip]]), MthRef[], 2, 0) &amp; RIGHT(YEAR(ICE[[#This Row],[Strip]]), 2) &amp; "-IEU", W$1)), "")</f>
        <v/>
      </c>
      <c r="X2043" s="36"/>
    </row>
    <row r="2044" spans="1:24" x14ac:dyDescent="0.25">
      <c r="A2044" s="37" t="s">
        <v>851</v>
      </c>
      <c r="B2044" s="88" t="str">
        <f>RTD("ice.rtd",,$C2044 &amp; $D2044 &amp; ":" &amp; B$1)</f>
        <v>GST</v>
      </c>
      <c r="C2044" s="3">
        <v>161913535</v>
      </c>
      <c r="D2044" t="s">
        <v>875</v>
      </c>
      <c r="E2044" s="3" t="str">
        <f>RTD("ice.rtd",,$C2044 &amp; $D2044 &amp; ":" &amp; E$1)</f>
        <v>Oct26/Apr27</v>
      </c>
      <c r="F2044" s="3" t="str">
        <f>ICE[[#This Row],[Prod]]&amp;ICE[[#This Row],[Strip]]</f>
        <v>gosingOct26/Apr27</v>
      </c>
      <c r="G2044" s="18" t="str">
        <f>RTD("ice.rtd",,$C2044 &amp; $D2044 &amp; ":" &amp; G$1)</f>
        <v/>
      </c>
      <c r="H2044" s="18" t="str">
        <f>RTD("ice.rtd",,$C2044 &amp; $D2044 &amp; ":" &amp; H$1)</f>
        <v/>
      </c>
      <c r="I2044" s="18" t="str">
        <f>RTD("ice.rtd",,$C2044 &amp; $D2044 &amp; ":" &amp; I$1)</f>
        <v/>
      </c>
      <c r="J2044" s="14" t="str">
        <f>IFERROR(MOD(RTD("ice.rtd",,$C2044 &amp; $D2044 &amp; ":" &amp; J$1), 1), "")</f>
        <v/>
      </c>
      <c r="K2044" s="18" t="str">
        <f>RTD("ice.rtd",,$C2044 &amp; $D2044 &amp; ":" &amp; K$1)</f>
        <v/>
      </c>
      <c r="L2044" s="36" t="str">
        <f>RTD("ice.rtd",,$C2044 &amp; $D2044 &amp; ":" &amp; L$1)</f>
        <v/>
      </c>
      <c r="M2044" s="14" t="str">
        <f>IFERROR(MOD(TIMEVALUE(RTD("ice.rtd",,$C2044 &amp; $D2044 &amp; ":" &amp; M$1)), 1), "")</f>
        <v/>
      </c>
      <c r="N2044" s="36">
        <f>RTD("ice.rtd",,$C2044 &amp; $D2044 &amp; ":" &amp; N$1)</f>
        <v>0</v>
      </c>
      <c r="O2044" s="36">
        <f>RTD("ice.rtd",,$C2044 &amp; $D2044 &amp; ":" &amp; O$1)</f>
        <v>0</v>
      </c>
      <c r="P204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4" s="14" t="str">
        <f>IF(ICE[[#This Row],[LastType]] = "Scrn", ICE[[#This Row],[LstDate]], IF(ICE[[#This Row],[LastType]] = "Blk", ICE[[#This Row],[LstBlkTime]], ""))</f>
        <v/>
      </c>
      <c r="R2044" s="41" t="str">
        <f>IF(ICE[[#This Row],[LastType]] = "Scrn", ICE[[#This Row],[LstPrc]], IF(ICE[[#This Row],[LastType]] = "Blk", ICE[[#This Row],[LstBlkPrc]], ""))</f>
        <v/>
      </c>
      <c r="S2044" s="36">
        <f>ICE[[#This Row],[Vol]]+ICE[[#This Row],[BlkVol]]</f>
        <v>0</v>
      </c>
      <c r="T2044" s="36">
        <f>RTD("ice.rtd",,$C2044 &amp; $D2044 &amp; ":" &amp; T$1)</f>
        <v>0</v>
      </c>
      <c r="U2044" s="18">
        <f>RTD("ice.rtd",,$C2044 &amp; $D2044 &amp; ":" &amp; U$1)</f>
        <v>28.27000000000001</v>
      </c>
      <c r="V204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4" s="18" t="str">
        <f>IFERROR(IF(LEFT(ICE[[#This Row],[Tenor]], 1) = "B", RTD("esrtd",,$B2044 &amp; " " &amp; ICE[[#This Row],[Tenor]] &amp; "-IEU", W$1), RTD("esrtd",,$B2044 &amp; " " &amp; VLOOKUP(MONTH(ICE[[#This Row],[Strip]]), MthRef[], 2, 0) &amp; RIGHT(YEAR(ICE[[#This Row],[Strip]]), 2) &amp; "-IEU", W$1)), "")</f>
        <v/>
      </c>
      <c r="X2044" s="36"/>
    </row>
    <row r="2045" spans="1:24" x14ac:dyDescent="0.25">
      <c r="A2045" s="37" t="s">
        <v>851</v>
      </c>
      <c r="B2045" s="88" t="str">
        <f>RTD("ice.rtd",,$C2045 &amp; $D2045 &amp; ":" &amp; B$1)</f>
        <v>GST</v>
      </c>
      <c r="C2045" s="3">
        <v>161913535</v>
      </c>
      <c r="D2045" t="s">
        <v>876</v>
      </c>
      <c r="E2045" s="3" t="str">
        <f>RTD("ice.rtd",,$C2045 &amp; $D2045 &amp; ":" &amp; E$1)</f>
        <v>Oct26/Jun27</v>
      </c>
      <c r="F2045" s="3" t="str">
        <f>ICE[[#This Row],[Prod]]&amp;ICE[[#This Row],[Strip]]</f>
        <v>gosingOct26/Jun27</v>
      </c>
      <c r="G2045" s="18" t="str">
        <f>RTD("ice.rtd",,$C2045 &amp; $D2045 &amp; ":" &amp; G$1)</f>
        <v/>
      </c>
      <c r="H2045" s="18" t="str">
        <f>RTD("ice.rtd",,$C2045 &amp; $D2045 &amp; ":" &amp; H$1)</f>
        <v/>
      </c>
      <c r="I2045" s="18" t="str">
        <f>RTD("ice.rtd",,$C2045 &amp; $D2045 &amp; ":" &amp; I$1)</f>
        <v/>
      </c>
      <c r="J2045" s="14" t="str">
        <f>IFERROR(MOD(RTD("ice.rtd",,$C2045 &amp; $D2045 &amp; ":" &amp; J$1), 1), "")</f>
        <v/>
      </c>
      <c r="K2045" s="18" t="str">
        <f>RTD("ice.rtd",,$C2045 &amp; $D2045 &amp; ":" &amp; K$1)</f>
        <v/>
      </c>
      <c r="L2045" s="36" t="str">
        <f>RTD("ice.rtd",,$C2045 &amp; $D2045 &amp; ":" &amp; L$1)</f>
        <v/>
      </c>
      <c r="M2045" s="14" t="str">
        <f>IFERROR(MOD(TIMEVALUE(RTD("ice.rtd",,$C2045 &amp; $D2045 &amp; ":" &amp; M$1)), 1), "")</f>
        <v/>
      </c>
      <c r="N2045" s="36">
        <f>RTD("ice.rtd",,$C2045 &amp; $D2045 &amp; ":" &amp; N$1)</f>
        <v>0</v>
      </c>
      <c r="O2045" s="36">
        <f>RTD("ice.rtd",,$C2045 &amp; $D2045 &amp; ":" &amp; O$1)</f>
        <v>0</v>
      </c>
      <c r="P204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5" s="14" t="str">
        <f>IF(ICE[[#This Row],[LastType]] = "Scrn", ICE[[#This Row],[LstDate]], IF(ICE[[#This Row],[LastType]] = "Blk", ICE[[#This Row],[LstBlkTime]], ""))</f>
        <v/>
      </c>
      <c r="R2045" s="41" t="str">
        <f>IF(ICE[[#This Row],[LastType]] = "Scrn", ICE[[#This Row],[LstPrc]], IF(ICE[[#This Row],[LastType]] = "Blk", ICE[[#This Row],[LstBlkPrc]], ""))</f>
        <v/>
      </c>
      <c r="S2045" s="36">
        <f>ICE[[#This Row],[Vol]]+ICE[[#This Row],[BlkVol]]</f>
        <v>0</v>
      </c>
      <c r="T2045" s="36">
        <f>RTD("ice.rtd",,$C2045 &amp; $D2045 &amp; ":" &amp; T$1)</f>
        <v>0</v>
      </c>
      <c r="U2045" s="18">
        <f>RTD("ice.rtd",,$C2045 &amp; $D2045 &amp; ":" &amp; U$1)</f>
        <v>33.510000000000005</v>
      </c>
      <c r="V204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5" s="18" t="str">
        <f>IFERROR(IF(LEFT(ICE[[#This Row],[Tenor]], 1) = "B", RTD("esrtd",,$B2045 &amp; " " &amp; ICE[[#This Row],[Tenor]] &amp; "-IEU", W$1), RTD("esrtd",,$B2045 &amp; " " &amp; VLOOKUP(MONTH(ICE[[#This Row],[Strip]]), MthRef[], 2, 0) &amp; RIGHT(YEAR(ICE[[#This Row],[Strip]]), 2) &amp; "-IEU", W$1)), "")</f>
        <v/>
      </c>
      <c r="X2045" s="36"/>
    </row>
    <row r="2046" spans="1:24" x14ac:dyDescent="0.25">
      <c r="A2046" s="37" t="s">
        <v>851</v>
      </c>
      <c r="B2046" s="88" t="str">
        <f>RTD("ice.rtd",,$C2046 &amp; $D2046 &amp; ":" &amp; B$1)</f>
        <v>GST</v>
      </c>
      <c r="C2046" s="3">
        <v>161913535</v>
      </c>
      <c r="D2046" t="s">
        <v>859</v>
      </c>
      <c r="E2046" s="3" t="str">
        <f>RTD("ice.rtd",,$C2046 &amp; $D2046 &amp; ":" &amp; E$1)</f>
        <v>Oct26/Jul27</v>
      </c>
      <c r="F2046" s="3" t="str">
        <f>ICE[[#This Row],[Prod]]&amp;ICE[[#This Row],[Strip]]</f>
        <v>gosingOct26/Jul27</v>
      </c>
      <c r="G2046" s="18" t="str">
        <f>RTD("ice.rtd",,$C2046 &amp; $D2046 &amp; ":" &amp; G$1)</f>
        <v/>
      </c>
      <c r="H2046" s="18" t="str">
        <f>RTD("ice.rtd",,$C2046 &amp; $D2046 &amp; ":" &amp; H$1)</f>
        <v/>
      </c>
      <c r="I2046" s="18" t="str">
        <f>RTD("ice.rtd",,$C2046 &amp; $D2046 &amp; ":" &amp; I$1)</f>
        <v/>
      </c>
      <c r="J2046" s="14" t="str">
        <f>IFERROR(MOD(RTD("ice.rtd",,$C2046 &amp; $D2046 &amp; ":" &amp; J$1), 1), "")</f>
        <v/>
      </c>
      <c r="K2046" s="18" t="str">
        <f>RTD("ice.rtd",,$C2046 &amp; $D2046 &amp; ":" &amp; K$1)</f>
        <v/>
      </c>
      <c r="L2046" s="36" t="str">
        <f>RTD("ice.rtd",,$C2046 &amp; $D2046 &amp; ":" &amp; L$1)</f>
        <v/>
      </c>
      <c r="M2046" s="14" t="str">
        <f>IFERROR(MOD(TIMEVALUE(RTD("ice.rtd",,$C2046 &amp; $D2046 &amp; ":" &amp; M$1)), 1), "")</f>
        <v/>
      </c>
      <c r="N2046" s="36">
        <f>RTD("ice.rtd",,$C2046 &amp; $D2046 &amp; ":" &amp; N$1)</f>
        <v>0</v>
      </c>
      <c r="O2046" s="36">
        <f>RTD("ice.rtd",,$C2046 &amp; $D2046 &amp; ":" &amp; O$1)</f>
        <v>0</v>
      </c>
      <c r="P204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6" s="14" t="str">
        <f>IF(ICE[[#This Row],[LastType]] = "Scrn", ICE[[#This Row],[LstDate]], IF(ICE[[#This Row],[LastType]] = "Blk", ICE[[#This Row],[LstBlkTime]], ""))</f>
        <v/>
      </c>
      <c r="R2046" s="41" t="str">
        <f>IF(ICE[[#This Row],[LastType]] = "Scrn", ICE[[#This Row],[LstPrc]], IF(ICE[[#This Row],[LastType]] = "Blk", ICE[[#This Row],[LstBlkPrc]], ""))</f>
        <v/>
      </c>
      <c r="S2046" s="36">
        <f>ICE[[#This Row],[Vol]]+ICE[[#This Row],[BlkVol]]</f>
        <v>0</v>
      </c>
      <c r="T2046" s="36">
        <f>RTD("ice.rtd",,$C2046 &amp; $D2046 &amp; ":" &amp; T$1)</f>
        <v>0</v>
      </c>
      <c r="U2046" s="18">
        <f>RTD("ice.rtd",,$C2046 &amp; $D2046 &amp; ":" &amp; U$1)</f>
        <v>35.410000000000011</v>
      </c>
      <c r="V204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6" s="18" t="str">
        <f>IFERROR(IF(LEFT(ICE[[#This Row],[Tenor]], 1) = "B", RTD("esrtd",,$B2046 &amp; " " &amp; ICE[[#This Row],[Tenor]] &amp; "-IEU", W$1), RTD("esrtd",,$B2046 &amp; " " &amp; VLOOKUP(MONTH(ICE[[#This Row],[Strip]]), MthRef[], 2, 0) &amp; RIGHT(YEAR(ICE[[#This Row],[Strip]]), 2) &amp; "-IEU", W$1)), "")</f>
        <v/>
      </c>
      <c r="X2046" s="36"/>
    </row>
    <row r="2047" spans="1:24" x14ac:dyDescent="0.25">
      <c r="A2047" s="37" t="s">
        <v>851</v>
      </c>
      <c r="B2047" s="88" t="str">
        <f>RTD("ice.rtd",,$C2047 &amp; $D2047 &amp; ":" &amp; B$1)</f>
        <v>GST</v>
      </c>
      <c r="C2047" s="3">
        <v>161913535</v>
      </c>
      <c r="D2047" t="s">
        <v>877</v>
      </c>
      <c r="E2047" s="3" t="str">
        <f>RTD("ice.rtd",,$C2047 &amp; $D2047 &amp; ":" &amp; E$1)</f>
        <v>Oct26/Sep27</v>
      </c>
      <c r="F2047" s="3" t="str">
        <f>ICE[[#This Row],[Prod]]&amp;ICE[[#This Row],[Strip]]</f>
        <v>gosingOct26/Sep27</v>
      </c>
      <c r="G2047" s="18" t="str">
        <f>RTD("ice.rtd",,$C2047 &amp; $D2047 &amp; ":" &amp; G$1)</f>
        <v/>
      </c>
      <c r="H2047" s="18" t="str">
        <f>RTD("ice.rtd",,$C2047 &amp; $D2047 &amp; ":" &amp; H$1)</f>
        <v/>
      </c>
      <c r="I2047" s="18" t="str">
        <f>RTD("ice.rtd",,$C2047 &amp; $D2047 &amp; ":" &amp; I$1)</f>
        <v/>
      </c>
      <c r="J2047" s="14" t="str">
        <f>IFERROR(MOD(RTD("ice.rtd",,$C2047 &amp; $D2047 &amp; ":" &amp; J$1), 1), "")</f>
        <v/>
      </c>
      <c r="K2047" s="18" t="str">
        <f>RTD("ice.rtd",,$C2047 &amp; $D2047 &amp; ":" &amp; K$1)</f>
        <v/>
      </c>
      <c r="L2047" s="36" t="str">
        <f>RTD("ice.rtd",,$C2047 &amp; $D2047 &amp; ":" &amp; L$1)</f>
        <v/>
      </c>
      <c r="M2047" s="14" t="str">
        <f>IFERROR(MOD(TIMEVALUE(RTD("ice.rtd",,$C2047 &amp; $D2047 &amp; ":" &amp; M$1)), 1), "")</f>
        <v/>
      </c>
      <c r="N2047" s="36">
        <f>RTD("ice.rtd",,$C2047 &amp; $D2047 &amp; ":" &amp; N$1)</f>
        <v>0</v>
      </c>
      <c r="O2047" s="36">
        <f>RTD("ice.rtd",,$C2047 &amp; $D2047 &amp; ":" &amp; O$1)</f>
        <v>0</v>
      </c>
      <c r="P204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7" s="14" t="str">
        <f>IF(ICE[[#This Row],[LastType]] = "Scrn", ICE[[#This Row],[LstDate]], IF(ICE[[#This Row],[LastType]] = "Blk", ICE[[#This Row],[LstBlkTime]], ""))</f>
        <v/>
      </c>
      <c r="R2047" s="41" t="str">
        <f>IF(ICE[[#This Row],[LastType]] = "Scrn", ICE[[#This Row],[LstPrc]], IF(ICE[[#This Row],[LastType]] = "Blk", ICE[[#This Row],[LstBlkPrc]], ""))</f>
        <v/>
      </c>
      <c r="S2047" s="36">
        <f>ICE[[#This Row],[Vol]]+ICE[[#This Row],[BlkVol]]</f>
        <v>0</v>
      </c>
      <c r="T2047" s="36">
        <f>RTD("ice.rtd",,$C2047 &amp; $D2047 &amp; ":" &amp; T$1)</f>
        <v>0</v>
      </c>
      <c r="U2047" s="18">
        <f>RTD("ice.rtd",,$C2047 &amp; $D2047 &amp; ":" &amp; U$1)</f>
        <v>38.910000000000011</v>
      </c>
      <c r="V204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7" s="18" t="str">
        <f>IFERROR(IF(LEFT(ICE[[#This Row],[Tenor]], 1) = "B", RTD("esrtd",,$B2047 &amp; " " &amp; ICE[[#This Row],[Tenor]] &amp; "-IEU", W$1), RTD("esrtd",,$B2047 &amp; " " &amp; VLOOKUP(MONTH(ICE[[#This Row],[Strip]]), MthRef[], 2, 0) &amp; RIGHT(YEAR(ICE[[#This Row],[Strip]]), 2) &amp; "-IEU", W$1)), "")</f>
        <v/>
      </c>
      <c r="X2047" s="36"/>
    </row>
    <row r="2048" spans="1:24" x14ac:dyDescent="0.25">
      <c r="A2048" s="37" t="s">
        <v>851</v>
      </c>
      <c r="B2048" s="88" t="str">
        <f>RTD("ice.rtd",,$C2048 &amp; $D2048 &amp; ":" &amp; B$1)</f>
        <v>GST</v>
      </c>
      <c r="C2048" s="3">
        <v>161913535</v>
      </c>
      <c r="D2048" t="s">
        <v>878</v>
      </c>
      <c r="E2048" s="3" t="str">
        <f>RTD("ice.rtd",,$C2048 &amp; $D2048 &amp; ":" &amp; E$1)</f>
        <v>Oct26/Oct27</v>
      </c>
      <c r="F2048" s="3" t="str">
        <f>ICE[[#This Row],[Prod]]&amp;ICE[[#This Row],[Strip]]</f>
        <v>gosingOct26/Oct27</v>
      </c>
      <c r="G2048" s="18" t="str">
        <f>RTD("ice.rtd",,$C2048 &amp; $D2048 &amp; ":" &amp; G$1)</f>
        <v/>
      </c>
      <c r="H2048" s="18" t="str">
        <f>RTD("ice.rtd",,$C2048 &amp; $D2048 &amp; ":" &amp; H$1)</f>
        <v/>
      </c>
      <c r="I2048" s="18" t="str">
        <f>RTD("ice.rtd",,$C2048 &amp; $D2048 &amp; ":" &amp; I$1)</f>
        <v/>
      </c>
      <c r="J2048" s="14" t="str">
        <f>IFERROR(MOD(RTD("ice.rtd",,$C2048 &amp; $D2048 &amp; ":" &amp; J$1), 1), "")</f>
        <v/>
      </c>
      <c r="K2048" s="18" t="str">
        <f>RTD("ice.rtd",,$C2048 &amp; $D2048 &amp; ":" &amp; K$1)</f>
        <v/>
      </c>
      <c r="L2048" s="36" t="str">
        <f>RTD("ice.rtd",,$C2048 &amp; $D2048 &amp; ":" &amp; L$1)</f>
        <v/>
      </c>
      <c r="M2048" s="14" t="str">
        <f>IFERROR(MOD(TIMEVALUE(RTD("ice.rtd",,$C2048 &amp; $D2048 &amp; ":" &amp; M$1)), 1), "")</f>
        <v/>
      </c>
      <c r="N2048" s="36">
        <f>RTD("ice.rtd",,$C2048 &amp; $D2048 &amp; ":" &amp; N$1)</f>
        <v>0</v>
      </c>
      <c r="O2048" s="36">
        <f>RTD("ice.rtd",,$C2048 &amp; $D2048 &amp; ":" &amp; O$1)</f>
        <v>0</v>
      </c>
      <c r="P2048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48" s="14" t="str">
        <f>IF(ICE[[#This Row],[LastType]] = "Scrn", ICE[[#This Row],[LstDate]], IF(ICE[[#This Row],[LastType]] = "Blk", ICE[[#This Row],[LstBlkTime]], ""))</f>
        <v/>
      </c>
      <c r="R2048" s="41" t="str">
        <f>IF(ICE[[#This Row],[LastType]] = "Scrn", ICE[[#This Row],[LstPrc]], IF(ICE[[#This Row],[LastType]] = "Blk", ICE[[#This Row],[LstBlkPrc]], ""))</f>
        <v/>
      </c>
      <c r="S2048" s="36">
        <f>ICE[[#This Row],[Vol]]+ICE[[#This Row],[BlkVol]]</f>
        <v>0</v>
      </c>
      <c r="T2048" s="36">
        <f>RTD("ice.rtd",,$C2048 &amp; $D2048 &amp; ":" &amp; T$1)</f>
        <v>0</v>
      </c>
      <c r="U2048" s="18">
        <f>RTD("ice.rtd",,$C2048 &amp; $D2048 &amp; ":" &amp; U$1)</f>
        <v>40.660000000000011</v>
      </c>
      <c r="V2048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48" s="18" t="str">
        <f>IFERROR(IF(LEFT(ICE[[#This Row],[Tenor]], 1) = "B", RTD("esrtd",,$B2048 &amp; " " &amp; ICE[[#This Row],[Tenor]] &amp; "-IEU", W$1), RTD("esrtd",,$B2048 &amp; " " &amp; VLOOKUP(MONTH(ICE[[#This Row],[Strip]]), MthRef[], 2, 0) &amp; RIGHT(YEAR(ICE[[#This Row],[Strip]]), 2) &amp; "-IEU", W$1)), "")</f>
        <v/>
      </c>
      <c r="X2048" s="36"/>
    </row>
    <row r="2049" spans="1:24" x14ac:dyDescent="0.25">
      <c r="A2049" s="37" t="s">
        <v>851</v>
      </c>
      <c r="B2049" s="88" t="str">
        <f>RTD("ice.rtd",,$C2049 &amp; $D2049 &amp; ":" &amp; B$1)</f>
        <v>GST</v>
      </c>
      <c r="C2049" s="3">
        <v>161913535</v>
      </c>
      <c r="D2049" t="s">
        <v>879</v>
      </c>
      <c r="E2049" s="3" t="str">
        <f>RTD("ice.rtd",,$C2049 &amp; $D2049 &amp; ":" &amp; E$1)</f>
        <v>Nov26/Dec26</v>
      </c>
      <c r="F2049" s="3" t="str">
        <f>ICE[[#This Row],[Prod]]&amp;ICE[[#This Row],[Strip]]</f>
        <v>gosingNov26/Dec26</v>
      </c>
      <c r="G2049" s="18">
        <f>RTD("ice.rtd",,$C2049 &amp; $D2049 &amp; ":" &amp; G$1)</f>
        <v>4.91</v>
      </c>
      <c r="H2049" s="18">
        <f>RTD("ice.rtd",,$C2049 &amp; $D2049 &amp; ":" &amp; H$1)</f>
        <v>5.3</v>
      </c>
      <c r="I2049" s="18">
        <f>RTD("ice.rtd",,$C2049 &amp; $D2049 &amp; ":" &amp; I$1)</f>
        <v>5.2</v>
      </c>
      <c r="J2049" s="14">
        <f>IFERROR(MOD(RTD("ice.rtd",,$C2049 &amp; $D2049 &amp; ":" &amp; J$1), 1), "")</f>
        <v>0.40399771990632871</v>
      </c>
      <c r="K2049" s="18">
        <f>RTD("ice.rtd",,$C2049 &amp; $D2049 &amp; ":" &amp; K$1)</f>
        <v>5.2</v>
      </c>
      <c r="L2049" s="36">
        <f>RTD("ice.rtd",,$C2049 &amp; $D2049 &amp; ":" &amp; L$1)</f>
        <v>50</v>
      </c>
      <c r="M2049" s="14">
        <f>IFERROR(MOD(TIMEVALUE(RTD("ice.rtd",,$C2049 &amp; $D2049 &amp; ":" &amp; M$1)), 1), "")</f>
        <v>0.44408564814814816</v>
      </c>
      <c r="N2049" s="36">
        <f>RTD("ice.rtd",,$C2049 &amp; $D2049 &amp; ":" &amp; N$1)</f>
        <v>200</v>
      </c>
      <c r="O2049" s="36">
        <f>RTD("ice.rtd",,$C2049 &amp; $D2049 &amp; ":" &amp; O$1)</f>
        <v>990</v>
      </c>
      <c r="P2049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049" s="14">
        <f>IF(ICE[[#This Row],[LastType]] = "Scrn", ICE[[#This Row],[LstDate]], IF(ICE[[#This Row],[LastType]] = "Blk", ICE[[#This Row],[LstBlkTime]], ""))</f>
        <v>0.44408564814814816</v>
      </c>
      <c r="R2049" s="41">
        <f>IF(ICE[[#This Row],[LastType]] = "Scrn", ICE[[#This Row],[LstPrc]], IF(ICE[[#This Row],[LastType]] = "Blk", ICE[[#This Row],[LstBlkPrc]], ""))</f>
        <v>5.2</v>
      </c>
      <c r="S2049" s="36">
        <f>ICE[[#This Row],[Vol]]+ICE[[#This Row],[BlkVol]]</f>
        <v>1190</v>
      </c>
      <c r="T2049" s="36">
        <f>RTD("ice.rtd",,$C2049 &amp; $D2049 &amp; ":" &amp; T$1)</f>
        <v>0</v>
      </c>
      <c r="U2049" s="18">
        <f>RTD("ice.rtd",,$C2049 &amp; $D2049 &amp; ":" &amp; U$1)</f>
        <v>6.0500000000000114</v>
      </c>
      <c r="V2049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>4.91 / 5.30 {5.20} |1,190x</v>
      </c>
      <c r="W2049" s="18" t="str">
        <f>IFERROR(IF(LEFT(ICE[[#This Row],[Tenor]], 1) = "B", RTD("esrtd",,$B2049 &amp; " " &amp; ICE[[#This Row],[Tenor]] &amp; "-IEU", W$1), RTD("esrtd",,$B2049 &amp; " " &amp; VLOOKUP(MONTH(ICE[[#This Row],[Strip]]), MthRef[], 2, 0) &amp; RIGHT(YEAR(ICE[[#This Row],[Strip]]), 2) &amp; "-IEU", W$1)), "")</f>
        <v/>
      </c>
      <c r="X2049" s="36"/>
    </row>
    <row r="2050" spans="1:24" x14ac:dyDescent="0.25">
      <c r="A2050" s="37" t="s">
        <v>851</v>
      </c>
      <c r="B2050" s="88" t="str">
        <f>RTD("ice.rtd",,$C2050 &amp; $D2050 &amp; ":" &amp; B$1)</f>
        <v>GST</v>
      </c>
      <c r="C2050" s="3">
        <v>161913535</v>
      </c>
      <c r="D2050" t="s">
        <v>880</v>
      </c>
      <c r="E2050" s="3" t="str">
        <f>RTD("ice.rtd",,$C2050 &amp; $D2050 &amp; ":" &amp; E$1)</f>
        <v>Nov26/Jan27</v>
      </c>
      <c r="F2050" s="3" t="str">
        <f>ICE[[#This Row],[Prod]]&amp;ICE[[#This Row],[Strip]]</f>
        <v>gosingNov26/Jan27</v>
      </c>
      <c r="G2050" s="18" t="str">
        <f>RTD("ice.rtd",,$C2050 &amp; $D2050 &amp; ":" &amp; G$1)</f>
        <v/>
      </c>
      <c r="H2050" s="18" t="str">
        <f>RTD("ice.rtd",,$C2050 &amp; $D2050 &amp; ":" &amp; H$1)</f>
        <v/>
      </c>
      <c r="I2050" s="18" t="str">
        <f>RTD("ice.rtd",,$C2050 &amp; $D2050 &amp; ":" &amp; I$1)</f>
        <v/>
      </c>
      <c r="J2050" s="14" t="str">
        <f>IFERROR(MOD(RTD("ice.rtd",,$C2050 &amp; $D2050 &amp; ":" &amp; J$1), 1), "")</f>
        <v/>
      </c>
      <c r="K2050" s="18">
        <f>RTD("ice.rtd",,$C2050 &amp; $D2050 &amp; ":" &amp; K$1)</f>
        <v>10.45</v>
      </c>
      <c r="L2050" s="36">
        <f>RTD("ice.rtd",,$C2050 &amp; $D2050 &amp; ":" &amp; L$1)</f>
        <v>50</v>
      </c>
      <c r="M2050" s="14">
        <f>IFERROR(MOD(TIMEVALUE(RTD("ice.rtd",,$C2050 &amp; $D2050 &amp; ":" &amp; M$1)), 1), "")</f>
        <v>0.33912037037037035</v>
      </c>
      <c r="N2050" s="36">
        <f>RTD("ice.rtd",,$C2050 &amp; $D2050 &amp; ":" &amp; N$1)</f>
        <v>0</v>
      </c>
      <c r="O2050" s="36">
        <f>RTD("ice.rtd",,$C2050 &amp; $D2050 &amp; ":" &amp; O$1)</f>
        <v>50</v>
      </c>
      <c r="P2050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050" s="14">
        <f>IF(ICE[[#This Row],[LastType]] = "Scrn", ICE[[#This Row],[LstDate]], IF(ICE[[#This Row],[LastType]] = "Blk", ICE[[#This Row],[LstBlkTime]], ""))</f>
        <v>0.33912037037037035</v>
      </c>
      <c r="R2050" s="41">
        <f>IF(ICE[[#This Row],[LastType]] = "Scrn", ICE[[#This Row],[LstPrc]], IF(ICE[[#This Row],[LastType]] = "Blk", ICE[[#This Row],[LstBlkPrc]], ""))</f>
        <v>10.45</v>
      </c>
      <c r="S2050" s="36">
        <f>ICE[[#This Row],[Vol]]+ICE[[#This Row],[BlkVol]]</f>
        <v>50</v>
      </c>
      <c r="T2050" s="36">
        <f>RTD("ice.rtd",,$C2050 &amp; $D2050 &amp; ":" &amp; T$1)</f>
        <v>0</v>
      </c>
      <c r="U2050" s="18">
        <f>RTD("ice.rtd",,$C2050 &amp; $D2050 &amp; ":" &amp; U$1)</f>
        <v>10.75</v>
      </c>
      <c r="V2050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{10.45} |50x</v>
      </c>
      <c r="W2050" s="18" t="str">
        <f>IFERROR(IF(LEFT(ICE[[#This Row],[Tenor]], 1) = "B", RTD("esrtd",,$B2050 &amp; " " &amp; ICE[[#This Row],[Tenor]] &amp; "-IEU", W$1), RTD("esrtd",,$B2050 &amp; " " &amp; VLOOKUP(MONTH(ICE[[#This Row],[Strip]]), MthRef[], 2, 0) &amp; RIGHT(YEAR(ICE[[#This Row],[Strip]]), 2) &amp; "-IEU", W$1)), "")</f>
        <v/>
      </c>
      <c r="X2050" s="36"/>
    </row>
    <row r="2051" spans="1:24" x14ac:dyDescent="0.25">
      <c r="A2051" s="37" t="s">
        <v>851</v>
      </c>
      <c r="B2051" s="88" t="str">
        <f>RTD("ice.rtd",,$C2051 &amp; $D2051 &amp; ":" &amp; B$1)</f>
        <v>GST</v>
      </c>
      <c r="C2051" s="3">
        <v>161913535</v>
      </c>
      <c r="D2051" t="s">
        <v>881</v>
      </c>
      <c r="E2051" s="3" t="str">
        <f>RTD("ice.rtd",,$C2051 &amp; $D2051 &amp; ":" &amp; E$1)</f>
        <v>Nov26/Feb27</v>
      </c>
      <c r="F2051" s="3" t="str">
        <f>ICE[[#This Row],[Prod]]&amp;ICE[[#This Row],[Strip]]</f>
        <v>gosingNov26/Feb27</v>
      </c>
      <c r="G2051" s="18" t="str">
        <f>RTD("ice.rtd",,$C2051 &amp; $D2051 &amp; ":" &amp; G$1)</f>
        <v/>
      </c>
      <c r="H2051" s="18" t="str">
        <f>RTD("ice.rtd",,$C2051 &amp; $D2051 &amp; ":" &amp; H$1)</f>
        <v/>
      </c>
      <c r="I2051" s="18" t="str">
        <f>RTD("ice.rtd",,$C2051 &amp; $D2051 &amp; ":" &amp; I$1)</f>
        <v/>
      </c>
      <c r="J2051" s="14" t="str">
        <f>IFERROR(MOD(RTD("ice.rtd",,$C2051 &amp; $D2051 &amp; ":" &amp; J$1), 1), "")</f>
        <v/>
      </c>
      <c r="K2051" s="18" t="str">
        <f>RTD("ice.rtd",,$C2051 &amp; $D2051 &amp; ":" &amp; K$1)</f>
        <v/>
      </c>
      <c r="L2051" s="36" t="str">
        <f>RTD("ice.rtd",,$C2051 &amp; $D2051 &amp; ":" &amp; L$1)</f>
        <v/>
      </c>
      <c r="M2051" s="14" t="str">
        <f>IFERROR(MOD(TIMEVALUE(RTD("ice.rtd",,$C2051 &amp; $D2051 &amp; ":" &amp; M$1)), 1), "")</f>
        <v/>
      </c>
      <c r="N2051" s="36">
        <f>RTD("ice.rtd",,$C2051 &amp; $D2051 &amp; ":" &amp; N$1)</f>
        <v>0</v>
      </c>
      <c r="O2051" s="36">
        <f>RTD("ice.rtd",,$C2051 &amp; $D2051 &amp; ":" &amp; O$1)</f>
        <v>0</v>
      </c>
      <c r="P2051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51" s="14" t="str">
        <f>IF(ICE[[#This Row],[LastType]] = "Scrn", ICE[[#This Row],[LstDate]], IF(ICE[[#This Row],[LastType]] = "Blk", ICE[[#This Row],[LstBlkTime]], ""))</f>
        <v/>
      </c>
      <c r="R2051" s="41" t="str">
        <f>IF(ICE[[#This Row],[LastType]] = "Scrn", ICE[[#This Row],[LstPrc]], IF(ICE[[#This Row],[LastType]] = "Blk", ICE[[#This Row],[LstBlkPrc]], ""))</f>
        <v/>
      </c>
      <c r="S2051" s="36">
        <f>ICE[[#This Row],[Vol]]+ICE[[#This Row],[BlkVol]]</f>
        <v>0</v>
      </c>
      <c r="T2051" s="36">
        <f>RTD("ice.rtd",,$C2051 &amp; $D2051 &amp; ":" &amp; T$1)</f>
        <v>0</v>
      </c>
      <c r="U2051" s="18">
        <f>RTD("ice.rtd",,$C2051 &amp; $D2051 &amp; ":" &amp; U$1)</f>
        <v>14.650000000000006</v>
      </c>
      <c r="V2051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51" s="18" t="str">
        <f>IFERROR(IF(LEFT(ICE[[#This Row],[Tenor]], 1) = "B", RTD("esrtd",,$B2051 &amp; " " &amp; ICE[[#This Row],[Tenor]] &amp; "-IEU", W$1), RTD("esrtd",,$B2051 &amp; " " &amp; VLOOKUP(MONTH(ICE[[#This Row],[Strip]]), MthRef[], 2, 0) &amp; RIGHT(YEAR(ICE[[#This Row],[Strip]]), 2) &amp; "-IEU", W$1)), "")</f>
        <v/>
      </c>
      <c r="X2051" s="36"/>
    </row>
    <row r="2052" spans="1:24" x14ac:dyDescent="0.25">
      <c r="A2052" s="37" t="s">
        <v>851</v>
      </c>
      <c r="B2052" s="88" t="str">
        <f>RTD("ice.rtd",,$C2052 &amp; $D2052 &amp; ":" &amp; B$1)</f>
        <v>GST</v>
      </c>
      <c r="C2052" s="3">
        <v>161913535</v>
      </c>
      <c r="D2052" t="s">
        <v>882</v>
      </c>
      <c r="E2052" s="3" t="str">
        <f>RTD("ice.rtd",,$C2052 &amp; $D2052 &amp; ":" &amp; E$1)</f>
        <v>Nov26/Mar27</v>
      </c>
      <c r="F2052" s="3" t="str">
        <f>ICE[[#This Row],[Prod]]&amp;ICE[[#This Row],[Strip]]</f>
        <v>gosingNov26/Mar27</v>
      </c>
      <c r="G2052" s="18" t="str">
        <f>RTD("ice.rtd",,$C2052 &amp; $D2052 &amp; ":" &amp; G$1)</f>
        <v/>
      </c>
      <c r="H2052" s="18" t="str">
        <f>RTD("ice.rtd",,$C2052 &amp; $D2052 &amp; ":" &amp; H$1)</f>
        <v/>
      </c>
      <c r="I2052" s="18" t="str">
        <f>RTD("ice.rtd",,$C2052 &amp; $D2052 &amp; ":" &amp; I$1)</f>
        <v/>
      </c>
      <c r="J2052" s="14" t="str">
        <f>IFERROR(MOD(RTD("ice.rtd",,$C2052 &amp; $D2052 &amp; ":" &amp; J$1), 1), "")</f>
        <v/>
      </c>
      <c r="K2052" s="18">
        <f>RTD("ice.rtd",,$C2052 &amp; $D2052 &amp; ":" &amp; K$1)</f>
        <v>18.399999999999999</v>
      </c>
      <c r="L2052" s="36">
        <f>RTD("ice.rtd",,$C2052 &amp; $D2052 &amp; ":" &amp; L$1)</f>
        <v>25</v>
      </c>
      <c r="M2052" s="14">
        <f>IFERROR(MOD(TIMEVALUE(RTD("ice.rtd",,$C2052 &amp; $D2052 &amp; ":" &amp; M$1)), 1), "")</f>
        <v>0.33784722222222224</v>
      </c>
      <c r="N2052" s="36">
        <f>RTD("ice.rtd",,$C2052 &amp; $D2052 &amp; ":" &amp; N$1)</f>
        <v>0</v>
      </c>
      <c r="O2052" s="36">
        <f>RTD("ice.rtd",,$C2052 &amp; $D2052 &amp; ":" &amp; O$1)</f>
        <v>50</v>
      </c>
      <c r="P2052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>Blk</v>
      </c>
      <c r="Q2052" s="14">
        <f>IF(ICE[[#This Row],[LastType]] = "Scrn", ICE[[#This Row],[LstDate]], IF(ICE[[#This Row],[LastType]] = "Blk", ICE[[#This Row],[LstBlkTime]], ""))</f>
        <v>0.33784722222222224</v>
      </c>
      <c r="R2052" s="41">
        <f>IF(ICE[[#This Row],[LastType]] = "Scrn", ICE[[#This Row],[LstPrc]], IF(ICE[[#This Row],[LastType]] = "Blk", ICE[[#This Row],[LstBlkPrc]], ""))</f>
        <v>18.399999999999999</v>
      </c>
      <c r="S2052" s="36">
        <f>ICE[[#This Row],[Vol]]+ICE[[#This Row],[BlkVol]]</f>
        <v>50</v>
      </c>
      <c r="T2052" s="36">
        <f>RTD("ice.rtd",,$C2052 &amp; $D2052 &amp; ":" &amp; T$1)</f>
        <v>0</v>
      </c>
      <c r="U2052" s="18">
        <f>RTD("ice.rtd",,$C2052 &amp; $D2052 &amp; ":" &amp; U$1)</f>
        <v>18.650000000000006</v>
      </c>
      <c r="V2052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{18.40} |50x</v>
      </c>
      <c r="W2052" s="18" t="str">
        <f>IFERROR(IF(LEFT(ICE[[#This Row],[Tenor]], 1) = "B", RTD("esrtd",,$B2052 &amp; " " &amp; ICE[[#This Row],[Tenor]] &amp; "-IEU", W$1), RTD("esrtd",,$B2052 &amp; " " &amp; VLOOKUP(MONTH(ICE[[#This Row],[Strip]]), MthRef[], 2, 0) &amp; RIGHT(YEAR(ICE[[#This Row],[Strip]]), 2) &amp; "-IEU", W$1)), "")</f>
        <v/>
      </c>
      <c r="X2052" s="36"/>
    </row>
    <row r="2053" spans="1:24" x14ac:dyDescent="0.25">
      <c r="A2053" s="37" t="s">
        <v>851</v>
      </c>
      <c r="B2053" s="88" t="str">
        <f>RTD("ice.rtd",,$C2053 &amp; $D2053 &amp; ":" &amp; B$1)</f>
        <v>GST</v>
      </c>
      <c r="C2053" s="3">
        <v>161913535</v>
      </c>
      <c r="D2053" t="s">
        <v>883</v>
      </c>
      <c r="E2053" s="3" t="str">
        <f>RTD("ice.rtd",,$C2053 &amp; $D2053 &amp; ":" &amp; E$1)</f>
        <v>Nov26/Apr27</v>
      </c>
      <c r="F2053" s="3" t="str">
        <f>ICE[[#This Row],[Prod]]&amp;ICE[[#This Row],[Strip]]</f>
        <v>gosingNov26/Apr27</v>
      </c>
      <c r="G2053" s="18" t="str">
        <f>RTD("ice.rtd",,$C2053 &amp; $D2053 &amp; ":" &amp; G$1)</f>
        <v/>
      </c>
      <c r="H2053" s="18" t="str">
        <f>RTD("ice.rtd",,$C2053 &amp; $D2053 &amp; ":" &amp; H$1)</f>
        <v/>
      </c>
      <c r="I2053" s="18" t="str">
        <f>RTD("ice.rtd",,$C2053 &amp; $D2053 &amp; ":" &amp; I$1)</f>
        <v/>
      </c>
      <c r="J2053" s="14" t="str">
        <f>IFERROR(MOD(RTD("ice.rtd",,$C2053 &amp; $D2053 &amp; ":" &amp; J$1), 1), "")</f>
        <v/>
      </c>
      <c r="K2053" s="18" t="str">
        <f>RTD("ice.rtd",,$C2053 &amp; $D2053 &amp; ":" &amp; K$1)</f>
        <v/>
      </c>
      <c r="L2053" s="36" t="str">
        <f>RTD("ice.rtd",,$C2053 &amp; $D2053 &amp; ":" &amp; L$1)</f>
        <v/>
      </c>
      <c r="M2053" s="14" t="str">
        <f>IFERROR(MOD(TIMEVALUE(RTD("ice.rtd",,$C2053 &amp; $D2053 &amp; ":" &amp; M$1)), 1), "")</f>
        <v/>
      </c>
      <c r="N2053" s="36">
        <f>RTD("ice.rtd",,$C2053 &amp; $D2053 &amp; ":" &amp; N$1)</f>
        <v>0</v>
      </c>
      <c r="O2053" s="36">
        <f>RTD("ice.rtd",,$C2053 &amp; $D2053 &amp; ":" &amp; O$1)</f>
        <v>0</v>
      </c>
      <c r="P2053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53" s="14" t="str">
        <f>IF(ICE[[#This Row],[LastType]] = "Scrn", ICE[[#This Row],[LstDate]], IF(ICE[[#This Row],[LastType]] = "Blk", ICE[[#This Row],[LstBlkTime]], ""))</f>
        <v/>
      </c>
      <c r="R2053" s="41" t="str">
        <f>IF(ICE[[#This Row],[LastType]] = "Scrn", ICE[[#This Row],[LstPrc]], IF(ICE[[#This Row],[LastType]] = "Blk", ICE[[#This Row],[LstBlkPrc]], ""))</f>
        <v/>
      </c>
      <c r="S2053" s="36">
        <f>ICE[[#This Row],[Vol]]+ICE[[#This Row],[BlkVol]]</f>
        <v>0</v>
      </c>
      <c r="T2053" s="36">
        <f>RTD("ice.rtd",,$C2053 &amp; $D2053 &amp; ":" &amp; T$1)</f>
        <v>0</v>
      </c>
      <c r="U2053" s="18">
        <f>RTD("ice.rtd",,$C2053 &amp; $D2053 &amp; ":" &amp; U$1)</f>
        <v>22.200000000000017</v>
      </c>
      <c r="V2053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53" s="18" t="str">
        <f>IFERROR(IF(LEFT(ICE[[#This Row],[Tenor]], 1) = "B", RTD("esrtd",,$B2053 &amp; " " &amp; ICE[[#This Row],[Tenor]] &amp; "-IEU", W$1), RTD("esrtd",,$B2053 &amp; " " &amp; VLOOKUP(MONTH(ICE[[#This Row],[Strip]]), MthRef[], 2, 0) &amp; RIGHT(YEAR(ICE[[#This Row],[Strip]]), 2) &amp; "-IEU", W$1)), "")</f>
        <v/>
      </c>
      <c r="X2053" s="36"/>
    </row>
    <row r="2054" spans="1:24" x14ac:dyDescent="0.25">
      <c r="A2054" s="37" t="s">
        <v>851</v>
      </c>
      <c r="B2054" s="88" t="str">
        <f>RTD("ice.rtd",,$C2054 &amp; $D2054 &amp; ":" &amp; B$1)</f>
        <v>GST</v>
      </c>
      <c r="C2054" s="3">
        <v>161913535</v>
      </c>
      <c r="D2054" t="s">
        <v>884</v>
      </c>
      <c r="E2054" s="3" t="str">
        <f>RTD("ice.rtd",,$C2054 &amp; $D2054 &amp; ":" &amp; E$1)</f>
        <v>Nov26/Jun27</v>
      </c>
      <c r="F2054" s="3" t="str">
        <f>ICE[[#This Row],[Prod]]&amp;ICE[[#This Row],[Strip]]</f>
        <v>gosingNov26/Jun27</v>
      </c>
      <c r="G2054" s="18" t="str">
        <f>RTD("ice.rtd",,$C2054 &amp; $D2054 &amp; ":" &amp; G$1)</f>
        <v/>
      </c>
      <c r="H2054" s="18" t="str">
        <f>RTD("ice.rtd",,$C2054 &amp; $D2054 &amp; ":" &amp; H$1)</f>
        <v/>
      </c>
      <c r="I2054" s="18" t="str">
        <f>RTD("ice.rtd",,$C2054 &amp; $D2054 &amp; ":" &amp; I$1)</f>
        <v/>
      </c>
      <c r="J2054" s="14" t="str">
        <f>IFERROR(MOD(RTD("ice.rtd",,$C2054 &amp; $D2054 &amp; ":" &amp; J$1), 1), "")</f>
        <v/>
      </c>
      <c r="K2054" s="18" t="str">
        <f>RTD("ice.rtd",,$C2054 &amp; $D2054 &amp; ":" &amp; K$1)</f>
        <v/>
      </c>
      <c r="L2054" s="36" t="str">
        <f>RTD("ice.rtd",,$C2054 &amp; $D2054 &amp; ":" &amp; L$1)</f>
        <v/>
      </c>
      <c r="M2054" s="14" t="str">
        <f>IFERROR(MOD(TIMEVALUE(RTD("ice.rtd",,$C2054 &amp; $D2054 &amp; ":" &amp; M$1)), 1), "")</f>
        <v/>
      </c>
      <c r="N2054" s="36">
        <f>RTD("ice.rtd",,$C2054 &amp; $D2054 &amp; ":" &amp; N$1)</f>
        <v>0</v>
      </c>
      <c r="O2054" s="36">
        <f>RTD("ice.rtd",,$C2054 &amp; $D2054 &amp; ":" &amp; O$1)</f>
        <v>0</v>
      </c>
      <c r="P2054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54" s="14" t="str">
        <f>IF(ICE[[#This Row],[LastType]] = "Scrn", ICE[[#This Row],[LstDate]], IF(ICE[[#This Row],[LastType]] = "Blk", ICE[[#This Row],[LstBlkTime]], ""))</f>
        <v/>
      </c>
      <c r="R2054" s="41" t="str">
        <f>IF(ICE[[#This Row],[LastType]] = "Scrn", ICE[[#This Row],[LstPrc]], IF(ICE[[#This Row],[LastType]] = "Blk", ICE[[#This Row],[LstBlkPrc]], ""))</f>
        <v/>
      </c>
      <c r="S2054" s="36">
        <f>ICE[[#This Row],[Vol]]+ICE[[#This Row],[BlkVol]]</f>
        <v>0</v>
      </c>
      <c r="T2054" s="36">
        <f>RTD("ice.rtd",,$C2054 &amp; $D2054 &amp; ":" &amp; T$1)</f>
        <v>0</v>
      </c>
      <c r="U2054" s="18">
        <f>RTD("ice.rtd",,$C2054 &amp; $D2054 &amp; ":" &amp; U$1)</f>
        <v>27.440000000000012</v>
      </c>
      <c r="V2054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54" s="18" t="str">
        <f>IFERROR(IF(LEFT(ICE[[#This Row],[Tenor]], 1) = "B", RTD("esrtd",,$B2054 &amp; " " &amp; ICE[[#This Row],[Tenor]] &amp; "-IEU", W$1), RTD("esrtd",,$B2054 &amp; " " &amp; VLOOKUP(MONTH(ICE[[#This Row],[Strip]]), MthRef[], 2, 0) &amp; RIGHT(YEAR(ICE[[#This Row],[Strip]]), 2) &amp; "-IEU", W$1)), "")</f>
        <v/>
      </c>
      <c r="X2054" s="36"/>
    </row>
    <row r="2055" spans="1:24" x14ac:dyDescent="0.25">
      <c r="A2055" s="37" t="s">
        <v>851</v>
      </c>
      <c r="B2055" s="88" t="str">
        <f>RTD("ice.rtd",,$C2055 &amp; $D2055 &amp; ":" &amp; B$1)</f>
        <v>GST</v>
      </c>
      <c r="C2055" s="3">
        <v>161913535</v>
      </c>
      <c r="D2055" t="s">
        <v>885</v>
      </c>
      <c r="E2055" s="3" t="str">
        <f>RTD("ice.rtd",,$C2055 &amp; $D2055 &amp; ":" &amp; E$1)</f>
        <v>Q4 26/Q1 27</v>
      </c>
      <c r="F2055" s="3" t="str">
        <f>ICE[[#This Row],[Prod]]&amp;ICE[[#This Row],[Strip]]</f>
        <v>gosingQ4 26/Q1 27</v>
      </c>
      <c r="G2055" s="18" t="str">
        <f>RTD("ice.rtd",,$C2055 &amp; $D2055 &amp; ":" &amp; G$1)</f>
        <v/>
      </c>
      <c r="H2055" s="18" t="str">
        <f>RTD("ice.rtd",,$C2055 &amp; $D2055 &amp; ":" &amp; H$1)</f>
        <v/>
      </c>
      <c r="I2055" s="18" t="str">
        <f>RTD("ice.rtd",,$C2055 &amp; $D2055 &amp; ":" &amp; I$1)</f>
        <v/>
      </c>
      <c r="J2055" s="14" t="str">
        <f>IFERROR(MOD(RTD("ice.rtd",,$C2055 &amp; $D2055 &amp; ":" &amp; J$1), 1), "")</f>
        <v/>
      </c>
      <c r="K2055" s="18" t="str">
        <f>RTD("ice.rtd",,$C2055 &amp; $D2055 &amp; ":" &amp; K$1)</f>
        <v/>
      </c>
      <c r="L2055" s="36" t="str">
        <f>RTD("ice.rtd",,$C2055 &amp; $D2055 &amp; ":" &amp; L$1)</f>
        <v/>
      </c>
      <c r="M2055" s="14" t="str">
        <f>IFERROR(MOD(TIMEVALUE(RTD("ice.rtd",,$C2055 &amp; $D2055 &amp; ":" &amp; M$1)), 1), "")</f>
        <v/>
      </c>
      <c r="N2055" s="36">
        <f>RTD("ice.rtd",,$C2055 &amp; $D2055 &amp; ":" &amp; N$1)</f>
        <v>0</v>
      </c>
      <c r="O2055" s="36">
        <f>RTD("ice.rtd",,$C2055 &amp; $D2055 &amp; ":" &amp; O$1)</f>
        <v>0</v>
      </c>
      <c r="P2055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55" s="14" t="str">
        <f>IF(ICE[[#This Row],[LastType]] = "Scrn", ICE[[#This Row],[LstDate]], IF(ICE[[#This Row],[LastType]] = "Blk", ICE[[#This Row],[LstBlkTime]], ""))</f>
        <v/>
      </c>
      <c r="R2055" s="41" t="str">
        <f>IF(ICE[[#This Row],[LastType]] = "Scrn", ICE[[#This Row],[LstPrc]], IF(ICE[[#This Row],[LastType]] = "Blk", ICE[[#This Row],[LstBlkPrc]], ""))</f>
        <v/>
      </c>
      <c r="S2055" s="36">
        <f>ICE[[#This Row],[Vol]]+ICE[[#This Row],[BlkVol]]</f>
        <v>0</v>
      </c>
      <c r="T2055" s="36">
        <f>RTD("ice.rtd",,$C2055 &amp; $D2055 &amp; ":" &amp; T$1)</f>
        <v>0</v>
      </c>
      <c r="U2055" s="18">
        <f>RTD("ice.rtd",,$C2055 &amp; $D2055 &amp; ":" &amp; U$1)</f>
        <v>14.689999999999998</v>
      </c>
      <c r="V2055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55" s="18" t="str">
        <f>IFERROR(IF(LEFT(ICE[[#This Row],[Tenor]], 1) = "B", RTD("esrtd",,$B2055 &amp; " " &amp; ICE[[#This Row],[Tenor]] &amp; "-IEU", W$1), RTD("esrtd",,$B2055 &amp; " " &amp; VLOOKUP(MONTH(ICE[[#This Row],[Strip]]), MthRef[], 2, 0) &amp; RIGHT(YEAR(ICE[[#This Row],[Strip]]), 2) &amp; "-IEU", W$1)), "")</f>
        <v/>
      </c>
      <c r="X2055" s="36"/>
    </row>
    <row r="2056" spans="1:24" x14ac:dyDescent="0.25">
      <c r="A2056" s="37" t="s">
        <v>851</v>
      </c>
      <c r="B2056" s="88" t="str">
        <f>RTD("ice.rtd",,$C2056 &amp; $D2056 &amp; ":" &amp; B$1)</f>
        <v>GST</v>
      </c>
      <c r="C2056" s="3">
        <v>161913535</v>
      </c>
      <c r="D2056" t="s">
        <v>886</v>
      </c>
      <c r="E2056" s="3" t="str">
        <f>RTD("ice.rtd",,$C2056 &amp; $D2056 &amp; ":" &amp; E$1)</f>
        <v>Q1 27/Q2 27</v>
      </c>
      <c r="F2056" s="3" t="str">
        <f>ICE[[#This Row],[Prod]]&amp;ICE[[#This Row],[Strip]]</f>
        <v>gosingQ1 27/Q2 27</v>
      </c>
      <c r="G2056" s="18" t="str">
        <f>RTD("ice.rtd",,$C2056 &amp; $D2056 &amp; ":" &amp; G$1)</f>
        <v/>
      </c>
      <c r="H2056" s="18" t="str">
        <f>RTD("ice.rtd",,$C2056 &amp; $D2056 &amp; ":" &amp; H$1)</f>
        <v/>
      </c>
      <c r="I2056" s="18" t="str">
        <f>RTD("ice.rtd",,$C2056 &amp; $D2056 &amp; ":" &amp; I$1)</f>
        <v/>
      </c>
      <c r="J2056" s="14" t="str">
        <f>IFERROR(MOD(RTD("ice.rtd",,$C2056 &amp; $D2056 &amp; ":" &amp; J$1), 1), "")</f>
        <v/>
      </c>
      <c r="K2056" s="18" t="str">
        <f>RTD("ice.rtd",,$C2056 &amp; $D2056 &amp; ":" &amp; K$1)</f>
        <v/>
      </c>
      <c r="L2056" s="36" t="str">
        <f>RTD("ice.rtd",,$C2056 &amp; $D2056 &amp; ":" &amp; L$1)</f>
        <v/>
      </c>
      <c r="M2056" s="14" t="str">
        <f>IFERROR(MOD(TIMEVALUE(RTD("ice.rtd",,$C2056 &amp; $D2056 &amp; ":" &amp; M$1)), 1), "")</f>
        <v/>
      </c>
      <c r="N2056" s="36">
        <f>RTD("ice.rtd",,$C2056 &amp; $D2056 &amp; ":" &amp; N$1)</f>
        <v>0</v>
      </c>
      <c r="O2056" s="36">
        <f>RTD("ice.rtd",,$C2056 &amp; $D2056 &amp; ":" &amp; O$1)</f>
        <v>0</v>
      </c>
      <c r="P2056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56" s="14" t="str">
        <f>IF(ICE[[#This Row],[LastType]] = "Scrn", ICE[[#This Row],[LstDate]], IF(ICE[[#This Row],[LastType]] = "Blk", ICE[[#This Row],[LstBlkTime]], ""))</f>
        <v/>
      </c>
      <c r="R2056" s="41" t="str">
        <f>IF(ICE[[#This Row],[LastType]] = "Scrn", ICE[[#This Row],[LstPrc]], IF(ICE[[#This Row],[LastType]] = "Blk", ICE[[#This Row],[LstBlkPrc]], ""))</f>
        <v/>
      </c>
      <c r="S2056" s="36">
        <f>ICE[[#This Row],[Vol]]+ICE[[#This Row],[BlkVol]]</f>
        <v>0</v>
      </c>
      <c r="T2056" s="36">
        <f>RTD("ice.rtd",,$C2056 &amp; $D2056 &amp; ":" &amp; T$1)</f>
        <v>0</v>
      </c>
      <c r="U2056" s="18">
        <f>RTD("ice.rtd",,$C2056 &amp; $D2056 &amp; ":" &amp; U$1)</f>
        <v>10.246999999999986</v>
      </c>
      <c r="V2056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56" s="18" t="str">
        <f>IFERROR(IF(LEFT(ICE[[#This Row],[Tenor]], 1) = "B", RTD("esrtd",,$B2056 &amp; " " &amp; ICE[[#This Row],[Tenor]] &amp; "-IEU", W$1), RTD("esrtd",,$B2056 &amp; " " &amp; VLOOKUP(MONTH(ICE[[#This Row],[Strip]]), MthRef[], 2, 0) &amp; RIGHT(YEAR(ICE[[#This Row],[Strip]]), 2) &amp; "-IEU", W$1)), "")</f>
        <v/>
      </c>
      <c r="X2056" s="36"/>
    </row>
    <row r="2057" spans="1:24" x14ac:dyDescent="0.25">
      <c r="A2057" s="37" t="s">
        <v>851</v>
      </c>
      <c r="B2057" s="88" t="str">
        <f>RTD("ice.rtd",,$C2057 &amp; $D2057 &amp; ":" &amp; B$1)</f>
        <v>GST</v>
      </c>
      <c r="C2057" s="3">
        <v>161913535</v>
      </c>
      <c r="D2057" t="s">
        <v>887</v>
      </c>
      <c r="E2057" s="3" t="str">
        <f>RTD("ice.rtd",,$C2057 &amp; $D2057 &amp; ":" &amp; E$1)</f>
        <v>Cal 27/Cal 28</v>
      </c>
      <c r="F2057" s="3" t="str">
        <f>ICE[[#This Row],[Prod]]&amp;ICE[[#This Row],[Strip]]</f>
        <v>gosingCal 27/Cal 28</v>
      </c>
      <c r="G2057" s="18" t="str">
        <f>RTD("ice.rtd",,$C2057 &amp; $D2057 &amp; ":" &amp; G$1)</f>
        <v/>
      </c>
      <c r="H2057" s="18" t="str">
        <f>RTD("ice.rtd",,$C2057 &amp; $D2057 &amp; ":" &amp; H$1)</f>
        <v/>
      </c>
      <c r="I2057" s="18" t="str">
        <f>RTD("ice.rtd",,$C2057 &amp; $D2057 &amp; ":" &amp; I$1)</f>
        <v/>
      </c>
      <c r="J2057" s="14" t="str">
        <f>IFERROR(MOD(RTD("ice.rtd",,$C2057 &amp; $D2057 &amp; ":" &amp; J$1), 1), "")</f>
        <v/>
      </c>
      <c r="K2057" s="18" t="str">
        <f>RTD("ice.rtd",,$C2057 &amp; $D2057 &amp; ":" &amp; K$1)</f>
        <v/>
      </c>
      <c r="L2057" s="36" t="str">
        <f>RTD("ice.rtd",,$C2057 &amp; $D2057 &amp; ":" &amp; L$1)</f>
        <v/>
      </c>
      <c r="M2057" s="14" t="str">
        <f>IFERROR(MOD(TIMEVALUE(RTD("ice.rtd",,$C2057 &amp; $D2057 &amp; ":" &amp; M$1)), 1), "")</f>
        <v/>
      </c>
      <c r="N2057" s="36">
        <f>RTD("ice.rtd",,$C2057 &amp; $D2057 &amp; ":" &amp; N$1)</f>
        <v>0</v>
      </c>
      <c r="O2057" s="36">
        <f>RTD("ice.rtd",,$C2057 &amp; $D2057 &amp; ":" &amp; O$1)</f>
        <v>0</v>
      </c>
      <c r="P2057" s="36" t="str">
        <f>IF(OR(ISNUMBER(ICE[[#This Row],[LstDate]]), ISNUMBER(ICE[[#This Row],[LstBlkTime]])), IF(IF(ISNUMBER(ICE[[#This Row],[LstDate]]), ICE[[#This Row],[LstDate]], 0) &gt; IF(ISNUMBER(ICE[[#This Row],[LstBlkTime]]), ICE[[#This Row],[LstBlkTime]], 0), "Scrn", "Blk"), "")</f>
        <v/>
      </c>
      <c r="Q2057" s="14" t="str">
        <f>IF(ICE[[#This Row],[LastType]] = "Scrn", ICE[[#This Row],[LstDate]], IF(ICE[[#This Row],[LastType]] = "Blk", ICE[[#This Row],[LstBlkTime]], ""))</f>
        <v/>
      </c>
      <c r="R2057" s="41" t="str">
        <f>IF(ICE[[#This Row],[LastType]] = "Scrn", ICE[[#This Row],[LstPrc]], IF(ICE[[#This Row],[LastType]] = "Blk", ICE[[#This Row],[LstBlkPrc]], ""))</f>
        <v/>
      </c>
      <c r="S2057" s="36">
        <f>ICE[[#This Row],[Vol]]+ICE[[#This Row],[BlkVol]]</f>
        <v>0</v>
      </c>
      <c r="T2057" s="36">
        <f>RTD("ice.rtd",,$C2057 &amp; $D2057 &amp; ":" &amp; T$1)</f>
        <v>0</v>
      </c>
      <c r="U2057" s="18">
        <f>RTD("ice.rtd",,$C2057 &amp; $D2057 &amp; ":" &amp; U$1)</f>
        <v>18.838000000000008</v>
      </c>
      <c r="V2057" s="36" t="str">
        <f>IFERROR(IF(ISNUMBER(ICE[[#This Row],[BstHitPrc]]), TEXT(ICE[[#This Row],[BstHitPrc]], "0.00"), "") &amp; " / " &amp; IF(ISNUMBER(ICE[[#This Row],[BstLiftPrc]]), TEXT(ICE[[#This Row],[BstLiftPrc]], "0.00"), "") &amp; " " &amp; IF(ISNUMBER(ICE[[#This Row],[LastPrice]]), "{" &amp; TEXT(ICE[[#This Row],[LastPrice]], "0.00") &amp; "}", "") &amp; IF(ICE[[#This Row],[TotVol]] &gt; 0, " " &amp; "|" &amp; TEXT(ICE[[#This Row],[TotVol]], "#,##0") &amp; "x", ""), "")</f>
        <v xml:space="preserve"> /  </v>
      </c>
      <c r="W2057" s="18" t="str">
        <f>IFERROR(IF(LEFT(ICE[[#This Row],[Tenor]], 1) = "B", RTD("esrtd",,$B2057 &amp; " " &amp; ICE[[#This Row],[Tenor]] &amp; "-IEU", W$1), RTD("esrtd",,$B2057 &amp; " " &amp; VLOOKUP(MONTH(ICE[[#This Row],[Strip]]), MthRef[], 2, 0) &amp; RIGHT(YEAR(ICE[[#This Row],[Strip]]), 2) &amp; "-IEU", W$1)), "")</f>
        <v/>
      </c>
      <c r="X2057" s="36"/>
    </row>
    <row r="2058" spans="1:24" x14ac:dyDescent="0.25">
      <c r="A2058" s="37"/>
      <c r="B2058" s="71"/>
      <c r="G2058" s="18"/>
      <c r="H2058" s="18"/>
      <c r="I2058" s="18"/>
      <c r="J2058" s="14"/>
      <c r="K2058" s="18"/>
      <c r="L2058" s="36"/>
      <c r="M2058" s="14"/>
      <c r="N2058" s="36"/>
      <c r="O2058" s="36"/>
      <c r="P2058" s="36"/>
      <c r="Q2058" s="14"/>
      <c r="R2058" s="41"/>
      <c r="S2058" s="36"/>
      <c r="T2058" s="36"/>
      <c r="U2058" s="18"/>
      <c r="V2058" s="36"/>
      <c r="X2058" s="36"/>
    </row>
    <row r="2059" spans="1:24" x14ac:dyDescent="0.25">
      <c r="A2059" s="37"/>
      <c r="B2059" s="71"/>
      <c r="G2059" s="18"/>
      <c r="H2059" s="18"/>
      <c r="I2059" s="18"/>
      <c r="J2059" s="14"/>
      <c r="K2059" s="18"/>
      <c r="L2059" s="36"/>
      <c r="M2059" s="14"/>
      <c r="N2059" s="36"/>
      <c r="O2059" s="36"/>
      <c r="P2059" s="36"/>
      <c r="Q2059" s="14"/>
      <c r="R2059" s="41"/>
      <c r="S2059" s="36"/>
      <c r="T2059" s="36"/>
      <c r="U2059" s="18"/>
      <c r="V2059" s="36"/>
      <c r="X2059" s="36"/>
    </row>
    <row r="2060" spans="1:24" x14ac:dyDescent="0.25">
      <c r="A2060" s="37"/>
      <c r="B2060" s="71"/>
      <c r="G2060" s="18"/>
      <c r="H2060" s="18"/>
      <c r="I2060" s="18"/>
      <c r="J2060" s="14"/>
      <c r="K2060" s="18"/>
      <c r="L2060" s="36"/>
      <c r="M2060" s="14"/>
      <c r="N2060" s="36"/>
      <c r="O2060" s="36"/>
      <c r="P2060" s="36"/>
      <c r="Q2060" s="14"/>
      <c r="R2060" s="41"/>
      <c r="S2060" s="36"/>
      <c r="T2060" s="36"/>
      <c r="U2060" s="18"/>
      <c r="V2060" s="36"/>
      <c r="X2060" s="36"/>
    </row>
    <row r="2061" spans="1:24" x14ac:dyDescent="0.25">
      <c r="A2061" s="37"/>
      <c r="B2061" s="71"/>
      <c r="G2061" s="18"/>
      <c r="H2061" s="18"/>
      <c r="I2061" s="18"/>
      <c r="J2061" s="14"/>
      <c r="K2061" s="18"/>
      <c r="L2061" s="36"/>
      <c r="M2061" s="14"/>
      <c r="N2061" s="36"/>
      <c r="O2061" s="36"/>
      <c r="P2061" s="36"/>
      <c r="Q2061" s="14"/>
      <c r="R2061" s="41"/>
      <c r="S2061" s="36"/>
      <c r="T2061" s="36"/>
      <c r="U2061" s="18"/>
      <c r="V2061" s="36"/>
      <c r="X2061" s="36"/>
    </row>
    <row r="2062" spans="1:24" x14ac:dyDescent="0.25">
      <c r="A2062" s="37"/>
      <c r="B2062" s="71"/>
      <c r="G2062" s="18"/>
      <c r="H2062" s="18"/>
      <c r="I2062" s="18"/>
      <c r="J2062" s="14"/>
      <c r="K2062" s="18"/>
      <c r="L2062" s="36"/>
      <c r="M2062" s="14"/>
      <c r="N2062" s="36"/>
      <c r="O2062" s="36"/>
      <c r="P2062" s="36"/>
      <c r="Q2062" s="14"/>
      <c r="R2062" s="41"/>
      <c r="S2062" s="36"/>
      <c r="T2062" s="36"/>
      <c r="U2062" s="18"/>
      <c r="V2062" s="36"/>
      <c r="X2062" s="36"/>
    </row>
    <row r="2063" spans="1:24" x14ac:dyDescent="0.25">
      <c r="A2063" s="37"/>
      <c r="B2063" s="71"/>
      <c r="G2063" s="18"/>
      <c r="H2063" s="18"/>
      <c r="I2063" s="18"/>
      <c r="J2063" s="14"/>
      <c r="K2063" s="18"/>
      <c r="L2063" s="36"/>
      <c r="M2063" s="14"/>
      <c r="N2063" s="36"/>
      <c r="O2063" s="36"/>
      <c r="P2063" s="36"/>
      <c r="Q2063" s="14"/>
      <c r="R2063" s="41"/>
      <c r="S2063" s="36"/>
      <c r="T2063" s="36"/>
      <c r="U2063" s="18"/>
      <c r="V2063" s="36"/>
      <c r="X2063" s="36"/>
    </row>
    <row r="2064" spans="1:24" x14ac:dyDescent="0.25">
      <c r="A2064" s="37"/>
      <c r="B2064" s="71"/>
      <c r="G2064" s="18"/>
      <c r="H2064" s="18"/>
      <c r="I2064" s="18"/>
      <c r="J2064" s="14"/>
      <c r="K2064" s="18"/>
      <c r="L2064" s="36"/>
      <c r="M2064" s="14"/>
      <c r="N2064" s="36"/>
      <c r="O2064" s="36"/>
      <c r="P2064" s="36"/>
      <c r="Q2064" s="14"/>
      <c r="R2064" s="41"/>
      <c r="S2064" s="36"/>
      <c r="T2064" s="36"/>
      <c r="U2064" s="18"/>
      <c r="V2064" s="36"/>
      <c r="X2064" s="36"/>
    </row>
    <row r="2065" spans="1:24" x14ac:dyDescent="0.25">
      <c r="A2065" s="37"/>
      <c r="B2065" s="71"/>
      <c r="G2065" s="18"/>
      <c r="H2065" s="18"/>
      <c r="I2065" s="18"/>
      <c r="J2065" s="14"/>
      <c r="K2065" s="18"/>
      <c r="L2065" s="36"/>
      <c r="M2065" s="14"/>
      <c r="N2065" s="36"/>
      <c r="O2065" s="36"/>
      <c r="P2065" s="36"/>
      <c r="Q2065" s="14"/>
      <c r="R2065" s="41"/>
      <c r="S2065" s="36"/>
      <c r="T2065" s="36"/>
      <c r="U2065" s="18"/>
      <c r="V2065" s="36"/>
      <c r="X2065" s="36"/>
    </row>
    <row r="2066" spans="1:24" x14ac:dyDescent="0.25">
      <c r="A2066" s="37"/>
      <c r="B2066" s="71"/>
      <c r="G2066" s="18"/>
      <c r="H2066" s="18"/>
      <c r="I2066" s="18"/>
      <c r="J2066" s="14"/>
      <c r="K2066" s="18"/>
      <c r="L2066" s="36"/>
      <c r="M2066" s="14"/>
      <c r="N2066" s="36"/>
      <c r="O2066" s="36"/>
      <c r="P2066" s="36"/>
      <c r="Q2066" s="14"/>
      <c r="R2066" s="41"/>
      <c r="S2066" s="36"/>
      <c r="T2066" s="36"/>
      <c r="U2066" s="18"/>
      <c r="V2066" s="36"/>
      <c r="X2066" s="36"/>
    </row>
    <row r="2067" spans="1:24" x14ac:dyDescent="0.25">
      <c r="A2067" s="37"/>
      <c r="B2067" s="71"/>
      <c r="G2067" s="18"/>
      <c r="H2067" s="18"/>
      <c r="I2067" s="18"/>
      <c r="J2067" s="14"/>
      <c r="K2067" s="18"/>
      <c r="L2067" s="36"/>
      <c r="M2067" s="14"/>
      <c r="N2067" s="36"/>
      <c r="O2067" s="36"/>
      <c r="P2067" s="36"/>
      <c r="Q2067" s="14"/>
      <c r="R2067" s="41"/>
      <c r="S2067" s="36"/>
      <c r="T2067" s="36"/>
      <c r="U2067" s="18"/>
      <c r="V2067" s="36"/>
      <c r="X2067" s="36"/>
    </row>
    <row r="2068" spans="1:24" x14ac:dyDescent="0.25">
      <c r="A2068" s="37"/>
      <c r="B2068" s="71"/>
      <c r="G2068" s="18"/>
      <c r="H2068" s="18"/>
      <c r="I2068" s="18"/>
      <c r="J2068" s="14"/>
      <c r="K2068" s="18"/>
      <c r="L2068" s="36"/>
      <c r="M2068" s="14"/>
      <c r="N2068" s="36"/>
      <c r="O2068" s="36"/>
      <c r="P2068" s="36"/>
      <c r="Q2068" s="14"/>
      <c r="R2068" s="41"/>
      <c r="S2068" s="36"/>
      <c r="T2068" s="36"/>
      <c r="U2068" s="18"/>
      <c r="V2068" s="36"/>
      <c r="X2068" s="36"/>
    </row>
    <row r="2069" spans="1:24" x14ac:dyDescent="0.25">
      <c r="A2069" s="37"/>
      <c r="B2069" s="71"/>
      <c r="G2069" s="18"/>
      <c r="H2069" s="18"/>
      <c r="I2069" s="18"/>
      <c r="J2069" s="14"/>
      <c r="K2069" s="18"/>
      <c r="L2069" s="36"/>
      <c r="M2069" s="14"/>
      <c r="N2069" s="36"/>
      <c r="O2069" s="36"/>
      <c r="P2069" s="36"/>
      <c r="Q2069" s="14"/>
      <c r="R2069" s="41"/>
      <c r="S2069" s="36"/>
      <c r="T2069" s="36"/>
      <c r="U2069" s="18"/>
      <c r="V2069" s="36"/>
      <c r="X2069" s="36"/>
    </row>
    <row r="2070" spans="1:24" x14ac:dyDescent="0.25">
      <c r="A2070" s="37"/>
      <c r="B2070" s="71"/>
      <c r="G2070" s="18"/>
      <c r="H2070" s="18"/>
      <c r="I2070" s="18"/>
      <c r="J2070" s="14"/>
      <c r="K2070" s="18"/>
      <c r="L2070" s="36"/>
      <c r="M2070" s="14"/>
      <c r="N2070" s="36"/>
      <c r="O2070" s="36"/>
      <c r="P2070" s="36"/>
      <c r="Q2070" s="14"/>
      <c r="R2070" s="41"/>
      <c r="S2070" s="36"/>
      <c r="T2070" s="36"/>
      <c r="U2070" s="18"/>
      <c r="V2070" s="36"/>
      <c r="X2070" s="36"/>
    </row>
    <row r="2071" spans="1:24" x14ac:dyDescent="0.25">
      <c r="A2071" s="37"/>
      <c r="B2071" s="71"/>
      <c r="G2071" s="18"/>
      <c r="H2071" s="18"/>
      <c r="I2071" s="18"/>
      <c r="J2071" s="14"/>
      <c r="K2071" s="18"/>
      <c r="L2071" s="36"/>
      <c r="M2071" s="14"/>
      <c r="N2071" s="36"/>
      <c r="O2071" s="36"/>
      <c r="P2071" s="36"/>
      <c r="Q2071" s="14"/>
      <c r="R2071" s="41"/>
      <c r="S2071" s="36"/>
      <c r="T2071" s="36"/>
      <c r="U2071" s="18"/>
      <c r="V2071" s="36"/>
      <c r="X2071" s="36"/>
    </row>
    <row r="2072" spans="1:24" x14ac:dyDescent="0.25">
      <c r="A2072" s="37"/>
      <c r="B2072" s="71"/>
      <c r="G2072" s="18"/>
      <c r="H2072" s="18"/>
      <c r="I2072" s="18"/>
      <c r="J2072" s="14"/>
      <c r="K2072" s="18"/>
      <c r="L2072" s="36"/>
      <c r="M2072" s="14"/>
      <c r="N2072" s="36"/>
      <c r="O2072" s="36"/>
      <c r="P2072" s="36"/>
      <c r="Q2072" s="14"/>
      <c r="R2072" s="41"/>
      <c r="S2072" s="36"/>
      <c r="T2072" s="36"/>
      <c r="U2072" s="18"/>
      <c r="V2072" s="36"/>
      <c r="X2072" s="36"/>
    </row>
    <row r="2073" spans="1:24" x14ac:dyDescent="0.25">
      <c r="A2073" s="37"/>
      <c r="B2073" s="71"/>
      <c r="G2073" s="18"/>
      <c r="H2073" s="18"/>
      <c r="I2073" s="18"/>
      <c r="J2073" s="14"/>
      <c r="K2073" s="18"/>
      <c r="L2073" s="36"/>
      <c r="M2073" s="14"/>
      <c r="N2073" s="36"/>
      <c r="O2073" s="36"/>
      <c r="P2073" s="36"/>
      <c r="Q2073" s="14"/>
      <c r="R2073" s="41"/>
      <c r="S2073" s="36"/>
      <c r="T2073" s="36"/>
      <c r="U2073" s="18"/>
      <c r="V2073" s="36"/>
      <c r="X2073" s="36"/>
    </row>
    <row r="2074" spans="1:24" x14ac:dyDescent="0.25">
      <c r="A2074" s="37"/>
      <c r="B2074" s="71"/>
      <c r="G2074" s="18"/>
      <c r="H2074" s="18"/>
      <c r="I2074" s="18"/>
      <c r="J2074" s="14"/>
      <c r="K2074" s="18"/>
      <c r="L2074" s="36"/>
      <c r="M2074" s="14"/>
      <c r="N2074" s="36"/>
      <c r="O2074" s="36"/>
      <c r="P2074" s="36"/>
      <c r="Q2074" s="14"/>
      <c r="R2074" s="41"/>
      <c r="S2074" s="36"/>
      <c r="T2074" s="36"/>
      <c r="U2074" s="18"/>
      <c r="V2074" s="36"/>
      <c r="X2074" s="36"/>
    </row>
    <row r="2075" spans="1:24" x14ac:dyDescent="0.25">
      <c r="A2075" s="37"/>
      <c r="B2075" s="71"/>
      <c r="G2075" s="18"/>
      <c r="H2075" s="18"/>
      <c r="I2075" s="18"/>
      <c r="J2075" s="14"/>
      <c r="K2075" s="18"/>
      <c r="L2075" s="36"/>
      <c r="M2075" s="14"/>
      <c r="N2075" s="36"/>
      <c r="O2075" s="36"/>
      <c r="P2075" s="36"/>
      <c r="Q2075" s="14"/>
      <c r="R2075" s="41"/>
      <c r="S2075" s="36"/>
      <c r="T2075" s="36"/>
      <c r="U2075" s="18"/>
      <c r="V2075" s="36"/>
      <c r="X2075" s="36"/>
    </row>
    <row r="2076" spans="1:24" x14ac:dyDescent="0.25">
      <c r="A2076" s="37"/>
      <c r="B2076" s="71"/>
      <c r="G2076" s="18"/>
      <c r="H2076" s="18"/>
      <c r="I2076" s="18"/>
      <c r="J2076" s="14"/>
      <c r="K2076" s="18"/>
      <c r="L2076" s="36"/>
      <c r="M2076" s="14"/>
      <c r="N2076" s="36"/>
      <c r="O2076" s="36"/>
      <c r="P2076" s="36"/>
      <c r="Q2076" s="14"/>
      <c r="R2076" s="41"/>
      <c r="S2076" s="36"/>
      <c r="T2076" s="36"/>
      <c r="U2076" s="18"/>
      <c r="V2076" s="36"/>
      <c r="X2076" s="36"/>
    </row>
    <row r="2077" spans="1:24" x14ac:dyDescent="0.25">
      <c r="A2077" s="37"/>
      <c r="B2077" s="71"/>
      <c r="G2077" s="18"/>
      <c r="H2077" s="18"/>
      <c r="I2077" s="18"/>
      <c r="J2077" s="14"/>
      <c r="K2077" s="18"/>
      <c r="L2077" s="36"/>
      <c r="M2077" s="14"/>
      <c r="N2077" s="36"/>
      <c r="O2077" s="36"/>
      <c r="P2077" s="36"/>
      <c r="Q2077" s="14"/>
      <c r="R2077" s="41"/>
      <c r="S2077" s="36"/>
      <c r="T2077" s="36"/>
      <c r="U2077" s="18"/>
      <c r="V2077" s="36"/>
      <c r="X2077" s="36"/>
    </row>
    <row r="2078" spans="1:24" x14ac:dyDescent="0.25">
      <c r="A2078" s="37"/>
      <c r="B2078" s="71"/>
      <c r="G2078" s="18"/>
      <c r="H2078" s="18"/>
      <c r="I2078" s="18"/>
      <c r="J2078" s="14"/>
      <c r="K2078" s="18"/>
      <c r="L2078" s="36"/>
      <c r="M2078" s="14"/>
      <c r="N2078" s="36"/>
      <c r="O2078" s="36"/>
      <c r="P2078" s="36"/>
      <c r="Q2078" s="14"/>
      <c r="R2078" s="41"/>
      <c r="S2078" s="36"/>
      <c r="T2078" s="36"/>
      <c r="U2078" s="18"/>
      <c r="V2078" s="36"/>
      <c r="X2078" s="36"/>
    </row>
    <row r="2079" spans="1:24" x14ac:dyDescent="0.25">
      <c r="A2079" s="37"/>
      <c r="B2079" s="71"/>
      <c r="G2079" s="18"/>
      <c r="H2079" s="18"/>
      <c r="I2079" s="18"/>
      <c r="J2079" s="14"/>
      <c r="K2079" s="18"/>
      <c r="L2079" s="36"/>
      <c r="M2079" s="14"/>
      <c r="N2079" s="36"/>
      <c r="O2079" s="36"/>
      <c r="P2079" s="36"/>
      <c r="Q2079" s="14"/>
      <c r="R2079" s="41"/>
      <c r="S2079" s="36"/>
      <c r="T2079" s="36"/>
      <c r="U2079" s="18"/>
      <c r="V2079" s="36"/>
      <c r="X2079" s="36"/>
    </row>
    <row r="2080" spans="1:24" x14ac:dyDescent="0.25">
      <c r="A2080" s="37"/>
      <c r="B2080" s="71"/>
      <c r="G2080" s="18"/>
      <c r="H2080" s="18"/>
      <c r="I2080" s="18"/>
      <c r="J2080" s="14"/>
      <c r="K2080" s="18"/>
      <c r="L2080" s="36"/>
      <c r="M2080" s="14"/>
      <c r="N2080" s="36"/>
      <c r="O2080" s="36"/>
      <c r="P2080" s="36"/>
      <c r="Q2080" s="14"/>
      <c r="R2080" s="41"/>
      <c r="S2080" s="36"/>
      <c r="T2080" s="36"/>
      <c r="U2080" s="18"/>
      <c r="V2080" s="36"/>
      <c r="X2080" s="36"/>
    </row>
    <row r="2081" spans="1:24" x14ac:dyDescent="0.25">
      <c r="A2081" s="37"/>
      <c r="B2081" s="71"/>
      <c r="G2081" s="18"/>
      <c r="H2081" s="18"/>
      <c r="I2081" s="18"/>
      <c r="J2081" s="14"/>
      <c r="K2081" s="18"/>
      <c r="L2081" s="36"/>
      <c r="M2081" s="14"/>
      <c r="N2081" s="36"/>
      <c r="O2081" s="36"/>
      <c r="P2081" s="36"/>
      <c r="Q2081" s="14"/>
      <c r="R2081" s="41"/>
      <c r="S2081" s="36"/>
      <c r="T2081" s="36"/>
      <c r="U2081" s="18"/>
      <c r="V2081" s="36"/>
      <c r="X2081" s="36"/>
    </row>
    <row r="2082" spans="1:24" x14ac:dyDescent="0.25">
      <c r="A2082" s="37"/>
      <c r="B2082" s="71"/>
      <c r="G2082" s="18"/>
      <c r="H2082" s="18"/>
      <c r="I2082" s="18"/>
      <c r="J2082" s="14"/>
      <c r="K2082" s="18"/>
      <c r="L2082" s="36"/>
      <c r="M2082" s="14"/>
      <c r="N2082" s="36"/>
      <c r="O2082" s="36"/>
      <c r="P2082" s="36"/>
      <c r="Q2082" s="14"/>
      <c r="R2082" s="41"/>
      <c r="S2082" s="36"/>
      <c r="T2082" s="36"/>
      <c r="U2082" s="18"/>
      <c r="V2082" s="36"/>
      <c r="X2082" s="36"/>
    </row>
    <row r="2083" spans="1:24" x14ac:dyDescent="0.25">
      <c r="A2083" s="37"/>
      <c r="B2083" s="71"/>
      <c r="G2083" s="18"/>
      <c r="H2083" s="18"/>
      <c r="I2083" s="18"/>
      <c r="J2083" s="14"/>
      <c r="K2083" s="18"/>
      <c r="L2083" s="36"/>
      <c r="M2083" s="14"/>
      <c r="N2083" s="36"/>
      <c r="O2083" s="36"/>
      <c r="P2083" s="36"/>
      <c r="Q2083" s="14"/>
      <c r="R2083" s="41"/>
      <c r="S2083" s="36"/>
      <c r="T2083" s="36"/>
      <c r="U2083" s="18"/>
      <c r="V2083" s="36"/>
      <c r="X2083" s="36"/>
    </row>
    <row r="2084" spans="1:24" x14ac:dyDescent="0.25">
      <c r="A2084" s="37"/>
      <c r="B2084" s="71"/>
      <c r="G2084" s="18"/>
      <c r="H2084" s="18"/>
      <c r="I2084" s="18"/>
      <c r="J2084" s="14"/>
      <c r="K2084" s="18"/>
      <c r="L2084" s="36"/>
      <c r="M2084" s="14"/>
      <c r="N2084" s="36"/>
      <c r="O2084" s="36"/>
      <c r="P2084" s="36"/>
      <c r="Q2084" s="14"/>
      <c r="R2084" s="41"/>
      <c r="S2084" s="36"/>
      <c r="T2084" s="36"/>
      <c r="U2084" s="18"/>
      <c r="V2084" s="36"/>
      <c r="X2084" s="36"/>
    </row>
    <row r="2085" spans="1:24" x14ac:dyDescent="0.25">
      <c r="A2085" s="37"/>
      <c r="B2085" s="71"/>
      <c r="G2085" s="18"/>
      <c r="H2085" s="18"/>
      <c r="I2085" s="18"/>
      <c r="J2085" s="14"/>
      <c r="K2085" s="18"/>
      <c r="L2085" s="36"/>
      <c r="M2085" s="14"/>
      <c r="N2085" s="36"/>
      <c r="O2085" s="36"/>
      <c r="P2085" s="36"/>
      <c r="Q2085" s="14"/>
      <c r="R2085" s="41"/>
      <c r="S2085" s="36"/>
      <c r="T2085" s="36"/>
      <c r="U2085" s="18"/>
      <c r="V2085" s="36"/>
      <c r="X2085" s="36"/>
    </row>
    <row r="2086" spans="1:24" x14ac:dyDescent="0.25">
      <c r="A2086" s="37"/>
      <c r="B2086" s="71"/>
      <c r="G2086" s="18"/>
      <c r="H2086" s="18"/>
      <c r="I2086" s="18"/>
      <c r="J2086" s="14"/>
      <c r="K2086" s="18"/>
      <c r="L2086" s="36"/>
      <c r="M2086" s="14"/>
      <c r="N2086" s="36"/>
      <c r="O2086" s="36"/>
      <c r="P2086" s="36"/>
      <c r="Q2086" s="14"/>
      <c r="R2086" s="41"/>
      <c r="S2086" s="36"/>
      <c r="T2086" s="36"/>
      <c r="U2086" s="18"/>
      <c r="V2086" s="36"/>
      <c r="X2086" s="36"/>
    </row>
    <row r="2087" spans="1:24" x14ac:dyDescent="0.25">
      <c r="A2087" s="37"/>
      <c r="B2087" s="71"/>
      <c r="G2087" s="18"/>
      <c r="H2087" s="18"/>
      <c r="I2087" s="18"/>
      <c r="J2087" s="14"/>
      <c r="K2087" s="18"/>
      <c r="L2087" s="36"/>
      <c r="M2087" s="14"/>
      <c r="N2087" s="36"/>
      <c r="O2087" s="36"/>
      <c r="P2087" s="36"/>
      <c r="Q2087" s="14"/>
      <c r="R2087" s="41"/>
      <c r="S2087" s="36"/>
      <c r="T2087" s="36"/>
      <c r="U2087" s="18"/>
      <c r="V2087" s="36"/>
      <c r="X2087" s="36"/>
    </row>
    <row r="2088" spans="1:24" x14ac:dyDescent="0.25">
      <c r="A2088" s="37"/>
      <c r="B2088" s="71"/>
      <c r="G2088" s="18"/>
      <c r="H2088" s="18"/>
      <c r="I2088" s="18"/>
      <c r="J2088" s="14"/>
      <c r="K2088" s="18"/>
      <c r="L2088" s="36"/>
      <c r="M2088" s="14"/>
      <c r="N2088" s="36"/>
      <c r="O2088" s="36"/>
      <c r="P2088" s="36"/>
      <c r="Q2088" s="14"/>
      <c r="R2088" s="41"/>
      <c r="S2088" s="36"/>
      <c r="T2088" s="36"/>
      <c r="U2088" s="18"/>
      <c r="V2088" s="36"/>
      <c r="X2088" s="36"/>
    </row>
    <row r="2089" spans="1:24" x14ac:dyDescent="0.25">
      <c r="A2089" s="37"/>
      <c r="B2089" s="71"/>
      <c r="G2089" s="18"/>
      <c r="H2089" s="18"/>
      <c r="I2089" s="18"/>
      <c r="J2089" s="14"/>
      <c r="K2089" s="18"/>
      <c r="L2089" s="36"/>
      <c r="M2089" s="14"/>
      <c r="N2089" s="36"/>
      <c r="O2089" s="36"/>
      <c r="P2089" s="36"/>
      <c r="Q2089" s="14"/>
      <c r="R2089" s="41"/>
      <c r="S2089" s="36"/>
      <c r="T2089" s="36"/>
      <c r="U2089" s="18"/>
      <c r="V2089" s="36"/>
      <c r="X2089" s="36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80CC1-8F4C-437F-B35F-7783F9CBFF46}">
  <dimension ref="A1"/>
  <sheetViews>
    <sheetView workbookViewId="0"/>
  </sheetViews>
  <sheetFormatPr defaultRowHeight="15" x14ac:dyDescent="0.25"/>
  <sheetData>
    <row r="1" spans="1:1" x14ac:dyDescent="0.25">
      <c r="A1" t="str">
        <f>_xll.ICEHistory("DBF U26-IEU","Last","D",DATE(2026,7,2)+TIME(12,0,0),,"DP",-1)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5D0A-D45F-4FA4-ADFF-0AC531806E10}">
  <sheetPr codeName="Sheet2">
    <pageSetUpPr autoPageBreaks="0"/>
  </sheetPr>
  <dimension ref="A1:F11"/>
  <sheetViews>
    <sheetView workbookViewId="0">
      <selection activeCell="B2" sqref="B2"/>
    </sheetView>
  </sheetViews>
  <sheetFormatPr defaultRowHeight="15" x14ac:dyDescent="0.25"/>
  <cols>
    <col min="1" max="1" width="6.85546875" style="3" customWidth="1"/>
  </cols>
  <sheetData>
    <row r="1" spans="1:6" x14ac:dyDescent="0.25">
      <c r="A1" s="3" t="s">
        <v>285</v>
      </c>
      <c r="B1" s="1" t="s">
        <v>287</v>
      </c>
      <c r="C1" s="1" t="s">
        <v>116</v>
      </c>
      <c r="D1" s="1" t="s">
        <v>288</v>
      </c>
      <c r="E1" s="1" t="s">
        <v>289</v>
      </c>
      <c r="F1" s="1" t="s">
        <v>290</v>
      </c>
    </row>
    <row r="2" spans="1:6" x14ac:dyDescent="0.25">
      <c r="A2" s="3">
        <f ca="1">YEAR(TODAY()) + 1</f>
        <v>2027</v>
      </c>
      <c r="B2" s="5">
        <f ca="1">IFERROR(AVERAGE(_xll.BDP(B$1 &amp; "Z" &amp; RIGHT($A2 - 1, 1) &amp; B$1 &amp; "Z" &amp; RIGHT($A2, 1) &amp; " " &amp; "Comdty", "BID"), _xll.BDP(B$1 &amp; "Z" &amp; RIGHT($A2 - 1, 1) &amp; B$1 &amp; "Z" &amp; RIGHT($A2, 1) &amp; " " &amp; "Comdty", "ASK")), NA())</f>
        <v>13.54</v>
      </c>
      <c r="C2" s="5">
        <f ca="1">IFERROR(AVERAGE(_xll.BDP(C$1 &amp; "Z" &amp; RIGHT($A2 - 1, 1) &amp; C$1 &amp; "Z" &amp; RIGHT($A2, 1) &amp; " " &amp; "Comdty", "BID"), _xll.BDP(C$1 &amp; "Z" &amp; RIGHT($A2 - 1, 1) &amp; C$1 &amp; "Z" &amp; RIGHT($A2, 1) &amp; " " &amp; "Comdty", "ASK")), NA())</f>
        <v>14.7</v>
      </c>
      <c r="D2" s="5">
        <f ca="1">IFERROR(AVERAGE(_xll.BDP(D$1 &amp; "Z" &amp; RIGHT($A2 - 1, 1) &amp; D$1 &amp; "Z" &amp; RIGHT($A2, 1) &amp; " " &amp; "Comdty", "BID"), _xll.BDP(D$1 &amp; "Z" &amp; RIGHT($A2 - 1, 1) &amp; D$1 &amp; "Z" &amp; RIGHT($A2, 1) &amp; " " &amp; "Comdty", "ASK")), NA())</f>
        <v>297.375</v>
      </c>
      <c r="E2" s="5">
        <f ca="1">IFERROR(AVERAGE(_xll.BDP(E$1 &amp; "Z" &amp; RIGHT($A2 - 1, 1) &amp; E$1 &amp; "Z" &amp; RIGHT($A2, 1) &amp; " " &amp; "Comdty", "BID"), _xll.BDP(E$1 &amp; "Z" &amp; RIGHT($A2 - 1, 1) &amp; E$1 &amp; "Z" &amp; RIGHT($A2, 1) &amp; " " &amp; "Comdty", "ASK")), NA())</f>
        <v>101.55000000000001</v>
      </c>
      <c r="F2" s="5">
        <f ca="1">IFERROR(AVERAGE(_xll.BDP(F$1 &amp; "Z" &amp; RIGHT($A2 - 1, 1) &amp; F$1 &amp; "Z" &amp; RIGHT($A2, 1) &amp; " " &amp; "Comdty", "BID"), _xll.BDP(F$1 &amp; "Z" &amp; RIGHT($A2 - 1, 1) &amp; F$1 &amp; "Z" &amp; RIGHT($A2, 1) &amp; " " &amp; "Comdty", "ASK")), NA())</f>
        <v>48.305</v>
      </c>
    </row>
    <row r="3" spans="1:6" x14ac:dyDescent="0.25">
      <c r="A3" s="3">
        <f ca="1">A2+1</f>
        <v>2028</v>
      </c>
      <c r="B3" s="5">
        <f ca="1">IFERROR(AVERAGE(_xll.BDP(B$1 &amp; "Z" &amp; RIGHT($A3 - 1, 1) &amp; B$1 &amp; "Z" &amp; RIGHT($A3, 1) &amp; " " &amp; "Comdty", "BID"), _xll.BDP(B$1 &amp; "Z" &amp; RIGHT($A3 - 1, 1) &amp; B$1 &amp; "Z" &amp; RIGHT($A3, 1) &amp; " " &amp; "Comdty", "ASK")), NA())</f>
        <v>2.9550000000000001</v>
      </c>
      <c r="C3" s="5">
        <f ca="1">IFERROR(AVERAGE(_xll.BDP(C$1 &amp; "Z" &amp; RIGHT($A3 - 1, 1) &amp; C$1 &amp; "Z" &amp; RIGHT($A3, 1) &amp; " " &amp; "Comdty", "BID"), _xll.BDP(C$1 &amp; "Z" &amp; RIGHT($A3 - 1, 1) &amp; C$1 &amp; "Z" &amp; RIGHT($A3, 1) &amp; " " &amp; "Comdty", "ASK")), NA())</f>
        <v>3.3499999999999996</v>
      </c>
      <c r="D3" s="5">
        <f ca="1">IFERROR(AVERAGE(_xll.BDP(D$1 &amp; "Z" &amp; RIGHT($A3 - 1, 1) &amp; D$1 &amp; "Z" &amp; RIGHT($A3, 1) &amp; " " &amp; "Comdty", "BID"), _xll.BDP(D$1 &amp; "Z" &amp; RIGHT($A3 - 1, 1) &amp; D$1 &amp; "Z" &amp; RIGHT($A3, 1) &amp; " " &amp; "Comdty", "ASK")), NA())</f>
        <v>102.25</v>
      </c>
      <c r="E3" s="5">
        <f ca="1">IFERROR(AVERAGE(_xll.BDP(E$1 &amp; "Z" &amp; RIGHT($A3 - 1, 1) &amp; E$1 &amp; "Z" &amp; RIGHT($A3, 1) &amp; " " &amp; "Comdty", "BID"), _xll.BDP(E$1 &amp; "Z" &amp; RIGHT($A3 - 1, 1) &amp; E$1 &amp; "Z" &amp; RIGHT($A3, 1) &amp; " " &amp; "Comdty", "ASK")), NA())</f>
        <v>33.36</v>
      </c>
      <c r="F3" s="5" t="e">
        <f ca="1">IFERROR(AVERAGE(_xll.BDP(F$1 &amp; "Z" &amp; RIGHT($A3 - 1, 1) &amp; F$1 &amp; "Z" &amp; RIGHT($A3, 1) &amp; " " &amp; "Comdty", "BID"), _xll.BDP(F$1 &amp; "Z" &amp; RIGHT($A3 - 1, 1) &amp; F$1 &amp; "Z" &amp; RIGHT($A3, 1) &amp; " " &amp; "Comdty", "ASK")), NA())</f>
        <v>#N/A</v>
      </c>
    </row>
    <row r="4" spans="1:6" x14ac:dyDescent="0.25">
      <c r="A4" s="3">
        <f ca="1">A3+1</f>
        <v>2029</v>
      </c>
      <c r="B4" s="5">
        <f ca="1">IFERROR(AVERAGE(_xll.BDP(B$1 &amp; "Z" &amp; RIGHT($A4 - 1, 1) &amp; B$1 &amp; "Z" &amp; RIGHT($A4, 1) &amp; " " &amp; "Comdty", "BID"), _xll.BDP(B$1 &amp; "Z" &amp; RIGHT($A4 - 1, 1) &amp; B$1 &amp; "Z" &amp; RIGHT($A4, 1) &amp; " " &amp; "Comdty", "ASK")), NA())</f>
        <v>2.105</v>
      </c>
      <c r="C4" s="5">
        <f ca="1">IFERROR(AVERAGE(_xll.BDP(C$1 &amp; "Z" &amp; RIGHT($A4 - 1, 1) &amp; C$1 &amp; "Z" &amp; RIGHT($A4, 1) &amp; " " &amp; "Comdty", "BID"), _xll.BDP(C$1 &amp; "Z" &amp; RIGHT($A4 - 1, 1) &amp; C$1 &amp; "Z" &amp; RIGHT($A4, 1) &amp; " " &amp; "Comdty", "ASK")), NA())</f>
        <v>1.9449999999999998</v>
      </c>
      <c r="D4" s="5">
        <f ca="1">IFERROR(AVERAGE(_xll.BDP(D$1 &amp; "Z" &amp; RIGHT($A4 - 1, 1) &amp; D$1 &amp; "Z" &amp; RIGHT($A4, 1) &amp; " " &amp; "Comdty", "BID"), _xll.BDP(D$1 &amp; "Z" &amp; RIGHT($A4 - 1, 1) &amp; D$1 &amp; "Z" &amp; RIGHT($A4, 1) &amp; " " &amp; "Comdty", "ASK")), NA())</f>
        <v>42.875</v>
      </c>
      <c r="E4" s="5">
        <f ca="1">IFERROR(AVERAGE(_xll.BDP(E$1 &amp; "Z" &amp; RIGHT($A4 - 1, 1) &amp; E$1 &amp; "Z" &amp; RIGHT($A4, 1) &amp; " " &amp; "Comdty", "BID"), _xll.BDP(E$1 &amp; "Z" &amp; RIGHT($A4 - 1, 1) &amp; E$1 &amp; "Z" &amp; RIGHT($A4, 1) &amp; " " &amp; "Comdty", "ASK")), NA())</f>
        <v>11.25</v>
      </c>
      <c r="F4" s="5" t="e">
        <f ca="1">IFERROR(AVERAGE(_xll.BDP(F$1 &amp; "Z" &amp; RIGHT($A4 - 1, 1) &amp; F$1 &amp; "Z" &amp; RIGHT($A4, 1) &amp; " " &amp; "Comdty", "BID"), _xll.BDP(F$1 &amp; "Z" &amp; RIGHT($A4 - 1, 1) &amp; F$1 &amp; "Z" &amp; RIGHT($A4, 1) &amp; " " &amp; "Comdty", "ASK")), NA())</f>
        <v>#N/A</v>
      </c>
    </row>
    <row r="5" spans="1:6" x14ac:dyDescent="0.25">
      <c r="A5" s="3">
        <f ca="1">A4+1</f>
        <v>2030</v>
      </c>
      <c r="B5" s="5">
        <f ca="1">IFERROR(AVERAGE(_xll.BDP(B$1 &amp; "Z" &amp; RIGHT($A5 - 1, 1) &amp; B$1 &amp; "Z" &amp; RIGHT($A5, 1) &amp; " " &amp; "Comdty", "BID"), _xll.BDP(B$1 &amp; "Z" &amp; RIGHT($A5 - 1, 1) &amp; B$1 &amp; "Z" &amp; RIGHT($A5, 1) &amp; " " &amp; "Comdty", "ASK")), NA())</f>
        <v>1.9649999999999999</v>
      </c>
      <c r="C5" s="5">
        <f ca="1">IFERROR(AVERAGE(_xll.BDP(C$1 &amp; "Z" &amp; RIGHT($A5 - 1, 1) &amp; C$1 &amp; "Z" &amp; RIGHT($A5, 1) &amp; " " &amp; "Comdty", "BID"), _xll.BDP(C$1 &amp; "Z" &amp; RIGHT($A5 - 1, 1) &amp; C$1 &amp; "Z" &amp; RIGHT($A5, 1) &amp; " " &amp; "Comdty", "ASK")), NA())</f>
        <v>1.28</v>
      </c>
      <c r="D5" s="5">
        <f ca="1">IFERROR(AVERAGE(_xll.BDP(D$1 &amp; "Z" &amp; RIGHT($A5 - 1, 1) &amp; D$1 &amp; "Z" &amp; RIGHT($A5, 1) &amp; " " &amp; "Comdty", "BID"), _xll.BDP(D$1 &amp; "Z" &amp; RIGHT($A5 - 1, 1) &amp; D$1 &amp; "Z" &amp; RIGHT($A5, 1) &amp; " " &amp; "Comdty", "ASK")), NA())</f>
        <v>11.75</v>
      </c>
      <c r="E5" s="5" t="e">
        <f ca="1">IFERROR(AVERAGE(_xll.BDP(E$1 &amp; "Z" &amp; RIGHT($A5 - 1, 1) &amp; E$1 &amp; "Z" &amp; RIGHT($A5, 1) &amp; " " &amp; "Comdty", "BID"), _xll.BDP(E$1 &amp; "Z" &amp; RIGHT($A5 - 1, 1) &amp; E$1 &amp; "Z" &amp; RIGHT($A5, 1) &amp; " " &amp; "Comdty", "ASK")), NA())</f>
        <v>#N/A</v>
      </c>
      <c r="F5" s="5" t="e">
        <f ca="1">IFERROR(AVERAGE(_xll.BDP(F$1 &amp; "Z" &amp; RIGHT($A5 - 1, 1) &amp; F$1 &amp; "Z" &amp; RIGHT($A5, 1) &amp; " " &amp; "Comdty", "BID"), _xll.BDP(F$1 &amp; "Z" &amp; RIGHT($A5 - 1, 1) &amp; F$1 &amp; "Z" &amp; RIGHT($A5, 1) &amp; " " &amp; "Comdty", "ASK")), NA())</f>
        <v>#N/A</v>
      </c>
    </row>
    <row r="6" spans="1:6" x14ac:dyDescent="0.25">
      <c r="B6" s="5"/>
      <c r="C6" s="5"/>
      <c r="D6" s="5"/>
      <c r="E6" s="5"/>
      <c r="F6" s="5"/>
    </row>
    <row r="7" spans="1:6" x14ac:dyDescent="0.25">
      <c r="A7" s="3" t="s">
        <v>285</v>
      </c>
      <c r="B7" s="34" t="s">
        <v>287</v>
      </c>
      <c r="C7" s="34" t="s">
        <v>116</v>
      </c>
      <c r="D7" s="34" t="s">
        <v>288</v>
      </c>
      <c r="E7" s="34" t="s">
        <v>289</v>
      </c>
      <c r="F7" s="34" t="s">
        <v>290</v>
      </c>
    </row>
    <row r="8" spans="1:6" x14ac:dyDescent="0.25">
      <c r="A8" s="3">
        <f ca="1">$A2</f>
        <v>2027</v>
      </c>
      <c r="B8" s="5">
        <f t="shared" ref="B8:F11" ca="1" si="0">B2/11</f>
        <v>1.2309090909090907</v>
      </c>
      <c r="C8" s="5">
        <f t="shared" ca="1" si="0"/>
        <v>1.3363636363636362</v>
      </c>
      <c r="D8" s="5">
        <f t="shared" ca="1" si="0"/>
        <v>27.03409090909091</v>
      </c>
      <c r="E8" s="5">
        <f t="shared" ca="1" si="0"/>
        <v>9.2318181818181824</v>
      </c>
      <c r="F8" s="5">
        <f t="shared" ca="1" si="0"/>
        <v>4.3913636363636366</v>
      </c>
    </row>
    <row r="9" spans="1:6" x14ac:dyDescent="0.25">
      <c r="A9" s="3">
        <f ca="1">$A3</f>
        <v>2028</v>
      </c>
      <c r="B9" s="5">
        <f t="shared" ca="1" si="0"/>
        <v>0.26863636363636362</v>
      </c>
      <c r="C9" s="5">
        <f t="shared" ca="1" si="0"/>
        <v>0.30454545454545451</v>
      </c>
      <c r="D9" s="5">
        <f t="shared" ca="1" si="0"/>
        <v>9.295454545454545</v>
      </c>
      <c r="E9" s="5">
        <f t="shared" ca="1" si="0"/>
        <v>3.0327272727272727</v>
      </c>
      <c r="F9" s="5" t="e">
        <f t="shared" ca="1" si="0"/>
        <v>#N/A</v>
      </c>
    </row>
    <row r="10" spans="1:6" x14ac:dyDescent="0.25">
      <c r="A10" s="3">
        <f ca="1">$A4</f>
        <v>2029</v>
      </c>
      <c r="B10" s="5">
        <f t="shared" ca="1" si="0"/>
        <v>0.19136363636363637</v>
      </c>
      <c r="C10" s="5">
        <f t="shared" ca="1" si="0"/>
        <v>0.17681818181818179</v>
      </c>
      <c r="D10" s="5">
        <f t="shared" ca="1" si="0"/>
        <v>3.8977272727272729</v>
      </c>
      <c r="E10" s="5">
        <f t="shared" ca="1" si="0"/>
        <v>1.0227272727272727</v>
      </c>
      <c r="F10" s="5" t="e">
        <f t="shared" ca="1" si="0"/>
        <v>#N/A</v>
      </c>
    </row>
    <row r="11" spans="1:6" x14ac:dyDescent="0.25">
      <c r="A11" s="3">
        <f ca="1">$A5</f>
        <v>2030</v>
      </c>
      <c r="B11" s="5">
        <f t="shared" ca="1" si="0"/>
        <v>0.17863636363636362</v>
      </c>
      <c r="C11" s="5">
        <f t="shared" ca="1" si="0"/>
        <v>0.11636363636363636</v>
      </c>
      <c r="D11" s="5">
        <f t="shared" ca="1" si="0"/>
        <v>1.0681818181818181</v>
      </c>
      <c r="E11" s="5" t="e">
        <f t="shared" ca="1" si="0"/>
        <v>#N/A</v>
      </c>
      <c r="F11" s="5" t="e">
        <f t="shared" ca="1" si="0"/>
        <v>#N/A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78B1-6B92-49BD-9313-0419CA48E8A1}">
  <sheetPr codeName="Sheet3">
    <pageSetUpPr autoPageBreaks="0"/>
  </sheetPr>
  <dimension ref="A1:AB121"/>
  <sheetViews>
    <sheetView workbookViewId="0">
      <selection activeCell="M26" sqref="M26"/>
    </sheetView>
  </sheetViews>
  <sheetFormatPr defaultRowHeight="15" x14ac:dyDescent="0.25"/>
  <cols>
    <col min="1" max="2" width="10.42578125" style="3" bestFit="1" customWidth="1"/>
    <col min="3" max="3" width="14.28515625" customWidth="1"/>
    <col min="4" max="4" width="12.42578125" customWidth="1"/>
    <col min="5" max="5" width="16.140625" bestFit="1" customWidth="1"/>
    <col min="6" max="6" width="17" style="13" customWidth="1"/>
    <col min="7" max="7" width="13.42578125" customWidth="1"/>
    <col min="8" max="8" width="11.42578125" customWidth="1"/>
    <col min="9" max="10" width="12.140625" customWidth="1"/>
    <col min="11" max="11" width="12.28515625" customWidth="1"/>
    <col min="12" max="12" width="10.42578125" bestFit="1" customWidth="1"/>
    <col min="13" max="13" width="11.140625" customWidth="1"/>
    <col min="14" max="15" width="13.140625" customWidth="1"/>
    <col min="16" max="17" width="11.42578125" customWidth="1"/>
    <col min="18" max="18" width="13.140625" customWidth="1"/>
    <col min="19" max="19" width="15.42578125" customWidth="1"/>
    <col min="20" max="20" width="48.7109375" customWidth="1"/>
    <col min="21" max="21" width="12.140625" customWidth="1"/>
    <col min="26" max="26" width="9.140625" customWidth="1"/>
  </cols>
  <sheetData>
    <row r="1" spans="1:28" x14ac:dyDescent="0.25">
      <c r="A1" s="2" t="s">
        <v>931</v>
      </c>
      <c r="B1" s="2" t="s">
        <v>773</v>
      </c>
      <c r="E1" s="239" t="s">
        <v>932</v>
      </c>
      <c r="F1" s="240" t="s">
        <v>60</v>
      </c>
      <c r="L1" s="1" t="s">
        <v>281</v>
      </c>
      <c r="M1" s="1" t="s">
        <v>933</v>
      </c>
      <c r="N1" s="1" t="s">
        <v>934</v>
      </c>
      <c r="O1" s="1" t="s">
        <v>935</v>
      </c>
      <c r="P1" s="1" t="s">
        <v>269</v>
      </c>
      <c r="Q1" s="1" t="s">
        <v>936</v>
      </c>
      <c r="S1" s="1" t="s">
        <v>937</v>
      </c>
      <c r="T1" s="1" t="s">
        <v>938</v>
      </c>
      <c r="U1" s="1" t="s">
        <v>939</v>
      </c>
      <c r="V1" s="1" t="s">
        <v>940</v>
      </c>
      <c r="W1" s="1" t="s">
        <v>941</v>
      </c>
      <c r="X1" s="1" t="s">
        <v>942</v>
      </c>
      <c r="Y1" s="1" t="s">
        <v>943</v>
      </c>
      <c r="Z1" s="1" t="s">
        <v>944</v>
      </c>
      <c r="AA1" s="1" t="s">
        <v>945</v>
      </c>
      <c r="AB1" s="1" t="s">
        <v>946</v>
      </c>
    </row>
    <row r="2" spans="1:28" x14ac:dyDescent="0.25">
      <c r="A2" s="3">
        <v>1</v>
      </c>
      <c r="B2" s="3" t="s">
        <v>947</v>
      </c>
      <c r="E2" s="241" t="s">
        <v>948</v>
      </c>
      <c r="F2" s="242">
        <f ca="1">INDEX(Times[], MATCH($E2, Times[City], 0), MATCH("Time", Times[#Headers], 0))</f>
        <v>46267.215217013887</v>
      </c>
      <c r="L2" s="1" t="s">
        <v>287</v>
      </c>
      <c r="M2" s="16">
        <f ca="1">INDEX(Expi[], MATCH(Futs!$A$19, Expi[Date], 0), MATCH(PricingRef[[#This Row],[Fut]], Expi[#Headers], 0))</f>
        <v>46287</v>
      </c>
      <c r="N2" s="17">
        <f>TIME(14, 30, 0)</f>
        <v>0.60416666666666663</v>
      </c>
      <c r="O2" s="17">
        <f>TIME(14, 30, 0)</f>
        <v>0.60416666666666663</v>
      </c>
      <c r="P2">
        <f ca="1">IF(TimeNYC &gt; PricingRef[[#This Row],[Mth exp]] + PricingRef[[#This Row],[Exp time]], 1, 0)</f>
        <v>0</v>
      </c>
      <c r="Q2">
        <f ca="1">IF(MOD(TimeNYC, 1) &gt;= PricingRef[[#This Row],[Settle time]], 1, 0)</f>
        <v>0</v>
      </c>
      <c r="S2" s="1" t="s">
        <v>1303</v>
      </c>
      <c r="T2" t="s">
        <v>441</v>
      </c>
      <c r="U2" t="s">
        <v>890</v>
      </c>
      <c r="V2" s="43"/>
      <c r="W2" s="43"/>
      <c r="X2" s="43"/>
      <c r="Y2" s="43"/>
      <c r="Z2" s="43"/>
      <c r="AA2" s="43"/>
      <c r="AB2" s="5"/>
    </row>
    <row r="3" spans="1:28" x14ac:dyDescent="0.25">
      <c r="A3" s="3">
        <v>2</v>
      </c>
      <c r="B3" s="3" t="s">
        <v>950</v>
      </c>
      <c r="E3" s="241" t="s">
        <v>951</v>
      </c>
      <c r="F3" s="242">
        <f ca="1">INDEX(Times[], MATCH($E3, Times[City], 0), MATCH("Time", Times[#Headers], 0))</f>
        <v>46267.256883680551</v>
      </c>
      <c r="L3" s="1" t="s">
        <v>116</v>
      </c>
      <c r="M3" s="16">
        <f ca="1">INDEX(Expi[], MATCH(Futs!$A$19, Expi[Date], 0), MATCH(PricingRef[[#This Row],[Fut]], Expi[#Headers], 0))</f>
        <v>46295</v>
      </c>
      <c r="N3" s="17">
        <f>TIME(14, 30, 0)</f>
        <v>0.60416666666666663</v>
      </c>
      <c r="O3" s="17">
        <f>TIME(14, 30, 0)</f>
        <v>0.60416666666666663</v>
      </c>
      <c r="P3">
        <f ca="1">IF(TimeNYC &gt; PricingRef[[#This Row],[Mth exp]] + PricingRef[[#This Row],[Exp time]], 1, 0)</f>
        <v>0</v>
      </c>
      <c r="Q3">
        <f ca="1">IF(MOD(TimeNYC, 1) &gt;= PricingRef[[#This Row],[Settle time]], 1, 0)</f>
        <v>0</v>
      </c>
      <c r="S3" s="1" t="s">
        <v>1304</v>
      </c>
      <c r="T3" t="s">
        <v>1308</v>
      </c>
      <c r="U3" t="s">
        <v>1311</v>
      </c>
      <c r="V3" s="43"/>
      <c r="W3" s="43"/>
      <c r="X3" s="43"/>
      <c r="Y3" s="43"/>
      <c r="Z3" s="43"/>
      <c r="AA3" s="43"/>
      <c r="AB3" s="5"/>
    </row>
    <row r="4" spans="1:28" x14ac:dyDescent="0.25">
      <c r="A4" s="3">
        <v>3</v>
      </c>
      <c r="B4" s="3" t="s">
        <v>955</v>
      </c>
      <c r="E4" s="241" t="s">
        <v>956</v>
      </c>
      <c r="F4" s="242">
        <f ca="1">INDEX(Times[], MATCH($E4, Times[City], 0), MATCH("Time", Times[#Headers], 0))</f>
        <v>46267.465217013887</v>
      </c>
      <c r="L4" s="1" t="s">
        <v>288</v>
      </c>
      <c r="M4" s="16">
        <f ca="1">INDEX(Expi[], MATCH(Futs!$A$19, Expi[Date], 0), MATCH(PricingRef[[#This Row],[Fut]], Expi[#Headers], 0))</f>
        <v>46275</v>
      </c>
      <c r="N4" s="17">
        <f>TIME(16, 30, 0)</f>
        <v>0.6875</v>
      </c>
      <c r="O4" s="17">
        <f>TIME(12, 0, 0)</f>
        <v>0.5</v>
      </c>
      <c r="P4">
        <f ca="1">IF(TimeLDN &gt; PricingRef[[#This Row],[Mth exp]] + PricingRef[[#This Row],[Exp time]], 1, 0)</f>
        <v>0</v>
      </c>
      <c r="Q4">
        <f ca="1">IF(MOD(TimeLDN, 1) &gt;= PricingRef[[#This Row],[Settle time]], 1, 0)</f>
        <v>0</v>
      </c>
      <c r="S4" s="1" t="s">
        <v>1247</v>
      </c>
      <c r="T4" t="s">
        <v>1248</v>
      </c>
      <c r="U4" t="s">
        <v>1249</v>
      </c>
      <c r="V4" s="43"/>
      <c r="W4" s="43"/>
      <c r="X4" s="43"/>
      <c r="Y4" s="43"/>
      <c r="Z4" s="43"/>
      <c r="AA4" s="43"/>
      <c r="AB4" s="5"/>
    </row>
    <row r="5" spans="1:28" x14ac:dyDescent="0.25">
      <c r="A5" s="3">
        <v>4</v>
      </c>
      <c r="B5" s="3" t="s">
        <v>960</v>
      </c>
      <c r="E5" s="241" t="s">
        <v>961</v>
      </c>
      <c r="F5" s="242">
        <f ca="1">INDEX(Times[], MATCH($E5, Times[City], 0), MATCH("Time", Times[#Headers], 0))</f>
        <v>46267.590217013887</v>
      </c>
      <c r="L5" s="1" t="s">
        <v>289</v>
      </c>
      <c r="M5" s="16">
        <f ca="1">INDEX(Expi[], MATCH(Futs!$A$19, Expi[Date], 0), MATCH(PricingRef[[#This Row],[Fut]], Expi[#Headers], 0))</f>
        <v>46295</v>
      </c>
      <c r="N5" s="17">
        <f t="shared" ref="N5:O8" si="0">TIME(14, 30, 0)</f>
        <v>0.60416666666666663</v>
      </c>
      <c r="O5" s="17">
        <f t="shared" si="0"/>
        <v>0.60416666666666663</v>
      </c>
      <c r="P5">
        <f ca="1">IF(TimeNYC &gt; PricingRef[[#This Row],[Mth exp]] + PricingRef[[#This Row],[Exp time]], 1, 0)</f>
        <v>0</v>
      </c>
      <c r="Q5">
        <f ca="1">IF(MOD(TimeNYC, 1) &gt;= PricingRef[[#This Row],[Settle time]], 1, 0)</f>
        <v>0</v>
      </c>
      <c r="S5" s="1" t="s">
        <v>352</v>
      </c>
      <c r="T5" t="s">
        <v>205</v>
      </c>
      <c r="U5" t="s">
        <v>949</v>
      </c>
      <c r="V5" s="43">
        <v>1000</v>
      </c>
      <c r="W5" s="43">
        <v>1000</v>
      </c>
      <c r="X5" s="43">
        <v>5000</v>
      </c>
      <c r="Y5" s="43">
        <v>5000</v>
      </c>
      <c r="Z5" s="43">
        <v>2000</v>
      </c>
      <c r="AA5" s="43">
        <v>2000</v>
      </c>
      <c r="AB5" s="5">
        <v>1</v>
      </c>
    </row>
    <row r="6" spans="1:28" x14ac:dyDescent="0.25">
      <c r="A6" s="3">
        <v>5</v>
      </c>
      <c r="B6" s="3" t="s">
        <v>142</v>
      </c>
      <c r="E6" s="241" t="s">
        <v>965</v>
      </c>
      <c r="F6" s="242">
        <f ca="1">INDEX(Times[], MATCH($E6, Times[City], 0), MATCH("Time", Times[#Headers], 0))</f>
        <v>46267.756883680559</v>
      </c>
      <c r="L6" s="1" t="s">
        <v>290</v>
      </c>
      <c r="M6" s="16">
        <f ca="1">INDEX(Expi[], MATCH(Futs!$A$19, Expi[Date], 0), MATCH(PricingRef[[#This Row],[Fut]], Expi[#Headers], 0))</f>
        <v>46295</v>
      </c>
      <c r="N6" s="17">
        <f t="shared" si="0"/>
        <v>0.60416666666666663</v>
      </c>
      <c r="O6" s="17">
        <f t="shared" si="0"/>
        <v>0.60416666666666663</v>
      </c>
      <c r="P6">
        <f ca="1">IF(TimeNYC &gt; PricingRef[[#This Row],[Mth exp]] + PricingRef[[#This Row],[Exp time]], 1, 0)</f>
        <v>0</v>
      </c>
      <c r="Q6">
        <f ca="1">IF(MOD(TimeNYC, 1) &gt;= PricingRef[[#This Row],[Settle time]], 1, 0)</f>
        <v>0</v>
      </c>
      <c r="S6" s="1" t="s">
        <v>952</v>
      </c>
      <c r="T6" t="s">
        <v>953</v>
      </c>
      <c r="U6" t="s">
        <v>954</v>
      </c>
      <c r="V6" s="43"/>
      <c r="W6" s="43"/>
      <c r="X6" s="43"/>
      <c r="Y6" s="43"/>
      <c r="Z6" s="43"/>
      <c r="AA6" s="43"/>
      <c r="AB6" s="5"/>
    </row>
    <row r="7" spans="1:28" x14ac:dyDescent="0.25">
      <c r="A7" s="3">
        <v>6</v>
      </c>
      <c r="B7" s="3" t="s">
        <v>969</v>
      </c>
      <c r="L7" s="1" t="s">
        <v>291</v>
      </c>
      <c r="M7" s="16">
        <f ca="1">INDEX(Expi[], MATCH(Futs!$A$19, Expi[Date], 0), MATCH(PricingRef[[#This Row],[Fut]], Expi[#Headers], 0))</f>
        <v>46295</v>
      </c>
      <c r="N7" s="17">
        <f t="shared" si="0"/>
        <v>0.60416666666666663</v>
      </c>
      <c r="O7" s="17">
        <f t="shared" si="0"/>
        <v>0.60416666666666663</v>
      </c>
      <c r="P7">
        <f ca="1">IF(MOD(TimeNYC, 1) &gt;= PricingRef[[#This Row],[Exp time]], 1, 0)</f>
        <v>0</v>
      </c>
      <c r="Q7">
        <f ca="1">IF(MOD(TimeNYC, 1) &gt;= PricingRef[[#This Row],[Settle time]], 1, 0)</f>
        <v>0</v>
      </c>
      <c r="S7" s="1" t="s">
        <v>957</v>
      </c>
      <c r="T7" t="s">
        <v>958</v>
      </c>
      <c r="U7" t="s">
        <v>959</v>
      </c>
      <c r="V7" s="43"/>
      <c r="W7" s="43"/>
      <c r="X7" s="43"/>
      <c r="Y7" s="43"/>
      <c r="Z7" s="43"/>
      <c r="AA7" s="43"/>
      <c r="AB7" s="5"/>
    </row>
    <row r="8" spans="1:28" x14ac:dyDescent="0.25">
      <c r="A8" s="3">
        <v>7</v>
      </c>
      <c r="B8" s="3" t="s">
        <v>593</v>
      </c>
      <c r="F8" s="30"/>
      <c r="L8" s="1" t="s">
        <v>292</v>
      </c>
      <c r="M8" s="16">
        <f ca="1">INDEX(Expi[], MATCH(Futs!$A$19, Expi[Date], 0), MATCH(PricingRef[[#This Row],[Fut]], Expi[#Headers], 0))</f>
        <v>46295</v>
      </c>
      <c r="N8" s="17">
        <f t="shared" si="0"/>
        <v>0.60416666666666663</v>
      </c>
      <c r="O8" s="17">
        <f t="shared" si="0"/>
        <v>0.60416666666666663</v>
      </c>
      <c r="P8">
        <f ca="1">IF(MOD(TimeNYC, 1) &gt;= PricingRef[[#This Row],[Exp time]], 1, 0)</f>
        <v>0</v>
      </c>
      <c r="Q8">
        <f ca="1">IF(MOD(TimeNYC, 1) &gt;= PricingRef[[#This Row],[Settle time]], 1, 0)</f>
        <v>0</v>
      </c>
      <c r="S8" s="1" t="s">
        <v>962</v>
      </c>
      <c r="T8" t="s">
        <v>963</v>
      </c>
      <c r="U8" t="s">
        <v>964</v>
      </c>
      <c r="V8" s="43"/>
      <c r="W8" s="43"/>
      <c r="X8" s="43"/>
      <c r="Y8" s="43"/>
      <c r="Z8" s="43"/>
      <c r="AA8" s="43"/>
      <c r="AB8" s="5"/>
    </row>
    <row r="9" spans="1:28" x14ac:dyDescent="0.25">
      <c r="A9" s="3">
        <v>8</v>
      </c>
      <c r="B9" s="3" t="s">
        <v>976</v>
      </c>
      <c r="E9" s="1"/>
      <c r="L9" s="1" t="s">
        <v>293</v>
      </c>
      <c r="M9" s="16">
        <f ca="1">INDEX(Expi[], MATCH(Futs!$A$19, Expi[Date], 0), MATCH(PricingRef[[#This Row],[Fut]], Expi[#Headers], 0))</f>
        <v>46295</v>
      </c>
      <c r="N9" s="17">
        <f>TIME(15, 0, 0)</f>
        <v>0.625</v>
      </c>
      <c r="O9" s="17">
        <f>TIME(15, 0, 0)</f>
        <v>0.625</v>
      </c>
      <c r="P9">
        <f ca="1">IF(TimeSGP &gt; PricingRef[[#This Row],[Mth exp]] + PricingRef[[#This Row],[Exp time]], 1, 0)</f>
        <v>0</v>
      </c>
      <c r="Q9">
        <f ca="1">IF(MOD(TimeSGP, 1) &gt;= PricingRef[[#This Row],[Settle time]], 1, 0)</f>
        <v>1</v>
      </c>
      <c r="S9" s="1" t="s">
        <v>966</v>
      </c>
      <c r="T9" t="s">
        <v>967</v>
      </c>
      <c r="U9" t="s">
        <v>968</v>
      </c>
      <c r="V9" s="43"/>
      <c r="W9" s="43"/>
      <c r="X9" s="43"/>
      <c r="Y9" s="43"/>
      <c r="Z9" s="43"/>
      <c r="AA9" s="43"/>
      <c r="AB9" s="5"/>
    </row>
    <row r="10" spans="1:28" x14ac:dyDescent="0.25">
      <c r="A10" s="3">
        <v>9</v>
      </c>
      <c r="B10" s="3" t="s">
        <v>978</v>
      </c>
      <c r="S10" s="1" t="s">
        <v>1256</v>
      </c>
      <c r="T10" t="s">
        <v>1257</v>
      </c>
      <c r="U10" t="s">
        <v>1258</v>
      </c>
      <c r="V10" s="43"/>
      <c r="W10" s="43"/>
      <c r="X10" s="43"/>
      <c r="Y10" s="43"/>
      <c r="Z10" s="43"/>
      <c r="AA10" s="43"/>
      <c r="AB10" s="5"/>
    </row>
    <row r="11" spans="1:28" x14ac:dyDescent="0.25">
      <c r="A11" s="3">
        <v>10</v>
      </c>
      <c r="B11" s="3" t="s">
        <v>982</v>
      </c>
      <c r="E11" t="s">
        <v>932</v>
      </c>
      <c r="F11" s="13" t="s">
        <v>60</v>
      </c>
      <c r="G11" t="s">
        <v>983</v>
      </c>
      <c r="H11" t="s">
        <v>984</v>
      </c>
      <c r="I11" t="s">
        <v>985</v>
      </c>
      <c r="J11" t="s">
        <v>986</v>
      </c>
      <c r="S11" s="1" t="s">
        <v>1259</v>
      </c>
      <c r="T11" t="s">
        <v>1260</v>
      </c>
      <c r="U11" t="s">
        <v>1261</v>
      </c>
      <c r="V11" s="43"/>
      <c r="W11" s="43"/>
      <c r="X11" s="43"/>
      <c r="Y11" s="43"/>
      <c r="Z11" s="43"/>
      <c r="AA11" s="43"/>
      <c r="AB11" s="5"/>
    </row>
    <row r="12" spans="1:28" x14ac:dyDescent="0.25">
      <c r="A12" s="3">
        <v>11</v>
      </c>
      <c r="B12" s="3" t="s">
        <v>990</v>
      </c>
      <c r="E12" t="s">
        <v>948</v>
      </c>
      <c r="F12" s="14">
        <f ca="1">NOW() - (Diagnostics!$B$2/24) + ($G12/24) + ($H12/24)</f>
        <v>46267.215217013887</v>
      </c>
      <c r="G12">
        <v>-6</v>
      </c>
      <c r="H12">
        <f ca="1">IF(AND(TODAY() &gt;= Times[[#This Row],[DST Start]], TODAY() &lt;= Times[[#This Row],[DST End]]), 1, 0)</f>
        <v>1</v>
      </c>
      <c r="I12" s="12">
        <v>46089</v>
      </c>
      <c r="J12" s="12">
        <f ca="1">DATE(YEAR(TODAY()), 11, 1) + CHOOSE(WEEKDAY(DATE(YEAR(TODAY()), 11, 1)), 0, 6, 5, 4, 3, 2, 1)</f>
        <v>46327</v>
      </c>
      <c r="S12" s="1" t="s">
        <v>1262</v>
      </c>
      <c r="T12" t="s">
        <v>1263</v>
      </c>
      <c r="U12" t="s">
        <v>1264</v>
      </c>
      <c r="V12" s="43"/>
      <c r="W12" s="43"/>
      <c r="X12" s="43"/>
      <c r="Y12" s="43"/>
      <c r="Z12" s="43"/>
      <c r="AA12" s="43"/>
      <c r="AB12" s="5"/>
    </row>
    <row r="13" spans="1:28" x14ac:dyDescent="0.25">
      <c r="A13" s="3">
        <v>12</v>
      </c>
      <c r="B13" s="3" t="s">
        <v>994</v>
      </c>
      <c r="E13" t="s">
        <v>951</v>
      </c>
      <c r="F13" s="14">
        <f ca="1">NOW() - (Diagnostics!$B$2/24) + ($G13/24) + ($H13/24)</f>
        <v>46267.256883680551</v>
      </c>
      <c r="G13">
        <v>-5</v>
      </c>
      <c r="H13">
        <f ca="1">IF(AND(TODAY() &gt;= Times[[#This Row],[DST Start]], TODAY() &lt;= Times[[#This Row],[DST End]]), 1, 0)</f>
        <v>1</v>
      </c>
      <c r="I13" s="12">
        <v>46089</v>
      </c>
      <c r="J13" s="12">
        <f ca="1">DATE(YEAR(TODAY()), 11, 1) + CHOOSE(WEEKDAY(DATE(YEAR(TODAY()), 11, 1)), 0, 6, 5, 4, 3, 2, 1)</f>
        <v>46327</v>
      </c>
      <c r="S13" s="1" t="s">
        <v>970</v>
      </c>
      <c r="T13" t="s">
        <v>971</v>
      </c>
      <c r="U13" t="s">
        <v>972</v>
      </c>
      <c r="V13" s="43"/>
      <c r="W13" s="43"/>
      <c r="X13" s="43"/>
      <c r="Y13" s="43"/>
      <c r="Z13" s="43"/>
      <c r="AA13" s="43"/>
      <c r="AB13" s="5"/>
    </row>
    <row r="14" spans="1:28" x14ac:dyDescent="0.25">
      <c r="E14" t="s">
        <v>956</v>
      </c>
      <c r="F14" s="14">
        <f ca="1">NOW() - (Diagnostics!$B$2/24) + ($G14/24) + ($H14/24)</f>
        <v>46267.465217013887</v>
      </c>
      <c r="G14">
        <v>0</v>
      </c>
      <c r="H14">
        <f ca="1">IF(AND(TODAY() &gt;= Times[[#This Row],[DST Start]], TODAY() &lt;= Times[[#This Row],[DST End]]), 1, 0)</f>
        <v>1</v>
      </c>
      <c r="I14" s="12">
        <f ca="1">DATE(YEAR(TODAY()), 3, 31) - WEEKDAY(DATE(YEAR(TODAY()), 3, 31), 2)</f>
        <v>46110</v>
      </c>
      <c r="J14" s="12">
        <f ca="1">DATE(YEAR(TODAY()), 10, 31) - WEEKDAY(DATE(YEAR(TODAY()), 10, 31), 2)</f>
        <v>46320</v>
      </c>
      <c r="S14" s="1" t="s">
        <v>973</v>
      </c>
      <c r="T14" t="s">
        <v>974</v>
      </c>
      <c r="U14" t="s">
        <v>975</v>
      </c>
      <c r="V14" s="43"/>
      <c r="W14" s="43"/>
      <c r="X14" s="43"/>
      <c r="Y14" s="43"/>
      <c r="Z14" s="43"/>
      <c r="AA14" s="43"/>
      <c r="AB14" s="5"/>
    </row>
    <row r="15" spans="1:28" x14ac:dyDescent="0.25">
      <c r="E15" t="s">
        <v>961</v>
      </c>
      <c r="F15" s="14">
        <f ca="1">NOW() - (Diagnostics!$B$2/24) + ($G15/24) + ($H15/24)</f>
        <v>46267.590217013887</v>
      </c>
      <c r="G15">
        <v>4</v>
      </c>
      <c r="H15">
        <v>0</v>
      </c>
      <c r="S15" s="1" t="s">
        <v>888</v>
      </c>
      <c r="T15" t="s">
        <v>217</v>
      </c>
      <c r="U15" t="s">
        <v>977</v>
      </c>
      <c r="V15" s="43"/>
      <c r="W15" s="43"/>
      <c r="X15" s="43"/>
      <c r="Y15" s="43"/>
      <c r="Z15" s="43"/>
      <c r="AA15" s="43"/>
      <c r="AB15" s="5"/>
    </row>
    <row r="16" spans="1:28" x14ac:dyDescent="0.25">
      <c r="E16" t="s">
        <v>965</v>
      </c>
      <c r="F16" s="14">
        <f ca="1">NOW() - (Diagnostics!$B$2/24) + ($G16/24) + ($H16/24)</f>
        <v>46267.756883680559</v>
      </c>
      <c r="G16">
        <v>8</v>
      </c>
      <c r="H16">
        <v>0</v>
      </c>
      <c r="S16" s="1" t="s">
        <v>979</v>
      </c>
      <c r="T16" t="s">
        <v>980</v>
      </c>
      <c r="U16" t="s">
        <v>981</v>
      </c>
      <c r="V16" s="43"/>
      <c r="W16" s="43"/>
      <c r="X16" s="43"/>
      <c r="Y16" s="43"/>
      <c r="Z16" s="43"/>
      <c r="AA16" s="43"/>
      <c r="AB16" s="5"/>
    </row>
    <row r="17" spans="1:28" x14ac:dyDescent="0.25">
      <c r="F17" s="14"/>
      <c r="I17" s="12"/>
      <c r="J17" s="12"/>
      <c r="S17" s="1" t="s">
        <v>987</v>
      </c>
      <c r="T17" t="s">
        <v>988</v>
      </c>
      <c r="U17" t="s">
        <v>989</v>
      </c>
      <c r="V17" s="43"/>
      <c r="W17" s="43"/>
      <c r="X17" s="43"/>
      <c r="Y17" s="43"/>
      <c r="Z17" s="43"/>
      <c r="AA17" s="43"/>
      <c r="AB17" s="5"/>
    </row>
    <row r="18" spans="1:28" x14ac:dyDescent="0.25">
      <c r="S18" s="1" t="s">
        <v>991</v>
      </c>
      <c r="T18" t="s">
        <v>992</v>
      </c>
      <c r="U18" t="s">
        <v>993</v>
      </c>
      <c r="V18" s="43"/>
      <c r="W18" s="43"/>
      <c r="X18" s="43"/>
      <c r="Y18" s="43"/>
      <c r="Z18" s="43"/>
      <c r="AA18" s="43"/>
      <c r="AB18" s="5"/>
    </row>
    <row r="19" spans="1:28" x14ac:dyDescent="0.25">
      <c r="S19" s="1" t="s">
        <v>351</v>
      </c>
      <c r="T19" t="s">
        <v>211</v>
      </c>
      <c r="U19" t="s">
        <v>995</v>
      </c>
      <c r="V19" s="43">
        <v>1000</v>
      </c>
      <c r="W19" s="43">
        <v>1000</v>
      </c>
      <c r="X19" s="43">
        <v>2500</v>
      </c>
      <c r="Y19" s="43">
        <v>2500</v>
      </c>
      <c r="Z19" s="43">
        <v>5000</v>
      </c>
      <c r="AA19" s="43">
        <v>5000</v>
      </c>
      <c r="AB19" s="5">
        <v>1</v>
      </c>
    </row>
    <row r="20" spans="1:28" x14ac:dyDescent="0.25">
      <c r="S20" s="1" t="s">
        <v>1273</v>
      </c>
      <c r="T20" t="s">
        <v>1274</v>
      </c>
      <c r="U20" t="s">
        <v>1275</v>
      </c>
      <c r="V20" s="43"/>
      <c r="W20" s="43"/>
      <c r="X20" s="43"/>
      <c r="Y20" s="43"/>
      <c r="Z20" s="43"/>
      <c r="AA20" s="43"/>
      <c r="AB20" s="5"/>
    </row>
    <row r="21" spans="1:28" x14ac:dyDescent="0.25">
      <c r="A21" s="2" t="s">
        <v>234</v>
      </c>
      <c r="B21" s="19" t="s">
        <v>116</v>
      </c>
      <c r="C21" s="19" t="s">
        <v>287</v>
      </c>
      <c r="D21" s="19" t="s">
        <v>288</v>
      </c>
      <c r="E21" s="19" t="s">
        <v>289</v>
      </c>
      <c r="F21" s="19" t="s">
        <v>290</v>
      </c>
      <c r="G21" s="1" t="s">
        <v>291</v>
      </c>
      <c r="H21" s="1" t="s">
        <v>292</v>
      </c>
      <c r="I21" s="1" t="s">
        <v>293</v>
      </c>
      <c r="M21" s="3" t="s">
        <v>223</v>
      </c>
      <c r="N21" s="3" t="s">
        <v>1015</v>
      </c>
      <c r="O21" t="s">
        <v>1016</v>
      </c>
      <c r="S21" s="1" t="s">
        <v>853</v>
      </c>
      <c r="T21" t="s">
        <v>208</v>
      </c>
      <c r="U21" t="s">
        <v>996</v>
      </c>
      <c r="V21" s="43">
        <v>1000</v>
      </c>
      <c r="W21" s="43">
        <v>1000</v>
      </c>
      <c r="X21" s="43">
        <v>5000</v>
      </c>
      <c r="Y21" s="43">
        <v>5000</v>
      </c>
      <c r="Z21" s="43">
        <v>2000</v>
      </c>
      <c r="AA21" s="43">
        <v>2000</v>
      </c>
      <c r="AB21" s="5">
        <v>1</v>
      </c>
    </row>
    <row r="22" spans="1:28" x14ac:dyDescent="0.25">
      <c r="A22" s="4">
        <v>45717</v>
      </c>
      <c r="B22" s="20">
        <v>45747</v>
      </c>
      <c r="C22" s="21"/>
      <c r="D22" s="21"/>
      <c r="E22" s="21"/>
      <c r="F22" s="21"/>
      <c r="G22" s="20">
        <v>45747</v>
      </c>
      <c r="H22" s="20">
        <v>45747</v>
      </c>
      <c r="I22" s="21"/>
      <c r="M22" s="11">
        <v>45765</v>
      </c>
      <c r="N22" s="11">
        <v>45765</v>
      </c>
      <c r="O22" s="11"/>
      <c r="S22" s="1" t="s">
        <v>997</v>
      </c>
      <c r="T22" t="s">
        <v>998</v>
      </c>
      <c r="U22" t="s">
        <v>999</v>
      </c>
      <c r="V22" s="43"/>
      <c r="W22" s="43"/>
      <c r="X22" s="43"/>
      <c r="Y22" s="43"/>
      <c r="Z22" s="43"/>
      <c r="AA22" s="43"/>
      <c r="AB22" s="5"/>
    </row>
    <row r="23" spans="1:28" x14ac:dyDescent="0.25">
      <c r="A23" s="4">
        <v>45748</v>
      </c>
      <c r="B23" s="20">
        <v>45777</v>
      </c>
      <c r="C23" s="20">
        <v>45769</v>
      </c>
      <c r="D23" s="21"/>
      <c r="E23" s="20">
        <v>45777</v>
      </c>
      <c r="F23" s="20">
        <v>45777</v>
      </c>
      <c r="G23" s="20">
        <v>45777</v>
      </c>
      <c r="H23" s="20">
        <v>45777</v>
      </c>
      <c r="I23" s="21"/>
      <c r="M23" s="11">
        <v>46016</v>
      </c>
      <c r="N23" s="11">
        <v>46016</v>
      </c>
      <c r="O23" s="11"/>
      <c r="S23" s="1" t="s">
        <v>1000</v>
      </c>
      <c r="T23" t="s">
        <v>1001</v>
      </c>
      <c r="U23" t="s">
        <v>1002</v>
      </c>
      <c r="V23" s="43"/>
      <c r="W23" s="43"/>
      <c r="X23" s="43"/>
      <c r="Y23" s="43"/>
      <c r="Z23" s="43"/>
      <c r="AA23" s="43"/>
      <c r="AB23" s="5"/>
    </row>
    <row r="24" spans="1:28" x14ac:dyDescent="0.25">
      <c r="A24" s="4">
        <v>45778</v>
      </c>
      <c r="B24" s="20">
        <v>45807</v>
      </c>
      <c r="C24" s="20">
        <v>45797</v>
      </c>
      <c r="D24" s="20">
        <v>45789</v>
      </c>
      <c r="E24" s="20">
        <v>45807</v>
      </c>
      <c r="F24" s="20">
        <v>45807</v>
      </c>
      <c r="G24" s="20">
        <v>45807</v>
      </c>
      <c r="H24" s="20">
        <v>45807</v>
      </c>
      <c r="I24" s="21"/>
      <c r="M24" s="11">
        <v>46023</v>
      </c>
      <c r="N24" s="11">
        <v>46023</v>
      </c>
      <c r="O24" s="11"/>
      <c r="S24" s="1" t="s">
        <v>1003</v>
      </c>
      <c r="T24" t="s">
        <v>1004</v>
      </c>
      <c r="U24" t="s">
        <v>1005</v>
      </c>
      <c r="V24" s="43"/>
      <c r="W24" s="43"/>
      <c r="X24" s="43"/>
      <c r="Y24" s="43"/>
      <c r="Z24" s="43"/>
      <c r="AA24" s="43"/>
      <c r="AB24" s="5"/>
    </row>
    <row r="25" spans="1:28" x14ac:dyDescent="0.25">
      <c r="A25" s="4">
        <v>45809</v>
      </c>
      <c r="B25" s="20">
        <v>45838</v>
      </c>
      <c r="C25" s="20">
        <v>45828</v>
      </c>
      <c r="D25" s="20">
        <v>45820</v>
      </c>
      <c r="E25" s="20">
        <v>45838</v>
      </c>
      <c r="F25" s="20">
        <v>45838</v>
      </c>
      <c r="G25" s="20">
        <v>45838</v>
      </c>
      <c r="H25" s="20">
        <v>45838</v>
      </c>
      <c r="I25" s="21"/>
      <c r="M25" s="11">
        <v>46381</v>
      </c>
      <c r="N25" s="11">
        <v>46381</v>
      </c>
      <c r="O25" s="11"/>
      <c r="S25" s="1" t="s">
        <v>1006</v>
      </c>
      <c r="T25" t="s">
        <v>1007</v>
      </c>
      <c r="U25" t="s">
        <v>1008</v>
      </c>
      <c r="V25" s="43">
        <v>500</v>
      </c>
      <c r="W25" s="43">
        <v>500</v>
      </c>
      <c r="X25" s="43">
        <v>1500</v>
      </c>
      <c r="Y25" s="43">
        <v>1500</v>
      </c>
      <c r="Z25" s="43">
        <v>5000</v>
      </c>
      <c r="AA25" s="43">
        <v>5000</v>
      </c>
      <c r="AB25" s="5"/>
    </row>
    <row r="26" spans="1:28" x14ac:dyDescent="0.25">
      <c r="A26" s="4">
        <v>45839</v>
      </c>
      <c r="B26" s="20">
        <v>45869</v>
      </c>
      <c r="C26" s="20">
        <v>45860</v>
      </c>
      <c r="D26" s="20">
        <v>45848</v>
      </c>
      <c r="E26" s="20">
        <v>45869</v>
      </c>
      <c r="F26" s="20">
        <v>45869</v>
      </c>
      <c r="G26" s="20">
        <v>45869</v>
      </c>
      <c r="H26" s="20">
        <v>45869</v>
      </c>
      <c r="I26" s="21"/>
      <c r="M26" s="11">
        <v>46388</v>
      </c>
      <c r="N26" s="11">
        <v>46388</v>
      </c>
      <c r="O26" s="11"/>
      <c r="S26" s="1" t="s">
        <v>1009</v>
      </c>
      <c r="T26" t="s">
        <v>1010</v>
      </c>
      <c r="U26" t="s">
        <v>1011</v>
      </c>
      <c r="V26" s="43"/>
      <c r="W26" s="43"/>
      <c r="X26" s="43"/>
      <c r="Y26" s="43"/>
      <c r="Z26" s="43"/>
      <c r="AA26" s="43"/>
      <c r="AB26" s="5"/>
    </row>
    <row r="27" spans="1:28" x14ac:dyDescent="0.25">
      <c r="A27" s="4">
        <v>45870</v>
      </c>
      <c r="B27" s="20">
        <v>45898</v>
      </c>
      <c r="C27" s="20">
        <v>45889</v>
      </c>
      <c r="D27" s="20">
        <v>45881</v>
      </c>
      <c r="E27" s="20">
        <v>45898</v>
      </c>
      <c r="F27" s="20">
        <v>45898</v>
      </c>
      <c r="G27" s="20">
        <v>45898</v>
      </c>
      <c r="H27" s="20">
        <v>45898</v>
      </c>
      <c r="I27" s="21"/>
      <c r="S27" s="1" t="s">
        <v>1012</v>
      </c>
      <c r="T27" t="s">
        <v>1013</v>
      </c>
      <c r="U27" t="s">
        <v>1014</v>
      </c>
      <c r="V27" s="43">
        <v>500</v>
      </c>
      <c r="W27" s="43">
        <v>500</v>
      </c>
      <c r="X27" s="43">
        <v>1500</v>
      </c>
      <c r="Y27" s="43">
        <v>1500</v>
      </c>
      <c r="Z27" s="43">
        <v>5000</v>
      </c>
      <c r="AA27" s="43">
        <v>5000</v>
      </c>
      <c r="AB27" s="5"/>
    </row>
    <row r="28" spans="1:28" x14ac:dyDescent="0.25">
      <c r="A28" s="4">
        <v>45901</v>
      </c>
      <c r="B28" s="20">
        <v>45930</v>
      </c>
      <c r="C28" s="20">
        <v>45922</v>
      </c>
      <c r="D28" s="20">
        <v>45911</v>
      </c>
      <c r="E28" s="20">
        <v>45930</v>
      </c>
      <c r="F28" s="20">
        <v>45930</v>
      </c>
      <c r="G28" s="20">
        <v>45930</v>
      </c>
      <c r="H28" s="20">
        <v>45930</v>
      </c>
      <c r="I28" s="21"/>
      <c r="S28" s="1" t="s">
        <v>1017</v>
      </c>
      <c r="T28" t="s">
        <v>1018</v>
      </c>
      <c r="U28" t="s">
        <v>1019</v>
      </c>
      <c r="V28" s="43"/>
      <c r="W28" s="43"/>
      <c r="X28" s="43"/>
      <c r="Y28" s="43"/>
      <c r="Z28" s="43"/>
      <c r="AA28" s="43"/>
      <c r="AB28" s="5"/>
    </row>
    <row r="29" spans="1:28" x14ac:dyDescent="0.25">
      <c r="A29" s="4">
        <v>45931</v>
      </c>
      <c r="B29" s="20">
        <v>45961</v>
      </c>
      <c r="C29" s="20">
        <v>45951</v>
      </c>
      <c r="D29" s="20">
        <v>45940</v>
      </c>
      <c r="E29" s="20">
        <v>45961</v>
      </c>
      <c r="F29" s="20">
        <v>45961</v>
      </c>
      <c r="G29" s="20">
        <v>45961</v>
      </c>
      <c r="H29" s="20">
        <v>45961</v>
      </c>
      <c r="I29" s="21"/>
      <c r="S29" s="1" t="s">
        <v>1020</v>
      </c>
      <c r="T29" t="s">
        <v>1021</v>
      </c>
      <c r="U29" t="s">
        <v>1022</v>
      </c>
      <c r="V29" s="43"/>
      <c r="W29" s="43"/>
      <c r="X29" s="43"/>
      <c r="Y29" s="43"/>
      <c r="Z29" s="43"/>
      <c r="AA29" s="43"/>
      <c r="AB29" s="5"/>
    </row>
    <row r="30" spans="1:28" x14ac:dyDescent="0.25">
      <c r="A30" s="4">
        <v>45962</v>
      </c>
      <c r="B30" s="20">
        <v>45989</v>
      </c>
      <c r="C30" s="20">
        <v>45981</v>
      </c>
      <c r="D30" s="20">
        <v>45973</v>
      </c>
      <c r="E30" s="20">
        <v>45989</v>
      </c>
      <c r="F30" s="20">
        <v>45989</v>
      </c>
      <c r="G30" s="20">
        <v>45989</v>
      </c>
      <c r="H30" s="20">
        <v>45989</v>
      </c>
      <c r="I30" s="21"/>
      <c r="S30" s="1" t="s">
        <v>1023</v>
      </c>
      <c r="T30" t="s">
        <v>1024</v>
      </c>
      <c r="U30" t="s">
        <v>1025</v>
      </c>
      <c r="V30" s="43"/>
      <c r="W30" s="43"/>
      <c r="X30" s="43"/>
      <c r="Y30" s="43"/>
      <c r="Z30" s="43"/>
      <c r="AA30" s="43"/>
      <c r="AB30" s="5"/>
    </row>
    <row r="31" spans="1:28" x14ac:dyDescent="0.25">
      <c r="A31" s="4">
        <v>45992</v>
      </c>
      <c r="B31" s="20">
        <v>46021</v>
      </c>
      <c r="C31" s="20">
        <v>46010</v>
      </c>
      <c r="D31" s="20">
        <v>46002</v>
      </c>
      <c r="E31" s="20">
        <v>46022</v>
      </c>
      <c r="F31" s="20">
        <v>46022</v>
      </c>
      <c r="G31" s="20">
        <v>46021</v>
      </c>
      <c r="H31" s="20">
        <v>46022</v>
      </c>
      <c r="I31" s="20">
        <v>46022</v>
      </c>
      <c r="S31" s="1" t="s">
        <v>831</v>
      </c>
      <c r="T31" t="s">
        <v>230</v>
      </c>
      <c r="U31" t="s">
        <v>1026</v>
      </c>
      <c r="V31" s="43">
        <v>500</v>
      </c>
      <c r="W31" s="43">
        <v>500</v>
      </c>
      <c r="X31" s="43">
        <v>2500</v>
      </c>
      <c r="Y31" s="43">
        <v>2500</v>
      </c>
      <c r="Z31" s="43">
        <v>1250</v>
      </c>
      <c r="AA31" s="43">
        <v>1250</v>
      </c>
      <c r="AB31" s="5"/>
    </row>
    <row r="32" spans="1:28" x14ac:dyDescent="0.25">
      <c r="A32" s="4">
        <v>46023</v>
      </c>
      <c r="B32" s="20">
        <v>46052</v>
      </c>
      <c r="C32" s="20">
        <v>46042</v>
      </c>
      <c r="D32" s="20">
        <v>46034</v>
      </c>
      <c r="E32" s="20">
        <v>46052</v>
      </c>
      <c r="F32" s="20">
        <v>46052</v>
      </c>
      <c r="G32" s="20">
        <v>46052</v>
      </c>
      <c r="H32" s="20">
        <v>46052</v>
      </c>
      <c r="I32" s="20">
        <v>46052</v>
      </c>
      <c r="S32" s="1" t="s">
        <v>1027</v>
      </c>
      <c r="T32" t="s">
        <v>1028</v>
      </c>
      <c r="U32" t="s">
        <v>1029</v>
      </c>
      <c r="V32" s="43"/>
      <c r="W32" s="43"/>
      <c r="X32" s="43"/>
      <c r="Y32" s="43"/>
      <c r="Z32" s="43"/>
      <c r="AA32" s="43"/>
      <c r="AB32" s="5"/>
    </row>
    <row r="33" spans="1:28" x14ac:dyDescent="0.25">
      <c r="A33" s="4">
        <v>46054</v>
      </c>
      <c r="B33" s="20">
        <v>46080</v>
      </c>
      <c r="C33" s="20">
        <v>46073</v>
      </c>
      <c r="D33" s="20">
        <v>46065</v>
      </c>
      <c r="E33" s="20">
        <v>46080</v>
      </c>
      <c r="F33" s="20">
        <v>46080</v>
      </c>
      <c r="G33" s="20">
        <v>46080</v>
      </c>
      <c r="H33" s="20">
        <v>46080</v>
      </c>
      <c r="I33" s="20">
        <v>46080</v>
      </c>
      <c r="S33" s="1" t="s">
        <v>1030</v>
      </c>
      <c r="T33" t="s">
        <v>1031</v>
      </c>
      <c r="U33" t="s">
        <v>1032</v>
      </c>
      <c r="V33" s="43"/>
      <c r="W33" s="43"/>
      <c r="X33" s="43"/>
      <c r="Y33" s="43"/>
      <c r="Z33" s="43"/>
      <c r="AA33" s="43"/>
      <c r="AB33" s="5"/>
    </row>
    <row r="34" spans="1:28" x14ac:dyDescent="0.25">
      <c r="A34" s="4">
        <v>46082</v>
      </c>
      <c r="B34" s="20">
        <v>46112</v>
      </c>
      <c r="C34" s="20">
        <v>46101</v>
      </c>
      <c r="D34" s="20">
        <v>46093</v>
      </c>
      <c r="E34" s="20">
        <v>46112</v>
      </c>
      <c r="F34" s="20">
        <v>46112</v>
      </c>
      <c r="G34" s="20">
        <v>46112</v>
      </c>
      <c r="H34" s="20">
        <v>46112</v>
      </c>
      <c r="I34" s="20">
        <v>46112</v>
      </c>
      <c r="S34" s="1" t="s">
        <v>1033</v>
      </c>
      <c r="T34" t="s">
        <v>1034</v>
      </c>
      <c r="U34" t="s">
        <v>1035</v>
      </c>
      <c r="V34" s="43"/>
      <c r="W34" s="43"/>
      <c r="X34" s="43"/>
      <c r="Y34" s="43"/>
      <c r="Z34" s="43"/>
      <c r="AA34" s="43"/>
      <c r="AB34" s="5"/>
    </row>
    <row r="35" spans="1:28" x14ac:dyDescent="0.25">
      <c r="A35" s="4">
        <v>46113</v>
      </c>
      <c r="B35" s="20">
        <v>46142</v>
      </c>
      <c r="C35" s="20">
        <v>46133</v>
      </c>
      <c r="D35" s="20">
        <v>46122</v>
      </c>
      <c r="E35" s="20">
        <v>46142</v>
      </c>
      <c r="F35" s="20">
        <v>46142</v>
      </c>
      <c r="G35" s="20">
        <v>46142</v>
      </c>
      <c r="H35" s="20">
        <v>46142</v>
      </c>
      <c r="I35" s="20">
        <v>46142</v>
      </c>
      <c r="S35" s="1" t="s">
        <v>1036</v>
      </c>
      <c r="T35" t="s">
        <v>1037</v>
      </c>
      <c r="U35" t="s">
        <v>1038</v>
      </c>
      <c r="V35" s="43"/>
      <c r="W35" s="43"/>
      <c r="X35" s="43"/>
      <c r="Y35" s="43"/>
      <c r="Z35" s="43"/>
      <c r="AA35" s="43"/>
      <c r="AB35" s="5"/>
    </row>
    <row r="36" spans="1:28" x14ac:dyDescent="0.25">
      <c r="A36" s="4">
        <v>46143</v>
      </c>
      <c r="B36" s="20">
        <v>46171</v>
      </c>
      <c r="C36" s="20">
        <v>46161</v>
      </c>
      <c r="D36" s="20">
        <v>46154</v>
      </c>
      <c r="E36" s="20">
        <v>46171</v>
      </c>
      <c r="F36" s="20">
        <v>46171</v>
      </c>
      <c r="G36" s="20">
        <v>46171</v>
      </c>
      <c r="H36" s="20">
        <v>46171</v>
      </c>
      <c r="I36" s="20">
        <v>46171</v>
      </c>
      <c r="S36" s="1" t="s">
        <v>889</v>
      </c>
      <c r="T36" t="s">
        <v>224</v>
      </c>
      <c r="U36" t="s">
        <v>1039</v>
      </c>
      <c r="V36" s="43">
        <v>500</v>
      </c>
      <c r="W36" s="43">
        <v>500</v>
      </c>
      <c r="X36" s="43">
        <v>1500</v>
      </c>
      <c r="Y36" s="43">
        <v>1500</v>
      </c>
      <c r="Z36" s="43">
        <v>5000</v>
      </c>
      <c r="AA36" s="43">
        <v>5000</v>
      </c>
      <c r="AB36" s="5">
        <v>1</v>
      </c>
    </row>
    <row r="37" spans="1:28" x14ac:dyDescent="0.25">
      <c r="A37" s="4">
        <v>46174</v>
      </c>
      <c r="B37" s="20">
        <v>46203</v>
      </c>
      <c r="C37" s="20">
        <v>46195</v>
      </c>
      <c r="D37" s="20">
        <v>46184</v>
      </c>
      <c r="E37" s="20">
        <v>46203</v>
      </c>
      <c r="F37" s="20">
        <v>46203</v>
      </c>
      <c r="G37" s="20">
        <v>46203</v>
      </c>
      <c r="H37" s="20">
        <v>46203</v>
      </c>
      <c r="I37" s="20">
        <v>46203</v>
      </c>
      <c r="S37" s="1" t="s">
        <v>1040</v>
      </c>
      <c r="T37" t="s">
        <v>1041</v>
      </c>
      <c r="U37" t="s">
        <v>1042</v>
      </c>
      <c r="V37" s="43"/>
      <c r="W37" s="43"/>
      <c r="X37" s="43"/>
      <c r="Y37" s="43"/>
      <c r="Z37" s="43"/>
      <c r="AA37" s="43"/>
      <c r="AB37" s="5"/>
    </row>
    <row r="38" spans="1:28" x14ac:dyDescent="0.25">
      <c r="A38" s="4">
        <v>46204</v>
      </c>
      <c r="B38" s="20">
        <v>46234</v>
      </c>
      <c r="C38" s="20">
        <v>46224</v>
      </c>
      <c r="D38" s="20">
        <v>46213</v>
      </c>
      <c r="E38" s="20">
        <v>46234</v>
      </c>
      <c r="F38" s="20">
        <v>46234</v>
      </c>
      <c r="G38" s="20">
        <v>46234</v>
      </c>
      <c r="H38" s="20">
        <v>46234</v>
      </c>
      <c r="I38" s="20">
        <v>46234</v>
      </c>
      <c r="S38" s="1" t="s">
        <v>434</v>
      </c>
      <c r="T38" t="s">
        <v>1043</v>
      </c>
      <c r="U38" t="s">
        <v>1044</v>
      </c>
      <c r="V38" s="43">
        <v>500</v>
      </c>
      <c r="W38" s="43">
        <v>500</v>
      </c>
      <c r="X38" s="43">
        <v>1500</v>
      </c>
      <c r="Y38" s="43">
        <v>1500</v>
      </c>
      <c r="Z38" s="43">
        <v>5000</v>
      </c>
      <c r="AA38" s="43">
        <v>5000</v>
      </c>
      <c r="AB38" s="5"/>
    </row>
    <row r="39" spans="1:28" x14ac:dyDescent="0.25">
      <c r="A39" s="4">
        <v>46235</v>
      </c>
      <c r="B39" s="20">
        <v>46262</v>
      </c>
      <c r="C39" s="20">
        <v>46254</v>
      </c>
      <c r="D39" s="20">
        <v>46246</v>
      </c>
      <c r="E39" s="20">
        <v>46265</v>
      </c>
      <c r="F39" s="20">
        <v>46265</v>
      </c>
      <c r="G39" s="20">
        <v>46262</v>
      </c>
      <c r="H39" s="20">
        <v>46265</v>
      </c>
      <c r="I39" s="20">
        <v>46265</v>
      </c>
      <c r="S39" s="1" t="s">
        <v>1045</v>
      </c>
      <c r="T39" t="s">
        <v>1046</v>
      </c>
      <c r="U39" t="s">
        <v>1047</v>
      </c>
      <c r="V39" s="43"/>
      <c r="W39" s="43"/>
      <c r="X39" s="43"/>
      <c r="Y39" s="43"/>
      <c r="Z39" s="43"/>
      <c r="AA39" s="43"/>
      <c r="AB39" s="5"/>
    </row>
    <row r="40" spans="1:28" x14ac:dyDescent="0.25">
      <c r="A40" s="4">
        <v>46266</v>
      </c>
      <c r="B40" s="20">
        <v>46295</v>
      </c>
      <c r="C40" s="20">
        <v>46287</v>
      </c>
      <c r="D40" s="20">
        <v>46275</v>
      </c>
      <c r="E40" s="20">
        <v>46295</v>
      </c>
      <c r="F40" s="20">
        <v>46295</v>
      </c>
      <c r="G40" s="20">
        <v>46295</v>
      </c>
      <c r="H40" s="20">
        <v>46295</v>
      </c>
      <c r="I40" s="20">
        <v>46295</v>
      </c>
      <c r="S40" s="1" t="s">
        <v>930</v>
      </c>
      <c r="T40" t="s">
        <v>232</v>
      </c>
      <c r="U40" t="s">
        <v>1048</v>
      </c>
      <c r="V40" s="43">
        <v>500</v>
      </c>
      <c r="W40" s="43">
        <v>500</v>
      </c>
      <c r="X40" s="43">
        <v>1500</v>
      </c>
      <c r="Y40" s="43">
        <v>1500</v>
      </c>
      <c r="Z40" s="43">
        <v>5000</v>
      </c>
      <c r="AA40" s="43">
        <v>5000</v>
      </c>
      <c r="AB40" s="5">
        <v>1</v>
      </c>
    </row>
    <row r="41" spans="1:28" x14ac:dyDescent="0.25">
      <c r="A41" s="4">
        <v>46296</v>
      </c>
      <c r="B41" s="20">
        <v>46325</v>
      </c>
      <c r="C41" s="20">
        <v>46315</v>
      </c>
      <c r="D41" s="20">
        <v>46307</v>
      </c>
      <c r="E41" s="20">
        <v>46325</v>
      </c>
      <c r="F41" s="20">
        <v>46325</v>
      </c>
      <c r="G41" s="20">
        <v>46325</v>
      </c>
      <c r="H41" s="20">
        <v>46325</v>
      </c>
      <c r="I41" s="20">
        <v>46325</v>
      </c>
      <c r="S41" s="1" t="s">
        <v>1049</v>
      </c>
      <c r="T41" t="s">
        <v>1050</v>
      </c>
      <c r="U41" t="s">
        <v>1051</v>
      </c>
      <c r="V41" s="43"/>
      <c r="W41" s="43"/>
      <c r="X41" s="43"/>
      <c r="Y41" s="43"/>
      <c r="Z41" s="43"/>
      <c r="AA41" s="43"/>
      <c r="AB41" s="5"/>
    </row>
    <row r="42" spans="1:28" x14ac:dyDescent="0.25">
      <c r="A42" s="4">
        <v>46327</v>
      </c>
      <c r="B42" s="20">
        <v>46356</v>
      </c>
      <c r="C42" s="20">
        <v>46346</v>
      </c>
      <c r="D42" s="20">
        <v>46338</v>
      </c>
      <c r="E42" s="20">
        <v>46356</v>
      </c>
      <c r="F42" s="20">
        <v>46356</v>
      </c>
      <c r="G42" s="20">
        <v>46356</v>
      </c>
      <c r="H42" s="20">
        <v>46356</v>
      </c>
      <c r="I42" s="20">
        <v>46356</v>
      </c>
      <c r="S42" s="1" t="s">
        <v>1052</v>
      </c>
      <c r="T42" t="s">
        <v>1053</v>
      </c>
      <c r="U42" t="s">
        <v>1054</v>
      </c>
      <c r="V42" s="43"/>
      <c r="W42" s="43"/>
      <c r="X42" s="43"/>
      <c r="Y42" s="43"/>
      <c r="Z42" s="43"/>
      <c r="AA42" s="43"/>
      <c r="AB42" s="5"/>
    </row>
    <row r="43" spans="1:28" x14ac:dyDescent="0.25">
      <c r="A43" s="4">
        <v>46357</v>
      </c>
      <c r="B43" s="20">
        <v>46386</v>
      </c>
      <c r="C43" s="20">
        <v>46377</v>
      </c>
      <c r="D43" s="20">
        <v>46366</v>
      </c>
      <c r="E43" s="20">
        <v>46387</v>
      </c>
      <c r="F43" s="20">
        <v>46387</v>
      </c>
      <c r="G43" s="20">
        <v>46386</v>
      </c>
      <c r="H43" s="20">
        <v>46387</v>
      </c>
      <c r="I43" s="21"/>
      <c r="S43" s="1" t="s">
        <v>1055</v>
      </c>
      <c r="T43" t="s">
        <v>1056</v>
      </c>
      <c r="U43" t="s">
        <v>1057</v>
      </c>
      <c r="V43" s="43">
        <v>500</v>
      </c>
      <c r="W43" s="43">
        <v>500</v>
      </c>
      <c r="X43" s="43">
        <v>1500</v>
      </c>
      <c r="Y43" s="43">
        <v>1500</v>
      </c>
      <c r="Z43" s="43">
        <v>5000</v>
      </c>
      <c r="AA43" s="43">
        <v>5000</v>
      </c>
      <c r="AB43" s="5"/>
    </row>
    <row r="44" spans="1:28" x14ac:dyDescent="0.25">
      <c r="A44" s="4">
        <v>46388</v>
      </c>
      <c r="B44" s="20">
        <v>46416</v>
      </c>
      <c r="C44" s="20">
        <v>46407</v>
      </c>
      <c r="D44" s="20">
        <v>46399</v>
      </c>
      <c r="E44" s="20">
        <v>46416</v>
      </c>
      <c r="F44" s="20">
        <v>46416</v>
      </c>
      <c r="G44" s="20">
        <v>46416</v>
      </c>
      <c r="H44" s="20">
        <v>46416</v>
      </c>
      <c r="I44" s="21"/>
      <c r="S44" s="1" t="s">
        <v>1058</v>
      </c>
      <c r="T44" t="s">
        <v>1059</v>
      </c>
      <c r="U44" t="s">
        <v>1060</v>
      </c>
      <c r="V44" s="43"/>
      <c r="W44" s="43"/>
      <c r="X44" s="43"/>
      <c r="Y44" s="43"/>
      <c r="Z44" s="43"/>
      <c r="AA44" s="43"/>
      <c r="AB44" s="5"/>
    </row>
    <row r="45" spans="1:28" x14ac:dyDescent="0.25">
      <c r="A45" s="4">
        <v>46419</v>
      </c>
      <c r="B45" s="20">
        <v>46444</v>
      </c>
      <c r="C45" s="20">
        <v>46440</v>
      </c>
      <c r="D45" s="20">
        <v>46429</v>
      </c>
      <c r="E45" s="20">
        <v>46444</v>
      </c>
      <c r="F45" s="20">
        <v>46444</v>
      </c>
      <c r="G45" s="20">
        <v>46444</v>
      </c>
      <c r="H45" s="20">
        <v>46444</v>
      </c>
      <c r="I45" s="21"/>
      <c r="S45" s="1" t="s">
        <v>1061</v>
      </c>
      <c r="T45" t="s">
        <v>1062</v>
      </c>
      <c r="U45" t="s">
        <v>1063</v>
      </c>
      <c r="V45" s="43">
        <v>500</v>
      </c>
      <c r="W45" s="43">
        <v>500</v>
      </c>
      <c r="X45" s="43">
        <v>1500</v>
      </c>
      <c r="Y45" s="43">
        <v>1500</v>
      </c>
      <c r="Z45" s="43">
        <v>5000</v>
      </c>
      <c r="AA45" s="43">
        <v>5000</v>
      </c>
      <c r="AB45" s="5"/>
    </row>
    <row r="46" spans="1:28" x14ac:dyDescent="0.25">
      <c r="A46" s="4">
        <v>46447</v>
      </c>
      <c r="B46" s="20">
        <v>46477</v>
      </c>
      <c r="C46" s="20">
        <v>46468</v>
      </c>
      <c r="D46" s="20">
        <v>46457</v>
      </c>
      <c r="E46" s="20">
        <v>46477</v>
      </c>
      <c r="F46" s="20">
        <v>46477</v>
      </c>
      <c r="G46" s="20">
        <v>46477</v>
      </c>
      <c r="H46" s="20">
        <v>46477</v>
      </c>
      <c r="I46" s="21"/>
      <c r="S46" s="1" t="s">
        <v>1064</v>
      </c>
      <c r="T46" t="s">
        <v>1065</v>
      </c>
      <c r="U46" t="s">
        <v>1066</v>
      </c>
      <c r="V46" s="43">
        <v>500</v>
      </c>
      <c r="W46" s="43">
        <v>500</v>
      </c>
      <c r="X46" s="43">
        <v>1500</v>
      </c>
      <c r="Y46" s="43">
        <v>1500</v>
      </c>
      <c r="Z46" s="43">
        <v>5000</v>
      </c>
      <c r="AA46" s="43">
        <v>5000</v>
      </c>
      <c r="AB46" s="5"/>
    </row>
    <row r="47" spans="1:28" x14ac:dyDescent="0.25">
      <c r="A47" s="4">
        <v>46478</v>
      </c>
      <c r="B47" s="20">
        <v>46507</v>
      </c>
      <c r="C47" s="20">
        <v>46497</v>
      </c>
      <c r="D47" s="20">
        <v>46489</v>
      </c>
      <c r="E47" s="20">
        <v>46507</v>
      </c>
      <c r="F47" s="20">
        <v>46507</v>
      </c>
      <c r="G47" s="20">
        <v>46507</v>
      </c>
      <c r="H47" s="20">
        <v>46507</v>
      </c>
      <c r="I47" s="21"/>
      <c r="S47" s="1" t="s">
        <v>1067</v>
      </c>
      <c r="T47" t="s">
        <v>1068</v>
      </c>
      <c r="U47" t="s">
        <v>1069</v>
      </c>
      <c r="V47" s="43"/>
      <c r="W47" s="43"/>
      <c r="X47" s="43"/>
      <c r="Y47" s="43"/>
      <c r="Z47" s="43"/>
      <c r="AA47" s="43"/>
      <c r="AB47" s="5"/>
    </row>
    <row r="48" spans="1:28" x14ac:dyDescent="0.25">
      <c r="A48" s="4">
        <v>46508</v>
      </c>
      <c r="B48" s="20">
        <v>46535</v>
      </c>
      <c r="C48" s="20">
        <v>46527</v>
      </c>
      <c r="D48" s="20">
        <v>46519</v>
      </c>
      <c r="E48" s="20">
        <v>46535</v>
      </c>
      <c r="F48" s="20">
        <v>46535</v>
      </c>
      <c r="G48" s="20">
        <v>46535</v>
      </c>
      <c r="H48" s="20">
        <v>46535</v>
      </c>
      <c r="I48" s="21"/>
      <c r="S48" s="1" t="s">
        <v>1070</v>
      </c>
      <c r="T48" t="s">
        <v>1071</v>
      </c>
      <c r="U48" t="s">
        <v>1072</v>
      </c>
      <c r="V48" s="43">
        <v>500</v>
      </c>
      <c r="W48" s="43">
        <v>500</v>
      </c>
      <c r="X48" s="43">
        <v>1500</v>
      </c>
      <c r="Y48" s="43">
        <v>1500</v>
      </c>
      <c r="Z48" s="43">
        <v>5000</v>
      </c>
      <c r="AA48" s="43">
        <v>5000</v>
      </c>
      <c r="AB48" s="5"/>
    </row>
    <row r="49" spans="1:28" x14ac:dyDescent="0.25">
      <c r="A49" s="4">
        <v>46539</v>
      </c>
      <c r="B49" s="20">
        <v>46568</v>
      </c>
      <c r="C49" s="20">
        <v>46560</v>
      </c>
      <c r="D49" s="20">
        <v>46548</v>
      </c>
      <c r="E49" s="20">
        <v>46568</v>
      </c>
      <c r="F49" s="20">
        <v>46568</v>
      </c>
      <c r="G49" s="20">
        <v>46568</v>
      </c>
      <c r="H49" s="20">
        <v>46568</v>
      </c>
      <c r="I49" s="21"/>
      <c r="S49" s="1" t="s">
        <v>1073</v>
      </c>
      <c r="T49" t="s">
        <v>1074</v>
      </c>
      <c r="U49" t="s">
        <v>1075</v>
      </c>
      <c r="V49" s="43">
        <v>500</v>
      </c>
      <c r="W49" s="43">
        <v>500</v>
      </c>
      <c r="X49" s="43">
        <v>1000</v>
      </c>
      <c r="Y49" s="43">
        <v>1000</v>
      </c>
      <c r="Z49" s="43">
        <v>1500</v>
      </c>
      <c r="AA49" s="43">
        <v>1500</v>
      </c>
      <c r="AB49" s="5">
        <v>1</v>
      </c>
    </row>
    <row r="50" spans="1:28" x14ac:dyDescent="0.25">
      <c r="A50" s="4">
        <v>46569</v>
      </c>
      <c r="B50" s="20">
        <v>46598</v>
      </c>
      <c r="C50" s="20">
        <v>46588</v>
      </c>
      <c r="D50" s="20">
        <v>46580</v>
      </c>
      <c r="E50" s="20">
        <v>46598</v>
      </c>
      <c r="F50" s="20">
        <v>46598</v>
      </c>
      <c r="G50" s="20">
        <v>46598</v>
      </c>
      <c r="H50" s="20">
        <v>46598</v>
      </c>
      <c r="I50" s="21"/>
      <c r="S50" s="1" t="s">
        <v>1076</v>
      </c>
      <c r="T50" t="s">
        <v>1077</v>
      </c>
      <c r="U50" t="s">
        <v>1078</v>
      </c>
      <c r="V50" s="43">
        <v>500</v>
      </c>
      <c r="W50" s="43">
        <v>500</v>
      </c>
      <c r="X50" s="43">
        <v>1000</v>
      </c>
      <c r="Y50" s="43">
        <v>1000</v>
      </c>
      <c r="Z50" s="43">
        <v>1500</v>
      </c>
      <c r="AA50" s="43">
        <v>1500</v>
      </c>
      <c r="AB50" s="5">
        <v>1</v>
      </c>
    </row>
    <row r="51" spans="1:28" x14ac:dyDescent="0.25">
      <c r="A51" s="4">
        <v>46600</v>
      </c>
      <c r="B51" s="20">
        <v>46630</v>
      </c>
      <c r="C51" s="20">
        <v>46619</v>
      </c>
      <c r="D51" s="20">
        <v>46611</v>
      </c>
      <c r="E51" s="20">
        <v>46630</v>
      </c>
      <c r="F51" s="20">
        <v>46630</v>
      </c>
      <c r="G51" s="20">
        <v>46630</v>
      </c>
      <c r="H51" s="20">
        <v>46630</v>
      </c>
      <c r="I51" s="21"/>
      <c r="S51" s="1" t="s">
        <v>1079</v>
      </c>
      <c r="T51" t="s">
        <v>1080</v>
      </c>
      <c r="U51" t="s">
        <v>1081</v>
      </c>
      <c r="V51" s="43">
        <v>500</v>
      </c>
      <c r="W51" s="43">
        <v>500</v>
      </c>
      <c r="X51" s="43">
        <v>1000</v>
      </c>
      <c r="Y51" s="43">
        <v>1000</v>
      </c>
      <c r="Z51" s="43">
        <v>1500</v>
      </c>
      <c r="AA51" s="43">
        <v>1500</v>
      </c>
      <c r="AB51" s="5">
        <v>1</v>
      </c>
    </row>
    <row r="52" spans="1:28" x14ac:dyDescent="0.25">
      <c r="A52" s="4">
        <v>46631</v>
      </c>
      <c r="B52" s="20">
        <v>46660</v>
      </c>
      <c r="C52" s="20">
        <v>46651</v>
      </c>
      <c r="D52" s="20">
        <v>46640</v>
      </c>
      <c r="E52" s="20">
        <v>46660</v>
      </c>
      <c r="F52" s="20">
        <v>46660</v>
      </c>
      <c r="G52" s="20">
        <v>46660</v>
      </c>
      <c r="H52" s="20">
        <v>46660</v>
      </c>
      <c r="I52" s="21"/>
      <c r="S52" s="1" t="s">
        <v>1082</v>
      </c>
      <c r="T52" t="s">
        <v>1083</v>
      </c>
      <c r="U52" t="s">
        <v>1084</v>
      </c>
      <c r="V52" s="43"/>
      <c r="W52" s="43"/>
      <c r="X52" s="43"/>
      <c r="Y52" s="43"/>
      <c r="Z52" s="43"/>
      <c r="AA52" s="43"/>
      <c r="AB52" s="5"/>
    </row>
    <row r="53" spans="1:28" x14ac:dyDescent="0.25">
      <c r="A53" s="4">
        <v>46661</v>
      </c>
      <c r="B53" s="20">
        <v>46689</v>
      </c>
      <c r="C53" s="20">
        <v>46680</v>
      </c>
      <c r="D53" s="20">
        <v>46672</v>
      </c>
      <c r="E53" s="20">
        <v>46689</v>
      </c>
      <c r="F53" s="20">
        <v>46689</v>
      </c>
      <c r="G53" s="20">
        <v>46689</v>
      </c>
      <c r="H53" s="20">
        <v>46689</v>
      </c>
      <c r="I53" s="21"/>
      <c r="S53" s="1" t="s">
        <v>1085</v>
      </c>
      <c r="T53" t="s">
        <v>1086</v>
      </c>
      <c r="U53" t="s">
        <v>1087</v>
      </c>
      <c r="V53" s="43"/>
      <c r="W53" s="43"/>
      <c r="X53" s="43"/>
      <c r="Y53" s="43"/>
      <c r="Z53" s="43"/>
      <c r="AA53" s="43"/>
      <c r="AB53" s="5"/>
    </row>
    <row r="54" spans="1:28" x14ac:dyDescent="0.25">
      <c r="A54" s="4">
        <v>46692</v>
      </c>
      <c r="B54" s="20">
        <v>46721</v>
      </c>
      <c r="C54" s="20">
        <v>46710</v>
      </c>
      <c r="D54" s="20">
        <v>46702</v>
      </c>
      <c r="E54" s="20">
        <v>46721</v>
      </c>
      <c r="F54" s="20">
        <v>46721</v>
      </c>
      <c r="G54" s="20">
        <v>46721</v>
      </c>
      <c r="H54" s="20">
        <v>46721</v>
      </c>
      <c r="I54" s="21"/>
      <c r="S54" s="1" t="s">
        <v>1088</v>
      </c>
      <c r="T54" t="s">
        <v>219</v>
      </c>
      <c r="U54" t="s">
        <v>1089</v>
      </c>
      <c r="V54" s="43">
        <v>1000</v>
      </c>
      <c r="W54" s="43">
        <v>1000</v>
      </c>
      <c r="X54" s="43">
        <v>5000</v>
      </c>
      <c r="Y54" s="43">
        <v>5000</v>
      </c>
      <c r="Z54" s="43">
        <v>2000</v>
      </c>
      <c r="AA54" s="43">
        <v>2000</v>
      </c>
      <c r="AB54" s="5">
        <v>1</v>
      </c>
    </row>
    <row r="55" spans="1:28" x14ac:dyDescent="0.25">
      <c r="A55" s="4">
        <v>46722</v>
      </c>
      <c r="B55" s="20">
        <v>46751</v>
      </c>
      <c r="C55" s="20">
        <v>46741</v>
      </c>
      <c r="D55" s="20">
        <v>46731</v>
      </c>
      <c r="E55" s="20">
        <v>46752</v>
      </c>
      <c r="F55" s="20">
        <v>46752</v>
      </c>
      <c r="G55" s="20">
        <v>46751</v>
      </c>
      <c r="H55" s="20">
        <v>46752</v>
      </c>
      <c r="I55" s="21"/>
      <c r="S55" s="1" t="s">
        <v>1090</v>
      </c>
      <c r="T55" t="s">
        <v>111</v>
      </c>
      <c r="U55" t="s">
        <v>1091</v>
      </c>
      <c r="V55" s="43">
        <v>1500</v>
      </c>
      <c r="W55" s="43">
        <v>1500</v>
      </c>
      <c r="X55" s="43">
        <v>3000</v>
      </c>
      <c r="Y55" s="43">
        <v>3000</v>
      </c>
      <c r="Z55" s="43">
        <v>3000</v>
      </c>
      <c r="AA55" s="43">
        <v>3000</v>
      </c>
      <c r="AB55" s="5">
        <v>1</v>
      </c>
    </row>
    <row r="56" spans="1:28" x14ac:dyDescent="0.25">
      <c r="A56" s="4">
        <v>46753</v>
      </c>
      <c r="B56" s="20">
        <v>46783</v>
      </c>
      <c r="C56" s="20">
        <v>46772</v>
      </c>
      <c r="D56" s="20">
        <v>46764</v>
      </c>
      <c r="E56" s="20">
        <v>46783</v>
      </c>
      <c r="F56" s="20">
        <v>46783</v>
      </c>
      <c r="G56" s="20">
        <v>46783</v>
      </c>
      <c r="H56" s="20">
        <v>46783</v>
      </c>
      <c r="I56" s="21"/>
      <c r="S56" s="1" t="s">
        <v>1092</v>
      </c>
      <c r="T56" t="s">
        <v>228</v>
      </c>
      <c r="U56" t="s">
        <v>1093</v>
      </c>
      <c r="V56" s="43"/>
      <c r="W56" s="43"/>
      <c r="X56" s="43"/>
      <c r="Y56" s="43"/>
      <c r="Z56" s="43"/>
      <c r="AA56" s="43"/>
      <c r="AB56" s="5">
        <v>1</v>
      </c>
    </row>
    <row r="57" spans="1:28" x14ac:dyDescent="0.25">
      <c r="A57" s="4">
        <v>46784</v>
      </c>
      <c r="B57" s="20">
        <v>46812</v>
      </c>
      <c r="C57" s="20">
        <v>46805</v>
      </c>
      <c r="D57" s="20">
        <v>46793</v>
      </c>
      <c r="E57" s="20">
        <v>46812</v>
      </c>
      <c r="F57" s="20">
        <v>46812</v>
      </c>
      <c r="G57" s="20">
        <v>46812</v>
      </c>
      <c r="H57" s="20">
        <v>46812</v>
      </c>
      <c r="I57" s="21"/>
      <c r="S57" s="1" t="s">
        <v>1094</v>
      </c>
      <c r="T57" t="s">
        <v>1095</v>
      </c>
      <c r="U57" t="s">
        <v>1096</v>
      </c>
      <c r="V57" s="43"/>
      <c r="W57" s="43"/>
      <c r="X57" s="43"/>
      <c r="Y57" s="43"/>
      <c r="Z57" s="43"/>
      <c r="AA57" s="43"/>
      <c r="AB57" s="5"/>
    </row>
    <row r="58" spans="1:28" x14ac:dyDescent="0.25">
      <c r="A58" s="4">
        <v>46813</v>
      </c>
      <c r="B58" s="20">
        <v>46843</v>
      </c>
      <c r="C58" s="20">
        <v>46833</v>
      </c>
      <c r="D58" s="20">
        <v>46822</v>
      </c>
      <c r="E58" s="20">
        <v>46843</v>
      </c>
      <c r="F58" s="20">
        <v>46843</v>
      </c>
      <c r="G58" s="20">
        <v>46843</v>
      </c>
      <c r="H58" s="20">
        <v>46843</v>
      </c>
      <c r="I58" s="21"/>
      <c r="S58" s="1" t="s">
        <v>1097</v>
      </c>
      <c r="T58" t="s">
        <v>1098</v>
      </c>
      <c r="U58" t="s">
        <v>1099</v>
      </c>
      <c r="V58" s="43"/>
      <c r="W58" s="43"/>
      <c r="X58" s="43"/>
      <c r="Y58" s="43"/>
      <c r="Z58" s="43"/>
      <c r="AA58" s="43"/>
      <c r="AB58" s="5"/>
    </row>
    <row r="59" spans="1:28" x14ac:dyDescent="0.25">
      <c r="A59" s="4">
        <v>46844</v>
      </c>
      <c r="B59" s="20">
        <v>46871</v>
      </c>
      <c r="C59" s="20">
        <v>46863</v>
      </c>
      <c r="D59" s="20">
        <v>46855</v>
      </c>
      <c r="E59" s="20">
        <v>46871</v>
      </c>
      <c r="F59" s="20">
        <v>46871</v>
      </c>
      <c r="G59" s="20">
        <v>46871</v>
      </c>
      <c r="H59" s="20">
        <v>46871</v>
      </c>
      <c r="I59" s="21"/>
      <c r="S59" s="1" t="s">
        <v>1250</v>
      </c>
      <c r="T59" t="s">
        <v>1251</v>
      </c>
      <c r="U59" t="s">
        <v>1252</v>
      </c>
      <c r="V59" s="43"/>
      <c r="W59" s="43"/>
      <c r="X59" s="43"/>
      <c r="Y59" s="43"/>
      <c r="Z59" s="43"/>
      <c r="AA59" s="43"/>
      <c r="AB59" s="5"/>
    </row>
    <row r="60" spans="1:28" x14ac:dyDescent="0.25">
      <c r="A60" s="4">
        <v>46874</v>
      </c>
      <c r="B60" s="20">
        <v>46904</v>
      </c>
      <c r="C60" s="20">
        <v>46895</v>
      </c>
      <c r="D60" s="20">
        <v>46884</v>
      </c>
      <c r="E60" s="20">
        <v>46904</v>
      </c>
      <c r="F60" s="20">
        <v>46904</v>
      </c>
      <c r="G60" s="20">
        <v>46904</v>
      </c>
      <c r="H60" s="20">
        <v>46904</v>
      </c>
      <c r="I60" s="21"/>
      <c r="S60" s="1" t="s">
        <v>1100</v>
      </c>
      <c r="T60" t="s">
        <v>222</v>
      </c>
      <c r="U60" t="s">
        <v>950</v>
      </c>
      <c r="V60" s="43">
        <v>750</v>
      </c>
      <c r="W60" s="43">
        <v>750</v>
      </c>
      <c r="X60" s="43">
        <v>1500</v>
      </c>
      <c r="Y60" s="43">
        <v>1500</v>
      </c>
      <c r="Z60" s="43">
        <v>1500</v>
      </c>
      <c r="AA60" s="43">
        <v>1500</v>
      </c>
      <c r="AB60" s="5">
        <v>0.1</v>
      </c>
    </row>
    <row r="61" spans="1:28" x14ac:dyDescent="0.25">
      <c r="A61" s="4">
        <v>46905</v>
      </c>
      <c r="B61" s="20">
        <v>46934</v>
      </c>
      <c r="C61" s="20">
        <v>46924</v>
      </c>
      <c r="D61" s="20">
        <v>46916</v>
      </c>
      <c r="E61" s="20">
        <v>46934</v>
      </c>
      <c r="F61" s="20">
        <v>46934</v>
      </c>
      <c r="G61" s="20">
        <v>46934</v>
      </c>
      <c r="H61" s="20">
        <v>46934</v>
      </c>
      <c r="I61" s="21"/>
      <c r="S61" s="1" t="s">
        <v>1276</v>
      </c>
      <c r="T61" t="s">
        <v>112</v>
      </c>
      <c r="U61" t="s">
        <v>1277</v>
      </c>
      <c r="V61" s="43"/>
      <c r="W61" s="43"/>
      <c r="X61" s="43"/>
      <c r="Y61" s="43"/>
      <c r="Z61" s="43"/>
      <c r="AA61" s="43"/>
      <c r="AB61" s="5"/>
    </row>
    <row r="62" spans="1:28" x14ac:dyDescent="0.25">
      <c r="A62" s="4">
        <v>46935</v>
      </c>
      <c r="B62" s="20">
        <v>46965</v>
      </c>
      <c r="C62" s="20">
        <v>46954</v>
      </c>
      <c r="D62" s="20">
        <v>46946</v>
      </c>
      <c r="E62" s="20">
        <v>46965</v>
      </c>
      <c r="F62" s="20">
        <v>46965</v>
      </c>
      <c r="G62" s="20">
        <v>46965</v>
      </c>
      <c r="H62" s="20">
        <v>46965</v>
      </c>
      <c r="I62" s="21"/>
      <c r="S62" s="1" t="s">
        <v>1101</v>
      </c>
      <c r="T62" t="s">
        <v>1102</v>
      </c>
      <c r="U62" t="s">
        <v>1103</v>
      </c>
      <c r="V62" s="43"/>
      <c r="W62" s="43"/>
      <c r="X62" s="43"/>
      <c r="Y62" s="43"/>
      <c r="Z62" s="43"/>
      <c r="AA62" s="43"/>
      <c r="AB62" s="5"/>
    </row>
    <row r="63" spans="1:28" x14ac:dyDescent="0.25">
      <c r="A63" s="4">
        <v>46966</v>
      </c>
      <c r="B63" s="20">
        <v>46996</v>
      </c>
      <c r="C63" s="20">
        <v>46987</v>
      </c>
      <c r="D63" s="20">
        <v>46975</v>
      </c>
      <c r="E63" s="20">
        <v>46996</v>
      </c>
      <c r="F63" s="20">
        <v>46996</v>
      </c>
      <c r="G63" s="20">
        <v>46996</v>
      </c>
      <c r="H63" s="20">
        <v>46996</v>
      </c>
      <c r="I63" s="21"/>
      <c r="S63" s="1" t="s">
        <v>838</v>
      </c>
      <c r="T63" t="s">
        <v>227</v>
      </c>
      <c r="U63" t="s">
        <v>1104</v>
      </c>
      <c r="V63" s="43">
        <v>1500</v>
      </c>
      <c r="W63" s="43">
        <v>1500</v>
      </c>
      <c r="X63" s="43">
        <v>3000</v>
      </c>
      <c r="Y63" s="43">
        <v>3000</v>
      </c>
      <c r="Z63" s="43">
        <v>2000</v>
      </c>
      <c r="AA63" s="43">
        <v>2000</v>
      </c>
      <c r="AB63" s="5">
        <v>1</v>
      </c>
    </row>
    <row r="64" spans="1:28" x14ac:dyDescent="0.25">
      <c r="A64" s="4">
        <v>46997</v>
      </c>
      <c r="B64" s="20">
        <v>47025</v>
      </c>
      <c r="C64" s="20">
        <v>47016</v>
      </c>
      <c r="D64" s="20">
        <v>47008</v>
      </c>
      <c r="E64" s="20">
        <v>47025</v>
      </c>
      <c r="F64" s="20">
        <v>47025</v>
      </c>
      <c r="G64" s="20">
        <v>47025</v>
      </c>
      <c r="H64" s="20">
        <v>47025</v>
      </c>
      <c r="I64" s="21"/>
      <c r="S64" s="1" t="s">
        <v>1105</v>
      </c>
      <c r="T64" t="s">
        <v>1106</v>
      </c>
      <c r="U64" t="s">
        <v>1107</v>
      </c>
      <c r="V64" s="43"/>
      <c r="W64" s="43"/>
      <c r="X64" s="43"/>
      <c r="Y64" s="43"/>
      <c r="Z64" s="43"/>
      <c r="AA64" s="43"/>
      <c r="AB64" s="5"/>
    </row>
    <row r="65" spans="1:28" x14ac:dyDescent="0.25">
      <c r="A65" s="4">
        <v>47027</v>
      </c>
      <c r="B65" s="20">
        <v>47057</v>
      </c>
      <c r="C65" s="20">
        <v>47046</v>
      </c>
      <c r="D65" s="20">
        <v>47038</v>
      </c>
      <c r="E65" s="20">
        <v>47057</v>
      </c>
      <c r="F65" s="20">
        <v>47057</v>
      </c>
      <c r="G65" s="20">
        <v>47057</v>
      </c>
      <c r="H65" s="20">
        <v>47057</v>
      </c>
      <c r="I65" s="21"/>
      <c r="S65" s="1" t="s">
        <v>1108</v>
      </c>
      <c r="T65" t="s">
        <v>1109</v>
      </c>
      <c r="U65" t="s">
        <v>1110</v>
      </c>
      <c r="V65" s="43"/>
      <c r="W65" s="43"/>
      <c r="X65" s="43"/>
      <c r="Y65" s="43"/>
      <c r="Z65" s="43"/>
      <c r="AA65" s="43"/>
      <c r="AB65" s="5"/>
    </row>
    <row r="66" spans="1:28" x14ac:dyDescent="0.25">
      <c r="A66" s="4">
        <v>47058</v>
      </c>
      <c r="B66" s="20">
        <v>47087</v>
      </c>
      <c r="C66" s="20">
        <v>47077</v>
      </c>
      <c r="D66" s="20">
        <v>47067</v>
      </c>
      <c r="E66" s="20">
        <v>47087</v>
      </c>
      <c r="F66" s="20">
        <v>47087</v>
      </c>
      <c r="G66" s="20">
        <v>47087</v>
      </c>
      <c r="H66" s="20">
        <v>47087</v>
      </c>
      <c r="I66" s="21"/>
      <c r="S66" s="1" t="s">
        <v>837</v>
      </c>
      <c r="T66" t="s">
        <v>1111</v>
      </c>
      <c r="U66" t="s">
        <v>1112</v>
      </c>
      <c r="V66" s="43">
        <v>200</v>
      </c>
      <c r="W66" s="43">
        <v>200</v>
      </c>
      <c r="X66" s="43">
        <v>400</v>
      </c>
      <c r="Y66" s="43">
        <v>400</v>
      </c>
      <c r="Z66" s="43">
        <v>300</v>
      </c>
      <c r="AA66" s="43">
        <v>300</v>
      </c>
      <c r="AB66" s="5"/>
    </row>
    <row r="67" spans="1:28" x14ac:dyDescent="0.25">
      <c r="A67" s="4">
        <v>47088</v>
      </c>
      <c r="B67" s="21" t="e">
        <f>NA()</f>
        <v>#N/A</v>
      </c>
      <c r="C67" s="20">
        <v>47106</v>
      </c>
      <c r="D67" s="20">
        <v>47099</v>
      </c>
      <c r="E67" s="20">
        <v>47116</v>
      </c>
      <c r="F67" s="20">
        <v>47116</v>
      </c>
      <c r="G67" s="21" t="e">
        <f>NA()</f>
        <v>#N/A</v>
      </c>
      <c r="H67" s="20">
        <v>47116</v>
      </c>
      <c r="I67" s="21"/>
      <c r="S67" s="1" t="s">
        <v>1113</v>
      </c>
      <c r="T67" t="s">
        <v>1114</v>
      </c>
      <c r="U67" t="s">
        <v>1115</v>
      </c>
      <c r="V67" s="43"/>
      <c r="W67" s="43"/>
      <c r="X67" s="43"/>
      <c r="Y67" s="43"/>
      <c r="Z67" s="43"/>
      <c r="AA67" s="43"/>
      <c r="AB67" s="5"/>
    </row>
    <row r="68" spans="1:28" x14ac:dyDescent="0.25">
      <c r="A68" s="4">
        <v>47119</v>
      </c>
      <c r="B68" s="21" t="e">
        <f>NA()</f>
        <v>#N/A</v>
      </c>
      <c r="C68" s="20">
        <v>47140</v>
      </c>
      <c r="D68" s="20">
        <v>47129</v>
      </c>
      <c r="E68" s="21" t="e">
        <f>NA()</f>
        <v>#N/A</v>
      </c>
      <c r="F68" s="21" t="e">
        <f>NA()</f>
        <v>#N/A</v>
      </c>
      <c r="G68" s="21" t="e">
        <f>NA()</f>
        <v>#N/A</v>
      </c>
      <c r="H68" s="20">
        <v>47149</v>
      </c>
      <c r="I68" s="21"/>
      <c r="S68" s="1" t="s">
        <v>1116</v>
      </c>
      <c r="T68" t="s">
        <v>1117</v>
      </c>
      <c r="U68" t="s">
        <v>1118</v>
      </c>
      <c r="V68" s="43">
        <v>500</v>
      </c>
      <c r="W68" s="43">
        <v>500</v>
      </c>
      <c r="X68" s="43">
        <v>2500</v>
      </c>
      <c r="Y68" s="43">
        <v>2500</v>
      </c>
      <c r="Z68" s="43">
        <v>1000</v>
      </c>
      <c r="AA68" s="43">
        <v>1000</v>
      </c>
      <c r="AB68" s="5"/>
    </row>
    <row r="69" spans="1:28" x14ac:dyDescent="0.25">
      <c r="A69" s="4">
        <v>47150</v>
      </c>
      <c r="B69" s="21" t="e">
        <f>NA()</f>
        <v>#N/A</v>
      </c>
      <c r="C69" s="20">
        <v>47169</v>
      </c>
      <c r="D69" s="20">
        <v>47161</v>
      </c>
      <c r="E69" s="21" t="e">
        <f>NA()</f>
        <v>#N/A</v>
      </c>
      <c r="F69" s="21" t="e">
        <f>NA()</f>
        <v>#N/A</v>
      </c>
      <c r="G69" s="21" t="e">
        <f>NA()</f>
        <v>#N/A</v>
      </c>
      <c r="H69" s="20">
        <v>47177</v>
      </c>
      <c r="I69" s="21"/>
      <c r="S69" s="1" t="s">
        <v>1119</v>
      </c>
      <c r="T69" t="s">
        <v>1120</v>
      </c>
      <c r="U69" t="s">
        <v>1121</v>
      </c>
      <c r="V69" s="43"/>
      <c r="W69" s="43"/>
      <c r="X69" s="43"/>
      <c r="Y69" s="43"/>
      <c r="Z69" s="43"/>
      <c r="AA69" s="43"/>
      <c r="AB69" s="5"/>
    </row>
    <row r="70" spans="1:28" x14ac:dyDescent="0.25">
      <c r="A70" s="4">
        <v>47178</v>
      </c>
      <c r="B70" s="21" t="e">
        <f>NA()</f>
        <v>#N/A</v>
      </c>
      <c r="C70" s="20">
        <v>47197</v>
      </c>
      <c r="D70" s="20">
        <v>47189</v>
      </c>
      <c r="E70" s="21" t="e">
        <f>NA()</f>
        <v>#N/A</v>
      </c>
      <c r="F70" s="21" t="e">
        <f>NA()</f>
        <v>#N/A</v>
      </c>
      <c r="G70" s="21" t="e">
        <f>NA()</f>
        <v>#N/A</v>
      </c>
      <c r="H70" s="20">
        <v>47206</v>
      </c>
      <c r="I70" s="21"/>
      <c r="S70" s="1" t="s">
        <v>1122</v>
      </c>
      <c r="T70" t="s">
        <v>1123</v>
      </c>
      <c r="U70" t="s">
        <v>1124</v>
      </c>
      <c r="V70" s="43"/>
      <c r="W70" s="43"/>
      <c r="X70" s="43"/>
      <c r="Y70" s="43"/>
      <c r="Z70" s="43"/>
      <c r="AA70" s="43"/>
      <c r="AB70" s="5"/>
    </row>
    <row r="71" spans="1:28" x14ac:dyDescent="0.25">
      <c r="A71" s="4">
        <v>47209</v>
      </c>
      <c r="B71" s="21" t="e">
        <f>NA()</f>
        <v>#N/A</v>
      </c>
      <c r="C71" s="20">
        <v>47228</v>
      </c>
      <c r="D71" s="20">
        <v>47220</v>
      </c>
      <c r="E71" s="21" t="e">
        <f>NA()</f>
        <v>#N/A</v>
      </c>
      <c r="F71" s="21" t="e">
        <f>NA()</f>
        <v>#N/A</v>
      </c>
      <c r="G71" s="21" t="e">
        <f>NA()</f>
        <v>#N/A</v>
      </c>
      <c r="H71" s="20">
        <v>47238</v>
      </c>
      <c r="I71" s="21"/>
      <c r="S71" s="1" t="s">
        <v>1125</v>
      </c>
      <c r="T71" t="s">
        <v>1126</v>
      </c>
      <c r="U71" t="s">
        <v>1127</v>
      </c>
      <c r="V71" s="43"/>
      <c r="W71" s="43"/>
      <c r="X71" s="43"/>
      <c r="Y71" s="43"/>
      <c r="Z71" s="43"/>
      <c r="AA71" s="43"/>
      <c r="AB71" s="5"/>
    </row>
    <row r="72" spans="1:28" x14ac:dyDescent="0.25">
      <c r="A72" s="4">
        <v>47239</v>
      </c>
      <c r="B72" s="21" t="e">
        <f>NA()</f>
        <v>#N/A</v>
      </c>
      <c r="C72" s="20">
        <v>47260</v>
      </c>
      <c r="D72" s="20">
        <v>47248</v>
      </c>
      <c r="E72" s="21" t="e">
        <f>NA()</f>
        <v>#N/A</v>
      </c>
      <c r="F72" s="21" t="e">
        <f>NA()</f>
        <v>#N/A</v>
      </c>
      <c r="G72" s="21" t="e">
        <f>NA()</f>
        <v>#N/A</v>
      </c>
      <c r="H72" s="20">
        <v>47269</v>
      </c>
      <c r="I72" s="21"/>
      <c r="S72" s="1" t="s">
        <v>1128</v>
      </c>
      <c r="T72" t="s">
        <v>1129</v>
      </c>
      <c r="U72" t="s">
        <v>1130</v>
      </c>
      <c r="V72" s="43"/>
      <c r="W72" s="43"/>
      <c r="X72" s="43"/>
      <c r="Y72" s="43"/>
      <c r="Z72" s="43"/>
      <c r="AA72" s="43"/>
      <c r="AB72" s="5"/>
    </row>
    <row r="73" spans="1:28" x14ac:dyDescent="0.25">
      <c r="S73" s="1" t="s">
        <v>1131</v>
      </c>
      <c r="T73" t="s">
        <v>1132</v>
      </c>
      <c r="U73" t="s">
        <v>1133</v>
      </c>
      <c r="V73" s="43"/>
      <c r="W73" s="43"/>
      <c r="X73" s="43"/>
      <c r="Y73" s="43"/>
      <c r="Z73" s="43"/>
      <c r="AA73" s="43"/>
      <c r="AB73" s="5"/>
    </row>
    <row r="74" spans="1:28" x14ac:dyDescent="0.25">
      <c r="S74" s="1" t="s">
        <v>1134</v>
      </c>
      <c r="T74" t="s">
        <v>1135</v>
      </c>
      <c r="U74" t="s">
        <v>1136</v>
      </c>
      <c r="V74" s="43">
        <v>500</v>
      </c>
      <c r="W74" s="43">
        <v>500</v>
      </c>
      <c r="X74" s="43">
        <v>1000</v>
      </c>
      <c r="Y74" s="43">
        <v>1000</v>
      </c>
      <c r="Z74" s="43">
        <v>1500</v>
      </c>
      <c r="AA74" s="43">
        <v>1500</v>
      </c>
      <c r="AB74" s="5"/>
    </row>
    <row r="75" spans="1:28" x14ac:dyDescent="0.25">
      <c r="S75" s="1" t="s">
        <v>353</v>
      </c>
      <c r="T75" t="s">
        <v>1137</v>
      </c>
      <c r="U75" t="s">
        <v>1138</v>
      </c>
      <c r="V75" s="43"/>
      <c r="W75" s="43"/>
      <c r="X75" s="43"/>
      <c r="Y75" s="43"/>
      <c r="Z75" s="43"/>
      <c r="AA75" s="43"/>
      <c r="AB75" s="5"/>
    </row>
    <row r="76" spans="1:28" x14ac:dyDescent="0.25">
      <c r="S76" s="1" t="s">
        <v>1139</v>
      </c>
      <c r="T76" t="s">
        <v>1140</v>
      </c>
      <c r="U76" t="s">
        <v>593</v>
      </c>
      <c r="V76" s="43">
        <v>500</v>
      </c>
      <c r="W76" s="43">
        <v>500</v>
      </c>
      <c r="X76" s="43">
        <v>1500</v>
      </c>
      <c r="Y76" s="43">
        <v>1500</v>
      </c>
      <c r="Z76" s="43">
        <v>1000</v>
      </c>
      <c r="AA76" s="43">
        <v>1000</v>
      </c>
      <c r="AB76" s="5"/>
    </row>
    <row r="77" spans="1:28" x14ac:dyDescent="0.25">
      <c r="S77" s="1" t="s">
        <v>1141</v>
      </c>
      <c r="T77" t="s">
        <v>1142</v>
      </c>
      <c r="U77" t="s">
        <v>1143</v>
      </c>
      <c r="V77" s="43"/>
      <c r="W77" s="43"/>
      <c r="X77" s="43"/>
      <c r="Y77" s="43"/>
      <c r="Z77" s="43"/>
      <c r="AA77" s="43"/>
      <c r="AB77" s="5"/>
    </row>
    <row r="78" spans="1:28" x14ac:dyDescent="0.25">
      <c r="S78" s="1" t="s">
        <v>1144</v>
      </c>
      <c r="T78" t="s">
        <v>1145</v>
      </c>
      <c r="U78" t="s">
        <v>1146</v>
      </c>
      <c r="V78" s="43"/>
      <c r="W78" s="43"/>
      <c r="X78" s="43"/>
      <c r="Y78" s="43"/>
      <c r="Z78" s="43"/>
      <c r="AA78" s="43"/>
      <c r="AB78" s="5"/>
    </row>
    <row r="79" spans="1:28" x14ac:dyDescent="0.25">
      <c r="S79" s="1" t="s">
        <v>1147</v>
      </c>
      <c r="T79" t="s">
        <v>1148</v>
      </c>
      <c r="U79" t="s">
        <v>1149</v>
      </c>
      <c r="V79" s="43"/>
      <c r="W79" s="43"/>
      <c r="X79" s="43"/>
      <c r="Y79" s="43"/>
      <c r="Z79" s="43"/>
      <c r="AA79" s="43"/>
      <c r="AB79" s="5"/>
    </row>
    <row r="80" spans="1:28" x14ac:dyDescent="0.25">
      <c r="S80" s="1" t="s">
        <v>1150</v>
      </c>
      <c r="T80" t="s">
        <v>1151</v>
      </c>
      <c r="U80" t="s">
        <v>1152</v>
      </c>
      <c r="V80" s="43">
        <v>500</v>
      </c>
      <c r="W80" s="43">
        <v>500</v>
      </c>
      <c r="X80" s="43">
        <v>1000</v>
      </c>
      <c r="Y80" s="43">
        <v>1000</v>
      </c>
      <c r="Z80" s="43">
        <v>1500</v>
      </c>
      <c r="AA80" s="43">
        <v>1500</v>
      </c>
      <c r="AB80" s="5"/>
    </row>
    <row r="81" spans="19:28" x14ac:dyDescent="0.25">
      <c r="S81" s="1" t="s">
        <v>1153</v>
      </c>
      <c r="T81" t="s">
        <v>1154</v>
      </c>
      <c r="U81" t="s">
        <v>1155</v>
      </c>
      <c r="V81" s="43"/>
      <c r="W81" s="43"/>
      <c r="X81" s="43"/>
      <c r="Y81" s="43"/>
      <c r="Z81" s="43"/>
      <c r="AA81" s="43"/>
      <c r="AB81" s="5"/>
    </row>
    <row r="82" spans="19:28" x14ac:dyDescent="0.25">
      <c r="S82" s="1" t="s">
        <v>1156</v>
      </c>
      <c r="T82" t="s">
        <v>220</v>
      </c>
      <c r="U82" t="s">
        <v>1157</v>
      </c>
      <c r="V82" s="43">
        <v>1000</v>
      </c>
      <c r="W82" s="43">
        <v>1000</v>
      </c>
      <c r="X82" s="43">
        <v>5000</v>
      </c>
      <c r="Y82" s="43">
        <v>5000</v>
      </c>
      <c r="Z82" s="43">
        <v>2000</v>
      </c>
      <c r="AA82" s="43">
        <v>2000</v>
      </c>
      <c r="AB82" s="5">
        <v>1</v>
      </c>
    </row>
    <row r="83" spans="19:28" x14ac:dyDescent="0.25">
      <c r="S83" s="1" t="s">
        <v>1158</v>
      </c>
      <c r="T83" t="s">
        <v>221</v>
      </c>
      <c r="U83" t="s">
        <v>1159</v>
      </c>
      <c r="V83" s="43">
        <v>1500</v>
      </c>
      <c r="W83" s="43">
        <v>1500</v>
      </c>
      <c r="X83" s="43">
        <v>3000</v>
      </c>
      <c r="Y83" s="43">
        <v>3000</v>
      </c>
      <c r="Z83" s="43">
        <v>3000</v>
      </c>
      <c r="AA83" s="43">
        <v>3000</v>
      </c>
      <c r="AB83" s="5">
        <v>1</v>
      </c>
    </row>
    <row r="84" spans="19:28" x14ac:dyDescent="0.25">
      <c r="S84" s="1" t="s">
        <v>1160</v>
      </c>
      <c r="T84" t="s">
        <v>1161</v>
      </c>
      <c r="U84" t="s">
        <v>1162</v>
      </c>
      <c r="V84" s="43"/>
      <c r="W84" s="43"/>
      <c r="X84" s="43"/>
      <c r="Y84" s="43"/>
      <c r="Z84" s="43"/>
      <c r="AA84" s="43"/>
      <c r="AB84" s="5"/>
    </row>
    <row r="85" spans="19:28" x14ac:dyDescent="0.25">
      <c r="S85" s="1" t="s">
        <v>1163</v>
      </c>
      <c r="T85" t="s">
        <v>1164</v>
      </c>
      <c r="U85" t="s">
        <v>1165</v>
      </c>
      <c r="V85" s="43"/>
      <c r="W85" s="43"/>
      <c r="X85" s="43"/>
      <c r="Y85" s="43"/>
      <c r="Z85" s="43"/>
      <c r="AA85" s="43"/>
      <c r="AB85" s="5"/>
    </row>
    <row r="86" spans="19:28" x14ac:dyDescent="0.25">
      <c r="S86" s="1" t="s">
        <v>1166</v>
      </c>
      <c r="T86" t="s">
        <v>1167</v>
      </c>
      <c r="U86" t="s">
        <v>1168</v>
      </c>
      <c r="V86" s="43"/>
      <c r="W86" s="43"/>
      <c r="X86" s="43"/>
      <c r="Y86" s="43"/>
      <c r="Z86" s="43"/>
      <c r="AA86" s="43"/>
      <c r="AB86" s="5"/>
    </row>
    <row r="87" spans="19:28" x14ac:dyDescent="0.25">
      <c r="S87" s="1" t="s">
        <v>1169</v>
      </c>
      <c r="T87" t="s">
        <v>1170</v>
      </c>
      <c r="U87" t="s">
        <v>1171</v>
      </c>
      <c r="V87" s="43">
        <v>10000</v>
      </c>
      <c r="W87" s="43">
        <v>10000</v>
      </c>
      <c r="X87" s="43">
        <v>20000</v>
      </c>
      <c r="Y87" s="43">
        <v>20000</v>
      </c>
      <c r="Z87" s="43">
        <v>15000</v>
      </c>
      <c r="AA87" s="43">
        <v>15000</v>
      </c>
      <c r="AB87" s="5">
        <v>1</v>
      </c>
    </row>
    <row r="88" spans="19:28" x14ac:dyDescent="0.25">
      <c r="S88" s="1" t="s">
        <v>1172</v>
      </c>
      <c r="T88" t="s">
        <v>1173</v>
      </c>
      <c r="U88" t="s">
        <v>1174</v>
      </c>
      <c r="V88" s="43"/>
      <c r="W88" s="43"/>
      <c r="X88" s="43"/>
      <c r="Y88" s="43"/>
      <c r="Z88" s="43"/>
      <c r="AA88" s="43"/>
      <c r="AB88" s="5"/>
    </row>
    <row r="89" spans="19:28" x14ac:dyDescent="0.25">
      <c r="S89" s="1" t="s">
        <v>1253</v>
      </c>
      <c r="T89" t="s">
        <v>1254</v>
      </c>
      <c r="U89" t="s">
        <v>1255</v>
      </c>
      <c r="V89" s="43"/>
      <c r="W89" s="43"/>
      <c r="X89" s="43"/>
      <c r="Y89" s="43"/>
      <c r="Z89" s="43"/>
      <c r="AA89" s="43"/>
      <c r="AB89" s="5"/>
    </row>
    <row r="90" spans="19:28" x14ac:dyDescent="0.25">
      <c r="S90" s="1" t="s">
        <v>1175</v>
      </c>
      <c r="T90" t="s">
        <v>1176</v>
      </c>
      <c r="U90" t="s">
        <v>1177</v>
      </c>
      <c r="V90" s="43">
        <v>500</v>
      </c>
      <c r="W90" s="43">
        <v>500</v>
      </c>
      <c r="X90" s="43">
        <v>1500</v>
      </c>
      <c r="Y90" s="43">
        <v>1500</v>
      </c>
      <c r="Z90" s="43">
        <v>5000</v>
      </c>
      <c r="AA90" s="43">
        <v>5000</v>
      </c>
      <c r="AB90" s="5"/>
    </row>
    <row r="91" spans="19:28" x14ac:dyDescent="0.25">
      <c r="S91" s="1" t="s">
        <v>832</v>
      </c>
      <c r="T91" t="s">
        <v>231</v>
      </c>
      <c r="U91" t="s">
        <v>1178</v>
      </c>
      <c r="V91" s="43"/>
      <c r="W91" s="43"/>
      <c r="X91" s="43"/>
      <c r="Y91" s="43"/>
      <c r="Z91" s="43"/>
      <c r="AA91" s="43"/>
      <c r="AB91" s="5"/>
    </row>
    <row r="92" spans="19:28" x14ac:dyDescent="0.25">
      <c r="S92" s="1" t="s">
        <v>835</v>
      </c>
      <c r="T92" t="s">
        <v>1179</v>
      </c>
      <c r="U92" t="s">
        <v>1180</v>
      </c>
      <c r="V92" s="43"/>
      <c r="W92" s="43"/>
      <c r="X92" s="43"/>
      <c r="Y92" s="43"/>
      <c r="Z92" s="43"/>
      <c r="AA92" s="43"/>
      <c r="AB92" s="5"/>
    </row>
    <row r="93" spans="19:28" x14ac:dyDescent="0.25">
      <c r="S93" s="1" t="s">
        <v>1181</v>
      </c>
      <c r="T93" t="s">
        <v>1182</v>
      </c>
      <c r="U93" t="s">
        <v>1183</v>
      </c>
      <c r="V93" s="43"/>
      <c r="W93" s="43"/>
      <c r="X93" s="43"/>
      <c r="Y93" s="43"/>
      <c r="Z93" s="43"/>
      <c r="AA93" s="43"/>
      <c r="AB93" s="5"/>
    </row>
    <row r="94" spans="19:28" x14ac:dyDescent="0.25">
      <c r="S94" s="1" t="s">
        <v>1184</v>
      </c>
      <c r="T94" t="s">
        <v>1185</v>
      </c>
      <c r="U94" t="s">
        <v>1186</v>
      </c>
      <c r="V94" s="43"/>
      <c r="W94" s="43"/>
      <c r="X94" s="43"/>
      <c r="Y94" s="43"/>
      <c r="Z94" s="43"/>
      <c r="AA94" s="43"/>
      <c r="AB94" s="5"/>
    </row>
    <row r="95" spans="19:28" x14ac:dyDescent="0.25">
      <c r="S95" s="1" t="s">
        <v>1187</v>
      </c>
      <c r="T95" t="s">
        <v>1188</v>
      </c>
      <c r="U95" t="s">
        <v>1189</v>
      </c>
      <c r="V95" s="43"/>
      <c r="W95" s="43"/>
      <c r="X95" s="43"/>
      <c r="Y95" s="43"/>
      <c r="Z95" s="43"/>
      <c r="AA95" s="43"/>
      <c r="AB95" s="5"/>
    </row>
    <row r="96" spans="19:28" x14ac:dyDescent="0.25">
      <c r="S96" s="1" t="s">
        <v>1267</v>
      </c>
      <c r="T96" t="s">
        <v>1268</v>
      </c>
      <c r="U96" t="s">
        <v>1269</v>
      </c>
      <c r="V96" s="43"/>
      <c r="W96" s="43"/>
      <c r="X96" s="43"/>
      <c r="Y96" s="43"/>
      <c r="Z96" s="43"/>
      <c r="AA96" s="43"/>
      <c r="AB96" s="5"/>
    </row>
    <row r="97" spans="19:28" x14ac:dyDescent="0.25">
      <c r="S97" s="1" t="s">
        <v>1270</v>
      </c>
      <c r="T97" t="s">
        <v>1271</v>
      </c>
      <c r="U97" t="s">
        <v>1272</v>
      </c>
      <c r="V97" s="43"/>
      <c r="W97" s="43"/>
      <c r="X97" s="43"/>
      <c r="Y97" s="43"/>
      <c r="Z97" s="43"/>
      <c r="AA97" s="43"/>
      <c r="AB97" s="5"/>
    </row>
    <row r="98" spans="19:28" x14ac:dyDescent="0.25">
      <c r="S98" s="1" t="s">
        <v>1190</v>
      </c>
      <c r="T98" t="s">
        <v>1191</v>
      </c>
      <c r="U98" t="s">
        <v>1192</v>
      </c>
      <c r="V98" s="43"/>
      <c r="W98" s="43"/>
      <c r="X98" s="43"/>
      <c r="Y98" s="43"/>
      <c r="Z98" s="43"/>
      <c r="AA98" s="43"/>
      <c r="AB98" s="5"/>
    </row>
    <row r="99" spans="19:28" x14ac:dyDescent="0.25">
      <c r="S99" s="1" t="s">
        <v>1193</v>
      </c>
      <c r="T99" t="s">
        <v>1194</v>
      </c>
      <c r="U99" t="s">
        <v>1195</v>
      </c>
      <c r="V99" s="43"/>
      <c r="W99" s="43"/>
      <c r="X99" s="43"/>
      <c r="Y99" s="43"/>
      <c r="Z99" s="43"/>
      <c r="AA99" s="43"/>
      <c r="AB99" s="5"/>
    </row>
    <row r="100" spans="19:28" x14ac:dyDescent="0.25">
      <c r="S100" s="1" t="s">
        <v>1196</v>
      </c>
      <c r="T100" t="s">
        <v>1197</v>
      </c>
      <c r="U100" t="s">
        <v>1198</v>
      </c>
      <c r="V100" s="43"/>
      <c r="W100" s="43"/>
      <c r="X100" s="43"/>
      <c r="Y100" s="43"/>
      <c r="Z100" s="43"/>
      <c r="AA100" s="43"/>
      <c r="AB100" s="5"/>
    </row>
    <row r="101" spans="19:28" x14ac:dyDescent="0.25">
      <c r="S101" s="1" t="s">
        <v>1199</v>
      </c>
      <c r="T101" t="s">
        <v>1200</v>
      </c>
      <c r="U101" t="s">
        <v>1201</v>
      </c>
      <c r="V101" s="43">
        <v>1000</v>
      </c>
      <c r="W101" s="43">
        <v>1000</v>
      </c>
      <c r="X101" s="43">
        <v>5000</v>
      </c>
      <c r="Y101" s="43">
        <v>5000</v>
      </c>
      <c r="Z101" s="43">
        <v>2000</v>
      </c>
      <c r="AA101" s="43">
        <v>2000</v>
      </c>
      <c r="AB101" s="5">
        <v>1</v>
      </c>
    </row>
    <row r="102" spans="19:28" x14ac:dyDescent="0.25">
      <c r="S102" s="1" t="s">
        <v>1202</v>
      </c>
      <c r="T102" t="s">
        <v>1203</v>
      </c>
      <c r="U102" t="s">
        <v>1204</v>
      </c>
      <c r="V102" s="43"/>
      <c r="W102" s="43"/>
      <c r="X102" s="43"/>
      <c r="Y102" s="43"/>
      <c r="Z102" s="43"/>
      <c r="AA102" s="43"/>
      <c r="AB102" s="5"/>
    </row>
    <row r="103" spans="19:28" x14ac:dyDescent="0.25">
      <c r="S103" s="1" t="s">
        <v>1205</v>
      </c>
      <c r="T103" t="s">
        <v>1206</v>
      </c>
      <c r="U103" t="s">
        <v>289</v>
      </c>
      <c r="V103" s="43">
        <v>500</v>
      </c>
      <c r="W103" s="43">
        <v>500</v>
      </c>
      <c r="X103" s="43">
        <v>2500</v>
      </c>
      <c r="Y103" s="43">
        <v>2500</v>
      </c>
      <c r="Z103" s="43">
        <v>1000</v>
      </c>
      <c r="AA103" s="43">
        <v>1000</v>
      </c>
      <c r="AB103" s="5"/>
    </row>
    <row r="104" spans="19:28" x14ac:dyDescent="0.25">
      <c r="S104" s="1" t="s">
        <v>1207</v>
      </c>
      <c r="T104" t="s">
        <v>1208</v>
      </c>
      <c r="U104" t="s">
        <v>1209</v>
      </c>
      <c r="V104" s="43"/>
      <c r="W104" s="43"/>
      <c r="X104" s="43"/>
      <c r="Y104" s="43"/>
      <c r="Z104" s="43"/>
      <c r="AA104" s="43"/>
      <c r="AB104" s="5"/>
    </row>
    <row r="105" spans="19:28" x14ac:dyDescent="0.25">
      <c r="S105" s="1" t="s">
        <v>1210</v>
      </c>
      <c r="T105" t="s">
        <v>1211</v>
      </c>
      <c r="U105" t="s">
        <v>1212</v>
      </c>
      <c r="V105" s="43"/>
      <c r="W105" s="43"/>
      <c r="X105" s="43"/>
      <c r="Y105" s="43"/>
      <c r="Z105" s="43"/>
      <c r="AA105" s="43"/>
      <c r="AB105" s="5"/>
    </row>
    <row r="106" spans="19:28" x14ac:dyDescent="0.25">
      <c r="S106" s="1" t="s">
        <v>1213</v>
      </c>
      <c r="T106" t="s">
        <v>1214</v>
      </c>
      <c r="U106" t="s">
        <v>1215</v>
      </c>
      <c r="V106" s="43"/>
      <c r="W106" s="43"/>
      <c r="X106" s="43"/>
      <c r="Y106" s="43"/>
      <c r="Z106" s="43"/>
      <c r="AA106" s="43"/>
      <c r="AB106" s="5"/>
    </row>
    <row r="107" spans="19:28" x14ac:dyDescent="0.25">
      <c r="S107" s="1" t="s">
        <v>1216</v>
      </c>
      <c r="T107" t="s">
        <v>1217</v>
      </c>
      <c r="U107" t="s">
        <v>1218</v>
      </c>
      <c r="V107" s="43"/>
      <c r="W107" s="43"/>
      <c r="X107" s="43"/>
      <c r="Y107" s="43"/>
      <c r="Z107" s="43"/>
      <c r="AA107" s="43"/>
      <c r="AB107" s="5"/>
    </row>
    <row r="108" spans="19:28" x14ac:dyDescent="0.25">
      <c r="S108" s="1" t="s">
        <v>1219</v>
      </c>
      <c r="T108" t="s">
        <v>1220</v>
      </c>
      <c r="U108" t="s">
        <v>1221</v>
      </c>
      <c r="V108" s="43">
        <v>500</v>
      </c>
      <c r="W108" s="43">
        <v>500</v>
      </c>
      <c r="X108" s="43">
        <v>2500</v>
      </c>
      <c r="Y108" s="43">
        <v>2500</v>
      </c>
      <c r="Z108" s="43">
        <v>1000</v>
      </c>
      <c r="AA108" s="43">
        <v>1000</v>
      </c>
      <c r="AB108" s="5"/>
    </row>
    <row r="109" spans="19:28" x14ac:dyDescent="0.25">
      <c r="S109" s="1" t="s">
        <v>1222</v>
      </c>
      <c r="T109" t="s">
        <v>1223</v>
      </c>
      <c r="U109" t="s">
        <v>1224</v>
      </c>
      <c r="V109" s="43"/>
      <c r="W109" s="43"/>
      <c r="X109" s="43"/>
      <c r="Y109" s="43"/>
      <c r="Z109" s="43"/>
      <c r="AA109" s="43"/>
      <c r="AB109" s="5"/>
    </row>
    <row r="110" spans="19:28" x14ac:dyDescent="0.25">
      <c r="S110" s="1" t="s">
        <v>1225</v>
      </c>
      <c r="T110" t="s">
        <v>1226</v>
      </c>
      <c r="U110" t="s">
        <v>1227</v>
      </c>
      <c r="V110" s="43"/>
      <c r="W110" s="43"/>
      <c r="X110" s="43"/>
      <c r="Y110" s="43"/>
      <c r="Z110" s="43"/>
      <c r="AA110" s="43"/>
      <c r="AB110" s="5"/>
    </row>
    <row r="111" spans="19:28" x14ac:dyDescent="0.25">
      <c r="S111" s="1" t="s">
        <v>1228</v>
      </c>
      <c r="T111" t="s">
        <v>1229</v>
      </c>
      <c r="U111" t="s">
        <v>1230</v>
      </c>
      <c r="V111" s="43"/>
      <c r="W111" s="43"/>
      <c r="X111" s="43"/>
      <c r="Y111" s="43"/>
      <c r="Z111" s="43"/>
      <c r="AA111" s="43"/>
      <c r="AB111" s="5"/>
    </row>
    <row r="112" spans="19:28" x14ac:dyDescent="0.25">
      <c r="S112" s="1" t="s">
        <v>1231</v>
      </c>
      <c r="T112" t="s">
        <v>1232</v>
      </c>
      <c r="U112" t="s">
        <v>1233</v>
      </c>
      <c r="V112" s="43"/>
      <c r="W112" s="43"/>
      <c r="X112" s="43"/>
      <c r="Y112" s="43"/>
      <c r="Z112" s="43"/>
      <c r="AA112" s="43"/>
      <c r="AB112" s="5"/>
    </row>
    <row r="113" spans="19:28" x14ac:dyDescent="0.25">
      <c r="S113" s="1" t="s">
        <v>1234</v>
      </c>
      <c r="T113" t="s">
        <v>225</v>
      </c>
      <c r="U113" t="s">
        <v>287</v>
      </c>
      <c r="V113" s="43">
        <v>1000</v>
      </c>
      <c r="W113" s="43">
        <v>1000</v>
      </c>
      <c r="X113" s="43">
        <v>5000</v>
      </c>
      <c r="Y113" s="43">
        <v>5000</v>
      </c>
      <c r="Z113" s="43">
        <v>2000</v>
      </c>
      <c r="AA113" s="43">
        <v>2000</v>
      </c>
      <c r="AB113" s="5">
        <v>1</v>
      </c>
    </row>
    <row r="114" spans="19:28" x14ac:dyDescent="0.25">
      <c r="S114" s="1" t="s">
        <v>1235</v>
      </c>
      <c r="T114" t="s">
        <v>1236</v>
      </c>
      <c r="U114" t="s">
        <v>1237</v>
      </c>
      <c r="V114" s="43">
        <v>1500</v>
      </c>
      <c r="W114" s="43">
        <v>1500</v>
      </c>
      <c r="X114" s="43">
        <v>3000</v>
      </c>
      <c r="Y114" s="43">
        <v>3000</v>
      </c>
      <c r="Z114" s="43">
        <v>3000</v>
      </c>
      <c r="AA114" s="43">
        <v>3000</v>
      </c>
      <c r="AB114" s="5"/>
    </row>
    <row r="115" spans="19:28" x14ac:dyDescent="0.25">
      <c r="S115" s="1" t="s">
        <v>1238</v>
      </c>
      <c r="T115" t="s">
        <v>1239</v>
      </c>
      <c r="U115" t="s">
        <v>1240</v>
      </c>
      <c r="V115" s="43"/>
      <c r="W115" s="43"/>
      <c r="X115" s="43"/>
      <c r="Y115" s="43"/>
      <c r="Z115" s="43"/>
      <c r="AA115" s="43"/>
      <c r="AB115" s="5"/>
    </row>
    <row r="116" spans="19:28" x14ac:dyDescent="0.25">
      <c r="S116" s="1" t="s">
        <v>1241</v>
      </c>
      <c r="T116" t="s">
        <v>1242</v>
      </c>
      <c r="U116" t="s">
        <v>1243</v>
      </c>
      <c r="V116" s="43"/>
      <c r="W116" s="43"/>
      <c r="X116" s="43"/>
      <c r="Y116" s="43"/>
      <c r="Z116" s="43"/>
      <c r="AA116" s="43"/>
      <c r="AB116" s="5"/>
    </row>
    <row r="117" spans="19:28" x14ac:dyDescent="0.25">
      <c r="S117" s="1" t="s">
        <v>1244</v>
      </c>
      <c r="T117" t="s">
        <v>1245</v>
      </c>
      <c r="U117" t="s">
        <v>1246</v>
      </c>
      <c r="V117" s="43"/>
      <c r="W117" s="43"/>
      <c r="X117" s="43"/>
      <c r="Y117" s="43"/>
      <c r="Z117" s="43"/>
      <c r="AA117" s="43"/>
      <c r="AB117" s="5"/>
    </row>
    <row r="118" spans="19:28" x14ac:dyDescent="0.25">
      <c r="S118" s="1" t="s">
        <v>1305</v>
      </c>
      <c r="T118" t="s">
        <v>1309</v>
      </c>
      <c r="U118" t="s">
        <v>1312</v>
      </c>
      <c r="V118" s="43"/>
      <c r="W118" s="43"/>
      <c r="X118" s="43"/>
      <c r="Y118" s="43"/>
      <c r="Z118" s="43"/>
      <c r="AA118" s="43"/>
      <c r="AB118" s="5"/>
    </row>
    <row r="119" spans="19:28" x14ac:dyDescent="0.25">
      <c r="S119" s="1" t="s">
        <v>447</v>
      </c>
      <c r="T119" t="s">
        <v>1306</v>
      </c>
      <c r="U119" t="s">
        <v>926</v>
      </c>
      <c r="V119" s="43"/>
      <c r="W119" s="43"/>
      <c r="X119" s="43"/>
      <c r="Y119" s="43"/>
      <c r="Z119" s="43"/>
      <c r="AA119" s="43"/>
      <c r="AB119" s="5"/>
    </row>
    <row r="120" spans="19:28" x14ac:dyDescent="0.25">
      <c r="S120" s="1" t="s">
        <v>1302</v>
      </c>
      <c r="T120" t="s">
        <v>1307</v>
      </c>
      <c r="U120" t="s">
        <v>1310</v>
      </c>
      <c r="V120" s="43"/>
      <c r="W120" s="43"/>
      <c r="X120" s="43"/>
      <c r="Y120" s="43"/>
      <c r="Z120" s="43"/>
      <c r="AA120" s="43"/>
      <c r="AB120" s="5"/>
    </row>
    <row r="121" spans="19:28" x14ac:dyDescent="0.25">
      <c r="S121" s="1" t="s">
        <v>840</v>
      </c>
      <c r="T121" t="s">
        <v>1265</v>
      </c>
      <c r="U121" t="s">
        <v>1266</v>
      </c>
      <c r="V121" s="43"/>
      <c r="W121" s="43"/>
      <c r="X121" s="43"/>
      <c r="Y121" s="43"/>
      <c r="Z121" s="43"/>
      <c r="AA121" s="43"/>
      <c r="AB121" s="5"/>
    </row>
  </sheetData>
  <phoneticPr fontId="9" type="noConversion"/>
  <pageMargins left="0.7" right="0.7" top="0.75" bottom="0.75" header="0.3" footer="0.3"/>
  <ignoredErrors>
    <ignoredError sqref="N4 Q4:Q6 P2:P6 O2:O6" calculatedColumn="1"/>
  </ignoredErrors>
  <tableParts count="6">
    <tablePart r:id="rId1"/>
    <tablePart r:id="rId2"/>
    <tablePart r:id="rId3"/>
    <tablePart r:id="rId4"/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CCA91-FD8F-4224-BDA0-29F72F9A8CB3}">
  <sheetPr codeName="Sheet15">
    <pageSetUpPr autoPageBreaks="0"/>
  </sheetPr>
  <dimension ref="A1:G7"/>
  <sheetViews>
    <sheetView workbookViewId="0">
      <selection activeCell="G52" sqref="G52"/>
    </sheetView>
  </sheetViews>
  <sheetFormatPr defaultRowHeight="15" x14ac:dyDescent="0.25"/>
  <cols>
    <col min="1" max="1" width="24.28515625" customWidth="1"/>
    <col min="2" max="2" width="23.7109375" customWidth="1"/>
    <col min="7" max="7" width="12" bestFit="1" customWidth="1"/>
    <col min="14" max="14" width="17.28515625" customWidth="1"/>
  </cols>
  <sheetData>
    <row r="1" spans="1:7" ht="15.75" thickBot="1" x14ac:dyDescent="0.3">
      <c r="A1" s="243" t="s">
        <v>24</v>
      </c>
      <c r="B1" s="244" t="s">
        <v>1278</v>
      </c>
      <c r="C1" s="30"/>
    </row>
    <row r="2" spans="1:7" x14ac:dyDescent="0.25">
      <c r="A2" s="245" t="s">
        <v>1279</v>
      </c>
      <c r="B2" s="246">
        <v>1</v>
      </c>
    </row>
    <row r="3" spans="1:7" x14ac:dyDescent="0.25">
      <c r="A3" s="247" t="s">
        <v>1280</v>
      </c>
      <c r="B3" s="248">
        <v>46753</v>
      </c>
    </row>
    <row r="4" spans="1:7" x14ac:dyDescent="0.25">
      <c r="A4" s="249" t="s">
        <v>1281</v>
      </c>
      <c r="B4" s="250">
        <f ca="1">NOW() - MAX(_xll.BDP("CO2 Comdty", "BID_UPDATE_STAMP_RT"), _xll.BDP("CO2 Comdty", "ASK_UPDATE_STAMP_RT"))</f>
        <v>2.0254628907423466E-5</v>
      </c>
    </row>
    <row r="5" spans="1:7" x14ac:dyDescent="0.25">
      <c r="A5" s="249" t="s">
        <v>1282</v>
      </c>
      <c r="B5" s="250" t="str">
        <f>IF(ISNUMBER(ICE!$T$3), "ON", "OFF")</f>
        <v>ON</v>
      </c>
    </row>
    <row r="6" spans="1:7" x14ac:dyDescent="0.25">
      <c r="A6" s="249" t="s">
        <v>1283</v>
      </c>
      <c r="B6" s="251">
        <f ca="1">IFERROR(Futs!$AW$16, "NO DATE")</f>
        <v>46266</v>
      </c>
    </row>
    <row r="7" spans="1:7" ht="15.75" thickBot="1" x14ac:dyDescent="0.3">
      <c r="A7" s="252" t="s">
        <v>1284</v>
      </c>
      <c r="B7" s="253">
        <f ca="1">IFERROR(Futs!$AV$16, "NO DATE")</f>
        <v>46266</v>
      </c>
      <c r="G7" s="78"/>
    </row>
  </sheetData>
  <conditionalFormatting sqref="B5">
    <cfRule type="expression" dxfId="8" priority="1">
      <formula>$B$5="ON"</formula>
    </cfRule>
    <cfRule type="expression" dxfId="7" priority="4">
      <formula>$B$5="OFF"</formula>
    </cfRule>
  </conditionalFormatting>
  <conditionalFormatting sqref="B4">
    <cfRule type="colorScale" priority="2">
      <colorScale>
        <cfvo type="num" val="0"/>
        <cfvo type="num" val="1E-4"/>
        <color rgb="FF92D050"/>
        <color rgb="FFFFC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5</vt:i4>
      </vt:variant>
    </vt:vector>
  </HeadingPairs>
  <TitlesOfParts>
    <vt:vector size="28" baseType="lpstr">
      <vt:lpstr>PnL</vt:lpstr>
      <vt:lpstr>Opt</vt:lpstr>
      <vt:lpstr>Trades</vt:lpstr>
      <vt:lpstr>Histo</vt:lpstr>
      <vt:lpstr>Futs</vt:lpstr>
      <vt:lpstr>Dtd</vt:lpstr>
      <vt:lpstr>Crd</vt:lpstr>
      <vt:lpstr>NGL</vt:lpstr>
      <vt:lpstr>Lts</vt:lpstr>
      <vt:lpstr>Mid</vt:lpstr>
      <vt:lpstr>Hvy</vt:lpstr>
      <vt:lpstr>FFA</vt:lpstr>
      <vt:lpstr>Mrg</vt:lpstr>
      <vt:lpstr>EIA</vt:lpstr>
      <vt:lpstr>COT</vt:lpstr>
      <vt:lpstr>Arbs</vt:lpstr>
      <vt:lpstr>Prints</vt:lpstr>
      <vt:lpstr>Wnd ULSD</vt:lpstr>
      <vt:lpstr>ICE</vt:lpstr>
      <vt:lpstr>Sheet1</vt:lpstr>
      <vt:lpstr>Crv</vt:lpstr>
      <vt:lpstr>Refs</vt:lpstr>
      <vt:lpstr>Diagnostics</vt:lpstr>
      <vt:lpstr>TimeCHI</vt:lpstr>
      <vt:lpstr>TimeDUB</vt:lpstr>
      <vt:lpstr>TimeLDN</vt:lpstr>
      <vt:lpstr>TimeNYC</vt:lpstr>
      <vt:lpstr>TimeSGP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Yves Mindren</dc:creator>
  <cp:keywords/>
  <dc:description/>
  <cp:lastModifiedBy>Abder Mahoudi</cp:lastModifiedBy>
  <cp:revision/>
  <dcterms:created xsi:type="dcterms:W3CDTF">2025-05-08T03:16:35Z</dcterms:created>
  <dcterms:modified xsi:type="dcterms:W3CDTF">2026-09-02T10:09:55Z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2025-05-08T03:24:32Z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ec302311-a76e-4d47-bdb2-f537e3ae027e</vt:lpwstr>
  </property>
  <property fmtid="{D5CDD505-2E9C-101B-9397-08002B2CF9AE}" pid="7" name="MSIP_Label_defa4170-0d19-0005-0004-bc88714345d2_ActionId">
    <vt:lpwstr>215af419-2b58-4000-a44d-c22a1b846f40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  <property fmtid="{D5CDD505-2E9C-101B-9397-08002B2CF9AE}" pid="10" name="SpreadsheetBuilder_1">
    <vt:lpwstr>eyIwIjoiSGlzdG9yeSIsIjEiOjAsIjIiOjEsIjMiOjAsIjQiOjEsIjUiOjEsIjYiOjEsIjciOjEsIjgiOjAsIjkiOjEsIjEwIjowLCIxMSI6MCwiMTIiOjB9</vt:lpwstr>
  </property>
  <property fmtid="{D5CDD505-2E9C-101B-9397-08002B2CF9AE}" pid="11" name="SpreadsheetBuilder_2">
    <vt:lpwstr>eyIwIjoiSGlzdG9yeSIsIjEiOjAsIjIiOjEsIjMiOjAsIjQiOjAsIjUiOjEsIjYiOjEsIjciOjEsIjgiOjAsIjkiOjEsIjEwIjowLCIxMSI6MCwiMTIiOjB9</vt:lpwstr>
  </property>
</Properties>
</file>